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7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drawings/drawing8.xml" ContentType="application/vnd.openxmlformats-officedocument.drawing+xml"/>
  <Override PartName="/xl/tables/table6.xml" ContentType="application/vnd.openxmlformats-officedocument.spreadsheetml.table+xml"/>
  <Override PartName="/xl/drawings/drawing9.xml" ContentType="application/vnd.openxmlformats-officedocument.drawing+xml"/>
  <Override PartName="/xl/tables/table7.xml" ContentType="application/vnd.openxmlformats-officedocument.spreadsheetml.table+xml"/>
  <Override PartName="/xl/slicers/slicer1.xml" ContentType="application/vnd.ms-excel.slicer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drawings/drawing14.xml" ContentType="application/vnd.openxmlformats-officedocument.drawing+xml"/>
  <Override PartName="/xl/tables/table13.xml" ContentType="application/vnd.openxmlformats-officedocument.spreadsheetml.table+xml"/>
  <Override PartName="/xl/drawings/drawing15.xml" ContentType="application/vnd.openxmlformats-officedocument.drawing+xml"/>
  <Override PartName="/xl/tables/table14.xml" ContentType="application/vnd.openxmlformats-officedocument.spreadsheetml.table+xml"/>
  <Override PartName="/xl/drawings/drawing16.xml" ContentType="application/vnd.openxmlformats-officedocument.drawing+xml"/>
  <Override PartName="/xl/tables/table15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pivotTables/pivotTable1.xml" ContentType="application/vnd.openxmlformats-officedocument.spreadsheetml.pivotTable+xml"/>
  <Override PartName="/xl/drawings/drawing19.xml" ContentType="application/vnd.openxmlformats-officedocument.drawing+xml"/>
  <Override PartName="/xl/pivotTables/pivotTable2.xml" ContentType="application/vnd.openxmlformats-officedocument.spreadsheetml.pivotTable+xml"/>
  <Override PartName="/xl/drawings/drawing20.xml" ContentType="application/vnd.openxmlformats-officedocument.drawing+xml"/>
  <Override PartName="/xl/pivotTables/pivotTable3.xml" ContentType="application/vnd.openxmlformats-officedocument.spreadsheetml.pivotTable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tables/table16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Oscar Colmenares\Documents\UNIVERSIDAD\MATERIAS\10 SEMESTRE\ELECTIVA 2\Proyecto de grado\"/>
    </mc:Choice>
  </mc:AlternateContent>
  <xr:revisionPtr revIDLastSave="0" documentId="13_ncr:1_{CCC3594D-4F9C-4E6E-9E58-83F5D7950C27}" xr6:coauthVersionLast="47" xr6:coauthVersionMax="47" xr10:uidLastSave="{00000000-0000-0000-0000-000000000000}"/>
  <bookViews>
    <workbookView showSheetTabs="0" xWindow="-120" yWindow="-120" windowWidth="20730" windowHeight="11040" tabRatio="890" xr2:uid="{00000000-000D-0000-FFFF-FFFF00000000}"/>
  </bookViews>
  <sheets>
    <sheet name="INICIO" sheetId="64" r:id="rId1"/>
    <sheet name="Dashboard" sheetId="52" r:id="rId2"/>
    <sheet name="Pagovtasbusc" sheetId="70" r:id="rId3"/>
    <sheet name="PAGOCompbusc" sheetId="71" r:id="rId4"/>
    <sheet name="PAGO Ventas" sheetId="69" r:id="rId5"/>
    <sheet name="PAGO Compras" sheetId="58" r:id="rId6"/>
    <sheet name="BDContabilización" sheetId="13" r:id="rId7"/>
    <sheet name="Categorías inventario" sheetId="72" r:id="rId8"/>
    <sheet name="Inventario Mov BD-1" sheetId="59" r:id="rId9"/>
    <sheet name="Inventario Prod. BD-2" sheetId="65" r:id="rId10"/>
    <sheet name="CompConta" sheetId="73" r:id="rId11"/>
    <sheet name="F-COMPRA" sheetId="16" r:id="rId12"/>
    <sheet name="F-VTA" sheetId="66" r:id="rId13"/>
    <sheet name="Plantilla-vta" sheetId="67" r:id="rId14"/>
    <sheet name="Otras BD" sheetId="22" r:id="rId15"/>
    <sheet name="BD-Tercero Clientes" sheetId="44" r:id="rId16"/>
    <sheet name="BD-Tercero Proveedores" sheetId="15" r:id="rId17"/>
    <sheet name="Conc. Ban.1" sheetId="54" r:id="rId18"/>
    <sheet name="Reporte Conciliación" sheetId="74" r:id="rId19"/>
    <sheet name="Depreciación" sheetId="60" r:id="rId20"/>
    <sheet name="Estado Situación" sheetId="47" r:id="rId21"/>
    <sheet name="Estado de Resultados" sheetId="48" r:id="rId22"/>
    <sheet name="Balance de Comprobación" sheetId="51" r:id="rId23"/>
    <sheet name="PUC" sheetId="12" r:id="rId24"/>
  </sheets>
  <definedNames>
    <definedName name="_xleta.AND" hidden="1" xlm="1">#NAME?</definedName>
    <definedName name="_xleta.OR" hidden="1" xlm="1">#NAME?</definedName>
    <definedName name="_xleta.SEARCH" hidden="1" xlm="1">#NAME?</definedName>
    <definedName name="_xleta.SUMIFS" hidden="1" xlm="1">#NAME?</definedName>
    <definedName name="_xleta.TODAY" hidden="1" xlm="1">#NAME?</definedName>
    <definedName name="_xlnm.Print_Area" localSheetId="19">Depreciación!$C$5:$AX$20</definedName>
    <definedName name="_xlnm.Print_Area" localSheetId="13">'Plantilla-vta'!$C$2:$H$36</definedName>
    <definedName name="cuenta" localSheetId="15">Tabla11[Cuenta]</definedName>
    <definedName name="cuenta" localSheetId="10">Tabla11[Cuenta]</definedName>
    <definedName name="cuenta" localSheetId="12">Tabla11[Cuenta]</definedName>
    <definedName name="cuenta" localSheetId="4">Tabla11[Cuenta]</definedName>
    <definedName name="cuenta" localSheetId="3">Tabla11[Cuenta]</definedName>
    <definedName name="cuenta" localSheetId="2">Tabla11[Cuenta]</definedName>
    <definedName name="cuenta">Tabla11[Cuenta]</definedName>
    <definedName name="DatosExternos_1" localSheetId="17" hidden="1">'Conc. Ban.1'!$D$23:$M$152</definedName>
    <definedName name="Nombre_empresa">#REF!</definedName>
    <definedName name="SegmentaciónDeDatos_status">#N/A</definedName>
    <definedName name="uu" localSheetId="10">Tabla11[Cuenta]</definedName>
    <definedName name="uu" localSheetId="3">Tabla11[Cuenta]</definedName>
    <definedName name="uu" localSheetId="2">Tabla11[Cuenta]</definedName>
    <definedName name="uu">Tabla11[Cuenta]</definedName>
    <definedName name="uuuu" localSheetId="10">Tabla11[Cuenta]</definedName>
    <definedName name="uuuu" localSheetId="12">Tabla11[Cuenta]</definedName>
    <definedName name="uuuu" localSheetId="4">Tabla11[Cuenta]</definedName>
    <definedName name="uuuu" localSheetId="3">Tabla11[Cuenta]</definedName>
    <definedName name="uuuu" localSheetId="2">Tabla11[Cuenta]</definedName>
    <definedName name="uuuu">Tabla11[Cuenta]</definedName>
  </definedNames>
  <calcPr calcId="191029"/>
  <pivotCaches>
    <pivotCache cacheId="16" r:id="rId25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6"/>
      </x15:slicerCaches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134" i="12" l="1"/>
  <c r="J1134" i="12"/>
  <c r="K1134" i="12"/>
  <c r="L1134" i="12"/>
  <c r="M1134" i="12"/>
  <c r="N1134" i="12"/>
  <c r="O1134" i="12"/>
  <c r="P1134" i="12"/>
  <c r="Q1134" i="12"/>
  <c r="R1134" i="12"/>
  <c r="S1134" i="12"/>
  <c r="T1134" i="12"/>
  <c r="U1134" i="12"/>
  <c r="V1134" i="12"/>
  <c r="W1134" i="12"/>
  <c r="X1134" i="12"/>
  <c r="Y1134" i="12"/>
  <c r="Z1134" i="12"/>
  <c r="AA1134" i="12"/>
  <c r="AB1134" i="12"/>
  <c r="AC1134" i="12"/>
  <c r="AD1134" i="12"/>
  <c r="AE1134" i="12"/>
  <c r="AF1134" i="12"/>
  <c r="AG1134" i="12"/>
  <c r="AH1134" i="12"/>
  <c r="AI1134" i="12"/>
  <c r="AJ1134" i="12"/>
  <c r="AK1134" i="12"/>
  <c r="AL1134" i="12"/>
  <c r="AM1134" i="12"/>
  <c r="AN1134" i="12"/>
  <c r="AO1134" i="12"/>
  <c r="AP1134" i="12"/>
  <c r="AQ1134" i="12"/>
  <c r="AR1134" i="12"/>
  <c r="AS1134" i="12"/>
  <c r="AT1134" i="12"/>
  <c r="AU1134" i="12"/>
  <c r="AV1134" i="12"/>
  <c r="AW1134" i="12"/>
  <c r="AX1134" i="12"/>
  <c r="AY1134" i="12"/>
  <c r="AZ1134" i="12"/>
  <c r="BA1134" i="12"/>
  <c r="BB1134" i="12"/>
  <c r="BC1134" i="12"/>
  <c r="BD1134" i="12"/>
  <c r="BE1134" i="12"/>
  <c r="BF1134" i="12"/>
  <c r="BG1134" i="12"/>
  <c r="BH1134" i="12"/>
  <c r="BI1134" i="12"/>
  <c r="BJ1134" i="12"/>
  <c r="I1135" i="12"/>
  <c r="J1135" i="12"/>
  <c r="K1135" i="12"/>
  <c r="L1135" i="12"/>
  <c r="M1135" i="12"/>
  <c r="N1135" i="12"/>
  <c r="O1135" i="12"/>
  <c r="P1135" i="12"/>
  <c r="Q1135" i="12"/>
  <c r="R1135" i="12"/>
  <c r="S1135" i="12"/>
  <c r="T1135" i="12"/>
  <c r="U1135" i="12"/>
  <c r="V1135" i="12"/>
  <c r="W1135" i="12"/>
  <c r="X1135" i="12"/>
  <c r="Y1135" i="12"/>
  <c r="Z1135" i="12"/>
  <c r="AA1135" i="12"/>
  <c r="AB1135" i="12"/>
  <c r="AC1135" i="12"/>
  <c r="AD1135" i="12"/>
  <c r="AE1135" i="12"/>
  <c r="AF1135" i="12"/>
  <c r="AG1135" i="12"/>
  <c r="AH1135" i="12"/>
  <c r="AI1135" i="12"/>
  <c r="AJ1135" i="12"/>
  <c r="AK1135" i="12"/>
  <c r="AL1135" i="12"/>
  <c r="AM1135" i="12"/>
  <c r="AN1135" i="12"/>
  <c r="AO1135" i="12"/>
  <c r="AP1135" i="12"/>
  <c r="AQ1135" i="12"/>
  <c r="AR1135" i="12"/>
  <c r="AS1135" i="12"/>
  <c r="AT1135" i="12"/>
  <c r="AU1135" i="12"/>
  <c r="AV1135" i="12"/>
  <c r="AW1135" i="12"/>
  <c r="AX1135" i="12"/>
  <c r="AY1135" i="12"/>
  <c r="AZ1135" i="12"/>
  <c r="BA1135" i="12"/>
  <c r="BB1135" i="12"/>
  <c r="BC1135" i="12"/>
  <c r="BD1135" i="12"/>
  <c r="BE1135" i="12"/>
  <c r="BF1135" i="12"/>
  <c r="BG1135" i="12"/>
  <c r="BH1135" i="12"/>
  <c r="BI1135" i="12"/>
  <c r="BJ1135" i="12"/>
  <c r="J19" i="54"/>
  <c r="H14" i="54"/>
  <c r="S6" i="54"/>
  <c r="K18" i="74" l="1"/>
  <c r="K17" i="74"/>
  <c r="H19" i="54"/>
  <c r="K11" i="74" s="1"/>
  <c r="K15" i="74"/>
  <c r="F6" i="74"/>
  <c r="F5" i="74"/>
  <c r="F4" i="74"/>
  <c r="I19" i="54"/>
  <c r="K10" i="74" s="1"/>
  <c r="G19" i="54" a="1"/>
  <c r="G19" i="54" s="1"/>
  <c r="K9" i="74" s="1"/>
  <c r="BF7" i="13"/>
  <c r="BG7" i="13"/>
  <c r="BH7" i="13"/>
  <c r="BI7" i="13"/>
  <c r="BJ7" i="13"/>
  <c r="BL7" i="13"/>
  <c r="BF8" i="13"/>
  <c r="BG8" i="13"/>
  <c r="BH8" i="13"/>
  <c r="BI8" i="13"/>
  <c r="BJ8" i="13"/>
  <c r="BL8" i="13"/>
  <c r="BF9" i="13"/>
  <c r="BG9" i="13"/>
  <c r="BH9" i="13"/>
  <c r="BI9" i="13"/>
  <c r="BJ9" i="13"/>
  <c r="BL9" i="13"/>
  <c r="BF10" i="13"/>
  <c r="BG10" i="13"/>
  <c r="BH10" i="13"/>
  <c r="BI10" i="13"/>
  <c r="BJ10" i="13"/>
  <c r="BL10" i="13"/>
  <c r="BF11" i="13"/>
  <c r="BG11" i="13"/>
  <c r="BH11" i="13"/>
  <c r="BI11" i="13"/>
  <c r="BJ11" i="13"/>
  <c r="BL11" i="13"/>
  <c r="BF12" i="13"/>
  <c r="BG12" i="13"/>
  <c r="BH12" i="13"/>
  <c r="BI12" i="13"/>
  <c r="BJ12" i="13"/>
  <c r="BL12" i="13"/>
  <c r="BF13" i="13"/>
  <c r="BG13" i="13"/>
  <c r="BH13" i="13"/>
  <c r="BI13" i="13"/>
  <c r="BJ13" i="13"/>
  <c r="BL13" i="13"/>
  <c r="BF14" i="13"/>
  <c r="BG14" i="13"/>
  <c r="BH14" i="13"/>
  <c r="BI14" i="13"/>
  <c r="BJ14" i="13"/>
  <c r="BL14" i="13"/>
  <c r="BF15" i="13"/>
  <c r="BG15" i="13"/>
  <c r="BH15" i="13"/>
  <c r="BI15" i="13"/>
  <c r="BJ15" i="13"/>
  <c r="BL15" i="13"/>
  <c r="BF16" i="13"/>
  <c r="BG16" i="13"/>
  <c r="BH16" i="13"/>
  <c r="BI16" i="13"/>
  <c r="BJ16" i="13"/>
  <c r="BL16" i="13"/>
  <c r="Y7" i="13"/>
  <c r="D7" i="13" s="1"/>
  <c r="Y8" i="13"/>
  <c r="D8" i="13" s="1"/>
  <c r="Y9" i="13"/>
  <c r="D9" i="13" s="1"/>
  <c r="Y10" i="13"/>
  <c r="D10" i="13" s="1"/>
  <c r="Y11" i="13"/>
  <c r="D11" i="13" s="1"/>
  <c r="Y12" i="13"/>
  <c r="D12" i="13" s="1"/>
  <c r="Y13" i="13"/>
  <c r="D13" i="13" s="1"/>
  <c r="Y14" i="13"/>
  <c r="D14" i="13" s="1"/>
  <c r="Y15" i="13"/>
  <c r="D15" i="13" s="1"/>
  <c r="Y16" i="13"/>
  <c r="D16" i="13" s="1"/>
  <c r="BF17" i="13"/>
  <c r="BG17" i="13"/>
  <c r="BH17" i="13"/>
  <c r="BI17" i="13"/>
  <c r="BJ17" i="13"/>
  <c r="BL17" i="13"/>
  <c r="BF18" i="13"/>
  <c r="BG18" i="13"/>
  <c r="BH18" i="13"/>
  <c r="BI18" i="13"/>
  <c r="BJ18" i="13"/>
  <c r="BL18" i="13"/>
  <c r="BF19" i="13"/>
  <c r="BG19" i="13"/>
  <c r="BH19" i="13"/>
  <c r="BI19" i="13"/>
  <c r="BJ19" i="13"/>
  <c r="BL19" i="13"/>
  <c r="BF20" i="13"/>
  <c r="BG20" i="13"/>
  <c r="BH20" i="13"/>
  <c r="BI20" i="13"/>
  <c r="BJ20" i="13"/>
  <c r="BL20" i="13"/>
  <c r="BF21" i="13"/>
  <c r="BG21" i="13"/>
  <c r="BH21" i="13"/>
  <c r="BI21" i="13"/>
  <c r="BJ21" i="13"/>
  <c r="BL21" i="13"/>
  <c r="BF22" i="13"/>
  <c r="BG22" i="13"/>
  <c r="BH22" i="13"/>
  <c r="BI22" i="13"/>
  <c r="BJ22" i="13"/>
  <c r="BL22" i="13"/>
  <c r="BF23" i="13"/>
  <c r="BG23" i="13"/>
  <c r="BH23" i="13"/>
  <c r="BI23" i="13"/>
  <c r="BJ23" i="13"/>
  <c r="BL23" i="13"/>
  <c r="BF24" i="13"/>
  <c r="BG24" i="13"/>
  <c r="BH24" i="13"/>
  <c r="BI24" i="13"/>
  <c r="BJ24" i="13"/>
  <c r="BL24" i="13"/>
  <c r="BF25" i="13"/>
  <c r="BG25" i="13"/>
  <c r="BH25" i="13"/>
  <c r="BI25" i="13"/>
  <c r="BJ25" i="13"/>
  <c r="BL25" i="13"/>
  <c r="BF26" i="13"/>
  <c r="BG26" i="13"/>
  <c r="BH26" i="13"/>
  <c r="BI26" i="13"/>
  <c r="BJ26" i="13"/>
  <c r="BL26" i="13"/>
  <c r="Y17" i="13"/>
  <c r="D17" i="13" s="1"/>
  <c r="Y18" i="13"/>
  <c r="D18" i="13" s="1"/>
  <c r="Y19" i="13"/>
  <c r="D19" i="13" s="1"/>
  <c r="Y20" i="13"/>
  <c r="D20" i="13" s="1"/>
  <c r="Y21" i="13"/>
  <c r="D21" i="13" s="1"/>
  <c r="Y22" i="13"/>
  <c r="D22" i="13" s="1"/>
  <c r="Y23" i="13"/>
  <c r="D23" i="13" s="1"/>
  <c r="Y24" i="13"/>
  <c r="D24" i="13" s="1"/>
  <c r="Y25" i="13"/>
  <c r="D25" i="13" s="1"/>
  <c r="Y26" i="13"/>
  <c r="D26" i="13" s="1"/>
  <c r="K6" i="15"/>
  <c r="H32" i="70"/>
  <c r="H33" i="70"/>
  <c r="H34" i="70"/>
  <c r="H35" i="70"/>
  <c r="H36" i="70"/>
  <c r="H37" i="70"/>
  <c r="H38" i="70"/>
  <c r="H39" i="70"/>
  <c r="H40" i="70"/>
  <c r="H41" i="70"/>
  <c r="H42" i="70"/>
  <c r="H43" i="70"/>
  <c r="H44" i="70"/>
  <c r="H45" i="70"/>
  <c r="H46" i="70"/>
  <c r="H47" i="70"/>
  <c r="H48" i="70"/>
  <c r="H49" i="70"/>
  <c r="H50" i="70"/>
  <c r="H51" i="70"/>
  <c r="H52" i="70"/>
  <c r="H53" i="70"/>
  <c r="H54" i="70"/>
  <c r="H55" i="70"/>
  <c r="H56" i="70"/>
  <c r="H57" i="70"/>
  <c r="H58" i="70"/>
  <c r="H59" i="70"/>
  <c r="H60" i="70"/>
  <c r="H61" i="70"/>
  <c r="H62" i="70"/>
  <c r="H63" i="70"/>
  <c r="H64" i="70"/>
  <c r="H65" i="70"/>
  <c r="H66" i="70"/>
  <c r="H67" i="70"/>
  <c r="H68" i="70"/>
  <c r="H69" i="70"/>
  <c r="H70" i="70"/>
  <c r="H71" i="70"/>
  <c r="H72" i="70"/>
  <c r="H73" i="70"/>
  <c r="H74" i="70"/>
  <c r="H75" i="70"/>
  <c r="H76" i="70"/>
  <c r="H77" i="70"/>
  <c r="H78" i="70"/>
  <c r="H79" i="70"/>
  <c r="H80" i="70"/>
  <c r="H81" i="70"/>
  <c r="H82" i="70"/>
  <c r="H83" i="70"/>
  <c r="H84" i="70"/>
  <c r="H85" i="70"/>
  <c r="H86" i="70"/>
  <c r="H87" i="70"/>
  <c r="H88" i="70"/>
  <c r="H89" i="70"/>
  <c r="H90" i="70"/>
  <c r="H91" i="70"/>
  <c r="H92" i="70"/>
  <c r="H93" i="70"/>
  <c r="H94" i="70"/>
  <c r="H95" i="70"/>
  <c r="H96" i="70"/>
  <c r="H97" i="70"/>
  <c r="H98" i="70"/>
  <c r="H99" i="70"/>
  <c r="H100" i="70"/>
  <c r="H101" i="70"/>
  <c r="H102" i="70"/>
  <c r="H103" i="70"/>
  <c r="H104" i="70"/>
  <c r="H105" i="70"/>
  <c r="H106" i="70"/>
  <c r="H107" i="70"/>
  <c r="H108" i="70"/>
  <c r="H109" i="70"/>
  <c r="H110" i="70"/>
  <c r="H111" i="70"/>
  <c r="H112" i="70"/>
  <c r="H113" i="70"/>
  <c r="H114" i="70"/>
  <c r="H115" i="70"/>
  <c r="H116" i="70"/>
  <c r="H117" i="70"/>
  <c r="H118" i="70"/>
  <c r="H119" i="70"/>
  <c r="H120" i="70"/>
  <c r="H121" i="70"/>
  <c r="H122" i="70"/>
  <c r="H123" i="70"/>
  <c r="H124" i="70"/>
  <c r="H125" i="70"/>
  <c r="H126" i="70"/>
  <c r="H127" i="70"/>
  <c r="H128" i="70"/>
  <c r="H129" i="70"/>
  <c r="H130" i="70"/>
  <c r="H131" i="70"/>
  <c r="H132" i="70"/>
  <c r="H133" i="70"/>
  <c r="H134" i="70"/>
  <c r="H135" i="70"/>
  <c r="H136" i="70"/>
  <c r="H137" i="70"/>
  <c r="H138" i="70"/>
  <c r="H139" i="70"/>
  <c r="H140" i="70"/>
  <c r="H141" i="70"/>
  <c r="H142" i="70"/>
  <c r="J32" i="70"/>
  <c r="AA32" i="70" s="1"/>
  <c r="J33" i="70"/>
  <c r="AB33" i="70" s="1"/>
  <c r="J34" i="70"/>
  <c r="AB34" i="70" s="1"/>
  <c r="J35" i="70"/>
  <c r="AB35" i="70" s="1"/>
  <c r="J36" i="70"/>
  <c r="AB36" i="70" s="1"/>
  <c r="J37" i="70"/>
  <c r="AB37" i="70" s="1"/>
  <c r="J38" i="70"/>
  <c r="AB38" i="70" s="1"/>
  <c r="J39" i="70"/>
  <c r="AB39" i="70" s="1"/>
  <c r="J40" i="70"/>
  <c r="AB40" i="70" s="1"/>
  <c r="J41" i="70"/>
  <c r="AB41" i="70" s="1"/>
  <c r="J42" i="70"/>
  <c r="AB42" i="70" s="1"/>
  <c r="J43" i="70"/>
  <c r="AB43" i="70" s="1"/>
  <c r="J44" i="70"/>
  <c r="J45" i="70"/>
  <c r="AB45" i="70" s="1"/>
  <c r="J46" i="70"/>
  <c r="AB46" i="70" s="1"/>
  <c r="J47" i="70"/>
  <c r="AB47" i="70" s="1"/>
  <c r="J48" i="70"/>
  <c r="J49" i="70"/>
  <c r="AB49" i="70" s="1"/>
  <c r="J50" i="70"/>
  <c r="AB50" i="70" s="1"/>
  <c r="J51" i="70"/>
  <c r="AB51" i="70" s="1"/>
  <c r="J52" i="70"/>
  <c r="AB52" i="70" s="1"/>
  <c r="J53" i="70"/>
  <c r="AB53" i="70" s="1"/>
  <c r="J54" i="70"/>
  <c r="AB54" i="70" s="1"/>
  <c r="J55" i="70"/>
  <c r="AB55" i="70" s="1"/>
  <c r="J56" i="70"/>
  <c r="AB56" i="70" s="1"/>
  <c r="J57" i="70"/>
  <c r="AB57" i="70" s="1"/>
  <c r="J58" i="70"/>
  <c r="AB58" i="70" s="1"/>
  <c r="J59" i="70"/>
  <c r="AB59" i="70" s="1"/>
  <c r="J60" i="70"/>
  <c r="J61" i="70"/>
  <c r="AC61" i="70" s="1"/>
  <c r="AD61" i="70" s="1"/>
  <c r="J62" i="70"/>
  <c r="AB62" i="70" s="1"/>
  <c r="J63" i="70"/>
  <c r="AB63" i="70" s="1"/>
  <c r="J64" i="70"/>
  <c r="AB64" i="70" s="1"/>
  <c r="J65" i="70"/>
  <c r="AB65" i="70" s="1"/>
  <c r="J66" i="70"/>
  <c r="AB66" i="70" s="1"/>
  <c r="J67" i="70"/>
  <c r="AB67" i="70" s="1"/>
  <c r="J68" i="70"/>
  <c r="AB68" i="70" s="1"/>
  <c r="J69" i="70"/>
  <c r="AB69" i="70" s="1"/>
  <c r="J70" i="70"/>
  <c r="AB70" i="70" s="1"/>
  <c r="J71" i="70"/>
  <c r="AB71" i="70" s="1"/>
  <c r="J72" i="70"/>
  <c r="AB72" i="70" s="1"/>
  <c r="J73" i="70"/>
  <c r="AB73" i="70" s="1"/>
  <c r="J74" i="70"/>
  <c r="AB74" i="70" s="1"/>
  <c r="J75" i="70"/>
  <c r="AC75" i="70" s="1"/>
  <c r="AD75" i="70" s="1"/>
  <c r="J76" i="70"/>
  <c r="AA76" i="70" s="1"/>
  <c r="J77" i="70"/>
  <c r="AC77" i="70" s="1"/>
  <c r="AD77" i="70" s="1"/>
  <c r="J78" i="70"/>
  <c r="AB78" i="70" s="1"/>
  <c r="J79" i="70"/>
  <c r="AB79" i="70" s="1"/>
  <c r="J80" i="70"/>
  <c r="AA80" i="70" s="1"/>
  <c r="J81" i="70"/>
  <c r="AC81" i="70" s="1"/>
  <c r="AD81" i="70" s="1"/>
  <c r="J82" i="70"/>
  <c r="AB82" i="70" s="1"/>
  <c r="J83" i="70"/>
  <c r="AC83" i="70" s="1"/>
  <c r="AD83" i="70" s="1"/>
  <c r="J84" i="70"/>
  <c r="AB84" i="70" s="1"/>
  <c r="J85" i="70"/>
  <c r="AA85" i="70" s="1"/>
  <c r="J86" i="70"/>
  <c r="AB86" i="70" s="1"/>
  <c r="J87" i="70"/>
  <c r="AB87" i="70" s="1"/>
  <c r="J88" i="70"/>
  <c r="AB88" i="70" s="1"/>
  <c r="J89" i="70"/>
  <c r="AB89" i="70" s="1"/>
  <c r="J90" i="70"/>
  <c r="AB90" i="70" s="1"/>
  <c r="J91" i="70"/>
  <c r="AB91" i="70" s="1"/>
  <c r="J92" i="70"/>
  <c r="AB92" i="70" s="1"/>
  <c r="J93" i="70"/>
  <c r="AC93" i="70" s="1"/>
  <c r="AD93" i="70" s="1"/>
  <c r="J94" i="70"/>
  <c r="AB94" i="70" s="1"/>
  <c r="J95" i="70"/>
  <c r="AB95" i="70" s="1"/>
  <c r="J96" i="70"/>
  <c r="AA96" i="70" s="1"/>
  <c r="J97" i="70"/>
  <c r="AC97" i="70" s="1"/>
  <c r="AD97" i="70" s="1"/>
  <c r="J98" i="70"/>
  <c r="AB98" i="70" s="1"/>
  <c r="J99" i="70"/>
  <c r="AB99" i="70" s="1"/>
  <c r="J100" i="70"/>
  <c r="AB100" i="70" s="1"/>
  <c r="J101" i="70"/>
  <c r="AB101" i="70" s="1"/>
  <c r="J102" i="70"/>
  <c r="AB102" i="70" s="1"/>
  <c r="J103" i="70"/>
  <c r="AB103" i="70" s="1"/>
  <c r="J104" i="70"/>
  <c r="AB104" i="70" s="1"/>
  <c r="J105" i="70"/>
  <c r="AB105" i="70" s="1"/>
  <c r="J106" i="70"/>
  <c r="AB106" i="70" s="1"/>
  <c r="J107" i="70"/>
  <c r="AA107" i="70" s="1"/>
  <c r="J108" i="70"/>
  <c r="AA108" i="70" s="1"/>
  <c r="J109" i="70"/>
  <c r="AA109" i="70" s="1"/>
  <c r="J110" i="70"/>
  <c r="AB110" i="70" s="1"/>
  <c r="J111" i="70"/>
  <c r="AB111" i="70" s="1"/>
  <c r="J112" i="70"/>
  <c r="J113" i="70"/>
  <c r="AB113" i="70" s="1"/>
  <c r="J114" i="70"/>
  <c r="AB114" i="70" s="1"/>
  <c r="J115" i="70"/>
  <c r="AB115" i="70" s="1"/>
  <c r="J116" i="70"/>
  <c r="AB116" i="70" s="1"/>
  <c r="J117" i="70"/>
  <c r="AB117" i="70" s="1"/>
  <c r="J118" i="70"/>
  <c r="AB118" i="70" s="1"/>
  <c r="J119" i="70"/>
  <c r="AB119" i="70" s="1"/>
  <c r="J120" i="70"/>
  <c r="AB120" i="70" s="1"/>
  <c r="J121" i="70"/>
  <c r="AB121" i="70" s="1"/>
  <c r="J122" i="70"/>
  <c r="AB122" i="70" s="1"/>
  <c r="J123" i="70"/>
  <c r="AB123" i="70" s="1"/>
  <c r="J124" i="70"/>
  <c r="AB124" i="70" s="1"/>
  <c r="J125" i="70"/>
  <c r="AC125" i="70" s="1"/>
  <c r="AD125" i="70" s="1"/>
  <c r="J126" i="70"/>
  <c r="AB126" i="70" s="1"/>
  <c r="J127" i="70"/>
  <c r="AB127" i="70" s="1"/>
  <c r="J128" i="70"/>
  <c r="AB128" i="70" s="1"/>
  <c r="J129" i="70"/>
  <c r="AB129" i="70" s="1"/>
  <c r="J130" i="70"/>
  <c r="AB130" i="70" s="1"/>
  <c r="J131" i="70"/>
  <c r="AB131" i="70" s="1"/>
  <c r="J132" i="70"/>
  <c r="AB132" i="70" s="1"/>
  <c r="J133" i="70"/>
  <c r="AB133" i="70" s="1"/>
  <c r="J134" i="70"/>
  <c r="AB134" i="70" s="1"/>
  <c r="J135" i="70"/>
  <c r="J136" i="70"/>
  <c r="J137" i="70"/>
  <c r="J138" i="70"/>
  <c r="AB138" i="70" s="1"/>
  <c r="J139" i="70"/>
  <c r="J140" i="70"/>
  <c r="J141" i="70"/>
  <c r="J142" i="70"/>
  <c r="AB32" i="70"/>
  <c r="AB44" i="70"/>
  <c r="AB48" i="70"/>
  <c r="AB60" i="70"/>
  <c r="AB61" i="70"/>
  <c r="AB76" i="70"/>
  <c r="AB77" i="70"/>
  <c r="AB80" i="70"/>
  <c r="AB108" i="70"/>
  <c r="AB112" i="70"/>
  <c r="AB135" i="70"/>
  <c r="AB136" i="70"/>
  <c r="AB137" i="70"/>
  <c r="AB139" i="70"/>
  <c r="AB140" i="70"/>
  <c r="N32" i="70"/>
  <c r="N33" i="70"/>
  <c r="N34" i="70"/>
  <c r="N35" i="70"/>
  <c r="N36" i="70"/>
  <c r="N37" i="70"/>
  <c r="N38" i="70"/>
  <c r="N39" i="70"/>
  <c r="N40" i="70"/>
  <c r="N41" i="70"/>
  <c r="N42" i="70"/>
  <c r="N43" i="70"/>
  <c r="N44" i="70"/>
  <c r="N45" i="70"/>
  <c r="N46" i="70"/>
  <c r="P46" i="70" s="1"/>
  <c r="N47" i="70"/>
  <c r="N48" i="70"/>
  <c r="N49" i="70"/>
  <c r="N50" i="70"/>
  <c r="N51" i="70"/>
  <c r="N52" i="70"/>
  <c r="N53" i="70"/>
  <c r="N54" i="70"/>
  <c r="N55" i="70"/>
  <c r="N56" i="70"/>
  <c r="N57" i="70"/>
  <c r="N58" i="70"/>
  <c r="N59" i="70"/>
  <c r="N60" i="70"/>
  <c r="N61" i="70"/>
  <c r="N62" i="70"/>
  <c r="N63" i="70"/>
  <c r="N64" i="70"/>
  <c r="N65" i="70"/>
  <c r="N66" i="70"/>
  <c r="N67" i="70"/>
  <c r="N68" i="70"/>
  <c r="N69" i="70"/>
  <c r="N70" i="70"/>
  <c r="N71" i="70"/>
  <c r="N72" i="70"/>
  <c r="N73" i="70"/>
  <c r="N74" i="70"/>
  <c r="N75" i="70"/>
  <c r="N76" i="70"/>
  <c r="N77" i="70"/>
  <c r="N78" i="70"/>
  <c r="P78" i="70" s="1"/>
  <c r="N79" i="70"/>
  <c r="N80" i="70"/>
  <c r="N81" i="70"/>
  <c r="N82" i="70"/>
  <c r="N83" i="70"/>
  <c r="N84" i="70"/>
  <c r="N85" i="70"/>
  <c r="N86" i="70"/>
  <c r="N87" i="70"/>
  <c r="N88" i="70"/>
  <c r="N89" i="70"/>
  <c r="N90" i="70"/>
  <c r="N91" i="70"/>
  <c r="N92" i="70"/>
  <c r="N93" i="70"/>
  <c r="N94" i="70"/>
  <c r="N95" i="70"/>
  <c r="N96" i="70"/>
  <c r="N97" i="70"/>
  <c r="N98" i="70"/>
  <c r="N99" i="70"/>
  <c r="N100" i="70"/>
  <c r="N101" i="70"/>
  <c r="N102" i="70"/>
  <c r="N103" i="70"/>
  <c r="N104" i="70"/>
  <c r="N105" i="70"/>
  <c r="N106" i="70"/>
  <c r="N107" i="70"/>
  <c r="N108" i="70"/>
  <c r="N109" i="70"/>
  <c r="N110" i="70"/>
  <c r="N111" i="70"/>
  <c r="N112" i="70"/>
  <c r="N113" i="70"/>
  <c r="N114" i="70"/>
  <c r="N115" i="70"/>
  <c r="N116" i="70"/>
  <c r="N117" i="70"/>
  <c r="N118" i="70"/>
  <c r="N119" i="70"/>
  <c r="N120" i="70"/>
  <c r="N121" i="70"/>
  <c r="N122" i="70"/>
  <c r="N123" i="70"/>
  <c r="N124" i="70"/>
  <c r="N125" i="70"/>
  <c r="N126" i="70"/>
  <c r="N127" i="70"/>
  <c r="N128" i="70"/>
  <c r="N129" i="70"/>
  <c r="N130" i="70"/>
  <c r="N131" i="70"/>
  <c r="N132" i="70"/>
  <c r="N133" i="70"/>
  <c r="N134" i="70"/>
  <c r="N135" i="70"/>
  <c r="N136" i="70"/>
  <c r="N137" i="70"/>
  <c r="N138" i="70"/>
  <c r="N139" i="70"/>
  <c r="N140" i="70"/>
  <c r="N141" i="70"/>
  <c r="N142" i="70"/>
  <c r="D32" i="71"/>
  <c r="D33" i="71"/>
  <c r="D34" i="71"/>
  <c r="D35" i="71"/>
  <c r="D36" i="71"/>
  <c r="D37" i="71"/>
  <c r="D38" i="71"/>
  <c r="D39" i="71"/>
  <c r="D40" i="71"/>
  <c r="D41" i="71"/>
  <c r="D42" i="71"/>
  <c r="D43" i="71"/>
  <c r="D44" i="71"/>
  <c r="D45" i="71"/>
  <c r="D46" i="71"/>
  <c r="D47" i="71"/>
  <c r="D48" i="71"/>
  <c r="D49" i="71"/>
  <c r="D50" i="71"/>
  <c r="D51" i="71"/>
  <c r="D52" i="71"/>
  <c r="D53" i="71"/>
  <c r="D54" i="71"/>
  <c r="D55" i="71"/>
  <c r="D56" i="71"/>
  <c r="D57" i="71"/>
  <c r="D58" i="71"/>
  <c r="D59" i="71"/>
  <c r="D60" i="71"/>
  <c r="D61" i="71"/>
  <c r="D62" i="71"/>
  <c r="D63" i="71"/>
  <c r="D64" i="71"/>
  <c r="D65" i="71"/>
  <c r="D66" i="71"/>
  <c r="D67" i="71"/>
  <c r="D68" i="71"/>
  <c r="D69" i="71"/>
  <c r="D70" i="71"/>
  <c r="D71" i="71"/>
  <c r="D72" i="71"/>
  <c r="D73" i="71"/>
  <c r="D74" i="71"/>
  <c r="D75" i="71"/>
  <c r="D76" i="71"/>
  <c r="D77" i="71"/>
  <c r="D78" i="71"/>
  <c r="D79" i="71"/>
  <c r="D80" i="71"/>
  <c r="D81" i="71"/>
  <c r="D82" i="71"/>
  <c r="D83" i="71"/>
  <c r="D84" i="71"/>
  <c r="D85" i="71"/>
  <c r="D86" i="71"/>
  <c r="D87" i="71"/>
  <c r="D88" i="71"/>
  <c r="D89" i="71"/>
  <c r="D90" i="71"/>
  <c r="D91" i="71"/>
  <c r="D92" i="71"/>
  <c r="D93" i="71"/>
  <c r="D94" i="71"/>
  <c r="D95" i="71"/>
  <c r="D96" i="71"/>
  <c r="D97" i="71"/>
  <c r="D98" i="71"/>
  <c r="D99" i="71"/>
  <c r="D100" i="71"/>
  <c r="D101" i="71"/>
  <c r="D102" i="71"/>
  <c r="D103" i="71"/>
  <c r="D104" i="71"/>
  <c r="D105" i="71"/>
  <c r="D106" i="71"/>
  <c r="D107" i="71"/>
  <c r="D108" i="71"/>
  <c r="D109" i="71"/>
  <c r="D110" i="71"/>
  <c r="D111" i="71"/>
  <c r="D112" i="71"/>
  <c r="D113" i="71"/>
  <c r="D114" i="71"/>
  <c r="D115" i="71"/>
  <c r="D116" i="71"/>
  <c r="D117" i="71"/>
  <c r="D118" i="71"/>
  <c r="D119" i="71"/>
  <c r="D120" i="71"/>
  <c r="D121" i="71"/>
  <c r="D122" i="71"/>
  <c r="D123" i="71"/>
  <c r="D124" i="71"/>
  <c r="D125" i="71"/>
  <c r="D126" i="71"/>
  <c r="D127" i="71"/>
  <c r="D128" i="71"/>
  <c r="D129" i="71"/>
  <c r="D130" i="71"/>
  <c r="D131" i="71"/>
  <c r="D132" i="71"/>
  <c r="D133" i="71"/>
  <c r="D134" i="71"/>
  <c r="D135" i="71"/>
  <c r="D136" i="71"/>
  <c r="D137" i="71"/>
  <c r="D138" i="71"/>
  <c r="D139" i="71"/>
  <c r="D140" i="71"/>
  <c r="D141" i="71"/>
  <c r="D142" i="71"/>
  <c r="BF27" i="13"/>
  <c r="BG27" i="13"/>
  <c r="BH27" i="13"/>
  <c r="BI27" i="13"/>
  <c r="BJ27" i="13"/>
  <c r="BL27" i="13"/>
  <c r="BF28" i="13"/>
  <c r="BG28" i="13"/>
  <c r="BH28" i="13"/>
  <c r="BI28" i="13"/>
  <c r="BJ28" i="13"/>
  <c r="BL28" i="13"/>
  <c r="BF29" i="13"/>
  <c r="BG29" i="13"/>
  <c r="BH29" i="13"/>
  <c r="BI29" i="13"/>
  <c r="BJ29" i="13"/>
  <c r="BL29" i="13"/>
  <c r="BF30" i="13"/>
  <c r="BG30" i="13"/>
  <c r="BH30" i="13"/>
  <c r="BI30" i="13"/>
  <c r="BJ30" i="13"/>
  <c r="BL30" i="13"/>
  <c r="BF31" i="13"/>
  <c r="BG31" i="13"/>
  <c r="BH31" i="13"/>
  <c r="BI31" i="13"/>
  <c r="BJ31" i="13"/>
  <c r="BL31" i="13"/>
  <c r="BF32" i="13"/>
  <c r="BG32" i="13"/>
  <c r="BH32" i="13"/>
  <c r="BI32" i="13"/>
  <c r="BJ32" i="13"/>
  <c r="BL32" i="13"/>
  <c r="BF33" i="13"/>
  <c r="BG33" i="13"/>
  <c r="BH33" i="13"/>
  <c r="BI33" i="13"/>
  <c r="BJ33" i="13"/>
  <c r="BL33" i="13"/>
  <c r="BF34" i="13"/>
  <c r="BG34" i="13"/>
  <c r="BH34" i="13"/>
  <c r="BI34" i="13"/>
  <c r="BJ34" i="13"/>
  <c r="BL34" i="13"/>
  <c r="BF35" i="13"/>
  <c r="BG35" i="13"/>
  <c r="BH35" i="13"/>
  <c r="BI35" i="13"/>
  <c r="BJ35" i="13"/>
  <c r="BL35" i="13"/>
  <c r="BF36" i="13"/>
  <c r="BG36" i="13"/>
  <c r="BH36" i="13"/>
  <c r="BI36" i="13"/>
  <c r="BJ36" i="13"/>
  <c r="BL36" i="13"/>
  <c r="BF37" i="13"/>
  <c r="BG37" i="13"/>
  <c r="BH37" i="13"/>
  <c r="BI37" i="13"/>
  <c r="BJ37" i="13"/>
  <c r="BL37" i="13"/>
  <c r="Y27" i="13"/>
  <c r="E27" i="13" s="1"/>
  <c r="Y28" i="13"/>
  <c r="D28" i="13" s="1"/>
  <c r="Y29" i="13"/>
  <c r="Y30" i="13"/>
  <c r="AI30" i="13" s="1"/>
  <c r="Y31" i="13"/>
  <c r="D31" i="13" s="1"/>
  <c r="Y32" i="13"/>
  <c r="D32" i="13" s="1"/>
  <c r="Y33" i="13"/>
  <c r="Y34" i="13"/>
  <c r="AI34" i="13" s="1"/>
  <c r="Y35" i="13"/>
  <c r="E35" i="13" s="1"/>
  <c r="Y36" i="13"/>
  <c r="D36" i="13" s="1"/>
  <c r="Y37" i="13"/>
  <c r="BF38" i="13"/>
  <c r="BG38" i="13"/>
  <c r="BH38" i="13"/>
  <c r="BI38" i="13"/>
  <c r="BJ38" i="13"/>
  <c r="BL38" i="13"/>
  <c r="BF39" i="13"/>
  <c r="BG39" i="13"/>
  <c r="BH39" i="13"/>
  <c r="BI39" i="13"/>
  <c r="BJ39" i="13"/>
  <c r="BL39" i="13"/>
  <c r="BF40" i="13"/>
  <c r="BG40" i="13"/>
  <c r="BH40" i="13"/>
  <c r="BI40" i="13"/>
  <c r="BJ40" i="13"/>
  <c r="BL40" i="13"/>
  <c r="BF41" i="13"/>
  <c r="BG41" i="13"/>
  <c r="BH41" i="13"/>
  <c r="BI41" i="13"/>
  <c r="BJ41" i="13"/>
  <c r="BL41" i="13"/>
  <c r="BF42" i="13"/>
  <c r="BG42" i="13"/>
  <c r="BH42" i="13"/>
  <c r="BI42" i="13"/>
  <c r="BJ42" i="13"/>
  <c r="BL42" i="13"/>
  <c r="BF43" i="13"/>
  <c r="BG43" i="13"/>
  <c r="BH43" i="13"/>
  <c r="BI43" i="13"/>
  <c r="BJ43" i="13"/>
  <c r="BL43" i="13"/>
  <c r="BF44" i="13"/>
  <c r="BG44" i="13"/>
  <c r="BH44" i="13"/>
  <c r="BI44" i="13"/>
  <c r="BJ44" i="13"/>
  <c r="BL44" i="13"/>
  <c r="BF45" i="13"/>
  <c r="BG45" i="13"/>
  <c r="BH45" i="13"/>
  <c r="BI45" i="13"/>
  <c r="BJ45" i="13"/>
  <c r="BL45" i="13"/>
  <c r="BF46" i="13"/>
  <c r="BG46" i="13"/>
  <c r="BH46" i="13"/>
  <c r="BI46" i="13"/>
  <c r="BJ46" i="13"/>
  <c r="BL46" i="13"/>
  <c r="BF47" i="13"/>
  <c r="BG47" i="13"/>
  <c r="BH47" i="13"/>
  <c r="BI47" i="13"/>
  <c r="BJ47" i="13"/>
  <c r="BL47" i="13"/>
  <c r="BF48" i="13"/>
  <c r="BG48" i="13"/>
  <c r="BH48" i="13"/>
  <c r="BI48" i="13"/>
  <c r="BJ48" i="13"/>
  <c r="BL48" i="13"/>
  <c r="Y38" i="13"/>
  <c r="AI38" i="13" s="1"/>
  <c r="Y39" i="13"/>
  <c r="D39" i="13" s="1"/>
  <c r="Y40" i="13"/>
  <c r="E40" i="13" s="1"/>
  <c r="Y41" i="13"/>
  <c r="AI41" i="13" s="1"/>
  <c r="Y42" i="13"/>
  <c r="AI42" i="13" s="1"/>
  <c r="Y43" i="13"/>
  <c r="D43" i="13" s="1"/>
  <c r="Y44" i="13"/>
  <c r="D44" i="13" s="1"/>
  <c r="Y45" i="13"/>
  <c r="AI45" i="13" s="1"/>
  <c r="Y46" i="13"/>
  <c r="AI46" i="13" s="1"/>
  <c r="Y47" i="13"/>
  <c r="D47" i="13" s="1"/>
  <c r="Y48" i="13"/>
  <c r="D48" i="13" s="1"/>
  <c r="BF49" i="13"/>
  <c r="BG49" i="13"/>
  <c r="BH49" i="13"/>
  <c r="BI49" i="13"/>
  <c r="BJ49" i="13"/>
  <c r="BL49" i="13"/>
  <c r="BF50" i="13"/>
  <c r="BG50" i="13"/>
  <c r="BH50" i="13"/>
  <c r="BI50" i="13"/>
  <c r="BJ50" i="13"/>
  <c r="BL50" i="13"/>
  <c r="BF51" i="13"/>
  <c r="BG51" i="13"/>
  <c r="BH51" i="13"/>
  <c r="BI51" i="13"/>
  <c r="BJ51" i="13"/>
  <c r="BL51" i="13"/>
  <c r="BF52" i="13"/>
  <c r="BG52" i="13"/>
  <c r="BH52" i="13"/>
  <c r="BI52" i="13"/>
  <c r="BJ52" i="13"/>
  <c r="BL52" i="13"/>
  <c r="BF53" i="13"/>
  <c r="BG53" i="13"/>
  <c r="BH53" i="13"/>
  <c r="BI53" i="13"/>
  <c r="BJ53" i="13"/>
  <c r="BL53" i="13"/>
  <c r="BF54" i="13"/>
  <c r="BG54" i="13"/>
  <c r="BH54" i="13"/>
  <c r="BI54" i="13"/>
  <c r="BJ54" i="13"/>
  <c r="BL54" i="13"/>
  <c r="BF55" i="13"/>
  <c r="BG55" i="13"/>
  <c r="BH55" i="13"/>
  <c r="BI55" i="13"/>
  <c r="BJ55" i="13"/>
  <c r="BL55" i="13"/>
  <c r="BF56" i="13"/>
  <c r="BG56" i="13"/>
  <c r="BH56" i="13"/>
  <c r="BI56" i="13"/>
  <c r="BJ56" i="13"/>
  <c r="BL56" i="13"/>
  <c r="BF57" i="13"/>
  <c r="BG57" i="13"/>
  <c r="BH57" i="13"/>
  <c r="BI57" i="13"/>
  <c r="BJ57" i="13"/>
  <c r="BL57" i="13"/>
  <c r="BF58" i="13"/>
  <c r="BG58" i="13"/>
  <c r="BH58" i="13"/>
  <c r="BI58" i="13"/>
  <c r="BJ58" i="13"/>
  <c r="BL58" i="13"/>
  <c r="BF59" i="13"/>
  <c r="BG59" i="13"/>
  <c r="BH59" i="13"/>
  <c r="BI59" i="13"/>
  <c r="BJ59" i="13"/>
  <c r="BL59" i="13"/>
  <c r="Y49" i="13"/>
  <c r="Y50" i="13"/>
  <c r="AI50" i="13" s="1"/>
  <c r="Y51" i="13"/>
  <c r="D51" i="13" s="1"/>
  <c r="Y52" i="13"/>
  <c r="D52" i="13" s="1"/>
  <c r="Y53" i="13"/>
  <c r="AI53" i="13" s="1"/>
  <c r="Y54" i="13"/>
  <c r="AI54" i="13" s="1"/>
  <c r="Y55" i="13"/>
  <c r="D55" i="13" s="1"/>
  <c r="Y56" i="13"/>
  <c r="D56" i="13" s="1"/>
  <c r="Y57" i="13"/>
  <c r="Y58" i="13"/>
  <c r="AI58" i="13" s="1"/>
  <c r="Y59" i="13"/>
  <c r="D59" i="13" s="1"/>
  <c r="J22" i="69"/>
  <c r="J23" i="69"/>
  <c r="J24" i="69"/>
  <c r="AC24" i="69" s="1"/>
  <c r="J25" i="69"/>
  <c r="AC25" i="69" s="1"/>
  <c r="J26" i="69"/>
  <c r="AC26" i="69" s="1"/>
  <c r="J27" i="69"/>
  <c r="AC27" i="69" s="1"/>
  <c r="J28" i="69"/>
  <c r="AC28" i="69" s="1"/>
  <c r="J29" i="69"/>
  <c r="AC29" i="69" s="1"/>
  <c r="J30" i="69"/>
  <c r="AC30" i="69" s="1"/>
  <c r="J31" i="69"/>
  <c r="AC31" i="69" s="1"/>
  <c r="J32" i="69"/>
  <c r="AC32" i="69" s="1"/>
  <c r="J33" i="69"/>
  <c r="AC33" i="69" s="1"/>
  <c r="J34" i="69"/>
  <c r="AC34" i="69" s="1"/>
  <c r="J35" i="69"/>
  <c r="AC35" i="69" s="1"/>
  <c r="J36" i="69"/>
  <c r="AC36" i="69" s="1"/>
  <c r="J37" i="69"/>
  <c r="AC37" i="69" s="1"/>
  <c r="J38" i="69"/>
  <c r="AC38" i="69" s="1"/>
  <c r="J39" i="69"/>
  <c r="AC39" i="69" s="1"/>
  <c r="J40" i="69"/>
  <c r="AC40" i="69" s="1"/>
  <c r="J41" i="69"/>
  <c r="AC41" i="69" s="1"/>
  <c r="J42" i="69"/>
  <c r="AC42" i="69" s="1"/>
  <c r="J43" i="69"/>
  <c r="AC43" i="69" s="1"/>
  <c r="J44" i="69"/>
  <c r="AC44" i="69" s="1"/>
  <c r="J45" i="69"/>
  <c r="AC45" i="69" s="1"/>
  <c r="J46" i="69"/>
  <c r="AC46" i="69" s="1"/>
  <c r="J47" i="69"/>
  <c r="AC47" i="69" s="1"/>
  <c r="J48" i="69"/>
  <c r="AC48" i="69" s="1"/>
  <c r="J49" i="69"/>
  <c r="AC49" i="69" s="1"/>
  <c r="J50" i="69"/>
  <c r="AC50" i="69" s="1"/>
  <c r="J51" i="69"/>
  <c r="AC51" i="69" s="1"/>
  <c r="J52" i="69"/>
  <c r="AC52" i="69" s="1"/>
  <c r="J53" i="69"/>
  <c r="AC53" i="69" s="1"/>
  <c r="J54" i="69"/>
  <c r="AC54" i="69" s="1"/>
  <c r="J55" i="69"/>
  <c r="AC55" i="69" s="1"/>
  <c r="J56" i="69"/>
  <c r="AC56" i="69" s="1"/>
  <c r="J57" i="69"/>
  <c r="AC57" i="69" s="1"/>
  <c r="J58" i="69"/>
  <c r="AC58" i="69" s="1"/>
  <c r="J59" i="69"/>
  <c r="AC59" i="69" s="1"/>
  <c r="J60" i="69"/>
  <c r="AC60" i="69" s="1"/>
  <c r="J61" i="69"/>
  <c r="AC61" i="69" s="1"/>
  <c r="J62" i="69"/>
  <c r="AC62" i="69" s="1"/>
  <c r="J63" i="69"/>
  <c r="AC63" i="69" s="1"/>
  <c r="J64" i="69"/>
  <c r="AC64" i="69" s="1"/>
  <c r="J65" i="69"/>
  <c r="AC65" i="69" s="1"/>
  <c r="J66" i="69"/>
  <c r="AC66" i="69" s="1"/>
  <c r="J67" i="69"/>
  <c r="AC67" i="69" s="1"/>
  <c r="J68" i="69"/>
  <c r="AC68" i="69" s="1"/>
  <c r="J69" i="69"/>
  <c r="AC69" i="69" s="1"/>
  <c r="J70" i="69"/>
  <c r="AC70" i="69" s="1"/>
  <c r="J71" i="69"/>
  <c r="AC71" i="69" s="1"/>
  <c r="J72" i="69"/>
  <c r="AC72" i="69" s="1"/>
  <c r="J73" i="69"/>
  <c r="AC73" i="69" s="1"/>
  <c r="J74" i="69"/>
  <c r="AC74" i="69" s="1"/>
  <c r="J75" i="69"/>
  <c r="AC75" i="69" s="1"/>
  <c r="J76" i="69"/>
  <c r="AC76" i="69" s="1"/>
  <c r="J77" i="69"/>
  <c r="AC77" i="69" s="1"/>
  <c r="J78" i="69"/>
  <c r="AC78" i="69" s="1"/>
  <c r="J79" i="69"/>
  <c r="AC79" i="69" s="1"/>
  <c r="J80" i="69"/>
  <c r="AC80" i="69" s="1"/>
  <c r="J81" i="69"/>
  <c r="AC81" i="69" s="1"/>
  <c r="J82" i="69"/>
  <c r="AC82" i="69" s="1"/>
  <c r="J83" i="69"/>
  <c r="AC83" i="69" s="1"/>
  <c r="J84" i="69"/>
  <c r="AC84" i="69" s="1"/>
  <c r="J85" i="69"/>
  <c r="AC85" i="69" s="1"/>
  <c r="J86" i="69"/>
  <c r="AC86" i="69" s="1"/>
  <c r="J87" i="69"/>
  <c r="AC87" i="69" s="1"/>
  <c r="J88" i="69"/>
  <c r="AC88" i="69" s="1"/>
  <c r="J89" i="69"/>
  <c r="AC89" i="69" s="1"/>
  <c r="J90" i="69"/>
  <c r="AC90" i="69" s="1"/>
  <c r="J91" i="69"/>
  <c r="AC91" i="69" s="1"/>
  <c r="J92" i="69"/>
  <c r="AC92" i="69" s="1"/>
  <c r="J93" i="69"/>
  <c r="AC93" i="69" s="1"/>
  <c r="J94" i="69"/>
  <c r="AC94" i="69" s="1"/>
  <c r="J95" i="69"/>
  <c r="AC95" i="69" s="1"/>
  <c r="J96" i="69"/>
  <c r="AC96" i="69" s="1"/>
  <c r="J97" i="69"/>
  <c r="AC97" i="69" s="1"/>
  <c r="J98" i="69"/>
  <c r="AC98" i="69" s="1"/>
  <c r="J99" i="69"/>
  <c r="AC99" i="69" s="1"/>
  <c r="J100" i="69"/>
  <c r="AC100" i="69" s="1"/>
  <c r="J101" i="69"/>
  <c r="AC101" i="69" s="1"/>
  <c r="J102" i="69"/>
  <c r="AC102" i="69" s="1"/>
  <c r="J103" i="69"/>
  <c r="AC103" i="69" s="1"/>
  <c r="J104" i="69"/>
  <c r="AC104" i="69" s="1"/>
  <c r="J105" i="69"/>
  <c r="AC105" i="69" s="1"/>
  <c r="J106" i="69"/>
  <c r="AC106" i="69" s="1"/>
  <c r="J107" i="69"/>
  <c r="AC107" i="69" s="1"/>
  <c r="J108" i="69"/>
  <c r="AC108" i="69" s="1"/>
  <c r="J109" i="69"/>
  <c r="AC109" i="69" s="1"/>
  <c r="J110" i="69"/>
  <c r="AC110" i="69" s="1"/>
  <c r="J111" i="69"/>
  <c r="AC111" i="69" s="1"/>
  <c r="J112" i="69"/>
  <c r="AC112" i="69" s="1"/>
  <c r="J113" i="69"/>
  <c r="AC113" i="69" s="1"/>
  <c r="J114" i="69"/>
  <c r="AC114" i="69" s="1"/>
  <c r="J115" i="69"/>
  <c r="AC115" i="69" s="1"/>
  <c r="J116" i="69"/>
  <c r="AC116" i="69" s="1"/>
  <c r="J117" i="69"/>
  <c r="AC117" i="69" s="1"/>
  <c r="J118" i="69"/>
  <c r="AC118" i="69" s="1"/>
  <c r="J119" i="69"/>
  <c r="AC119" i="69" s="1"/>
  <c r="J120" i="69"/>
  <c r="AC120" i="69" s="1"/>
  <c r="J121" i="69"/>
  <c r="AC121" i="69" s="1"/>
  <c r="J122" i="69"/>
  <c r="AC122" i="69" s="1"/>
  <c r="J123" i="69"/>
  <c r="AC123" i="69" s="1"/>
  <c r="J124" i="69"/>
  <c r="AC124" i="69" s="1"/>
  <c r="J125" i="69"/>
  <c r="AC125" i="69" s="1"/>
  <c r="J126" i="69"/>
  <c r="AC126" i="69" s="1"/>
  <c r="J127" i="69"/>
  <c r="AC127" i="69" s="1"/>
  <c r="J128" i="69"/>
  <c r="AC128" i="69" s="1"/>
  <c r="J129" i="69"/>
  <c r="AC129" i="69" s="1"/>
  <c r="J130" i="69"/>
  <c r="AC130" i="69" s="1"/>
  <c r="J131" i="69"/>
  <c r="AC131" i="69" s="1"/>
  <c r="J132" i="69"/>
  <c r="AC132" i="69" s="1"/>
  <c r="J133" i="69"/>
  <c r="AC133" i="69" s="1"/>
  <c r="J134" i="69"/>
  <c r="AB134" i="69" s="1"/>
  <c r="J135" i="69"/>
  <c r="AC135" i="69" s="1"/>
  <c r="J136" i="69"/>
  <c r="AC136" i="69" s="1"/>
  <c r="J137" i="69"/>
  <c r="AC137" i="69" s="1"/>
  <c r="J138" i="69"/>
  <c r="AC138" i="69" s="1"/>
  <c r="J139" i="69"/>
  <c r="AC139" i="69" s="1"/>
  <c r="J140" i="69"/>
  <c r="AC140" i="69" s="1"/>
  <c r="J141" i="69"/>
  <c r="J142" i="69"/>
  <c r="E26" i="67"/>
  <c r="AQ1138" i="12"/>
  <c r="AJ1139" i="12"/>
  <c r="H35" i="66"/>
  <c r="D30" i="67"/>
  <c r="I1139" i="12"/>
  <c r="M8" i="59"/>
  <c r="O8" i="59" s="1"/>
  <c r="N8" i="59"/>
  <c r="M9" i="59"/>
  <c r="O9" i="59" s="1"/>
  <c r="N9" i="59"/>
  <c r="M10" i="59"/>
  <c r="O10" i="59" s="1"/>
  <c r="N10" i="59"/>
  <c r="M11" i="59"/>
  <c r="O11" i="59" s="1"/>
  <c r="N11" i="59"/>
  <c r="M12" i="59"/>
  <c r="O12" i="59" s="1"/>
  <c r="N12" i="59"/>
  <c r="M13" i="59"/>
  <c r="O13" i="59" s="1"/>
  <c r="N13" i="59"/>
  <c r="M14" i="59"/>
  <c r="O14" i="59" s="1"/>
  <c r="N14" i="59"/>
  <c r="M15" i="59"/>
  <c r="O15" i="59" s="1"/>
  <c r="N15" i="59"/>
  <c r="M16" i="59"/>
  <c r="O16" i="59" s="1"/>
  <c r="N16" i="59"/>
  <c r="BF60" i="13"/>
  <c r="BG60" i="13"/>
  <c r="BH60" i="13"/>
  <c r="BI60" i="13"/>
  <c r="BJ60" i="13"/>
  <c r="BL60" i="13"/>
  <c r="BF61" i="13"/>
  <c r="BG61" i="13"/>
  <c r="BH61" i="13"/>
  <c r="BI61" i="13"/>
  <c r="BJ61" i="13"/>
  <c r="BL61" i="13"/>
  <c r="BF62" i="13"/>
  <c r="BG62" i="13"/>
  <c r="BH62" i="13"/>
  <c r="BI62" i="13"/>
  <c r="BJ62" i="13"/>
  <c r="BL62" i="13"/>
  <c r="BF63" i="13"/>
  <c r="BG63" i="13"/>
  <c r="BH63" i="13"/>
  <c r="BI63" i="13"/>
  <c r="BJ63" i="13"/>
  <c r="BL63" i="13"/>
  <c r="BF64" i="13"/>
  <c r="BG64" i="13"/>
  <c r="BH64" i="13"/>
  <c r="BI64" i="13"/>
  <c r="BJ64" i="13"/>
  <c r="BL64" i="13"/>
  <c r="BF65" i="13"/>
  <c r="BG65" i="13"/>
  <c r="BH65" i="13"/>
  <c r="BI65" i="13"/>
  <c r="BJ65" i="13"/>
  <c r="BL65" i="13"/>
  <c r="BF66" i="13"/>
  <c r="BG66" i="13"/>
  <c r="BH66" i="13"/>
  <c r="BI66" i="13"/>
  <c r="BJ66" i="13"/>
  <c r="BL66" i="13"/>
  <c r="BF67" i="13"/>
  <c r="BG67" i="13"/>
  <c r="BH67" i="13"/>
  <c r="BI67" i="13"/>
  <c r="BJ67" i="13"/>
  <c r="BL67" i="13"/>
  <c r="BF68" i="13"/>
  <c r="BG68" i="13"/>
  <c r="BH68" i="13"/>
  <c r="BI68" i="13"/>
  <c r="BJ68" i="13"/>
  <c r="BL68" i="13"/>
  <c r="BF69" i="13"/>
  <c r="BG69" i="13"/>
  <c r="BH69" i="13"/>
  <c r="BI69" i="13"/>
  <c r="BJ69" i="13"/>
  <c r="BL69" i="13"/>
  <c r="BF70" i="13"/>
  <c r="BG70" i="13"/>
  <c r="BH70" i="13"/>
  <c r="BI70" i="13"/>
  <c r="BJ70" i="13"/>
  <c r="BL70" i="13"/>
  <c r="BF71" i="13"/>
  <c r="BG71" i="13"/>
  <c r="BH71" i="13"/>
  <c r="BI71" i="13"/>
  <c r="BJ71" i="13"/>
  <c r="BL71" i="13"/>
  <c r="BF72" i="13"/>
  <c r="BG72" i="13"/>
  <c r="BH72" i="13"/>
  <c r="BI72" i="13"/>
  <c r="BJ72" i="13"/>
  <c r="BL72" i="13"/>
  <c r="BF73" i="13"/>
  <c r="BG73" i="13"/>
  <c r="BH73" i="13"/>
  <c r="BI73" i="13"/>
  <c r="BJ73" i="13"/>
  <c r="BL73" i="13"/>
  <c r="BF74" i="13"/>
  <c r="BG74" i="13"/>
  <c r="BH74" i="13"/>
  <c r="BI74" i="13"/>
  <c r="BJ74" i="13"/>
  <c r="BL74" i="13"/>
  <c r="BF75" i="13"/>
  <c r="BG75" i="13"/>
  <c r="BH75" i="13"/>
  <c r="BI75" i="13"/>
  <c r="BJ75" i="13"/>
  <c r="BL75" i="13"/>
  <c r="BF76" i="13"/>
  <c r="BG76" i="13"/>
  <c r="BH76" i="13"/>
  <c r="BI76" i="13"/>
  <c r="BJ76" i="13"/>
  <c r="BL76" i="13"/>
  <c r="BF77" i="13"/>
  <c r="BG77" i="13"/>
  <c r="BH77" i="13"/>
  <c r="BI77" i="13"/>
  <c r="BJ77" i="13"/>
  <c r="BL77" i="13"/>
  <c r="BF78" i="13"/>
  <c r="BG78" i="13"/>
  <c r="BH78" i="13"/>
  <c r="BI78" i="13"/>
  <c r="BJ78" i="13"/>
  <c r="BL78" i="13"/>
  <c r="BF79" i="13"/>
  <c r="BG79" i="13"/>
  <c r="BH79" i="13"/>
  <c r="BI79" i="13"/>
  <c r="BJ79" i="13"/>
  <c r="BL79" i="13"/>
  <c r="BF80" i="13"/>
  <c r="BG80" i="13"/>
  <c r="BH80" i="13"/>
  <c r="BI80" i="13"/>
  <c r="BJ80" i="13"/>
  <c r="BL80" i="13"/>
  <c r="BF81" i="13"/>
  <c r="BG81" i="13"/>
  <c r="BH81" i="13"/>
  <c r="BI81" i="13"/>
  <c r="BJ81" i="13"/>
  <c r="BL81" i="13"/>
  <c r="Y60" i="13"/>
  <c r="D60" i="13" s="1"/>
  <c r="Y61" i="13"/>
  <c r="Y62" i="13"/>
  <c r="AI62" i="13" s="1"/>
  <c r="Y63" i="13"/>
  <c r="D63" i="13" s="1"/>
  <c r="Y64" i="13"/>
  <c r="D64" i="13" s="1"/>
  <c r="Y65" i="13"/>
  <c r="Y66" i="13"/>
  <c r="AI66" i="13" s="1"/>
  <c r="Y67" i="13"/>
  <c r="D67" i="13" s="1"/>
  <c r="Y68" i="13"/>
  <c r="D68" i="13" s="1"/>
  <c r="Y69" i="13"/>
  <c r="Y70" i="13"/>
  <c r="AI70" i="13" s="1"/>
  <c r="Y71" i="13"/>
  <c r="D71" i="13" s="1"/>
  <c r="Y72" i="13"/>
  <c r="D72" i="13" s="1"/>
  <c r="Y73" i="13"/>
  <c r="Y74" i="13"/>
  <c r="AI74" i="13" s="1"/>
  <c r="Y75" i="13"/>
  <c r="D75" i="13" s="1"/>
  <c r="Y76" i="13"/>
  <c r="D76" i="13" s="1"/>
  <c r="Y77" i="13"/>
  <c r="Y78" i="13"/>
  <c r="AI78" i="13" s="1"/>
  <c r="Y79" i="13"/>
  <c r="D79" i="13" s="1"/>
  <c r="Y80" i="13"/>
  <c r="D80" i="13" s="1"/>
  <c r="Y81" i="13"/>
  <c r="E30" i="67"/>
  <c r="AI1139" i="12"/>
  <c r="BF82" i="13"/>
  <c r="BG82" i="13"/>
  <c r="BH82" i="13"/>
  <c r="BI82" i="13"/>
  <c r="BJ82" i="13"/>
  <c r="BL82" i="13"/>
  <c r="BF83" i="13"/>
  <c r="BG83" i="13"/>
  <c r="BH83" i="13"/>
  <c r="BI83" i="13"/>
  <c r="BJ83" i="13"/>
  <c r="BL83" i="13"/>
  <c r="BF84" i="13"/>
  <c r="BG84" i="13"/>
  <c r="BH84" i="13"/>
  <c r="BI84" i="13"/>
  <c r="BJ84" i="13"/>
  <c r="BL84" i="13"/>
  <c r="BF85" i="13"/>
  <c r="BG85" i="13"/>
  <c r="BH85" i="13"/>
  <c r="BI85" i="13"/>
  <c r="BJ85" i="13"/>
  <c r="BL85" i="13"/>
  <c r="BF86" i="13"/>
  <c r="BG86" i="13"/>
  <c r="BH86" i="13"/>
  <c r="BI86" i="13"/>
  <c r="BJ86" i="13"/>
  <c r="BL86" i="13"/>
  <c r="BF87" i="13"/>
  <c r="BG87" i="13"/>
  <c r="BH87" i="13"/>
  <c r="BI87" i="13"/>
  <c r="BJ87" i="13"/>
  <c r="BL87" i="13"/>
  <c r="BF88" i="13"/>
  <c r="BG88" i="13"/>
  <c r="BH88" i="13"/>
  <c r="BI88" i="13"/>
  <c r="BJ88" i="13"/>
  <c r="BL88" i="13"/>
  <c r="BF89" i="13"/>
  <c r="BG89" i="13"/>
  <c r="BH89" i="13"/>
  <c r="BI89" i="13"/>
  <c r="BJ89" i="13"/>
  <c r="BL89" i="13"/>
  <c r="BF90" i="13"/>
  <c r="BG90" i="13"/>
  <c r="BH90" i="13"/>
  <c r="BI90" i="13"/>
  <c r="BJ90" i="13"/>
  <c r="BL90" i="13"/>
  <c r="BF91" i="13"/>
  <c r="BG91" i="13"/>
  <c r="BH91" i="13"/>
  <c r="BI91" i="13"/>
  <c r="BJ91" i="13"/>
  <c r="BL91" i="13"/>
  <c r="BF92" i="13"/>
  <c r="BG92" i="13"/>
  <c r="BH92" i="13"/>
  <c r="BI92" i="13"/>
  <c r="BJ92" i="13"/>
  <c r="BL92" i="13"/>
  <c r="BF93" i="13"/>
  <c r="BG93" i="13"/>
  <c r="BH93" i="13"/>
  <c r="BI93" i="13"/>
  <c r="BJ93" i="13"/>
  <c r="BL93" i="13"/>
  <c r="Y82" i="13"/>
  <c r="AI82" i="13" s="1"/>
  <c r="Y83" i="13"/>
  <c r="D83" i="13" s="1"/>
  <c r="Y84" i="13"/>
  <c r="D84" i="13" s="1"/>
  <c r="Y85" i="13"/>
  <c r="Y86" i="13"/>
  <c r="AI86" i="13" s="1"/>
  <c r="Y87" i="13"/>
  <c r="D87" i="13" s="1"/>
  <c r="Y88" i="13"/>
  <c r="D88" i="13" s="1"/>
  <c r="Y89" i="13"/>
  <c r="Y90" i="13"/>
  <c r="AI90" i="13" s="1"/>
  <c r="Y91" i="13"/>
  <c r="D91" i="13" s="1"/>
  <c r="Y92" i="13"/>
  <c r="D92" i="13" s="1"/>
  <c r="Y93" i="13"/>
  <c r="E24" i="67"/>
  <c r="H31" i="66"/>
  <c r="E29" i="67"/>
  <c r="AP1138" i="12"/>
  <c r="D26" i="67"/>
  <c r="AO1139" i="12"/>
  <c r="AN1138" i="12"/>
  <c r="AM1138" i="12"/>
  <c r="AK1138" i="12"/>
  <c r="U8" i="65"/>
  <c r="BF94" i="13"/>
  <c r="BG94" i="13"/>
  <c r="BH94" i="13"/>
  <c r="BI94" i="13"/>
  <c r="BJ94" i="13"/>
  <c r="BL94" i="13"/>
  <c r="BF95" i="13"/>
  <c r="BG95" i="13"/>
  <c r="BH95" i="13"/>
  <c r="BI95" i="13"/>
  <c r="BJ95" i="13"/>
  <c r="BL95" i="13"/>
  <c r="BF96" i="13"/>
  <c r="BG96" i="13"/>
  <c r="BH96" i="13"/>
  <c r="BI96" i="13"/>
  <c r="BJ96" i="13"/>
  <c r="BL96" i="13"/>
  <c r="BF97" i="13"/>
  <c r="BG97" i="13"/>
  <c r="BH97" i="13"/>
  <c r="BI97" i="13"/>
  <c r="BJ97" i="13"/>
  <c r="BL97" i="13"/>
  <c r="BF98" i="13"/>
  <c r="BG98" i="13"/>
  <c r="BH98" i="13"/>
  <c r="BI98" i="13"/>
  <c r="BJ98" i="13"/>
  <c r="BL98" i="13"/>
  <c r="BF99" i="13"/>
  <c r="BG99" i="13"/>
  <c r="BH99" i="13"/>
  <c r="BI99" i="13"/>
  <c r="BJ99" i="13"/>
  <c r="BL99" i="13"/>
  <c r="BF100" i="13"/>
  <c r="BG100" i="13"/>
  <c r="BH100" i="13"/>
  <c r="BI100" i="13"/>
  <c r="BJ100" i="13"/>
  <c r="BL100" i="13"/>
  <c r="BF101" i="13"/>
  <c r="BG101" i="13"/>
  <c r="BH101" i="13"/>
  <c r="BI101" i="13"/>
  <c r="BJ101" i="13"/>
  <c r="BL101" i="13"/>
  <c r="BF102" i="13"/>
  <c r="BG102" i="13"/>
  <c r="BH102" i="13"/>
  <c r="BI102" i="13"/>
  <c r="BJ102" i="13"/>
  <c r="BL102" i="13"/>
  <c r="BF103" i="13"/>
  <c r="BG103" i="13"/>
  <c r="BH103" i="13"/>
  <c r="BI103" i="13"/>
  <c r="BJ103" i="13"/>
  <c r="BL103" i="13"/>
  <c r="BF104" i="13"/>
  <c r="BG104" i="13"/>
  <c r="BH104" i="13"/>
  <c r="BI104" i="13"/>
  <c r="BJ104" i="13"/>
  <c r="BL104" i="13"/>
  <c r="BF105" i="13"/>
  <c r="BG105" i="13"/>
  <c r="BH105" i="13"/>
  <c r="BI105" i="13"/>
  <c r="BJ105" i="13"/>
  <c r="BL105" i="13"/>
  <c r="BF106" i="13"/>
  <c r="BG106" i="13"/>
  <c r="BH106" i="13"/>
  <c r="BI106" i="13"/>
  <c r="BJ106" i="13"/>
  <c r="BL106" i="13"/>
  <c r="BF107" i="13"/>
  <c r="BG107" i="13"/>
  <c r="BH107" i="13"/>
  <c r="BI107" i="13"/>
  <c r="BJ107" i="13"/>
  <c r="BL107" i="13"/>
  <c r="BF108" i="13"/>
  <c r="BG108" i="13"/>
  <c r="BH108" i="13"/>
  <c r="BI108" i="13"/>
  <c r="BJ108" i="13"/>
  <c r="BL108" i="13"/>
  <c r="BF109" i="13"/>
  <c r="BG109" i="13"/>
  <c r="BH109" i="13"/>
  <c r="BI109" i="13"/>
  <c r="BJ109" i="13"/>
  <c r="BL109" i="13"/>
  <c r="BF110" i="13"/>
  <c r="BG110" i="13"/>
  <c r="BH110" i="13"/>
  <c r="BI110" i="13"/>
  <c r="BJ110" i="13"/>
  <c r="BL110" i="13"/>
  <c r="BF111" i="13"/>
  <c r="BG111" i="13"/>
  <c r="BH111" i="13"/>
  <c r="BI111" i="13"/>
  <c r="BJ111" i="13"/>
  <c r="BL111" i="13"/>
  <c r="BF112" i="13"/>
  <c r="BG112" i="13"/>
  <c r="BH112" i="13"/>
  <c r="BI112" i="13"/>
  <c r="BJ112" i="13"/>
  <c r="BL112" i="13"/>
  <c r="BF113" i="13"/>
  <c r="BG113" i="13"/>
  <c r="BH113" i="13"/>
  <c r="BI113" i="13"/>
  <c r="BJ113" i="13"/>
  <c r="BL113" i="13"/>
  <c r="BF114" i="13"/>
  <c r="BG114" i="13"/>
  <c r="BH114" i="13"/>
  <c r="BI114" i="13"/>
  <c r="BJ114" i="13"/>
  <c r="BL114" i="13"/>
  <c r="BF115" i="13"/>
  <c r="BG115" i="13"/>
  <c r="BH115" i="13"/>
  <c r="BI115" i="13"/>
  <c r="BJ115" i="13"/>
  <c r="BL115" i="13"/>
  <c r="Y94" i="13"/>
  <c r="AI94" i="13" s="1"/>
  <c r="Y95" i="13"/>
  <c r="D95" i="13" s="1"/>
  <c r="Y96" i="13"/>
  <c r="D96" i="13" s="1"/>
  <c r="Y97" i="13"/>
  <c r="Y98" i="13"/>
  <c r="AI98" i="13" s="1"/>
  <c r="Y99" i="13"/>
  <c r="D99" i="13" s="1"/>
  <c r="Y100" i="13"/>
  <c r="D100" i="13" s="1"/>
  <c r="Y101" i="13"/>
  <c r="Y102" i="13"/>
  <c r="D102" i="13" s="1"/>
  <c r="Y103" i="13"/>
  <c r="D103" i="13" s="1"/>
  <c r="Y104" i="13"/>
  <c r="D104" i="13" s="1"/>
  <c r="Y105" i="13"/>
  <c r="D105" i="13" s="1"/>
  <c r="Y106" i="13"/>
  <c r="D106" i="13" s="1"/>
  <c r="Y107" i="13"/>
  <c r="D107" i="13" s="1"/>
  <c r="Y108" i="13"/>
  <c r="D108" i="13" s="1"/>
  <c r="Y109" i="13"/>
  <c r="D109" i="13" s="1"/>
  <c r="Y110" i="13"/>
  <c r="D110" i="13" s="1"/>
  <c r="Y111" i="13"/>
  <c r="D111" i="13" s="1"/>
  <c r="Y112" i="13"/>
  <c r="D112" i="13" s="1"/>
  <c r="Y113" i="13"/>
  <c r="D113" i="13" s="1"/>
  <c r="Y114" i="13"/>
  <c r="D114" i="13" s="1"/>
  <c r="Y115" i="13"/>
  <c r="D115" i="13" s="1"/>
  <c r="S31" i="66"/>
  <c r="I1138" i="12"/>
  <c r="J1138" i="12"/>
  <c r="K1138" i="12"/>
  <c r="L1138" i="12"/>
  <c r="M1138" i="12"/>
  <c r="N1138" i="12"/>
  <c r="O1138" i="12"/>
  <c r="P1138" i="12"/>
  <c r="Q1138" i="12"/>
  <c r="R1138" i="12"/>
  <c r="S1138" i="12"/>
  <c r="T1138" i="12"/>
  <c r="U1138" i="12"/>
  <c r="V1138" i="12"/>
  <c r="W1138" i="12"/>
  <c r="X1138" i="12"/>
  <c r="Y1138" i="12"/>
  <c r="Z1138" i="12"/>
  <c r="AA1138" i="12"/>
  <c r="AB1138" i="12"/>
  <c r="AC1138" i="12"/>
  <c r="AD1138" i="12"/>
  <c r="AE1138" i="12"/>
  <c r="AF1138" i="12"/>
  <c r="AG1138" i="12"/>
  <c r="AH1138" i="12"/>
  <c r="AL1138" i="12"/>
  <c r="AO1138" i="12"/>
  <c r="AR1138" i="12"/>
  <c r="AS1138" i="12"/>
  <c r="AT1138" i="12"/>
  <c r="AU1138" i="12"/>
  <c r="BF1138" i="12"/>
  <c r="BG1138" i="12"/>
  <c r="BH1138" i="12"/>
  <c r="BI1138" i="12"/>
  <c r="BJ1138" i="12"/>
  <c r="J1139" i="12"/>
  <c r="K1139" i="12"/>
  <c r="L1139" i="12"/>
  <c r="M1139" i="12"/>
  <c r="N1139" i="12"/>
  <c r="O1139" i="12"/>
  <c r="P1139" i="12"/>
  <c r="Q1139" i="12"/>
  <c r="R1139" i="12"/>
  <c r="S1139" i="12"/>
  <c r="T1139" i="12"/>
  <c r="U1139" i="12"/>
  <c r="V1139" i="12"/>
  <c r="W1139" i="12"/>
  <c r="X1139" i="12"/>
  <c r="Y1139" i="12"/>
  <c r="Z1139" i="12"/>
  <c r="AA1139" i="12"/>
  <c r="AB1139" i="12"/>
  <c r="AC1139" i="12"/>
  <c r="AD1139" i="12"/>
  <c r="AE1139" i="12"/>
  <c r="AF1139" i="12"/>
  <c r="AG1139" i="12"/>
  <c r="AH1139" i="12"/>
  <c r="AK1139" i="12"/>
  <c r="AL1139" i="12"/>
  <c r="AP1139" i="12"/>
  <c r="AR1139" i="12"/>
  <c r="AS1139" i="12"/>
  <c r="AT1139" i="12"/>
  <c r="AU1139" i="12"/>
  <c r="BF1139" i="12"/>
  <c r="BG1139" i="12"/>
  <c r="BH1139" i="12"/>
  <c r="BI1139" i="12"/>
  <c r="BJ1139" i="12"/>
  <c r="BF116" i="13"/>
  <c r="BG116" i="13"/>
  <c r="BH116" i="13"/>
  <c r="BI116" i="13"/>
  <c r="BJ116" i="13"/>
  <c r="BL116" i="13"/>
  <c r="BF117" i="13"/>
  <c r="BG117" i="13"/>
  <c r="BH117" i="13"/>
  <c r="BI117" i="13"/>
  <c r="BJ117" i="13"/>
  <c r="BL117" i="13"/>
  <c r="BF118" i="13"/>
  <c r="BG118" i="13"/>
  <c r="BH118" i="13"/>
  <c r="BI118" i="13"/>
  <c r="BJ118" i="13"/>
  <c r="BL118" i="13"/>
  <c r="BF119" i="13"/>
  <c r="BG119" i="13"/>
  <c r="BH119" i="13"/>
  <c r="BI119" i="13"/>
  <c r="BJ119" i="13"/>
  <c r="BL119" i="13"/>
  <c r="BF120" i="13"/>
  <c r="BG120" i="13"/>
  <c r="BH120" i="13"/>
  <c r="BI120" i="13"/>
  <c r="BJ120" i="13"/>
  <c r="BL120" i="13"/>
  <c r="BF121" i="13"/>
  <c r="BG121" i="13"/>
  <c r="BH121" i="13"/>
  <c r="BI121" i="13"/>
  <c r="BJ121" i="13"/>
  <c r="BL121" i="13"/>
  <c r="BF122" i="13"/>
  <c r="BG122" i="13"/>
  <c r="BH122" i="13"/>
  <c r="BI122" i="13"/>
  <c r="BJ122" i="13"/>
  <c r="BL122" i="13"/>
  <c r="BF123" i="13"/>
  <c r="BG123" i="13"/>
  <c r="BH123" i="13"/>
  <c r="BI123" i="13"/>
  <c r="BJ123" i="13"/>
  <c r="BL123" i="13"/>
  <c r="BF124" i="13"/>
  <c r="BG124" i="13"/>
  <c r="BH124" i="13"/>
  <c r="BI124" i="13"/>
  <c r="BJ124" i="13"/>
  <c r="BL124" i="13"/>
  <c r="BF125" i="13"/>
  <c r="BG125" i="13"/>
  <c r="BH125" i="13"/>
  <c r="BI125" i="13"/>
  <c r="BJ125" i="13"/>
  <c r="BL125" i="13"/>
  <c r="BF126" i="13"/>
  <c r="BG126" i="13"/>
  <c r="BH126" i="13"/>
  <c r="BI126" i="13"/>
  <c r="BJ126" i="13"/>
  <c r="BL126" i="13"/>
  <c r="Y116" i="13"/>
  <c r="D116" i="13" s="1"/>
  <c r="Y117" i="13"/>
  <c r="D117" i="13" s="1"/>
  <c r="Y118" i="13"/>
  <c r="D118" i="13" s="1"/>
  <c r="Y119" i="13"/>
  <c r="D119" i="13" s="1"/>
  <c r="Y120" i="13"/>
  <c r="D120" i="13" s="1"/>
  <c r="Y121" i="13"/>
  <c r="D121" i="13" s="1"/>
  <c r="Y122" i="13"/>
  <c r="D122" i="13" s="1"/>
  <c r="Y123" i="13"/>
  <c r="D123" i="13" s="1"/>
  <c r="Y124" i="13"/>
  <c r="D124" i="13" s="1"/>
  <c r="Y125" i="13"/>
  <c r="D125" i="13" s="1"/>
  <c r="Y126" i="13"/>
  <c r="D126" i="13" s="1"/>
  <c r="Y127" i="13"/>
  <c r="D127" i="13" s="1"/>
  <c r="Y128" i="13"/>
  <c r="D128" i="13" s="1"/>
  <c r="Y129" i="13"/>
  <c r="D129" i="13" s="1"/>
  <c r="Y130" i="13"/>
  <c r="D130" i="13" s="1"/>
  <c r="Y131" i="13"/>
  <c r="D131" i="13" s="1"/>
  <c r="Y132" i="13"/>
  <c r="D132" i="13" s="1"/>
  <c r="Y133" i="13"/>
  <c r="D133" i="13" s="1"/>
  <c r="Y134" i="13"/>
  <c r="D134" i="13" s="1"/>
  <c r="Y135" i="13"/>
  <c r="D135" i="13" s="1"/>
  <c r="Y136" i="13"/>
  <c r="D136" i="13" s="1"/>
  <c r="Y137" i="13"/>
  <c r="D137" i="13" s="1"/>
  <c r="Y138" i="13"/>
  <c r="D138" i="13" s="1"/>
  <c r="Y139" i="13"/>
  <c r="D139" i="13" s="1"/>
  <c r="Y140" i="13"/>
  <c r="D140" i="13" s="1"/>
  <c r="Y141" i="13"/>
  <c r="D141" i="13" s="1"/>
  <c r="Y142" i="13"/>
  <c r="D142" i="13" s="1"/>
  <c r="Y143" i="13"/>
  <c r="D143" i="13" s="1"/>
  <c r="Y144" i="13"/>
  <c r="D144" i="13" s="1"/>
  <c r="Y145" i="13"/>
  <c r="D145" i="13" s="1"/>
  <c r="Y146" i="13"/>
  <c r="D146" i="13" s="1"/>
  <c r="Y147" i="13"/>
  <c r="D147" i="13" s="1"/>
  <c r="Y148" i="13"/>
  <c r="D148" i="13" s="1"/>
  <c r="Y149" i="13"/>
  <c r="D149" i="13" s="1"/>
  <c r="Y150" i="13"/>
  <c r="D150" i="13" s="1"/>
  <c r="Y151" i="13"/>
  <c r="D151" i="13" s="1"/>
  <c r="Y152" i="13"/>
  <c r="D152" i="13" s="1"/>
  <c r="Y153" i="13"/>
  <c r="D153" i="13" s="1"/>
  <c r="Y154" i="13"/>
  <c r="D154" i="13" s="1"/>
  <c r="Y155" i="13"/>
  <c r="D155" i="13" s="1"/>
  <c r="Y156" i="13"/>
  <c r="D156" i="13" s="1"/>
  <c r="Y157" i="13"/>
  <c r="D157" i="13" s="1"/>
  <c r="Y158" i="13"/>
  <c r="D158" i="13" s="1"/>
  <c r="Y159" i="13"/>
  <c r="D159" i="13" s="1"/>
  <c r="Y160" i="13"/>
  <c r="H160" i="13" s="1"/>
  <c r="Y161" i="13"/>
  <c r="F161" i="13" s="1"/>
  <c r="Y162" i="13"/>
  <c r="H162" i="13" s="1"/>
  <c r="Y163" i="13"/>
  <c r="F163" i="13" s="1"/>
  <c r="Y164" i="13"/>
  <c r="F164" i="13" s="1"/>
  <c r="Y165" i="13"/>
  <c r="G165" i="13" s="1"/>
  <c r="Y166" i="13"/>
  <c r="H166" i="13" s="1"/>
  <c r="Y167" i="13"/>
  <c r="G167" i="13" s="1"/>
  <c r="Y168" i="13"/>
  <c r="F168" i="13" s="1"/>
  <c r="Y169" i="13"/>
  <c r="G169" i="13" s="1"/>
  <c r="Y170" i="13"/>
  <c r="F170" i="13" s="1"/>
  <c r="Y171" i="13"/>
  <c r="F171" i="13" s="1"/>
  <c r="Y172" i="13"/>
  <c r="F172" i="13" s="1"/>
  <c r="Y173" i="13"/>
  <c r="F173" i="13" s="1"/>
  <c r="Y174" i="13"/>
  <c r="F174" i="13" s="1"/>
  <c r="Y175" i="13"/>
  <c r="F175" i="13" s="1"/>
  <c r="Y176" i="13"/>
  <c r="F176" i="13" s="1"/>
  <c r="Y177" i="13"/>
  <c r="F177" i="13" s="1"/>
  <c r="Y178" i="13"/>
  <c r="F178" i="13" s="1"/>
  <c r="Y179" i="13"/>
  <c r="F179" i="13" s="1"/>
  <c r="Y180" i="13"/>
  <c r="F180" i="13" s="1"/>
  <c r="Y181" i="13"/>
  <c r="F181" i="13" s="1"/>
  <c r="Y182" i="13"/>
  <c r="AJ182" i="13" s="1"/>
  <c r="Y183" i="13"/>
  <c r="AJ183" i="13" s="1"/>
  <c r="Y184" i="13"/>
  <c r="AI184" i="13" s="1"/>
  <c r="Y185" i="13"/>
  <c r="AI185" i="13" s="1"/>
  <c r="Y186" i="13"/>
  <c r="AI186" i="13" s="1"/>
  <c r="Y187" i="13"/>
  <c r="AJ187" i="13" s="1"/>
  <c r="Y188" i="13"/>
  <c r="AI188" i="13" s="1"/>
  <c r="Y189" i="13"/>
  <c r="AI189" i="13" s="1"/>
  <c r="M37" i="16"/>
  <c r="M33" i="16"/>
  <c r="AB6" i="65"/>
  <c r="L28" i="16"/>
  <c r="N28" i="16" s="1"/>
  <c r="AG6" i="65"/>
  <c r="AF7" i="65"/>
  <c r="L29" i="16"/>
  <c r="N29" i="16" s="1"/>
  <c r="BF127" i="13"/>
  <c r="BG127" i="13"/>
  <c r="BH127" i="13"/>
  <c r="BI127" i="13"/>
  <c r="BJ127" i="13"/>
  <c r="BL127" i="13"/>
  <c r="BF128" i="13"/>
  <c r="BG128" i="13"/>
  <c r="BH128" i="13"/>
  <c r="BI128" i="13"/>
  <c r="BJ128" i="13"/>
  <c r="BL128" i="13"/>
  <c r="BF129" i="13"/>
  <c r="BG129" i="13"/>
  <c r="BH129" i="13"/>
  <c r="BI129" i="13"/>
  <c r="BJ129" i="13"/>
  <c r="BL129" i="13"/>
  <c r="BF130" i="13"/>
  <c r="BG130" i="13"/>
  <c r="BH130" i="13"/>
  <c r="BI130" i="13"/>
  <c r="BJ130" i="13"/>
  <c r="BL130" i="13"/>
  <c r="BF131" i="13"/>
  <c r="BG131" i="13"/>
  <c r="BH131" i="13"/>
  <c r="BI131" i="13"/>
  <c r="BJ131" i="13"/>
  <c r="BL131" i="13"/>
  <c r="BF132" i="13"/>
  <c r="BG132" i="13"/>
  <c r="BH132" i="13"/>
  <c r="BI132" i="13"/>
  <c r="BJ132" i="13"/>
  <c r="BL132" i="13"/>
  <c r="BF133" i="13"/>
  <c r="BG133" i="13"/>
  <c r="BH133" i="13"/>
  <c r="BI133" i="13"/>
  <c r="BJ133" i="13"/>
  <c r="BL133" i="13"/>
  <c r="BF134" i="13"/>
  <c r="BG134" i="13"/>
  <c r="BH134" i="13"/>
  <c r="BI134" i="13"/>
  <c r="BJ134" i="13"/>
  <c r="BL134" i="13"/>
  <c r="BF135" i="13"/>
  <c r="BG135" i="13"/>
  <c r="BH135" i="13"/>
  <c r="BI135" i="13"/>
  <c r="BJ135" i="13"/>
  <c r="BL135" i="13"/>
  <c r="BF136" i="13"/>
  <c r="BG136" i="13"/>
  <c r="BH136" i="13"/>
  <c r="BI136" i="13"/>
  <c r="BJ136" i="13"/>
  <c r="BL136" i="13"/>
  <c r="BF137" i="13"/>
  <c r="BG137" i="13"/>
  <c r="BH137" i="13"/>
  <c r="BI137" i="13"/>
  <c r="BJ137" i="13"/>
  <c r="BL137" i="13"/>
  <c r="M17" i="59"/>
  <c r="O17" i="59" s="1"/>
  <c r="N17" i="59"/>
  <c r="M18" i="59"/>
  <c r="O18" i="59" s="1"/>
  <c r="N18" i="59"/>
  <c r="M19" i="59"/>
  <c r="O19" i="59" s="1"/>
  <c r="N19" i="59"/>
  <c r="M20" i="59"/>
  <c r="O20" i="59" s="1"/>
  <c r="N20" i="59"/>
  <c r="M21" i="59"/>
  <c r="O21" i="59" s="1"/>
  <c r="N21" i="59"/>
  <c r="M22" i="59"/>
  <c r="O22" i="59" s="1"/>
  <c r="N22" i="59"/>
  <c r="M23" i="59"/>
  <c r="O23" i="59" s="1"/>
  <c r="N23" i="59"/>
  <c r="M24" i="59"/>
  <c r="O24" i="59" s="1"/>
  <c r="N24" i="59"/>
  <c r="M25" i="59"/>
  <c r="O25" i="59" s="1"/>
  <c r="N25" i="59"/>
  <c r="BF138" i="13"/>
  <c r="BG138" i="13"/>
  <c r="BH138" i="13"/>
  <c r="BI138" i="13"/>
  <c r="BJ138" i="13"/>
  <c r="BL138" i="13"/>
  <c r="BF139" i="13"/>
  <c r="BG139" i="13"/>
  <c r="BH139" i="13"/>
  <c r="BI139" i="13"/>
  <c r="BJ139" i="13"/>
  <c r="BL139" i="13"/>
  <c r="BF140" i="13"/>
  <c r="BG140" i="13"/>
  <c r="BH140" i="13"/>
  <c r="BI140" i="13"/>
  <c r="BJ140" i="13"/>
  <c r="BL140" i="13"/>
  <c r="BF141" i="13"/>
  <c r="BG141" i="13"/>
  <c r="BH141" i="13"/>
  <c r="BI141" i="13"/>
  <c r="BJ141" i="13"/>
  <c r="BL141" i="13"/>
  <c r="BF142" i="13"/>
  <c r="BG142" i="13"/>
  <c r="BH142" i="13"/>
  <c r="BI142" i="13"/>
  <c r="BJ142" i="13"/>
  <c r="BL142" i="13"/>
  <c r="BF143" i="13"/>
  <c r="BG143" i="13"/>
  <c r="BH143" i="13"/>
  <c r="BI143" i="13"/>
  <c r="BJ143" i="13"/>
  <c r="BL143" i="13"/>
  <c r="BF144" i="13"/>
  <c r="BG144" i="13"/>
  <c r="BH144" i="13"/>
  <c r="BI144" i="13"/>
  <c r="BJ144" i="13"/>
  <c r="BL144" i="13"/>
  <c r="BF145" i="13"/>
  <c r="BG145" i="13"/>
  <c r="BH145" i="13"/>
  <c r="BI145" i="13"/>
  <c r="BJ145" i="13"/>
  <c r="BL145" i="13"/>
  <c r="BF146" i="13"/>
  <c r="BG146" i="13"/>
  <c r="BH146" i="13"/>
  <c r="BI146" i="13"/>
  <c r="BJ146" i="13"/>
  <c r="BL146" i="13"/>
  <c r="BF147" i="13"/>
  <c r="BG147" i="13"/>
  <c r="BH147" i="13"/>
  <c r="BI147" i="13"/>
  <c r="BJ147" i="13"/>
  <c r="BL147" i="13"/>
  <c r="BF148" i="13"/>
  <c r="BG148" i="13"/>
  <c r="BH148" i="13"/>
  <c r="BI148" i="13"/>
  <c r="BJ148" i="13"/>
  <c r="BL148" i="13"/>
  <c r="M26" i="59"/>
  <c r="O26" i="59" s="1"/>
  <c r="N26" i="59"/>
  <c r="M27" i="59"/>
  <c r="O27" i="59" s="1"/>
  <c r="N27" i="59"/>
  <c r="M28" i="59"/>
  <c r="O28" i="59" s="1"/>
  <c r="N28" i="59"/>
  <c r="M29" i="59"/>
  <c r="O29" i="59" s="1"/>
  <c r="N29" i="59"/>
  <c r="M30" i="59"/>
  <c r="O30" i="59" s="1"/>
  <c r="N30" i="59"/>
  <c r="M31" i="59"/>
  <c r="O31" i="59" s="1"/>
  <c r="N31" i="59"/>
  <c r="M32" i="59"/>
  <c r="O32" i="59" s="1"/>
  <c r="N32" i="59"/>
  <c r="M33" i="59"/>
  <c r="O33" i="59" s="1"/>
  <c r="N33" i="59"/>
  <c r="M34" i="59"/>
  <c r="O34" i="59" s="1"/>
  <c r="N34" i="59"/>
  <c r="BF149" i="13"/>
  <c r="BG149" i="13"/>
  <c r="BH149" i="13"/>
  <c r="BI149" i="13"/>
  <c r="BJ149" i="13"/>
  <c r="BL149" i="13"/>
  <c r="BF150" i="13"/>
  <c r="BG150" i="13"/>
  <c r="BH150" i="13"/>
  <c r="BI150" i="13"/>
  <c r="BJ150" i="13"/>
  <c r="BL150" i="13"/>
  <c r="BF151" i="13"/>
  <c r="BG151" i="13"/>
  <c r="BH151" i="13"/>
  <c r="BI151" i="13"/>
  <c r="BJ151" i="13"/>
  <c r="BL151" i="13"/>
  <c r="BF152" i="13"/>
  <c r="BG152" i="13"/>
  <c r="BH152" i="13"/>
  <c r="BI152" i="13"/>
  <c r="BJ152" i="13"/>
  <c r="BL152" i="13"/>
  <c r="BF153" i="13"/>
  <c r="BG153" i="13"/>
  <c r="BH153" i="13"/>
  <c r="BI153" i="13"/>
  <c r="BJ153" i="13"/>
  <c r="BL153" i="13"/>
  <c r="BF154" i="13"/>
  <c r="BG154" i="13"/>
  <c r="BH154" i="13"/>
  <c r="BI154" i="13"/>
  <c r="BJ154" i="13"/>
  <c r="BL154" i="13"/>
  <c r="BF155" i="13"/>
  <c r="BG155" i="13"/>
  <c r="BH155" i="13"/>
  <c r="BI155" i="13"/>
  <c r="BJ155" i="13"/>
  <c r="BL155" i="13"/>
  <c r="BF156" i="13"/>
  <c r="BG156" i="13"/>
  <c r="BH156" i="13"/>
  <c r="BI156" i="13"/>
  <c r="BJ156" i="13"/>
  <c r="BL156" i="13"/>
  <c r="BF157" i="13"/>
  <c r="BG157" i="13"/>
  <c r="BH157" i="13"/>
  <c r="BI157" i="13"/>
  <c r="BJ157" i="13"/>
  <c r="BL157" i="13"/>
  <c r="BF158" i="13"/>
  <c r="BG158" i="13"/>
  <c r="BH158" i="13"/>
  <c r="BI158" i="13"/>
  <c r="BJ158" i="13"/>
  <c r="BL158" i="13"/>
  <c r="BF159" i="13"/>
  <c r="BG159" i="13"/>
  <c r="BH159" i="13"/>
  <c r="BI159" i="13"/>
  <c r="BJ159" i="13"/>
  <c r="BL159" i="13"/>
  <c r="M35" i="59"/>
  <c r="O35" i="59" s="1"/>
  <c r="N35" i="59"/>
  <c r="M36" i="59"/>
  <c r="O36" i="59" s="1"/>
  <c r="N36" i="59"/>
  <c r="M37" i="59"/>
  <c r="O37" i="59" s="1"/>
  <c r="N37" i="59"/>
  <c r="M38" i="59"/>
  <c r="O38" i="59" s="1"/>
  <c r="N38" i="59"/>
  <c r="M39" i="59"/>
  <c r="O39" i="59" s="1"/>
  <c r="N39" i="59"/>
  <c r="M40" i="59"/>
  <c r="O40" i="59" s="1"/>
  <c r="N40" i="59"/>
  <c r="M41" i="59"/>
  <c r="O41" i="59" s="1"/>
  <c r="N41" i="59"/>
  <c r="M42" i="59"/>
  <c r="O42" i="59" s="1"/>
  <c r="N42" i="59"/>
  <c r="M43" i="59"/>
  <c r="O43" i="59" s="1"/>
  <c r="N43" i="59"/>
  <c r="BF160" i="13"/>
  <c r="BG160" i="13"/>
  <c r="BH160" i="13"/>
  <c r="BI160" i="13"/>
  <c r="BJ160" i="13"/>
  <c r="BL160" i="13"/>
  <c r="BF161" i="13"/>
  <c r="BG161" i="13"/>
  <c r="BH161" i="13"/>
  <c r="BI161" i="13"/>
  <c r="BJ161" i="13"/>
  <c r="BL161" i="13"/>
  <c r="BF162" i="13"/>
  <c r="BG162" i="13"/>
  <c r="BH162" i="13"/>
  <c r="BI162" i="13"/>
  <c r="BJ162" i="13"/>
  <c r="BL162" i="13"/>
  <c r="BF163" i="13"/>
  <c r="BG163" i="13"/>
  <c r="BH163" i="13"/>
  <c r="BI163" i="13"/>
  <c r="BJ163" i="13"/>
  <c r="BL163" i="13"/>
  <c r="BF164" i="13"/>
  <c r="BG164" i="13"/>
  <c r="BH164" i="13"/>
  <c r="BI164" i="13"/>
  <c r="BJ164" i="13"/>
  <c r="BL164" i="13"/>
  <c r="BF165" i="13"/>
  <c r="BG165" i="13"/>
  <c r="BH165" i="13"/>
  <c r="BI165" i="13"/>
  <c r="BJ165" i="13"/>
  <c r="BL165" i="13"/>
  <c r="BF166" i="13"/>
  <c r="BG166" i="13"/>
  <c r="BH166" i="13"/>
  <c r="BI166" i="13"/>
  <c r="BJ166" i="13"/>
  <c r="BL166" i="13"/>
  <c r="BF167" i="13"/>
  <c r="BG167" i="13"/>
  <c r="BH167" i="13"/>
  <c r="BI167" i="13"/>
  <c r="BJ167" i="13"/>
  <c r="BL167" i="13"/>
  <c r="BF168" i="13"/>
  <c r="BG168" i="13"/>
  <c r="BH168" i="13"/>
  <c r="BI168" i="13"/>
  <c r="BJ168" i="13"/>
  <c r="BL168" i="13"/>
  <c r="BF169" i="13"/>
  <c r="BG169" i="13"/>
  <c r="BH169" i="13"/>
  <c r="BI169" i="13"/>
  <c r="BJ169" i="13"/>
  <c r="BL169" i="13"/>
  <c r="BF170" i="13"/>
  <c r="BG170" i="13"/>
  <c r="BH170" i="13"/>
  <c r="BI170" i="13"/>
  <c r="BJ170" i="13"/>
  <c r="BL170" i="13"/>
  <c r="M44" i="59"/>
  <c r="O44" i="59" s="1"/>
  <c r="N44" i="59"/>
  <c r="M45" i="59"/>
  <c r="O45" i="59" s="1"/>
  <c r="N45" i="59"/>
  <c r="M46" i="59"/>
  <c r="O46" i="59" s="1"/>
  <c r="N46" i="59"/>
  <c r="M47" i="59"/>
  <c r="O47" i="59" s="1"/>
  <c r="N47" i="59"/>
  <c r="M48" i="59"/>
  <c r="O48" i="59" s="1"/>
  <c r="N48" i="59"/>
  <c r="M49" i="59"/>
  <c r="O49" i="59" s="1"/>
  <c r="N49" i="59"/>
  <c r="M50" i="59"/>
  <c r="O50" i="59" s="1"/>
  <c r="N50" i="59"/>
  <c r="M51" i="59"/>
  <c r="O51" i="59" s="1"/>
  <c r="N51" i="59"/>
  <c r="M52" i="59"/>
  <c r="O52" i="59" s="1"/>
  <c r="N52" i="59"/>
  <c r="BF171" i="13"/>
  <c r="BG171" i="13"/>
  <c r="BH171" i="13"/>
  <c r="BI171" i="13"/>
  <c r="BJ171" i="13"/>
  <c r="BL171" i="13"/>
  <c r="BF172" i="13"/>
  <c r="BG172" i="13"/>
  <c r="BH172" i="13"/>
  <c r="BI172" i="13"/>
  <c r="BJ172" i="13"/>
  <c r="BL172" i="13"/>
  <c r="BF173" i="13"/>
  <c r="BG173" i="13"/>
  <c r="BH173" i="13"/>
  <c r="BI173" i="13"/>
  <c r="BJ173" i="13"/>
  <c r="BL173" i="13"/>
  <c r="BF174" i="13"/>
  <c r="BG174" i="13"/>
  <c r="BH174" i="13"/>
  <c r="BI174" i="13"/>
  <c r="BJ174" i="13"/>
  <c r="BL174" i="13"/>
  <c r="BF175" i="13"/>
  <c r="BG175" i="13"/>
  <c r="BH175" i="13"/>
  <c r="BI175" i="13"/>
  <c r="BJ175" i="13"/>
  <c r="BL175" i="13"/>
  <c r="BF176" i="13"/>
  <c r="BG176" i="13"/>
  <c r="BH176" i="13"/>
  <c r="BI176" i="13"/>
  <c r="BJ176" i="13"/>
  <c r="BL176" i="13"/>
  <c r="BF177" i="13"/>
  <c r="BG177" i="13"/>
  <c r="BH177" i="13"/>
  <c r="BI177" i="13"/>
  <c r="BJ177" i="13"/>
  <c r="BL177" i="13"/>
  <c r="BF178" i="13"/>
  <c r="BG178" i="13"/>
  <c r="BH178" i="13"/>
  <c r="BI178" i="13"/>
  <c r="BJ178" i="13"/>
  <c r="BL178" i="13"/>
  <c r="BF179" i="13"/>
  <c r="BG179" i="13"/>
  <c r="BH179" i="13"/>
  <c r="BI179" i="13"/>
  <c r="BJ179" i="13"/>
  <c r="BL179" i="13"/>
  <c r="BF180" i="13"/>
  <c r="BG180" i="13"/>
  <c r="BH180" i="13"/>
  <c r="BI180" i="13"/>
  <c r="BJ180" i="13"/>
  <c r="BL180" i="13"/>
  <c r="BF181" i="13"/>
  <c r="BG181" i="13"/>
  <c r="BH181" i="13"/>
  <c r="BI181" i="13"/>
  <c r="BJ181" i="13"/>
  <c r="BL181" i="13"/>
  <c r="M29" i="16"/>
  <c r="L30" i="16"/>
  <c r="N30" i="16" s="1"/>
  <c r="M30" i="16"/>
  <c r="L31" i="16"/>
  <c r="N31" i="16" s="1"/>
  <c r="M31" i="16"/>
  <c r="L32" i="16"/>
  <c r="N32" i="16" s="1"/>
  <c r="M32" i="16"/>
  <c r="L33" i="16"/>
  <c r="N33" i="16" s="1"/>
  <c r="L34" i="16"/>
  <c r="N34" i="16" s="1"/>
  <c r="M34" i="16"/>
  <c r="L35" i="16"/>
  <c r="N35" i="16" s="1"/>
  <c r="M35" i="16"/>
  <c r="M36" i="16"/>
  <c r="L37" i="16"/>
  <c r="N37" i="16" s="1"/>
  <c r="M28" i="16"/>
  <c r="N44" i="16"/>
  <c r="N45" i="16"/>
  <c r="N46" i="16"/>
  <c r="N47" i="16"/>
  <c r="N48" i="16"/>
  <c r="N49" i="16"/>
  <c r="N50" i="16"/>
  <c r="N51" i="16"/>
  <c r="N52" i="16"/>
  <c r="N53" i="16"/>
  <c r="N43" i="16"/>
  <c r="AH8" i="65"/>
  <c r="AH9" i="65"/>
  <c r="AG7" i="65"/>
  <c r="AG8" i="65"/>
  <c r="AG9" i="65"/>
  <c r="AF6" i="65"/>
  <c r="AF9" i="65"/>
  <c r="AE6" i="65"/>
  <c r="AE7" i="65"/>
  <c r="AE8" i="65"/>
  <c r="AE9" i="65"/>
  <c r="AD7" i="65"/>
  <c r="AD8" i="65"/>
  <c r="AD9" i="65"/>
  <c r="AC6" i="65"/>
  <c r="AC7" i="65"/>
  <c r="AC8" i="65"/>
  <c r="AC9" i="65"/>
  <c r="AB8" i="65"/>
  <c r="AB9" i="65"/>
  <c r="AA6" i="65"/>
  <c r="AA7" i="65"/>
  <c r="AA8" i="65"/>
  <c r="AA9" i="65"/>
  <c r="Z6" i="65"/>
  <c r="Z7" i="65"/>
  <c r="Z8" i="65"/>
  <c r="Z9" i="65"/>
  <c r="Y6" i="65"/>
  <c r="Y7" i="65"/>
  <c r="E6" i="66"/>
  <c r="E5" i="66"/>
  <c r="E6" i="16"/>
  <c r="E5" i="16"/>
  <c r="D6" i="73"/>
  <c r="D5" i="73"/>
  <c r="O48" i="73"/>
  <c r="O47" i="73"/>
  <c r="O46" i="73"/>
  <c r="O45" i="73"/>
  <c r="O44" i="73"/>
  <c r="O43" i="73"/>
  <c r="O42" i="73"/>
  <c r="O41" i="73"/>
  <c r="O40" i="73"/>
  <c r="O39" i="73"/>
  <c r="H8" i="73"/>
  <c r="I729" i="12"/>
  <c r="J729" i="12"/>
  <c r="K729" i="12"/>
  <c r="L729" i="12"/>
  <c r="M729" i="12"/>
  <c r="N729" i="12"/>
  <c r="O729" i="12"/>
  <c r="P729" i="12"/>
  <c r="Q729" i="12"/>
  <c r="R729" i="12"/>
  <c r="S729" i="12"/>
  <c r="T729" i="12"/>
  <c r="U729" i="12"/>
  <c r="V729" i="12"/>
  <c r="W729" i="12"/>
  <c r="X729" i="12"/>
  <c r="Y729" i="12"/>
  <c r="Z729" i="12"/>
  <c r="AA729" i="12"/>
  <c r="AB729" i="12"/>
  <c r="AC729" i="12"/>
  <c r="AD729" i="12"/>
  <c r="AE729" i="12"/>
  <c r="AF729" i="12"/>
  <c r="AG729" i="12"/>
  <c r="AH729" i="12"/>
  <c r="AI729" i="12"/>
  <c r="AJ729" i="12"/>
  <c r="AK729" i="12"/>
  <c r="AL729" i="12"/>
  <c r="AM729" i="12"/>
  <c r="AN729" i="12"/>
  <c r="AO729" i="12"/>
  <c r="AP729" i="12"/>
  <c r="AQ729" i="12"/>
  <c r="AR729" i="12"/>
  <c r="AS729" i="12"/>
  <c r="AT729" i="12"/>
  <c r="AU729" i="12"/>
  <c r="BF729" i="12"/>
  <c r="BG729" i="12"/>
  <c r="BH729" i="12"/>
  <c r="BI729" i="12"/>
  <c r="BJ729" i="12"/>
  <c r="I723" i="12"/>
  <c r="J723" i="12"/>
  <c r="K723" i="12"/>
  <c r="L723" i="12"/>
  <c r="M723" i="12"/>
  <c r="N723" i="12"/>
  <c r="O723" i="12"/>
  <c r="P723" i="12"/>
  <c r="Q723" i="12"/>
  <c r="R723" i="12"/>
  <c r="S723" i="12"/>
  <c r="T723" i="12"/>
  <c r="U723" i="12"/>
  <c r="V723" i="12"/>
  <c r="W723" i="12"/>
  <c r="X723" i="12"/>
  <c r="Y723" i="12"/>
  <c r="Z723" i="12"/>
  <c r="AA723" i="12"/>
  <c r="AB723" i="12"/>
  <c r="AC723" i="12"/>
  <c r="AD723" i="12"/>
  <c r="AE723" i="12"/>
  <c r="AF723" i="12"/>
  <c r="AG723" i="12"/>
  <c r="AH723" i="12"/>
  <c r="AI723" i="12"/>
  <c r="AJ723" i="12"/>
  <c r="AK723" i="12"/>
  <c r="AL723" i="12"/>
  <c r="AM723" i="12"/>
  <c r="AN723" i="12"/>
  <c r="AO723" i="12"/>
  <c r="AP723" i="12"/>
  <c r="AQ723" i="12"/>
  <c r="AR723" i="12"/>
  <c r="AS723" i="12"/>
  <c r="AT723" i="12"/>
  <c r="AU723" i="12"/>
  <c r="BF723" i="12"/>
  <c r="BG723" i="12"/>
  <c r="BH723" i="12"/>
  <c r="BI723" i="12"/>
  <c r="BJ723" i="12"/>
  <c r="I724" i="12"/>
  <c r="J724" i="12"/>
  <c r="K724" i="12"/>
  <c r="L724" i="12"/>
  <c r="M724" i="12"/>
  <c r="N724" i="12"/>
  <c r="O724" i="12"/>
  <c r="P724" i="12"/>
  <c r="Q724" i="12"/>
  <c r="R724" i="12"/>
  <c r="S724" i="12"/>
  <c r="T724" i="12"/>
  <c r="U724" i="12"/>
  <c r="V724" i="12"/>
  <c r="W724" i="12"/>
  <c r="X724" i="12"/>
  <c r="Y724" i="12"/>
  <c r="Z724" i="12"/>
  <c r="AA724" i="12"/>
  <c r="AB724" i="12"/>
  <c r="AC724" i="12"/>
  <c r="AD724" i="12"/>
  <c r="AE724" i="12"/>
  <c r="AF724" i="12"/>
  <c r="AG724" i="12"/>
  <c r="AH724" i="12"/>
  <c r="AI724" i="12"/>
  <c r="AJ724" i="12"/>
  <c r="AK724" i="12"/>
  <c r="AL724" i="12"/>
  <c r="AM724" i="12"/>
  <c r="AN724" i="12"/>
  <c r="AO724" i="12"/>
  <c r="AP724" i="12"/>
  <c r="AQ724" i="12"/>
  <c r="AR724" i="12"/>
  <c r="AS724" i="12"/>
  <c r="AT724" i="12"/>
  <c r="AU724" i="12"/>
  <c r="BF724" i="12"/>
  <c r="BG724" i="12"/>
  <c r="BH724" i="12"/>
  <c r="BI724" i="12"/>
  <c r="BJ724" i="12"/>
  <c r="I725" i="12"/>
  <c r="J725" i="12"/>
  <c r="K725" i="12"/>
  <c r="L725" i="12"/>
  <c r="M725" i="12"/>
  <c r="N725" i="12"/>
  <c r="O725" i="12"/>
  <c r="P725" i="12"/>
  <c r="Q725" i="12"/>
  <c r="R725" i="12"/>
  <c r="S725" i="12"/>
  <c r="T725" i="12"/>
  <c r="U725" i="12"/>
  <c r="V725" i="12"/>
  <c r="W725" i="12"/>
  <c r="X725" i="12"/>
  <c r="Y725" i="12"/>
  <c r="Z725" i="12"/>
  <c r="AA725" i="12"/>
  <c r="AB725" i="12"/>
  <c r="AC725" i="12"/>
  <c r="AD725" i="12"/>
  <c r="AE725" i="12"/>
  <c r="AF725" i="12"/>
  <c r="AG725" i="12"/>
  <c r="AH725" i="12"/>
  <c r="AI725" i="12"/>
  <c r="AJ725" i="12"/>
  <c r="AK725" i="12"/>
  <c r="AL725" i="12"/>
  <c r="AM725" i="12"/>
  <c r="AN725" i="12"/>
  <c r="AO725" i="12"/>
  <c r="AP725" i="12"/>
  <c r="AQ725" i="12"/>
  <c r="AR725" i="12"/>
  <c r="AS725" i="12"/>
  <c r="AT725" i="12"/>
  <c r="AU725" i="12"/>
  <c r="BF725" i="12"/>
  <c r="BG725" i="12"/>
  <c r="BH725" i="12"/>
  <c r="BI725" i="12"/>
  <c r="BJ725" i="12"/>
  <c r="I726" i="12"/>
  <c r="J726" i="12"/>
  <c r="K726" i="12"/>
  <c r="L726" i="12"/>
  <c r="M726" i="12"/>
  <c r="N726" i="12"/>
  <c r="O726" i="12"/>
  <c r="P726" i="12"/>
  <c r="Q726" i="12"/>
  <c r="R726" i="12"/>
  <c r="S726" i="12"/>
  <c r="T726" i="12"/>
  <c r="U726" i="12"/>
  <c r="V726" i="12"/>
  <c r="W726" i="12"/>
  <c r="X726" i="12"/>
  <c r="Y726" i="12"/>
  <c r="Z726" i="12"/>
  <c r="AA726" i="12"/>
  <c r="AB726" i="12"/>
  <c r="AC726" i="12"/>
  <c r="AD726" i="12"/>
  <c r="AE726" i="12"/>
  <c r="AF726" i="12"/>
  <c r="AG726" i="12"/>
  <c r="AH726" i="12"/>
  <c r="AI726" i="12"/>
  <c r="AJ726" i="12"/>
  <c r="AK726" i="12"/>
  <c r="AL726" i="12"/>
  <c r="AM726" i="12"/>
  <c r="AN726" i="12"/>
  <c r="AO726" i="12"/>
  <c r="AP726" i="12"/>
  <c r="AQ726" i="12"/>
  <c r="AR726" i="12"/>
  <c r="AS726" i="12"/>
  <c r="AT726" i="12"/>
  <c r="AU726" i="12"/>
  <c r="BF726" i="12"/>
  <c r="BG726" i="12"/>
  <c r="BH726" i="12"/>
  <c r="BI726" i="12"/>
  <c r="BJ726" i="12"/>
  <c r="I727" i="12"/>
  <c r="J727" i="12"/>
  <c r="K727" i="12"/>
  <c r="L727" i="12"/>
  <c r="M727" i="12"/>
  <c r="N727" i="12"/>
  <c r="O727" i="12"/>
  <c r="P727" i="12"/>
  <c r="Q727" i="12"/>
  <c r="R727" i="12"/>
  <c r="S727" i="12"/>
  <c r="T727" i="12"/>
  <c r="U727" i="12"/>
  <c r="V727" i="12"/>
  <c r="W727" i="12"/>
  <c r="X727" i="12"/>
  <c r="Y727" i="12"/>
  <c r="Z727" i="12"/>
  <c r="AA727" i="12"/>
  <c r="AB727" i="12"/>
  <c r="AC727" i="12"/>
  <c r="AD727" i="12"/>
  <c r="AE727" i="12"/>
  <c r="AF727" i="12"/>
  <c r="AG727" i="12"/>
  <c r="AH727" i="12"/>
  <c r="AI727" i="12"/>
  <c r="AJ727" i="12"/>
  <c r="AK727" i="12"/>
  <c r="AL727" i="12"/>
  <c r="AM727" i="12"/>
  <c r="AN727" i="12"/>
  <c r="AO727" i="12"/>
  <c r="AP727" i="12"/>
  <c r="AQ727" i="12"/>
  <c r="AR727" i="12"/>
  <c r="AS727" i="12"/>
  <c r="AT727" i="12"/>
  <c r="AU727" i="12"/>
  <c r="BF727" i="12"/>
  <c r="BG727" i="12"/>
  <c r="BH727" i="12"/>
  <c r="BI727" i="12"/>
  <c r="BJ727" i="12"/>
  <c r="I719" i="12"/>
  <c r="J719" i="12"/>
  <c r="K719" i="12"/>
  <c r="L719" i="12"/>
  <c r="M719" i="12"/>
  <c r="N719" i="12"/>
  <c r="O719" i="12"/>
  <c r="P719" i="12"/>
  <c r="Q719" i="12"/>
  <c r="R719" i="12"/>
  <c r="S719" i="12"/>
  <c r="T719" i="12"/>
  <c r="U719" i="12"/>
  <c r="V719" i="12"/>
  <c r="W719" i="12"/>
  <c r="X719" i="12"/>
  <c r="Y719" i="12"/>
  <c r="Z719" i="12"/>
  <c r="AA719" i="12"/>
  <c r="AB719" i="12"/>
  <c r="AC719" i="12"/>
  <c r="AD719" i="12"/>
  <c r="AE719" i="12"/>
  <c r="AF719" i="12"/>
  <c r="AG719" i="12"/>
  <c r="AH719" i="12"/>
  <c r="AI719" i="12"/>
  <c r="AJ719" i="12"/>
  <c r="AK719" i="12"/>
  <c r="AL719" i="12"/>
  <c r="AM719" i="12"/>
  <c r="AN719" i="12"/>
  <c r="AO719" i="12"/>
  <c r="AP719" i="12"/>
  <c r="AQ719" i="12"/>
  <c r="AR719" i="12"/>
  <c r="AS719" i="12"/>
  <c r="AT719" i="12"/>
  <c r="AU719" i="12"/>
  <c r="BF719" i="12"/>
  <c r="BG719" i="12"/>
  <c r="BH719" i="12"/>
  <c r="BI719" i="12"/>
  <c r="BJ719" i="12"/>
  <c r="I720" i="12"/>
  <c r="J720" i="12"/>
  <c r="K720" i="12"/>
  <c r="L720" i="12"/>
  <c r="M720" i="12"/>
  <c r="N720" i="12"/>
  <c r="O720" i="12"/>
  <c r="P720" i="12"/>
  <c r="Q720" i="12"/>
  <c r="R720" i="12"/>
  <c r="S720" i="12"/>
  <c r="T720" i="12"/>
  <c r="U720" i="12"/>
  <c r="V720" i="12"/>
  <c r="W720" i="12"/>
  <c r="X720" i="12"/>
  <c r="Y720" i="12"/>
  <c r="Z720" i="12"/>
  <c r="AA720" i="12"/>
  <c r="AB720" i="12"/>
  <c r="AC720" i="12"/>
  <c r="AD720" i="12"/>
  <c r="AE720" i="12"/>
  <c r="AF720" i="12"/>
  <c r="AG720" i="12"/>
  <c r="AH720" i="12"/>
  <c r="AI720" i="12"/>
  <c r="AJ720" i="12"/>
  <c r="AK720" i="12"/>
  <c r="AL720" i="12"/>
  <c r="AM720" i="12"/>
  <c r="AN720" i="12"/>
  <c r="AO720" i="12"/>
  <c r="AP720" i="12"/>
  <c r="AQ720" i="12"/>
  <c r="AR720" i="12"/>
  <c r="AS720" i="12"/>
  <c r="AT720" i="12"/>
  <c r="AU720" i="12"/>
  <c r="BF720" i="12"/>
  <c r="BG720" i="12"/>
  <c r="BH720" i="12"/>
  <c r="BI720" i="12"/>
  <c r="BJ720" i="12"/>
  <c r="I721" i="12"/>
  <c r="J721" i="12"/>
  <c r="K721" i="12"/>
  <c r="L721" i="12"/>
  <c r="M721" i="12"/>
  <c r="N721" i="12"/>
  <c r="O721" i="12"/>
  <c r="P721" i="12"/>
  <c r="Q721" i="12"/>
  <c r="R721" i="12"/>
  <c r="S721" i="12"/>
  <c r="T721" i="12"/>
  <c r="U721" i="12"/>
  <c r="V721" i="12"/>
  <c r="W721" i="12"/>
  <c r="X721" i="12"/>
  <c r="Y721" i="12"/>
  <c r="Z721" i="12"/>
  <c r="AA721" i="12"/>
  <c r="AB721" i="12"/>
  <c r="AC721" i="12"/>
  <c r="AD721" i="12"/>
  <c r="AE721" i="12"/>
  <c r="AF721" i="12"/>
  <c r="AG721" i="12"/>
  <c r="AH721" i="12"/>
  <c r="AI721" i="12"/>
  <c r="AJ721" i="12"/>
  <c r="AK721" i="12"/>
  <c r="AL721" i="12"/>
  <c r="AM721" i="12"/>
  <c r="AN721" i="12"/>
  <c r="AO721" i="12"/>
  <c r="AP721" i="12"/>
  <c r="AQ721" i="12"/>
  <c r="AR721" i="12"/>
  <c r="AS721" i="12"/>
  <c r="AT721" i="12"/>
  <c r="AU721" i="12"/>
  <c r="BF721" i="12"/>
  <c r="BG721" i="12"/>
  <c r="BH721" i="12"/>
  <c r="BI721" i="12"/>
  <c r="BJ721" i="12"/>
  <c r="I722" i="12"/>
  <c r="J722" i="12"/>
  <c r="K722" i="12"/>
  <c r="L722" i="12"/>
  <c r="M722" i="12"/>
  <c r="N722" i="12"/>
  <c r="O722" i="12"/>
  <c r="P722" i="12"/>
  <c r="Q722" i="12"/>
  <c r="R722" i="12"/>
  <c r="S722" i="12"/>
  <c r="T722" i="12"/>
  <c r="U722" i="12"/>
  <c r="V722" i="12"/>
  <c r="W722" i="12"/>
  <c r="X722" i="12"/>
  <c r="Y722" i="12"/>
  <c r="Z722" i="12"/>
  <c r="AA722" i="12"/>
  <c r="AB722" i="12"/>
  <c r="AC722" i="12"/>
  <c r="AD722" i="12"/>
  <c r="AE722" i="12"/>
  <c r="AF722" i="12"/>
  <c r="AG722" i="12"/>
  <c r="AH722" i="12"/>
  <c r="AI722" i="12"/>
  <c r="AJ722" i="12"/>
  <c r="AK722" i="12"/>
  <c r="AL722" i="12"/>
  <c r="AM722" i="12"/>
  <c r="AN722" i="12"/>
  <c r="AO722" i="12"/>
  <c r="AP722" i="12"/>
  <c r="AQ722" i="12"/>
  <c r="AR722" i="12"/>
  <c r="AS722" i="12"/>
  <c r="AT722" i="12"/>
  <c r="AU722" i="12"/>
  <c r="BF722" i="12"/>
  <c r="BG722" i="12"/>
  <c r="BH722" i="12"/>
  <c r="BI722" i="12"/>
  <c r="BJ722" i="12"/>
  <c r="I728" i="12"/>
  <c r="J728" i="12"/>
  <c r="K728" i="12"/>
  <c r="L728" i="12"/>
  <c r="M728" i="12"/>
  <c r="N728" i="12"/>
  <c r="O728" i="12"/>
  <c r="P728" i="12"/>
  <c r="Q728" i="12"/>
  <c r="R728" i="12"/>
  <c r="S728" i="12"/>
  <c r="T728" i="12"/>
  <c r="U728" i="12"/>
  <c r="V728" i="12"/>
  <c r="W728" i="12"/>
  <c r="X728" i="12"/>
  <c r="Y728" i="12"/>
  <c r="Z728" i="12"/>
  <c r="AA728" i="12"/>
  <c r="AB728" i="12"/>
  <c r="AC728" i="12"/>
  <c r="AD728" i="12"/>
  <c r="AE728" i="12"/>
  <c r="AF728" i="12"/>
  <c r="AG728" i="12"/>
  <c r="AH728" i="12"/>
  <c r="AI728" i="12"/>
  <c r="AJ728" i="12"/>
  <c r="AK728" i="12"/>
  <c r="AL728" i="12"/>
  <c r="AM728" i="12"/>
  <c r="AN728" i="12"/>
  <c r="AO728" i="12"/>
  <c r="AP728" i="12"/>
  <c r="AQ728" i="12"/>
  <c r="AR728" i="12"/>
  <c r="AS728" i="12"/>
  <c r="AT728" i="12"/>
  <c r="AU728" i="12"/>
  <c r="BF728" i="12"/>
  <c r="BG728" i="12"/>
  <c r="BH728" i="12"/>
  <c r="BI728" i="12"/>
  <c r="BJ728" i="12"/>
  <c r="AQ5" i="12"/>
  <c r="AQ6" i="12"/>
  <c r="AQ7" i="12"/>
  <c r="AQ8" i="12"/>
  <c r="AQ9" i="12"/>
  <c r="AQ10" i="12"/>
  <c r="AQ11" i="12"/>
  <c r="AQ12" i="12"/>
  <c r="AQ13" i="12"/>
  <c r="AQ14" i="12"/>
  <c r="AQ15" i="12"/>
  <c r="AQ16" i="12"/>
  <c r="AQ17" i="12"/>
  <c r="AQ18" i="12"/>
  <c r="AQ19" i="12"/>
  <c r="AQ20" i="12"/>
  <c r="AQ21" i="12"/>
  <c r="AQ22" i="12"/>
  <c r="AQ23" i="12"/>
  <c r="AQ24" i="12"/>
  <c r="AQ25" i="12"/>
  <c r="AQ26" i="12"/>
  <c r="AQ27" i="12"/>
  <c r="AQ28" i="12"/>
  <c r="AQ29" i="12"/>
  <c r="AQ30" i="12"/>
  <c r="AQ31" i="12"/>
  <c r="AQ32" i="12"/>
  <c r="AQ33" i="12"/>
  <c r="AQ34" i="12"/>
  <c r="AQ35" i="12"/>
  <c r="AQ36" i="12"/>
  <c r="AQ37" i="12"/>
  <c r="AQ38" i="12"/>
  <c r="AQ39" i="12"/>
  <c r="AQ40" i="12"/>
  <c r="AQ41" i="12"/>
  <c r="AQ42" i="12"/>
  <c r="AQ43" i="12"/>
  <c r="AQ44" i="12"/>
  <c r="AQ45" i="12"/>
  <c r="AQ46" i="12"/>
  <c r="AQ47" i="12"/>
  <c r="AQ48" i="12"/>
  <c r="AQ49" i="12"/>
  <c r="AQ50" i="12"/>
  <c r="AQ51" i="12"/>
  <c r="AQ52" i="12"/>
  <c r="AQ53" i="12"/>
  <c r="AQ54" i="12"/>
  <c r="AQ55" i="12"/>
  <c r="AQ56" i="12"/>
  <c r="AQ57" i="12"/>
  <c r="AQ58" i="12"/>
  <c r="AQ59" i="12"/>
  <c r="AQ60" i="12"/>
  <c r="AQ61" i="12"/>
  <c r="AQ62" i="12"/>
  <c r="AQ63" i="12"/>
  <c r="AQ64" i="12"/>
  <c r="AQ65" i="12"/>
  <c r="AQ66" i="12"/>
  <c r="AQ67" i="12"/>
  <c r="AQ68" i="12"/>
  <c r="AQ69" i="12"/>
  <c r="AQ70" i="12"/>
  <c r="AQ71" i="12"/>
  <c r="AQ72" i="12"/>
  <c r="AQ73" i="12"/>
  <c r="AQ74" i="12"/>
  <c r="AQ75" i="12"/>
  <c r="AQ76" i="12"/>
  <c r="AQ77" i="12"/>
  <c r="AQ78" i="12"/>
  <c r="AQ79" i="12"/>
  <c r="AQ80" i="12"/>
  <c r="AQ81" i="12"/>
  <c r="AQ82" i="12"/>
  <c r="AQ83" i="12"/>
  <c r="AQ84" i="12"/>
  <c r="AQ85" i="12"/>
  <c r="AQ86" i="12"/>
  <c r="AQ87" i="12"/>
  <c r="AQ88" i="12"/>
  <c r="AQ89" i="12"/>
  <c r="AQ90" i="12"/>
  <c r="AQ91" i="12"/>
  <c r="AQ92" i="12"/>
  <c r="AQ93" i="12"/>
  <c r="AQ94" i="12"/>
  <c r="AQ95" i="12"/>
  <c r="AQ96" i="12"/>
  <c r="AQ97" i="12"/>
  <c r="AQ98" i="12"/>
  <c r="AQ99" i="12"/>
  <c r="AQ100" i="12"/>
  <c r="AQ101" i="12"/>
  <c r="AQ102" i="12"/>
  <c r="AQ103" i="12"/>
  <c r="AQ104" i="12"/>
  <c r="AQ105" i="12"/>
  <c r="AQ106" i="12"/>
  <c r="AQ107" i="12"/>
  <c r="AQ108" i="12"/>
  <c r="AQ109" i="12"/>
  <c r="AQ110" i="12"/>
  <c r="AQ111" i="12"/>
  <c r="AQ112" i="12"/>
  <c r="AQ113" i="12"/>
  <c r="AQ114" i="12"/>
  <c r="AQ115" i="12"/>
  <c r="AQ116" i="12"/>
  <c r="AQ117" i="12"/>
  <c r="AQ118" i="12"/>
  <c r="AQ119" i="12"/>
  <c r="AQ120" i="12"/>
  <c r="AQ121" i="12"/>
  <c r="AQ122" i="12"/>
  <c r="AQ123" i="12"/>
  <c r="AQ124" i="12"/>
  <c r="AQ125" i="12"/>
  <c r="AQ126" i="12"/>
  <c r="AQ127" i="12"/>
  <c r="AQ128" i="12"/>
  <c r="AQ129" i="12"/>
  <c r="AQ130" i="12"/>
  <c r="AQ131" i="12"/>
  <c r="AQ132" i="12"/>
  <c r="AQ133" i="12"/>
  <c r="AQ134" i="12"/>
  <c r="AQ135" i="12"/>
  <c r="AQ136" i="12"/>
  <c r="AQ137" i="12"/>
  <c r="AQ138" i="12"/>
  <c r="AQ139" i="12"/>
  <c r="AQ140" i="12"/>
  <c r="AQ141" i="12"/>
  <c r="AQ142" i="12"/>
  <c r="AQ143" i="12"/>
  <c r="AQ144" i="12"/>
  <c r="AQ145" i="12"/>
  <c r="AQ146" i="12"/>
  <c r="AQ147" i="12"/>
  <c r="AQ148" i="12"/>
  <c r="AQ149" i="12"/>
  <c r="AQ150" i="12"/>
  <c r="AQ151" i="12"/>
  <c r="AQ152" i="12"/>
  <c r="AQ153" i="12"/>
  <c r="AQ154" i="12"/>
  <c r="AQ155" i="12"/>
  <c r="AQ156" i="12"/>
  <c r="AQ157" i="12"/>
  <c r="AQ158" i="12"/>
  <c r="AQ159" i="12"/>
  <c r="AQ160" i="12"/>
  <c r="AQ161" i="12"/>
  <c r="AQ162" i="12"/>
  <c r="AQ163" i="12"/>
  <c r="AQ164" i="12"/>
  <c r="AQ165" i="12"/>
  <c r="AQ166" i="12"/>
  <c r="AQ167" i="12"/>
  <c r="AQ168" i="12"/>
  <c r="AQ169" i="12"/>
  <c r="AQ170" i="12"/>
  <c r="AQ171" i="12"/>
  <c r="AQ172" i="12"/>
  <c r="AQ173" i="12"/>
  <c r="AQ174" i="12"/>
  <c r="AQ175" i="12"/>
  <c r="AQ176" i="12"/>
  <c r="AQ177" i="12"/>
  <c r="AQ178" i="12"/>
  <c r="AQ179" i="12"/>
  <c r="AQ180" i="12"/>
  <c r="AQ181" i="12"/>
  <c r="AQ182" i="12"/>
  <c r="AQ183" i="12"/>
  <c r="AQ184" i="12"/>
  <c r="AQ185" i="12"/>
  <c r="AQ186" i="12"/>
  <c r="AQ187" i="12"/>
  <c r="AQ188" i="12"/>
  <c r="AQ189" i="12"/>
  <c r="AQ190" i="12"/>
  <c r="AQ191" i="12"/>
  <c r="AQ192" i="12"/>
  <c r="AQ193" i="12"/>
  <c r="AQ194" i="12"/>
  <c r="AQ195" i="12"/>
  <c r="AQ196" i="12"/>
  <c r="AQ197" i="12"/>
  <c r="AQ198" i="12"/>
  <c r="AQ199" i="12"/>
  <c r="AQ200" i="12"/>
  <c r="AQ201" i="12"/>
  <c r="AQ202" i="12"/>
  <c r="AQ203" i="12"/>
  <c r="AQ204" i="12"/>
  <c r="AQ205" i="12"/>
  <c r="AQ206" i="12"/>
  <c r="AQ207" i="12"/>
  <c r="AQ208" i="12"/>
  <c r="AQ209" i="12"/>
  <c r="AQ210" i="12"/>
  <c r="AQ211" i="12"/>
  <c r="AQ212" i="12"/>
  <c r="AQ213" i="12"/>
  <c r="AQ214" i="12"/>
  <c r="AQ215" i="12"/>
  <c r="AQ216" i="12"/>
  <c r="AQ217" i="12"/>
  <c r="AQ218" i="12"/>
  <c r="AQ219" i="12"/>
  <c r="AQ220" i="12"/>
  <c r="AQ221" i="12"/>
  <c r="AQ222" i="12"/>
  <c r="AQ223" i="12"/>
  <c r="AQ224" i="12"/>
  <c r="AQ225" i="12"/>
  <c r="AQ226" i="12"/>
  <c r="AQ227" i="12"/>
  <c r="AQ228" i="12"/>
  <c r="AQ229" i="12"/>
  <c r="AQ230" i="12"/>
  <c r="AQ231" i="12"/>
  <c r="AQ232" i="12"/>
  <c r="AQ233" i="12"/>
  <c r="AQ234" i="12"/>
  <c r="AQ235" i="12"/>
  <c r="AQ236" i="12"/>
  <c r="AQ237" i="12"/>
  <c r="AQ238" i="12"/>
  <c r="AQ239" i="12"/>
  <c r="AQ240" i="12"/>
  <c r="AQ241" i="12"/>
  <c r="AQ242" i="12"/>
  <c r="AQ243" i="12"/>
  <c r="AQ244" i="12"/>
  <c r="AQ245" i="12"/>
  <c r="AQ246" i="12"/>
  <c r="AQ247" i="12"/>
  <c r="AQ248" i="12"/>
  <c r="AQ249" i="12"/>
  <c r="AQ250" i="12"/>
  <c r="AQ251" i="12"/>
  <c r="AQ252" i="12"/>
  <c r="AQ253" i="12"/>
  <c r="AQ254" i="12"/>
  <c r="AQ255" i="12"/>
  <c r="AQ256" i="12"/>
  <c r="AQ257" i="12"/>
  <c r="AQ258" i="12"/>
  <c r="AQ259" i="12"/>
  <c r="AQ260" i="12"/>
  <c r="AQ261" i="12"/>
  <c r="AQ262" i="12"/>
  <c r="AQ263" i="12"/>
  <c r="AQ264" i="12"/>
  <c r="AQ265" i="12"/>
  <c r="AQ266" i="12"/>
  <c r="AQ267" i="12"/>
  <c r="AQ268" i="12"/>
  <c r="AQ269" i="12"/>
  <c r="AQ270" i="12"/>
  <c r="AQ271" i="12"/>
  <c r="AQ272" i="12"/>
  <c r="AQ273" i="12"/>
  <c r="AQ274" i="12"/>
  <c r="AQ275" i="12"/>
  <c r="AQ276" i="12"/>
  <c r="AQ277" i="12"/>
  <c r="AQ278" i="12"/>
  <c r="AQ279" i="12"/>
  <c r="AQ280" i="12"/>
  <c r="AQ281" i="12"/>
  <c r="AQ282" i="12"/>
  <c r="AQ283" i="12"/>
  <c r="AQ284" i="12"/>
  <c r="AQ285" i="12"/>
  <c r="AQ286" i="12"/>
  <c r="AQ287" i="12"/>
  <c r="AQ288" i="12"/>
  <c r="AQ289" i="12"/>
  <c r="AQ290" i="12"/>
  <c r="AQ291" i="12"/>
  <c r="AQ292" i="12"/>
  <c r="AQ293" i="12"/>
  <c r="AQ294" i="12"/>
  <c r="AQ295" i="12"/>
  <c r="AQ296" i="12"/>
  <c r="AQ297" i="12"/>
  <c r="AQ298" i="12"/>
  <c r="AQ299" i="12"/>
  <c r="AQ300" i="12"/>
  <c r="AQ301" i="12"/>
  <c r="AQ302" i="12"/>
  <c r="AQ303" i="12"/>
  <c r="AQ304" i="12"/>
  <c r="AQ305" i="12"/>
  <c r="AQ306" i="12"/>
  <c r="AQ307" i="12"/>
  <c r="AQ308" i="12"/>
  <c r="AQ309" i="12"/>
  <c r="AQ310" i="12"/>
  <c r="AQ311" i="12"/>
  <c r="AQ312" i="12"/>
  <c r="AQ313" i="12"/>
  <c r="AQ314" i="12"/>
  <c r="AQ315" i="12"/>
  <c r="AQ316" i="12"/>
  <c r="AQ317" i="12"/>
  <c r="AQ318" i="12"/>
  <c r="AQ319" i="12"/>
  <c r="AQ320" i="12"/>
  <c r="AQ321" i="12"/>
  <c r="AQ322" i="12"/>
  <c r="AQ323" i="12"/>
  <c r="AQ324" i="12"/>
  <c r="AQ325" i="12"/>
  <c r="AQ326" i="12"/>
  <c r="AQ327" i="12"/>
  <c r="AQ328" i="12"/>
  <c r="AQ329" i="12"/>
  <c r="AQ330" i="12"/>
  <c r="AQ331" i="12"/>
  <c r="AQ332" i="12"/>
  <c r="AQ333" i="12"/>
  <c r="AQ334" i="12"/>
  <c r="AQ335" i="12"/>
  <c r="AQ336" i="12"/>
  <c r="AQ337" i="12"/>
  <c r="AQ338" i="12"/>
  <c r="AQ339" i="12"/>
  <c r="AQ340" i="12"/>
  <c r="AQ341" i="12"/>
  <c r="AQ342" i="12"/>
  <c r="AQ343" i="12"/>
  <c r="AQ344" i="12"/>
  <c r="AQ345" i="12"/>
  <c r="AQ346" i="12"/>
  <c r="AQ347" i="12"/>
  <c r="AQ348" i="12"/>
  <c r="AQ349" i="12"/>
  <c r="AQ350" i="12"/>
  <c r="AQ351" i="12"/>
  <c r="AQ352" i="12"/>
  <c r="AQ353" i="12"/>
  <c r="AQ354" i="12"/>
  <c r="AQ355" i="12"/>
  <c r="AQ356" i="12"/>
  <c r="AQ357" i="12"/>
  <c r="AQ358" i="12"/>
  <c r="AQ359" i="12"/>
  <c r="AQ360" i="12"/>
  <c r="AQ361" i="12"/>
  <c r="AQ362" i="12"/>
  <c r="AQ363" i="12"/>
  <c r="AQ364" i="12"/>
  <c r="AQ365" i="12"/>
  <c r="AQ366" i="12"/>
  <c r="AQ367" i="12"/>
  <c r="AQ368" i="12"/>
  <c r="AQ369" i="12"/>
  <c r="AQ370" i="12"/>
  <c r="AQ371" i="12"/>
  <c r="AQ372" i="12"/>
  <c r="AQ373" i="12"/>
  <c r="AQ374" i="12"/>
  <c r="AQ375" i="12"/>
  <c r="AQ376" i="12"/>
  <c r="AQ377" i="12"/>
  <c r="AQ378" i="12"/>
  <c r="AQ379" i="12"/>
  <c r="AQ380" i="12"/>
  <c r="AQ381" i="12"/>
  <c r="AQ382" i="12"/>
  <c r="AQ383" i="12"/>
  <c r="AQ384" i="12"/>
  <c r="AQ385" i="12"/>
  <c r="AQ386" i="12"/>
  <c r="AQ387" i="12"/>
  <c r="AQ388" i="12"/>
  <c r="AQ389" i="12"/>
  <c r="AQ390" i="12"/>
  <c r="AQ391" i="12"/>
  <c r="AQ392" i="12"/>
  <c r="AQ393" i="12"/>
  <c r="AQ394" i="12"/>
  <c r="AQ395" i="12"/>
  <c r="AQ396" i="12"/>
  <c r="AQ397" i="12"/>
  <c r="AQ398" i="12"/>
  <c r="AQ399" i="12"/>
  <c r="AQ400" i="12"/>
  <c r="AQ401" i="12"/>
  <c r="AQ402" i="12"/>
  <c r="AQ403" i="12"/>
  <c r="AQ404" i="12"/>
  <c r="AQ405" i="12"/>
  <c r="AQ406" i="12"/>
  <c r="AQ407" i="12"/>
  <c r="AQ408" i="12"/>
  <c r="AQ409" i="12"/>
  <c r="AQ410" i="12"/>
  <c r="AQ411" i="12"/>
  <c r="AQ412" i="12"/>
  <c r="AQ413" i="12"/>
  <c r="AQ414" i="12"/>
  <c r="AQ415" i="12"/>
  <c r="AQ416" i="12"/>
  <c r="AQ417" i="12"/>
  <c r="AQ418" i="12"/>
  <c r="AQ419" i="12"/>
  <c r="AQ420" i="12"/>
  <c r="AQ421" i="12"/>
  <c r="AQ422" i="12"/>
  <c r="AQ423" i="12"/>
  <c r="AQ424" i="12"/>
  <c r="AQ425" i="12"/>
  <c r="AQ426" i="12"/>
  <c r="AQ427" i="12"/>
  <c r="AQ428" i="12"/>
  <c r="AQ429" i="12"/>
  <c r="AQ430" i="12"/>
  <c r="AQ431" i="12"/>
  <c r="AQ432" i="12"/>
  <c r="AQ433" i="12"/>
  <c r="AQ434" i="12"/>
  <c r="AQ435" i="12"/>
  <c r="AQ436" i="12"/>
  <c r="AQ437" i="12"/>
  <c r="AQ438" i="12"/>
  <c r="AQ439" i="12"/>
  <c r="AQ440" i="12"/>
  <c r="AQ441" i="12"/>
  <c r="AQ442" i="12"/>
  <c r="AQ443" i="12"/>
  <c r="AQ444" i="12"/>
  <c r="AQ445" i="12"/>
  <c r="AQ446" i="12"/>
  <c r="AQ447" i="12"/>
  <c r="AQ448" i="12"/>
  <c r="AQ449" i="12"/>
  <c r="AQ450" i="12"/>
  <c r="AQ451" i="12"/>
  <c r="AQ452" i="12"/>
  <c r="AQ453" i="12"/>
  <c r="AQ454" i="12"/>
  <c r="AQ455" i="12"/>
  <c r="AQ456" i="12"/>
  <c r="AQ457" i="12"/>
  <c r="AQ458" i="12"/>
  <c r="AQ459" i="12"/>
  <c r="AQ460" i="12"/>
  <c r="AQ461" i="12"/>
  <c r="AQ462" i="12"/>
  <c r="AQ463" i="12"/>
  <c r="AQ464" i="12"/>
  <c r="AQ465" i="12"/>
  <c r="AQ466" i="12"/>
  <c r="AQ467" i="12"/>
  <c r="AQ468" i="12"/>
  <c r="AQ469" i="12"/>
  <c r="AQ470" i="12"/>
  <c r="AQ471" i="12"/>
  <c r="AQ472" i="12"/>
  <c r="AQ473" i="12"/>
  <c r="AQ474" i="12"/>
  <c r="AQ475" i="12"/>
  <c r="AQ476" i="12"/>
  <c r="AQ477" i="12"/>
  <c r="AQ478" i="12"/>
  <c r="AQ479" i="12"/>
  <c r="AQ480" i="12"/>
  <c r="AQ481" i="12"/>
  <c r="AQ482" i="12"/>
  <c r="AQ483" i="12"/>
  <c r="AQ484" i="12"/>
  <c r="AQ485" i="12"/>
  <c r="AQ486" i="12"/>
  <c r="AQ487" i="12"/>
  <c r="AQ488" i="12"/>
  <c r="AQ489" i="12"/>
  <c r="AQ490" i="12"/>
  <c r="AQ491" i="12"/>
  <c r="AQ492" i="12"/>
  <c r="AQ493" i="12"/>
  <c r="AQ494" i="12"/>
  <c r="AQ495" i="12"/>
  <c r="AQ496" i="12"/>
  <c r="AQ497" i="12"/>
  <c r="AQ498" i="12"/>
  <c r="AQ499" i="12"/>
  <c r="AQ500" i="12"/>
  <c r="AQ501" i="12"/>
  <c r="AQ502" i="12"/>
  <c r="AQ503" i="12"/>
  <c r="AQ504" i="12"/>
  <c r="AQ505" i="12"/>
  <c r="AQ506" i="12"/>
  <c r="AQ507" i="12"/>
  <c r="AQ508" i="12"/>
  <c r="AQ509" i="12"/>
  <c r="AQ510" i="12"/>
  <c r="AQ511" i="12"/>
  <c r="AQ512" i="12"/>
  <c r="AQ513" i="12"/>
  <c r="AQ514" i="12"/>
  <c r="AQ515" i="12"/>
  <c r="AQ516" i="12"/>
  <c r="AQ517" i="12"/>
  <c r="AQ518" i="12"/>
  <c r="AQ519" i="12"/>
  <c r="AQ520" i="12"/>
  <c r="AQ521" i="12"/>
  <c r="AQ522" i="12"/>
  <c r="AQ523" i="12"/>
  <c r="AQ524" i="12"/>
  <c r="AQ525" i="12"/>
  <c r="AQ526" i="12"/>
  <c r="AQ527" i="12"/>
  <c r="AQ528" i="12"/>
  <c r="AQ529" i="12"/>
  <c r="AQ530" i="12"/>
  <c r="AQ531" i="12"/>
  <c r="AQ532" i="12"/>
  <c r="AQ533" i="12"/>
  <c r="AQ534" i="12"/>
  <c r="AQ535" i="12"/>
  <c r="AQ536" i="12"/>
  <c r="AQ537" i="12"/>
  <c r="AQ538" i="12"/>
  <c r="AQ539" i="12"/>
  <c r="AQ540" i="12"/>
  <c r="AQ541" i="12"/>
  <c r="AQ542" i="12"/>
  <c r="AQ543" i="12"/>
  <c r="AQ544" i="12"/>
  <c r="AQ545" i="12"/>
  <c r="AQ546" i="12"/>
  <c r="AQ547" i="12"/>
  <c r="AQ548" i="12"/>
  <c r="AQ549" i="12"/>
  <c r="AQ550" i="12"/>
  <c r="AQ551" i="12"/>
  <c r="AQ552" i="12"/>
  <c r="AQ553" i="12"/>
  <c r="AQ554" i="12"/>
  <c r="AQ555" i="12"/>
  <c r="AQ556" i="12"/>
  <c r="AQ557" i="12"/>
  <c r="AQ558" i="12"/>
  <c r="AQ559" i="12"/>
  <c r="AQ560" i="12"/>
  <c r="AQ561" i="12"/>
  <c r="AQ562" i="12"/>
  <c r="AQ563" i="12"/>
  <c r="AQ564" i="12"/>
  <c r="AQ565" i="12"/>
  <c r="AQ566" i="12"/>
  <c r="AQ567" i="12"/>
  <c r="AQ568" i="12"/>
  <c r="AQ569" i="12"/>
  <c r="AQ570" i="12"/>
  <c r="AQ571" i="12"/>
  <c r="AQ572" i="12"/>
  <c r="AQ573" i="12"/>
  <c r="AQ574" i="12"/>
  <c r="AQ575" i="12"/>
  <c r="AQ576" i="12"/>
  <c r="AQ577" i="12"/>
  <c r="AQ578" i="12"/>
  <c r="AQ579" i="12"/>
  <c r="AQ580" i="12"/>
  <c r="AQ581" i="12"/>
  <c r="AQ582" i="12"/>
  <c r="AQ583" i="12"/>
  <c r="AQ584" i="12"/>
  <c r="AQ585" i="12"/>
  <c r="AQ586" i="12"/>
  <c r="AQ587" i="12"/>
  <c r="AQ588" i="12"/>
  <c r="AQ589" i="12"/>
  <c r="AQ590" i="12"/>
  <c r="AQ591" i="12"/>
  <c r="AQ592" i="12"/>
  <c r="AQ593" i="12"/>
  <c r="AQ594" i="12"/>
  <c r="AQ595" i="12"/>
  <c r="AQ596" i="12"/>
  <c r="AQ597" i="12"/>
  <c r="AQ598" i="12"/>
  <c r="AQ599" i="12"/>
  <c r="AQ600" i="12"/>
  <c r="AQ601" i="12"/>
  <c r="AQ602" i="12"/>
  <c r="AQ603" i="12"/>
  <c r="AQ604" i="12"/>
  <c r="AQ605" i="12"/>
  <c r="AQ606" i="12"/>
  <c r="AQ607" i="12"/>
  <c r="AQ608" i="12"/>
  <c r="AQ609" i="12"/>
  <c r="AQ610" i="12"/>
  <c r="AQ611" i="12"/>
  <c r="AQ612" i="12"/>
  <c r="AQ613" i="12"/>
  <c r="AQ614" i="12"/>
  <c r="AQ615" i="12"/>
  <c r="AQ616" i="12"/>
  <c r="AQ617" i="12"/>
  <c r="AQ618" i="12"/>
  <c r="AQ619" i="12"/>
  <c r="AQ620" i="12"/>
  <c r="AQ621" i="12"/>
  <c r="AQ622" i="12"/>
  <c r="AQ623" i="12"/>
  <c r="AQ624" i="12"/>
  <c r="AQ625" i="12"/>
  <c r="AQ626" i="12"/>
  <c r="AQ627" i="12"/>
  <c r="AQ628" i="12"/>
  <c r="AQ629" i="12"/>
  <c r="AQ630" i="12"/>
  <c r="AQ631" i="12"/>
  <c r="AQ632" i="12"/>
  <c r="AQ633" i="12"/>
  <c r="AQ634" i="12"/>
  <c r="AQ635" i="12"/>
  <c r="AQ636" i="12"/>
  <c r="AQ637" i="12"/>
  <c r="AQ638" i="12"/>
  <c r="AQ639" i="12"/>
  <c r="AQ640" i="12"/>
  <c r="AQ641" i="12"/>
  <c r="AQ642" i="12"/>
  <c r="AQ643" i="12"/>
  <c r="AQ644" i="12"/>
  <c r="AQ645" i="12"/>
  <c r="AQ646" i="12"/>
  <c r="AQ647" i="12"/>
  <c r="AQ648" i="12"/>
  <c r="AQ649" i="12"/>
  <c r="AQ650" i="12"/>
  <c r="AQ651" i="12"/>
  <c r="AQ652" i="12"/>
  <c r="AQ653" i="12"/>
  <c r="AQ654" i="12"/>
  <c r="AQ655" i="12"/>
  <c r="AQ656" i="12"/>
  <c r="AQ657" i="12"/>
  <c r="AQ658" i="12"/>
  <c r="AQ659" i="12"/>
  <c r="AQ660" i="12"/>
  <c r="AQ661" i="12"/>
  <c r="AQ662" i="12"/>
  <c r="AQ663" i="12"/>
  <c r="AQ664" i="12"/>
  <c r="AQ665" i="12"/>
  <c r="AQ666" i="12"/>
  <c r="AQ667" i="12"/>
  <c r="AQ668" i="12"/>
  <c r="AQ669" i="12"/>
  <c r="AQ670" i="12"/>
  <c r="AQ671" i="12"/>
  <c r="AQ672" i="12"/>
  <c r="AQ673" i="12"/>
  <c r="AQ674" i="12"/>
  <c r="AQ675" i="12"/>
  <c r="AQ676" i="12"/>
  <c r="AQ677" i="12"/>
  <c r="AQ678" i="12"/>
  <c r="AQ679" i="12"/>
  <c r="AQ680" i="12"/>
  <c r="AQ681" i="12"/>
  <c r="AQ682" i="12"/>
  <c r="AQ683" i="12"/>
  <c r="AQ684" i="12"/>
  <c r="AQ685" i="12"/>
  <c r="AQ686" i="12"/>
  <c r="AQ687" i="12"/>
  <c r="AQ688" i="12"/>
  <c r="AQ689" i="12"/>
  <c r="AQ690" i="12"/>
  <c r="AQ691" i="12"/>
  <c r="AQ692" i="12"/>
  <c r="AQ693" i="12"/>
  <c r="AQ694" i="12"/>
  <c r="AQ695" i="12"/>
  <c r="AQ696" i="12"/>
  <c r="AQ697" i="12"/>
  <c r="AQ698" i="12"/>
  <c r="AQ699" i="12"/>
  <c r="AQ700" i="12"/>
  <c r="AQ701" i="12"/>
  <c r="AQ702" i="12"/>
  <c r="AQ703" i="12"/>
  <c r="AQ704" i="12"/>
  <c r="AQ705" i="12"/>
  <c r="AQ706" i="12"/>
  <c r="AQ707" i="12"/>
  <c r="AQ708" i="12"/>
  <c r="AQ709" i="12"/>
  <c r="AQ710" i="12"/>
  <c r="AQ711" i="12"/>
  <c r="AQ712" i="12"/>
  <c r="AQ713" i="12"/>
  <c r="AQ714" i="12"/>
  <c r="AQ715" i="12"/>
  <c r="AQ716" i="12"/>
  <c r="AQ717" i="12"/>
  <c r="AQ718" i="12"/>
  <c r="AQ730" i="12"/>
  <c r="AQ731" i="12"/>
  <c r="AQ732" i="12"/>
  <c r="AQ733" i="12"/>
  <c r="AQ734" i="12"/>
  <c r="AQ735" i="12"/>
  <c r="AQ736" i="12"/>
  <c r="AQ737" i="12"/>
  <c r="AQ738" i="12"/>
  <c r="AQ739" i="12"/>
  <c r="AQ740" i="12"/>
  <c r="AQ741" i="12"/>
  <c r="AQ742" i="12"/>
  <c r="AQ743" i="12"/>
  <c r="AQ744" i="12"/>
  <c r="AQ745" i="12"/>
  <c r="AQ746" i="12"/>
  <c r="AQ747" i="12"/>
  <c r="AQ748" i="12"/>
  <c r="AQ749" i="12"/>
  <c r="AQ750" i="12"/>
  <c r="AQ751" i="12"/>
  <c r="AQ752" i="12"/>
  <c r="AQ753" i="12"/>
  <c r="AQ754" i="12"/>
  <c r="AQ755" i="12"/>
  <c r="AQ756" i="12"/>
  <c r="AQ757" i="12"/>
  <c r="AQ758" i="12"/>
  <c r="AQ759" i="12"/>
  <c r="AQ760" i="12"/>
  <c r="AQ761" i="12"/>
  <c r="AQ762" i="12"/>
  <c r="AQ763" i="12"/>
  <c r="AQ764" i="12"/>
  <c r="AQ765" i="12"/>
  <c r="AQ766" i="12"/>
  <c r="AQ767" i="12"/>
  <c r="AQ768" i="12"/>
  <c r="AQ769" i="12"/>
  <c r="AQ770" i="12"/>
  <c r="AQ771" i="12"/>
  <c r="AQ772" i="12"/>
  <c r="AQ773" i="12"/>
  <c r="AQ774" i="12"/>
  <c r="AQ775" i="12"/>
  <c r="AQ776" i="12"/>
  <c r="AQ777" i="12"/>
  <c r="AQ778" i="12"/>
  <c r="AQ779" i="12"/>
  <c r="AQ780" i="12"/>
  <c r="AQ781" i="12"/>
  <c r="AQ782" i="12"/>
  <c r="AQ783" i="12"/>
  <c r="AQ784" i="12"/>
  <c r="AQ785" i="12"/>
  <c r="AQ786" i="12"/>
  <c r="AQ787" i="12"/>
  <c r="AQ788" i="12"/>
  <c r="AQ789" i="12"/>
  <c r="AQ790" i="12"/>
  <c r="AQ791" i="12"/>
  <c r="AQ792" i="12"/>
  <c r="AQ793" i="12"/>
  <c r="AQ794" i="12"/>
  <c r="AQ795" i="12"/>
  <c r="AQ796" i="12"/>
  <c r="AQ797" i="12"/>
  <c r="AQ798" i="12"/>
  <c r="AQ799" i="12"/>
  <c r="AQ800" i="12"/>
  <c r="AQ801" i="12"/>
  <c r="AQ802" i="12"/>
  <c r="AQ803" i="12"/>
  <c r="AQ804" i="12"/>
  <c r="AQ805" i="12"/>
  <c r="AQ806" i="12"/>
  <c r="AQ807" i="12"/>
  <c r="AQ808" i="12"/>
  <c r="AQ809" i="12"/>
  <c r="AQ810" i="12"/>
  <c r="AQ811" i="12"/>
  <c r="AQ812" i="12"/>
  <c r="AQ813" i="12"/>
  <c r="AQ814" i="12"/>
  <c r="AQ815" i="12"/>
  <c r="AQ816" i="12"/>
  <c r="AQ817" i="12"/>
  <c r="AQ818" i="12"/>
  <c r="AQ819" i="12"/>
  <c r="AQ820" i="12"/>
  <c r="AQ821" i="12"/>
  <c r="AQ822" i="12"/>
  <c r="AQ823" i="12"/>
  <c r="AQ824" i="12"/>
  <c r="AQ825" i="12"/>
  <c r="AQ826" i="12"/>
  <c r="AQ827" i="12"/>
  <c r="AQ828" i="12"/>
  <c r="AQ829" i="12"/>
  <c r="AQ830" i="12"/>
  <c r="AQ831" i="12"/>
  <c r="AQ832" i="12"/>
  <c r="AQ833" i="12"/>
  <c r="AQ834" i="12"/>
  <c r="AQ835" i="12"/>
  <c r="AQ836" i="12"/>
  <c r="AQ837" i="12"/>
  <c r="AQ838" i="12"/>
  <c r="AQ839" i="12"/>
  <c r="AQ840" i="12"/>
  <c r="AQ841" i="12"/>
  <c r="AQ842" i="12"/>
  <c r="AQ843" i="12"/>
  <c r="AQ844" i="12"/>
  <c r="AQ845" i="12"/>
  <c r="AQ846" i="12"/>
  <c r="AQ847" i="12"/>
  <c r="AQ848" i="12"/>
  <c r="AQ849" i="12"/>
  <c r="AQ850" i="12"/>
  <c r="AQ851" i="12"/>
  <c r="AQ852" i="12"/>
  <c r="AQ853" i="12"/>
  <c r="AQ854" i="12"/>
  <c r="AQ855" i="12"/>
  <c r="AQ856" i="12"/>
  <c r="AQ857" i="12"/>
  <c r="AQ858" i="12"/>
  <c r="AQ859" i="12"/>
  <c r="AQ860" i="12"/>
  <c r="AQ861" i="12"/>
  <c r="AQ862" i="12"/>
  <c r="AQ863" i="12"/>
  <c r="AQ864" i="12"/>
  <c r="AQ865" i="12"/>
  <c r="AQ866" i="12"/>
  <c r="AQ867" i="12"/>
  <c r="AQ868" i="12"/>
  <c r="AQ869" i="12"/>
  <c r="AQ870" i="12"/>
  <c r="AQ871" i="12"/>
  <c r="AQ872" i="12"/>
  <c r="AQ873" i="12"/>
  <c r="AQ874" i="12"/>
  <c r="AQ875" i="12"/>
  <c r="AQ876" i="12"/>
  <c r="AQ877" i="12"/>
  <c r="AQ878" i="12"/>
  <c r="AQ879" i="12"/>
  <c r="AQ880" i="12"/>
  <c r="AQ881" i="12"/>
  <c r="AQ882" i="12"/>
  <c r="AQ883" i="12"/>
  <c r="AQ884" i="12"/>
  <c r="AQ885" i="12"/>
  <c r="AQ886" i="12"/>
  <c r="AQ887" i="12"/>
  <c r="AQ888" i="12"/>
  <c r="AQ889" i="12"/>
  <c r="AQ890" i="12"/>
  <c r="AQ891" i="12"/>
  <c r="AQ892" i="12"/>
  <c r="AQ893" i="12"/>
  <c r="AQ894" i="12"/>
  <c r="AQ895" i="12"/>
  <c r="AQ896" i="12"/>
  <c r="AQ897" i="12"/>
  <c r="AQ898" i="12"/>
  <c r="AQ899" i="12"/>
  <c r="AQ900" i="12"/>
  <c r="AQ901" i="12"/>
  <c r="AQ902" i="12"/>
  <c r="AQ903" i="12"/>
  <c r="AQ904" i="12"/>
  <c r="AQ905" i="12"/>
  <c r="AQ906" i="12"/>
  <c r="AQ907" i="12"/>
  <c r="AQ908" i="12"/>
  <c r="AQ909" i="12"/>
  <c r="AQ910" i="12"/>
  <c r="AQ911" i="12"/>
  <c r="AQ912" i="12"/>
  <c r="AQ913" i="12"/>
  <c r="AQ914" i="12"/>
  <c r="AQ915" i="12"/>
  <c r="AQ916" i="12"/>
  <c r="AQ917" i="12"/>
  <c r="AQ918" i="12"/>
  <c r="AQ919" i="12"/>
  <c r="AQ920" i="12"/>
  <c r="AQ921" i="12"/>
  <c r="AQ922" i="12"/>
  <c r="AQ923" i="12"/>
  <c r="AQ924" i="12"/>
  <c r="AQ925" i="12"/>
  <c r="AQ926" i="12"/>
  <c r="AQ927" i="12"/>
  <c r="AQ928" i="12"/>
  <c r="AQ929" i="12"/>
  <c r="AQ930" i="12"/>
  <c r="AQ931" i="12"/>
  <c r="AQ932" i="12"/>
  <c r="AQ933" i="12"/>
  <c r="AQ934" i="12"/>
  <c r="AQ935" i="12"/>
  <c r="AQ936" i="12"/>
  <c r="AQ937" i="12"/>
  <c r="AQ938" i="12"/>
  <c r="AQ939" i="12"/>
  <c r="AQ940" i="12"/>
  <c r="AQ941" i="12"/>
  <c r="AQ942" i="12"/>
  <c r="AQ943" i="12"/>
  <c r="AQ944" i="12"/>
  <c r="AQ945" i="12"/>
  <c r="AQ946" i="12"/>
  <c r="AQ947" i="12"/>
  <c r="AQ948" i="12"/>
  <c r="AQ949" i="12"/>
  <c r="AQ950" i="12"/>
  <c r="AQ951" i="12"/>
  <c r="AQ952" i="12"/>
  <c r="AQ953" i="12"/>
  <c r="AQ954" i="12"/>
  <c r="AQ955" i="12"/>
  <c r="AQ956" i="12"/>
  <c r="AQ957" i="12"/>
  <c r="AQ958" i="12"/>
  <c r="AQ959" i="12"/>
  <c r="AQ960" i="12"/>
  <c r="AQ961" i="12"/>
  <c r="AQ962" i="12"/>
  <c r="AQ963" i="12"/>
  <c r="AQ964" i="12"/>
  <c r="AQ965" i="12"/>
  <c r="AQ966" i="12"/>
  <c r="AQ967" i="12"/>
  <c r="AQ968" i="12"/>
  <c r="AQ969" i="12"/>
  <c r="AQ970" i="12"/>
  <c r="AQ971" i="12"/>
  <c r="AQ972" i="12"/>
  <c r="AQ973" i="12"/>
  <c r="AQ974" i="12"/>
  <c r="AQ975" i="12"/>
  <c r="AQ976" i="12"/>
  <c r="AQ977" i="12"/>
  <c r="AQ978" i="12"/>
  <c r="AQ979" i="12"/>
  <c r="AQ980" i="12"/>
  <c r="AQ981" i="12"/>
  <c r="AQ982" i="12"/>
  <c r="AQ983" i="12"/>
  <c r="AQ984" i="12"/>
  <c r="AQ985" i="12"/>
  <c r="AQ986" i="12"/>
  <c r="AQ987" i="12"/>
  <c r="AQ988" i="12"/>
  <c r="AQ989" i="12"/>
  <c r="AQ990" i="12"/>
  <c r="AQ991" i="12"/>
  <c r="AQ992" i="12"/>
  <c r="AQ993" i="12"/>
  <c r="AQ994" i="12"/>
  <c r="AQ995" i="12"/>
  <c r="AQ996" i="12"/>
  <c r="AQ997" i="12"/>
  <c r="AQ998" i="12"/>
  <c r="AQ999" i="12"/>
  <c r="AQ1000" i="12"/>
  <c r="AQ1001" i="12"/>
  <c r="AQ1002" i="12"/>
  <c r="AQ1003" i="12"/>
  <c r="AQ1004" i="12"/>
  <c r="AQ1005" i="12"/>
  <c r="AQ1006" i="12"/>
  <c r="AQ1007" i="12"/>
  <c r="AQ1008" i="12"/>
  <c r="AQ1009" i="12"/>
  <c r="AQ1010" i="12"/>
  <c r="AQ1011" i="12"/>
  <c r="AQ1012" i="12"/>
  <c r="AQ1013" i="12"/>
  <c r="AQ1014" i="12"/>
  <c r="AQ1015" i="12"/>
  <c r="AQ1016" i="12"/>
  <c r="AQ1017" i="12"/>
  <c r="AQ1018" i="12"/>
  <c r="AQ1019" i="12"/>
  <c r="AQ1020" i="12"/>
  <c r="AQ1021" i="12"/>
  <c r="AQ1022" i="12"/>
  <c r="AQ1023" i="12"/>
  <c r="AQ1024" i="12"/>
  <c r="AQ1025" i="12"/>
  <c r="AQ1026" i="12"/>
  <c r="AQ1027" i="12"/>
  <c r="AQ1028" i="12"/>
  <c r="AQ1029" i="12"/>
  <c r="AQ1030" i="12"/>
  <c r="AQ1031" i="12"/>
  <c r="AQ1032" i="12"/>
  <c r="AQ1033" i="12"/>
  <c r="AQ1034" i="12"/>
  <c r="AQ1035" i="12"/>
  <c r="AQ1036" i="12"/>
  <c r="AQ1037" i="12"/>
  <c r="AQ1038" i="12"/>
  <c r="AQ1039" i="12"/>
  <c r="AQ1040" i="12"/>
  <c r="AQ1041" i="12"/>
  <c r="AQ1042" i="12"/>
  <c r="AQ1043" i="12"/>
  <c r="AQ1044" i="12"/>
  <c r="AQ1045" i="12"/>
  <c r="AQ1046" i="12"/>
  <c r="AQ1047" i="12"/>
  <c r="AQ1048" i="12"/>
  <c r="AQ1049" i="12"/>
  <c r="AQ1050" i="12"/>
  <c r="AQ1051" i="12"/>
  <c r="AQ1052" i="12"/>
  <c r="AQ1053" i="12"/>
  <c r="AQ1054" i="12"/>
  <c r="AQ1055" i="12"/>
  <c r="AQ1056" i="12"/>
  <c r="AQ1057" i="12"/>
  <c r="AQ1058" i="12"/>
  <c r="AQ1059" i="12"/>
  <c r="AQ1060" i="12"/>
  <c r="AQ1061" i="12"/>
  <c r="AQ1062" i="12"/>
  <c r="AQ1063" i="12"/>
  <c r="AQ1064" i="12"/>
  <c r="AQ1065" i="12"/>
  <c r="AQ1066" i="12"/>
  <c r="AQ1067" i="12"/>
  <c r="AQ1068" i="12"/>
  <c r="AQ1069" i="12"/>
  <c r="AQ1070" i="12"/>
  <c r="AQ1071" i="12"/>
  <c r="AQ1072" i="12"/>
  <c r="AQ1073" i="12"/>
  <c r="AQ1074" i="12"/>
  <c r="AQ1075" i="12"/>
  <c r="AQ1076" i="12"/>
  <c r="AQ1077" i="12"/>
  <c r="AQ1078" i="12"/>
  <c r="AQ1079" i="12"/>
  <c r="AQ1080" i="12"/>
  <c r="AQ1081" i="12"/>
  <c r="AQ1082" i="12"/>
  <c r="AQ1083" i="12"/>
  <c r="AQ1084" i="12"/>
  <c r="AQ1085" i="12"/>
  <c r="AQ1086" i="12"/>
  <c r="AQ1087" i="12"/>
  <c r="AQ1088" i="12"/>
  <c r="AQ1089" i="12"/>
  <c r="AQ1090" i="12"/>
  <c r="AQ1091" i="12"/>
  <c r="AQ1092" i="12"/>
  <c r="AQ1093" i="12"/>
  <c r="AQ1094" i="12"/>
  <c r="AQ1095" i="12"/>
  <c r="AQ1096" i="12"/>
  <c r="AQ1097" i="12"/>
  <c r="AQ1098" i="12"/>
  <c r="AQ1099" i="12"/>
  <c r="AQ1100" i="12"/>
  <c r="AQ1101" i="12"/>
  <c r="AQ1102" i="12"/>
  <c r="AQ1103" i="12"/>
  <c r="AQ1104" i="12"/>
  <c r="AQ1105" i="12"/>
  <c r="AQ1106" i="12"/>
  <c r="AQ1107" i="12"/>
  <c r="AQ1108" i="12"/>
  <c r="AQ1109" i="12"/>
  <c r="AQ1110" i="12"/>
  <c r="AQ1111" i="12"/>
  <c r="AQ1112" i="12"/>
  <c r="AQ1113" i="12"/>
  <c r="AQ1114" i="12"/>
  <c r="AQ1115" i="12"/>
  <c r="AQ1116" i="12"/>
  <c r="AQ1117" i="12"/>
  <c r="AQ1118" i="12"/>
  <c r="AQ1119" i="12"/>
  <c r="AQ1120" i="12"/>
  <c r="AQ1121" i="12"/>
  <c r="AQ1122" i="12"/>
  <c r="AQ1123" i="12"/>
  <c r="AQ1124" i="12"/>
  <c r="AQ1125" i="12"/>
  <c r="AQ1126" i="12"/>
  <c r="AQ1127" i="12"/>
  <c r="AQ1128" i="12"/>
  <c r="AQ1129" i="12"/>
  <c r="AQ1130" i="12"/>
  <c r="AQ1131" i="12"/>
  <c r="AQ1132" i="12"/>
  <c r="AQ1133" i="12"/>
  <c r="AQ1136" i="12"/>
  <c r="AQ1137" i="12"/>
  <c r="AQ1140" i="12"/>
  <c r="AQ1141" i="12"/>
  <c r="AQ1142" i="12"/>
  <c r="AQ1143" i="12"/>
  <c r="AQ1144" i="12"/>
  <c r="AQ1145" i="12"/>
  <c r="AQ1146" i="12"/>
  <c r="AQ1147" i="12"/>
  <c r="AQ1148" i="12"/>
  <c r="AQ1149" i="12"/>
  <c r="AQ1150" i="12"/>
  <c r="AQ1151" i="12"/>
  <c r="AQ1152" i="12"/>
  <c r="AQ1153" i="12"/>
  <c r="AQ1154" i="12"/>
  <c r="AQ1155" i="12"/>
  <c r="AQ1156" i="12"/>
  <c r="AQ1157" i="12"/>
  <c r="AQ1158" i="12"/>
  <c r="AQ1159" i="12"/>
  <c r="AP5" i="12"/>
  <c r="AP6" i="12"/>
  <c r="AP7" i="12"/>
  <c r="AP8" i="12"/>
  <c r="AP9" i="12"/>
  <c r="AP10" i="12"/>
  <c r="AP11" i="12"/>
  <c r="AP12" i="12"/>
  <c r="AP13" i="12"/>
  <c r="AP14" i="12"/>
  <c r="AP15" i="12"/>
  <c r="AP16" i="12"/>
  <c r="AP17" i="12"/>
  <c r="AP18" i="12"/>
  <c r="AP19" i="12"/>
  <c r="AP20" i="12"/>
  <c r="AP21" i="12"/>
  <c r="AP22" i="12"/>
  <c r="AP23" i="12"/>
  <c r="AP24" i="12"/>
  <c r="AP25" i="12"/>
  <c r="AP26" i="12"/>
  <c r="AP27" i="12"/>
  <c r="AP28" i="12"/>
  <c r="AP29" i="12"/>
  <c r="AP30" i="12"/>
  <c r="AP31" i="12"/>
  <c r="AP32" i="12"/>
  <c r="AP33" i="12"/>
  <c r="AP34" i="12"/>
  <c r="AP35" i="12"/>
  <c r="AP36" i="12"/>
  <c r="AP37" i="12"/>
  <c r="AP38" i="12"/>
  <c r="AP39" i="12"/>
  <c r="AP40" i="12"/>
  <c r="AP41" i="12"/>
  <c r="AP42" i="12"/>
  <c r="AP43" i="12"/>
  <c r="AP44" i="12"/>
  <c r="AP45" i="12"/>
  <c r="AP46" i="12"/>
  <c r="AP47" i="12"/>
  <c r="AP48" i="12"/>
  <c r="AP49" i="12"/>
  <c r="AP50" i="12"/>
  <c r="AP51" i="12"/>
  <c r="AP52" i="12"/>
  <c r="AP53" i="12"/>
  <c r="AP54" i="12"/>
  <c r="AP55" i="12"/>
  <c r="AP56" i="12"/>
  <c r="AP57" i="12"/>
  <c r="AP58" i="12"/>
  <c r="AP59" i="12"/>
  <c r="AP60" i="12"/>
  <c r="AP61" i="12"/>
  <c r="AP62" i="12"/>
  <c r="AP63" i="12"/>
  <c r="AP64" i="12"/>
  <c r="AP65" i="12"/>
  <c r="AP66" i="12"/>
  <c r="AP67" i="12"/>
  <c r="AP68" i="12"/>
  <c r="AP69" i="12"/>
  <c r="AP70" i="12"/>
  <c r="AP71" i="12"/>
  <c r="AP72" i="12"/>
  <c r="AP73" i="12"/>
  <c r="AP74" i="12"/>
  <c r="AP75" i="12"/>
  <c r="AP76" i="12"/>
  <c r="AP77" i="12"/>
  <c r="AP78" i="12"/>
  <c r="AP79" i="12"/>
  <c r="AP80" i="12"/>
  <c r="AP81" i="12"/>
  <c r="AP82" i="12"/>
  <c r="AP83" i="12"/>
  <c r="AP84" i="12"/>
  <c r="AP85" i="12"/>
  <c r="AP86" i="12"/>
  <c r="AP87" i="12"/>
  <c r="AP88" i="12"/>
  <c r="AP89" i="12"/>
  <c r="AP90" i="12"/>
  <c r="AP91" i="12"/>
  <c r="AP92" i="12"/>
  <c r="AP93" i="12"/>
  <c r="AP94" i="12"/>
  <c r="AP95" i="12"/>
  <c r="AP96" i="12"/>
  <c r="AP97" i="12"/>
  <c r="AP98" i="12"/>
  <c r="AP99" i="12"/>
  <c r="AP100" i="12"/>
  <c r="AP101" i="12"/>
  <c r="AP102" i="12"/>
  <c r="AP103" i="12"/>
  <c r="AP104" i="12"/>
  <c r="AP105" i="12"/>
  <c r="AP106" i="12"/>
  <c r="AP107" i="12"/>
  <c r="AP108" i="12"/>
  <c r="AP109" i="12"/>
  <c r="AP110" i="12"/>
  <c r="AP111" i="12"/>
  <c r="AP112" i="12"/>
  <c r="AP113" i="12"/>
  <c r="AP114" i="12"/>
  <c r="AP115" i="12"/>
  <c r="AP116" i="12"/>
  <c r="AP117" i="12"/>
  <c r="AP118" i="12"/>
  <c r="AP119" i="12"/>
  <c r="AP120" i="12"/>
  <c r="AP121" i="12"/>
  <c r="AP122" i="12"/>
  <c r="AP123" i="12"/>
  <c r="AP124" i="12"/>
  <c r="AP125" i="12"/>
  <c r="AP126" i="12"/>
  <c r="AP127" i="12"/>
  <c r="AP128" i="12"/>
  <c r="AP129" i="12"/>
  <c r="AP130" i="12"/>
  <c r="AP131" i="12"/>
  <c r="AP132" i="12"/>
  <c r="AP133" i="12"/>
  <c r="AP134" i="12"/>
  <c r="AP135" i="12"/>
  <c r="AP136" i="12"/>
  <c r="AP137" i="12"/>
  <c r="AP138" i="12"/>
  <c r="AP139" i="12"/>
  <c r="AP140" i="12"/>
  <c r="AP141" i="12"/>
  <c r="AP142" i="12"/>
  <c r="AP143" i="12"/>
  <c r="AP144" i="12"/>
  <c r="AP145" i="12"/>
  <c r="AP146" i="12"/>
  <c r="AP147" i="12"/>
  <c r="AP148" i="12"/>
  <c r="AP149" i="12"/>
  <c r="AP150" i="12"/>
  <c r="AP151" i="12"/>
  <c r="AP152" i="12"/>
  <c r="AP153" i="12"/>
  <c r="AP154" i="12"/>
  <c r="AP155" i="12"/>
  <c r="AP156" i="12"/>
  <c r="AP157" i="12"/>
  <c r="AP158" i="12"/>
  <c r="AP159" i="12"/>
  <c r="AP160" i="12"/>
  <c r="AP161" i="12"/>
  <c r="AP162" i="12"/>
  <c r="AP163" i="12"/>
  <c r="AP164" i="12"/>
  <c r="AP165" i="12"/>
  <c r="AP166" i="12"/>
  <c r="AP167" i="12"/>
  <c r="AP168" i="12"/>
  <c r="AP169" i="12"/>
  <c r="AP170" i="12"/>
  <c r="AP171" i="12"/>
  <c r="AP172" i="12"/>
  <c r="AP173" i="12"/>
  <c r="AP174" i="12"/>
  <c r="AP175" i="12"/>
  <c r="AP176" i="12"/>
  <c r="AP177" i="12"/>
  <c r="AP178" i="12"/>
  <c r="AP179" i="12"/>
  <c r="AP180" i="12"/>
  <c r="AP181" i="12"/>
  <c r="AP182" i="12"/>
  <c r="AP183" i="12"/>
  <c r="AP184" i="12"/>
  <c r="AP185" i="12"/>
  <c r="AP186" i="12"/>
  <c r="AP187" i="12"/>
  <c r="AP188" i="12"/>
  <c r="AP189" i="12"/>
  <c r="AP190" i="12"/>
  <c r="AP191" i="12"/>
  <c r="AP192" i="12"/>
  <c r="AP193" i="12"/>
  <c r="AP194" i="12"/>
  <c r="AP195" i="12"/>
  <c r="AP196" i="12"/>
  <c r="AP197" i="12"/>
  <c r="AP198" i="12"/>
  <c r="AP199" i="12"/>
  <c r="AP200" i="12"/>
  <c r="AP201" i="12"/>
  <c r="AP202" i="12"/>
  <c r="AP203" i="12"/>
  <c r="AP204" i="12"/>
  <c r="AP205" i="12"/>
  <c r="AP206" i="12"/>
  <c r="AP207" i="12"/>
  <c r="AP208" i="12"/>
  <c r="AP209" i="12"/>
  <c r="AP210" i="12"/>
  <c r="AP211" i="12"/>
  <c r="AP212" i="12"/>
  <c r="AP213" i="12"/>
  <c r="AP214" i="12"/>
  <c r="AP215" i="12"/>
  <c r="AP216" i="12"/>
  <c r="AP217" i="12"/>
  <c r="AP218" i="12"/>
  <c r="AP219" i="12"/>
  <c r="AP220" i="12"/>
  <c r="AP221" i="12"/>
  <c r="AP222" i="12"/>
  <c r="AP223" i="12"/>
  <c r="AP224" i="12"/>
  <c r="AP225" i="12"/>
  <c r="AP226" i="12"/>
  <c r="AP227" i="12"/>
  <c r="AP228" i="12"/>
  <c r="AP229" i="12"/>
  <c r="AP230" i="12"/>
  <c r="AP231" i="12"/>
  <c r="AP232" i="12"/>
  <c r="AP233" i="12"/>
  <c r="AP234" i="12"/>
  <c r="AP235" i="12"/>
  <c r="AP236" i="12"/>
  <c r="AP237" i="12"/>
  <c r="AP238" i="12"/>
  <c r="AP239" i="12"/>
  <c r="AP240" i="12"/>
  <c r="AP241" i="12"/>
  <c r="AP242" i="12"/>
  <c r="AP243" i="12"/>
  <c r="AP244" i="12"/>
  <c r="AP245" i="12"/>
  <c r="AP246" i="12"/>
  <c r="AP247" i="12"/>
  <c r="AP248" i="12"/>
  <c r="AP249" i="12"/>
  <c r="AP250" i="12"/>
  <c r="AP251" i="12"/>
  <c r="AP252" i="12"/>
  <c r="AP253" i="12"/>
  <c r="AP254" i="12"/>
  <c r="AP255" i="12"/>
  <c r="AP256" i="12"/>
  <c r="AP257" i="12"/>
  <c r="AP258" i="12"/>
  <c r="AP259" i="12"/>
  <c r="AP260" i="12"/>
  <c r="AP261" i="12"/>
  <c r="AP262" i="12"/>
  <c r="AP263" i="12"/>
  <c r="AP264" i="12"/>
  <c r="AP265" i="12"/>
  <c r="AP266" i="12"/>
  <c r="AP267" i="12"/>
  <c r="AP268" i="12"/>
  <c r="AP269" i="12"/>
  <c r="AP270" i="12"/>
  <c r="AP271" i="12"/>
  <c r="AP272" i="12"/>
  <c r="AP273" i="12"/>
  <c r="AP274" i="12"/>
  <c r="AP275" i="12"/>
  <c r="AP276" i="12"/>
  <c r="AP277" i="12"/>
  <c r="AP278" i="12"/>
  <c r="AP279" i="12"/>
  <c r="AP280" i="12"/>
  <c r="AP281" i="12"/>
  <c r="AP282" i="12"/>
  <c r="AP283" i="12"/>
  <c r="AP284" i="12"/>
  <c r="AP285" i="12"/>
  <c r="AP286" i="12"/>
  <c r="AP287" i="12"/>
  <c r="AP288" i="12"/>
  <c r="AP289" i="12"/>
  <c r="AP290" i="12"/>
  <c r="AP291" i="12"/>
  <c r="AP292" i="12"/>
  <c r="AP293" i="12"/>
  <c r="AP294" i="12"/>
  <c r="AP295" i="12"/>
  <c r="AP296" i="12"/>
  <c r="AP297" i="12"/>
  <c r="AP298" i="12"/>
  <c r="AP299" i="12"/>
  <c r="AP300" i="12"/>
  <c r="AP301" i="12"/>
  <c r="AP302" i="12"/>
  <c r="AP303" i="12"/>
  <c r="AP304" i="12"/>
  <c r="AP305" i="12"/>
  <c r="AP306" i="12"/>
  <c r="AP307" i="12"/>
  <c r="AP308" i="12"/>
  <c r="AP309" i="12"/>
  <c r="AP310" i="12"/>
  <c r="AP311" i="12"/>
  <c r="AP312" i="12"/>
  <c r="AP313" i="12"/>
  <c r="AP314" i="12"/>
  <c r="AP315" i="12"/>
  <c r="AP316" i="12"/>
  <c r="AP317" i="12"/>
  <c r="AP318" i="12"/>
  <c r="AP319" i="12"/>
  <c r="AP320" i="12"/>
  <c r="AP321" i="12"/>
  <c r="AP322" i="12"/>
  <c r="AP323" i="12"/>
  <c r="AP324" i="12"/>
  <c r="AP325" i="12"/>
  <c r="AP326" i="12"/>
  <c r="AP327" i="12"/>
  <c r="AP328" i="12"/>
  <c r="AP329" i="12"/>
  <c r="AP330" i="12"/>
  <c r="AP331" i="12"/>
  <c r="AP332" i="12"/>
  <c r="AP333" i="12"/>
  <c r="AP334" i="12"/>
  <c r="AP335" i="12"/>
  <c r="AP336" i="12"/>
  <c r="AP337" i="12"/>
  <c r="AP338" i="12"/>
  <c r="AP339" i="12"/>
  <c r="AP340" i="12"/>
  <c r="AP341" i="12"/>
  <c r="AP342" i="12"/>
  <c r="AP343" i="12"/>
  <c r="AP344" i="12"/>
  <c r="AP345" i="12"/>
  <c r="AP346" i="12"/>
  <c r="AP347" i="12"/>
  <c r="AP348" i="12"/>
  <c r="AP349" i="12"/>
  <c r="AP350" i="12"/>
  <c r="AP351" i="12"/>
  <c r="AP352" i="12"/>
  <c r="AP353" i="12"/>
  <c r="AP354" i="12"/>
  <c r="AP355" i="12"/>
  <c r="AP356" i="12"/>
  <c r="AP357" i="12"/>
  <c r="AP358" i="12"/>
  <c r="AP359" i="12"/>
  <c r="AP360" i="12"/>
  <c r="AP361" i="12"/>
  <c r="AP362" i="12"/>
  <c r="AP363" i="12"/>
  <c r="AP364" i="12"/>
  <c r="AP365" i="12"/>
  <c r="AP366" i="12"/>
  <c r="AP367" i="12"/>
  <c r="AP368" i="12"/>
  <c r="AP369" i="12"/>
  <c r="AP370" i="12"/>
  <c r="AP371" i="12"/>
  <c r="AP372" i="12"/>
  <c r="AP373" i="12"/>
  <c r="AP374" i="12"/>
  <c r="AP375" i="12"/>
  <c r="AP376" i="12"/>
  <c r="AP377" i="12"/>
  <c r="AP378" i="12"/>
  <c r="AP379" i="12"/>
  <c r="AP380" i="12"/>
  <c r="AP381" i="12"/>
  <c r="AP382" i="12"/>
  <c r="AP383" i="12"/>
  <c r="AP384" i="12"/>
  <c r="AP385" i="12"/>
  <c r="AP386" i="12"/>
  <c r="AP387" i="12"/>
  <c r="AP388" i="12"/>
  <c r="AP389" i="12"/>
  <c r="AP390" i="12"/>
  <c r="AP391" i="12"/>
  <c r="AP392" i="12"/>
  <c r="AP393" i="12"/>
  <c r="AP394" i="12"/>
  <c r="AP395" i="12"/>
  <c r="AP396" i="12"/>
  <c r="AP397" i="12"/>
  <c r="AP398" i="12"/>
  <c r="AP399" i="12"/>
  <c r="AP400" i="12"/>
  <c r="AP401" i="12"/>
  <c r="AP402" i="12"/>
  <c r="AP403" i="12"/>
  <c r="AP404" i="12"/>
  <c r="AP405" i="12"/>
  <c r="AP406" i="12"/>
  <c r="AP407" i="12"/>
  <c r="AP408" i="12"/>
  <c r="AP409" i="12"/>
  <c r="AP410" i="12"/>
  <c r="AP411" i="12"/>
  <c r="AP412" i="12"/>
  <c r="AP413" i="12"/>
  <c r="AP414" i="12"/>
  <c r="AP415" i="12"/>
  <c r="AP416" i="12"/>
  <c r="AP417" i="12"/>
  <c r="AP418" i="12"/>
  <c r="AP419" i="12"/>
  <c r="AP420" i="12"/>
  <c r="AP421" i="12"/>
  <c r="AP422" i="12"/>
  <c r="AP423" i="12"/>
  <c r="AP424" i="12"/>
  <c r="AP425" i="12"/>
  <c r="AP426" i="12"/>
  <c r="AP427" i="12"/>
  <c r="AP428" i="12"/>
  <c r="AP429" i="12"/>
  <c r="AP430" i="12"/>
  <c r="AP431" i="12"/>
  <c r="AP432" i="12"/>
  <c r="AP433" i="12"/>
  <c r="AP434" i="12"/>
  <c r="AP435" i="12"/>
  <c r="AP436" i="12"/>
  <c r="AP437" i="12"/>
  <c r="AP438" i="12"/>
  <c r="AP439" i="12"/>
  <c r="AP440" i="12"/>
  <c r="AP441" i="12"/>
  <c r="AP442" i="12"/>
  <c r="AP443" i="12"/>
  <c r="AP444" i="12"/>
  <c r="AP445" i="12"/>
  <c r="AP446" i="12"/>
  <c r="AP447" i="12"/>
  <c r="AP448" i="12"/>
  <c r="AP449" i="12"/>
  <c r="AP450" i="12"/>
  <c r="AP451" i="12"/>
  <c r="AP452" i="12"/>
  <c r="AP453" i="12"/>
  <c r="AP454" i="12"/>
  <c r="AP455" i="12"/>
  <c r="AP456" i="12"/>
  <c r="AP457" i="12"/>
  <c r="AP458" i="12"/>
  <c r="AP459" i="12"/>
  <c r="AP460" i="12"/>
  <c r="AP461" i="12"/>
  <c r="AP462" i="12"/>
  <c r="AP463" i="12"/>
  <c r="AP464" i="12"/>
  <c r="AP465" i="12"/>
  <c r="AP466" i="12"/>
  <c r="AP467" i="12"/>
  <c r="AP468" i="12"/>
  <c r="AP469" i="12"/>
  <c r="AP470" i="12"/>
  <c r="AP471" i="12"/>
  <c r="AP472" i="12"/>
  <c r="AP473" i="12"/>
  <c r="AP474" i="12"/>
  <c r="AP475" i="12"/>
  <c r="AP476" i="12"/>
  <c r="AP477" i="12"/>
  <c r="AP478" i="12"/>
  <c r="AP479" i="12"/>
  <c r="AP480" i="12"/>
  <c r="AP481" i="12"/>
  <c r="AP482" i="12"/>
  <c r="AP483" i="12"/>
  <c r="AP484" i="12"/>
  <c r="AP485" i="12"/>
  <c r="AP486" i="12"/>
  <c r="AP487" i="12"/>
  <c r="AP488" i="12"/>
  <c r="AP489" i="12"/>
  <c r="AP490" i="12"/>
  <c r="AP491" i="12"/>
  <c r="AP492" i="12"/>
  <c r="AP493" i="12"/>
  <c r="AP494" i="12"/>
  <c r="AP495" i="12"/>
  <c r="AP496" i="12"/>
  <c r="AP497" i="12"/>
  <c r="AP498" i="12"/>
  <c r="AP499" i="12"/>
  <c r="AP500" i="12"/>
  <c r="AP501" i="12"/>
  <c r="AP502" i="12"/>
  <c r="AP503" i="12"/>
  <c r="AP504" i="12"/>
  <c r="AP505" i="12"/>
  <c r="AP506" i="12"/>
  <c r="AP507" i="12"/>
  <c r="AP508" i="12"/>
  <c r="AP509" i="12"/>
  <c r="AP510" i="12"/>
  <c r="AP511" i="12"/>
  <c r="AP512" i="12"/>
  <c r="AP513" i="12"/>
  <c r="AP514" i="12"/>
  <c r="AP515" i="12"/>
  <c r="AP516" i="12"/>
  <c r="AP517" i="12"/>
  <c r="AP518" i="12"/>
  <c r="AP519" i="12"/>
  <c r="AP520" i="12"/>
  <c r="AP521" i="12"/>
  <c r="AP522" i="12"/>
  <c r="AP523" i="12"/>
  <c r="AP524" i="12"/>
  <c r="AP525" i="12"/>
  <c r="AP526" i="12"/>
  <c r="AP527" i="12"/>
  <c r="AP528" i="12"/>
  <c r="AP529" i="12"/>
  <c r="AP530" i="12"/>
  <c r="AP531" i="12"/>
  <c r="AP532" i="12"/>
  <c r="AP533" i="12"/>
  <c r="AP534" i="12"/>
  <c r="AP535" i="12"/>
  <c r="AP536" i="12"/>
  <c r="AP537" i="12"/>
  <c r="AP538" i="12"/>
  <c r="AP539" i="12"/>
  <c r="AP540" i="12"/>
  <c r="AP541" i="12"/>
  <c r="AP542" i="12"/>
  <c r="AP543" i="12"/>
  <c r="AP544" i="12"/>
  <c r="AP545" i="12"/>
  <c r="AP546" i="12"/>
  <c r="AP547" i="12"/>
  <c r="AP548" i="12"/>
  <c r="AP549" i="12"/>
  <c r="AP550" i="12"/>
  <c r="AP551" i="12"/>
  <c r="AP552" i="12"/>
  <c r="AP553" i="12"/>
  <c r="AP554" i="12"/>
  <c r="AP555" i="12"/>
  <c r="AP556" i="12"/>
  <c r="AP557" i="12"/>
  <c r="AP558" i="12"/>
  <c r="AP559" i="12"/>
  <c r="AP560" i="12"/>
  <c r="AP561" i="12"/>
  <c r="AP562" i="12"/>
  <c r="AP563" i="12"/>
  <c r="AP564" i="12"/>
  <c r="AP565" i="12"/>
  <c r="AP566" i="12"/>
  <c r="AP567" i="12"/>
  <c r="AP568" i="12"/>
  <c r="AP569" i="12"/>
  <c r="AP570" i="12"/>
  <c r="AP571" i="12"/>
  <c r="AP572" i="12"/>
  <c r="AP573" i="12"/>
  <c r="AP574" i="12"/>
  <c r="AP575" i="12"/>
  <c r="AP576" i="12"/>
  <c r="AP577" i="12"/>
  <c r="AP578" i="12"/>
  <c r="AP579" i="12"/>
  <c r="AP580" i="12"/>
  <c r="AP581" i="12"/>
  <c r="AP582" i="12"/>
  <c r="AP583" i="12"/>
  <c r="AP584" i="12"/>
  <c r="AP585" i="12"/>
  <c r="AP586" i="12"/>
  <c r="AP587" i="12"/>
  <c r="AP588" i="12"/>
  <c r="AP589" i="12"/>
  <c r="AP590" i="12"/>
  <c r="AP591" i="12"/>
  <c r="AP592" i="12"/>
  <c r="AP593" i="12"/>
  <c r="AP594" i="12"/>
  <c r="AP595" i="12"/>
  <c r="AP596" i="12"/>
  <c r="AP597" i="12"/>
  <c r="AP598" i="12"/>
  <c r="AP599" i="12"/>
  <c r="AP600" i="12"/>
  <c r="AP601" i="12"/>
  <c r="AP602" i="12"/>
  <c r="AP603" i="12"/>
  <c r="AP604" i="12"/>
  <c r="AP605" i="12"/>
  <c r="AP606" i="12"/>
  <c r="AP607" i="12"/>
  <c r="AP608" i="12"/>
  <c r="AP609" i="12"/>
  <c r="AP610" i="12"/>
  <c r="AP611" i="12"/>
  <c r="AP612" i="12"/>
  <c r="AP613" i="12"/>
  <c r="AP614" i="12"/>
  <c r="AP615" i="12"/>
  <c r="AP616" i="12"/>
  <c r="AP617" i="12"/>
  <c r="AP618" i="12"/>
  <c r="AP619" i="12"/>
  <c r="AP620" i="12"/>
  <c r="AP621" i="12"/>
  <c r="AP622" i="12"/>
  <c r="AP623" i="12"/>
  <c r="AP624" i="12"/>
  <c r="AP625" i="12"/>
  <c r="AP626" i="12"/>
  <c r="AP627" i="12"/>
  <c r="AP628" i="12"/>
  <c r="AP629" i="12"/>
  <c r="AP630" i="12"/>
  <c r="AP631" i="12"/>
  <c r="AP632" i="12"/>
  <c r="AP633" i="12"/>
  <c r="AP634" i="12"/>
  <c r="AP635" i="12"/>
  <c r="AP636" i="12"/>
  <c r="AP637" i="12"/>
  <c r="AP638" i="12"/>
  <c r="AP639" i="12"/>
  <c r="AP640" i="12"/>
  <c r="AP641" i="12"/>
  <c r="AP642" i="12"/>
  <c r="AP643" i="12"/>
  <c r="AP644" i="12"/>
  <c r="AP645" i="12"/>
  <c r="AP646" i="12"/>
  <c r="AP647" i="12"/>
  <c r="AP648" i="12"/>
  <c r="AP649" i="12"/>
  <c r="AP650" i="12"/>
  <c r="AP651" i="12"/>
  <c r="AP652" i="12"/>
  <c r="AP653" i="12"/>
  <c r="AP654" i="12"/>
  <c r="AP655" i="12"/>
  <c r="AP656" i="12"/>
  <c r="AP657" i="12"/>
  <c r="AP658" i="12"/>
  <c r="AP659" i="12"/>
  <c r="AP660" i="12"/>
  <c r="AP661" i="12"/>
  <c r="AP662" i="12"/>
  <c r="AP663" i="12"/>
  <c r="AP664" i="12"/>
  <c r="AP665" i="12"/>
  <c r="AP666" i="12"/>
  <c r="AP667" i="12"/>
  <c r="AP668" i="12"/>
  <c r="AP669" i="12"/>
  <c r="AP670" i="12"/>
  <c r="AP671" i="12"/>
  <c r="AP672" i="12"/>
  <c r="AP673" i="12"/>
  <c r="AP674" i="12"/>
  <c r="AP675" i="12"/>
  <c r="AP676" i="12"/>
  <c r="AP677" i="12"/>
  <c r="AP678" i="12"/>
  <c r="AP679" i="12"/>
  <c r="AP680" i="12"/>
  <c r="AP681" i="12"/>
  <c r="AP682" i="12"/>
  <c r="AP683" i="12"/>
  <c r="AP684" i="12"/>
  <c r="AP685" i="12"/>
  <c r="AP686" i="12"/>
  <c r="AP687" i="12"/>
  <c r="AP688" i="12"/>
  <c r="AP689" i="12"/>
  <c r="AP690" i="12"/>
  <c r="AP691" i="12"/>
  <c r="AP692" i="12"/>
  <c r="AP693" i="12"/>
  <c r="AP694" i="12"/>
  <c r="AP695" i="12"/>
  <c r="AP696" i="12"/>
  <c r="AP697" i="12"/>
  <c r="AP698" i="12"/>
  <c r="AP699" i="12"/>
  <c r="AP700" i="12"/>
  <c r="AP701" i="12"/>
  <c r="AP702" i="12"/>
  <c r="AP703" i="12"/>
  <c r="AP704" i="12"/>
  <c r="AP705" i="12"/>
  <c r="AP706" i="12"/>
  <c r="AP707" i="12"/>
  <c r="AP708" i="12"/>
  <c r="AP709" i="12"/>
  <c r="AP710" i="12"/>
  <c r="AP711" i="12"/>
  <c r="AP712" i="12"/>
  <c r="AP713" i="12"/>
  <c r="AP714" i="12"/>
  <c r="AP715" i="12"/>
  <c r="AP716" i="12"/>
  <c r="AP717" i="12"/>
  <c r="AP718" i="12"/>
  <c r="AP730" i="12"/>
  <c r="AP731" i="12"/>
  <c r="AP732" i="12"/>
  <c r="AP733" i="12"/>
  <c r="AP734" i="12"/>
  <c r="AP735" i="12"/>
  <c r="AP736" i="12"/>
  <c r="AP737" i="12"/>
  <c r="AP738" i="12"/>
  <c r="AP739" i="12"/>
  <c r="AP740" i="12"/>
  <c r="AP741" i="12"/>
  <c r="AP742" i="12"/>
  <c r="AP743" i="12"/>
  <c r="AP744" i="12"/>
  <c r="AP745" i="12"/>
  <c r="AP746" i="12"/>
  <c r="AP747" i="12"/>
  <c r="AP748" i="12"/>
  <c r="AP749" i="12"/>
  <c r="AP750" i="12"/>
  <c r="AP751" i="12"/>
  <c r="AP752" i="12"/>
  <c r="AP753" i="12"/>
  <c r="AP754" i="12"/>
  <c r="AP755" i="12"/>
  <c r="AP756" i="12"/>
  <c r="AP757" i="12"/>
  <c r="AP758" i="12"/>
  <c r="AP759" i="12"/>
  <c r="AP760" i="12"/>
  <c r="AP761" i="12"/>
  <c r="AP762" i="12"/>
  <c r="AP763" i="12"/>
  <c r="AP764" i="12"/>
  <c r="AP765" i="12"/>
  <c r="AP766" i="12"/>
  <c r="AP767" i="12"/>
  <c r="AP768" i="12"/>
  <c r="AP769" i="12"/>
  <c r="AP770" i="12"/>
  <c r="AP771" i="12"/>
  <c r="AP772" i="12"/>
  <c r="AP773" i="12"/>
  <c r="AP774" i="12"/>
  <c r="AP775" i="12"/>
  <c r="AP776" i="12"/>
  <c r="AP777" i="12"/>
  <c r="AP778" i="12"/>
  <c r="AP779" i="12"/>
  <c r="AP780" i="12"/>
  <c r="AP781" i="12"/>
  <c r="AP782" i="12"/>
  <c r="AP783" i="12"/>
  <c r="AP784" i="12"/>
  <c r="AP785" i="12"/>
  <c r="AP786" i="12"/>
  <c r="AP787" i="12"/>
  <c r="AP788" i="12"/>
  <c r="AP789" i="12"/>
  <c r="AP790" i="12"/>
  <c r="AP791" i="12"/>
  <c r="AP792" i="12"/>
  <c r="AP793" i="12"/>
  <c r="AP794" i="12"/>
  <c r="AP795" i="12"/>
  <c r="AP796" i="12"/>
  <c r="AP797" i="12"/>
  <c r="AP798" i="12"/>
  <c r="AP799" i="12"/>
  <c r="AP800" i="12"/>
  <c r="AP801" i="12"/>
  <c r="AP802" i="12"/>
  <c r="AP803" i="12"/>
  <c r="AP804" i="12"/>
  <c r="AP805" i="12"/>
  <c r="AP806" i="12"/>
  <c r="AP807" i="12"/>
  <c r="AP808" i="12"/>
  <c r="AP809" i="12"/>
  <c r="AP810" i="12"/>
  <c r="AP811" i="12"/>
  <c r="AP812" i="12"/>
  <c r="AP813" i="12"/>
  <c r="AP814" i="12"/>
  <c r="AP815" i="12"/>
  <c r="AP816" i="12"/>
  <c r="AP817" i="12"/>
  <c r="AP818" i="12"/>
  <c r="AP819" i="12"/>
  <c r="AP820" i="12"/>
  <c r="AP821" i="12"/>
  <c r="AP822" i="12"/>
  <c r="AP823" i="12"/>
  <c r="AP824" i="12"/>
  <c r="AP825" i="12"/>
  <c r="AP826" i="12"/>
  <c r="AP827" i="12"/>
  <c r="AP828" i="12"/>
  <c r="AP829" i="12"/>
  <c r="AP830" i="12"/>
  <c r="AP831" i="12"/>
  <c r="AP832" i="12"/>
  <c r="AP833" i="12"/>
  <c r="AP834" i="12"/>
  <c r="AP835" i="12"/>
  <c r="AP836" i="12"/>
  <c r="AP837" i="12"/>
  <c r="AP838" i="12"/>
  <c r="AP839" i="12"/>
  <c r="AP840" i="12"/>
  <c r="AP841" i="12"/>
  <c r="AP842" i="12"/>
  <c r="AP843" i="12"/>
  <c r="AP844" i="12"/>
  <c r="AP845" i="12"/>
  <c r="AP846" i="12"/>
  <c r="AP847" i="12"/>
  <c r="AP848" i="12"/>
  <c r="AP849" i="12"/>
  <c r="AP850" i="12"/>
  <c r="AP851" i="12"/>
  <c r="AP852" i="12"/>
  <c r="AP853" i="12"/>
  <c r="AP854" i="12"/>
  <c r="AP855" i="12"/>
  <c r="AP856" i="12"/>
  <c r="AP857" i="12"/>
  <c r="AP858" i="12"/>
  <c r="AP859" i="12"/>
  <c r="AP860" i="12"/>
  <c r="AP861" i="12"/>
  <c r="AP862" i="12"/>
  <c r="AP863" i="12"/>
  <c r="AP864" i="12"/>
  <c r="AP865" i="12"/>
  <c r="AP866" i="12"/>
  <c r="AP867" i="12"/>
  <c r="AP868" i="12"/>
  <c r="AP869" i="12"/>
  <c r="AP870" i="12"/>
  <c r="AP871" i="12"/>
  <c r="AP872" i="12"/>
  <c r="AP873" i="12"/>
  <c r="AP874" i="12"/>
  <c r="AP875" i="12"/>
  <c r="AP876" i="12"/>
  <c r="AP877" i="12"/>
  <c r="AP878" i="12"/>
  <c r="AP879" i="12"/>
  <c r="AP880" i="12"/>
  <c r="AP881" i="12"/>
  <c r="AP882" i="12"/>
  <c r="AP883" i="12"/>
  <c r="AP884" i="12"/>
  <c r="AP885" i="12"/>
  <c r="AP886" i="12"/>
  <c r="AP887" i="12"/>
  <c r="AP888" i="12"/>
  <c r="AP889" i="12"/>
  <c r="AP890" i="12"/>
  <c r="AP891" i="12"/>
  <c r="AP892" i="12"/>
  <c r="AP893" i="12"/>
  <c r="AP894" i="12"/>
  <c r="AP895" i="12"/>
  <c r="AP896" i="12"/>
  <c r="AP897" i="12"/>
  <c r="AP898" i="12"/>
  <c r="AP899" i="12"/>
  <c r="AP900" i="12"/>
  <c r="AP901" i="12"/>
  <c r="AP902" i="12"/>
  <c r="AP903" i="12"/>
  <c r="AP904" i="12"/>
  <c r="AP905" i="12"/>
  <c r="AP906" i="12"/>
  <c r="AP907" i="12"/>
  <c r="AP908" i="12"/>
  <c r="AP909" i="12"/>
  <c r="AP910" i="12"/>
  <c r="AP911" i="12"/>
  <c r="AP912" i="12"/>
  <c r="AP913" i="12"/>
  <c r="AP914" i="12"/>
  <c r="AP915" i="12"/>
  <c r="AP916" i="12"/>
  <c r="AP917" i="12"/>
  <c r="AP918" i="12"/>
  <c r="AP919" i="12"/>
  <c r="AP920" i="12"/>
  <c r="AP921" i="12"/>
  <c r="AP922" i="12"/>
  <c r="AP923" i="12"/>
  <c r="AP924" i="12"/>
  <c r="AP925" i="12"/>
  <c r="AP926" i="12"/>
  <c r="AP927" i="12"/>
  <c r="AP928" i="12"/>
  <c r="AP929" i="12"/>
  <c r="AP930" i="12"/>
  <c r="AP931" i="12"/>
  <c r="AP932" i="12"/>
  <c r="AP933" i="12"/>
  <c r="AP934" i="12"/>
  <c r="AP935" i="12"/>
  <c r="AP936" i="12"/>
  <c r="AP937" i="12"/>
  <c r="AP938" i="12"/>
  <c r="AP939" i="12"/>
  <c r="AP940" i="12"/>
  <c r="AP941" i="12"/>
  <c r="AP942" i="12"/>
  <c r="AP943" i="12"/>
  <c r="AP944" i="12"/>
  <c r="AP945" i="12"/>
  <c r="AP946" i="12"/>
  <c r="AP947" i="12"/>
  <c r="AP948" i="12"/>
  <c r="AP949" i="12"/>
  <c r="AP950" i="12"/>
  <c r="AP951" i="12"/>
  <c r="AP952" i="12"/>
  <c r="AP953" i="12"/>
  <c r="AP954" i="12"/>
  <c r="AP955" i="12"/>
  <c r="AP956" i="12"/>
  <c r="AP957" i="12"/>
  <c r="AP958" i="12"/>
  <c r="AP959" i="12"/>
  <c r="AP960" i="12"/>
  <c r="AP961" i="12"/>
  <c r="AP962" i="12"/>
  <c r="AP963" i="12"/>
  <c r="AP964" i="12"/>
  <c r="AP965" i="12"/>
  <c r="AP966" i="12"/>
  <c r="AP967" i="12"/>
  <c r="AP968" i="12"/>
  <c r="AP969" i="12"/>
  <c r="AP970" i="12"/>
  <c r="AP971" i="12"/>
  <c r="AP972" i="12"/>
  <c r="AP973" i="12"/>
  <c r="AP974" i="12"/>
  <c r="AP975" i="12"/>
  <c r="AP976" i="12"/>
  <c r="AP977" i="12"/>
  <c r="AP978" i="12"/>
  <c r="AP979" i="12"/>
  <c r="AP980" i="12"/>
  <c r="AP981" i="12"/>
  <c r="AP982" i="12"/>
  <c r="AP983" i="12"/>
  <c r="AP984" i="12"/>
  <c r="AP985" i="12"/>
  <c r="AP986" i="12"/>
  <c r="AP987" i="12"/>
  <c r="AP988" i="12"/>
  <c r="AP989" i="12"/>
  <c r="AP990" i="12"/>
  <c r="AP991" i="12"/>
  <c r="AP992" i="12"/>
  <c r="AP993" i="12"/>
  <c r="AP994" i="12"/>
  <c r="AP995" i="12"/>
  <c r="AP996" i="12"/>
  <c r="AP997" i="12"/>
  <c r="AP998" i="12"/>
  <c r="AP999" i="12"/>
  <c r="AP1000" i="12"/>
  <c r="AP1001" i="12"/>
  <c r="AP1002" i="12"/>
  <c r="AP1003" i="12"/>
  <c r="AP1004" i="12"/>
  <c r="AP1005" i="12"/>
  <c r="AP1006" i="12"/>
  <c r="AP1007" i="12"/>
  <c r="AP1008" i="12"/>
  <c r="AP1009" i="12"/>
  <c r="AP1010" i="12"/>
  <c r="AP1011" i="12"/>
  <c r="AP1012" i="12"/>
  <c r="AP1013" i="12"/>
  <c r="AP1014" i="12"/>
  <c r="AP1015" i="12"/>
  <c r="AP1016" i="12"/>
  <c r="AP1017" i="12"/>
  <c r="AP1018" i="12"/>
  <c r="AP1019" i="12"/>
  <c r="AP1020" i="12"/>
  <c r="AP1021" i="12"/>
  <c r="AP1022" i="12"/>
  <c r="AP1023" i="12"/>
  <c r="AP1024" i="12"/>
  <c r="AP1025" i="12"/>
  <c r="AP1026" i="12"/>
  <c r="AP1027" i="12"/>
  <c r="AP1028" i="12"/>
  <c r="AP1029" i="12"/>
  <c r="AP1030" i="12"/>
  <c r="AP1031" i="12"/>
  <c r="AP1032" i="12"/>
  <c r="AP1033" i="12"/>
  <c r="AP1034" i="12"/>
  <c r="AP1035" i="12"/>
  <c r="AP1036" i="12"/>
  <c r="AP1037" i="12"/>
  <c r="AP1038" i="12"/>
  <c r="AP1039" i="12"/>
  <c r="AP1040" i="12"/>
  <c r="AP1041" i="12"/>
  <c r="AP1042" i="12"/>
  <c r="AP1043" i="12"/>
  <c r="AP1044" i="12"/>
  <c r="AP1045" i="12"/>
  <c r="AP1046" i="12"/>
  <c r="AP1047" i="12"/>
  <c r="AP1048" i="12"/>
  <c r="AP1049" i="12"/>
  <c r="AP1050" i="12"/>
  <c r="AP1051" i="12"/>
  <c r="AP1052" i="12"/>
  <c r="AP1053" i="12"/>
  <c r="AP1054" i="12"/>
  <c r="AP1055" i="12"/>
  <c r="AP1056" i="12"/>
  <c r="AP1057" i="12"/>
  <c r="AP1058" i="12"/>
  <c r="AP1059" i="12"/>
  <c r="AP1060" i="12"/>
  <c r="AP1061" i="12"/>
  <c r="AP1062" i="12"/>
  <c r="AP1063" i="12"/>
  <c r="AP1064" i="12"/>
  <c r="AP1065" i="12"/>
  <c r="AP1066" i="12"/>
  <c r="AP1067" i="12"/>
  <c r="AP1068" i="12"/>
  <c r="AP1069" i="12"/>
  <c r="AP1070" i="12"/>
  <c r="AP1071" i="12"/>
  <c r="AP1072" i="12"/>
  <c r="AP1073" i="12"/>
  <c r="AP1074" i="12"/>
  <c r="AP1075" i="12"/>
  <c r="AP1076" i="12"/>
  <c r="AP1077" i="12"/>
  <c r="AP1078" i="12"/>
  <c r="AP1079" i="12"/>
  <c r="AP1080" i="12"/>
  <c r="AP1081" i="12"/>
  <c r="AP1082" i="12"/>
  <c r="AP1083" i="12"/>
  <c r="AP1084" i="12"/>
  <c r="AP1085" i="12"/>
  <c r="AP1086" i="12"/>
  <c r="AP1087" i="12"/>
  <c r="AP1088" i="12"/>
  <c r="AP1089" i="12"/>
  <c r="AP1090" i="12"/>
  <c r="AP1091" i="12"/>
  <c r="AP1092" i="12"/>
  <c r="AP1093" i="12"/>
  <c r="AP1094" i="12"/>
  <c r="AP1095" i="12"/>
  <c r="AP1096" i="12"/>
  <c r="AP1097" i="12"/>
  <c r="AP1098" i="12"/>
  <c r="AP1099" i="12"/>
  <c r="AP1100" i="12"/>
  <c r="AP1101" i="12"/>
  <c r="AP1102" i="12"/>
  <c r="AP1103" i="12"/>
  <c r="AP1104" i="12"/>
  <c r="AP1105" i="12"/>
  <c r="AP1106" i="12"/>
  <c r="AP1107" i="12"/>
  <c r="AP1108" i="12"/>
  <c r="AP1109" i="12"/>
  <c r="AP1110" i="12"/>
  <c r="AP1111" i="12"/>
  <c r="AP1112" i="12"/>
  <c r="AP1113" i="12"/>
  <c r="AP1114" i="12"/>
  <c r="AP1115" i="12"/>
  <c r="AP1116" i="12"/>
  <c r="AP1117" i="12"/>
  <c r="AP1118" i="12"/>
  <c r="AP1119" i="12"/>
  <c r="AP1120" i="12"/>
  <c r="AP1121" i="12"/>
  <c r="AP1122" i="12"/>
  <c r="AP1123" i="12"/>
  <c r="AP1124" i="12"/>
  <c r="AP1125" i="12"/>
  <c r="AP1126" i="12"/>
  <c r="AP1127" i="12"/>
  <c r="AP1128" i="12"/>
  <c r="AP1129" i="12"/>
  <c r="AP1130" i="12"/>
  <c r="AP1131" i="12"/>
  <c r="AP1132" i="12"/>
  <c r="AP1133" i="12"/>
  <c r="AP1136" i="12"/>
  <c r="AP1137" i="12"/>
  <c r="AP1140" i="12"/>
  <c r="AP1141" i="12"/>
  <c r="AP1142" i="12"/>
  <c r="AP1143" i="12"/>
  <c r="AP1144" i="12"/>
  <c r="AP1145" i="12"/>
  <c r="AP1146" i="12"/>
  <c r="AP1147" i="12"/>
  <c r="AP1148" i="12"/>
  <c r="AP1149" i="12"/>
  <c r="AP1150" i="12"/>
  <c r="AP1151" i="12"/>
  <c r="AP1152" i="12"/>
  <c r="AP1153" i="12"/>
  <c r="AP1154" i="12"/>
  <c r="AP1155" i="12"/>
  <c r="AP1156" i="12"/>
  <c r="AP1157" i="12"/>
  <c r="AP1158" i="12"/>
  <c r="AP1159" i="12"/>
  <c r="AO5" i="12"/>
  <c r="AO6" i="12"/>
  <c r="AO7" i="12"/>
  <c r="AO8" i="12"/>
  <c r="AO9" i="12"/>
  <c r="AO10" i="12"/>
  <c r="AO11" i="12"/>
  <c r="AO12" i="12"/>
  <c r="AO13" i="12"/>
  <c r="AO14" i="12"/>
  <c r="AO15" i="12"/>
  <c r="AO16" i="12"/>
  <c r="AO17" i="12"/>
  <c r="AO18" i="12"/>
  <c r="AO19" i="12"/>
  <c r="AO20" i="12"/>
  <c r="AO21" i="12"/>
  <c r="AO22" i="12"/>
  <c r="AO23" i="12"/>
  <c r="AO24" i="12"/>
  <c r="AO25" i="12"/>
  <c r="AO26" i="12"/>
  <c r="AO27" i="12"/>
  <c r="AO28" i="12"/>
  <c r="AO29" i="12"/>
  <c r="AO30" i="12"/>
  <c r="AO31" i="12"/>
  <c r="AO32" i="12"/>
  <c r="AO33" i="12"/>
  <c r="AO34" i="12"/>
  <c r="AO35" i="12"/>
  <c r="AO36" i="12"/>
  <c r="AO37" i="12"/>
  <c r="AO38" i="12"/>
  <c r="AO39" i="12"/>
  <c r="AO40" i="12"/>
  <c r="AO41" i="12"/>
  <c r="AO42" i="12"/>
  <c r="AO43" i="12"/>
  <c r="AO44" i="12"/>
  <c r="AO45" i="12"/>
  <c r="AO46" i="12"/>
  <c r="AO47" i="12"/>
  <c r="AO48" i="12"/>
  <c r="AO49" i="12"/>
  <c r="AO50" i="12"/>
  <c r="AO51" i="12"/>
  <c r="AO52" i="12"/>
  <c r="AO53" i="12"/>
  <c r="AO54" i="12"/>
  <c r="AO55" i="12"/>
  <c r="AO56" i="12"/>
  <c r="AO57" i="12"/>
  <c r="AO58" i="12"/>
  <c r="AO59" i="12"/>
  <c r="AO60" i="12"/>
  <c r="AO61" i="12"/>
  <c r="AO62" i="12"/>
  <c r="AO63" i="12"/>
  <c r="AO64" i="12"/>
  <c r="AO65" i="12"/>
  <c r="AO66" i="12"/>
  <c r="AO67" i="12"/>
  <c r="AO68" i="12"/>
  <c r="AO69" i="12"/>
  <c r="AO70" i="12"/>
  <c r="AO71" i="12"/>
  <c r="AO72" i="12"/>
  <c r="AO73" i="12"/>
  <c r="AO74" i="12"/>
  <c r="AO75" i="12"/>
  <c r="AO76" i="12"/>
  <c r="AO77" i="12"/>
  <c r="AO78" i="12"/>
  <c r="AO79" i="12"/>
  <c r="AO80" i="12"/>
  <c r="AO81" i="12"/>
  <c r="AO82" i="12"/>
  <c r="AO83" i="12"/>
  <c r="AO84" i="12"/>
  <c r="AO85" i="12"/>
  <c r="AO86" i="12"/>
  <c r="AO87" i="12"/>
  <c r="AO88" i="12"/>
  <c r="AO89" i="12"/>
  <c r="AO90" i="12"/>
  <c r="AO91" i="12"/>
  <c r="AO92" i="12"/>
  <c r="AO93" i="12"/>
  <c r="AO94" i="12"/>
  <c r="AO95" i="12"/>
  <c r="AO96" i="12"/>
  <c r="AO97" i="12"/>
  <c r="AO98" i="12"/>
  <c r="AO99" i="12"/>
  <c r="AO100" i="12"/>
  <c r="AO101" i="12"/>
  <c r="AO102" i="12"/>
  <c r="AO103" i="12"/>
  <c r="AO104" i="12"/>
  <c r="AO105" i="12"/>
  <c r="AO106" i="12"/>
  <c r="AO107" i="12"/>
  <c r="AO108" i="12"/>
  <c r="AO109" i="12"/>
  <c r="AO110" i="12"/>
  <c r="AO111" i="12"/>
  <c r="AO112" i="12"/>
  <c r="AO113" i="12"/>
  <c r="AO114" i="12"/>
  <c r="AO115" i="12"/>
  <c r="AO116" i="12"/>
  <c r="AO117" i="12"/>
  <c r="AO118" i="12"/>
  <c r="AO119" i="12"/>
  <c r="AO120" i="12"/>
  <c r="AO121" i="12"/>
  <c r="AO122" i="12"/>
  <c r="AO123" i="12"/>
  <c r="AO124" i="12"/>
  <c r="AO125" i="12"/>
  <c r="AO126" i="12"/>
  <c r="AO127" i="12"/>
  <c r="AO128" i="12"/>
  <c r="AO129" i="12"/>
  <c r="AO130" i="12"/>
  <c r="AO131" i="12"/>
  <c r="AO132" i="12"/>
  <c r="AO133" i="12"/>
  <c r="AO134" i="12"/>
  <c r="AO135" i="12"/>
  <c r="AO136" i="12"/>
  <c r="AO137" i="12"/>
  <c r="AO138" i="12"/>
  <c r="AO139" i="12"/>
  <c r="AO140" i="12"/>
  <c r="AO141" i="12"/>
  <c r="AO142" i="12"/>
  <c r="AO143" i="12"/>
  <c r="AO144" i="12"/>
  <c r="AO145" i="12"/>
  <c r="AO146" i="12"/>
  <c r="AO147" i="12"/>
  <c r="AO148" i="12"/>
  <c r="AO149" i="12"/>
  <c r="AO150" i="12"/>
  <c r="AO151" i="12"/>
  <c r="AO152" i="12"/>
  <c r="AO153" i="12"/>
  <c r="AO154" i="12"/>
  <c r="AO155" i="12"/>
  <c r="AO156" i="12"/>
  <c r="AO157" i="12"/>
  <c r="AO158" i="12"/>
  <c r="AO159" i="12"/>
  <c r="AO160" i="12"/>
  <c r="AO161" i="12"/>
  <c r="AO162" i="12"/>
  <c r="AO163" i="12"/>
  <c r="AO164" i="12"/>
  <c r="AO165" i="12"/>
  <c r="AO166" i="12"/>
  <c r="AO167" i="12"/>
  <c r="AO168" i="12"/>
  <c r="AO169" i="12"/>
  <c r="AO170" i="12"/>
  <c r="AO171" i="12"/>
  <c r="AO172" i="12"/>
  <c r="AO173" i="12"/>
  <c r="AO174" i="12"/>
  <c r="AO175" i="12"/>
  <c r="AO176" i="12"/>
  <c r="AO177" i="12"/>
  <c r="AO178" i="12"/>
  <c r="AO179" i="12"/>
  <c r="AO180" i="12"/>
  <c r="AO181" i="12"/>
  <c r="AO182" i="12"/>
  <c r="AO183" i="12"/>
  <c r="AO184" i="12"/>
  <c r="AO185" i="12"/>
  <c r="AO186" i="12"/>
  <c r="AO187" i="12"/>
  <c r="AO188" i="12"/>
  <c r="AO189" i="12"/>
  <c r="AO190" i="12"/>
  <c r="AO191" i="12"/>
  <c r="AO192" i="12"/>
  <c r="AO193" i="12"/>
  <c r="AO194" i="12"/>
  <c r="AO195" i="12"/>
  <c r="AO196" i="12"/>
  <c r="AO197" i="12"/>
  <c r="AO198" i="12"/>
  <c r="AO199" i="12"/>
  <c r="AO200" i="12"/>
  <c r="AO201" i="12"/>
  <c r="AO202" i="12"/>
  <c r="AO203" i="12"/>
  <c r="AO204" i="12"/>
  <c r="AO205" i="12"/>
  <c r="AO206" i="12"/>
  <c r="AO207" i="12"/>
  <c r="AO208" i="12"/>
  <c r="AO209" i="12"/>
  <c r="AO210" i="12"/>
  <c r="AO211" i="12"/>
  <c r="AO212" i="12"/>
  <c r="AO213" i="12"/>
  <c r="AO214" i="12"/>
  <c r="AO215" i="12"/>
  <c r="AO216" i="12"/>
  <c r="AO217" i="12"/>
  <c r="AO218" i="12"/>
  <c r="AO219" i="12"/>
  <c r="AO220" i="12"/>
  <c r="AO221" i="12"/>
  <c r="AO222" i="12"/>
  <c r="AO223" i="12"/>
  <c r="AO224" i="12"/>
  <c r="AO225" i="12"/>
  <c r="AO226" i="12"/>
  <c r="AO227" i="12"/>
  <c r="AO228" i="12"/>
  <c r="AO229" i="12"/>
  <c r="AO230" i="12"/>
  <c r="AO231" i="12"/>
  <c r="AO232" i="12"/>
  <c r="AO233" i="12"/>
  <c r="AO234" i="12"/>
  <c r="AO235" i="12"/>
  <c r="AO236" i="12"/>
  <c r="AO237" i="12"/>
  <c r="AO238" i="12"/>
  <c r="AO239" i="12"/>
  <c r="AO240" i="12"/>
  <c r="AO241" i="12"/>
  <c r="AO242" i="12"/>
  <c r="AO243" i="12"/>
  <c r="AO244" i="12"/>
  <c r="AO245" i="12"/>
  <c r="AO246" i="12"/>
  <c r="AO247" i="12"/>
  <c r="AO248" i="12"/>
  <c r="AO249" i="12"/>
  <c r="AO250" i="12"/>
  <c r="AO251" i="12"/>
  <c r="AO252" i="12"/>
  <c r="AO253" i="12"/>
  <c r="AO254" i="12"/>
  <c r="AO255" i="12"/>
  <c r="AO256" i="12"/>
  <c r="AO257" i="12"/>
  <c r="AO258" i="12"/>
  <c r="AO259" i="12"/>
  <c r="AO260" i="12"/>
  <c r="AO261" i="12"/>
  <c r="AO262" i="12"/>
  <c r="AO263" i="12"/>
  <c r="AO264" i="12"/>
  <c r="AO265" i="12"/>
  <c r="AO266" i="12"/>
  <c r="AO267" i="12"/>
  <c r="AO268" i="12"/>
  <c r="AO269" i="12"/>
  <c r="AO270" i="12"/>
  <c r="AO271" i="12"/>
  <c r="AO272" i="12"/>
  <c r="AO273" i="12"/>
  <c r="AO274" i="12"/>
  <c r="AO275" i="12"/>
  <c r="AO276" i="12"/>
  <c r="AO277" i="12"/>
  <c r="AO278" i="12"/>
  <c r="AO279" i="12"/>
  <c r="AO280" i="12"/>
  <c r="AO281" i="12"/>
  <c r="AO282" i="12"/>
  <c r="AO283" i="12"/>
  <c r="AO284" i="12"/>
  <c r="AO285" i="12"/>
  <c r="AO286" i="12"/>
  <c r="AO287" i="12"/>
  <c r="AO288" i="12"/>
  <c r="AO289" i="12"/>
  <c r="AO290" i="12"/>
  <c r="AO291" i="12"/>
  <c r="AO292" i="12"/>
  <c r="AO293" i="12"/>
  <c r="AO294" i="12"/>
  <c r="AO295" i="12"/>
  <c r="AO296" i="12"/>
  <c r="AO297" i="12"/>
  <c r="AO298" i="12"/>
  <c r="AO299" i="12"/>
  <c r="AO300" i="12"/>
  <c r="AO301" i="12"/>
  <c r="AO302" i="12"/>
  <c r="AO303" i="12"/>
  <c r="AO304" i="12"/>
  <c r="AO305" i="12"/>
  <c r="AO306" i="12"/>
  <c r="AO307" i="12"/>
  <c r="AO308" i="12"/>
  <c r="AO309" i="12"/>
  <c r="AO310" i="12"/>
  <c r="AO311" i="12"/>
  <c r="AO312" i="12"/>
  <c r="AO313" i="12"/>
  <c r="AO314" i="12"/>
  <c r="AO315" i="12"/>
  <c r="AO316" i="12"/>
  <c r="AO317" i="12"/>
  <c r="AO318" i="12"/>
  <c r="AO319" i="12"/>
  <c r="AO320" i="12"/>
  <c r="AO321" i="12"/>
  <c r="AO322" i="12"/>
  <c r="AO323" i="12"/>
  <c r="AO324" i="12"/>
  <c r="AO325" i="12"/>
  <c r="AO326" i="12"/>
  <c r="AO327" i="12"/>
  <c r="AO328" i="12"/>
  <c r="AO329" i="12"/>
  <c r="AO330" i="12"/>
  <c r="AO331" i="12"/>
  <c r="AO332" i="12"/>
  <c r="AO333" i="12"/>
  <c r="AO334" i="12"/>
  <c r="AO335" i="12"/>
  <c r="AO336" i="12"/>
  <c r="AO337" i="12"/>
  <c r="AO338" i="12"/>
  <c r="AO339" i="12"/>
  <c r="AO340" i="12"/>
  <c r="AO341" i="12"/>
  <c r="AO342" i="12"/>
  <c r="AO343" i="12"/>
  <c r="AO344" i="12"/>
  <c r="AO345" i="12"/>
  <c r="AO346" i="12"/>
  <c r="AO347" i="12"/>
  <c r="AO348" i="12"/>
  <c r="AO349" i="12"/>
  <c r="AO350" i="12"/>
  <c r="AO351" i="12"/>
  <c r="AO352" i="12"/>
  <c r="AO353" i="12"/>
  <c r="AO354" i="12"/>
  <c r="AO355" i="12"/>
  <c r="AO356" i="12"/>
  <c r="AO357" i="12"/>
  <c r="AO358" i="12"/>
  <c r="AO359" i="12"/>
  <c r="AO360" i="12"/>
  <c r="AO361" i="12"/>
  <c r="AO362" i="12"/>
  <c r="AO363" i="12"/>
  <c r="AO364" i="12"/>
  <c r="AO365" i="12"/>
  <c r="AO366" i="12"/>
  <c r="AO367" i="12"/>
  <c r="AO368" i="12"/>
  <c r="AO369" i="12"/>
  <c r="AO370" i="12"/>
  <c r="AO371" i="12"/>
  <c r="AO372" i="12"/>
  <c r="AO373" i="12"/>
  <c r="AO374" i="12"/>
  <c r="AO375" i="12"/>
  <c r="AO376" i="12"/>
  <c r="AO377" i="12"/>
  <c r="AO378" i="12"/>
  <c r="AO379" i="12"/>
  <c r="AO380" i="12"/>
  <c r="AO381" i="12"/>
  <c r="AO382" i="12"/>
  <c r="AO383" i="12"/>
  <c r="AO384" i="12"/>
  <c r="AO385" i="12"/>
  <c r="AO386" i="12"/>
  <c r="AO387" i="12"/>
  <c r="AO388" i="12"/>
  <c r="AO389" i="12"/>
  <c r="AO390" i="12"/>
  <c r="AO391" i="12"/>
  <c r="AO392" i="12"/>
  <c r="AO393" i="12"/>
  <c r="AO394" i="12"/>
  <c r="AO395" i="12"/>
  <c r="AO396" i="12"/>
  <c r="AO397" i="12"/>
  <c r="AO398" i="12"/>
  <c r="AO399" i="12"/>
  <c r="AO400" i="12"/>
  <c r="AO401" i="12"/>
  <c r="AO402" i="12"/>
  <c r="AO403" i="12"/>
  <c r="AO404" i="12"/>
  <c r="AO405" i="12"/>
  <c r="AO406" i="12"/>
  <c r="AO407" i="12"/>
  <c r="AO408" i="12"/>
  <c r="AO409" i="12"/>
  <c r="AO410" i="12"/>
  <c r="AO411" i="12"/>
  <c r="AO412" i="12"/>
  <c r="AO413" i="12"/>
  <c r="AO414" i="12"/>
  <c r="AO415" i="12"/>
  <c r="AO416" i="12"/>
  <c r="AO417" i="12"/>
  <c r="AO418" i="12"/>
  <c r="AO419" i="12"/>
  <c r="AO420" i="12"/>
  <c r="AO421" i="12"/>
  <c r="AO422" i="12"/>
  <c r="AO423" i="12"/>
  <c r="AO424" i="12"/>
  <c r="AO425" i="12"/>
  <c r="AO426" i="12"/>
  <c r="AO427" i="12"/>
  <c r="AO428" i="12"/>
  <c r="AO429" i="12"/>
  <c r="AO430" i="12"/>
  <c r="AO431" i="12"/>
  <c r="AO432" i="12"/>
  <c r="AO433" i="12"/>
  <c r="AO434" i="12"/>
  <c r="AO435" i="12"/>
  <c r="AO436" i="12"/>
  <c r="AO437" i="12"/>
  <c r="AO438" i="12"/>
  <c r="AO439" i="12"/>
  <c r="AO440" i="12"/>
  <c r="AO441" i="12"/>
  <c r="AO442" i="12"/>
  <c r="AO443" i="12"/>
  <c r="AO444" i="12"/>
  <c r="AO445" i="12"/>
  <c r="AO446" i="12"/>
  <c r="AO447" i="12"/>
  <c r="AO448" i="12"/>
  <c r="AO449" i="12"/>
  <c r="AO450" i="12"/>
  <c r="AO451" i="12"/>
  <c r="AO452" i="12"/>
  <c r="AO453" i="12"/>
  <c r="AO454" i="12"/>
  <c r="AO455" i="12"/>
  <c r="AO456" i="12"/>
  <c r="AO457" i="12"/>
  <c r="AO458" i="12"/>
  <c r="AO459" i="12"/>
  <c r="AO460" i="12"/>
  <c r="AO461" i="12"/>
  <c r="AO462" i="12"/>
  <c r="AO463" i="12"/>
  <c r="AO464" i="12"/>
  <c r="AO465" i="12"/>
  <c r="AO466" i="12"/>
  <c r="AO467" i="12"/>
  <c r="AO468" i="12"/>
  <c r="AO469" i="12"/>
  <c r="AO470" i="12"/>
  <c r="AO471" i="12"/>
  <c r="AO472" i="12"/>
  <c r="AO473" i="12"/>
  <c r="AO474" i="12"/>
  <c r="AO475" i="12"/>
  <c r="AO476" i="12"/>
  <c r="AO477" i="12"/>
  <c r="AO478" i="12"/>
  <c r="AO479" i="12"/>
  <c r="AO480" i="12"/>
  <c r="AO481" i="12"/>
  <c r="AO482" i="12"/>
  <c r="AO483" i="12"/>
  <c r="AO484" i="12"/>
  <c r="AO485" i="12"/>
  <c r="AO486" i="12"/>
  <c r="AO487" i="12"/>
  <c r="AO488" i="12"/>
  <c r="AO489" i="12"/>
  <c r="AO490" i="12"/>
  <c r="AO491" i="12"/>
  <c r="AO492" i="12"/>
  <c r="AO493" i="12"/>
  <c r="AO494" i="12"/>
  <c r="AO495" i="12"/>
  <c r="AO496" i="12"/>
  <c r="AO497" i="12"/>
  <c r="AO498" i="12"/>
  <c r="AO499" i="12"/>
  <c r="AO500" i="12"/>
  <c r="AO501" i="12"/>
  <c r="AO502" i="12"/>
  <c r="AO503" i="12"/>
  <c r="AO504" i="12"/>
  <c r="AO505" i="12"/>
  <c r="AO506" i="12"/>
  <c r="AO507" i="12"/>
  <c r="AO508" i="12"/>
  <c r="AO509" i="12"/>
  <c r="AO510" i="12"/>
  <c r="AO511" i="12"/>
  <c r="AO512" i="12"/>
  <c r="AO513" i="12"/>
  <c r="AO514" i="12"/>
  <c r="AO515" i="12"/>
  <c r="AO516" i="12"/>
  <c r="AO517" i="12"/>
  <c r="AO518" i="12"/>
  <c r="AO519" i="12"/>
  <c r="AO520" i="12"/>
  <c r="AO521" i="12"/>
  <c r="AO522" i="12"/>
  <c r="AO523" i="12"/>
  <c r="AO524" i="12"/>
  <c r="AO525" i="12"/>
  <c r="AO526" i="12"/>
  <c r="AO527" i="12"/>
  <c r="AO528" i="12"/>
  <c r="AO529" i="12"/>
  <c r="AO530" i="12"/>
  <c r="AO531" i="12"/>
  <c r="AO532" i="12"/>
  <c r="AO533" i="12"/>
  <c r="AO534" i="12"/>
  <c r="AO535" i="12"/>
  <c r="AO536" i="12"/>
  <c r="AO537" i="12"/>
  <c r="AO538" i="12"/>
  <c r="AO539" i="12"/>
  <c r="AO540" i="12"/>
  <c r="AO541" i="12"/>
  <c r="AO542" i="12"/>
  <c r="AO543" i="12"/>
  <c r="AO544" i="12"/>
  <c r="AO545" i="12"/>
  <c r="AO546" i="12"/>
  <c r="AO547" i="12"/>
  <c r="AO548" i="12"/>
  <c r="AO549" i="12"/>
  <c r="AO550" i="12"/>
  <c r="AO551" i="12"/>
  <c r="AO552" i="12"/>
  <c r="AO553" i="12"/>
  <c r="AO554" i="12"/>
  <c r="AO555" i="12"/>
  <c r="AO556" i="12"/>
  <c r="AO557" i="12"/>
  <c r="AO558" i="12"/>
  <c r="AO559" i="12"/>
  <c r="AO560" i="12"/>
  <c r="AO561" i="12"/>
  <c r="AO562" i="12"/>
  <c r="AO563" i="12"/>
  <c r="AO564" i="12"/>
  <c r="AO565" i="12"/>
  <c r="AO566" i="12"/>
  <c r="AO567" i="12"/>
  <c r="AO568" i="12"/>
  <c r="AO569" i="12"/>
  <c r="AO570" i="12"/>
  <c r="AO571" i="12"/>
  <c r="AO572" i="12"/>
  <c r="AO573" i="12"/>
  <c r="AO574" i="12"/>
  <c r="AO575" i="12"/>
  <c r="AO576" i="12"/>
  <c r="AO577" i="12"/>
  <c r="AO578" i="12"/>
  <c r="AO579" i="12"/>
  <c r="AO580" i="12"/>
  <c r="AO581" i="12"/>
  <c r="AO582" i="12"/>
  <c r="AO583" i="12"/>
  <c r="AO584" i="12"/>
  <c r="AO585" i="12"/>
  <c r="AO586" i="12"/>
  <c r="AO587" i="12"/>
  <c r="AO588" i="12"/>
  <c r="AO589" i="12"/>
  <c r="AO590" i="12"/>
  <c r="AO591" i="12"/>
  <c r="AO592" i="12"/>
  <c r="AO593" i="12"/>
  <c r="AO594" i="12"/>
  <c r="AO595" i="12"/>
  <c r="AO596" i="12"/>
  <c r="AO597" i="12"/>
  <c r="AO598" i="12"/>
  <c r="AO599" i="12"/>
  <c r="AO600" i="12"/>
  <c r="AO601" i="12"/>
  <c r="AO602" i="12"/>
  <c r="AO603" i="12"/>
  <c r="AO604" i="12"/>
  <c r="AO605" i="12"/>
  <c r="AO606" i="12"/>
  <c r="AO607" i="12"/>
  <c r="AO608" i="12"/>
  <c r="AO609" i="12"/>
  <c r="AO610" i="12"/>
  <c r="AO611" i="12"/>
  <c r="AO612" i="12"/>
  <c r="AO613" i="12"/>
  <c r="AO614" i="12"/>
  <c r="AO615" i="12"/>
  <c r="AO616" i="12"/>
  <c r="AO617" i="12"/>
  <c r="AO618" i="12"/>
  <c r="AO619" i="12"/>
  <c r="AO620" i="12"/>
  <c r="AO621" i="12"/>
  <c r="AO622" i="12"/>
  <c r="AO623" i="12"/>
  <c r="AO624" i="12"/>
  <c r="AO625" i="12"/>
  <c r="AO626" i="12"/>
  <c r="AO627" i="12"/>
  <c r="AO628" i="12"/>
  <c r="AO629" i="12"/>
  <c r="AO630" i="12"/>
  <c r="AO631" i="12"/>
  <c r="AO632" i="12"/>
  <c r="AO633" i="12"/>
  <c r="AO634" i="12"/>
  <c r="AO635" i="12"/>
  <c r="AO636" i="12"/>
  <c r="AO637" i="12"/>
  <c r="AO638" i="12"/>
  <c r="AO639" i="12"/>
  <c r="AO640" i="12"/>
  <c r="AO641" i="12"/>
  <c r="AO642" i="12"/>
  <c r="AO643" i="12"/>
  <c r="AO644" i="12"/>
  <c r="AO645" i="12"/>
  <c r="AO646" i="12"/>
  <c r="AO647" i="12"/>
  <c r="AO648" i="12"/>
  <c r="AO649" i="12"/>
  <c r="AO650" i="12"/>
  <c r="AO651" i="12"/>
  <c r="AO652" i="12"/>
  <c r="AO653" i="12"/>
  <c r="AO654" i="12"/>
  <c r="AO655" i="12"/>
  <c r="AO656" i="12"/>
  <c r="AO657" i="12"/>
  <c r="AO658" i="12"/>
  <c r="AO659" i="12"/>
  <c r="AO660" i="12"/>
  <c r="AO661" i="12"/>
  <c r="AO662" i="12"/>
  <c r="AO663" i="12"/>
  <c r="AO664" i="12"/>
  <c r="AO665" i="12"/>
  <c r="AO666" i="12"/>
  <c r="AO667" i="12"/>
  <c r="AO668" i="12"/>
  <c r="AO669" i="12"/>
  <c r="AO670" i="12"/>
  <c r="AO671" i="12"/>
  <c r="AO672" i="12"/>
  <c r="AO673" i="12"/>
  <c r="AO674" i="12"/>
  <c r="AO675" i="12"/>
  <c r="AO676" i="12"/>
  <c r="AO677" i="12"/>
  <c r="AO678" i="12"/>
  <c r="AO679" i="12"/>
  <c r="AO680" i="12"/>
  <c r="AO681" i="12"/>
  <c r="AO682" i="12"/>
  <c r="AO683" i="12"/>
  <c r="AO684" i="12"/>
  <c r="AO685" i="12"/>
  <c r="AO686" i="12"/>
  <c r="AO687" i="12"/>
  <c r="AO688" i="12"/>
  <c r="AO689" i="12"/>
  <c r="AO690" i="12"/>
  <c r="AO691" i="12"/>
  <c r="AO692" i="12"/>
  <c r="AO693" i="12"/>
  <c r="AO694" i="12"/>
  <c r="AO695" i="12"/>
  <c r="AO696" i="12"/>
  <c r="AO697" i="12"/>
  <c r="AO698" i="12"/>
  <c r="AO699" i="12"/>
  <c r="AO700" i="12"/>
  <c r="AO701" i="12"/>
  <c r="AO702" i="12"/>
  <c r="AO703" i="12"/>
  <c r="AO704" i="12"/>
  <c r="AO705" i="12"/>
  <c r="AO706" i="12"/>
  <c r="AO707" i="12"/>
  <c r="AO708" i="12"/>
  <c r="AO709" i="12"/>
  <c r="AO710" i="12"/>
  <c r="AO711" i="12"/>
  <c r="AO712" i="12"/>
  <c r="AO713" i="12"/>
  <c r="AO714" i="12"/>
  <c r="AO715" i="12"/>
  <c r="AO716" i="12"/>
  <c r="AO717" i="12"/>
  <c r="AO718" i="12"/>
  <c r="AO730" i="12"/>
  <c r="AO731" i="12"/>
  <c r="AO732" i="12"/>
  <c r="AO733" i="12"/>
  <c r="AO734" i="12"/>
  <c r="AO735" i="12"/>
  <c r="AO736" i="12"/>
  <c r="AO737" i="12"/>
  <c r="AO738" i="12"/>
  <c r="AO739" i="12"/>
  <c r="AO740" i="12"/>
  <c r="AO741" i="12"/>
  <c r="AO742" i="12"/>
  <c r="AO743" i="12"/>
  <c r="AO744" i="12"/>
  <c r="AO745" i="12"/>
  <c r="AO746" i="12"/>
  <c r="AO747" i="12"/>
  <c r="AO748" i="12"/>
  <c r="AO749" i="12"/>
  <c r="AO750" i="12"/>
  <c r="AO751" i="12"/>
  <c r="AO752" i="12"/>
  <c r="AO753" i="12"/>
  <c r="AO754" i="12"/>
  <c r="AO755" i="12"/>
  <c r="AO756" i="12"/>
  <c r="AO757" i="12"/>
  <c r="AO758" i="12"/>
  <c r="AO759" i="12"/>
  <c r="AO760" i="12"/>
  <c r="AO761" i="12"/>
  <c r="AO762" i="12"/>
  <c r="AO763" i="12"/>
  <c r="AO764" i="12"/>
  <c r="AO765" i="12"/>
  <c r="AO766" i="12"/>
  <c r="AO767" i="12"/>
  <c r="AO768" i="12"/>
  <c r="AO769" i="12"/>
  <c r="AO770" i="12"/>
  <c r="AO771" i="12"/>
  <c r="AO772" i="12"/>
  <c r="AO773" i="12"/>
  <c r="AO774" i="12"/>
  <c r="AO775" i="12"/>
  <c r="AO776" i="12"/>
  <c r="AO777" i="12"/>
  <c r="AO778" i="12"/>
  <c r="AO779" i="12"/>
  <c r="AO780" i="12"/>
  <c r="AO781" i="12"/>
  <c r="AO782" i="12"/>
  <c r="AO783" i="12"/>
  <c r="AO784" i="12"/>
  <c r="AO785" i="12"/>
  <c r="AO786" i="12"/>
  <c r="AO787" i="12"/>
  <c r="AO788" i="12"/>
  <c r="AO789" i="12"/>
  <c r="AO790" i="12"/>
  <c r="AO791" i="12"/>
  <c r="AO792" i="12"/>
  <c r="AO793" i="12"/>
  <c r="AO794" i="12"/>
  <c r="AO795" i="12"/>
  <c r="AO796" i="12"/>
  <c r="AO797" i="12"/>
  <c r="AO798" i="12"/>
  <c r="AO799" i="12"/>
  <c r="AO800" i="12"/>
  <c r="AO801" i="12"/>
  <c r="AO802" i="12"/>
  <c r="AO803" i="12"/>
  <c r="AO804" i="12"/>
  <c r="AO805" i="12"/>
  <c r="AO806" i="12"/>
  <c r="AO807" i="12"/>
  <c r="AO808" i="12"/>
  <c r="AO809" i="12"/>
  <c r="AO810" i="12"/>
  <c r="AO811" i="12"/>
  <c r="AO812" i="12"/>
  <c r="AO813" i="12"/>
  <c r="AO814" i="12"/>
  <c r="AO815" i="12"/>
  <c r="AO816" i="12"/>
  <c r="AO817" i="12"/>
  <c r="AO818" i="12"/>
  <c r="AO819" i="12"/>
  <c r="AO820" i="12"/>
  <c r="AO821" i="12"/>
  <c r="AO822" i="12"/>
  <c r="AO823" i="12"/>
  <c r="AO824" i="12"/>
  <c r="AO825" i="12"/>
  <c r="AO826" i="12"/>
  <c r="AO827" i="12"/>
  <c r="AO828" i="12"/>
  <c r="AO829" i="12"/>
  <c r="AO830" i="12"/>
  <c r="AO831" i="12"/>
  <c r="AO832" i="12"/>
  <c r="AO833" i="12"/>
  <c r="AO834" i="12"/>
  <c r="AO835" i="12"/>
  <c r="AO836" i="12"/>
  <c r="AO837" i="12"/>
  <c r="AO838" i="12"/>
  <c r="AO839" i="12"/>
  <c r="AO840" i="12"/>
  <c r="AO841" i="12"/>
  <c r="AO842" i="12"/>
  <c r="AO843" i="12"/>
  <c r="AO844" i="12"/>
  <c r="AO845" i="12"/>
  <c r="AO846" i="12"/>
  <c r="AO847" i="12"/>
  <c r="AO848" i="12"/>
  <c r="AO849" i="12"/>
  <c r="AO850" i="12"/>
  <c r="AO851" i="12"/>
  <c r="AO852" i="12"/>
  <c r="AO853" i="12"/>
  <c r="AO854" i="12"/>
  <c r="AO855" i="12"/>
  <c r="AO856" i="12"/>
  <c r="AO857" i="12"/>
  <c r="AO858" i="12"/>
  <c r="AO859" i="12"/>
  <c r="AO860" i="12"/>
  <c r="AO861" i="12"/>
  <c r="AO862" i="12"/>
  <c r="AO863" i="12"/>
  <c r="AO864" i="12"/>
  <c r="AO865" i="12"/>
  <c r="AO866" i="12"/>
  <c r="AO867" i="12"/>
  <c r="AO868" i="12"/>
  <c r="AO869" i="12"/>
  <c r="AO870" i="12"/>
  <c r="AO871" i="12"/>
  <c r="AO872" i="12"/>
  <c r="AO873" i="12"/>
  <c r="AO874" i="12"/>
  <c r="AO875" i="12"/>
  <c r="AO876" i="12"/>
  <c r="AO877" i="12"/>
  <c r="AO878" i="12"/>
  <c r="AO879" i="12"/>
  <c r="AO880" i="12"/>
  <c r="AO881" i="12"/>
  <c r="AO882" i="12"/>
  <c r="AO883" i="12"/>
  <c r="AO884" i="12"/>
  <c r="AO885" i="12"/>
  <c r="AO886" i="12"/>
  <c r="AO887" i="12"/>
  <c r="AO888" i="12"/>
  <c r="AO889" i="12"/>
  <c r="AO890" i="12"/>
  <c r="AO891" i="12"/>
  <c r="AO892" i="12"/>
  <c r="AO893" i="12"/>
  <c r="AO894" i="12"/>
  <c r="AO895" i="12"/>
  <c r="AO896" i="12"/>
  <c r="AO897" i="12"/>
  <c r="AO898" i="12"/>
  <c r="AO899" i="12"/>
  <c r="AO900" i="12"/>
  <c r="AO901" i="12"/>
  <c r="AO902" i="12"/>
  <c r="AO903" i="12"/>
  <c r="AO904" i="12"/>
  <c r="AO905" i="12"/>
  <c r="AO906" i="12"/>
  <c r="AO907" i="12"/>
  <c r="AO908" i="12"/>
  <c r="AO909" i="12"/>
  <c r="AO910" i="12"/>
  <c r="AO911" i="12"/>
  <c r="AO912" i="12"/>
  <c r="AO913" i="12"/>
  <c r="AO914" i="12"/>
  <c r="AO915" i="12"/>
  <c r="AO916" i="12"/>
  <c r="AO917" i="12"/>
  <c r="AO918" i="12"/>
  <c r="AO919" i="12"/>
  <c r="AO920" i="12"/>
  <c r="AO921" i="12"/>
  <c r="AO922" i="12"/>
  <c r="AO923" i="12"/>
  <c r="AO924" i="12"/>
  <c r="AO925" i="12"/>
  <c r="AO926" i="12"/>
  <c r="AO927" i="12"/>
  <c r="AO928" i="12"/>
  <c r="AO929" i="12"/>
  <c r="AO930" i="12"/>
  <c r="AO931" i="12"/>
  <c r="AO932" i="12"/>
  <c r="AO933" i="12"/>
  <c r="AO934" i="12"/>
  <c r="AO935" i="12"/>
  <c r="AO936" i="12"/>
  <c r="AO937" i="12"/>
  <c r="AO938" i="12"/>
  <c r="AO939" i="12"/>
  <c r="AO940" i="12"/>
  <c r="AO941" i="12"/>
  <c r="AO942" i="12"/>
  <c r="AO943" i="12"/>
  <c r="AO944" i="12"/>
  <c r="AO945" i="12"/>
  <c r="AO946" i="12"/>
  <c r="AO947" i="12"/>
  <c r="AO948" i="12"/>
  <c r="AO949" i="12"/>
  <c r="AO950" i="12"/>
  <c r="AO951" i="12"/>
  <c r="AO952" i="12"/>
  <c r="AO953" i="12"/>
  <c r="AO954" i="12"/>
  <c r="AO955" i="12"/>
  <c r="AO956" i="12"/>
  <c r="AO957" i="12"/>
  <c r="AO958" i="12"/>
  <c r="AO959" i="12"/>
  <c r="AO960" i="12"/>
  <c r="AO961" i="12"/>
  <c r="AO962" i="12"/>
  <c r="AO963" i="12"/>
  <c r="AO964" i="12"/>
  <c r="AO965" i="12"/>
  <c r="AO966" i="12"/>
  <c r="AO967" i="12"/>
  <c r="AO968" i="12"/>
  <c r="AO969" i="12"/>
  <c r="AO970" i="12"/>
  <c r="AO971" i="12"/>
  <c r="AO972" i="12"/>
  <c r="AO973" i="12"/>
  <c r="AO974" i="12"/>
  <c r="AO975" i="12"/>
  <c r="AO976" i="12"/>
  <c r="AO977" i="12"/>
  <c r="AO978" i="12"/>
  <c r="AO979" i="12"/>
  <c r="AO980" i="12"/>
  <c r="AO981" i="12"/>
  <c r="AO982" i="12"/>
  <c r="AO983" i="12"/>
  <c r="AO984" i="12"/>
  <c r="AO985" i="12"/>
  <c r="AO986" i="12"/>
  <c r="AO987" i="12"/>
  <c r="AO988" i="12"/>
  <c r="AO989" i="12"/>
  <c r="AO990" i="12"/>
  <c r="AO991" i="12"/>
  <c r="AO992" i="12"/>
  <c r="AO993" i="12"/>
  <c r="AO994" i="12"/>
  <c r="AO995" i="12"/>
  <c r="AO996" i="12"/>
  <c r="AO997" i="12"/>
  <c r="AO998" i="12"/>
  <c r="AO999" i="12"/>
  <c r="AO1000" i="12"/>
  <c r="AO1001" i="12"/>
  <c r="AO1002" i="12"/>
  <c r="AO1003" i="12"/>
  <c r="AO1004" i="12"/>
  <c r="AO1005" i="12"/>
  <c r="AO1006" i="12"/>
  <c r="AO1007" i="12"/>
  <c r="AO1008" i="12"/>
  <c r="AO1009" i="12"/>
  <c r="AO1010" i="12"/>
  <c r="AO1011" i="12"/>
  <c r="AO1012" i="12"/>
  <c r="AO1013" i="12"/>
  <c r="AO1014" i="12"/>
  <c r="AO1015" i="12"/>
  <c r="AO1016" i="12"/>
  <c r="AO1017" i="12"/>
  <c r="AO1018" i="12"/>
  <c r="AO1019" i="12"/>
  <c r="AO1020" i="12"/>
  <c r="AO1021" i="12"/>
  <c r="AO1022" i="12"/>
  <c r="AO1023" i="12"/>
  <c r="AO1024" i="12"/>
  <c r="AO1025" i="12"/>
  <c r="AO1026" i="12"/>
  <c r="AO1027" i="12"/>
  <c r="AO1028" i="12"/>
  <c r="AO1029" i="12"/>
  <c r="AO1030" i="12"/>
  <c r="AO1031" i="12"/>
  <c r="AO1032" i="12"/>
  <c r="AO1033" i="12"/>
  <c r="AO1034" i="12"/>
  <c r="AO1035" i="12"/>
  <c r="AO1036" i="12"/>
  <c r="AO1037" i="12"/>
  <c r="AO1038" i="12"/>
  <c r="AO1039" i="12"/>
  <c r="AO1040" i="12"/>
  <c r="AO1041" i="12"/>
  <c r="AO1042" i="12"/>
  <c r="AO1043" i="12"/>
  <c r="AO1044" i="12"/>
  <c r="AO1045" i="12"/>
  <c r="AO1046" i="12"/>
  <c r="AO1047" i="12"/>
  <c r="AO1048" i="12"/>
  <c r="AO1049" i="12"/>
  <c r="AO1050" i="12"/>
  <c r="AO1051" i="12"/>
  <c r="AO1052" i="12"/>
  <c r="AO1053" i="12"/>
  <c r="AO1054" i="12"/>
  <c r="AO1055" i="12"/>
  <c r="AO1056" i="12"/>
  <c r="AO1057" i="12"/>
  <c r="AO1058" i="12"/>
  <c r="AO1059" i="12"/>
  <c r="AO1060" i="12"/>
  <c r="AO1061" i="12"/>
  <c r="AO1062" i="12"/>
  <c r="AO1063" i="12"/>
  <c r="AO1064" i="12"/>
  <c r="AO1065" i="12"/>
  <c r="AO1066" i="12"/>
  <c r="AO1067" i="12"/>
  <c r="AO1068" i="12"/>
  <c r="AO1069" i="12"/>
  <c r="AO1070" i="12"/>
  <c r="AO1071" i="12"/>
  <c r="AO1072" i="12"/>
  <c r="AO1073" i="12"/>
  <c r="AO1074" i="12"/>
  <c r="AO1075" i="12"/>
  <c r="AO1076" i="12"/>
  <c r="AO1077" i="12"/>
  <c r="AO1078" i="12"/>
  <c r="AO1079" i="12"/>
  <c r="AO1080" i="12"/>
  <c r="AO1081" i="12"/>
  <c r="AO1082" i="12"/>
  <c r="AO1083" i="12"/>
  <c r="AO1084" i="12"/>
  <c r="AO1085" i="12"/>
  <c r="AO1086" i="12"/>
  <c r="AO1087" i="12"/>
  <c r="AO1088" i="12"/>
  <c r="AO1089" i="12"/>
  <c r="AO1090" i="12"/>
  <c r="AO1091" i="12"/>
  <c r="AO1092" i="12"/>
  <c r="AO1093" i="12"/>
  <c r="AO1094" i="12"/>
  <c r="AO1095" i="12"/>
  <c r="AO1096" i="12"/>
  <c r="AO1097" i="12"/>
  <c r="AO1098" i="12"/>
  <c r="AO1099" i="12"/>
  <c r="AO1100" i="12"/>
  <c r="AO1101" i="12"/>
  <c r="AO1102" i="12"/>
  <c r="AO1103" i="12"/>
  <c r="AO1104" i="12"/>
  <c r="AO1105" i="12"/>
  <c r="AO1106" i="12"/>
  <c r="AO1107" i="12"/>
  <c r="AO1108" i="12"/>
  <c r="AO1109" i="12"/>
  <c r="AO1110" i="12"/>
  <c r="AO1111" i="12"/>
  <c r="AO1112" i="12"/>
  <c r="AO1113" i="12"/>
  <c r="AO1114" i="12"/>
  <c r="AO1115" i="12"/>
  <c r="AO1116" i="12"/>
  <c r="AO1117" i="12"/>
  <c r="AO1118" i="12"/>
  <c r="AO1119" i="12"/>
  <c r="AO1120" i="12"/>
  <c r="AO1121" i="12"/>
  <c r="AO1122" i="12"/>
  <c r="AO1123" i="12"/>
  <c r="AO1124" i="12"/>
  <c r="AO1125" i="12"/>
  <c r="AO1126" i="12"/>
  <c r="AO1127" i="12"/>
  <c r="AO1128" i="12"/>
  <c r="AO1129" i="12"/>
  <c r="AO1130" i="12"/>
  <c r="AO1131" i="12"/>
  <c r="AO1132" i="12"/>
  <c r="AO1133" i="12"/>
  <c r="AO1136" i="12"/>
  <c r="AO1137" i="12"/>
  <c r="AO1140" i="12"/>
  <c r="AO1141" i="12"/>
  <c r="AO1142" i="12"/>
  <c r="AO1143" i="12"/>
  <c r="AO1144" i="12"/>
  <c r="AO1145" i="12"/>
  <c r="AO1146" i="12"/>
  <c r="AO1147" i="12"/>
  <c r="AO1148" i="12"/>
  <c r="AO1149" i="12"/>
  <c r="AO1150" i="12"/>
  <c r="AO1151" i="12"/>
  <c r="AO1152" i="12"/>
  <c r="AO1153" i="12"/>
  <c r="AO1154" i="12"/>
  <c r="AO1155" i="12"/>
  <c r="AO1156" i="12"/>
  <c r="AO1157" i="12"/>
  <c r="AO1158" i="12"/>
  <c r="AO1159" i="12"/>
  <c r="AN5" i="12"/>
  <c r="AN6" i="12"/>
  <c r="AN7" i="12"/>
  <c r="AN8" i="12"/>
  <c r="AN9" i="12"/>
  <c r="AN10" i="12"/>
  <c r="AN11" i="12"/>
  <c r="AN12" i="12"/>
  <c r="AN13" i="12"/>
  <c r="AN14" i="12"/>
  <c r="AN15" i="12"/>
  <c r="AN16" i="12"/>
  <c r="AN17" i="12"/>
  <c r="AN18" i="12"/>
  <c r="AN19" i="12"/>
  <c r="AN20" i="12"/>
  <c r="AN21" i="12"/>
  <c r="AN22" i="12"/>
  <c r="AN23" i="12"/>
  <c r="AN24" i="12"/>
  <c r="AN25" i="12"/>
  <c r="AN26" i="12"/>
  <c r="AN27" i="12"/>
  <c r="AN28" i="12"/>
  <c r="AN29" i="12"/>
  <c r="AN30" i="12"/>
  <c r="AN31" i="12"/>
  <c r="AN32" i="12"/>
  <c r="AN33" i="12"/>
  <c r="AN34" i="12"/>
  <c r="AN35" i="12"/>
  <c r="AN36" i="12"/>
  <c r="AN37" i="12"/>
  <c r="AN38" i="12"/>
  <c r="AN39" i="12"/>
  <c r="AN40" i="12"/>
  <c r="AN41" i="12"/>
  <c r="AN42" i="12"/>
  <c r="AN43" i="12"/>
  <c r="AN44" i="12"/>
  <c r="AN45" i="12"/>
  <c r="AN46" i="12"/>
  <c r="AN47" i="12"/>
  <c r="AN48" i="12"/>
  <c r="AN49" i="12"/>
  <c r="AN50" i="12"/>
  <c r="AN51" i="12"/>
  <c r="AN52" i="12"/>
  <c r="AN53" i="12"/>
  <c r="AN54" i="12"/>
  <c r="AN55" i="12"/>
  <c r="AN56" i="12"/>
  <c r="AN57" i="12"/>
  <c r="AN58" i="12"/>
  <c r="AN59" i="12"/>
  <c r="AN60" i="12"/>
  <c r="AN61" i="12"/>
  <c r="AN62" i="12"/>
  <c r="AN63" i="12"/>
  <c r="AN64" i="12"/>
  <c r="AN65" i="12"/>
  <c r="AN66" i="12"/>
  <c r="AN67" i="12"/>
  <c r="AN68" i="12"/>
  <c r="AN69" i="12"/>
  <c r="AN70" i="12"/>
  <c r="AN71" i="12"/>
  <c r="AN72" i="12"/>
  <c r="AN73" i="12"/>
  <c r="AN74" i="12"/>
  <c r="AN75" i="12"/>
  <c r="AN76" i="12"/>
  <c r="AN77" i="12"/>
  <c r="AN78" i="12"/>
  <c r="AN79" i="12"/>
  <c r="AN80" i="12"/>
  <c r="AN81" i="12"/>
  <c r="AN82" i="12"/>
  <c r="AN83" i="12"/>
  <c r="AN84" i="12"/>
  <c r="AN85" i="12"/>
  <c r="AN86" i="12"/>
  <c r="AN87" i="12"/>
  <c r="AN88" i="12"/>
  <c r="AN89" i="12"/>
  <c r="AN90" i="12"/>
  <c r="AN91" i="12"/>
  <c r="AN92" i="12"/>
  <c r="AN93" i="12"/>
  <c r="AN94" i="12"/>
  <c r="AN95" i="12"/>
  <c r="AN96" i="12"/>
  <c r="AN97" i="12"/>
  <c r="AN98" i="12"/>
  <c r="AN99" i="12"/>
  <c r="AN100" i="12"/>
  <c r="AN101" i="12"/>
  <c r="AN102" i="12"/>
  <c r="AN103" i="12"/>
  <c r="AN104" i="12"/>
  <c r="AN105" i="12"/>
  <c r="AN106" i="12"/>
  <c r="AN107" i="12"/>
  <c r="AN108" i="12"/>
  <c r="AN109" i="12"/>
  <c r="AN110" i="12"/>
  <c r="AN111" i="12"/>
  <c r="AN112" i="12"/>
  <c r="AN113" i="12"/>
  <c r="AN114" i="12"/>
  <c r="AN115" i="12"/>
  <c r="AN116" i="12"/>
  <c r="AN117" i="12"/>
  <c r="AN118" i="12"/>
  <c r="AN119" i="12"/>
  <c r="AN120" i="12"/>
  <c r="AN121" i="12"/>
  <c r="AN122" i="12"/>
  <c r="AN123" i="12"/>
  <c r="AN124" i="12"/>
  <c r="AN125" i="12"/>
  <c r="AN126" i="12"/>
  <c r="AN127" i="12"/>
  <c r="AN128" i="12"/>
  <c r="AN129" i="12"/>
  <c r="AN130" i="12"/>
  <c r="AN131" i="12"/>
  <c r="AN132" i="12"/>
  <c r="AN133" i="12"/>
  <c r="AN134" i="12"/>
  <c r="AN135" i="12"/>
  <c r="AN136" i="12"/>
  <c r="AN137" i="12"/>
  <c r="AN138" i="12"/>
  <c r="AN139" i="12"/>
  <c r="AN140" i="12"/>
  <c r="AN141" i="12"/>
  <c r="AN142" i="12"/>
  <c r="AN143" i="12"/>
  <c r="AN144" i="12"/>
  <c r="AN145" i="12"/>
  <c r="AN146" i="12"/>
  <c r="AN147" i="12"/>
  <c r="AN148" i="12"/>
  <c r="AN149" i="12"/>
  <c r="AN150" i="12"/>
  <c r="AN151" i="12"/>
  <c r="AN152" i="12"/>
  <c r="AN153" i="12"/>
  <c r="AN154" i="12"/>
  <c r="AN155" i="12"/>
  <c r="AN156" i="12"/>
  <c r="AN157" i="12"/>
  <c r="AN158" i="12"/>
  <c r="AN159" i="12"/>
  <c r="AN160" i="12"/>
  <c r="AN161" i="12"/>
  <c r="AN162" i="12"/>
  <c r="AN163" i="12"/>
  <c r="AN164" i="12"/>
  <c r="AN165" i="12"/>
  <c r="AN166" i="12"/>
  <c r="AN167" i="12"/>
  <c r="AN168" i="12"/>
  <c r="AN169" i="12"/>
  <c r="AN170" i="12"/>
  <c r="AN171" i="12"/>
  <c r="AN172" i="12"/>
  <c r="AN173" i="12"/>
  <c r="AN174" i="12"/>
  <c r="AN175" i="12"/>
  <c r="AN176" i="12"/>
  <c r="AN177" i="12"/>
  <c r="AN178" i="12"/>
  <c r="AN179" i="12"/>
  <c r="AN180" i="12"/>
  <c r="AN181" i="12"/>
  <c r="AN182" i="12"/>
  <c r="AN183" i="12"/>
  <c r="AN184" i="12"/>
  <c r="AN185" i="12"/>
  <c r="AN186" i="12"/>
  <c r="AN187" i="12"/>
  <c r="AN188" i="12"/>
  <c r="AN189" i="12"/>
  <c r="AN190" i="12"/>
  <c r="AN191" i="12"/>
  <c r="AN192" i="12"/>
  <c r="AN193" i="12"/>
  <c r="AN194" i="12"/>
  <c r="AN195" i="12"/>
  <c r="AN196" i="12"/>
  <c r="AN197" i="12"/>
  <c r="AN198" i="12"/>
  <c r="AN199" i="12"/>
  <c r="AN200" i="12"/>
  <c r="AN201" i="12"/>
  <c r="AN202" i="12"/>
  <c r="AN203" i="12"/>
  <c r="AN204" i="12"/>
  <c r="AN205" i="12"/>
  <c r="AN206" i="12"/>
  <c r="AN207" i="12"/>
  <c r="AN208" i="12"/>
  <c r="AN209" i="12"/>
  <c r="AN210" i="12"/>
  <c r="AN211" i="12"/>
  <c r="AN212" i="12"/>
  <c r="AN213" i="12"/>
  <c r="AN214" i="12"/>
  <c r="AN215" i="12"/>
  <c r="AN216" i="12"/>
  <c r="AN217" i="12"/>
  <c r="AN218" i="12"/>
  <c r="AN219" i="12"/>
  <c r="AN220" i="12"/>
  <c r="AN221" i="12"/>
  <c r="AN222" i="12"/>
  <c r="AN223" i="12"/>
  <c r="AN224" i="12"/>
  <c r="AN225" i="12"/>
  <c r="AN226" i="12"/>
  <c r="AN227" i="12"/>
  <c r="AN228" i="12"/>
  <c r="AN229" i="12"/>
  <c r="AN230" i="12"/>
  <c r="AN231" i="12"/>
  <c r="AN232" i="12"/>
  <c r="AN233" i="12"/>
  <c r="AN234" i="12"/>
  <c r="AN235" i="12"/>
  <c r="AN236" i="12"/>
  <c r="AN237" i="12"/>
  <c r="AN238" i="12"/>
  <c r="AN239" i="12"/>
  <c r="AN240" i="12"/>
  <c r="AN241" i="12"/>
  <c r="AN242" i="12"/>
  <c r="AN243" i="12"/>
  <c r="AN244" i="12"/>
  <c r="AN245" i="12"/>
  <c r="AN246" i="12"/>
  <c r="AN247" i="12"/>
  <c r="AN248" i="12"/>
  <c r="AN249" i="12"/>
  <c r="AN250" i="12"/>
  <c r="AN251" i="12"/>
  <c r="AN252" i="12"/>
  <c r="AN253" i="12"/>
  <c r="AN254" i="12"/>
  <c r="AN255" i="12"/>
  <c r="AN256" i="12"/>
  <c r="AN257" i="12"/>
  <c r="AN258" i="12"/>
  <c r="AN259" i="12"/>
  <c r="AN260" i="12"/>
  <c r="AN261" i="12"/>
  <c r="AN262" i="12"/>
  <c r="AN263" i="12"/>
  <c r="AN264" i="12"/>
  <c r="AN265" i="12"/>
  <c r="AN266" i="12"/>
  <c r="AN267" i="12"/>
  <c r="AN268" i="12"/>
  <c r="AN269" i="12"/>
  <c r="AN270" i="12"/>
  <c r="AN271" i="12"/>
  <c r="AN272" i="12"/>
  <c r="AN273" i="12"/>
  <c r="AN274" i="12"/>
  <c r="AN275" i="12"/>
  <c r="AN276" i="12"/>
  <c r="AN277" i="12"/>
  <c r="AN278" i="12"/>
  <c r="AN279" i="12"/>
  <c r="AN280" i="12"/>
  <c r="AN281" i="12"/>
  <c r="AN282" i="12"/>
  <c r="AN283" i="12"/>
  <c r="AN284" i="12"/>
  <c r="AN285" i="12"/>
  <c r="AN286" i="12"/>
  <c r="AN287" i="12"/>
  <c r="AN288" i="12"/>
  <c r="AN289" i="12"/>
  <c r="AN290" i="12"/>
  <c r="AN291" i="12"/>
  <c r="AN292" i="12"/>
  <c r="AN293" i="12"/>
  <c r="AN294" i="12"/>
  <c r="AN295" i="12"/>
  <c r="AN296" i="12"/>
  <c r="AN297" i="12"/>
  <c r="AN298" i="12"/>
  <c r="AN299" i="12"/>
  <c r="AN300" i="12"/>
  <c r="AN301" i="12"/>
  <c r="AN302" i="12"/>
  <c r="AN303" i="12"/>
  <c r="AN304" i="12"/>
  <c r="AN305" i="12"/>
  <c r="AN306" i="12"/>
  <c r="AN307" i="12"/>
  <c r="AN308" i="12"/>
  <c r="AN309" i="12"/>
  <c r="AN310" i="12"/>
  <c r="AN311" i="12"/>
  <c r="AN312" i="12"/>
  <c r="AN313" i="12"/>
  <c r="AN314" i="12"/>
  <c r="AN315" i="12"/>
  <c r="AN316" i="12"/>
  <c r="AN317" i="12"/>
  <c r="AN318" i="12"/>
  <c r="AN319" i="12"/>
  <c r="AN320" i="12"/>
  <c r="AN321" i="12"/>
  <c r="AN322" i="12"/>
  <c r="AN323" i="12"/>
  <c r="AN324" i="12"/>
  <c r="AN325" i="12"/>
  <c r="AN326" i="12"/>
  <c r="AN327" i="12"/>
  <c r="AN328" i="12"/>
  <c r="AN329" i="12"/>
  <c r="AN330" i="12"/>
  <c r="AN331" i="12"/>
  <c r="AN332" i="12"/>
  <c r="AN333" i="12"/>
  <c r="AN334" i="12"/>
  <c r="AN335" i="12"/>
  <c r="AN336" i="12"/>
  <c r="AN337" i="12"/>
  <c r="AN338" i="12"/>
  <c r="AN339" i="12"/>
  <c r="AN340" i="12"/>
  <c r="AN341" i="12"/>
  <c r="AN342" i="12"/>
  <c r="AN343" i="12"/>
  <c r="AN344" i="12"/>
  <c r="AN345" i="12"/>
  <c r="AN346" i="12"/>
  <c r="AN347" i="12"/>
  <c r="AN348" i="12"/>
  <c r="AN349" i="12"/>
  <c r="AN350" i="12"/>
  <c r="AN351" i="12"/>
  <c r="AN352" i="12"/>
  <c r="AN353" i="12"/>
  <c r="AN354" i="12"/>
  <c r="AN355" i="12"/>
  <c r="AN356" i="12"/>
  <c r="AN357" i="12"/>
  <c r="AN358" i="12"/>
  <c r="AN359" i="12"/>
  <c r="AN360" i="12"/>
  <c r="AN361" i="12"/>
  <c r="AN362" i="12"/>
  <c r="AN363" i="12"/>
  <c r="AN364" i="12"/>
  <c r="AN365" i="12"/>
  <c r="AN366" i="12"/>
  <c r="AN367" i="12"/>
  <c r="AN368" i="12"/>
  <c r="AN369" i="12"/>
  <c r="AN370" i="12"/>
  <c r="AN371" i="12"/>
  <c r="AN372" i="12"/>
  <c r="AN373" i="12"/>
  <c r="AN374" i="12"/>
  <c r="AN375" i="12"/>
  <c r="AN376" i="12"/>
  <c r="AN377" i="12"/>
  <c r="AN378" i="12"/>
  <c r="AN379" i="12"/>
  <c r="AN380" i="12"/>
  <c r="AN381" i="12"/>
  <c r="AN382" i="12"/>
  <c r="AN383" i="12"/>
  <c r="AN384" i="12"/>
  <c r="AN385" i="12"/>
  <c r="AN386" i="12"/>
  <c r="AN387" i="12"/>
  <c r="AN388" i="12"/>
  <c r="AN389" i="12"/>
  <c r="AN390" i="12"/>
  <c r="AN391" i="12"/>
  <c r="AN392" i="12"/>
  <c r="AN393" i="12"/>
  <c r="AN394" i="12"/>
  <c r="AN395" i="12"/>
  <c r="AN396" i="12"/>
  <c r="AN397" i="12"/>
  <c r="AN398" i="12"/>
  <c r="AN399" i="12"/>
  <c r="AN400" i="12"/>
  <c r="AN401" i="12"/>
  <c r="AN402" i="12"/>
  <c r="AN403" i="12"/>
  <c r="AN404" i="12"/>
  <c r="AN405" i="12"/>
  <c r="AN406" i="12"/>
  <c r="AN407" i="12"/>
  <c r="AN408" i="12"/>
  <c r="AN409" i="12"/>
  <c r="AN410" i="12"/>
  <c r="AN411" i="12"/>
  <c r="AN412" i="12"/>
  <c r="AN413" i="12"/>
  <c r="AN414" i="12"/>
  <c r="AN415" i="12"/>
  <c r="AN416" i="12"/>
  <c r="AN417" i="12"/>
  <c r="AN418" i="12"/>
  <c r="AN419" i="12"/>
  <c r="AN420" i="12"/>
  <c r="AN421" i="12"/>
  <c r="AN422" i="12"/>
  <c r="AN423" i="12"/>
  <c r="AN424" i="12"/>
  <c r="AN425" i="12"/>
  <c r="AN426" i="12"/>
  <c r="AN427" i="12"/>
  <c r="AN428" i="12"/>
  <c r="AN429" i="12"/>
  <c r="AN430" i="12"/>
  <c r="AN431" i="12"/>
  <c r="AN432" i="12"/>
  <c r="AN433" i="12"/>
  <c r="AN434" i="12"/>
  <c r="AN435" i="12"/>
  <c r="AN436" i="12"/>
  <c r="AN437" i="12"/>
  <c r="AN438" i="12"/>
  <c r="AN439" i="12"/>
  <c r="AN440" i="12"/>
  <c r="AN441" i="12"/>
  <c r="AN442" i="12"/>
  <c r="AN443" i="12"/>
  <c r="AN444" i="12"/>
  <c r="AN445" i="12"/>
  <c r="AN446" i="12"/>
  <c r="AN447" i="12"/>
  <c r="AN448" i="12"/>
  <c r="AN449" i="12"/>
  <c r="AN450" i="12"/>
  <c r="AN451" i="12"/>
  <c r="AN452" i="12"/>
  <c r="AN453" i="12"/>
  <c r="AN454" i="12"/>
  <c r="AN455" i="12"/>
  <c r="AN456" i="12"/>
  <c r="AN457" i="12"/>
  <c r="AN458" i="12"/>
  <c r="AN459" i="12"/>
  <c r="AN460" i="12"/>
  <c r="AN461" i="12"/>
  <c r="AN462" i="12"/>
  <c r="AN463" i="12"/>
  <c r="AN464" i="12"/>
  <c r="AN465" i="12"/>
  <c r="AN466" i="12"/>
  <c r="AN467" i="12"/>
  <c r="AN468" i="12"/>
  <c r="AN469" i="12"/>
  <c r="AN470" i="12"/>
  <c r="AN471" i="12"/>
  <c r="AN472" i="12"/>
  <c r="AN473" i="12"/>
  <c r="AN474" i="12"/>
  <c r="AN475" i="12"/>
  <c r="AN476" i="12"/>
  <c r="AN477" i="12"/>
  <c r="AN478" i="12"/>
  <c r="AN479" i="12"/>
  <c r="AN480" i="12"/>
  <c r="AN481" i="12"/>
  <c r="AN482" i="12"/>
  <c r="AN483" i="12"/>
  <c r="AN484" i="12"/>
  <c r="AN485" i="12"/>
  <c r="AN486" i="12"/>
  <c r="AN487" i="12"/>
  <c r="AN488" i="12"/>
  <c r="AN489" i="12"/>
  <c r="AN490" i="12"/>
  <c r="AN491" i="12"/>
  <c r="AN492" i="12"/>
  <c r="AN493" i="12"/>
  <c r="AN494" i="12"/>
  <c r="AN495" i="12"/>
  <c r="AN496" i="12"/>
  <c r="AN497" i="12"/>
  <c r="AN498" i="12"/>
  <c r="AN499" i="12"/>
  <c r="AN500" i="12"/>
  <c r="AN501" i="12"/>
  <c r="AN502" i="12"/>
  <c r="AN503" i="12"/>
  <c r="AN504" i="12"/>
  <c r="AN505" i="12"/>
  <c r="AN506" i="12"/>
  <c r="AN507" i="12"/>
  <c r="AN508" i="12"/>
  <c r="AN509" i="12"/>
  <c r="AN510" i="12"/>
  <c r="AN511" i="12"/>
  <c r="AN512" i="12"/>
  <c r="AN513" i="12"/>
  <c r="AN514" i="12"/>
  <c r="AN515" i="12"/>
  <c r="AN516" i="12"/>
  <c r="AN517" i="12"/>
  <c r="AN518" i="12"/>
  <c r="AN519" i="12"/>
  <c r="AN520" i="12"/>
  <c r="AN521" i="12"/>
  <c r="AN522" i="12"/>
  <c r="AN523" i="12"/>
  <c r="AN524" i="12"/>
  <c r="AN525" i="12"/>
  <c r="AN526" i="12"/>
  <c r="AN527" i="12"/>
  <c r="AN528" i="12"/>
  <c r="AN529" i="12"/>
  <c r="AN530" i="12"/>
  <c r="AN531" i="12"/>
  <c r="AN532" i="12"/>
  <c r="AN533" i="12"/>
  <c r="AN534" i="12"/>
  <c r="AN535" i="12"/>
  <c r="AN536" i="12"/>
  <c r="AN537" i="12"/>
  <c r="AN538" i="12"/>
  <c r="AN539" i="12"/>
  <c r="AN540" i="12"/>
  <c r="AN541" i="12"/>
  <c r="AN542" i="12"/>
  <c r="AN543" i="12"/>
  <c r="AN544" i="12"/>
  <c r="AN545" i="12"/>
  <c r="AN546" i="12"/>
  <c r="AN547" i="12"/>
  <c r="AN548" i="12"/>
  <c r="AN549" i="12"/>
  <c r="AN550" i="12"/>
  <c r="AN551" i="12"/>
  <c r="AN552" i="12"/>
  <c r="AN553" i="12"/>
  <c r="AN554" i="12"/>
  <c r="AN555" i="12"/>
  <c r="AN556" i="12"/>
  <c r="AN557" i="12"/>
  <c r="AN558" i="12"/>
  <c r="AN559" i="12"/>
  <c r="AN560" i="12"/>
  <c r="AN561" i="12"/>
  <c r="AN562" i="12"/>
  <c r="AN563" i="12"/>
  <c r="AN564" i="12"/>
  <c r="AN565" i="12"/>
  <c r="AN566" i="12"/>
  <c r="AN567" i="12"/>
  <c r="AN568" i="12"/>
  <c r="AN569" i="12"/>
  <c r="AN570" i="12"/>
  <c r="AN571" i="12"/>
  <c r="AN572" i="12"/>
  <c r="AN573" i="12"/>
  <c r="AN574" i="12"/>
  <c r="AN575" i="12"/>
  <c r="AN576" i="12"/>
  <c r="AN577" i="12"/>
  <c r="AN578" i="12"/>
  <c r="AN579" i="12"/>
  <c r="AN580" i="12"/>
  <c r="AN581" i="12"/>
  <c r="AN582" i="12"/>
  <c r="AN583" i="12"/>
  <c r="AN584" i="12"/>
  <c r="AN585" i="12"/>
  <c r="AN586" i="12"/>
  <c r="AN587" i="12"/>
  <c r="AN588" i="12"/>
  <c r="AN589" i="12"/>
  <c r="AN590" i="12"/>
  <c r="AN591" i="12"/>
  <c r="AN592" i="12"/>
  <c r="AN593" i="12"/>
  <c r="AN594" i="12"/>
  <c r="AN595" i="12"/>
  <c r="AN596" i="12"/>
  <c r="AN597" i="12"/>
  <c r="AN598" i="12"/>
  <c r="AN599" i="12"/>
  <c r="AN600" i="12"/>
  <c r="AN601" i="12"/>
  <c r="AN602" i="12"/>
  <c r="AN603" i="12"/>
  <c r="AN604" i="12"/>
  <c r="AN605" i="12"/>
  <c r="AN606" i="12"/>
  <c r="AN607" i="12"/>
  <c r="AN608" i="12"/>
  <c r="AN609" i="12"/>
  <c r="AN610" i="12"/>
  <c r="AN611" i="12"/>
  <c r="AN612" i="12"/>
  <c r="AN613" i="12"/>
  <c r="AN614" i="12"/>
  <c r="AN615" i="12"/>
  <c r="AN616" i="12"/>
  <c r="AN617" i="12"/>
  <c r="AN618" i="12"/>
  <c r="AN619" i="12"/>
  <c r="AN620" i="12"/>
  <c r="AN621" i="12"/>
  <c r="AN622" i="12"/>
  <c r="AN623" i="12"/>
  <c r="AN624" i="12"/>
  <c r="AN625" i="12"/>
  <c r="AN626" i="12"/>
  <c r="AN627" i="12"/>
  <c r="AN628" i="12"/>
  <c r="AN629" i="12"/>
  <c r="AN630" i="12"/>
  <c r="AN631" i="12"/>
  <c r="AN632" i="12"/>
  <c r="AN633" i="12"/>
  <c r="AN634" i="12"/>
  <c r="AN635" i="12"/>
  <c r="AN636" i="12"/>
  <c r="AN637" i="12"/>
  <c r="AN638" i="12"/>
  <c r="AN639" i="12"/>
  <c r="AN640" i="12"/>
  <c r="AN641" i="12"/>
  <c r="AN642" i="12"/>
  <c r="AN643" i="12"/>
  <c r="AN644" i="12"/>
  <c r="AN645" i="12"/>
  <c r="AN646" i="12"/>
  <c r="AN647" i="12"/>
  <c r="AN648" i="12"/>
  <c r="AN649" i="12"/>
  <c r="AN650" i="12"/>
  <c r="AN651" i="12"/>
  <c r="AN652" i="12"/>
  <c r="AN653" i="12"/>
  <c r="AN654" i="12"/>
  <c r="AN655" i="12"/>
  <c r="AN656" i="12"/>
  <c r="AN657" i="12"/>
  <c r="AN658" i="12"/>
  <c r="AN659" i="12"/>
  <c r="AN660" i="12"/>
  <c r="AN661" i="12"/>
  <c r="AN662" i="12"/>
  <c r="AN663" i="12"/>
  <c r="AN664" i="12"/>
  <c r="AN665" i="12"/>
  <c r="AN666" i="12"/>
  <c r="AN667" i="12"/>
  <c r="AN668" i="12"/>
  <c r="AN669" i="12"/>
  <c r="AN670" i="12"/>
  <c r="AN671" i="12"/>
  <c r="AN672" i="12"/>
  <c r="AN673" i="12"/>
  <c r="AN674" i="12"/>
  <c r="AN675" i="12"/>
  <c r="AN676" i="12"/>
  <c r="AN677" i="12"/>
  <c r="AN678" i="12"/>
  <c r="AN679" i="12"/>
  <c r="AN680" i="12"/>
  <c r="AN681" i="12"/>
  <c r="AN682" i="12"/>
  <c r="AN683" i="12"/>
  <c r="AN684" i="12"/>
  <c r="AN685" i="12"/>
  <c r="AN686" i="12"/>
  <c r="AN687" i="12"/>
  <c r="AN688" i="12"/>
  <c r="AN689" i="12"/>
  <c r="AN690" i="12"/>
  <c r="AN691" i="12"/>
  <c r="AN692" i="12"/>
  <c r="AN693" i="12"/>
  <c r="AN694" i="12"/>
  <c r="AN695" i="12"/>
  <c r="AN696" i="12"/>
  <c r="AN697" i="12"/>
  <c r="AN698" i="12"/>
  <c r="AN699" i="12"/>
  <c r="AN700" i="12"/>
  <c r="AN701" i="12"/>
  <c r="AN702" i="12"/>
  <c r="AN703" i="12"/>
  <c r="AN704" i="12"/>
  <c r="AN705" i="12"/>
  <c r="AN706" i="12"/>
  <c r="AN707" i="12"/>
  <c r="AN708" i="12"/>
  <c r="AN709" i="12"/>
  <c r="AN710" i="12"/>
  <c r="AN711" i="12"/>
  <c r="AN712" i="12"/>
  <c r="AN713" i="12"/>
  <c r="AN714" i="12"/>
  <c r="AN715" i="12"/>
  <c r="AN716" i="12"/>
  <c r="AN717" i="12"/>
  <c r="AN718" i="12"/>
  <c r="AN730" i="12"/>
  <c r="AN731" i="12"/>
  <c r="AN732" i="12"/>
  <c r="AN733" i="12"/>
  <c r="AN734" i="12"/>
  <c r="AN735" i="12"/>
  <c r="AN736" i="12"/>
  <c r="AN737" i="12"/>
  <c r="AN738" i="12"/>
  <c r="AN739" i="12"/>
  <c r="AN740" i="12"/>
  <c r="AN741" i="12"/>
  <c r="AN742" i="12"/>
  <c r="AN743" i="12"/>
  <c r="AN744" i="12"/>
  <c r="AN745" i="12"/>
  <c r="AN746" i="12"/>
  <c r="AN747" i="12"/>
  <c r="AN748" i="12"/>
  <c r="AN749" i="12"/>
  <c r="AN750" i="12"/>
  <c r="AN751" i="12"/>
  <c r="AN752" i="12"/>
  <c r="AN753" i="12"/>
  <c r="AN754" i="12"/>
  <c r="AN755" i="12"/>
  <c r="AN756" i="12"/>
  <c r="AN757" i="12"/>
  <c r="AN758" i="12"/>
  <c r="AN759" i="12"/>
  <c r="AN760" i="12"/>
  <c r="AN761" i="12"/>
  <c r="AN762" i="12"/>
  <c r="AN763" i="12"/>
  <c r="AN764" i="12"/>
  <c r="AN765" i="12"/>
  <c r="AN766" i="12"/>
  <c r="AN767" i="12"/>
  <c r="AN768" i="12"/>
  <c r="AN769" i="12"/>
  <c r="AN770" i="12"/>
  <c r="AN771" i="12"/>
  <c r="AN772" i="12"/>
  <c r="AN773" i="12"/>
  <c r="AN774" i="12"/>
  <c r="AN775" i="12"/>
  <c r="AN776" i="12"/>
  <c r="AN777" i="12"/>
  <c r="AN778" i="12"/>
  <c r="AN779" i="12"/>
  <c r="AN780" i="12"/>
  <c r="AN781" i="12"/>
  <c r="AN782" i="12"/>
  <c r="AN783" i="12"/>
  <c r="AN784" i="12"/>
  <c r="AN785" i="12"/>
  <c r="AN786" i="12"/>
  <c r="AN787" i="12"/>
  <c r="AN788" i="12"/>
  <c r="AN789" i="12"/>
  <c r="AN790" i="12"/>
  <c r="AN791" i="12"/>
  <c r="AN792" i="12"/>
  <c r="AN793" i="12"/>
  <c r="AN794" i="12"/>
  <c r="AN795" i="12"/>
  <c r="AN796" i="12"/>
  <c r="AN797" i="12"/>
  <c r="AN798" i="12"/>
  <c r="AN799" i="12"/>
  <c r="AN800" i="12"/>
  <c r="AN801" i="12"/>
  <c r="AN802" i="12"/>
  <c r="AN803" i="12"/>
  <c r="AN804" i="12"/>
  <c r="AN805" i="12"/>
  <c r="AN806" i="12"/>
  <c r="AN807" i="12"/>
  <c r="AN808" i="12"/>
  <c r="AN809" i="12"/>
  <c r="AN810" i="12"/>
  <c r="AN811" i="12"/>
  <c r="AN812" i="12"/>
  <c r="AN813" i="12"/>
  <c r="AN814" i="12"/>
  <c r="AN815" i="12"/>
  <c r="AN816" i="12"/>
  <c r="AN817" i="12"/>
  <c r="AN818" i="12"/>
  <c r="AN819" i="12"/>
  <c r="AN820" i="12"/>
  <c r="AN821" i="12"/>
  <c r="AN822" i="12"/>
  <c r="AN823" i="12"/>
  <c r="AN824" i="12"/>
  <c r="AN825" i="12"/>
  <c r="AN826" i="12"/>
  <c r="AN827" i="12"/>
  <c r="AN828" i="12"/>
  <c r="AN829" i="12"/>
  <c r="AN830" i="12"/>
  <c r="AN831" i="12"/>
  <c r="AN832" i="12"/>
  <c r="AN833" i="12"/>
  <c r="AN834" i="12"/>
  <c r="AN835" i="12"/>
  <c r="AN836" i="12"/>
  <c r="AN837" i="12"/>
  <c r="AN838" i="12"/>
  <c r="AN839" i="12"/>
  <c r="AN840" i="12"/>
  <c r="AN841" i="12"/>
  <c r="AN842" i="12"/>
  <c r="AN843" i="12"/>
  <c r="AN844" i="12"/>
  <c r="AN845" i="12"/>
  <c r="AN846" i="12"/>
  <c r="AN847" i="12"/>
  <c r="AN848" i="12"/>
  <c r="AN849" i="12"/>
  <c r="AN850" i="12"/>
  <c r="AN851" i="12"/>
  <c r="AN852" i="12"/>
  <c r="AN853" i="12"/>
  <c r="AN854" i="12"/>
  <c r="AN855" i="12"/>
  <c r="AN856" i="12"/>
  <c r="AN857" i="12"/>
  <c r="AN858" i="12"/>
  <c r="AN859" i="12"/>
  <c r="AN860" i="12"/>
  <c r="AN861" i="12"/>
  <c r="AN862" i="12"/>
  <c r="AN863" i="12"/>
  <c r="AN864" i="12"/>
  <c r="AN865" i="12"/>
  <c r="AN866" i="12"/>
  <c r="AN867" i="12"/>
  <c r="AN868" i="12"/>
  <c r="AN869" i="12"/>
  <c r="AN870" i="12"/>
  <c r="AN871" i="12"/>
  <c r="AN872" i="12"/>
  <c r="AN873" i="12"/>
  <c r="AN874" i="12"/>
  <c r="AN875" i="12"/>
  <c r="AN876" i="12"/>
  <c r="AN877" i="12"/>
  <c r="AN878" i="12"/>
  <c r="AN879" i="12"/>
  <c r="AN880" i="12"/>
  <c r="AN881" i="12"/>
  <c r="AN882" i="12"/>
  <c r="AN883" i="12"/>
  <c r="AN884" i="12"/>
  <c r="AN885" i="12"/>
  <c r="AN886" i="12"/>
  <c r="AN887" i="12"/>
  <c r="AN888" i="12"/>
  <c r="AN889" i="12"/>
  <c r="AN890" i="12"/>
  <c r="AN891" i="12"/>
  <c r="AN892" i="12"/>
  <c r="AN893" i="12"/>
  <c r="AN894" i="12"/>
  <c r="AN895" i="12"/>
  <c r="AN896" i="12"/>
  <c r="AN897" i="12"/>
  <c r="AN898" i="12"/>
  <c r="AN899" i="12"/>
  <c r="AN900" i="12"/>
  <c r="AN901" i="12"/>
  <c r="AN902" i="12"/>
  <c r="AN903" i="12"/>
  <c r="AN904" i="12"/>
  <c r="AN905" i="12"/>
  <c r="AN906" i="12"/>
  <c r="AN907" i="12"/>
  <c r="AN908" i="12"/>
  <c r="AN909" i="12"/>
  <c r="AN910" i="12"/>
  <c r="AN911" i="12"/>
  <c r="AN912" i="12"/>
  <c r="AN913" i="12"/>
  <c r="AN914" i="12"/>
  <c r="AN915" i="12"/>
  <c r="AN916" i="12"/>
  <c r="AN917" i="12"/>
  <c r="AN918" i="12"/>
  <c r="AN919" i="12"/>
  <c r="AN920" i="12"/>
  <c r="AN921" i="12"/>
  <c r="AN922" i="12"/>
  <c r="AN923" i="12"/>
  <c r="AN924" i="12"/>
  <c r="AN925" i="12"/>
  <c r="AN926" i="12"/>
  <c r="AN927" i="12"/>
  <c r="AN928" i="12"/>
  <c r="AN929" i="12"/>
  <c r="AN930" i="12"/>
  <c r="AN931" i="12"/>
  <c r="AN932" i="12"/>
  <c r="AN933" i="12"/>
  <c r="AN934" i="12"/>
  <c r="AN935" i="12"/>
  <c r="AN936" i="12"/>
  <c r="AN937" i="12"/>
  <c r="AN938" i="12"/>
  <c r="AN939" i="12"/>
  <c r="AN940" i="12"/>
  <c r="AN941" i="12"/>
  <c r="AN942" i="12"/>
  <c r="AN943" i="12"/>
  <c r="AN944" i="12"/>
  <c r="AN945" i="12"/>
  <c r="AN946" i="12"/>
  <c r="AN947" i="12"/>
  <c r="AN948" i="12"/>
  <c r="AN949" i="12"/>
  <c r="AN950" i="12"/>
  <c r="AN951" i="12"/>
  <c r="AN952" i="12"/>
  <c r="AN953" i="12"/>
  <c r="AN954" i="12"/>
  <c r="AN955" i="12"/>
  <c r="AN956" i="12"/>
  <c r="AN957" i="12"/>
  <c r="AN958" i="12"/>
  <c r="AN959" i="12"/>
  <c r="AN960" i="12"/>
  <c r="AN961" i="12"/>
  <c r="AN962" i="12"/>
  <c r="AN963" i="12"/>
  <c r="AN964" i="12"/>
  <c r="AN965" i="12"/>
  <c r="AN966" i="12"/>
  <c r="AN967" i="12"/>
  <c r="AN968" i="12"/>
  <c r="AN969" i="12"/>
  <c r="AN970" i="12"/>
  <c r="AN971" i="12"/>
  <c r="AN972" i="12"/>
  <c r="AN973" i="12"/>
  <c r="AN974" i="12"/>
  <c r="AN975" i="12"/>
  <c r="AN976" i="12"/>
  <c r="AN977" i="12"/>
  <c r="AN978" i="12"/>
  <c r="AN979" i="12"/>
  <c r="AN980" i="12"/>
  <c r="AN981" i="12"/>
  <c r="AN982" i="12"/>
  <c r="AN983" i="12"/>
  <c r="AN984" i="12"/>
  <c r="AN985" i="12"/>
  <c r="AN986" i="12"/>
  <c r="AN987" i="12"/>
  <c r="AN988" i="12"/>
  <c r="AN989" i="12"/>
  <c r="AN990" i="12"/>
  <c r="AN991" i="12"/>
  <c r="AN992" i="12"/>
  <c r="AN993" i="12"/>
  <c r="AN994" i="12"/>
  <c r="AN995" i="12"/>
  <c r="AN996" i="12"/>
  <c r="AN997" i="12"/>
  <c r="AN998" i="12"/>
  <c r="AN999" i="12"/>
  <c r="AN1000" i="12"/>
  <c r="AN1001" i="12"/>
  <c r="AN1002" i="12"/>
  <c r="AN1003" i="12"/>
  <c r="AN1004" i="12"/>
  <c r="AN1005" i="12"/>
  <c r="AN1006" i="12"/>
  <c r="AN1007" i="12"/>
  <c r="AN1008" i="12"/>
  <c r="AN1009" i="12"/>
  <c r="AN1010" i="12"/>
  <c r="AN1011" i="12"/>
  <c r="AN1012" i="12"/>
  <c r="AN1013" i="12"/>
  <c r="AN1014" i="12"/>
  <c r="AN1015" i="12"/>
  <c r="AN1016" i="12"/>
  <c r="AN1017" i="12"/>
  <c r="AN1018" i="12"/>
  <c r="AN1019" i="12"/>
  <c r="AN1020" i="12"/>
  <c r="AN1021" i="12"/>
  <c r="AN1022" i="12"/>
  <c r="AN1023" i="12"/>
  <c r="AN1024" i="12"/>
  <c r="AN1025" i="12"/>
  <c r="AN1026" i="12"/>
  <c r="AN1027" i="12"/>
  <c r="AN1028" i="12"/>
  <c r="AN1029" i="12"/>
  <c r="AN1030" i="12"/>
  <c r="AN1031" i="12"/>
  <c r="AN1032" i="12"/>
  <c r="AN1033" i="12"/>
  <c r="AN1034" i="12"/>
  <c r="AN1035" i="12"/>
  <c r="AN1036" i="12"/>
  <c r="AN1037" i="12"/>
  <c r="AN1038" i="12"/>
  <c r="AN1039" i="12"/>
  <c r="AN1040" i="12"/>
  <c r="AN1041" i="12"/>
  <c r="AN1042" i="12"/>
  <c r="AN1043" i="12"/>
  <c r="AN1044" i="12"/>
  <c r="AN1045" i="12"/>
  <c r="AN1046" i="12"/>
  <c r="AN1047" i="12"/>
  <c r="AN1048" i="12"/>
  <c r="AN1049" i="12"/>
  <c r="AN1050" i="12"/>
  <c r="AN1051" i="12"/>
  <c r="AN1052" i="12"/>
  <c r="AN1053" i="12"/>
  <c r="AN1054" i="12"/>
  <c r="AN1055" i="12"/>
  <c r="AN1056" i="12"/>
  <c r="AN1057" i="12"/>
  <c r="AN1058" i="12"/>
  <c r="AN1059" i="12"/>
  <c r="AN1060" i="12"/>
  <c r="AN1061" i="12"/>
  <c r="AN1062" i="12"/>
  <c r="AN1063" i="12"/>
  <c r="AN1064" i="12"/>
  <c r="AN1065" i="12"/>
  <c r="AN1066" i="12"/>
  <c r="AN1067" i="12"/>
  <c r="AN1068" i="12"/>
  <c r="AN1069" i="12"/>
  <c r="AN1070" i="12"/>
  <c r="AN1071" i="12"/>
  <c r="AN1072" i="12"/>
  <c r="AN1073" i="12"/>
  <c r="AN1074" i="12"/>
  <c r="AN1075" i="12"/>
  <c r="AN1076" i="12"/>
  <c r="AN1077" i="12"/>
  <c r="AN1078" i="12"/>
  <c r="AN1079" i="12"/>
  <c r="AN1080" i="12"/>
  <c r="AN1081" i="12"/>
  <c r="AN1082" i="12"/>
  <c r="AN1083" i="12"/>
  <c r="AN1084" i="12"/>
  <c r="AN1085" i="12"/>
  <c r="AN1086" i="12"/>
  <c r="AN1087" i="12"/>
  <c r="AN1088" i="12"/>
  <c r="AN1089" i="12"/>
  <c r="AN1090" i="12"/>
  <c r="AN1091" i="12"/>
  <c r="AN1092" i="12"/>
  <c r="AN1093" i="12"/>
  <c r="AN1094" i="12"/>
  <c r="AN1095" i="12"/>
  <c r="AN1096" i="12"/>
  <c r="AN1097" i="12"/>
  <c r="AN1098" i="12"/>
  <c r="AN1099" i="12"/>
  <c r="AN1100" i="12"/>
  <c r="AN1101" i="12"/>
  <c r="AN1102" i="12"/>
  <c r="AN1103" i="12"/>
  <c r="AN1104" i="12"/>
  <c r="AN1105" i="12"/>
  <c r="AN1106" i="12"/>
  <c r="AN1107" i="12"/>
  <c r="AN1108" i="12"/>
  <c r="AN1109" i="12"/>
  <c r="AN1110" i="12"/>
  <c r="AN1111" i="12"/>
  <c r="AN1112" i="12"/>
  <c r="AN1113" i="12"/>
  <c r="AN1114" i="12"/>
  <c r="AN1115" i="12"/>
  <c r="AN1116" i="12"/>
  <c r="AN1117" i="12"/>
  <c r="AN1118" i="12"/>
  <c r="AN1119" i="12"/>
  <c r="AN1120" i="12"/>
  <c r="AN1121" i="12"/>
  <c r="AN1122" i="12"/>
  <c r="AN1123" i="12"/>
  <c r="AN1124" i="12"/>
  <c r="AN1125" i="12"/>
  <c r="AN1126" i="12"/>
  <c r="AN1127" i="12"/>
  <c r="AN1128" i="12"/>
  <c r="AN1129" i="12"/>
  <c r="AN1130" i="12"/>
  <c r="AN1131" i="12"/>
  <c r="AN1132" i="12"/>
  <c r="AN1133" i="12"/>
  <c r="AN1136" i="12"/>
  <c r="AN1137" i="12"/>
  <c r="AN1140" i="12"/>
  <c r="AN1141" i="12"/>
  <c r="AN1142" i="12"/>
  <c r="AN1143" i="12"/>
  <c r="AN1144" i="12"/>
  <c r="AN1145" i="12"/>
  <c r="AN1146" i="12"/>
  <c r="AN1147" i="12"/>
  <c r="AN1148" i="12"/>
  <c r="AN1149" i="12"/>
  <c r="AN1150" i="12"/>
  <c r="AN1151" i="12"/>
  <c r="AN1152" i="12"/>
  <c r="AN1153" i="12"/>
  <c r="AN1154" i="12"/>
  <c r="AN1155" i="12"/>
  <c r="AN1156" i="12"/>
  <c r="AN1157" i="12"/>
  <c r="AN1158" i="12"/>
  <c r="AN1159" i="12"/>
  <c r="AM5" i="12"/>
  <c r="AM6" i="12"/>
  <c r="AM7" i="12"/>
  <c r="AM8" i="12"/>
  <c r="AM9" i="12"/>
  <c r="AM10" i="12"/>
  <c r="AM11" i="12"/>
  <c r="AM12" i="12"/>
  <c r="AM13" i="12"/>
  <c r="AM14" i="12"/>
  <c r="AM15" i="12"/>
  <c r="AM16" i="12"/>
  <c r="AM17" i="12"/>
  <c r="AM18" i="12"/>
  <c r="AM19" i="12"/>
  <c r="AM20" i="12"/>
  <c r="AM21" i="12"/>
  <c r="AM22" i="12"/>
  <c r="AM23" i="12"/>
  <c r="AM24" i="12"/>
  <c r="AM25" i="12"/>
  <c r="AM26" i="12"/>
  <c r="AM27" i="12"/>
  <c r="AM28" i="12"/>
  <c r="AM29" i="12"/>
  <c r="AM30" i="12"/>
  <c r="AM31" i="12"/>
  <c r="AM32" i="12"/>
  <c r="AM33" i="12"/>
  <c r="AM34" i="12"/>
  <c r="AM35" i="12"/>
  <c r="AM36" i="12"/>
  <c r="AM37" i="12"/>
  <c r="AM38" i="12"/>
  <c r="AM39" i="12"/>
  <c r="AM40" i="12"/>
  <c r="AM41" i="12"/>
  <c r="AM42" i="12"/>
  <c r="AM43" i="12"/>
  <c r="AM44" i="12"/>
  <c r="AM45" i="12"/>
  <c r="AM46" i="12"/>
  <c r="AM47" i="12"/>
  <c r="AM48" i="12"/>
  <c r="AM49" i="12"/>
  <c r="AM50" i="12"/>
  <c r="AM51" i="12"/>
  <c r="AM52" i="12"/>
  <c r="AM53" i="12"/>
  <c r="AM54" i="12"/>
  <c r="AM55" i="12"/>
  <c r="AM56" i="12"/>
  <c r="AM57" i="12"/>
  <c r="AM58" i="12"/>
  <c r="AM59" i="12"/>
  <c r="AM60" i="12"/>
  <c r="AM61" i="12"/>
  <c r="AM62" i="12"/>
  <c r="AM63" i="12"/>
  <c r="AM64" i="12"/>
  <c r="AM65" i="12"/>
  <c r="AM66" i="12"/>
  <c r="AM67" i="12"/>
  <c r="AM68" i="12"/>
  <c r="AM69" i="12"/>
  <c r="AM70" i="12"/>
  <c r="AM71" i="12"/>
  <c r="AM72" i="12"/>
  <c r="AM73" i="12"/>
  <c r="AM74" i="12"/>
  <c r="AM75" i="12"/>
  <c r="AM76" i="12"/>
  <c r="AM77" i="12"/>
  <c r="AM78" i="12"/>
  <c r="AM79" i="12"/>
  <c r="AM80" i="12"/>
  <c r="AM81" i="12"/>
  <c r="AM82" i="12"/>
  <c r="AM83" i="12"/>
  <c r="AM84" i="12"/>
  <c r="AM85" i="12"/>
  <c r="AM86" i="12"/>
  <c r="AM87" i="12"/>
  <c r="AM88" i="12"/>
  <c r="AM89" i="12"/>
  <c r="AM90" i="12"/>
  <c r="AM91" i="12"/>
  <c r="AM92" i="12"/>
  <c r="AM93" i="12"/>
  <c r="AM94" i="12"/>
  <c r="AM95" i="12"/>
  <c r="AM96" i="12"/>
  <c r="AM97" i="12"/>
  <c r="AM98" i="12"/>
  <c r="AM99" i="12"/>
  <c r="AM100" i="12"/>
  <c r="AM101" i="12"/>
  <c r="AM102" i="12"/>
  <c r="AM103" i="12"/>
  <c r="AM104" i="12"/>
  <c r="AM105" i="12"/>
  <c r="AM106" i="12"/>
  <c r="AM107" i="12"/>
  <c r="AM108" i="12"/>
  <c r="AM109" i="12"/>
  <c r="AM110" i="12"/>
  <c r="AM111" i="12"/>
  <c r="AM112" i="12"/>
  <c r="AM113" i="12"/>
  <c r="AM114" i="12"/>
  <c r="AM115" i="12"/>
  <c r="AM116" i="12"/>
  <c r="AM117" i="12"/>
  <c r="AM118" i="12"/>
  <c r="AM119" i="12"/>
  <c r="AM120" i="12"/>
  <c r="AM121" i="12"/>
  <c r="AM122" i="12"/>
  <c r="AM123" i="12"/>
  <c r="AM124" i="12"/>
  <c r="AM125" i="12"/>
  <c r="AM126" i="12"/>
  <c r="AM127" i="12"/>
  <c r="AM128" i="12"/>
  <c r="AM129" i="12"/>
  <c r="AM130" i="12"/>
  <c r="AM131" i="12"/>
  <c r="AM132" i="12"/>
  <c r="AM133" i="12"/>
  <c r="AM134" i="12"/>
  <c r="AM135" i="12"/>
  <c r="AM136" i="12"/>
  <c r="AM137" i="12"/>
  <c r="AM138" i="12"/>
  <c r="AM139" i="12"/>
  <c r="AM140" i="12"/>
  <c r="AM141" i="12"/>
  <c r="AM142" i="12"/>
  <c r="AM143" i="12"/>
  <c r="AM144" i="12"/>
  <c r="AM145" i="12"/>
  <c r="AM146" i="12"/>
  <c r="AM147" i="12"/>
  <c r="AM148" i="12"/>
  <c r="AM149" i="12"/>
  <c r="AM150" i="12"/>
  <c r="AM151" i="12"/>
  <c r="AM152" i="12"/>
  <c r="AM153" i="12"/>
  <c r="AM154" i="12"/>
  <c r="AM155" i="12"/>
  <c r="AM156" i="12"/>
  <c r="AM157" i="12"/>
  <c r="AM158" i="12"/>
  <c r="AM159" i="12"/>
  <c r="AM160" i="12"/>
  <c r="AM161" i="12"/>
  <c r="AM162" i="12"/>
  <c r="AM163" i="12"/>
  <c r="AM164" i="12"/>
  <c r="AM165" i="12"/>
  <c r="AM166" i="12"/>
  <c r="AM167" i="12"/>
  <c r="AM168" i="12"/>
  <c r="AM169" i="12"/>
  <c r="AM170" i="12"/>
  <c r="AM171" i="12"/>
  <c r="AM172" i="12"/>
  <c r="AM173" i="12"/>
  <c r="AM174" i="12"/>
  <c r="AM175" i="12"/>
  <c r="AM176" i="12"/>
  <c r="AM177" i="12"/>
  <c r="AM178" i="12"/>
  <c r="AM179" i="12"/>
  <c r="AM180" i="12"/>
  <c r="AM181" i="12"/>
  <c r="AM182" i="12"/>
  <c r="AM183" i="12"/>
  <c r="AM184" i="12"/>
  <c r="AM185" i="12"/>
  <c r="AM186" i="12"/>
  <c r="AM187" i="12"/>
  <c r="AM188" i="12"/>
  <c r="AM189" i="12"/>
  <c r="AM190" i="12"/>
  <c r="AM191" i="12"/>
  <c r="AM192" i="12"/>
  <c r="AM193" i="12"/>
  <c r="AM194" i="12"/>
  <c r="AM195" i="12"/>
  <c r="AM196" i="12"/>
  <c r="AM197" i="12"/>
  <c r="AM198" i="12"/>
  <c r="AM199" i="12"/>
  <c r="AM200" i="12"/>
  <c r="AM201" i="12"/>
  <c r="AM202" i="12"/>
  <c r="AM203" i="12"/>
  <c r="AM204" i="12"/>
  <c r="AM205" i="12"/>
  <c r="AM206" i="12"/>
  <c r="AM207" i="12"/>
  <c r="AM208" i="12"/>
  <c r="AM209" i="12"/>
  <c r="AM210" i="12"/>
  <c r="AM211" i="12"/>
  <c r="AM212" i="12"/>
  <c r="AM213" i="12"/>
  <c r="AM214" i="12"/>
  <c r="AM215" i="12"/>
  <c r="AM216" i="12"/>
  <c r="AM217" i="12"/>
  <c r="AM218" i="12"/>
  <c r="AM219" i="12"/>
  <c r="AM220" i="12"/>
  <c r="AM221" i="12"/>
  <c r="AM222" i="12"/>
  <c r="AM223" i="12"/>
  <c r="AM224" i="12"/>
  <c r="AM225" i="12"/>
  <c r="AM226" i="12"/>
  <c r="AM227" i="12"/>
  <c r="AM228" i="12"/>
  <c r="AM229" i="12"/>
  <c r="AM230" i="12"/>
  <c r="AM231" i="12"/>
  <c r="AM232" i="12"/>
  <c r="AM233" i="12"/>
  <c r="AM234" i="12"/>
  <c r="AM235" i="12"/>
  <c r="AM236" i="12"/>
  <c r="AM237" i="12"/>
  <c r="AM238" i="12"/>
  <c r="AM239" i="12"/>
  <c r="AM240" i="12"/>
  <c r="AM241" i="12"/>
  <c r="AM242" i="12"/>
  <c r="AM243" i="12"/>
  <c r="AM244" i="12"/>
  <c r="AM245" i="12"/>
  <c r="AM246" i="12"/>
  <c r="AM247" i="12"/>
  <c r="AM248" i="12"/>
  <c r="AM249" i="12"/>
  <c r="AM250" i="12"/>
  <c r="AM251" i="12"/>
  <c r="AM252" i="12"/>
  <c r="AM253" i="12"/>
  <c r="AM254" i="12"/>
  <c r="AM255" i="12"/>
  <c r="AM256" i="12"/>
  <c r="AM257" i="12"/>
  <c r="AM258" i="12"/>
  <c r="AM259" i="12"/>
  <c r="AM260" i="12"/>
  <c r="AM261" i="12"/>
  <c r="AM262" i="12"/>
  <c r="AM263" i="12"/>
  <c r="AM264" i="12"/>
  <c r="AM265" i="12"/>
  <c r="AM266" i="12"/>
  <c r="AM267" i="12"/>
  <c r="AM268" i="12"/>
  <c r="AM269" i="12"/>
  <c r="AM270" i="12"/>
  <c r="AM271" i="12"/>
  <c r="AM272" i="12"/>
  <c r="AM273" i="12"/>
  <c r="AM274" i="12"/>
  <c r="AM275" i="12"/>
  <c r="AM276" i="12"/>
  <c r="AM277" i="12"/>
  <c r="AM278" i="12"/>
  <c r="AM279" i="12"/>
  <c r="AM280" i="12"/>
  <c r="AM281" i="12"/>
  <c r="AM282" i="12"/>
  <c r="AM283" i="12"/>
  <c r="AM284" i="12"/>
  <c r="AM285" i="12"/>
  <c r="AM286" i="12"/>
  <c r="AM287" i="12"/>
  <c r="AM288" i="12"/>
  <c r="AM289" i="12"/>
  <c r="AM290" i="12"/>
  <c r="AM291" i="12"/>
  <c r="AM292" i="12"/>
  <c r="AM293" i="12"/>
  <c r="AM294" i="12"/>
  <c r="AM295" i="12"/>
  <c r="AM296" i="12"/>
  <c r="AM297" i="12"/>
  <c r="AM298" i="12"/>
  <c r="AM299" i="12"/>
  <c r="AM300" i="12"/>
  <c r="AM301" i="12"/>
  <c r="AM302" i="12"/>
  <c r="AM303" i="12"/>
  <c r="AM304" i="12"/>
  <c r="AM305" i="12"/>
  <c r="AM306" i="12"/>
  <c r="AM307" i="12"/>
  <c r="AM308" i="12"/>
  <c r="AM309" i="12"/>
  <c r="AM310" i="12"/>
  <c r="AM311" i="12"/>
  <c r="AM312" i="12"/>
  <c r="AM313" i="12"/>
  <c r="AM314" i="12"/>
  <c r="AM315" i="12"/>
  <c r="AM316" i="12"/>
  <c r="AM317" i="12"/>
  <c r="AM318" i="12"/>
  <c r="AM319" i="12"/>
  <c r="AM320" i="12"/>
  <c r="AM321" i="12"/>
  <c r="AM322" i="12"/>
  <c r="AM323" i="12"/>
  <c r="AM324" i="12"/>
  <c r="AM325" i="12"/>
  <c r="AM326" i="12"/>
  <c r="AM327" i="12"/>
  <c r="AM328" i="12"/>
  <c r="AM329" i="12"/>
  <c r="AM330" i="12"/>
  <c r="AM331" i="12"/>
  <c r="AM332" i="12"/>
  <c r="AM333" i="12"/>
  <c r="AM334" i="12"/>
  <c r="AM335" i="12"/>
  <c r="AM336" i="12"/>
  <c r="AM337" i="12"/>
  <c r="AM338" i="12"/>
  <c r="AM339" i="12"/>
  <c r="AM340" i="12"/>
  <c r="AM341" i="12"/>
  <c r="AM342" i="12"/>
  <c r="AM343" i="12"/>
  <c r="AM344" i="12"/>
  <c r="AM345" i="12"/>
  <c r="AM346" i="12"/>
  <c r="AM347" i="12"/>
  <c r="AM348" i="12"/>
  <c r="AM349" i="12"/>
  <c r="AM350" i="12"/>
  <c r="AM351" i="12"/>
  <c r="AM352" i="12"/>
  <c r="AM353" i="12"/>
  <c r="AM354" i="12"/>
  <c r="AM355" i="12"/>
  <c r="AM356" i="12"/>
  <c r="AM357" i="12"/>
  <c r="AM358" i="12"/>
  <c r="AM359" i="12"/>
  <c r="AM360" i="12"/>
  <c r="AM361" i="12"/>
  <c r="AM362" i="12"/>
  <c r="AM363" i="12"/>
  <c r="AM364" i="12"/>
  <c r="AM365" i="12"/>
  <c r="AM366" i="12"/>
  <c r="AM367" i="12"/>
  <c r="AM368" i="12"/>
  <c r="AM369" i="12"/>
  <c r="AM370" i="12"/>
  <c r="AM371" i="12"/>
  <c r="AM372" i="12"/>
  <c r="AM373" i="12"/>
  <c r="AM374" i="12"/>
  <c r="AM375" i="12"/>
  <c r="AM376" i="12"/>
  <c r="AM377" i="12"/>
  <c r="AM378" i="12"/>
  <c r="AM379" i="12"/>
  <c r="AM380" i="12"/>
  <c r="AM381" i="12"/>
  <c r="AM382" i="12"/>
  <c r="AM383" i="12"/>
  <c r="AM384" i="12"/>
  <c r="AM385" i="12"/>
  <c r="AM386" i="12"/>
  <c r="AM387" i="12"/>
  <c r="AM388" i="12"/>
  <c r="AM389" i="12"/>
  <c r="AM390" i="12"/>
  <c r="AM391" i="12"/>
  <c r="AM392" i="12"/>
  <c r="AM393" i="12"/>
  <c r="AM394" i="12"/>
  <c r="AM395" i="12"/>
  <c r="AM396" i="12"/>
  <c r="AM397" i="12"/>
  <c r="AM398" i="12"/>
  <c r="AM399" i="12"/>
  <c r="AM400" i="12"/>
  <c r="AM401" i="12"/>
  <c r="AM402" i="12"/>
  <c r="AM403" i="12"/>
  <c r="AM404" i="12"/>
  <c r="AM405" i="12"/>
  <c r="AM406" i="12"/>
  <c r="AM407" i="12"/>
  <c r="AM408" i="12"/>
  <c r="AM409" i="12"/>
  <c r="AM410" i="12"/>
  <c r="AM411" i="12"/>
  <c r="AM412" i="12"/>
  <c r="AM413" i="12"/>
  <c r="AM414" i="12"/>
  <c r="AM415" i="12"/>
  <c r="AM416" i="12"/>
  <c r="AM417" i="12"/>
  <c r="AM418" i="12"/>
  <c r="AM419" i="12"/>
  <c r="AM420" i="12"/>
  <c r="AM421" i="12"/>
  <c r="AM422" i="12"/>
  <c r="AM423" i="12"/>
  <c r="AM424" i="12"/>
  <c r="AM425" i="12"/>
  <c r="AM426" i="12"/>
  <c r="AM427" i="12"/>
  <c r="AM428" i="12"/>
  <c r="AM429" i="12"/>
  <c r="AM430" i="12"/>
  <c r="AM431" i="12"/>
  <c r="AM432" i="12"/>
  <c r="AM433" i="12"/>
  <c r="AM434" i="12"/>
  <c r="AM435" i="12"/>
  <c r="AM436" i="12"/>
  <c r="AM437" i="12"/>
  <c r="AM438" i="12"/>
  <c r="AM439" i="12"/>
  <c r="AM440" i="12"/>
  <c r="AM441" i="12"/>
  <c r="AM442" i="12"/>
  <c r="AM443" i="12"/>
  <c r="AM444" i="12"/>
  <c r="AM445" i="12"/>
  <c r="AM446" i="12"/>
  <c r="AM447" i="12"/>
  <c r="AM448" i="12"/>
  <c r="AM449" i="12"/>
  <c r="AM450" i="12"/>
  <c r="AM451" i="12"/>
  <c r="AM452" i="12"/>
  <c r="AM453" i="12"/>
  <c r="AM454" i="12"/>
  <c r="AM455" i="12"/>
  <c r="AM456" i="12"/>
  <c r="AM457" i="12"/>
  <c r="AM458" i="12"/>
  <c r="AM459" i="12"/>
  <c r="AM460" i="12"/>
  <c r="AM461" i="12"/>
  <c r="AM462" i="12"/>
  <c r="AM463" i="12"/>
  <c r="AM464" i="12"/>
  <c r="AM465" i="12"/>
  <c r="AM466" i="12"/>
  <c r="AM467" i="12"/>
  <c r="AM468" i="12"/>
  <c r="AM469" i="12"/>
  <c r="AM470" i="12"/>
  <c r="AM471" i="12"/>
  <c r="AM472" i="12"/>
  <c r="AM473" i="12"/>
  <c r="AM474" i="12"/>
  <c r="AM475" i="12"/>
  <c r="AM476" i="12"/>
  <c r="AM477" i="12"/>
  <c r="AM478" i="12"/>
  <c r="AM479" i="12"/>
  <c r="AM480" i="12"/>
  <c r="AM481" i="12"/>
  <c r="AM482" i="12"/>
  <c r="AM483" i="12"/>
  <c r="AM484" i="12"/>
  <c r="AM485" i="12"/>
  <c r="AM486" i="12"/>
  <c r="AM487" i="12"/>
  <c r="AM488" i="12"/>
  <c r="AM489" i="12"/>
  <c r="AM490" i="12"/>
  <c r="AM491" i="12"/>
  <c r="AM492" i="12"/>
  <c r="AM493" i="12"/>
  <c r="AM494" i="12"/>
  <c r="AM495" i="12"/>
  <c r="AM496" i="12"/>
  <c r="AM497" i="12"/>
  <c r="AM498" i="12"/>
  <c r="AM499" i="12"/>
  <c r="AM500" i="12"/>
  <c r="AM501" i="12"/>
  <c r="AM502" i="12"/>
  <c r="AM503" i="12"/>
  <c r="AM504" i="12"/>
  <c r="AM505" i="12"/>
  <c r="AM506" i="12"/>
  <c r="AM507" i="12"/>
  <c r="AM508" i="12"/>
  <c r="AM509" i="12"/>
  <c r="AM510" i="12"/>
  <c r="AM511" i="12"/>
  <c r="AM512" i="12"/>
  <c r="AM513" i="12"/>
  <c r="AM514" i="12"/>
  <c r="AM515" i="12"/>
  <c r="AM516" i="12"/>
  <c r="AM517" i="12"/>
  <c r="AM518" i="12"/>
  <c r="AM519" i="12"/>
  <c r="AM520" i="12"/>
  <c r="AM521" i="12"/>
  <c r="AM522" i="12"/>
  <c r="AM523" i="12"/>
  <c r="AM524" i="12"/>
  <c r="AM525" i="12"/>
  <c r="AM526" i="12"/>
  <c r="AM527" i="12"/>
  <c r="AM528" i="12"/>
  <c r="AM529" i="12"/>
  <c r="AM530" i="12"/>
  <c r="AM531" i="12"/>
  <c r="AM532" i="12"/>
  <c r="AM533" i="12"/>
  <c r="AM534" i="12"/>
  <c r="AM535" i="12"/>
  <c r="AM536" i="12"/>
  <c r="AM537" i="12"/>
  <c r="AM538" i="12"/>
  <c r="AM539" i="12"/>
  <c r="AM540" i="12"/>
  <c r="AM541" i="12"/>
  <c r="AM542" i="12"/>
  <c r="AM543" i="12"/>
  <c r="AM544" i="12"/>
  <c r="AM545" i="12"/>
  <c r="AM546" i="12"/>
  <c r="AM547" i="12"/>
  <c r="AM548" i="12"/>
  <c r="AM549" i="12"/>
  <c r="AM550" i="12"/>
  <c r="AM551" i="12"/>
  <c r="AM552" i="12"/>
  <c r="AM553" i="12"/>
  <c r="AM554" i="12"/>
  <c r="AM555" i="12"/>
  <c r="AM556" i="12"/>
  <c r="AM557" i="12"/>
  <c r="AM558" i="12"/>
  <c r="AM559" i="12"/>
  <c r="AM560" i="12"/>
  <c r="AM561" i="12"/>
  <c r="AM562" i="12"/>
  <c r="AM563" i="12"/>
  <c r="AM564" i="12"/>
  <c r="AM565" i="12"/>
  <c r="AM566" i="12"/>
  <c r="AM567" i="12"/>
  <c r="AM568" i="12"/>
  <c r="AM569" i="12"/>
  <c r="AM570" i="12"/>
  <c r="AM571" i="12"/>
  <c r="AM572" i="12"/>
  <c r="AM573" i="12"/>
  <c r="AM574" i="12"/>
  <c r="AM575" i="12"/>
  <c r="AM576" i="12"/>
  <c r="AM577" i="12"/>
  <c r="AM578" i="12"/>
  <c r="AM579" i="12"/>
  <c r="AM580" i="12"/>
  <c r="AM581" i="12"/>
  <c r="AM582" i="12"/>
  <c r="AM583" i="12"/>
  <c r="AM584" i="12"/>
  <c r="AM585" i="12"/>
  <c r="AM586" i="12"/>
  <c r="AM587" i="12"/>
  <c r="AM588" i="12"/>
  <c r="AM589" i="12"/>
  <c r="AM590" i="12"/>
  <c r="AM591" i="12"/>
  <c r="AM592" i="12"/>
  <c r="AM593" i="12"/>
  <c r="AM594" i="12"/>
  <c r="AM595" i="12"/>
  <c r="AM596" i="12"/>
  <c r="AM597" i="12"/>
  <c r="AM598" i="12"/>
  <c r="AM599" i="12"/>
  <c r="AM600" i="12"/>
  <c r="AM601" i="12"/>
  <c r="AM602" i="12"/>
  <c r="AM603" i="12"/>
  <c r="AM604" i="12"/>
  <c r="AM605" i="12"/>
  <c r="AM606" i="12"/>
  <c r="AM607" i="12"/>
  <c r="AM608" i="12"/>
  <c r="AM609" i="12"/>
  <c r="AM610" i="12"/>
  <c r="AM611" i="12"/>
  <c r="AM612" i="12"/>
  <c r="AM613" i="12"/>
  <c r="AM614" i="12"/>
  <c r="AM615" i="12"/>
  <c r="AM616" i="12"/>
  <c r="AM617" i="12"/>
  <c r="AM618" i="12"/>
  <c r="AM619" i="12"/>
  <c r="AM620" i="12"/>
  <c r="AM621" i="12"/>
  <c r="AM622" i="12"/>
  <c r="AM623" i="12"/>
  <c r="AM624" i="12"/>
  <c r="AM625" i="12"/>
  <c r="AM626" i="12"/>
  <c r="AM627" i="12"/>
  <c r="AM628" i="12"/>
  <c r="AM629" i="12"/>
  <c r="AM630" i="12"/>
  <c r="AM631" i="12"/>
  <c r="AM632" i="12"/>
  <c r="AM633" i="12"/>
  <c r="AM634" i="12"/>
  <c r="AM635" i="12"/>
  <c r="AM636" i="12"/>
  <c r="AM637" i="12"/>
  <c r="AM638" i="12"/>
  <c r="AM639" i="12"/>
  <c r="AM640" i="12"/>
  <c r="AM641" i="12"/>
  <c r="AM642" i="12"/>
  <c r="AM643" i="12"/>
  <c r="AM644" i="12"/>
  <c r="AM645" i="12"/>
  <c r="AM646" i="12"/>
  <c r="AM647" i="12"/>
  <c r="AM648" i="12"/>
  <c r="AM649" i="12"/>
  <c r="AM650" i="12"/>
  <c r="AM651" i="12"/>
  <c r="AM652" i="12"/>
  <c r="AM653" i="12"/>
  <c r="AM654" i="12"/>
  <c r="AM655" i="12"/>
  <c r="AM656" i="12"/>
  <c r="AM657" i="12"/>
  <c r="AM658" i="12"/>
  <c r="AM659" i="12"/>
  <c r="AM660" i="12"/>
  <c r="AM661" i="12"/>
  <c r="AM662" i="12"/>
  <c r="AM663" i="12"/>
  <c r="AM664" i="12"/>
  <c r="AM665" i="12"/>
  <c r="AM666" i="12"/>
  <c r="AM667" i="12"/>
  <c r="AM668" i="12"/>
  <c r="AM669" i="12"/>
  <c r="AM670" i="12"/>
  <c r="AM671" i="12"/>
  <c r="AM672" i="12"/>
  <c r="AM673" i="12"/>
  <c r="AM674" i="12"/>
  <c r="AM675" i="12"/>
  <c r="AM676" i="12"/>
  <c r="AM677" i="12"/>
  <c r="AM678" i="12"/>
  <c r="AM679" i="12"/>
  <c r="AM680" i="12"/>
  <c r="AM681" i="12"/>
  <c r="AM682" i="12"/>
  <c r="AM683" i="12"/>
  <c r="AM684" i="12"/>
  <c r="AM685" i="12"/>
  <c r="AM686" i="12"/>
  <c r="AM687" i="12"/>
  <c r="AM688" i="12"/>
  <c r="AM689" i="12"/>
  <c r="AM690" i="12"/>
  <c r="AM691" i="12"/>
  <c r="AM692" i="12"/>
  <c r="AM693" i="12"/>
  <c r="AM694" i="12"/>
  <c r="AM695" i="12"/>
  <c r="AM696" i="12"/>
  <c r="AM697" i="12"/>
  <c r="AM698" i="12"/>
  <c r="AM699" i="12"/>
  <c r="AM700" i="12"/>
  <c r="AM701" i="12"/>
  <c r="AM702" i="12"/>
  <c r="AM703" i="12"/>
  <c r="AM704" i="12"/>
  <c r="AM705" i="12"/>
  <c r="AM706" i="12"/>
  <c r="AM707" i="12"/>
  <c r="AM708" i="12"/>
  <c r="AM709" i="12"/>
  <c r="AM710" i="12"/>
  <c r="AM711" i="12"/>
  <c r="AM712" i="12"/>
  <c r="AM713" i="12"/>
  <c r="AM714" i="12"/>
  <c r="AM715" i="12"/>
  <c r="AM716" i="12"/>
  <c r="AM717" i="12"/>
  <c r="AM718" i="12"/>
  <c r="AM730" i="12"/>
  <c r="AM731" i="12"/>
  <c r="AM732" i="12"/>
  <c r="AM733" i="12"/>
  <c r="AM734" i="12"/>
  <c r="AM735" i="12"/>
  <c r="AM736" i="12"/>
  <c r="AM737" i="12"/>
  <c r="AM738" i="12"/>
  <c r="AM739" i="12"/>
  <c r="AM740" i="12"/>
  <c r="AM741" i="12"/>
  <c r="AM742" i="12"/>
  <c r="AM743" i="12"/>
  <c r="AM744" i="12"/>
  <c r="AM745" i="12"/>
  <c r="AM746" i="12"/>
  <c r="AM747" i="12"/>
  <c r="AM748" i="12"/>
  <c r="AM749" i="12"/>
  <c r="AM750" i="12"/>
  <c r="AM751" i="12"/>
  <c r="AM752" i="12"/>
  <c r="AM753" i="12"/>
  <c r="AM754" i="12"/>
  <c r="AM755" i="12"/>
  <c r="AM756" i="12"/>
  <c r="AM757" i="12"/>
  <c r="AM758" i="12"/>
  <c r="AM759" i="12"/>
  <c r="AM760" i="12"/>
  <c r="AM761" i="12"/>
  <c r="AM762" i="12"/>
  <c r="AM763" i="12"/>
  <c r="AM764" i="12"/>
  <c r="AM765" i="12"/>
  <c r="AM766" i="12"/>
  <c r="AM767" i="12"/>
  <c r="AM768" i="12"/>
  <c r="AM769" i="12"/>
  <c r="AM770" i="12"/>
  <c r="AM771" i="12"/>
  <c r="AM772" i="12"/>
  <c r="AM773" i="12"/>
  <c r="AM774" i="12"/>
  <c r="AM775" i="12"/>
  <c r="AM776" i="12"/>
  <c r="AM777" i="12"/>
  <c r="AM778" i="12"/>
  <c r="AM779" i="12"/>
  <c r="AM780" i="12"/>
  <c r="AM781" i="12"/>
  <c r="AM782" i="12"/>
  <c r="AM783" i="12"/>
  <c r="AM784" i="12"/>
  <c r="AM785" i="12"/>
  <c r="AM786" i="12"/>
  <c r="AM787" i="12"/>
  <c r="AM788" i="12"/>
  <c r="AM789" i="12"/>
  <c r="AM790" i="12"/>
  <c r="AM791" i="12"/>
  <c r="AM792" i="12"/>
  <c r="AM793" i="12"/>
  <c r="AM794" i="12"/>
  <c r="AM795" i="12"/>
  <c r="AM796" i="12"/>
  <c r="AM797" i="12"/>
  <c r="AM798" i="12"/>
  <c r="AM799" i="12"/>
  <c r="AM800" i="12"/>
  <c r="AM801" i="12"/>
  <c r="AM802" i="12"/>
  <c r="AM803" i="12"/>
  <c r="AM804" i="12"/>
  <c r="AM805" i="12"/>
  <c r="AM806" i="12"/>
  <c r="AM807" i="12"/>
  <c r="AM808" i="12"/>
  <c r="AM809" i="12"/>
  <c r="AM810" i="12"/>
  <c r="AM811" i="12"/>
  <c r="AM812" i="12"/>
  <c r="AM813" i="12"/>
  <c r="AM814" i="12"/>
  <c r="AM815" i="12"/>
  <c r="AM816" i="12"/>
  <c r="AM817" i="12"/>
  <c r="AM818" i="12"/>
  <c r="AM819" i="12"/>
  <c r="AM820" i="12"/>
  <c r="AM821" i="12"/>
  <c r="AM822" i="12"/>
  <c r="AM823" i="12"/>
  <c r="AM824" i="12"/>
  <c r="AM825" i="12"/>
  <c r="AM826" i="12"/>
  <c r="AM827" i="12"/>
  <c r="AM828" i="12"/>
  <c r="AM829" i="12"/>
  <c r="AM830" i="12"/>
  <c r="AM831" i="12"/>
  <c r="AM832" i="12"/>
  <c r="AM833" i="12"/>
  <c r="AM834" i="12"/>
  <c r="AM835" i="12"/>
  <c r="AM836" i="12"/>
  <c r="AM837" i="12"/>
  <c r="AM838" i="12"/>
  <c r="AM839" i="12"/>
  <c r="AM840" i="12"/>
  <c r="AM841" i="12"/>
  <c r="AM842" i="12"/>
  <c r="AM843" i="12"/>
  <c r="AM844" i="12"/>
  <c r="AM845" i="12"/>
  <c r="AM846" i="12"/>
  <c r="AM847" i="12"/>
  <c r="AM848" i="12"/>
  <c r="AM849" i="12"/>
  <c r="AM850" i="12"/>
  <c r="AM851" i="12"/>
  <c r="AM852" i="12"/>
  <c r="AM853" i="12"/>
  <c r="AM854" i="12"/>
  <c r="AM855" i="12"/>
  <c r="AM856" i="12"/>
  <c r="AM857" i="12"/>
  <c r="AM858" i="12"/>
  <c r="AM859" i="12"/>
  <c r="AM860" i="12"/>
  <c r="AM861" i="12"/>
  <c r="AM862" i="12"/>
  <c r="AM863" i="12"/>
  <c r="AM864" i="12"/>
  <c r="AM865" i="12"/>
  <c r="AM866" i="12"/>
  <c r="AM867" i="12"/>
  <c r="AM868" i="12"/>
  <c r="AM869" i="12"/>
  <c r="AM870" i="12"/>
  <c r="AM871" i="12"/>
  <c r="AM872" i="12"/>
  <c r="AM873" i="12"/>
  <c r="AM874" i="12"/>
  <c r="AM875" i="12"/>
  <c r="AM876" i="12"/>
  <c r="AM877" i="12"/>
  <c r="AM878" i="12"/>
  <c r="AM879" i="12"/>
  <c r="AM880" i="12"/>
  <c r="AM881" i="12"/>
  <c r="AM882" i="12"/>
  <c r="AM883" i="12"/>
  <c r="AM884" i="12"/>
  <c r="AM885" i="12"/>
  <c r="AM886" i="12"/>
  <c r="AM887" i="12"/>
  <c r="AM888" i="12"/>
  <c r="AM889" i="12"/>
  <c r="AM890" i="12"/>
  <c r="AM891" i="12"/>
  <c r="AM892" i="12"/>
  <c r="AM893" i="12"/>
  <c r="AM894" i="12"/>
  <c r="AM895" i="12"/>
  <c r="AM896" i="12"/>
  <c r="AM897" i="12"/>
  <c r="AM898" i="12"/>
  <c r="AM899" i="12"/>
  <c r="AM900" i="12"/>
  <c r="AM901" i="12"/>
  <c r="AM902" i="12"/>
  <c r="AM903" i="12"/>
  <c r="AM904" i="12"/>
  <c r="AM905" i="12"/>
  <c r="AM906" i="12"/>
  <c r="AM907" i="12"/>
  <c r="AM908" i="12"/>
  <c r="AM909" i="12"/>
  <c r="AM910" i="12"/>
  <c r="AM911" i="12"/>
  <c r="AM912" i="12"/>
  <c r="AM913" i="12"/>
  <c r="AM914" i="12"/>
  <c r="AM915" i="12"/>
  <c r="AM916" i="12"/>
  <c r="AM917" i="12"/>
  <c r="AM918" i="12"/>
  <c r="AM919" i="12"/>
  <c r="AM920" i="12"/>
  <c r="AM921" i="12"/>
  <c r="AM922" i="12"/>
  <c r="AM923" i="12"/>
  <c r="AM924" i="12"/>
  <c r="AM925" i="12"/>
  <c r="AM926" i="12"/>
  <c r="AM927" i="12"/>
  <c r="AM928" i="12"/>
  <c r="AM929" i="12"/>
  <c r="AM930" i="12"/>
  <c r="AM931" i="12"/>
  <c r="AM932" i="12"/>
  <c r="AM933" i="12"/>
  <c r="AM934" i="12"/>
  <c r="AM935" i="12"/>
  <c r="AM936" i="12"/>
  <c r="AM937" i="12"/>
  <c r="AM938" i="12"/>
  <c r="AM939" i="12"/>
  <c r="AM940" i="12"/>
  <c r="AM941" i="12"/>
  <c r="AM942" i="12"/>
  <c r="AM943" i="12"/>
  <c r="AM944" i="12"/>
  <c r="AM945" i="12"/>
  <c r="AM946" i="12"/>
  <c r="AM947" i="12"/>
  <c r="AM948" i="12"/>
  <c r="AM949" i="12"/>
  <c r="AM950" i="12"/>
  <c r="AM951" i="12"/>
  <c r="AM952" i="12"/>
  <c r="AM953" i="12"/>
  <c r="AM954" i="12"/>
  <c r="AM955" i="12"/>
  <c r="AM956" i="12"/>
  <c r="AM957" i="12"/>
  <c r="AM958" i="12"/>
  <c r="AM959" i="12"/>
  <c r="AM960" i="12"/>
  <c r="AM961" i="12"/>
  <c r="AM962" i="12"/>
  <c r="AM963" i="12"/>
  <c r="AM964" i="12"/>
  <c r="AM965" i="12"/>
  <c r="AM966" i="12"/>
  <c r="AM967" i="12"/>
  <c r="AM968" i="12"/>
  <c r="AM969" i="12"/>
  <c r="AM970" i="12"/>
  <c r="AM971" i="12"/>
  <c r="AM972" i="12"/>
  <c r="AM973" i="12"/>
  <c r="AM974" i="12"/>
  <c r="AM975" i="12"/>
  <c r="AM976" i="12"/>
  <c r="AM977" i="12"/>
  <c r="AM978" i="12"/>
  <c r="AM979" i="12"/>
  <c r="AM980" i="12"/>
  <c r="AM981" i="12"/>
  <c r="AM982" i="12"/>
  <c r="AM983" i="12"/>
  <c r="AM984" i="12"/>
  <c r="AM985" i="12"/>
  <c r="AM986" i="12"/>
  <c r="AM987" i="12"/>
  <c r="AM988" i="12"/>
  <c r="AM989" i="12"/>
  <c r="AM990" i="12"/>
  <c r="AM991" i="12"/>
  <c r="AM992" i="12"/>
  <c r="AM993" i="12"/>
  <c r="AM994" i="12"/>
  <c r="AM995" i="12"/>
  <c r="AM996" i="12"/>
  <c r="AM997" i="12"/>
  <c r="AM998" i="12"/>
  <c r="AM999" i="12"/>
  <c r="AM1000" i="12"/>
  <c r="AM1001" i="12"/>
  <c r="AM1002" i="12"/>
  <c r="AM1003" i="12"/>
  <c r="AM1004" i="12"/>
  <c r="AM1005" i="12"/>
  <c r="AM1006" i="12"/>
  <c r="AM1007" i="12"/>
  <c r="AM1008" i="12"/>
  <c r="AM1009" i="12"/>
  <c r="AM1010" i="12"/>
  <c r="AM1011" i="12"/>
  <c r="AM1012" i="12"/>
  <c r="AM1013" i="12"/>
  <c r="AM1014" i="12"/>
  <c r="AM1015" i="12"/>
  <c r="AM1016" i="12"/>
  <c r="AM1017" i="12"/>
  <c r="AM1018" i="12"/>
  <c r="AM1019" i="12"/>
  <c r="AM1020" i="12"/>
  <c r="AM1021" i="12"/>
  <c r="AM1022" i="12"/>
  <c r="AM1023" i="12"/>
  <c r="AM1024" i="12"/>
  <c r="AM1025" i="12"/>
  <c r="AM1026" i="12"/>
  <c r="AM1027" i="12"/>
  <c r="AM1028" i="12"/>
  <c r="AM1029" i="12"/>
  <c r="AM1030" i="12"/>
  <c r="AM1031" i="12"/>
  <c r="AM1032" i="12"/>
  <c r="AM1033" i="12"/>
  <c r="AM1034" i="12"/>
  <c r="AM1035" i="12"/>
  <c r="AM1036" i="12"/>
  <c r="AM1037" i="12"/>
  <c r="AM1038" i="12"/>
  <c r="AM1039" i="12"/>
  <c r="AM1040" i="12"/>
  <c r="AM1041" i="12"/>
  <c r="AM1042" i="12"/>
  <c r="AM1043" i="12"/>
  <c r="AM1044" i="12"/>
  <c r="AM1045" i="12"/>
  <c r="AM1046" i="12"/>
  <c r="AM1047" i="12"/>
  <c r="AM1048" i="12"/>
  <c r="AM1049" i="12"/>
  <c r="AM1050" i="12"/>
  <c r="AM1051" i="12"/>
  <c r="AM1052" i="12"/>
  <c r="AM1053" i="12"/>
  <c r="AM1054" i="12"/>
  <c r="AM1055" i="12"/>
  <c r="AM1056" i="12"/>
  <c r="AM1057" i="12"/>
  <c r="AM1058" i="12"/>
  <c r="AM1059" i="12"/>
  <c r="AM1060" i="12"/>
  <c r="AM1061" i="12"/>
  <c r="AM1062" i="12"/>
  <c r="AM1063" i="12"/>
  <c r="AM1064" i="12"/>
  <c r="AM1065" i="12"/>
  <c r="AM1066" i="12"/>
  <c r="AM1067" i="12"/>
  <c r="AM1068" i="12"/>
  <c r="AM1069" i="12"/>
  <c r="AM1070" i="12"/>
  <c r="AM1071" i="12"/>
  <c r="AM1072" i="12"/>
  <c r="AM1073" i="12"/>
  <c r="AM1074" i="12"/>
  <c r="AM1075" i="12"/>
  <c r="AM1076" i="12"/>
  <c r="AM1077" i="12"/>
  <c r="AM1078" i="12"/>
  <c r="AM1079" i="12"/>
  <c r="AM1080" i="12"/>
  <c r="AM1081" i="12"/>
  <c r="AM1082" i="12"/>
  <c r="AM1083" i="12"/>
  <c r="AM1084" i="12"/>
  <c r="AM1085" i="12"/>
  <c r="AM1086" i="12"/>
  <c r="AM1087" i="12"/>
  <c r="AM1088" i="12"/>
  <c r="AM1089" i="12"/>
  <c r="AM1090" i="12"/>
  <c r="AM1091" i="12"/>
  <c r="AM1092" i="12"/>
  <c r="AM1093" i="12"/>
  <c r="AM1094" i="12"/>
  <c r="AM1095" i="12"/>
  <c r="AM1096" i="12"/>
  <c r="AM1097" i="12"/>
  <c r="AM1098" i="12"/>
  <c r="AM1099" i="12"/>
  <c r="AM1100" i="12"/>
  <c r="AM1101" i="12"/>
  <c r="AM1102" i="12"/>
  <c r="AM1103" i="12"/>
  <c r="AM1104" i="12"/>
  <c r="AM1105" i="12"/>
  <c r="AM1106" i="12"/>
  <c r="AM1107" i="12"/>
  <c r="AM1108" i="12"/>
  <c r="AM1109" i="12"/>
  <c r="AM1110" i="12"/>
  <c r="AM1111" i="12"/>
  <c r="AM1112" i="12"/>
  <c r="AM1113" i="12"/>
  <c r="AM1114" i="12"/>
  <c r="AM1115" i="12"/>
  <c r="AM1116" i="12"/>
  <c r="AM1117" i="12"/>
  <c r="AM1118" i="12"/>
  <c r="AM1119" i="12"/>
  <c r="AM1120" i="12"/>
  <c r="AM1121" i="12"/>
  <c r="AM1122" i="12"/>
  <c r="AM1123" i="12"/>
  <c r="AM1124" i="12"/>
  <c r="AM1125" i="12"/>
  <c r="AM1126" i="12"/>
  <c r="AM1127" i="12"/>
  <c r="AM1128" i="12"/>
  <c r="AM1129" i="12"/>
  <c r="AM1130" i="12"/>
  <c r="AM1131" i="12"/>
  <c r="AM1132" i="12"/>
  <c r="AM1133" i="12"/>
  <c r="AM1136" i="12"/>
  <c r="AM1137" i="12"/>
  <c r="AM1140" i="12"/>
  <c r="AM1141" i="12"/>
  <c r="AM1142" i="12"/>
  <c r="AM1143" i="12"/>
  <c r="AM1144" i="12"/>
  <c r="AM1145" i="12"/>
  <c r="AM1146" i="12"/>
  <c r="AM1147" i="12"/>
  <c r="AM1148" i="12"/>
  <c r="AM1149" i="12"/>
  <c r="AM1150" i="12"/>
  <c r="AM1151" i="12"/>
  <c r="AM1152" i="12"/>
  <c r="AM1153" i="12"/>
  <c r="AM1154" i="12"/>
  <c r="AM1155" i="12"/>
  <c r="AM1156" i="12"/>
  <c r="AM1157" i="12"/>
  <c r="AM1158" i="12"/>
  <c r="AM1159" i="12"/>
  <c r="AL5" i="12"/>
  <c r="AL6" i="12"/>
  <c r="AL7" i="12"/>
  <c r="AL8" i="12"/>
  <c r="AL9" i="12"/>
  <c r="AL10" i="12"/>
  <c r="AL11" i="12"/>
  <c r="AL12" i="12"/>
  <c r="AL13" i="12"/>
  <c r="AL14" i="12"/>
  <c r="AL15" i="12"/>
  <c r="AL16" i="12"/>
  <c r="AL17" i="12"/>
  <c r="AL18" i="12"/>
  <c r="AL19" i="12"/>
  <c r="AL20" i="12"/>
  <c r="AL21" i="12"/>
  <c r="AL22" i="12"/>
  <c r="AL23" i="12"/>
  <c r="AL24" i="12"/>
  <c r="AL25" i="12"/>
  <c r="AL26" i="12"/>
  <c r="AL27" i="12"/>
  <c r="AL28" i="12"/>
  <c r="AL29" i="12"/>
  <c r="AL30" i="12"/>
  <c r="AL31" i="12"/>
  <c r="AL32" i="12"/>
  <c r="AL33" i="12"/>
  <c r="AL34" i="12"/>
  <c r="AL35" i="12"/>
  <c r="AL36" i="12"/>
  <c r="AL37" i="12"/>
  <c r="AL38" i="12"/>
  <c r="AL39" i="12"/>
  <c r="AL40" i="12"/>
  <c r="AL41" i="12"/>
  <c r="AL42" i="12"/>
  <c r="AL43" i="12"/>
  <c r="AL44" i="12"/>
  <c r="AL45" i="12"/>
  <c r="AL46" i="12"/>
  <c r="AL47" i="12"/>
  <c r="AL48" i="12"/>
  <c r="AL49" i="12"/>
  <c r="AL50" i="12"/>
  <c r="AL51" i="12"/>
  <c r="AL52" i="12"/>
  <c r="AL53" i="12"/>
  <c r="AL54" i="12"/>
  <c r="AL55" i="12"/>
  <c r="AL56" i="12"/>
  <c r="AL57" i="12"/>
  <c r="AL58" i="12"/>
  <c r="AL59" i="12"/>
  <c r="AL60" i="12"/>
  <c r="AL61" i="12"/>
  <c r="AL62" i="12"/>
  <c r="AL63" i="12"/>
  <c r="AL64" i="12"/>
  <c r="AL65" i="12"/>
  <c r="AL66" i="12"/>
  <c r="AL67" i="12"/>
  <c r="AL68" i="12"/>
  <c r="AL69" i="12"/>
  <c r="AL70" i="12"/>
  <c r="AL71" i="12"/>
  <c r="AL72" i="12"/>
  <c r="AL73" i="12"/>
  <c r="AL74" i="12"/>
  <c r="AL75" i="12"/>
  <c r="AL76" i="12"/>
  <c r="AL77" i="12"/>
  <c r="AL78" i="12"/>
  <c r="AL79" i="12"/>
  <c r="AL80" i="12"/>
  <c r="AL81" i="12"/>
  <c r="AL82" i="12"/>
  <c r="AL83" i="12"/>
  <c r="AL84" i="12"/>
  <c r="AL85" i="12"/>
  <c r="AL86" i="12"/>
  <c r="AL87" i="12"/>
  <c r="AL88" i="12"/>
  <c r="AL89" i="12"/>
  <c r="AL90" i="12"/>
  <c r="AL91" i="12"/>
  <c r="AL92" i="12"/>
  <c r="AL93" i="12"/>
  <c r="AL94" i="12"/>
  <c r="AL95" i="12"/>
  <c r="AL96" i="12"/>
  <c r="AL97" i="12"/>
  <c r="AL98" i="12"/>
  <c r="AL99" i="12"/>
  <c r="AL100" i="12"/>
  <c r="AL101" i="12"/>
  <c r="AL102" i="12"/>
  <c r="AL103" i="12"/>
  <c r="AL104" i="12"/>
  <c r="AL105" i="12"/>
  <c r="AL106" i="12"/>
  <c r="AL107" i="12"/>
  <c r="AL108" i="12"/>
  <c r="AL109" i="12"/>
  <c r="AL110" i="12"/>
  <c r="AL111" i="12"/>
  <c r="AL112" i="12"/>
  <c r="AL113" i="12"/>
  <c r="AL114" i="12"/>
  <c r="AL115" i="12"/>
  <c r="AL116" i="12"/>
  <c r="AL117" i="12"/>
  <c r="AL118" i="12"/>
  <c r="AL119" i="12"/>
  <c r="AL120" i="12"/>
  <c r="AL121" i="12"/>
  <c r="AL122" i="12"/>
  <c r="AL123" i="12"/>
  <c r="AL124" i="12"/>
  <c r="AL125" i="12"/>
  <c r="AL126" i="12"/>
  <c r="AL127" i="12"/>
  <c r="AL128" i="12"/>
  <c r="AL129" i="12"/>
  <c r="AL130" i="12"/>
  <c r="AL131" i="12"/>
  <c r="AL132" i="12"/>
  <c r="AL133" i="12"/>
  <c r="AL134" i="12"/>
  <c r="AL135" i="12"/>
  <c r="AL136" i="12"/>
  <c r="AL137" i="12"/>
  <c r="AL138" i="12"/>
  <c r="AL139" i="12"/>
  <c r="AL140" i="12"/>
  <c r="AL141" i="12"/>
  <c r="AL142" i="12"/>
  <c r="AL143" i="12"/>
  <c r="AL144" i="12"/>
  <c r="AL145" i="12"/>
  <c r="AL146" i="12"/>
  <c r="AL147" i="12"/>
  <c r="AL148" i="12"/>
  <c r="AL149" i="12"/>
  <c r="AL150" i="12"/>
  <c r="AL151" i="12"/>
  <c r="AL152" i="12"/>
  <c r="AL153" i="12"/>
  <c r="AL154" i="12"/>
  <c r="AL155" i="12"/>
  <c r="AL156" i="12"/>
  <c r="AL157" i="12"/>
  <c r="AL158" i="12"/>
  <c r="AL159" i="12"/>
  <c r="AL160" i="12"/>
  <c r="AL161" i="12"/>
  <c r="AL162" i="12"/>
  <c r="AL163" i="12"/>
  <c r="AL164" i="12"/>
  <c r="AL165" i="12"/>
  <c r="AL166" i="12"/>
  <c r="AL167" i="12"/>
  <c r="AL168" i="12"/>
  <c r="AL169" i="12"/>
  <c r="AL170" i="12"/>
  <c r="AL171" i="12"/>
  <c r="AL172" i="12"/>
  <c r="AL173" i="12"/>
  <c r="AL174" i="12"/>
  <c r="AL175" i="12"/>
  <c r="AL176" i="12"/>
  <c r="AL177" i="12"/>
  <c r="AL178" i="12"/>
  <c r="AL179" i="12"/>
  <c r="AL180" i="12"/>
  <c r="AL181" i="12"/>
  <c r="AL182" i="12"/>
  <c r="AL183" i="12"/>
  <c r="AL184" i="12"/>
  <c r="AL185" i="12"/>
  <c r="AL186" i="12"/>
  <c r="AL187" i="12"/>
  <c r="AL188" i="12"/>
  <c r="AL189" i="12"/>
  <c r="AL190" i="12"/>
  <c r="AL191" i="12"/>
  <c r="AL192" i="12"/>
  <c r="AL193" i="12"/>
  <c r="AL194" i="12"/>
  <c r="AL195" i="12"/>
  <c r="AL196" i="12"/>
  <c r="AL197" i="12"/>
  <c r="AL198" i="12"/>
  <c r="AL199" i="12"/>
  <c r="AL200" i="12"/>
  <c r="AL201" i="12"/>
  <c r="AL202" i="12"/>
  <c r="AL203" i="12"/>
  <c r="AL204" i="12"/>
  <c r="AL205" i="12"/>
  <c r="AL206" i="12"/>
  <c r="AL207" i="12"/>
  <c r="AL208" i="12"/>
  <c r="AL209" i="12"/>
  <c r="AL210" i="12"/>
  <c r="AL211" i="12"/>
  <c r="AL212" i="12"/>
  <c r="AL213" i="12"/>
  <c r="AL214" i="12"/>
  <c r="AL215" i="12"/>
  <c r="AL216" i="12"/>
  <c r="AL217" i="12"/>
  <c r="AL218" i="12"/>
  <c r="AL219" i="12"/>
  <c r="AL220" i="12"/>
  <c r="AL221" i="12"/>
  <c r="AL222" i="12"/>
  <c r="AL223" i="12"/>
  <c r="AL224" i="12"/>
  <c r="AL225" i="12"/>
  <c r="AL226" i="12"/>
  <c r="AL227" i="12"/>
  <c r="AL228" i="12"/>
  <c r="AL229" i="12"/>
  <c r="AL230" i="12"/>
  <c r="AL231" i="12"/>
  <c r="AL232" i="12"/>
  <c r="AL233" i="12"/>
  <c r="AL234" i="12"/>
  <c r="AL235" i="12"/>
  <c r="AL236" i="12"/>
  <c r="AL237" i="12"/>
  <c r="AL238" i="12"/>
  <c r="AL239" i="12"/>
  <c r="AL240" i="12"/>
  <c r="AL241" i="12"/>
  <c r="AL242" i="12"/>
  <c r="AL243" i="12"/>
  <c r="AL244" i="12"/>
  <c r="AL245" i="12"/>
  <c r="AL246" i="12"/>
  <c r="AL247" i="12"/>
  <c r="AL248" i="12"/>
  <c r="AL249" i="12"/>
  <c r="AL250" i="12"/>
  <c r="AL251" i="12"/>
  <c r="AL252" i="12"/>
  <c r="AL253" i="12"/>
  <c r="AL254" i="12"/>
  <c r="AL255" i="12"/>
  <c r="AL256" i="12"/>
  <c r="AL257" i="12"/>
  <c r="AL258" i="12"/>
  <c r="AL259" i="12"/>
  <c r="AL260" i="12"/>
  <c r="AL261" i="12"/>
  <c r="AL262" i="12"/>
  <c r="AL263" i="12"/>
  <c r="AL264" i="12"/>
  <c r="AL265" i="12"/>
  <c r="AL266" i="12"/>
  <c r="AL267" i="12"/>
  <c r="AL268" i="12"/>
  <c r="AL269" i="12"/>
  <c r="AL270" i="12"/>
  <c r="AL271" i="12"/>
  <c r="AL272" i="12"/>
  <c r="AL273" i="12"/>
  <c r="AL274" i="12"/>
  <c r="AL275" i="12"/>
  <c r="AL276" i="12"/>
  <c r="AL277" i="12"/>
  <c r="AL278" i="12"/>
  <c r="AL279" i="12"/>
  <c r="AL280" i="12"/>
  <c r="AL281" i="12"/>
  <c r="AL282" i="12"/>
  <c r="AL283" i="12"/>
  <c r="AL284" i="12"/>
  <c r="AL285" i="12"/>
  <c r="AL286" i="12"/>
  <c r="AL287" i="12"/>
  <c r="AL288" i="12"/>
  <c r="AL289" i="12"/>
  <c r="AL290" i="12"/>
  <c r="AL291" i="12"/>
  <c r="AL292" i="12"/>
  <c r="AL293" i="12"/>
  <c r="AL294" i="12"/>
  <c r="AL295" i="12"/>
  <c r="AL296" i="12"/>
  <c r="AL297" i="12"/>
  <c r="AL298" i="12"/>
  <c r="AL299" i="12"/>
  <c r="AL300" i="12"/>
  <c r="AL301" i="12"/>
  <c r="AL302" i="12"/>
  <c r="AL303" i="12"/>
  <c r="AL304" i="12"/>
  <c r="AL305" i="12"/>
  <c r="AL306" i="12"/>
  <c r="AL307" i="12"/>
  <c r="AL308" i="12"/>
  <c r="AL309" i="12"/>
  <c r="AL310" i="12"/>
  <c r="AL311" i="12"/>
  <c r="AL312" i="12"/>
  <c r="AL313" i="12"/>
  <c r="AL314" i="12"/>
  <c r="AL315" i="12"/>
  <c r="AL316" i="12"/>
  <c r="AL317" i="12"/>
  <c r="AL318" i="12"/>
  <c r="AL319" i="12"/>
  <c r="AL320" i="12"/>
  <c r="AL321" i="12"/>
  <c r="AL322" i="12"/>
  <c r="AL323" i="12"/>
  <c r="AL324" i="12"/>
  <c r="AL325" i="12"/>
  <c r="AL326" i="12"/>
  <c r="AL327" i="12"/>
  <c r="AL328" i="12"/>
  <c r="AL329" i="12"/>
  <c r="AL330" i="12"/>
  <c r="AL331" i="12"/>
  <c r="AL332" i="12"/>
  <c r="AL333" i="12"/>
  <c r="AL334" i="12"/>
  <c r="AL335" i="12"/>
  <c r="AL336" i="12"/>
  <c r="AL337" i="12"/>
  <c r="AL338" i="12"/>
  <c r="AL339" i="12"/>
  <c r="AL340" i="12"/>
  <c r="AL341" i="12"/>
  <c r="AL342" i="12"/>
  <c r="AL343" i="12"/>
  <c r="AL344" i="12"/>
  <c r="AL345" i="12"/>
  <c r="AL346" i="12"/>
  <c r="AL347" i="12"/>
  <c r="AL348" i="12"/>
  <c r="AL349" i="12"/>
  <c r="AL350" i="12"/>
  <c r="AL351" i="12"/>
  <c r="AL352" i="12"/>
  <c r="AL353" i="12"/>
  <c r="AL354" i="12"/>
  <c r="AL355" i="12"/>
  <c r="AL356" i="12"/>
  <c r="AL357" i="12"/>
  <c r="AL358" i="12"/>
  <c r="AL359" i="12"/>
  <c r="AL360" i="12"/>
  <c r="AL361" i="12"/>
  <c r="AL362" i="12"/>
  <c r="AL363" i="12"/>
  <c r="AL364" i="12"/>
  <c r="AL365" i="12"/>
  <c r="AL366" i="12"/>
  <c r="AL367" i="12"/>
  <c r="AL368" i="12"/>
  <c r="AL369" i="12"/>
  <c r="AL370" i="12"/>
  <c r="AL371" i="12"/>
  <c r="AL372" i="12"/>
  <c r="AL373" i="12"/>
  <c r="AL374" i="12"/>
  <c r="AL375" i="12"/>
  <c r="AL376" i="12"/>
  <c r="AL377" i="12"/>
  <c r="AL378" i="12"/>
  <c r="AL379" i="12"/>
  <c r="AL380" i="12"/>
  <c r="AL381" i="12"/>
  <c r="AL382" i="12"/>
  <c r="AL383" i="12"/>
  <c r="AL384" i="12"/>
  <c r="AL385" i="12"/>
  <c r="AL386" i="12"/>
  <c r="AL387" i="12"/>
  <c r="AL388" i="12"/>
  <c r="AL389" i="12"/>
  <c r="AL390" i="12"/>
  <c r="AL391" i="12"/>
  <c r="AL392" i="12"/>
  <c r="AL393" i="12"/>
  <c r="AL394" i="12"/>
  <c r="AL395" i="12"/>
  <c r="AL396" i="12"/>
  <c r="AL397" i="12"/>
  <c r="AL398" i="12"/>
  <c r="AL399" i="12"/>
  <c r="AL400" i="12"/>
  <c r="AL401" i="12"/>
  <c r="AL402" i="12"/>
  <c r="AL403" i="12"/>
  <c r="AL404" i="12"/>
  <c r="AL405" i="12"/>
  <c r="AL406" i="12"/>
  <c r="AL407" i="12"/>
  <c r="AL408" i="12"/>
  <c r="AL409" i="12"/>
  <c r="AL410" i="12"/>
  <c r="AL411" i="12"/>
  <c r="AL412" i="12"/>
  <c r="AL413" i="12"/>
  <c r="AL414" i="12"/>
  <c r="AL415" i="12"/>
  <c r="AL416" i="12"/>
  <c r="AL417" i="12"/>
  <c r="AL418" i="12"/>
  <c r="AL419" i="12"/>
  <c r="AL420" i="12"/>
  <c r="AL421" i="12"/>
  <c r="AL422" i="12"/>
  <c r="AL423" i="12"/>
  <c r="AL424" i="12"/>
  <c r="AL425" i="12"/>
  <c r="AL426" i="12"/>
  <c r="AL427" i="12"/>
  <c r="AL428" i="12"/>
  <c r="AL429" i="12"/>
  <c r="AL430" i="12"/>
  <c r="AL431" i="12"/>
  <c r="AL432" i="12"/>
  <c r="AL433" i="12"/>
  <c r="AL434" i="12"/>
  <c r="AL435" i="12"/>
  <c r="AL436" i="12"/>
  <c r="AL437" i="12"/>
  <c r="AL438" i="12"/>
  <c r="AL439" i="12"/>
  <c r="AL440" i="12"/>
  <c r="AL441" i="12"/>
  <c r="AL442" i="12"/>
  <c r="AL443" i="12"/>
  <c r="AL444" i="12"/>
  <c r="AL445" i="12"/>
  <c r="AL446" i="12"/>
  <c r="AL447" i="12"/>
  <c r="AL448" i="12"/>
  <c r="AL449" i="12"/>
  <c r="AL450" i="12"/>
  <c r="AL451" i="12"/>
  <c r="AL452" i="12"/>
  <c r="AL453" i="12"/>
  <c r="AL454" i="12"/>
  <c r="AL455" i="12"/>
  <c r="AL456" i="12"/>
  <c r="AL457" i="12"/>
  <c r="AL458" i="12"/>
  <c r="AL459" i="12"/>
  <c r="AL460" i="12"/>
  <c r="AL461" i="12"/>
  <c r="AL462" i="12"/>
  <c r="AL463" i="12"/>
  <c r="AL464" i="12"/>
  <c r="AL465" i="12"/>
  <c r="AL466" i="12"/>
  <c r="AL467" i="12"/>
  <c r="AL468" i="12"/>
  <c r="AL469" i="12"/>
  <c r="AL470" i="12"/>
  <c r="AL471" i="12"/>
  <c r="AL472" i="12"/>
  <c r="AL473" i="12"/>
  <c r="AL474" i="12"/>
  <c r="AL475" i="12"/>
  <c r="AL476" i="12"/>
  <c r="AL477" i="12"/>
  <c r="AL478" i="12"/>
  <c r="AL479" i="12"/>
  <c r="AL480" i="12"/>
  <c r="AL481" i="12"/>
  <c r="AL482" i="12"/>
  <c r="AL483" i="12"/>
  <c r="AL484" i="12"/>
  <c r="AL485" i="12"/>
  <c r="AL486" i="12"/>
  <c r="AL487" i="12"/>
  <c r="AL488" i="12"/>
  <c r="AL489" i="12"/>
  <c r="AL490" i="12"/>
  <c r="AL491" i="12"/>
  <c r="AL492" i="12"/>
  <c r="AL493" i="12"/>
  <c r="AL494" i="12"/>
  <c r="AL495" i="12"/>
  <c r="AL496" i="12"/>
  <c r="AL497" i="12"/>
  <c r="AL498" i="12"/>
  <c r="AL499" i="12"/>
  <c r="AL500" i="12"/>
  <c r="AL501" i="12"/>
  <c r="AL502" i="12"/>
  <c r="AL503" i="12"/>
  <c r="AL504" i="12"/>
  <c r="AL505" i="12"/>
  <c r="AL506" i="12"/>
  <c r="AL507" i="12"/>
  <c r="AL508" i="12"/>
  <c r="AL509" i="12"/>
  <c r="AL510" i="12"/>
  <c r="AL511" i="12"/>
  <c r="AL512" i="12"/>
  <c r="AL513" i="12"/>
  <c r="AL514" i="12"/>
  <c r="AL515" i="12"/>
  <c r="AL516" i="12"/>
  <c r="AL517" i="12"/>
  <c r="AL518" i="12"/>
  <c r="AL519" i="12"/>
  <c r="AL520" i="12"/>
  <c r="AL521" i="12"/>
  <c r="AL522" i="12"/>
  <c r="AL523" i="12"/>
  <c r="AL524" i="12"/>
  <c r="AL525" i="12"/>
  <c r="AL526" i="12"/>
  <c r="AL527" i="12"/>
  <c r="AL528" i="12"/>
  <c r="AL529" i="12"/>
  <c r="AL530" i="12"/>
  <c r="AL531" i="12"/>
  <c r="AL532" i="12"/>
  <c r="AL533" i="12"/>
  <c r="AL534" i="12"/>
  <c r="AL535" i="12"/>
  <c r="AL536" i="12"/>
  <c r="AL537" i="12"/>
  <c r="AL538" i="12"/>
  <c r="AL539" i="12"/>
  <c r="AL540" i="12"/>
  <c r="AL541" i="12"/>
  <c r="AL542" i="12"/>
  <c r="AL543" i="12"/>
  <c r="AL544" i="12"/>
  <c r="AL545" i="12"/>
  <c r="AL546" i="12"/>
  <c r="AL547" i="12"/>
  <c r="AL548" i="12"/>
  <c r="AL549" i="12"/>
  <c r="AL550" i="12"/>
  <c r="AL551" i="12"/>
  <c r="AL552" i="12"/>
  <c r="AL553" i="12"/>
  <c r="AL554" i="12"/>
  <c r="AL555" i="12"/>
  <c r="AL556" i="12"/>
  <c r="AL557" i="12"/>
  <c r="AL558" i="12"/>
  <c r="AL559" i="12"/>
  <c r="AL560" i="12"/>
  <c r="AL561" i="12"/>
  <c r="AL562" i="12"/>
  <c r="AL563" i="12"/>
  <c r="AL564" i="12"/>
  <c r="AL565" i="12"/>
  <c r="AL566" i="12"/>
  <c r="AL567" i="12"/>
  <c r="AL568" i="12"/>
  <c r="AL569" i="12"/>
  <c r="AL570" i="12"/>
  <c r="AL571" i="12"/>
  <c r="AL572" i="12"/>
  <c r="AL573" i="12"/>
  <c r="AL574" i="12"/>
  <c r="AL575" i="12"/>
  <c r="AL576" i="12"/>
  <c r="AL577" i="12"/>
  <c r="AL578" i="12"/>
  <c r="AL579" i="12"/>
  <c r="AL580" i="12"/>
  <c r="AL581" i="12"/>
  <c r="AL582" i="12"/>
  <c r="AL583" i="12"/>
  <c r="AL584" i="12"/>
  <c r="AL585" i="12"/>
  <c r="AL586" i="12"/>
  <c r="AL587" i="12"/>
  <c r="AL588" i="12"/>
  <c r="AL589" i="12"/>
  <c r="AL590" i="12"/>
  <c r="AL591" i="12"/>
  <c r="AL592" i="12"/>
  <c r="AL593" i="12"/>
  <c r="AL594" i="12"/>
  <c r="AL595" i="12"/>
  <c r="AL596" i="12"/>
  <c r="AL597" i="12"/>
  <c r="AL598" i="12"/>
  <c r="AL599" i="12"/>
  <c r="AL600" i="12"/>
  <c r="AL601" i="12"/>
  <c r="AL602" i="12"/>
  <c r="AL603" i="12"/>
  <c r="AL604" i="12"/>
  <c r="AL605" i="12"/>
  <c r="AL606" i="12"/>
  <c r="AL607" i="12"/>
  <c r="AL608" i="12"/>
  <c r="AL609" i="12"/>
  <c r="AL610" i="12"/>
  <c r="AL611" i="12"/>
  <c r="AL612" i="12"/>
  <c r="AL613" i="12"/>
  <c r="AL614" i="12"/>
  <c r="AL615" i="12"/>
  <c r="AL616" i="12"/>
  <c r="AL617" i="12"/>
  <c r="AL618" i="12"/>
  <c r="AL619" i="12"/>
  <c r="AL620" i="12"/>
  <c r="AL621" i="12"/>
  <c r="AL622" i="12"/>
  <c r="AL623" i="12"/>
  <c r="AL624" i="12"/>
  <c r="AL625" i="12"/>
  <c r="AL626" i="12"/>
  <c r="AL627" i="12"/>
  <c r="AL628" i="12"/>
  <c r="AL629" i="12"/>
  <c r="AL630" i="12"/>
  <c r="AL631" i="12"/>
  <c r="AL632" i="12"/>
  <c r="AL633" i="12"/>
  <c r="AL634" i="12"/>
  <c r="AL635" i="12"/>
  <c r="AL636" i="12"/>
  <c r="AL637" i="12"/>
  <c r="AL638" i="12"/>
  <c r="AL639" i="12"/>
  <c r="AL640" i="12"/>
  <c r="AL641" i="12"/>
  <c r="AL642" i="12"/>
  <c r="AL643" i="12"/>
  <c r="AL644" i="12"/>
  <c r="AL645" i="12"/>
  <c r="AL646" i="12"/>
  <c r="AL647" i="12"/>
  <c r="AL648" i="12"/>
  <c r="AL649" i="12"/>
  <c r="AL650" i="12"/>
  <c r="AL651" i="12"/>
  <c r="AL652" i="12"/>
  <c r="AL653" i="12"/>
  <c r="AL654" i="12"/>
  <c r="AL655" i="12"/>
  <c r="AL656" i="12"/>
  <c r="AL657" i="12"/>
  <c r="AL658" i="12"/>
  <c r="AL659" i="12"/>
  <c r="AL660" i="12"/>
  <c r="AL661" i="12"/>
  <c r="AL662" i="12"/>
  <c r="AL663" i="12"/>
  <c r="AL664" i="12"/>
  <c r="AL665" i="12"/>
  <c r="AL666" i="12"/>
  <c r="AL667" i="12"/>
  <c r="AL668" i="12"/>
  <c r="AL669" i="12"/>
  <c r="AL670" i="12"/>
  <c r="AL671" i="12"/>
  <c r="AL672" i="12"/>
  <c r="AL673" i="12"/>
  <c r="AL674" i="12"/>
  <c r="AL675" i="12"/>
  <c r="AL676" i="12"/>
  <c r="AL677" i="12"/>
  <c r="AL678" i="12"/>
  <c r="AL679" i="12"/>
  <c r="AL680" i="12"/>
  <c r="AL681" i="12"/>
  <c r="AL682" i="12"/>
  <c r="AL683" i="12"/>
  <c r="AL684" i="12"/>
  <c r="AL685" i="12"/>
  <c r="AL686" i="12"/>
  <c r="AL687" i="12"/>
  <c r="AL688" i="12"/>
  <c r="AL689" i="12"/>
  <c r="AL690" i="12"/>
  <c r="AL691" i="12"/>
  <c r="AL692" i="12"/>
  <c r="AL693" i="12"/>
  <c r="AL694" i="12"/>
  <c r="AL695" i="12"/>
  <c r="AL696" i="12"/>
  <c r="AL697" i="12"/>
  <c r="AL698" i="12"/>
  <c r="AL699" i="12"/>
  <c r="AL700" i="12"/>
  <c r="AL701" i="12"/>
  <c r="AL702" i="12"/>
  <c r="AL703" i="12"/>
  <c r="AL704" i="12"/>
  <c r="AL705" i="12"/>
  <c r="AL706" i="12"/>
  <c r="AL707" i="12"/>
  <c r="AL708" i="12"/>
  <c r="AL709" i="12"/>
  <c r="AL710" i="12"/>
  <c r="AL711" i="12"/>
  <c r="AL712" i="12"/>
  <c r="AL713" i="12"/>
  <c r="AL714" i="12"/>
  <c r="AL715" i="12"/>
  <c r="AL716" i="12"/>
  <c r="AL717" i="12"/>
  <c r="AL718" i="12"/>
  <c r="AL730" i="12"/>
  <c r="AL731" i="12"/>
  <c r="AL732" i="12"/>
  <c r="AL733" i="12"/>
  <c r="AL734" i="12"/>
  <c r="AL735" i="12"/>
  <c r="AL736" i="12"/>
  <c r="AL737" i="12"/>
  <c r="AL738" i="12"/>
  <c r="AL739" i="12"/>
  <c r="AL740" i="12"/>
  <c r="AL741" i="12"/>
  <c r="AL742" i="12"/>
  <c r="AL743" i="12"/>
  <c r="AL744" i="12"/>
  <c r="AL745" i="12"/>
  <c r="AL746" i="12"/>
  <c r="AL747" i="12"/>
  <c r="AL748" i="12"/>
  <c r="AL749" i="12"/>
  <c r="AL750" i="12"/>
  <c r="AL751" i="12"/>
  <c r="AL752" i="12"/>
  <c r="AL753" i="12"/>
  <c r="AL754" i="12"/>
  <c r="AL755" i="12"/>
  <c r="AL756" i="12"/>
  <c r="AL757" i="12"/>
  <c r="AL758" i="12"/>
  <c r="AL759" i="12"/>
  <c r="AL760" i="12"/>
  <c r="AL761" i="12"/>
  <c r="AL762" i="12"/>
  <c r="AL763" i="12"/>
  <c r="AL764" i="12"/>
  <c r="AL765" i="12"/>
  <c r="AL766" i="12"/>
  <c r="AL767" i="12"/>
  <c r="AL768" i="12"/>
  <c r="AL769" i="12"/>
  <c r="AL770" i="12"/>
  <c r="AL771" i="12"/>
  <c r="AL772" i="12"/>
  <c r="AL773" i="12"/>
  <c r="AL774" i="12"/>
  <c r="AL775" i="12"/>
  <c r="AL776" i="12"/>
  <c r="AL777" i="12"/>
  <c r="AL778" i="12"/>
  <c r="AL779" i="12"/>
  <c r="AL780" i="12"/>
  <c r="AL781" i="12"/>
  <c r="AL782" i="12"/>
  <c r="AL783" i="12"/>
  <c r="AL784" i="12"/>
  <c r="AL785" i="12"/>
  <c r="AL786" i="12"/>
  <c r="AL787" i="12"/>
  <c r="AL788" i="12"/>
  <c r="AL789" i="12"/>
  <c r="AL790" i="12"/>
  <c r="AL791" i="12"/>
  <c r="AL792" i="12"/>
  <c r="AL793" i="12"/>
  <c r="AL794" i="12"/>
  <c r="AL795" i="12"/>
  <c r="AL796" i="12"/>
  <c r="AL797" i="12"/>
  <c r="AL798" i="12"/>
  <c r="AL799" i="12"/>
  <c r="AL800" i="12"/>
  <c r="AL801" i="12"/>
  <c r="AL802" i="12"/>
  <c r="AL803" i="12"/>
  <c r="AL804" i="12"/>
  <c r="AL805" i="12"/>
  <c r="AL806" i="12"/>
  <c r="AL807" i="12"/>
  <c r="AL808" i="12"/>
  <c r="AL809" i="12"/>
  <c r="AL810" i="12"/>
  <c r="AL811" i="12"/>
  <c r="AL812" i="12"/>
  <c r="AL813" i="12"/>
  <c r="AL814" i="12"/>
  <c r="AL815" i="12"/>
  <c r="AL816" i="12"/>
  <c r="AL817" i="12"/>
  <c r="AL818" i="12"/>
  <c r="AL819" i="12"/>
  <c r="AL820" i="12"/>
  <c r="AL821" i="12"/>
  <c r="AL822" i="12"/>
  <c r="AL823" i="12"/>
  <c r="AL824" i="12"/>
  <c r="AL825" i="12"/>
  <c r="AL826" i="12"/>
  <c r="AL827" i="12"/>
  <c r="AL828" i="12"/>
  <c r="AL829" i="12"/>
  <c r="AL830" i="12"/>
  <c r="AL831" i="12"/>
  <c r="AL832" i="12"/>
  <c r="AL833" i="12"/>
  <c r="AL834" i="12"/>
  <c r="AL835" i="12"/>
  <c r="AL836" i="12"/>
  <c r="AL837" i="12"/>
  <c r="AL838" i="12"/>
  <c r="AL839" i="12"/>
  <c r="AL840" i="12"/>
  <c r="AL841" i="12"/>
  <c r="AL842" i="12"/>
  <c r="AL843" i="12"/>
  <c r="AL844" i="12"/>
  <c r="AL845" i="12"/>
  <c r="AL846" i="12"/>
  <c r="AL847" i="12"/>
  <c r="AL848" i="12"/>
  <c r="AL849" i="12"/>
  <c r="AL850" i="12"/>
  <c r="AL851" i="12"/>
  <c r="AL852" i="12"/>
  <c r="AL853" i="12"/>
  <c r="AL854" i="12"/>
  <c r="AL855" i="12"/>
  <c r="AL856" i="12"/>
  <c r="AL857" i="12"/>
  <c r="AL858" i="12"/>
  <c r="AL859" i="12"/>
  <c r="AL860" i="12"/>
  <c r="AL861" i="12"/>
  <c r="AL862" i="12"/>
  <c r="AL863" i="12"/>
  <c r="AL864" i="12"/>
  <c r="AL865" i="12"/>
  <c r="AL866" i="12"/>
  <c r="AL867" i="12"/>
  <c r="AL868" i="12"/>
  <c r="AL869" i="12"/>
  <c r="AL870" i="12"/>
  <c r="AL871" i="12"/>
  <c r="AL872" i="12"/>
  <c r="AL873" i="12"/>
  <c r="AL874" i="12"/>
  <c r="AL875" i="12"/>
  <c r="AL876" i="12"/>
  <c r="AL877" i="12"/>
  <c r="AL878" i="12"/>
  <c r="AL879" i="12"/>
  <c r="AL880" i="12"/>
  <c r="AL881" i="12"/>
  <c r="AL882" i="12"/>
  <c r="AL883" i="12"/>
  <c r="AL884" i="12"/>
  <c r="AL885" i="12"/>
  <c r="AL886" i="12"/>
  <c r="AL887" i="12"/>
  <c r="AL888" i="12"/>
  <c r="AL889" i="12"/>
  <c r="AL890" i="12"/>
  <c r="AL891" i="12"/>
  <c r="AL892" i="12"/>
  <c r="AL893" i="12"/>
  <c r="AL894" i="12"/>
  <c r="AL895" i="12"/>
  <c r="AL896" i="12"/>
  <c r="AL897" i="12"/>
  <c r="AL898" i="12"/>
  <c r="AL899" i="12"/>
  <c r="AL900" i="12"/>
  <c r="AL901" i="12"/>
  <c r="AL902" i="12"/>
  <c r="AL903" i="12"/>
  <c r="AL904" i="12"/>
  <c r="AL905" i="12"/>
  <c r="AL906" i="12"/>
  <c r="AL907" i="12"/>
  <c r="AL908" i="12"/>
  <c r="AL909" i="12"/>
  <c r="AL910" i="12"/>
  <c r="AL911" i="12"/>
  <c r="AL912" i="12"/>
  <c r="AL913" i="12"/>
  <c r="AL914" i="12"/>
  <c r="AL915" i="12"/>
  <c r="AL916" i="12"/>
  <c r="AL917" i="12"/>
  <c r="AL918" i="12"/>
  <c r="AL919" i="12"/>
  <c r="AL920" i="12"/>
  <c r="AL921" i="12"/>
  <c r="AL922" i="12"/>
  <c r="AL923" i="12"/>
  <c r="AL924" i="12"/>
  <c r="AL925" i="12"/>
  <c r="AL926" i="12"/>
  <c r="AL927" i="12"/>
  <c r="AL928" i="12"/>
  <c r="AL929" i="12"/>
  <c r="AL930" i="12"/>
  <c r="AL931" i="12"/>
  <c r="AL932" i="12"/>
  <c r="AL933" i="12"/>
  <c r="AL934" i="12"/>
  <c r="AL935" i="12"/>
  <c r="AL936" i="12"/>
  <c r="AL937" i="12"/>
  <c r="AL938" i="12"/>
  <c r="AL939" i="12"/>
  <c r="AL940" i="12"/>
  <c r="AL941" i="12"/>
  <c r="AL942" i="12"/>
  <c r="AL943" i="12"/>
  <c r="AL944" i="12"/>
  <c r="AL945" i="12"/>
  <c r="AL946" i="12"/>
  <c r="AL947" i="12"/>
  <c r="AL948" i="12"/>
  <c r="AL949" i="12"/>
  <c r="AL950" i="12"/>
  <c r="AL951" i="12"/>
  <c r="AL952" i="12"/>
  <c r="AL953" i="12"/>
  <c r="AL954" i="12"/>
  <c r="AL955" i="12"/>
  <c r="AL956" i="12"/>
  <c r="AL957" i="12"/>
  <c r="AL958" i="12"/>
  <c r="AL959" i="12"/>
  <c r="AL960" i="12"/>
  <c r="AL961" i="12"/>
  <c r="AL962" i="12"/>
  <c r="AL963" i="12"/>
  <c r="AL964" i="12"/>
  <c r="AL965" i="12"/>
  <c r="AL966" i="12"/>
  <c r="AL967" i="12"/>
  <c r="AL968" i="12"/>
  <c r="AL969" i="12"/>
  <c r="AL970" i="12"/>
  <c r="AL971" i="12"/>
  <c r="AL972" i="12"/>
  <c r="AL973" i="12"/>
  <c r="AL974" i="12"/>
  <c r="AL975" i="12"/>
  <c r="AL976" i="12"/>
  <c r="AL977" i="12"/>
  <c r="AL978" i="12"/>
  <c r="AL979" i="12"/>
  <c r="AL980" i="12"/>
  <c r="AL981" i="12"/>
  <c r="AL982" i="12"/>
  <c r="AL983" i="12"/>
  <c r="AL984" i="12"/>
  <c r="AL985" i="12"/>
  <c r="AL986" i="12"/>
  <c r="AL987" i="12"/>
  <c r="AL988" i="12"/>
  <c r="AL989" i="12"/>
  <c r="AL990" i="12"/>
  <c r="AL991" i="12"/>
  <c r="AL992" i="12"/>
  <c r="AL993" i="12"/>
  <c r="AL994" i="12"/>
  <c r="AL995" i="12"/>
  <c r="AL996" i="12"/>
  <c r="AL997" i="12"/>
  <c r="AL998" i="12"/>
  <c r="AL999" i="12"/>
  <c r="AL1000" i="12"/>
  <c r="AL1001" i="12"/>
  <c r="AL1002" i="12"/>
  <c r="AL1003" i="12"/>
  <c r="AL1004" i="12"/>
  <c r="AL1005" i="12"/>
  <c r="AL1006" i="12"/>
  <c r="AL1007" i="12"/>
  <c r="AL1008" i="12"/>
  <c r="AL1009" i="12"/>
  <c r="AL1010" i="12"/>
  <c r="AL1011" i="12"/>
  <c r="AL1012" i="12"/>
  <c r="AL1013" i="12"/>
  <c r="AL1014" i="12"/>
  <c r="AL1015" i="12"/>
  <c r="AL1016" i="12"/>
  <c r="AL1017" i="12"/>
  <c r="AL1018" i="12"/>
  <c r="AL1019" i="12"/>
  <c r="AL1020" i="12"/>
  <c r="AL1021" i="12"/>
  <c r="AL1022" i="12"/>
  <c r="AL1023" i="12"/>
  <c r="AL1024" i="12"/>
  <c r="AL1025" i="12"/>
  <c r="AL1026" i="12"/>
  <c r="AL1027" i="12"/>
  <c r="AL1028" i="12"/>
  <c r="AL1029" i="12"/>
  <c r="AL1030" i="12"/>
  <c r="AL1031" i="12"/>
  <c r="AL1032" i="12"/>
  <c r="AL1033" i="12"/>
  <c r="AL1034" i="12"/>
  <c r="AL1035" i="12"/>
  <c r="AL1036" i="12"/>
  <c r="AL1037" i="12"/>
  <c r="AL1038" i="12"/>
  <c r="AL1039" i="12"/>
  <c r="AL1040" i="12"/>
  <c r="AL1041" i="12"/>
  <c r="AL1042" i="12"/>
  <c r="AL1043" i="12"/>
  <c r="AL1044" i="12"/>
  <c r="AL1045" i="12"/>
  <c r="AL1046" i="12"/>
  <c r="AL1047" i="12"/>
  <c r="AL1048" i="12"/>
  <c r="AL1049" i="12"/>
  <c r="AL1050" i="12"/>
  <c r="AL1051" i="12"/>
  <c r="AL1052" i="12"/>
  <c r="AL1053" i="12"/>
  <c r="AL1054" i="12"/>
  <c r="AL1055" i="12"/>
  <c r="AL1056" i="12"/>
  <c r="AL1057" i="12"/>
  <c r="AL1058" i="12"/>
  <c r="AL1059" i="12"/>
  <c r="AL1060" i="12"/>
  <c r="AL1061" i="12"/>
  <c r="AL1062" i="12"/>
  <c r="AL1063" i="12"/>
  <c r="AL1064" i="12"/>
  <c r="AL1065" i="12"/>
  <c r="AL1066" i="12"/>
  <c r="AL1067" i="12"/>
  <c r="AL1068" i="12"/>
  <c r="AL1069" i="12"/>
  <c r="AL1070" i="12"/>
  <c r="AL1071" i="12"/>
  <c r="AL1072" i="12"/>
  <c r="AL1073" i="12"/>
  <c r="AL1074" i="12"/>
  <c r="AL1075" i="12"/>
  <c r="AL1076" i="12"/>
  <c r="AL1077" i="12"/>
  <c r="AL1078" i="12"/>
  <c r="AL1079" i="12"/>
  <c r="AL1080" i="12"/>
  <c r="AL1081" i="12"/>
  <c r="AL1082" i="12"/>
  <c r="AL1083" i="12"/>
  <c r="AL1084" i="12"/>
  <c r="AL1085" i="12"/>
  <c r="AL1086" i="12"/>
  <c r="AL1087" i="12"/>
  <c r="AL1088" i="12"/>
  <c r="AL1089" i="12"/>
  <c r="AL1090" i="12"/>
  <c r="AL1091" i="12"/>
  <c r="AL1092" i="12"/>
  <c r="AL1093" i="12"/>
  <c r="AL1094" i="12"/>
  <c r="AL1095" i="12"/>
  <c r="AL1096" i="12"/>
  <c r="AL1097" i="12"/>
  <c r="AL1098" i="12"/>
  <c r="AL1099" i="12"/>
  <c r="AL1100" i="12"/>
  <c r="AL1101" i="12"/>
  <c r="AL1102" i="12"/>
  <c r="AL1103" i="12"/>
  <c r="AL1104" i="12"/>
  <c r="AL1105" i="12"/>
  <c r="AL1106" i="12"/>
  <c r="AL1107" i="12"/>
  <c r="AL1108" i="12"/>
  <c r="AL1109" i="12"/>
  <c r="AL1110" i="12"/>
  <c r="AL1111" i="12"/>
  <c r="AL1112" i="12"/>
  <c r="AL1113" i="12"/>
  <c r="AL1114" i="12"/>
  <c r="AL1115" i="12"/>
  <c r="AL1116" i="12"/>
  <c r="AL1117" i="12"/>
  <c r="AL1118" i="12"/>
  <c r="AL1119" i="12"/>
  <c r="AL1120" i="12"/>
  <c r="AL1121" i="12"/>
  <c r="AL1122" i="12"/>
  <c r="AL1123" i="12"/>
  <c r="AL1124" i="12"/>
  <c r="AL1125" i="12"/>
  <c r="AL1126" i="12"/>
  <c r="AL1127" i="12"/>
  <c r="AL1128" i="12"/>
  <c r="AL1129" i="12"/>
  <c r="AL1130" i="12"/>
  <c r="AL1131" i="12"/>
  <c r="AL1132" i="12"/>
  <c r="AL1133" i="12"/>
  <c r="AL1136" i="12"/>
  <c r="AL1137" i="12"/>
  <c r="AL1140" i="12"/>
  <c r="AL1141" i="12"/>
  <c r="AL1142" i="12"/>
  <c r="AL1143" i="12"/>
  <c r="AL1144" i="12"/>
  <c r="AL1145" i="12"/>
  <c r="AL1146" i="12"/>
  <c r="AL1147" i="12"/>
  <c r="AL1148" i="12"/>
  <c r="AL1149" i="12"/>
  <c r="AL1150" i="12"/>
  <c r="AL1151" i="12"/>
  <c r="AL1152" i="12"/>
  <c r="AL1153" i="12"/>
  <c r="AL1154" i="12"/>
  <c r="AL1155" i="12"/>
  <c r="AL1156" i="12"/>
  <c r="AL1157" i="12"/>
  <c r="AL1158" i="12"/>
  <c r="AL1159" i="12"/>
  <c r="AK5" i="12"/>
  <c r="AK6" i="12"/>
  <c r="AK7" i="12"/>
  <c r="AK8" i="12"/>
  <c r="AK9" i="12"/>
  <c r="AK10" i="12"/>
  <c r="AK11" i="12"/>
  <c r="AK12" i="12"/>
  <c r="AK13" i="12"/>
  <c r="AK14" i="12"/>
  <c r="AK15" i="12"/>
  <c r="AK16" i="12"/>
  <c r="AK17" i="12"/>
  <c r="AK18" i="12"/>
  <c r="AK19" i="12"/>
  <c r="AK20" i="12"/>
  <c r="AK21" i="12"/>
  <c r="AK22" i="12"/>
  <c r="AK23" i="12"/>
  <c r="AK24" i="12"/>
  <c r="AK25" i="12"/>
  <c r="AK26" i="12"/>
  <c r="AK27" i="12"/>
  <c r="AK28" i="12"/>
  <c r="AK29" i="12"/>
  <c r="AK30" i="12"/>
  <c r="AK31" i="12"/>
  <c r="AK32" i="12"/>
  <c r="AK33" i="12"/>
  <c r="AK34" i="12"/>
  <c r="AK35" i="12"/>
  <c r="AK36" i="12"/>
  <c r="AK37" i="12"/>
  <c r="AK38" i="12"/>
  <c r="AK39" i="12"/>
  <c r="AK40" i="12"/>
  <c r="AK41" i="12"/>
  <c r="AK42" i="12"/>
  <c r="AK43" i="12"/>
  <c r="AK44" i="12"/>
  <c r="AK45" i="12"/>
  <c r="AK46" i="12"/>
  <c r="AK47" i="12"/>
  <c r="AK48" i="12"/>
  <c r="AK49" i="12"/>
  <c r="AK50" i="12"/>
  <c r="AK51" i="12"/>
  <c r="AK52" i="12"/>
  <c r="AK53" i="12"/>
  <c r="AK54" i="12"/>
  <c r="AK55" i="12"/>
  <c r="AK56" i="12"/>
  <c r="AK57" i="12"/>
  <c r="AK58" i="12"/>
  <c r="AK59" i="12"/>
  <c r="AK60" i="12"/>
  <c r="AK61" i="12"/>
  <c r="AK62" i="12"/>
  <c r="AK63" i="12"/>
  <c r="AK64" i="12"/>
  <c r="AK65" i="12"/>
  <c r="AK66" i="12"/>
  <c r="AK67" i="12"/>
  <c r="AK68" i="12"/>
  <c r="AK69" i="12"/>
  <c r="AK70" i="12"/>
  <c r="AK71" i="12"/>
  <c r="AK72" i="12"/>
  <c r="AK73" i="12"/>
  <c r="AK74" i="12"/>
  <c r="AK75" i="12"/>
  <c r="AK76" i="12"/>
  <c r="AK77" i="12"/>
  <c r="AK78" i="12"/>
  <c r="AK79" i="12"/>
  <c r="AK80" i="12"/>
  <c r="AK81" i="12"/>
  <c r="AK82" i="12"/>
  <c r="AK83" i="12"/>
  <c r="AK84" i="12"/>
  <c r="AK85" i="12"/>
  <c r="AK86" i="12"/>
  <c r="AK87" i="12"/>
  <c r="AK88" i="12"/>
  <c r="AK89" i="12"/>
  <c r="AK90" i="12"/>
  <c r="AK91" i="12"/>
  <c r="AK92" i="12"/>
  <c r="AK93" i="12"/>
  <c r="AK94" i="12"/>
  <c r="AK95" i="12"/>
  <c r="AK96" i="12"/>
  <c r="AK97" i="12"/>
  <c r="AK98" i="12"/>
  <c r="AK99" i="12"/>
  <c r="AK100" i="12"/>
  <c r="AK101" i="12"/>
  <c r="AK102" i="12"/>
  <c r="AK103" i="12"/>
  <c r="AK104" i="12"/>
  <c r="AK105" i="12"/>
  <c r="AK106" i="12"/>
  <c r="AK107" i="12"/>
  <c r="AK108" i="12"/>
  <c r="AK109" i="12"/>
  <c r="AK110" i="12"/>
  <c r="AK111" i="12"/>
  <c r="AK112" i="12"/>
  <c r="AK113" i="12"/>
  <c r="AK114" i="12"/>
  <c r="AK115" i="12"/>
  <c r="AK116" i="12"/>
  <c r="AK117" i="12"/>
  <c r="AK118" i="12"/>
  <c r="AK119" i="12"/>
  <c r="AK120" i="12"/>
  <c r="AK121" i="12"/>
  <c r="AK122" i="12"/>
  <c r="AK123" i="12"/>
  <c r="AK124" i="12"/>
  <c r="AK125" i="12"/>
  <c r="AK126" i="12"/>
  <c r="AK127" i="12"/>
  <c r="AK128" i="12"/>
  <c r="AK129" i="12"/>
  <c r="AK130" i="12"/>
  <c r="AK131" i="12"/>
  <c r="AK132" i="12"/>
  <c r="AK133" i="12"/>
  <c r="AK134" i="12"/>
  <c r="AK135" i="12"/>
  <c r="AK136" i="12"/>
  <c r="AK137" i="12"/>
  <c r="AK138" i="12"/>
  <c r="AK139" i="12"/>
  <c r="AK140" i="12"/>
  <c r="AK141" i="12"/>
  <c r="AK142" i="12"/>
  <c r="AK143" i="12"/>
  <c r="AK144" i="12"/>
  <c r="AK145" i="12"/>
  <c r="AK146" i="12"/>
  <c r="AK147" i="12"/>
  <c r="AK148" i="12"/>
  <c r="AK149" i="12"/>
  <c r="AK150" i="12"/>
  <c r="AK151" i="12"/>
  <c r="AK152" i="12"/>
  <c r="AK153" i="12"/>
  <c r="AK154" i="12"/>
  <c r="AK155" i="12"/>
  <c r="AK156" i="12"/>
  <c r="AK157" i="12"/>
  <c r="AK158" i="12"/>
  <c r="AK159" i="12"/>
  <c r="AK160" i="12"/>
  <c r="AK161" i="12"/>
  <c r="AK162" i="12"/>
  <c r="AK163" i="12"/>
  <c r="AK164" i="12"/>
  <c r="AK165" i="12"/>
  <c r="AK166" i="12"/>
  <c r="AK167" i="12"/>
  <c r="AK168" i="12"/>
  <c r="AK169" i="12"/>
  <c r="AK170" i="12"/>
  <c r="AK171" i="12"/>
  <c r="AK172" i="12"/>
  <c r="AK173" i="12"/>
  <c r="AK174" i="12"/>
  <c r="AK175" i="12"/>
  <c r="AK176" i="12"/>
  <c r="AK177" i="12"/>
  <c r="AK178" i="12"/>
  <c r="AK179" i="12"/>
  <c r="AK180" i="12"/>
  <c r="AK181" i="12"/>
  <c r="AK182" i="12"/>
  <c r="AK183" i="12"/>
  <c r="AK184" i="12"/>
  <c r="AK185" i="12"/>
  <c r="AK186" i="12"/>
  <c r="AK187" i="12"/>
  <c r="AK188" i="12"/>
  <c r="AK189" i="12"/>
  <c r="AK190" i="12"/>
  <c r="AK191" i="12"/>
  <c r="AK192" i="12"/>
  <c r="AK193" i="12"/>
  <c r="AK194" i="12"/>
  <c r="AK195" i="12"/>
  <c r="AK196" i="12"/>
  <c r="AK197" i="12"/>
  <c r="AK198" i="12"/>
  <c r="AK199" i="12"/>
  <c r="AK200" i="12"/>
  <c r="AK201" i="12"/>
  <c r="AK202" i="12"/>
  <c r="AK203" i="12"/>
  <c r="AK204" i="12"/>
  <c r="AK205" i="12"/>
  <c r="AK206" i="12"/>
  <c r="AK207" i="12"/>
  <c r="AK208" i="12"/>
  <c r="AK209" i="12"/>
  <c r="AK210" i="12"/>
  <c r="AK211" i="12"/>
  <c r="AK212" i="12"/>
  <c r="AK213" i="12"/>
  <c r="AK214" i="12"/>
  <c r="AK215" i="12"/>
  <c r="AK216" i="12"/>
  <c r="AK217" i="12"/>
  <c r="AK218" i="12"/>
  <c r="AK219" i="12"/>
  <c r="AK220" i="12"/>
  <c r="AK221" i="12"/>
  <c r="AK222" i="12"/>
  <c r="AK223" i="12"/>
  <c r="AK224" i="12"/>
  <c r="AK225" i="12"/>
  <c r="AK226" i="12"/>
  <c r="AK227" i="12"/>
  <c r="AK228" i="12"/>
  <c r="AK229" i="12"/>
  <c r="AK230" i="12"/>
  <c r="AK231" i="12"/>
  <c r="AK232" i="12"/>
  <c r="AK233" i="12"/>
  <c r="AK234" i="12"/>
  <c r="AK235" i="12"/>
  <c r="AK236" i="12"/>
  <c r="AK237" i="12"/>
  <c r="AK238" i="12"/>
  <c r="AK239" i="12"/>
  <c r="AK240" i="12"/>
  <c r="AK241" i="12"/>
  <c r="AK242" i="12"/>
  <c r="AK243" i="12"/>
  <c r="AK244" i="12"/>
  <c r="AK245" i="12"/>
  <c r="AK246" i="12"/>
  <c r="AK247" i="12"/>
  <c r="AK248" i="12"/>
  <c r="AK249" i="12"/>
  <c r="AK250" i="12"/>
  <c r="AK251" i="12"/>
  <c r="AK252" i="12"/>
  <c r="AK253" i="12"/>
  <c r="AK254" i="12"/>
  <c r="AK255" i="12"/>
  <c r="AK256" i="12"/>
  <c r="AK257" i="12"/>
  <c r="AK258" i="12"/>
  <c r="AK259" i="12"/>
  <c r="AK260" i="12"/>
  <c r="AK261" i="12"/>
  <c r="AK262" i="12"/>
  <c r="AK263" i="12"/>
  <c r="AK264" i="12"/>
  <c r="AK265" i="12"/>
  <c r="AK266" i="12"/>
  <c r="AK267" i="12"/>
  <c r="AK268" i="12"/>
  <c r="AK269" i="12"/>
  <c r="AK270" i="12"/>
  <c r="AK271" i="12"/>
  <c r="AK272" i="12"/>
  <c r="AK273" i="12"/>
  <c r="AK274" i="12"/>
  <c r="AK275" i="12"/>
  <c r="AK276" i="12"/>
  <c r="AK277" i="12"/>
  <c r="AK278" i="12"/>
  <c r="AK279" i="12"/>
  <c r="AK280" i="12"/>
  <c r="AK281" i="12"/>
  <c r="AK282" i="12"/>
  <c r="AK283" i="12"/>
  <c r="AK284" i="12"/>
  <c r="AK285" i="12"/>
  <c r="AK286" i="12"/>
  <c r="AK287" i="12"/>
  <c r="AK288" i="12"/>
  <c r="AK289" i="12"/>
  <c r="AK290" i="12"/>
  <c r="AK291" i="12"/>
  <c r="AK292" i="12"/>
  <c r="AK293" i="12"/>
  <c r="AK294" i="12"/>
  <c r="AK295" i="12"/>
  <c r="AK296" i="12"/>
  <c r="AK297" i="12"/>
  <c r="AK298" i="12"/>
  <c r="AK299" i="12"/>
  <c r="AK300" i="12"/>
  <c r="AK301" i="12"/>
  <c r="AK302" i="12"/>
  <c r="AK303" i="12"/>
  <c r="AK304" i="12"/>
  <c r="AK305" i="12"/>
  <c r="AK306" i="12"/>
  <c r="AK307" i="12"/>
  <c r="AK308" i="12"/>
  <c r="AK309" i="12"/>
  <c r="AK310" i="12"/>
  <c r="AK311" i="12"/>
  <c r="AK312" i="12"/>
  <c r="AK313" i="12"/>
  <c r="AK314" i="12"/>
  <c r="AK315" i="12"/>
  <c r="AK316" i="12"/>
  <c r="AK317" i="12"/>
  <c r="AK318" i="12"/>
  <c r="AK319" i="12"/>
  <c r="AK320" i="12"/>
  <c r="AK321" i="12"/>
  <c r="AK322" i="12"/>
  <c r="AK323" i="12"/>
  <c r="AK324" i="12"/>
  <c r="AK325" i="12"/>
  <c r="AK326" i="12"/>
  <c r="AK327" i="12"/>
  <c r="AK328" i="12"/>
  <c r="AK329" i="12"/>
  <c r="AK330" i="12"/>
  <c r="AK331" i="12"/>
  <c r="AK332" i="12"/>
  <c r="AK333" i="12"/>
  <c r="AK334" i="12"/>
  <c r="AK335" i="12"/>
  <c r="AK336" i="12"/>
  <c r="AK337" i="12"/>
  <c r="AK338" i="12"/>
  <c r="AK339" i="12"/>
  <c r="AK340" i="12"/>
  <c r="AK341" i="12"/>
  <c r="AK342" i="12"/>
  <c r="AK343" i="12"/>
  <c r="AK344" i="12"/>
  <c r="AK345" i="12"/>
  <c r="AK346" i="12"/>
  <c r="AK347" i="12"/>
  <c r="AK348" i="12"/>
  <c r="AK349" i="12"/>
  <c r="AK350" i="12"/>
  <c r="AK351" i="12"/>
  <c r="AK352" i="12"/>
  <c r="AK353" i="12"/>
  <c r="AK354" i="12"/>
  <c r="AK355" i="12"/>
  <c r="AK356" i="12"/>
  <c r="AK357" i="12"/>
  <c r="AK358" i="12"/>
  <c r="AK359" i="12"/>
  <c r="AK360" i="12"/>
  <c r="AK361" i="12"/>
  <c r="AK362" i="12"/>
  <c r="AK363" i="12"/>
  <c r="AK364" i="12"/>
  <c r="AK365" i="12"/>
  <c r="AK366" i="12"/>
  <c r="AK367" i="12"/>
  <c r="AK368" i="12"/>
  <c r="AK369" i="12"/>
  <c r="AK370" i="12"/>
  <c r="AK371" i="12"/>
  <c r="AK372" i="12"/>
  <c r="AK373" i="12"/>
  <c r="AK374" i="12"/>
  <c r="AK375" i="12"/>
  <c r="AK376" i="12"/>
  <c r="AK377" i="12"/>
  <c r="AK378" i="12"/>
  <c r="AK379" i="12"/>
  <c r="AK380" i="12"/>
  <c r="AK381" i="12"/>
  <c r="AK382" i="12"/>
  <c r="AK383" i="12"/>
  <c r="AK384" i="12"/>
  <c r="AK385" i="12"/>
  <c r="AK386" i="12"/>
  <c r="AK387" i="12"/>
  <c r="AK388" i="12"/>
  <c r="AK389" i="12"/>
  <c r="AK390" i="12"/>
  <c r="AK391" i="12"/>
  <c r="AK392" i="12"/>
  <c r="AK393" i="12"/>
  <c r="AK394" i="12"/>
  <c r="AK395" i="12"/>
  <c r="AK396" i="12"/>
  <c r="AK397" i="12"/>
  <c r="AK398" i="12"/>
  <c r="AK399" i="12"/>
  <c r="AK400" i="12"/>
  <c r="AK401" i="12"/>
  <c r="AK402" i="12"/>
  <c r="AK403" i="12"/>
  <c r="AK404" i="12"/>
  <c r="AK405" i="12"/>
  <c r="AK406" i="12"/>
  <c r="AK407" i="12"/>
  <c r="AK408" i="12"/>
  <c r="AK409" i="12"/>
  <c r="AK410" i="12"/>
  <c r="AK411" i="12"/>
  <c r="AK412" i="12"/>
  <c r="AK413" i="12"/>
  <c r="AK414" i="12"/>
  <c r="AK415" i="12"/>
  <c r="AK416" i="12"/>
  <c r="AK417" i="12"/>
  <c r="AK418" i="12"/>
  <c r="AK419" i="12"/>
  <c r="AK420" i="12"/>
  <c r="AK421" i="12"/>
  <c r="AK422" i="12"/>
  <c r="AK423" i="12"/>
  <c r="AK424" i="12"/>
  <c r="AK425" i="12"/>
  <c r="AK426" i="12"/>
  <c r="AK427" i="12"/>
  <c r="AK428" i="12"/>
  <c r="AK429" i="12"/>
  <c r="AK430" i="12"/>
  <c r="AK431" i="12"/>
  <c r="AK432" i="12"/>
  <c r="AK433" i="12"/>
  <c r="AK434" i="12"/>
  <c r="AK435" i="12"/>
  <c r="AK436" i="12"/>
  <c r="AK437" i="12"/>
  <c r="AK438" i="12"/>
  <c r="AK439" i="12"/>
  <c r="AK440" i="12"/>
  <c r="AK441" i="12"/>
  <c r="AK442" i="12"/>
  <c r="AK443" i="12"/>
  <c r="AK444" i="12"/>
  <c r="AK445" i="12"/>
  <c r="AK446" i="12"/>
  <c r="AK447" i="12"/>
  <c r="AK448" i="12"/>
  <c r="AK449" i="12"/>
  <c r="AK450" i="12"/>
  <c r="AK451" i="12"/>
  <c r="AK452" i="12"/>
  <c r="AK453" i="12"/>
  <c r="AK454" i="12"/>
  <c r="AK455" i="12"/>
  <c r="AK456" i="12"/>
  <c r="AK457" i="12"/>
  <c r="AK458" i="12"/>
  <c r="AK459" i="12"/>
  <c r="AK460" i="12"/>
  <c r="AK461" i="12"/>
  <c r="AK462" i="12"/>
  <c r="AK463" i="12"/>
  <c r="AK464" i="12"/>
  <c r="AK465" i="12"/>
  <c r="AK466" i="12"/>
  <c r="AK467" i="12"/>
  <c r="AK468" i="12"/>
  <c r="AK469" i="12"/>
  <c r="AK470" i="12"/>
  <c r="AK471" i="12"/>
  <c r="AK472" i="12"/>
  <c r="AK473" i="12"/>
  <c r="AK474" i="12"/>
  <c r="AK475" i="12"/>
  <c r="AK476" i="12"/>
  <c r="AK477" i="12"/>
  <c r="AK478" i="12"/>
  <c r="AK479" i="12"/>
  <c r="AK480" i="12"/>
  <c r="AK481" i="12"/>
  <c r="AK482" i="12"/>
  <c r="AK483" i="12"/>
  <c r="AK484" i="12"/>
  <c r="AK485" i="12"/>
  <c r="AK486" i="12"/>
  <c r="AK487" i="12"/>
  <c r="AK488" i="12"/>
  <c r="AK489" i="12"/>
  <c r="AK490" i="12"/>
  <c r="AK491" i="12"/>
  <c r="AK492" i="12"/>
  <c r="AK493" i="12"/>
  <c r="AK494" i="12"/>
  <c r="AK495" i="12"/>
  <c r="AK496" i="12"/>
  <c r="AK497" i="12"/>
  <c r="AK498" i="12"/>
  <c r="AK499" i="12"/>
  <c r="AK500" i="12"/>
  <c r="AK501" i="12"/>
  <c r="AK502" i="12"/>
  <c r="AK503" i="12"/>
  <c r="AK504" i="12"/>
  <c r="AK505" i="12"/>
  <c r="AK506" i="12"/>
  <c r="AK507" i="12"/>
  <c r="AK508" i="12"/>
  <c r="AK509" i="12"/>
  <c r="AK510" i="12"/>
  <c r="AK511" i="12"/>
  <c r="AK512" i="12"/>
  <c r="AK513" i="12"/>
  <c r="AK514" i="12"/>
  <c r="AK515" i="12"/>
  <c r="AK516" i="12"/>
  <c r="AK517" i="12"/>
  <c r="AK518" i="12"/>
  <c r="AK519" i="12"/>
  <c r="AK520" i="12"/>
  <c r="AK521" i="12"/>
  <c r="AK522" i="12"/>
  <c r="AK523" i="12"/>
  <c r="AK524" i="12"/>
  <c r="AK525" i="12"/>
  <c r="AK526" i="12"/>
  <c r="AK527" i="12"/>
  <c r="AK528" i="12"/>
  <c r="AK529" i="12"/>
  <c r="AK530" i="12"/>
  <c r="AK531" i="12"/>
  <c r="AK532" i="12"/>
  <c r="AK533" i="12"/>
  <c r="AK534" i="12"/>
  <c r="AK535" i="12"/>
  <c r="AK536" i="12"/>
  <c r="AK537" i="12"/>
  <c r="AK538" i="12"/>
  <c r="AK539" i="12"/>
  <c r="AK540" i="12"/>
  <c r="AK541" i="12"/>
  <c r="AK542" i="12"/>
  <c r="AK543" i="12"/>
  <c r="AK544" i="12"/>
  <c r="AK545" i="12"/>
  <c r="AK546" i="12"/>
  <c r="AK547" i="12"/>
  <c r="AK548" i="12"/>
  <c r="AK549" i="12"/>
  <c r="AK550" i="12"/>
  <c r="AK551" i="12"/>
  <c r="AK552" i="12"/>
  <c r="AK553" i="12"/>
  <c r="AK554" i="12"/>
  <c r="AK555" i="12"/>
  <c r="AK556" i="12"/>
  <c r="AK557" i="12"/>
  <c r="AK558" i="12"/>
  <c r="AK559" i="12"/>
  <c r="AK560" i="12"/>
  <c r="AK561" i="12"/>
  <c r="AK562" i="12"/>
  <c r="AK563" i="12"/>
  <c r="AK564" i="12"/>
  <c r="AK565" i="12"/>
  <c r="AK566" i="12"/>
  <c r="AK567" i="12"/>
  <c r="AK568" i="12"/>
  <c r="AK569" i="12"/>
  <c r="AK570" i="12"/>
  <c r="AK571" i="12"/>
  <c r="AK572" i="12"/>
  <c r="AK573" i="12"/>
  <c r="AK574" i="12"/>
  <c r="AK575" i="12"/>
  <c r="AK576" i="12"/>
  <c r="AK577" i="12"/>
  <c r="AK578" i="12"/>
  <c r="AK579" i="12"/>
  <c r="AK580" i="12"/>
  <c r="AK581" i="12"/>
  <c r="AK582" i="12"/>
  <c r="AK583" i="12"/>
  <c r="AK584" i="12"/>
  <c r="AK585" i="12"/>
  <c r="AK586" i="12"/>
  <c r="AK587" i="12"/>
  <c r="AK588" i="12"/>
  <c r="AK589" i="12"/>
  <c r="AK590" i="12"/>
  <c r="AK591" i="12"/>
  <c r="AK592" i="12"/>
  <c r="AK593" i="12"/>
  <c r="AK594" i="12"/>
  <c r="AK595" i="12"/>
  <c r="AK596" i="12"/>
  <c r="AK597" i="12"/>
  <c r="AK598" i="12"/>
  <c r="AK599" i="12"/>
  <c r="AK600" i="12"/>
  <c r="AK601" i="12"/>
  <c r="AK602" i="12"/>
  <c r="AK603" i="12"/>
  <c r="AK604" i="12"/>
  <c r="AK605" i="12"/>
  <c r="AK606" i="12"/>
  <c r="AK607" i="12"/>
  <c r="AK608" i="12"/>
  <c r="AK609" i="12"/>
  <c r="AK610" i="12"/>
  <c r="AK611" i="12"/>
  <c r="AK612" i="12"/>
  <c r="AK613" i="12"/>
  <c r="AK614" i="12"/>
  <c r="AK615" i="12"/>
  <c r="AK616" i="12"/>
  <c r="AK617" i="12"/>
  <c r="AK618" i="12"/>
  <c r="AK619" i="12"/>
  <c r="AK620" i="12"/>
  <c r="AK621" i="12"/>
  <c r="AK622" i="12"/>
  <c r="AK623" i="12"/>
  <c r="AK624" i="12"/>
  <c r="AK625" i="12"/>
  <c r="AK626" i="12"/>
  <c r="AK627" i="12"/>
  <c r="AK628" i="12"/>
  <c r="AK629" i="12"/>
  <c r="AK630" i="12"/>
  <c r="AK631" i="12"/>
  <c r="AK632" i="12"/>
  <c r="AK633" i="12"/>
  <c r="AK634" i="12"/>
  <c r="AK635" i="12"/>
  <c r="AK636" i="12"/>
  <c r="AK637" i="12"/>
  <c r="AK638" i="12"/>
  <c r="AK639" i="12"/>
  <c r="AK640" i="12"/>
  <c r="AK641" i="12"/>
  <c r="AK642" i="12"/>
  <c r="AK643" i="12"/>
  <c r="AK644" i="12"/>
  <c r="AK645" i="12"/>
  <c r="AK646" i="12"/>
  <c r="AK647" i="12"/>
  <c r="AK648" i="12"/>
  <c r="AK649" i="12"/>
  <c r="AK650" i="12"/>
  <c r="AK651" i="12"/>
  <c r="AK652" i="12"/>
  <c r="AK653" i="12"/>
  <c r="AK654" i="12"/>
  <c r="AK655" i="12"/>
  <c r="AK656" i="12"/>
  <c r="AK657" i="12"/>
  <c r="AK658" i="12"/>
  <c r="AK659" i="12"/>
  <c r="AK660" i="12"/>
  <c r="AK661" i="12"/>
  <c r="AK662" i="12"/>
  <c r="AK663" i="12"/>
  <c r="AK664" i="12"/>
  <c r="AK665" i="12"/>
  <c r="AK666" i="12"/>
  <c r="AK667" i="12"/>
  <c r="AK668" i="12"/>
  <c r="AK669" i="12"/>
  <c r="AK670" i="12"/>
  <c r="AK671" i="12"/>
  <c r="AK672" i="12"/>
  <c r="AK673" i="12"/>
  <c r="AK674" i="12"/>
  <c r="AK675" i="12"/>
  <c r="AK676" i="12"/>
  <c r="AK677" i="12"/>
  <c r="AK678" i="12"/>
  <c r="AK679" i="12"/>
  <c r="AK680" i="12"/>
  <c r="AK681" i="12"/>
  <c r="AK682" i="12"/>
  <c r="AK683" i="12"/>
  <c r="AK684" i="12"/>
  <c r="AK685" i="12"/>
  <c r="AK686" i="12"/>
  <c r="AK687" i="12"/>
  <c r="AK688" i="12"/>
  <c r="AK689" i="12"/>
  <c r="AK690" i="12"/>
  <c r="AK691" i="12"/>
  <c r="AK692" i="12"/>
  <c r="AK693" i="12"/>
  <c r="AK694" i="12"/>
  <c r="AK695" i="12"/>
  <c r="AK696" i="12"/>
  <c r="AK697" i="12"/>
  <c r="AK698" i="12"/>
  <c r="AK699" i="12"/>
  <c r="AK700" i="12"/>
  <c r="AK701" i="12"/>
  <c r="AK702" i="12"/>
  <c r="AK703" i="12"/>
  <c r="AK704" i="12"/>
  <c r="AK705" i="12"/>
  <c r="AK706" i="12"/>
  <c r="AK707" i="12"/>
  <c r="AK708" i="12"/>
  <c r="AK709" i="12"/>
  <c r="AK710" i="12"/>
  <c r="AK711" i="12"/>
  <c r="AK712" i="12"/>
  <c r="AK713" i="12"/>
  <c r="AK714" i="12"/>
  <c r="AK715" i="12"/>
  <c r="AK716" i="12"/>
  <c r="AK717" i="12"/>
  <c r="AK718" i="12"/>
  <c r="AK730" i="12"/>
  <c r="AK731" i="12"/>
  <c r="AK732" i="12"/>
  <c r="AK733" i="12"/>
  <c r="AK734" i="12"/>
  <c r="AK735" i="12"/>
  <c r="AK736" i="12"/>
  <c r="AK737" i="12"/>
  <c r="AK738" i="12"/>
  <c r="AK739" i="12"/>
  <c r="AK740" i="12"/>
  <c r="AK741" i="12"/>
  <c r="AK742" i="12"/>
  <c r="AK743" i="12"/>
  <c r="AK744" i="12"/>
  <c r="AK745" i="12"/>
  <c r="AK746" i="12"/>
  <c r="AK747" i="12"/>
  <c r="AK748" i="12"/>
  <c r="AK749" i="12"/>
  <c r="AK750" i="12"/>
  <c r="AK751" i="12"/>
  <c r="AK752" i="12"/>
  <c r="AK753" i="12"/>
  <c r="AK754" i="12"/>
  <c r="AK755" i="12"/>
  <c r="AK756" i="12"/>
  <c r="AK757" i="12"/>
  <c r="AK758" i="12"/>
  <c r="AK759" i="12"/>
  <c r="AK760" i="12"/>
  <c r="AK761" i="12"/>
  <c r="AK762" i="12"/>
  <c r="AK763" i="12"/>
  <c r="AK764" i="12"/>
  <c r="AK765" i="12"/>
  <c r="AK766" i="12"/>
  <c r="AK767" i="12"/>
  <c r="AK768" i="12"/>
  <c r="AK769" i="12"/>
  <c r="AK770" i="12"/>
  <c r="AK771" i="12"/>
  <c r="AK772" i="12"/>
  <c r="AK773" i="12"/>
  <c r="AK774" i="12"/>
  <c r="AK775" i="12"/>
  <c r="AK776" i="12"/>
  <c r="AK777" i="12"/>
  <c r="AK778" i="12"/>
  <c r="AK779" i="12"/>
  <c r="AK780" i="12"/>
  <c r="AK781" i="12"/>
  <c r="AK782" i="12"/>
  <c r="AK783" i="12"/>
  <c r="AK784" i="12"/>
  <c r="AK785" i="12"/>
  <c r="AK786" i="12"/>
  <c r="AK787" i="12"/>
  <c r="AK788" i="12"/>
  <c r="AK789" i="12"/>
  <c r="AK790" i="12"/>
  <c r="AK791" i="12"/>
  <c r="AK792" i="12"/>
  <c r="AK793" i="12"/>
  <c r="AK794" i="12"/>
  <c r="AK795" i="12"/>
  <c r="AK796" i="12"/>
  <c r="AK797" i="12"/>
  <c r="AK798" i="12"/>
  <c r="AK799" i="12"/>
  <c r="AK800" i="12"/>
  <c r="AK801" i="12"/>
  <c r="AK802" i="12"/>
  <c r="AK803" i="12"/>
  <c r="AK804" i="12"/>
  <c r="AK805" i="12"/>
  <c r="AK806" i="12"/>
  <c r="AK807" i="12"/>
  <c r="AK808" i="12"/>
  <c r="AK809" i="12"/>
  <c r="AK810" i="12"/>
  <c r="AK811" i="12"/>
  <c r="AK812" i="12"/>
  <c r="AK813" i="12"/>
  <c r="AK814" i="12"/>
  <c r="AK815" i="12"/>
  <c r="AK816" i="12"/>
  <c r="AK817" i="12"/>
  <c r="AK818" i="12"/>
  <c r="AK819" i="12"/>
  <c r="AK820" i="12"/>
  <c r="AK821" i="12"/>
  <c r="AK822" i="12"/>
  <c r="AK823" i="12"/>
  <c r="AK824" i="12"/>
  <c r="AK825" i="12"/>
  <c r="AK826" i="12"/>
  <c r="AK827" i="12"/>
  <c r="AK828" i="12"/>
  <c r="AK829" i="12"/>
  <c r="AK830" i="12"/>
  <c r="AK831" i="12"/>
  <c r="AK832" i="12"/>
  <c r="AK833" i="12"/>
  <c r="AK834" i="12"/>
  <c r="AK835" i="12"/>
  <c r="AK836" i="12"/>
  <c r="AK837" i="12"/>
  <c r="AK838" i="12"/>
  <c r="AK839" i="12"/>
  <c r="AK840" i="12"/>
  <c r="AK841" i="12"/>
  <c r="AK842" i="12"/>
  <c r="AK843" i="12"/>
  <c r="AK844" i="12"/>
  <c r="AK845" i="12"/>
  <c r="AK846" i="12"/>
  <c r="AK847" i="12"/>
  <c r="AK848" i="12"/>
  <c r="AK849" i="12"/>
  <c r="AK850" i="12"/>
  <c r="AK851" i="12"/>
  <c r="AK852" i="12"/>
  <c r="AK853" i="12"/>
  <c r="AK854" i="12"/>
  <c r="AK855" i="12"/>
  <c r="AK856" i="12"/>
  <c r="AK857" i="12"/>
  <c r="AK858" i="12"/>
  <c r="AK859" i="12"/>
  <c r="AK860" i="12"/>
  <c r="AK861" i="12"/>
  <c r="AK862" i="12"/>
  <c r="AK863" i="12"/>
  <c r="AK864" i="12"/>
  <c r="AK865" i="12"/>
  <c r="AK866" i="12"/>
  <c r="AK867" i="12"/>
  <c r="AK868" i="12"/>
  <c r="AK869" i="12"/>
  <c r="AK870" i="12"/>
  <c r="AK871" i="12"/>
  <c r="AK872" i="12"/>
  <c r="AK873" i="12"/>
  <c r="AK874" i="12"/>
  <c r="AK875" i="12"/>
  <c r="AK876" i="12"/>
  <c r="AK877" i="12"/>
  <c r="AK878" i="12"/>
  <c r="AK879" i="12"/>
  <c r="AK880" i="12"/>
  <c r="AK881" i="12"/>
  <c r="AK882" i="12"/>
  <c r="AK883" i="12"/>
  <c r="AK884" i="12"/>
  <c r="AK885" i="12"/>
  <c r="AK886" i="12"/>
  <c r="AK887" i="12"/>
  <c r="AK888" i="12"/>
  <c r="AK889" i="12"/>
  <c r="AK890" i="12"/>
  <c r="AK891" i="12"/>
  <c r="AK892" i="12"/>
  <c r="AK893" i="12"/>
  <c r="AK894" i="12"/>
  <c r="AK895" i="12"/>
  <c r="AK896" i="12"/>
  <c r="AK897" i="12"/>
  <c r="AK898" i="12"/>
  <c r="AK899" i="12"/>
  <c r="AK900" i="12"/>
  <c r="AK901" i="12"/>
  <c r="AK902" i="12"/>
  <c r="AK903" i="12"/>
  <c r="AK904" i="12"/>
  <c r="AK905" i="12"/>
  <c r="AK906" i="12"/>
  <c r="AK907" i="12"/>
  <c r="AK908" i="12"/>
  <c r="AK909" i="12"/>
  <c r="AK910" i="12"/>
  <c r="AK911" i="12"/>
  <c r="AK912" i="12"/>
  <c r="AK913" i="12"/>
  <c r="AK914" i="12"/>
  <c r="AK915" i="12"/>
  <c r="AK916" i="12"/>
  <c r="AK917" i="12"/>
  <c r="AK918" i="12"/>
  <c r="AK919" i="12"/>
  <c r="AK920" i="12"/>
  <c r="AK921" i="12"/>
  <c r="AK922" i="12"/>
  <c r="AK923" i="12"/>
  <c r="AK924" i="12"/>
  <c r="AK925" i="12"/>
  <c r="AK926" i="12"/>
  <c r="AK927" i="12"/>
  <c r="AK928" i="12"/>
  <c r="AK929" i="12"/>
  <c r="AK930" i="12"/>
  <c r="AK931" i="12"/>
  <c r="AK932" i="12"/>
  <c r="AK933" i="12"/>
  <c r="AK934" i="12"/>
  <c r="AK935" i="12"/>
  <c r="AK936" i="12"/>
  <c r="AK937" i="12"/>
  <c r="AK938" i="12"/>
  <c r="AK939" i="12"/>
  <c r="AK940" i="12"/>
  <c r="AK941" i="12"/>
  <c r="AK942" i="12"/>
  <c r="AK943" i="12"/>
  <c r="AK944" i="12"/>
  <c r="AK945" i="12"/>
  <c r="AK946" i="12"/>
  <c r="AK947" i="12"/>
  <c r="AK948" i="12"/>
  <c r="AK949" i="12"/>
  <c r="AK950" i="12"/>
  <c r="AK951" i="12"/>
  <c r="AK952" i="12"/>
  <c r="AK953" i="12"/>
  <c r="AK954" i="12"/>
  <c r="AK955" i="12"/>
  <c r="AK956" i="12"/>
  <c r="AK957" i="12"/>
  <c r="AK958" i="12"/>
  <c r="AK959" i="12"/>
  <c r="AK960" i="12"/>
  <c r="AK961" i="12"/>
  <c r="AK962" i="12"/>
  <c r="AK963" i="12"/>
  <c r="AK964" i="12"/>
  <c r="AK965" i="12"/>
  <c r="AK966" i="12"/>
  <c r="AK967" i="12"/>
  <c r="AK968" i="12"/>
  <c r="AK969" i="12"/>
  <c r="AK970" i="12"/>
  <c r="AK971" i="12"/>
  <c r="AK972" i="12"/>
  <c r="AK973" i="12"/>
  <c r="AK974" i="12"/>
  <c r="AK975" i="12"/>
  <c r="AK976" i="12"/>
  <c r="AK977" i="12"/>
  <c r="AK978" i="12"/>
  <c r="AK979" i="12"/>
  <c r="AK980" i="12"/>
  <c r="AK981" i="12"/>
  <c r="AK982" i="12"/>
  <c r="AK983" i="12"/>
  <c r="AK984" i="12"/>
  <c r="AK985" i="12"/>
  <c r="AK986" i="12"/>
  <c r="AK987" i="12"/>
  <c r="AK988" i="12"/>
  <c r="AK989" i="12"/>
  <c r="AK990" i="12"/>
  <c r="AK991" i="12"/>
  <c r="AK992" i="12"/>
  <c r="AK993" i="12"/>
  <c r="AK994" i="12"/>
  <c r="AK995" i="12"/>
  <c r="AK996" i="12"/>
  <c r="AK997" i="12"/>
  <c r="AK998" i="12"/>
  <c r="AK999" i="12"/>
  <c r="AK1000" i="12"/>
  <c r="AK1001" i="12"/>
  <c r="AK1002" i="12"/>
  <c r="AK1003" i="12"/>
  <c r="AK1004" i="12"/>
  <c r="AK1005" i="12"/>
  <c r="AK1006" i="12"/>
  <c r="AK1007" i="12"/>
  <c r="AK1008" i="12"/>
  <c r="AK1009" i="12"/>
  <c r="AK1010" i="12"/>
  <c r="AK1011" i="12"/>
  <c r="AK1012" i="12"/>
  <c r="AK1013" i="12"/>
  <c r="AK1014" i="12"/>
  <c r="AK1015" i="12"/>
  <c r="AK1016" i="12"/>
  <c r="AK1017" i="12"/>
  <c r="AK1018" i="12"/>
  <c r="AK1019" i="12"/>
  <c r="AK1020" i="12"/>
  <c r="AK1021" i="12"/>
  <c r="AK1022" i="12"/>
  <c r="AK1023" i="12"/>
  <c r="AK1024" i="12"/>
  <c r="AK1025" i="12"/>
  <c r="AK1026" i="12"/>
  <c r="AK1027" i="12"/>
  <c r="AK1028" i="12"/>
  <c r="AK1029" i="12"/>
  <c r="AK1030" i="12"/>
  <c r="AK1031" i="12"/>
  <c r="AK1032" i="12"/>
  <c r="AK1033" i="12"/>
  <c r="AK1034" i="12"/>
  <c r="AK1035" i="12"/>
  <c r="AK1036" i="12"/>
  <c r="AK1037" i="12"/>
  <c r="AK1038" i="12"/>
  <c r="AK1039" i="12"/>
  <c r="AK1040" i="12"/>
  <c r="AK1041" i="12"/>
  <c r="AK1042" i="12"/>
  <c r="AK1043" i="12"/>
  <c r="AK1044" i="12"/>
  <c r="AK1045" i="12"/>
  <c r="AK1046" i="12"/>
  <c r="AK1047" i="12"/>
  <c r="AK1048" i="12"/>
  <c r="AK1049" i="12"/>
  <c r="AK1050" i="12"/>
  <c r="AK1051" i="12"/>
  <c r="AK1052" i="12"/>
  <c r="AK1053" i="12"/>
  <c r="AK1054" i="12"/>
  <c r="AK1055" i="12"/>
  <c r="AK1056" i="12"/>
  <c r="AK1057" i="12"/>
  <c r="AK1058" i="12"/>
  <c r="AK1059" i="12"/>
  <c r="AK1060" i="12"/>
  <c r="AK1061" i="12"/>
  <c r="AK1062" i="12"/>
  <c r="AK1063" i="12"/>
  <c r="AK1064" i="12"/>
  <c r="AK1065" i="12"/>
  <c r="AK1066" i="12"/>
  <c r="AK1067" i="12"/>
  <c r="AK1068" i="12"/>
  <c r="AK1069" i="12"/>
  <c r="AK1070" i="12"/>
  <c r="AK1071" i="12"/>
  <c r="AK1072" i="12"/>
  <c r="AK1073" i="12"/>
  <c r="AK1074" i="12"/>
  <c r="AK1075" i="12"/>
  <c r="AK1076" i="12"/>
  <c r="AK1077" i="12"/>
  <c r="AK1078" i="12"/>
  <c r="AK1079" i="12"/>
  <c r="AK1080" i="12"/>
  <c r="AK1081" i="12"/>
  <c r="AK1082" i="12"/>
  <c r="AK1083" i="12"/>
  <c r="AK1084" i="12"/>
  <c r="AK1085" i="12"/>
  <c r="AK1086" i="12"/>
  <c r="AK1087" i="12"/>
  <c r="AK1088" i="12"/>
  <c r="AK1089" i="12"/>
  <c r="AK1090" i="12"/>
  <c r="AK1091" i="12"/>
  <c r="AK1092" i="12"/>
  <c r="AK1093" i="12"/>
  <c r="AK1094" i="12"/>
  <c r="AK1095" i="12"/>
  <c r="AK1096" i="12"/>
  <c r="AK1097" i="12"/>
  <c r="AK1098" i="12"/>
  <c r="AK1099" i="12"/>
  <c r="AK1100" i="12"/>
  <c r="AK1101" i="12"/>
  <c r="AK1102" i="12"/>
  <c r="AK1103" i="12"/>
  <c r="AK1104" i="12"/>
  <c r="AK1105" i="12"/>
  <c r="AK1106" i="12"/>
  <c r="AK1107" i="12"/>
  <c r="AK1108" i="12"/>
  <c r="AK1109" i="12"/>
  <c r="AK1110" i="12"/>
  <c r="AK1111" i="12"/>
  <c r="AK1112" i="12"/>
  <c r="AK1113" i="12"/>
  <c r="AK1114" i="12"/>
  <c r="AK1115" i="12"/>
  <c r="AK1116" i="12"/>
  <c r="AK1117" i="12"/>
  <c r="AK1118" i="12"/>
  <c r="AK1119" i="12"/>
  <c r="AK1120" i="12"/>
  <c r="AK1121" i="12"/>
  <c r="AK1122" i="12"/>
  <c r="AK1123" i="12"/>
  <c r="AK1124" i="12"/>
  <c r="AK1125" i="12"/>
  <c r="AK1126" i="12"/>
  <c r="AK1127" i="12"/>
  <c r="AK1128" i="12"/>
  <c r="AK1129" i="12"/>
  <c r="AK1130" i="12"/>
  <c r="AK1131" i="12"/>
  <c r="AK1132" i="12"/>
  <c r="AK1133" i="12"/>
  <c r="AK1136" i="12"/>
  <c r="AK1137" i="12"/>
  <c r="AK1140" i="12"/>
  <c r="AK1141" i="12"/>
  <c r="AK1142" i="12"/>
  <c r="AK1143" i="12"/>
  <c r="AK1144" i="12"/>
  <c r="AK1145" i="12"/>
  <c r="AK1146" i="12"/>
  <c r="AK1147" i="12"/>
  <c r="AK1148" i="12"/>
  <c r="AK1149" i="12"/>
  <c r="AK1150" i="12"/>
  <c r="AK1151" i="12"/>
  <c r="AK1152" i="12"/>
  <c r="AK1153" i="12"/>
  <c r="AK1154" i="12"/>
  <c r="AK1155" i="12"/>
  <c r="AK1156" i="12"/>
  <c r="AK1157" i="12"/>
  <c r="AK1158" i="12"/>
  <c r="AK1159" i="12"/>
  <c r="AJ5" i="12"/>
  <c r="AJ6" i="12"/>
  <c r="AJ7" i="12"/>
  <c r="AJ8" i="12"/>
  <c r="AJ9" i="12"/>
  <c r="AJ10" i="12"/>
  <c r="AJ11" i="12"/>
  <c r="AJ12" i="12"/>
  <c r="AJ13" i="12"/>
  <c r="AJ14" i="12"/>
  <c r="AJ15" i="12"/>
  <c r="AJ16" i="12"/>
  <c r="AJ17" i="12"/>
  <c r="AJ18" i="12"/>
  <c r="AJ19" i="12"/>
  <c r="AJ20" i="12"/>
  <c r="AJ21" i="12"/>
  <c r="AJ22" i="12"/>
  <c r="AJ23" i="12"/>
  <c r="AJ24" i="12"/>
  <c r="AJ25" i="12"/>
  <c r="AJ26" i="12"/>
  <c r="AJ27" i="12"/>
  <c r="AJ28" i="12"/>
  <c r="AJ29" i="12"/>
  <c r="AJ30" i="12"/>
  <c r="AJ31" i="12"/>
  <c r="AJ32" i="12"/>
  <c r="AJ33" i="12"/>
  <c r="AJ34" i="12"/>
  <c r="AJ35" i="12"/>
  <c r="AJ36" i="12"/>
  <c r="AJ37" i="12"/>
  <c r="AJ38" i="12"/>
  <c r="AJ39" i="12"/>
  <c r="AJ40" i="12"/>
  <c r="AJ41" i="12"/>
  <c r="AJ42" i="12"/>
  <c r="AJ43" i="12"/>
  <c r="AJ44" i="12"/>
  <c r="AJ45" i="12"/>
  <c r="AJ46" i="12"/>
  <c r="AJ47" i="12"/>
  <c r="AJ48" i="12"/>
  <c r="AJ49" i="12"/>
  <c r="AJ50" i="12"/>
  <c r="AJ51" i="12"/>
  <c r="AJ52" i="12"/>
  <c r="AJ53" i="12"/>
  <c r="AJ54" i="12"/>
  <c r="AJ55" i="12"/>
  <c r="AJ56" i="12"/>
  <c r="AJ57" i="12"/>
  <c r="AJ58" i="12"/>
  <c r="AJ59" i="12"/>
  <c r="AJ60" i="12"/>
  <c r="AJ61" i="12"/>
  <c r="AJ62" i="12"/>
  <c r="AJ63" i="12"/>
  <c r="AJ64" i="12"/>
  <c r="AJ65" i="12"/>
  <c r="AJ66" i="12"/>
  <c r="AJ67" i="12"/>
  <c r="AJ68" i="12"/>
  <c r="AJ69" i="12"/>
  <c r="AJ70" i="12"/>
  <c r="AJ71" i="12"/>
  <c r="AJ72" i="12"/>
  <c r="AJ73" i="12"/>
  <c r="AJ74" i="12"/>
  <c r="AJ75" i="12"/>
  <c r="AJ76" i="12"/>
  <c r="AJ77" i="12"/>
  <c r="AJ78" i="12"/>
  <c r="AJ79" i="12"/>
  <c r="AJ80" i="12"/>
  <c r="AJ81" i="12"/>
  <c r="AJ82" i="12"/>
  <c r="AJ83" i="12"/>
  <c r="AJ84" i="12"/>
  <c r="AJ85" i="12"/>
  <c r="AJ86" i="12"/>
  <c r="AJ87" i="12"/>
  <c r="AJ88" i="12"/>
  <c r="AJ89" i="12"/>
  <c r="AJ90" i="12"/>
  <c r="AJ91" i="12"/>
  <c r="AJ92" i="12"/>
  <c r="AJ93" i="12"/>
  <c r="AJ94" i="12"/>
  <c r="AJ95" i="12"/>
  <c r="AJ96" i="12"/>
  <c r="AJ97" i="12"/>
  <c r="AJ98" i="12"/>
  <c r="AJ99" i="12"/>
  <c r="AJ100" i="12"/>
  <c r="AJ101" i="12"/>
  <c r="AJ102" i="12"/>
  <c r="AJ103" i="12"/>
  <c r="AJ104" i="12"/>
  <c r="AJ105" i="12"/>
  <c r="AJ106" i="12"/>
  <c r="AJ107" i="12"/>
  <c r="AJ108" i="12"/>
  <c r="AJ109" i="12"/>
  <c r="AJ110" i="12"/>
  <c r="AJ111" i="12"/>
  <c r="AJ112" i="12"/>
  <c r="AJ113" i="12"/>
  <c r="AJ114" i="12"/>
  <c r="AJ115" i="12"/>
  <c r="AJ116" i="12"/>
  <c r="AJ117" i="12"/>
  <c r="AJ118" i="12"/>
  <c r="AJ119" i="12"/>
  <c r="AJ120" i="12"/>
  <c r="AJ121" i="12"/>
  <c r="AJ122" i="12"/>
  <c r="AJ123" i="12"/>
  <c r="AJ124" i="12"/>
  <c r="AJ125" i="12"/>
  <c r="AJ126" i="12"/>
  <c r="AJ127" i="12"/>
  <c r="AJ128" i="12"/>
  <c r="AJ129" i="12"/>
  <c r="AJ130" i="12"/>
  <c r="AJ131" i="12"/>
  <c r="AJ132" i="12"/>
  <c r="AJ133" i="12"/>
  <c r="AJ134" i="12"/>
  <c r="AJ135" i="12"/>
  <c r="AJ136" i="12"/>
  <c r="AJ137" i="12"/>
  <c r="AJ138" i="12"/>
  <c r="AJ139" i="12"/>
  <c r="AJ140" i="12"/>
  <c r="AJ141" i="12"/>
  <c r="AJ142" i="12"/>
  <c r="AJ143" i="12"/>
  <c r="AJ144" i="12"/>
  <c r="AJ145" i="12"/>
  <c r="AJ146" i="12"/>
  <c r="AJ147" i="12"/>
  <c r="AJ148" i="12"/>
  <c r="AJ149" i="12"/>
  <c r="AJ150" i="12"/>
  <c r="AJ151" i="12"/>
  <c r="AJ152" i="12"/>
  <c r="AJ153" i="12"/>
  <c r="AJ154" i="12"/>
  <c r="AJ155" i="12"/>
  <c r="AJ156" i="12"/>
  <c r="AJ157" i="12"/>
  <c r="AJ158" i="12"/>
  <c r="AJ159" i="12"/>
  <c r="AJ160" i="12"/>
  <c r="AJ161" i="12"/>
  <c r="AJ162" i="12"/>
  <c r="AJ163" i="12"/>
  <c r="AJ164" i="12"/>
  <c r="AJ165" i="12"/>
  <c r="AJ166" i="12"/>
  <c r="AJ167" i="12"/>
  <c r="AJ168" i="12"/>
  <c r="AJ169" i="12"/>
  <c r="AJ170" i="12"/>
  <c r="AJ171" i="12"/>
  <c r="AJ172" i="12"/>
  <c r="AJ173" i="12"/>
  <c r="AJ174" i="12"/>
  <c r="AJ175" i="12"/>
  <c r="AJ176" i="12"/>
  <c r="AJ177" i="12"/>
  <c r="AJ178" i="12"/>
  <c r="AJ179" i="12"/>
  <c r="AJ180" i="12"/>
  <c r="AJ181" i="12"/>
  <c r="AJ182" i="12"/>
  <c r="AJ183" i="12"/>
  <c r="AJ184" i="12"/>
  <c r="AJ185" i="12"/>
  <c r="AJ186" i="12"/>
  <c r="AJ187" i="12"/>
  <c r="AJ188" i="12"/>
  <c r="AJ189" i="12"/>
  <c r="AJ190" i="12"/>
  <c r="AJ191" i="12"/>
  <c r="AJ192" i="12"/>
  <c r="AJ193" i="12"/>
  <c r="AJ194" i="12"/>
  <c r="AJ195" i="12"/>
  <c r="AJ196" i="12"/>
  <c r="AJ197" i="12"/>
  <c r="AJ198" i="12"/>
  <c r="AJ199" i="12"/>
  <c r="AJ200" i="12"/>
  <c r="AJ201" i="12"/>
  <c r="AJ202" i="12"/>
  <c r="AJ203" i="12"/>
  <c r="AJ204" i="12"/>
  <c r="AJ205" i="12"/>
  <c r="AJ206" i="12"/>
  <c r="AJ207" i="12"/>
  <c r="AJ208" i="12"/>
  <c r="AJ209" i="12"/>
  <c r="AJ210" i="12"/>
  <c r="AJ211" i="12"/>
  <c r="AJ212" i="12"/>
  <c r="AJ213" i="12"/>
  <c r="AJ214" i="12"/>
  <c r="AJ215" i="12"/>
  <c r="AJ216" i="12"/>
  <c r="AJ217" i="12"/>
  <c r="AJ218" i="12"/>
  <c r="AJ219" i="12"/>
  <c r="AJ220" i="12"/>
  <c r="AJ221" i="12"/>
  <c r="AJ222" i="12"/>
  <c r="AJ223" i="12"/>
  <c r="AJ224" i="12"/>
  <c r="AJ225" i="12"/>
  <c r="AJ226" i="12"/>
  <c r="AJ227" i="12"/>
  <c r="AJ228" i="12"/>
  <c r="AJ229" i="12"/>
  <c r="AJ230" i="12"/>
  <c r="AJ231" i="12"/>
  <c r="AJ232" i="12"/>
  <c r="AJ233" i="12"/>
  <c r="AJ234" i="12"/>
  <c r="AJ235" i="12"/>
  <c r="AJ236" i="12"/>
  <c r="AJ237" i="12"/>
  <c r="AJ238" i="12"/>
  <c r="AJ239" i="12"/>
  <c r="AJ240" i="12"/>
  <c r="AJ241" i="12"/>
  <c r="AJ242" i="12"/>
  <c r="AJ243" i="12"/>
  <c r="AJ244" i="12"/>
  <c r="AJ245" i="12"/>
  <c r="AJ246" i="12"/>
  <c r="AJ247" i="12"/>
  <c r="AJ248" i="12"/>
  <c r="AJ249" i="12"/>
  <c r="AJ250" i="12"/>
  <c r="AJ251" i="12"/>
  <c r="AJ252" i="12"/>
  <c r="AJ253" i="12"/>
  <c r="AJ254" i="12"/>
  <c r="AJ255" i="12"/>
  <c r="AJ256" i="12"/>
  <c r="AJ257" i="12"/>
  <c r="AJ258" i="12"/>
  <c r="AJ259" i="12"/>
  <c r="AJ260" i="12"/>
  <c r="AJ261" i="12"/>
  <c r="AJ262" i="12"/>
  <c r="AJ263" i="12"/>
  <c r="AJ264" i="12"/>
  <c r="AJ265" i="12"/>
  <c r="AJ266" i="12"/>
  <c r="AJ267" i="12"/>
  <c r="AJ268" i="12"/>
  <c r="AJ269" i="12"/>
  <c r="AJ270" i="12"/>
  <c r="AJ271" i="12"/>
  <c r="AJ272" i="12"/>
  <c r="AJ273" i="12"/>
  <c r="AJ274" i="12"/>
  <c r="AJ275" i="12"/>
  <c r="AJ276" i="12"/>
  <c r="AJ277" i="12"/>
  <c r="AJ278" i="12"/>
  <c r="AJ279" i="12"/>
  <c r="AJ280" i="12"/>
  <c r="AJ281" i="12"/>
  <c r="AJ282" i="12"/>
  <c r="AJ283" i="12"/>
  <c r="AJ284" i="12"/>
  <c r="AJ285" i="12"/>
  <c r="AJ286" i="12"/>
  <c r="AJ287" i="12"/>
  <c r="AJ288" i="12"/>
  <c r="AJ289" i="12"/>
  <c r="AJ290" i="12"/>
  <c r="AJ291" i="12"/>
  <c r="AJ292" i="12"/>
  <c r="AJ293" i="12"/>
  <c r="AJ294" i="12"/>
  <c r="AJ295" i="12"/>
  <c r="AJ296" i="12"/>
  <c r="AJ297" i="12"/>
  <c r="AJ298" i="12"/>
  <c r="AJ299" i="12"/>
  <c r="AJ300" i="12"/>
  <c r="AJ301" i="12"/>
  <c r="AJ302" i="12"/>
  <c r="AJ303" i="12"/>
  <c r="AJ304" i="12"/>
  <c r="AJ305" i="12"/>
  <c r="AJ306" i="12"/>
  <c r="AJ307" i="12"/>
  <c r="AJ308" i="12"/>
  <c r="AJ309" i="12"/>
  <c r="AJ310" i="12"/>
  <c r="AJ311" i="12"/>
  <c r="AJ312" i="12"/>
  <c r="AJ313" i="12"/>
  <c r="AJ314" i="12"/>
  <c r="AJ315" i="12"/>
  <c r="AJ316" i="12"/>
  <c r="AJ317" i="12"/>
  <c r="AJ318" i="12"/>
  <c r="AJ319" i="12"/>
  <c r="AJ320" i="12"/>
  <c r="AJ321" i="12"/>
  <c r="AJ322" i="12"/>
  <c r="AJ323" i="12"/>
  <c r="AJ324" i="12"/>
  <c r="AJ325" i="12"/>
  <c r="AJ326" i="12"/>
  <c r="AJ327" i="12"/>
  <c r="AJ328" i="12"/>
  <c r="AJ329" i="12"/>
  <c r="AJ330" i="12"/>
  <c r="AJ331" i="12"/>
  <c r="AJ332" i="12"/>
  <c r="AJ333" i="12"/>
  <c r="AJ334" i="12"/>
  <c r="AJ335" i="12"/>
  <c r="AJ336" i="12"/>
  <c r="AJ337" i="12"/>
  <c r="AJ338" i="12"/>
  <c r="AJ339" i="12"/>
  <c r="AJ340" i="12"/>
  <c r="AJ341" i="12"/>
  <c r="AJ342" i="12"/>
  <c r="AJ343" i="12"/>
  <c r="AJ344" i="12"/>
  <c r="AJ345" i="12"/>
  <c r="AJ346" i="12"/>
  <c r="AJ347" i="12"/>
  <c r="AJ348" i="12"/>
  <c r="AJ349" i="12"/>
  <c r="AJ350" i="12"/>
  <c r="AJ351" i="12"/>
  <c r="AJ352" i="12"/>
  <c r="AJ353" i="12"/>
  <c r="AJ354" i="12"/>
  <c r="AJ355" i="12"/>
  <c r="AJ356" i="12"/>
  <c r="AJ357" i="12"/>
  <c r="AJ358" i="12"/>
  <c r="AJ359" i="12"/>
  <c r="AJ360" i="12"/>
  <c r="AJ361" i="12"/>
  <c r="AJ362" i="12"/>
  <c r="AJ363" i="12"/>
  <c r="AJ364" i="12"/>
  <c r="AJ365" i="12"/>
  <c r="AJ366" i="12"/>
  <c r="AJ367" i="12"/>
  <c r="AJ368" i="12"/>
  <c r="AJ369" i="12"/>
  <c r="AJ370" i="12"/>
  <c r="AJ371" i="12"/>
  <c r="AJ372" i="12"/>
  <c r="AJ373" i="12"/>
  <c r="AJ374" i="12"/>
  <c r="AJ375" i="12"/>
  <c r="AJ376" i="12"/>
  <c r="AJ377" i="12"/>
  <c r="AJ378" i="12"/>
  <c r="AJ379" i="12"/>
  <c r="AJ380" i="12"/>
  <c r="AJ381" i="12"/>
  <c r="AJ382" i="12"/>
  <c r="AJ383" i="12"/>
  <c r="AJ384" i="12"/>
  <c r="AJ385" i="12"/>
  <c r="AJ386" i="12"/>
  <c r="AJ387" i="12"/>
  <c r="AJ388" i="12"/>
  <c r="AJ389" i="12"/>
  <c r="AJ390" i="12"/>
  <c r="AJ391" i="12"/>
  <c r="AJ392" i="12"/>
  <c r="AJ393" i="12"/>
  <c r="AJ394" i="12"/>
  <c r="AJ395" i="12"/>
  <c r="AJ396" i="12"/>
  <c r="AJ397" i="12"/>
  <c r="AJ398" i="12"/>
  <c r="AJ399" i="12"/>
  <c r="AJ400" i="12"/>
  <c r="AJ401" i="12"/>
  <c r="AJ402" i="12"/>
  <c r="AJ403" i="12"/>
  <c r="AJ404" i="12"/>
  <c r="AJ405" i="12"/>
  <c r="AJ406" i="12"/>
  <c r="AJ407" i="12"/>
  <c r="AJ408" i="12"/>
  <c r="AJ409" i="12"/>
  <c r="AJ410" i="12"/>
  <c r="AJ411" i="12"/>
  <c r="AJ412" i="12"/>
  <c r="AJ413" i="12"/>
  <c r="AJ414" i="12"/>
  <c r="AJ415" i="12"/>
  <c r="AJ416" i="12"/>
  <c r="AJ417" i="12"/>
  <c r="AJ418" i="12"/>
  <c r="AJ419" i="12"/>
  <c r="AJ420" i="12"/>
  <c r="AJ421" i="12"/>
  <c r="AJ422" i="12"/>
  <c r="AJ423" i="12"/>
  <c r="AJ424" i="12"/>
  <c r="AJ425" i="12"/>
  <c r="AJ426" i="12"/>
  <c r="AJ427" i="12"/>
  <c r="AJ428" i="12"/>
  <c r="AJ429" i="12"/>
  <c r="AJ430" i="12"/>
  <c r="AJ431" i="12"/>
  <c r="AJ432" i="12"/>
  <c r="AJ433" i="12"/>
  <c r="AJ434" i="12"/>
  <c r="AJ435" i="12"/>
  <c r="AJ436" i="12"/>
  <c r="AJ437" i="12"/>
  <c r="AJ438" i="12"/>
  <c r="AJ439" i="12"/>
  <c r="AJ440" i="12"/>
  <c r="AJ441" i="12"/>
  <c r="AJ442" i="12"/>
  <c r="AJ443" i="12"/>
  <c r="AJ444" i="12"/>
  <c r="AJ445" i="12"/>
  <c r="AJ446" i="12"/>
  <c r="AJ447" i="12"/>
  <c r="AJ448" i="12"/>
  <c r="AJ449" i="12"/>
  <c r="AJ450" i="12"/>
  <c r="AJ451" i="12"/>
  <c r="AJ452" i="12"/>
  <c r="AJ453" i="12"/>
  <c r="AJ454" i="12"/>
  <c r="AJ455" i="12"/>
  <c r="AJ456" i="12"/>
  <c r="AJ457" i="12"/>
  <c r="AJ458" i="12"/>
  <c r="AJ459" i="12"/>
  <c r="AJ460" i="12"/>
  <c r="AJ461" i="12"/>
  <c r="AJ462" i="12"/>
  <c r="AJ463" i="12"/>
  <c r="AJ464" i="12"/>
  <c r="AJ465" i="12"/>
  <c r="AJ466" i="12"/>
  <c r="AJ467" i="12"/>
  <c r="AJ468" i="12"/>
  <c r="AJ469" i="12"/>
  <c r="AJ470" i="12"/>
  <c r="AJ471" i="12"/>
  <c r="AJ472" i="12"/>
  <c r="AJ473" i="12"/>
  <c r="AJ474" i="12"/>
  <c r="AJ475" i="12"/>
  <c r="AJ476" i="12"/>
  <c r="AJ477" i="12"/>
  <c r="AJ478" i="12"/>
  <c r="AJ479" i="12"/>
  <c r="AJ480" i="12"/>
  <c r="AJ481" i="12"/>
  <c r="AJ482" i="12"/>
  <c r="AJ483" i="12"/>
  <c r="AJ484" i="12"/>
  <c r="AJ485" i="12"/>
  <c r="AJ486" i="12"/>
  <c r="AJ487" i="12"/>
  <c r="AJ488" i="12"/>
  <c r="AJ489" i="12"/>
  <c r="AJ490" i="12"/>
  <c r="AJ491" i="12"/>
  <c r="AJ492" i="12"/>
  <c r="AJ493" i="12"/>
  <c r="AJ494" i="12"/>
  <c r="AJ495" i="12"/>
  <c r="AJ496" i="12"/>
  <c r="AJ497" i="12"/>
  <c r="AJ498" i="12"/>
  <c r="AJ499" i="12"/>
  <c r="AJ500" i="12"/>
  <c r="AJ501" i="12"/>
  <c r="AJ502" i="12"/>
  <c r="AJ503" i="12"/>
  <c r="AJ504" i="12"/>
  <c r="AJ505" i="12"/>
  <c r="AJ506" i="12"/>
  <c r="AJ507" i="12"/>
  <c r="AJ508" i="12"/>
  <c r="AJ509" i="12"/>
  <c r="AJ510" i="12"/>
  <c r="AJ511" i="12"/>
  <c r="AJ512" i="12"/>
  <c r="AJ513" i="12"/>
  <c r="AJ514" i="12"/>
  <c r="AJ515" i="12"/>
  <c r="AJ516" i="12"/>
  <c r="AJ517" i="12"/>
  <c r="AJ518" i="12"/>
  <c r="AJ519" i="12"/>
  <c r="AJ520" i="12"/>
  <c r="AJ521" i="12"/>
  <c r="AJ522" i="12"/>
  <c r="AJ523" i="12"/>
  <c r="AJ524" i="12"/>
  <c r="AJ525" i="12"/>
  <c r="AJ526" i="12"/>
  <c r="AJ527" i="12"/>
  <c r="AJ528" i="12"/>
  <c r="AJ529" i="12"/>
  <c r="AJ530" i="12"/>
  <c r="AJ531" i="12"/>
  <c r="AJ532" i="12"/>
  <c r="AJ533" i="12"/>
  <c r="AJ534" i="12"/>
  <c r="AJ535" i="12"/>
  <c r="AJ536" i="12"/>
  <c r="AJ537" i="12"/>
  <c r="AJ538" i="12"/>
  <c r="AJ539" i="12"/>
  <c r="AJ540" i="12"/>
  <c r="AJ541" i="12"/>
  <c r="AJ542" i="12"/>
  <c r="AJ543" i="12"/>
  <c r="AJ544" i="12"/>
  <c r="AJ545" i="12"/>
  <c r="AJ546" i="12"/>
  <c r="AJ547" i="12"/>
  <c r="AJ548" i="12"/>
  <c r="AJ549" i="12"/>
  <c r="AJ550" i="12"/>
  <c r="AJ551" i="12"/>
  <c r="AJ552" i="12"/>
  <c r="AJ553" i="12"/>
  <c r="AJ554" i="12"/>
  <c r="AJ555" i="12"/>
  <c r="AJ556" i="12"/>
  <c r="AJ557" i="12"/>
  <c r="AJ558" i="12"/>
  <c r="AJ559" i="12"/>
  <c r="AJ560" i="12"/>
  <c r="AJ561" i="12"/>
  <c r="AJ562" i="12"/>
  <c r="AJ563" i="12"/>
  <c r="AJ564" i="12"/>
  <c r="AJ565" i="12"/>
  <c r="AJ566" i="12"/>
  <c r="AJ567" i="12"/>
  <c r="AJ568" i="12"/>
  <c r="AJ569" i="12"/>
  <c r="AJ570" i="12"/>
  <c r="AJ571" i="12"/>
  <c r="AJ572" i="12"/>
  <c r="AJ573" i="12"/>
  <c r="AJ574" i="12"/>
  <c r="AJ575" i="12"/>
  <c r="AJ576" i="12"/>
  <c r="AJ577" i="12"/>
  <c r="AJ578" i="12"/>
  <c r="AJ579" i="12"/>
  <c r="AJ580" i="12"/>
  <c r="AJ581" i="12"/>
  <c r="AJ582" i="12"/>
  <c r="AJ583" i="12"/>
  <c r="AJ584" i="12"/>
  <c r="AJ585" i="12"/>
  <c r="AJ586" i="12"/>
  <c r="AJ587" i="12"/>
  <c r="AJ588" i="12"/>
  <c r="AJ589" i="12"/>
  <c r="AJ590" i="12"/>
  <c r="AJ591" i="12"/>
  <c r="AJ592" i="12"/>
  <c r="AJ593" i="12"/>
  <c r="AJ594" i="12"/>
  <c r="AJ595" i="12"/>
  <c r="AJ596" i="12"/>
  <c r="AJ597" i="12"/>
  <c r="AJ598" i="12"/>
  <c r="AJ599" i="12"/>
  <c r="AJ600" i="12"/>
  <c r="AJ601" i="12"/>
  <c r="AJ602" i="12"/>
  <c r="AJ603" i="12"/>
  <c r="AJ604" i="12"/>
  <c r="AJ605" i="12"/>
  <c r="AJ606" i="12"/>
  <c r="AJ607" i="12"/>
  <c r="AJ608" i="12"/>
  <c r="AJ609" i="12"/>
  <c r="AJ610" i="12"/>
  <c r="AJ611" i="12"/>
  <c r="AJ612" i="12"/>
  <c r="AJ613" i="12"/>
  <c r="AJ614" i="12"/>
  <c r="AJ615" i="12"/>
  <c r="AJ616" i="12"/>
  <c r="AJ617" i="12"/>
  <c r="AJ618" i="12"/>
  <c r="AJ619" i="12"/>
  <c r="AJ620" i="12"/>
  <c r="AJ621" i="12"/>
  <c r="AJ622" i="12"/>
  <c r="AJ623" i="12"/>
  <c r="AJ624" i="12"/>
  <c r="AJ625" i="12"/>
  <c r="AJ626" i="12"/>
  <c r="AJ627" i="12"/>
  <c r="AJ628" i="12"/>
  <c r="AJ629" i="12"/>
  <c r="AJ630" i="12"/>
  <c r="AJ631" i="12"/>
  <c r="AJ632" i="12"/>
  <c r="AJ633" i="12"/>
  <c r="AJ634" i="12"/>
  <c r="AJ635" i="12"/>
  <c r="AJ636" i="12"/>
  <c r="AJ637" i="12"/>
  <c r="AJ638" i="12"/>
  <c r="AJ639" i="12"/>
  <c r="AJ640" i="12"/>
  <c r="AJ641" i="12"/>
  <c r="AJ642" i="12"/>
  <c r="AJ643" i="12"/>
  <c r="AJ644" i="12"/>
  <c r="AJ645" i="12"/>
  <c r="AJ646" i="12"/>
  <c r="AJ647" i="12"/>
  <c r="AJ648" i="12"/>
  <c r="AJ649" i="12"/>
  <c r="AJ650" i="12"/>
  <c r="AJ651" i="12"/>
  <c r="AJ652" i="12"/>
  <c r="AJ653" i="12"/>
  <c r="AJ654" i="12"/>
  <c r="AJ655" i="12"/>
  <c r="AJ656" i="12"/>
  <c r="AJ657" i="12"/>
  <c r="AJ658" i="12"/>
  <c r="AJ659" i="12"/>
  <c r="AJ660" i="12"/>
  <c r="AJ661" i="12"/>
  <c r="AJ662" i="12"/>
  <c r="AJ663" i="12"/>
  <c r="AJ664" i="12"/>
  <c r="AJ665" i="12"/>
  <c r="AJ666" i="12"/>
  <c r="AJ667" i="12"/>
  <c r="AJ668" i="12"/>
  <c r="AJ669" i="12"/>
  <c r="AJ670" i="12"/>
  <c r="AJ671" i="12"/>
  <c r="AJ672" i="12"/>
  <c r="AJ673" i="12"/>
  <c r="AJ674" i="12"/>
  <c r="AJ675" i="12"/>
  <c r="AJ676" i="12"/>
  <c r="AJ677" i="12"/>
  <c r="AJ678" i="12"/>
  <c r="AJ679" i="12"/>
  <c r="AJ680" i="12"/>
  <c r="AJ681" i="12"/>
  <c r="AJ682" i="12"/>
  <c r="AJ683" i="12"/>
  <c r="AJ684" i="12"/>
  <c r="AJ685" i="12"/>
  <c r="AJ686" i="12"/>
  <c r="AJ687" i="12"/>
  <c r="AJ688" i="12"/>
  <c r="AJ689" i="12"/>
  <c r="AJ690" i="12"/>
  <c r="AJ691" i="12"/>
  <c r="AJ692" i="12"/>
  <c r="AJ693" i="12"/>
  <c r="AJ694" i="12"/>
  <c r="AJ695" i="12"/>
  <c r="AJ696" i="12"/>
  <c r="AJ697" i="12"/>
  <c r="AJ698" i="12"/>
  <c r="AJ699" i="12"/>
  <c r="AJ700" i="12"/>
  <c r="AJ701" i="12"/>
  <c r="AJ702" i="12"/>
  <c r="AJ703" i="12"/>
  <c r="AJ704" i="12"/>
  <c r="AJ705" i="12"/>
  <c r="AJ706" i="12"/>
  <c r="AJ707" i="12"/>
  <c r="AJ708" i="12"/>
  <c r="AJ709" i="12"/>
  <c r="AJ710" i="12"/>
  <c r="AJ711" i="12"/>
  <c r="AJ712" i="12"/>
  <c r="AJ713" i="12"/>
  <c r="AJ714" i="12"/>
  <c r="AJ715" i="12"/>
  <c r="AJ716" i="12"/>
  <c r="AJ717" i="12"/>
  <c r="AJ718" i="12"/>
  <c r="AJ730" i="12"/>
  <c r="AJ731" i="12"/>
  <c r="AJ732" i="12"/>
  <c r="AJ733" i="12"/>
  <c r="AJ734" i="12"/>
  <c r="AJ735" i="12"/>
  <c r="AJ736" i="12"/>
  <c r="AJ737" i="12"/>
  <c r="AJ738" i="12"/>
  <c r="AJ739" i="12"/>
  <c r="AJ740" i="12"/>
  <c r="AJ741" i="12"/>
  <c r="AJ742" i="12"/>
  <c r="AJ743" i="12"/>
  <c r="AJ744" i="12"/>
  <c r="AJ745" i="12"/>
  <c r="AJ746" i="12"/>
  <c r="AJ747" i="12"/>
  <c r="AJ748" i="12"/>
  <c r="AJ749" i="12"/>
  <c r="AJ750" i="12"/>
  <c r="AJ751" i="12"/>
  <c r="AJ752" i="12"/>
  <c r="AJ753" i="12"/>
  <c r="AJ754" i="12"/>
  <c r="AJ755" i="12"/>
  <c r="AJ756" i="12"/>
  <c r="AJ757" i="12"/>
  <c r="AJ758" i="12"/>
  <c r="AJ759" i="12"/>
  <c r="AJ760" i="12"/>
  <c r="AJ761" i="12"/>
  <c r="AJ762" i="12"/>
  <c r="AJ763" i="12"/>
  <c r="AJ764" i="12"/>
  <c r="AJ765" i="12"/>
  <c r="AJ766" i="12"/>
  <c r="AJ767" i="12"/>
  <c r="AJ768" i="12"/>
  <c r="AJ769" i="12"/>
  <c r="AJ770" i="12"/>
  <c r="AJ771" i="12"/>
  <c r="AJ772" i="12"/>
  <c r="AJ773" i="12"/>
  <c r="AJ774" i="12"/>
  <c r="AJ775" i="12"/>
  <c r="AJ776" i="12"/>
  <c r="AJ777" i="12"/>
  <c r="AJ778" i="12"/>
  <c r="AJ779" i="12"/>
  <c r="AJ780" i="12"/>
  <c r="AJ781" i="12"/>
  <c r="AJ782" i="12"/>
  <c r="AJ783" i="12"/>
  <c r="AJ784" i="12"/>
  <c r="AJ785" i="12"/>
  <c r="AJ786" i="12"/>
  <c r="AJ787" i="12"/>
  <c r="AJ788" i="12"/>
  <c r="AJ789" i="12"/>
  <c r="AJ790" i="12"/>
  <c r="AJ791" i="12"/>
  <c r="AJ792" i="12"/>
  <c r="AJ793" i="12"/>
  <c r="AJ794" i="12"/>
  <c r="AJ795" i="12"/>
  <c r="AJ796" i="12"/>
  <c r="AJ797" i="12"/>
  <c r="AJ798" i="12"/>
  <c r="AJ799" i="12"/>
  <c r="AJ800" i="12"/>
  <c r="AJ801" i="12"/>
  <c r="AJ802" i="12"/>
  <c r="AJ803" i="12"/>
  <c r="AJ804" i="12"/>
  <c r="AJ805" i="12"/>
  <c r="AJ806" i="12"/>
  <c r="AJ807" i="12"/>
  <c r="AJ808" i="12"/>
  <c r="AJ809" i="12"/>
  <c r="AJ810" i="12"/>
  <c r="AJ811" i="12"/>
  <c r="AJ812" i="12"/>
  <c r="AJ813" i="12"/>
  <c r="AJ814" i="12"/>
  <c r="AJ815" i="12"/>
  <c r="AJ816" i="12"/>
  <c r="AJ817" i="12"/>
  <c r="AJ818" i="12"/>
  <c r="AJ819" i="12"/>
  <c r="AJ820" i="12"/>
  <c r="AJ821" i="12"/>
  <c r="AJ822" i="12"/>
  <c r="AJ823" i="12"/>
  <c r="AJ824" i="12"/>
  <c r="AJ825" i="12"/>
  <c r="AJ826" i="12"/>
  <c r="AJ827" i="12"/>
  <c r="AJ828" i="12"/>
  <c r="AJ829" i="12"/>
  <c r="AJ830" i="12"/>
  <c r="AJ831" i="12"/>
  <c r="AJ832" i="12"/>
  <c r="AJ833" i="12"/>
  <c r="AJ834" i="12"/>
  <c r="AJ835" i="12"/>
  <c r="AJ836" i="12"/>
  <c r="AJ837" i="12"/>
  <c r="AJ838" i="12"/>
  <c r="AJ839" i="12"/>
  <c r="AJ840" i="12"/>
  <c r="AJ841" i="12"/>
  <c r="AJ842" i="12"/>
  <c r="AJ843" i="12"/>
  <c r="AJ844" i="12"/>
  <c r="AJ845" i="12"/>
  <c r="AJ846" i="12"/>
  <c r="AJ847" i="12"/>
  <c r="AJ848" i="12"/>
  <c r="AJ849" i="12"/>
  <c r="AJ850" i="12"/>
  <c r="AJ851" i="12"/>
  <c r="AJ852" i="12"/>
  <c r="AJ853" i="12"/>
  <c r="AJ854" i="12"/>
  <c r="AJ855" i="12"/>
  <c r="AJ856" i="12"/>
  <c r="AJ857" i="12"/>
  <c r="AJ858" i="12"/>
  <c r="AJ859" i="12"/>
  <c r="AJ860" i="12"/>
  <c r="AJ861" i="12"/>
  <c r="AJ862" i="12"/>
  <c r="AJ863" i="12"/>
  <c r="AJ864" i="12"/>
  <c r="AJ865" i="12"/>
  <c r="AJ866" i="12"/>
  <c r="AJ867" i="12"/>
  <c r="AJ868" i="12"/>
  <c r="AJ869" i="12"/>
  <c r="AJ870" i="12"/>
  <c r="AJ871" i="12"/>
  <c r="AJ872" i="12"/>
  <c r="AJ873" i="12"/>
  <c r="AJ874" i="12"/>
  <c r="AJ875" i="12"/>
  <c r="AJ876" i="12"/>
  <c r="AJ877" i="12"/>
  <c r="AJ878" i="12"/>
  <c r="AJ879" i="12"/>
  <c r="AJ880" i="12"/>
  <c r="AJ881" i="12"/>
  <c r="AJ882" i="12"/>
  <c r="AJ883" i="12"/>
  <c r="AJ884" i="12"/>
  <c r="AJ885" i="12"/>
  <c r="AJ886" i="12"/>
  <c r="AJ887" i="12"/>
  <c r="AJ888" i="12"/>
  <c r="AJ889" i="12"/>
  <c r="AJ890" i="12"/>
  <c r="AJ891" i="12"/>
  <c r="AJ892" i="12"/>
  <c r="AJ893" i="12"/>
  <c r="AJ894" i="12"/>
  <c r="AJ895" i="12"/>
  <c r="AJ896" i="12"/>
  <c r="AJ897" i="12"/>
  <c r="AJ898" i="12"/>
  <c r="AJ899" i="12"/>
  <c r="AJ900" i="12"/>
  <c r="AJ901" i="12"/>
  <c r="AJ902" i="12"/>
  <c r="AJ903" i="12"/>
  <c r="AJ904" i="12"/>
  <c r="AJ905" i="12"/>
  <c r="AJ906" i="12"/>
  <c r="AJ907" i="12"/>
  <c r="AJ908" i="12"/>
  <c r="AJ909" i="12"/>
  <c r="AJ910" i="12"/>
  <c r="AJ911" i="12"/>
  <c r="AJ912" i="12"/>
  <c r="AJ913" i="12"/>
  <c r="AJ914" i="12"/>
  <c r="AJ915" i="12"/>
  <c r="AJ916" i="12"/>
  <c r="AJ917" i="12"/>
  <c r="AJ918" i="12"/>
  <c r="AJ919" i="12"/>
  <c r="AJ920" i="12"/>
  <c r="AJ921" i="12"/>
  <c r="AJ922" i="12"/>
  <c r="AJ923" i="12"/>
  <c r="AJ924" i="12"/>
  <c r="AJ925" i="12"/>
  <c r="AJ926" i="12"/>
  <c r="AJ927" i="12"/>
  <c r="AJ928" i="12"/>
  <c r="AJ929" i="12"/>
  <c r="AJ930" i="12"/>
  <c r="AJ931" i="12"/>
  <c r="AJ932" i="12"/>
  <c r="AJ933" i="12"/>
  <c r="AJ934" i="12"/>
  <c r="AJ935" i="12"/>
  <c r="AJ936" i="12"/>
  <c r="AJ937" i="12"/>
  <c r="AJ938" i="12"/>
  <c r="AJ939" i="12"/>
  <c r="AJ940" i="12"/>
  <c r="AJ941" i="12"/>
  <c r="AJ942" i="12"/>
  <c r="AJ943" i="12"/>
  <c r="AJ944" i="12"/>
  <c r="AJ945" i="12"/>
  <c r="AJ946" i="12"/>
  <c r="AJ947" i="12"/>
  <c r="AJ948" i="12"/>
  <c r="AJ949" i="12"/>
  <c r="AJ950" i="12"/>
  <c r="AJ951" i="12"/>
  <c r="AJ952" i="12"/>
  <c r="AJ953" i="12"/>
  <c r="AJ954" i="12"/>
  <c r="AJ955" i="12"/>
  <c r="AJ956" i="12"/>
  <c r="AJ957" i="12"/>
  <c r="AJ958" i="12"/>
  <c r="AJ959" i="12"/>
  <c r="AJ960" i="12"/>
  <c r="AJ961" i="12"/>
  <c r="AJ962" i="12"/>
  <c r="AJ963" i="12"/>
  <c r="AJ964" i="12"/>
  <c r="AJ965" i="12"/>
  <c r="AJ966" i="12"/>
  <c r="AJ967" i="12"/>
  <c r="AJ968" i="12"/>
  <c r="AJ969" i="12"/>
  <c r="AJ970" i="12"/>
  <c r="AJ971" i="12"/>
  <c r="AJ972" i="12"/>
  <c r="AJ973" i="12"/>
  <c r="AJ974" i="12"/>
  <c r="AJ975" i="12"/>
  <c r="AJ976" i="12"/>
  <c r="AJ977" i="12"/>
  <c r="AJ978" i="12"/>
  <c r="AJ979" i="12"/>
  <c r="AJ980" i="12"/>
  <c r="AJ981" i="12"/>
  <c r="AJ982" i="12"/>
  <c r="AJ983" i="12"/>
  <c r="AJ984" i="12"/>
  <c r="AJ985" i="12"/>
  <c r="AJ986" i="12"/>
  <c r="AJ987" i="12"/>
  <c r="AJ988" i="12"/>
  <c r="AJ989" i="12"/>
  <c r="AJ990" i="12"/>
  <c r="AJ991" i="12"/>
  <c r="AJ992" i="12"/>
  <c r="AJ993" i="12"/>
  <c r="AJ994" i="12"/>
  <c r="AJ995" i="12"/>
  <c r="AJ996" i="12"/>
  <c r="AJ997" i="12"/>
  <c r="AJ998" i="12"/>
  <c r="AJ999" i="12"/>
  <c r="AJ1000" i="12"/>
  <c r="AJ1001" i="12"/>
  <c r="AJ1002" i="12"/>
  <c r="AJ1003" i="12"/>
  <c r="AJ1004" i="12"/>
  <c r="AJ1005" i="12"/>
  <c r="AJ1006" i="12"/>
  <c r="AJ1007" i="12"/>
  <c r="AJ1008" i="12"/>
  <c r="AJ1009" i="12"/>
  <c r="AJ1010" i="12"/>
  <c r="AJ1011" i="12"/>
  <c r="AJ1012" i="12"/>
  <c r="AJ1013" i="12"/>
  <c r="AJ1014" i="12"/>
  <c r="AJ1015" i="12"/>
  <c r="AJ1016" i="12"/>
  <c r="AJ1017" i="12"/>
  <c r="AJ1018" i="12"/>
  <c r="AJ1019" i="12"/>
  <c r="AJ1020" i="12"/>
  <c r="AJ1021" i="12"/>
  <c r="AJ1022" i="12"/>
  <c r="AJ1023" i="12"/>
  <c r="AJ1024" i="12"/>
  <c r="AJ1025" i="12"/>
  <c r="AJ1026" i="12"/>
  <c r="AJ1027" i="12"/>
  <c r="AJ1028" i="12"/>
  <c r="AJ1029" i="12"/>
  <c r="AJ1030" i="12"/>
  <c r="AJ1031" i="12"/>
  <c r="AJ1032" i="12"/>
  <c r="AJ1033" i="12"/>
  <c r="AJ1034" i="12"/>
  <c r="AJ1035" i="12"/>
  <c r="AJ1036" i="12"/>
  <c r="AJ1037" i="12"/>
  <c r="AJ1038" i="12"/>
  <c r="AJ1039" i="12"/>
  <c r="AJ1040" i="12"/>
  <c r="AJ1041" i="12"/>
  <c r="AJ1042" i="12"/>
  <c r="AJ1043" i="12"/>
  <c r="AJ1044" i="12"/>
  <c r="AJ1045" i="12"/>
  <c r="AJ1046" i="12"/>
  <c r="AJ1047" i="12"/>
  <c r="AJ1048" i="12"/>
  <c r="AJ1049" i="12"/>
  <c r="AJ1050" i="12"/>
  <c r="AJ1051" i="12"/>
  <c r="AJ1052" i="12"/>
  <c r="AJ1053" i="12"/>
  <c r="AJ1054" i="12"/>
  <c r="AJ1055" i="12"/>
  <c r="AJ1056" i="12"/>
  <c r="AJ1057" i="12"/>
  <c r="AJ1058" i="12"/>
  <c r="AJ1059" i="12"/>
  <c r="AJ1060" i="12"/>
  <c r="AJ1061" i="12"/>
  <c r="AJ1062" i="12"/>
  <c r="AJ1063" i="12"/>
  <c r="AJ1064" i="12"/>
  <c r="AJ1065" i="12"/>
  <c r="AJ1066" i="12"/>
  <c r="AJ1067" i="12"/>
  <c r="AJ1068" i="12"/>
  <c r="AJ1069" i="12"/>
  <c r="AJ1070" i="12"/>
  <c r="AJ1071" i="12"/>
  <c r="AJ1072" i="12"/>
  <c r="AJ1073" i="12"/>
  <c r="AJ1074" i="12"/>
  <c r="AJ1075" i="12"/>
  <c r="AJ1076" i="12"/>
  <c r="AJ1077" i="12"/>
  <c r="AJ1078" i="12"/>
  <c r="AJ1079" i="12"/>
  <c r="AJ1080" i="12"/>
  <c r="AJ1081" i="12"/>
  <c r="AJ1082" i="12"/>
  <c r="AJ1083" i="12"/>
  <c r="AJ1084" i="12"/>
  <c r="AJ1085" i="12"/>
  <c r="AJ1086" i="12"/>
  <c r="AJ1087" i="12"/>
  <c r="AJ1088" i="12"/>
  <c r="AJ1089" i="12"/>
  <c r="AJ1090" i="12"/>
  <c r="AJ1091" i="12"/>
  <c r="AJ1092" i="12"/>
  <c r="AJ1093" i="12"/>
  <c r="AJ1094" i="12"/>
  <c r="AJ1095" i="12"/>
  <c r="AJ1096" i="12"/>
  <c r="AJ1097" i="12"/>
  <c r="AJ1098" i="12"/>
  <c r="AJ1099" i="12"/>
  <c r="AJ1100" i="12"/>
  <c r="AJ1101" i="12"/>
  <c r="AJ1102" i="12"/>
  <c r="AJ1103" i="12"/>
  <c r="AJ1104" i="12"/>
  <c r="AJ1105" i="12"/>
  <c r="AJ1106" i="12"/>
  <c r="AJ1107" i="12"/>
  <c r="AJ1108" i="12"/>
  <c r="AJ1109" i="12"/>
  <c r="AJ1110" i="12"/>
  <c r="AJ1111" i="12"/>
  <c r="AJ1112" i="12"/>
  <c r="AJ1113" i="12"/>
  <c r="AJ1114" i="12"/>
  <c r="AJ1115" i="12"/>
  <c r="AJ1116" i="12"/>
  <c r="AJ1117" i="12"/>
  <c r="AJ1118" i="12"/>
  <c r="AJ1119" i="12"/>
  <c r="AJ1120" i="12"/>
  <c r="AJ1121" i="12"/>
  <c r="AJ1122" i="12"/>
  <c r="AJ1123" i="12"/>
  <c r="AJ1124" i="12"/>
  <c r="AJ1125" i="12"/>
  <c r="AJ1126" i="12"/>
  <c r="AJ1127" i="12"/>
  <c r="AJ1128" i="12"/>
  <c r="AJ1129" i="12"/>
  <c r="AJ1130" i="12"/>
  <c r="AJ1131" i="12"/>
  <c r="AJ1132" i="12"/>
  <c r="AJ1133" i="12"/>
  <c r="AJ1136" i="12"/>
  <c r="AJ1137" i="12"/>
  <c r="AJ1140" i="12"/>
  <c r="AJ1141" i="12"/>
  <c r="AJ1142" i="12"/>
  <c r="AJ1143" i="12"/>
  <c r="AJ1144" i="12"/>
  <c r="AJ1145" i="12"/>
  <c r="AJ1146" i="12"/>
  <c r="AJ1147" i="12"/>
  <c r="AJ1148" i="12"/>
  <c r="AJ1149" i="12"/>
  <c r="AJ1150" i="12"/>
  <c r="AJ1151" i="12"/>
  <c r="AJ1152" i="12"/>
  <c r="AJ1153" i="12"/>
  <c r="AJ1154" i="12"/>
  <c r="AJ1155" i="12"/>
  <c r="AJ1156" i="12"/>
  <c r="AJ1157" i="12"/>
  <c r="AJ1158" i="12"/>
  <c r="AJ1159" i="12"/>
  <c r="AI5" i="12"/>
  <c r="AI6" i="12"/>
  <c r="AI7" i="12"/>
  <c r="AI8" i="12"/>
  <c r="AI9" i="12"/>
  <c r="AI10" i="12"/>
  <c r="AI11" i="12"/>
  <c r="AI12" i="12"/>
  <c r="AI13" i="12"/>
  <c r="AI14" i="12"/>
  <c r="AI15" i="12"/>
  <c r="AI16" i="12"/>
  <c r="AI17" i="12"/>
  <c r="AI18" i="12"/>
  <c r="AI19" i="12"/>
  <c r="AI20" i="12"/>
  <c r="AI21" i="12"/>
  <c r="AI22" i="12"/>
  <c r="AI23" i="12"/>
  <c r="AI24" i="12"/>
  <c r="AI25" i="12"/>
  <c r="AI26" i="12"/>
  <c r="AI27" i="12"/>
  <c r="AI28" i="12"/>
  <c r="AI29" i="12"/>
  <c r="AI30" i="12"/>
  <c r="AI31" i="12"/>
  <c r="AI32" i="12"/>
  <c r="AI33" i="12"/>
  <c r="AI34" i="12"/>
  <c r="AI35" i="12"/>
  <c r="AI36" i="12"/>
  <c r="AI37" i="12"/>
  <c r="AI38" i="12"/>
  <c r="AI39" i="12"/>
  <c r="AI40" i="12"/>
  <c r="AI41" i="12"/>
  <c r="AI42" i="12"/>
  <c r="AI43" i="12"/>
  <c r="AI44" i="12"/>
  <c r="AI45" i="12"/>
  <c r="AI46" i="12"/>
  <c r="AI47" i="12"/>
  <c r="AI48" i="12"/>
  <c r="AI49" i="12"/>
  <c r="AI50" i="12"/>
  <c r="AI51" i="12"/>
  <c r="AI52" i="12"/>
  <c r="AI53" i="12"/>
  <c r="AI54" i="12"/>
  <c r="AI55" i="12"/>
  <c r="AI56" i="12"/>
  <c r="AI57" i="12"/>
  <c r="AI58" i="12"/>
  <c r="AI59" i="12"/>
  <c r="AI60" i="12"/>
  <c r="AI61" i="12"/>
  <c r="AI62" i="12"/>
  <c r="AI63" i="12"/>
  <c r="AI64" i="12"/>
  <c r="AI65" i="12"/>
  <c r="AI66" i="12"/>
  <c r="AI67" i="12"/>
  <c r="AI68" i="12"/>
  <c r="AI69" i="12"/>
  <c r="AI70" i="12"/>
  <c r="AI71" i="12"/>
  <c r="AI72" i="12"/>
  <c r="AI73" i="12"/>
  <c r="AI74" i="12"/>
  <c r="AI75" i="12"/>
  <c r="AI76" i="12"/>
  <c r="AI77" i="12"/>
  <c r="AI78" i="12"/>
  <c r="AI79" i="12"/>
  <c r="AI80" i="12"/>
  <c r="AI81" i="12"/>
  <c r="AI82" i="12"/>
  <c r="AI83" i="12"/>
  <c r="AI84" i="12"/>
  <c r="AI85" i="12"/>
  <c r="AI86" i="12"/>
  <c r="AI87" i="12"/>
  <c r="AI88" i="12"/>
  <c r="AI89" i="12"/>
  <c r="AI90" i="12"/>
  <c r="AI91" i="12"/>
  <c r="AI92" i="12"/>
  <c r="AI93" i="12"/>
  <c r="AI94" i="12"/>
  <c r="AI95" i="12"/>
  <c r="AI96" i="12"/>
  <c r="AI97" i="12"/>
  <c r="AI98" i="12"/>
  <c r="AI99" i="12"/>
  <c r="AI100" i="12"/>
  <c r="AI101" i="12"/>
  <c r="AI102" i="12"/>
  <c r="AI103" i="12"/>
  <c r="AI104" i="12"/>
  <c r="AI105" i="12"/>
  <c r="AI106" i="12"/>
  <c r="AI107" i="12"/>
  <c r="AI108" i="12"/>
  <c r="AI109" i="12"/>
  <c r="AI110" i="12"/>
  <c r="AI111" i="12"/>
  <c r="AI112" i="12"/>
  <c r="AI113" i="12"/>
  <c r="AI114" i="12"/>
  <c r="AI115" i="12"/>
  <c r="AI116" i="12"/>
  <c r="AI117" i="12"/>
  <c r="AI118" i="12"/>
  <c r="AI119" i="12"/>
  <c r="AI120" i="12"/>
  <c r="AI121" i="12"/>
  <c r="AI122" i="12"/>
  <c r="AI123" i="12"/>
  <c r="AI124" i="12"/>
  <c r="AI125" i="12"/>
  <c r="AI126" i="12"/>
  <c r="AI127" i="12"/>
  <c r="AI128" i="12"/>
  <c r="AI129" i="12"/>
  <c r="AI130" i="12"/>
  <c r="AI131" i="12"/>
  <c r="AI132" i="12"/>
  <c r="AI133" i="12"/>
  <c r="AI134" i="12"/>
  <c r="AI135" i="12"/>
  <c r="AI136" i="12"/>
  <c r="AI137" i="12"/>
  <c r="AI138" i="12"/>
  <c r="AI139" i="12"/>
  <c r="AI140" i="12"/>
  <c r="AI141" i="12"/>
  <c r="AI142" i="12"/>
  <c r="AI143" i="12"/>
  <c r="AI144" i="12"/>
  <c r="AI145" i="12"/>
  <c r="AI146" i="12"/>
  <c r="AI147" i="12"/>
  <c r="AI148" i="12"/>
  <c r="AI149" i="12"/>
  <c r="AI150" i="12"/>
  <c r="AI151" i="12"/>
  <c r="AI152" i="12"/>
  <c r="AI153" i="12"/>
  <c r="AI154" i="12"/>
  <c r="AI155" i="12"/>
  <c r="AI156" i="12"/>
  <c r="AI157" i="12"/>
  <c r="AI158" i="12"/>
  <c r="AI159" i="12"/>
  <c r="AI160" i="12"/>
  <c r="AI161" i="12"/>
  <c r="AI162" i="12"/>
  <c r="AI163" i="12"/>
  <c r="AI164" i="12"/>
  <c r="AI165" i="12"/>
  <c r="AI166" i="12"/>
  <c r="AI167" i="12"/>
  <c r="AI168" i="12"/>
  <c r="AI169" i="12"/>
  <c r="AI170" i="12"/>
  <c r="AI171" i="12"/>
  <c r="AI172" i="12"/>
  <c r="AI173" i="12"/>
  <c r="AI174" i="12"/>
  <c r="AI175" i="12"/>
  <c r="AI176" i="12"/>
  <c r="AI177" i="12"/>
  <c r="AI178" i="12"/>
  <c r="AI179" i="12"/>
  <c r="AI180" i="12"/>
  <c r="AI181" i="12"/>
  <c r="AI182" i="12"/>
  <c r="AI183" i="12"/>
  <c r="AI184" i="12"/>
  <c r="AI185" i="12"/>
  <c r="AI186" i="12"/>
  <c r="AI187" i="12"/>
  <c r="AI188" i="12"/>
  <c r="AI189" i="12"/>
  <c r="AI190" i="12"/>
  <c r="AI191" i="12"/>
  <c r="AI192" i="12"/>
  <c r="AI193" i="12"/>
  <c r="AI194" i="12"/>
  <c r="AI195" i="12"/>
  <c r="AI196" i="12"/>
  <c r="AI197" i="12"/>
  <c r="AI198" i="12"/>
  <c r="AI199" i="12"/>
  <c r="AI200" i="12"/>
  <c r="AI201" i="12"/>
  <c r="AI202" i="12"/>
  <c r="AI203" i="12"/>
  <c r="AI204" i="12"/>
  <c r="AI205" i="12"/>
  <c r="AI206" i="12"/>
  <c r="AI207" i="12"/>
  <c r="AI208" i="12"/>
  <c r="AI209" i="12"/>
  <c r="AI210" i="12"/>
  <c r="AI211" i="12"/>
  <c r="AI212" i="12"/>
  <c r="AI213" i="12"/>
  <c r="AI214" i="12"/>
  <c r="AI215" i="12"/>
  <c r="AI216" i="12"/>
  <c r="AI217" i="12"/>
  <c r="AI218" i="12"/>
  <c r="AI219" i="12"/>
  <c r="AI220" i="12"/>
  <c r="AI221" i="12"/>
  <c r="AI222" i="12"/>
  <c r="AI223" i="12"/>
  <c r="AI224" i="12"/>
  <c r="AI225" i="12"/>
  <c r="AI226" i="12"/>
  <c r="AI227" i="12"/>
  <c r="AI228" i="12"/>
  <c r="AI229" i="12"/>
  <c r="AI230" i="12"/>
  <c r="AI231" i="12"/>
  <c r="AI232" i="12"/>
  <c r="AI233" i="12"/>
  <c r="AI234" i="12"/>
  <c r="AI235" i="12"/>
  <c r="AI236" i="12"/>
  <c r="AI237" i="12"/>
  <c r="AI238" i="12"/>
  <c r="AI239" i="12"/>
  <c r="AI240" i="12"/>
  <c r="AI241" i="12"/>
  <c r="AI242" i="12"/>
  <c r="AI243" i="12"/>
  <c r="AI244" i="12"/>
  <c r="AI245" i="12"/>
  <c r="AI246" i="12"/>
  <c r="AI247" i="12"/>
  <c r="AI248" i="12"/>
  <c r="AI249" i="12"/>
  <c r="AI250" i="12"/>
  <c r="AI251" i="12"/>
  <c r="AI252" i="12"/>
  <c r="AI253" i="12"/>
  <c r="AI254" i="12"/>
  <c r="AI255" i="12"/>
  <c r="AI256" i="12"/>
  <c r="AI257" i="12"/>
  <c r="AI258" i="12"/>
  <c r="AI259" i="12"/>
  <c r="AI260" i="12"/>
  <c r="AI261" i="12"/>
  <c r="AI262" i="12"/>
  <c r="AI263" i="12"/>
  <c r="AI264" i="12"/>
  <c r="AI265" i="12"/>
  <c r="AI266" i="12"/>
  <c r="AI267" i="12"/>
  <c r="AI268" i="12"/>
  <c r="AI269" i="12"/>
  <c r="AI270" i="12"/>
  <c r="AI271" i="12"/>
  <c r="AI272" i="12"/>
  <c r="AI273" i="12"/>
  <c r="AI274" i="12"/>
  <c r="AI275" i="12"/>
  <c r="AI276" i="12"/>
  <c r="AI277" i="12"/>
  <c r="AI278" i="12"/>
  <c r="AI279" i="12"/>
  <c r="AI280" i="12"/>
  <c r="AI281" i="12"/>
  <c r="AI282" i="12"/>
  <c r="AI283" i="12"/>
  <c r="AI284" i="12"/>
  <c r="AI285" i="12"/>
  <c r="AI286" i="12"/>
  <c r="AI287" i="12"/>
  <c r="AI288" i="12"/>
  <c r="AI289" i="12"/>
  <c r="AI290" i="12"/>
  <c r="AI291" i="12"/>
  <c r="AI292" i="12"/>
  <c r="AI293" i="12"/>
  <c r="AI294" i="12"/>
  <c r="AI295" i="12"/>
  <c r="AI296" i="12"/>
  <c r="AI297" i="12"/>
  <c r="AI298" i="12"/>
  <c r="AI299" i="12"/>
  <c r="AI300" i="12"/>
  <c r="AI301" i="12"/>
  <c r="AI302" i="12"/>
  <c r="AI303" i="12"/>
  <c r="AI304" i="12"/>
  <c r="AI305" i="12"/>
  <c r="AI306" i="12"/>
  <c r="AI307" i="12"/>
  <c r="AI308" i="12"/>
  <c r="AI309" i="12"/>
  <c r="AI310" i="12"/>
  <c r="AI311" i="12"/>
  <c r="AI312" i="12"/>
  <c r="AI313" i="12"/>
  <c r="AI314" i="12"/>
  <c r="AI315" i="12"/>
  <c r="AI316" i="12"/>
  <c r="AI317" i="12"/>
  <c r="AI318" i="12"/>
  <c r="AI319" i="12"/>
  <c r="AI320" i="12"/>
  <c r="AI321" i="12"/>
  <c r="AI322" i="12"/>
  <c r="AI323" i="12"/>
  <c r="AI324" i="12"/>
  <c r="AI325" i="12"/>
  <c r="AI326" i="12"/>
  <c r="AI327" i="12"/>
  <c r="AI328" i="12"/>
  <c r="AI329" i="12"/>
  <c r="AI330" i="12"/>
  <c r="AI331" i="12"/>
  <c r="AI332" i="12"/>
  <c r="AI333" i="12"/>
  <c r="AI334" i="12"/>
  <c r="AI335" i="12"/>
  <c r="AI336" i="12"/>
  <c r="AI337" i="12"/>
  <c r="AI338" i="12"/>
  <c r="AI339" i="12"/>
  <c r="AI340" i="12"/>
  <c r="AI341" i="12"/>
  <c r="AI342" i="12"/>
  <c r="AI343" i="12"/>
  <c r="AI344" i="12"/>
  <c r="AI345" i="12"/>
  <c r="AI346" i="12"/>
  <c r="AI347" i="12"/>
  <c r="AI348" i="12"/>
  <c r="AI349" i="12"/>
  <c r="AI350" i="12"/>
  <c r="AI351" i="12"/>
  <c r="AI352" i="12"/>
  <c r="AI353" i="12"/>
  <c r="AI354" i="12"/>
  <c r="AI355" i="12"/>
  <c r="AI356" i="12"/>
  <c r="AI357" i="12"/>
  <c r="AI358" i="12"/>
  <c r="AI359" i="12"/>
  <c r="AI360" i="12"/>
  <c r="AI361" i="12"/>
  <c r="AI362" i="12"/>
  <c r="AI363" i="12"/>
  <c r="AI364" i="12"/>
  <c r="AI365" i="12"/>
  <c r="AI366" i="12"/>
  <c r="AI367" i="12"/>
  <c r="AI368" i="12"/>
  <c r="AI369" i="12"/>
  <c r="AI370" i="12"/>
  <c r="AI371" i="12"/>
  <c r="AI372" i="12"/>
  <c r="AI373" i="12"/>
  <c r="AI374" i="12"/>
  <c r="AI375" i="12"/>
  <c r="AI376" i="12"/>
  <c r="AI377" i="12"/>
  <c r="AI378" i="12"/>
  <c r="AI379" i="12"/>
  <c r="AI380" i="12"/>
  <c r="AI381" i="12"/>
  <c r="AI382" i="12"/>
  <c r="AI383" i="12"/>
  <c r="AI384" i="12"/>
  <c r="AI385" i="12"/>
  <c r="AI386" i="12"/>
  <c r="AI387" i="12"/>
  <c r="AI388" i="12"/>
  <c r="AI389" i="12"/>
  <c r="AI390" i="12"/>
  <c r="AI391" i="12"/>
  <c r="AI392" i="12"/>
  <c r="AI393" i="12"/>
  <c r="AI394" i="12"/>
  <c r="AI395" i="12"/>
  <c r="AI396" i="12"/>
  <c r="AI397" i="12"/>
  <c r="AI398" i="12"/>
  <c r="AI399" i="12"/>
  <c r="AI400" i="12"/>
  <c r="AI401" i="12"/>
  <c r="AI402" i="12"/>
  <c r="AI403" i="12"/>
  <c r="AI404" i="12"/>
  <c r="AI405" i="12"/>
  <c r="AI406" i="12"/>
  <c r="AI407" i="12"/>
  <c r="AI408" i="12"/>
  <c r="AI409" i="12"/>
  <c r="AI410" i="12"/>
  <c r="AI411" i="12"/>
  <c r="AI412" i="12"/>
  <c r="AI413" i="12"/>
  <c r="AI414" i="12"/>
  <c r="AI415" i="12"/>
  <c r="AI416" i="12"/>
  <c r="AI417" i="12"/>
  <c r="AI418" i="12"/>
  <c r="AI419" i="12"/>
  <c r="AI420" i="12"/>
  <c r="AI421" i="12"/>
  <c r="AI422" i="12"/>
  <c r="AI423" i="12"/>
  <c r="AI424" i="12"/>
  <c r="AI425" i="12"/>
  <c r="AI426" i="12"/>
  <c r="AI427" i="12"/>
  <c r="AI428" i="12"/>
  <c r="AI429" i="12"/>
  <c r="AI430" i="12"/>
  <c r="AI431" i="12"/>
  <c r="AI432" i="12"/>
  <c r="AI433" i="12"/>
  <c r="AI434" i="12"/>
  <c r="AI435" i="12"/>
  <c r="AI436" i="12"/>
  <c r="AI437" i="12"/>
  <c r="AI438" i="12"/>
  <c r="AI439" i="12"/>
  <c r="AI440" i="12"/>
  <c r="AI441" i="12"/>
  <c r="AI442" i="12"/>
  <c r="AI443" i="12"/>
  <c r="AI444" i="12"/>
  <c r="AI445" i="12"/>
  <c r="AI446" i="12"/>
  <c r="AI447" i="12"/>
  <c r="AI448" i="12"/>
  <c r="AI449" i="12"/>
  <c r="AI450" i="12"/>
  <c r="AI451" i="12"/>
  <c r="AI452" i="12"/>
  <c r="AI453" i="12"/>
  <c r="AI454" i="12"/>
  <c r="AI455" i="12"/>
  <c r="AI456" i="12"/>
  <c r="AI457" i="12"/>
  <c r="AI458" i="12"/>
  <c r="AI459" i="12"/>
  <c r="AI460" i="12"/>
  <c r="AI461" i="12"/>
  <c r="AI462" i="12"/>
  <c r="AI463" i="12"/>
  <c r="AI464" i="12"/>
  <c r="AI465" i="12"/>
  <c r="AI466" i="12"/>
  <c r="AI467" i="12"/>
  <c r="AI468" i="12"/>
  <c r="AI469" i="12"/>
  <c r="AI470" i="12"/>
  <c r="AI471" i="12"/>
  <c r="AI472" i="12"/>
  <c r="AI473" i="12"/>
  <c r="AI474" i="12"/>
  <c r="AI475" i="12"/>
  <c r="AI476" i="12"/>
  <c r="AI477" i="12"/>
  <c r="AI478" i="12"/>
  <c r="AI479" i="12"/>
  <c r="AI480" i="12"/>
  <c r="AI481" i="12"/>
  <c r="AI482" i="12"/>
  <c r="AI483" i="12"/>
  <c r="AI484" i="12"/>
  <c r="AI485" i="12"/>
  <c r="AI486" i="12"/>
  <c r="AI487" i="12"/>
  <c r="AI488" i="12"/>
  <c r="AI489" i="12"/>
  <c r="AI490" i="12"/>
  <c r="AI491" i="12"/>
  <c r="AI492" i="12"/>
  <c r="AI493" i="12"/>
  <c r="AI494" i="12"/>
  <c r="AI495" i="12"/>
  <c r="AI496" i="12"/>
  <c r="AI497" i="12"/>
  <c r="AI498" i="12"/>
  <c r="AI499" i="12"/>
  <c r="AI500" i="12"/>
  <c r="AI501" i="12"/>
  <c r="AI502" i="12"/>
  <c r="AI503" i="12"/>
  <c r="AI504" i="12"/>
  <c r="AI505" i="12"/>
  <c r="AI506" i="12"/>
  <c r="AI507" i="12"/>
  <c r="AI508" i="12"/>
  <c r="AI509" i="12"/>
  <c r="AI510" i="12"/>
  <c r="AI511" i="12"/>
  <c r="AI512" i="12"/>
  <c r="AI513" i="12"/>
  <c r="AI514" i="12"/>
  <c r="AI515" i="12"/>
  <c r="AI516" i="12"/>
  <c r="AI517" i="12"/>
  <c r="AI518" i="12"/>
  <c r="AI519" i="12"/>
  <c r="AI520" i="12"/>
  <c r="AI521" i="12"/>
  <c r="AI522" i="12"/>
  <c r="AI523" i="12"/>
  <c r="AI524" i="12"/>
  <c r="AI525" i="12"/>
  <c r="AI526" i="12"/>
  <c r="AI527" i="12"/>
  <c r="AI528" i="12"/>
  <c r="AI529" i="12"/>
  <c r="AI530" i="12"/>
  <c r="AI531" i="12"/>
  <c r="AI532" i="12"/>
  <c r="AI533" i="12"/>
  <c r="AI534" i="12"/>
  <c r="AI535" i="12"/>
  <c r="AI536" i="12"/>
  <c r="AI537" i="12"/>
  <c r="AI538" i="12"/>
  <c r="AI539" i="12"/>
  <c r="AI540" i="12"/>
  <c r="AI541" i="12"/>
  <c r="AI542" i="12"/>
  <c r="AI543" i="12"/>
  <c r="AI544" i="12"/>
  <c r="AI545" i="12"/>
  <c r="AI546" i="12"/>
  <c r="AI547" i="12"/>
  <c r="AI548" i="12"/>
  <c r="AI549" i="12"/>
  <c r="AI550" i="12"/>
  <c r="AI551" i="12"/>
  <c r="AI552" i="12"/>
  <c r="AI553" i="12"/>
  <c r="AI554" i="12"/>
  <c r="AI555" i="12"/>
  <c r="AI556" i="12"/>
  <c r="AI557" i="12"/>
  <c r="AI558" i="12"/>
  <c r="AI559" i="12"/>
  <c r="AI560" i="12"/>
  <c r="AI561" i="12"/>
  <c r="AI562" i="12"/>
  <c r="AI563" i="12"/>
  <c r="AI564" i="12"/>
  <c r="AI565" i="12"/>
  <c r="AI566" i="12"/>
  <c r="AI567" i="12"/>
  <c r="AI568" i="12"/>
  <c r="AI569" i="12"/>
  <c r="AI570" i="12"/>
  <c r="AI571" i="12"/>
  <c r="AI572" i="12"/>
  <c r="AI573" i="12"/>
  <c r="AI574" i="12"/>
  <c r="AI575" i="12"/>
  <c r="AI576" i="12"/>
  <c r="AI577" i="12"/>
  <c r="AI578" i="12"/>
  <c r="AI579" i="12"/>
  <c r="AI580" i="12"/>
  <c r="AI581" i="12"/>
  <c r="AI582" i="12"/>
  <c r="AI583" i="12"/>
  <c r="AI584" i="12"/>
  <c r="AI585" i="12"/>
  <c r="AI586" i="12"/>
  <c r="AI587" i="12"/>
  <c r="AI588" i="12"/>
  <c r="AI589" i="12"/>
  <c r="AI590" i="12"/>
  <c r="AI591" i="12"/>
  <c r="AI592" i="12"/>
  <c r="AI593" i="12"/>
  <c r="AI594" i="12"/>
  <c r="AI595" i="12"/>
  <c r="AI596" i="12"/>
  <c r="AI597" i="12"/>
  <c r="AI598" i="12"/>
  <c r="AI599" i="12"/>
  <c r="AI600" i="12"/>
  <c r="AI601" i="12"/>
  <c r="AI602" i="12"/>
  <c r="AI603" i="12"/>
  <c r="AI604" i="12"/>
  <c r="AI605" i="12"/>
  <c r="AI606" i="12"/>
  <c r="AI607" i="12"/>
  <c r="AI608" i="12"/>
  <c r="AI609" i="12"/>
  <c r="AI610" i="12"/>
  <c r="AI611" i="12"/>
  <c r="AI612" i="12"/>
  <c r="AI613" i="12"/>
  <c r="AI614" i="12"/>
  <c r="AI615" i="12"/>
  <c r="AI616" i="12"/>
  <c r="AI617" i="12"/>
  <c r="AI618" i="12"/>
  <c r="AI619" i="12"/>
  <c r="AI620" i="12"/>
  <c r="AI621" i="12"/>
  <c r="AI622" i="12"/>
  <c r="AI623" i="12"/>
  <c r="AI624" i="12"/>
  <c r="AI625" i="12"/>
  <c r="AI626" i="12"/>
  <c r="AI627" i="12"/>
  <c r="AI628" i="12"/>
  <c r="AI629" i="12"/>
  <c r="AI630" i="12"/>
  <c r="AI631" i="12"/>
  <c r="AI632" i="12"/>
  <c r="AI633" i="12"/>
  <c r="AI634" i="12"/>
  <c r="AI635" i="12"/>
  <c r="AI636" i="12"/>
  <c r="AI637" i="12"/>
  <c r="AI638" i="12"/>
  <c r="AI639" i="12"/>
  <c r="AI640" i="12"/>
  <c r="AI641" i="12"/>
  <c r="AI642" i="12"/>
  <c r="AI643" i="12"/>
  <c r="AI644" i="12"/>
  <c r="AI645" i="12"/>
  <c r="AI646" i="12"/>
  <c r="AI647" i="12"/>
  <c r="AI648" i="12"/>
  <c r="AI649" i="12"/>
  <c r="AI650" i="12"/>
  <c r="AI651" i="12"/>
  <c r="AI652" i="12"/>
  <c r="AI653" i="12"/>
  <c r="AI654" i="12"/>
  <c r="AI655" i="12"/>
  <c r="AI656" i="12"/>
  <c r="AI657" i="12"/>
  <c r="AI658" i="12"/>
  <c r="AI659" i="12"/>
  <c r="AI660" i="12"/>
  <c r="AI661" i="12"/>
  <c r="AI662" i="12"/>
  <c r="AI663" i="12"/>
  <c r="AI664" i="12"/>
  <c r="AI665" i="12"/>
  <c r="AI666" i="12"/>
  <c r="AI667" i="12"/>
  <c r="AI668" i="12"/>
  <c r="AI669" i="12"/>
  <c r="AI670" i="12"/>
  <c r="AI671" i="12"/>
  <c r="AI672" i="12"/>
  <c r="AI673" i="12"/>
  <c r="AI674" i="12"/>
  <c r="AI675" i="12"/>
  <c r="AI676" i="12"/>
  <c r="AI677" i="12"/>
  <c r="AI678" i="12"/>
  <c r="AI679" i="12"/>
  <c r="AI680" i="12"/>
  <c r="AI681" i="12"/>
  <c r="AI682" i="12"/>
  <c r="AI683" i="12"/>
  <c r="AI684" i="12"/>
  <c r="AI685" i="12"/>
  <c r="AI686" i="12"/>
  <c r="AI687" i="12"/>
  <c r="AI688" i="12"/>
  <c r="AI689" i="12"/>
  <c r="AI690" i="12"/>
  <c r="AI691" i="12"/>
  <c r="AI692" i="12"/>
  <c r="AI693" i="12"/>
  <c r="AI694" i="12"/>
  <c r="AI695" i="12"/>
  <c r="AI696" i="12"/>
  <c r="AI697" i="12"/>
  <c r="AI698" i="12"/>
  <c r="AI699" i="12"/>
  <c r="AI700" i="12"/>
  <c r="AI701" i="12"/>
  <c r="AI702" i="12"/>
  <c r="AI703" i="12"/>
  <c r="AI704" i="12"/>
  <c r="AI705" i="12"/>
  <c r="AI706" i="12"/>
  <c r="AI707" i="12"/>
  <c r="AI708" i="12"/>
  <c r="AI709" i="12"/>
  <c r="AI710" i="12"/>
  <c r="AI711" i="12"/>
  <c r="AI712" i="12"/>
  <c r="AI713" i="12"/>
  <c r="AI714" i="12"/>
  <c r="AI715" i="12"/>
  <c r="AI716" i="12"/>
  <c r="AI717" i="12"/>
  <c r="AI718" i="12"/>
  <c r="AI730" i="12"/>
  <c r="AI731" i="12"/>
  <c r="AI732" i="12"/>
  <c r="AI733" i="12"/>
  <c r="AI734" i="12"/>
  <c r="AI735" i="12"/>
  <c r="AI736" i="12"/>
  <c r="AI737" i="12"/>
  <c r="AI738" i="12"/>
  <c r="AI739" i="12"/>
  <c r="AI740" i="12"/>
  <c r="AI741" i="12"/>
  <c r="AI742" i="12"/>
  <c r="AI743" i="12"/>
  <c r="AI744" i="12"/>
  <c r="AI745" i="12"/>
  <c r="AI746" i="12"/>
  <c r="AI747" i="12"/>
  <c r="AI748" i="12"/>
  <c r="AI749" i="12"/>
  <c r="AI750" i="12"/>
  <c r="AI751" i="12"/>
  <c r="AI752" i="12"/>
  <c r="AI753" i="12"/>
  <c r="AI754" i="12"/>
  <c r="AI755" i="12"/>
  <c r="AI756" i="12"/>
  <c r="AI757" i="12"/>
  <c r="AI758" i="12"/>
  <c r="AI759" i="12"/>
  <c r="AI760" i="12"/>
  <c r="AI761" i="12"/>
  <c r="AI762" i="12"/>
  <c r="AI763" i="12"/>
  <c r="AI764" i="12"/>
  <c r="AI765" i="12"/>
  <c r="AI766" i="12"/>
  <c r="AI767" i="12"/>
  <c r="AI768" i="12"/>
  <c r="AI769" i="12"/>
  <c r="AI770" i="12"/>
  <c r="AI771" i="12"/>
  <c r="AI772" i="12"/>
  <c r="AI773" i="12"/>
  <c r="AI774" i="12"/>
  <c r="AI775" i="12"/>
  <c r="AI776" i="12"/>
  <c r="AI777" i="12"/>
  <c r="AI778" i="12"/>
  <c r="AI779" i="12"/>
  <c r="AI780" i="12"/>
  <c r="AI781" i="12"/>
  <c r="AI782" i="12"/>
  <c r="AI783" i="12"/>
  <c r="AI784" i="12"/>
  <c r="AI785" i="12"/>
  <c r="AI786" i="12"/>
  <c r="AI787" i="12"/>
  <c r="AI788" i="12"/>
  <c r="AI789" i="12"/>
  <c r="AI790" i="12"/>
  <c r="AI791" i="12"/>
  <c r="AI792" i="12"/>
  <c r="AI793" i="12"/>
  <c r="AI794" i="12"/>
  <c r="AI795" i="12"/>
  <c r="AI796" i="12"/>
  <c r="AI797" i="12"/>
  <c r="AI798" i="12"/>
  <c r="AI799" i="12"/>
  <c r="AI800" i="12"/>
  <c r="AI801" i="12"/>
  <c r="AI802" i="12"/>
  <c r="AI803" i="12"/>
  <c r="AI804" i="12"/>
  <c r="AI805" i="12"/>
  <c r="AI806" i="12"/>
  <c r="AI807" i="12"/>
  <c r="AI808" i="12"/>
  <c r="AI809" i="12"/>
  <c r="AI810" i="12"/>
  <c r="AI811" i="12"/>
  <c r="AI812" i="12"/>
  <c r="AI813" i="12"/>
  <c r="AI814" i="12"/>
  <c r="AI815" i="12"/>
  <c r="AI816" i="12"/>
  <c r="AI817" i="12"/>
  <c r="AI818" i="12"/>
  <c r="AI819" i="12"/>
  <c r="AI820" i="12"/>
  <c r="AI821" i="12"/>
  <c r="AI822" i="12"/>
  <c r="AI823" i="12"/>
  <c r="AI824" i="12"/>
  <c r="AI825" i="12"/>
  <c r="AI826" i="12"/>
  <c r="AI827" i="12"/>
  <c r="AI828" i="12"/>
  <c r="AI829" i="12"/>
  <c r="AI830" i="12"/>
  <c r="AI831" i="12"/>
  <c r="AI832" i="12"/>
  <c r="AI833" i="12"/>
  <c r="AI834" i="12"/>
  <c r="AI835" i="12"/>
  <c r="AI836" i="12"/>
  <c r="AI837" i="12"/>
  <c r="AI838" i="12"/>
  <c r="AI839" i="12"/>
  <c r="AI840" i="12"/>
  <c r="AI841" i="12"/>
  <c r="AI842" i="12"/>
  <c r="AI843" i="12"/>
  <c r="AI844" i="12"/>
  <c r="AI845" i="12"/>
  <c r="AI846" i="12"/>
  <c r="AI847" i="12"/>
  <c r="AI848" i="12"/>
  <c r="AI849" i="12"/>
  <c r="AI850" i="12"/>
  <c r="AI851" i="12"/>
  <c r="AI852" i="12"/>
  <c r="AI853" i="12"/>
  <c r="AI854" i="12"/>
  <c r="AI855" i="12"/>
  <c r="AI856" i="12"/>
  <c r="AI857" i="12"/>
  <c r="AI858" i="12"/>
  <c r="AI859" i="12"/>
  <c r="AI860" i="12"/>
  <c r="AI861" i="12"/>
  <c r="AI862" i="12"/>
  <c r="AI863" i="12"/>
  <c r="AI864" i="12"/>
  <c r="AI865" i="12"/>
  <c r="AI866" i="12"/>
  <c r="AI867" i="12"/>
  <c r="AI868" i="12"/>
  <c r="AI869" i="12"/>
  <c r="AI870" i="12"/>
  <c r="AI871" i="12"/>
  <c r="AI872" i="12"/>
  <c r="AI873" i="12"/>
  <c r="AI874" i="12"/>
  <c r="AI875" i="12"/>
  <c r="AI876" i="12"/>
  <c r="AI877" i="12"/>
  <c r="AI878" i="12"/>
  <c r="AI879" i="12"/>
  <c r="AI880" i="12"/>
  <c r="AI881" i="12"/>
  <c r="AI882" i="12"/>
  <c r="AI883" i="12"/>
  <c r="AI884" i="12"/>
  <c r="AI885" i="12"/>
  <c r="AI886" i="12"/>
  <c r="AI887" i="12"/>
  <c r="AI888" i="12"/>
  <c r="AI889" i="12"/>
  <c r="AI890" i="12"/>
  <c r="AI891" i="12"/>
  <c r="AI892" i="12"/>
  <c r="AI893" i="12"/>
  <c r="AI894" i="12"/>
  <c r="AI895" i="12"/>
  <c r="AI896" i="12"/>
  <c r="AI897" i="12"/>
  <c r="AI898" i="12"/>
  <c r="AI899" i="12"/>
  <c r="AI900" i="12"/>
  <c r="AI901" i="12"/>
  <c r="AI902" i="12"/>
  <c r="AI903" i="12"/>
  <c r="AI904" i="12"/>
  <c r="AI905" i="12"/>
  <c r="AI906" i="12"/>
  <c r="AI907" i="12"/>
  <c r="AI908" i="12"/>
  <c r="AI909" i="12"/>
  <c r="AI910" i="12"/>
  <c r="AI911" i="12"/>
  <c r="AI912" i="12"/>
  <c r="AI913" i="12"/>
  <c r="AI914" i="12"/>
  <c r="AI915" i="12"/>
  <c r="AI916" i="12"/>
  <c r="AI917" i="12"/>
  <c r="AI918" i="12"/>
  <c r="AI919" i="12"/>
  <c r="AI920" i="12"/>
  <c r="AI921" i="12"/>
  <c r="AI922" i="12"/>
  <c r="AI923" i="12"/>
  <c r="AI924" i="12"/>
  <c r="AI925" i="12"/>
  <c r="AI926" i="12"/>
  <c r="AI927" i="12"/>
  <c r="AI928" i="12"/>
  <c r="AI929" i="12"/>
  <c r="AI930" i="12"/>
  <c r="AI931" i="12"/>
  <c r="AI932" i="12"/>
  <c r="AI933" i="12"/>
  <c r="AI934" i="12"/>
  <c r="AI935" i="12"/>
  <c r="AI936" i="12"/>
  <c r="AI937" i="12"/>
  <c r="AI938" i="12"/>
  <c r="AI939" i="12"/>
  <c r="AI940" i="12"/>
  <c r="AI941" i="12"/>
  <c r="AI942" i="12"/>
  <c r="AI943" i="12"/>
  <c r="AI944" i="12"/>
  <c r="AI945" i="12"/>
  <c r="AI946" i="12"/>
  <c r="AI947" i="12"/>
  <c r="AI948" i="12"/>
  <c r="AI949" i="12"/>
  <c r="AI950" i="12"/>
  <c r="AI951" i="12"/>
  <c r="AI952" i="12"/>
  <c r="AI953" i="12"/>
  <c r="AI954" i="12"/>
  <c r="AI955" i="12"/>
  <c r="AI956" i="12"/>
  <c r="AI957" i="12"/>
  <c r="AI958" i="12"/>
  <c r="AI959" i="12"/>
  <c r="AI960" i="12"/>
  <c r="AI961" i="12"/>
  <c r="AI962" i="12"/>
  <c r="AI963" i="12"/>
  <c r="AI964" i="12"/>
  <c r="AI965" i="12"/>
  <c r="AI966" i="12"/>
  <c r="AI967" i="12"/>
  <c r="AI968" i="12"/>
  <c r="AI969" i="12"/>
  <c r="AI970" i="12"/>
  <c r="AI971" i="12"/>
  <c r="AI972" i="12"/>
  <c r="AI973" i="12"/>
  <c r="AI974" i="12"/>
  <c r="AI975" i="12"/>
  <c r="AI976" i="12"/>
  <c r="AI977" i="12"/>
  <c r="AI978" i="12"/>
  <c r="AI979" i="12"/>
  <c r="AI980" i="12"/>
  <c r="AI981" i="12"/>
  <c r="AI982" i="12"/>
  <c r="AI983" i="12"/>
  <c r="AI984" i="12"/>
  <c r="AI985" i="12"/>
  <c r="AI986" i="12"/>
  <c r="AI987" i="12"/>
  <c r="AI988" i="12"/>
  <c r="AI989" i="12"/>
  <c r="AI990" i="12"/>
  <c r="AI991" i="12"/>
  <c r="AI992" i="12"/>
  <c r="AI993" i="12"/>
  <c r="AI994" i="12"/>
  <c r="AI995" i="12"/>
  <c r="AI996" i="12"/>
  <c r="AI997" i="12"/>
  <c r="AI998" i="12"/>
  <c r="AI999" i="12"/>
  <c r="AI1000" i="12"/>
  <c r="AI1001" i="12"/>
  <c r="AI1002" i="12"/>
  <c r="AI1003" i="12"/>
  <c r="AI1004" i="12"/>
  <c r="AI1005" i="12"/>
  <c r="AI1006" i="12"/>
  <c r="AI1007" i="12"/>
  <c r="AI1008" i="12"/>
  <c r="AI1009" i="12"/>
  <c r="AI1010" i="12"/>
  <c r="AI1011" i="12"/>
  <c r="AI1012" i="12"/>
  <c r="AI1013" i="12"/>
  <c r="AI1014" i="12"/>
  <c r="AI1015" i="12"/>
  <c r="AI1016" i="12"/>
  <c r="AI1017" i="12"/>
  <c r="AI1018" i="12"/>
  <c r="AI1019" i="12"/>
  <c r="AI1020" i="12"/>
  <c r="AI1021" i="12"/>
  <c r="AI1022" i="12"/>
  <c r="AI1023" i="12"/>
  <c r="AI1024" i="12"/>
  <c r="AI1025" i="12"/>
  <c r="AI1026" i="12"/>
  <c r="AI1027" i="12"/>
  <c r="AI1028" i="12"/>
  <c r="AI1029" i="12"/>
  <c r="AI1030" i="12"/>
  <c r="AI1031" i="12"/>
  <c r="AI1032" i="12"/>
  <c r="AI1033" i="12"/>
  <c r="AI1034" i="12"/>
  <c r="AI1035" i="12"/>
  <c r="AI1036" i="12"/>
  <c r="AI1037" i="12"/>
  <c r="AI1038" i="12"/>
  <c r="AI1039" i="12"/>
  <c r="AI1040" i="12"/>
  <c r="AI1041" i="12"/>
  <c r="AI1042" i="12"/>
  <c r="AI1043" i="12"/>
  <c r="AI1044" i="12"/>
  <c r="AI1045" i="12"/>
  <c r="AI1046" i="12"/>
  <c r="AI1047" i="12"/>
  <c r="AI1048" i="12"/>
  <c r="AI1049" i="12"/>
  <c r="AI1050" i="12"/>
  <c r="AI1051" i="12"/>
  <c r="AI1052" i="12"/>
  <c r="AI1053" i="12"/>
  <c r="AI1054" i="12"/>
  <c r="AI1055" i="12"/>
  <c r="AI1056" i="12"/>
  <c r="AI1057" i="12"/>
  <c r="AI1058" i="12"/>
  <c r="AI1059" i="12"/>
  <c r="AI1060" i="12"/>
  <c r="AI1061" i="12"/>
  <c r="AI1062" i="12"/>
  <c r="AI1063" i="12"/>
  <c r="AI1064" i="12"/>
  <c r="AI1065" i="12"/>
  <c r="AI1066" i="12"/>
  <c r="AI1067" i="12"/>
  <c r="AI1068" i="12"/>
  <c r="AI1069" i="12"/>
  <c r="AI1070" i="12"/>
  <c r="AI1071" i="12"/>
  <c r="AI1072" i="12"/>
  <c r="AI1073" i="12"/>
  <c r="AI1074" i="12"/>
  <c r="AI1075" i="12"/>
  <c r="AI1076" i="12"/>
  <c r="AI1077" i="12"/>
  <c r="AI1078" i="12"/>
  <c r="AI1079" i="12"/>
  <c r="AI1080" i="12"/>
  <c r="AI1081" i="12"/>
  <c r="AI1082" i="12"/>
  <c r="AI1083" i="12"/>
  <c r="AI1084" i="12"/>
  <c r="AI1085" i="12"/>
  <c r="AI1086" i="12"/>
  <c r="AI1087" i="12"/>
  <c r="AI1088" i="12"/>
  <c r="AI1089" i="12"/>
  <c r="AI1090" i="12"/>
  <c r="AI1091" i="12"/>
  <c r="AI1092" i="12"/>
  <c r="AI1093" i="12"/>
  <c r="AI1094" i="12"/>
  <c r="AI1095" i="12"/>
  <c r="AI1096" i="12"/>
  <c r="AI1097" i="12"/>
  <c r="AI1098" i="12"/>
  <c r="AI1099" i="12"/>
  <c r="AI1100" i="12"/>
  <c r="AI1101" i="12"/>
  <c r="AI1102" i="12"/>
  <c r="AI1103" i="12"/>
  <c r="AI1104" i="12"/>
  <c r="AI1105" i="12"/>
  <c r="AI1106" i="12"/>
  <c r="AI1107" i="12"/>
  <c r="AI1108" i="12"/>
  <c r="AI1109" i="12"/>
  <c r="AI1110" i="12"/>
  <c r="AI1111" i="12"/>
  <c r="AI1112" i="12"/>
  <c r="AI1113" i="12"/>
  <c r="AI1114" i="12"/>
  <c r="AI1115" i="12"/>
  <c r="AI1116" i="12"/>
  <c r="AI1117" i="12"/>
  <c r="AI1118" i="12"/>
  <c r="AI1119" i="12"/>
  <c r="AI1120" i="12"/>
  <c r="AI1121" i="12"/>
  <c r="AI1122" i="12"/>
  <c r="AI1123" i="12"/>
  <c r="AI1124" i="12"/>
  <c r="AI1125" i="12"/>
  <c r="AI1126" i="12"/>
  <c r="AI1127" i="12"/>
  <c r="AI1128" i="12"/>
  <c r="AI1129" i="12"/>
  <c r="AI1130" i="12"/>
  <c r="AI1131" i="12"/>
  <c r="AI1132" i="12"/>
  <c r="AI1133" i="12"/>
  <c r="AI1136" i="12"/>
  <c r="AI1137" i="12"/>
  <c r="AI1140" i="12"/>
  <c r="AI1141" i="12"/>
  <c r="AI1142" i="12"/>
  <c r="AI1143" i="12"/>
  <c r="AI1144" i="12"/>
  <c r="AI1145" i="12"/>
  <c r="AI1146" i="12"/>
  <c r="AI1147" i="12"/>
  <c r="AI1148" i="12"/>
  <c r="AI1149" i="12"/>
  <c r="AI1150" i="12"/>
  <c r="AI1151" i="12"/>
  <c r="AI1152" i="12"/>
  <c r="AI1153" i="12"/>
  <c r="AI1154" i="12"/>
  <c r="AI1155" i="12"/>
  <c r="AI1156" i="12"/>
  <c r="AI1157" i="12"/>
  <c r="AI1158" i="12"/>
  <c r="AI1159" i="12"/>
  <c r="AH5" i="12"/>
  <c r="AH6" i="12"/>
  <c r="AH7" i="12"/>
  <c r="AH8" i="12"/>
  <c r="AH9" i="12"/>
  <c r="AH10" i="12"/>
  <c r="AH11" i="12"/>
  <c r="AH12" i="12"/>
  <c r="AH13" i="12"/>
  <c r="AH14" i="12"/>
  <c r="AH15" i="12"/>
  <c r="AH16" i="12"/>
  <c r="AH17" i="12"/>
  <c r="AH18" i="12"/>
  <c r="AH19" i="12"/>
  <c r="AH20" i="12"/>
  <c r="AH21" i="12"/>
  <c r="AH22" i="12"/>
  <c r="AH23" i="12"/>
  <c r="AH24" i="12"/>
  <c r="AH25" i="12"/>
  <c r="AH26" i="12"/>
  <c r="AH27" i="12"/>
  <c r="AH28" i="12"/>
  <c r="AH29" i="12"/>
  <c r="AH30" i="12"/>
  <c r="AH31" i="12"/>
  <c r="AH32" i="12"/>
  <c r="AH33" i="12"/>
  <c r="AH34" i="12"/>
  <c r="AH35" i="12"/>
  <c r="AH36" i="12"/>
  <c r="AH37" i="12"/>
  <c r="AH38" i="12"/>
  <c r="AH39" i="12"/>
  <c r="AH40" i="12"/>
  <c r="AH41" i="12"/>
  <c r="AH42" i="12"/>
  <c r="AH43" i="12"/>
  <c r="AH44" i="12"/>
  <c r="AH45" i="12"/>
  <c r="AH46" i="12"/>
  <c r="AH47" i="12"/>
  <c r="AH48" i="12"/>
  <c r="AH49" i="12"/>
  <c r="AH50" i="12"/>
  <c r="AH51" i="12"/>
  <c r="AH52" i="12"/>
  <c r="AH53" i="12"/>
  <c r="AH54" i="12"/>
  <c r="AH55" i="12"/>
  <c r="AH56" i="12"/>
  <c r="AH57" i="12"/>
  <c r="AH58" i="12"/>
  <c r="AH59" i="12"/>
  <c r="AH60" i="12"/>
  <c r="AH61" i="12"/>
  <c r="AH62" i="12"/>
  <c r="AH63" i="12"/>
  <c r="AH64" i="12"/>
  <c r="AH65" i="12"/>
  <c r="AH66" i="12"/>
  <c r="AH67" i="12"/>
  <c r="AH68" i="12"/>
  <c r="AH69" i="12"/>
  <c r="AH70" i="12"/>
  <c r="AH71" i="12"/>
  <c r="AH72" i="12"/>
  <c r="AH73" i="12"/>
  <c r="AH74" i="12"/>
  <c r="AH75" i="12"/>
  <c r="AH76" i="12"/>
  <c r="AH77" i="12"/>
  <c r="AH78" i="12"/>
  <c r="AH79" i="12"/>
  <c r="AH80" i="12"/>
  <c r="AH81" i="12"/>
  <c r="AH82" i="12"/>
  <c r="AH83" i="12"/>
  <c r="AH84" i="12"/>
  <c r="AH85" i="12"/>
  <c r="AH86" i="12"/>
  <c r="AH87" i="12"/>
  <c r="AH88" i="12"/>
  <c r="AH89" i="12"/>
  <c r="AH90" i="12"/>
  <c r="AH91" i="12"/>
  <c r="AH92" i="12"/>
  <c r="AH93" i="12"/>
  <c r="AH94" i="12"/>
  <c r="AH95" i="12"/>
  <c r="AH96" i="12"/>
  <c r="AH97" i="12"/>
  <c r="AH98" i="12"/>
  <c r="AH99" i="12"/>
  <c r="AH100" i="12"/>
  <c r="AH101" i="12"/>
  <c r="AH102" i="12"/>
  <c r="AH103" i="12"/>
  <c r="AH104" i="12"/>
  <c r="AH105" i="12"/>
  <c r="AH106" i="12"/>
  <c r="AH107" i="12"/>
  <c r="AH108" i="12"/>
  <c r="AH109" i="12"/>
  <c r="AH110" i="12"/>
  <c r="AH111" i="12"/>
  <c r="AH112" i="12"/>
  <c r="AH113" i="12"/>
  <c r="AH114" i="12"/>
  <c r="AH115" i="12"/>
  <c r="AH116" i="12"/>
  <c r="AH117" i="12"/>
  <c r="AH118" i="12"/>
  <c r="AH119" i="12"/>
  <c r="AH120" i="12"/>
  <c r="AH121" i="12"/>
  <c r="AH122" i="12"/>
  <c r="AH123" i="12"/>
  <c r="AH124" i="12"/>
  <c r="AH125" i="12"/>
  <c r="AH126" i="12"/>
  <c r="AH127" i="12"/>
  <c r="AH128" i="12"/>
  <c r="AH129" i="12"/>
  <c r="AH130" i="12"/>
  <c r="AH131" i="12"/>
  <c r="AH132" i="12"/>
  <c r="AH133" i="12"/>
  <c r="AH134" i="12"/>
  <c r="AH135" i="12"/>
  <c r="AH136" i="12"/>
  <c r="AH137" i="12"/>
  <c r="AH138" i="12"/>
  <c r="AH139" i="12"/>
  <c r="AH140" i="12"/>
  <c r="AH141" i="12"/>
  <c r="AH142" i="12"/>
  <c r="AH143" i="12"/>
  <c r="AH144" i="12"/>
  <c r="AH145" i="12"/>
  <c r="AH146" i="12"/>
  <c r="AH147" i="12"/>
  <c r="AH148" i="12"/>
  <c r="AH149" i="12"/>
  <c r="AH150" i="12"/>
  <c r="AH151" i="12"/>
  <c r="AH152" i="12"/>
  <c r="AH153" i="12"/>
  <c r="AH154" i="12"/>
  <c r="AH155" i="12"/>
  <c r="AH156" i="12"/>
  <c r="AH157" i="12"/>
  <c r="AH158" i="12"/>
  <c r="AH159" i="12"/>
  <c r="AH160" i="12"/>
  <c r="AH161" i="12"/>
  <c r="AH162" i="12"/>
  <c r="AH163" i="12"/>
  <c r="AH164" i="12"/>
  <c r="AH165" i="12"/>
  <c r="AH166" i="12"/>
  <c r="AH167" i="12"/>
  <c r="AH168" i="12"/>
  <c r="AH169" i="12"/>
  <c r="AH170" i="12"/>
  <c r="AH171" i="12"/>
  <c r="AH172" i="12"/>
  <c r="AH173" i="12"/>
  <c r="AH174" i="12"/>
  <c r="AH175" i="12"/>
  <c r="AH176" i="12"/>
  <c r="AH177" i="12"/>
  <c r="AH178" i="12"/>
  <c r="AH179" i="12"/>
  <c r="AH180" i="12"/>
  <c r="AH181" i="12"/>
  <c r="AH182" i="12"/>
  <c r="AH183" i="12"/>
  <c r="AH184" i="12"/>
  <c r="AH185" i="12"/>
  <c r="AH186" i="12"/>
  <c r="AH187" i="12"/>
  <c r="AH188" i="12"/>
  <c r="AH189" i="12"/>
  <c r="AH190" i="12"/>
  <c r="AH191" i="12"/>
  <c r="AH192" i="12"/>
  <c r="AH193" i="12"/>
  <c r="AH194" i="12"/>
  <c r="AH195" i="12"/>
  <c r="AH196" i="12"/>
  <c r="AH197" i="12"/>
  <c r="AH198" i="12"/>
  <c r="AH199" i="12"/>
  <c r="AH200" i="12"/>
  <c r="AH201" i="12"/>
  <c r="AH202" i="12"/>
  <c r="AH203" i="12"/>
  <c r="AH204" i="12"/>
  <c r="AH205" i="12"/>
  <c r="AH206" i="12"/>
  <c r="AH207" i="12"/>
  <c r="AH208" i="12"/>
  <c r="AH209" i="12"/>
  <c r="AH210" i="12"/>
  <c r="AH211" i="12"/>
  <c r="AH212" i="12"/>
  <c r="AH213" i="12"/>
  <c r="AH214" i="12"/>
  <c r="AH215" i="12"/>
  <c r="AH216" i="12"/>
  <c r="AH217" i="12"/>
  <c r="AH218" i="12"/>
  <c r="AH219" i="12"/>
  <c r="AH220" i="12"/>
  <c r="AH221" i="12"/>
  <c r="AH222" i="12"/>
  <c r="AH223" i="12"/>
  <c r="AH224" i="12"/>
  <c r="AH225" i="12"/>
  <c r="AH226" i="12"/>
  <c r="AH227" i="12"/>
  <c r="AH228" i="12"/>
  <c r="AH229" i="12"/>
  <c r="AH230" i="12"/>
  <c r="AH231" i="12"/>
  <c r="AH232" i="12"/>
  <c r="AH233" i="12"/>
  <c r="AH234" i="12"/>
  <c r="AH235" i="12"/>
  <c r="AH236" i="12"/>
  <c r="AH237" i="12"/>
  <c r="AH238" i="12"/>
  <c r="AH239" i="12"/>
  <c r="AH240" i="12"/>
  <c r="AH241" i="12"/>
  <c r="AH242" i="12"/>
  <c r="AH243" i="12"/>
  <c r="AH244" i="12"/>
  <c r="AH245" i="12"/>
  <c r="AH246" i="12"/>
  <c r="AH247" i="12"/>
  <c r="AH248" i="12"/>
  <c r="AH249" i="12"/>
  <c r="AH250" i="12"/>
  <c r="AH251" i="12"/>
  <c r="AH252" i="12"/>
  <c r="AH253" i="12"/>
  <c r="AH254" i="12"/>
  <c r="AH255" i="12"/>
  <c r="AH256" i="12"/>
  <c r="AH257" i="12"/>
  <c r="AH258" i="12"/>
  <c r="AH259" i="12"/>
  <c r="AH260" i="12"/>
  <c r="AH261" i="12"/>
  <c r="AH262" i="12"/>
  <c r="AH263" i="12"/>
  <c r="AH264" i="12"/>
  <c r="AH265" i="12"/>
  <c r="AH266" i="12"/>
  <c r="AH267" i="12"/>
  <c r="AH268" i="12"/>
  <c r="AH269" i="12"/>
  <c r="AH270" i="12"/>
  <c r="AH271" i="12"/>
  <c r="AH272" i="12"/>
  <c r="AH273" i="12"/>
  <c r="AH274" i="12"/>
  <c r="AH275" i="12"/>
  <c r="AH276" i="12"/>
  <c r="AH277" i="12"/>
  <c r="AH278" i="12"/>
  <c r="AH279" i="12"/>
  <c r="AH280" i="12"/>
  <c r="AH281" i="12"/>
  <c r="AH282" i="12"/>
  <c r="AH283" i="12"/>
  <c r="AH284" i="12"/>
  <c r="AH285" i="12"/>
  <c r="AH286" i="12"/>
  <c r="AH287" i="12"/>
  <c r="AH288" i="12"/>
  <c r="AH289" i="12"/>
  <c r="AH290" i="12"/>
  <c r="AH291" i="12"/>
  <c r="AH292" i="12"/>
  <c r="AH293" i="12"/>
  <c r="AH294" i="12"/>
  <c r="AH295" i="12"/>
  <c r="AH296" i="12"/>
  <c r="AH297" i="12"/>
  <c r="AH298" i="12"/>
  <c r="AH299" i="12"/>
  <c r="AH300" i="12"/>
  <c r="AH301" i="12"/>
  <c r="AH302" i="12"/>
  <c r="AH303" i="12"/>
  <c r="AH304" i="12"/>
  <c r="AH305" i="12"/>
  <c r="AH306" i="12"/>
  <c r="AH307" i="12"/>
  <c r="AH308" i="12"/>
  <c r="AH309" i="12"/>
  <c r="AH310" i="12"/>
  <c r="AH311" i="12"/>
  <c r="AH312" i="12"/>
  <c r="AH313" i="12"/>
  <c r="AH314" i="12"/>
  <c r="AH315" i="12"/>
  <c r="AH316" i="12"/>
  <c r="AH317" i="12"/>
  <c r="AH318" i="12"/>
  <c r="AH319" i="12"/>
  <c r="AH320" i="12"/>
  <c r="AH321" i="12"/>
  <c r="AH322" i="12"/>
  <c r="AH323" i="12"/>
  <c r="AH324" i="12"/>
  <c r="AH325" i="12"/>
  <c r="AH326" i="12"/>
  <c r="AH327" i="12"/>
  <c r="AH328" i="12"/>
  <c r="AH329" i="12"/>
  <c r="AH330" i="12"/>
  <c r="AH331" i="12"/>
  <c r="AH332" i="12"/>
  <c r="AH333" i="12"/>
  <c r="AH334" i="12"/>
  <c r="AH335" i="12"/>
  <c r="AH336" i="12"/>
  <c r="AH337" i="12"/>
  <c r="AH338" i="12"/>
  <c r="AH339" i="12"/>
  <c r="AH340" i="12"/>
  <c r="AH341" i="12"/>
  <c r="AH342" i="12"/>
  <c r="AH343" i="12"/>
  <c r="AH344" i="12"/>
  <c r="AH345" i="12"/>
  <c r="AH346" i="12"/>
  <c r="AH347" i="12"/>
  <c r="AH348" i="12"/>
  <c r="AH349" i="12"/>
  <c r="AH350" i="12"/>
  <c r="AH351" i="12"/>
  <c r="AH352" i="12"/>
  <c r="AH353" i="12"/>
  <c r="AH354" i="12"/>
  <c r="AH355" i="12"/>
  <c r="AH356" i="12"/>
  <c r="AH357" i="12"/>
  <c r="AH358" i="12"/>
  <c r="AH359" i="12"/>
  <c r="AH360" i="12"/>
  <c r="AH361" i="12"/>
  <c r="AH362" i="12"/>
  <c r="AH363" i="12"/>
  <c r="AH364" i="12"/>
  <c r="AH365" i="12"/>
  <c r="AH366" i="12"/>
  <c r="AH367" i="12"/>
  <c r="AH368" i="12"/>
  <c r="AH369" i="12"/>
  <c r="AH370" i="12"/>
  <c r="AH371" i="12"/>
  <c r="AH372" i="12"/>
  <c r="AH373" i="12"/>
  <c r="AH374" i="12"/>
  <c r="AH375" i="12"/>
  <c r="AH376" i="12"/>
  <c r="AH377" i="12"/>
  <c r="AH378" i="12"/>
  <c r="AH379" i="12"/>
  <c r="AH380" i="12"/>
  <c r="AH381" i="12"/>
  <c r="AH382" i="12"/>
  <c r="AH383" i="12"/>
  <c r="AH384" i="12"/>
  <c r="AH385" i="12"/>
  <c r="AH386" i="12"/>
  <c r="AH387" i="12"/>
  <c r="AH388" i="12"/>
  <c r="AH389" i="12"/>
  <c r="AH390" i="12"/>
  <c r="AH391" i="12"/>
  <c r="AH392" i="12"/>
  <c r="AH393" i="12"/>
  <c r="AH394" i="12"/>
  <c r="AH395" i="12"/>
  <c r="AH396" i="12"/>
  <c r="AH397" i="12"/>
  <c r="AH398" i="12"/>
  <c r="AH399" i="12"/>
  <c r="AH400" i="12"/>
  <c r="AH401" i="12"/>
  <c r="AH402" i="12"/>
  <c r="AH403" i="12"/>
  <c r="AH404" i="12"/>
  <c r="AH405" i="12"/>
  <c r="AH406" i="12"/>
  <c r="AH407" i="12"/>
  <c r="AH408" i="12"/>
  <c r="AH409" i="12"/>
  <c r="AH410" i="12"/>
  <c r="AH411" i="12"/>
  <c r="AH412" i="12"/>
  <c r="AH413" i="12"/>
  <c r="AH414" i="12"/>
  <c r="AH415" i="12"/>
  <c r="AH416" i="12"/>
  <c r="AH417" i="12"/>
  <c r="AH418" i="12"/>
  <c r="AH419" i="12"/>
  <c r="AH420" i="12"/>
  <c r="AH421" i="12"/>
  <c r="AH422" i="12"/>
  <c r="AH423" i="12"/>
  <c r="AH424" i="12"/>
  <c r="AH425" i="12"/>
  <c r="AH426" i="12"/>
  <c r="AH427" i="12"/>
  <c r="AH428" i="12"/>
  <c r="AH429" i="12"/>
  <c r="AH430" i="12"/>
  <c r="AH431" i="12"/>
  <c r="AH432" i="12"/>
  <c r="AH433" i="12"/>
  <c r="AH434" i="12"/>
  <c r="AH435" i="12"/>
  <c r="AH436" i="12"/>
  <c r="AH437" i="12"/>
  <c r="AH438" i="12"/>
  <c r="AH439" i="12"/>
  <c r="AH440" i="12"/>
  <c r="AH441" i="12"/>
  <c r="AH442" i="12"/>
  <c r="AH443" i="12"/>
  <c r="AH444" i="12"/>
  <c r="AH445" i="12"/>
  <c r="AH446" i="12"/>
  <c r="AH447" i="12"/>
  <c r="AH448" i="12"/>
  <c r="AH449" i="12"/>
  <c r="AH450" i="12"/>
  <c r="AH451" i="12"/>
  <c r="AH452" i="12"/>
  <c r="AH453" i="12"/>
  <c r="AH454" i="12"/>
  <c r="AH455" i="12"/>
  <c r="AH456" i="12"/>
  <c r="AH457" i="12"/>
  <c r="AH458" i="12"/>
  <c r="AH459" i="12"/>
  <c r="AH460" i="12"/>
  <c r="AH461" i="12"/>
  <c r="AH462" i="12"/>
  <c r="AH463" i="12"/>
  <c r="AH464" i="12"/>
  <c r="AH465" i="12"/>
  <c r="AH466" i="12"/>
  <c r="AH467" i="12"/>
  <c r="AH468" i="12"/>
  <c r="AH469" i="12"/>
  <c r="AH470" i="12"/>
  <c r="AH471" i="12"/>
  <c r="AH472" i="12"/>
  <c r="AH473" i="12"/>
  <c r="AH474" i="12"/>
  <c r="AH475" i="12"/>
  <c r="AH476" i="12"/>
  <c r="AH477" i="12"/>
  <c r="AH478" i="12"/>
  <c r="AH479" i="12"/>
  <c r="AH480" i="12"/>
  <c r="AH481" i="12"/>
  <c r="AH482" i="12"/>
  <c r="AH483" i="12"/>
  <c r="AH484" i="12"/>
  <c r="AH485" i="12"/>
  <c r="AH486" i="12"/>
  <c r="AH487" i="12"/>
  <c r="AH488" i="12"/>
  <c r="AH489" i="12"/>
  <c r="AH490" i="12"/>
  <c r="AH491" i="12"/>
  <c r="AH492" i="12"/>
  <c r="AH493" i="12"/>
  <c r="AH494" i="12"/>
  <c r="AH495" i="12"/>
  <c r="AH496" i="12"/>
  <c r="AH497" i="12"/>
  <c r="AH498" i="12"/>
  <c r="AH499" i="12"/>
  <c r="AH500" i="12"/>
  <c r="AH501" i="12"/>
  <c r="AH502" i="12"/>
  <c r="AH503" i="12"/>
  <c r="AH504" i="12"/>
  <c r="AH505" i="12"/>
  <c r="AH506" i="12"/>
  <c r="AH507" i="12"/>
  <c r="AH508" i="12"/>
  <c r="AH509" i="12"/>
  <c r="AH510" i="12"/>
  <c r="AH511" i="12"/>
  <c r="AH512" i="12"/>
  <c r="AH513" i="12"/>
  <c r="AH514" i="12"/>
  <c r="AH515" i="12"/>
  <c r="AH516" i="12"/>
  <c r="AH517" i="12"/>
  <c r="AH518" i="12"/>
  <c r="AH519" i="12"/>
  <c r="AH520" i="12"/>
  <c r="AH521" i="12"/>
  <c r="AH522" i="12"/>
  <c r="AH523" i="12"/>
  <c r="AH524" i="12"/>
  <c r="AH525" i="12"/>
  <c r="AH526" i="12"/>
  <c r="AH527" i="12"/>
  <c r="AH528" i="12"/>
  <c r="AH529" i="12"/>
  <c r="AH530" i="12"/>
  <c r="AH531" i="12"/>
  <c r="AH532" i="12"/>
  <c r="AH533" i="12"/>
  <c r="AH534" i="12"/>
  <c r="AH535" i="12"/>
  <c r="AH536" i="12"/>
  <c r="AH537" i="12"/>
  <c r="AH538" i="12"/>
  <c r="AH539" i="12"/>
  <c r="AH540" i="12"/>
  <c r="AH541" i="12"/>
  <c r="AH542" i="12"/>
  <c r="AH543" i="12"/>
  <c r="AH544" i="12"/>
  <c r="AH545" i="12"/>
  <c r="AH546" i="12"/>
  <c r="AH547" i="12"/>
  <c r="AH548" i="12"/>
  <c r="AH549" i="12"/>
  <c r="AH550" i="12"/>
  <c r="AH551" i="12"/>
  <c r="AH552" i="12"/>
  <c r="AH553" i="12"/>
  <c r="AH554" i="12"/>
  <c r="AH555" i="12"/>
  <c r="AH556" i="12"/>
  <c r="AH557" i="12"/>
  <c r="AH558" i="12"/>
  <c r="AH559" i="12"/>
  <c r="AH560" i="12"/>
  <c r="AH561" i="12"/>
  <c r="AH562" i="12"/>
  <c r="AH563" i="12"/>
  <c r="AH564" i="12"/>
  <c r="AH565" i="12"/>
  <c r="AH566" i="12"/>
  <c r="AH567" i="12"/>
  <c r="AH568" i="12"/>
  <c r="AH569" i="12"/>
  <c r="AH570" i="12"/>
  <c r="AH571" i="12"/>
  <c r="AH572" i="12"/>
  <c r="AH573" i="12"/>
  <c r="AH574" i="12"/>
  <c r="AH575" i="12"/>
  <c r="AH576" i="12"/>
  <c r="AH577" i="12"/>
  <c r="AH578" i="12"/>
  <c r="AH579" i="12"/>
  <c r="AH580" i="12"/>
  <c r="AH581" i="12"/>
  <c r="AH582" i="12"/>
  <c r="AH583" i="12"/>
  <c r="AH584" i="12"/>
  <c r="AH585" i="12"/>
  <c r="AH586" i="12"/>
  <c r="AH587" i="12"/>
  <c r="AH588" i="12"/>
  <c r="AH589" i="12"/>
  <c r="AH590" i="12"/>
  <c r="AH591" i="12"/>
  <c r="AH592" i="12"/>
  <c r="AH593" i="12"/>
  <c r="AH594" i="12"/>
  <c r="AH595" i="12"/>
  <c r="AH596" i="12"/>
  <c r="AH597" i="12"/>
  <c r="AH598" i="12"/>
  <c r="AH599" i="12"/>
  <c r="AH600" i="12"/>
  <c r="AH601" i="12"/>
  <c r="AH602" i="12"/>
  <c r="AH603" i="12"/>
  <c r="AH604" i="12"/>
  <c r="AH605" i="12"/>
  <c r="AH606" i="12"/>
  <c r="AH607" i="12"/>
  <c r="AH608" i="12"/>
  <c r="AH609" i="12"/>
  <c r="AH610" i="12"/>
  <c r="AH611" i="12"/>
  <c r="AH612" i="12"/>
  <c r="AH613" i="12"/>
  <c r="AH614" i="12"/>
  <c r="AH615" i="12"/>
  <c r="AH616" i="12"/>
  <c r="AH617" i="12"/>
  <c r="AH618" i="12"/>
  <c r="AH619" i="12"/>
  <c r="AH620" i="12"/>
  <c r="AH621" i="12"/>
  <c r="AH622" i="12"/>
  <c r="AH623" i="12"/>
  <c r="AH624" i="12"/>
  <c r="AH625" i="12"/>
  <c r="AH626" i="12"/>
  <c r="AH627" i="12"/>
  <c r="AH628" i="12"/>
  <c r="AH629" i="12"/>
  <c r="AH630" i="12"/>
  <c r="AH631" i="12"/>
  <c r="AH632" i="12"/>
  <c r="AH633" i="12"/>
  <c r="AH634" i="12"/>
  <c r="AH635" i="12"/>
  <c r="AH636" i="12"/>
  <c r="AH637" i="12"/>
  <c r="AH638" i="12"/>
  <c r="AH639" i="12"/>
  <c r="AH640" i="12"/>
  <c r="AH641" i="12"/>
  <c r="AH642" i="12"/>
  <c r="AH643" i="12"/>
  <c r="AH644" i="12"/>
  <c r="AH645" i="12"/>
  <c r="AH646" i="12"/>
  <c r="AH647" i="12"/>
  <c r="AH648" i="12"/>
  <c r="AH649" i="12"/>
  <c r="AH650" i="12"/>
  <c r="AH651" i="12"/>
  <c r="AH652" i="12"/>
  <c r="AH653" i="12"/>
  <c r="AH654" i="12"/>
  <c r="AH655" i="12"/>
  <c r="AH656" i="12"/>
  <c r="AH657" i="12"/>
  <c r="AH658" i="12"/>
  <c r="AH659" i="12"/>
  <c r="AH660" i="12"/>
  <c r="AH661" i="12"/>
  <c r="AH662" i="12"/>
  <c r="AH663" i="12"/>
  <c r="AH664" i="12"/>
  <c r="AH665" i="12"/>
  <c r="AH666" i="12"/>
  <c r="AH667" i="12"/>
  <c r="AH668" i="12"/>
  <c r="AH669" i="12"/>
  <c r="AH670" i="12"/>
  <c r="AH671" i="12"/>
  <c r="AH672" i="12"/>
  <c r="AH673" i="12"/>
  <c r="AH674" i="12"/>
  <c r="AH675" i="12"/>
  <c r="AH676" i="12"/>
  <c r="AH677" i="12"/>
  <c r="AH678" i="12"/>
  <c r="AH679" i="12"/>
  <c r="AH680" i="12"/>
  <c r="AH681" i="12"/>
  <c r="AH682" i="12"/>
  <c r="AH683" i="12"/>
  <c r="AH684" i="12"/>
  <c r="AH685" i="12"/>
  <c r="AH686" i="12"/>
  <c r="AH687" i="12"/>
  <c r="AH688" i="12"/>
  <c r="AH689" i="12"/>
  <c r="AH690" i="12"/>
  <c r="AH691" i="12"/>
  <c r="AH692" i="12"/>
  <c r="AH693" i="12"/>
  <c r="AH694" i="12"/>
  <c r="AH695" i="12"/>
  <c r="AH696" i="12"/>
  <c r="AH697" i="12"/>
  <c r="AH698" i="12"/>
  <c r="AH699" i="12"/>
  <c r="AH700" i="12"/>
  <c r="AH701" i="12"/>
  <c r="AH702" i="12"/>
  <c r="AH703" i="12"/>
  <c r="AH704" i="12"/>
  <c r="AH705" i="12"/>
  <c r="AH706" i="12"/>
  <c r="AH707" i="12"/>
  <c r="AH708" i="12"/>
  <c r="AH709" i="12"/>
  <c r="AH710" i="12"/>
  <c r="AH711" i="12"/>
  <c r="AH712" i="12"/>
  <c r="AH713" i="12"/>
  <c r="AH714" i="12"/>
  <c r="AH715" i="12"/>
  <c r="AH716" i="12"/>
  <c r="AH717" i="12"/>
  <c r="AH718" i="12"/>
  <c r="AH730" i="12"/>
  <c r="AH731" i="12"/>
  <c r="AH732" i="12"/>
  <c r="AH733" i="12"/>
  <c r="AH734" i="12"/>
  <c r="AH735" i="12"/>
  <c r="AH736" i="12"/>
  <c r="AH737" i="12"/>
  <c r="AH738" i="12"/>
  <c r="AH739" i="12"/>
  <c r="AH740" i="12"/>
  <c r="AH741" i="12"/>
  <c r="AH742" i="12"/>
  <c r="AH743" i="12"/>
  <c r="AH744" i="12"/>
  <c r="AH745" i="12"/>
  <c r="AH746" i="12"/>
  <c r="AH747" i="12"/>
  <c r="AH748" i="12"/>
  <c r="AH749" i="12"/>
  <c r="AH750" i="12"/>
  <c r="AH751" i="12"/>
  <c r="AH752" i="12"/>
  <c r="AH753" i="12"/>
  <c r="AH754" i="12"/>
  <c r="AH755" i="12"/>
  <c r="AH756" i="12"/>
  <c r="AH757" i="12"/>
  <c r="AH758" i="12"/>
  <c r="AH759" i="12"/>
  <c r="AH760" i="12"/>
  <c r="AH761" i="12"/>
  <c r="AH762" i="12"/>
  <c r="AH763" i="12"/>
  <c r="AH764" i="12"/>
  <c r="AH765" i="12"/>
  <c r="AH766" i="12"/>
  <c r="AH767" i="12"/>
  <c r="AH768" i="12"/>
  <c r="AH769" i="12"/>
  <c r="AH770" i="12"/>
  <c r="AH771" i="12"/>
  <c r="AH772" i="12"/>
  <c r="AH773" i="12"/>
  <c r="AH774" i="12"/>
  <c r="AH775" i="12"/>
  <c r="AH776" i="12"/>
  <c r="AH777" i="12"/>
  <c r="AH778" i="12"/>
  <c r="AH779" i="12"/>
  <c r="AH780" i="12"/>
  <c r="AH781" i="12"/>
  <c r="AH782" i="12"/>
  <c r="AH783" i="12"/>
  <c r="AH784" i="12"/>
  <c r="AH785" i="12"/>
  <c r="AH786" i="12"/>
  <c r="AH787" i="12"/>
  <c r="AH788" i="12"/>
  <c r="AH789" i="12"/>
  <c r="AH790" i="12"/>
  <c r="AH791" i="12"/>
  <c r="AH792" i="12"/>
  <c r="AH793" i="12"/>
  <c r="AH794" i="12"/>
  <c r="AH795" i="12"/>
  <c r="AH796" i="12"/>
  <c r="AH797" i="12"/>
  <c r="AH798" i="12"/>
  <c r="AH799" i="12"/>
  <c r="AH800" i="12"/>
  <c r="AH801" i="12"/>
  <c r="AH802" i="12"/>
  <c r="AH803" i="12"/>
  <c r="AH804" i="12"/>
  <c r="AH805" i="12"/>
  <c r="AH806" i="12"/>
  <c r="AH807" i="12"/>
  <c r="AH808" i="12"/>
  <c r="AH809" i="12"/>
  <c r="AH810" i="12"/>
  <c r="AH811" i="12"/>
  <c r="AH812" i="12"/>
  <c r="AH813" i="12"/>
  <c r="AH814" i="12"/>
  <c r="AH815" i="12"/>
  <c r="AH816" i="12"/>
  <c r="AH817" i="12"/>
  <c r="AH818" i="12"/>
  <c r="AH819" i="12"/>
  <c r="AH820" i="12"/>
  <c r="AH821" i="12"/>
  <c r="AH822" i="12"/>
  <c r="AH823" i="12"/>
  <c r="AH824" i="12"/>
  <c r="AH825" i="12"/>
  <c r="AH826" i="12"/>
  <c r="AH827" i="12"/>
  <c r="AH828" i="12"/>
  <c r="AH829" i="12"/>
  <c r="AH830" i="12"/>
  <c r="AH831" i="12"/>
  <c r="AH832" i="12"/>
  <c r="AH833" i="12"/>
  <c r="AH834" i="12"/>
  <c r="AH835" i="12"/>
  <c r="AH836" i="12"/>
  <c r="AH837" i="12"/>
  <c r="AH838" i="12"/>
  <c r="AH839" i="12"/>
  <c r="AH840" i="12"/>
  <c r="AH841" i="12"/>
  <c r="AH842" i="12"/>
  <c r="AH843" i="12"/>
  <c r="AH844" i="12"/>
  <c r="AH845" i="12"/>
  <c r="AH846" i="12"/>
  <c r="AH847" i="12"/>
  <c r="AH848" i="12"/>
  <c r="AH849" i="12"/>
  <c r="AH850" i="12"/>
  <c r="AH851" i="12"/>
  <c r="AH852" i="12"/>
  <c r="AH853" i="12"/>
  <c r="AH854" i="12"/>
  <c r="AH855" i="12"/>
  <c r="AH856" i="12"/>
  <c r="AH857" i="12"/>
  <c r="AH858" i="12"/>
  <c r="AH859" i="12"/>
  <c r="AH860" i="12"/>
  <c r="AH861" i="12"/>
  <c r="AH862" i="12"/>
  <c r="AH863" i="12"/>
  <c r="AH864" i="12"/>
  <c r="AH865" i="12"/>
  <c r="AH866" i="12"/>
  <c r="AH867" i="12"/>
  <c r="AH868" i="12"/>
  <c r="AH869" i="12"/>
  <c r="AH870" i="12"/>
  <c r="AH871" i="12"/>
  <c r="AH872" i="12"/>
  <c r="AH873" i="12"/>
  <c r="AH874" i="12"/>
  <c r="AH875" i="12"/>
  <c r="AH876" i="12"/>
  <c r="AH877" i="12"/>
  <c r="AH878" i="12"/>
  <c r="AH879" i="12"/>
  <c r="AH880" i="12"/>
  <c r="AH881" i="12"/>
  <c r="AH882" i="12"/>
  <c r="AH883" i="12"/>
  <c r="AH884" i="12"/>
  <c r="AH885" i="12"/>
  <c r="AH886" i="12"/>
  <c r="AH887" i="12"/>
  <c r="AH888" i="12"/>
  <c r="AH889" i="12"/>
  <c r="AH890" i="12"/>
  <c r="AH891" i="12"/>
  <c r="AH892" i="12"/>
  <c r="AH893" i="12"/>
  <c r="AH894" i="12"/>
  <c r="AH895" i="12"/>
  <c r="AH896" i="12"/>
  <c r="AH897" i="12"/>
  <c r="AH898" i="12"/>
  <c r="AH899" i="12"/>
  <c r="AH900" i="12"/>
  <c r="AH901" i="12"/>
  <c r="AH902" i="12"/>
  <c r="AH903" i="12"/>
  <c r="AH904" i="12"/>
  <c r="AH905" i="12"/>
  <c r="AH906" i="12"/>
  <c r="AH907" i="12"/>
  <c r="AH908" i="12"/>
  <c r="AH909" i="12"/>
  <c r="AH910" i="12"/>
  <c r="AH911" i="12"/>
  <c r="AH912" i="12"/>
  <c r="AH913" i="12"/>
  <c r="AH914" i="12"/>
  <c r="AH915" i="12"/>
  <c r="AH916" i="12"/>
  <c r="AH917" i="12"/>
  <c r="AH918" i="12"/>
  <c r="AH919" i="12"/>
  <c r="AH920" i="12"/>
  <c r="AH921" i="12"/>
  <c r="AH922" i="12"/>
  <c r="AH923" i="12"/>
  <c r="AH924" i="12"/>
  <c r="AH925" i="12"/>
  <c r="AH926" i="12"/>
  <c r="AH927" i="12"/>
  <c r="AH928" i="12"/>
  <c r="AH929" i="12"/>
  <c r="AH930" i="12"/>
  <c r="AH931" i="12"/>
  <c r="AH932" i="12"/>
  <c r="AH933" i="12"/>
  <c r="AH934" i="12"/>
  <c r="AH935" i="12"/>
  <c r="AH936" i="12"/>
  <c r="AH937" i="12"/>
  <c r="AH938" i="12"/>
  <c r="AH939" i="12"/>
  <c r="AH940" i="12"/>
  <c r="AH941" i="12"/>
  <c r="AH942" i="12"/>
  <c r="AH943" i="12"/>
  <c r="AH944" i="12"/>
  <c r="AH945" i="12"/>
  <c r="AH946" i="12"/>
  <c r="AH947" i="12"/>
  <c r="AH948" i="12"/>
  <c r="AH949" i="12"/>
  <c r="AH950" i="12"/>
  <c r="AH951" i="12"/>
  <c r="AH952" i="12"/>
  <c r="AH953" i="12"/>
  <c r="AH954" i="12"/>
  <c r="AH955" i="12"/>
  <c r="AH956" i="12"/>
  <c r="AH957" i="12"/>
  <c r="AH958" i="12"/>
  <c r="AH959" i="12"/>
  <c r="AH960" i="12"/>
  <c r="AH961" i="12"/>
  <c r="AH962" i="12"/>
  <c r="AH963" i="12"/>
  <c r="AH964" i="12"/>
  <c r="AH965" i="12"/>
  <c r="AH966" i="12"/>
  <c r="AH967" i="12"/>
  <c r="AH968" i="12"/>
  <c r="AH969" i="12"/>
  <c r="AH970" i="12"/>
  <c r="AH971" i="12"/>
  <c r="AH972" i="12"/>
  <c r="AH973" i="12"/>
  <c r="AH974" i="12"/>
  <c r="AH975" i="12"/>
  <c r="AH976" i="12"/>
  <c r="AH977" i="12"/>
  <c r="AH978" i="12"/>
  <c r="AH979" i="12"/>
  <c r="AH980" i="12"/>
  <c r="AH981" i="12"/>
  <c r="AH982" i="12"/>
  <c r="AH983" i="12"/>
  <c r="AH984" i="12"/>
  <c r="AH985" i="12"/>
  <c r="AH986" i="12"/>
  <c r="AH987" i="12"/>
  <c r="AH988" i="12"/>
  <c r="AH989" i="12"/>
  <c r="AH990" i="12"/>
  <c r="AH991" i="12"/>
  <c r="AH992" i="12"/>
  <c r="AH993" i="12"/>
  <c r="AH994" i="12"/>
  <c r="AH995" i="12"/>
  <c r="AH996" i="12"/>
  <c r="AH997" i="12"/>
  <c r="AH998" i="12"/>
  <c r="AH999" i="12"/>
  <c r="AH1000" i="12"/>
  <c r="AH1001" i="12"/>
  <c r="AH1002" i="12"/>
  <c r="AH1003" i="12"/>
  <c r="AH1004" i="12"/>
  <c r="AH1005" i="12"/>
  <c r="AH1006" i="12"/>
  <c r="AH1007" i="12"/>
  <c r="AH1008" i="12"/>
  <c r="AH1009" i="12"/>
  <c r="AH1010" i="12"/>
  <c r="AH1011" i="12"/>
  <c r="AH1012" i="12"/>
  <c r="AH1013" i="12"/>
  <c r="AH1014" i="12"/>
  <c r="AH1015" i="12"/>
  <c r="AH1016" i="12"/>
  <c r="AH1017" i="12"/>
  <c r="AH1018" i="12"/>
  <c r="AH1019" i="12"/>
  <c r="AH1020" i="12"/>
  <c r="AH1021" i="12"/>
  <c r="AH1022" i="12"/>
  <c r="AH1023" i="12"/>
  <c r="AH1024" i="12"/>
  <c r="AH1025" i="12"/>
  <c r="AH1026" i="12"/>
  <c r="AH1027" i="12"/>
  <c r="AH1028" i="12"/>
  <c r="AH1029" i="12"/>
  <c r="AH1030" i="12"/>
  <c r="AH1031" i="12"/>
  <c r="AH1032" i="12"/>
  <c r="AH1033" i="12"/>
  <c r="AH1034" i="12"/>
  <c r="AH1035" i="12"/>
  <c r="AH1036" i="12"/>
  <c r="AH1037" i="12"/>
  <c r="AH1038" i="12"/>
  <c r="AH1039" i="12"/>
  <c r="AH1040" i="12"/>
  <c r="AH1041" i="12"/>
  <c r="AH1042" i="12"/>
  <c r="AH1043" i="12"/>
  <c r="AH1044" i="12"/>
  <c r="AH1045" i="12"/>
  <c r="AH1046" i="12"/>
  <c r="AH1047" i="12"/>
  <c r="AH1048" i="12"/>
  <c r="AH1049" i="12"/>
  <c r="AH1050" i="12"/>
  <c r="AH1051" i="12"/>
  <c r="AH1052" i="12"/>
  <c r="AH1053" i="12"/>
  <c r="AH1054" i="12"/>
  <c r="AH1055" i="12"/>
  <c r="AH1056" i="12"/>
  <c r="AH1057" i="12"/>
  <c r="AH1058" i="12"/>
  <c r="AH1059" i="12"/>
  <c r="AH1060" i="12"/>
  <c r="AH1061" i="12"/>
  <c r="AH1062" i="12"/>
  <c r="AH1063" i="12"/>
  <c r="AH1064" i="12"/>
  <c r="AH1065" i="12"/>
  <c r="AH1066" i="12"/>
  <c r="AH1067" i="12"/>
  <c r="AH1068" i="12"/>
  <c r="AH1069" i="12"/>
  <c r="AH1070" i="12"/>
  <c r="AH1071" i="12"/>
  <c r="AH1072" i="12"/>
  <c r="AH1073" i="12"/>
  <c r="AH1074" i="12"/>
  <c r="AH1075" i="12"/>
  <c r="AH1076" i="12"/>
  <c r="AH1077" i="12"/>
  <c r="AH1078" i="12"/>
  <c r="AH1079" i="12"/>
  <c r="AH1080" i="12"/>
  <c r="AH1081" i="12"/>
  <c r="AH1082" i="12"/>
  <c r="AH1083" i="12"/>
  <c r="AH1084" i="12"/>
  <c r="AH1085" i="12"/>
  <c r="AH1086" i="12"/>
  <c r="AH1087" i="12"/>
  <c r="AH1088" i="12"/>
  <c r="AH1089" i="12"/>
  <c r="AH1090" i="12"/>
  <c r="AH1091" i="12"/>
  <c r="AH1092" i="12"/>
  <c r="AH1093" i="12"/>
  <c r="AH1094" i="12"/>
  <c r="AH1095" i="12"/>
  <c r="AH1096" i="12"/>
  <c r="AH1097" i="12"/>
  <c r="AH1098" i="12"/>
  <c r="AH1099" i="12"/>
  <c r="AH1100" i="12"/>
  <c r="AH1101" i="12"/>
  <c r="AH1102" i="12"/>
  <c r="AH1103" i="12"/>
  <c r="AH1104" i="12"/>
  <c r="AH1105" i="12"/>
  <c r="AH1106" i="12"/>
  <c r="AH1107" i="12"/>
  <c r="AH1108" i="12"/>
  <c r="AH1109" i="12"/>
  <c r="AH1110" i="12"/>
  <c r="AH1111" i="12"/>
  <c r="AH1112" i="12"/>
  <c r="AH1113" i="12"/>
  <c r="AH1114" i="12"/>
  <c r="AH1115" i="12"/>
  <c r="AH1116" i="12"/>
  <c r="AH1117" i="12"/>
  <c r="AH1118" i="12"/>
  <c r="AH1119" i="12"/>
  <c r="AH1120" i="12"/>
  <c r="AH1121" i="12"/>
  <c r="AH1122" i="12"/>
  <c r="AH1123" i="12"/>
  <c r="AH1124" i="12"/>
  <c r="AH1125" i="12"/>
  <c r="AH1126" i="12"/>
  <c r="AH1127" i="12"/>
  <c r="AH1128" i="12"/>
  <c r="AH1129" i="12"/>
  <c r="AH1130" i="12"/>
  <c r="AH1131" i="12"/>
  <c r="AH1132" i="12"/>
  <c r="AH1133" i="12"/>
  <c r="AH1136" i="12"/>
  <c r="AH1137" i="12"/>
  <c r="AH1140" i="12"/>
  <c r="AH1141" i="12"/>
  <c r="AH1142" i="12"/>
  <c r="AH1143" i="12"/>
  <c r="AH1144" i="12"/>
  <c r="AH1145" i="12"/>
  <c r="AH1146" i="12"/>
  <c r="AH1147" i="12"/>
  <c r="AH1148" i="12"/>
  <c r="AH1149" i="12"/>
  <c r="AH1150" i="12"/>
  <c r="AH1151" i="12"/>
  <c r="AH1152" i="12"/>
  <c r="AH1153" i="12"/>
  <c r="AH1154" i="12"/>
  <c r="AH1155" i="12"/>
  <c r="AH1156" i="12"/>
  <c r="AH1157" i="12"/>
  <c r="AH1158" i="12"/>
  <c r="AH1159" i="12"/>
  <c r="AG5" i="12"/>
  <c r="AG6" i="12"/>
  <c r="AG7" i="12"/>
  <c r="AG8" i="12"/>
  <c r="AG9" i="12"/>
  <c r="AG10" i="12"/>
  <c r="AG11" i="12"/>
  <c r="AG12" i="12"/>
  <c r="AG13" i="12"/>
  <c r="AG14" i="12"/>
  <c r="AG15" i="12"/>
  <c r="AG16" i="12"/>
  <c r="AG17" i="12"/>
  <c r="AG18" i="12"/>
  <c r="AG19" i="12"/>
  <c r="AG20" i="12"/>
  <c r="AG21" i="12"/>
  <c r="AG22" i="12"/>
  <c r="AG23" i="12"/>
  <c r="AG24" i="12"/>
  <c r="AG25" i="12"/>
  <c r="AG26" i="12"/>
  <c r="AG27" i="12"/>
  <c r="AG28" i="12"/>
  <c r="AG29" i="12"/>
  <c r="AG30" i="12"/>
  <c r="AG31" i="12"/>
  <c r="AG32" i="12"/>
  <c r="AG33" i="12"/>
  <c r="AG34" i="12"/>
  <c r="AG35" i="12"/>
  <c r="AG36" i="12"/>
  <c r="AG37" i="12"/>
  <c r="AG38" i="12"/>
  <c r="AG39" i="12"/>
  <c r="AG40" i="12"/>
  <c r="AG41" i="12"/>
  <c r="AG42" i="12"/>
  <c r="AG43" i="12"/>
  <c r="AG44" i="12"/>
  <c r="AG45" i="12"/>
  <c r="AG46" i="12"/>
  <c r="AG47" i="12"/>
  <c r="AG48" i="12"/>
  <c r="AG49" i="12"/>
  <c r="AG50" i="12"/>
  <c r="AG51" i="12"/>
  <c r="AG52" i="12"/>
  <c r="AG53" i="12"/>
  <c r="AG54" i="12"/>
  <c r="AG55" i="12"/>
  <c r="AG56" i="12"/>
  <c r="AG57" i="12"/>
  <c r="AG58" i="12"/>
  <c r="AG59" i="12"/>
  <c r="AG60" i="12"/>
  <c r="AG61" i="12"/>
  <c r="AG62" i="12"/>
  <c r="AG63" i="12"/>
  <c r="AG64" i="12"/>
  <c r="AG65" i="12"/>
  <c r="AG66" i="12"/>
  <c r="AG67" i="12"/>
  <c r="AG68" i="12"/>
  <c r="AG69" i="12"/>
  <c r="AG70" i="12"/>
  <c r="AG71" i="12"/>
  <c r="AG72" i="12"/>
  <c r="AG73" i="12"/>
  <c r="AG74" i="12"/>
  <c r="AG75" i="12"/>
  <c r="AG76" i="12"/>
  <c r="AG77" i="12"/>
  <c r="AG78" i="12"/>
  <c r="AG79" i="12"/>
  <c r="AG80" i="12"/>
  <c r="AG81" i="12"/>
  <c r="AG82" i="12"/>
  <c r="AG83" i="12"/>
  <c r="AG84" i="12"/>
  <c r="AG85" i="12"/>
  <c r="AG86" i="12"/>
  <c r="AG87" i="12"/>
  <c r="AG88" i="12"/>
  <c r="AG89" i="12"/>
  <c r="AG90" i="12"/>
  <c r="AG91" i="12"/>
  <c r="AG92" i="12"/>
  <c r="AG93" i="12"/>
  <c r="AG94" i="12"/>
  <c r="AG95" i="12"/>
  <c r="AG96" i="12"/>
  <c r="AG97" i="12"/>
  <c r="AG98" i="12"/>
  <c r="AG99" i="12"/>
  <c r="AG100" i="12"/>
  <c r="AG101" i="12"/>
  <c r="AG102" i="12"/>
  <c r="AG103" i="12"/>
  <c r="AG104" i="12"/>
  <c r="AG105" i="12"/>
  <c r="AG106" i="12"/>
  <c r="AG107" i="12"/>
  <c r="AG108" i="12"/>
  <c r="AG109" i="12"/>
  <c r="AG110" i="12"/>
  <c r="AG111" i="12"/>
  <c r="AG112" i="12"/>
  <c r="AG113" i="12"/>
  <c r="AG114" i="12"/>
  <c r="AG115" i="12"/>
  <c r="AG116" i="12"/>
  <c r="AG117" i="12"/>
  <c r="AG118" i="12"/>
  <c r="AG119" i="12"/>
  <c r="AG120" i="12"/>
  <c r="AG121" i="12"/>
  <c r="AG122" i="12"/>
  <c r="AG123" i="12"/>
  <c r="AG124" i="12"/>
  <c r="AG125" i="12"/>
  <c r="AG126" i="12"/>
  <c r="AG127" i="12"/>
  <c r="AG128" i="12"/>
  <c r="AG129" i="12"/>
  <c r="AG130" i="12"/>
  <c r="AG131" i="12"/>
  <c r="AG132" i="12"/>
  <c r="AG133" i="12"/>
  <c r="AG134" i="12"/>
  <c r="AG135" i="12"/>
  <c r="AG136" i="12"/>
  <c r="AG137" i="12"/>
  <c r="AG138" i="12"/>
  <c r="AG139" i="12"/>
  <c r="AG140" i="12"/>
  <c r="AG141" i="12"/>
  <c r="AG142" i="12"/>
  <c r="AG143" i="12"/>
  <c r="AG144" i="12"/>
  <c r="AG145" i="12"/>
  <c r="AG146" i="12"/>
  <c r="AG147" i="12"/>
  <c r="AG148" i="12"/>
  <c r="AG149" i="12"/>
  <c r="AG150" i="12"/>
  <c r="AG151" i="12"/>
  <c r="AG152" i="12"/>
  <c r="AG153" i="12"/>
  <c r="AG154" i="12"/>
  <c r="AG155" i="12"/>
  <c r="AG156" i="12"/>
  <c r="AG157" i="12"/>
  <c r="AG158" i="12"/>
  <c r="AG159" i="12"/>
  <c r="AG160" i="12"/>
  <c r="AG161" i="12"/>
  <c r="AG162" i="12"/>
  <c r="AG163" i="12"/>
  <c r="AG164" i="12"/>
  <c r="AG165" i="12"/>
  <c r="AG166" i="12"/>
  <c r="AG167" i="12"/>
  <c r="AG168" i="12"/>
  <c r="AG169" i="12"/>
  <c r="AG170" i="12"/>
  <c r="AG171" i="12"/>
  <c r="AG172" i="12"/>
  <c r="AG173" i="12"/>
  <c r="AG174" i="12"/>
  <c r="AG175" i="12"/>
  <c r="AG176" i="12"/>
  <c r="AG177" i="12"/>
  <c r="AG178" i="12"/>
  <c r="AG179" i="12"/>
  <c r="AG180" i="12"/>
  <c r="AG181" i="12"/>
  <c r="AG182" i="12"/>
  <c r="AG183" i="12"/>
  <c r="AG184" i="12"/>
  <c r="AG185" i="12"/>
  <c r="AG186" i="12"/>
  <c r="AG187" i="12"/>
  <c r="AG188" i="12"/>
  <c r="AG189" i="12"/>
  <c r="AG190" i="12"/>
  <c r="AG191" i="12"/>
  <c r="AG192" i="12"/>
  <c r="AG193" i="12"/>
  <c r="AG194" i="12"/>
  <c r="AG195" i="12"/>
  <c r="AG196" i="12"/>
  <c r="AG197" i="12"/>
  <c r="AG198" i="12"/>
  <c r="AG199" i="12"/>
  <c r="AG200" i="12"/>
  <c r="AG201" i="12"/>
  <c r="AG202" i="12"/>
  <c r="AG203" i="12"/>
  <c r="AG204" i="12"/>
  <c r="AG205" i="12"/>
  <c r="AG206" i="12"/>
  <c r="AG207" i="12"/>
  <c r="AG208" i="12"/>
  <c r="AG209" i="12"/>
  <c r="AG210" i="12"/>
  <c r="AG211" i="12"/>
  <c r="AG212" i="12"/>
  <c r="AG213" i="12"/>
  <c r="AG214" i="12"/>
  <c r="AG215" i="12"/>
  <c r="AG216" i="12"/>
  <c r="AG217" i="12"/>
  <c r="AG218" i="12"/>
  <c r="AG219" i="12"/>
  <c r="AG220" i="12"/>
  <c r="AG221" i="12"/>
  <c r="AG222" i="12"/>
  <c r="AG223" i="12"/>
  <c r="AG224" i="12"/>
  <c r="AG225" i="12"/>
  <c r="AG226" i="12"/>
  <c r="AG227" i="12"/>
  <c r="AG228" i="12"/>
  <c r="AG229" i="12"/>
  <c r="AG230" i="12"/>
  <c r="AG231" i="12"/>
  <c r="AG232" i="12"/>
  <c r="AG233" i="12"/>
  <c r="AG234" i="12"/>
  <c r="AG235" i="12"/>
  <c r="AG236" i="12"/>
  <c r="AG237" i="12"/>
  <c r="AG238" i="12"/>
  <c r="AG239" i="12"/>
  <c r="AG240" i="12"/>
  <c r="AG241" i="12"/>
  <c r="AG242" i="12"/>
  <c r="AG243" i="12"/>
  <c r="AG244" i="12"/>
  <c r="AG245" i="12"/>
  <c r="AG246" i="12"/>
  <c r="AG247" i="12"/>
  <c r="AG248" i="12"/>
  <c r="AG249" i="12"/>
  <c r="AG250" i="12"/>
  <c r="AG251" i="12"/>
  <c r="AG252" i="12"/>
  <c r="AG253" i="12"/>
  <c r="AG254" i="12"/>
  <c r="AG255" i="12"/>
  <c r="AG256" i="12"/>
  <c r="AG257" i="12"/>
  <c r="AG258" i="12"/>
  <c r="AG259" i="12"/>
  <c r="AG260" i="12"/>
  <c r="AG261" i="12"/>
  <c r="AG262" i="12"/>
  <c r="AG263" i="12"/>
  <c r="AG264" i="12"/>
  <c r="AG265" i="12"/>
  <c r="AG266" i="12"/>
  <c r="AG267" i="12"/>
  <c r="AG268" i="12"/>
  <c r="AG269" i="12"/>
  <c r="AG270" i="12"/>
  <c r="AG271" i="12"/>
  <c r="AG272" i="12"/>
  <c r="AG273" i="12"/>
  <c r="AG274" i="12"/>
  <c r="AG275" i="12"/>
  <c r="AG276" i="12"/>
  <c r="AG277" i="12"/>
  <c r="AG278" i="12"/>
  <c r="AG279" i="12"/>
  <c r="AG280" i="12"/>
  <c r="AG281" i="12"/>
  <c r="AG282" i="12"/>
  <c r="AG283" i="12"/>
  <c r="AG284" i="12"/>
  <c r="AG285" i="12"/>
  <c r="AG286" i="12"/>
  <c r="AG287" i="12"/>
  <c r="AG288" i="12"/>
  <c r="AG289" i="12"/>
  <c r="AG290" i="12"/>
  <c r="AG291" i="12"/>
  <c r="AG292" i="12"/>
  <c r="AG293" i="12"/>
  <c r="AG294" i="12"/>
  <c r="AG295" i="12"/>
  <c r="AG296" i="12"/>
  <c r="AG297" i="12"/>
  <c r="AG298" i="12"/>
  <c r="AG299" i="12"/>
  <c r="AG300" i="12"/>
  <c r="AG301" i="12"/>
  <c r="AG302" i="12"/>
  <c r="AG303" i="12"/>
  <c r="AG304" i="12"/>
  <c r="AG305" i="12"/>
  <c r="AG306" i="12"/>
  <c r="AG307" i="12"/>
  <c r="AG308" i="12"/>
  <c r="AG309" i="12"/>
  <c r="AG310" i="12"/>
  <c r="AG311" i="12"/>
  <c r="AG312" i="12"/>
  <c r="AG313" i="12"/>
  <c r="AG314" i="12"/>
  <c r="AG315" i="12"/>
  <c r="AG316" i="12"/>
  <c r="AG317" i="12"/>
  <c r="AG318" i="12"/>
  <c r="AG319" i="12"/>
  <c r="AG320" i="12"/>
  <c r="AG321" i="12"/>
  <c r="AG322" i="12"/>
  <c r="AG323" i="12"/>
  <c r="AG324" i="12"/>
  <c r="AG325" i="12"/>
  <c r="AG326" i="12"/>
  <c r="AG327" i="12"/>
  <c r="AG328" i="12"/>
  <c r="AG329" i="12"/>
  <c r="AG330" i="12"/>
  <c r="AG331" i="12"/>
  <c r="AG332" i="12"/>
  <c r="AG333" i="12"/>
  <c r="AG334" i="12"/>
  <c r="AG335" i="12"/>
  <c r="AG336" i="12"/>
  <c r="AG337" i="12"/>
  <c r="AG338" i="12"/>
  <c r="AG339" i="12"/>
  <c r="AG340" i="12"/>
  <c r="AG341" i="12"/>
  <c r="AG342" i="12"/>
  <c r="AG343" i="12"/>
  <c r="AG344" i="12"/>
  <c r="AG345" i="12"/>
  <c r="AG346" i="12"/>
  <c r="AG347" i="12"/>
  <c r="AG348" i="12"/>
  <c r="AG349" i="12"/>
  <c r="AG350" i="12"/>
  <c r="AG351" i="12"/>
  <c r="AG352" i="12"/>
  <c r="AG353" i="12"/>
  <c r="AG354" i="12"/>
  <c r="AG355" i="12"/>
  <c r="AG356" i="12"/>
  <c r="AG357" i="12"/>
  <c r="AG358" i="12"/>
  <c r="AG359" i="12"/>
  <c r="AG360" i="12"/>
  <c r="AG361" i="12"/>
  <c r="AG362" i="12"/>
  <c r="AG363" i="12"/>
  <c r="AG364" i="12"/>
  <c r="AG365" i="12"/>
  <c r="AG366" i="12"/>
  <c r="AG367" i="12"/>
  <c r="AG368" i="12"/>
  <c r="AG369" i="12"/>
  <c r="AG370" i="12"/>
  <c r="AG371" i="12"/>
  <c r="AG372" i="12"/>
  <c r="AG373" i="12"/>
  <c r="AG374" i="12"/>
  <c r="AG375" i="12"/>
  <c r="AG376" i="12"/>
  <c r="AG377" i="12"/>
  <c r="AG378" i="12"/>
  <c r="AG379" i="12"/>
  <c r="AG380" i="12"/>
  <c r="AG381" i="12"/>
  <c r="AG382" i="12"/>
  <c r="AG383" i="12"/>
  <c r="AG384" i="12"/>
  <c r="AG385" i="12"/>
  <c r="AG386" i="12"/>
  <c r="AG387" i="12"/>
  <c r="AG388" i="12"/>
  <c r="AG389" i="12"/>
  <c r="AG390" i="12"/>
  <c r="AG391" i="12"/>
  <c r="AG392" i="12"/>
  <c r="AG393" i="12"/>
  <c r="AG394" i="12"/>
  <c r="AG395" i="12"/>
  <c r="AG396" i="12"/>
  <c r="AG397" i="12"/>
  <c r="AG398" i="12"/>
  <c r="AG399" i="12"/>
  <c r="AG400" i="12"/>
  <c r="AG401" i="12"/>
  <c r="AG402" i="12"/>
  <c r="AG403" i="12"/>
  <c r="AG404" i="12"/>
  <c r="AG405" i="12"/>
  <c r="AG406" i="12"/>
  <c r="AG407" i="12"/>
  <c r="AG408" i="12"/>
  <c r="AG409" i="12"/>
  <c r="AG410" i="12"/>
  <c r="AG411" i="12"/>
  <c r="AG412" i="12"/>
  <c r="AG413" i="12"/>
  <c r="AG414" i="12"/>
  <c r="AG415" i="12"/>
  <c r="AG416" i="12"/>
  <c r="AG417" i="12"/>
  <c r="AG418" i="12"/>
  <c r="AG419" i="12"/>
  <c r="AG420" i="12"/>
  <c r="AG421" i="12"/>
  <c r="AG422" i="12"/>
  <c r="AG423" i="12"/>
  <c r="AG424" i="12"/>
  <c r="AG425" i="12"/>
  <c r="AG426" i="12"/>
  <c r="AG427" i="12"/>
  <c r="AG428" i="12"/>
  <c r="AG429" i="12"/>
  <c r="AG430" i="12"/>
  <c r="AG431" i="12"/>
  <c r="AG432" i="12"/>
  <c r="AG433" i="12"/>
  <c r="AG434" i="12"/>
  <c r="AG435" i="12"/>
  <c r="AG436" i="12"/>
  <c r="AG437" i="12"/>
  <c r="AG438" i="12"/>
  <c r="AG439" i="12"/>
  <c r="AG440" i="12"/>
  <c r="AG441" i="12"/>
  <c r="AG442" i="12"/>
  <c r="AG443" i="12"/>
  <c r="AG444" i="12"/>
  <c r="AG445" i="12"/>
  <c r="AG446" i="12"/>
  <c r="AG447" i="12"/>
  <c r="AG448" i="12"/>
  <c r="AG449" i="12"/>
  <c r="AG450" i="12"/>
  <c r="AG451" i="12"/>
  <c r="AG452" i="12"/>
  <c r="AG453" i="12"/>
  <c r="AG454" i="12"/>
  <c r="AG455" i="12"/>
  <c r="AG456" i="12"/>
  <c r="AG457" i="12"/>
  <c r="AG458" i="12"/>
  <c r="AG459" i="12"/>
  <c r="AG460" i="12"/>
  <c r="AG461" i="12"/>
  <c r="AG462" i="12"/>
  <c r="AG463" i="12"/>
  <c r="AG464" i="12"/>
  <c r="AG465" i="12"/>
  <c r="AG466" i="12"/>
  <c r="AG467" i="12"/>
  <c r="AG468" i="12"/>
  <c r="AG469" i="12"/>
  <c r="AG470" i="12"/>
  <c r="AG471" i="12"/>
  <c r="AG472" i="12"/>
  <c r="AG473" i="12"/>
  <c r="AG474" i="12"/>
  <c r="AG475" i="12"/>
  <c r="AG476" i="12"/>
  <c r="AG477" i="12"/>
  <c r="AG478" i="12"/>
  <c r="AG479" i="12"/>
  <c r="AG480" i="12"/>
  <c r="AG481" i="12"/>
  <c r="AG482" i="12"/>
  <c r="AG483" i="12"/>
  <c r="AG484" i="12"/>
  <c r="AG485" i="12"/>
  <c r="AG486" i="12"/>
  <c r="AG487" i="12"/>
  <c r="AG488" i="12"/>
  <c r="AG489" i="12"/>
  <c r="AG490" i="12"/>
  <c r="AG491" i="12"/>
  <c r="AG492" i="12"/>
  <c r="AG493" i="12"/>
  <c r="AG494" i="12"/>
  <c r="AG495" i="12"/>
  <c r="AG496" i="12"/>
  <c r="AG497" i="12"/>
  <c r="AG498" i="12"/>
  <c r="AG499" i="12"/>
  <c r="AG500" i="12"/>
  <c r="AG501" i="12"/>
  <c r="AG502" i="12"/>
  <c r="AG503" i="12"/>
  <c r="AG504" i="12"/>
  <c r="AG505" i="12"/>
  <c r="AG506" i="12"/>
  <c r="AG507" i="12"/>
  <c r="AG508" i="12"/>
  <c r="AG509" i="12"/>
  <c r="AG510" i="12"/>
  <c r="AG511" i="12"/>
  <c r="AG512" i="12"/>
  <c r="AG513" i="12"/>
  <c r="AG514" i="12"/>
  <c r="AG515" i="12"/>
  <c r="AG516" i="12"/>
  <c r="AG517" i="12"/>
  <c r="AG518" i="12"/>
  <c r="AG519" i="12"/>
  <c r="AG520" i="12"/>
  <c r="AG521" i="12"/>
  <c r="AG522" i="12"/>
  <c r="AG523" i="12"/>
  <c r="AG524" i="12"/>
  <c r="AG525" i="12"/>
  <c r="AG526" i="12"/>
  <c r="AG527" i="12"/>
  <c r="AG528" i="12"/>
  <c r="AG529" i="12"/>
  <c r="AG530" i="12"/>
  <c r="AG531" i="12"/>
  <c r="AG532" i="12"/>
  <c r="AG533" i="12"/>
  <c r="AG534" i="12"/>
  <c r="AG535" i="12"/>
  <c r="AG536" i="12"/>
  <c r="AG537" i="12"/>
  <c r="AG538" i="12"/>
  <c r="AG539" i="12"/>
  <c r="AG540" i="12"/>
  <c r="AG541" i="12"/>
  <c r="AG542" i="12"/>
  <c r="AG543" i="12"/>
  <c r="AG544" i="12"/>
  <c r="AG545" i="12"/>
  <c r="AG546" i="12"/>
  <c r="AG547" i="12"/>
  <c r="AG548" i="12"/>
  <c r="AG549" i="12"/>
  <c r="AG550" i="12"/>
  <c r="AG551" i="12"/>
  <c r="AG552" i="12"/>
  <c r="AG553" i="12"/>
  <c r="AG554" i="12"/>
  <c r="AG555" i="12"/>
  <c r="AG556" i="12"/>
  <c r="AG557" i="12"/>
  <c r="AG558" i="12"/>
  <c r="AG559" i="12"/>
  <c r="AG560" i="12"/>
  <c r="AG561" i="12"/>
  <c r="AG562" i="12"/>
  <c r="AG563" i="12"/>
  <c r="AG564" i="12"/>
  <c r="AG565" i="12"/>
  <c r="AG566" i="12"/>
  <c r="AG567" i="12"/>
  <c r="AG568" i="12"/>
  <c r="AG569" i="12"/>
  <c r="AG570" i="12"/>
  <c r="AG571" i="12"/>
  <c r="AG572" i="12"/>
  <c r="AG573" i="12"/>
  <c r="AG574" i="12"/>
  <c r="AG575" i="12"/>
  <c r="AG576" i="12"/>
  <c r="AG577" i="12"/>
  <c r="AG578" i="12"/>
  <c r="AG579" i="12"/>
  <c r="AG580" i="12"/>
  <c r="AG581" i="12"/>
  <c r="AG582" i="12"/>
  <c r="AG583" i="12"/>
  <c r="AG584" i="12"/>
  <c r="AG585" i="12"/>
  <c r="AG586" i="12"/>
  <c r="AG587" i="12"/>
  <c r="AG588" i="12"/>
  <c r="AG589" i="12"/>
  <c r="AG590" i="12"/>
  <c r="AG591" i="12"/>
  <c r="AG592" i="12"/>
  <c r="AG593" i="12"/>
  <c r="AG594" i="12"/>
  <c r="AG595" i="12"/>
  <c r="AG596" i="12"/>
  <c r="AG597" i="12"/>
  <c r="AG598" i="12"/>
  <c r="AG599" i="12"/>
  <c r="AG600" i="12"/>
  <c r="AG601" i="12"/>
  <c r="AG602" i="12"/>
  <c r="AG603" i="12"/>
  <c r="AG604" i="12"/>
  <c r="AG605" i="12"/>
  <c r="AG606" i="12"/>
  <c r="AG607" i="12"/>
  <c r="AG608" i="12"/>
  <c r="AG609" i="12"/>
  <c r="AG610" i="12"/>
  <c r="AG611" i="12"/>
  <c r="AG612" i="12"/>
  <c r="AG613" i="12"/>
  <c r="AG614" i="12"/>
  <c r="AG615" i="12"/>
  <c r="AG616" i="12"/>
  <c r="AG617" i="12"/>
  <c r="AG618" i="12"/>
  <c r="AG619" i="12"/>
  <c r="AG620" i="12"/>
  <c r="AG621" i="12"/>
  <c r="AG622" i="12"/>
  <c r="AG623" i="12"/>
  <c r="AG624" i="12"/>
  <c r="AG625" i="12"/>
  <c r="AG626" i="12"/>
  <c r="AG627" i="12"/>
  <c r="AG628" i="12"/>
  <c r="AG629" i="12"/>
  <c r="AG630" i="12"/>
  <c r="AG631" i="12"/>
  <c r="AG632" i="12"/>
  <c r="AG633" i="12"/>
  <c r="AG634" i="12"/>
  <c r="AG635" i="12"/>
  <c r="AG636" i="12"/>
  <c r="AG637" i="12"/>
  <c r="AG638" i="12"/>
  <c r="AG639" i="12"/>
  <c r="AG640" i="12"/>
  <c r="AG641" i="12"/>
  <c r="AG642" i="12"/>
  <c r="AG643" i="12"/>
  <c r="AG644" i="12"/>
  <c r="AG645" i="12"/>
  <c r="AG646" i="12"/>
  <c r="AG647" i="12"/>
  <c r="AG648" i="12"/>
  <c r="AG649" i="12"/>
  <c r="AG650" i="12"/>
  <c r="AG651" i="12"/>
  <c r="AG652" i="12"/>
  <c r="AG653" i="12"/>
  <c r="AG654" i="12"/>
  <c r="AG655" i="12"/>
  <c r="AG656" i="12"/>
  <c r="AG657" i="12"/>
  <c r="AG658" i="12"/>
  <c r="AG659" i="12"/>
  <c r="AG660" i="12"/>
  <c r="AG661" i="12"/>
  <c r="AG662" i="12"/>
  <c r="AG663" i="12"/>
  <c r="AG664" i="12"/>
  <c r="AG665" i="12"/>
  <c r="AG666" i="12"/>
  <c r="AG667" i="12"/>
  <c r="AG668" i="12"/>
  <c r="AG669" i="12"/>
  <c r="AG670" i="12"/>
  <c r="AG671" i="12"/>
  <c r="AG672" i="12"/>
  <c r="AG673" i="12"/>
  <c r="AG674" i="12"/>
  <c r="AG675" i="12"/>
  <c r="AG676" i="12"/>
  <c r="AG677" i="12"/>
  <c r="AG678" i="12"/>
  <c r="AG679" i="12"/>
  <c r="AG680" i="12"/>
  <c r="AG681" i="12"/>
  <c r="AG682" i="12"/>
  <c r="AG683" i="12"/>
  <c r="AG684" i="12"/>
  <c r="AG685" i="12"/>
  <c r="AG686" i="12"/>
  <c r="AG687" i="12"/>
  <c r="AG688" i="12"/>
  <c r="AG689" i="12"/>
  <c r="AG690" i="12"/>
  <c r="AG691" i="12"/>
  <c r="AG692" i="12"/>
  <c r="AG693" i="12"/>
  <c r="AG694" i="12"/>
  <c r="AG695" i="12"/>
  <c r="AG696" i="12"/>
  <c r="AG697" i="12"/>
  <c r="AG698" i="12"/>
  <c r="AG699" i="12"/>
  <c r="AG700" i="12"/>
  <c r="AG701" i="12"/>
  <c r="AG702" i="12"/>
  <c r="AG703" i="12"/>
  <c r="AG704" i="12"/>
  <c r="AG705" i="12"/>
  <c r="AG706" i="12"/>
  <c r="AG707" i="12"/>
  <c r="AG708" i="12"/>
  <c r="AG709" i="12"/>
  <c r="AG710" i="12"/>
  <c r="AG711" i="12"/>
  <c r="AG712" i="12"/>
  <c r="AG713" i="12"/>
  <c r="AG714" i="12"/>
  <c r="AG715" i="12"/>
  <c r="AG716" i="12"/>
  <c r="AG717" i="12"/>
  <c r="AG718" i="12"/>
  <c r="AG730" i="12"/>
  <c r="AG731" i="12"/>
  <c r="AG732" i="12"/>
  <c r="AG733" i="12"/>
  <c r="AG734" i="12"/>
  <c r="AG735" i="12"/>
  <c r="AG736" i="12"/>
  <c r="AG737" i="12"/>
  <c r="AG738" i="12"/>
  <c r="AG739" i="12"/>
  <c r="AG740" i="12"/>
  <c r="AG741" i="12"/>
  <c r="AG742" i="12"/>
  <c r="AG743" i="12"/>
  <c r="AG744" i="12"/>
  <c r="AG745" i="12"/>
  <c r="AG746" i="12"/>
  <c r="AG747" i="12"/>
  <c r="AG748" i="12"/>
  <c r="AG749" i="12"/>
  <c r="AG750" i="12"/>
  <c r="AG751" i="12"/>
  <c r="AG752" i="12"/>
  <c r="AG753" i="12"/>
  <c r="AG754" i="12"/>
  <c r="AG755" i="12"/>
  <c r="AG756" i="12"/>
  <c r="AG757" i="12"/>
  <c r="AG758" i="12"/>
  <c r="AG759" i="12"/>
  <c r="AG760" i="12"/>
  <c r="AG761" i="12"/>
  <c r="AG762" i="12"/>
  <c r="AG763" i="12"/>
  <c r="AG764" i="12"/>
  <c r="AG765" i="12"/>
  <c r="AG766" i="12"/>
  <c r="AG767" i="12"/>
  <c r="AG768" i="12"/>
  <c r="AG769" i="12"/>
  <c r="AG770" i="12"/>
  <c r="AG771" i="12"/>
  <c r="AG772" i="12"/>
  <c r="AG773" i="12"/>
  <c r="AG774" i="12"/>
  <c r="AG775" i="12"/>
  <c r="AG776" i="12"/>
  <c r="AG777" i="12"/>
  <c r="AG778" i="12"/>
  <c r="AG779" i="12"/>
  <c r="AG780" i="12"/>
  <c r="AG781" i="12"/>
  <c r="AG782" i="12"/>
  <c r="AG783" i="12"/>
  <c r="AG784" i="12"/>
  <c r="AG785" i="12"/>
  <c r="AG786" i="12"/>
  <c r="AG787" i="12"/>
  <c r="AG788" i="12"/>
  <c r="AG789" i="12"/>
  <c r="AG790" i="12"/>
  <c r="AG791" i="12"/>
  <c r="AG792" i="12"/>
  <c r="AG793" i="12"/>
  <c r="AG794" i="12"/>
  <c r="AG795" i="12"/>
  <c r="AG796" i="12"/>
  <c r="AG797" i="12"/>
  <c r="AG798" i="12"/>
  <c r="AG799" i="12"/>
  <c r="AG800" i="12"/>
  <c r="AG801" i="12"/>
  <c r="AG802" i="12"/>
  <c r="AG803" i="12"/>
  <c r="AG804" i="12"/>
  <c r="AG805" i="12"/>
  <c r="AG806" i="12"/>
  <c r="AG807" i="12"/>
  <c r="AG808" i="12"/>
  <c r="AG809" i="12"/>
  <c r="AG810" i="12"/>
  <c r="AG811" i="12"/>
  <c r="AG812" i="12"/>
  <c r="AG813" i="12"/>
  <c r="AG814" i="12"/>
  <c r="AG815" i="12"/>
  <c r="AG816" i="12"/>
  <c r="AG817" i="12"/>
  <c r="AG818" i="12"/>
  <c r="AG819" i="12"/>
  <c r="AG820" i="12"/>
  <c r="AG821" i="12"/>
  <c r="AG822" i="12"/>
  <c r="AG823" i="12"/>
  <c r="AG824" i="12"/>
  <c r="AG825" i="12"/>
  <c r="AG826" i="12"/>
  <c r="AG827" i="12"/>
  <c r="AG828" i="12"/>
  <c r="AG829" i="12"/>
  <c r="AG830" i="12"/>
  <c r="AG831" i="12"/>
  <c r="AG832" i="12"/>
  <c r="AG833" i="12"/>
  <c r="AG834" i="12"/>
  <c r="AG835" i="12"/>
  <c r="AG836" i="12"/>
  <c r="AG837" i="12"/>
  <c r="AG838" i="12"/>
  <c r="AG839" i="12"/>
  <c r="AG840" i="12"/>
  <c r="AG841" i="12"/>
  <c r="AG842" i="12"/>
  <c r="AG843" i="12"/>
  <c r="AG844" i="12"/>
  <c r="AG845" i="12"/>
  <c r="AG846" i="12"/>
  <c r="AG847" i="12"/>
  <c r="AG848" i="12"/>
  <c r="AG849" i="12"/>
  <c r="AG850" i="12"/>
  <c r="AG851" i="12"/>
  <c r="AG852" i="12"/>
  <c r="AG853" i="12"/>
  <c r="AG854" i="12"/>
  <c r="AG855" i="12"/>
  <c r="AG856" i="12"/>
  <c r="AG857" i="12"/>
  <c r="AG858" i="12"/>
  <c r="AG859" i="12"/>
  <c r="AG860" i="12"/>
  <c r="AG861" i="12"/>
  <c r="AG862" i="12"/>
  <c r="AG863" i="12"/>
  <c r="AG864" i="12"/>
  <c r="AG865" i="12"/>
  <c r="AG866" i="12"/>
  <c r="AG867" i="12"/>
  <c r="AG868" i="12"/>
  <c r="AG869" i="12"/>
  <c r="AG870" i="12"/>
  <c r="AG871" i="12"/>
  <c r="AG872" i="12"/>
  <c r="AG873" i="12"/>
  <c r="AG874" i="12"/>
  <c r="AG875" i="12"/>
  <c r="AG876" i="12"/>
  <c r="AG877" i="12"/>
  <c r="AG878" i="12"/>
  <c r="AG879" i="12"/>
  <c r="AG880" i="12"/>
  <c r="AG881" i="12"/>
  <c r="AG882" i="12"/>
  <c r="AG883" i="12"/>
  <c r="AG884" i="12"/>
  <c r="AG885" i="12"/>
  <c r="AG886" i="12"/>
  <c r="AG887" i="12"/>
  <c r="AG888" i="12"/>
  <c r="AG889" i="12"/>
  <c r="AG890" i="12"/>
  <c r="AG891" i="12"/>
  <c r="AG892" i="12"/>
  <c r="AG893" i="12"/>
  <c r="AG894" i="12"/>
  <c r="AG895" i="12"/>
  <c r="AG896" i="12"/>
  <c r="AG897" i="12"/>
  <c r="AG898" i="12"/>
  <c r="AG899" i="12"/>
  <c r="AG900" i="12"/>
  <c r="AG901" i="12"/>
  <c r="AG902" i="12"/>
  <c r="AG903" i="12"/>
  <c r="AG904" i="12"/>
  <c r="AG905" i="12"/>
  <c r="AG906" i="12"/>
  <c r="AG907" i="12"/>
  <c r="AG908" i="12"/>
  <c r="AG909" i="12"/>
  <c r="AG910" i="12"/>
  <c r="AG911" i="12"/>
  <c r="AG912" i="12"/>
  <c r="AG913" i="12"/>
  <c r="AG914" i="12"/>
  <c r="AG915" i="12"/>
  <c r="AG916" i="12"/>
  <c r="AG917" i="12"/>
  <c r="AG918" i="12"/>
  <c r="AG919" i="12"/>
  <c r="AG920" i="12"/>
  <c r="AG921" i="12"/>
  <c r="AG922" i="12"/>
  <c r="AG923" i="12"/>
  <c r="AG924" i="12"/>
  <c r="AG925" i="12"/>
  <c r="AG926" i="12"/>
  <c r="AG927" i="12"/>
  <c r="AG928" i="12"/>
  <c r="AG929" i="12"/>
  <c r="AG930" i="12"/>
  <c r="AG931" i="12"/>
  <c r="AG932" i="12"/>
  <c r="AG933" i="12"/>
  <c r="AG934" i="12"/>
  <c r="AG935" i="12"/>
  <c r="AG936" i="12"/>
  <c r="AG937" i="12"/>
  <c r="AG938" i="12"/>
  <c r="AG939" i="12"/>
  <c r="AG940" i="12"/>
  <c r="AG941" i="12"/>
  <c r="AG942" i="12"/>
  <c r="AG943" i="12"/>
  <c r="AG944" i="12"/>
  <c r="AG945" i="12"/>
  <c r="AG946" i="12"/>
  <c r="AG947" i="12"/>
  <c r="AG948" i="12"/>
  <c r="AG949" i="12"/>
  <c r="AG950" i="12"/>
  <c r="AG951" i="12"/>
  <c r="AG952" i="12"/>
  <c r="AG953" i="12"/>
  <c r="AG954" i="12"/>
  <c r="AG955" i="12"/>
  <c r="AG956" i="12"/>
  <c r="AG957" i="12"/>
  <c r="AG958" i="12"/>
  <c r="AG959" i="12"/>
  <c r="AG960" i="12"/>
  <c r="AG961" i="12"/>
  <c r="AG962" i="12"/>
  <c r="AG963" i="12"/>
  <c r="AG964" i="12"/>
  <c r="AG965" i="12"/>
  <c r="AG966" i="12"/>
  <c r="AG967" i="12"/>
  <c r="AG968" i="12"/>
  <c r="AG969" i="12"/>
  <c r="AG970" i="12"/>
  <c r="AG971" i="12"/>
  <c r="AG972" i="12"/>
  <c r="AG973" i="12"/>
  <c r="AG974" i="12"/>
  <c r="AG975" i="12"/>
  <c r="AG976" i="12"/>
  <c r="AG977" i="12"/>
  <c r="AG978" i="12"/>
  <c r="AG979" i="12"/>
  <c r="AG980" i="12"/>
  <c r="AG981" i="12"/>
  <c r="AG982" i="12"/>
  <c r="AG983" i="12"/>
  <c r="AG984" i="12"/>
  <c r="AG985" i="12"/>
  <c r="AG986" i="12"/>
  <c r="AG987" i="12"/>
  <c r="AG988" i="12"/>
  <c r="AG989" i="12"/>
  <c r="AG990" i="12"/>
  <c r="AG991" i="12"/>
  <c r="AG992" i="12"/>
  <c r="AG993" i="12"/>
  <c r="AG994" i="12"/>
  <c r="AG995" i="12"/>
  <c r="AG996" i="12"/>
  <c r="AG997" i="12"/>
  <c r="AG998" i="12"/>
  <c r="AG999" i="12"/>
  <c r="AG1000" i="12"/>
  <c r="AG1001" i="12"/>
  <c r="AG1002" i="12"/>
  <c r="AG1003" i="12"/>
  <c r="AG1004" i="12"/>
  <c r="AG1005" i="12"/>
  <c r="AG1006" i="12"/>
  <c r="AG1007" i="12"/>
  <c r="AG1008" i="12"/>
  <c r="AG1009" i="12"/>
  <c r="AG1010" i="12"/>
  <c r="AG1011" i="12"/>
  <c r="AG1012" i="12"/>
  <c r="AG1013" i="12"/>
  <c r="AG1014" i="12"/>
  <c r="AG1015" i="12"/>
  <c r="AG1016" i="12"/>
  <c r="AG1017" i="12"/>
  <c r="AG1018" i="12"/>
  <c r="AG1019" i="12"/>
  <c r="AG1020" i="12"/>
  <c r="AG1021" i="12"/>
  <c r="AG1022" i="12"/>
  <c r="AG1023" i="12"/>
  <c r="AG1024" i="12"/>
  <c r="AG1025" i="12"/>
  <c r="AG1026" i="12"/>
  <c r="AG1027" i="12"/>
  <c r="AG1028" i="12"/>
  <c r="AG1029" i="12"/>
  <c r="AG1030" i="12"/>
  <c r="AG1031" i="12"/>
  <c r="AG1032" i="12"/>
  <c r="AG1033" i="12"/>
  <c r="AG1034" i="12"/>
  <c r="AG1035" i="12"/>
  <c r="AG1036" i="12"/>
  <c r="AG1037" i="12"/>
  <c r="AG1038" i="12"/>
  <c r="AG1039" i="12"/>
  <c r="AG1040" i="12"/>
  <c r="AG1041" i="12"/>
  <c r="AG1042" i="12"/>
  <c r="AG1043" i="12"/>
  <c r="AG1044" i="12"/>
  <c r="AG1045" i="12"/>
  <c r="AG1046" i="12"/>
  <c r="AG1047" i="12"/>
  <c r="AG1048" i="12"/>
  <c r="AG1049" i="12"/>
  <c r="AG1050" i="12"/>
  <c r="AG1051" i="12"/>
  <c r="AG1052" i="12"/>
  <c r="AG1053" i="12"/>
  <c r="AG1054" i="12"/>
  <c r="AG1055" i="12"/>
  <c r="AG1056" i="12"/>
  <c r="AG1057" i="12"/>
  <c r="AG1058" i="12"/>
  <c r="AG1059" i="12"/>
  <c r="AG1060" i="12"/>
  <c r="AG1061" i="12"/>
  <c r="AG1062" i="12"/>
  <c r="AG1063" i="12"/>
  <c r="AG1064" i="12"/>
  <c r="AG1065" i="12"/>
  <c r="AG1066" i="12"/>
  <c r="AG1067" i="12"/>
  <c r="AG1068" i="12"/>
  <c r="AG1069" i="12"/>
  <c r="AG1070" i="12"/>
  <c r="AG1071" i="12"/>
  <c r="AG1072" i="12"/>
  <c r="AG1073" i="12"/>
  <c r="AG1074" i="12"/>
  <c r="AG1075" i="12"/>
  <c r="AG1076" i="12"/>
  <c r="AG1077" i="12"/>
  <c r="AG1078" i="12"/>
  <c r="AG1079" i="12"/>
  <c r="AG1080" i="12"/>
  <c r="AG1081" i="12"/>
  <c r="AG1082" i="12"/>
  <c r="AG1083" i="12"/>
  <c r="AG1084" i="12"/>
  <c r="AG1085" i="12"/>
  <c r="AG1086" i="12"/>
  <c r="AG1087" i="12"/>
  <c r="AG1088" i="12"/>
  <c r="AG1089" i="12"/>
  <c r="AG1090" i="12"/>
  <c r="AG1091" i="12"/>
  <c r="AG1092" i="12"/>
  <c r="AG1093" i="12"/>
  <c r="AG1094" i="12"/>
  <c r="AG1095" i="12"/>
  <c r="AG1096" i="12"/>
  <c r="AG1097" i="12"/>
  <c r="AG1098" i="12"/>
  <c r="AG1099" i="12"/>
  <c r="AG1100" i="12"/>
  <c r="AG1101" i="12"/>
  <c r="AG1102" i="12"/>
  <c r="AG1103" i="12"/>
  <c r="AG1104" i="12"/>
  <c r="AG1105" i="12"/>
  <c r="AG1106" i="12"/>
  <c r="AG1107" i="12"/>
  <c r="AG1108" i="12"/>
  <c r="AG1109" i="12"/>
  <c r="AG1110" i="12"/>
  <c r="AG1111" i="12"/>
  <c r="AG1112" i="12"/>
  <c r="AG1113" i="12"/>
  <c r="AG1114" i="12"/>
  <c r="AG1115" i="12"/>
  <c r="AG1116" i="12"/>
  <c r="AG1117" i="12"/>
  <c r="AG1118" i="12"/>
  <c r="AG1119" i="12"/>
  <c r="AG1120" i="12"/>
  <c r="AG1121" i="12"/>
  <c r="AG1122" i="12"/>
  <c r="AG1123" i="12"/>
  <c r="AG1124" i="12"/>
  <c r="AG1125" i="12"/>
  <c r="AG1126" i="12"/>
  <c r="AG1127" i="12"/>
  <c r="AG1128" i="12"/>
  <c r="AG1129" i="12"/>
  <c r="AG1130" i="12"/>
  <c r="AG1131" i="12"/>
  <c r="AG1132" i="12"/>
  <c r="AG1133" i="12"/>
  <c r="AG1136" i="12"/>
  <c r="AG1137" i="12"/>
  <c r="AG1140" i="12"/>
  <c r="AG1141" i="12"/>
  <c r="AG1142" i="12"/>
  <c r="AG1143" i="12"/>
  <c r="AG1144" i="12"/>
  <c r="AG1145" i="12"/>
  <c r="AG1146" i="12"/>
  <c r="AG1147" i="12"/>
  <c r="AG1148" i="12"/>
  <c r="AG1149" i="12"/>
  <c r="AG1150" i="12"/>
  <c r="AG1151" i="12"/>
  <c r="AG1152" i="12"/>
  <c r="AG1153" i="12"/>
  <c r="AG1154" i="12"/>
  <c r="AG1155" i="12"/>
  <c r="AG1156" i="12"/>
  <c r="AG1157" i="12"/>
  <c r="AG1158" i="12"/>
  <c r="AG1159" i="12"/>
  <c r="AF5" i="12"/>
  <c r="AF6" i="12"/>
  <c r="AF7" i="12"/>
  <c r="AF8" i="12"/>
  <c r="AF9" i="12"/>
  <c r="AF10" i="12"/>
  <c r="AF11" i="12"/>
  <c r="AF12" i="12"/>
  <c r="AF13" i="12"/>
  <c r="AF14" i="12"/>
  <c r="AF15" i="12"/>
  <c r="AF16" i="12"/>
  <c r="AF17" i="12"/>
  <c r="AF18" i="12"/>
  <c r="AF19" i="12"/>
  <c r="AF20" i="12"/>
  <c r="AF21" i="12"/>
  <c r="AF22" i="12"/>
  <c r="AF23" i="12"/>
  <c r="AF24" i="12"/>
  <c r="AF25" i="12"/>
  <c r="AF26" i="12"/>
  <c r="AF27" i="12"/>
  <c r="AF28" i="12"/>
  <c r="AF29" i="12"/>
  <c r="AF30" i="12"/>
  <c r="AF31" i="12"/>
  <c r="AF32" i="12"/>
  <c r="AF33" i="12"/>
  <c r="AF34" i="12"/>
  <c r="AF35" i="12"/>
  <c r="AF36" i="12"/>
  <c r="AF37" i="12"/>
  <c r="AF38" i="12"/>
  <c r="AF39" i="12"/>
  <c r="AF40" i="12"/>
  <c r="AF41" i="12"/>
  <c r="AF42" i="12"/>
  <c r="AF43" i="12"/>
  <c r="AF44" i="12"/>
  <c r="AF45" i="12"/>
  <c r="AF46" i="12"/>
  <c r="AF47" i="12"/>
  <c r="AF48" i="12"/>
  <c r="AF49" i="12"/>
  <c r="AF50" i="12"/>
  <c r="AF51" i="12"/>
  <c r="AF52" i="12"/>
  <c r="AF53" i="12"/>
  <c r="AF54" i="12"/>
  <c r="AF55" i="12"/>
  <c r="AF56" i="12"/>
  <c r="AF57" i="12"/>
  <c r="AF58" i="12"/>
  <c r="AF59" i="12"/>
  <c r="AF60" i="12"/>
  <c r="AF61" i="12"/>
  <c r="AF62" i="12"/>
  <c r="AF63" i="12"/>
  <c r="AF64" i="12"/>
  <c r="AF65" i="12"/>
  <c r="AF66" i="12"/>
  <c r="AF67" i="12"/>
  <c r="AF68" i="12"/>
  <c r="AF69" i="12"/>
  <c r="AF70" i="12"/>
  <c r="AF71" i="12"/>
  <c r="AF72" i="12"/>
  <c r="AF73" i="12"/>
  <c r="AF74" i="12"/>
  <c r="AF75" i="12"/>
  <c r="AF76" i="12"/>
  <c r="AF77" i="12"/>
  <c r="AF78" i="12"/>
  <c r="AF79" i="12"/>
  <c r="AF80" i="12"/>
  <c r="AF81" i="12"/>
  <c r="AF82" i="12"/>
  <c r="AF83" i="12"/>
  <c r="AF84" i="12"/>
  <c r="AF85" i="12"/>
  <c r="AF86" i="12"/>
  <c r="AF87" i="12"/>
  <c r="AF88" i="12"/>
  <c r="AF89" i="12"/>
  <c r="AF90" i="12"/>
  <c r="AF91" i="12"/>
  <c r="AF92" i="12"/>
  <c r="AF93" i="12"/>
  <c r="AF94" i="12"/>
  <c r="AF95" i="12"/>
  <c r="AF96" i="12"/>
  <c r="AF97" i="12"/>
  <c r="AF98" i="12"/>
  <c r="AF99" i="12"/>
  <c r="AF100" i="12"/>
  <c r="AF101" i="12"/>
  <c r="AF102" i="12"/>
  <c r="AF103" i="12"/>
  <c r="AF104" i="12"/>
  <c r="AF105" i="12"/>
  <c r="AF106" i="12"/>
  <c r="AF107" i="12"/>
  <c r="AF108" i="12"/>
  <c r="AF109" i="12"/>
  <c r="AF110" i="12"/>
  <c r="AF111" i="12"/>
  <c r="AF112" i="12"/>
  <c r="AF113" i="12"/>
  <c r="AF114" i="12"/>
  <c r="AF115" i="12"/>
  <c r="AF116" i="12"/>
  <c r="AF117" i="12"/>
  <c r="AF118" i="12"/>
  <c r="AF119" i="12"/>
  <c r="AF120" i="12"/>
  <c r="AF121" i="12"/>
  <c r="AF122" i="12"/>
  <c r="AF123" i="12"/>
  <c r="AF124" i="12"/>
  <c r="AF125" i="12"/>
  <c r="AF126" i="12"/>
  <c r="AF127" i="12"/>
  <c r="AF128" i="12"/>
  <c r="AF129" i="12"/>
  <c r="AF130" i="12"/>
  <c r="AF131" i="12"/>
  <c r="AF132" i="12"/>
  <c r="AF133" i="12"/>
  <c r="AF134" i="12"/>
  <c r="AF135" i="12"/>
  <c r="AF136" i="12"/>
  <c r="AF137" i="12"/>
  <c r="AF138" i="12"/>
  <c r="AF139" i="12"/>
  <c r="AF140" i="12"/>
  <c r="AF141" i="12"/>
  <c r="AF142" i="12"/>
  <c r="AF143" i="12"/>
  <c r="AF144" i="12"/>
  <c r="AF145" i="12"/>
  <c r="AF146" i="12"/>
  <c r="AF147" i="12"/>
  <c r="AF148" i="12"/>
  <c r="AF149" i="12"/>
  <c r="AF150" i="12"/>
  <c r="AF151" i="12"/>
  <c r="AF152" i="12"/>
  <c r="AF153" i="12"/>
  <c r="AF154" i="12"/>
  <c r="AF155" i="12"/>
  <c r="AF156" i="12"/>
  <c r="AF157" i="12"/>
  <c r="AF158" i="12"/>
  <c r="AF159" i="12"/>
  <c r="AF160" i="12"/>
  <c r="AF161" i="12"/>
  <c r="AF162" i="12"/>
  <c r="AF163" i="12"/>
  <c r="AF164" i="12"/>
  <c r="AF165" i="12"/>
  <c r="AF166" i="12"/>
  <c r="AF167" i="12"/>
  <c r="AF168" i="12"/>
  <c r="AF169" i="12"/>
  <c r="AF170" i="12"/>
  <c r="AF171" i="12"/>
  <c r="AF172" i="12"/>
  <c r="AF173" i="12"/>
  <c r="AF174" i="12"/>
  <c r="AF175" i="12"/>
  <c r="AF176" i="12"/>
  <c r="AF177" i="12"/>
  <c r="AF178" i="12"/>
  <c r="AF179" i="12"/>
  <c r="AF180" i="12"/>
  <c r="AF181" i="12"/>
  <c r="AF182" i="12"/>
  <c r="AF183" i="12"/>
  <c r="AF184" i="12"/>
  <c r="AF185" i="12"/>
  <c r="AF186" i="12"/>
  <c r="AF187" i="12"/>
  <c r="AF188" i="12"/>
  <c r="AF189" i="12"/>
  <c r="AF190" i="12"/>
  <c r="AF191" i="12"/>
  <c r="AF192" i="12"/>
  <c r="AF193" i="12"/>
  <c r="AF194" i="12"/>
  <c r="AF195" i="12"/>
  <c r="AF196" i="12"/>
  <c r="AF197" i="12"/>
  <c r="AF198" i="12"/>
  <c r="AF199" i="12"/>
  <c r="AF200" i="12"/>
  <c r="AF201" i="12"/>
  <c r="AF202" i="12"/>
  <c r="AF203" i="12"/>
  <c r="AF204" i="12"/>
  <c r="AF205" i="12"/>
  <c r="AF206" i="12"/>
  <c r="AF207" i="12"/>
  <c r="AF208" i="12"/>
  <c r="AF209" i="12"/>
  <c r="AF210" i="12"/>
  <c r="AF211" i="12"/>
  <c r="AF212" i="12"/>
  <c r="AF213" i="12"/>
  <c r="AF214" i="12"/>
  <c r="AF215" i="12"/>
  <c r="AF216" i="12"/>
  <c r="AF217" i="12"/>
  <c r="AF218" i="12"/>
  <c r="AF219" i="12"/>
  <c r="AF220" i="12"/>
  <c r="AF221" i="12"/>
  <c r="AF222" i="12"/>
  <c r="AF223" i="12"/>
  <c r="AF224" i="12"/>
  <c r="AF225" i="12"/>
  <c r="AF226" i="12"/>
  <c r="AF227" i="12"/>
  <c r="AF228" i="12"/>
  <c r="AF229" i="12"/>
  <c r="AF230" i="12"/>
  <c r="AF231" i="12"/>
  <c r="AF232" i="12"/>
  <c r="AF233" i="12"/>
  <c r="AF234" i="12"/>
  <c r="AF235" i="12"/>
  <c r="AF236" i="12"/>
  <c r="AF237" i="12"/>
  <c r="AF238" i="12"/>
  <c r="AF239" i="12"/>
  <c r="AF240" i="12"/>
  <c r="AF241" i="12"/>
  <c r="AF242" i="12"/>
  <c r="AF243" i="12"/>
  <c r="AF244" i="12"/>
  <c r="AF245" i="12"/>
  <c r="AF246" i="12"/>
  <c r="AF247" i="12"/>
  <c r="AF248" i="12"/>
  <c r="AF249" i="12"/>
  <c r="AF250" i="12"/>
  <c r="AF251" i="12"/>
  <c r="AF252" i="12"/>
  <c r="AF253" i="12"/>
  <c r="AF254" i="12"/>
  <c r="AF255" i="12"/>
  <c r="AF256" i="12"/>
  <c r="AF257" i="12"/>
  <c r="AF258" i="12"/>
  <c r="AF259" i="12"/>
  <c r="AF260" i="12"/>
  <c r="AF261" i="12"/>
  <c r="AF262" i="12"/>
  <c r="AF263" i="12"/>
  <c r="AF264" i="12"/>
  <c r="AF265" i="12"/>
  <c r="AF266" i="12"/>
  <c r="AF267" i="12"/>
  <c r="AF268" i="12"/>
  <c r="AF269" i="12"/>
  <c r="AF270" i="12"/>
  <c r="AF271" i="12"/>
  <c r="AF272" i="12"/>
  <c r="AF273" i="12"/>
  <c r="AF274" i="12"/>
  <c r="AF275" i="12"/>
  <c r="AF276" i="12"/>
  <c r="AF277" i="12"/>
  <c r="AF278" i="12"/>
  <c r="AF279" i="12"/>
  <c r="AF280" i="12"/>
  <c r="AF281" i="12"/>
  <c r="AF282" i="12"/>
  <c r="AF283" i="12"/>
  <c r="AF284" i="12"/>
  <c r="AF285" i="12"/>
  <c r="AF286" i="12"/>
  <c r="AF287" i="12"/>
  <c r="AF288" i="12"/>
  <c r="AF289" i="12"/>
  <c r="AF290" i="12"/>
  <c r="AF291" i="12"/>
  <c r="AF292" i="12"/>
  <c r="AF293" i="12"/>
  <c r="AF294" i="12"/>
  <c r="AF295" i="12"/>
  <c r="AF296" i="12"/>
  <c r="AF297" i="12"/>
  <c r="AF298" i="12"/>
  <c r="AF299" i="12"/>
  <c r="AF300" i="12"/>
  <c r="AF301" i="12"/>
  <c r="AF302" i="12"/>
  <c r="AF303" i="12"/>
  <c r="AF304" i="12"/>
  <c r="AF305" i="12"/>
  <c r="AF306" i="12"/>
  <c r="AF307" i="12"/>
  <c r="AF308" i="12"/>
  <c r="AF309" i="12"/>
  <c r="AF310" i="12"/>
  <c r="AF311" i="12"/>
  <c r="AF312" i="12"/>
  <c r="AF313" i="12"/>
  <c r="AF314" i="12"/>
  <c r="AF315" i="12"/>
  <c r="AF316" i="12"/>
  <c r="AF317" i="12"/>
  <c r="AF318" i="12"/>
  <c r="AF319" i="12"/>
  <c r="AF320" i="12"/>
  <c r="AF321" i="12"/>
  <c r="AF322" i="12"/>
  <c r="AF323" i="12"/>
  <c r="AF324" i="12"/>
  <c r="AF325" i="12"/>
  <c r="AF326" i="12"/>
  <c r="AF327" i="12"/>
  <c r="AF328" i="12"/>
  <c r="AF329" i="12"/>
  <c r="AF330" i="12"/>
  <c r="AF331" i="12"/>
  <c r="AF332" i="12"/>
  <c r="AF333" i="12"/>
  <c r="AF334" i="12"/>
  <c r="AF335" i="12"/>
  <c r="AF336" i="12"/>
  <c r="AF337" i="12"/>
  <c r="AF338" i="12"/>
  <c r="AF339" i="12"/>
  <c r="AF340" i="12"/>
  <c r="AF341" i="12"/>
  <c r="AF342" i="12"/>
  <c r="AF343" i="12"/>
  <c r="AF344" i="12"/>
  <c r="AF345" i="12"/>
  <c r="AF346" i="12"/>
  <c r="AF347" i="12"/>
  <c r="AF348" i="12"/>
  <c r="AF349" i="12"/>
  <c r="AF350" i="12"/>
  <c r="AF351" i="12"/>
  <c r="AF352" i="12"/>
  <c r="AF353" i="12"/>
  <c r="AF354" i="12"/>
  <c r="AF355" i="12"/>
  <c r="AF356" i="12"/>
  <c r="AF357" i="12"/>
  <c r="AF358" i="12"/>
  <c r="AF359" i="12"/>
  <c r="AF360" i="12"/>
  <c r="AF361" i="12"/>
  <c r="AF362" i="12"/>
  <c r="AF363" i="12"/>
  <c r="AF364" i="12"/>
  <c r="AF365" i="12"/>
  <c r="AF366" i="12"/>
  <c r="AF367" i="12"/>
  <c r="AF368" i="12"/>
  <c r="AF369" i="12"/>
  <c r="AF370" i="12"/>
  <c r="AF371" i="12"/>
  <c r="AF372" i="12"/>
  <c r="AF373" i="12"/>
  <c r="AF374" i="12"/>
  <c r="AF375" i="12"/>
  <c r="AF376" i="12"/>
  <c r="AF377" i="12"/>
  <c r="AF378" i="12"/>
  <c r="AF379" i="12"/>
  <c r="AF380" i="12"/>
  <c r="AF381" i="12"/>
  <c r="AF382" i="12"/>
  <c r="AF383" i="12"/>
  <c r="AF384" i="12"/>
  <c r="AF385" i="12"/>
  <c r="AF386" i="12"/>
  <c r="AF387" i="12"/>
  <c r="AF388" i="12"/>
  <c r="AF389" i="12"/>
  <c r="AF390" i="12"/>
  <c r="AF391" i="12"/>
  <c r="AF392" i="12"/>
  <c r="AF393" i="12"/>
  <c r="AF394" i="12"/>
  <c r="AF395" i="12"/>
  <c r="AF396" i="12"/>
  <c r="AF397" i="12"/>
  <c r="AF398" i="12"/>
  <c r="AF399" i="12"/>
  <c r="AF400" i="12"/>
  <c r="AF401" i="12"/>
  <c r="AF402" i="12"/>
  <c r="AF403" i="12"/>
  <c r="AF404" i="12"/>
  <c r="AF405" i="12"/>
  <c r="AF406" i="12"/>
  <c r="AF407" i="12"/>
  <c r="AF408" i="12"/>
  <c r="AF409" i="12"/>
  <c r="AF410" i="12"/>
  <c r="AF411" i="12"/>
  <c r="AF412" i="12"/>
  <c r="AF413" i="12"/>
  <c r="AF414" i="12"/>
  <c r="AF415" i="12"/>
  <c r="AF416" i="12"/>
  <c r="AF417" i="12"/>
  <c r="AF418" i="12"/>
  <c r="AF419" i="12"/>
  <c r="AF420" i="12"/>
  <c r="AF421" i="12"/>
  <c r="AF422" i="12"/>
  <c r="AF423" i="12"/>
  <c r="AF424" i="12"/>
  <c r="AF425" i="12"/>
  <c r="AF426" i="12"/>
  <c r="AF427" i="12"/>
  <c r="AF428" i="12"/>
  <c r="AF429" i="12"/>
  <c r="AF430" i="12"/>
  <c r="AF431" i="12"/>
  <c r="AF432" i="12"/>
  <c r="AF433" i="12"/>
  <c r="AF434" i="12"/>
  <c r="AF435" i="12"/>
  <c r="AF436" i="12"/>
  <c r="AF437" i="12"/>
  <c r="AF438" i="12"/>
  <c r="AF439" i="12"/>
  <c r="AF440" i="12"/>
  <c r="AF441" i="12"/>
  <c r="AF442" i="12"/>
  <c r="AF443" i="12"/>
  <c r="AF444" i="12"/>
  <c r="AF445" i="12"/>
  <c r="AF446" i="12"/>
  <c r="AF447" i="12"/>
  <c r="AF448" i="12"/>
  <c r="AF449" i="12"/>
  <c r="AF450" i="12"/>
  <c r="AF451" i="12"/>
  <c r="AF452" i="12"/>
  <c r="AF453" i="12"/>
  <c r="AF454" i="12"/>
  <c r="AF455" i="12"/>
  <c r="AF456" i="12"/>
  <c r="AF457" i="12"/>
  <c r="AF458" i="12"/>
  <c r="AF459" i="12"/>
  <c r="AF460" i="12"/>
  <c r="AF461" i="12"/>
  <c r="AF462" i="12"/>
  <c r="AF463" i="12"/>
  <c r="AF464" i="12"/>
  <c r="AF465" i="12"/>
  <c r="AF466" i="12"/>
  <c r="AF467" i="12"/>
  <c r="AF468" i="12"/>
  <c r="AF469" i="12"/>
  <c r="AF470" i="12"/>
  <c r="AF471" i="12"/>
  <c r="AF472" i="12"/>
  <c r="AF473" i="12"/>
  <c r="AF474" i="12"/>
  <c r="AF475" i="12"/>
  <c r="AF476" i="12"/>
  <c r="AF477" i="12"/>
  <c r="AF478" i="12"/>
  <c r="AF479" i="12"/>
  <c r="AF480" i="12"/>
  <c r="AF481" i="12"/>
  <c r="AF482" i="12"/>
  <c r="AF483" i="12"/>
  <c r="AF484" i="12"/>
  <c r="AF485" i="12"/>
  <c r="AF486" i="12"/>
  <c r="AF487" i="12"/>
  <c r="AF488" i="12"/>
  <c r="AF489" i="12"/>
  <c r="AF490" i="12"/>
  <c r="AF491" i="12"/>
  <c r="AF492" i="12"/>
  <c r="AF493" i="12"/>
  <c r="AF494" i="12"/>
  <c r="AF495" i="12"/>
  <c r="AF496" i="12"/>
  <c r="AF497" i="12"/>
  <c r="AF498" i="12"/>
  <c r="AF499" i="12"/>
  <c r="AF500" i="12"/>
  <c r="AF501" i="12"/>
  <c r="AF502" i="12"/>
  <c r="AF503" i="12"/>
  <c r="AF504" i="12"/>
  <c r="AF505" i="12"/>
  <c r="AF506" i="12"/>
  <c r="AF507" i="12"/>
  <c r="AF508" i="12"/>
  <c r="AF509" i="12"/>
  <c r="AF510" i="12"/>
  <c r="AF511" i="12"/>
  <c r="AF512" i="12"/>
  <c r="AF513" i="12"/>
  <c r="AF514" i="12"/>
  <c r="AF515" i="12"/>
  <c r="AF516" i="12"/>
  <c r="AF517" i="12"/>
  <c r="AF518" i="12"/>
  <c r="AF519" i="12"/>
  <c r="AF520" i="12"/>
  <c r="AF521" i="12"/>
  <c r="AF522" i="12"/>
  <c r="AF523" i="12"/>
  <c r="AF524" i="12"/>
  <c r="AF525" i="12"/>
  <c r="AF526" i="12"/>
  <c r="AF527" i="12"/>
  <c r="AF528" i="12"/>
  <c r="AF529" i="12"/>
  <c r="AF530" i="12"/>
  <c r="AF531" i="12"/>
  <c r="AF532" i="12"/>
  <c r="AF533" i="12"/>
  <c r="AF534" i="12"/>
  <c r="AF535" i="12"/>
  <c r="AF536" i="12"/>
  <c r="AF537" i="12"/>
  <c r="AF538" i="12"/>
  <c r="AF539" i="12"/>
  <c r="AF540" i="12"/>
  <c r="AF541" i="12"/>
  <c r="AF542" i="12"/>
  <c r="AF543" i="12"/>
  <c r="AF544" i="12"/>
  <c r="AF545" i="12"/>
  <c r="AF546" i="12"/>
  <c r="AF547" i="12"/>
  <c r="AF548" i="12"/>
  <c r="AF549" i="12"/>
  <c r="AF550" i="12"/>
  <c r="AF551" i="12"/>
  <c r="AF552" i="12"/>
  <c r="AF553" i="12"/>
  <c r="AF554" i="12"/>
  <c r="AF555" i="12"/>
  <c r="AF556" i="12"/>
  <c r="AF557" i="12"/>
  <c r="AF558" i="12"/>
  <c r="AF559" i="12"/>
  <c r="AF560" i="12"/>
  <c r="AF561" i="12"/>
  <c r="AF562" i="12"/>
  <c r="AF563" i="12"/>
  <c r="AF564" i="12"/>
  <c r="AF565" i="12"/>
  <c r="AF566" i="12"/>
  <c r="AF567" i="12"/>
  <c r="AF568" i="12"/>
  <c r="AF569" i="12"/>
  <c r="AF570" i="12"/>
  <c r="AF571" i="12"/>
  <c r="AF572" i="12"/>
  <c r="AF573" i="12"/>
  <c r="AF574" i="12"/>
  <c r="AF575" i="12"/>
  <c r="AF576" i="12"/>
  <c r="AF577" i="12"/>
  <c r="AF578" i="12"/>
  <c r="AF579" i="12"/>
  <c r="AF580" i="12"/>
  <c r="AF581" i="12"/>
  <c r="AF582" i="12"/>
  <c r="AF583" i="12"/>
  <c r="AF584" i="12"/>
  <c r="AF585" i="12"/>
  <c r="AF586" i="12"/>
  <c r="AF587" i="12"/>
  <c r="AF588" i="12"/>
  <c r="AF589" i="12"/>
  <c r="AF590" i="12"/>
  <c r="AF591" i="12"/>
  <c r="AF592" i="12"/>
  <c r="AF593" i="12"/>
  <c r="AF594" i="12"/>
  <c r="AF595" i="12"/>
  <c r="AF596" i="12"/>
  <c r="AF597" i="12"/>
  <c r="AF598" i="12"/>
  <c r="AF599" i="12"/>
  <c r="AF600" i="12"/>
  <c r="AF601" i="12"/>
  <c r="AF602" i="12"/>
  <c r="AF603" i="12"/>
  <c r="AF604" i="12"/>
  <c r="AF605" i="12"/>
  <c r="AF606" i="12"/>
  <c r="AF607" i="12"/>
  <c r="AF608" i="12"/>
  <c r="AF609" i="12"/>
  <c r="AF610" i="12"/>
  <c r="AF611" i="12"/>
  <c r="AF612" i="12"/>
  <c r="AF613" i="12"/>
  <c r="AF614" i="12"/>
  <c r="AF615" i="12"/>
  <c r="AF616" i="12"/>
  <c r="AF617" i="12"/>
  <c r="AF618" i="12"/>
  <c r="AF619" i="12"/>
  <c r="AF620" i="12"/>
  <c r="AF621" i="12"/>
  <c r="AF622" i="12"/>
  <c r="AF623" i="12"/>
  <c r="AF624" i="12"/>
  <c r="AF625" i="12"/>
  <c r="AF626" i="12"/>
  <c r="AF627" i="12"/>
  <c r="AF628" i="12"/>
  <c r="AF629" i="12"/>
  <c r="AF630" i="12"/>
  <c r="AF631" i="12"/>
  <c r="AF632" i="12"/>
  <c r="AF633" i="12"/>
  <c r="AF634" i="12"/>
  <c r="AF635" i="12"/>
  <c r="AF636" i="12"/>
  <c r="AF637" i="12"/>
  <c r="AF638" i="12"/>
  <c r="AF639" i="12"/>
  <c r="AF640" i="12"/>
  <c r="AF641" i="12"/>
  <c r="AF642" i="12"/>
  <c r="AF643" i="12"/>
  <c r="AF644" i="12"/>
  <c r="AF645" i="12"/>
  <c r="AF646" i="12"/>
  <c r="AF647" i="12"/>
  <c r="AF648" i="12"/>
  <c r="AF649" i="12"/>
  <c r="AF650" i="12"/>
  <c r="AF651" i="12"/>
  <c r="AF652" i="12"/>
  <c r="AF653" i="12"/>
  <c r="AF654" i="12"/>
  <c r="AF655" i="12"/>
  <c r="AF656" i="12"/>
  <c r="AF657" i="12"/>
  <c r="AF658" i="12"/>
  <c r="AF659" i="12"/>
  <c r="AF660" i="12"/>
  <c r="AF661" i="12"/>
  <c r="AF662" i="12"/>
  <c r="AF663" i="12"/>
  <c r="AF664" i="12"/>
  <c r="AF665" i="12"/>
  <c r="AF666" i="12"/>
  <c r="AF667" i="12"/>
  <c r="AF668" i="12"/>
  <c r="AF669" i="12"/>
  <c r="AF670" i="12"/>
  <c r="AF671" i="12"/>
  <c r="AF672" i="12"/>
  <c r="AF673" i="12"/>
  <c r="AF674" i="12"/>
  <c r="AF675" i="12"/>
  <c r="AF676" i="12"/>
  <c r="AF677" i="12"/>
  <c r="AF678" i="12"/>
  <c r="AF679" i="12"/>
  <c r="AF680" i="12"/>
  <c r="AF681" i="12"/>
  <c r="AF682" i="12"/>
  <c r="AF683" i="12"/>
  <c r="AF684" i="12"/>
  <c r="AF685" i="12"/>
  <c r="AF686" i="12"/>
  <c r="AF687" i="12"/>
  <c r="AF688" i="12"/>
  <c r="AF689" i="12"/>
  <c r="AF690" i="12"/>
  <c r="AF691" i="12"/>
  <c r="AF692" i="12"/>
  <c r="AF693" i="12"/>
  <c r="AF694" i="12"/>
  <c r="AF695" i="12"/>
  <c r="AF696" i="12"/>
  <c r="AF697" i="12"/>
  <c r="AF698" i="12"/>
  <c r="AF699" i="12"/>
  <c r="AF700" i="12"/>
  <c r="AF701" i="12"/>
  <c r="AF702" i="12"/>
  <c r="AF703" i="12"/>
  <c r="AF704" i="12"/>
  <c r="AF705" i="12"/>
  <c r="AF706" i="12"/>
  <c r="AF707" i="12"/>
  <c r="AF708" i="12"/>
  <c r="AF709" i="12"/>
  <c r="AF710" i="12"/>
  <c r="AF711" i="12"/>
  <c r="AF712" i="12"/>
  <c r="AF713" i="12"/>
  <c r="AF714" i="12"/>
  <c r="AF715" i="12"/>
  <c r="AF716" i="12"/>
  <c r="AF717" i="12"/>
  <c r="AF718" i="12"/>
  <c r="AF730" i="12"/>
  <c r="AF731" i="12"/>
  <c r="AF732" i="12"/>
  <c r="AF733" i="12"/>
  <c r="AF734" i="12"/>
  <c r="AF735" i="12"/>
  <c r="AF736" i="12"/>
  <c r="AF737" i="12"/>
  <c r="AF738" i="12"/>
  <c r="AF739" i="12"/>
  <c r="AF740" i="12"/>
  <c r="AF741" i="12"/>
  <c r="AF742" i="12"/>
  <c r="AF743" i="12"/>
  <c r="AF744" i="12"/>
  <c r="AF745" i="12"/>
  <c r="AF746" i="12"/>
  <c r="AF747" i="12"/>
  <c r="AF748" i="12"/>
  <c r="AF749" i="12"/>
  <c r="AF750" i="12"/>
  <c r="AF751" i="12"/>
  <c r="AF752" i="12"/>
  <c r="AF753" i="12"/>
  <c r="AF754" i="12"/>
  <c r="AF755" i="12"/>
  <c r="AF756" i="12"/>
  <c r="AF757" i="12"/>
  <c r="AF758" i="12"/>
  <c r="AF759" i="12"/>
  <c r="AF760" i="12"/>
  <c r="AF761" i="12"/>
  <c r="AF762" i="12"/>
  <c r="AF763" i="12"/>
  <c r="AF764" i="12"/>
  <c r="AF765" i="12"/>
  <c r="AF766" i="12"/>
  <c r="AF767" i="12"/>
  <c r="AF768" i="12"/>
  <c r="AF769" i="12"/>
  <c r="AF770" i="12"/>
  <c r="AF771" i="12"/>
  <c r="AF772" i="12"/>
  <c r="AF773" i="12"/>
  <c r="AF774" i="12"/>
  <c r="AF775" i="12"/>
  <c r="AF776" i="12"/>
  <c r="AF777" i="12"/>
  <c r="AF778" i="12"/>
  <c r="AF779" i="12"/>
  <c r="AF780" i="12"/>
  <c r="AF781" i="12"/>
  <c r="AF782" i="12"/>
  <c r="AF783" i="12"/>
  <c r="AF784" i="12"/>
  <c r="AF785" i="12"/>
  <c r="AF786" i="12"/>
  <c r="AF787" i="12"/>
  <c r="AF788" i="12"/>
  <c r="AF789" i="12"/>
  <c r="AF790" i="12"/>
  <c r="AF791" i="12"/>
  <c r="AF792" i="12"/>
  <c r="AF793" i="12"/>
  <c r="AF794" i="12"/>
  <c r="AF795" i="12"/>
  <c r="AF796" i="12"/>
  <c r="AF797" i="12"/>
  <c r="AF798" i="12"/>
  <c r="AF799" i="12"/>
  <c r="AF800" i="12"/>
  <c r="AF801" i="12"/>
  <c r="AF802" i="12"/>
  <c r="AF803" i="12"/>
  <c r="AF804" i="12"/>
  <c r="AF805" i="12"/>
  <c r="AF806" i="12"/>
  <c r="AF807" i="12"/>
  <c r="AF808" i="12"/>
  <c r="AF809" i="12"/>
  <c r="AF810" i="12"/>
  <c r="AF811" i="12"/>
  <c r="AF812" i="12"/>
  <c r="AF813" i="12"/>
  <c r="AF814" i="12"/>
  <c r="AF815" i="12"/>
  <c r="AF816" i="12"/>
  <c r="AF817" i="12"/>
  <c r="AF818" i="12"/>
  <c r="AF819" i="12"/>
  <c r="AF820" i="12"/>
  <c r="AF821" i="12"/>
  <c r="AF822" i="12"/>
  <c r="AF823" i="12"/>
  <c r="AF824" i="12"/>
  <c r="AF825" i="12"/>
  <c r="AF826" i="12"/>
  <c r="AF827" i="12"/>
  <c r="AF828" i="12"/>
  <c r="AF829" i="12"/>
  <c r="AF830" i="12"/>
  <c r="AF831" i="12"/>
  <c r="AF832" i="12"/>
  <c r="AF833" i="12"/>
  <c r="AF834" i="12"/>
  <c r="AF835" i="12"/>
  <c r="AF836" i="12"/>
  <c r="AF837" i="12"/>
  <c r="AF838" i="12"/>
  <c r="AF839" i="12"/>
  <c r="AF840" i="12"/>
  <c r="AF841" i="12"/>
  <c r="AF842" i="12"/>
  <c r="AF843" i="12"/>
  <c r="AF844" i="12"/>
  <c r="AF845" i="12"/>
  <c r="AF846" i="12"/>
  <c r="AF847" i="12"/>
  <c r="AF848" i="12"/>
  <c r="AF849" i="12"/>
  <c r="AF850" i="12"/>
  <c r="AF851" i="12"/>
  <c r="AF852" i="12"/>
  <c r="AF853" i="12"/>
  <c r="AF854" i="12"/>
  <c r="AF855" i="12"/>
  <c r="AF856" i="12"/>
  <c r="AF857" i="12"/>
  <c r="AF858" i="12"/>
  <c r="AF859" i="12"/>
  <c r="AF860" i="12"/>
  <c r="AF861" i="12"/>
  <c r="AF862" i="12"/>
  <c r="AF863" i="12"/>
  <c r="AF864" i="12"/>
  <c r="AF865" i="12"/>
  <c r="AF866" i="12"/>
  <c r="AF867" i="12"/>
  <c r="AF868" i="12"/>
  <c r="AF869" i="12"/>
  <c r="AF870" i="12"/>
  <c r="AF871" i="12"/>
  <c r="AF872" i="12"/>
  <c r="AF873" i="12"/>
  <c r="AF874" i="12"/>
  <c r="AF875" i="12"/>
  <c r="AF876" i="12"/>
  <c r="AF877" i="12"/>
  <c r="AF878" i="12"/>
  <c r="AF879" i="12"/>
  <c r="AF880" i="12"/>
  <c r="AF881" i="12"/>
  <c r="AF882" i="12"/>
  <c r="AF883" i="12"/>
  <c r="AF884" i="12"/>
  <c r="AF885" i="12"/>
  <c r="AF886" i="12"/>
  <c r="AF887" i="12"/>
  <c r="AF888" i="12"/>
  <c r="AF889" i="12"/>
  <c r="AF890" i="12"/>
  <c r="AF891" i="12"/>
  <c r="AF892" i="12"/>
  <c r="AF893" i="12"/>
  <c r="AF894" i="12"/>
  <c r="AF895" i="12"/>
  <c r="AF896" i="12"/>
  <c r="AF897" i="12"/>
  <c r="AF898" i="12"/>
  <c r="AF899" i="12"/>
  <c r="AF900" i="12"/>
  <c r="AF901" i="12"/>
  <c r="AF902" i="12"/>
  <c r="AF903" i="12"/>
  <c r="AF904" i="12"/>
  <c r="AF905" i="12"/>
  <c r="AF906" i="12"/>
  <c r="AF907" i="12"/>
  <c r="AF908" i="12"/>
  <c r="AF909" i="12"/>
  <c r="AF910" i="12"/>
  <c r="AF911" i="12"/>
  <c r="AF912" i="12"/>
  <c r="AF913" i="12"/>
  <c r="AF914" i="12"/>
  <c r="AF915" i="12"/>
  <c r="AF916" i="12"/>
  <c r="AF917" i="12"/>
  <c r="AF918" i="12"/>
  <c r="AF919" i="12"/>
  <c r="AF920" i="12"/>
  <c r="AF921" i="12"/>
  <c r="AF922" i="12"/>
  <c r="AF923" i="12"/>
  <c r="AF924" i="12"/>
  <c r="AF925" i="12"/>
  <c r="AF926" i="12"/>
  <c r="AF927" i="12"/>
  <c r="AF928" i="12"/>
  <c r="AF929" i="12"/>
  <c r="AF930" i="12"/>
  <c r="AF931" i="12"/>
  <c r="AF932" i="12"/>
  <c r="AF933" i="12"/>
  <c r="AF934" i="12"/>
  <c r="AF935" i="12"/>
  <c r="AF936" i="12"/>
  <c r="AF937" i="12"/>
  <c r="AF938" i="12"/>
  <c r="AF939" i="12"/>
  <c r="AF940" i="12"/>
  <c r="AF941" i="12"/>
  <c r="AF942" i="12"/>
  <c r="AF943" i="12"/>
  <c r="AF944" i="12"/>
  <c r="AF945" i="12"/>
  <c r="AF946" i="12"/>
  <c r="AF947" i="12"/>
  <c r="AF948" i="12"/>
  <c r="AF949" i="12"/>
  <c r="AF950" i="12"/>
  <c r="AF951" i="12"/>
  <c r="AF952" i="12"/>
  <c r="AF953" i="12"/>
  <c r="AF954" i="12"/>
  <c r="AF955" i="12"/>
  <c r="AF956" i="12"/>
  <c r="AF957" i="12"/>
  <c r="AF958" i="12"/>
  <c r="AF959" i="12"/>
  <c r="AF960" i="12"/>
  <c r="AF961" i="12"/>
  <c r="AF962" i="12"/>
  <c r="AF963" i="12"/>
  <c r="AF964" i="12"/>
  <c r="AF965" i="12"/>
  <c r="AF966" i="12"/>
  <c r="AF967" i="12"/>
  <c r="AF968" i="12"/>
  <c r="AF969" i="12"/>
  <c r="AF970" i="12"/>
  <c r="AF971" i="12"/>
  <c r="AF972" i="12"/>
  <c r="AF973" i="12"/>
  <c r="AF974" i="12"/>
  <c r="AF975" i="12"/>
  <c r="AF976" i="12"/>
  <c r="AF977" i="12"/>
  <c r="AF978" i="12"/>
  <c r="AF979" i="12"/>
  <c r="AF980" i="12"/>
  <c r="AF981" i="12"/>
  <c r="AF982" i="12"/>
  <c r="AF983" i="12"/>
  <c r="AF984" i="12"/>
  <c r="AF985" i="12"/>
  <c r="AF986" i="12"/>
  <c r="AF987" i="12"/>
  <c r="AF988" i="12"/>
  <c r="AF989" i="12"/>
  <c r="AF990" i="12"/>
  <c r="AF991" i="12"/>
  <c r="AF992" i="12"/>
  <c r="AF993" i="12"/>
  <c r="AF994" i="12"/>
  <c r="AF995" i="12"/>
  <c r="AF996" i="12"/>
  <c r="AF997" i="12"/>
  <c r="AF998" i="12"/>
  <c r="AF999" i="12"/>
  <c r="AF1000" i="12"/>
  <c r="AF1001" i="12"/>
  <c r="AF1002" i="12"/>
  <c r="AF1003" i="12"/>
  <c r="AF1004" i="12"/>
  <c r="AF1005" i="12"/>
  <c r="AF1006" i="12"/>
  <c r="AF1007" i="12"/>
  <c r="AF1008" i="12"/>
  <c r="AF1009" i="12"/>
  <c r="AF1010" i="12"/>
  <c r="AF1011" i="12"/>
  <c r="AF1012" i="12"/>
  <c r="AF1013" i="12"/>
  <c r="AF1014" i="12"/>
  <c r="AF1015" i="12"/>
  <c r="AF1016" i="12"/>
  <c r="AF1017" i="12"/>
  <c r="AF1018" i="12"/>
  <c r="AF1019" i="12"/>
  <c r="AF1020" i="12"/>
  <c r="AF1021" i="12"/>
  <c r="AF1022" i="12"/>
  <c r="AF1023" i="12"/>
  <c r="AF1024" i="12"/>
  <c r="AF1025" i="12"/>
  <c r="AF1026" i="12"/>
  <c r="AF1027" i="12"/>
  <c r="AF1028" i="12"/>
  <c r="AF1029" i="12"/>
  <c r="AF1030" i="12"/>
  <c r="AF1031" i="12"/>
  <c r="AF1032" i="12"/>
  <c r="AF1033" i="12"/>
  <c r="AF1034" i="12"/>
  <c r="AF1035" i="12"/>
  <c r="AF1036" i="12"/>
  <c r="AF1037" i="12"/>
  <c r="AF1038" i="12"/>
  <c r="AF1039" i="12"/>
  <c r="AF1040" i="12"/>
  <c r="AF1041" i="12"/>
  <c r="AF1042" i="12"/>
  <c r="AF1043" i="12"/>
  <c r="AF1044" i="12"/>
  <c r="AF1045" i="12"/>
  <c r="AF1046" i="12"/>
  <c r="AF1047" i="12"/>
  <c r="AF1048" i="12"/>
  <c r="AF1049" i="12"/>
  <c r="AF1050" i="12"/>
  <c r="AF1051" i="12"/>
  <c r="AF1052" i="12"/>
  <c r="AF1053" i="12"/>
  <c r="AF1054" i="12"/>
  <c r="AF1055" i="12"/>
  <c r="AF1056" i="12"/>
  <c r="AF1057" i="12"/>
  <c r="AF1058" i="12"/>
  <c r="AF1059" i="12"/>
  <c r="AF1060" i="12"/>
  <c r="AF1061" i="12"/>
  <c r="AF1062" i="12"/>
  <c r="AF1063" i="12"/>
  <c r="AF1064" i="12"/>
  <c r="AF1065" i="12"/>
  <c r="AF1066" i="12"/>
  <c r="AF1067" i="12"/>
  <c r="AF1068" i="12"/>
  <c r="AF1069" i="12"/>
  <c r="AF1070" i="12"/>
  <c r="AF1071" i="12"/>
  <c r="AF1072" i="12"/>
  <c r="AF1073" i="12"/>
  <c r="AF1074" i="12"/>
  <c r="AF1075" i="12"/>
  <c r="AF1076" i="12"/>
  <c r="AF1077" i="12"/>
  <c r="AF1078" i="12"/>
  <c r="AF1079" i="12"/>
  <c r="AF1080" i="12"/>
  <c r="AF1081" i="12"/>
  <c r="AF1082" i="12"/>
  <c r="AF1083" i="12"/>
  <c r="AF1084" i="12"/>
  <c r="AF1085" i="12"/>
  <c r="AF1086" i="12"/>
  <c r="AF1087" i="12"/>
  <c r="AF1088" i="12"/>
  <c r="AF1089" i="12"/>
  <c r="AF1090" i="12"/>
  <c r="AF1091" i="12"/>
  <c r="AF1092" i="12"/>
  <c r="AF1093" i="12"/>
  <c r="AF1094" i="12"/>
  <c r="AF1095" i="12"/>
  <c r="AF1096" i="12"/>
  <c r="AF1097" i="12"/>
  <c r="AF1098" i="12"/>
  <c r="AF1099" i="12"/>
  <c r="AF1100" i="12"/>
  <c r="AF1101" i="12"/>
  <c r="AF1102" i="12"/>
  <c r="AF1103" i="12"/>
  <c r="AF1104" i="12"/>
  <c r="AF1105" i="12"/>
  <c r="AF1106" i="12"/>
  <c r="AF1107" i="12"/>
  <c r="AF1108" i="12"/>
  <c r="AF1109" i="12"/>
  <c r="AF1110" i="12"/>
  <c r="AF1111" i="12"/>
  <c r="AF1112" i="12"/>
  <c r="AF1113" i="12"/>
  <c r="AF1114" i="12"/>
  <c r="AF1115" i="12"/>
  <c r="AF1116" i="12"/>
  <c r="AF1117" i="12"/>
  <c r="AF1118" i="12"/>
  <c r="AF1119" i="12"/>
  <c r="AF1120" i="12"/>
  <c r="AF1121" i="12"/>
  <c r="AF1122" i="12"/>
  <c r="AF1123" i="12"/>
  <c r="AF1124" i="12"/>
  <c r="AF1125" i="12"/>
  <c r="AF1126" i="12"/>
  <c r="AF1127" i="12"/>
  <c r="AF1128" i="12"/>
  <c r="AF1129" i="12"/>
  <c r="AF1130" i="12"/>
  <c r="AF1131" i="12"/>
  <c r="AF1132" i="12"/>
  <c r="AF1133" i="12"/>
  <c r="AF1136" i="12"/>
  <c r="AF1137" i="12"/>
  <c r="AF1140" i="12"/>
  <c r="AF1141" i="12"/>
  <c r="AF1142" i="12"/>
  <c r="AF1143" i="12"/>
  <c r="AF1144" i="12"/>
  <c r="AF1145" i="12"/>
  <c r="AF1146" i="12"/>
  <c r="AF1147" i="12"/>
  <c r="AF1148" i="12"/>
  <c r="AF1149" i="12"/>
  <c r="AF1150" i="12"/>
  <c r="AF1151" i="12"/>
  <c r="AF1152" i="12"/>
  <c r="AF1153" i="12"/>
  <c r="AF1154" i="12"/>
  <c r="AF1155" i="12"/>
  <c r="AF1156" i="12"/>
  <c r="AF1157" i="12"/>
  <c r="AF1158" i="12"/>
  <c r="AF1159" i="12"/>
  <c r="X6" i="65"/>
  <c r="X7" i="65"/>
  <c r="X8" i="65"/>
  <c r="X9" i="65"/>
  <c r="Q142" i="71"/>
  <c r="P142" i="71"/>
  <c r="O142" i="71"/>
  <c r="Q141" i="71"/>
  <c r="P141" i="71"/>
  <c r="O141" i="71"/>
  <c r="AE140" i="71"/>
  <c r="Q140" i="71"/>
  <c r="P140" i="71"/>
  <c r="O140" i="71"/>
  <c r="AE139" i="71"/>
  <c r="Q139" i="71"/>
  <c r="P139" i="71"/>
  <c r="O139" i="71"/>
  <c r="AE138" i="71"/>
  <c r="Q138" i="71"/>
  <c r="P138" i="71"/>
  <c r="O138" i="71"/>
  <c r="AE137" i="71"/>
  <c r="Q137" i="71"/>
  <c r="P137" i="71"/>
  <c r="O137" i="71"/>
  <c r="AE136" i="71"/>
  <c r="Q136" i="71"/>
  <c r="P136" i="71"/>
  <c r="O136" i="71"/>
  <c r="AE135" i="71"/>
  <c r="Q135" i="71"/>
  <c r="P135" i="71"/>
  <c r="O135" i="71"/>
  <c r="AE134" i="71"/>
  <c r="Q134" i="71"/>
  <c r="P134" i="71"/>
  <c r="O134" i="71"/>
  <c r="AE133" i="71"/>
  <c r="Q133" i="71"/>
  <c r="P133" i="71"/>
  <c r="O133" i="71"/>
  <c r="AE132" i="71"/>
  <c r="Q132" i="71"/>
  <c r="P132" i="71"/>
  <c r="O132" i="71"/>
  <c r="AE131" i="71"/>
  <c r="Q131" i="71"/>
  <c r="P131" i="71"/>
  <c r="O131" i="71"/>
  <c r="AE130" i="71"/>
  <c r="Q130" i="71"/>
  <c r="P130" i="71"/>
  <c r="O130" i="71"/>
  <c r="AE129" i="71"/>
  <c r="Q129" i="71"/>
  <c r="P129" i="71"/>
  <c r="O129" i="71"/>
  <c r="AE128" i="71"/>
  <c r="Q128" i="71"/>
  <c r="P128" i="71"/>
  <c r="O128" i="71"/>
  <c r="AE127" i="71"/>
  <c r="Q127" i="71"/>
  <c r="P127" i="71"/>
  <c r="O127" i="71"/>
  <c r="AE126" i="71"/>
  <c r="Q126" i="71"/>
  <c r="P126" i="71"/>
  <c r="O126" i="71"/>
  <c r="AE125" i="71"/>
  <c r="Q125" i="71"/>
  <c r="P125" i="71"/>
  <c r="O125" i="71"/>
  <c r="AE124" i="71"/>
  <c r="Q124" i="71"/>
  <c r="P124" i="71"/>
  <c r="O124" i="71"/>
  <c r="AE123" i="71"/>
  <c r="Q123" i="71"/>
  <c r="P123" i="71"/>
  <c r="O123" i="71"/>
  <c r="AE122" i="71"/>
  <c r="Q122" i="71"/>
  <c r="P122" i="71"/>
  <c r="O122" i="71"/>
  <c r="AE121" i="71"/>
  <c r="Q121" i="71"/>
  <c r="P121" i="71"/>
  <c r="O121" i="71"/>
  <c r="AE120" i="71"/>
  <c r="Q120" i="71"/>
  <c r="P120" i="71"/>
  <c r="O120" i="71"/>
  <c r="AE119" i="71"/>
  <c r="Q119" i="71"/>
  <c r="P119" i="71"/>
  <c r="O119" i="71"/>
  <c r="AE118" i="71"/>
  <c r="Q118" i="71"/>
  <c r="P118" i="71"/>
  <c r="O118" i="71"/>
  <c r="AE117" i="71"/>
  <c r="Q117" i="71"/>
  <c r="P117" i="71"/>
  <c r="O117" i="71"/>
  <c r="AE116" i="71"/>
  <c r="Q116" i="71"/>
  <c r="P116" i="71"/>
  <c r="O116" i="71"/>
  <c r="AE115" i="71"/>
  <c r="Q115" i="71"/>
  <c r="P115" i="71"/>
  <c r="O115" i="71"/>
  <c r="AE114" i="71"/>
  <c r="Q114" i="71"/>
  <c r="P114" i="71"/>
  <c r="O114" i="71"/>
  <c r="AE113" i="71"/>
  <c r="Q113" i="71"/>
  <c r="P113" i="71"/>
  <c r="O113" i="71"/>
  <c r="AE112" i="71"/>
  <c r="Q112" i="71"/>
  <c r="P112" i="71"/>
  <c r="O112" i="71"/>
  <c r="AE111" i="71"/>
  <c r="Q111" i="71"/>
  <c r="P111" i="71"/>
  <c r="O111" i="71"/>
  <c r="AE110" i="71"/>
  <c r="Q110" i="71"/>
  <c r="P110" i="71"/>
  <c r="O110" i="71"/>
  <c r="AE109" i="71"/>
  <c r="Q109" i="71"/>
  <c r="P109" i="71"/>
  <c r="O109" i="71"/>
  <c r="AE108" i="71"/>
  <c r="Q108" i="71"/>
  <c r="P108" i="71"/>
  <c r="O108" i="71"/>
  <c r="AE107" i="71"/>
  <c r="Q107" i="71"/>
  <c r="P107" i="71"/>
  <c r="O107" i="71"/>
  <c r="AE106" i="71"/>
  <c r="Q106" i="71"/>
  <c r="P106" i="71"/>
  <c r="O106" i="71"/>
  <c r="AE105" i="71"/>
  <c r="Q105" i="71"/>
  <c r="P105" i="71"/>
  <c r="O105" i="71"/>
  <c r="AE104" i="71"/>
  <c r="Q104" i="71"/>
  <c r="P104" i="71"/>
  <c r="O104" i="71"/>
  <c r="AE103" i="71"/>
  <c r="Q103" i="71"/>
  <c r="P103" i="71"/>
  <c r="O103" i="71"/>
  <c r="AE102" i="71"/>
  <c r="Q102" i="71"/>
  <c r="P102" i="71"/>
  <c r="O102" i="71"/>
  <c r="AE101" i="71"/>
  <c r="Q101" i="71"/>
  <c r="P101" i="71"/>
  <c r="O101" i="71"/>
  <c r="AE100" i="71"/>
  <c r="Q100" i="71"/>
  <c r="P100" i="71"/>
  <c r="O100" i="71"/>
  <c r="AE99" i="71"/>
  <c r="Q99" i="71"/>
  <c r="P99" i="71"/>
  <c r="O99" i="71"/>
  <c r="AE98" i="71"/>
  <c r="Q98" i="71"/>
  <c r="P98" i="71"/>
  <c r="O98" i="71"/>
  <c r="AE97" i="71"/>
  <c r="Q97" i="71"/>
  <c r="P97" i="71"/>
  <c r="O97" i="71"/>
  <c r="AE96" i="71"/>
  <c r="Q96" i="71"/>
  <c r="P96" i="71"/>
  <c r="O96" i="71"/>
  <c r="AE95" i="71"/>
  <c r="Q95" i="71"/>
  <c r="P95" i="71"/>
  <c r="O95" i="71"/>
  <c r="AE94" i="71"/>
  <c r="Q94" i="71"/>
  <c r="P94" i="71"/>
  <c r="O94" i="71"/>
  <c r="AE93" i="71"/>
  <c r="Q93" i="71"/>
  <c r="P93" i="71"/>
  <c r="O93" i="71"/>
  <c r="AE92" i="71"/>
  <c r="Q92" i="71"/>
  <c r="P92" i="71"/>
  <c r="O92" i="71"/>
  <c r="AE91" i="71"/>
  <c r="Q91" i="71"/>
  <c r="P91" i="71"/>
  <c r="O91" i="71"/>
  <c r="AE90" i="71"/>
  <c r="Q90" i="71"/>
  <c r="P90" i="71"/>
  <c r="O90" i="71"/>
  <c r="AE89" i="71"/>
  <c r="Q89" i="71"/>
  <c r="P89" i="71"/>
  <c r="O89" i="71"/>
  <c r="AE88" i="71"/>
  <c r="Q88" i="71"/>
  <c r="P88" i="71"/>
  <c r="O88" i="71"/>
  <c r="AE87" i="71"/>
  <c r="Q87" i="71"/>
  <c r="P87" i="71"/>
  <c r="O87" i="71"/>
  <c r="AE86" i="71"/>
  <c r="Q86" i="71"/>
  <c r="P86" i="71"/>
  <c r="O86" i="71"/>
  <c r="AE85" i="71"/>
  <c r="Q85" i="71"/>
  <c r="P85" i="71"/>
  <c r="O85" i="71"/>
  <c r="AE84" i="71"/>
  <c r="Q84" i="71"/>
  <c r="P84" i="71"/>
  <c r="O84" i="71"/>
  <c r="AE83" i="71"/>
  <c r="Q83" i="71"/>
  <c r="P83" i="71"/>
  <c r="O83" i="71"/>
  <c r="AE82" i="71"/>
  <c r="Q82" i="71"/>
  <c r="P82" i="71"/>
  <c r="O82" i="71"/>
  <c r="AE81" i="71"/>
  <c r="Q81" i="71"/>
  <c r="P81" i="71"/>
  <c r="O81" i="71"/>
  <c r="AE80" i="71"/>
  <c r="Q80" i="71"/>
  <c r="P80" i="71"/>
  <c r="O80" i="71"/>
  <c r="AE79" i="71"/>
  <c r="Q79" i="71"/>
  <c r="P79" i="71"/>
  <c r="O79" i="71"/>
  <c r="AE78" i="71"/>
  <c r="Q78" i="71"/>
  <c r="P78" i="71"/>
  <c r="O78" i="71"/>
  <c r="AE77" i="71"/>
  <c r="Q77" i="71"/>
  <c r="P77" i="71"/>
  <c r="O77" i="71"/>
  <c r="AE76" i="71"/>
  <c r="Q76" i="71"/>
  <c r="P76" i="71"/>
  <c r="O76" i="71"/>
  <c r="AE75" i="71"/>
  <c r="Q75" i="71"/>
  <c r="P75" i="71"/>
  <c r="O75" i="71"/>
  <c r="AE74" i="71"/>
  <c r="Q74" i="71"/>
  <c r="P74" i="71"/>
  <c r="O74" i="71"/>
  <c r="AE73" i="71"/>
  <c r="Q73" i="71"/>
  <c r="P73" i="71"/>
  <c r="O73" i="71"/>
  <c r="AE72" i="71"/>
  <c r="Q72" i="71"/>
  <c r="P72" i="71"/>
  <c r="O72" i="71"/>
  <c r="AE71" i="71"/>
  <c r="Q71" i="71"/>
  <c r="P71" i="71"/>
  <c r="O71" i="71"/>
  <c r="AE70" i="71"/>
  <c r="Q70" i="71"/>
  <c r="P70" i="71"/>
  <c r="O70" i="71"/>
  <c r="AE69" i="71"/>
  <c r="Q69" i="71"/>
  <c r="P69" i="71"/>
  <c r="O69" i="71"/>
  <c r="AE68" i="71"/>
  <c r="Q68" i="71"/>
  <c r="P68" i="71"/>
  <c r="O68" i="71"/>
  <c r="AE67" i="71"/>
  <c r="Q67" i="71"/>
  <c r="P67" i="71"/>
  <c r="O67" i="71"/>
  <c r="AE66" i="71"/>
  <c r="Q66" i="71"/>
  <c r="P66" i="71"/>
  <c r="O66" i="71"/>
  <c r="AE65" i="71"/>
  <c r="Q65" i="71"/>
  <c r="P65" i="71"/>
  <c r="O65" i="71"/>
  <c r="AE64" i="71"/>
  <c r="Q64" i="71"/>
  <c r="P64" i="71"/>
  <c r="O64" i="71"/>
  <c r="AE63" i="71"/>
  <c r="Q63" i="71"/>
  <c r="P63" i="71"/>
  <c r="O63" i="71"/>
  <c r="AE62" i="71"/>
  <c r="Q62" i="71"/>
  <c r="P62" i="71"/>
  <c r="O62" i="71"/>
  <c r="AE61" i="71"/>
  <c r="Q61" i="71"/>
  <c r="P61" i="71"/>
  <c r="O61" i="71"/>
  <c r="AE60" i="71"/>
  <c r="Q60" i="71"/>
  <c r="P60" i="71"/>
  <c r="O60" i="71"/>
  <c r="AE59" i="71"/>
  <c r="Q59" i="71"/>
  <c r="P59" i="71"/>
  <c r="O59" i="71"/>
  <c r="AE58" i="71"/>
  <c r="Q58" i="71"/>
  <c r="P58" i="71"/>
  <c r="O58" i="71"/>
  <c r="AE57" i="71"/>
  <c r="Q57" i="71"/>
  <c r="P57" i="71"/>
  <c r="O57" i="71"/>
  <c r="AE56" i="71"/>
  <c r="Q56" i="71"/>
  <c r="P56" i="71"/>
  <c r="O56" i="71"/>
  <c r="AE55" i="71"/>
  <c r="Q55" i="71"/>
  <c r="P55" i="71"/>
  <c r="O55" i="71"/>
  <c r="AE54" i="71"/>
  <c r="Q54" i="71"/>
  <c r="P54" i="71"/>
  <c r="O54" i="71"/>
  <c r="AE53" i="71"/>
  <c r="Q53" i="71"/>
  <c r="P53" i="71"/>
  <c r="O53" i="71"/>
  <c r="AE52" i="71"/>
  <c r="Q52" i="71"/>
  <c r="P52" i="71"/>
  <c r="O52" i="71"/>
  <c r="AE51" i="71"/>
  <c r="Q51" i="71"/>
  <c r="P51" i="71"/>
  <c r="O51" i="71"/>
  <c r="AE50" i="71"/>
  <c r="Q50" i="71"/>
  <c r="P50" i="71"/>
  <c r="O50" i="71"/>
  <c r="AE49" i="71"/>
  <c r="Q49" i="71"/>
  <c r="P49" i="71"/>
  <c r="O49" i="71"/>
  <c r="AE48" i="71"/>
  <c r="Q48" i="71"/>
  <c r="P48" i="71"/>
  <c r="O48" i="71"/>
  <c r="AE47" i="71"/>
  <c r="Q47" i="71"/>
  <c r="P47" i="71"/>
  <c r="O47" i="71"/>
  <c r="AE46" i="71"/>
  <c r="Q46" i="71"/>
  <c r="P46" i="71"/>
  <c r="O46" i="71"/>
  <c r="AE45" i="71"/>
  <c r="Q45" i="71"/>
  <c r="P45" i="71"/>
  <c r="O45" i="71"/>
  <c r="AE44" i="71"/>
  <c r="Q44" i="71"/>
  <c r="P44" i="71"/>
  <c r="O44" i="71"/>
  <c r="AE43" i="71"/>
  <c r="Q43" i="71"/>
  <c r="P43" i="71"/>
  <c r="O43" i="71"/>
  <c r="AE42" i="71"/>
  <c r="Q42" i="71"/>
  <c r="P42" i="71"/>
  <c r="O42" i="71"/>
  <c r="AE41" i="71"/>
  <c r="Q41" i="71"/>
  <c r="P41" i="71"/>
  <c r="O41" i="71"/>
  <c r="AE40" i="71"/>
  <c r="Q40" i="71"/>
  <c r="P40" i="71"/>
  <c r="O40" i="71"/>
  <c r="AE39" i="71"/>
  <c r="Q39" i="71"/>
  <c r="P39" i="71"/>
  <c r="O39" i="71"/>
  <c r="AE38" i="71"/>
  <c r="Q38" i="71"/>
  <c r="P38" i="71"/>
  <c r="O38" i="71"/>
  <c r="AE37" i="71"/>
  <c r="Q37" i="71"/>
  <c r="P37" i="71"/>
  <c r="O37" i="71"/>
  <c r="AE36" i="71"/>
  <c r="Q36" i="71"/>
  <c r="P36" i="71"/>
  <c r="O36" i="71"/>
  <c r="AE35" i="71"/>
  <c r="Q35" i="71"/>
  <c r="P35" i="71"/>
  <c r="O35" i="71"/>
  <c r="AE34" i="71"/>
  <c r="Q34" i="71"/>
  <c r="P34" i="71"/>
  <c r="O34" i="71"/>
  <c r="AE33" i="71"/>
  <c r="Q33" i="71"/>
  <c r="P33" i="71"/>
  <c r="O33" i="71"/>
  <c r="AE32" i="71"/>
  <c r="AH22" i="71" s="1"/>
  <c r="Q32" i="71"/>
  <c r="P32" i="71"/>
  <c r="O32" i="71"/>
  <c r="AE31" i="71"/>
  <c r="AH32" i="71" s="1"/>
  <c r="AE30" i="71"/>
  <c r="AH31" i="71" s="1"/>
  <c r="AE29" i="71"/>
  <c r="AH30" i="71" s="1"/>
  <c r="BG28" i="71"/>
  <c r="BE28" i="71"/>
  <c r="AE28" i="71"/>
  <c r="AH29" i="71" s="1"/>
  <c r="BG27" i="71"/>
  <c r="BE27" i="71"/>
  <c r="AE27" i="71"/>
  <c r="AH28" i="71" s="1"/>
  <c r="BG26" i="71"/>
  <c r="BE26" i="71"/>
  <c r="AE26" i="71"/>
  <c r="AH27" i="71" s="1"/>
  <c r="BG25" i="71"/>
  <c r="BE25" i="71"/>
  <c r="AE25" i="71"/>
  <c r="AH26" i="71" s="1"/>
  <c r="BG24" i="71"/>
  <c r="BE24" i="71"/>
  <c r="AE24" i="71"/>
  <c r="AH25" i="71" s="1"/>
  <c r="BG23" i="71"/>
  <c r="BE23" i="71"/>
  <c r="AE23" i="71"/>
  <c r="AH24" i="71" s="1"/>
  <c r="BG22" i="71"/>
  <c r="BE22" i="71"/>
  <c r="AI22" i="71"/>
  <c r="AG22" i="71"/>
  <c r="AE22" i="71"/>
  <c r="AH23" i="71" s="1"/>
  <c r="BG21" i="71"/>
  <c r="BE21" i="71"/>
  <c r="BG20" i="71"/>
  <c r="BE20" i="71"/>
  <c r="BG19" i="71"/>
  <c r="BE19" i="71"/>
  <c r="BG18" i="71"/>
  <c r="BE18" i="71"/>
  <c r="BG17" i="71"/>
  <c r="BF27" i="71" s="1"/>
  <c r="BE17" i="71"/>
  <c r="BG16" i="71"/>
  <c r="BE16" i="71"/>
  <c r="BG15" i="71"/>
  <c r="BE15" i="71"/>
  <c r="BG14" i="71"/>
  <c r="BE14" i="71"/>
  <c r="BG13" i="71"/>
  <c r="BE13" i="71"/>
  <c r="BG12" i="71"/>
  <c r="BF12" i="71" s="1"/>
  <c r="BE12" i="71"/>
  <c r="BG11" i="71"/>
  <c r="BE11" i="71"/>
  <c r="BG10" i="71"/>
  <c r="BI25" i="71" s="1"/>
  <c r="BE10" i="71"/>
  <c r="BG9" i="71"/>
  <c r="BE9" i="71"/>
  <c r="BK8" i="71"/>
  <c r="BG8" i="71"/>
  <c r="BE8" i="71"/>
  <c r="BG7" i="71"/>
  <c r="BI15" i="71" s="1"/>
  <c r="BE7" i="71"/>
  <c r="BE2" i="71"/>
  <c r="BD2" i="71"/>
  <c r="O32" i="70"/>
  <c r="P32" i="70" s="1"/>
  <c r="O33" i="70"/>
  <c r="O34" i="70"/>
  <c r="O35" i="70"/>
  <c r="O36" i="70"/>
  <c r="P36" i="70" s="1"/>
  <c r="O37" i="70"/>
  <c r="P37" i="70" s="1"/>
  <c r="O38" i="70"/>
  <c r="O39" i="70"/>
  <c r="O40" i="70"/>
  <c r="O41" i="70"/>
  <c r="P41" i="70" s="1"/>
  <c r="O42" i="70"/>
  <c r="O43" i="70"/>
  <c r="P43" i="70" s="1"/>
  <c r="O44" i="70"/>
  <c r="P44" i="70" s="1"/>
  <c r="O45" i="70"/>
  <c r="O46" i="70"/>
  <c r="O47" i="70"/>
  <c r="O48" i="70"/>
  <c r="P48" i="70" s="1"/>
  <c r="O49" i="70"/>
  <c r="O50" i="70"/>
  <c r="O51" i="70"/>
  <c r="O52" i="70"/>
  <c r="P52" i="70" s="1"/>
  <c r="O53" i="70"/>
  <c r="O54" i="70"/>
  <c r="O55" i="70"/>
  <c r="O56" i="70"/>
  <c r="P56" i="70" s="1"/>
  <c r="O57" i="70"/>
  <c r="O58" i="70"/>
  <c r="O59" i="70"/>
  <c r="O60" i="70"/>
  <c r="O61" i="70"/>
  <c r="P61" i="70" s="1"/>
  <c r="O62" i="70"/>
  <c r="O63" i="70"/>
  <c r="O64" i="70"/>
  <c r="O65" i="70"/>
  <c r="P65" i="70" s="1"/>
  <c r="O66" i="70"/>
  <c r="O67" i="70"/>
  <c r="O68" i="70"/>
  <c r="P68" i="70" s="1"/>
  <c r="O69" i="70"/>
  <c r="O70" i="70"/>
  <c r="O71" i="70"/>
  <c r="O72" i="70"/>
  <c r="P72" i="70" s="1"/>
  <c r="O73" i="70"/>
  <c r="P73" i="70" s="1"/>
  <c r="O74" i="70"/>
  <c r="O75" i="70"/>
  <c r="O76" i="70"/>
  <c r="P76" i="70" s="1"/>
  <c r="O77" i="70"/>
  <c r="P77" i="70" s="1"/>
  <c r="O78" i="70"/>
  <c r="O79" i="70"/>
  <c r="O80" i="70"/>
  <c r="P80" i="70" s="1"/>
  <c r="O81" i="70"/>
  <c r="O82" i="70"/>
  <c r="O83" i="70"/>
  <c r="O84" i="70"/>
  <c r="P84" i="70" s="1"/>
  <c r="O85" i="70"/>
  <c r="O86" i="70"/>
  <c r="O87" i="70"/>
  <c r="O88" i="70"/>
  <c r="P88" i="70" s="1"/>
  <c r="O89" i="70"/>
  <c r="P89" i="70" s="1"/>
  <c r="O90" i="70"/>
  <c r="O91" i="70"/>
  <c r="O92" i="70"/>
  <c r="O93" i="70"/>
  <c r="P93" i="70" s="1"/>
  <c r="O94" i="70"/>
  <c r="O95" i="70"/>
  <c r="O96" i="70"/>
  <c r="P96" i="70" s="1"/>
  <c r="O97" i="70"/>
  <c r="O98" i="70"/>
  <c r="O99" i="70"/>
  <c r="O100" i="70"/>
  <c r="P100" i="70" s="1"/>
  <c r="O101" i="70"/>
  <c r="O102" i="70"/>
  <c r="P102" i="70" s="1"/>
  <c r="O103" i="70"/>
  <c r="O104" i="70"/>
  <c r="P104" i="70" s="1"/>
  <c r="O105" i="70"/>
  <c r="O106" i="70"/>
  <c r="O107" i="70"/>
  <c r="O108" i="70"/>
  <c r="P108" i="70" s="1"/>
  <c r="O109" i="70"/>
  <c r="O110" i="70"/>
  <c r="O111" i="70"/>
  <c r="O112" i="70"/>
  <c r="P112" i="70" s="1"/>
  <c r="O113" i="70"/>
  <c r="P113" i="70" s="1"/>
  <c r="O114" i="70"/>
  <c r="O115" i="70"/>
  <c r="O116" i="70"/>
  <c r="P116" i="70" s="1"/>
  <c r="O117" i="70"/>
  <c r="P117" i="70" s="1"/>
  <c r="O118" i="70"/>
  <c r="O119" i="70"/>
  <c r="O120" i="70"/>
  <c r="P120" i="70" s="1"/>
  <c r="O121" i="70"/>
  <c r="O122" i="70"/>
  <c r="O123" i="70"/>
  <c r="O124" i="70"/>
  <c r="O125" i="70"/>
  <c r="O126" i="70"/>
  <c r="O127" i="70"/>
  <c r="O128" i="70"/>
  <c r="P128" i="70" s="1"/>
  <c r="O129" i="70"/>
  <c r="O130" i="70"/>
  <c r="O131" i="70"/>
  <c r="O132" i="70"/>
  <c r="O133" i="70"/>
  <c r="O134" i="70"/>
  <c r="O135" i="70"/>
  <c r="O136" i="70"/>
  <c r="P136" i="70" s="1"/>
  <c r="O137" i="70"/>
  <c r="O138" i="70"/>
  <c r="O139" i="70"/>
  <c r="P139" i="70" s="1"/>
  <c r="O140" i="70"/>
  <c r="P140" i="70" s="1"/>
  <c r="O141" i="70"/>
  <c r="O142" i="70"/>
  <c r="P85" i="69"/>
  <c r="P86" i="69"/>
  <c r="P87" i="69"/>
  <c r="P88" i="69"/>
  <c r="P89" i="69"/>
  <c r="P90" i="69"/>
  <c r="P91" i="69"/>
  <c r="P92" i="69"/>
  <c r="P93" i="69"/>
  <c r="P94" i="69"/>
  <c r="P95" i="69"/>
  <c r="P96" i="69"/>
  <c r="P97" i="69"/>
  <c r="P98" i="69"/>
  <c r="P99" i="69"/>
  <c r="P100" i="69"/>
  <c r="P101" i="69"/>
  <c r="P102" i="69"/>
  <c r="P103" i="69"/>
  <c r="P104" i="69"/>
  <c r="P105" i="69"/>
  <c r="P106" i="69"/>
  <c r="P107" i="69"/>
  <c r="P108" i="69"/>
  <c r="P109" i="69"/>
  <c r="P110" i="69"/>
  <c r="P111" i="69"/>
  <c r="P112" i="69"/>
  <c r="P113" i="69"/>
  <c r="P114" i="69"/>
  <c r="P115" i="69"/>
  <c r="P116" i="69"/>
  <c r="P117" i="69"/>
  <c r="P118" i="69"/>
  <c r="P119" i="69"/>
  <c r="P120" i="69"/>
  <c r="P121" i="69"/>
  <c r="P122" i="69"/>
  <c r="P123" i="69"/>
  <c r="P124" i="69"/>
  <c r="P125" i="69"/>
  <c r="P126" i="69"/>
  <c r="P127" i="69"/>
  <c r="P128" i="69"/>
  <c r="P129" i="69"/>
  <c r="P130" i="69"/>
  <c r="P131" i="69"/>
  <c r="P132" i="69"/>
  <c r="P133" i="69"/>
  <c r="P134" i="69"/>
  <c r="P135" i="69"/>
  <c r="P136" i="69"/>
  <c r="P137" i="69"/>
  <c r="P138" i="69"/>
  <c r="P139" i="69"/>
  <c r="P140" i="69"/>
  <c r="P141" i="69"/>
  <c r="P142" i="69"/>
  <c r="AE140" i="70"/>
  <c r="AC140" i="70"/>
  <c r="AD140" i="70" s="1"/>
  <c r="AE139" i="70"/>
  <c r="AA139" i="70"/>
  <c r="AE138" i="70"/>
  <c r="AE137" i="70"/>
  <c r="AA137" i="70"/>
  <c r="AE136" i="70"/>
  <c r="AC136" i="70"/>
  <c r="AD136" i="70" s="1"/>
  <c r="AE135" i="70"/>
  <c r="AC135" i="70"/>
  <c r="AD135" i="70" s="1"/>
  <c r="AA135" i="70"/>
  <c r="AE134" i="70"/>
  <c r="AE133" i="70"/>
  <c r="AE132" i="70"/>
  <c r="AC132" i="70"/>
  <c r="AD132" i="70" s="1"/>
  <c r="AE131" i="70"/>
  <c r="AE130" i="70"/>
  <c r="AE129" i="70"/>
  <c r="AE128" i="70"/>
  <c r="AE127" i="70"/>
  <c r="AE126" i="70"/>
  <c r="AE125" i="70"/>
  <c r="AE124" i="70"/>
  <c r="AC124" i="70"/>
  <c r="AD124" i="70" s="1"/>
  <c r="AE123" i="70"/>
  <c r="AE122" i="70"/>
  <c r="AE121" i="70"/>
  <c r="AE120" i="70"/>
  <c r="AC120" i="70"/>
  <c r="AD120" i="70" s="1"/>
  <c r="AE119" i="70"/>
  <c r="AA119" i="70"/>
  <c r="AE118" i="70"/>
  <c r="P118" i="70"/>
  <c r="AE117" i="70"/>
  <c r="AE116" i="70"/>
  <c r="AC116" i="70"/>
  <c r="AD116" i="70" s="1"/>
  <c r="AE115" i="70"/>
  <c r="AA115" i="70"/>
  <c r="AE114" i="70"/>
  <c r="AE113" i="70"/>
  <c r="AE112" i="70"/>
  <c r="AA112" i="70"/>
  <c r="AE111" i="70"/>
  <c r="AE110" i="70"/>
  <c r="AE109" i="70"/>
  <c r="AE108" i="70"/>
  <c r="AE107" i="70"/>
  <c r="AC107" i="70"/>
  <c r="AD107" i="70" s="1"/>
  <c r="AE106" i="70"/>
  <c r="AE105" i="70"/>
  <c r="AE104" i="70"/>
  <c r="AA104" i="70"/>
  <c r="AE103" i="70"/>
  <c r="AE102" i="70"/>
  <c r="AE101" i="70"/>
  <c r="AE100" i="70"/>
  <c r="AA100" i="70"/>
  <c r="AE99" i="70"/>
  <c r="AE98" i="70"/>
  <c r="AE97" i="70"/>
  <c r="AE96" i="70"/>
  <c r="AE95" i="70"/>
  <c r="AA95" i="70"/>
  <c r="AE94" i="70"/>
  <c r="AE93" i="70"/>
  <c r="AE92" i="70"/>
  <c r="P92" i="70"/>
  <c r="AE91" i="70"/>
  <c r="AA91" i="70"/>
  <c r="AE90" i="70"/>
  <c r="AE89" i="70"/>
  <c r="AE88" i="70"/>
  <c r="AE87" i="70"/>
  <c r="AE86" i="70"/>
  <c r="AE85" i="70"/>
  <c r="AE84" i="70"/>
  <c r="AA84" i="70"/>
  <c r="AE83" i="70"/>
  <c r="AE82" i="70"/>
  <c r="AE81" i="70"/>
  <c r="AE80" i="70"/>
  <c r="AE79" i="70"/>
  <c r="AC79" i="70"/>
  <c r="AD79" i="70" s="1"/>
  <c r="AE78" i="70"/>
  <c r="AE77" i="70"/>
  <c r="AA77" i="70"/>
  <c r="AE76" i="70"/>
  <c r="AE75" i="70"/>
  <c r="AE74" i="70"/>
  <c r="AE73" i="70"/>
  <c r="AE72" i="70"/>
  <c r="AA72" i="70"/>
  <c r="AE71" i="70"/>
  <c r="AA71" i="70"/>
  <c r="AE70" i="70"/>
  <c r="AE69" i="70"/>
  <c r="AE68" i="70"/>
  <c r="AA68" i="70"/>
  <c r="AE67" i="70"/>
  <c r="AE66" i="70"/>
  <c r="AE65" i="70"/>
  <c r="AE64" i="70"/>
  <c r="AE63" i="70"/>
  <c r="AE62" i="70"/>
  <c r="AE61" i="70"/>
  <c r="AE60" i="70"/>
  <c r="AE59" i="70"/>
  <c r="AE58" i="70"/>
  <c r="AE57" i="70"/>
  <c r="AE56" i="70"/>
  <c r="AE55" i="70"/>
  <c r="AE54" i="70"/>
  <c r="AE53" i="70"/>
  <c r="AE52" i="70"/>
  <c r="AE51" i="70"/>
  <c r="AE50" i="70"/>
  <c r="AE49" i="70"/>
  <c r="AE48" i="70"/>
  <c r="AE47" i="70"/>
  <c r="AE46" i="70"/>
  <c r="AE45" i="70"/>
  <c r="AE44" i="70"/>
  <c r="AE43" i="70"/>
  <c r="AE42" i="70"/>
  <c r="AE41" i="70"/>
  <c r="AE40" i="70"/>
  <c r="P40" i="70"/>
  <c r="AE39" i="70"/>
  <c r="AE38" i="70"/>
  <c r="AE37" i="70"/>
  <c r="AE36" i="70"/>
  <c r="AE35" i="70"/>
  <c r="AE34" i="70"/>
  <c r="AE33" i="70"/>
  <c r="AE32" i="70"/>
  <c r="AC32" i="70"/>
  <c r="AD32" i="70" s="1"/>
  <c r="AE31" i="70"/>
  <c r="AI32" i="70" s="1"/>
  <c r="AE30" i="70"/>
  <c r="AI31" i="70" s="1"/>
  <c r="AE29" i="70"/>
  <c r="AI30" i="70" s="1"/>
  <c r="BH28" i="70"/>
  <c r="BF28" i="70"/>
  <c r="AE28" i="70"/>
  <c r="AI29" i="70" s="1"/>
  <c r="BH27" i="70"/>
  <c r="BF27" i="70"/>
  <c r="AE27" i="70"/>
  <c r="AI28" i="70" s="1"/>
  <c r="BH26" i="70"/>
  <c r="BF26" i="70"/>
  <c r="AE26" i="70"/>
  <c r="AI27" i="70" s="1"/>
  <c r="BH25" i="70"/>
  <c r="BF25" i="70"/>
  <c r="AE25" i="70"/>
  <c r="AI26" i="70" s="1"/>
  <c r="BH24" i="70"/>
  <c r="BF24" i="70"/>
  <c r="AE24" i="70"/>
  <c r="AI25" i="70" s="1"/>
  <c r="BH23" i="70"/>
  <c r="BF23" i="70"/>
  <c r="AE23" i="70"/>
  <c r="AI24" i="70" s="1"/>
  <c r="BH22" i="70"/>
  <c r="BF22" i="70"/>
  <c r="AJ22" i="70"/>
  <c r="AI22" i="70"/>
  <c r="AH22" i="70"/>
  <c r="AE22" i="70"/>
  <c r="AI23" i="70" s="1"/>
  <c r="BH21" i="70"/>
  <c r="BF21" i="70"/>
  <c r="BH20" i="70"/>
  <c r="BF20" i="70"/>
  <c r="BH19" i="70"/>
  <c r="BF19" i="70"/>
  <c r="BH18" i="70"/>
  <c r="BF18" i="70"/>
  <c r="BH17" i="70"/>
  <c r="BG7" i="70" s="1"/>
  <c r="BF17" i="70"/>
  <c r="BH16" i="70"/>
  <c r="BF16" i="70"/>
  <c r="BH15" i="70"/>
  <c r="BF15" i="70"/>
  <c r="BH14" i="70"/>
  <c r="BF14" i="70"/>
  <c r="BH13" i="70"/>
  <c r="BG13" i="70"/>
  <c r="BF13" i="70"/>
  <c r="BH12" i="70"/>
  <c r="BG26" i="70" s="1"/>
  <c r="BF12" i="70"/>
  <c r="BH11" i="70"/>
  <c r="BF11" i="70"/>
  <c r="BH10" i="70"/>
  <c r="BF10" i="70"/>
  <c r="BH9" i="70"/>
  <c r="BG17" i="70" s="1"/>
  <c r="BG9" i="70"/>
  <c r="BF9" i="70"/>
  <c r="BJ8" i="70"/>
  <c r="BH8" i="70"/>
  <c r="BG8" i="70"/>
  <c r="BF8" i="70"/>
  <c r="BH7" i="70"/>
  <c r="BF7" i="70"/>
  <c r="BF2" i="70"/>
  <c r="BE2" i="70"/>
  <c r="BL182" i="13"/>
  <c r="BL183" i="13"/>
  <c r="BL184" i="13"/>
  <c r="BL185" i="13"/>
  <c r="BL186" i="13"/>
  <c r="BL187" i="13"/>
  <c r="BL188" i="13"/>
  <c r="BL189" i="13"/>
  <c r="AF24" i="69"/>
  <c r="AJ25" i="69" s="1"/>
  <c r="AF25" i="69"/>
  <c r="AJ26" i="69" s="1"/>
  <c r="AF26" i="69"/>
  <c r="AJ27" i="69" s="1"/>
  <c r="AF27" i="69"/>
  <c r="AJ28" i="69" s="1"/>
  <c r="AF28" i="69"/>
  <c r="AJ29" i="69" s="1"/>
  <c r="AF29" i="69"/>
  <c r="AJ30" i="69" s="1"/>
  <c r="AF30" i="69"/>
  <c r="AJ31" i="69" s="1"/>
  <c r="AF31" i="69"/>
  <c r="AJ32" i="69" s="1"/>
  <c r="AF32" i="69"/>
  <c r="AJ22" i="69" s="1"/>
  <c r="AF33" i="69"/>
  <c r="AF34" i="69"/>
  <c r="AF35" i="69"/>
  <c r="AF36" i="69"/>
  <c r="AF37" i="69"/>
  <c r="AF38" i="69"/>
  <c r="AF39" i="69"/>
  <c r="AF40" i="69"/>
  <c r="AF41" i="69"/>
  <c r="AF42" i="69"/>
  <c r="AF43" i="69"/>
  <c r="AF44" i="69"/>
  <c r="AF45" i="69"/>
  <c r="AF46" i="69"/>
  <c r="AF47" i="69"/>
  <c r="AF48" i="69"/>
  <c r="AF49" i="69"/>
  <c r="AF50" i="69"/>
  <c r="AF51" i="69"/>
  <c r="AF52" i="69"/>
  <c r="AF53" i="69"/>
  <c r="AF54" i="69"/>
  <c r="AF55" i="69"/>
  <c r="AF56" i="69"/>
  <c r="AF57" i="69"/>
  <c r="AF58" i="69"/>
  <c r="AF59" i="69"/>
  <c r="AF60" i="69"/>
  <c r="AF61" i="69"/>
  <c r="AF62" i="69"/>
  <c r="AF63" i="69"/>
  <c r="AF64" i="69"/>
  <c r="AF65" i="69"/>
  <c r="AF66" i="69"/>
  <c r="AF67" i="69"/>
  <c r="AF68" i="69"/>
  <c r="AF69" i="69"/>
  <c r="AF70" i="69"/>
  <c r="AF71" i="69"/>
  <c r="AF72" i="69"/>
  <c r="AF73" i="69"/>
  <c r="AF74" i="69"/>
  <c r="AF75" i="69"/>
  <c r="AF76" i="69"/>
  <c r="AF77" i="69"/>
  <c r="AF78" i="69"/>
  <c r="AF79" i="69"/>
  <c r="AF80" i="69"/>
  <c r="AF81" i="69"/>
  <c r="AF82" i="69"/>
  <c r="AF83" i="69"/>
  <c r="AF84" i="69"/>
  <c r="AF85" i="69"/>
  <c r="AF86" i="69"/>
  <c r="AF87" i="69"/>
  <c r="AF88" i="69"/>
  <c r="AF89" i="69"/>
  <c r="AF90" i="69"/>
  <c r="AF91" i="69"/>
  <c r="AF92" i="69"/>
  <c r="AF93" i="69"/>
  <c r="AF94" i="69"/>
  <c r="AF95" i="69"/>
  <c r="AF96" i="69"/>
  <c r="AF97" i="69"/>
  <c r="AF98" i="69"/>
  <c r="AF99" i="69"/>
  <c r="AF100" i="69"/>
  <c r="AF101" i="69"/>
  <c r="AF102" i="69"/>
  <c r="AF103" i="69"/>
  <c r="AF104" i="69"/>
  <c r="AF105" i="69"/>
  <c r="AF106" i="69"/>
  <c r="AF107" i="69"/>
  <c r="AF108" i="69"/>
  <c r="AF109" i="69"/>
  <c r="AF110" i="69"/>
  <c r="AF111" i="69"/>
  <c r="AF112" i="69"/>
  <c r="AF113" i="69"/>
  <c r="AF114" i="69"/>
  <c r="AF115" i="69"/>
  <c r="AF116" i="69"/>
  <c r="AF117" i="69"/>
  <c r="AF118" i="69"/>
  <c r="AF119" i="69"/>
  <c r="AF120" i="69"/>
  <c r="AF121" i="69"/>
  <c r="AF122" i="69"/>
  <c r="AF123" i="69"/>
  <c r="AF124" i="69"/>
  <c r="AF125" i="69"/>
  <c r="AF126" i="69"/>
  <c r="AF127" i="69"/>
  <c r="AF128" i="69"/>
  <c r="AF129" i="69"/>
  <c r="AF130" i="69"/>
  <c r="AF131" i="69"/>
  <c r="AF132" i="69"/>
  <c r="AF133" i="69"/>
  <c r="AF134" i="69"/>
  <c r="AF135" i="69"/>
  <c r="AF136" i="69"/>
  <c r="AF137" i="69"/>
  <c r="AF138" i="69"/>
  <c r="AF139" i="69"/>
  <c r="AF140" i="69"/>
  <c r="AF23" i="69"/>
  <c r="AJ24" i="69" s="1"/>
  <c r="AF22" i="69"/>
  <c r="AJ23" i="69" s="1"/>
  <c r="Q85" i="69"/>
  <c r="Q86" i="69"/>
  <c r="Q87" i="69"/>
  <c r="Q88" i="69"/>
  <c r="Q89" i="69"/>
  <c r="Q90" i="69"/>
  <c r="Q91" i="69"/>
  <c r="Q92" i="69"/>
  <c r="Q93" i="69"/>
  <c r="Q94" i="69"/>
  <c r="Q95" i="69"/>
  <c r="Q96" i="69"/>
  <c r="Q97" i="69"/>
  <c r="Q98" i="69"/>
  <c r="Q99" i="69"/>
  <c r="Q100" i="69"/>
  <c r="Q101" i="69"/>
  <c r="Q102" i="69"/>
  <c r="Q103" i="69"/>
  <c r="Q104" i="69"/>
  <c r="Q105" i="69"/>
  <c r="Q106" i="69"/>
  <c r="Q107" i="69"/>
  <c r="Q108" i="69"/>
  <c r="Q109" i="69"/>
  <c r="Q110" i="69"/>
  <c r="Q111" i="69"/>
  <c r="Q112" i="69"/>
  <c r="Q113" i="69"/>
  <c r="Q114" i="69"/>
  <c r="Q115" i="69"/>
  <c r="Q116" i="69"/>
  <c r="Q117" i="69"/>
  <c r="Q118" i="69"/>
  <c r="Q119" i="69"/>
  <c r="Q120" i="69"/>
  <c r="Q121" i="69"/>
  <c r="Q122" i="69"/>
  <c r="Q123" i="69"/>
  <c r="Q124" i="69"/>
  <c r="Q125" i="69"/>
  <c r="Q126" i="69"/>
  <c r="Q127" i="69"/>
  <c r="Q128" i="69"/>
  <c r="Q129" i="69"/>
  <c r="Q130" i="69"/>
  <c r="Q131" i="69"/>
  <c r="Q132" i="69"/>
  <c r="Q133" i="69"/>
  <c r="Q134" i="69"/>
  <c r="Q135" i="69"/>
  <c r="Q136" i="69"/>
  <c r="Q137" i="69"/>
  <c r="Q138" i="69"/>
  <c r="Q139" i="69"/>
  <c r="Q140" i="69"/>
  <c r="Q141" i="69"/>
  <c r="Q142" i="69"/>
  <c r="AE23" i="58"/>
  <c r="AH24" i="58" s="1"/>
  <c r="AE24" i="58"/>
  <c r="AH25" i="58" s="1"/>
  <c r="AE25" i="58"/>
  <c r="AH26" i="58" s="1"/>
  <c r="AE26" i="58"/>
  <c r="AH27" i="58" s="1"/>
  <c r="AE27" i="58"/>
  <c r="AH28" i="58" s="1"/>
  <c r="AE28" i="58"/>
  <c r="AH29" i="58" s="1"/>
  <c r="AE29" i="58"/>
  <c r="AH30" i="58" s="1"/>
  <c r="AE30" i="58"/>
  <c r="AH31" i="58" s="1"/>
  <c r="AE31" i="58"/>
  <c r="AH32" i="58" s="1"/>
  <c r="AE32" i="58"/>
  <c r="AH22" i="58" s="1"/>
  <c r="AE33" i="58"/>
  <c r="AE34" i="58"/>
  <c r="AE35" i="58"/>
  <c r="AE36" i="58"/>
  <c r="AE37" i="58"/>
  <c r="AE38" i="58"/>
  <c r="AE39" i="58"/>
  <c r="AE40" i="58"/>
  <c r="AE41" i="58"/>
  <c r="AE42" i="58"/>
  <c r="AE43" i="58"/>
  <c r="AE44" i="58"/>
  <c r="AE45" i="58"/>
  <c r="AE46" i="58"/>
  <c r="AE47" i="58"/>
  <c r="AE48" i="58"/>
  <c r="AE49" i="58"/>
  <c r="AE50" i="58"/>
  <c r="AE51" i="58"/>
  <c r="AE52" i="58"/>
  <c r="AE53" i="58"/>
  <c r="AE54" i="58"/>
  <c r="AE55" i="58"/>
  <c r="AE56" i="58"/>
  <c r="AE57" i="58"/>
  <c r="AE58" i="58"/>
  <c r="AE59" i="58"/>
  <c r="AE60" i="58"/>
  <c r="AE61" i="58"/>
  <c r="AE62" i="58"/>
  <c r="AE63" i="58"/>
  <c r="AE64" i="58"/>
  <c r="AE65" i="58"/>
  <c r="AE66" i="58"/>
  <c r="AE67" i="58"/>
  <c r="AE68" i="58"/>
  <c r="AE69" i="58"/>
  <c r="AE70" i="58"/>
  <c r="AE71" i="58"/>
  <c r="AE72" i="58"/>
  <c r="AE73" i="58"/>
  <c r="AE74" i="58"/>
  <c r="AE75" i="58"/>
  <c r="AE76" i="58"/>
  <c r="AE77" i="58"/>
  <c r="AE78" i="58"/>
  <c r="AE79" i="58"/>
  <c r="AE80" i="58"/>
  <c r="AE81" i="58"/>
  <c r="AE82" i="58"/>
  <c r="AE83" i="58"/>
  <c r="AE84" i="58"/>
  <c r="AE85" i="58"/>
  <c r="AE86" i="58"/>
  <c r="AE87" i="58"/>
  <c r="AE88" i="58"/>
  <c r="AE89" i="58"/>
  <c r="AE90" i="58"/>
  <c r="AE91" i="58"/>
  <c r="AE92" i="58"/>
  <c r="AE93" i="58"/>
  <c r="AE94" i="58"/>
  <c r="AE95" i="58"/>
  <c r="AE96" i="58"/>
  <c r="AE97" i="58"/>
  <c r="AE98" i="58"/>
  <c r="AE99" i="58"/>
  <c r="AE100" i="58"/>
  <c r="AE101" i="58"/>
  <c r="AE102" i="58"/>
  <c r="AE103" i="58"/>
  <c r="AE104" i="58"/>
  <c r="AE105" i="58"/>
  <c r="AE106" i="58"/>
  <c r="AE107" i="58"/>
  <c r="AE108" i="58"/>
  <c r="AE109" i="58"/>
  <c r="AE110" i="58"/>
  <c r="AE111" i="58"/>
  <c r="AE112" i="58"/>
  <c r="AE113" i="58"/>
  <c r="AE114" i="58"/>
  <c r="AE115" i="58"/>
  <c r="AE116" i="58"/>
  <c r="AE117" i="58"/>
  <c r="AE118" i="58"/>
  <c r="AE119" i="58"/>
  <c r="AE120" i="58"/>
  <c r="AE121" i="58"/>
  <c r="AE122" i="58"/>
  <c r="AE123" i="58"/>
  <c r="AE124" i="58"/>
  <c r="AE125" i="58"/>
  <c r="AE126" i="58"/>
  <c r="AE127" i="58"/>
  <c r="AE128" i="58"/>
  <c r="AE129" i="58"/>
  <c r="AE130" i="58"/>
  <c r="AE131" i="58"/>
  <c r="AE132" i="58"/>
  <c r="AE133" i="58"/>
  <c r="AE134" i="58"/>
  <c r="AE135" i="58"/>
  <c r="AE136" i="58"/>
  <c r="AE137" i="58"/>
  <c r="AE138" i="58"/>
  <c r="AE139" i="58"/>
  <c r="AE140" i="58"/>
  <c r="AE22" i="58"/>
  <c r="J23" i="58"/>
  <c r="AC23" i="58" s="1"/>
  <c r="AD23" i="58" s="1"/>
  <c r="J24" i="58"/>
  <c r="J25" i="58"/>
  <c r="AB25" i="58" s="1"/>
  <c r="J26" i="58"/>
  <c r="AC26" i="58" s="1"/>
  <c r="AD26" i="58" s="1"/>
  <c r="J27" i="58"/>
  <c r="AC27" i="58" s="1"/>
  <c r="AD27" i="58" s="1"/>
  <c r="J28" i="58"/>
  <c r="J29" i="58"/>
  <c r="AB29" i="58" s="1"/>
  <c r="J30" i="58"/>
  <c r="AA30" i="58" s="1"/>
  <c r="J31" i="58"/>
  <c r="AC31" i="58" s="1"/>
  <c r="AD31" i="58" s="1"/>
  <c r="J32" i="58"/>
  <c r="AC32" i="58" s="1"/>
  <c r="AD32" i="58" s="1"/>
  <c r="J33" i="58"/>
  <c r="AB33" i="58" s="1"/>
  <c r="J34" i="58"/>
  <c r="AB34" i="58" s="1"/>
  <c r="J35" i="58"/>
  <c r="J36" i="58"/>
  <c r="J37" i="58"/>
  <c r="AB37" i="58" s="1"/>
  <c r="J38" i="58"/>
  <c r="AB38" i="58" s="1"/>
  <c r="J39" i="58"/>
  <c r="AC39" i="58" s="1"/>
  <c r="AD39" i="58" s="1"/>
  <c r="J40" i="58"/>
  <c r="AC40" i="58" s="1"/>
  <c r="AD40" i="58" s="1"/>
  <c r="J41" i="58"/>
  <c r="J42" i="58"/>
  <c r="AB42" i="58" s="1"/>
  <c r="J43" i="58"/>
  <c r="AA43" i="58" s="1"/>
  <c r="J44" i="58"/>
  <c r="J45" i="58"/>
  <c r="AB45" i="58" s="1"/>
  <c r="J46" i="58"/>
  <c r="AA46" i="58" s="1"/>
  <c r="J47" i="58"/>
  <c r="AC47" i="58" s="1"/>
  <c r="AD47" i="58" s="1"/>
  <c r="J48" i="58"/>
  <c r="AC48" i="58" s="1"/>
  <c r="AD48" i="58" s="1"/>
  <c r="J49" i="58"/>
  <c r="AB49" i="58" s="1"/>
  <c r="J50" i="58"/>
  <c r="AB50" i="58" s="1"/>
  <c r="J51" i="58"/>
  <c r="J52" i="58"/>
  <c r="J53" i="58"/>
  <c r="AB53" i="58" s="1"/>
  <c r="J54" i="58"/>
  <c r="AB54" i="58" s="1"/>
  <c r="J55" i="58"/>
  <c r="AC55" i="58" s="1"/>
  <c r="AD55" i="58" s="1"/>
  <c r="J56" i="58"/>
  <c r="J57" i="58"/>
  <c r="J58" i="58"/>
  <c r="AC58" i="58" s="1"/>
  <c r="AD58" i="58" s="1"/>
  <c r="J59" i="58"/>
  <c r="AC59" i="58" s="1"/>
  <c r="AD59" i="58" s="1"/>
  <c r="J60" i="58"/>
  <c r="AA60" i="58" s="1"/>
  <c r="J61" i="58"/>
  <c r="AB61" i="58" s="1"/>
  <c r="J62" i="58"/>
  <c r="AB62" i="58" s="1"/>
  <c r="J63" i="58"/>
  <c r="AA63" i="58" s="1"/>
  <c r="J64" i="58"/>
  <c r="AA64" i="58" s="1"/>
  <c r="J65" i="58"/>
  <c r="AB65" i="58" s="1"/>
  <c r="J66" i="58"/>
  <c r="AB66" i="58" s="1"/>
  <c r="J67" i="58"/>
  <c r="J68" i="58"/>
  <c r="J69" i="58"/>
  <c r="AB69" i="58" s="1"/>
  <c r="J70" i="58"/>
  <c r="AB70" i="58" s="1"/>
  <c r="J71" i="58"/>
  <c r="AC71" i="58" s="1"/>
  <c r="AD71" i="58" s="1"/>
  <c r="J72" i="58"/>
  <c r="J73" i="58"/>
  <c r="J74" i="58"/>
  <c r="AC74" i="58" s="1"/>
  <c r="AD74" i="58" s="1"/>
  <c r="J75" i="58"/>
  <c r="AC75" i="58" s="1"/>
  <c r="AD75" i="58" s="1"/>
  <c r="J76" i="58"/>
  <c r="AA76" i="58" s="1"/>
  <c r="J77" i="58"/>
  <c r="AB77" i="58" s="1"/>
  <c r="J78" i="58"/>
  <c r="AB78" i="58" s="1"/>
  <c r="J79" i="58"/>
  <c r="AC79" i="58" s="1"/>
  <c r="AD79" i="58" s="1"/>
  <c r="J80" i="58"/>
  <c r="AA80" i="58" s="1"/>
  <c r="J81" i="58"/>
  <c r="AB81" i="58" s="1"/>
  <c r="J82" i="58"/>
  <c r="AA82" i="58" s="1"/>
  <c r="J83" i="58"/>
  <c r="J84" i="58"/>
  <c r="J85" i="58"/>
  <c r="AB85" i="58" s="1"/>
  <c r="J86" i="58"/>
  <c r="AA86" i="58" s="1"/>
  <c r="J87" i="58"/>
  <c r="AC87" i="58" s="1"/>
  <c r="AD87" i="58" s="1"/>
  <c r="J88" i="58"/>
  <c r="AC88" i="58" s="1"/>
  <c r="AD88" i="58" s="1"/>
  <c r="J89" i="58"/>
  <c r="J90" i="58"/>
  <c r="AA90" i="58" s="1"/>
  <c r="J91" i="58"/>
  <c r="AC91" i="58" s="1"/>
  <c r="AD91" i="58" s="1"/>
  <c r="J92" i="58"/>
  <c r="AA92" i="58" s="1"/>
  <c r="J93" i="58"/>
  <c r="AB93" i="58" s="1"/>
  <c r="J94" i="58"/>
  <c r="AB94" i="58" s="1"/>
  <c r="J95" i="58"/>
  <c r="AC95" i="58" s="1"/>
  <c r="AD95" i="58" s="1"/>
  <c r="J96" i="58"/>
  <c r="AA96" i="58" s="1"/>
  <c r="J97" i="58"/>
  <c r="AB97" i="58" s="1"/>
  <c r="J98" i="58"/>
  <c r="AB98" i="58" s="1"/>
  <c r="J99" i="58"/>
  <c r="J100" i="58"/>
  <c r="J101" i="58"/>
  <c r="AB101" i="58" s="1"/>
  <c r="J102" i="58"/>
  <c r="AA102" i="58" s="1"/>
  <c r="J103" i="58"/>
  <c r="AC103" i="58" s="1"/>
  <c r="AD103" i="58" s="1"/>
  <c r="J104" i="58"/>
  <c r="AC104" i="58" s="1"/>
  <c r="AD104" i="58" s="1"/>
  <c r="J105" i="58"/>
  <c r="J106" i="58"/>
  <c r="AB106" i="58" s="1"/>
  <c r="J107" i="58"/>
  <c r="AB107" i="58" s="1"/>
  <c r="J108" i="58"/>
  <c r="AA108" i="58" s="1"/>
  <c r="J109" i="58"/>
  <c r="J110" i="58"/>
  <c r="AB110" i="58" s="1"/>
  <c r="J111" i="58"/>
  <c r="AC111" i="58" s="1"/>
  <c r="AD111" i="58" s="1"/>
  <c r="J112" i="58"/>
  <c r="AA112" i="58" s="1"/>
  <c r="J113" i="58"/>
  <c r="AA113" i="58" s="1"/>
  <c r="J114" i="58"/>
  <c r="AA114" i="58" s="1"/>
  <c r="J115" i="58"/>
  <c r="AC115" i="58" s="1"/>
  <c r="AD115" i="58" s="1"/>
  <c r="J116" i="58"/>
  <c r="AA116" i="58" s="1"/>
  <c r="J117" i="58"/>
  <c r="J118" i="58"/>
  <c r="AA118" i="58" s="1"/>
  <c r="J119" i="58"/>
  <c r="AB119" i="58" s="1"/>
  <c r="J120" i="58"/>
  <c r="AC120" i="58" s="1"/>
  <c r="AD120" i="58" s="1"/>
  <c r="J121" i="58"/>
  <c r="J122" i="58"/>
  <c r="AC122" i="58" s="1"/>
  <c r="AD122" i="58" s="1"/>
  <c r="J123" i="58"/>
  <c r="AA123" i="58" s="1"/>
  <c r="J124" i="58"/>
  <c r="AA124" i="58" s="1"/>
  <c r="J125" i="58"/>
  <c r="J126" i="58"/>
  <c r="AB126" i="58" s="1"/>
  <c r="J127" i="58"/>
  <c r="AB127" i="58" s="1"/>
  <c r="J128" i="58"/>
  <c r="AA128" i="58" s="1"/>
  <c r="J129" i="58"/>
  <c r="AA129" i="58" s="1"/>
  <c r="J130" i="58"/>
  <c r="AC130" i="58" s="1"/>
  <c r="AD130" i="58" s="1"/>
  <c r="J131" i="58"/>
  <c r="AC131" i="58" s="1"/>
  <c r="AD131" i="58" s="1"/>
  <c r="J132" i="58"/>
  <c r="AA132" i="58" s="1"/>
  <c r="J133" i="58"/>
  <c r="J134" i="58"/>
  <c r="AA134" i="58" s="1"/>
  <c r="J135" i="58"/>
  <c r="AB135" i="58" s="1"/>
  <c r="J136" i="58"/>
  <c r="AC136" i="58" s="1"/>
  <c r="AD136" i="58" s="1"/>
  <c r="J137" i="58"/>
  <c r="J138" i="58"/>
  <c r="AB138" i="58" s="1"/>
  <c r="J139" i="58"/>
  <c r="AB139" i="58" s="1"/>
  <c r="J140" i="58"/>
  <c r="AA140" i="58" s="1"/>
  <c r="J141" i="58"/>
  <c r="J142" i="58"/>
  <c r="J22" i="58"/>
  <c r="P44" i="58"/>
  <c r="P45" i="58"/>
  <c r="P46" i="58"/>
  <c r="P47" i="58"/>
  <c r="P48" i="58"/>
  <c r="P49" i="58"/>
  <c r="P50" i="58"/>
  <c r="P51" i="58"/>
  <c r="P52" i="58"/>
  <c r="P53" i="58"/>
  <c r="P54" i="58"/>
  <c r="P55" i="58"/>
  <c r="P56" i="58"/>
  <c r="P57" i="58"/>
  <c r="P58" i="58"/>
  <c r="P59" i="58"/>
  <c r="P60" i="58"/>
  <c r="P61" i="58"/>
  <c r="P62" i="58"/>
  <c r="P63" i="58"/>
  <c r="P64" i="58"/>
  <c r="P65" i="58"/>
  <c r="P66" i="58"/>
  <c r="P67" i="58"/>
  <c r="P68" i="58"/>
  <c r="P69" i="58"/>
  <c r="P70" i="58"/>
  <c r="P71" i="58"/>
  <c r="P72" i="58"/>
  <c r="P73" i="58"/>
  <c r="P74" i="58"/>
  <c r="P75" i="58"/>
  <c r="P76" i="58"/>
  <c r="P77" i="58"/>
  <c r="P78" i="58"/>
  <c r="P79" i="58"/>
  <c r="P80" i="58"/>
  <c r="P81" i="58"/>
  <c r="P82" i="58"/>
  <c r="P83" i="58"/>
  <c r="P84" i="58"/>
  <c r="P85" i="58"/>
  <c r="P86" i="58"/>
  <c r="P87" i="58"/>
  <c r="P88" i="58"/>
  <c r="P89" i="58"/>
  <c r="P90" i="58"/>
  <c r="P91" i="58"/>
  <c r="P92" i="58"/>
  <c r="P93" i="58"/>
  <c r="P94" i="58"/>
  <c r="P95" i="58"/>
  <c r="P96" i="58"/>
  <c r="P97" i="58"/>
  <c r="P98" i="58"/>
  <c r="P99" i="58"/>
  <c r="P100" i="58"/>
  <c r="P101" i="58"/>
  <c r="P102" i="58"/>
  <c r="P103" i="58"/>
  <c r="P104" i="58"/>
  <c r="P105" i="58"/>
  <c r="P106" i="58"/>
  <c r="P107" i="58"/>
  <c r="P108" i="58"/>
  <c r="P109" i="58"/>
  <c r="P110" i="58"/>
  <c r="P111" i="58"/>
  <c r="P112" i="58"/>
  <c r="P113" i="58"/>
  <c r="P114" i="58"/>
  <c r="P115" i="58"/>
  <c r="P116" i="58"/>
  <c r="P117" i="58"/>
  <c r="P118" i="58"/>
  <c r="P119" i="58"/>
  <c r="P120" i="58"/>
  <c r="P121" i="58"/>
  <c r="P122" i="58"/>
  <c r="P123" i="58"/>
  <c r="P124" i="58"/>
  <c r="P125" i="58"/>
  <c r="P126" i="58"/>
  <c r="P127" i="58"/>
  <c r="P128" i="58"/>
  <c r="P129" i="58"/>
  <c r="P130" i="58"/>
  <c r="P131" i="58"/>
  <c r="P132" i="58"/>
  <c r="P133" i="58"/>
  <c r="P134" i="58"/>
  <c r="P135" i="58"/>
  <c r="P136" i="58"/>
  <c r="P137" i="58"/>
  <c r="P138" i="58"/>
  <c r="P139" i="58"/>
  <c r="P140" i="58"/>
  <c r="P141" i="58"/>
  <c r="P142" i="58"/>
  <c r="O44" i="58"/>
  <c r="O45" i="58"/>
  <c r="O46" i="58"/>
  <c r="O47" i="58"/>
  <c r="O48" i="58"/>
  <c r="O49" i="58"/>
  <c r="O50" i="58"/>
  <c r="O51" i="58"/>
  <c r="O52" i="58"/>
  <c r="O53" i="58"/>
  <c r="O54" i="58"/>
  <c r="O55" i="58"/>
  <c r="O56" i="58"/>
  <c r="O57" i="58"/>
  <c r="O58" i="58"/>
  <c r="O59" i="58"/>
  <c r="O60" i="58"/>
  <c r="O61" i="58"/>
  <c r="O62" i="58"/>
  <c r="O63" i="58"/>
  <c r="O64" i="58"/>
  <c r="O65" i="58"/>
  <c r="O66" i="58"/>
  <c r="O67" i="58"/>
  <c r="O68" i="58"/>
  <c r="O69" i="58"/>
  <c r="O70" i="58"/>
  <c r="O71" i="58"/>
  <c r="O72" i="58"/>
  <c r="O73" i="58"/>
  <c r="O74" i="58"/>
  <c r="O75" i="58"/>
  <c r="O76" i="58"/>
  <c r="O77" i="58"/>
  <c r="O78" i="58"/>
  <c r="O79" i="58"/>
  <c r="O80" i="58"/>
  <c r="O81" i="58"/>
  <c r="O82" i="58"/>
  <c r="O83" i="58"/>
  <c r="O84" i="58"/>
  <c r="O85" i="58"/>
  <c r="O86" i="58"/>
  <c r="O87" i="58"/>
  <c r="O88" i="58"/>
  <c r="O89" i="58"/>
  <c r="O90" i="58"/>
  <c r="O91" i="58"/>
  <c r="O92" i="58"/>
  <c r="O93" i="58"/>
  <c r="O94" i="58"/>
  <c r="O95" i="58"/>
  <c r="O96" i="58"/>
  <c r="O97" i="58"/>
  <c r="O98" i="58"/>
  <c r="O99" i="58"/>
  <c r="O100" i="58"/>
  <c r="O101" i="58"/>
  <c r="O102" i="58"/>
  <c r="O103" i="58"/>
  <c r="O104" i="58"/>
  <c r="O105" i="58"/>
  <c r="O106" i="58"/>
  <c r="O107" i="58"/>
  <c r="O108" i="58"/>
  <c r="O109" i="58"/>
  <c r="O110" i="58"/>
  <c r="O111" i="58"/>
  <c r="O112" i="58"/>
  <c r="O113" i="58"/>
  <c r="O114" i="58"/>
  <c r="O115" i="58"/>
  <c r="O116" i="58"/>
  <c r="O117" i="58"/>
  <c r="O118" i="58"/>
  <c r="O119" i="58"/>
  <c r="O120" i="58"/>
  <c r="O121" i="58"/>
  <c r="O122" i="58"/>
  <c r="O123" i="58"/>
  <c r="O124" i="58"/>
  <c r="O125" i="58"/>
  <c r="O126" i="58"/>
  <c r="O127" i="58"/>
  <c r="O128" i="58"/>
  <c r="O129" i="58"/>
  <c r="O130" i="58"/>
  <c r="O131" i="58"/>
  <c r="O132" i="58"/>
  <c r="O133" i="58"/>
  <c r="O134" i="58"/>
  <c r="O135" i="58"/>
  <c r="O136" i="58"/>
  <c r="O137" i="58"/>
  <c r="O138" i="58"/>
  <c r="O139" i="58"/>
  <c r="O140" i="58"/>
  <c r="O141" i="58"/>
  <c r="O142" i="58"/>
  <c r="R142" i="69"/>
  <c r="H142" i="69"/>
  <c r="R141" i="69"/>
  <c r="H141" i="69"/>
  <c r="R140" i="69"/>
  <c r="H140" i="69"/>
  <c r="R139" i="69"/>
  <c r="H139" i="69"/>
  <c r="R138" i="69"/>
  <c r="H138" i="69"/>
  <c r="R137" i="69"/>
  <c r="H137" i="69"/>
  <c r="R136" i="69"/>
  <c r="H136" i="69"/>
  <c r="R135" i="69"/>
  <c r="H135" i="69"/>
  <c r="R134" i="69"/>
  <c r="H134" i="69"/>
  <c r="R133" i="69"/>
  <c r="H133" i="69"/>
  <c r="R132" i="69"/>
  <c r="H132" i="69"/>
  <c r="R131" i="69"/>
  <c r="H131" i="69"/>
  <c r="R130" i="69"/>
  <c r="H130" i="69"/>
  <c r="R129" i="69"/>
  <c r="H129" i="69"/>
  <c r="R128" i="69"/>
  <c r="H128" i="69"/>
  <c r="R127" i="69"/>
  <c r="H127" i="69"/>
  <c r="R126" i="69"/>
  <c r="H126" i="69"/>
  <c r="R125" i="69"/>
  <c r="H125" i="69"/>
  <c r="R124" i="69"/>
  <c r="H124" i="69"/>
  <c r="R123" i="69"/>
  <c r="H123" i="69"/>
  <c r="R122" i="69"/>
  <c r="H122" i="69"/>
  <c r="R121" i="69"/>
  <c r="H121" i="69"/>
  <c r="R120" i="69"/>
  <c r="H120" i="69"/>
  <c r="R119" i="69"/>
  <c r="H119" i="69"/>
  <c r="R118" i="69"/>
  <c r="H118" i="69"/>
  <c r="R117" i="69"/>
  <c r="H117" i="69"/>
  <c r="R116" i="69"/>
  <c r="H116" i="69"/>
  <c r="R115" i="69"/>
  <c r="H115" i="69"/>
  <c r="R114" i="69"/>
  <c r="H114" i="69"/>
  <c r="R113" i="69"/>
  <c r="H113" i="69"/>
  <c r="R112" i="69"/>
  <c r="H112" i="69"/>
  <c r="R111" i="69"/>
  <c r="H111" i="69"/>
  <c r="R110" i="69"/>
  <c r="H110" i="69"/>
  <c r="R109" i="69"/>
  <c r="H109" i="69"/>
  <c r="R108" i="69"/>
  <c r="H108" i="69"/>
  <c r="R107" i="69"/>
  <c r="H107" i="69"/>
  <c r="R106" i="69"/>
  <c r="H106" i="69"/>
  <c r="R105" i="69"/>
  <c r="H105" i="69"/>
  <c r="R104" i="69"/>
  <c r="H104" i="69"/>
  <c r="R103" i="69"/>
  <c r="H103" i="69"/>
  <c r="R102" i="69"/>
  <c r="H102" i="69"/>
  <c r="R101" i="69"/>
  <c r="H101" i="69"/>
  <c r="R100" i="69"/>
  <c r="H100" i="69"/>
  <c r="R99" i="69"/>
  <c r="H99" i="69"/>
  <c r="R98" i="69"/>
  <c r="H98" i="69"/>
  <c r="R97" i="69"/>
  <c r="H97" i="69"/>
  <c r="R96" i="69"/>
  <c r="H96" i="69"/>
  <c r="R95" i="69"/>
  <c r="H95" i="69"/>
  <c r="R94" i="69"/>
  <c r="H94" i="69"/>
  <c r="R93" i="69"/>
  <c r="H93" i="69"/>
  <c r="R92" i="69"/>
  <c r="H92" i="69"/>
  <c r="R91" i="69"/>
  <c r="H91" i="69"/>
  <c r="R90" i="69"/>
  <c r="H90" i="69"/>
  <c r="R89" i="69"/>
  <c r="H89" i="69"/>
  <c r="R88" i="69"/>
  <c r="H88" i="69"/>
  <c r="R87" i="69"/>
  <c r="H87" i="69"/>
  <c r="R86" i="69"/>
  <c r="H86" i="69"/>
  <c r="R85" i="69"/>
  <c r="H85" i="69"/>
  <c r="H84" i="69"/>
  <c r="H83" i="69"/>
  <c r="H82" i="69"/>
  <c r="H81" i="69"/>
  <c r="H80" i="69"/>
  <c r="H79" i="69"/>
  <c r="H78" i="69"/>
  <c r="H77" i="69"/>
  <c r="H76" i="69"/>
  <c r="H75" i="69"/>
  <c r="H74" i="69"/>
  <c r="H73" i="69"/>
  <c r="H72" i="69"/>
  <c r="H71" i="69"/>
  <c r="H70" i="69"/>
  <c r="H69" i="69"/>
  <c r="H68" i="69"/>
  <c r="H67" i="69"/>
  <c r="H66" i="69"/>
  <c r="H65" i="69"/>
  <c r="H64" i="69"/>
  <c r="H63" i="69"/>
  <c r="H62" i="69"/>
  <c r="H61" i="69"/>
  <c r="H60" i="69"/>
  <c r="H59" i="69"/>
  <c r="H58" i="69"/>
  <c r="H57" i="69"/>
  <c r="H56" i="69"/>
  <c r="H55" i="69"/>
  <c r="H54" i="69"/>
  <c r="H53" i="69"/>
  <c r="H52" i="69"/>
  <c r="H51" i="69"/>
  <c r="H50" i="69"/>
  <c r="H49" i="69"/>
  <c r="H48" i="69"/>
  <c r="H47" i="69"/>
  <c r="H46" i="69"/>
  <c r="H45" i="69"/>
  <c r="H44" i="69"/>
  <c r="H43" i="69"/>
  <c r="H42" i="69"/>
  <c r="H41" i="69"/>
  <c r="H40" i="69"/>
  <c r="H39" i="69"/>
  <c r="H38" i="69"/>
  <c r="H37" i="69"/>
  <c r="H36" i="69"/>
  <c r="H35" i="69"/>
  <c r="H34" i="69"/>
  <c r="H33" i="69"/>
  <c r="BR28" i="69"/>
  <c r="BP28" i="69"/>
  <c r="BR27" i="69"/>
  <c r="BP27" i="69"/>
  <c r="BR26" i="69"/>
  <c r="BP26" i="69"/>
  <c r="BR25" i="69"/>
  <c r="BP25" i="69"/>
  <c r="BR24" i="69"/>
  <c r="BP24" i="69"/>
  <c r="BR23" i="69"/>
  <c r="BP23" i="69"/>
  <c r="BR22" i="69"/>
  <c r="BP22" i="69"/>
  <c r="AK22" i="69"/>
  <c r="AI22" i="69"/>
  <c r="BR21" i="69"/>
  <c r="BP21" i="69"/>
  <c r="BR20" i="69"/>
  <c r="BP20" i="69"/>
  <c r="BR19" i="69"/>
  <c r="BP19" i="69"/>
  <c r="BR18" i="69"/>
  <c r="BP18" i="69"/>
  <c r="BR17" i="69"/>
  <c r="BP17" i="69"/>
  <c r="BR16" i="69"/>
  <c r="BP16" i="69"/>
  <c r="BR15" i="69"/>
  <c r="BP15" i="69"/>
  <c r="BR14" i="69"/>
  <c r="BP14" i="69"/>
  <c r="BR13" i="69"/>
  <c r="BP13" i="69"/>
  <c r="BR12" i="69"/>
  <c r="BP12" i="69"/>
  <c r="BR11" i="69"/>
  <c r="BP11" i="69"/>
  <c r="BR10" i="69"/>
  <c r="BP10" i="69"/>
  <c r="BR9" i="69"/>
  <c r="BP9" i="69"/>
  <c r="BT8" i="69"/>
  <c r="BR8" i="69"/>
  <c r="BP8" i="69"/>
  <c r="BR7" i="69"/>
  <c r="BP7" i="69"/>
  <c r="BP2" i="69"/>
  <c r="BO2" i="69"/>
  <c r="Q44" i="58"/>
  <c r="Q45" i="58"/>
  <c r="Q46" i="58"/>
  <c r="Q47" i="58"/>
  <c r="Q48" i="58"/>
  <c r="Q49" i="58"/>
  <c r="Q50" i="58"/>
  <c r="Q51" i="58"/>
  <c r="Q52" i="58"/>
  <c r="Q53" i="58"/>
  <c r="Q54" i="58"/>
  <c r="Q55" i="58"/>
  <c r="Q56" i="58"/>
  <c r="Q57" i="58"/>
  <c r="Q58" i="58"/>
  <c r="Q59" i="58"/>
  <c r="Q60" i="58"/>
  <c r="Q61" i="58"/>
  <c r="Q62" i="58"/>
  <c r="Q63" i="58"/>
  <c r="Q64" i="58"/>
  <c r="Q65" i="58"/>
  <c r="Q66" i="58"/>
  <c r="Q67" i="58"/>
  <c r="Q68" i="58"/>
  <c r="Q69" i="58"/>
  <c r="Q70" i="58"/>
  <c r="Q71" i="58"/>
  <c r="Q72" i="58"/>
  <c r="Q73" i="58"/>
  <c r="Q74" i="58"/>
  <c r="Q75" i="58"/>
  <c r="Q76" i="58"/>
  <c r="Q77" i="58"/>
  <c r="Q78" i="58"/>
  <c r="Q79" i="58"/>
  <c r="Q80" i="58"/>
  <c r="Q81" i="58"/>
  <c r="Q82" i="58"/>
  <c r="Q83" i="58"/>
  <c r="Q84" i="58"/>
  <c r="Q85" i="58"/>
  <c r="Q86" i="58"/>
  <c r="Q87" i="58"/>
  <c r="Q88" i="58"/>
  <c r="Q89" i="58"/>
  <c r="Q90" i="58"/>
  <c r="Q91" i="58"/>
  <c r="Q92" i="58"/>
  <c r="Q93" i="58"/>
  <c r="Q94" i="58"/>
  <c r="Q95" i="58"/>
  <c r="Q96" i="58"/>
  <c r="Q97" i="58"/>
  <c r="Q98" i="58"/>
  <c r="Q99" i="58"/>
  <c r="Q100" i="58"/>
  <c r="Q101" i="58"/>
  <c r="Q102" i="58"/>
  <c r="Q103" i="58"/>
  <c r="Q104" i="58"/>
  <c r="Q105" i="58"/>
  <c r="Q106" i="58"/>
  <c r="Q107" i="58"/>
  <c r="Q108" i="58"/>
  <c r="Q109" i="58"/>
  <c r="Q110" i="58"/>
  <c r="Q111" i="58"/>
  <c r="Q112" i="58"/>
  <c r="Q113" i="58"/>
  <c r="Q114" i="58"/>
  <c r="Q115" i="58"/>
  <c r="Q116" i="58"/>
  <c r="Q117" i="58"/>
  <c r="Q118" i="58"/>
  <c r="Q119" i="58"/>
  <c r="Q120" i="58"/>
  <c r="Q121" i="58"/>
  <c r="Q122" i="58"/>
  <c r="Q123" i="58"/>
  <c r="Q124" i="58"/>
  <c r="Q125" i="58"/>
  <c r="Q126" i="58"/>
  <c r="Q127" i="58"/>
  <c r="Q128" i="58"/>
  <c r="Q129" i="58"/>
  <c r="Q130" i="58"/>
  <c r="Q131" i="58"/>
  <c r="Q132" i="58"/>
  <c r="Q133" i="58"/>
  <c r="Q134" i="58"/>
  <c r="Q135" i="58"/>
  <c r="Q136" i="58"/>
  <c r="Q137" i="58"/>
  <c r="Q138" i="58"/>
  <c r="Q139" i="58"/>
  <c r="Q140" i="58"/>
  <c r="Q141" i="58"/>
  <c r="Q142" i="58"/>
  <c r="AG22" i="58"/>
  <c r="O38" i="66"/>
  <c r="Q38" i="66" s="1"/>
  <c r="P38" i="66"/>
  <c r="O39" i="66"/>
  <c r="Q39" i="66" s="1"/>
  <c r="P39" i="66"/>
  <c r="O40" i="66"/>
  <c r="Q40" i="66" s="1"/>
  <c r="P40" i="66"/>
  <c r="O41" i="66"/>
  <c r="Q41" i="66" s="1"/>
  <c r="P41" i="66"/>
  <c r="O42" i="66"/>
  <c r="Q42" i="66" s="1"/>
  <c r="P42" i="66"/>
  <c r="O43" i="66"/>
  <c r="Q43" i="66" s="1"/>
  <c r="P43" i="66"/>
  <c r="O44" i="66"/>
  <c r="Q44" i="66" s="1"/>
  <c r="P44" i="66"/>
  <c r="O45" i="66"/>
  <c r="Q45" i="66" s="1"/>
  <c r="P45" i="66"/>
  <c r="P37" i="66"/>
  <c r="O37" i="66"/>
  <c r="Q37" i="66" s="1"/>
  <c r="AI22" i="58"/>
  <c r="H142" i="58"/>
  <c r="H8" i="66"/>
  <c r="H8" i="16"/>
  <c r="W6" i="65"/>
  <c r="W7" i="65"/>
  <c r="W8" i="65"/>
  <c r="W9" i="65"/>
  <c r="V6" i="65"/>
  <c r="V7" i="65"/>
  <c r="V8" i="65"/>
  <c r="V9" i="65"/>
  <c r="U6" i="65"/>
  <c r="U7" i="65"/>
  <c r="U9" i="65"/>
  <c r="T6" i="65"/>
  <c r="T7" i="65"/>
  <c r="T8" i="65"/>
  <c r="T9" i="65"/>
  <c r="S6" i="65"/>
  <c r="S7" i="65"/>
  <c r="S8" i="65"/>
  <c r="S9" i="65"/>
  <c r="H29" i="66"/>
  <c r="H30" i="66"/>
  <c r="H33" i="66"/>
  <c r="H34" i="66"/>
  <c r="R6" i="65"/>
  <c r="R7" i="65"/>
  <c r="R8" i="65"/>
  <c r="R9" i="65"/>
  <c r="Q6" i="65"/>
  <c r="Q7" i="65"/>
  <c r="Q8" i="65"/>
  <c r="Q9" i="65"/>
  <c r="P6" i="65"/>
  <c r="P7" i="65"/>
  <c r="P8" i="65"/>
  <c r="P9" i="65"/>
  <c r="O7" i="65"/>
  <c r="O8" i="65"/>
  <c r="O9" i="65"/>
  <c r="O6" i="65"/>
  <c r="K6" i="44"/>
  <c r="K7" i="44"/>
  <c r="K8" i="44"/>
  <c r="K9" i="44"/>
  <c r="K10" i="44"/>
  <c r="K11" i="44"/>
  <c r="C8" i="67"/>
  <c r="F23" i="67"/>
  <c r="F24" i="67"/>
  <c r="F25" i="67"/>
  <c r="F26" i="67"/>
  <c r="F27" i="67"/>
  <c r="F28" i="67"/>
  <c r="F29" i="67"/>
  <c r="F30" i="67"/>
  <c r="F22" i="67"/>
  <c r="E23" i="67"/>
  <c r="E27" i="67"/>
  <c r="E28" i="67"/>
  <c r="E22" i="67"/>
  <c r="D23" i="67"/>
  <c r="D24" i="67"/>
  <c r="D25" i="67"/>
  <c r="D27" i="67"/>
  <c r="D28" i="67"/>
  <c r="D29" i="67"/>
  <c r="D22" i="67"/>
  <c r="G15" i="67"/>
  <c r="G18" i="67"/>
  <c r="C6" i="67"/>
  <c r="C4" i="67"/>
  <c r="H11" i="67"/>
  <c r="C15" i="67"/>
  <c r="Q21" i="66"/>
  <c r="I491" i="12"/>
  <c r="J491" i="12"/>
  <c r="K491" i="12"/>
  <c r="L491" i="12"/>
  <c r="M491" i="12"/>
  <c r="N491" i="12"/>
  <c r="O491" i="12"/>
  <c r="P491" i="12"/>
  <c r="Q491" i="12"/>
  <c r="R491" i="12"/>
  <c r="S491" i="12"/>
  <c r="T491" i="12"/>
  <c r="U491" i="12"/>
  <c r="V491" i="12"/>
  <c r="W491" i="12"/>
  <c r="X491" i="12"/>
  <c r="Y491" i="12"/>
  <c r="Z491" i="12"/>
  <c r="AA491" i="12"/>
  <c r="AB491" i="12"/>
  <c r="AC491" i="12"/>
  <c r="AD491" i="12"/>
  <c r="AE491" i="12"/>
  <c r="AR491" i="12"/>
  <c r="AS491" i="12"/>
  <c r="AT491" i="12"/>
  <c r="AU491" i="12"/>
  <c r="BF491" i="12"/>
  <c r="BG491" i="12"/>
  <c r="BH491" i="12"/>
  <c r="BI491" i="12"/>
  <c r="BJ491" i="12"/>
  <c r="I490" i="12"/>
  <c r="J490" i="12"/>
  <c r="K490" i="12"/>
  <c r="L490" i="12"/>
  <c r="M490" i="12"/>
  <c r="N490" i="12"/>
  <c r="O490" i="12"/>
  <c r="P490" i="12"/>
  <c r="Q490" i="12"/>
  <c r="R490" i="12"/>
  <c r="S490" i="12"/>
  <c r="T490" i="12"/>
  <c r="U490" i="12"/>
  <c r="V490" i="12"/>
  <c r="W490" i="12"/>
  <c r="X490" i="12"/>
  <c r="Y490" i="12"/>
  <c r="Z490" i="12"/>
  <c r="AA490" i="12"/>
  <c r="AB490" i="12"/>
  <c r="AC490" i="12"/>
  <c r="AD490" i="12"/>
  <c r="AE490" i="12"/>
  <c r="AR490" i="12"/>
  <c r="AS490" i="12"/>
  <c r="AT490" i="12"/>
  <c r="AU490" i="12"/>
  <c r="BF490" i="12"/>
  <c r="BG490" i="12"/>
  <c r="BH490" i="12"/>
  <c r="BI490" i="12"/>
  <c r="BJ490" i="12"/>
  <c r="H28" i="66"/>
  <c r="L12" i="64"/>
  <c r="K13" i="74" l="1"/>
  <c r="K22" i="74" s="1"/>
  <c r="BK7" i="13"/>
  <c r="BK8" i="13"/>
  <c r="BK9" i="13"/>
  <c r="BK10" i="13"/>
  <c r="BK11" i="13"/>
  <c r="BK12" i="13"/>
  <c r="BK13" i="13"/>
  <c r="BK14" i="13"/>
  <c r="BK15" i="13"/>
  <c r="BK16" i="13"/>
  <c r="O8" i="13"/>
  <c r="AG8" i="13"/>
  <c r="G7" i="13"/>
  <c r="O9" i="13"/>
  <c r="AI7" i="13"/>
  <c r="S7" i="13"/>
  <c r="AG7" i="13"/>
  <c r="O7" i="13"/>
  <c r="AG9" i="13"/>
  <c r="AE7" i="13"/>
  <c r="K7" i="13"/>
  <c r="AG10" i="13"/>
  <c r="AE8" i="13"/>
  <c r="K8" i="13"/>
  <c r="AH7" i="13"/>
  <c r="R7" i="13"/>
  <c r="N7" i="13"/>
  <c r="J7" i="13"/>
  <c r="F7" i="13"/>
  <c r="G8" i="13"/>
  <c r="Q7" i="13"/>
  <c r="M7" i="13"/>
  <c r="I7" i="13"/>
  <c r="E7" i="13"/>
  <c r="O10" i="13"/>
  <c r="AI8" i="13"/>
  <c r="S8" i="13"/>
  <c r="AJ7" i="13"/>
  <c r="AF7" i="13"/>
  <c r="T7" i="13"/>
  <c r="U7" i="13" s="1"/>
  <c r="P7" i="13"/>
  <c r="L7" i="13"/>
  <c r="H7" i="13"/>
  <c r="AG11" i="13"/>
  <c r="AE9" i="13"/>
  <c r="K9" i="13"/>
  <c r="AH8" i="13"/>
  <c r="R8" i="13"/>
  <c r="N8" i="13"/>
  <c r="J8" i="13"/>
  <c r="F8" i="13"/>
  <c r="G9" i="13"/>
  <c r="Q8" i="13"/>
  <c r="M8" i="13"/>
  <c r="I8" i="13"/>
  <c r="E8" i="13"/>
  <c r="O11" i="13"/>
  <c r="AI9" i="13"/>
  <c r="S9" i="13"/>
  <c r="AJ8" i="13"/>
  <c r="AF8" i="13"/>
  <c r="T8" i="13"/>
  <c r="P8" i="13"/>
  <c r="L8" i="13"/>
  <c r="H8" i="13"/>
  <c r="AG12" i="13"/>
  <c r="AE10" i="13"/>
  <c r="K10" i="13"/>
  <c r="AH9" i="13"/>
  <c r="R9" i="13"/>
  <c r="N9" i="13"/>
  <c r="J9" i="13"/>
  <c r="F9" i="13"/>
  <c r="G10" i="13"/>
  <c r="Q9" i="13"/>
  <c r="M9" i="13"/>
  <c r="I9" i="13"/>
  <c r="E9" i="13"/>
  <c r="O12" i="13"/>
  <c r="AI10" i="13"/>
  <c r="S10" i="13"/>
  <c r="AJ9" i="13"/>
  <c r="AF9" i="13"/>
  <c r="T9" i="13"/>
  <c r="P9" i="13"/>
  <c r="L9" i="13"/>
  <c r="H9" i="13"/>
  <c r="AG13" i="13"/>
  <c r="AE11" i="13"/>
  <c r="K11" i="13"/>
  <c r="AH10" i="13"/>
  <c r="R10" i="13"/>
  <c r="N10" i="13"/>
  <c r="J10" i="13"/>
  <c r="F10" i="13"/>
  <c r="G11" i="13"/>
  <c r="Q10" i="13"/>
  <c r="M10" i="13"/>
  <c r="I10" i="13"/>
  <c r="E10" i="13"/>
  <c r="AG14" i="13"/>
  <c r="O13" i="13"/>
  <c r="AI11" i="13"/>
  <c r="S11" i="13"/>
  <c r="AJ10" i="13"/>
  <c r="AF10" i="13"/>
  <c r="T10" i="13"/>
  <c r="P10" i="13"/>
  <c r="L10" i="13"/>
  <c r="H10" i="13"/>
  <c r="AE12" i="13"/>
  <c r="K12" i="13"/>
  <c r="AH11" i="13"/>
  <c r="R11" i="13"/>
  <c r="N11" i="13"/>
  <c r="J11" i="13"/>
  <c r="F11" i="13"/>
  <c r="G12" i="13"/>
  <c r="Q11" i="13"/>
  <c r="M11" i="13"/>
  <c r="I11" i="13"/>
  <c r="E11" i="13"/>
  <c r="AI12" i="13"/>
  <c r="S12" i="13"/>
  <c r="AJ11" i="13"/>
  <c r="AF11" i="13"/>
  <c r="T11" i="13"/>
  <c r="P11" i="13"/>
  <c r="L11" i="13"/>
  <c r="H11" i="13"/>
  <c r="AH15" i="13"/>
  <c r="AE13" i="13"/>
  <c r="K13" i="13"/>
  <c r="AH12" i="13"/>
  <c r="R12" i="13"/>
  <c r="N12" i="13"/>
  <c r="J12" i="13"/>
  <c r="F12" i="13"/>
  <c r="O14" i="13"/>
  <c r="G13" i="13"/>
  <c r="Q12" i="13"/>
  <c r="M12" i="13"/>
  <c r="I12" i="13"/>
  <c r="E12" i="13"/>
  <c r="O15" i="13"/>
  <c r="AI13" i="13"/>
  <c r="S13" i="13"/>
  <c r="AJ12" i="13"/>
  <c r="AF12" i="13"/>
  <c r="T12" i="13"/>
  <c r="P12" i="13"/>
  <c r="L12" i="13"/>
  <c r="H12" i="13"/>
  <c r="AG15" i="13"/>
  <c r="K15" i="13"/>
  <c r="AE14" i="13"/>
  <c r="K14" i="13"/>
  <c r="AH13" i="13"/>
  <c r="R13" i="13"/>
  <c r="N13" i="13"/>
  <c r="J13" i="13"/>
  <c r="F13" i="13"/>
  <c r="G15" i="13"/>
  <c r="G14" i="13"/>
  <c r="Q13" i="13"/>
  <c r="M13" i="13"/>
  <c r="I13" i="13"/>
  <c r="E13" i="13"/>
  <c r="AE15" i="13"/>
  <c r="S15" i="13"/>
  <c r="AI14" i="13"/>
  <c r="S14" i="13"/>
  <c r="AJ13" i="13"/>
  <c r="AF13" i="13"/>
  <c r="T13" i="13"/>
  <c r="U13" i="13" s="1"/>
  <c r="P13" i="13"/>
  <c r="L13" i="13"/>
  <c r="H13" i="13"/>
  <c r="O16" i="13"/>
  <c r="R15" i="13"/>
  <c r="J15" i="13"/>
  <c r="AH14" i="13"/>
  <c r="R14" i="13"/>
  <c r="N14" i="13"/>
  <c r="J14" i="13"/>
  <c r="F14" i="13"/>
  <c r="K16" i="13"/>
  <c r="Q14" i="13"/>
  <c r="M14" i="13"/>
  <c r="I14" i="13"/>
  <c r="E14" i="13"/>
  <c r="AE16" i="13"/>
  <c r="AG16" i="13"/>
  <c r="AI15" i="13"/>
  <c r="N15" i="13"/>
  <c r="AJ14" i="13"/>
  <c r="AF14" i="13"/>
  <c r="T14" i="13"/>
  <c r="P14" i="13"/>
  <c r="L14" i="13"/>
  <c r="H14" i="13"/>
  <c r="F15" i="13"/>
  <c r="G16" i="13"/>
  <c r="AC15" i="13"/>
  <c r="Q15" i="13"/>
  <c r="M15" i="13"/>
  <c r="I15" i="13"/>
  <c r="E15" i="13"/>
  <c r="AI16" i="13"/>
  <c r="S16" i="13"/>
  <c r="AJ15" i="13"/>
  <c r="AF15" i="13"/>
  <c r="T15" i="13"/>
  <c r="P15" i="13"/>
  <c r="L15" i="13"/>
  <c r="H15" i="13"/>
  <c r="AH16" i="13"/>
  <c r="R16" i="13"/>
  <c r="N16" i="13"/>
  <c r="J16" i="13"/>
  <c r="F16" i="13"/>
  <c r="Q16" i="13"/>
  <c r="M16" i="13"/>
  <c r="I16" i="13"/>
  <c r="E16" i="13"/>
  <c r="AJ16" i="13"/>
  <c r="AF16" i="13"/>
  <c r="T16" i="13"/>
  <c r="P16" i="13"/>
  <c r="L16" i="13"/>
  <c r="H16" i="13"/>
  <c r="BK17" i="13"/>
  <c r="AD7" i="13" s="1"/>
  <c r="P12" i="73"/>
  <c r="Q12" i="73"/>
  <c r="P16" i="73"/>
  <c r="Q16" i="73"/>
  <c r="Q13" i="73"/>
  <c r="P13" i="73"/>
  <c r="Q17" i="73"/>
  <c r="P17" i="73"/>
  <c r="Q10" i="73"/>
  <c r="N10" i="73"/>
  <c r="P14" i="73"/>
  <c r="Q14" i="73"/>
  <c r="P18" i="73"/>
  <c r="Q18" i="73"/>
  <c r="Q11" i="73"/>
  <c r="P11" i="73"/>
  <c r="Q15" i="73"/>
  <c r="P15" i="73"/>
  <c r="Q19" i="73"/>
  <c r="P19" i="73"/>
  <c r="M10" i="73"/>
  <c r="BK18" i="13"/>
  <c r="BK19" i="13"/>
  <c r="BK20" i="13"/>
  <c r="BK21" i="13"/>
  <c r="BK22" i="13"/>
  <c r="BK23" i="13"/>
  <c r="BK24" i="13"/>
  <c r="BK25" i="13"/>
  <c r="O18" i="13"/>
  <c r="BK26" i="13"/>
  <c r="G17" i="13"/>
  <c r="O19" i="13"/>
  <c r="AI17" i="13"/>
  <c r="S17" i="13"/>
  <c r="AG18" i="13"/>
  <c r="AG17" i="13"/>
  <c r="O17" i="13"/>
  <c r="AG19" i="13"/>
  <c r="AE17" i="13"/>
  <c r="K17" i="13"/>
  <c r="AG20" i="13"/>
  <c r="AE18" i="13"/>
  <c r="K18" i="13"/>
  <c r="AH17" i="13"/>
  <c r="R17" i="13"/>
  <c r="N17" i="13"/>
  <c r="J17" i="13"/>
  <c r="F17" i="13"/>
  <c r="G18" i="13"/>
  <c r="Q17" i="13"/>
  <c r="M17" i="13"/>
  <c r="I17" i="13"/>
  <c r="E17" i="13"/>
  <c r="AG21" i="13"/>
  <c r="O20" i="13"/>
  <c r="AI18" i="13"/>
  <c r="S18" i="13"/>
  <c r="AJ17" i="13"/>
  <c r="AF17" i="13"/>
  <c r="T17" i="13"/>
  <c r="P17" i="13"/>
  <c r="L17" i="13"/>
  <c r="H17" i="13"/>
  <c r="AE19" i="13"/>
  <c r="K19" i="13"/>
  <c r="AH18" i="13"/>
  <c r="R18" i="13"/>
  <c r="N18" i="13"/>
  <c r="J18" i="13"/>
  <c r="F18" i="13"/>
  <c r="G19" i="13"/>
  <c r="Q18" i="13"/>
  <c r="M18" i="13"/>
  <c r="I18" i="13"/>
  <c r="E18" i="13"/>
  <c r="AI19" i="13"/>
  <c r="S19" i="13"/>
  <c r="AJ18" i="13"/>
  <c r="AF18" i="13"/>
  <c r="T18" i="13"/>
  <c r="P18" i="13"/>
  <c r="L18" i="13"/>
  <c r="H18" i="13"/>
  <c r="AG22" i="13"/>
  <c r="AE20" i="13"/>
  <c r="K20" i="13"/>
  <c r="AH19" i="13"/>
  <c r="R19" i="13"/>
  <c r="N19" i="13"/>
  <c r="J19" i="13"/>
  <c r="F19" i="13"/>
  <c r="O21" i="13"/>
  <c r="G20" i="13"/>
  <c r="Q19" i="13"/>
  <c r="M19" i="13"/>
  <c r="I19" i="13"/>
  <c r="E19" i="13"/>
  <c r="O22" i="13"/>
  <c r="AI20" i="13"/>
  <c r="S20" i="13"/>
  <c r="AJ19" i="13"/>
  <c r="AF19" i="13"/>
  <c r="T19" i="13"/>
  <c r="P19" i="13"/>
  <c r="L19" i="13"/>
  <c r="H19" i="13"/>
  <c r="AE21" i="13"/>
  <c r="K21" i="13"/>
  <c r="AH20" i="13"/>
  <c r="R20" i="13"/>
  <c r="N20" i="13"/>
  <c r="J20" i="13"/>
  <c r="F20" i="13"/>
  <c r="G21" i="13"/>
  <c r="Q20" i="13"/>
  <c r="M20" i="13"/>
  <c r="I20" i="13"/>
  <c r="E20" i="13"/>
  <c r="AI22" i="13"/>
  <c r="AI21" i="13"/>
  <c r="S21" i="13"/>
  <c r="AJ20" i="13"/>
  <c r="AF20" i="13"/>
  <c r="T20" i="13"/>
  <c r="U20" i="13" s="1"/>
  <c r="P20" i="13"/>
  <c r="L20" i="13"/>
  <c r="H20" i="13"/>
  <c r="AG24" i="13"/>
  <c r="O23" i="13"/>
  <c r="AE22" i="13"/>
  <c r="K22" i="13"/>
  <c r="AH21" i="13"/>
  <c r="R21" i="13"/>
  <c r="N21" i="13"/>
  <c r="J21" i="13"/>
  <c r="F21" i="13"/>
  <c r="G22" i="13"/>
  <c r="Q21" i="13"/>
  <c r="M21" i="13"/>
  <c r="I21" i="13"/>
  <c r="E21" i="13"/>
  <c r="AI23" i="13"/>
  <c r="AH22" i="13"/>
  <c r="S22" i="13"/>
  <c r="AJ21" i="13"/>
  <c r="AF21" i="13"/>
  <c r="T21" i="13"/>
  <c r="P21" i="13"/>
  <c r="L21" i="13"/>
  <c r="H21" i="13"/>
  <c r="AE23" i="13"/>
  <c r="AG26" i="13"/>
  <c r="O25" i="13"/>
  <c r="AG23" i="13"/>
  <c r="K23" i="13"/>
  <c r="R22" i="13"/>
  <c r="N22" i="13"/>
  <c r="J22" i="13"/>
  <c r="F22" i="13"/>
  <c r="G23" i="13"/>
  <c r="Q22" i="13"/>
  <c r="M22" i="13"/>
  <c r="I22" i="13"/>
  <c r="E22" i="13"/>
  <c r="AG25" i="13"/>
  <c r="S23" i="13"/>
  <c r="AJ22" i="13"/>
  <c r="AF22" i="13"/>
  <c r="T22" i="13"/>
  <c r="P22" i="13"/>
  <c r="L22" i="13"/>
  <c r="H22" i="13"/>
  <c r="R24" i="13"/>
  <c r="AC24" i="13" s="1"/>
  <c r="J24" i="13"/>
  <c r="K25" i="13"/>
  <c r="AE24" i="13"/>
  <c r="O24" i="13"/>
  <c r="G24" i="13"/>
  <c r="AH23" i="13"/>
  <c r="R23" i="13"/>
  <c r="N23" i="13"/>
  <c r="J23" i="13"/>
  <c r="F23" i="13"/>
  <c r="AE25" i="13"/>
  <c r="AI24" i="13"/>
  <c r="N24" i="13"/>
  <c r="F24" i="13"/>
  <c r="Q23" i="13"/>
  <c r="M23" i="13"/>
  <c r="I23" i="13"/>
  <c r="E23" i="13"/>
  <c r="AH24" i="13"/>
  <c r="S24" i="13"/>
  <c r="K24" i="13"/>
  <c r="AJ23" i="13"/>
  <c r="AF23" i="13"/>
  <c r="T23" i="13"/>
  <c r="P23" i="13"/>
  <c r="L23" i="13"/>
  <c r="H23" i="13"/>
  <c r="G25" i="13"/>
  <c r="Q24" i="13"/>
  <c r="M24" i="13"/>
  <c r="I24" i="13"/>
  <c r="E24" i="13"/>
  <c r="AI25" i="13"/>
  <c r="S25" i="13"/>
  <c r="AJ24" i="13"/>
  <c r="AF24" i="13"/>
  <c r="T24" i="13"/>
  <c r="P24" i="13"/>
  <c r="L24" i="13"/>
  <c r="H24" i="13"/>
  <c r="R26" i="13"/>
  <c r="AC26" i="13" s="1"/>
  <c r="J26" i="13"/>
  <c r="AE26" i="13"/>
  <c r="O26" i="13"/>
  <c r="G26" i="13"/>
  <c r="AH25" i="13"/>
  <c r="R25" i="13"/>
  <c r="N25" i="13"/>
  <c r="J25" i="13"/>
  <c r="F25" i="13"/>
  <c r="AI26" i="13"/>
  <c r="N26" i="13"/>
  <c r="F26" i="13"/>
  <c r="Q25" i="13"/>
  <c r="M25" i="13"/>
  <c r="I25" i="13"/>
  <c r="E25" i="13"/>
  <c r="AH26" i="13"/>
  <c r="S26" i="13"/>
  <c r="K26" i="13"/>
  <c r="AJ25" i="13"/>
  <c r="AF25" i="13"/>
  <c r="T25" i="13"/>
  <c r="P25" i="13"/>
  <c r="L25" i="13"/>
  <c r="H25" i="13"/>
  <c r="Q26" i="13"/>
  <c r="M26" i="13"/>
  <c r="I26" i="13"/>
  <c r="E26" i="13"/>
  <c r="AJ26" i="13"/>
  <c r="AF26" i="13"/>
  <c r="AB26" i="13"/>
  <c r="T26" i="13"/>
  <c r="P26" i="13"/>
  <c r="L26" i="13"/>
  <c r="H26" i="13"/>
  <c r="P111" i="70"/>
  <c r="P79" i="70"/>
  <c r="P47" i="70"/>
  <c r="AI167" i="13"/>
  <c r="AI59" i="13"/>
  <c r="AI151" i="13"/>
  <c r="AJ31" i="13"/>
  <c r="AI135" i="13"/>
  <c r="AI183" i="13"/>
  <c r="AI119" i="13"/>
  <c r="AI103" i="13"/>
  <c r="AI75" i="13"/>
  <c r="AJ186" i="13"/>
  <c r="AI175" i="13"/>
  <c r="AI159" i="13"/>
  <c r="AI143" i="13"/>
  <c r="AI127" i="13"/>
  <c r="AI111" i="13"/>
  <c r="AI95" i="13"/>
  <c r="AI67" i="13"/>
  <c r="AI51" i="13"/>
  <c r="AI31" i="13"/>
  <c r="AJ178" i="13"/>
  <c r="AJ162" i="13"/>
  <c r="AJ146" i="13"/>
  <c r="AJ130" i="13"/>
  <c r="AJ114" i="13"/>
  <c r="AJ71" i="13"/>
  <c r="AJ170" i="13"/>
  <c r="AJ154" i="13"/>
  <c r="AJ138" i="13"/>
  <c r="AJ122" i="13"/>
  <c r="AJ95" i="13"/>
  <c r="AI182" i="13"/>
  <c r="AI166" i="13"/>
  <c r="AI150" i="13"/>
  <c r="AI134" i="13"/>
  <c r="AI118" i="13"/>
  <c r="AI102" i="13"/>
  <c r="AI55" i="13"/>
  <c r="AI35" i="13"/>
  <c r="AJ181" i="13"/>
  <c r="AJ165" i="13"/>
  <c r="AJ149" i="13"/>
  <c r="AJ133" i="13"/>
  <c r="AJ117" i="13"/>
  <c r="AJ79" i="13"/>
  <c r="AJ28" i="13"/>
  <c r="AI174" i="13"/>
  <c r="AI158" i="13"/>
  <c r="AI142" i="13"/>
  <c r="AI126" i="13"/>
  <c r="AI110" i="13"/>
  <c r="AJ189" i="13"/>
  <c r="AJ173" i="13"/>
  <c r="AJ157" i="13"/>
  <c r="AJ141" i="13"/>
  <c r="AJ125" i="13"/>
  <c r="AJ102" i="13"/>
  <c r="AJ52" i="13"/>
  <c r="AI187" i="13"/>
  <c r="AI179" i="13"/>
  <c r="AI171" i="13"/>
  <c r="AI163" i="13"/>
  <c r="AI155" i="13"/>
  <c r="AI147" i="13"/>
  <c r="AI139" i="13"/>
  <c r="AI131" i="13"/>
  <c r="AI123" i="13"/>
  <c r="AI115" i="13"/>
  <c r="AI107" i="13"/>
  <c r="AI99" i="13"/>
  <c r="AI79" i="13"/>
  <c r="AI71" i="13"/>
  <c r="AI63" i="13"/>
  <c r="AJ185" i="13"/>
  <c r="AJ177" i="13"/>
  <c r="AJ169" i="13"/>
  <c r="AJ161" i="13"/>
  <c r="AJ153" i="13"/>
  <c r="AJ145" i="13"/>
  <c r="AJ137" i="13"/>
  <c r="AJ129" i="13"/>
  <c r="AJ121" i="13"/>
  <c r="AJ110" i="13"/>
  <c r="AJ92" i="13"/>
  <c r="AJ63" i="13"/>
  <c r="AJ39" i="13"/>
  <c r="AI43" i="13"/>
  <c r="AJ47" i="13"/>
  <c r="AI178" i="13"/>
  <c r="AI170" i="13"/>
  <c r="AI162" i="13"/>
  <c r="AI154" i="13"/>
  <c r="AI146" i="13"/>
  <c r="AI138" i="13"/>
  <c r="AI130" i="13"/>
  <c r="AI122" i="13"/>
  <c r="AI114" i="13"/>
  <c r="AI106" i="13"/>
  <c r="AI47" i="13"/>
  <c r="AI39" i="13"/>
  <c r="AI27" i="13"/>
  <c r="AJ174" i="13"/>
  <c r="AJ166" i="13"/>
  <c r="AJ158" i="13"/>
  <c r="AJ150" i="13"/>
  <c r="AJ142" i="13"/>
  <c r="AJ134" i="13"/>
  <c r="AJ126" i="13"/>
  <c r="AJ118" i="13"/>
  <c r="AJ106" i="13"/>
  <c r="AJ84" i="13"/>
  <c r="AJ55" i="13"/>
  <c r="AJ36" i="13"/>
  <c r="D57" i="13"/>
  <c r="AJ57" i="13"/>
  <c r="D49" i="13"/>
  <c r="AJ49" i="13"/>
  <c r="D37" i="13"/>
  <c r="AJ37" i="13"/>
  <c r="D33" i="13"/>
  <c r="AJ33" i="13"/>
  <c r="D29" i="13"/>
  <c r="AJ29" i="13"/>
  <c r="AJ113" i="13"/>
  <c r="AJ109" i="13"/>
  <c r="AJ105" i="13"/>
  <c r="AJ100" i="13"/>
  <c r="AJ76" i="13"/>
  <c r="AJ68" i="13"/>
  <c r="AJ60" i="13"/>
  <c r="AJ44" i="13"/>
  <c r="D101" i="13"/>
  <c r="AJ101" i="13"/>
  <c r="D97" i="13"/>
  <c r="AJ97" i="13"/>
  <c r="D81" i="13"/>
  <c r="AJ81" i="13"/>
  <c r="D77" i="13"/>
  <c r="AJ77" i="13"/>
  <c r="D73" i="13"/>
  <c r="AJ73" i="13"/>
  <c r="D69" i="13"/>
  <c r="AJ69" i="13"/>
  <c r="D65" i="13"/>
  <c r="AJ65" i="13"/>
  <c r="D61" i="13"/>
  <c r="AJ61" i="13"/>
  <c r="D58" i="13"/>
  <c r="AJ58" i="13"/>
  <c r="D54" i="13"/>
  <c r="AJ54" i="13"/>
  <c r="D50" i="13"/>
  <c r="AJ50" i="13"/>
  <c r="D34" i="13"/>
  <c r="AJ34" i="13"/>
  <c r="E30" i="13"/>
  <c r="AJ30" i="13"/>
  <c r="AI91" i="13"/>
  <c r="AI87" i="13"/>
  <c r="AI83" i="13"/>
  <c r="AJ87" i="13"/>
  <c r="D82" i="13"/>
  <c r="AJ82" i="13"/>
  <c r="D93" i="13"/>
  <c r="AJ93" i="13"/>
  <c r="D89" i="13"/>
  <c r="AJ89" i="13"/>
  <c r="D85" i="13"/>
  <c r="AJ85" i="13"/>
  <c r="D46" i="13"/>
  <c r="AJ46" i="13"/>
  <c r="D42" i="13"/>
  <c r="AJ42" i="13"/>
  <c r="D38" i="13"/>
  <c r="AJ38" i="13"/>
  <c r="AI181" i="13"/>
  <c r="AI177" i="13"/>
  <c r="AI173" i="13"/>
  <c r="AI169" i="13"/>
  <c r="AI165" i="13"/>
  <c r="AI161" i="13"/>
  <c r="AI157" i="13"/>
  <c r="AI153" i="13"/>
  <c r="AI149" i="13"/>
  <c r="AI145" i="13"/>
  <c r="AI141" i="13"/>
  <c r="AI137" i="13"/>
  <c r="AI133" i="13"/>
  <c r="AI129" i="13"/>
  <c r="AI125" i="13"/>
  <c r="AI121" i="13"/>
  <c r="AI117" i="13"/>
  <c r="AI113" i="13"/>
  <c r="AI109" i="13"/>
  <c r="AI105" i="13"/>
  <c r="AI101" i="13"/>
  <c r="AI97" i="13"/>
  <c r="AI93" i="13"/>
  <c r="AI89" i="13"/>
  <c r="AI85" i="13"/>
  <c r="AI81" i="13"/>
  <c r="AI77" i="13"/>
  <c r="AI73" i="13"/>
  <c r="AI69" i="13"/>
  <c r="AI65" i="13"/>
  <c r="AI61" i="13"/>
  <c r="AI57" i="13"/>
  <c r="AI49" i="13"/>
  <c r="AI37" i="13"/>
  <c r="AI33" i="13"/>
  <c r="AI29" i="13"/>
  <c r="AJ188" i="13"/>
  <c r="AJ184" i="13"/>
  <c r="AJ180" i="13"/>
  <c r="AJ176" i="13"/>
  <c r="AJ172" i="13"/>
  <c r="AJ168" i="13"/>
  <c r="AJ164" i="13"/>
  <c r="AJ160" i="13"/>
  <c r="AJ156" i="13"/>
  <c r="AJ152" i="13"/>
  <c r="AJ148" i="13"/>
  <c r="AJ144" i="13"/>
  <c r="AJ140" i="13"/>
  <c r="AJ136" i="13"/>
  <c r="AJ132" i="13"/>
  <c r="AJ128" i="13"/>
  <c r="AJ124" i="13"/>
  <c r="AJ120" i="13"/>
  <c r="AJ116" i="13"/>
  <c r="AJ112" i="13"/>
  <c r="AJ108" i="13"/>
  <c r="AJ104" i="13"/>
  <c r="AJ99" i="13"/>
  <c r="AJ91" i="13"/>
  <c r="AJ83" i="13"/>
  <c r="AJ75" i="13"/>
  <c r="AJ67" i="13"/>
  <c r="AJ59" i="13"/>
  <c r="AJ51" i="13"/>
  <c r="AJ43" i="13"/>
  <c r="AJ35" i="13"/>
  <c r="AJ27" i="13"/>
  <c r="D90" i="13"/>
  <c r="AJ90" i="13"/>
  <c r="D86" i="13"/>
  <c r="AJ86" i="13"/>
  <c r="D53" i="13"/>
  <c r="AJ53" i="13"/>
  <c r="D98" i="13"/>
  <c r="AJ98" i="13"/>
  <c r="D94" i="13"/>
  <c r="AJ94" i="13"/>
  <c r="D78" i="13"/>
  <c r="AJ78" i="13"/>
  <c r="D74" i="13"/>
  <c r="AJ74" i="13"/>
  <c r="D70" i="13"/>
  <c r="AJ70" i="13"/>
  <c r="D66" i="13"/>
  <c r="AJ66" i="13"/>
  <c r="D62" i="13"/>
  <c r="AJ62" i="13"/>
  <c r="D45" i="13"/>
  <c r="AJ45" i="13"/>
  <c r="D41" i="13"/>
  <c r="AJ41" i="13"/>
  <c r="AI180" i="13"/>
  <c r="AI176" i="13"/>
  <c r="AI172" i="13"/>
  <c r="AI168" i="13"/>
  <c r="AI164" i="13"/>
  <c r="AI160" i="13"/>
  <c r="AI156" i="13"/>
  <c r="AI152" i="13"/>
  <c r="AI148" i="13"/>
  <c r="AI144" i="13"/>
  <c r="AI140" i="13"/>
  <c r="AI136" i="13"/>
  <c r="AI132" i="13"/>
  <c r="AI128" i="13"/>
  <c r="AI124" i="13"/>
  <c r="AI120" i="13"/>
  <c r="AI116" i="13"/>
  <c r="AI112" i="13"/>
  <c r="AI108" i="13"/>
  <c r="AI104" i="13"/>
  <c r="AI100" i="13"/>
  <c r="AI96" i="13"/>
  <c r="AI92" i="13"/>
  <c r="AI88" i="13"/>
  <c r="AI84" i="13"/>
  <c r="AI80" i="13"/>
  <c r="AI76" i="13"/>
  <c r="AI72" i="13"/>
  <c r="AI68" i="13"/>
  <c r="AI64" i="13"/>
  <c r="AI60" i="13"/>
  <c r="AI56" i="13"/>
  <c r="AI52" i="13"/>
  <c r="AI48" i="13"/>
  <c r="AI44" i="13"/>
  <c r="AI40" i="13"/>
  <c r="AI36" i="13"/>
  <c r="AI32" i="13"/>
  <c r="AI28" i="13"/>
  <c r="AJ179" i="13"/>
  <c r="AJ175" i="13"/>
  <c r="AJ171" i="13"/>
  <c r="AJ167" i="13"/>
  <c r="AJ163" i="13"/>
  <c r="AJ159" i="13"/>
  <c r="AJ155" i="13"/>
  <c r="AJ151" i="13"/>
  <c r="AJ147" i="13"/>
  <c r="AJ143" i="13"/>
  <c r="AJ139" i="13"/>
  <c r="AJ135" i="13"/>
  <c r="AJ131" i="13"/>
  <c r="AJ127" i="13"/>
  <c r="AJ123" i="13"/>
  <c r="AJ119" i="13"/>
  <c r="AJ115" i="13"/>
  <c r="AJ111" i="13"/>
  <c r="AJ107" i="13"/>
  <c r="AJ103" i="13"/>
  <c r="AJ96" i="13"/>
  <c r="AJ88" i="13"/>
  <c r="AJ80" i="13"/>
  <c r="AJ72" i="13"/>
  <c r="AJ64" i="13"/>
  <c r="AJ56" i="13"/>
  <c r="AJ48" i="13"/>
  <c r="AJ40" i="13"/>
  <c r="AJ32" i="13"/>
  <c r="AA90" i="70"/>
  <c r="AA133" i="70"/>
  <c r="AB93" i="70"/>
  <c r="AA88" i="70"/>
  <c r="AA92" i="70"/>
  <c r="AC128" i="70"/>
  <c r="AD128" i="70" s="1"/>
  <c r="AB96" i="70"/>
  <c r="AC126" i="70"/>
  <c r="AD126" i="70" s="1"/>
  <c r="AA129" i="70"/>
  <c r="AB125" i="70"/>
  <c r="AC73" i="70"/>
  <c r="AD73" i="70" s="1"/>
  <c r="AA78" i="70"/>
  <c r="AC43" i="70"/>
  <c r="AD43" i="70" s="1"/>
  <c r="AA67" i="70"/>
  <c r="AC71" i="70"/>
  <c r="AD71" i="70" s="1"/>
  <c r="AA87" i="70"/>
  <c r="AC91" i="70"/>
  <c r="AD91" i="70" s="1"/>
  <c r="AC95" i="70"/>
  <c r="AD95" i="70" s="1"/>
  <c r="AA103" i="70"/>
  <c r="AC115" i="70"/>
  <c r="AD115" i="70" s="1"/>
  <c r="AA127" i="70"/>
  <c r="AA131" i="70"/>
  <c r="AB107" i="70"/>
  <c r="AB83" i="70"/>
  <c r="AB75" i="70"/>
  <c r="AC47" i="70"/>
  <c r="AD47" i="70" s="1"/>
  <c r="AA75" i="70"/>
  <c r="AA83" i="70"/>
  <c r="AA111" i="70"/>
  <c r="AA123" i="70"/>
  <c r="AC127" i="70"/>
  <c r="AD127" i="70" s="1"/>
  <c r="AC131" i="70"/>
  <c r="AD131" i="70" s="1"/>
  <c r="AC35" i="70"/>
  <c r="AD35" i="70" s="1"/>
  <c r="AC55" i="70"/>
  <c r="AD55" i="70" s="1"/>
  <c r="AA79" i="70"/>
  <c r="AA99" i="70"/>
  <c r="AB109" i="70"/>
  <c r="AA69" i="70"/>
  <c r="AA93" i="70"/>
  <c r="AA105" i="70"/>
  <c r="AA113" i="70"/>
  <c r="AA117" i="70"/>
  <c r="AB97" i="70"/>
  <c r="AB81" i="70"/>
  <c r="AA73" i="70"/>
  <c r="AA81" i="70"/>
  <c r="AA89" i="70"/>
  <c r="AA97" i="70"/>
  <c r="AA101" i="70"/>
  <c r="AC105" i="70"/>
  <c r="AD105" i="70" s="1"/>
  <c r="AC117" i="70"/>
  <c r="AD117" i="70" s="1"/>
  <c r="AA121" i="70"/>
  <c r="AA125" i="70"/>
  <c r="AB85" i="70"/>
  <c r="AC89" i="70"/>
  <c r="AD89" i="70" s="1"/>
  <c r="AC121" i="70"/>
  <c r="AD121" i="70" s="1"/>
  <c r="AA66" i="70"/>
  <c r="AA98" i="70"/>
  <c r="AA102" i="70"/>
  <c r="AC118" i="70"/>
  <c r="AD118" i="70" s="1"/>
  <c r="AC130" i="70"/>
  <c r="AD130" i="70" s="1"/>
  <c r="AA70" i="70"/>
  <c r="AA74" i="70"/>
  <c r="AA82" i="70"/>
  <c r="AA106" i="70"/>
  <c r="AC134" i="70"/>
  <c r="AD134" i="70" s="1"/>
  <c r="AA86" i="70"/>
  <c r="AA94" i="70"/>
  <c r="AA110" i="70"/>
  <c r="AC114" i="70"/>
  <c r="AD114" i="70" s="1"/>
  <c r="AC122" i="70"/>
  <c r="AD122" i="70" s="1"/>
  <c r="AC138" i="70"/>
  <c r="AD138" i="70" s="1"/>
  <c r="P135" i="70"/>
  <c r="P131" i="70"/>
  <c r="P127" i="70"/>
  <c r="P123" i="70"/>
  <c r="P119" i="70"/>
  <c r="P115" i="70"/>
  <c r="P107" i="70"/>
  <c r="P103" i="70"/>
  <c r="P99" i="70"/>
  <c r="P95" i="70"/>
  <c r="P91" i="70"/>
  <c r="P87" i="70"/>
  <c r="P83" i="70"/>
  <c r="P75" i="70"/>
  <c r="P71" i="70"/>
  <c r="P67" i="70"/>
  <c r="P63" i="70"/>
  <c r="P59" i="70"/>
  <c r="P55" i="70"/>
  <c r="P51" i="70"/>
  <c r="P39" i="70"/>
  <c r="P35" i="70"/>
  <c r="AC45" i="70"/>
  <c r="AD45" i="70" s="1"/>
  <c r="AC49" i="70"/>
  <c r="AD49" i="70" s="1"/>
  <c r="AC57" i="70"/>
  <c r="AD57" i="70" s="1"/>
  <c r="AC63" i="70"/>
  <c r="AD63" i="70" s="1"/>
  <c r="BG15" i="70"/>
  <c r="BG22" i="70"/>
  <c r="BG23" i="70"/>
  <c r="BG28" i="70"/>
  <c r="AC37" i="70"/>
  <c r="AD37" i="70" s="1"/>
  <c r="AC41" i="70"/>
  <c r="AD41" i="70" s="1"/>
  <c r="AC51" i="70"/>
  <c r="AD51" i="70" s="1"/>
  <c r="AC59" i="70"/>
  <c r="AD59" i="70" s="1"/>
  <c r="AC67" i="70"/>
  <c r="AD67" i="70" s="1"/>
  <c r="AC69" i="70"/>
  <c r="AD69" i="70" s="1"/>
  <c r="AC87" i="70"/>
  <c r="AD87" i="70" s="1"/>
  <c r="AC99" i="70"/>
  <c r="AD99" i="70" s="1"/>
  <c r="AC101" i="70"/>
  <c r="AD101" i="70" s="1"/>
  <c r="AC103" i="70"/>
  <c r="AD103" i="70" s="1"/>
  <c r="AC139" i="70"/>
  <c r="AD139" i="70" s="1"/>
  <c r="BG11" i="70"/>
  <c r="BG14" i="70"/>
  <c r="AC33" i="70"/>
  <c r="AD33" i="70" s="1"/>
  <c r="AC39" i="70"/>
  <c r="AD39" i="70" s="1"/>
  <c r="AC53" i="70"/>
  <c r="AD53" i="70" s="1"/>
  <c r="AC65" i="70"/>
  <c r="AD65" i="70" s="1"/>
  <c r="AC85" i="70"/>
  <c r="AD85" i="70" s="1"/>
  <c r="AC109" i="70"/>
  <c r="AD109" i="70" s="1"/>
  <c r="AC111" i="70"/>
  <c r="AD111" i="70" s="1"/>
  <c r="AC113" i="70"/>
  <c r="AD113" i="70" s="1"/>
  <c r="AC119" i="70"/>
  <c r="AD119" i="70" s="1"/>
  <c r="AC123" i="70"/>
  <c r="AD123" i="70" s="1"/>
  <c r="AC129" i="70"/>
  <c r="AD129" i="70" s="1"/>
  <c r="AC133" i="70"/>
  <c r="AD133" i="70" s="1"/>
  <c r="AC137" i="70"/>
  <c r="AD137" i="70" s="1"/>
  <c r="BI13" i="71"/>
  <c r="BI17" i="71"/>
  <c r="BI18" i="71"/>
  <c r="BI19" i="71"/>
  <c r="BI20" i="71"/>
  <c r="BI21" i="71"/>
  <c r="BI24" i="71"/>
  <c r="BF25" i="71"/>
  <c r="BF26" i="71"/>
  <c r="BI9" i="71"/>
  <c r="BI10" i="71"/>
  <c r="BI11" i="71"/>
  <c r="BI12" i="71"/>
  <c r="BI16" i="71"/>
  <c r="BF18" i="71"/>
  <c r="BF19" i="71"/>
  <c r="BF20" i="71"/>
  <c r="BF21" i="71"/>
  <c r="BI26" i="71"/>
  <c r="BF28" i="71"/>
  <c r="BI8" i="71"/>
  <c r="BF10" i="71"/>
  <c r="BF11" i="71"/>
  <c r="BI14" i="71"/>
  <c r="BI22" i="71"/>
  <c r="BI28" i="71"/>
  <c r="BK27" i="13"/>
  <c r="BK28" i="13"/>
  <c r="BK29" i="13"/>
  <c r="BK30" i="13"/>
  <c r="BK31" i="13"/>
  <c r="BK32" i="13"/>
  <c r="BK33" i="13"/>
  <c r="BK34" i="13"/>
  <c r="BK35" i="13"/>
  <c r="N27" i="13"/>
  <c r="AH27" i="13"/>
  <c r="BK36" i="13"/>
  <c r="P27" i="13"/>
  <c r="BK37" i="13"/>
  <c r="AD37" i="13" s="1"/>
  <c r="AF29" i="13"/>
  <c r="AF27" i="13"/>
  <c r="H27" i="13"/>
  <c r="F27" i="13"/>
  <c r="AG27" i="13"/>
  <c r="T27" i="13"/>
  <c r="L27" i="13"/>
  <c r="D27" i="13"/>
  <c r="AG28" i="13"/>
  <c r="R27" i="13"/>
  <c r="AA27" i="13" s="1"/>
  <c r="J27" i="13"/>
  <c r="AE27" i="13"/>
  <c r="S27" i="13"/>
  <c r="O27" i="13"/>
  <c r="K27" i="13"/>
  <c r="G27" i="13"/>
  <c r="Q27" i="13"/>
  <c r="M27" i="13"/>
  <c r="I27" i="13"/>
  <c r="AG31" i="13"/>
  <c r="AH29" i="13"/>
  <c r="L29" i="13"/>
  <c r="AE28" i="13"/>
  <c r="S28" i="13"/>
  <c r="O28" i="13"/>
  <c r="K28" i="13"/>
  <c r="G28" i="13"/>
  <c r="AG29" i="13"/>
  <c r="T29" i="13"/>
  <c r="AH28" i="13"/>
  <c r="R28" i="13"/>
  <c r="N28" i="13"/>
  <c r="J28" i="13"/>
  <c r="F28" i="13"/>
  <c r="AF30" i="13"/>
  <c r="R29" i="13"/>
  <c r="W29" i="13" s="1"/>
  <c r="Q28" i="13"/>
  <c r="M28" i="13"/>
  <c r="I28" i="13"/>
  <c r="E28" i="13"/>
  <c r="P29" i="13"/>
  <c r="AF28" i="13"/>
  <c r="T28" i="13"/>
  <c r="P28" i="13"/>
  <c r="L28" i="13"/>
  <c r="H28" i="13"/>
  <c r="AG30" i="13"/>
  <c r="T30" i="13"/>
  <c r="L30" i="13"/>
  <c r="D30" i="13"/>
  <c r="AE29" i="13"/>
  <c r="S29" i="13"/>
  <c r="O29" i="13"/>
  <c r="K29" i="13"/>
  <c r="G29" i="13"/>
  <c r="R30" i="13"/>
  <c r="AA30" i="13" s="1"/>
  <c r="J30" i="13"/>
  <c r="N29" i="13"/>
  <c r="J29" i="13"/>
  <c r="F29" i="13"/>
  <c r="P30" i="13"/>
  <c r="H30" i="13"/>
  <c r="Q29" i="13"/>
  <c r="M29" i="13"/>
  <c r="I29" i="13"/>
  <c r="E29" i="13"/>
  <c r="AH30" i="13"/>
  <c r="N30" i="13"/>
  <c r="F30" i="13"/>
  <c r="H29" i="13"/>
  <c r="AG32" i="13"/>
  <c r="AE30" i="13"/>
  <c r="S30" i="13"/>
  <c r="O30" i="13"/>
  <c r="K30" i="13"/>
  <c r="G30" i="13"/>
  <c r="O32" i="13"/>
  <c r="Q30" i="13"/>
  <c r="M30" i="13"/>
  <c r="I30" i="13"/>
  <c r="G32" i="13"/>
  <c r="AE31" i="13"/>
  <c r="S31" i="13"/>
  <c r="O31" i="13"/>
  <c r="K31" i="13"/>
  <c r="G31" i="13"/>
  <c r="S32" i="13"/>
  <c r="AH31" i="13"/>
  <c r="R31" i="13"/>
  <c r="N31" i="13"/>
  <c r="J31" i="13"/>
  <c r="F31" i="13"/>
  <c r="Q31" i="13"/>
  <c r="M31" i="13"/>
  <c r="I31" i="13"/>
  <c r="E31" i="13"/>
  <c r="AE32" i="13"/>
  <c r="K32" i="13"/>
  <c r="AF31" i="13"/>
  <c r="T31" i="13"/>
  <c r="P31" i="13"/>
  <c r="L31" i="13"/>
  <c r="H31" i="13"/>
  <c r="AH32" i="13"/>
  <c r="R32" i="13"/>
  <c r="N32" i="13"/>
  <c r="J32" i="13"/>
  <c r="F32" i="13"/>
  <c r="Q32" i="13"/>
  <c r="M32" i="13"/>
  <c r="I32" i="13"/>
  <c r="E32" i="13"/>
  <c r="AG33" i="13"/>
  <c r="AF32" i="13"/>
  <c r="T32" i="13"/>
  <c r="P32" i="13"/>
  <c r="L32" i="13"/>
  <c r="H32" i="13"/>
  <c r="AE33" i="13"/>
  <c r="S33" i="13"/>
  <c r="O33" i="13"/>
  <c r="K33" i="13"/>
  <c r="G33" i="13"/>
  <c r="K36" i="13"/>
  <c r="P35" i="13"/>
  <c r="AH33" i="13"/>
  <c r="R33" i="13"/>
  <c r="N33" i="13"/>
  <c r="J33" i="13"/>
  <c r="F33" i="13"/>
  <c r="AF35" i="13"/>
  <c r="H35" i="13"/>
  <c r="Q33" i="13"/>
  <c r="M33" i="13"/>
  <c r="I33" i="13"/>
  <c r="E33" i="13"/>
  <c r="AE36" i="13"/>
  <c r="AG34" i="13"/>
  <c r="AF33" i="13"/>
  <c r="T33" i="13"/>
  <c r="P33" i="13"/>
  <c r="L33" i="13"/>
  <c r="H33" i="13"/>
  <c r="S36" i="13"/>
  <c r="AG35" i="13"/>
  <c r="T35" i="13"/>
  <c r="L35" i="13"/>
  <c r="D35" i="13"/>
  <c r="AE34" i="13"/>
  <c r="S34" i="13"/>
  <c r="O34" i="13"/>
  <c r="K34" i="13"/>
  <c r="G34" i="13"/>
  <c r="AG36" i="13"/>
  <c r="O36" i="13"/>
  <c r="R35" i="13"/>
  <c r="AA35" i="13" s="1"/>
  <c r="J35" i="13"/>
  <c r="AH34" i="13"/>
  <c r="R34" i="13"/>
  <c r="N34" i="13"/>
  <c r="J34" i="13"/>
  <c r="F34" i="13"/>
  <c r="Q34" i="13"/>
  <c r="M34" i="13"/>
  <c r="I34" i="13"/>
  <c r="E34" i="13"/>
  <c r="AH35" i="13"/>
  <c r="N35" i="13"/>
  <c r="F35" i="13"/>
  <c r="AF34" i="13"/>
  <c r="T34" i="13"/>
  <c r="P34" i="13"/>
  <c r="L34" i="13"/>
  <c r="H34" i="13"/>
  <c r="G36" i="13"/>
  <c r="AE35" i="13"/>
  <c r="S35" i="13"/>
  <c r="O35" i="13"/>
  <c r="K35" i="13"/>
  <c r="G35" i="13"/>
  <c r="Q35" i="13"/>
  <c r="M35" i="13"/>
  <c r="I35" i="13"/>
  <c r="G37" i="13"/>
  <c r="S37" i="13"/>
  <c r="AH36" i="13"/>
  <c r="R36" i="13"/>
  <c r="N36" i="13"/>
  <c r="J36" i="13"/>
  <c r="F36" i="13"/>
  <c r="AG37" i="13"/>
  <c r="O37" i="13"/>
  <c r="Q36" i="13"/>
  <c r="M36" i="13"/>
  <c r="I36" i="13"/>
  <c r="E36" i="13"/>
  <c r="AE37" i="13"/>
  <c r="K37" i="13"/>
  <c r="AF36" i="13"/>
  <c r="T36" i="13"/>
  <c r="P36" i="13"/>
  <c r="L36" i="13"/>
  <c r="H36" i="13"/>
  <c r="AH37" i="13"/>
  <c r="R37" i="13"/>
  <c r="N37" i="13"/>
  <c r="J37" i="13"/>
  <c r="F37" i="13"/>
  <c r="Q37" i="13"/>
  <c r="M37" i="13"/>
  <c r="I37" i="13"/>
  <c r="E37" i="13"/>
  <c r="AF37" i="13"/>
  <c r="T37" i="13"/>
  <c r="P37" i="13"/>
  <c r="L37" i="13"/>
  <c r="H37" i="13"/>
  <c r="BK38" i="13"/>
  <c r="BK39" i="13"/>
  <c r="BK40" i="13"/>
  <c r="BK41" i="13"/>
  <c r="BK42" i="13"/>
  <c r="S41" i="13"/>
  <c r="K41" i="13"/>
  <c r="BK43" i="13"/>
  <c r="BK44" i="13"/>
  <c r="BK45" i="13"/>
  <c r="BK46" i="13"/>
  <c r="BK47" i="13"/>
  <c r="AG41" i="13"/>
  <c r="BK48" i="13"/>
  <c r="G38" i="13"/>
  <c r="S38" i="13"/>
  <c r="AG38" i="13"/>
  <c r="O38" i="13"/>
  <c r="AE38" i="13"/>
  <c r="K38" i="13"/>
  <c r="AH40" i="13"/>
  <c r="T40" i="13"/>
  <c r="D40" i="13"/>
  <c r="S39" i="13"/>
  <c r="AH38" i="13"/>
  <c r="R38" i="13"/>
  <c r="N38" i="13"/>
  <c r="J38" i="13"/>
  <c r="F38" i="13"/>
  <c r="H40" i="13"/>
  <c r="AE41" i="13"/>
  <c r="AG40" i="13"/>
  <c r="P40" i="13"/>
  <c r="AG39" i="13"/>
  <c r="O39" i="13"/>
  <c r="Q38" i="13"/>
  <c r="M38" i="13"/>
  <c r="I38" i="13"/>
  <c r="E38" i="13"/>
  <c r="G39" i="13"/>
  <c r="AH41" i="13"/>
  <c r="O41" i="13"/>
  <c r="AF40" i="13"/>
  <c r="L40" i="13"/>
  <c r="AE39" i="13"/>
  <c r="K39" i="13"/>
  <c r="AF38" i="13"/>
  <c r="T38" i="13"/>
  <c r="U38" i="13" s="1"/>
  <c r="P38" i="13"/>
  <c r="L38" i="13"/>
  <c r="H38" i="13"/>
  <c r="R40" i="13"/>
  <c r="W40" i="13" s="1"/>
  <c r="J40" i="13"/>
  <c r="AH39" i="13"/>
  <c r="R39" i="13"/>
  <c r="N39" i="13"/>
  <c r="J39" i="13"/>
  <c r="F39" i="13"/>
  <c r="Q39" i="13"/>
  <c r="M39" i="13"/>
  <c r="I39" i="13"/>
  <c r="E39" i="13"/>
  <c r="G41" i="13"/>
  <c r="N40" i="13"/>
  <c r="F40" i="13"/>
  <c r="AF39" i="13"/>
  <c r="T39" i="13"/>
  <c r="P39" i="13"/>
  <c r="L39" i="13"/>
  <c r="H39" i="13"/>
  <c r="N41" i="13"/>
  <c r="F41" i="13"/>
  <c r="AE40" i="13"/>
  <c r="S40" i="13"/>
  <c r="O40" i="13"/>
  <c r="K40" i="13"/>
  <c r="G40" i="13"/>
  <c r="R41" i="13"/>
  <c r="AC41" i="13" s="1"/>
  <c r="J41" i="13"/>
  <c r="Q40" i="13"/>
  <c r="M40" i="13"/>
  <c r="I40" i="13"/>
  <c r="G42" i="13"/>
  <c r="S42" i="13"/>
  <c r="AG42" i="13"/>
  <c r="O42" i="13"/>
  <c r="Q41" i="13"/>
  <c r="M41" i="13"/>
  <c r="I41" i="13"/>
  <c r="E41" i="13"/>
  <c r="AE42" i="13"/>
  <c r="K42" i="13"/>
  <c r="AF41" i="13"/>
  <c r="T41" i="13"/>
  <c r="P41" i="13"/>
  <c r="L41" i="13"/>
  <c r="H41" i="13"/>
  <c r="AH46" i="13"/>
  <c r="S43" i="13"/>
  <c r="AH42" i="13"/>
  <c r="R42" i="13"/>
  <c r="N42" i="13"/>
  <c r="J42" i="13"/>
  <c r="F42" i="13"/>
  <c r="G43" i="13"/>
  <c r="AG43" i="13"/>
  <c r="O43" i="13"/>
  <c r="Q42" i="13"/>
  <c r="M42" i="13"/>
  <c r="I42" i="13"/>
  <c r="E42" i="13"/>
  <c r="N46" i="13"/>
  <c r="AE43" i="13"/>
  <c r="K43" i="13"/>
  <c r="AF42" i="13"/>
  <c r="T42" i="13"/>
  <c r="P42" i="13"/>
  <c r="L42" i="13"/>
  <c r="H42" i="13"/>
  <c r="S44" i="13"/>
  <c r="AH43" i="13"/>
  <c r="R43" i="13"/>
  <c r="N43" i="13"/>
  <c r="J43" i="13"/>
  <c r="F43" i="13"/>
  <c r="AG44" i="13"/>
  <c r="O44" i="13"/>
  <c r="Q43" i="13"/>
  <c r="M43" i="13"/>
  <c r="I43" i="13"/>
  <c r="E43" i="13"/>
  <c r="G44" i="13"/>
  <c r="AE44" i="13"/>
  <c r="K44" i="13"/>
  <c r="AF43" i="13"/>
  <c r="T43" i="13"/>
  <c r="P43" i="13"/>
  <c r="L43" i="13"/>
  <c r="H43" i="13"/>
  <c r="F46" i="13"/>
  <c r="S45" i="13"/>
  <c r="AH44" i="13"/>
  <c r="R44" i="13"/>
  <c r="N44" i="13"/>
  <c r="J44" i="13"/>
  <c r="F44" i="13"/>
  <c r="G45" i="13"/>
  <c r="AG45" i="13"/>
  <c r="O45" i="13"/>
  <c r="Q44" i="13"/>
  <c r="M44" i="13"/>
  <c r="I44" i="13"/>
  <c r="E44" i="13"/>
  <c r="AE45" i="13"/>
  <c r="K45" i="13"/>
  <c r="AF44" i="13"/>
  <c r="T44" i="13"/>
  <c r="P44" i="13"/>
  <c r="L44" i="13"/>
  <c r="H44" i="13"/>
  <c r="S46" i="13"/>
  <c r="K46" i="13"/>
  <c r="AH45" i="13"/>
  <c r="R45" i="13"/>
  <c r="N45" i="13"/>
  <c r="J45" i="13"/>
  <c r="F45" i="13"/>
  <c r="AE47" i="13"/>
  <c r="R46" i="13"/>
  <c r="J46" i="13"/>
  <c r="Q45" i="13"/>
  <c r="M45" i="13"/>
  <c r="I45" i="13"/>
  <c r="E45" i="13"/>
  <c r="AG46" i="13"/>
  <c r="O46" i="13"/>
  <c r="G46" i="13"/>
  <c r="AF45" i="13"/>
  <c r="T45" i="13"/>
  <c r="P45" i="13"/>
  <c r="L45" i="13"/>
  <c r="H45" i="13"/>
  <c r="S47" i="13"/>
  <c r="G47" i="13"/>
  <c r="AE46" i="13"/>
  <c r="O47" i="13"/>
  <c r="Q46" i="13"/>
  <c r="M46" i="13"/>
  <c r="I46" i="13"/>
  <c r="E46" i="13"/>
  <c r="AG47" i="13"/>
  <c r="K47" i="13"/>
  <c r="AF46" i="13"/>
  <c r="T46" i="13"/>
  <c r="P46" i="13"/>
  <c r="L46" i="13"/>
  <c r="H46" i="13"/>
  <c r="G48" i="13"/>
  <c r="S48" i="13"/>
  <c r="AH47" i="13"/>
  <c r="R47" i="13"/>
  <c r="N47" i="13"/>
  <c r="J47" i="13"/>
  <c r="F47" i="13"/>
  <c r="AG48" i="13"/>
  <c r="O48" i="13"/>
  <c r="Q47" i="13"/>
  <c r="M47" i="13"/>
  <c r="I47" i="13"/>
  <c r="E47" i="13"/>
  <c r="AE48" i="13"/>
  <c r="K48" i="13"/>
  <c r="AF47" i="13"/>
  <c r="T47" i="13"/>
  <c r="P47" i="13"/>
  <c r="L47" i="13"/>
  <c r="H47" i="13"/>
  <c r="BK49" i="13"/>
  <c r="AH48" i="13"/>
  <c r="R48" i="13"/>
  <c r="N48" i="13"/>
  <c r="J48" i="13"/>
  <c r="F48" i="13"/>
  <c r="Q48" i="13"/>
  <c r="M48" i="13"/>
  <c r="I48" i="13"/>
  <c r="E48" i="13"/>
  <c r="AF48" i="13"/>
  <c r="T48" i="13"/>
  <c r="P48" i="13"/>
  <c r="L48" i="13"/>
  <c r="H48" i="13"/>
  <c r="AC118" i="58"/>
  <c r="AD118" i="58" s="1"/>
  <c r="AC54" i="58"/>
  <c r="AD54" i="58" s="1"/>
  <c r="AA98" i="58"/>
  <c r="AA34" i="58"/>
  <c r="AB96" i="58"/>
  <c r="AC140" i="58"/>
  <c r="AD140" i="58" s="1"/>
  <c r="AC102" i="58"/>
  <c r="AD102" i="58" s="1"/>
  <c r="AA79" i="58"/>
  <c r="AB134" i="58"/>
  <c r="AB90" i="58"/>
  <c r="AC134" i="58"/>
  <c r="AD134" i="58" s="1"/>
  <c r="AC70" i="58"/>
  <c r="AD70" i="58" s="1"/>
  <c r="AA130" i="58"/>
  <c r="AA66" i="58"/>
  <c r="AB118" i="58"/>
  <c r="AB74" i="58"/>
  <c r="AC60" i="58"/>
  <c r="AD60" i="58" s="1"/>
  <c r="AA111" i="58"/>
  <c r="AA47" i="58"/>
  <c r="AB103" i="58"/>
  <c r="AB46" i="58"/>
  <c r="AB40" i="69"/>
  <c r="AC134" i="69"/>
  <c r="BK50" i="13"/>
  <c r="BK51" i="13"/>
  <c r="BK52" i="13"/>
  <c r="BK53" i="13"/>
  <c r="BK54" i="13"/>
  <c r="BK55" i="13"/>
  <c r="BK56" i="13"/>
  <c r="BK57" i="13"/>
  <c r="BK58" i="13"/>
  <c r="BK59" i="13"/>
  <c r="G49" i="13"/>
  <c r="S49" i="13"/>
  <c r="AG49" i="13"/>
  <c r="O49" i="13"/>
  <c r="AE49" i="13"/>
  <c r="K49" i="13"/>
  <c r="G50" i="13"/>
  <c r="S50" i="13"/>
  <c r="AH49" i="13"/>
  <c r="R49" i="13"/>
  <c r="N49" i="13"/>
  <c r="J49" i="13"/>
  <c r="F49" i="13"/>
  <c r="AG50" i="13"/>
  <c r="O50" i="13"/>
  <c r="Q49" i="13"/>
  <c r="M49" i="13"/>
  <c r="I49" i="13"/>
  <c r="E49" i="13"/>
  <c r="AE50" i="13"/>
  <c r="K50" i="13"/>
  <c r="AF49" i="13"/>
  <c r="T49" i="13"/>
  <c r="P49" i="13"/>
  <c r="L49" i="13"/>
  <c r="H49" i="13"/>
  <c r="N52" i="13"/>
  <c r="S51" i="13"/>
  <c r="AH50" i="13"/>
  <c r="R50" i="13"/>
  <c r="N50" i="13"/>
  <c r="J50" i="13"/>
  <c r="F50" i="13"/>
  <c r="G51" i="13"/>
  <c r="AE51" i="13"/>
  <c r="F52" i="13"/>
  <c r="O51" i="13"/>
  <c r="Q50" i="13"/>
  <c r="M50" i="13"/>
  <c r="I50" i="13"/>
  <c r="E50" i="13"/>
  <c r="AG52" i="13"/>
  <c r="AG51" i="13"/>
  <c r="K51" i="13"/>
  <c r="AF50" i="13"/>
  <c r="T50" i="13"/>
  <c r="P50" i="13"/>
  <c r="L50" i="13"/>
  <c r="H50" i="13"/>
  <c r="AH52" i="13"/>
  <c r="S52" i="13"/>
  <c r="K52" i="13"/>
  <c r="AH51" i="13"/>
  <c r="R51" i="13"/>
  <c r="N51" i="13"/>
  <c r="J51" i="13"/>
  <c r="F51" i="13"/>
  <c r="R52" i="13"/>
  <c r="J52" i="13"/>
  <c r="Q51" i="13"/>
  <c r="M51" i="13"/>
  <c r="I51" i="13"/>
  <c r="E51" i="13"/>
  <c r="AE52" i="13"/>
  <c r="O52" i="13"/>
  <c r="G52" i="13"/>
  <c r="AF51" i="13"/>
  <c r="T51" i="13"/>
  <c r="U51" i="13" s="1"/>
  <c r="P51" i="13"/>
  <c r="L51" i="13"/>
  <c r="H51" i="13"/>
  <c r="G53" i="13"/>
  <c r="S53" i="13"/>
  <c r="AG53" i="13"/>
  <c r="O53" i="13"/>
  <c r="Q52" i="13"/>
  <c r="M52" i="13"/>
  <c r="I52" i="13"/>
  <c r="E52" i="13"/>
  <c r="AE53" i="13"/>
  <c r="K53" i="13"/>
  <c r="AF52" i="13"/>
  <c r="T52" i="13"/>
  <c r="P52" i="13"/>
  <c r="L52" i="13"/>
  <c r="H52" i="13"/>
  <c r="S54" i="13"/>
  <c r="AH53" i="13"/>
  <c r="R53" i="13"/>
  <c r="N53" i="13"/>
  <c r="J53" i="13"/>
  <c r="F53" i="13"/>
  <c r="AG54" i="13"/>
  <c r="O54" i="13"/>
  <c r="Q53" i="13"/>
  <c r="M53" i="13"/>
  <c r="I53" i="13"/>
  <c r="E53" i="13"/>
  <c r="G54" i="13"/>
  <c r="AE54" i="13"/>
  <c r="K54" i="13"/>
  <c r="AF53" i="13"/>
  <c r="T53" i="13"/>
  <c r="P53" i="13"/>
  <c r="L53" i="13"/>
  <c r="H53" i="13"/>
  <c r="N56" i="13"/>
  <c r="S55" i="13"/>
  <c r="AH54" i="13"/>
  <c r="R54" i="13"/>
  <c r="N54" i="13"/>
  <c r="J54" i="13"/>
  <c r="F54" i="13"/>
  <c r="G55" i="13"/>
  <c r="AE55" i="13"/>
  <c r="F56" i="13"/>
  <c r="O55" i="13"/>
  <c r="Q54" i="13"/>
  <c r="M54" i="13"/>
  <c r="I54" i="13"/>
  <c r="E54" i="13"/>
  <c r="AG56" i="13"/>
  <c r="AG55" i="13"/>
  <c r="K55" i="13"/>
  <c r="AF54" i="13"/>
  <c r="T54" i="13"/>
  <c r="P54" i="13"/>
  <c r="L54" i="13"/>
  <c r="H54" i="13"/>
  <c r="AH56" i="13"/>
  <c r="S56" i="13"/>
  <c r="K56" i="13"/>
  <c r="AH55" i="13"/>
  <c r="R55" i="13"/>
  <c r="N55" i="13"/>
  <c r="J55" i="13"/>
  <c r="F55" i="13"/>
  <c r="R56" i="13"/>
  <c r="AC56" i="13" s="1"/>
  <c r="J56" i="13"/>
  <c r="Q55" i="13"/>
  <c r="M55" i="13"/>
  <c r="I55" i="13"/>
  <c r="E55" i="13"/>
  <c r="AE56" i="13"/>
  <c r="O56" i="13"/>
  <c r="G56" i="13"/>
  <c r="AF55" i="13"/>
  <c r="T55" i="13"/>
  <c r="U55" i="13" s="1"/>
  <c r="P55" i="13"/>
  <c r="L55" i="13"/>
  <c r="H55" i="13"/>
  <c r="G57" i="13"/>
  <c r="S57" i="13"/>
  <c r="AG57" i="13"/>
  <c r="O57" i="13"/>
  <c r="Q56" i="13"/>
  <c r="M56" i="13"/>
  <c r="I56" i="13"/>
  <c r="E56" i="13"/>
  <c r="AE57" i="13"/>
  <c r="K57" i="13"/>
  <c r="AF56" i="13"/>
  <c r="T56" i="13"/>
  <c r="P56" i="13"/>
  <c r="L56" i="13"/>
  <c r="H56" i="13"/>
  <c r="AH58" i="13"/>
  <c r="S58" i="13"/>
  <c r="AH57" i="13"/>
  <c r="R57" i="13"/>
  <c r="N57" i="13"/>
  <c r="J57" i="13"/>
  <c r="F57" i="13"/>
  <c r="AG58" i="13"/>
  <c r="O58" i="13"/>
  <c r="Q57" i="13"/>
  <c r="M57" i="13"/>
  <c r="I57" i="13"/>
  <c r="E57" i="13"/>
  <c r="G58" i="13"/>
  <c r="AE58" i="13"/>
  <c r="K58" i="13"/>
  <c r="AF57" i="13"/>
  <c r="T57" i="13"/>
  <c r="P57" i="13"/>
  <c r="L57" i="13"/>
  <c r="H57" i="13"/>
  <c r="R58" i="13"/>
  <c r="N58" i="13"/>
  <c r="J58" i="13"/>
  <c r="F58" i="13"/>
  <c r="Q58" i="13"/>
  <c r="M58" i="13"/>
  <c r="I58" i="13"/>
  <c r="E58" i="13"/>
  <c r="AG59" i="13"/>
  <c r="AF58" i="13"/>
  <c r="T58" i="13"/>
  <c r="P58" i="13"/>
  <c r="L58" i="13"/>
  <c r="H58" i="13"/>
  <c r="AE59" i="13"/>
  <c r="S59" i="13"/>
  <c r="O59" i="13"/>
  <c r="K59" i="13"/>
  <c r="G59" i="13"/>
  <c r="AH59" i="13"/>
  <c r="R59" i="13"/>
  <c r="N59" i="13"/>
  <c r="J59" i="13"/>
  <c r="F59" i="13"/>
  <c r="Q59" i="13"/>
  <c r="M59" i="13"/>
  <c r="I59" i="13"/>
  <c r="E59" i="13"/>
  <c r="AF59" i="13"/>
  <c r="T59" i="13"/>
  <c r="P59" i="13"/>
  <c r="L59" i="13"/>
  <c r="H59" i="13"/>
  <c r="AD109" i="69"/>
  <c r="AE109" i="69" s="1"/>
  <c r="AD89" i="69"/>
  <c r="AE89" i="69" s="1"/>
  <c r="AD77" i="69"/>
  <c r="AE77" i="69" s="1"/>
  <c r="AD45" i="69"/>
  <c r="AE45" i="69" s="1"/>
  <c r="AD37" i="69"/>
  <c r="AE37" i="69" s="1"/>
  <c r="AD134" i="69"/>
  <c r="AE134" i="69" s="1"/>
  <c r="AB133" i="69"/>
  <c r="AD130" i="69"/>
  <c r="AE130" i="69" s="1"/>
  <c r="AD85" i="69"/>
  <c r="AE85" i="69" s="1"/>
  <c r="AD69" i="69"/>
  <c r="AE69" i="69" s="1"/>
  <c r="AB81" i="69"/>
  <c r="AD41" i="69"/>
  <c r="AE41" i="69" s="1"/>
  <c r="AB130" i="69"/>
  <c r="AB113" i="69"/>
  <c r="AD129" i="69"/>
  <c r="AE129" i="69" s="1"/>
  <c r="AD113" i="69"/>
  <c r="AE113" i="69" s="1"/>
  <c r="AB97" i="69"/>
  <c r="AB57" i="69"/>
  <c r="AD25" i="69"/>
  <c r="AE25" i="69" s="1"/>
  <c r="AB109" i="69"/>
  <c r="AB29" i="69"/>
  <c r="AD125" i="69"/>
  <c r="AE125" i="69" s="1"/>
  <c r="AD93" i="69"/>
  <c r="AE93" i="69" s="1"/>
  <c r="AB77" i="69"/>
  <c r="AD53" i="69"/>
  <c r="AE53" i="69" s="1"/>
  <c r="AB104" i="69"/>
  <c r="AB88" i="69"/>
  <c r="AB72" i="69"/>
  <c r="AB56" i="69"/>
  <c r="AB24" i="69"/>
  <c r="AD136" i="69"/>
  <c r="AE136" i="69" s="1"/>
  <c r="AD120" i="69"/>
  <c r="AE120" i="69" s="1"/>
  <c r="AD104" i="69"/>
  <c r="AE104" i="69" s="1"/>
  <c r="AD128" i="69"/>
  <c r="AE128" i="69" s="1"/>
  <c r="AD112" i="69"/>
  <c r="AE112" i="69" s="1"/>
  <c r="AD96" i="69"/>
  <c r="AE96" i="69" s="1"/>
  <c r="AD80" i="69"/>
  <c r="AE80" i="69" s="1"/>
  <c r="AD64" i="69"/>
  <c r="AE64" i="69" s="1"/>
  <c r="AD48" i="69"/>
  <c r="AE48" i="69" s="1"/>
  <c r="AD32" i="69"/>
  <c r="AE32" i="69" s="1"/>
  <c r="AD135" i="69"/>
  <c r="AE135" i="69" s="1"/>
  <c r="AD127" i="69"/>
  <c r="AE127" i="69" s="1"/>
  <c r="AB115" i="69"/>
  <c r="AD115" i="69"/>
  <c r="AE115" i="69" s="1"/>
  <c r="AD107" i="69"/>
  <c r="AE107" i="69" s="1"/>
  <c r="AD95" i="69"/>
  <c r="AE95" i="69" s="1"/>
  <c r="AB83" i="69"/>
  <c r="AD75" i="69"/>
  <c r="AE75" i="69" s="1"/>
  <c r="AB67" i="69"/>
  <c r="AD55" i="69"/>
  <c r="AE55" i="69" s="1"/>
  <c r="AD39" i="69"/>
  <c r="AE39" i="69" s="1"/>
  <c r="AB124" i="69"/>
  <c r="AB108" i="69"/>
  <c r="AB76" i="69"/>
  <c r="AB60" i="69"/>
  <c r="AB55" i="69"/>
  <c r="AB44" i="69"/>
  <c r="AB28" i="69"/>
  <c r="AB140" i="69"/>
  <c r="AD124" i="69"/>
  <c r="AE124" i="69" s="1"/>
  <c r="AD108" i="69"/>
  <c r="AE108" i="69" s="1"/>
  <c r="AD92" i="69"/>
  <c r="AE92" i="69" s="1"/>
  <c r="AD140" i="69"/>
  <c r="AE140" i="69" s="1"/>
  <c r="AD76" i="69"/>
  <c r="AE76" i="69" s="1"/>
  <c r="AD60" i="69"/>
  <c r="AE60" i="69" s="1"/>
  <c r="AD44" i="69"/>
  <c r="AE44" i="69" s="1"/>
  <c r="AD28" i="69"/>
  <c r="AE28" i="69" s="1"/>
  <c r="AD139" i="69"/>
  <c r="AE139" i="69" s="1"/>
  <c r="AD131" i="69"/>
  <c r="AE131" i="69" s="1"/>
  <c r="AD123" i="69"/>
  <c r="AE123" i="69" s="1"/>
  <c r="AB119" i="69"/>
  <c r="AD119" i="69"/>
  <c r="AE119" i="69" s="1"/>
  <c r="AD111" i="69"/>
  <c r="AE111" i="69" s="1"/>
  <c r="AB103" i="69"/>
  <c r="AD103" i="69"/>
  <c r="AE103" i="69" s="1"/>
  <c r="AB99" i="69"/>
  <c r="AD99" i="69"/>
  <c r="AE99" i="69" s="1"/>
  <c r="AD91" i="69"/>
  <c r="AE91" i="69" s="1"/>
  <c r="AB87" i="69"/>
  <c r="AD87" i="69"/>
  <c r="AE87" i="69" s="1"/>
  <c r="AB79" i="69"/>
  <c r="AD79" i="69"/>
  <c r="AE79" i="69" s="1"/>
  <c r="AB71" i="69"/>
  <c r="AD71" i="69"/>
  <c r="AE71" i="69" s="1"/>
  <c r="AD63" i="69"/>
  <c r="AE63" i="69" s="1"/>
  <c r="AD59" i="69"/>
  <c r="AE59" i="69" s="1"/>
  <c r="AB51" i="69"/>
  <c r="AD51" i="69"/>
  <c r="AE51" i="69" s="1"/>
  <c r="AD47" i="69"/>
  <c r="AE47" i="69" s="1"/>
  <c r="AD43" i="69"/>
  <c r="AE43" i="69" s="1"/>
  <c r="AB35" i="69"/>
  <c r="AD35" i="69"/>
  <c r="AE35" i="69" s="1"/>
  <c r="AB31" i="69"/>
  <c r="AD31" i="69"/>
  <c r="AE31" i="69" s="1"/>
  <c r="AD27" i="69"/>
  <c r="AE27" i="69" s="1"/>
  <c r="AD126" i="69"/>
  <c r="AE126" i="69" s="1"/>
  <c r="AB126" i="69"/>
  <c r="AD118" i="69"/>
  <c r="AE118" i="69" s="1"/>
  <c r="AB118" i="69"/>
  <c r="AD114" i="69"/>
  <c r="AE114" i="69" s="1"/>
  <c r="AB114" i="69"/>
  <c r="AD110" i="69"/>
  <c r="AE110" i="69" s="1"/>
  <c r="AB110" i="69"/>
  <c r="AD102" i="69"/>
  <c r="AE102" i="69" s="1"/>
  <c r="AB102" i="69"/>
  <c r="AD98" i="69"/>
  <c r="AE98" i="69" s="1"/>
  <c r="AB98" i="69"/>
  <c r="AD86" i="69"/>
  <c r="AE86" i="69" s="1"/>
  <c r="AB86" i="69"/>
  <c r="AD78" i="69"/>
  <c r="AE78" i="69" s="1"/>
  <c r="AB78" i="69"/>
  <c r="AD70" i="69"/>
  <c r="AE70" i="69" s="1"/>
  <c r="AB70" i="69"/>
  <c r="AD66" i="69"/>
  <c r="AE66" i="69" s="1"/>
  <c r="AB66" i="69"/>
  <c r="AD62" i="69"/>
  <c r="AE62" i="69" s="1"/>
  <c r="AB58" i="69"/>
  <c r="AD58" i="69"/>
  <c r="AE58" i="69" s="1"/>
  <c r="AD54" i="69"/>
  <c r="AE54" i="69" s="1"/>
  <c r="AB54" i="69"/>
  <c r="AD50" i="69"/>
  <c r="AE50" i="69" s="1"/>
  <c r="AB50" i="69"/>
  <c r="AD46" i="69"/>
  <c r="AE46" i="69" s="1"/>
  <c r="AB42" i="69"/>
  <c r="AD42" i="69"/>
  <c r="AE42" i="69" s="1"/>
  <c r="AD38" i="69"/>
  <c r="AE38" i="69" s="1"/>
  <c r="AB38" i="69"/>
  <c r="AD34" i="69"/>
  <c r="AE34" i="69" s="1"/>
  <c r="AB34" i="69"/>
  <c r="AD30" i="69"/>
  <c r="AE30" i="69" s="1"/>
  <c r="AB26" i="69"/>
  <c r="AD26" i="69"/>
  <c r="AE26" i="69" s="1"/>
  <c r="AB132" i="69"/>
  <c r="AB128" i="69"/>
  <c r="AB123" i="69"/>
  <c r="AB112" i="69"/>
  <c r="AB107" i="69"/>
  <c r="AB96" i="69"/>
  <c r="AB91" i="69"/>
  <c r="AB85" i="69"/>
  <c r="AB80" i="69"/>
  <c r="AB75" i="69"/>
  <c r="AB69" i="69"/>
  <c r="AB64" i="69"/>
  <c r="AB59" i="69"/>
  <c r="AB48" i="69"/>
  <c r="AB43" i="69"/>
  <c r="AB37" i="69"/>
  <c r="AB32" i="69"/>
  <c r="AB27" i="69"/>
  <c r="AD138" i="69"/>
  <c r="AE138" i="69" s="1"/>
  <c r="AD133" i="69"/>
  <c r="AE133" i="69" s="1"/>
  <c r="AD122" i="69"/>
  <c r="AE122" i="69" s="1"/>
  <c r="AD117" i="69"/>
  <c r="AE117" i="69" s="1"/>
  <c r="AD106" i="69"/>
  <c r="AE106" i="69" s="1"/>
  <c r="AD101" i="69"/>
  <c r="AE101" i="69" s="1"/>
  <c r="AD90" i="69"/>
  <c r="AE90" i="69" s="1"/>
  <c r="AD82" i="69"/>
  <c r="AE82" i="69" s="1"/>
  <c r="AD74" i="69"/>
  <c r="AE74" i="69" s="1"/>
  <c r="AD65" i="69"/>
  <c r="AE65" i="69" s="1"/>
  <c r="AD49" i="69"/>
  <c r="AE49" i="69" s="1"/>
  <c r="AD33" i="69"/>
  <c r="AE33" i="69" s="1"/>
  <c r="AD88" i="69"/>
  <c r="AE88" i="69" s="1"/>
  <c r="AD72" i="69"/>
  <c r="AE72" i="69" s="1"/>
  <c r="AD56" i="69"/>
  <c r="AE56" i="69" s="1"/>
  <c r="AD40" i="69"/>
  <c r="AE40" i="69" s="1"/>
  <c r="AD24" i="69"/>
  <c r="AE24" i="69" s="1"/>
  <c r="AB139" i="69"/>
  <c r="AB135" i="69"/>
  <c r="AB131" i="69"/>
  <c r="AB127" i="69"/>
  <c r="AB111" i="69"/>
  <c r="AB105" i="69"/>
  <c r="AB95" i="69"/>
  <c r="AB89" i="69"/>
  <c r="AB84" i="69"/>
  <c r="AB68" i="69"/>
  <c r="AB63" i="69"/>
  <c r="AB52" i="69"/>
  <c r="AB47" i="69"/>
  <c r="AB41" i="69"/>
  <c r="AB36" i="69"/>
  <c r="AD137" i="69"/>
  <c r="AE137" i="69" s="1"/>
  <c r="AD132" i="69"/>
  <c r="AE132" i="69" s="1"/>
  <c r="AD121" i="69"/>
  <c r="AE121" i="69" s="1"/>
  <c r="AD116" i="69"/>
  <c r="AE116" i="69" s="1"/>
  <c r="AD105" i="69"/>
  <c r="AE105" i="69" s="1"/>
  <c r="AD100" i="69"/>
  <c r="AE100" i="69" s="1"/>
  <c r="AD94" i="69"/>
  <c r="AE94" i="69" s="1"/>
  <c r="AD81" i="69"/>
  <c r="AE81" i="69" s="1"/>
  <c r="AD73" i="69"/>
  <c r="AE73" i="69" s="1"/>
  <c r="AD61" i="69"/>
  <c r="AE61" i="69" s="1"/>
  <c r="AB45" i="69"/>
  <c r="AD29" i="69"/>
  <c r="AE29" i="69" s="1"/>
  <c r="AD84" i="69"/>
  <c r="AE84" i="69" s="1"/>
  <c r="AD68" i="69"/>
  <c r="AE68" i="69" s="1"/>
  <c r="AD52" i="69"/>
  <c r="AE52" i="69" s="1"/>
  <c r="AD36" i="69"/>
  <c r="AE36" i="69" s="1"/>
  <c r="AQ1139" i="12"/>
  <c r="AJ1138" i="12"/>
  <c r="BK60" i="13"/>
  <c r="BK61" i="13"/>
  <c r="BK62" i="13"/>
  <c r="BK63" i="13"/>
  <c r="BK64" i="13"/>
  <c r="BK65" i="13"/>
  <c r="BK66" i="13"/>
  <c r="BK67" i="13"/>
  <c r="BK68" i="13"/>
  <c r="BK69" i="13"/>
  <c r="BK70" i="13"/>
  <c r="BK71" i="13"/>
  <c r="BK72" i="13"/>
  <c r="BK73" i="13"/>
  <c r="BK74" i="13"/>
  <c r="BK75" i="13"/>
  <c r="AG60" i="13"/>
  <c r="BK76" i="13"/>
  <c r="K60" i="13"/>
  <c r="BK77" i="13"/>
  <c r="S60" i="13"/>
  <c r="AH60" i="13"/>
  <c r="N60" i="13"/>
  <c r="BK78" i="13"/>
  <c r="BK79" i="13"/>
  <c r="BK80" i="13"/>
  <c r="F60" i="13"/>
  <c r="BK81" i="13"/>
  <c r="F61" i="13"/>
  <c r="AH61" i="13"/>
  <c r="N61" i="13"/>
  <c r="R60" i="13"/>
  <c r="J60" i="13"/>
  <c r="S61" i="13"/>
  <c r="AG61" i="13"/>
  <c r="K61" i="13"/>
  <c r="AE60" i="13"/>
  <c r="O60" i="13"/>
  <c r="G60" i="13"/>
  <c r="F62" i="13"/>
  <c r="S62" i="13"/>
  <c r="AH62" i="13"/>
  <c r="N62" i="13"/>
  <c r="R61" i="13"/>
  <c r="AB61" i="13" s="1"/>
  <c r="J61" i="13"/>
  <c r="Q60" i="13"/>
  <c r="M60" i="13"/>
  <c r="I60" i="13"/>
  <c r="E60" i="13"/>
  <c r="AG62" i="13"/>
  <c r="K62" i="13"/>
  <c r="AE61" i="13"/>
  <c r="O61" i="13"/>
  <c r="G61" i="13"/>
  <c r="AF60" i="13"/>
  <c r="T60" i="13"/>
  <c r="P60" i="13"/>
  <c r="L60" i="13"/>
  <c r="H60" i="13"/>
  <c r="F63" i="13"/>
  <c r="AH63" i="13"/>
  <c r="N63" i="13"/>
  <c r="R62" i="13"/>
  <c r="AC62" i="13" s="1"/>
  <c r="J62" i="13"/>
  <c r="Q61" i="13"/>
  <c r="M61" i="13"/>
  <c r="I61" i="13"/>
  <c r="E61" i="13"/>
  <c r="S63" i="13"/>
  <c r="AG65" i="13"/>
  <c r="AG63" i="13"/>
  <c r="K63" i="13"/>
  <c r="AE62" i="13"/>
  <c r="O62" i="13"/>
  <c r="G62" i="13"/>
  <c r="AF61" i="13"/>
  <c r="T61" i="13"/>
  <c r="P61" i="13"/>
  <c r="L61" i="13"/>
  <c r="H61" i="13"/>
  <c r="N65" i="13"/>
  <c r="R63" i="13"/>
  <c r="AC63" i="13" s="1"/>
  <c r="J63" i="13"/>
  <c r="Q62" i="13"/>
  <c r="M62" i="13"/>
  <c r="I62" i="13"/>
  <c r="E62" i="13"/>
  <c r="F65" i="13"/>
  <c r="AE63" i="13"/>
  <c r="O63" i="13"/>
  <c r="G63" i="13"/>
  <c r="AF62" i="13"/>
  <c r="T62" i="13"/>
  <c r="P62" i="13"/>
  <c r="L62" i="13"/>
  <c r="H62" i="13"/>
  <c r="G64" i="13"/>
  <c r="S64" i="13"/>
  <c r="AG64" i="13"/>
  <c r="O64" i="13"/>
  <c r="Q63" i="13"/>
  <c r="M63" i="13"/>
  <c r="I63" i="13"/>
  <c r="E63" i="13"/>
  <c r="AE64" i="13"/>
  <c r="K64" i="13"/>
  <c r="AF63" i="13"/>
  <c r="T63" i="13"/>
  <c r="P63" i="13"/>
  <c r="L63" i="13"/>
  <c r="H63" i="13"/>
  <c r="F66" i="13"/>
  <c r="AG74" i="13"/>
  <c r="S66" i="13"/>
  <c r="AH65" i="13"/>
  <c r="S65" i="13"/>
  <c r="K65" i="13"/>
  <c r="AH64" i="13"/>
  <c r="R64" i="13"/>
  <c r="N64" i="13"/>
  <c r="J64" i="13"/>
  <c r="F64" i="13"/>
  <c r="AH66" i="13"/>
  <c r="N66" i="13"/>
  <c r="R65" i="13"/>
  <c r="AC65" i="13" s="1"/>
  <c r="J65" i="13"/>
  <c r="Q64" i="13"/>
  <c r="M64" i="13"/>
  <c r="I64" i="13"/>
  <c r="E64" i="13"/>
  <c r="AG66" i="13"/>
  <c r="K66" i="13"/>
  <c r="AE65" i="13"/>
  <c r="O65" i="13"/>
  <c r="G65" i="13"/>
  <c r="AF64" i="13"/>
  <c r="T64" i="13"/>
  <c r="P64" i="13"/>
  <c r="L64" i="13"/>
  <c r="H64" i="13"/>
  <c r="S67" i="13"/>
  <c r="F67" i="13"/>
  <c r="AH67" i="13"/>
  <c r="N67" i="13"/>
  <c r="R66" i="13"/>
  <c r="AC66" i="13" s="1"/>
  <c r="J66" i="13"/>
  <c r="Q65" i="13"/>
  <c r="M65" i="13"/>
  <c r="I65" i="13"/>
  <c r="E65" i="13"/>
  <c r="AH69" i="13"/>
  <c r="AG67" i="13"/>
  <c r="K67" i="13"/>
  <c r="AE66" i="13"/>
  <c r="O66" i="13"/>
  <c r="G66" i="13"/>
  <c r="AF65" i="13"/>
  <c r="T65" i="13"/>
  <c r="P65" i="13"/>
  <c r="L65" i="13"/>
  <c r="H65" i="13"/>
  <c r="F68" i="13"/>
  <c r="S68" i="13"/>
  <c r="K69" i="13"/>
  <c r="N68" i="13"/>
  <c r="R67" i="13"/>
  <c r="AB67" i="13" s="1"/>
  <c r="J67" i="13"/>
  <c r="Q66" i="13"/>
  <c r="M66" i="13"/>
  <c r="I66" i="13"/>
  <c r="E66" i="13"/>
  <c r="AH68" i="13"/>
  <c r="K68" i="13"/>
  <c r="AE67" i="13"/>
  <c r="O67" i="13"/>
  <c r="G67" i="13"/>
  <c r="AF66" i="13"/>
  <c r="T66" i="13"/>
  <c r="U66" i="13" s="1"/>
  <c r="P66" i="13"/>
  <c r="L66" i="13"/>
  <c r="H66" i="13"/>
  <c r="F69" i="13"/>
  <c r="AE68" i="13"/>
  <c r="S69" i="13"/>
  <c r="R68" i="13"/>
  <c r="AC68" i="13" s="1"/>
  <c r="J68" i="13"/>
  <c r="Q67" i="13"/>
  <c r="M67" i="13"/>
  <c r="I67" i="13"/>
  <c r="E67" i="13"/>
  <c r="N69" i="13"/>
  <c r="AG68" i="13"/>
  <c r="O68" i="13"/>
  <c r="G68" i="13"/>
  <c r="AF67" i="13"/>
  <c r="T67" i="13"/>
  <c r="P67" i="13"/>
  <c r="L67" i="13"/>
  <c r="H67" i="13"/>
  <c r="R69" i="13"/>
  <c r="AC69" i="13" s="1"/>
  <c r="J69" i="13"/>
  <c r="Q68" i="13"/>
  <c r="M68" i="13"/>
  <c r="I68" i="13"/>
  <c r="E68" i="13"/>
  <c r="AG69" i="13"/>
  <c r="O69" i="13"/>
  <c r="G69" i="13"/>
  <c r="AF68" i="13"/>
  <c r="T68" i="13"/>
  <c r="P68" i="13"/>
  <c r="L68" i="13"/>
  <c r="H68" i="13"/>
  <c r="S72" i="13"/>
  <c r="N71" i="13"/>
  <c r="S70" i="13"/>
  <c r="AE71" i="13"/>
  <c r="G70" i="13"/>
  <c r="AE69" i="13"/>
  <c r="K72" i="13"/>
  <c r="F71" i="13"/>
  <c r="O70" i="13"/>
  <c r="Q69" i="13"/>
  <c r="M69" i="13"/>
  <c r="I69" i="13"/>
  <c r="E69" i="13"/>
  <c r="AG72" i="13"/>
  <c r="AH71" i="13"/>
  <c r="AG70" i="13"/>
  <c r="K70" i="13"/>
  <c r="AF69" i="13"/>
  <c r="T69" i="13"/>
  <c r="P69" i="13"/>
  <c r="L69" i="13"/>
  <c r="H69" i="13"/>
  <c r="AE70" i="13"/>
  <c r="F72" i="13"/>
  <c r="S71" i="13"/>
  <c r="K71" i="13"/>
  <c r="AH70" i="13"/>
  <c r="R70" i="13"/>
  <c r="N70" i="13"/>
  <c r="J70" i="13"/>
  <c r="F70" i="13"/>
  <c r="R71" i="13"/>
  <c r="AC71" i="13" s="1"/>
  <c r="J71" i="13"/>
  <c r="Q70" i="13"/>
  <c r="M70" i="13"/>
  <c r="I70" i="13"/>
  <c r="E70" i="13"/>
  <c r="AH72" i="13"/>
  <c r="N72" i="13"/>
  <c r="AG71" i="13"/>
  <c r="O71" i="13"/>
  <c r="G71" i="13"/>
  <c r="AF70" i="13"/>
  <c r="T70" i="13"/>
  <c r="P70" i="13"/>
  <c r="L70" i="13"/>
  <c r="H70" i="13"/>
  <c r="N74" i="13"/>
  <c r="R72" i="13"/>
  <c r="AC72" i="13" s="1"/>
  <c r="J72" i="13"/>
  <c r="Q71" i="13"/>
  <c r="M71" i="13"/>
  <c r="I71" i="13"/>
  <c r="E71" i="13"/>
  <c r="F74" i="13"/>
  <c r="AE72" i="13"/>
  <c r="O72" i="13"/>
  <c r="G72" i="13"/>
  <c r="AF71" i="13"/>
  <c r="T71" i="13"/>
  <c r="P71" i="13"/>
  <c r="L71" i="13"/>
  <c r="H71" i="13"/>
  <c r="G73" i="13"/>
  <c r="S73" i="13"/>
  <c r="AG73" i="13"/>
  <c r="O73" i="13"/>
  <c r="Q72" i="13"/>
  <c r="M72" i="13"/>
  <c r="I72" i="13"/>
  <c r="E72" i="13"/>
  <c r="AE73" i="13"/>
  <c r="K73" i="13"/>
  <c r="AF72" i="13"/>
  <c r="T72" i="13"/>
  <c r="P72" i="13"/>
  <c r="L72" i="13"/>
  <c r="H72" i="13"/>
  <c r="F75" i="13"/>
  <c r="S75" i="13"/>
  <c r="AH74" i="13"/>
  <c r="S74" i="13"/>
  <c r="K74" i="13"/>
  <c r="AH73" i="13"/>
  <c r="R73" i="13"/>
  <c r="N73" i="13"/>
  <c r="J73" i="13"/>
  <c r="F73" i="13"/>
  <c r="AH75" i="13"/>
  <c r="N75" i="13"/>
  <c r="R74" i="13"/>
  <c r="AB74" i="13" s="1"/>
  <c r="J74" i="13"/>
  <c r="Q73" i="13"/>
  <c r="M73" i="13"/>
  <c r="I73" i="13"/>
  <c r="E73" i="13"/>
  <c r="AH77" i="13"/>
  <c r="AG75" i="13"/>
  <c r="K75" i="13"/>
  <c r="AE74" i="13"/>
  <c r="O74" i="13"/>
  <c r="G74" i="13"/>
  <c r="AF73" i="13"/>
  <c r="T73" i="13"/>
  <c r="P73" i="13"/>
  <c r="L73" i="13"/>
  <c r="H73" i="13"/>
  <c r="N77" i="13"/>
  <c r="R75" i="13"/>
  <c r="AC75" i="13" s="1"/>
  <c r="J75" i="13"/>
  <c r="Q74" i="13"/>
  <c r="M74" i="13"/>
  <c r="I74" i="13"/>
  <c r="E74" i="13"/>
  <c r="F77" i="13"/>
  <c r="AE75" i="13"/>
  <c r="O75" i="13"/>
  <c r="G75" i="13"/>
  <c r="AF74" i="13"/>
  <c r="T74" i="13"/>
  <c r="P74" i="13"/>
  <c r="L74" i="13"/>
  <c r="H74" i="13"/>
  <c r="G76" i="13"/>
  <c r="S76" i="13"/>
  <c r="AG76" i="13"/>
  <c r="O76" i="13"/>
  <c r="Q75" i="13"/>
  <c r="M75" i="13"/>
  <c r="I75" i="13"/>
  <c r="E75" i="13"/>
  <c r="AE76" i="13"/>
  <c r="K76" i="13"/>
  <c r="AF75" i="13"/>
  <c r="T75" i="13"/>
  <c r="P75" i="13"/>
  <c r="L75" i="13"/>
  <c r="H75" i="13"/>
  <c r="AE78" i="13"/>
  <c r="S77" i="13"/>
  <c r="K77" i="13"/>
  <c r="AH76" i="13"/>
  <c r="R76" i="13"/>
  <c r="N76" i="13"/>
  <c r="J76" i="13"/>
  <c r="F76" i="13"/>
  <c r="R77" i="13"/>
  <c r="AB77" i="13" s="1"/>
  <c r="J77" i="13"/>
  <c r="Q76" i="13"/>
  <c r="M76" i="13"/>
  <c r="I76" i="13"/>
  <c r="E76" i="13"/>
  <c r="AG77" i="13"/>
  <c r="O77" i="13"/>
  <c r="G77" i="13"/>
  <c r="AF76" i="13"/>
  <c r="T76" i="13"/>
  <c r="P76" i="13"/>
  <c r="L76" i="13"/>
  <c r="H76" i="13"/>
  <c r="AE77" i="13"/>
  <c r="S78" i="13"/>
  <c r="F79" i="13"/>
  <c r="O78" i="13"/>
  <c r="Q77" i="13"/>
  <c r="M77" i="13"/>
  <c r="I77" i="13"/>
  <c r="E77" i="13"/>
  <c r="G78" i="13"/>
  <c r="N79" i="13"/>
  <c r="AG79" i="13"/>
  <c r="AG78" i="13"/>
  <c r="K78" i="13"/>
  <c r="AF77" i="13"/>
  <c r="T77" i="13"/>
  <c r="P77" i="13"/>
  <c r="L77" i="13"/>
  <c r="H77" i="13"/>
  <c r="F80" i="13"/>
  <c r="S80" i="13"/>
  <c r="AH79" i="13"/>
  <c r="S79" i="13"/>
  <c r="K79" i="13"/>
  <c r="AH78" i="13"/>
  <c r="R78" i="13"/>
  <c r="N78" i="13"/>
  <c r="J78" i="13"/>
  <c r="F78" i="13"/>
  <c r="AH80" i="13"/>
  <c r="N80" i="13"/>
  <c r="R79" i="13"/>
  <c r="AB79" i="13" s="1"/>
  <c r="J79" i="13"/>
  <c r="Q78" i="13"/>
  <c r="M78" i="13"/>
  <c r="I78" i="13"/>
  <c r="E78" i="13"/>
  <c r="AG80" i="13"/>
  <c r="K80" i="13"/>
  <c r="AE79" i="13"/>
  <c r="O79" i="13"/>
  <c r="G79" i="13"/>
  <c r="AF78" i="13"/>
  <c r="T78" i="13"/>
  <c r="P78" i="13"/>
  <c r="L78" i="13"/>
  <c r="H78" i="13"/>
  <c r="F81" i="13"/>
  <c r="S81" i="13"/>
  <c r="AE81" i="13"/>
  <c r="N81" i="13"/>
  <c r="R80" i="13"/>
  <c r="AB80" i="13" s="1"/>
  <c r="J80" i="13"/>
  <c r="Q79" i="13"/>
  <c r="M79" i="13"/>
  <c r="I79" i="13"/>
  <c r="E79" i="13"/>
  <c r="AH81" i="13"/>
  <c r="K81" i="13"/>
  <c r="AE80" i="13"/>
  <c r="O80" i="13"/>
  <c r="G80" i="13"/>
  <c r="AF79" i="13"/>
  <c r="T79" i="13"/>
  <c r="P79" i="13"/>
  <c r="L79" i="13"/>
  <c r="H79" i="13"/>
  <c r="R81" i="13"/>
  <c r="AC81" i="13" s="1"/>
  <c r="J81" i="13"/>
  <c r="Q80" i="13"/>
  <c r="M80" i="13"/>
  <c r="I80" i="13"/>
  <c r="E80" i="13"/>
  <c r="AG81" i="13"/>
  <c r="O81" i="13"/>
  <c r="G81" i="13"/>
  <c r="AF80" i="13"/>
  <c r="T80" i="13"/>
  <c r="P80" i="13"/>
  <c r="L80" i="13"/>
  <c r="H80" i="13"/>
  <c r="Q81" i="13"/>
  <c r="M81" i="13"/>
  <c r="I81" i="13"/>
  <c r="E81" i="13"/>
  <c r="AF81" i="13"/>
  <c r="T81" i="13"/>
  <c r="P81" i="13"/>
  <c r="L81" i="13"/>
  <c r="H81" i="13"/>
  <c r="BK82" i="13"/>
  <c r="BK83" i="13"/>
  <c r="BK84" i="13"/>
  <c r="BK85" i="13"/>
  <c r="BK86" i="13"/>
  <c r="BK87" i="13"/>
  <c r="AG82" i="13"/>
  <c r="BK88" i="13"/>
  <c r="K82" i="13"/>
  <c r="BK89" i="13"/>
  <c r="S82" i="13"/>
  <c r="AH82" i="13"/>
  <c r="N82" i="13"/>
  <c r="BK90" i="13"/>
  <c r="BK91" i="13"/>
  <c r="BK92" i="13"/>
  <c r="AH83" i="13"/>
  <c r="S83" i="13"/>
  <c r="AG83" i="13"/>
  <c r="N83" i="13"/>
  <c r="F82" i="13"/>
  <c r="AE83" i="13"/>
  <c r="K83" i="13"/>
  <c r="BK93" i="13"/>
  <c r="AH84" i="13"/>
  <c r="S84" i="13"/>
  <c r="AG84" i="13"/>
  <c r="N84" i="13"/>
  <c r="AE82" i="13"/>
  <c r="R82" i="13"/>
  <c r="AC82" i="13" s="1"/>
  <c r="J82" i="13"/>
  <c r="AE84" i="13"/>
  <c r="K84" i="13"/>
  <c r="F83" i="13"/>
  <c r="O82" i="13"/>
  <c r="G82" i="13"/>
  <c r="R83" i="13"/>
  <c r="AC83" i="13" s="1"/>
  <c r="J83" i="13"/>
  <c r="Q82" i="13"/>
  <c r="M82" i="13"/>
  <c r="I82" i="13"/>
  <c r="E82" i="13"/>
  <c r="F84" i="13"/>
  <c r="O83" i="13"/>
  <c r="G83" i="13"/>
  <c r="AF82" i="13"/>
  <c r="T82" i="13"/>
  <c r="P82" i="13"/>
  <c r="L82" i="13"/>
  <c r="H82" i="13"/>
  <c r="N86" i="13"/>
  <c r="AH86" i="13"/>
  <c r="F86" i="13"/>
  <c r="R84" i="13"/>
  <c r="AC84" i="13" s="1"/>
  <c r="J84" i="13"/>
  <c r="Q83" i="13"/>
  <c r="M83" i="13"/>
  <c r="I83" i="13"/>
  <c r="E83" i="13"/>
  <c r="AE86" i="13"/>
  <c r="O84" i="13"/>
  <c r="G84" i="13"/>
  <c r="AF83" i="13"/>
  <c r="T83" i="13"/>
  <c r="P83" i="13"/>
  <c r="L83" i="13"/>
  <c r="H83" i="13"/>
  <c r="G85" i="13"/>
  <c r="S85" i="13"/>
  <c r="AG85" i="13"/>
  <c r="O85" i="13"/>
  <c r="Q84" i="13"/>
  <c r="M84" i="13"/>
  <c r="I84" i="13"/>
  <c r="E84" i="13"/>
  <c r="AE85" i="13"/>
  <c r="K85" i="13"/>
  <c r="AF84" i="13"/>
  <c r="T84" i="13"/>
  <c r="P84" i="13"/>
  <c r="L84" i="13"/>
  <c r="H84" i="13"/>
  <c r="K89" i="13"/>
  <c r="N88" i="13"/>
  <c r="AG86" i="13"/>
  <c r="S86" i="13"/>
  <c r="K86" i="13"/>
  <c r="AH85" i="13"/>
  <c r="R85" i="13"/>
  <c r="N85" i="13"/>
  <c r="J85" i="13"/>
  <c r="F85" i="13"/>
  <c r="AH88" i="13"/>
  <c r="F88" i="13"/>
  <c r="R86" i="13"/>
  <c r="AC86" i="13" s="1"/>
  <c r="J86" i="13"/>
  <c r="Q85" i="13"/>
  <c r="M85" i="13"/>
  <c r="I85" i="13"/>
  <c r="E85" i="13"/>
  <c r="AE89" i="13"/>
  <c r="AE88" i="13"/>
  <c r="O86" i="13"/>
  <c r="G86" i="13"/>
  <c r="AF85" i="13"/>
  <c r="T85" i="13"/>
  <c r="P85" i="13"/>
  <c r="L85" i="13"/>
  <c r="H85" i="13"/>
  <c r="G87" i="13"/>
  <c r="S87" i="13"/>
  <c r="AH89" i="13"/>
  <c r="S89" i="13"/>
  <c r="AG87" i="13"/>
  <c r="O87" i="13"/>
  <c r="Q86" i="13"/>
  <c r="M86" i="13"/>
  <c r="I86" i="13"/>
  <c r="E86" i="13"/>
  <c r="AG89" i="13"/>
  <c r="N89" i="13"/>
  <c r="AE87" i="13"/>
  <c r="K87" i="13"/>
  <c r="AF86" i="13"/>
  <c r="T86" i="13"/>
  <c r="P86" i="13"/>
  <c r="L86" i="13"/>
  <c r="H86" i="13"/>
  <c r="AH90" i="13"/>
  <c r="S90" i="13"/>
  <c r="AG88" i="13"/>
  <c r="S88" i="13"/>
  <c r="K88" i="13"/>
  <c r="AH87" i="13"/>
  <c r="R87" i="13"/>
  <c r="N87" i="13"/>
  <c r="J87" i="13"/>
  <c r="F87" i="13"/>
  <c r="AG90" i="13"/>
  <c r="N90" i="13"/>
  <c r="R88" i="13"/>
  <c r="AB88" i="13" s="1"/>
  <c r="J88" i="13"/>
  <c r="Q87" i="13"/>
  <c r="M87" i="13"/>
  <c r="I87" i="13"/>
  <c r="E87" i="13"/>
  <c r="AE90" i="13"/>
  <c r="K90" i="13"/>
  <c r="F89" i="13"/>
  <c r="O88" i="13"/>
  <c r="G88" i="13"/>
  <c r="AF87" i="13"/>
  <c r="T87" i="13"/>
  <c r="P87" i="13"/>
  <c r="L87" i="13"/>
  <c r="H87" i="13"/>
  <c r="AH91" i="13"/>
  <c r="S91" i="13"/>
  <c r="AG91" i="13"/>
  <c r="N91" i="13"/>
  <c r="R89" i="13"/>
  <c r="AC89" i="13" s="1"/>
  <c r="J89" i="13"/>
  <c r="Q88" i="13"/>
  <c r="M88" i="13"/>
  <c r="I88" i="13"/>
  <c r="E88" i="13"/>
  <c r="AE91" i="13"/>
  <c r="K91" i="13"/>
  <c r="F90" i="13"/>
  <c r="O89" i="13"/>
  <c r="G89" i="13"/>
  <c r="AF88" i="13"/>
  <c r="T88" i="13"/>
  <c r="P88" i="13"/>
  <c r="L88" i="13"/>
  <c r="H88" i="13"/>
  <c r="AH92" i="13"/>
  <c r="S92" i="13"/>
  <c r="AG92" i="13"/>
  <c r="N92" i="13"/>
  <c r="R90" i="13"/>
  <c r="AC90" i="13" s="1"/>
  <c r="J90" i="13"/>
  <c r="Q89" i="13"/>
  <c r="M89" i="13"/>
  <c r="I89" i="13"/>
  <c r="E89" i="13"/>
  <c r="AE92" i="13"/>
  <c r="K92" i="13"/>
  <c r="F91" i="13"/>
  <c r="O90" i="13"/>
  <c r="G90" i="13"/>
  <c r="AF89" i="13"/>
  <c r="T89" i="13"/>
  <c r="P89" i="13"/>
  <c r="L89" i="13"/>
  <c r="H89" i="13"/>
  <c r="AH93" i="13"/>
  <c r="S93" i="13"/>
  <c r="AG93" i="13"/>
  <c r="N93" i="13"/>
  <c r="R91" i="13"/>
  <c r="AC91" i="13" s="1"/>
  <c r="J91" i="13"/>
  <c r="Q90" i="13"/>
  <c r="M90" i="13"/>
  <c r="I90" i="13"/>
  <c r="E90" i="13"/>
  <c r="AE93" i="13"/>
  <c r="K93" i="13"/>
  <c r="F92" i="13"/>
  <c r="O91" i="13"/>
  <c r="G91" i="13"/>
  <c r="AF90" i="13"/>
  <c r="T90" i="13"/>
  <c r="P90" i="13"/>
  <c r="L90" i="13"/>
  <c r="H90" i="13"/>
  <c r="R92" i="13"/>
  <c r="AC92" i="13" s="1"/>
  <c r="J92" i="13"/>
  <c r="Q91" i="13"/>
  <c r="M91" i="13"/>
  <c r="I91" i="13"/>
  <c r="E91" i="13"/>
  <c r="F93" i="13"/>
  <c r="O92" i="13"/>
  <c r="G92" i="13"/>
  <c r="AF91" i="13"/>
  <c r="T91" i="13"/>
  <c r="P91" i="13"/>
  <c r="L91" i="13"/>
  <c r="H91" i="13"/>
  <c r="R93" i="13"/>
  <c r="AB93" i="13" s="1"/>
  <c r="J93" i="13"/>
  <c r="Q92" i="13"/>
  <c r="M92" i="13"/>
  <c r="I92" i="13"/>
  <c r="E92" i="13"/>
  <c r="O93" i="13"/>
  <c r="G93" i="13"/>
  <c r="AF92" i="13"/>
  <c r="T92" i="13"/>
  <c r="P92" i="13"/>
  <c r="L92" i="13"/>
  <c r="H92" i="13"/>
  <c r="Q93" i="13"/>
  <c r="M93" i="13"/>
  <c r="I93" i="13"/>
  <c r="E93" i="13"/>
  <c r="AF93" i="13"/>
  <c r="T93" i="13"/>
  <c r="P93" i="13"/>
  <c r="L93" i="13"/>
  <c r="H93" i="13"/>
  <c r="E25" i="67"/>
  <c r="G25" i="67" s="1"/>
  <c r="AN1139" i="12"/>
  <c r="AM1139" i="12"/>
  <c r="BK94" i="13"/>
  <c r="BK95" i="13"/>
  <c r="BK96" i="13"/>
  <c r="BK97" i="13"/>
  <c r="BK98" i="13"/>
  <c r="BK99" i="13"/>
  <c r="BK100" i="13"/>
  <c r="BK101" i="13"/>
  <c r="BK102" i="13"/>
  <c r="BK103" i="13"/>
  <c r="BK104" i="13"/>
  <c r="BK105" i="13"/>
  <c r="BK106" i="13"/>
  <c r="BK107" i="13"/>
  <c r="BK108" i="13"/>
  <c r="BK109" i="13"/>
  <c r="BK110" i="13"/>
  <c r="BK111" i="13"/>
  <c r="BK112" i="13"/>
  <c r="BK113" i="13"/>
  <c r="BK114" i="13"/>
  <c r="BK115" i="13"/>
  <c r="G94" i="13"/>
  <c r="S94" i="13"/>
  <c r="AG94" i="13"/>
  <c r="O94" i="13"/>
  <c r="AE94" i="13"/>
  <c r="K94" i="13"/>
  <c r="S95" i="13"/>
  <c r="AH94" i="13"/>
  <c r="R94" i="13"/>
  <c r="N94" i="13"/>
  <c r="J94" i="13"/>
  <c r="F94" i="13"/>
  <c r="G95" i="13"/>
  <c r="O95" i="13"/>
  <c r="Q94" i="13"/>
  <c r="M94" i="13"/>
  <c r="I94" i="13"/>
  <c r="E94" i="13"/>
  <c r="AE96" i="13"/>
  <c r="AG95" i="13"/>
  <c r="K95" i="13"/>
  <c r="AF94" i="13"/>
  <c r="T94" i="13"/>
  <c r="P94" i="13"/>
  <c r="L94" i="13"/>
  <c r="H94" i="13"/>
  <c r="G96" i="13"/>
  <c r="AE95" i="13"/>
  <c r="S96" i="13"/>
  <c r="AH95" i="13"/>
  <c r="R95" i="13"/>
  <c r="N95" i="13"/>
  <c r="J95" i="13"/>
  <c r="F95" i="13"/>
  <c r="O96" i="13"/>
  <c r="Q95" i="13"/>
  <c r="M95" i="13"/>
  <c r="I95" i="13"/>
  <c r="E95" i="13"/>
  <c r="AG96" i="13"/>
  <c r="K96" i="13"/>
  <c r="AF95" i="13"/>
  <c r="T95" i="13"/>
  <c r="P95" i="13"/>
  <c r="L95" i="13"/>
  <c r="H95" i="13"/>
  <c r="S97" i="13"/>
  <c r="AH96" i="13"/>
  <c r="R96" i="13"/>
  <c r="N96" i="13"/>
  <c r="J96" i="13"/>
  <c r="F96" i="13"/>
  <c r="G97" i="13"/>
  <c r="AG97" i="13"/>
  <c r="O97" i="13"/>
  <c r="Q96" i="13"/>
  <c r="M96" i="13"/>
  <c r="I96" i="13"/>
  <c r="E96" i="13"/>
  <c r="AE97" i="13"/>
  <c r="K97" i="13"/>
  <c r="AF96" i="13"/>
  <c r="T96" i="13"/>
  <c r="P96" i="13"/>
  <c r="L96" i="13"/>
  <c r="H96" i="13"/>
  <c r="AH101" i="13"/>
  <c r="S98" i="13"/>
  <c r="AH97" i="13"/>
  <c r="R97" i="13"/>
  <c r="N97" i="13"/>
  <c r="J97" i="13"/>
  <c r="F97" i="13"/>
  <c r="G98" i="13"/>
  <c r="AG98" i="13"/>
  <c r="O98" i="13"/>
  <c r="Q97" i="13"/>
  <c r="M97" i="13"/>
  <c r="I97" i="13"/>
  <c r="E97" i="13"/>
  <c r="N101" i="13"/>
  <c r="AE98" i="13"/>
  <c r="K98" i="13"/>
  <c r="AF97" i="13"/>
  <c r="T97" i="13"/>
  <c r="P97" i="13"/>
  <c r="L97" i="13"/>
  <c r="H97" i="13"/>
  <c r="S102" i="13"/>
  <c r="S99" i="13"/>
  <c r="AH98" i="13"/>
  <c r="R98" i="13"/>
  <c r="N98" i="13"/>
  <c r="J98" i="13"/>
  <c r="F98" i="13"/>
  <c r="G99" i="13"/>
  <c r="AG99" i="13"/>
  <c r="O99" i="13"/>
  <c r="Q98" i="13"/>
  <c r="M98" i="13"/>
  <c r="I98" i="13"/>
  <c r="E98" i="13"/>
  <c r="AE99" i="13"/>
  <c r="K99" i="13"/>
  <c r="AF98" i="13"/>
  <c r="T98" i="13"/>
  <c r="P98" i="13"/>
  <c r="L98" i="13"/>
  <c r="H98" i="13"/>
  <c r="K102" i="13"/>
  <c r="F101" i="13"/>
  <c r="S100" i="13"/>
  <c r="AH99" i="13"/>
  <c r="R99" i="13"/>
  <c r="N99" i="13"/>
  <c r="J99" i="13"/>
  <c r="F99" i="13"/>
  <c r="AG102" i="13"/>
  <c r="AG100" i="13"/>
  <c r="O100" i="13"/>
  <c r="Q99" i="13"/>
  <c r="M99" i="13"/>
  <c r="I99" i="13"/>
  <c r="E99" i="13"/>
  <c r="G100" i="13"/>
  <c r="AE100" i="13"/>
  <c r="K100" i="13"/>
  <c r="AF99" i="13"/>
  <c r="T99" i="13"/>
  <c r="P99" i="13"/>
  <c r="L99" i="13"/>
  <c r="H99" i="13"/>
  <c r="F102" i="13"/>
  <c r="S101" i="13"/>
  <c r="K101" i="13"/>
  <c r="AH100" i="13"/>
  <c r="R100" i="13"/>
  <c r="N100" i="13"/>
  <c r="J100" i="13"/>
  <c r="F100" i="13"/>
  <c r="AE101" i="13"/>
  <c r="R101" i="13"/>
  <c r="AC101" i="13" s="1"/>
  <c r="J101" i="13"/>
  <c r="Q100" i="13"/>
  <c r="M100" i="13"/>
  <c r="I100" i="13"/>
  <c r="E100" i="13"/>
  <c r="AH102" i="13"/>
  <c r="N102" i="13"/>
  <c r="AG101" i="13"/>
  <c r="O101" i="13"/>
  <c r="G101" i="13"/>
  <c r="AF100" i="13"/>
  <c r="T100" i="13"/>
  <c r="P100" i="13"/>
  <c r="L100" i="13"/>
  <c r="H100" i="13"/>
  <c r="R102" i="13"/>
  <c r="AC102" i="13" s="1"/>
  <c r="J102" i="13"/>
  <c r="Q101" i="13"/>
  <c r="M101" i="13"/>
  <c r="I101" i="13"/>
  <c r="E101" i="13"/>
  <c r="AE102" i="13"/>
  <c r="O102" i="13"/>
  <c r="G102" i="13"/>
  <c r="AF101" i="13"/>
  <c r="T101" i="13"/>
  <c r="P101" i="13"/>
  <c r="L101" i="13"/>
  <c r="H101" i="13"/>
  <c r="S103" i="13"/>
  <c r="G103" i="13"/>
  <c r="O103" i="13"/>
  <c r="Q102" i="13"/>
  <c r="M102" i="13"/>
  <c r="I102" i="13"/>
  <c r="E102" i="13"/>
  <c r="AE104" i="13"/>
  <c r="AG103" i="13"/>
  <c r="K103" i="13"/>
  <c r="AF102" i="13"/>
  <c r="T102" i="13"/>
  <c r="P102" i="13"/>
  <c r="L102" i="13"/>
  <c r="H102" i="13"/>
  <c r="S104" i="13"/>
  <c r="AH103" i="13"/>
  <c r="R103" i="13"/>
  <c r="N103" i="13"/>
  <c r="J103" i="13"/>
  <c r="F103" i="13"/>
  <c r="AE103" i="13"/>
  <c r="O104" i="13"/>
  <c r="Q103" i="13"/>
  <c r="M103" i="13"/>
  <c r="I103" i="13"/>
  <c r="E103" i="13"/>
  <c r="G104" i="13"/>
  <c r="AG104" i="13"/>
  <c r="K104" i="13"/>
  <c r="AF103" i="13"/>
  <c r="T103" i="13"/>
  <c r="P103" i="13"/>
  <c r="L103" i="13"/>
  <c r="H103" i="13"/>
  <c r="G105" i="13"/>
  <c r="S105" i="13"/>
  <c r="AH104" i="13"/>
  <c r="R104" i="13"/>
  <c r="N104" i="13"/>
  <c r="J104" i="13"/>
  <c r="F104" i="13"/>
  <c r="AG105" i="13"/>
  <c r="O105" i="13"/>
  <c r="Q104" i="13"/>
  <c r="M104" i="13"/>
  <c r="I104" i="13"/>
  <c r="E104" i="13"/>
  <c r="AE105" i="13"/>
  <c r="K105" i="13"/>
  <c r="AF104" i="13"/>
  <c r="T104" i="13"/>
  <c r="U104" i="13" s="1"/>
  <c r="P104" i="13"/>
  <c r="L104" i="13"/>
  <c r="H104" i="13"/>
  <c r="G106" i="13"/>
  <c r="S106" i="13"/>
  <c r="AH105" i="13"/>
  <c r="R105" i="13"/>
  <c r="N105" i="13"/>
  <c r="J105" i="13"/>
  <c r="F105" i="13"/>
  <c r="AG106" i="13"/>
  <c r="O106" i="13"/>
  <c r="Q105" i="13"/>
  <c r="M105" i="13"/>
  <c r="I105" i="13"/>
  <c r="E105" i="13"/>
  <c r="AE106" i="13"/>
  <c r="K106" i="13"/>
  <c r="AF105" i="13"/>
  <c r="T105" i="13"/>
  <c r="P105" i="13"/>
  <c r="L105" i="13"/>
  <c r="H105" i="13"/>
  <c r="S107" i="13"/>
  <c r="AH106" i="13"/>
  <c r="R106" i="13"/>
  <c r="N106" i="13"/>
  <c r="J106" i="13"/>
  <c r="F106" i="13"/>
  <c r="O107" i="13"/>
  <c r="Q106" i="13"/>
  <c r="M106" i="13"/>
  <c r="I106" i="13"/>
  <c r="E106" i="13"/>
  <c r="G107" i="13"/>
  <c r="AE108" i="13"/>
  <c r="AG107" i="13"/>
  <c r="K107" i="13"/>
  <c r="AF106" i="13"/>
  <c r="T106" i="13"/>
  <c r="P106" i="13"/>
  <c r="L106" i="13"/>
  <c r="H106" i="13"/>
  <c r="S108" i="13"/>
  <c r="AH107" i="13"/>
  <c r="R107" i="13"/>
  <c r="N107" i="13"/>
  <c r="J107" i="13"/>
  <c r="F107" i="13"/>
  <c r="AE107" i="13"/>
  <c r="O108" i="13"/>
  <c r="Q107" i="13"/>
  <c r="M107" i="13"/>
  <c r="I107" i="13"/>
  <c r="E107" i="13"/>
  <c r="G108" i="13"/>
  <c r="AG108" i="13"/>
  <c r="K108" i="13"/>
  <c r="AF107" i="13"/>
  <c r="T107" i="13"/>
  <c r="U107" i="13" s="1"/>
  <c r="P107" i="13"/>
  <c r="L107" i="13"/>
  <c r="H107" i="13"/>
  <c r="G109" i="13"/>
  <c r="S109" i="13"/>
  <c r="AH108" i="13"/>
  <c r="R108" i="13"/>
  <c r="N108" i="13"/>
  <c r="J108" i="13"/>
  <c r="F108" i="13"/>
  <c r="AG109" i="13"/>
  <c r="O109" i="13"/>
  <c r="Q108" i="13"/>
  <c r="M108" i="13"/>
  <c r="I108" i="13"/>
  <c r="E108" i="13"/>
  <c r="AE109" i="13"/>
  <c r="K109" i="13"/>
  <c r="AF108" i="13"/>
  <c r="T108" i="13"/>
  <c r="U108" i="13" s="1"/>
  <c r="P108" i="13"/>
  <c r="L108" i="13"/>
  <c r="H108" i="13"/>
  <c r="S110" i="13"/>
  <c r="AH109" i="13"/>
  <c r="R109" i="13"/>
  <c r="N109" i="13"/>
  <c r="J109" i="13"/>
  <c r="F109" i="13"/>
  <c r="G110" i="13"/>
  <c r="AG110" i="13"/>
  <c r="O110" i="13"/>
  <c r="Q109" i="13"/>
  <c r="M109" i="13"/>
  <c r="I109" i="13"/>
  <c r="E109" i="13"/>
  <c r="AE110" i="13"/>
  <c r="K110" i="13"/>
  <c r="AF109" i="13"/>
  <c r="T109" i="13"/>
  <c r="P109" i="13"/>
  <c r="L109" i="13"/>
  <c r="H109" i="13"/>
  <c r="G111" i="13"/>
  <c r="S111" i="13"/>
  <c r="AH110" i="13"/>
  <c r="R110" i="13"/>
  <c r="N110" i="13"/>
  <c r="J110" i="13"/>
  <c r="F110" i="13"/>
  <c r="O111" i="13"/>
  <c r="Q110" i="13"/>
  <c r="M110" i="13"/>
  <c r="I110" i="13"/>
  <c r="E110" i="13"/>
  <c r="AE112" i="13"/>
  <c r="AG111" i="13"/>
  <c r="K111" i="13"/>
  <c r="AF110" i="13"/>
  <c r="T110" i="13"/>
  <c r="U110" i="13" s="1"/>
  <c r="P110" i="13"/>
  <c r="L110" i="13"/>
  <c r="H110" i="13"/>
  <c r="AE111" i="13"/>
  <c r="S112" i="13"/>
  <c r="AH111" i="13"/>
  <c r="R111" i="13"/>
  <c r="N111" i="13"/>
  <c r="J111" i="13"/>
  <c r="F111" i="13"/>
  <c r="G112" i="13"/>
  <c r="O112" i="13"/>
  <c r="Q111" i="13"/>
  <c r="M111" i="13"/>
  <c r="I111" i="13"/>
  <c r="E111" i="13"/>
  <c r="AG112" i="13"/>
  <c r="K112" i="13"/>
  <c r="AF111" i="13"/>
  <c r="T111" i="13"/>
  <c r="P111" i="13"/>
  <c r="L111" i="13"/>
  <c r="H111" i="13"/>
  <c r="G113" i="13"/>
  <c r="S113" i="13"/>
  <c r="AH112" i="13"/>
  <c r="R112" i="13"/>
  <c r="N112" i="13"/>
  <c r="J112" i="13"/>
  <c r="F112" i="13"/>
  <c r="AG113" i="13"/>
  <c r="O113" i="13"/>
  <c r="Q112" i="13"/>
  <c r="M112" i="13"/>
  <c r="I112" i="13"/>
  <c r="E112" i="13"/>
  <c r="AE113" i="13"/>
  <c r="K113" i="13"/>
  <c r="AF112" i="13"/>
  <c r="T112" i="13"/>
  <c r="P112" i="13"/>
  <c r="L112" i="13"/>
  <c r="H112" i="13"/>
  <c r="S114" i="13"/>
  <c r="AH113" i="13"/>
  <c r="R113" i="13"/>
  <c r="N113" i="13"/>
  <c r="J113" i="13"/>
  <c r="F113" i="13"/>
  <c r="G114" i="13"/>
  <c r="AG114" i="13"/>
  <c r="O114" i="13"/>
  <c r="Q113" i="13"/>
  <c r="M113" i="13"/>
  <c r="I113" i="13"/>
  <c r="E113" i="13"/>
  <c r="AE114" i="13"/>
  <c r="K114" i="13"/>
  <c r="AF113" i="13"/>
  <c r="T113" i="13"/>
  <c r="P113" i="13"/>
  <c r="L113" i="13"/>
  <c r="H113" i="13"/>
  <c r="S115" i="13"/>
  <c r="AH114" i="13"/>
  <c r="R114" i="13"/>
  <c r="N114" i="13"/>
  <c r="J114" i="13"/>
  <c r="F114" i="13"/>
  <c r="AG115" i="13"/>
  <c r="O115" i="13"/>
  <c r="Q114" i="13"/>
  <c r="M114" i="13"/>
  <c r="I114" i="13"/>
  <c r="E114" i="13"/>
  <c r="G115" i="13"/>
  <c r="AE115" i="13"/>
  <c r="K115" i="13"/>
  <c r="AF114" i="13"/>
  <c r="T114" i="13"/>
  <c r="U114" i="13" s="1"/>
  <c r="P114" i="13"/>
  <c r="L114" i="13"/>
  <c r="H114" i="13"/>
  <c r="AH115" i="13"/>
  <c r="R115" i="13"/>
  <c r="N115" i="13"/>
  <c r="J115" i="13"/>
  <c r="F115" i="13"/>
  <c r="Q115" i="13"/>
  <c r="M115" i="13"/>
  <c r="I115" i="13"/>
  <c r="E115" i="13"/>
  <c r="AF115" i="13"/>
  <c r="T115" i="13"/>
  <c r="P115" i="13"/>
  <c r="L115" i="13"/>
  <c r="H115" i="13"/>
  <c r="H36" i="66"/>
  <c r="H32" i="66"/>
  <c r="AI1138" i="12"/>
  <c r="R44" i="66"/>
  <c r="T38" i="66"/>
  <c r="Q23" i="66" s="1"/>
  <c r="T42" i="66"/>
  <c r="Q27" i="66" s="1"/>
  <c r="R40" i="66"/>
  <c r="T37" i="66"/>
  <c r="Q22" i="66" s="1"/>
  <c r="R43" i="66"/>
  <c r="R39" i="66"/>
  <c r="T45" i="66"/>
  <c r="Q30" i="66" s="1"/>
  <c r="T41" i="66"/>
  <c r="Q26" i="66" s="1"/>
  <c r="R42" i="66"/>
  <c r="T44" i="66"/>
  <c r="Q29" i="66" s="1"/>
  <c r="T40" i="66"/>
  <c r="Q25" i="66" s="1"/>
  <c r="R45" i="66"/>
  <c r="R41" i="66"/>
  <c r="T43" i="66"/>
  <c r="Q28" i="66" s="1"/>
  <c r="T39" i="66"/>
  <c r="Q24" i="66" s="1"/>
  <c r="BK116" i="13"/>
  <c r="BK117" i="13"/>
  <c r="BK118" i="13"/>
  <c r="BK119" i="13"/>
  <c r="BK120" i="13"/>
  <c r="BK121" i="13"/>
  <c r="BK122" i="13"/>
  <c r="BK123" i="13"/>
  <c r="BK124" i="13"/>
  <c r="BK125" i="13"/>
  <c r="BK126" i="13"/>
  <c r="G116" i="13"/>
  <c r="AE119" i="13"/>
  <c r="S116" i="13"/>
  <c r="AG116" i="13"/>
  <c r="O116" i="13"/>
  <c r="N119" i="13"/>
  <c r="AE116" i="13"/>
  <c r="K116" i="13"/>
  <c r="K120" i="13"/>
  <c r="S117" i="13"/>
  <c r="AH116" i="13"/>
  <c r="R116" i="13"/>
  <c r="N116" i="13"/>
  <c r="J116" i="13"/>
  <c r="F116" i="13"/>
  <c r="G117" i="13"/>
  <c r="AG117" i="13"/>
  <c r="O117" i="13"/>
  <c r="Q116" i="13"/>
  <c r="M116" i="13"/>
  <c r="I116" i="13"/>
  <c r="E116" i="13"/>
  <c r="AH120" i="13"/>
  <c r="AE117" i="13"/>
  <c r="K117" i="13"/>
  <c r="AF116" i="13"/>
  <c r="T116" i="13"/>
  <c r="U116" i="13" s="1"/>
  <c r="P116" i="13"/>
  <c r="L116" i="13"/>
  <c r="H116" i="13"/>
  <c r="G118" i="13"/>
  <c r="AE120" i="13"/>
  <c r="AH119" i="13"/>
  <c r="F119" i="13"/>
  <c r="S118" i="13"/>
  <c r="AH117" i="13"/>
  <c r="R117" i="13"/>
  <c r="N117" i="13"/>
  <c r="J117" i="13"/>
  <c r="F117" i="13"/>
  <c r="AG118" i="13"/>
  <c r="O118" i="13"/>
  <c r="Q117" i="13"/>
  <c r="M117" i="13"/>
  <c r="I117" i="13"/>
  <c r="E117" i="13"/>
  <c r="S120" i="13"/>
  <c r="AE118" i="13"/>
  <c r="K118" i="13"/>
  <c r="AF117" i="13"/>
  <c r="T117" i="13"/>
  <c r="P117" i="13"/>
  <c r="L117" i="13"/>
  <c r="H117" i="13"/>
  <c r="AH121" i="13"/>
  <c r="S121" i="13"/>
  <c r="AG120" i="13"/>
  <c r="N120" i="13"/>
  <c r="AG119" i="13"/>
  <c r="S119" i="13"/>
  <c r="K119" i="13"/>
  <c r="AH118" i="13"/>
  <c r="R118" i="13"/>
  <c r="N118" i="13"/>
  <c r="J118" i="13"/>
  <c r="F118" i="13"/>
  <c r="AG121" i="13"/>
  <c r="N121" i="13"/>
  <c r="R119" i="13"/>
  <c r="AC119" i="13" s="1"/>
  <c r="J119" i="13"/>
  <c r="Q118" i="13"/>
  <c r="M118" i="13"/>
  <c r="I118" i="13"/>
  <c r="E118" i="13"/>
  <c r="AE121" i="13"/>
  <c r="K121" i="13"/>
  <c r="F120" i="13"/>
  <c r="O119" i="13"/>
  <c r="G119" i="13"/>
  <c r="AF118" i="13"/>
  <c r="T118" i="13"/>
  <c r="P118" i="13"/>
  <c r="L118" i="13"/>
  <c r="H118" i="13"/>
  <c r="R120" i="13"/>
  <c r="AC120" i="13" s="1"/>
  <c r="J120" i="13"/>
  <c r="Q119" i="13"/>
  <c r="M119" i="13"/>
  <c r="I119" i="13"/>
  <c r="E119" i="13"/>
  <c r="F121" i="13"/>
  <c r="O120" i="13"/>
  <c r="G120" i="13"/>
  <c r="AF119" i="13"/>
  <c r="T119" i="13"/>
  <c r="P119" i="13"/>
  <c r="L119" i="13"/>
  <c r="H119" i="13"/>
  <c r="R121" i="13"/>
  <c r="AC121" i="13" s="1"/>
  <c r="J121" i="13"/>
  <c r="Q120" i="13"/>
  <c r="M120" i="13"/>
  <c r="I120" i="13"/>
  <c r="E120" i="13"/>
  <c r="O121" i="13"/>
  <c r="G121" i="13"/>
  <c r="AF120" i="13"/>
  <c r="T120" i="13"/>
  <c r="P120" i="13"/>
  <c r="L120" i="13"/>
  <c r="H120" i="13"/>
  <c r="S122" i="13"/>
  <c r="AG122" i="13"/>
  <c r="O122" i="13"/>
  <c r="Q121" i="13"/>
  <c r="M121" i="13"/>
  <c r="I121" i="13"/>
  <c r="E121" i="13"/>
  <c r="G122" i="13"/>
  <c r="AE122" i="13"/>
  <c r="K122" i="13"/>
  <c r="AF121" i="13"/>
  <c r="T121" i="13"/>
  <c r="P121" i="13"/>
  <c r="L121" i="13"/>
  <c r="H121" i="13"/>
  <c r="G123" i="13"/>
  <c r="S123" i="13"/>
  <c r="AH122" i="13"/>
  <c r="R122" i="13"/>
  <c r="N122" i="13"/>
  <c r="J122" i="13"/>
  <c r="F122" i="13"/>
  <c r="AG123" i="13"/>
  <c r="O123" i="13"/>
  <c r="Q122" i="13"/>
  <c r="M122" i="13"/>
  <c r="I122" i="13"/>
  <c r="E122" i="13"/>
  <c r="AE123" i="13"/>
  <c r="K123" i="13"/>
  <c r="AF122" i="13"/>
  <c r="T122" i="13"/>
  <c r="P122" i="13"/>
  <c r="L122" i="13"/>
  <c r="H122" i="13"/>
  <c r="S124" i="13"/>
  <c r="AH123" i="13"/>
  <c r="R123" i="13"/>
  <c r="N123" i="13"/>
  <c r="J123" i="13"/>
  <c r="F123" i="13"/>
  <c r="AG124" i="13"/>
  <c r="O124" i="13"/>
  <c r="Q123" i="13"/>
  <c r="M123" i="13"/>
  <c r="I123" i="13"/>
  <c r="E123" i="13"/>
  <c r="G124" i="13"/>
  <c r="AE124" i="13"/>
  <c r="K124" i="13"/>
  <c r="AF123" i="13"/>
  <c r="T123" i="13"/>
  <c r="P123" i="13"/>
  <c r="L123" i="13"/>
  <c r="H123" i="13"/>
  <c r="S125" i="13"/>
  <c r="AH124" i="13"/>
  <c r="R124" i="13"/>
  <c r="N124" i="13"/>
  <c r="J124" i="13"/>
  <c r="F124" i="13"/>
  <c r="G125" i="13"/>
  <c r="AG125" i="13"/>
  <c r="O125" i="13"/>
  <c r="Q124" i="13"/>
  <c r="M124" i="13"/>
  <c r="I124" i="13"/>
  <c r="E124" i="13"/>
  <c r="AE125" i="13"/>
  <c r="K125" i="13"/>
  <c r="AF124" i="13"/>
  <c r="T124" i="13"/>
  <c r="P124" i="13"/>
  <c r="L124" i="13"/>
  <c r="H124" i="13"/>
  <c r="G126" i="13"/>
  <c r="S126" i="13"/>
  <c r="AH125" i="13"/>
  <c r="R125" i="13"/>
  <c r="N125" i="13"/>
  <c r="J125" i="13"/>
  <c r="F125" i="13"/>
  <c r="AG126" i="13"/>
  <c r="O126" i="13"/>
  <c r="Q125" i="13"/>
  <c r="M125" i="13"/>
  <c r="I125" i="13"/>
  <c r="E125" i="13"/>
  <c r="AE126" i="13"/>
  <c r="K126" i="13"/>
  <c r="AF125" i="13"/>
  <c r="T125" i="13"/>
  <c r="P125" i="13"/>
  <c r="L125" i="13"/>
  <c r="H125" i="13"/>
  <c r="AH126" i="13"/>
  <c r="R126" i="13"/>
  <c r="N126" i="13"/>
  <c r="J126" i="13"/>
  <c r="F126" i="13"/>
  <c r="Q126" i="13"/>
  <c r="M126" i="13"/>
  <c r="I126" i="13"/>
  <c r="E126" i="13"/>
  <c r="AF126" i="13"/>
  <c r="T126" i="13"/>
  <c r="P126" i="13"/>
  <c r="L126" i="13"/>
  <c r="H126" i="13"/>
  <c r="AD6" i="65"/>
  <c r="Y9" i="65"/>
  <c r="Y8" i="65"/>
  <c r="AH7" i="65"/>
  <c r="AH6" i="65"/>
  <c r="L36" i="16"/>
  <c r="N36" i="16" s="1"/>
  <c r="AF8" i="65"/>
  <c r="BA6" i="65" s="1" a="1"/>
  <c r="BA6" i="65" s="1"/>
  <c r="AB7" i="65"/>
  <c r="AW6" i="65" s="1" a="1"/>
  <c r="AW6" i="65" s="1"/>
  <c r="BK127" i="13"/>
  <c r="BK128" i="13"/>
  <c r="BK129" i="13"/>
  <c r="BK130" i="13"/>
  <c r="BK131" i="13"/>
  <c r="BK132" i="13"/>
  <c r="BK133" i="13"/>
  <c r="BK134" i="13"/>
  <c r="BK135" i="13"/>
  <c r="BK136" i="13"/>
  <c r="BK137" i="13"/>
  <c r="AG127" i="13"/>
  <c r="AE127" i="13"/>
  <c r="S127" i="13"/>
  <c r="O127" i="13"/>
  <c r="K127" i="13"/>
  <c r="G127" i="13"/>
  <c r="AH127" i="13"/>
  <c r="R127" i="13"/>
  <c r="N127" i="13"/>
  <c r="J127" i="13"/>
  <c r="F127" i="13"/>
  <c r="Q127" i="13"/>
  <c r="M127" i="13"/>
  <c r="I127" i="13"/>
  <c r="E127" i="13"/>
  <c r="AG128" i="13"/>
  <c r="AF127" i="13"/>
  <c r="T127" i="13"/>
  <c r="P127" i="13"/>
  <c r="L127" i="13"/>
  <c r="H127" i="13"/>
  <c r="AE128" i="13"/>
  <c r="S128" i="13"/>
  <c r="O128" i="13"/>
  <c r="K128" i="13"/>
  <c r="G128" i="13"/>
  <c r="O131" i="13"/>
  <c r="AH128" i="13"/>
  <c r="R128" i="13"/>
  <c r="N128" i="13"/>
  <c r="J128" i="13"/>
  <c r="F128" i="13"/>
  <c r="Q128" i="13"/>
  <c r="M128" i="13"/>
  <c r="I128" i="13"/>
  <c r="E128" i="13"/>
  <c r="AG131" i="13"/>
  <c r="AG129" i="13"/>
  <c r="AF128" i="13"/>
  <c r="T128" i="13"/>
  <c r="P128" i="13"/>
  <c r="L128" i="13"/>
  <c r="H128" i="13"/>
  <c r="AE129" i="13"/>
  <c r="S129" i="13"/>
  <c r="O129" i="13"/>
  <c r="K129" i="13"/>
  <c r="G129" i="13"/>
  <c r="AH129" i="13"/>
  <c r="R129" i="13"/>
  <c r="N129" i="13"/>
  <c r="J129" i="13"/>
  <c r="F129" i="13"/>
  <c r="Q129" i="13"/>
  <c r="M129" i="13"/>
  <c r="I129" i="13"/>
  <c r="E129" i="13"/>
  <c r="AG130" i="13"/>
  <c r="AF129" i="13"/>
  <c r="T129" i="13"/>
  <c r="P129" i="13"/>
  <c r="L129" i="13"/>
  <c r="H129" i="13"/>
  <c r="G131" i="13"/>
  <c r="AE130" i="13"/>
  <c r="S130" i="13"/>
  <c r="O130" i="13"/>
  <c r="K130" i="13"/>
  <c r="G130" i="13"/>
  <c r="S131" i="13"/>
  <c r="AH130" i="13"/>
  <c r="R130" i="13"/>
  <c r="N130" i="13"/>
  <c r="J130" i="13"/>
  <c r="F130" i="13"/>
  <c r="Q130" i="13"/>
  <c r="M130" i="13"/>
  <c r="I130" i="13"/>
  <c r="E130" i="13"/>
  <c r="AE131" i="13"/>
  <c r="K131" i="13"/>
  <c r="AF130" i="13"/>
  <c r="T130" i="13"/>
  <c r="P130" i="13"/>
  <c r="L130" i="13"/>
  <c r="H130" i="13"/>
  <c r="AH131" i="13"/>
  <c r="R131" i="13"/>
  <c r="N131" i="13"/>
  <c r="J131" i="13"/>
  <c r="F131" i="13"/>
  <c r="Q131" i="13"/>
  <c r="M131" i="13"/>
  <c r="I131" i="13"/>
  <c r="E131" i="13"/>
  <c r="AG132" i="13"/>
  <c r="AF131" i="13"/>
  <c r="T131" i="13"/>
  <c r="U131" i="13" s="1"/>
  <c r="P131" i="13"/>
  <c r="L131" i="13"/>
  <c r="H131" i="13"/>
  <c r="AE132" i="13"/>
  <c r="S132" i="13"/>
  <c r="O132" i="13"/>
  <c r="K132" i="13"/>
  <c r="G132" i="13"/>
  <c r="AH132" i="13"/>
  <c r="R132" i="13"/>
  <c r="N132" i="13"/>
  <c r="J132" i="13"/>
  <c r="F132" i="13"/>
  <c r="Q132" i="13"/>
  <c r="M132" i="13"/>
  <c r="I132" i="13"/>
  <c r="E132" i="13"/>
  <c r="AG133" i="13"/>
  <c r="AF132" i="13"/>
  <c r="T132" i="13"/>
  <c r="P132" i="13"/>
  <c r="L132" i="13"/>
  <c r="H132" i="13"/>
  <c r="AE133" i="13"/>
  <c r="S133" i="13"/>
  <c r="O133" i="13"/>
  <c r="K133" i="13"/>
  <c r="G133" i="13"/>
  <c r="AH133" i="13"/>
  <c r="R133" i="13"/>
  <c r="N133" i="13"/>
  <c r="J133" i="13"/>
  <c r="F133" i="13"/>
  <c r="Q133" i="13"/>
  <c r="M133" i="13"/>
  <c r="I133" i="13"/>
  <c r="E133" i="13"/>
  <c r="AG134" i="13"/>
  <c r="AF133" i="13"/>
  <c r="T133" i="13"/>
  <c r="P133" i="13"/>
  <c r="L133" i="13"/>
  <c r="H133" i="13"/>
  <c r="AE134" i="13"/>
  <c r="S134" i="13"/>
  <c r="O134" i="13"/>
  <c r="K134" i="13"/>
  <c r="G134" i="13"/>
  <c r="O137" i="13"/>
  <c r="AH134" i="13"/>
  <c r="R134" i="13"/>
  <c r="N134" i="13"/>
  <c r="J134" i="13"/>
  <c r="F134" i="13"/>
  <c r="Q134" i="13"/>
  <c r="M134" i="13"/>
  <c r="I134" i="13"/>
  <c r="E134" i="13"/>
  <c r="AG135" i="13"/>
  <c r="AF134" i="13"/>
  <c r="T134" i="13"/>
  <c r="P134" i="13"/>
  <c r="L134" i="13"/>
  <c r="H134" i="13"/>
  <c r="AE137" i="13"/>
  <c r="AE135" i="13"/>
  <c r="S135" i="13"/>
  <c r="O135" i="13"/>
  <c r="K135" i="13"/>
  <c r="G135" i="13"/>
  <c r="AH135" i="13"/>
  <c r="R135" i="13"/>
  <c r="N135" i="13"/>
  <c r="J135" i="13"/>
  <c r="F135" i="13"/>
  <c r="Q135" i="13"/>
  <c r="M135" i="13"/>
  <c r="I135" i="13"/>
  <c r="E135" i="13"/>
  <c r="AG136" i="13"/>
  <c r="AF135" i="13"/>
  <c r="T135" i="13"/>
  <c r="P135" i="13"/>
  <c r="L135" i="13"/>
  <c r="H135" i="13"/>
  <c r="G137" i="13"/>
  <c r="AE136" i="13"/>
  <c r="S136" i="13"/>
  <c r="O136" i="13"/>
  <c r="K136" i="13"/>
  <c r="G136" i="13"/>
  <c r="S137" i="13"/>
  <c r="AH136" i="13"/>
  <c r="R136" i="13"/>
  <c r="N136" i="13"/>
  <c r="J136" i="13"/>
  <c r="F136" i="13"/>
  <c r="Q136" i="13"/>
  <c r="M136" i="13"/>
  <c r="I136" i="13"/>
  <c r="E136" i="13"/>
  <c r="AG137" i="13"/>
  <c r="K137" i="13"/>
  <c r="AF136" i="13"/>
  <c r="T136" i="13"/>
  <c r="P136" i="13"/>
  <c r="L136" i="13"/>
  <c r="H136" i="13"/>
  <c r="AH137" i="13"/>
  <c r="R137" i="13"/>
  <c r="N137" i="13"/>
  <c r="J137" i="13"/>
  <c r="F137" i="13"/>
  <c r="BK138" i="13"/>
  <c r="Q137" i="13"/>
  <c r="M137" i="13"/>
  <c r="I137" i="13"/>
  <c r="E137" i="13"/>
  <c r="AF137" i="13"/>
  <c r="T137" i="13"/>
  <c r="U137" i="13" s="1"/>
  <c r="P137" i="13"/>
  <c r="L137" i="13"/>
  <c r="H137" i="13"/>
  <c r="L6" i="65"/>
  <c r="J6" i="65" s="1"/>
  <c r="BK139" i="13"/>
  <c r="BK140" i="13"/>
  <c r="BK141" i="13"/>
  <c r="BK142" i="13"/>
  <c r="BK143" i="13"/>
  <c r="BK144" i="13"/>
  <c r="BK145" i="13"/>
  <c r="BK146" i="13"/>
  <c r="BK147" i="13"/>
  <c r="BK148" i="13"/>
  <c r="AG138" i="13"/>
  <c r="AE138" i="13"/>
  <c r="S138" i="13"/>
  <c r="O138" i="13"/>
  <c r="K138" i="13"/>
  <c r="G138" i="13"/>
  <c r="O141" i="13"/>
  <c r="AH138" i="13"/>
  <c r="R138" i="13"/>
  <c r="N138" i="13"/>
  <c r="J138" i="13"/>
  <c r="F138" i="13"/>
  <c r="Q138" i="13"/>
  <c r="M138" i="13"/>
  <c r="I138" i="13"/>
  <c r="E138" i="13"/>
  <c r="AG139" i="13"/>
  <c r="AF138" i="13"/>
  <c r="T138" i="13"/>
  <c r="P138" i="13"/>
  <c r="L138" i="13"/>
  <c r="H138" i="13"/>
  <c r="AG141" i="13"/>
  <c r="AH140" i="13"/>
  <c r="F140" i="13"/>
  <c r="AE139" i="13"/>
  <c r="S139" i="13"/>
  <c r="O139" i="13"/>
  <c r="K139" i="13"/>
  <c r="G139" i="13"/>
  <c r="AG140" i="13"/>
  <c r="R140" i="13"/>
  <c r="W140" i="13" s="1"/>
  <c r="AH139" i="13"/>
  <c r="R139" i="13"/>
  <c r="N139" i="13"/>
  <c r="J139" i="13"/>
  <c r="F139" i="13"/>
  <c r="S141" i="13"/>
  <c r="N140" i="13"/>
  <c r="Q139" i="13"/>
  <c r="M139" i="13"/>
  <c r="I139" i="13"/>
  <c r="E139" i="13"/>
  <c r="J140" i="13"/>
  <c r="AF139" i="13"/>
  <c r="T139" i="13"/>
  <c r="P139" i="13"/>
  <c r="L139" i="13"/>
  <c r="H139" i="13"/>
  <c r="G141" i="13"/>
  <c r="AE140" i="13"/>
  <c r="S140" i="13"/>
  <c r="O140" i="13"/>
  <c r="K140" i="13"/>
  <c r="G140" i="13"/>
  <c r="Q140" i="13"/>
  <c r="M140" i="13"/>
  <c r="I140" i="13"/>
  <c r="E140" i="13"/>
  <c r="AE141" i="13"/>
  <c r="K141" i="13"/>
  <c r="AF140" i="13"/>
  <c r="T140" i="13"/>
  <c r="P140" i="13"/>
  <c r="L140" i="13"/>
  <c r="H140" i="13"/>
  <c r="AH141" i="13"/>
  <c r="R141" i="13"/>
  <c r="N141" i="13"/>
  <c r="J141" i="13"/>
  <c r="F141" i="13"/>
  <c r="Q141" i="13"/>
  <c r="M141" i="13"/>
  <c r="I141" i="13"/>
  <c r="E141" i="13"/>
  <c r="AG142" i="13"/>
  <c r="AF141" i="13"/>
  <c r="T141" i="13"/>
  <c r="U141" i="13" s="1"/>
  <c r="P141" i="13"/>
  <c r="L141" i="13"/>
  <c r="H141" i="13"/>
  <c r="AE142" i="13"/>
  <c r="S142" i="13"/>
  <c r="O142" i="13"/>
  <c r="K142" i="13"/>
  <c r="G142" i="13"/>
  <c r="AG144" i="13"/>
  <c r="AH142" i="13"/>
  <c r="R142" i="13"/>
  <c r="N142" i="13"/>
  <c r="J142" i="13"/>
  <c r="F142" i="13"/>
  <c r="Q142" i="13"/>
  <c r="M142" i="13"/>
  <c r="I142" i="13"/>
  <c r="E142" i="13"/>
  <c r="AG143" i="13"/>
  <c r="AF142" i="13"/>
  <c r="T142" i="13"/>
  <c r="P142" i="13"/>
  <c r="L142" i="13"/>
  <c r="H142" i="13"/>
  <c r="N144" i="13"/>
  <c r="F144" i="13"/>
  <c r="AE143" i="13"/>
  <c r="S143" i="13"/>
  <c r="O143" i="13"/>
  <c r="K143" i="13"/>
  <c r="G143" i="13"/>
  <c r="AH144" i="13"/>
  <c r="S144" i="13"/>
  <c r="K144" i="13"/>
  <c r="AH143" i="13"/>
  <c r="R143" i="13"/>
  <c r="N143" i="13"/>
  <c r="J143" i="13"/>
  <c r="F143" i="13"/>
  <c r="R144" i="13"/>
  <c r="AB144" i="13" s="1"/>
  <c r="J144" i="13"/>
  <c r="Q143" i="13"/>
  <c r="M143" i="13"/>
  <c r="I143" i="13"/>
  <c r="E143" i="13"/>
  <c r="AE144" i="13"/>
  <c r="O144" i="13"/>
  <c r="G144" i="13"/>
  <c r="AF143" i="13"/>
  <c r="T143" i="13"/>
  <c r="P143" i="13"/>
  <c r="L143" i="13"/>
  <c r="H143" i="13"/>
  <c r="Q144" i="13"/>
  <c r="M144" i="13"/>
  <c r="I144" i="13"/>
  <c r="E144" i="13"/>
  <c r="AG145" i="13"/>
  <c r="AF144" i="13"/>
  <c r="T144" i="13"/>
  <c r="P144" i="13"/>
  <c r="L144" i="13"/>
  <c r="H144" i="13"/>
  <c r="AE145" i="13"/>
  <c r="S145" i="13"/>
  <c r="O145" i="13"/>
  <c r="K145" i="13"/>
  <c r="G145" i="13"/>
  <c r="O148" i="13"/>
  <c r="AH145" i="13"/>
  <c r="R145" i="13"/>
  <c r="N145" i="13"/>
  <c r="J145" i="13"/>
  <c r="F145" i="13"/>
  <c r="Q145" i="13"/>
  <c r="M145" i="13"/>
  <c r="I145" i="13"/>
  <c r="E145" i="13"/>
  <c r="AG148" i="13"/>
  <c r="AG146" i="13"/>
  <c r="AF145" i="13"/>
  <c r="T145" i="13"/>
  <c r="P145" i="13"/>
  <c r="L145" i="13"/>
  <c r="H145" i="13"/>
  <c r="AE146" i="13"/>
  <c r="S146" i="13"/>
  <c r="O146" i="13"/>
  <c r="K146" i="13"/>
  <c r="G146" i="13"/>
  <c r="AH146" i="13"/>
  <c r="R146" i="13"/>
  <c r="N146" i="13"/>
  <c r="J146" i="13"/>
  <c r="F146" i="13"/>
  <c r="Q146" i="13"/>
  <c r="M146" i="13"/>
  <c r="I146" i="13"/>
  <c r="E146" i="13"/>
  <c r="AG147" i="13"/>
  <c r="AF146" i="13"/>
  <c r="T146" i="13"/>
  <c r="P146" i="13"/>
  <c r="L146" i="13"/>
  <c r="H146" i="13"/>
  <c r="G148" i="13"/>
  <c r="AE147" i="13"/>
  <c r="S147" i="13"/>
  <c r="O147" i="13"/>
  <c r="K147" i="13"/>
  <c r="G147" i="13"/>
  <c r="S148" i="13"/>
  <c r="AH147" i="13"/>
  <c r="R147" i="13"/>
  <c r="N147" i="13"/>
  <c r="J147" i="13"/>
  <c r="F147" i="13"/>
  <c r="Q147" i="13"/>
  <c r="M147" i="13"/>
  <c r="I147" i="13"/>
  <c r="E147" i="13"/>
  <c r="AE148" i="13"/>
  <c r="K148" i="13"/>
  <c r="AF147" i="13"/>
  <c r="T147" i="13"/>
  <c r="P147" i="13"/>
  <c r="L147" i="13"/>
  <c r="H147" i="13"/>
  <c r="BK149" i="13"/>
  <c r="AH148" i="13"/>
  <c r="R148" i="13"/>
  <c r="N148" i="13"/>
  <c r="J148" i="13"/>
  <c r="F148" i="13"/>
  <c r="Q148" i="13"/>
  <c r="M148" i="13"/>
  <c r="I148" i="13"/>
  <c r="E148" i="13"/>
  <c r="AF148" i="13"/>
  <c r="T148" i="13"/>
  <c r="U148" i="13" s="1"/>
  <c r="P148" i="13"/>
  <c r="L148" i="13"/>
  <c r="H148" i="13"/>
  <c r="N6" i="65"/>
  <c r="BK150" i="13"/>
  <c r="BK151" i="13"/>
  <c r="BK152" i="13"/>
  <c r="BK153" i="13"/>
  <c r="BK154" i="13"/>
  <c r="BK157" i="13"/>
  <c r="BK155" i="13"/>
  <c r="BK156" i="13"/>
  <c r="S150" i="13"/>
  <c r="AE149" i="13"/>
  <c r="BK158" i="13"/>
  <c r="BK159" i="13"/>
  <c r="AH150" i="13"/>
  <c r="N150" i="13"/>
  <c r="N149" i="13"/>
  <c r="AG150" i="13"/>
  <c r="K150" i="13"/>
  <c r="F149" i="13"/>
  <c r="AH149" i="13"/>
  <c r="F150" i="13"/>
  <c r="S149" i="13"/>
  <c r="K149" i="13"/>
  <c r="R149" i="13"/>
  <c r="AC149" i="13" s="1"/>
  <c r="J149" i="13"/>
  <c r="AG149" i="13"/>
  <c r="O149" i="13"/>
  <c r="G149" i="13"/>
  <c r="R150" i="13"/>
  <c r="AC150" i="13" s="1"/>
  <c r="J150" i="13"/>
  <c r="Q149" i="13"/>
  <c r="M149" i="13"/>
  <c r="I149" i="13"/>
  <c r="E149" i="13"/>
  <c r="AE150" i="13"/>
  <c r="O150" i="13"/>
  <c r="G150" i="13"/>
  <c r="AF149" i="13"/>
  <c r="T149" i="13"/>
  <c r="P149" i="13"/>
  <c r="L149" i="13"/>
  <c r="H149" i="13"/>
  <c r="G151" i="13"/>
  <c r="S151" i="13"/>
  <c r="AG151" i="13"/>
  <c r="O151" i="13"/>
  <c r="Q150" i="13"/>
  <c r="M150" i="13"/>
  <c r="I150" i="13"/>
  <c r="E150" i="13"/>
  <c r="AE151" i="13"/>
  <c r="K151" i="13"/>
  <c r="AF150" i="13"/>
  <c r="T150" i="13"/>
  <c r="U150" i="13" s="1"/>
  <c r="P150" i="13"/>
  <c r="L150" i="13"/>
  <c r="H150" i="13"/>
  <c r="S152" i="13"/>
  <c r="AH151" i="13"/>
  <c r="R151" i="13"/>
  <c r="N151" i="13"/>
  <c r="J151" i="13"/>
  <c r="F151" i="13"/>
  <c r="G152" i="13"/>
  <c r="AG152" i="13"/>
  <c r="O152" i="13"/>
  <c r="Q151" i="13"/>
  <c r="M151" i="13"/>
  <c r="I151" i="13"/>
  <c r="E151" i="13"/>
  <c r="AE152" i="13"/>
  <c r="K152" i="13"/>
  <c r="AF151" i="13"/>
  <c r="T151" i="13"/>
  <c r="P151" i="13"/>
  <c r="L151" i="13"/>
  <c r="H151" i="13"/>
  <c r="N158" i="13"/>
  <c r="N156" i="13"/>
  <c r="N154" i="13"/>
  <c r="S153" i="13"/>
  <c r="AH152" i="13"/>
  <c r="R152" i="13"/>
  <c r="N152" i="13"/>
  <c r="J152" i="13"/>
  <c r="F152" i="13"/>
  <c r="G153" i="13"/>
  <c r="F154" i="13"/>
  <c r="O153" i="13"/>
  <c r="Q152" i="13"/>
  <c r="M152" i="13"/>
  <c r="I152" i="13"/>
  <c r="E152" i="13"/>
  <c r="AE153" i="13"/>
  <c r="AG156" i="13"/>
  <c r="AG154" i="13"/>
  <c r="AG153" i="13"/>
  <c r="K153" i="13"/>
  <c r="AF152" i="13"/>
  <c r="T152" i="13"/>
  <c r="P152" i="13"/>
  <c r="L152" i="13"/>
  <c r="H152" i="13"/>
  <c r="AH154" i="13"/>
  <c r="S154" i="13"/>
  <c r="K154" i="13"/>
  <c r="AH153" i="13"/>
  <c r="R153" i="13"/>
  <c r="N153" i="13"/>
  <c r="J153" i="13"/>
  <c r="F153" i="13"/>
  <c r="R154" i="13"/>
  <c r="J154" i="13"/>
  <c r="Q153" i="13"/>
  <c r="M153" i="13"/>
  <c r="I153" i="13"/>
  <c r="E153" i="13"/>
  <c r="F156" i="13"/>
  <c r="AE154" i="13"/>
  <c r="O154" i="13"/>
  <c r="G154" i="13"/>
  <c r="AF153" i="13"/>
  <c r="T153" i="13"/>
  <c r="P153" i="13"/>
  <c r="L153" i="13"/>
  <c r="H153" i="13"/>
  <c r="G155" i="13"/>
  <c r="S155" i="13"/>
  <c r="AG158" i="13"/>
  <c r="AG155" i="13"/>
  <c r="O155" i="13"/>
  <c r="AC154" i="13"/>
  <c r="Q154" i="13"/>
  <c r="M154" i="13"/>
  <c r="I154" i="13"/>
  <c r="E154" i="13"/>
  <c r="AE155" i="13"/>
  <c r="K155" i="13"/>
  <c r="AF154" i="13"/>
  <c r="AB154" i="13"/>
  <c r="T154" i="13"/>
  <c r="U154" i="13" s="1"/>
  <c r="P154" i="13"/>
  <c r="L154" i="13"/>
  <c r="H154" i="13"/>
  <c r="AH156" i="13"/>
  <c r="S156" i="13"/>
  <c r="K156" i="13"/>
  <c r="AH155" i="13"/>
  <c r="R155" i="13"/>
  <c r="N155" i="13"/>
  <c r="J155" i="13"/>
  <c r="F155" i="13"/>
  <c r="R156" i="13"/>
  <c r="AC156" i="13" s="1"/>
  <c r="J156" i="13"/>
  <c r="Q155" i="13"/>
  <c r="M155" i="13"/>
  <c r="I155" i="13"/>
  <c r="E155" i="13"/>
  <c r="F158" i="13"/>
  <c r="AE156" i="13"/>
  <c r="O156" i="13"/>
  <c r="G156" i="13"/>
  <c r="AF155" i="13"/>
  <c r="T155" i="13"/>
  <c r="U155" i="13" s="1"/>
  <c r="P155" i="13"/>
  <c r="L155" i="13"/>
  <c r="H155" i="13"/>
  <c r="AG157" i="13"/>
  <c r="O157" i="13"/>
  <c r="Q156" i="13"/>
  <c r="M156" i="13"/>
  <c r="I156" i="13"/>
  <c r="E156" i="13"/>
  <c r="G157" i="13"/>
  <c r="S157" i="13"/>
  <c r="AE157" i="13"/>
  <c r="K157" i="13"/>
  <c r="AF156" i="13"/>
  <c r="T156" i="13"/>
  <c r="P156" i="13"/>
  <c r="L156" i="13"/>
  <c r="H156" i="13"/>
  <c r="F159" i="13"/>
  <c r="S159" i="13"/>
  <c r="AH158" i="13"/>
  <c r="S158" i="13"/>
  <c r="K158" i="13"/>
  <c r="AH157" i="13"/>
  <c r="R157" i="13"/>
  <c r="N157" i="13"/>
  <c r="J157" i="13"/>
  <c r="F157" i="13"/>
  <c r="AH159" i="13"/>
  <c r="N159" i="13"/>
  <c r="R158" i="13"/>
  <c r="J158" i="13"/>
  <c r="Q157" i="13"/>
  <c r="M157" i="13"/>
  <c r="I157" i="13"/>
  <c r="E157" i="13"/>
  <c r="AG159" i="13"/>
  <c r="K159" i="13"/>
  <c r="AE158" i="13"/>
  <c r="O158" i="13"/>
  <c r="G158" i="13"/>
  <c r="AF157" i="13"/>
  <c r="T157" i="13"/>
  <c r="U157" i="13" s="1"/>
  <c r="P157" i="13"/>
  <c r="L157" i="13"/>
  <c r="H157" i="13"/>
  <c r="M180" i="13"/>
  <c r="M167" i="13"/>
  <c r="O180" i="13"/>
  <c r="O167" i="13"/>
  <c r="M168" i="13"/>
  <c r="O168" i="13"/>
  <c r="M176" i="13"/>
  <c r="M164" i="13"/>
  <c r="O176" i="13"/>
  <c r="O164" i="13"/>
  <c r="R159" i="13"/>
  <c r="J159" i="13"/>
  <c r="AC158" i="13"/>
  <c r="Q158" i="13"/>
  <c r="M158" i="13"/>
  <c r="I158" i="13"/>
  <c r="E158" i="13"/>
  <c r="M160" i="13"/>
  <c r="O160" i="13"/>
  <c r="M172" i="13"/>
  <c r="M163" i="13"/>
  <c r="O172" i="13"/>
  <c r="O163" i="13"/>
  <c r="AE159" i="13"/>
  <c r="O159" i="13"/>
  <c r="G159" i="13"/>
  <c r="AF158" i="13"/>
  <c r="T158" i="13"/>
  <c r="U158" i="13" s="1"/>
  <c r="P158" i="13"/>
  <c r="L158" i="13"/>
  <c r="H158" i="13"/>
  <c r="N178" i="13"/>
  <c r="N174" i="13"/>
  <c r="N166" i="13"/>
  <c r="M179" i="13"/>
  <c r="M175" i="13"/>
  <c r="M171" i="13"/>
  <c r="N181" i="13"/>
  <c r="N177" i="13"/>
  <c r="N173" i="13"/>
  <c r="N169" i="13"/>
  <c r="N165" i="13"/>
  <c r="N161" i="13"/>
  <c r="O179" i="13"/>
  <c r="O175" i="13"/>
  <c r="O171" i="13"/>
  <c r="N162" i="13"/>
  <c r="M178" i="13"/>
  <c r="M174" i="13"/>
  <c r="M170" i="13"/>
  <c r="M166" i="13"/>
  <c r="M162" i="13"/>
  <c r="N180" i="13"/>
  <c r="N176" i="13"/>
  <c r="N172" i="13"/>
  <c r="N168" i="13"/>
  <c r="N164" i="13"/>
  <c r="N160" i="13"/>
  <c r="O178" i="13"/>
  <c r="O174" i="13"/>
  <c r="O170" i="13"/>
  <c r="O166" i="13"/>
  <c r="O162" i="13"/>
  <c r="Q159" i="13"/>
  <c r="M159" i="13"/>
  <c r="I159" i="13"/>
  <c r="E159" i="13"/>
  <c r="N170" i="13"/>
  <c r="M181" i="13"/>
  <c r="M177" i="13"/>
  <c r="M173" i="13"/>
  <c r="M169" i="13"/>
  <c r="M165" i="13"/>
  <c r="M161" i="13"/>
  <c r="N179" i="13"/>
  <c r="N175" i="13"/>
  <c r="N171" i="13"/>
  <c r="N167" i="13"/>
  <c r="N163" i="13"/>
  <c r="O181" i="13"/>
  <c r="O177" i="13"/>
  <c r="O173" i="13"/>
  <c r="O169" i="13"/>
  <c r="O165" i="13"/>
  <c r="O161" i="13"/>
  <c r="AF159" i="13"/>
  <c r="T159" i="13"/>
  <c r="P159" i="13"/>
  <c r="L159" i="13"/>
  <c r="H159" i="13"/>
  <c r="E168" i="13"/>
  <c r="J173" i="13"/>
  <c r="D174" i="13"/>
  <c r="E180" i="13"/>
  <c r="E164" i="13"/>
  <c r="J169" i="13"/>
  <c r="D178" i="13"/>
  <c r="D162" i="13"/>
  <c r="D170" i="13"/>
  <c r="E176" i="13"/>
  <c r="J181" i="13"/>
  <c r="J165" i="13"/>
  <c r="D160" i="13"/>
  <c r="D166" i="13"/>
  <c r="E172" i="13"/>
  <c r="J177" i="13"/>
  <c r="J161" i="13"/>
  <c r="D180" i="13"/>
  <c r="D176" i="13"/>
  <c r="D172" i="13"/>
  <c r="D168" i="13"/>
  <c r="D164" i="13"/>
  <c r="E160" i="13"/>
  <c r="E178" i="13"/>
  <c r="E174" i="13"/>
  <c r="E170" i="13"/>
  <c r="E166" i="13"/>
  <c r="E162" i="13"/>
  <c r="J179" i="13"/>
  <c r="J175" i="13"/>
  <c r="J171" i="13"/>
  <c r="J167" i="13"/>
  <c r="J163" i="13"/>
  <c r="D179" i="13"/>
  <c r="D175" i="13"/>
  <c r="D171" i="13"/>
  <c r="D167" i="13"/>
  <c r="D163" i="13"/>
  <c r="E181" i="13"/>
  <c r="E177" i="13"/>
  <c r="E173" i="13"/>
  <c r="E169" i="13"/>
  <c r="E165" i="13"/>
  <c r="E161" i="13"/>
  <c r="J178" i="13"/>
  <c r="J174" i="13"/>
  <c r="J170" i="13"/>
  <c r="J166" i="13"/>
  <c r="J162" i="13"/>
  <c r="D181" i="13"/>
  <c r="D177" i="13"/>
  <c r="D173" i="13"/>
  <c r="D169" i="13"/>
  <c r="D165" i="13"/>
  <c r="D161" i="13"/>
  <c r="E179" i="13"/>
  <c r="E175" i="13"/>
  <c r="E171" i="13"/>
  <c r="E167" i="13"/>
  <c r="E163" i="13"/>
  <c r="J180" i="13"/>
  <c r="J176" i="13"/>
  <c r="J172" i="13"/>
  <c r="J168" i="13"/>
  <c r="J164" i="13"/>
  <c r="J160" i="13"/>
  <c r="BK160" i="13"/>
  <c r="BK161" i="13"/>
  <c r="BK162" i="13"/>
  <c r="BK163" i="13"/>
  <c r="BK164" i="13"/>
  <c r="BK165" i="13"/>
  <c r="BK166" i="13"/>
  <c r="BK167" i="13"/>
  <c r="BK168" i="13"/>
  <c r="BK169" i="13"/>
  <c r="BK170" i="13"/>
  <c r="S160" i="13"/>
  <c r="AG160" i="13"/>
  <c r="K160" i="13"/>
  <c r="AE160" i="13"/>
  <c r="G160" i="13"/>
  <c r="AH160" i="13"/>
  <c r="R160" i="13"/>
  <c r="AB160" i="13" s="1"/>
  <c r="F160" i="13"/>
  <c r="L160" i="13"/>
  <c r="K162" i="13"/>
  <c r="Q160" i="13"/>
  <c r="I160" i="13"/>
  <c r="AH162" i="13"/>
  <c r="AG161" i="13"/>
  <c r="AF160" i="13"/>
  <c r="T160" i="13"/>
  <c r="P160" i="13"/>
  <c r="AG162" i="13"/>
  <c r="Q161" i="13"/>
  <c r="I161" i="13"/>
  <c r="AG167" i="13"/>
  <c r="S162" i="13"/>
  <c r="G162" i="13"/>
  <c r="AF161" i="13"/>
  <c r="T161" i="13"/>
  <c r="P161" i="13"/>
  <c r="H161" i="13"/>
  <c r="AE162" i="13"/>
  <c r="R162" i="13"/>
  <c r="AB162" i="13" s="1"/>
  <c r="F162" i="13"/>
  <c r="AE161" i="13"/>
  <c r="S161" i="13"/>
  <c r="L161" i="13"/>
  <c r="G161" i="13"/>
  <c r="L162" i="13"/>
  <c r="AH161" i="13"/>
  <c r="R161" i="13"/>
  <c r="K161" i="13"/>
  <c r="Q162" i="13"/>
  <c r="I162" i="13"/>
  <c r="AG163" i="13"/>
  <c r="AF162" i="13"/>
  <c r="T162" i="13"/>
  <c r="P162" i="13"/>
  <c r="AG168" i="13"/>
  <c r="Q163" i="13"/>
  <c r="I163" i="13"/>
  <c r="K165" i="13"/>
  <c r="AF163" i="13"/>
  <c r="T163" i="13"/>
  <c r="P163" i="13"/>
  <c r="H163" i="13"/>
  <c r="AE163" i="13"/>
  <c r="S163" i="13"/>
  <c r="L163" i="13"/>
  <c r="G163" i="13"/>
  <c r="AG165" i="13"/>
  <c r="AH163" i="13"/>
  <c r="R163" i="13"/>
  <c r="K163" i="13"/>
  <c r="I164" i="13"/>
  <c r="AH165" i="13"/>
  <c r="H165" i="13"/>
  <c r="AF164" i="13"/>
  <c r="P164" i="13"/>
  <c r="H164" i="13"/>
  <c r="AE166" i="13"/>
  <c r="AH166" i="13"/>
  <c r="L166" i="13"/>
  <c r="R165" i="13"/>
  <c r="AA165" i="13" s="1"/>
  <c r="F165" i="13"/>
  <c r="AE164" i="13"/>
  <c r="L164" i="13"/>
  <c r="G164" i="13"/>
  <c r="G166" i="13"/>
  <c r="AG164" i="13"/>
  <c r="Q164" i="13"/>
  <c r="AG166" i="13"/>
  <c r="K166" i="13"/>
  <c r="AF165" i="13"/>
  <c r="P165" i="13"/>
  <c r="AH164" i="13"/>
  <c r="R164" i="13"/>
  <c r="K164" i="13"/>
  <c r="Q165" i="13"/>
  <c r="I165" i="13"/>
  <c r="R166" i="13"/>
  <c r="AC166" i="13" s="1"/>
  <c r="F166" i="13"/>
  <c r="AE165" i="13"/>
  <c r="L165" i="13"/>
  <c r="K167" i="13"/>
  <c r="Q166" i="13"/>
  <c r="I166" i="13"/>
  <c r="AH167" i="13"/>
  <c r="H167" i="13"/>
  <c r="AF166" i="13"/>
  <c r="P166" i="13"/>
  <c r="R167" i="13"/>
  <c r="AA167" i="13" s="1"/>
  <c r="F167" i="13"/>
  <c r="AF167" i="13"/>
  <c r="P167" i="13"/>
  <c r="K169" i="13"/>
  <c r="Q167" i="13"/>
  <c r="I167" i="13"/>
  <c r="AG169" i="13"/>
  <c r="AE167" i="13"/>
  <c r="L167" i="13"/>
  <c r="Q168" i="13"/>
  <c r="I168" i="13"/>
  <c r="AH169" i="13"/>
  <c r="H169" i="13"/>
  <c r="AF168" i="13"/>
  <c r="P168" i="13"/>
  <c r="H168" i="13"/>
  <c r="R169" i="13"/>
  <c r="AC169" i="13" s="1"/>
  <c r="F169" i="13"/>
  <c r="AE168" i="13"/>
  <c r="L168" i="13"/>
  <c r="G168" i="13"/>
  <c r="AG170" i="13"/>
  <c r="AF169" i="13"/>
  <c r="P169" i="13"/>
  <c r="AH168" i="13"/>
  <c r="R168" i="13"/>
  <c r="K168" i="13"/>
  <c r="Q169" i="13"/>
  <c r="I169" i="13"/>
  <c r="AE169" i="13"/>
  <c r="L169" i="13"/>
  <c r="Q170" i="13"/>
  <c r="I170" i="13"/>
  <c r="AF170" i="13"/>
  <c r="P170" i="13"/>
  <c r="H170" i="13"/>
  <c r="AE170" i="13"/>
  <c r="L170" i="13"/>
  <c r="G170" i="13"/>
  <c r="AH170" i="13"/>
  <c r="R170" i="13"/>
  <c r="K170" i="13"/>
  <c r="BK171" i="13"/>
  <c r="BK172" i="13"/>
  <c r="BK173" i="13"/>
  <c r="BK175" i="13"/>
  <c r="BK174" i="13"/>
  <c r="BK176" i="13"/>
  <c r="BK177" i="13"/>
  <c r="BK179" i="13"/>
  <c r="BK178" i="13"/>
  <c r="BK180" i="13"/>
  <c r="BK181" i="13"/>
  <c r="AG171" i="13"/>
  <c r="Q171" i="13"/>
  <c r="AF171" i="13"/>
  <c r="P171" i="13"/>
  <c r="H171" i="13"/>
  <c r="I171" i="13"/>
  <c r="AE171" i="13"/>
  <c r="L171" i="13"/>
  <c r="G171" i="13"/>
  <c r="AH171" i="13"/>
  <c r="R171" i="13"/>
  <c r="K171" i="13"/>
  <c r="AG172" i="13"/>
  <c r="I172" i="13"/>
  <c r="AF172" i="13"/>
  <c r="P172" i="13"/>
  <c r="H172" i="13"/>
  <c r="AE172" i="13"/>
  <c r="L172" i="13"/>
  <c r="G172" i="13"/>
  <c r="Q172" i="13"/>
  <c r="AH172" i="13"/>
  <c r="R172" i="13"/>
  <c r="K172" i="13"/>
  <c r="I173" i="13"/>
  <c r="AF173" i="13"/>
  <c r="P173" i="13"/>
  <c r="H173" i="13"/>
  <c r="AG173" i="13"/>
  <c r="Q173" i="13"/>
  <c r="AE173" i="13"/>
  <c r="L173" i="13"/>
  <c r="G173" i="13"/>
  <c r="AH173" i="13"/>
  <c r="R173" i="13"/>
  <c r="K173" i="13"/>
  <c r="AG174" i="13"/>
  <c r="I174" i="13"/>
  <c r="AF174" i="13"/>
  <c r="P174" i="13"/>
  <c r="H174" i="13"/>
  <c r="AE174" i="13"/>
  <c r="L174" i="13"/>
  <c r="G174" i="13"/>
  <c r="Q174" i="13"/>
  <c r="AH174" i="13"/>
  <c r="R174" i="13"/>
  <c r="K174" i="13"/>
  <c r="AG175" i="13"/>
  <c r="Q175" i="13"/>
  <c r="AF175" i="13"/>
  <c r="P175" i="13"/>
  <c r="H175" i="13"/>
  <c r="I175" i="13"/>
  <c r="AE175" i="13"/>
  <c r="L175" i="13"/>
  <c r="G175" i="13"/>
  <c r="AH175" i="13"/>
  <c r="R175" i="13"/>
  <c r="K175" i="13"/>
  <c r="I176" i="13"/>
  <c r="AF176" i="13"/>
  <c r="P176" i="13"/>
  <c r="H176" i="13"/>
  <c r="Q176" i="13"/>
  <c r="AE176" i="13"/>
  <c r="L176" i="13"/>
  <c r="G176" i="13"/>
  <c r="AG176" i="13"/>
  <c r="AH176" i="13"/>
  <c r="R176" i="13"/>
  <c r="K176" i="13"/>
  <c r="AG177" i="13"/>
  <c r="I177" i="13"/>
  <c r="AF177" i="13"/>
  <c r="P177" i="13"/>
  <c r="H177" i="13"/>
  <c r="Q177" i="13"/>
  <c r="AE177" i="13"/>
  <c r="L177" i="13"/>
  <c r="G177" i="13"/>
  <c r="AH177" i="13"/>
  <c r="R177" i="13"/>
  <c r="K177" i="13"/>
  <c r="AF178" i="13"/>
  <c r="P178" i="13"/>
  <c r="H178" i="13"/>
  <c r="I178" i="13"/>
  <c r="AE178" i="13"/>
  <c r="L178" i="13"/>
  <c r="G178" i="13"/>
  <c r="AG178" i="13"/>
  <c r="Q178" i="13"/>
  <c r="AH178" i="13"/>
  <c r="R178" i="13"/>
  <c r="K178" i="13"/>
  <c r="AG179" i="13"/>
  <c r="Q179" i="13"/>
  <c r="AF179" i="13"/>
  <c r="P179" i="13"/>
  <c r="H179" i="13"/>
  <c r="I179" i="13"/>
  <c r="AE179" i="13"/>
  <c r="L179" i="13"/>
  <c r="G179" i="13"/>
  <c r="AH179" i="13"/>
  <c r="R179" i="13"/>
  <c r="K179" i="13"/>
  <c r="I180" i="13"/>
  <c r="AF180" i="13"/>
  <c r="P180" i="13"/>
  <c r="H180" i="13"/>
  <c r="Q180" i="13"/>
  <c r="AE180" i="13"/>
  <c r="L180" i="13"/>
  <c r="G180" i="13"/>
  <c r="AG180" i="13"/>
  <c r="AH180" i="13"/>
  <c r="R180" i="13"/>
  <c r="K180" i="13"/>
  <c r="Q181" i="13"/>
  <c r="AF181" i="13"/>
  <c r="P181" i="13"/>
  <c r="H181" i="13"/>
  <c r="I181" i="13"/>
  <c r="AE181" i="13"/>
  <c r="L181" i="13"/>
  <c r="G181" i="13"/>
  <c r="AG181" i="13"/>
  <c r="BK182" i="13"/>
  <c r="AH181" i="13"/>
  <c r="R181" i="13"/>
  <c r="K181" i="13"/>
  <c r="AC139" i="58"/>
  <c r="AD139" i="58" s="1"/>
  <c r="AC126" i="58"/>
  <c r="AD126" i="58" s="1"/>
  <c r="AC114" i="58"/>
  <c r="AD114" i="58" s="1"/>
  <c r="AC90" i="58"/>
  <c r="AD90" i="58" s="1"/>
  <c r="AC66" i="58"/>
  <c r="AD66" i="58" s="1"/>
  <c r="AA139" i="58"/>
  <c r="AA122" i="58"/>
  <c r="AA107" i="58"/>
  <c r="AA91" i="58"/>
  <c r="AA75" i="58"/>
  <c r="AA58" i="58"/>
  <c r="AA26" i="58"/>
  <c r="AB130" i="58"/>
  <c r="AB114" i="58"/>
  <c r="AB102" i="58"/>
  <c r="AB86" i="58"/>
  <c r="AB30" i="58"/>
  <c r="AC138" i="58"/>
  <c r="AD138" i="58" s="1"/>
  <c r="AC110" i="58"/>
  <c r="AD110" i="58" s="1"/>
  <c r="AC86" i="58"/>
  <c r="AD86" i="58" s="1"/>
  <c r="AC42" i="58"/>
  <c r="AD42" i="58" s="1"/>
  <c r="AA138" i="58"/>
  <c r="AA119" i="58"/>
  <c r="AA106" i="58"/>
  <c r="AA74" i="58"/>
  <c r="AA55" i="58"/>
  <c r="AA42" i="58"/>
  <c r="AB123" i="58"/>
  <c r="AB111" i="58"/>
  <c r="AB82" i="58"/>
  <c r="AB58" i="58"/>
  <c r="AB26" i="58"/>
  <c r="AC135" i="58"/>
  <c r="AD135" i="58" s="1"/>
  <c r="AC119" i="58"/>
  <c r="AD119" i="58" s="1"/>
  <c r="AC106" i="58"/>
  <c r="AD106" i="58" s="1"/>
  <c r="AC82" i="58"/>
  <c r="AD82" i="58" s="1"/>
  <c r="AC34" i="58"/>
  <c r="AD34" i="58" s="1"/>
  <c r="AA70" i="58"/>
  <c r="AA54" i="58"/>
  <c r="AA38" i="58"/>
  <c r="AB122" i="58"/>
  <c r="AB95" i="58"/>
  <c r="AB75" i="58"/>
  <c r="AV6" i="65" a="1"/>
  <c r="AV6" i="65" s="1"/>
  <c r="AZ6" i="65" a="1"/>
  <c r="AZ6" i="65" s="1"/>
  <c r="AU6" i="65" a="1"/>
  <c r="AU6" i="65" s="1"/>
  <c r="AX6" i="65" a="1"/>
  <c r="AX6" i="65" s="1"/>
  <c r="AY6" i="65" a="1"/>
  <c r="AY6" i="65" s="1"/>
  <c r="BB6" i="65" a="1"/>
  <c r="BB6" i="65" s="1"/>
  <c r="AS6" i="65" a="1"/>
  <c r="AS6" i="65" s="1"/>
  <c r="P138" i="70"/>
  <c r="P110" i="70"/>
  <c r="P106" i="70"/>
  <c r="P98" i="70"/>
  <c r="P90" i="70"/>
  <c r="P82" i="70"/>
  <c r="P74" i="70"/>
  <c r="P66" i="70"/>
  <c r="P54" i="70"/>
  <c r="P50" i="70"/>
  <c r="P38" i="70"/>
  <c r="P34" i="70"/>
  <c r="P137" i="70"/>
  <c r="P121" i="70"/>
  <c r="P105" i="70"/>
  <c r="P97" i="70"/>
  <c r="P85" i="70"/>
  <c r="P81" i="70"/>
  <c r="P69" i="70"/>
  <c r="P57" i="70"/>
  <c r="P53" i="70"/>
  <c r="P49" i="70"/>
  <c r="P132" i="70"/>
  <c r="P124" i="70"/>
  <c r="P64" i="70"/>
  <c r="P60" i="70"/>
  <c r="BF7" i="71"/>
  <c r="BF8" i="71"/>
  <c r="BI23" i="71"/>
  <c r="BI27" i="71"/>
  <c r="BF9" i="71"/>
  <c r="BF13" i="71"/>
  <c r="BF16" i="71"/>
  <c r="BF22" i="71"/>
  <c r="BF14" i="71"/>
  <c r="BF15" i="71"/>
  <c r="BF17" i="71"/>
  <c r="BF24" i="71"/>
  <c r="BI7" i="71"/>
  <c r="BF23" i="71"/>
  <c r="P130" i="70"/>
  <c r="P122" i="70"/>
  <c r="P126" i="70"/>
  <c r="P33" i="70"/>
  <c r="P42" i="70"/>
  <c r="P101" i="70"/>
  <c r="P142" i="70"/>
  <c r="P58" i="70"/>
  <c r="P141" i="70"/>
  <c r="P129" i="70"/>
  <c r="P94" i="70"/>
  <c r="P109" i="70"/>
  <c r="P134" i="70"/>
  <c r="P45" i="70"/>
  <c r="P62" i="70"/>
  <c r="P70" i="70"/>
  <c r="P86" i="70"/>
  <c r="P114" i="70"/>
  <c r="P125" i="70"/>
  <c r="P133" i="70"/>
  <c r="BG19" i="70"/>
  <c r="BG10" i="70"/>
  <c r="BG18" i="70"/>
  <c r="BG25" i="70"/>
  <c r="BG21" i="70"/>
  <c r="AA33" i="70"/>
  <c r="AA34" i="70"/>
  <c r="AA35" i="70"/>
  <c r="AA36" i="70"/>
  <c r="AA37" i="70"/>
  <c r="AA38" i="70"/>
  <c r="AA39" i="70"/>
  <c r="AA40" i="70"/>
  <c r="AA41" i="70"/>
  <c r="AA42" i="70"/>
  <c r="AA43" i="70"/>
  <c r="AA44" i="70"/>
  <c r="AA45" i="70"/>
  <c r="AA46" i="70"/>
  <c r="AA47" i="70"/>
  <c r="AA48" i="70"/>
  <c r="AA49" i="70"/>
  <c r="AA50" i="70"/>
  <c r="AA51" i="70"/>
  <c r="AA52" i="70"/>
  <c r="AA53" i="70"/>
  <c r="AA54" i="70"/>
  <c r="AA55" i="70"/>
  <c r="AA56" i="70"/>
  <c r="AA57" i="70"/>
  <c r="AA58" i="70"/>
  <c r="AA59" i="70"/>
  <c r="AA60" i="70"/>
  <c r="AA61" i="70"/>
  <c r="AA62" i="70"/>
  <c r="AA63" i="70"/>
  <c r="AA64" i="70"/>
  <c r="AA65" i="70"/>
  <c r="BG27" i="70"/>
  <c r="BG12" i="70"/>
  <c r="BG16" i="70"/>
  <c r="BG20" i="70"/>
  <c r="BG24" i="70"/>
  <c r="AC34" i="70"/>
  <c r="AD34" i="70" s="1"/>
  <c r="AC36" i="70"/>
  <c r="AD36" i="70" s="1"/>
  <c r="AC38" i="70"/>
  <c r="AD38" i="70" s="1"/>
  <c r="AC40" i="70"/>
  <c r="AD40" i="70" s="1"/>
  <c r="AC42" i="70"/>
  <c r="AD42" i="70" s="1"/>
  <c r="AC44" i="70"/>
  <c r="AD44" i="70" s="1"/>
  <c r="AC46" i="70"/>
  <c r="AD46" i="70" s="1"/>
  <c r="AC48" i="70"/>
  <c r="AD48" i="70" s="1"/>
  <c r="AC50" i="70"/>
  <c r="AD50" i="70" s="1"/>
  <c r="AC52" i="70"/>
  <c r="AD52" i="70" s="1"/>
  <c r="AC54" i="70"/>
  <c r="AD54" i="70" s="1"/>
  <c r="AC56" i="70"/>
  <c r="AD56" i="70" s="1"/>
  <c r="AC58" i="70"/>
  <c r="AD58" i="70" s="1"/>
  <c r="AC60" i="70"/>
  <c r="AD60" i="70" s="1"/>
  <c r="AC62" i="70"/>
  <c r="AD62" i="70" s="1"/>
  <c r="AC64" i="70"/>
  <c r="AD64" i="70" s="1"/>
  <c r="AC66" i="70"/>
  <c r="AD66" i="70" s="1"/>
  <c r="AC68" i="70"/>
  <c r="AD68" i="70" s="1"/>
  <c r="AC70" i="70"/>
  <c r="AD70" i="70" s="1"/>
  <c r="AC72" i="70"/>
  <c r="AD72" i="70" s="1"/>
  <c r="AC74" i="70"/>
  <c r="AD74" i="70" s="1"/>
  <c r="AC76" i="70"/>
  <c r="AD76" i="70" s="1"/>
  <c r="AC78" i="70"/>
  <c r="AD78" i="70" s="1"/>
  <c r="AC80" i="70"/>
  <c r="AD80" i="70" s="1"/>
  <c r="AC82" i="70"/>
  <c r="AD82" i="70" s="1"/>
  <c r="AC84" i="70"/>
  <c r="AD84" i="70" s="1"/>
  <c r="AC86" i="70"/>
  <c r="AD86" i="70" s="1"/>
  <c r="AC88" i="70"/>
  <c r="AD88" i="70" s="1"/>
  <c r="AC90" i="70"/>
  <c r="AD90" i="70" s="1"/>
  <c r="AC92" i="70"/>
  <c r="AD92" i="70" s="1"/>
  <c r="AC94" i="70"/>
  <c r="AD94" i="70" s="1"/>
  <c r="AC96" i="70"/>
  <c r="AD96" i="70" s="1"/>
  <c r="AC98" i="70"/>
  <c r="AD98" i="70" s="1"/>
  <c r="AC100" i="70"/>
  <c r="AD100" i="70" s="1"/>
  <c r="AC102" i="70"/>
  <c r="AD102" i="70" s="1"/>
  <c r="AC104" i="70"/>
  <c r="AD104" i="70" s="1"/>
  <c r="AC106" i="70"/>
  <c r="AD106" i="70" s="1"/>
  <c r="AC108" i="70"/>
  <c r="AD108" i="70" s="1"/>
  <c r="AC110" i="70"/>
  <c r="AD110" i="70" s="1"/>
  <c r="AC112" i="70"/>
  <c r="AD112" i="70" s="1"/>
  <c r="AA114" i="70"/>
  <c r="AA116" i="70"/>
  <c r="AA118" i="70"/>
  <c r="AA120" i="70"/>
  <c r="AA122" i="70"/>
  <c r="AA124" i="70"/>
  <c r="AA126" i="70"/>
  <c r="AA128" i="70"/>
  <c r="AA130" i="70"/>
  <c r="AA132" i="70"/>
  <c r="AA134" i="70"/>
  <c r="AA136" i="70"/>
  <c r="AA138" i="70"/>
  <c r="AA140" i="70"/>
  <c r="BK184" i="13"/>
  <c r="BK183" i="13"/>
  <c r="BK189" i="13"/>
  <c r="BK185" i="13"/>
  <c r="BK188" i="13"/>
  <c r="BK187" i="13"/>
  <c r="BK186" i="13"/>
  <c r="AC97" i="58"/>
  <c r="AD97" i="58" s="1"/>
  <c r="AC124" i="58"/>
  <c r="AD124" i="58" s="1"/>
  <c r="AC96" i="58"/>
  <c r="AD96" i="58" s="1"/>
  <c r="AC69" i="58"/>
  <c r="AD69" i="58" s="1"/>
  <c r="AC33" i="58"/>
  <c r="AD33" i="58" s="1"/>
  <c r="AA101" i="58"/>
  <c r="AA37" i="58"/>
  <c r="AB132" i="58"/>
  <c r="AB64" i="58"/>
  <c r="AC123" i="58"/>
  <c r="AD123" i="58" s="1"/>
  <c r="AC108" i="58"/>
  <c r="AD108" i="58" s="1"/>
  <c r="AC76" i="58"/>
  <c r="AD76" i="58" s="1"/>
  <c r="AA65" i="58"/>
  <c r="AB108" i="58"/>
  <c r="AB80" i="58"/>
  <c r="AB71" i="58"/>
  <c r="AB39" i="58"/>
  <c r="AC107" i="58"/>
  <c r="AD107" i="58" s="1"/>
  <c r="AC98" i="58"/>
  <c r="AD98" i="58" s="1"/>
  <c r="AC61" i="58"/>
  <c r="AD61" i="58" s="1"/>
  <c r="AC50" i="58"/>
  <c r="AD50" i="58" s="1"/>
  <c r="AC38" i="58"/>
  <c r="AD38" i="58" s="1"/>
  <c r="AC25" i="58"/>
  <c r="AD25" i="58" s="1"/>
  <c r="AA135" i="58"/>
  <c r="AA127" i="58"/>
  <c r="AA103" i="58"/>
  <c r="AA93" i="58"/>
  <c r="AA71" i="58"/>
  <c r="AA50" i="58"/>
  <c r="AA39" i="58"/>
  <c r="AA29" i="58"/>
  <c r="AB124" i="58"/>
  <c r="AB116" i="58"/>
  <c r="AB87" i="58"/>
  <c r="AB79" i="58"/>
  <c r="AB55" i="58"/>
  <c r="AB133" i="58"/>
  <c r="AC133" i="58"/>
  <c r="AD133" i="58" s="1"/>
  <c r="AB125" i="58"/>
  <c r="AC125" i="58"/>
  <c r="AD125" i="58" s="1"/>
  <c r="AB117" i="58"/>
  <c r="AC117" i="58"/>
  <c r="AD117" i="58" s="1"/>
  <c r="AB109" i="58"/>
  <c r="AC109" i="58"/>
  <c r="AD109" i="58" s="1"/>
  <c r="AB89" i="58"/>
  <c r="AA89" i="58"/>
  <c r="AC89" i="58"/>
  <c r="AD89" i="58" s="1"/>
  <c r="AB41" i="58"/>
  <c r="AA41" i="58"/>
  <c r="AC41" i="58"/>
  <c r="AD41" i="58" s="1"/>
  <c r="AC81" i="58"/>
  <c r="AD81" i="58" s="1"/>
  <c r="AA85" i="58"/>
  <c r="AA77" i="58"/>
  <c r="AA49" i="58"/>
  <c r="AA136" i="58"/>
  <c r="AB136" i="58"/>
  <c r="AA120" i="58"/>
  <c r="AB120" i="58"/>
  <c r="AA104" i="58"/>
  <c r="AB104" i="58"/>
  <c r="AA100" i="58"/>
  <c r="AC100" i="58"/>
  <c r="AD100" i="58" s="1"/>
  <c r="AA88" i="58"/>
  <c r="AB88" i="58"/>
  <c r="AA84" i="58"/>
  <c r="AC84" i="58"/>
  <c r="AD84" i="58" s="1"/>
  <c r="AA72" i="58"/>
  <c r="AB72" i="58"/>
  <c r="AA68" i="58"/>
  <c r="AC68" i="58"/>
  <c r="AD68" i="58" s="1"/>
  <c r="AB68" i="58"/>
  <c r="AA56" i="58"/>
  <c r="AB56" i="58"/>
  <c r="AB52" i="58"/>
  <c r="AA52" i="58"/>
  <c r="AC52" i="58"/>
  <c r="AD52" i="58" s="1"/>
  <c r="AB48" i="58"/>
  <c r="AA48" i="58"/>
  <c r="AB44" i="58"/>
  <c r="AA44" i="58"/>
  <c r="AB40" i="58"/>
  <c r="AA40" i="58"/>
  <c r="AB36" i="58"/>
  <c r="AA36" i="58"/>
  <c r="AC36" i="58"/>
  <c r="AD36" i="58" s="1"/>
  <c r="AB32" i="58"/>
  <c r="AA32" i="58"/>
  <c r="AB28" i="58"/>
  <c r="AA28" i="58"/>
  <c r="AB24" i="58"/>
  <c r="AA24" i="58"/>
  <c r="AC24" i="58"/>
  <c r="AD24" i="58" s="1"/>
  <c r="AC128" i="58"/>
  <c r="AD128" i="58" s="1"/>
  <c r="AC112" i="58"/>
  <c r="AD112" i="58" s="1"/>
  <c r="AC101" i="58"/>
  <c r="AD101" i="58" s="1"/>
  <c r="AC93" i="58"/>
  <c r="AD93" i="58" s="1"/>
  <c r="AC80" i="58"/>
  <c r="AD80" i="58" s="1"/>
  <c r="AC72" i="58"/>
  <c r="AD72" i="58" s="1"/>
  <c r="AC65" i="58"/>
  <c r="AD65" i="58" s="1"/>
  <c r="AC44" i="58"/>
  <c r="AD44" i="58" s="1"/>
  <c r="AC37" i="58"/>
  <c r="AD37" i="58" s="1"/>
  <c r="AC29" i="58"/>
  <c r="AD29" i="58" s="1"/>
  <c r="AA133" i="58"/>
  <c r="AA125" i="58"/>
  <c r="AA97" i="58"/>
  <c r="AA69" i="58"/>
  <c r="AA61" i="58"/>
  <c r="AA33" i="58"/>
  <c r="AA25" i="58"/>
  <c r="AB128" i="58"/>
  <c r="AB100" i="58"/>
  <c r="AB92" i="58"/>
  <c r="AB60" i="58"/>
  <c r="AB137" i="58"/>
  <c r="AA137" i="58"/>
  <c r="AC137" i="58"/>
  <c r="AD137" i="58" s="1"/>
  <c r="AB129" i="58"/>
  <c r="AC129" i="58"/>
  <c r="AD129" i="58" s="1"/>
  <c r="AB121" i="58"/>
  <c r="AA121" i="58"/>
  <c r="AC121" i="58"/>
  <c r="AD121" i="58" s="1"/>
  <c r="AB113" i="58"/>
  <c r="AC113" i="58"/>
  <c r="AD113" i="58" s="1"/>
  <c r="AB105" i="58"/>
  <c r="AA105" i="58"/>
  <c r="AC105" i="58"/>
  <c r="AD105" i="58" s="1"/>
  <c r="AB73" i="58"/>
  <c r="AA73" i="58"/>
  <c r="AC73" i="58"/>
  <c r="AD73" i="58" s="1"/>
  <c r="AB57" i="58"/>
  <c r="AA57" i="58"/>
  <c r="AC57" i="58"/>
  <c r="AD57" i="58" s="1"/>
  <c r="AC53" i="58"/>
  <c r="AD53" i="58" s="1"/>
  <c r="AC45" i="58"/>
  <c r="AD45" i="58" s="1"/>
  <c r="AB131" i="58"/>
  <c r="AA131" i="58"/>
  <c r="AB115" i="58"/>
  <c r="AA115" i="58"/>
  <c r="AC99" i="58"/>
  <c r="AD99" i="58" s="1"/>
  <c r="AB99" i="58"/>
  <c r="AA99" i="58"/>
  <c r="AC83" i="58"/>
  <c r="AD83" i="58" s="1"/>
  <c r="AB83" i="58"/>
  <c r="AA83" i="58"/>
  <c r="AC67" i="58"/>
  <c r="AD67" i="58" s="1"/>
  <c r="AB67" i="58"/>
  <c r="AA67" i="58"/>
  <c r="AC63" i="58"/>
  <c r="AD63" i="58" s="1"/>
  <c r="AB63" i="58"/>
  <c r="AC51" i="58"/>
  <c r="AD51" i="58" s="1"/>
  <c r="AA51" i="58"/>
  <c r="AB51" i="58"/>
  <c r="AC43" i="58"/>
  <c r="AD43" i="58" s="1"/>
  <c r="AB43" i="58"/>
  <c r="AC35" i="58"/>
  <c r="AD35" i="58" s="1"/>
  <c r="AA35" i="58"/>
  <c r="AB35" i="58"/>
  <c r="AB23" i="58"/>
  <c r="AA23" i="58"/>
  <c r="AC132" i="58"/>
  <c r="AD132" i="58" s="1"/>
  <c r="AC127" i="58"/>
  <c r="AD127" i="58" s="1"/>
  <c r="AC116" i="58"/>
  <c r="AD116" i="58" s="1"/>
  <c r="AC92" i="58"/>
  <c r="AD92" i="58" s="1"/>
  <c r="AC85" i="58"/>
  <c r="AD85" i="58" s="1"/>
  <c r="AC77" i="58"/>
  <c r="AD77" i="58" s="1"/>
  <c r="AC64" i="58"/>
  <c r="AD64" i="58" s="1"/>
  <c r="AC56" i="58"/>
  <c r="AD56" i="58" s="1"/>
  <c r="AC49" i="58"/>
  <c r="AD49" i="58" s="1"/>
  <c r="AC28" i="58"/>
  <c r="AD28" i="58" s="1"/>
  <c r="AA117" i="58"/>
  <c r="AA109" i="58"/>
  <c r="AA95" i="58"/>
  <c r="AA87" i="58"/>
  <c r="AA81" i="58"/>
  <c r="AA59" i="58"/>
  <c r="AA53" i="58"/>
  <c r="AA45" i="58"/>
  <c r="AA31" i="58"/>
  <c r="AB140" i="58"/>
  <c r="AB112" i="58"/>
  <c r="AB91" i="58"/>
  <c r="AB84" i="58"/>
  <c r="AB76" i="58"/>
  <c r="AB59" i="58"/>
  <c r="AB47" i="58"/>
  <c r="AB31" i="58"/>
  <c r="AC94" i="58"/>
  <c r="AD94" i="58" s="1"/>
  <c r="AC78" i="58"/>
  <c r="AD78" i="58" s="1"/>
  <c r="AC62" i="58"/>
  <c r="AD62" i="58" s="1"/>
  <c r="AC46" i="58"/>
  <c r="AD46" i="58" s="1"/>
  <c r="AC30" i="58"/>
  <c r="AD30" i="58" s="1"/>
  <c r="AA126" i="58"/>
  <c r="AA110" i="58"/>
  <c r="AA94" i="58"/>
  <c r="AA78" i="58"/>
  <c r="AA62" i="58"/>
  <c r="BQ21" i="69"/>
  <c r="AB27" i="58"/>
  <c r="AA27" i="58"/>
  <c r="BQ24" i="69"/>
  <c r="BQ26" i="69"/>
  <c r="BQ10" i="69"/>
  <c r="BQ25" i="69"/>
  <c r="BQ14" i="69"/>
  <c r="BQ18" i="69"/>
  <c r="BQ11" i="69"/>
  <c r="BQ7" i="69"/>
  <c r="BQ9" i="69"/>
  <c r="BQ13" i="69"/>
  <c r="BQ17" i="69"/>
  <c r="BQ28" i="69"/>
  <c r="BQ12" i="69"/>
  <c r="BQ20" i="69"/>
  <c r="BQ23" i="69"/>
  <c r="BQ27" i="69"/>
  <c r="BQ8" i="69"/>
  <c r="BQ16" i="69"/>
  <c r="BQ15" i="69"/>
  <c r="BQ19" i="69"/>
  <c r="BQ22" i="69"/>
  <c r="AH23" i="58"/>
  <c r="AO6" i="65" a="1"/>
  <c r="AO6" i="65" s="1"/>
  <c r="AL6" i="65" a="1"/>
  <c r="AL6" i="65" s="1"/>
  <c r="AP6" i="65" a="1"/>
  <c r="AP6" i="65" s="1"/>
  <c r="AM6" i="65" a="1"/>
  <c r="AM6" i="65" s="1"/>
  <c r="AN6" i="65" a="1"/>
  <c r="AN6" i="65" s="1"/>
  <c r="AQ6" i="65" a="1"/>
  <c r="AQ6" i="65" s="1"/>
  <c r="AR6" i="65" a="1"/>
  <c r="AR6" i="65" s="1"/>
  <c r="G27" i="67"/>
  <c r="G23" i="67"/>
  <c r="AK6" i="65" a="1"/>
  <c r="AK6" i="65" s="1"/>
  <c r="G22" i="67"/>
  <c r="AJ6" i="65" a="1"/>
  <c r="AJ6" i="65" s="1"/>
  <c r="G28" i="67"/>
  <c r="G24" i="67"/>
  <c r="G30" i="67"/>
  <c r="G26" i="67"/>
  <c r="G29" i="67"/>
  <c r="Q20" i="66"/>
  <c r="J29" i="66"/>
  <c r="S12" i="66" s="1"/>
  <c r="J30" i="66"/>
  <c r="S13" i="66" s="1"/>
  <c r="J31" i="66"/>
  <c r="S14" i="66" s="1"/>
  <c r="J32" i="66"/>
  <c r="S15" i="66" s="1"/>
  <c r="J33" i="66"/>
  <c r="R16" i="66" s="1"/>
  <c r="J34" i="66"/>
  <c r="S17" i="66" s="1"/>
  <c r="J35" i="66"/>
  <c r="S18" i="66" s="1"/>
  <c r="J36" i="66"/>
  <c r="R19" i="66" s="1"/>
  <c r="J28" i="66"/>
  <c r="Q19" i="66"/>
  <c r="P19" i="66"/>
  <c r="O19" i="66"/>
  <c r="Q18" i="66"/>
  <c r="P18" i="66"/>
  <c r="O18" i="66"/>
  <c r="Q17" i="66"/>
  <c r="P17" i="66"/>
  <c r="O17" i="66"/>
  <c r="Q16" i="66"/>
  <c r="P16" i="66"/>
  <c r="O16" i="66"/>
  <c r="Q15" i="66"/>
  <c r="P15" i="66"/>
  <c r="O15" i="66"/>
  <c r="Q14" i="66"/>
  <c r="P14" i="66"/>
  <c r="O14" i="66"/>
  <c r="Q13" i="66"/>
  <c r="P13" i="66"/>
  <c r="O13" i="66"/>
  <c r="Q12" i="66"/>
  <c r="P12" i="66"/>
  <c r="O12" i="66"/>
  <c r="Q11" i="66"/>
  <c r="P11" i="66"/>
  <c r="O11" i="66"/>
  <c r="Q10" i="66"/>
  <c r="K8" i="15"/>
  <c r="H12" i="60"/>
  <c r="I12" i="60" s="1"/>
  <c r="H17" i="60"/>
  <c r="I17" i="60" s="1"/>
  <c r="N8" i="65"/>
  <c r="N9" i="65"/>
  <c r="L8" i="65"/>
  <c r="K8" i="65" s="1"/>
  <c r="L9" i="65"/>
  <c r="K9" i="65" s="1"/>
  <c r="AB41" i="13" l="1"/>
  <c r="K20" i="74"/>
  <c r="U15" i="13"/>
  <c r="U8" i="13"/>
  <c r="U11" i="13"/>
  <c r="X7" i="13"/>
  <c r="AB7" i="13"/>
  <c r="AC7" i="13"/>
  <c r="V7" i="13"/>
  <c r="Z7" i="13"/>
  <c r="W7" i="13"/>
  <c r="AA7" i="13"/>
  <c r="AD9" i="13"/>
  <c r="U9" i="13"/>
  <c r="AB75" i="13"/>
  <c r="X8" i="13"/>
  <c r="AB8" i="13"/>
  <c r="AC8" i="13"/>
  <c r="V8" i="13"/>
  <c r="Z8" i="13"/>
  <c r="W8" i="13"/>
  <c r="AA8" i="13"/>
  <c r="U10" i="13"/>
  <c r="AD8" i="13"/>
  <c r="X9" i="13"/>
  <c r="AB9" i="13"/>
  <c r="W9" i="13"/>
  <c r="AA9" i="13"/>
  <c r="AC9" i="13"/>
  <c r="V9" i="13"/>
  <c r="Z9" i="13"/>
  <c r="AC74" i="13"/>
  <c r="AD13" i="13"/>
  <c r="X10" i="13"/>
  <c r="AB10" i="13"/>
  <c r="AC10" i="13"/>
  <c r="W10" i="13"/>
  <c r="AA10" i="13"/>
  <c r="V10" i="13"/>
  <c r="Z10" i="13"/>
  <c r="AD10" i="13"/>
  <c r="U12" i="13"/>
  <c r="X11" i="13"/>
  <c r="AB11" i="13"/>
  <c r="AC11" i="13"/>
  <c r="W11" i="13"/>
  <c r="V11" i="13"/>
  <c r="Z11" i="13"/>
  <c r="AA11" i="13"/>
  <c r="AD11" i="13"/>
  <c r="X12" i="13"/>
  <c r="AB12" i="13"/>
  <c r="AC12" i="13"/>
  <c r="V12" i="13"/>
  <c r="Z12" i="13"/>
  <c r="W12" i="13"/>
  <c r="AA12" i="13"/>
  <c r="U14" i="13"/>
  <c r="AD12" i="13"/>
  <c r="X13" i="13"/>
  <c r="AB13" i="13"/>
  <c r="W13" i="13"/>
  <c r="AC13" i="13"/>
  <c r="V13" i="13"/>
  <c r="Z13" i="13"/>
  <c r="AA13" i="13"/>
  <c r="AD14" i="13"/>
  <c r="U16" i="13"/>
  <c r="X14" i="13"/>
  <c r="AB14" i="13"/>
  <c r="AC14" i="13"/>
  <c r="AA14" i="13"/>
  <c r="V14" i="13"/>
  <c r="Z14" i="13"/>
  <c r="W14" i="13"/>
  <c r="X15" i="13"/>
  <c r="V15" i="13"/>
  <c r="AA15" i="13"/>
  <c r="Z15" i="13"/>
  <c r="W15" i="13"/>
  <c r="AB15" i="13"/>
  <c r="AD16" i="13"/>
  <c r="AD15" i="13"/>
  <c r="X16" i="13"/>
  <c r="AB16" i="13"/>
  <c r="W16" i="13"/>
  <c r="AA16" i="13"/>
  <c r="AC16" i="13"/>
  <c r="V16" i="13"/>
  <c r="Z16" i="13"/>
  <c r="L7" i="15"/>
  <c r="N14" i="73"/>
  <c r="M14" i="73"/>
  <c r="M15" i="73"/>
  <c r="N15" i="73"/>
  <c r="N18" i="73"/>
  <c r="M18" i="73"/>
  <c r="L6" i="15"/>
  <c r="L8" i="15"/>
  <c r="L9" i="15"/>
  <c r="L10" i="15"/>
  <c r="L11" i="15"/>
  <c r="N13" i="73"/>
  <c r="M13" i="73"/>
  <c r="N16" i="73"/>
  <c r="M16" i="73"/>
  <c r="AW1138" i="12"/>
  <c r="O11" i="73"/>
  <c r="AW1139" i="12"/>
  <c r="AW7" i="12"/>
  <c r="AW11" i="12"/>
  <c r="AW15" i="12"/>
  <c r="AW19" i="12"/>
  <c r="AW23" i="12"/>
  <c r="AW27" i="12"/>
  <c r="AW31" i="12"/>
  <c r="AW35" i="12"/>
  <c r="AW39" i="12"/>
  <c r="AW43" i="12"/>
  <c r="AW47" i="12"/>
  <c r="AW51" i="12"/>
  <c r="AW55" i="12"/>
  <c r="AW59" i="12"/>
  <c r="AW63" i="12"/>
  <c r="AW67" i="12"/>
  <c r="AW71" i="12"/>
  <c r="AW75" i="12"/>
  <c r="AW79" i="12"/>
  <c r="AW83" i="12"/>
  <c r="AW87" i="12"/>
  <c r="AW91" i="12"/>
  <c r="AW95" i="12"/>
  <c r="AW99" i="12"/>
  <c r="AW103" i="12"/>
  <c r="AW107" i="12"/>
  <c r="AW111" i="12"/>
  <c r="AW115" i="12"/>
  <c r="AW119" i="12"/>
  <c r="AW123" i="12"/>
  <c r="AW127" i="12"/>
  <c r="AW131" i="12"/>
  <c r="AW135" i="12"/>
  <c r="AW139" i="12"/>
  <c r="AW143" i="12"/>
  <c r="AW147" i="12"/>
  <c r="AW151" i="12"/>
  <c r="AW155" i="12"/>
  <c r="AW159" i="12"/>
  <c r="AW163" i="12"/>
  <c r="AW167" i="12"/>
  <c r="AW171" i="12"/>
  <c r="AW175" i="12"/>
  <c r="AW179" i="12"/>
  <c r="AW183" i="12"/>
  <c r="AW187" i="12"/>
  <c r="AW191" i="12"/>
  <c r="AW195" i="12"/>
  <c r="AW199" i="12"/>
  <c r="AW203" i="12"/>
  <c r="AW207" i="12"/>
  <c r="AW211" i="12"/>
  <c r="AW215" i="12"/>
  <c r="AW219" i="12"/>
  <c r="AW223" i="12"/>
  <c r="AW227" i="12"/>
  <c r="AW231" i="12"/>
  <c r="AW235" i="12"/>
  <c r="AW239" i="12"/>
  <c r="AW243" i="12"/>
  <c r="AW247" i="12"/>
  <c r="AW251" i="12"/>
  <c r="AW255" i="12"/>
  <c r="AW259" i="12"/>
  <c r="AW263" i="12"/>
  <c r="AW267" i="12"/>
  <c r="AW271" i="12"/>
  <c r="AW275" i="12"/>
  <c r="AW279" i="12"/>
  <c r="AW283" i="12"/>
  <c r="AW287" i="12"/>
  <c r="AW291" i="12"/>
  <c r="AW295" i="12"/>
  <c r="AW299" i="12"/>
  <c r="AW303" i="12"/>
  <c r="AW307" i="12"/>
  <c r="AW311" i="12"/>
  <c r="AW315" i="12"/>
  <c r="AW319" i="12"/>
  <c r="AW323" i="12"/>
  <c r="AW327" i="12"/>
  <c r="AW331" i="12"/>
  <c r="AW335" i="12"/>
  <c r="AW339" i="12"/>
  <c r="AW343" i="12"/>
  <c r="AW347" i="12"/>
  <c r="AW351" i="12"/>
  <c r="AW355" i="12"/>
  <c r="AW359" i="12"/>
  <c r="AW363" i="12"/>
  <c r="AW367" i="12"/>
  <c r="AW371" i="12"/>
  <c r="AW375" i="12"/>
  <c r="AW379" i="12"/>
  <c r="AW383" i="12"/>
  <c r="AW387" i="12"/>
  <c r="AW391" i="12"/>
  <c r="AW395" i="12"/>
  <c r="AW399" i="12"/>
  <c r="AW403" i="12"/>
  <c r="AW407" i="12"/>
  <c r="AW411" i="12"/>
  <c r="AW415" i="12"/>
  <c r="AW419" i="12"/>
  <c r="AW423" i="12"/>
  <c r="AW427" i="12"/>
  <c r="AW431" i="12"/>
  <c r="AW435" i="12"/>
  <c r="AW439" i="12"/>
  <c r="AW443" i="12"/>
  <c r="AW447" i="12"/>
  <c r="AW451" i="12"/>
  <c r="AW455" i="12"/>
  <c r="AW459" i="12"/>
  <c r="AW463" i="12"/>
  <c r="AW467" i="12"/>
  <c r="AW471" i="12"/>
  <c r="AW475" i="12"/>
  <c r="AW479" i="12"/>
  <c r="AW483" i="12"/>
  <c r="AW487" i="12"/>
  <c r="AW491" i="12"/>
  <c r="AW495" i="12"/>
  <c r="AW499" i="12"/>
  <c r="AW503" i="12"/>
  <c r="AW507" i="12"/>
  <c r="AW511" i="12"/>
  <c r="AW515" i="12"/>
  <c r="AW519" i="12"/>
  <c r="AW523" i="12"/>
  <c r="AW527" i="12"/>
  <c r="AW531" i="12"/>
  <c r="AW535" i="12"/>
  <c r="AW539" i="12"/>
  <c r="AW543" i="12"/>
  <c r="AW547" i="12"/>
  <c r="AW551" i="12"/>
  <c r="AW555" i="12"/>
  <c r="AW559" i="12"/>
  <c r="AW563" i="12"/>
  <c r="AW567" i="12"/>
  <c r="AW571" i="12"/>
  <c r="AW575" i="12"/>
  <c r="AW579" i="12"/>
  <c r="AW583" i="12"/>
  <c r="AW587" i="12"/>
  <c r="AW8" i="12"/>
  <c r="AW12" i="12"/>
  <c r="AW16" i="12"/>
  <c r="AW20" i="12"/>
  <c r="AW24" i="12"/>
  <c r="AW28" i="12"/>
  <c r="AW32" i="12"/>
  <c r="AW36" i="12"/>
  <c r="AW40" i="12"/>
  <c r="AW44" i="12"/>
  <c r="AW48" i="12"/>
  <c r="AW52" i="12"/>
  <c r="AW56" i="12"/>
  <c r="AW60" i="12"/>
  <c r="AW64" i="12"/>
  <c r="AW68" i="12"/>
  <c r="AW72" i="12"/>
  <c r="AW76" i="12"/>
  <c r="AW80" i="12"/>
  <c r="AW84" i="12"/>
  <c r="AW88" i="12"/>
  <c r="AW92" i="12"/>
  <c r="AW96" i="12"/>
  <c r="AW100" i="12"/>
  <c r="AW104" i="12"/>
  <c r="AW108" i="12"/>
  <c r="AW112" i="12"/>
  <c r="AW116" i="12"/>
  <c r="AW120" i="12"/>
  <c r="AW124" i="12"/>
  <c r="AW128" i="12"/>
  <c r="AW132" i="12"/>
  <c r="AW136" i="12"/>
  <c r="AW140" i="12"/>
  <c r="AW144" i="12"/>
  <c r="AW148" i="12"/>
  <c r="AW152" i="12"/>
  <c r="AW156" i="12"/>
  <c r="AW160" i="12"/>
  <c r="AW164" i="12"/>
  <c r="AW168" i="12"/>
  <c r="AW172" i="12"/>
  <c r="AW176" i="12"/>
  <c r="AW180" i="12"/>
  <c r="AW184" i="12"/>
  <c r="AW188" i="12"/>
  <c r="AW192" i="12"/>
  <c r="AW196" i="12"/>
  <c r="AW200" i="12"/>
  <c r="AW204" i="12"/>
  <c r="AW208" i="12"/>
  <c r="AW212" i="12"/>
  <c r="AW216" i="12"/>
  <c r="AW220" i="12"/>
  <c r="AW224" i="12"/>
  <c r="AW228" i="12"/>
  <c r="AW232" i="12"/>
  <c r="AW236" i="12"/>
  <c r="AW240" i="12"/>
  <c r="AW244" i="12"/>
  <c r="AW248" i="12"/>
  <c r="AW252" i="12"/>
  <c r="AW256" i="12"/>
  <c r="AW260" i="12"/>
  <c r="AW264" i="12"/>
  <c r="AW268" i="12"/>
  <c r="AW272" i="12"/>
  <c r="AW276" i="12"/>
  <c r="AW280" i="12"/>
  <c r="AW284" i="12"/>
  <c r="AW288" i="12"/>
  <c r="AW292" i="12"/>
  <c r="AW296" i="12"/>
  <c r="AW300" i="12"/>
  <c r="AW304" i="12"/>
  <c r="AW308" i="12"/>
  <c r="AW312" i="12"/>
  <c r="AW316" i="12"/>
  <c r="AW320" i="12"/>
  <c r="AW324" i="12"/>
  <c r="AW328" i="12"/>
  <c r="AW332" i="12"/>
  <c r="AW336" i="12"/>
  <c r="AW340" i="12"/>
  <c r="AW344" i="12"/>
  <c r="AW348" i="12"/>
  <c r="AW352" i="12"/>
  <c r="AW356" i="12"/>
  <c r="AW360" i="12"/>
  <c r="AW364" i="12"/>
  <c r="AW368" i="12"/>
  <c r="AW372" i="12"/>
  <c r="AW376" i="12"/>
  <c r="AW380" i="12"/>
  <c r="AW384" i="12"/>
  <c r="AW388" i="12"/>
  <c r="AW392" i="12"/>
  <c r="AW396" i="12"/>
  <c r="AW400" i="12"/>
  <c r="AW404" i="12"/>
  <c r="AW408" i="12"/>
  <c r="AW412" i="12"/>
  <c r="AW416" i="12"/>
  <c r="AW420" i="12"/>
  <c r="AW424" i="12"/>
  <c r="AW428" i="12"/>
  <c r="AW432" i="12"/>
  <c r="AW436" i="12"/>
  <c r="AW440" i="12"/>
  <c r="AW444" i="12"/>
  <c r="AW448" i="12"/>
  <c r="AW452" i="12"/>
  <c r="AW456" i="12"/>
  <c r="AW460" i="12"/>
  <c r="AW464" i="12"/>
  <c r="AW468" i="12"/>
  <c r="AW472" i="12"/>
  <c r="AW476" i="12"/>
  <c r="AW480" i="12"/>
  <c r="AW484" i="12"/>
  <c r="AW488" i="12"/>
  <c r="AW492" i="12"/>
  <c r="AW496" i="12"/>
  <c r="AW500" i="12"/>
  <c r="AW504" i="12"/>
  <c r="AW508" i="12"/>
  <c r="AW512" i="12"/>
  <c r="AW516" i="12"/>
  <c r="AW520" i="12"/>
  <c r="AW524" i="12"/>
  <c r="AW528" i="12"/>
  <c r="AW532" i="12"/>
  <c r="AW536" i="12"/>
  <c r="AW540" i="12"/>
  <c r="AW544" i="12"/>
  <c r="AW548" i="12"/>
  <c r="AW552" i="12"/>
  <c r="AW556" i="12"/>
  <c r="AW560" i="12"/>
  <c r="AW564" i="12"/>
  <c r="AW568" i="12"/>
  <c r="AW572" i="12"/>
  <c r="AW576" i="12"/>
  <c r="AW580" i="12"/>
  <c r="AW584" i="12"/>
  <c r="AW6" i="12"/>
  <c r="AW14" i="12"/>
  <c r="AW22" i="12"/>
  <c r="AW30" i="12"/>
  <c r="AW38" i="12"/>
  <c r="AW46" i="12"/>
  <c r="AW54" i="12"/>
  <c r="AW62" i="12"/>
  <c r="AW70" i="12"/>
  <c r="AW78" i="12"/>
  <c r="AW86" i="12"/>
  <c r="AW94" i="12"/>
  <c r="AW102" i="12"/>
  <c r="AW110" i="12"/>
  <c r="AW118" i="12"/>
  <c r="AW126" i="12"/>
  <c r="AW134" i="12"/>
  <c r="AW142" i="12"/>
  <c r="AW150" i="12"/>
  <c r="AW158" i="12"/>
  <c r="AW166" i="12"/>
  <c r="AW174" i="12"/>
  <c r="AW182" i="12"/>
  <c r="AW190" i="12"/>
  <c r="AW198" i="12"/>
  <c r="AW206" i="12"/>
  <c r="AW214" i="12"/>
  <c r="AW222" i="12"/>
  <c r="AW230" i="12"/>
  <c r="AW238" i="12"/>
  <c r="AW246" i="12"/>
  <c r="AW254" i="12"/>
  <c r="AW262" i="12"/>
  <c r="AW270" i="12"/>
  <c r="AW278" i="12"/>
  <c r="AW286" i="12"/>
  <c r="AW294" i="12"/>
  <c r="AW302" i="12"/>
  <c r="AW310" i="12"/>
  <c r="AW318" i="12"/>
  <c r="AW326" i="12"/>
  <c r="AW334" i="12"/>
  <c r="AW342" i="12"/>
  <c r="AW350" i="12"/>
  <c r="AW358" i="12"/>
  <c r="AW366" i="12"/>
  <c r="AW374" i="12"/>
  <c r="AW382" i="12"/>
  <c r="AW390" i="12"/>
  <c r="AW398" i="12"/>
  <c r="AW406" i="12"/>
  <c r="AW414" i="12"/>
  <c r="AW422" i="12"/>
  <c r="AW430" i="12"/>
  <c r="AW438" i="12"/>
  <c r="AW446" i="12"/>
  <c r="AW454" i="12"/>
  <c r="AW462" i="12"/>
  <c r="AW470" i="12"/>
  <c r="AW478" i="12"/>
  <c r="AW486" i="12"/>
  <c r="AW494" i="12"/>
  <c r="AW502" i="12"/>
  <c r="AW510" i="12"/>
  <c r="AW518" i="12"/>
  <c r="AW526" i="12"/>
  <c r="AW534" i="12"/>
  <c r="AW542" i="12"/>
  <c r="AW550" i="12"/>
  <c r="AW558" i="12"/>
  <c r="AW566" i="12"/>
  <c r="AW574" i="12"/>
  <c r="AW582" i="12"/>
  <c r="AW589" i="12"/>
  <c r="AW593" i="12"/>
  <c r="AW597" i="12"/>
  <c r="AW601" i="12"/>
  <c r="AW605" i="12"/>
  <c r="AW609" i="12"/>
  <c r="AW613" i="12"/>
  <c r="AW617" i="12"/>
  <c r="AW621" i="12"/>
  <c r="AW625" i="12"/>
  <c r="AW629" i="12"/>
  <c r="AW633" i="12"/>
  <c r="AW637" i="12"/>
  <c r="AW641" i="12"/>
  <c r="AW645" i="12"/>
  <c r="AW649" i="12"/>
  <c r="AW653" i="12"/>
  <c r="AW657" i="12"/>
  <c r="AW661" i="12"/>
  <c r="AW665" i="12"/>
  <c r="AW669" i="12"/>
  <c r="AW673" i="12"/>
  <c r="AW677" i="12"/>
  <c r="AW681" i="12"/>
  <c r="AW685" i="12"/>
  <c r="AW689" i="12"/>
  <c r="AW693" i="12"/>
  <c r="AW697" i="12"/>
  <c r="AW701" i="12"/>
  <c r="AW705" i="12"/>
  <c r="AW709" i="12"/>
  <c r="AW713" i="12"/>
  <c r="AW717" i="12"/>
  <c r="AW721" i="12"/>
  <c r="AW725" i="12"/>
  <c r="AW729" i="12"/>
  <c r="AW733" i="12"/>
  <c r="AW737" i="12"/>
  <c r="AW741" i="12"/>
  <c r="AW745" i="12"/>
  <c r="AW749" i="12"/>
  <c r="AW753" i="12"/>
  <c r="AW757" i="12"/>
  <c r="AW761" i="12"/>
  <c r="AW765" i="12"/>
  <c r="AW769" i="12"/>
  <c r="AW773" i="12"/>
  <c r="AW777" i="12"/>
  <c r="AW781" i="12"/>
  <c r="AW785" i="12"/>
  <c r="AW789" i="12"/>
  <c r="AW793" i="12"/>
  <c r="AW797" i="12"/>
  <c r="AW801" i="12"/>
  <c r="AW805" i="12"/>
  <c r="AW809" i="12"/>
  <c r="AW813" i="12"/>
  <c r="AW817" i="12"/>
  <c r="AW821" i="12"/>
  <c r="AW825" i="12"/>
  <c r="AW829" i="12"/>
  <c r="AW833" i="12"/>
  <c r="AW837" i="12"/>
  <c r="AW841" i="12"/>
  <c r="AW845" i="12"/>
  <c r="AW849" i="12"/>
  <c r="AW853" i="12"/>
  <c r="AW857" i="12"/>
  <c r="AW861" i="12"/>
  <c r="AW865" i="12"/>
  <c r="AW869" i="12"/>
  <c r="AW873" i="12"/>
  <c r="AW877" i="12"/>
  <c r="AW881" i="12"/>
  <c r="AW885" i="12"/>
  <c r="AW889" i="12"/>
  <c r="AW893" i="12"/>
  <c r="AW897" i="12"/>
  <c r="AW901" i="12"/>
  <c r="AW905" i="12"/>
  <c r="AW909" i="12"/>
  <c r="AW913" i="12"/>
  <c r="AW917" i="12"/>
  <c r="AW921" i="12"/>
  <c r="AW925" i="12"/>
  <c r="AW929" i="12"/>
  <c r="AW933" i="12"/>
  <c r="AW937" i="12"/>
  <c r="AW941" i="12"/>
  <c r="AW945" i="12"/>
  <c r="AW949" i="12"/>
  <c r="AW953" i="12"/>
  <c r="AW957" i="12"/>
  <c r="AW961" i="12"/>
  <c r="AW965" i="12"/>
  <c r="AW969" i="12"/>
  <c r="AW973" i="12"/>
  <c r="AW977" i="12"/>
  <c r="AW981" i="12"/>
  <c r="AW985" i="12"/>
  <c r="AW989" i="12"/>
  <c r="AW993" i="12"/>
  <c r="AW997" i="12"/>
  <c r="AW1001" i="12"/>
  <c r="AW1005" i="12"/>
  <c r="AW1009" i="12"/>
  <c r="AW1013" i="12"/>
  <c r="AW1017" i="12"/>
  <c r="AW1021" i="12"/>
  <c r="AW1025" i="12"/>
  <c r="AW1029" i="12"/>
  <c r="AW1033" i="12"/>
  <c r="AW1037" i="12"/>
  <c r="AW1041" i="12"/>
  <c r="AW1045" i="12"/>
  <c r="AW1049" i="12"/>
  <c r="AW1053" i="12"/>
  <c r="AW1057" i="12"/>
  <c r="AW1061" i="12"/>
  <c r="AW1065" i="12"/>
  <c r="AW1069" i="12"/>
  <c r="AW1073" i="12"/>
  <c r="AW1077" i="12"/>
  <c r="AW1081" i="12"/>
  <c r="AW1085" i="12"/>
  <c r="AW1089" i="12"/>
  <c r="AW1093" i="12"/>
  <c r="AW1097" i="12"/>
  <c r="AW1101" i="12"/>
  <c r="AW1105" i="12"/>
  <c r="AW1109" i="12"/>
  <c r="AW1113" i="12"/>
  <c r="AW1117" i="12"/>
  <c r="AW1121" i="12"/>
  <c r="AW1125" i="12"/>
  <c r="AW1129" i="12"/>
  <c r="AW1133" i="12"/>
  <c r="AW1141" i="12"/>
  <c r="AW1145" i="12"/>
  <c r="AW1149" i="12"/>
  <c r="AW1153" i="12"/>
  <c r="AW1157" i="12"/>
  <c r="AW9" i="12"/>
  <c r="AW17" i="12"/>
  <c r="AW25" i="12"/>
  <c r="AW33" i="12"/>
  <c r="AW41" i="12"/>
  <c r="AW49" i="12"/>
  <c r="AW57" i="12"/>
  <c r="AW65" i="12"/>
  <c r="AW73" i="12"/>
  <c r="AW81" i="12"/>
  <c r="AW89" i="12"/>
  <c r="AW97" i="12"/>
  <c r="AW105" i="12"/>
  <c r="AW113" i="12"/>
  <c r="AW121" i="12"/>
  <c r="AW129" i="12"/>
  <c r="AW137" i="12"/>
  <c r="AW145" i="12"/>
  <c r="AW153" i="12"/>
  <c r="AW161" i="12"/>
  <c r="AW169" i="12"/>
  <c r="AW177" i="12"/>
  <c r="AW185" i="12"/>
  <c r="AW193" i="12"/>
  <c r="AW201" i="12"/>
  <c r="AW209" i="12"/>
  <c r="AW217" i="12"/>
  <c r="AW225" i="12"/>
  <c r="AW233" i="12"/>
  <c r="AW241" i="12"/>
  <c r="AW249" i="12"/>
  <c r="AW257" i="12"/>
  <c r="AW265" i="12"/>
  <c r="AW273" i="12"/>
  <c r="AW281" i="12"/>
  <c r="AW289" i="12"/>
  <c r="AW297" i="12"/>
  <c r="AW305" i="12"/>
  <c r="AW313" i="12"/>
  <c r="AW321" i="12"/>
  <c r="AW329" i="12"/>
  <c r="AW337" i="12"/>
  <c r="AW345" i="12"/>
  <c r="AW353" i="12"/>
  <c r="AW361" i="12"/>
  <c r="AW369" i="12"/>
  <c r="AW377" i="12"/>
  <c r="AW385" i="12"/>
  <c r="AW393" i="12"/>
  <c r="AW401" i="12"/>
  <c r="AW409" i="12"/>
  <c r="AW417" i="12"/>
  <c r="AW425" i="12"/>
  <c r="AW433" i="12"/>
  <c r="AW441" i="12"/>
  <c r="AW449" i="12"/>
  <c r="AW457" i="12"/>
  <c r="AW465" i="12"/>
  <c r="AW473" i="12"/>
  <c r="AW481" i="12"/>
  <c r="AW489" i="12"/>
  <c r="AW497" i="12"/>
  <c r="AW505" i="12"/>
  <c r="AW513" i="12"/>
  <c r="AW521" i="12"/>
  <c r="AW529" i="12"/>
  <c r="AW537" i="12"/>
  <c r="AW545" i="12"/>
  <c r="AW553" i="12"/>
  <c r="AW561" i="12"/>
  <c r="AW569" i="12"/>
  <c r="AW577" i="12"/>
  <c r="AW585" i="12"/>
  <c r="AW590" i="12"/>
  <c r="AW594" i="12"/>
  <c r="AW598" i="12"/>
  <c r="AW602" i="12"/>
  <c r="AW606" i="12"/>
  <c r="AW610" i="12"/>
  <c r="AW614" i="12"/>
  <c r="AW618" i="12"/>
  <c r="AW622" i="12"/>
  <c r="AW626" i="12"/>
  <c r="AW630" i="12"/>
  <c r="AW634" i="12"/>
  <c r="AW638" i="12"/>
  <c r="AW642" i="12"/>
  <c r="AW646" i="12"/>
  <c r="AW650" i="12"/>
  <c r="AW654" i="12"/>
  <c r="AW658" i="12"/>
  <c r="AW662" i="12"/>
  <c r="AW666" i="12"/>
  <c r="AW670" i="12"/>
  <c r="AW674" i="12"/>
  <c r="AW678" i="12"/>
  <c r="AW682" i="12"/>
  <c r="AW686" i="12"/>
  <c r="AW690" i="12"/>
  <c r="AW694" i="12"/>
  <c r="AW698" i="12"/>
  <c r="AW702" i="12"/>
  <c r="AW706" i="12"/>
  <c r="AW710" i="12"/>
  <c r="AW714" i="12"/>
  <c r="AW718" i="12"/>
  <c r="AW722" i="12"/>
  <c r="AW726" i="12"/>
  <c r="AW730" i="12"/>
  <c r="AW734" i="12"/>
  <c r="AW738" i="12"/>
  <c r="AW742" i="12"/>
  <c r="AW746" i="12"/>
  <c r="AW750" i="12"/>
  <c r="AW754" i="12"/>
  <c r="AW758" i="12"/>
  <c r="AW762" i="12"/>
  <c r="AW766" i="12"/>
  <c r="AW770" i="12"/>
  <c r="AW774" i="12"/>
  <c r="AW778" i="12"/>
  <c r="AW782" i="12"/>
  <c r="AW786" i="12"/>
  <c r="AW790" i="12"/>
  <c r="AW794" i="12"/>
  <c r="AW798" i="12"/>
  <c r="AW802" i="12"/>
  <c r="AW806" i="12"/>
  <c r="AW810" i="12"/>
  <c r="AW814" i="12"/>
  <c r="AW818" i="12"/>
  <c r="AW822" i="12"/>
  <c r="AW826" i="12"/>
  <c r="AW830" i="12"/>
  <c r="AW834" i="12"/>
  <c r="AW838" i="12"/>
  <c r="AW842" i="12"/>
  <c r="AW846" i="12"/>
  <c r="AW850" i="12"/>
  <c r="AW854" i="12"/>
  <c r="AW858" i="12"/>
  <c r="AW862" i="12"/>
  <c r="AW866" i="12"/>
  <c r="AW870" i="12"/>
  <c r="AW874" i="12"/>
  <c r="AW878" i="12"/>
  <c r="AW882" i="12"/>
  <c r="AW886" i="12"/>
  <c r="AW890" i="12"/>
  <c r="AW894" i="12"/>
  <c r="AW898" i="12"/>
  <c r="AW902" i="12"/>
  <c r="AW906" i="12"/>
  <c r="AW910" i="12"/>
  <c r="AW914" i="12"/>
  <c r="AW918" i="12"/>
  <c r="AW922" i="12"/>
  <c r="AW926" i="12"/>
  <c r="AW930" i="12"/>
  <c r="AW934" i="12"/>
  <c r="AW938" i="12"/>
  <c r="AW942" i="12"/>
  <c r="AW946" i="12"/>
  <c r="AW950" i="12"/>
  <c r="AW954" i="12"/>
  <c r="AW958" i="12"/>
  <c r="AW962" i="12"/>
  <c r="AW966" i="12"/>
  <c r="AW970" i="12"/>
  <c r="AW974" i="12"/>
  <c r="AW978" i="12"/>
  <c r="AW982" i="12"/>
  <c r="AW986" i="12"/>
  <c r="AW990" i="12"/>
  <c r="AW994" i="12"/>
  <c r="AW998" i="12"/>
  <c r="AW1002" i="12"/>
  <c r="AW1006" i="12"/>
  <c r="AW1010" i="12"/>
  <c r="AW1014" i="12"/>
  <c r="AW1018" i="12"/>
  <c r="AW1022" i="12"/>
  <c r="AW1026" i="12"/>
  <c r="AW1030" i="12"/>
  <c r="AW1034" i="12"/>
  <c r="AW1038" i="12"/>
  <c r="AW1042" i="12"/>
  <c r="AW1046" i="12"/>
  <c r="AW1050" i="12"/>
  <c r="AW1054" i="12"/>
  <c r="AW1058" i="12"/>
  <c r="AW1062" i="12"/>
  <c r="AW1066" i="12"/>
  <c r="AW1070" i="12"/>
  <c r="AW1074" i="12"/>
  <c r="AW1078" i="12"/>
  <c r="AW1082" i="12"/>
  <c r="AW1086" i="12"/>
  <c r="AW1090" i="12"/>
  <c r="AW1094" i="12"/>
  <c r="AW1098" i="12"/>
  <c r="AW1102" i="12"/>
  <c r="AW1106" i="12"/>
  <c r="AW1110" i="12"/>
  <c r="AW1114" i="12"/>
  <c r="AW1118" i="12"/>
  <c r="AW1122" i="12"/>
  <c r="AW1126" i="12"/>
  <c r="AW1130" i="12"/>
  <c r="AW1136" i="12"/>
  <c r="AW1142" i="12"/>
  <c r="AW1146" i="12"/>
  <c r="AW1150" i="12"/>
  <c r="AW1154" i="12"/>
  <c r="AW1158" i="12"/>
  <c r="AW10" i="12"/>
  <c r="AW18" i="12"/>
  <c r="AW26" i="12"/>
  <c r="AW34" i="12"/>
  <c r="AW42" i="12"/>
  <c r="AW50" i="12"/>
  <c r="AW58" i="12"/>
  <c r="AW66" i="12"/>
  <c r="AW74" i="12"/>
  <c r="AW82" i="12"/>
  <c r="AW90" i="12"/>
  <c r="AW98" i="12"/>
  <c r="AW106" i="12"/>
  <c r="AW114" i="12"/>
  <c r="AW122" i="12"/>
  <c r="AW130" i="12"/>
  <c r="AW138" i="12"/>
  <c r="AW146" i="12"/>
  <c r="AW154" i="12"/>
  <c r="AW162" i="12"/>
  <c r="AW170" i="12"/>
  <c r="AW178" i="12"/>
  <c r="AW186" i="12"/>
  <c r="AW194" i="12"/>
  <c r="AW202" i="12"/>
  <c r="AW210" i="12"/>
  <c r="AW218" i="12"/>
  <c r="AW226" i="12"/>
  <c r="AW234" i="12"/>
  <c r="AW242" i="12"/>
  <c r="AW250" i="12"/>
  <c r="AW258" i="12"/>
  <c r="AW266" i="12"/>
  <c r="AW274" i="12"/>
  <c r="AW282" i="12"/>
  <c r="AW290" i="12"/>
  <c r="AW298" i="12"/>
  <c r="AW306" i="12"/>
  <c r="AW314" i="12"/>
  <c r="AW322" i="12"/>
  <c r="AW330" i="12"/>
  <c r="AW338" i="12"/>
  <c r="AW346" i="12"/>
  <c r="AW354" i="12"/>
  <c r="AW362" i="12"/>
  <c r="AW370" i="12"/>
  <c r="AW378" i="12"/>
  <c r="AW386" i="12"/>
  <c r="AW394" i="12"/>
  <c r="AW402" i="12"/>
  <c r="AW410" i="12"/>
  <c r="AW418" i="12"/>
  <c r="AW426" i="12"/>
  <c r="AW434" i="12"/>
  <c r="AW442" i="12"/>
  <c r="AW450" i="12"/>
  <c r="AW458" i="12"/>
  <c r="AW466" i="12"/>
  <c r="AW474" i="12"/>
  <c r="AW482" i="12"/>
  <c r="AW490" i="12"/>
  <c r="AW498" i="12"/>
  <c r="AW506" i="12"/>
  <c r="AW514" i="12"/>
  <c r="AW522" i="12"/>
  <c r="AW530" i="12"/>
  <c r="AW538" i="12"/>
  <c r="AW546" i="12"/>
  <c r="AW554" i="12"/>
  <c r="AW562" i="12"/>
  <c r="AW570" i="12"/>
  <c r="AW578" i="12"/>
  <c r="AW586" i="12"/>
  <c r="AW591" i="12"/>
  <c r="AW595" i="12"/>
  <c r="AW599" i="12"/>
  <c r="AW603" i="12"/>
  <c r="AW607" i="12"/>
  <c r="AW611" i="12"/>
  <c r="AW615" i="12"/>
  <c r="AW619" i="12"/>
  <c r="AW623" i="12"/>
  <c r="AW627" i="12"/>
  <c r="AW631" i="12"/>
  <c r="AW635" i="12"/>
  <c r="AW639" i="12"/>
  <c r="AW643" i="12"/>
  <c r="AW647" i="12"/>
  <c r="AW651" i="12"/>
  <c r="AW655" i="12"/>
  <c r="AW659" i="12"/>
  <c r="AW663" i="12"/>
  <c r="AW667" i="12"/>
  <c r="AW671" i="12"/>
  <c r="AW675" i="12"/>
  <c r="AW679" i="12"/>
  <c r="AW683" i="12"/>
  <c r="AW687" i="12"/>
  <c r="AW691" i="12"/>
  <c r="AW695" i="12"/>
  <c r="AW699" i="12"/>
  <c r="AW703" i="12"/>
  <c r="AW707" i="12"/>
  <c r="AW711" i="12"/>
  <c r="AW715" i="12"/>
  <c r="AW719" i="12"/>
  <c r="AW723" i="12"/>
  <c r="AW727" i="12"/>
  <c r="AW731" i="12"/>
  <c r="AW735" i="12"/>
  <c r="AW739" i="12"/>
  <c r="AW743" i="12"/>
  <c r="AW747" i="12"/>
  <c r="AW751" i="12"/>
  <c r="AW755" i="12"/>
  <c r="AW759" i="12"/>
  <c r="AW763" i="12"/>
  <c r="AW767" i="12"/>
  <c r="AW771" i="12"/>
  <c r="AW775" i="12"/>
  <c r="AW779" i="12"/>
  <c r="AW783" i="12"/>
  <c r="AW787" i="12"/>
  <c r="AW791" i="12"/>
  <c r="AW795" i="12"/>
  <c r="AW799" i="12"/>
  <c r="AW803" i="12"/>
  <c r="AW807" i="12"/>
  <c r="AW811" i="12"/>
  <c r="AW815" i="12"/>
  <c r="AW819" i="12"/>
  <c r="AW823" i="12"/>
  <c r="AW827" i="12"/>
  <c r="AW831" i="12"/>
  <c r="AW835" i="12"/>
  <c r="AW839" i="12"/>
  <c r="AW843" i="12"/>
  <c r="AW847" i="12"/>
  <c r="AW851" i="12"/>
  <c r="AW855" i="12"/>
  <c r="AW859" i="12"/>
  <c r="AW863" i="12"/>
  <c r="AW867" i="12"/>
  <c r="AW871" i="12"/>
  <c r="AW875" i="12"/>
  <c r="AW879" i="12"/>
  <c r="AW883" i="12"/>
  <c r="AW887" i="12"/>
  <c r="AW891" i="12"/>
  <c r="AW895" i="12"/>
  <c r="AW899" i="12"/>
  <c r="AW903" i="12"/>
  <c r="AW907" i="12"/>
  <c r="AW911" i="12"/>
  <c r="AW915" i="12"/>
  <c r="AW919" i="12"/>
  <c r="AW923" i="12"/>
  <c r="AW927" i="12"/>
  <c r="AW931" i="12"/>
  <c r="AW935" i="12"/>
  <c r="AW939" i="12"/>
  <c r="AW943" i="12"/>
  <c r="AW947" i="12"/>
  <c r="AW951" i="12"/>
  <c r="AW955" i="12"/>
  <c r="AW959" i="12"/>
  <c r="AW963" i="12"/>
  <c r="AW967" i="12"/>
  <c r="AW971" i="12"/>
  <c r="AW975" i="12"/>
  <c r="AW979" i="12"/>
  <c r="AW983" i="12"/>
  <c r="AW987" i="12"/>
  <c r="AW991" i="12"/>
  <c r="AW995" i="12"/>
  <c r="AW999" i="12"/>
  <c r="AW1003" i="12"/>
  <c r="AW1007" i="12"/>
  <c r="AW1011" i="12"/>
  <c r="AW1015" i="12"/>
  <c r="AW1019" i="12"/>
  <c r="AW1023" i="12"/>
  <c r="AW1027" i="12"/>
  <c r="AW1031" i="12"/>
  <c r="AW1035" i="12"/>
  <c r="AW1039" i="12"/>
  <c r="AW1043" i="12"/>
  <c r="AW1047" i="12"/>
  <c r="AW1051" i="12"/>
  <c r="AW1055" i="12"/>
  <c r="AW1059" i="12"/>
  <c r="AW1063" i="12"/>
  <c r="AW1067" i="12"/>
  <c r="AW1071" i="12"/>
  <c r="AW1075" i="12"/>
  <c r="AW1079" i="12"/>
  <c r="AW1083" i="12"/>
  <c r="AW1087" i="12"/>
  <c r="AW1091" i="12"/>
  <c r="AW1095" i="12"/>
  <c r="AW1099" i="12"/>
  <c r="AW1103" i="12"/>
  <c r="AW1107" i="12"/>
  <c r="AW1111" i="12"/>
  <c r="AW1115" i="12"/>
  <c r="AW1119" i="12"/>
  <c r="AW1123" i="12"/>
  <c r="AW1127" i="12"/>
  <c r="AW1131" i="12"/>
  <c r="AW1137" i="12"/>
  <c r="AW1143" i="12"/>
  <c r="AW1147" i="12"/>
  <c r="AW1151" i="12"/>
  <c r="AW1155" i="12"/>
  <c r="AW1159" i="12"/>
  <c r="AW13" i="12"/>
  <c r="AW45" i="12"/>
  <c r="AW77" i="12"/>
  <c r="AW109" i="12"/>
  <c r="AW141" i="12"/>
  <c r="AW173" i="12"/>
  <c r="AW205" i="12"/>
  <c r="AW237" i="12"/>
  <c r="AW269" i="12"/>
  <c r="AW301" i="12"/>
  <c r="AW333" i="12"/>
  <c r="AW365" i="12"/>
  <c r="AW397" i="12"/>
  <c r="AW429" i="12"/>
  <c r="AW461" i="12"/>
  <c r="AW493" i="12"/>
  <c r="AW525" i="12"/>
  <c r="AW557" i="12"/>
  <c r="AW588" i="12"/>
  <c r="AW604" i="12"/>
  <c r="AW620" i="12"/>
  <c r="AW636" i="12"/>
  <c r="AW652" i="12"/>
  <c r="AW668" i="12"/>
  <c r="AW684" i="12"/>
  <c r="AW700" i="12"/>
  <c r="AW716" i="12"/>
  <c r="AW732" i="12"/>
  <c r="AW748" i="12"/>
  <c r="AW764" i="12"/>
  <c r="AW780" i="12"/>
  <c r="AW796" i="12"/>
  <c r="AW812" i="12"/>
  <c r="AW828" i="12"/>
  <c r="AW844" i="12"/>
  <c r="AW860" i="12"/>
  <c r="AW876" i="12"/>
  <c r="AW892" i="12"/>
  <c r="AW908" i="12"/>
  <c r="AW924" i="12"/>
  <c r="AW940" i="12"/>
  <c r="AW956" i="12"/>
  <c r="AW972" i="12"/>
  <c r="AW988" i="12"/>
  <c r="AW1004" i="12"/>
  <c r="AW1020" i="12"/>
  <c r="AW1036" i="12"/>
  <c r="AW1052" i="12"/>
  <c r="AW1068" i="12"/>
  <c r="AW1084" i="12"/>
  <c r="AW1100" i="12"/>
  <c r="AW1116" i="12"/>
  <c r="AW1132" i="12"/>
  <c r="AW1152" i="12"/>
  <c r="AW21" i="12"/>
  <c r="AW53" i="12"/>
  <c r="AW85" i="12"/>
  <c r="AW117" i="12"/>
  <c r="AW149" i="12"/>
  <c r="AW181" i="12"/>
  <c r="AW213" i="12"/>
  <c r="AW245" i="12"/>
  <c r="AW277" i="12"/>
  <c r="AW309" i="12"/>
  <c r="AW341" i="12"/>
  <c r="AW373" i="12"/>
  <c r="AW405" i="12"/>
  <c r="AW437" i="12"/>
  <c r="AW469" i="12"/>
  <c r="AW501" i="12"/>
  <c r="AW533" i="12"/>
  <c r="AW565" i="12"/>
  <c r="AW592" i="12"/>
  <c r="AW608" i="12"/>
  <c r="AW624" i="12"/>
  <c r="AW640" i="12"/>
  <c r="AW656" i="12"/>
  <c r="AW672" i="12"/>
  <c r="AW688" i="12"/>
  <c r="AW704" i="12"/>
  <c r="AW720" i="12"/>
  <c r="AW736" i="12"/>
  <c r="AW752" i="12"/>
  <c r="AW768" i="12"/>
  <c r="AW784" i="12"/>
  <c r="AW800" i="12"/>
  <c r="AW816" i="12"/>
  <c r="AW832" i="12"/>
  <c r="AW848" i="12"/>
  <c r="AW864" i="12"/>
  <c r="AW880" i="12"/>
  <c r="AW896" i="12"/>
  <c r="AW912" i="12"/>
  <c r="AW928" i="12"/>
  <c r="AW944" i="12"/>
  <c r="AW960" i="12"/>
  <c r="AW976" i="12"/>
  <c r="AW992" i="12"/>
  <c r="AW1008" i="12"/>
  <c r="AW1024" i="12"/>
  <c r="AW1040" i="12"/>
  <c r="AW1056" i="12"/>
  <c r="AW1072" i="12"/>
  <c r="AW1088" i="12"/>
  <c r="AW1104" i="12"/>
  <c r="AW1120" i="12"/>
  <c r="AW1140" i="12"/>
  <c r="AW1156" i="12"/>
  <c r="AW29" i="12"/>
  <c r="AW61" i="12"/>
  <c r="AW93" i="12"/>
  <c r="AW125" i="12"/>
  <c r="AW157" i="12"/>
  <c r="AW189" i="12"/>
  <c r="AW221" i="12"/>
  <c r="AW253" i="12"/>
  <c r="AW285" i="12"/>
  <c r="AW317" i="12"/>
  <c r="AW349" i="12"/>
  <c r="AW381" i="12"/>
  <c r="AW413" i="12"/>
  <c r="AW445" i="12"/>
  <c r="AW477" i="12"/>
  <c r="AW509" i="12"/>
  <c r="AW541" i="12"/>
  <c r="AW573" i="12"/>
  <c r="AW596" i="12"/>
  <c r="AW612" i="12"/>
  <c r="AW628" i="12"/>
  <c r="AW644" i="12"/>
  <c r="AW660" i="12"/>
  <c r="AW676" i="12"/>
  <c r="AW692" i="12"/>
  <c r="AW708" i="12"/>
  <c r="AW724" i="12"/>
  <c r="AW740" i="12"/>
  <c r="AW756" i="12"/>
  <c r="AW772" i="12"/>
  <c r="AW788" i="12"/>
  <c r="AW804" i="12"/>
  <c r="AW820" i="12"/>
  <c r="AW836" i="12"/>
  <c r="AW852" i="12"/>
  <c r="AW868" i="12"/>
  <c r="AW884" i="12"/>
  <c r="AW900" i="12"/>
  <c r="AW916" i="12"/>
  <c r="AW932" i="12"/>
  <c r="AW948" i="12"/>
  <c r="AW964" i="12"/>
  <c r="AW980" i="12"/>
  <c r="AW996" i="12"/>
  <c r="AW1012" i="12"/>
  <c r="AW1028" i="12"/>
  <c r="AW1044" i="12"/>
  <c r="AW1060" i="12"/>
  <c r="AW1076" i="12"/>
  <c r="AW1092" i="12"/>
  <c r="AW1108" i="12"/>
  <c r="AW1124" i="12"/>
  <c r="AW1144" i="12"/>
  <c r="AW69" i="12"/>
  <c r="AW197" i="12"/>
  <c r="AW325" i="12"/>
  <c r="AW453" i="12"/>
  <c r="AW581" i="12"/>
  <c r="AW648" i="12"/>
  <c r="AW712" i="12"/>
  <c r="AW776" i="12"/>
  <c r="AW840" i="12"/>
  <c r="AW904" i="12"/>
  <c r="AW968" i="12"/>
  <c r="AW1032" i="12"/>
  <c r="AW1096" i="12"/>
  <c r="AW293" i="12"/>
  <c r="AW549" i="12"/>
  <c r="AW760" i="12"/>
  <c r="AW952" i="12"/>
  <c r="AW1080" i="12"/>
  <c r="AW101" i="12"/>
  <c r="AW229" i="12"/>
  <c r="AW357" i="12"/>
  <c r="AW485" i="12"/>
  <c r="AW600" i="12"/>
  <c r="AW664" i="12"/>
  <c r="AW728" i="12"/>
  <c r="AW792" i="12"/>
  <c r="AW856" i="12"/>
  <c r="AW920" i="12"/>
  <c r="AW984" i="12"/>
  <c r="AW1048" i="12"/>
  <c r="AW1112" i="12"/>
  <c r="AW165" i="12"/>
  <c r="AW421" i="12"/>
  <c r="AW696" i="12"/>
  <c r="AW824" i="12"/>
  <c r="AW1016" i="12"/>
  <c r="AW5" i="12"/>
  <c r="AW133" i="12"/>
  <c r="AW261" i="12"/>
  <c r="AW389" i="12"/>
  <c r="AW517" i="12"/>
  <c r="AW616" i="12"/>
  <c r="AW680" i="12"/>
  <c r="AW744" i="12"/>
  <c r="AW808" i="12"/>
  <c r="AW872" i="12"/>
  <c r="AW936" i="12"/>
  <c r="AW1000" i="12"/>
  <c r="AW1064" i="12"/>
  <c r="AW1128" i="12"/>
  <c r="AW37" i="12"/>
  <c r="AW632" i="12"/>
  <c r="AW888" i="12"/>
  <c r="AW1148" i="12"/>
  <c r="N17" i="73"/>
  <c r="M17" i="73"/>
  <c r="BE1139" i="12"/>
  <c r="O19" i="73"/>
  <c r="BE8" i="12"/>
  <c r="BE12" i="12"/>
  <c r="BE16" i="12"/>
  <c r="BE20" i="12"/>
  <c r="BE24" i="12"/>
  <c r="BE28" i="12"/>
  <c r="BE32" i="12"/>
  <c r="BE36" i="12"/>
  <c r="BE40" i="12"/>
  <c r="BE44" i="12"/>
  <c r="BE48" i="12"/>
  <c r="BE52" i="12"/>
  <c r="BE56" i="12"/>
  <c r="BE60" i="12"/>
  <c r="BE64" i="12"/>
  <c r="BE68" i="12"/>
  <c r="BE72" i="12"/>
  <c r="BE76" i="12"/>
  <c r="BE80" i="12"/>
  <c r="BE84" i="12"/>
  <c r="BE88" i="12"/>
  <c r="BE92" i="12"/>
  <c r="BE96" i="12"/>
  <c r="BE100" i="12"/>
  <c r="BE104" i="12"/>
  <c r="BE108" i="12"/>
  <c r="BE112" i="12"/>
  <c r="BE116" i="12"/>
  <c r="BE120" i="12"/>
  <c r="BE124" i="12"/>
  <c r="BE128" i="12"/>
  <c r="BE132" i="12"/>
  <c r="BE136" i="12"/>
  <c r="BE140" i="12"/>
  <c r="BE144" i="12"/>
  <c r="BE148" i="12"/>
  <c r="BE152" i="12"/>
  <c r="BE156" i="12"/>
  <c r="BE160" i="12"/>
  <c r="BE164" i="12"/>
  <c r="BE168" i="12"/>
  <c r="BE172" i="12"/>
  <c r="BE176" i="12"/>
  <c r="BE180" i="12"/>
  <c r="BE184" i="12"/>
  <c r="BE188" i="12"/>
  <c r="BE192" i="12"/>
  <c r="BE196" i="12"/>
  <c r="BE200" i="12"/>
  <c r="BE204" i="12"/>
  <c r="BE208" i="12"/>
  <c r="BE212" i="12"/>
  <c r="BE216" i="12"/>
  <c r="BE220" i="12"/>
  <c r="BE224" i="12"/>
  <c r="BE228" i="12"/>
  <c r="BE5" i="12"/>
  <c r="BE9" i="12"/>
  <c r="BE13" i="12"/>
  <c r="BE17" i="12"/>
  <c r="BE21" i="12"/>
  <c r="BE25" i="12"/>
  <c r="BE29" i="12"/>
  <c r="BE33" i="12"/>
  <c r="BE37" i="12"/>
  <c r="BE41" i="12"/>
  <c r="BE45" i="12"/>
  <c r="BE49" i="12"/>
  <c r="BE53" i="12"/>
  <c r="BE57" i="12"/>
  <c r="BE61" i="12"/>
  <c r="BE65" i="12"/>
  <c r="BE69" i="12"/>
  <c r="BE73" i="12"/>
  <c r="BE77" i="12"/>
  <c r="BE81" i="12"/>
  <c r="BE85" i="12"/>
  <c r="BE89" i="12"/>
  <c r="BE93" i="12"/>
  <c r="BE97" i="12"/>
  <c r="BE101" i="12"/>
  <c r="BE105" i="12"/>
  <c r="BE109" i="12"/>
  <c r="BE113" i="12"/>
  <c r="BE117" i="12"/>
  <c r="BE121" i="12"/>
  <c r="BE125" i="12"/>
  <c r="BE129" i="12"/>
  <c r="BE133" i="12"/>
  <c r="BE137" i="12"/>
  <c r="BE141" i="12"/>
  <c r="BE145" i="12"/>
  <c r="BE149" i="12"/>
  <c r="BE153" i="12"/>
  <c r="BE157" i="12"/>
  <c r="BE161" i="12"/>
  <c r="BE165" i="12"/>
  <c r="BE169" i="12"/>
  <c r="BE173" i="12"/>
  <c r="BE177" i="12"/>
  <c r="BE181" i="12"/>
  <c r="BE185" i="12"/>
  <c r="BE189" i="12"/>
  <c r="BE193" i="12"/>
  <c r="BE197" i="12"/>
  <c r="BE201" i="12"/>
  <c r="BE205" i="12"/>
  <c r="BE209" i="12"/>
  <c r="BE213" i="12"/>
  <c r="BE217" i="12"/>
  <c r="BE221" i="12"/>
  <c r="BE225" i="12"/>
  <c r="BE229" i="12"/>
  <c r="BE7" i="12"/>
  <c r="BE15" i="12"/>
  <c r="BE23" i="12"/>
  <c r="BE31" i="12"/>
  <c r="BE39" i="12"/>
  <c r="BE47" i="12"/>
  <c r="BE55" i="12"/>
  <c r="BE63" i="12"/>
  <c r="BE71" i="12"/>
  <c r="BE79" i="12"/>
  <c r="BE87" i="12"/>
  <c r="BE95" i="12"/>
  <c r="BE103" i="12"/>
  <c r="BE111" i="12"/>
  <c r="BE119" i="12"/>
  <c r="BE127" i="12"/>
  <c r="BE135" i="12"/>
  <c r="BE143" i="12"/>
  <c r="BE151" i="12"/>
  <c r="BE159" i="12"/>
  <c r="BE167" i="12"/>
  <c r="BE175" i="12"/>
  <c r="BE183" i="12"/>
  <c r="BE191" i="12"/>
  <c r="BE199" i="12"/>
  <c r="BE207" i="12"/>
  <c r="BE215" i="12"/>
  <c r="BE223" i="12"/>
  <c r="BE231" i="12"/>
  <c r="BE235" i="12"/>
  <c r="BE239" i="12"/>
  <c r="BE243" i="12"/>
  <c r="BE247" i="12"/>
  <c r="BE251" i="12"/>
  <c r="BE255" i="12"/>
  <c r="BE259" i="12"/>
  <c r="BE263" i="12"/>
  <c r="BE267" i="12"/>
  <c r="BE271" i="12"/>
  <c r="BE275" i="12"/>
  <c r="BE279" i="12"/>
  <c r="BE283" i="12"/>
  <c r="BE287" i="12"/>
  <c r="BE291" i="12"/>
  <c r="BE295" i="12"/>
  <c r="BE299" i="12"/>
  <c r="BE303" i="12"/>
  <c r="BE307" i="12"/>
  <c r="BE311" i="12"/>
  <c r="BE315" i="12"/>
  <c r="BE319" i="12"/>
  <c r="BE323" i="12"/>
  <c r="BE327" i="12"/>
  <c r="BE331" i="12"/>
  <c r="BE335" i="12"/>
  <c r="BE339" i="12"/>
  <c r="BE343" i="12"/>
  <c r="BE347" i="12"/>
  <c r="BE351" i="12"/>
  <c r="BE355" i="12"/>
  <c r="BE359" i="12"/>
  <c r="BE363" i="12"/>
  <c r="BE367" i="12"/>
  <c r="BE371" i="12"/>
  <c r="BE375" i="12"/>
  <c r="BE379" i="12"/>
  <c r="BE383" i="12"/>
  <c r="BE387" i="12"/>
  <c r="BE391" i="12"/>
  <c r="BE395" i="12"/>
  <c r="BE399" i="12"/>
  <c r="BE403" i="12"/>
  <c r="BE407" i="12"/>
  <c r="BE411" i="12"/>
  <c r="BE415" i="12"/>
  <c r="BE419" i="12"/>
  <c r="BE423" i="12"/>
  <c r="BE427" i="12"/>
  <c r="BE431" i="12"/>
  <c r="BE435" i="12"/>
  <c r="BE439" i="12"/>
  <c r="BE443" i="12"/>
  <c r="BE447" i="12"/>
  <c r="BE451" i="12"/>
  <c r="BE455" i="12"/>
  <c r="BE459" i="12"/>
  <c r="BE463" i="12"/>
  <c r="BE467" i="12"/>
  <c r="BE471" i="12"/>
  <c r="BE475" i="12"/>
  <c r="BE479" i="12"/>
  <c r="BE483" i="12"/>
  <c r="BE487" i="12"/>
  <c r="BE491" i="12"/>
  <c r="BE495" i="12"/>
  <c r="BE499" i="12"/>
  <c r="BE503" i="12"/>
  <c r="BE507" i="12"/>
  <c r="BE511" i="12"/>
  <c r="BE515" i="12"/>
  <c r="BE519" i="12"/>
  <c r="BE523" i="12"/>
  <c r="BE527" i="12"/>
  <c r="BE531" i="12"/>
  <c r="BE535" i="12"/>
  <c r="BE539" i="12"/>
  <c r="BE543" i="12"/>
  <c r="BE547" i="12"/>
  <c r="BE551" i="12"/>
  <c r="BE555" i="12"/>
  <c r="BE559" i="12"/>
  <c r="BE563" i="12"/>
  <c r="BE567" i="12"/>
  <c r="BE571" i="12"/>
  <c r="BE575" i="12"/>
  <c r="BE579" i="12"/>
  <c r="BE583" i="12"/>
  <c r="BE587" i="12"/>
  <c r="BE591" i="12"/>
  <c r="BE595" i="12"/>
  <c r="BE599" i="12"/>
  <c r="BE603" i="12"/>
  <c r="BE607" i="12"/>
  <c r="BE611" i="12"/>
  <c r="BE615" i="12"/>
  <c r="BE619" i="12"/>
  <c r="BE623" i="12"/>
  <c r="BE627" i="12"/>
  <c r="BE631" i="12"/>
  <c r="BE635" i="12"/>
  <c r="BE639" i="12"/>
  <c r="BE643" i="12"/>
  <c r="BE647" i="12"/>
  <c r="BE651" i="12"/>
  <c r="BE655" i="12"/>
  <c r="BE659" i="12"/>
  <c r="BE663" i="12"/>
  <c r="BE667" i="12"/>
  <c r="BE671" i="12"/>
  <c r="BE675" i="12"/>
  <c r="BE679" i="12"/>
  <c r="BE683" i="12"/>
  <c r="BE687" i="12"/>
  <c r="BE691" i="12"/>
  <c r="BE695" i="12"/>
  <c r="BE699" i="12"/>
  <c r="BE703" i="12"/>
  <c r="BE707" i="12"/>
  <c r="BE711" i="12"/>
  <c r="BE715" i="12"/>
  <c r="BE719" i="12"/>
  <c r="BE723" i="12"/>
  <c r="BE727" i="12"/>
  <c r="BE731" i="12"/>
  <c r="BE735" i="12"/>
  <c r="BE10" i="12"/>
  <c r="BE18" i="12"/>
  <c r="BE26" i="12"/>
  <c r="BE34" i="12"/>
  <c r="BE42" i="12"/>
  <c r="BE50" i="12"/>
  <c r="BE58" i="12"/>
  <c r="BE66" i="12"/>
  <c r="BE74" i="12"/>
  <c r="BE82" i="12"/>
  <c r="BE90" i="12"/>
  <c r="BE98" i="12"/>
  <c r="BE106" i="12"/>
  <c r="BE114" i="12"/>
  <c r="BE122" i="12"/>
  <c r="BE130" i="12"/>
  <c r="BE138" i="12"/>
  <c r="BE146" i="12"/>
  <c r="BE154" i="12"/>
  <c r="BE162" i="12"/>
  <c r="BE170" i="12"/>
  <c r="BE178" i="12"/>
  <c r="BE186" i="12"/>
  <c r="BE194" i="12"/>
  <c r="BE202" i="12"/>
  <c r="BE210" i="12"/>
  <c r="BE218" i="12"/>
  <c r="BE226" i="12"/>
  <c r="BE232" i="12"/>
  <c r="BE236" i="12"/>
  <c r="BE240" i="12"/>
  <c r="BE244" i="12"/>
  <c r="BE248" i="12"/>
  <c r="BE252" i="12"/>
  <c r="BE256" i="12"/>
  <c r="BE260" i="12"/>
  <c r="BE264" i="12"/>
  <c r="BE268" i="12"/>
  <c r="BE272" i="12"/>
  <c r="BE276" i="12"/>
  <c r="BE280" i="12"/>
  <c r="BE284" i="12"/>
  <c r="BE288" i="12"/>
  <c r="BE292" i="12"/>
  <c r="BE296" i="12"/>
  <c r="BE300" i="12"/>
  <c r="BE304" i="12"/>
  <c r="BE308" i="12"/>
  <c r="BE312" i="12"/>
  <c r="BE316" i="12"/>
  <c r="BE320" i="12"/>
  <c r="BE324" i="12"/>
  <c r="BE328" i="12"/>
  <c r="BE332" i="12"/>
  <c r="BE336" i="12"/>
  <c r="BE340" i="12"/>
  <c r="BE344" i="12"/>
  <c r="BE348" i="12"/>
  <c r="BE352" i="12"/>
  <c r="BE356" i="12"/>
  <c r="BE360" i="12"/>
  <c r="BE364" i="12"/>
  <c r="BE368" i="12"/>
  <c r="BE372" i="12"/>
  <c r="BE376" i="12"/>
  <c r="BE380" i="12"/>
  <c r="BE384" i="12"/>
  <c r="BE388" i="12"/>
  <c r="BE392" i="12"/>
  <c r="BE396" i="12"/>
  <c r="BE400" i="12"/>
  <c r="BE404" i="12"/>
  <c r="BE408" i="12"/>
  <c r="BE412" i="12"/>
  <c r="BE416" i="12"/>
  <c r="BE420" i="12"/>
  <c r="BE424" i="12"/>
  <c r="BE428" i="12"/>
  <c r="BE432" i="12"/>
  <c r="BE436" i="12"/>
  <c r="BE440" i="12"/>
  <c r="BE444" i="12"/>
  <c r="BE448" i="12"/>
  <c r="BE452" i="12"/>
  <c r="BE456" i="12"/>
  <c r="BE460" i="12"/>
  <c r="BE464" i="12"/>
  <c r="BE468" i="12"/>
  <c r="BE472" i="12"/>
  <c r="BE476" i="12"/>
  <c r="BE480" i="12"/>
  <c r="BE484" i="12"/>
  <c r="BE488" i="12"/>
  <c r="BE492" i="12"/>
  <c r="BE496" i="12"/>
  <c r="BE500" i="12"/>
  <c r="BE504" i="12"/>
  <c r="BE508" i="12"/>
  <c r="BE512" i="12"/>
  <c r="BE516" i="12"/>
  <c r="BE520" i="12"/>
  <c r="BE524" i="12"/>
  <c r="BE528" i="12"/>
  <c r="BE532" i="12"/>
  <c r="BE536" i="12"/>
  <c r="BE540" i="12"/>
  <c r="BE544" i="12"/>
  <c r="BE548" i="12"/>
  <c r="BE552" i="12"/>
  <c r="BE556" i="12"/>
  <c r="BE560" i="12"/>
  <c r="BE564" i="12"/>
  <c r="BE568" i="12"/>
  <c r="BE572" i="12"/>
  <c r="BE576" i="12"/>
  <c r="BE580" i="12"/>
  <c r="BE584" i="12"/>
  <c r="BE588" i="12"/>
  <c r="BE592" i="12"/>
  <c r="BE596" i="12"/>
  <c r="BE600" i="12"/>
  <c r="BE604" i="12"/>
  <c r="BE608" i="12"/>
  <c r="BE612" i="12"/>
  <c r="BE616" i="12"/>
  <c r="BE620" i="12"/>
  <c r="BE624" i="12"/>
  <c r="BE628" i="12"/>
  <c r="BE632" i="12"/>
  <c r="BE636" i="12"/>
  <c r="BE640" i="12"/>
  <c r="BE644" i="12"/>
  <c r="BE648" i="12"/>
  <c r="BE652" i="12"/>
  <c r="BE656" i="12"/>
  <c r="BE660" i="12"/>
  <c r="BE664" i="12"/>
  <c r="BE668" i="12"/>
  <c r="BE672" i="12"/>
  <c r="BE676" i="12"/>
  <c r="BE680" i="12"/>
  <c r="BE684" i="12"/>
  <c r="BE688" i="12"/>
  <c r="BE692" i="12"/>
  <c r="BE696" i="12"/>
  <c r="BE700" i="12"/>
  <c r="BE704" i="12"/>
  <c r="BE708" i="12"/>
  <c r="BE712" i="12"/>
  <c r="BE716" i="12"/>
  <c r="BE720" i="12"/>
  <c r="BE724" i="12"/>
  <c r="BE728" i="12"/>
  <c r="BE732" i="12"/>
  <c r="BE736" i="12"/>
  <c r="BE11" i="12"/>
  <c r="BE27" i="12"/>
  <c r="BE43" i="12"/>
  <c r="BE59" i="12"/>
  <c r="BE75" i="12"/>
  <c r="BE91" i="12"/>
  <c r="BE107" i="12"/>
  <c r="BE123" i="12"/>
  <c r="BE139" i="12"/>
  <c r="BE155" i="12"/>
  <c r="BE171" i="12"/>
  <c r="BE187" i="12"/>
  <c r="BE203" i="12"/>
  <c r="BE219" i="12"/>
  <c r="BE233" i="12"/>
  <c r="BE241" i="12"/>
  <c r="BE249" i="12"/>
  <c r="BE257" i="12"/>
  <c r="BE265" i="12"/>
  <c r="BE273" i="12"/>
  <c r="BE281" i="12"/>
  <c r="BE289" i="12"/>
  <c r="BE297" i="12"/>
  <c r="BE305" i="12"/>
  <c r="BE313" i="12"/>
  <c r="BE321" i="12"/>
  <c r="BE329" i="12"/>
  <c r="BE337" i="12"/>
  <c r="BE345" i="12"/>
  <c r="BE353" i="12"/>
  <c r="BE361" i="12"/>
  <c r="BE369" i="12"/>
  <c r="BE377" i="12"/>
  <c r="BE385" i="12"/>
  <c r="BE393" i="12"/>
  <c r="BE401" i="12"/>
  <c r="BE409" i="12"/>
  <c r="BE417" i="12"/>
  <c r="BE425" i="12"/>
  <c r="BE433" i="12"/>
  <c r="BE441" i="12"/>
  <c r="BE449" i="12"/>
  <c r="BE457" i="12"/>
  <c r="BE465" i="12"/>
  <c r="BE473" i="12"/>
  <c r="BE481" i="12"/>
  <c r="BE489" i="12"/>
  <c r="BE497" i="12"/>
  <c r="BE505" i="12"/>
  <c r="BE513" i="12"/>
  <c r="BE521" i="12"/>
  <c r="BE529" i="12"/>
  <c r="BE537" i="12"/>
  <c r="BE545" i="12"/>
  <c r="BE553" i="12"/>
  <c r="BE561" i="12"/>
  <c r="BE569" i="12"/>
  <c r="BE577" i="12"/>
  <c r="BE585" i="12"/>
  <c r="BE593" i="12"/>
  <c r="BE601" i="12"/>
  <c r="BE609" i="12"/>
  <c r="BE617" i="12"/>
  <c r="BE625" i="12"/>
  <c r="BE633" i="12"/>
  <c r="BE641" i="12"/>
  <c r="BE649" i="12"/>
  <c r="BE657" i="12"/>
  <c r="BE665" i="12"/>
  <c r="BE673" i="12"/>
  <c r="BE681" i="12"/>
  <c r="BE689" i="12"/>
  <c r="BE697" i="12"/>
  <c r="BE705" i="12"/>
  <c r="BE713" i="12"/>
  <c r="BE721" i="12"/>
  <c r="BE729" i="12"/>
  <c r="BE737" i="12"/>
  <c r="BE741" i="12"/>
  <c r="BE745" i="12"/>
  <c r="BE749" i="12"/>
  <c r="BE753" i="12"/>
  <c r="BE757" i="12"/>
  <c r="BE761" i="12"/>
  <c r="BE765" i="12"/>
  <c r="BE769" i="12"/>
  <c r="BE773" i="12"/>
  <c r="BE777" i="12"/>
  <c r="BE781" i="12"/>
  <c r="BE785" i="12"/>
  <c r="BE789" i="12"/>
  <c r="BE793" i="12"/>
  <c r="BE797" i="12"/>
  <c r="BE801" i="12"/>
  <c r="BE805" i="12"/>
  <c r="BE809" i="12"/>
  <c r="BE813" i="12"/>
  <c r="BE817" i="12"/>
  <c r="BE821" i="12"/>
  <c r="BE825" i="12"/>
  <c r="BE829" i="12"/>
  <c r="BE833" i="12"/>
  <c r="BE837" i="12"/>
  <c r="BE841" i="12"/>
  <c r="BE845" i="12"/>
  <c r="BE849" i="12"/>
  <c r="BE853" i="12"/>
  <c r="BE857" i="12"/>
  <c r="BE861" i="12"/>
  <c r="BE865" i="12"/>
  <c r="BE869" i="12"/>
  <c r="BE873" i="12"/>
  <c r="BE877" i="12"/>
  <c r="BE881" i="12"/>
  <c r="BE885" i="12"/>
  <c r="BE889" i="12"/>
  <c r="BE893" i="12"/>
  <c r="BE897" i="12"/>
  <c r="BE901" i="12"/>
  <c r="BE905" i="12"/>
  <c r="BE909" i="12"/>
  <c r="BE913" i="12"/>
  <c r="BE917" i="12"/>
  <c r="BE921" i="12"/>
  <c r="BE925" i="12"/>
  <c r="BE929" i="12"/>
  <c r="BE933" i="12"/>
  <c r="BE937" i="12"/>
  <c r="BE941" i="12"/>
  <c r="BE945" i="12"/>
  <c r="BE949" i="12"/>
  <c r="BE953" i="12"/>
  <c r="BE957" i="12"/>
  <c r="BE961" i="12"/>
  <c r="BE965" i="12"/>
  <c r="BE969" i="12"/>
  <c r="BE973" i="12"/>
  <c r="BE977" i="12"/>
  <c r="BE981" i="12"/>
  <c r="BE985" i="12"/>
  <c r="BE989" i="12"/>
  <c r="BE993" i="12"/>
  <c r="BE997" i="12"/>
  <c r="BE1001" i="12"/>
  <c r="BE1005" i="12"/>
  <c r="BE1009" i="12"/>
  <c r="BE1013" i="12"/>
  <c r="BE1017" i="12"/>
  <c r="BE1021" i="12"/>
  <c r="BE1025" i="12"/>
  <c r="BE1029" i="12"/>
  <c r="BE1033" i="12"/>
  <c r="BE1037" i="12"/>
  <c r="BE1041" i="12"/>
  <c r="BE1045" i="12"/>
  <c r="BE1049" i="12"/>
  <c r="BE1053" i="12"/>
  <c r="BE1057" i="12"/>
  <c r="BE1061" i="12"/>
  <c r="BE1065" i="12"/>
  <c r="BE1069" i="12"/>
  <c r="BE1073" i="12"/>
  <c r="BE1077" i="12"/>
  <c r="BE1081" i="12"/>
  <c r="BE1085" i="12"/>
  <c r="BE1089" i="12"/>
  <c r="BE1093" i="12"/>
  <c r="BE1097" i="12"/>
  <c r="BE1101" i="12"/>
  <c r="BE1105" i="12"/>
  <c r="BE1109" i="12"/>
  <c r="BE1113" i="12"/>
  <c r="BE1117" i="12"/>
  <c r="BE1121" i="12"/>
  <c r="BE1125" i="12"/>
  <c r="BE1129" i="12"/>
  <c r="BE1133" i="12"/>
  <c r="BE1141" i="12"/>
  <c r="BE1145" i="12"/>
  <c r="BE1149" i="12"/>
  <c r="BE1153" i="12"/>
  <c r="BE1157" i="12"/>
  <c r="BE14" i="12"/>
  <c r="BE30" i="12"/>
  <c r="BE46" i="12"/>
  <c r="BE62" i="12"/>
  <c r="BE78" i="12"/>
  <c r="BE94" i="12"/>
  <c r="BE110" i="12"/>
  <c r="BE126" i="12"/>
  <c r="BE142" i="12"/>
  <c r="BE158" i="12"/>
  <c r="BE174" i="12"/>
  <c r="BE190" i="12"/>
  <c r="BE206" i="12"/>
  <c r="BE222" i="12"/>
  <c r="BE234" i="12"/>
  <c r="BE242" i="12"/>
  <c r="BE250" i="12"/>
  <c r="BE258" i="12"/>
  <c r="BE266" i="12"/>
  <c r="BE274" i="12"/>
  <c r="BE282" i="12"/>
  <c r="BE290" i="12"/>
  <c r="BE298" i="12"/>
  <c r="BE306" i="12"/>
  <c r="BE314" i="12"/>
  <c r="BE322" i="12"/>
  <c r="BE330" i="12"/>
  <c r="BE338" i="12"/>
  <c r="BE346" i="12"/>
  <c r="BE354" i="12"/>
  <c r="BE362" i="12"/>
  <c r="BE370" i="12"/>
  <c r="BE378" i="12"/>
  <c r="BE386" i="12"/>
  <c r="BE394" i="12"/>
  <c r="BE402" i="12"/>
  <c r="BE410" i="12"/>
  <c r="BE418" i="12"/>
  <c r="BE426" i="12"/>
  <c r="BE434" i="12"/>
  <c r="BE442" i="12"/>
  <c r="BE450" i="12"/>
  <c r="BE458" i="12"/>
  <c r="BE466" i="12"/>
  <c r="BE474" i="12"/>
  <c r="BE482" i="12"/>
  <c r="BE490" i="12"/>
  <c r="BE498" i="12"/>
  <c r="BE506" i="12"/>
  <c r="BE514" i="12"/>
  <c r="BE522" i="12"/>
  <c r="BE530" i="12"/>
  <c r="BE538" i="12"/>
  <c r="BE546" i="12"/>
  <c r="BE554" i="12"/>
  <c r="BE562" i="12"/>
  <c r="BE570" i="12"/>
  <c r="BE578" i="12"/>
  <c r="BE586" i="12"/>
  <c r="BE594" i="12"/>
  <c r="BE602" i="12"/>
  <c r="BE610" i="12"/>
  <c r="BE618" i="12"/>
  <c r="BE626" i="12"/>
  <c r="BE634" i="12"/>
  <c r="BE642" i="12"/>
  <c r="BE650" i="12"/>
  <c r="BE658" i="12"/>
  <c r="BE666" i="12"/>
  <c r="BE674" i="12"/>
  <c r="BE682" i="12"/>
  <c r="BE690" i="12"/>
  <c r="BE698" i="12"/>
  <c r="BE706" i="12"/>
  <c r="BE714" i="12"/>
  <c r="BE722" i="12"/>
  <c r="BE730" i="12"/>
  <c r="BE738" i="12"/>
  <c r="BE742" i="12"/>
  <c r="BE746" i="12"/>
  <c r="BE750" i="12"/>
  <c r="BE754" i="12"/>
  <c r="BE758" i="12"/>
  <c r="BE762" i="12"/>
  <c r="BE766" i="12"/>
  <c r="BE770" i="12"/>
  <c r="BE774" i="12"/>
  <c r="BE778" i="12"/>
  <c r="BE782" i="12"/>
  <c r="BE786" i="12"/>
  <c r="BE790" i="12"/>
  <c r="BE794" i="12"/>
  <c r="BE798" i="12"/>
  <c r="BE802" i="12"/>
  <c r="BE806" i="12"/>
  <c r="BE810" i="12"/>
  <c r="BE814" i="12"/>
  <c r="BE818" i="12"/>
  <c r="BE822" i="12"/>
  <c r="BE826" i="12"/>
  <c r="BE830" i="12"/>
  <c r="BE834" i="12"/>
  <c r="BE838" i="12"/>
  <c r="BE842" i="12"/>
  <c r="BE846" i="12"/>
  <c r="BE850" i="12"/>
  <c r="BE854" i="12"/>
  <c r="BE858" i="12"/>
  <c r="BE862" i="12"/>
  <c r="BE866" i="12"/>
  <c r="BE870" i="12"/>
  <c r="BE874" i="12"/>
  <c r="BE878" i="12"/>
  <c r="BE882" i="12"/>
  <c r="BE886" i="12"/>
  <c r="BE890" i="12"/>
  <c r="BE894" i="12"/>
  <c r="BE898" i="12"/>
  <c r="BE902" i="12"/>
  <c r="BE906" i="12"/>
  <c r="BE910" i="12"/>
  <c r="BE914" i="12"/>
  <c r="BE918" i="12"/>
  <c r="BE922" i="12"/>
  <c r="BE926" i="12"/>
  <c r="BE930" i="12"/>
  <c r="BE934" i="12"/>
  <c r="BE938" i="12"/>
  <c r="BE942" i="12"/>
  <c r="BE946" i="12"/>
  <c r="BE950" i="12"/>
  <c r="BE954" i="12"/>
  <c r="BE958" i="12"/>
  <c r="BE962" i="12"/>
  <c r="BE966" i="12"/>
  <c r="BE970" i="12"/>
  <c r="BE974" i="12"/>
  <c r="BE978" i="12"/>
  <c r="BE982" i="12"/>
  <c r="BE986" i="12"/>
  <c r="BE990" i="12"/>
  <c r="BE994" i="12"/>
  <c r="BE998" i="12"/>
  <c r="BE1002" i="12"/>
  <c r="BE1006" i="12"/>
  <c r="BE1010" i="12"/>
  <c r="BE1014" i="12"/>
  <c r="BE1018" i="12"/>
  <c r="BE1022" i="12"/>
  <c r="BE1026" i="12"/>
  <c r="BE1030" i="12"/>
  <c r="BE1034" i="12"/>
  <c r="BE1038" i="12"/>
  <c r="BE1042" i="12"/>
  <c r="BE1046" i="12"/>
  <c r="BE1050" i="12"/>
  <c r="BE1054" i="12"/>
  <c r="BE1058" i="12"/>
  <c r="BE1062" i="12"/>
  <c r="BE1066" i="12"/>
  <c r="BE1070" i="12"/>
  <c r="BE1074" i="12"/>
  <c r="BE1078" i="12"/>
  <c r="BE1082" i="12"/>
  <c r="BE1086" i="12"/>
  <c r="BE19" i="12"/>
  <c r="BE51" i="12"/>
  <c r="BE83" i="12"/>
  <c r="BE115" i="12"/>
  <c r="BE147" i="12"/>
  <c r="BE179" i="12"/>
  <c r="BE211" i="12"/>
  <c r="BE237" i="12"/>
  <c r="BE253" i="12"/>
  <c r="BE269" i="12"/>
  <c r="BE285" i="12"/>
  <c r="BE301" i="12"/>
  <c r="BE317" i="12"/>
  <c r="BE333" i="12"/>
  <c r="BE349" i="12"/>
  <c r="BE365" i="12"/>
  <c r="BE381" i="12"/>
  <c r="BE397" i="12"/>
  <c r="BE413" i="12"/>
  <c r="BE429" i="12"/>
  <c r="BE445" i="12"/>
  <c r="BE461" i="12"/>
  <c r="BE477" i="12"/>
  <c r="BE493" i="12"/>
  <c r="BE509" i="12"/>
  <c r="BE525" i="12"/>
  <c r="BE541" i="12"/>
  <c r="BE557" i="12"/>
  <c r="BE573" i="12"/>
  <c r="BE589" i="12"/>
  <c r="BE605" i="12"/>
  <c r="BE621" i="12"/>
  <c r="BE637" i="12"/>
  <c r="BE653" i="12"/>
  <c r="BE669" i="12"/>
  <c r="BE685" i="12"/>
  <c r="BE701" i="12"/>
  <c r="BE717" i="12"/>
  <c r="BE733" i="12"/>
  <c r="BE743" i="12"/>
  <c r="BE751" i="12"/>
  <c r="BE759" i="12"/>
  <c r="BE767" i="12"/>
  <c r="BE775" i="12"/>
  <c r="BE783" i="12"/>
  <c r="BE791" i="12"/>
  <c r="BE799" i="12"/>
  <c r="BE807" i="12"/>
  <c r="BE815" i="12"/>
  <c r="BE823" i="12"/>
  <c r="BE831" i="12"/>
  <c r="BE839" i="12"/>
  <c r="BE847" i="12"/>
  <c r="BE855" i="12"/>
  <c r="BE863" i="12"/>
  <c r="BE871" i="12"/>
  <c r="BE879" i="12"/>
  <c r="BE887" i="12"/>
  <c r="BE895" i="12"/>
  <c r="BE903" i="12"/>
  <c r="BE911" i="12"/>
  <c r="BE919" i="12"/>
  <c r="BE927" i="12"/>
  <c r="BE935" i="12"/>
  <c r="BE943" i="12"/>
  <c r="BE951" i="12"/>
  <c r="BE959" i="12"/>
  <c r="BE967" i="12"/>
  <c r="BE975" i="12"/>
  <c r="BE983" i="12"/>
  <c r="BE991" i="12"/>
  <c r="BE999" i="12"/>
  <c r="BE1007" i="12"/>
  <c r="BE1015" i="12"/>
  <c r="BE1023" i="12"/>
  <c r="BE1031" i="12"/>
  <c r="BE1039" i="12"/>
  <c r="BE1047" i="12"/>
  <c r="BE1055" i="12"/>
  <c r="BE1063" i="12"/>
  <c r="BE1071" i="12"/>
  <c r="BE1079" i="12"/>
  <c r="BE1087" i="12"/>
  <c r="BE1092" i="12"/>
  <c r="BE1098" i="12"/>
  <c r="BE1103" i="12"/>
  <c r="BE1108" i="12"/>
  <c r="BE1114" i="12"/>
  <c r="BE1119" i="12"/>
  <c r="BE1124" i="12"/>
  <c r="BE1130" i="12"/>
  <c r="BE1137" i="12"/>
  <c r="BE1144" i="12"/>
  <c r="BE1150" i="12"/>
  <c r="BE1155" i="12"/>
  <c r="BE22" i="12"/>
  <c r="BE54" i="12"/>
  <c r="BE86" i="12"/>
  <c r="BE118" i="12"/>
  <c r="BE150" i="12"/>
  <c r="BE182" i="12"/>
  <c r="BE214" i="12"/>
  <c r="BE238" i="12"/>
  <c r="BE254" i="12"/>
  <c r="BE270" i="12"/>
  <c r="BE286" i="12"/>
  <c r="BE302" i="12"/>
  <c r="BE318" i="12"/>
  <c r="BE334" i="12"/>
  <c r="BE350" i="12"/>
  <c r="BE366" i="12"/>
  <c r="BE382" i="12"/>
  <c r="BE398" i="12"/>
  <c r="BE414" i="12"/>
  <c r="BE430" i="12"/>
  <c r="BE446" i="12"/>
  <c r="BE462" i="12"/>
  <c r="BE478" i="12"/>
  <c r="BE494" i="12"/>
  <c r="BE510" i="12"/>
  <c r="BE526" i="12"/>
  <c r="BE542" i="12"/>
  <c r="BE558" i="12"/>
  <c r="BE574" i="12"/>
  <c r="BE590" i="12"/>
  <c r="BE606" i="12"/>
  <c r="BE622" i="12"/>
  <c r="BE638" i="12"/>
  <c r="BE654" i="12"/>
  <c r="BE670" i="12"/>
  <c r="BE686" i="12"/>
  <c r="BE702" i="12"/>
  <c r="BE718" i="12"/>
  <c r="BE734" i="12"/>
  <c r="BE744" i="12"/>
  <c r="BE752" i="12"/>
  <c r="BE760" i="12"/>
  <c r="BE768" i="12"/>
  <c r="BE776" i="12"/>
  <c r="BE784" i="12"/>
  <c r="BE792" i="12"/>
  <c r="BE800" i="12"/>
  <c r="BE808" i="12"/>
  <c r="BE816" i="12"/>
  <c r="BE824" i="12"/>
  <c r="BE832" i="12"/>
  <c r="BE840" i="12"/>
  <c r="BE848" i="12"/>
  <c r="BE856" i="12"/>
  <c r="BE864" i="12"/>
  <c r="BE872" i="12"/>
  <c r="BE880" i="12"/>
  <c r="BE888" i="12"/>
  <c r="BE896" i="12"/>
  <c r="BE904" i="12"/>
  <c r="BE912" i="12"/>
  <c r="BE920" i="12"/>
  <c r="BE928" i="12"/>
  <c r="BE936" i="12"/>
  <c r="BE944" i="12"/>
  <c r="BE952" i="12"/>
  <c r="BE960" i="12"/>
  <c r="BE968" i="12"/>
  <c r="BE976" i="12"/>
  <c r="BE984" i="12"/>
  <c r="BE992" i="12"/>
  <c r="BE1000" i="12"/>
  <c r="BE1008" i="12"/>
  <c r="BE1016" i="12"/>
  <c r="BE1024" i="12"/>
  <c r="BE1032" i="12"/>
  <c r="BE1040" i="12"/>
  <c r="BE1048" i="12"/>
  <c r="BE1056" i="12"/>
  <c r="BE1064" i="12"/>
  <c r="BE1072" i="12"/>
  <c r="BE1080" i="12"/>
  <c r="BE1088" i="12"/>
  <c r="BE1094" i="12"/>
  <c r="BE1099" i="12"/>
  <c r="BE1104" i="12"/>
  <c r="BE1110" i="12"/>
  <c r="BE1115" i="12"/>
  <c r="BE1120" i="12"/>
  <c r="BE1126" i="12"/>
  <c r="BE1131" i="12"/>
  <c r="BE1140" i="12"/>
  <c r="BE1146" i="12"/>
  <c r="BE1151" i="12"/>
  <c r="BE1156" i="12"/>
  <c r="BE38" i="12"/>
  <c r="BE102" i="12"/>
  <c r="BE166" i="12"/>
  <c r="BE230" i="12"/>
  <c r="BE262" i="12"/>
  <c r="BE294" i="12"/>
  <c r="BE326" i="12"/>
  <c r="BE358" i="12"/>
  <c r="BE390" i="12"/>
  <c r="BE422" i="12"/>
  <c r="BE454" i="12"/>
  <c r="BE486" i="12"/>
  <c r="BE518" i="12"/>
  <c r="BE550" i="12"/>
  <c r="BE582" i="12"/>
  <c r="BE614" i="12"/>
  <c r="BE646" i="12"/>
  <c r="BE678" i="12"/>
  <c r="BE710" i="12"/>
  <c r="BE740" i="12"/>
  <c r="BE756" i="12"/>
  <c r="BE772" i="12"/>
  <c r="BE788" i="12"/>
  <c r="BE804" i="12"/>
  <c r="BE820" i="12"/>
  <c r="BE836" i="12"/>
  <c r="BE852" i="12"/>
  <c r="BE868" i="12"/>
  <c r="BE884" i="12"/>
  <c r="BE900" i="12"/>
  <c r="BE916" i="12"/>
  <c r="BE932" i="12"/>
  <c r="BE948" i="12"/>
  <c r="BE964" i="12"/>
  <c r="BE980" i="12"/>
  <c r="BE996" i="12"/>
  <c r="BE1012" i="12"/>
  <c r="BE1028" i="12"/>
  <c r="BE1044" i="12"/>
  <c r="BE1060" i="12"/>
  <c r="BE1076" i="12"/>
  <c r="BE1091" i="12"/>
  <c r="BE1102" i="12"/>
  <c r="BE1112" i="12"/>
  <c r="BE1123" i="12"/>
  <c r="BE1136" i="12"/>
  <c r="BE1148" i="12"/>
  <c r="BE1159" i="12"/>
  <c r="BE67" i="12"/>
  <c r="BE131" i="12"/>
  <c r="BE195" i="12"/>
  <c r="BE245" i="12"/>
  <c r="BE277" i="12"/>
  <c r="BE309" i="12"/>
  <c r="BE341" i="12"/>
  <c r="BE373" i="12"/>
  <c r="BE405" i="12"/>
  <c r="BE437" i="12"/>
  <c r="BE469" i="12"/>
  <c r="BE501" i="12"/>
  <c r="BE533" i="12"/>
  <c r="BE565" i="12"/>
  <c r="BE597" i="12"/>
  <c r="BE629" i="12"/>
  <c r="BE661" i="12"/>
  <c r="BE693" i="12"/>
  <c r="BE725" i="12"/>
  <c r="BE747" i="12"/>
  <c r="BE763" i="12"/>
  <c r="BE779" i="12"/>
  <c r="BE795" i="12"/>
  <c r="BE811" i="12"/>
  <c r="BE827" i="12"/>
  <c r="BE843" i="12"/>
  <c r="BE859" i="12"/>
  <c r="BE875" i="12"/>
  <c r="BE891" i="12"/>
  <c r="BE907" i="12"/>
  <c r="BE923" i="12"/>
  <c r="BE939" i="12"/>
  <c r="BE955" i="12"/>
  <c r="BE971" i="12"/>
  <c r="BE987" i="12"/>
  <c r="BE1003" i="12"/>
  <c r="BE1019" i="12"/>
  <c r="BE1035" i="12"/>
  <c r="BE1051" i="12"/>
  <c r="BE1067" i="12"/>
  <c r="BE1083" i="12"/>
  <c r="BE1095" i="12"/>
  <c r="BE1106" i="12"/>
  <c r="BE1116" i="12"/>
  <c r="BE1127" i="12"/>
  <c r="BE1142" i="12"/>
  <c r="BE1152" i="12"/>
  <c r="BE35" i="12"/>
  <c r="BE163" i="12"/>
  <c r="BE261" i="12"/>
  <c r="BE325" i="12"/>
  <c r="BE389" i="12"/>
  <c r="BE453" i="12"/>
  <c r="BE517" i="12"/>
  <c r="BE581" i="12"/>
  <c r="BE645" i="12"/>
  <c r="BE709" i="12"/>
  <c r="BE755" i="12"/>
  <c r="BE787" i="12"/>
  <c r="BE819" i="12"/>
  <c r="BE851" i="12"/>
  <c r="BE883" i="12"/>
  <c r="BE915" i="12"/>
  <c r="BE947" i="12"/>
  <c r="BE979" i="12"/>
  <c r="BE1011" i="12"/>
  <c r="BE1043" i="12"/>
  <c r="BE1075" i="12"/>
  <c r="BE1100" i="12"/>
  <c r="BE1122" i="12"/>
  <c r="BE1147" i="12"/>
  <c r="BE70" i="12"/>
  <c r="BE198" i="12"/>
  <c r="BE278" i="12"/>
  <c r="BE342" i="12"/>
  <c r="BE406" i="12"/>
  <c r="BE470" i="12"/>
  <c r="BE534" i="12"/>
  <c r="BE598" i="12"/>
  <c r="BE662" i="12"/>
  <c r="BE726" i="12"/>
  <c r="BE764" i="12"/>
  <c r="BE796" i="12"/>
  <c r="BE828" i="12"/>
  <c r="BE860" i="12"/>
  <c r="BE892" i="12"/>
  <c r="BE924" i="12"/>
  <c r="BE956" i="12"/>
  <c r="BE988" i="12"/>
  <c r="BE1020" i="12"/>
  <c r="BE1052" i="12"/>
  <c r="BE1084" i="12"/>
  <c r="BE1107" i="12"/>
  <c r="BE1128" i="12"/>
  <c r="BE1154" i="12"/>
  <c r="BE227" i="12"/>
  <c r="BE357" i="12"/>
  <c r="BE485" i="12"/>
  <c r="BE613" i="12"/>
  <c r="BE739" i="12"/>
  <c r="BE803" i="12"/>
  <c r="BE867" i="12"/>
  <c r="BE931" i="12"/>
  <c r="BE995" i="12"/>
  <c r="BE1059" i="12"/>
  <c r="BE1111" i="12"/>
  <c r="BE1158" i="12"/>
  <c r="BE6" i="12"/>
  <c r="BE246" i="12"/>
  <c r="BE374" i="12"/>
  <c r="BE502" i="12"/>
  <c r="BE630" i="12"/>
  <c r="BE748" i="12"/>
  <c r="BE812" i="12"/>
  <c r="BE876" i="12"/>
  <c r="BE940" i="12"/>
  <c r="BE1004" i="12"/>
  <c r="BE1068" i="12"/>
  <c r="BE1118" i="12"/>
  <c r="BE310" i="12"/>
  <c r="BE566" i="12"/>
  <c r="BE780" i="12"/>
  <c r="BE908" i="12"/>
  <c r="BE1036" i="12"/>
  <c r="BE1143" i="12"/>
  <c r="BE99" i="12"/>
  <c r="BE421" i="12"/>
  <c r="BE677" i="12"/>
  <c r="BE835" i="12"/>
  <c r="BE963" i="12"/>
  <c r="BE1090" i="12"/>
  <c r="BE549" i="12"/>
  <c r="BE899" i="12"/>
  <c r="BE1132" i="12"/>
  <c r="BE134" i="12"/>
  <c r="BE694" i="12"/>
  <c r="BE972" i="12"/>
  <c r="BE293" i="12"/>
  <c r="BE771" i="12"/>
  <c r="BE1027" i="12"/>
  <c r="BE844" i="12"/>
  <c r="BE438" i="12"/>
  <c r="BE1096" i="12"/>
  <c r="M11" i="73"/>
  <c r="N11" i="73"/>
  <c r="L8" i="44"/>
  <c r="L9" i="44"/>
  <c r="L6" i="44"/>
  <c r="L10" i="44"/>
  <c r="L7" i="44"/>
  <c r="L11" i="44"/>
  <c r="BD1138" i="12"/>
  <c r="BD1139" i="12"/>
  <c r="O18" i="73"/>
  <c r="BD6" i="12"/>
  <c r="BD10" i="12"/>
  <c r="BD14" i="12"/>
  <c r="BD18" i="12"/>
  <c r="BD22" i="12"/>
  <c r="BD26" i="12"/>
  <c r="BD30" i="12"/>
  <c r="BD34" i="12"/>
  <c r="BD38" i="12"/>
  <c r="BD42" i="12"/>
  <c r="BD46" i="12"/>
  <c r="BD50" i="12"/>
  <c r="BD54" i="12"/>
  <c r="BD58" i="12"/>
  <c r="BD62" i="12"/>
  <c r="BD66" i="12"/>
  <c r="BD70" i="12"/>
  <c r="BD74" i="12"/>
  <c r="BD78" i="12"/>
  <c r="BD82" i="12"/>
  <c r="BD86" i="12"/>
  <c r="BD90" i="12"/>
  <c r="BD94" i="12"/>
  <c r="BD98" i="12"/>
  <c r="BD102" i="12"/>
  <c r="BD106" i="12"/>
  <c r="BD110" i="12"/>
  <c r="BD114" i="12"/>
  <c r="BD118" i="12"/>
  <c r="BD122" i="12"/>
  <c r="BD126" i="12"/>
  <c r="BD130" i="12"/>
  <c r="BD134" i="12"/>
  <c r="BD138" i="12"/>
  <c r="BD142" i="12"/>
  <c r="BD146" i="12"/>
  <c r="BD150" i="12"/>
  <c r="BD154" i="12"/>
  <c r="BD158" i="12"/>
  <c r="BD162" i="12"/>
  <c r="BD166" i="12"/>
  <c r="BD170" i="12"/>
  <c r="BD174" i="12"/>
  <c r="BD178" i="12"/>
  <c r="BD182" i="12"/>
  <c r="BD186" i="12"/>
  <c r="BD190" i="12"/>
  <c r="BD194" i="12"/>
  <c r="BD198" i="12"/>
  <c r="BD202" i="12"/>
  <c r="BD206" i="12"/>
  <c r="BD210" i="12"/>
  <c r="BD214" i="12"/>
  <c r="BD218" i="12"/>
  <c r="BD222" i="12"/>
  <c r="BD226" i="12"/>
  <c r="BD230" i="12"/>
  <c r="BD234" i="12"/>
  <c r="BD238" i="12"/>
  <c r="BD242" i="12"/>
  <c r="BD5" i="12"/>
  <c r="BD11" i="12"/>
  <c r="BD16" i="12"/>
  <c r="BD21" i="12"/>
  <c r="BD27" i="12"/>
  <c r="BD32" i="12"/>
  <c r="BD37" i="12"/>
  <c r="BD43" i="12"/>
  <c r="BD48" i="12"/>
  <c r="BD53" i="12"/>
  <c r="BD59" i="12"/>
  <c r="BD64" i="12"/>
  <c r="BD69" i="12"/>
  <c r="BD75" i="12"/>
  <c r="BD80" i="12"/>
  <c r="BD85" i="12"/>
  <c r="BD91" i="12"/>
  <c r="BD96" i="12"/>
  <c r="BD101" i="12"/>
  <c r="BD107" i="12"/>
  <c r="BD112" i="12"/>
  <c r="BD117" i="12"/>
  <c r="BD123" i="12"/>
  <c r="BD128" i="12"/>
  <c r="BD133" i="12"/>
  <c r="BD139" i="12"/>
  <c r="BD144" i="12"/>
  <c r="BD149" i="12"/>
  <c r="BD155" i="12"/>
  <c r="BD160" i="12"/>
  <c r="BD165" i="12"/>
  <c r="BD171" i="12"/>
  <c r="BD176" i="12"/>
  <c r="BD181" i="12"/>
  <c r="BD187" i="12"/>
  <c r="BD192" i="12"/>
  <c r="BD197" i="12"/>
  <c r="BD203" i="12"/>
  <c r="BD208" i="12"/>
  <c r="BD213" i="12"/>
  <c r="BD219" i="12"/>
  <c r="BD224" i="12"/>
  <c r="BD229" i="12"/>
  <c r="BD235" i="12"/>
  <c r="BD240" i="12"/>
  <c r="BD245" i="12"/>
  <c r="BD249" i="12"/>
  <c r="BD253" i="12"/>
  <c r="BD257" i="12"/>
  <c r="BD261" i="12"/>
  <c r="BD265" i="12"/>
  <c r="BD269" i="12"/>
  <c r="BD273" i="12"/>
  <c r="BD277" i="12"/>
  <c r="BD281" i="12"/>
  <c r="BD285" i="12"/>
  <c r="BD289" i="12"/>
  <c r="BD293" i="12"/>
  <c r="BD297" i="12"/>
  <c r="BD301" i="12"/>
  <c r="BD305" i="12"/>
  <c r="BD309" i="12"/>
  <c r="BD313" i="12"/>
  <c r="BD317" i="12"/>
  <c r="BD321" i="12"/>
  <c r="BD325" i="12"/>
  <c r="BD329" i="12"/>
  <c r="BD333" i="12"/>
  <c r="BD337" i="12"/>
  <c r="BD341" i="12"/>
  <c r="BD345" i="12"/>
  <c r="BD349" i="12"/>
  <c r="BD353" i="12"/>
  <c r="BD357" i="12"/>
  <c r="BD361" i="12"/>
  <c r="BD365" i="12"/>
  <c r="BD369" i="12"/>
  <c r="BD373" i="12"/>
  <c r="BD377" i="12"/>
  <c r="BD381" i="12"/>
  <c r="BD385" i="12"/>
  <c r="BD389" i="12"/>
  <c r="BD393" i="12"/>
  <c r="BD397" i="12"/>
  <c r="BD401" i="12"/>
  <c r="BD405" i="12"/>
  <c r="BD409" i="12"/>
  <c r="BD413" i="12"/>
  <c r="BD417" i="12"/>
  <c r="BD421" i="12"/>
  <c r="BD425" i="12"/>
  <c r="BD429" i="12"/>
  <c r="BD433" i="12"/>
  <c r="BD437" i="12"/>
  <c r="BD441" i="12"/>
  <c r="BD445" i="12"/>
  <c r="BD449" i="12"/>
  <c r="BD453" i="12"/>
  <c r="BD457" i="12"/>
  <c r="BD461" i="12"/>
  <c r="BD465" i="12"/>
  <c r="BD469" i="12"/>
  <c r="BD473" i="12"/>
  <c r="BD477" i="12"/>
  <c r="BD481" i="12"/>
  <c r="BD485" i="12"/>
  <c r="BD489" i="12"/>
  <c r="BD493" i="12"/>
  <c r="BD497" i="12"/>
  <c r="BD501" i="12"/>
  <c r="BD505" i="12"/>
  <c r="BD509" i="12"/>
  <c r="BD513" i="12"/>
  <c r="BD517" i="12"/>
  <c r="BD521" i="12"/>
  <c r="BD525" i="12"/>
  <c r="BD529" i="12"/>
  <c r="BD533" i="12"/>
  <c r="BD537" i="12"/>
  <c r="BD541" i="12"/>
  <c r="BD545" i="12"/>
  <c r="BD549" i="12"/>
  <c r="BD553" i="12"/>
  <c r="BD557" i="12"/>
  <c r="BD561" i="12"/>
  <c r="BD565" i="12"/>
  <c r="BD569" i="12"/>
  <c r="BD573" i="12"/>
  <c r="BD577" i="12"/>
  <c r="BD581" i="12"/>
  <c r="BD585" i="12"/>
  <c r="BD589" i="12"/>
  <c r="BD593" i="12"/>
  <c r="BD597" i="12"/>
  <c r="BD601" i="12"/>
  <c r="BD605" i="12"/>
  <c r="BD609" i="12"/>
  <c r="BD613" i="12"/>
  <c r="BD617" i="12"/>
  <c r="BD621" i="12"/>
  <c r="BD625" i="12"/>
  <c r="BD629" i="12"/>
  <c r="BD633" i="12"/>
  <c r="BD637" i="12"/>
  <c r="BD641" i="12"/>
  <c r="BD645" i="12"/>
  <c r="BD649" i="12"/>
  <c r="BD653" i="12"/>
  <c r="BD657" i="12"/>
  <c r="BD661" i="12"/>
  <c r="BD665" i="12"/>
  <c r="BD669" i="12"/>
  <c r="BD673" i="12"/>
  <c r="BD677" i="12"/>
  <c r="BD681" i="12"/>
  <c r="BD685" i="12"/>
  <c r="BD689" i="12"/>
  <c r="BD693" i="12"/>
  <c r="BD697" i="12"/>
  <c r="BD701" i="12"/>
  <c r="BD705" i="12"/>
  <c r="BD709" i="12"/>
  <c r="BD713" i="12"/>
  <c r="BD717" i="12"/>
  <c r="BD721" i="12"/>
  <c r="BD725" i="12"/>
  <c r="BD729" i="12"/>
  <c r="BD733" i="12"/>
  <c r="BD737" i="12"/>
  <c r="BD741" i="12"/>
  <c r="BD745" i="12"/>
  <c r="BD749" i="12"/>
  <c r="BD753" i="12"/>
  <c r="BD757" i="12"/>
  <c r="BD761" i="12"/>
  <c r="BD765" i="12"/>
  <c r="BD769" i="12"/>
  <c r="BD773" i="12"/>
  <c r="BD777" i="12"/>
  <c r="BD781" i="12"/>
  <c r="BD785" i="12"/>
  <c r="BD789" i="12"/>
  <c r="BD793" i="12"/>
  <c r="BD797" i="12"/>
  <c r="BD801" i="12"/>
  <c r="BD805" i="12"/>
  <c r="BD809" i="12"/>
  <c r="BD813" i="12"/>
  <c r="BD817" i="12"/>
  <c r="BD821" i="12"/>
  <c r="BD825" i="12"/>
  <c r="BD829" i="12"/>
  <c r="BD833" i="12"/>
  <c r="BD837" i="12"/>
  <c r="BD841" i="12"/>
  <c r="BD845" i="12"/>
  <c r="BD849" i="12"/>
  <c r="BD853" i="12"/>
  <c r="BD857" i="12"/>
  <c r="BD861" i="12"/>
  <c r="BD865" i="12"/>
  <c r="BD869" i="12"/>
  <c r="BD873" i="12"/>
  <c r="BD877" i="12"/>
  <c r="BD881" i="12"/>
  <c r="BD885" i="12"/>
  <c r="BD889" i="12"/>
  <c r="BD893" i="12"/>
  <c r="BD897" i="12"/>
  <c r="BD901" i="12"/>
  <c r="BD905" i="12"/>
  <c r="BD909" i="12"/>
  <c r="BD913" i="12"/>
  <c r="BD917" i="12"/>
  <c r="BD921" i="12"/>
  <c r="BD925" i="12"/>
  <c r="BD929" i="12"/>
  <c r="BD933" i="12"/>
  <c r="BD937" i="12"/>
  <c r="BD941" i="12"/>
  <c r="BD945" i="12"/>
  <c r="BD949" i="12"/>
  <c r="BD953" i="12"/>
  <c r="BD957" i="12"/>
  <c r="BD961" i="12"/>
  <c r="BD965" i="12"/>
  <c r="BD969" i="12"/>
  <c r="BD973" i="12"/>
  <c r="BD977" i="12"/>
  <c r="BD981" i="12"/>
  <c r="BD985" i="12"/>
  <c r="BD989" i="12"/>
  <c r="BD993" i="12"/>
  <c r="BD997" i="12"/>
  <c r="BD1001" i="12"/>
  <c r="BD1005" i="12"/>
  <c r="BD1009" i="12"/>
  <c r="BD1013" i="12"/>
  <c r="BD1017" i="12"/>
  <c r="BD1021" i="12"/>
  <c r="BD1025" i="12"/>
  <c r="BD7" i="12"/>
  <c r="BD12" i="12"/>
  <c r="BD17" i="12"/>
  <c r="BD23" i="12"/>
  <c r="BD28" i="12"/>
  <c r="BD33" i="12"/>
  <c r="BD39" i="12"/>
  <c r="BD44" i="12"/>
  <c r="BD49" i="12"/>
  <c r="BD55" i="12"/>
  <c r="BD60" i="12"/>
  <c r="BD65" i="12"/>
  <c r="BD71" i="12"/>
  <c r="BD76" i="12"/>
  <c r="BD81" i="12"/>
  <c r="BD87" i="12"/>
  <c r="BD92" i="12"/>
  <c r="BD97" i="12"/>
  <c r="BD103" i="12"/>
  <c r="BD108" i="12"/>
  <c r="BD113" i="12"/>
  <c r="BD119" i="12"/>
  <c r="BD124" i="12"/>
  <c r="BD129" i="12"/>
  <c r="BD135" i="12"/>
  <c r="BD140" i="12"/>
  <c r="BD145" i="12"/>
  <c r="BD151" i="12"/>
  <c r="BD156" i="12"/>
  <c r="BD161" i="12"/>
  <c r="BD167" i="12"/>
  <c r="BD172" i="12"/>
  <c r="BD177" i="12"/>
  <c r="BD183" i="12"/>
  <c r="BD188" i="12"/>
  <c r="BD193" i="12"/>
  <c r="BD199" i="12"/>
  <c r="BD204" i="12"/>
  <c r="BD209" i="12"/>
  <c r="BD215" i="12"/>
  <c r="BD220" i="12"/>
  <c r="BD225" i="12"/>
  <c r="BD231" i="12"/>
  <c r="BD236" i="12"/>
  <c r="BD241" i="12"/>
  <c r="BD246" i="12"/>
  <c r="BD250" i="12"/>
  <c r="BD254" i="12"/>
  <c r="BD258" i="12"/>
  <c r="BD262" i="12"/>
  <c r="BD266" i="12"/>
  <c r="BD270" i="12"/>
  <c r="BD274" i="12"/>
  <c r="BD278" i="12"/>
  <c r="BD282" i="12"/>
  <c r="BD286" i="12"/>
  <c r="BD290" i="12"/>
  <c r="BD294" i="12"/>
  <c r="BD298" i="12"/>
  <c r="BD302" i="12"/>
  <c r="BD306" i="12"/>
  <c r="BD310" i="12"/>
  <c r="BD314" i="12"/>
  <c r="BD318" i="12"/>
  <c r="BD322" i="12"/>
  <c r="BD326" i="12"/>
  <c r="BD330" i="12"/>
  <c r="BD334" i="12"/>
  <c r="BD338" i="12"/>
  <c r="BD342" i="12"/>
  <c r="BD346" i="12"/>
  <c r="BD350" i="12"/>
  <c r="BD354" i="12"/>
  <c r="BD358" i="12"/>
  <c r="BD362" i="12"/>
  <c r="BD366" i="12"/>
  <c r="BD370" i="12"/>
  <c r="BD374" i="12"/>
  <c r="BD378" i="12"/>
  <c r="BD382" i="12"/>
  <c r="BD386" i="12"/>
  <c r="BD390" i="12"/>
  <c r="BD394" i="12"/>
  <c r="BD398" i="12"/>
  <c r="BD402" i="12"/>
  <c r="BD406" i="12"/>
  <c r="BD410" i="12"/>
  <c r="BD414" i="12"/>
  <c r="BD418" i="12"/>
  <c r="BD422" i="12"/>
  <c r="BD426" i="12"/>
  <c r="BD430" i="12"/>
  <c r="BD434" i="12"/>
  <c r="BD438" i="12"/>
  <c r="BD442" i="12"/>
  <c r="BD446" i="12"/>
  <c r="BD450" i="12"/>
  <c r="BD454" i="12"/>
  <c r="BD458" i="12"/>
  <c r="BD462" i="12"/>
  <c r="BD466" i="12"/>
  <c r="BD470" i="12"/>
  <c r="BD474" i="12"/>
  <c r="BD478" i="12"/>
  <c r="BD482" i="12"/>
  <c r="BD486" i="12"/>
  <c r="BD490" i="12"/>
  <c r="BD494" i="12"/>
  <c r="BD498" i="12"/>
  <c r="BD502" i="12"/>
  <c r="BD506" i="12"/>
  <c r="BD510" i="12"/>
  <c r="BD514" i="12"/>
  <c r="BD518" i="12"/>
  <c r="BD522" i="12"/>
  <c r="BD526" i="12"/>
  <c r="BD530" i="12"/>
  <c r="BD534" i="12"/>
  <c r="BD538" i="12"/>
  <c r="BD542" i="12"/>
  <c r="BD546" i="12"/>
  <c r="BD550" i="12"/>
  <c r="BD554" i="12"/>
  <c r="BD558" i="12"/>
  <c r="BD562" i="12"/>
  <c r="BD566" i="12"/>
  <c r="BD570" i="12"/>
  <c r="BD574" i="12"/>
  <c r="BD578" i="12"/>
  <c r="BD582" i="12"/>
  <c r="BD586" i="12"/>
  <c r="BD590" i="12"/>
  <c r="BD594" i="12"/>
  <c r="BD598" i="12"/>
  <c r="BD602" i="12"/>
  <c r="BD606" i="12"/>
  <c r="BD610" i="12"/>
  <c r="BD614" i="12"/>
  <c r="BD618" i="12"/>
  <c r="BD622" i="12"/>
  <c r="BD626" i="12"/>
  <c r="BD630" i="12"/>
  <c r="BD634" i="12"/>
  <c r="BD638" i="12"/>
  <c r="BD642" i="12"/>
  <c r="BD646" i="12"/>
  <c r="BD650" i="12"/>
  <c r="BD654" i="12"/>
  <c r="BD658" i="12"/>
  <c r="BD662" i="12"/>
  <c r="BD666" i="12"/>
  <c r="BD670" i="12"/>
  <c r="BD674" i="12"/>
  <c r="BD678" i="12"/>
  <c r="BD682" i="12"/>
  <c r="BD686" i="12"/>
  <c r="BD690" i="12"/>
  <c r="BD694" i="12"/>
  <c r="BD698" i="12"/>
  <c r="BD702" i="12"/>
  <c r="BD706" i="12"/>
  <c r="BD710" i="12"/>
  <c r="BD714" i="12"/>
  <c r="BD718" i="12"/>
  <c r="BD722" i="12"/>
  <c r="BD726" i="12"/>
  <c r="BD730" i="12"/>
  <c r="BD734" i="12"/>
  <c r="BD738" i="12"/>
  <c r="BD742" i="12"/>
  <c r="BD746" i="12"/>
  <c r="BD750" i="12"/>
  <c r="BD754" i="12"/>
  <c r="BD758" i="12"/>
  <c r="BD762" i="12"/>
  <c r="BD766" i="12"/>
  <c r="BD770" i="12"/>
  <c r="BD774" i="12"/>
  <c r="BD778" i="12"/>
  <c r="BD782" i="12"/>
  <c r="BD786" i="12"/>
  <c r="BD790" i="12"/>
  <c r="BD794" i="12"/>
  <c r="BD798" i="12"/>
  <c r="BD802" i="12"/>
  <c r="BD806" i="12"/>
  <c r="BD810" i="12"/>
  <c r="BD814" i="12"/>
  <c r="BD818" i="12"/>
  <c r="BD822" i="12"/>
  <c r="BD826" i="12"/>
  <c r="BD830" i="12"/>
  <c r="BD834" i="12"/>
  <c r="BD838" i="12"/>
  <c r="BD842" i="12"/>
  <c r="BD846" i="12"/>
  <c r="BD850" i="12"/>
  <c r="BD854" i="12"/>
  <c r="BD858" i="12"/>
  <c r="BD862" i="12"/>
  <c r="BD866" i="12"/>
  <c r="BD870" i="12"/>
  <c r="BD874" i="12"/>
  <c r="BD878" i="12"/>
  <c r="BD882" i="12"/>
  <c r="BD886" i="12"/>
  <c r="BD890" i="12"/>
  <c r="BD894" i="12"/>
  <c r="BD898" i="12"/>
  <c r="BD902" i="12"/>
  <c r="BD906" i="12"/>
  <c r="BD910" i="12"/>
  <c r="BD914" i="12"/>
  <c r="BD918" i="12"/>
  <c r="BD922" i="12"/>
  <c r="BD926" i="12"/>
  <c r="BD930" i="12"/>
  <c r="BD934" i="12"/>
  <c r="BD938" i="12"/>
  <c r="BD942" i="12"/>
  <c r="BD946" i="12"/>
  <c r="BD950" i="12"/>
  <c r="BD954" i="12"/>
  <c r="BD958" i="12"/>
  <c r="BD962" i="12"/>
  <c r="BD966" i="12"/>
  <c r="BD970" i="12"/>
  <c r="BD974" i="12"/>
  <c r="BD978" i="12"/>
  <c r="BD982" i="12"/>
  <c r="BD986" i="12"/>
  <c r="BD990" i="12"/>
  <c r="BD994" i="12"/>
  <c r="BD998" i="12"/>
  <c r="BD1002" i="12"/>
  <c r="BD1006" i="12"/>
  <c r="BD1010" i="12"/>
  <c r="BD1014" i="12"/>
  <c r="BD1018" i="12"/>
  <c r="BD1022" i="12"/>
  <c r="BD1026" i="12"/>
  <c r="BD15" i="12"/>
  <c r="BD25" i="12"/>
  <c r="BD36" i="12"/>
  <c r="BD47" i="12"/>
  <c r="BD57" i="12"/>
  <c r="BD68" i="12"/>
  <c r="BD79" i="12"/>
  <c r="BD89" i="12"/>
  <c r="BD100" i="12"/>
  <c r="BD111" i="12"/>
  <c r="BD121" i="12"/>
  <c r="BD132" i="12"/>
  <c r="BD143" i="12"/>
  <c r="BD153" i="12"/>
  <c r="BD164" i="12"/>
  <c r="BD175" i="12"/>
  <c r="BD185" i="12"/>
  <c r="BD196" i="12"/>
  <c r="BD207" i="12"/>
  <c r="BD217" i="12"/>
  <c r="BD228" i="12"/>
  <c r="BD239" i="12"/>
  <c r="BD248" i="12"/>
  <c r="BD256" i="12"/>
  <c r="BD264" i="12"/>
  <c r="BD272" i="12"/>
  <c r="BD280" i="12"/>
  <c r="BD288" i="12"/>
  <c r="BD296" i="12"/>
  <c r="BD304" i="12"/>
  <c r="BD312" i="12"/>
  <c r="BD320" i="12"/>
  <c r="BD328" i="12"/>
  <c r="BD336" i="12"/>
  <c r="BD344" i="12"/>
  <c r="BD352" i="12"/>
  <c r="BD360" i="12"/>
  <c r="BD368" i="12"/>
  <c r="BD376" i="12"/>
  <c r="BD384" i="12"/>
  <c r="BD392" i="12"/>
  <c r="BD400" i="12"/>
  <c r="BD408" i="12"/>
  <c r="BD416" i="12"/>
  <c r="BD424" i="12"/>
  <c r="BD432" i="12"/>
  <c r="BD440" i="12"/>
  <c r="BD448" i="12"/>
  <c r="BD456" i="12"/>
  <c r="BD464" i="12"/>
  <c r="BD472" i="12"/>
  <c r="BD480" i="12"/>
  <c r="BD488" i="12"/>
  <c r="BD496" i="12"/>
  <c r="BD504" i="12"/>
  <c r="BD512" i="12"/>
  <c r="BD520" i="12"/>
  <c r="BD528" i="12"/>
  <c r="BD536" i="12"/>
  <c r="BD544" i="12"/>
  <c r="BD552" i="12"/>
  <c r="BD560" i="12"/>
  <c r="BD568" i="12"/>
  <c r="BD576" i="12"/>
  <c r="BD584" i="12"/>
  <c r="BD592" i="12"/>
  <c r="BD600" i="12"/>
  <c r="BD608" i="12"/>
  <c r="BD616" i="12"/>
  <c r="BD624" i="12"/>
  <c r="BD632" i="12"/>
  <c r="BD640" i="12"/>
  <c r="BD648" i="12"/>
  <c r="BD656" i="12"/>
  <c r="BD664" i="12"/>
  <c r="BD672" i="12"/>
  <c r="BD680" i="12"/>
  <c r="BD688" i="12"/>
  <c r="BD696" i="12"/>
  <c r="BD704" i="12"/>
  <c r="BD712" i="12"/>
  <c r="BD720" i="12"/>
  <c r="BD728" i="12"/>
  <c r="BD736" i="12"/>
  <c r="BD744" i="12"/>
  <c r="BD752" i="12"/>
  <c r="BD760" i="12"/>
  <c r="BD768" i="12"/>
  <c r="BD776" i="12"/>
  <c r="BD784" i="12"/>
  <c r="BD792" i="12"/>
  <c r="BD800" i="12"/>
  <c r="BD808" i="12"/>
  <c r="BD816" i="12"/>
  <c r="BD824" i="12"/>
  <c r="BD832" i="12"/>
  <c r="BD840" i="12"/>
  <c r="BD848" i="12"/>
  <c r="BD856" i="12"/>
  <c r="BD864" i="12"/>
  <c r="BD872" i="12"/>
  <c r="BD880" i="12"/>
  <c r="BD888" i="12"/>
  <c r="BD896" i="12"/>
  <c r="BD904" i="12"/>
  <c r="BD912" i="12"/>
  <c r="BD920" i="12"/>
  <c r="BD928" i="12"/>
  <c r="BD936" i="12"/>
  <c r="BD944" i="12"/>
  <c r="BD952" i="12"/>
  <c r="BD960" i="12"/>
  <c r="BD968" i="12"/>
  <c r="BD976" i="12"/>
  <c r="BD984" i="12"/>
  <c r="BD992" i="12"/>
  <c r="BD1000" i="12"/>
  <c r="BD1008" i="12"/>
  <c r="BD1016" i="12"/>
  <c r="BD1024" i="12"/>
  <c r="BD1030" i="12"/>
  <c r="BD1034" i="12"/>
  <c r="BD1038" i="12"/>
  <c r="BD1042" i="12"/>
  <c r="BD1046" i="12"/>
  <c r="BD1050" i="12"/>
  <c r="BD1054" i="12"/>
  <c r="BD1058" i="12"/>
  <c r="BD1062" i="12"/>
  <c r="BD1066" i="12"/>
  <c r="BD1070" i="12"/>
  <c r="BD1074" i="12"/>
  <c r="BD1078" i="12"/>
  <c r="BD1082" i="12"/>
  <c r="BD1086" i="12"/>
  <c r="BD1090" i="12"/>
  <c r="BD1094" i="12"/>
  <c r="BD1098" i="12"/>
  <c r="BD1102" i="12"/>
  <c r="BD1106" i="12"/>
  <c r="BD1110" i="12"/>
  <c r="BD1114" i="12"/>
  <c r="BD1118" i="12"/>
  <c r="BD1122" i="12"/>
  <c r="BD1126" i="12"/>
  <c r="BD1130" i="12"/>
  <c r="BD1136" i="12"/>
  <c r="BD1142" i="12"/>
  <c r="BD1146" i="12"/>
  <c r="BD1150" i="12"/>
  <c r="BD1154" i="12"/>
  <c r="BD1158" i="12"/>
  <c r="BD8" i="12"/>
  <c r="BD19" i="12"/>
  <c r="BD29" i="12"/>
  <c r="BD40" i="12"/>
  <c r="BD51" i="12"/>
  <c r="BD61" i="12"/>
  <c r="BD72" i="12"/>
  <c r="BD83" i="12"/>
  <c r="BD93" i="12"/>
  <c r="BD104" i="12"/>
  <c r="BD115" i="12"/>
  <c r="BD125" i="12"/>
  <c r="BD136" i="12"/>
  <c r="BD147" i="12"/>
  <c r="BD157" i="12"/>
  <c r="BD168" i="12"/>
  <c r="BD179" i="12"/>
  <c r="BD189" i="12"/>
  <c r="BD200" i="12"/>
  <c r="BD211" i="12"/>
  <c r="BD221" i="12"/>
  <c r="BD232" i="12"/>
  <c r="BD243" i="12"/>
  <c r="BD251" i="12"/>
  <c r="BD259" i="12"/>
  <c r="BD267" i="12"/>
  <c r="BD275" i="12"/>
  <c r="BD283" i="12"/>
  <c r="BD291" i="12"/>
  <c r="BD299" i="12"/>
  <c r="BD307" i="12"/>
  <c r="BD315" i="12"/>
  <c r="BD323" i="12"/>
  <c r="BD331" i="12"/>
  <c r="BD339" i="12"/>
  <c r="BD347" i="12"/>
  <c r="BD355" i="12"/>
  <c r="BD363" i="12"/>
  <c r="BD371" i="12"/>
  <c r="BD379" i="12"/>
  <c r="BD387" i="12"/>
  <c r="BD395" i="12"/>
  <c r="BD403" i="12"/>
  <c r="BD411" i="12"/>
  <c r="BD419" i="12"/>
  <c r="BD427" i="12"/>
  <c r="BD435" i="12"/>
  <c r="BD443" i="12"/>
  <c r="BD451" i="12"/>
  <c r="BD459" i="12"/>
  <c r="BD13" i="12"/>
  <c r="BD35" i="12"/>
  <c r="BD56" i="12"/>
  <c r="BD77" i="12"/>
  <c r="BD99" i="12"/>
  <c r="BD120" i="12"/>
  <c r="BD141" i="12"/>
  <c r="BD163" i="12"/>
  <c r="BD184" i="12"/>
  <c r="BD205" i="12"/>
  <c r="BD227" i="12"/>
  <c r="BD247" i="12"/>
  <c r="BD263" i="12"/>
  <c r="BD279" i="12"/>
  <c r="BD295" i="12"/>
  <c r="BD311" i="12"/>
  <c r="BD327" i="12"/>
  <c r="BD343" i="12"/>
  <c r="BD359" i="12"/>
  <c r="BD375" i="12"/>
  <c r="BD391" i="12"/>
  <c r="BD407" i="12"/>
  <c r="BD423" i="12"/>
  <c r="BD439" i="12"/>
  <c r="BD455" i="12"/>
  <c r="BD468" i="12"/>
  <c r="BD479" i="12"/>
  <c r="BD491" i="12"/>
  <c r="BD500" i="12"/>
  <c r="BD511" i="12"/>
  <c r="BD523" i="12"/>
  <c r="BD532" i="12"/>
  <c r="BD543" i="12"/>
  <c r="BD555" i="12"/>
  <c r="BD564" i="12"/>
  <c r="BD575" i="12"/>
  <c r="BD587" i="12"/>
  <c r="BD596" i="12"/>
  <c r="BD607" i="12"/>
  <c r="BD619" i="12"/>
  <c r="BD628" i="12"/>
  <c r="BD639" i="12"/>
  <c r="BD651" i="12"/>
  <c r="BD660" i="12"/>
  <c r="BD671" i="12"/>
  <c r="BD683" i="12"/>
  <c r="BD692" i="12"/>
  <c r="BD703" i="12"/>
  <c r="BD715" i="12"/>
  <c r="BD724" i="12"/>
  <c r="BD735" i="12"/>
  <c r="BD747" i="12"/>
  <c r="BD756" i="12"/>
  <c r="BD767" i="12"/>
  <c r="BD779" i="12"/>
  <c r="BD788" i="12"/>
  <c r="BD799" i="12"/>
  <c r="BD811" i="12"/>
  <c r="BD820" i="12"/>
  <c r="BD831" i="12"/>
  <c r="BD843" i="12"/>
  <c r="BD852" i="12"/>
  <c r="BD863" i="12"/>
  <c r="BD875" i="12"/>
  <c r="BD884" i="12"/>
  <c r="BD895" i="12"/>
  <c r="BD907" i="12"/>
  <c r="BD916" i="12"/>
  <c r="BD927" i="12"/>
  <c r="BD939" i="12"/>
  <c r="BD948" i="12"/>
  <c r="BD959" i="12"/>
  <c r="BD971" i="12"/>
  <c r="BD980" i="12"/>
  <c r="BD991" i="12"/>
  <c r="BD1003" i="12"/>
  <c r="BD1012" i="12"/>
  <c r="BD1023" i="12"/>
  <c r="BD1031" i="12"/>
  <c r="BD1036" i="12"/>
  <c r="BD1041" i="12"/>
  <c r="BD1047" i="12"/>
  <c r="BD1052" i="12"/>
  <c r="BD1057" i="12"/>
  <c r="BD1063" i="12"/>
  <c r="BD1068" i="12"/>
  <c r="BD1073" i="12"/>
  <c r="BD1079" i="12"/>
  <c r="BD1084" i="12"/>
  <c r="BD1089" i="12"/>
  <c r="BD1095" i="12"/>
  <c r="BD1100" i="12"/>
  <c r="BD1105" i="12"/>
  <c r="BD1111" i="12"/>
  <c r="BD1116" i="12"/>
  <c r="BD1121" i="12"/>
  <c r="BD1127" i="12"/>
  <c r="BD1132" i="12"/>
  <c r="BD1141" i="12"/>
  <c r="BD1147" i="12"/>
  <c r="BD1152" i="12"/>
  <c r="BD1157" i="12"/>
  <c r="BD20" i="12"/>
  <c r="BD41" i="12"/>
  <c r="BD63" i="12"/>
  <c r="BD84" i="12"/>
  <c r="BD105" i="12"/>
  <c r="BD127" i="12"/>
  <c r="BD148" i="12"/>
  <c r="BD169" i="12"/>
  <c r="BD191" i="12"/>
  <c r="BD212" i="12"/>
  <c r="BD233" i="12"/>
  <c r="BD252" i="12"/>
  <c r="BD268" i="12"/>
  <c r="BD284" i="12"/>
  <c r="BD300" i="12"/>
  <c r="BD316" i="12"/>
  <c r="BD332" i="12"/>
  <c r="BD348" i="12"/>
  <c r="BD364" i="12"/>
  <c r="BD380" i="12"/>
  <c r="BD396" i="12"/>
  <c r="BD412" i="12"/>
  <c r="BD428" i="12"/>
  <c r="BD444" i="12"/>
  <c r="BD460" i="12"/>
  <c r="BD471" i="12"/>
  <c r="BD483" i="12"/>
  <c r="BD492" i="12"/>
  <c r="BD503" i="12"/>
  <c r="BD515" i="12"/>
  <c r="BD524" i="12"/>
  <c r="BD535" i="12"/>
  <c r="BD547" i="12"/>
  <c r="BD556" i="12"/>
  <c r="BD567" i="12"/>
  <c r="BD579" i="12"/>
  <c r="BD588" i="12"/>
  <c r="BD599" i="12"/>
  <c r="BD611" i="12"/>
  <c r="BD620" i="12"/>
  <c r="BD631" i="12"/>
  <c r="BD643" i="12"/>
  <c r="BD652" i="12"/>
  <c r="BD663" i="12"/>
  <c r="BD675" i="12"/>
  <c r="BD684" i="12"/>
  <c r="BD695" i="12"/>
  <c r="BD707" i="12"/>
  <c r="BD716" i="12"/>
  <c r="BD727" i="12"/>
  <c r="BD739" i="12"/>
  <c r="BD748" i="12"/>
  <c r="BD759" i="12"/>
  <c r="BD771" i="12"/>
  <c r="BD780" i="12"/>
  <c r="BD791" i="12"/>
  <c r="BD803" i="12"/>
  <c r="BD812" i="12"/>
  <c r="BD823" i="12"/>
  <c r="BD835" i="12"/>
  <c r="BD844" i="12"/>
  <c r="BD855" i="12"/>
  <c r="BD867" i="12"/>
  <c r="BD876" i="12"/>
  <c r="BD887" i="12"/>
  <c r="BD899" i="12"/>
  <c r="BD908" i="12"/>
  <c r="BD919" i="12"/>
  <c r="BD931" i="12"/>
  <c r="BD940" i="12"/>
  <c r="BD951" i="12"/>
  <c r="BD963" i="12"/>
  <c r="BD972" i="12"/>
  <c r="BD983" i="12"/>
  <c r="BD995" i="12"/>
  <c r="BD1004" i="12"/>
  <c r="BD1015" i="12"/>
  <c r="BD1027" i="12"/>
  <c r="BD1032" i="12"/>
  <c r="BD1037" i="12"/>
  <c r="BD1043" i="12"/>
  <c r="BD1048" i="12"/>
  <c r="BD1053" i="12"/>
  <c r="BD1059" i="12"/>
  <c r="BD1064" i="12"/>
  <c r="BD1069" i="12"/>
  <c r="BD1075" i="12"/>
  <c r="BD1080" i="12"/>
  <c r="BD1085" i="12"/>
  <c r="BD1091" i="12"/>
  <c r="BD1096" i="12"/>
  <c r="BD1101" i="12"/>
  <c r="BD1107" i="12"/>
  <c r="BD1112" i="12"/>
  <c r="BD1117" i="12"/>
  <c r="BD1123" i="12"/>
  <c r="BD1128" i="12"/>
  <c r="BD1133" i="12"/>
  <c r="BD1143" i="12"/>
  <c r="BD1148" i="12"/>
  <c r="BD1153" i="12"/>
  <c r="BD1159" i="12"/>
  <c r="BD45" i="12"/>
  <c r="BD88" i="12"/>
  <c r="BD131" i="12"/>
  <c r="BD173" i="12"/>
  <c r="BD216" i="12"/>
  <c r="BD255" i="12"/>
  <c r="BD287" i="12"/>
  <c r="BD319" i="12"/>
  <c r="BD351" i="12"/>
  <c r="BD383" i="12"/>
  <c r="BD415" i="12"/>
  <c r="BD447" i="12"/>
  <c r="BD475" i="12"/>
  <c r="BD495" i="12"/>
  <c r="BD516" i="12"/>
  <c r="BD539" i="12"/>
  <c r="BD559" i="12"/>
  <c r="BD580" i="12"/>
  <c r="BD603" i="12"/>
  <c r="BD623" i="12"/>
  <c r="BD644" i="12"/>
  <c r="BD667" i="12"/>
  <c r="BD687" i="12"/>
  <c r="BD708" i="12"/>
  <c r="BD731" i="12"/>
  <c r="BD751" i="12"/>
  <c r="BD772" i="12"/>
  <c r="BD795" i="12"/>
  <c r="BD815" i="12"/>
  <c r="BD836" i="12"/>
  <c r="BD859" i="12"/>
  <c r="BD879" i="12"/>
  <c r="BD900" i="12"/>
  <c r="BD923" i="12"/>
  <c r="BD943" i="12"/>
  <c r="BD964" i="12"/>
  <c r="BD987" i="12"/>
  <c r="BD1007" i="12"/>
  <c r="BD1028" i="12"/>
  <c r="BD1039" i="12"/>
  <c r="BD1049" i="12"/>
  <c r="BD1060" i="12"/>
  <c r="BD1071" i="12"/>
  <c r="BD1081" i="12"/>
  <c r="BD1092" i="12"/>
  <c r="BD1103" i="12"/>
  <c r="BD1113" i="12"/>
  <c r="BD1124" i="12"/>
  <c r="BD1137" i="12"/>
  <c r="BD1149" i="12"/>
  <c r="BD9" i="12"/>
  <c r="BD52" i="12"/>
  <c r="BD95" i="12"/>
  <c r="BD137" i="12"/>
  <c r="BD180" i="12"/>
  <c r="BD223" i="12"/>
  <c r="BD260" i="12"/>
  <c r="BD292" i="12"/>
  <c r="BD324" i="12"/>
  <c r="BD356" i="12"/>
  <c r="BD388" i="12"/>
  <c r="BD420" i="12"/>
  <c r="BD452" i="12"/>
  <c r="BD476" i="12"/>
  <c r="BD499" i="12"/>
  <c r="BD519" i="12"/>
  <c r="BD540" i="12"/>
  <c r="BD563" i="12"/>
  <c r="BD583" i="12"/>
  <c r="BD604" i="12"/>
  <c r="BD627" i="12"/>
  <c r="BD647" i="12"/>
  <c r="BD668" i="12"/>
  <c r="BD691" i="12"/>
  <c r="BD711" i="12"/>
  <c r="BD732" i="12"/>
  <c r="BD755" i="12"/>
  <c r="BD775" i="12"/>
  <c r="BD796" i="12"/>
  <c r="BD819" i="12"/>
  <c r="BD839" i="12"/>
  <c r="BD860" i="12"/>
  <c r="BD883" i="12"/>
  <c r="BD903" i="12"/>
  <c r="BD924" i="12"/>
  <c r="BD947" i="12"/>
  <c r="BD967" i="12"/>
  <c r="BD988" i="12"/>
  <c r="BD1011" i="12"/>
  <c r="BD1029" i="12"/>
  <c r="BD1040" i="12"/>
  <c r="BD1051" i="12"/>
  <c r="BD1061" i="12"/>
  <c r="BD1072" i="12"/>
  <c r="BD1083" i="12"/>
  <c r="BD1093" i="12"/>
  <c r="BD1104" i="12"/>
  <c r="BD1115" i="12"/>
  <c r="BD1125" i="12"/>
  <c r="BD1140" i="12"/>
  <c r="BD1151" i="12"/>
  <c r="BD73" i="12"/>
  <c r="BD159" i="12"/>
  <c r="BD244" i="12"/>
  <c r="BD308" i="12"/>
  <c r="BD372" i="12"/>
  <c r="BD436" i="12"/>
  <c r="BD487" i="12"/>
  <c r="BD531" i="12"/>
  <c r="BD572" i="12"/>
  <c r="BD615" i="12"/>
  <c r="BD659" i="12"/>
  <c r="BD700" i="12"/>
  <c r="BD743" i="12"/>
  <c r="BD787" i="12"/>
  <c r="BD828" i="12"/>
  <c r="BD871" i="12"/>
  <c r="BD915" i="12"/>
  <c r="BD956" i="12"/>
  <c r="BD999" i="12"/>
  <c r="BD1035" i="12"/>
  <c r="BD1056" i="12"/>
  <c r="BD1077" i="12"/>
  <c r="BD1099" i="12"/>
  <c r="BD1120" i="12"/>
  <c r="BD1145" i="12"/>
  <c r="BD24" i="12"/>
  <c r="BD109" i="12"/>
  <c r="BD195" i="12"/>
  <c r="BD271" i="12"/>
  <c r="BD335" i="12"/>
  <c r="BD399" i="12"/>
  <c r="BD463" i="12"/>
  <c r="BD507" i="12"/>
  <c r="BD548" i="12"/>
  <c r="BD591" i="12"/>
  <c r="BD635" i="12"/>
  <c r="BD676" i="12"/>
  <c r="BD719" i="12"/>
  <c r="BD763" i="12"/>
  <c r="BD804" i="12"/>
  <c r="BD847" i="12"/>
  <c r="BD891" i="12"/>
  <c r="BD932" i="12"/>
  <c r="BD975" i="12"/>
  <c r="BD1019" i="12"/>
  <c r="BD1044" i="12"/>
  <c r="BD1065" i="12"/>
  <c r="BD1087" i="12"/>
  <c r="BD1108" i="12"/>
  <c r="BD1129" i="12"/>
  <c r="BD1155" i="12"/>
  <c r="BD152" i="12"/>
  <c r="BD303" i="12"/>
  <c r="BD431" i="12"/>
  <c r="BD527" i="12"/>
  <c r="BD612" i="12"/>
  <c r="BD699" i="12"/>
  <c r="BD783" i="12"/>
  <c r="BD868" i="12"/>
  <c r="BD955" i="12"/>
  <c r="BD1033" i="12"/>
  <c r="BD1076" i="12"/>
  <c r="BD1119" i="12"/>
  <c r="BD31" i="12"/>
  <c r="BD201" i="12"/>
  <c r="BD340" i="12"/>
  <c r="BD467" i="12"/>
  <c r="BD551" i="12"/>
  <c r="BD636" i="12"/>
  <c r="BD723" i="12"/>
  <c r="BD807" i="12"/>
  <c r="BD892" i="12"/>
  <c r="BD979" i="12"/>
  <c r="BD1045" i="12"/>
  <c r="BD1088" i="12"/>
  <c r="BD1131" i="12"/>
  <c r="BD67" i="12"/>
  <c r="BD237" i="12"/>
  <c r="BD367" i="12"/>
  <c r="BD484" i="12"/>
  <c r="BD571" i="12"/>
  <c r="BD655" i="12"/>
  <c r="BD740" i="12"/>
  <c r="BD827" i="12"/>
  <c r="BD911" i="12"/>
  <c r="BD996" i="12"/>
  <c r="BD1055" i="12"/>
  <c r="BD1097" i="12"/>
  <c r="BD1144" i="12"/>
  <c r="BD276" i="12"/>
  <c r="BD595" i="12"/>
  <c r="BD764" i="12"/>
  <c r="BD935" i="12"/>
  <c r="BD1020" i="12"/>
  <c r="BD1109" i="12"/>
  <c r="BD116" i="12"/>
  <c r="BD404" i="12"/>
  <c r="BD508" i="12"/>
  <c r="BD679" i="12"/>
  <c r="BD851" i="12"/>
  <c r="BD1067" i="12"/>
  <c r="BD1156" i="12"/>
  <c r="AZ1139" i="12"/>
  <c r="O14" i="73"/>
  <c r="AZ1138" i="12"/>
  <c r="AZ8" i="12"/>
  <c r="AZ12" i="12"/>
  <c r="AZ16" i="12"/>
  <c r="AZ20" i="12"/>
  <c r="AZ24" i="12"/>
  <c r="AZ28" i="12"/>
  <c r="AZ32" i="12"/>
  <c r="AZ36" i="12"/>
  <c r="AZ40" i="12"/>
  <c r="AZ44" i="12"/>
  <c r="AZ48" i="12"/>
  <c r="AZ52" i="12"/>
  <c r="AZ56" i="12"/>
  <c r="AZ60" i="12"/>
  <c r="AZ64" i="12"/>
  <c r="AZ68" i="12"/>
  <c r="AZ72" i="12"/>
  <c r="AZ76" i="12"/>
  <c r="AZ80" i="12"/>
  <c r="AZ84" i="12"/>
  <c r="AZ88" i="12"/>
  <c r="AZ92" i="12"/>
  <c r="AZ96" i="12"/>
  <c r="AZ100" i="12"/>
  <c r="AZ104" i="12"/>
  <c r="AZ108" i="12"/>
  <c r="AZ112" i="12"/>
  <c r="AZ116" i="12"/>
  <c r="AZ120" i="12"/>
  <c r="AZ124" i="12"/>
  <c r="AZ128" i="12"/>
  <c r="AZ132" i="12"/>
  <c r="AZ136" i="12"/>
  <c r="AZ140" i="12"/>
  <c r="AZ144" i="12"/>
  <c r="AZ148" i="12"/>
  <c r="AZ152" i="12"/>
  <c r="AZ156" i="12"/>
  <c r="AZ160" i="12"/>
  <c r="AZ164" i="12"/>
  <c r="AZ168" i="12"/>
  <c r="AZ172" i="12"/>
  <c r="AZ176" i="12"/>
  <c r="AZ180" i="12"/>
  <c r="AZ184" i="12"/>
  <c r="AZ188" i="12"/>
  <c r="AZ192" i="12"/>
  <c r="AZ196" i="12"/>
  <c r="AZ200" i="12"/>
  <c r="AZ204" i="12"/>
  <c r="AZ208" i="12"/>
  <c r="AZ212" i="12"/>
  <c r="AZ216" i="12"/>
  <c r="AZ220" i="12"/>
  <c r="AZ224" i="12"/>
  <c r="AZ228" i="12"/>
  <c r="AZ232" i="12"/>
  <c r="AZ236" i="12"/>
  <c r="AZ240" i="12"/>
  <c r="AZ244" i="12"/>
  <c r="AZ248" i="12"/>
  <c r="AZ252" i="12"/>
  <c r="AZ256" i="12"/>
  <c r="AZ260" i="12"/>
  <c r="AZ264" i="12"/>
  <c r="AZ268" i="12"/>
  <c r="AZ272" i="12"/>
  <c r="AZ276" i="12"/>
  <c r="AZ280" i="12"/>
  <c r="AZ284" i="12"/>
  <c r="AZ288" i="12"/>
  <c r="AZ292" i="12"/>
  <c r="AZ296" i="12"/>
  <c r="AZ300" i="12"/>
  <c r="AZ304" i="12"/>
  <c r="AZ308" i="12"/>
  <c r="AZ312" i="12"/>
  <c r="AZ316" i="12"/>
  <c r="AZ320" i="12"/>
  <c r="AZ324" i="12"/>
  <c r="AZ328" i="12"/>
  <c r="AZ332" i="12"/>
  <c r="AZ336" i="12"/>
  <c r="AZ340" i="12"/>
  <c r="AZ344" i="12"/>
  <c r="AZ348" i="12"/>
  <c r="AZ352" i="12"/>
  <c r="AZ356" i="12"/>
  <c r="AZ360" i="12"/>
  <c r="AZ364" i="12"/>
  <c r="AZ368" i="12"/>
  <c r="AZ372" i="12"/>
  <c r="AZ376" i="12"/>
  <c r="AZ380" i="12"/>
  <c r="AZ384" i="12"/>
  <c r="AZ388" i="12"/>
  <c r="AZ392" i="12"/>
  <c r="AZ396" i="12"/>
  <c r="AZ400" i="12"/>
  <c r="AZ404" i="12"/>
  <c r="AZ408" i="12"/>
  <c r="AZ412" i="12"/>
  <c r="AZ416" i="12"/>
  <c r="AZ420" i="12"/>
  <c r="AZ424" i="12"/>
  <c r="AZ428" i="12"/>
  <c r="AZ432" i="12"/>
  <c r="AZ436" i="12"/>
  <c r="AZ440" i="12"/>
  <c r="AZ444" i="12"/>
  <c r="AZ448" i="12"/>
  <c r="AZ452" i="12"/>
  <c r="AZ456" i="12"/>
  <c r="AZ460" i="12"/>
  <c r="AZ464" i="12"/>
  <c r="AZ468" i="12"/>
  <c r="AZ472" i="12"/>
  <c r="AZ476" i="12"/>
  <c r="AZ480" i="12"/>
  <c r="AZ484" i="12"/>
  <c r="AZ488" i="12"/>
  <c r="AZ492" i="12"/>
  <c r="AZ496" i="12"/>
  <c r="AZ500" i="12"/>
  <c r="AZ504" i="12"/>
  <c r="AZ508" i="12"/>
  <c r="AZ512" i="12"/>
  <c r="AZ516" i="12"/>
  <c r="AZ520" i="12"/>
  <c r="AZ524" i="12"/>
  <c r="AZ528" i="12"/>
  <c r="AZ532" i="12"/>
  <c r="AZ536" i="12"/>
  <c r="AZ540" i="12"/>
  <c r="AZ544" i="12"/>
  <c r="AZ548" i="12"/>
  <c r="AZ552" i="12"/>
  <c r="AZ556" i="12"/>
  <c r="AZ560" i="12"/>
  <c r="AZ564" i="12"/>
  <c r="AZ568" i="12"/>
  <c r="AZ572" i="12"/>
  <c r="AZ576" i="12"/>
  <c r="AZ580" i="12"/>
  <c r="AZ584" i="12"/>
  <c r="AZ588" i="12"/>
  <c r="AZ592" i="12"/>
  <c r="AZ596" i="12"/>
  <c r="AZ600" i="12"/>
  <c r="AZ604" i="12"/>
  <c r="AZ608" i="12"/>
  <c r="AZ612" i="12"/>
  <c r="AZ616" i="12"/>
  <c r="AZ620" i="12"/>
  <c r="AZ624" i="12"/>
  <c r="AZ628" i="12"/>
  <c r="AZ632" i="12"/>
  <c r="AZ636" i="12"/>
  <c r="AZ640" i="12"/>
  <c r="AZ644" i="12"/>
  <c r="AZ648" i="12"/>
  <c r="AZ652" i="12"/>
  <c r="AZ656" i="12"/>
  <c r="AZ660" i="12"/>
  <c r="AZ664" i="12"/>
  <c r="AZ668" i="12"/>
  <c r="AZ672" i="12"/>
  <c r="AZ676" i="12"/>
  <c r="AZ680" i="12"/>
  <c r="AZ684" i="12"/>
  <c r="AZ688" i="12"/>
  <c r="AZ692" i="12"/>
  <c r="AZ696" i="12"/>
  <c r="AZ700" i="12"/>
  <c r="AZ704" i="12"/>
  <c r="AZ708" i="12"/>
  <c r="AZ712" i="12"/>
  <c r="AZ716" i="12"/>
  <c r="AZ720" i="12"/>
  <c r="AZ724" i="12"/>
  <c r="AZ728" i="12"/>
  <c r="AZ732" i="12"/>
  <c r="AZ736" i="12"/>
  <c r="AZ740" i="12"/>
  <c r="AZ744" i="12"/>
  <c r="AZ748" i="12"/>
  <c r="AZ752" i="12"/>
  <c r="AZ756" i="12"/>
  <c r="AZ760" i="12"/>
  <c r="AZ764" i="12"/>
  <c r="AZ768" i="12"/>
  <c r="AZ772" i="12"/>
  <c r="AZ776" i="12"/>
  <c r="AZ780" i="12"/>
  <c r="AZ784" i="12"/>
  <c r="AZ788" i="12"/>
  <c r="AZ792" i="12"/>
  <c r="AZ796" i="12"/>
  <c r="AZ800" i="12"/>
  <c r="AZ804" i="12"/>
  <c r="AZ808" i="12"/>
  <c r="AZ812" i="12"/>
  <c r="AZ816" i="12"/>
  <c r="AZ820" i="12"/>
  <c r="AZ824" i="12"/>
  <c r="AZ828" i="12"/>
  <c r="AZ832" i="12"/>
  <c r="AZ836" i="12"/>
  <c r="AZ840" i="12"/>
  <c r="AZ844" i="12"/>
  <c r="AZ848" i="12"/>
  <c r="AZ852" i="12"/>
  <c r="AZ856" i="12"/>
  <c r="AZ860" i="12"/>
  <c r="AZ864" i="12"/>
  <c r="AZ868" i="12"/>
  <c r="AZ872" i="12"/>
  <c r="AZ876" i="12"/>
  <c r="AZ880" i="12"/>
  <c r="AZ884" i="12"/>
  <c r="AZ888" i="12"/>
  <c r="AZ892" i="12"/>
  <c r="AZ896" i="12"/>
  <c r="AZ900" i="12"/>
  <c r="AZ904" i="12"/>
  <c r="AZ908" i="12"/>
  <c r="AZ912" i="12"/>
  <c r="AZ916" i="12"/>
  <c r="AZ920" i="12"/>
  <c r="AZ924" i="12"/>
  <c r="AZ928" i="12"/>
  <c r="AZ932" i="12"/>
  <c r="AZ936" i="12"/>
  <c r="AZ940" i="12"/>
  <c r="AZ944" i="12"/>
  <c r="AZ948" i="12"/>
  <c r="AZ952" i="12"/>
  <c r="AZ956" i="12"/>
  <c r="AZ960" i="12"/>
  <c r="AZ964" i="12"/>
  <c r="AZ968" i="12"/>
  <c r="AZ972" i="12"/>
  <c r="AZ976" i="12"/>
  <c r="AZ980" i="12"/>
  <c r="AZ984" i="12"/>
  <c r="AZ988" i="12"/>
  <c r="AZ992" i="12"/>
  <c r="AZ996" i="12"/>
  <c r="AZ1000" i="12"/>
  <c r="AZ1004" i="12"/>
  <c r="AZ1008" i="12"/>
  <c r="AZ1012" i="12"/>
  <c r="AZ1016" i="12"/>
  <c r="AZ1020" i="12"/>
  <c r="AZ1024" i="12"/>
  <c r="AZ1028" i="12"/>
  <c r="AZ1032" i="12"/>
  <c r="AZ1036" i="12"/>
  <c r="AZ1040" i="12"/>
  <c r="AZ1044" i="12"/>
  <c r="AZ1048" i="12"/>
  <c r="AZ1052" i="12"/>
  <c r="AZ1056" i="12"/>
  <c r="AZ1060" i="12"/>
  <c r="AZ1064" i="12"/>
  <c r="AZ1068" i="12"/>
  <c r="AZ1072" i="12"/>
  <c r="AZ1076" i="12"/>
  <c r="AZ1080" i="12"/>
  <c r="AZ1084" i="12"/>
  <c r="AZ1088" i="12"/>
  <c r="AZ1092" i="12"/>
  <c r="AZ1096" i="12"/>
  <c r="AZ1100" i="12"/>
  <c r="AZ1104" i="12"/>
  <c r="AZ1108" i="12"/>
  <c r="AZ1112" i="12"/>
  <c r="AZ1116" i="12"/>
  <c r="AZ1120" i="12"/>
  <c r="AZ1124" i="12"/>
  <c r="AZ1128" i="12"/>
  <c r="AZ1132" i="12"/>
  <c r="AZ1140" i="12"/>
  <c r="AZ1144" i="12"/>
  <c r="AZ1148" i="12"/>
  <c r="AZ1152" i="12"/>
  <c r="AZ1156" i="12"/>
  <c r="AZ5" i="12"/>
  <c r="AZ9" i="12"/>
  <c r="AZ13" i="12"/>
  <c r="AZ17" i="12"/>
  <c r="AZ21" i="12"/>
  <c r="AZ25" i="12"/>
  <c r="AZ29" i="12"/>
  <c r="AZ33" i="12"/>
  <c r="AZ37" i="12"/>
  <c r="AZ41" i="12"/>
  <c r="AZ45" i="12"/>
  <c r="AZ49" i="12"/>
  <c r="AZ53" i="12"/>
  <c r="AZ57" i="12"/>
  <c r="AZ61" i="12"/>
  <c r="AZ65" i="12"/>
  <c r="AZ69" i="12"/>
  <c r="AZ73" i="12"/>
  <c r="AZ77" i="12"/>
  <c r="AZ81" i="12"/>
  <c r="AZ85" i="12"/>
  <c r="AZ89" i="12"/>
  <c r="AZ93" i="12"/>
  <c r="AZ97" i="12"/>
  <c r="AZ101" i="12"/>
  <c r="AZ105" i="12"/>
  <c r="AZ109" i="12"/>
  <c r="AZ113" i="12"/>
  <c r="AZ117" i="12"/>
  <c r="AZ121" i="12"/>
  <c r="AZ125" i="12"/>
  <c r="AZ129" i="12"/>
  <c r="AZ133" i="12"/>
  <c r="AZ137" i="12"/>
  <c r="AZ141" i="12"/>
  <c r="AZ145" i="12"/>
  <c r="AZ149" i="12"/>
  <c r="AZ153" i="12"/>
  <c r="AZ157" i="12"/>
  <c r="AZ161" i="12"/>
  <c r="AZ165" i="12"/>
  <c r="AZ169" i="12"/>
  <c r="AZ173" i="12"/>
  <c r="AZ177" i="12"/>
  <c r="AZ181" i="12"/>
  <c r="AZ185" i="12"/>
  <c r="AZ189" i="12"/>
  <c r="AZ193" i="12"/>
  <c r="AZ197" i="12"/>
  <c r="AZ201" i="12"/>
  <c r="AZ205" i="12"/>
  <c r="AZ209" i="12"/>
  <c r="AZ213" i="12"/>
  <c r="AZ217" i="12"/>
  <c r="AZ221" i="12"/>
  <c r="AZ225" i="12"/>
  <c r="AZ229" i="12"/>
  <c r="AZ233" i="12"/>
  <c r="AZ237" i="12"/>
  <c r="AZ241" i="12"/>
  <c r="AZ245" i="12"/>
  <c r="AZ249" i="12"/>
  <c r="AZ253" i="12"/>
  <c r="AZ257" i="12"/>
  <c r="AZ261" i="12"/>
  <c r="AZ265" i="12"/>
  <c r="AZ269" i="12"/>
  <c r="AZ273" i="12"/>
  <c r="AZ277" i="12"/>
  <c r="AZ281" i="12"/>
  <c r="AZ285" i="12"/>
  <c r="AZ289" i="12"/>
  <c r="AZ293" i="12"/>
  <c r="AZ297" i="12"/>
  <c r="AZ301" i="12"/>
  <c r="AZ305" i="12"/>
  <c r="AZ309" i="12"/>
  <c r="AZ313" i="12"/>
  <c r="AZ317" i="12"/>
  <c r="AZ321" i="12"/>
  <c r="AZ325" i="12"/>
  <c r="AZ329" i="12"/>
  <c r="AZ333" i="12"/>
  <c r="AZ337" i="12"/>
  <c r="AZ341" i="12"/>
  <c r="AZ345" i="12"/>
  <c r="AZ349" i="12"/>
  <c r="AZ353" i="12"/>
  <c r="AZ357" i="12"/>
  <c r="AZ361" i="12"/>
  <c r="AZ365" i="12"/>
  <c r="AZ369" i="12"/>
  <c r="AZ373" i="12"/>
  <c r="AZ377" i="12"/>
  <c r="AZ381" i="12"/>
  <c r="AZ385" i="12"/>
  <c r="AZ389" i="12"/>
  <c r="AZ393" i="12"/>
  <c r="AZ397" i="12"/>
  <c r="AZ401" i="12"/>
  <c r="AZ405" i="12"/>
  <c r="AZ409" i="12"/>
  <c r="AZ413" i="12"/>
  <c r="AZ417" i="12"/>
  <c r="AZ421" i="12"/>
  <c r="AZ425" i="12"/>
  <c r="AZ429" i="12"/>
  <c r="AZ433" i="12"/>
  <c r="AZ437" i="12"/>
  <c r="AZ441" i="12"/>
  <c r="AZ445" i="12"/>
  <c r="AZ449" i="12"/>
  <c r="AZ453" i="12"/>
  <c r="AZ457" i="12"/>
  <c r="AZ461" i="12"/>
  <c r="AZ465" i="12"/>
  <c r="AZ469" i="12"/>
  <c r="AZ473" i="12"/>
  <c r="AZ477" i="12"/>
  <c r="AZ481" i="12"/>
  <c r="AZ485" i="12"/>
  <c r="AZ489" i="12"/>
  <c r="AZ493" i="12"/>
  <c r="AZ497" i="12"/>
  <c r="AZ501" i="12"/>
  <c r="AZ505" i="12"/>
  <c r="AZ509" i="12"/>
  <c r="AZ513" i="12"/>
  <c r="AZ517" i="12"/>
  <c r="AZ521" i="12"/>
  <c r="AZ525" i="12"/>
  <c r="AZ529" i="12"/>
  <c r="AZ533" i="12"/>
  <c r="AZ537" i="12"/>
  <c r="AZ541" i="12"/>
  <c r="AZ545" i="12"/>
  <c r="AZ549" i="12"/>
  <c r="AZ553" i="12"/>
  <c r="AZ557" i="12"/>
  <c r="AZ561" i="12"/>
  <c r="AZ565" i="12"/>
  <c r="AZ569" i="12"/>
  <c r="AZ573" i="12"/>
  <c r="AZ577" i="12"/>
  <c r="AZ581" i="12"/>
  <c r="AZ585" i="12"/>
  <c r="AZ589" i="12"/>
  <c r="AZ593" i="12"/>
  <c r="AZ597" i="12"/>
  <c r="AZ601" i="12"/>
  <c r="AZ605" i="12"/>
  <c r="AZ609" i="12"/>
  <c r="AZ613" i="12"/>
  <c r="AZ617" i="12"/>
  <c r="AZ621" i="12"/>
  <c r="AZ625" i="12"/>
  <c r="AZ629" i="12"/>
  <c r="AZ633" i="12"/>
  <c r="AZ637" i="12"/>
  <c r="AZ641" i="12"/>
  <c r="AZ645" i="12"/>
  <c r="AZ649" i="12"/>
  <c r="AZ653" i="12"/>
  <c r="AZ657" i="12"/>
  <c r="AZ661" i="12"/>
  <c r="AZ665" i="12"/>
  <c r="AZ669" i="12"/>
  <c r="AZ673" i="12"/>
  <c r="AZ677" i="12"/>
  <c r="AZ681" i="12"/>
  <c r="AZ685" i="12"/>
  <c r="AZ689" i="12"/>
  <c r="AZ693" i="12"/>
  <c r="AZ697" i="12"/>
  <c r="AZ701" i="12"/>
  <c r="AZ705" i="12"/>
  <c r="AZ709" i="12"/>
  <c r="AZ713" i="12"/>
  <c r="AZ717" i="12"/>
  <c r="AZ721" i="12"/>
  <c r="AZ725" i="12"/>
  <c r="AZ729" i="12"/>
  <c r="AZ733" i="12"/>
  <c r="AZ737" i="12"/>
  <c r="AZ741" i="12"/>
  <c r="AZ745" i="12"/>
  <c r="AZ749" i="12"/>
  <c r="AZ753" i="12"/>
  <c r="AZ757" i="12"/>
  <c r="AZ761" i="12"/>
  <c r="AZ765" i="12"/>
  <c r="AZ769" i="12"/>
  <c r="AZ773" i="12"/>
  <c r="AZ777" i="12"/>
  <c r="AZ781" i="12"/>
  <c r="AZ785" i="12"/>
  <c r="AZ789" i="12"/>
  <c r="AZ793" i="12"/>
  <c r="AZ797" i="12"/>
  <c r="AZ801" i="12"/>
  <c r="AZ805" i="12"/>
  <c r="AZ809" i="12"/>
  <c r="AZ813" i="12"/>
  <c r="AZ817" i="12"/>
  <c r="AZ821" i="12"/>
  <c r="AZ825" i="12"/>
  <c r="AZ829" i="12"/>
  <c r="AZ833" i="12"/>
  <c r="AZ837" i="12"/>
  <c r="AZ841" i="12"/>
  <c r="AZ845" i="12"/>
  <c r="AZ849" i="12"/>
  <c r="AZ853" i="12"/>
  <c r="AZ857" i="12"/>
  <c r="AZ861" i="12"/>
  <c r="AZ865" i="12"/>
  <c r="AZ869" i="12"/>
  <c r="AZ873" i="12"/>
  <c r="AZ877" i="12"/>
  <c r="AZ881" i="12"/>
  <c r="AZ885" i="12"/>
  <c r="AZ889" i="12"/>
  <c r="AZ893" i="12"/>
  <c r="AZ897" i="12"/>
  <c r="AZ901" i="12"/>
  <c r="AZ905" i="12"/>
  <c r="AZ909" i="12"/>
  <c r="AZ913" i="12"/>
  <c r="AZ917" i="12"/>
  <c r="AZ921" i="12"/>
  <c r="AZ925" i="12"/>
  <c r="AZ929" i="12"/>
  <c r="AZ933" i="12"/>
  <c r="AZ937" i="12"/>
  <c r="AZ941" i="12"/>
  <c r="AZ945" i="12"/>
  <c r="AZ949" i="12"/>
  <c r="AZ953" i="12"/>
  <c r="AZ957" i="12"/>
  <c r="AZ961" i="12"/>
  <c r="AZ965" i="12"/>
  <c r="AZ969" i="12"/>
  <c r="AZ973" i="12"/>
  <c r="AZ977" i="12"/>
  <c r="AZ981" i="12"/>
  <c r="AZ985" i="12"/>
  <c r="AZ989" i="12"/>
  <c r="AZ993" i="12"/>
  <c r="AZ997" i="12"/>
  <c r="AZ1001" i="12"/>
  <c r="AZ1005" i="12"/>
  <c r="AZ1009" i="12"/>
  <c r="AZ1013" i="12"/>
  <c r="AZ1017" i="12"/>
  <c r="AZ1021" i="12"/>
  <c r="AZ1025" i="12"/>
  <c r="AZ1029" i="12"/>
  <c r="AZ1033" i="12"/>
  <c r="AZ1037" i="12"/>
  <c r="AZ1041" i="12"/>
  <c r="AZ1045" i="12"/>
  <c r="AZ1049" i="12"/>
  <c r="AZ1053" i="12"/>
  <c r="AZ1057" i="12"/>
  <c r="AZ1061" i="12"/>
  <c r="AZ1065" i="12"/>
  <c r="AZ1069" i="12"/>
  <c r="AZ1073" i="12"/>
  <c r="AZ1077" i="12"/>
  <c r="AZ1081" i="12"/>
  <c r="AZ1085" i="12"/>
  <c r="AZ1089" i="12"/>
  <c r="AZ1093" i="12"/>
  <c r="AZ1097" i="12"/>
  <c r="AZ1101" i="12"/>
  <c r="AZ1105" i="12"/>
  <c r="AZ1109" i="12"/>
  <c r="AZ1113" i="12"/>
  <c r="AZ1117" i="12"/>
  <c r="AZ1121" i="12"/>
  <c r="AZ1125" i="12"/>
  <c r="AZ1129" i="12"/>
  <c r="AZ1133" i="12"/>
  <c r="AZ1141" i="12"/>
  <c r="AZ1145" i="12"/>
  <c r="AZ1149" i="12"/>
  <c r="AZ1153" i="12"/>
  <c r="AZ1157" i="12"/>
  <c r="AZ11" i="12"/>
  <c r="AZ19" i="12"/>
  <c r="AZ27" i="12"/>
  <c r="AZ35" i="12"/>
  <c r="AZ43" i="12"/>
  <c r="AZ51" i="12"/>
  <c r="AZ59" i="12"/>
  <c r="AZ67" i="12"/>
  <c r="AZ75" i="12"/>
  <c r="AZ83" i="12"/>
  <c r="AZ91" i="12"/>
  <c r="AZ99" i="12"/>
  <c r="AZ107" i="12"/>
  <c r="AZ115" i="12"/>
  <c r="AZ123" i="12"/>
  <c r="AZ131" i="12"/>
  <c r="AZ139" i="12"/>
  <c r="AZ147" i="12"/>
  <c r="AZ155" i="12"/>
  <c r="AZ163" i="12"/>
  <c r="AZ171" i="12"/>
  <c r="AZ179" i="12"/>
  <c r="AZ187" i="12"/>
  <c r="AZ195" i="12"/>
  <c r="AZ203" i="12"/>
  <c r="AZ211" i="12"/>
  <c r="AZ219" i="12"/>
  <c r="AZ227" i="12"/>
  <c r="AZ235" i="12"/>
  <c r="AZ243" i="12"/>
  <c r="AZ251" i="12"/>
  <c r="AZ259" i="12"/>
  <c r="AZ267" i="12"/>
  <c r="AZ275" i="12"/>
  <c r="AZ283" i="12"/>
  <c r="AZ291" i="12"/>
  <c r="AZ299" i="12"/>
  <c r="AZ307" i="12"/>
  <c r="AZ315" i="12"/>
  <c r="AZ323" i="12"/>
  <c r="AZ331" i="12"/>
  <c r="AZ339" i="12"/>
  <c r="AZ347" i="12"/>
  <c r="AZ355" i="12"/>
  <c r="AZ363" i="12"/>
  <c r="AZ371" i="12"/>
  <c r="AZ379" i="12"/>
  <c r="AZ387" i="12"/>
  <c r="AZ395" i="12"/>
  <c r="AZ403" i="12"/>
  <c r="AZ411" i="12"/>
  <c r="AZ419" i="12"/>
  <c r="AZ427" i="12"/>
  <c r="AZ435" i="12"/>
  <c r="AZ443" i="12"/>
  <c r="AZ451" i="12"/>
  <c r="AZ459" i="12"/>
  <c r="AZ467" i="12"/>
  <c r="AZ475" i="12"/>
  <c r="AZ483" i="12"/>
  <c r="AZ491" i="12"/>
  <c r="AZ499" i="12"/>
  <c r="AZ507" i="12"/>
  <c r="AZ515" i="12"/>
  <c r="AZ523" i="12"/>
  <c r="AZ531" i="12"/>
  <c r="AZ539" i="12"/>
  <c r="AZ547" i="12"/>
  <c r="AZ555" i="12"/>
  <c r="AZ563" i="12"/>
  <c r="AZ571" i="12"/>
  <c r="AZ579" i="12"/>
  <c r="AZ587" i="12"/>
  <c r="AZ595" i="12"/>
  <c r="AZ603" i="12"/>
  <c r="AZ611" i="12"/>
  <c r="AZ619" i="12"/>
  <c r="AZ627" i="12"/>
  <c r="AZ635" i="12"/>
  <c r="AZ643" i="12"/>
  <c r="AZ651" i="12"/>
  <c r="AZ659" i="12"/>
  <c r="AZ667" i="12"/>
  <c r="AZ675" i="12"/>
  <c r="AZ683" i="12"/>
  <c r="AZ691" i="12"/>
  <c r="AZ699" i="12"/>
  <c r="AZ707" i="12"/>
  <c r="AZ715" i="12"/>
  <c r="AZ723" i="12"/>
  <c r="AZ731" i="12"/>
  <c r="AZ739" i="12"/>
  <c r="AZ747" i="12"/>
  <c r="AZ755" i="12"/>
  <c r="AZ763" i="12"/>
  <c r="AZ771" i="12"/>
  <c r="AZ779" i="12"/>
  <c r="AZ787" i="12"/>
  <c r="AZ795" i="12"/>
  <c r="AZ803" i="12"/>
  <c r="AZ811" i="12"/>
  <c r="AZ819" i="12"/>
  <c r="AZ827" i="12"/>
  <c r="AZ835" i="12"/>
  <c r="AZ843" i="12"/>
  <c r="AZ851" i="12"/>
  <c r="AZ859" i="12"/>
  <c r="AZ867" i="12"/>
  <c r="AZ875" i="12"/>
  <c r="AZ883" i="12"/>
  <c r="AZ891" i="12"/>
  <c r="AZ899" i="12"/>
  <c r="AZ907" i="12"/>
  <c r="AZ915" i="12"/>
  <c r="AZ923" i="12"/>
  <c r="AZ931" i="12"/>
  <c r="AZ939" i="12"/>
  <c r="AZ947" i="12"/>
  <c r="AZ955" i="12"/>
  <c r="AZ963" i="12"/>
  <c r="AZ971" i="12"/>
  <c r="AZ979" i="12"/>
  <c r="AZ987" i="12"/>
  <c r="AZ995" i="12"/>
  <c r="AZ1003" i="12"/>
  <c r="AZ1011" i="12"/>
  <c r="AZ1019" i="12"/>
  <c r="AZ1027" i="12"/>
  <c r="AZ1035" i="12"/>
  <c r="AZ1043" i="12"/>
  <c r="AZ1051" i="12"/>
  <c r="AZ1059" i="12"/>
  <c r="AZ1067" i="12"/>
  <c r="AZ1075" i="12"/>
  <c r="AZ1083" i="12"/>
  <c r="AZ1091" i="12"/>
  <c r="AZ1099" i="12"/>
  <c r="AZ1107" i="12"/>
  <c r="AZ1115" i="12"/>
  <c r="AZ1123" i="12"/>
  <c r="AZ1131" i="12"/>
  <c r="AZ1143" i="12"/>
  <c r="AZ1151" i="12"/>
  <c r="AZ1159" i="12"/>
  <c r="AZ6" i="12"/>
  <c r="AZ14" i="12"/>
  <c r="AZ22" i="12"/>
  <c r="AZ30" i="12"/>
  <c r="AZ38" i="12"/>
  <c r="AZ46" i="12"/>
  <c r="AZ54" i="12"/>
  <c r="AZ62" i="12"/>
  <c r="AZ70" i="12"/>
  <c r="AZ78" i="12"/>
  <c r="AZ86" i="12"/>
  <c r="AZ94" i="12"/>
  <c r="AZ102" i="12"/>
  <c r="AZ110" i="12"/>
  <c r="AZ118" i="12"/>
  <c r="AZ126" i="12"/>
  <c r="AZ134" i="12"/>
  <c r="AZ142" i="12"/>
  <c r="AZ150" i="12"/>
  <c r="AZ158" i="12"/>
  <c r="AZ166" i="12"/>
  <c r="AZ174" i="12"/>
  <c r="AZ182" i="12"/>
  <c r="AZ190" i="12"/>
  <c r="AZ198" i="12"/>
  <c r="AZ206" i="12"/>
  <c r="AZ214" i="12"/>
  <c r="AZ222" i="12"/>
  <c r="AZ230" i="12"/>
  <c r="AZ238" i="12"/>
  <c r="AZ246" i="12"/>
  <c r="AZ254" i="12"/>
  <c r="AZ262" i="12"/>
  <c r="AZ270" i="12"/>
  <c r="AZ278" i="12"/>
  <c r="AZ286" i="12"/>
  <c r="AZ294" i="12"/>
  <c r="AZ302" i="12"/>
  <c r="AZ310" i="12"/>
  <c r="AZ318" i="12"/>
  <c r="AZ326" i="12"/>
  <c r="AZ334" i="12"/>
  <c r="AZ342" i="12"/>
  <c r="AZ350" i="12"/>
  <c r="AZ358" i="12"/>
  <c r="AZ366" i="12"/>
  <c r="AZ374" i="12"/>
  <c r="AZ382" i="12"/>
  <c r="AZ390" i="12"/>
  <c r="AZ398" i="12"/>
  <c r="AZ406" i="12"/>
  <c r="AZ414" i="12"/>
  <c r="AZ422" i="12"/>
  <c r="AZ430" i="12"/>
  <c r="AZ438" i="12"/>
  <c r="AZ446" i="12"/>
  <c r="AZ454" i="12"/>
  <c r="AZ462" i="12"/>
  <c r="AZ470" i="12"/>
  <c r="AZ478" i="12"/>
  <c r="AZ486" i="12"/>
  <c r="AZ494" i="12"/>
  <c r="AZ502" i="12"/>
  <c r="AZ510" i="12"/>
  <c r="AZ518" i="12"/>
  <c r="AZ526" i="12"/>
  <c r="AZ534" i="12"/>
  <c r="AZ542" i="12"/>
  <c r="AZ550" i="12"/>
  <c r="AZ558" i="12"/>
  <c r="AZ566" i="12"/>
  <c r="AZ574" i="12"/>
  <c r="AZ582" i="12"/>
  <c r="AZ590" i="12"/>
  <c r="AZ598" i="12"/>
  <c r="AZ606" i="12"/>
  <c r="AZ614" i="12"/>
  <c r="AZ622" i="12"/>
  <c r="AZ630" i="12"/>
  <c r="AZ638" i="12"/>
  <c r="AZ646" i="12"/>
  <c r="AZ654" i="12"/>
  <c r="AZ662" i="12"/>
  <c r="AZ670" i="12"/>
  <c r="AZ678" i="12"/>
  <c r="AZ686" i="12"/>
  <c r="AZ694" i="12"/>
  <c r="AZ702" i="12"/>
  <c r="AZ710" i="12"/>
  <c r="AZ718" i="12"/>
  <c r="AZ726" i="12"/>
  <c r="AZ734" i="12"/>
  <c r="AZ742" i="12"/>
  <c r="AZ750" i="12"/>
  <c r="AZ758" i="12"/>
  <c r="AZ766" i="12"/>
  <c r="AZ774" i="12"/>
  <c r="AZ782" i="12"/>
  <c r="AZ790" i="12"/>
  <c r="AZ798" i="12"/>
  <c r="AZ806" i="12"/>
  <c r="AZ814" i="12"/>
  <c r="AZ822" i="12"/>
  <c r="AZ830" i="12"/>
  <c r="AZ838" i="12"/>
  <c r="AZ846" i="12"/>
  <c r="AZ854" i="12"/>
  <c r="AZ862" i="12"/>
  <c r="AZ870" i="12"/>
  <c r="AZ878" i="12"/>
  <c r="AZ886" i="12"/>
  <c r="AZ894" i="12"/>
  <c r="AZ902" i="12"/>
  <c r="AZ910" i="12"/>
  <c r="AZ918" i="12"/>
  <c r="AZ926" i="12"/>
  <c r="AZ934" i="12"/>
  <c r="AZ942" i="12"/>
  <c r="AZ950" i="12"/>
  <c r="AZ958" i="12"/>
  <c r="AZ966" i="12"/>
  <c r="AZ974" i="12"/>
  <c r="AZ982" i="12"/>
  <c r="AZ990" i="12"/>
  <c r="AZ998" i="12"/>
  <c r="AZ1006" i="12"/>
  <c r="AZ1014" i="12"/>
  <c r="AZ1022" i="12"/>
  <c r="AZ1030" i="12"/>
  <c r="AZ1038" i="12"/>
  <c r="AZ1046" i="12"/>
  <c r="AZ1054" i="12"/>
  <c r="AZ1062" i="12"/>
  <c r="AZ1070" i="12"/>
  <c r="AZ1078" i="12"/>
  <c r="AZ1086" i="12"/>
  <c r="AZ1094" i="12"/>
  <c r="AZ1102" i="12"/>
  <c r="AZ1110" i="12"/>
  <c r="AZ1118" i="12"/>
  <c r="AZ1126" i="12"/>
  <c r="AZ1136" i="12"/>
  <c r="AZ1146" i="12"/>
  <c r="AZ1154" i="12"/>
  <c r="AZ7" i="12"/>
  <c r="AZ15" i="12"/>
  <c r="AZ23" i="12"/>
  <c r="AZ31" i="12"/>
  <c r="AZ39" i="12"/>
  <c r="AZ47" i="12"/>
  <c r="AZ55" i="12"/>
  <c r="AZ63" i="12"/>
  <c r="AZ71" i="12"/>
  <c r="AZ79" i="12"/>
  <c r="AZ87" i="12"/>
  <c r="AZ95" i="12"/>
  <c r="AZ103" i="12"/>
  <c r="AZ111" i="12"/>
  <c r="AZ119" i="12"/>
  <c r="AZ127" i="12"/>
  <c r="AZ135" i="12"/>
  <c r="AZ143" i="12"/>
  <c r="AZ151" i="12"/>
  <c r="AZ159" i="12"/>
  <c r="AZ167" i="12"/>
  <c r="AZ175" i="12"/>
  <c r="AZ183" i="12"/>
  <c r="AZ191" i="12"/>
  <c r="AZ199" i="12"/>
  <c r="AZ207" i="12"/>
  <c r="AZ215" i="12"/>
  <c r="AZ223" i="12"/>
  <c r="AZ231" i="12"/>
  <c r="AZ239" i="12"/>
  <c r="AZ247" i="12"/>
  <c r="AZ255" i="12"/>
  <c r="AZ263" i="12"/>
  <c r="AZ271" i="12"/>
  <c r="AZ279" i="12"/>
  <c r="AZ287" i="12"/>
  <c r="AZ295" i="12"/>
  <c r="AZ303" i="12"/>
  <c r="AZ311" i="12"/>
  <c r="AZ319" i="12"/>
  <c r="AZ327" i="12"/>
  <c r="AZ335" i="12"/>
  <c r="AZ343" i="12"/>
  <c r="AZ351" i="12"/>
  <c r="AZ359" i="12"/>
  <c r="AZ367" i="12"/>
  <c r="AZ375" i="12"/>
  <c r="AZ383" i="12"/>
  <c r="AZ391" i="12"/>
  <c r="AZ399" i="12"/>
  <c r="AZ407" i="12"/>
  <c r="AZ415" i="12"/>
  <c r="AZ423" i="12"/>
  <c r="AZ431" i="12"/>
  <c r="AZ439" i="12"/>
  <c r="AZ447" i="12"/>
  <c r="AZ455" i="12"/>
  <c r="AZ463" i="12"/>
  <c r="AZ471" i="12"/>
  <c r="AZ479" i="12"/>
  <c r="AZ487" i="12"/>
  <c r="AZ495" i="12"/>
  <c r="AZ503" i="12"/>
  <c r="AZ511" i="12"/>
  <c r="AZ519" i="12"/>
  <c r="AZ527" i="12"/>
  <c r="AZ535" i="12"/>
  <c r="AZ543" i="12"/>
  <c r="AZ551" i="12"/>
  <c r="AZ559" i="12"/>
  <c r="AZ567" i="12"/>
  <c r="AZ575" i="12"/>
  <c r="AZ583" i="12"/>
  <c r="AZ591" i="12"/>
  <c r="AZ599" i="12"/>
  <c r="AZ607" i="12"/>
  <c r="AZ615" i="12"/>
  <c r="AZ623" i="12"/>
  <c r="AZ631" i="12"/>
  <c r="AZ639" i="12"/>
  <c r="AZ647" i="12"/>
  <c r="AZ655" i="12"/>
  <c r="AZ663" i="12"/>
  <c r="AZ671" i="12"/>
  <c r="AZ679" i="12"/>
  <c r="AZ687" i="12"/>
  <c r="AZ695" i="12"/>
  <c r="AZ703" i="12"/>
  <c r="AZ711" i="12"/>
  <c r="AZ719" i="12"/>
  <c r="AZ727" i="12"/>
  <c r="AZ735" i="12"/>
  <c r="AZ743" i="12"/>
  <c r="AZ751" i="12"/>
  <c r="AZ759" i="12"/>
  <c r="AZ767" i="12"/>
  <c r="AZ775" i="12"/>
  <c r="AZ783" i="12"/>
  <c r="AZ791" i="12"/>
  <c r="AZ799" i="12"/>
  <c r="AZ807" i="12"/>
  <c r="AZ815" i="12"/>
  <c r="AZ823" i="12"/>
  <c r="AZ831" i="12"/>
  <c r="AZ839" i="12"/>
  <c r="AZ847" i="12"/>
  <c r="AZ855" i="12"/>
  <c r="AZ863" i="12"/>
  <c r="AZ871" i="12"/>
  <c r="AZ879" i="12"/>
  <c r="AZ887" i="12"/>
  <c r="AZ895" i="12"/>
  <c r="AZ903" i="12"/>
  <c r="AZ911" i="12"/>
  <c r="AZ919" i="12"/>
  <c r="AZ927" i="12"/>
  <c r="AZ935" i="12"/>
  <c r="AZ943" i="12"/>
  <c r="AZ951" i="12"/>
  <c r="AZ959" i="12"/>
  <c r="AZ967" i="12"/>
  <c r="AZ975" i="12"/>
  <c r="AZ983" i="12"/>
  <c r="AZ991" i="12"/>
  <c r="AZ999" i="12"/>
  <c r="AZ1007" i="12"/>
  <c r="AZ1015" i="12"/>
  <c r="AZ1023" i="12"/>
  <c r="AZ1031" i="12"/>
  <c r="AZ1039" i="12"/>
  <c r="AZ1047" i="12"/>
  <c r="AZ1055" i="12"/>
  <c r="AZ1063" i="12"/>
  <c r="AZ1071" i="12"/>
  <c r="AZ1079" i="12"/>
  <c r="AZ1087" i="12"/>
  <c r="AZ1095" i="12"/>
  <c r="AZ1103" i="12"/>
  <c r="AZ1111" i="12"/>
  <c r="AZ1119" i="12"/>
  <c r="AZ1127" i="12"/>
  <c r="AZ1137" i="12"/>
  <c r="AZ1147" i="12"/>
  <c r="AZ1155" i="12"/>
  <c r="AZ10" i="12"/>
  <c r="AZ42" i="12"/>
  <c r="AZ74" i="12"/>
  <c r="AZ106" i="12"/>
  <c r="AZ138" i="12"/>
  <c r="AZ170" i="12"/>
  <c r="AZ202" i="12"/>
  <c r="AZ234" i="12"/>
  <c r="AZ266" i="12"/>
  <c r="AZ298" i="12"/>
  <c r="AZ330" i="12"/>
  <c r="AZ362" i="12"/>
  <c r="AZ394" i="12"/>
  <c r="AZ426" i="12"/>
  <c r="AZ458" i="12"/>
  <c r="AZ490" i="12"/>
  <c r="AZ522" i="12"/>
  <c r="AZ554" i="12"/>
  <c r="AZ586" i="12"/>
  <c r="AZ618" i="12"/>
  <c r="AZ650" i="12"/>
  <c r="AZ682" i="12"/>
  <c r="AZ714" i="12"/>
  <c r="AZ746" i="12"/>
  <c r="AZ778" i="12"/>
  <c r="AZ810" i="12"/>
  <c r="AZ842" i="12"/>
  <c r="AZ874" i="12"/>
  <c r="AZ906" i="12"/>
  <c r="AZ938" i="12"/>
  <c r="AZ970" i="12"/>
  <c r="AZ1002" i="12"/>
  <c r="AZ1034" i="12"/>
  <c r="AZ1066" i="12"/>
  <c r="AZ1098" i="12"/>
  <c r="AZ1130" i="12"/>
  <c r="AZ18" i="12"/>
  <c r="AZ50" i="12"/>
  <c r="AZ82" i="12"/>
  <c r="AZ114" i="12"/>
  <c r="AZ146" i="12"/>
  <c r="AZ178" i="12"/>
  <c r="AZ210" i="12"/>
  <c r="AZ242" i="12"/>
  <c r="AZ274" i="12"/>
  <c r="AZ306" i="12"/>
  <c r="AZ338" i="12"/>
  <c r="AZ370" i="12"/>
  <c r="AZ402" i="12"/>
  <c r="AZ434" i="12"/>
  <c r="AZ466" i="12"/>
  <c r="AZ498" i="12"/>
  <c r="AZ530" i="12"/>
  <c r="AZ562" i="12"/>
  <c r="AZ594" i="12"/>
  <c r="AZ626" i="12"/>
  <c r="AZ658" i="12"/>
  <c r="AZ690" i="12"/>
  <c r="AZ722" i="12"/>
  <c r="AZ754" i="12"/>
  <c r="AZ786" i="12"/>
  <c r="AZ818" i="12"/>
  <c r="AZ850" i="12"/>
  <c r="AZ882" i="12"/>
  <c r="AZ914" i="12"/>
  <c r="AZ946" i="12"/>
  <c r="AZ978" i="12"/>
  <c r="AZ1010" i="12"/>
  <c r="AZ1042" i="12"/>
  <c r="AZ1074" i="12"/>
  <c r="AZ1106" i="12"/>
  <c r="AZ1142" i="12"/>
  <c r="AZ26" i="12"/>
  <c r="AZ58" i="12"/>
  <c r="AZ90" i="12"/>
  <c r="AZ122" i="12"/>
  <c r="AZ154" i="12"/>
  <c r="AZ186" i="12"/>
  <c r="AZ218" i="12"/>
  <c r="AZ250" i="12"/>
  <c r="AZ282" i="12"/>
  <c r="AZ314" i="12"/>
  <c r="AZ346" i="12"/>
  <c r="AZ378" i="12"/>
  <c r="AZ410" i="12"/>
  <c r="AZ442" i="12"/>
  <c r="AZ474" i="12"/>
  <c r="AZ506" i="12"/>
  <c r="AZ538" i="12"/>
  <c r="AZ570" i="12"/>
  <c r="AZ602" i="12"/>
  <c r="AZ634" i="12"/>
  <c r="AZ666" i="12"/>
  <c r="AZ698" i="12"/>
  <c r="AZ730" i="12"/>
  <c r="AZ762" i="12"/>
  <c r="AZ794" i="12"/>
  <c r="AZ826" i="12"/>
  <c r="AZ858" i="12"/>
  <c r="AZ890" i="12"/>
  <c r="AZ922" i="12"/>
  <c r="AZ954" i="12"/>
  <c r="AZ986" i="12"/>
  <c r="AZ1018" i="12"/>
  <c r="AZ1050" i="12"/>
  <c r="AZ1082" i="12"/>
  <c r="AZ1114" i="12"/>
  <c r="AZ1150" i="12"/>
  <c r="AZ66" i="12"/>
  <c r="AZ194" i="12"/>
  <c r="AZ322" i="12"/>
  <c r="AZ450" i="12"/>
  <c r="AZ578" i="12"/>
  <c r="AZ706" i="12"/>
  <c r="AZ834" i="12"/>
  <c r="AZ962" i="12"/>
  <c r="AZ1090" i="12"/>
  <c r="AZ290" i="12"/>
  <c r="AZ546" i="12"/>
  <c r="AZ930" i="12"/>
  <c r="AZ98" i="12"/>
  <c r="AZ226" i="12"/>
  <c r="AZ354" i="12"/>
  <c r="AZ482" i="12"/>
  <c r="AZ610" i="12"/>
  <c r="AZ738" i="12"/>
  <c r="AZ866" i="12"/>
  <c r="AZ994" i="12"/>
  <c r="AZ1122" i="12"/>
  <c r="AZ162" i="12"/>
  <c r="AZ802" i="12"/>
  <c r="AZ130" i="12"/>
  <c r="AZ258" i="12"/>
  <c r="AZ386" i="12"/>
  <c r="AZ514" i="12"/>
  <c r="AZ642" i="12"/>
  <c r="AZ770" i="12"/>
  <c r="AZ898" i="12"/>
  <c r="AZ1026" i="12"/>
  <c r="AZ1158" i="12"/>
  <c r="AZ34" i="12"/>
  <c r="AZ418" i="12"/>
  <c r="AZ674" i="12"/>
  <c r="AZ1058" i="12"/>
  <c r="AV1139" i="12"/>
  <c r="O10" i="73"/>
  <c r="AV1138" i="12"/>
  <c r="AV6" i="12"/>
  <c r="AV10" i="12"/>
  <c r="AV14" i="12"/>
  <c r="AV18" i="12"/>
  <c r="AV22" i="12"/>
  <c r="AV26" i="12"/>
  <c r="AV30" i="12"/>
  <c r="AV34" i="12"/>
  <c r="AV38" i="12"/>
  <c r="AV42" i="12"/>
  <c r="AV46" i="12"/>
  <c r="AV50" i="12"/>
  <c r="AV54" i="12"/>
  <c r="AV58" i="12"/>
  <c r="AV62" i="12"/>
  <c r="AV66" i="12"/>
  <c r="AV70" i="12"/>
  <c r="AV74" i="12"/>
  <c r="AV78" i="12"/>
  <c r="AV82" i="12"/>
  <c r="AV86" i="12"/>
  <c r="AV90" i="12"/>
  <c r="AV94" i="12"/>
  <c r="AV98" i="12"/>
  <c r="AV102" i="12"/>
  <c r="AV106" i="12"/>
  <c r="AV110" i="12"/>
  <c r="AV114" i="12"/>
  <c r="AV118" i="12"/>
  <c r="AV122" i="12"/>
  <c r="AV126" i="12"/>
  <c r="AV130" i="12"/>
  <c r="AV134" i="12"/>
  <c r="AV138" i="12"/>
  <c r="AV142" i="12"/>
  <c r="AV146" i="12"/>
  <c r="AV150" i="12"/>
  <c r="AV154" i="12"/>
  <c r="AV158" i="12"/>
  <c r="AV162" i="12"/>
  <c r="AV166" i="12"/>
  <c r="AV170" i="12"/>
  <c r="AV174" i="12"/>
  <c r="AV178" i="12"/>
  <c r="AV182" i="12"/>
  <c r="AV186" i="12"/>
  <c r="AV190" i="12"/>
  <c r="AV194" i="12"/>
  <c r="AV198" i="12"/>
  <c r="AV202" i="12"/>
  <c r="AV206" i="12"/>
  <c r="AV210" i="12"/>
  <c r="AV214" i="12"/>
  <c r="AV218" i="12"/>
  <c r="AV222" i="12"/>
  <c r="AV226" i="12"/>
  <c r="AV230" i="12"/>
  <c r="AV234" i="12"/>
  <c r="AV238" i="12"/>
  <c r="AV242" i="12"/>
  <c r="AV246" i="12"/>
  <c r="AV250" i="12"/>
  <c r="AV254" i="12"/>
  <c r="AV258" i="12"/>
  <c r="AV262" i="12"/>
  <c r="AV266" i="12"/>
  <c r="AV270" i="12"/>
  <c r="AV274" i="12"/>
  <c r="AV278" i="12"/>
  <c r="AV282" i="12"/>
  <c r="AV286" i="12"/>
  <c r="AV290" i="12"/>
  <c r="AV294" i="12"/>
  <c r="AV298" i="12"/>
  <c r="AV302" i="12"/>
  <c r="AV306" i="12"/>
  <c r="AV310" i="12"/>
  <c r="AV314" i="12"/>
  <c r="AV318" i="12"/>
  <c r="AV322" i="12"/>
  <c r="AV326" i="12"/>
  <c r="AV330" i="12"/>
  <c r="AV334" i="12"/>
  <c r="AV338" i="12"/>
  <c r="AV342" i="12"/>
  <c r="AV346" i="12"/>
  <c r="AV350" i="12"/>
  <c r="AV354" i="12"/>
  <c r="AV358" i="12"/>
  <c r="AV362" i="12"/>
  <c r="AV366" i="12"/>
  <c r="AV370" i="12"/>
  <c r="AV374" i="12"/>
  <c r="AV378" i="12"/>
  <c r="AV382" i="12"/>
  <c r="AV386" i="12"/>
  <c r="AV390" i="12"/>
  <c r="AV394" i="12"/>
  <c r="AV398" i="12"/>
  <c r="AV402" i="12"/>
  <c r="AV406" i="12"/>
  <c r="AV410" i="12"/>
  <c r="AV414" i="12"/>
  <c r="AV418" i="12"/>
  <c r="AV422" i="12"/>
  <c r="AV426" i="12"/>
  <c r="AV430" i="12"/>
  <c r="AV434" i="12"/>
  <c r="AV438" i="12"/>
  <c r="AV442" i="12"/>
  <c r="AV446" i="12"/>
  <c r="AV450" i="12"/>
  <c r="AV454" i="12"/>
  <c r="AV458" i="12"/>
  <c r="AV462" i="12"/>
  <c r="AV466" i="12"/>
  <c r="AV470" i="12"/>
  <c r="AV474" i="12"/>
  <c r="AV478" i="12"/>
  <c r="AV482" i="12"/>
  <c r="AV486" i="12"/>
  <c r="AV490" i="12"/>
  <c r="AV494" i="12"/>
  <c r="AV498" i="12"/>
  <c r="AV502" i="12"/>
  <c r="AV506" i="12"/>
  <c r="AV510" i="12"/>
  <c r="AV514" i="12"/>
  <c r="AV518" i="12"/>
  <c r="AV522" i="12"/>
  <c r="AV526" i="12"/>
  <c r="AV530" i="12"/>
  <c r="AV534" i="12"/>
  <c r="AV538" i="12"/>
  <c r="AV542" i="12"/>
  <c r="AV546" i="12"/>
  <c r="AV550" i="12"/>
  <c r="AV554" i="12"/>
  <c r="AV558" i="12"/>
  <c r="AV562" i="12"/>
  <c r="AV566" i="12"/>
  <c r="AV570" i="12"/>
  <c r="AV574" i="12"/>
  <c r="AV578" i="12"/>
  <c r="AV582" i="12"/>
  <c r="AV586" i="12"/>
  <c r="AV590" i="12"/>
  <c r="AV594" i="12"/>
  <c r="AV598" i="12"/>
  <c r="AV602" i="12"/>
  <c r="AV606" i="12"/>
  <c r="AV610" i="12"/>
  <c r="AV614" i="12"/>
  <c r="AV618" i="12"/>
  <c r="AV622" i="12"/>
  <c r="AV626" i="12"/>
  <c r="AV630" i="12"/>
  <c r="AV634" i="12"/>
  <c r="AV638" i="12"/>
  <c r="AV642" i="12"/>
  <c r="AV646" i="12"/>
  <c r="AV650" i="12"/>
  <c r="AV654" i="12"/>
  <c r="AV658" i="12"/>
  <c r="AV662" i="12"/>
  <c r="AV666" i="12"/>
  <c r="AV670" i="12"/>
  <c r="AV674" i="12"/>
  <c r="AV678" i="12"/>
  <c r="AV682" i="12"/>
  <c r="AV686" i="12"/>
  <c r="AV690" i="12"/>
  <c r="AV694" i="12"/>
  <c r="AV698" i="12"/>
  <c r="AV702" i="12"/>
  <c r="AV706" i="12"/>
  <c r="AV710" i="12"/>
  <c r="AV714" i="12"/>
  <c r="AV718" i="12"/>
  <c r="AV722" i="12"/>
  <c r="AV726" i="12"/>
  <c r="AV730" i="12"/>
  <c r="AV734" i="12"/>
  <c r="AV738" i="12"/>
  <c r="AV742" i="12"/>
  <c r="AV746" i="12"/>
  <c r="AV750" i="12"/>
  <c r="AV754" i="12"/>
  <c r="AV758" i="12"/>
  <c r="AV762" i="12"/>
  <c r="AV766" i="12"/>
  <c r="AV770" i="12"/>
  <c r="AV774" i="12"/>
  <c r="AV778" i="12"/>
  <c r="AV782" i="12"/>
  <c r="AV786" i="12"/>
  <c r="AV790" i="12"/>
  <c r="AV794" i="12"/>
  <c r="AV798" i="12"/>
  <c r="AV802" i="12"/>
  <c r="AV806" i="12"/>
  <c r="AV810" i="12"/>
  <c r="AV814" i="12"/>
  <c r="AV818" i="12"/>
  <c r="AV822" i="12"/>
  <c r="AV826" i="12"/>
  <c r="AV830" i="12"/>
  <c r="AV834" i="12"/>
  <c r="AV838" i="12"/>
  <c r="AV842" i="12"/>
  <c r="AV846" i="12"/>
  <c r="AV850" i="12"/>
  <c r="AV854" i="12"/>
  <c r="AV858" i="12"/>
  <c r="AV862" i="12"/>
  <c r="AV866" i="12"/>
  <c r="AV870" i="12"/>
  <c r="AV874" i="12"/>
  <c r="AV878" i="12"/>
  <c r="AV882" i="12"/>
  <c r="AV886" i="12"/>
  <c r="AV890" i="12"/>
  <c r="AV894" i="12"/>
  <c r="AV898" i="12"/>
  <c r="AV902" i="12"/>
  <c r="AV906" i="12"/>
  <c r="AV910" i="12"/>
  <c r="AV914" i="12"/>
  <c r="AV918" i="12"/>
  <c r="AV922" i="12"/>
  <c r="AV926" i="12"/>
  <c r="AV930" i="12"/>
  <c r="AV934" i="12"/>
  <c r="AV938" i="12"/>
  <c r="AV942" i="12"/>
  <c r="AV946" i="12"/>
  <c r="AV950" i="12"/>
  <c r="AV954" i="12"/>
  <c r="AV958" i="12"/>
  <c r="AV962" i="12"/>
  <c r="AV966" i="12"/>
  <c r="AV970" i="12"/>
  <c r="AV974" i="12"/>
  <c r="AV978" i="12"/>
  <c r="AV982" i="12"/>
  <c r="AV986" i="12"/>
  <c r="AV990" i="12"/>
  <c r="AV994" i="12"/>
  <c r="AV998" i="12"/>
  <c r="AV1002" i="12"/>
  <c r="AV1006" i="12"/>
  <c r="AV1010" i="12"/>
  <c r="AV1014" i="12"/>
  <c r="AV1018" i="12"/>
  <c r="AV1022" i="12"/>
  <c r="AV1026" i="12"/>
  <c r="AV1030" i="12"/>
  <c r="AV1034" i="12"/>
  <c r="AV1038" i="12"/>
  <c r="AV1042" i="12"/>
  <c r="AV1046" i="12"/>
  <c r="AV1050" i="12"/>
  <c r="AV1054" i="12"/>
  <c r="AV1058" i="12"/>
  <c r="AV1062" i="12"/>
  <c r="AV1066" i="12"/>
  <c r="AV1070" i="12"/>
  <c r="AV1074" i="12"/>
  <c r="AV1078" i="12"/>
  <c r="AV1082" i="12"/>
  <c r="AV1086" i="12"/>
  <c r="AV1090" i="12"/>
  <c r="AV1094" i="12"/>
  <c r="AV1098" i="12"/>
  <c r="AV1102" i="12"/>
  <c r="AV1106" i="12"/>
  <c r="AV1110" i="12"/>
  <c r="AV1114" i="12"/>
  <c r="AV1118" i="12"/>
  <c r="AV1122" i="12"/>
  <c r="AV1126" i="12"/>
  <c r="AV1130" i="12"/>
  <c r="AV1136" i="12"/>
  <c r="AV1142" i="12"/>
  <c r="AV1146" i="12"/>
  <c r="AV1150" i="12"/>
  <c r="AV1154" i="12"/>
  <c r="AV1158" i="12"/>
  <c r="AV576" i="12"/>
  <c r="AV7" i="12"/>
  <c r="AV11" i="12"/>
  <c r="AV15" i="12"/>
  <c r="AV19" i="12"/>
  <c r="AV23" i="12"/>
  <c r="AV27" i="12"/>
  <c r="AV31" i="12"/>
  <c r="AV35" i="12"/>
  <c r="AV39" i="12"/>
  <c r="AV43" i="12"/>
  <c r="AV47" i="12"/>
  <c r="AV51" i="12"/>
  <c r="AV55" i="12"/>
  <c r="AV59" i="12"/>
  <c r="AV63" i="12"/>
  <c r="AV67" i="12"/>
  <c r="AV71" i="12"/>
  <c r="AV75" i="12"/>
  <c r="AV79" i="12"/>
  <c r="AV83" i="12"/>
  <c r="AV87" i="12"/>
  <c r="AV91" i="12"/>
  <c r="AV95" i="12"/>
  <c r="AV99" i="12"/>
  <c r="AV103" i="12"/>
  <c r="AV107" i="12"/>
  <c r="AV111" i="12"/>
  <c r="AV115" i="12"/>
  <c r="AV119" i="12"/>
  <c r="AV123" i="12"/>
  <c r="AV127" i="12"/>
  <c r="AV131" i="12"/>
  <c r="AV135" i="12"/>
  <c r="AV139" i="12"/>
  <c r="AV143" i="12"/>
  <c r="AV147" i="12"/>
  <c r="AV151" i="12"/>
  <c r="AV155" i="12"/>
  <c r="AV159" i="12"/>
  <c r="AV163" i="12"/>
  <c r="AV167" i="12"/>
  <c r="AV171" i="12"/>
  <c r="AV175" i="12"/>
  <c r="AV179" i="12"/>
  <c r="AV183" i="12"/>
  <c r="AV187" i="12"/>
  <c r="AV191" i="12"/>
  <c r="AV195" i="12"/>
  <c r="AV199" i="12"/>
  <c r="AV203" i="12"/>
  <c r="AV207" i="12"/>
  <c r="AV211" i="12"/>
  <c r="AV215" i="12"/>
  <c r="AV219" i="12"/>
  <c r="AV223" i="12"/>
  <c r="AV227" i="12"/>
  <c r="AV231" i="12"/>
  <c r="AV235" i="12"/>
  <c r="AV239" i="12"/>
  <c r="AV243" i="12"/>
  <c r="AV247" i="12"/>
  <c r="AV251" i="12"/>
  <c r="AV255" i="12"/>
  <c r="AV259" i="12"/>
  <c r="AV263" i="12"/>
  <c r="AV267" i="12"/>
  <c r="AV271" i="12"/>
  <c r="AV275" i="12"/>
  <c r="AV279" i="12"/>
  <c r="AV283" i="12"/>
  <c r="AV287" i="12"/>
  <c r="AV291" i="12"/>
  <c r="AV295" i="12"/>
  <c r="AV299" i="12"/>
  <c r="AV303" i="12"/>
  <c r="AV307" i="12"/>
  <c r="AV311" i="12"/>
  <c r="AV315" i="12"/>
  <c r="AV319" i="12"/>
  <c r="AV323" i="12"/>
  <c r="AV327" i="12"/>
  <c r="AV331" i="12"/>
  <c r="AV335" i="12"/>
  <c r="AV339" i="12"/>
  <c r="AV343" i="12"/>
  <c r="AV347" i="12"/>
  <c r="AV351" i="12"/>
  <c r="AV355" i="12"/>
  <c r="AV359" i="12"/>
  <c r="AV363" i="12"/>
  <c r="AV367" i="12"/>
  <c r="AV371" i="12"/>
  <c r="AV375" i="12"/>
  <c r="AV379" i="12"/>
  <c r="AV383" i="12"/>
  <c r="AV387" i="12"/>
  <c r="AV391" i="12"/>
  <c r="AV395" i="12"/>
  <c r="AV399" i="12"/>
  <c r="AV403" i="12"/>
  <c r="AV407" i="12"/>
  <c r="AV411" i="12"/>
  <c r="AV415" i="12"/>
  <c r="AV419" i="12"/>
  <c r="AV423" i="12"/>
  <c r="AV427" i="12"/>
  <c r="AV431" i="12"/>
  <c r="AV435" i="12"/>
  <c r="AV439" i="12"/>
  <c r="AV443" i="12"/>
  <c r="AV447" i="12"/>
  <c r="AV451" i="12"/>
  <c r="AV455" i="12"/>
  <c r="AV459" i="12"/>
  <c r="AV463" i="12"/>
  <c r="AV467" i="12"/>
  <c r="AV471" i="12"/>
  <c r="AV475" i="12"/>
  <c r="AV479" i="12"/>
  <c r="AV483" i="12"/>
  <c r="AV487" i="12"/>
  <c r="AV491" i="12"/>
  <c r="AV495" i="12"/>
  <c r="AV499" i="12"/>
  <c r="AV503" i="12"/>
  <c r="AV507" i="12"/>
  <c r="AV511" i="12"/>
  <c r="AV515" i="12"/>
  <c r="AV519" i="12"/>
  <c r="AV523" i="12"/>
  <c r="AV527" i="12"/>
  <c r="AV531" i="12"/>
  <c r="AV535" i="12"/>
  <c r="AV539" i="12"/>
  <c r="AV543" i="12"/>
  <c r="AV547" i="12"/>
  <c r="AV551" i="12"/>
  <c r="AV555" i="12"/>
  <c r="AV559" i="12"/>
  <c r="AV563" i="12"/>
  <c r="AV567" i="12"/>
  <c r="AV571" i="12"/>
  <c r="AV575" i="12"/>
  <c r="AV579" i="12"/>
  <c r="AV583" i="12"/>
  <c r="AV587" i="12"/>
  <c r="AV591" i="12"/>
  <c r="AV595" i="12"/>
  <c r="AV599" i="12"/>
  <c r="AV603" i="12"/>
  <c r="AV607" i="12"/>
  <c r="AV611" i="12"/>
  <c r="AV615" i="12"/>
  <c r="AV619" i="12"/>
  <c r="AV623" i="12"/>
  <c r="AV627" i="12"/>
  <c r="AV631" i="12"/>
  <c r="AV635" i="12"/>
  <c r="AV639" i="12"/>
  <c r="AV643" i="12"/>
  <c r="AV647" i="12"/>
  <c r="AV651" i="12"/>
  <c r="AV655" i="12"/>
  <c r="AV659" i="12"/>
  <c r="AV663" i="12"/>
  <c r="AV667" i="12"/>
  <c r="AV671" i="12"/>
  <c r="AV675" i="12"/>
  <c r="AV679" i="12"/>
  <c r="AV683" i="12"/>
  <c r="AV687" i="12"/>
  <c r="AV691" i="12"/>
  <c r="AV695" i="12"/>
  <c r="AV699" i="12"/>
  <c r="AV703" i="12"/>
  <c r="AV707" i="12"/>
  <c r="AV711" i="12"/>
  <c r="AV715" i="12"/>
  <c r="AV719" i="12"/>
  <c r="AV723" i="12"/>
  <c r="AV727" i="12"/>
  <c r="AV731" i="12"/>
  <c r="AV735" i="12"/>
  <c r="AV739" i="12"/>
  <c r="AV743" i="12"/>
  <c r="AV747" i="12"/>
  <c r="AV751" i="12"/>
  <c r="AV755" i="12"/>
  <c r="AV759" i="12"/>
  <c r="AV763" i="12"/>
  <c r="AV767" i="12"/>
  <c r="AV771" i="12"/>
  <c r="AV775" i="12"/>
  <c r="AV779" i="12"/>
  <c r="AV783" i="12"/>
  <c r="AV787" i="12"/>
  <c r="AV791" i="12"/>
  <c r="AV795" i="12"/>
  <c r="AV799" i="12"/>
  <c r="AV803" i="12"/>
  <c r="AV807" i="12"/>
  <c r="AV811" i="12"/>
  <c r="AV815" i="12"/>
  <c r="AV819" i="12"/>
  <c r="AV823" i="12"/>
  <c r="AV827" i="12"/>
  <c r="AV831" i="12"/>
  <c r="AV835" i="12"/>
  <c r="AV839" i="12"/>
  <c r="AV843" i="12"/>
  <c r="AV847" i="12"/>
  <c r="AV851" i="12"/>
  <c r="AV855" i="12"/>
  <c r="AV859" i="12"/>
  <c r="AV863" i="12"/>
  <c r="AV867" i="12"/>
  <c r="AV871" i="12"/>
  <c r="AV875" i="12"/>
  <c r="AV879" i="12"/>
  <c r="AV883" i="12"/>
  <c r="AV887" i="12"/>
  <c r="AV891" i="12"/>
  <c r="AV895" i="12"/>
  <c r="AV899" i="12"/>
  <c r="AV903" i="12"/>
  <c r="AV907" i="12"/>
  <c r="AV911" i="12"/>
  <c r="AV915" i="12"/>
  <c r="AV919" i="12"/>
  <c r="AV923" i="12"/>
  <c r="AV927" i="12"/>
  <c r="AV931" i="12"/>
  <c r="AV935" i="12"/>
  <c r="AV939" i="12"/>
  <c r="AV943" i="12"/>
  <c r="AV947" i="12"/>
  <c r="AV951" i="12"/>
  <c r="AV955" i="12"/>
  <c r="AV959" i="12"/>
  <c r="AV963" i="12"/>
  <c r="AV967" i="12"/>
  <c r="AV971" i="12"/>
  <c r="AV975" i="12"/>
  <c r="AV979" i="12"/>
  <c r="AV983" i="12"/>
  <c r="AV987" i="12"/>
  <c r="AV991" i="12"/>
  <c r="AV995" i="12"/>
  <c r="AV999" i="12"/>
  <c r="AV1003" i="12"/>
  <c r="AV1007" i="12"/>
  <c r="AV1011" i="12"/>
  <c r="AV1015" i="12"/>
  <c r="AV1019" i="12"/>
  <c r="AV1023" i="12"/>
  <c r="AV1027" i="12"/>
  <c r="AV1031" i="12"/>
  <c r="AV1035" i="12"/>
  <c r="AV1039" i="12"/>
  <c r="AV1043" i="12"/>
  <c r="AV1047" i="12"/>
  <c r="AV1051" i="12"/>
  <c r="AV1055" i="12"/>
  <c r="AV1059" i="12"/>
  <c r="AV1063" i="12"/>
  <c r="AV1067" i="12"/>
  <c r="AV1071" i="12"/>
  <c r="AV1075" i="12"/>
  <c r="AV1079" i="12"/>
  <c r="AV1083" i="12"/>
  <c r="AV1087" i="12"/>
  <c r="AV1091" i="12"/>
  <c r="AV1095" i="12"/>
  <c r="AV1099" i="12"/>
  <c r="AV1103" i="12"/>
  <c r="AV1107" i="12"/>
  <c r="AV1111" i="12"/>
  <c r="AV1115" i="12"/>
  <c r="AV1119" i="12"/>
  <c r="AV1123" i="12"/>
  <c r="AV1127" i="12"/>
  <c r="AV1131" i="12"/>
  <c r="AV1137" i="12"/>
  <c r="AV1143" i="12"/>
  <c r="AV1147" i="12"/>
  <c r="AV1151" i="12"/>
  <c r="AV1155" i="12"/>
  <c r="AV1159" i="12"/>
  <c r="AV8" i="12"/>
  <c r="AV12" i="12"/>
  <c r="AV16" i="12"/>
  <c r="AV20" i="12"/>
  <c r="AV24" i="12"/>
  <c r="AV28" i="12"/>
  <c r="AV32" i="12"/>
  <c r="AV36" i="12"/>
  <c r="AV40" i="12"/>
  <c r="AV44" i="12"/>
  <c r="AV48" i="12"/>
  <c r="AV52" i="12"/>
  <c r="AV56" i="12"/>
  <c r="AV60" i="12"/>
  <c r="AV64" i="12"/>
  <c r="AV68" i="12"/>
  <c r="AV72" i="12"/>
  <c r="AV76" i="12"/>
  <c r="AV80" i="12"/>
  <c r="AV84" i="12"/>
  <c r="AV88" i="12"/>
  <c r="AV92" i="12"/>
  <c r="AV96" i="12"/>
  <c r="AV100" i="12"/>
  <c r="AV104" i="12"/>
  <c r="AV108" i="12"/>
  <c r="AV112" i="12"/>
  <c r="AV116" i="12"/>
  <c r="AV120" i="12"/>
  <c r="AV124" i="12"/>
  <c r="AV128" i="12"/>
  <c r="AV132" i="12"/>
  <c r="AV136" i="12"/>
  <c r="AV140" i="12"/>
  <c r="AV144" i="12"/>
  <c r="AV148" i="12"/>
  <c r="AV152" i="12"/>
  <c r="AV156" i="12"/>
  <c r="AV160" i="12"/>
  <c r="AV164" i="12"/>
  <c r="AV168" i="12"/>
  <c r="AV172" i="12"/>
  <c r="AV176" i="12"/>
  <c r="AV180" i="12"/>
  <c r="AV184" i="12"/>
  <c r="AV188" i="12"/>
  <c r="AV192" i="12"/>
  <c r="AV196" i="12"/>
  <c r="AV200" i="12"/>
  <c r="AV204" i="12"/>
  <c r="AV208" i="12"/>
  <c r="AV212" i="12"/>
  <c r="AV216" i="12"/>
  <c r="AV220" i="12"/>
  <c r="AV224" i="12"/>
  <c r="AV228" i="12"/>
  <c r="AV232" i="12"/>
  <c r="AV236" i="12"/>
  <c r="AV240" i="12"/>
  <c r="AV244" i="12"/>
  <c r="AV248" i="12"/>
  <c r="AV252" i="12"/>
  <c r="AV256" i="12"/>
  <c r="AV260" i="12"/>
  <c r="AV264" i="12"/>
  <c r="AV268" i="12"/>
  <c r="AV272" i="12"/>
  <c r="AV276" i="12"/>
  <c r="AV280" i="12"/>
  <c r="AV284" i="12"/>
  <c r="AV288" i="12"/>
  <c r="AV292" i="12"/>
  <c r="AV296" i="12"/>
  <c r="AV300" i="12"/>
  <c r="AV304" i="12"/>
  <c r="AV308" i="12"/>
  <c r="AV312" i="12"/>
  <c r="AV316" i="12"/>
  <c r="AV320" i="12"/>
  <c r="AV324" i="12"/>
  <c r="AV328" i="12"/>
  <c r="AV332" i="12"/>
  <c r="AV336" i="12"/>
  <c r="AV340" i="12"/>
  <c r="AV344" i="12"/>
  <c r="AV348" i="12"/>
  <c r="AV352" i="12"/>
  <c r="AV356" i="12"/>
  <c r="AV360" i="12"/>
  <c r="AV364" i="12"/>
  <c r="AV368" i="12"/>
  <c r="AV372" i="12"/>
  <c r="AV376" i="12"/>
  <c r="AV380" i="12"/>
  <c r="AV384" i="12"/>
  <c r="AV388" i="12"/>
  <c r="AV392" i="12"/>
  <c r="AV396" i="12"/>
  <c r="AV400" i="12"/>
  <c r="AV404" i="12"/>
  <c r="AV408" i="12"/>
  <c r="AV412" i="12"/>
  <c r="AV416" i="12"/>
  <c r="AV420" i="12"/>
  <c r="AV424" i="12"/>
  <c r="AV428" i="12"/>
  <c r="AV432" i="12"/>
  <c r="AV436" i="12"/>
  <c r="AV440" i="12"/>
  <c r="AV444" i="12"/>
  <c r="AV448" i="12"/>
  <c r="AV452" i="12"/>
  <c r="AV456" i="12"/>
  <c r="AV460" i="12"/>
  <c r="AV464" i="12"/>
  <c r="AV468" i="12"/>
  <c r="AV472" i="12"/>
  <c r="AV476" i="12"/>
  <c r="AV480" i="12"/>
  <c r="AV484" i="12"/>
  <c r="AV488" i="12"/>
  <c r="AV492" i="12"/>
  <c r="AV496" i="12"/>
  <c r="AV500" i="12"/>
  <c r="AV504" i="12"/>
  <c r="AV508" i="12"/>
  <c r="AV512" i="12"/>
  <c r="AV516" i="12"/>
  <c r="AV520" i="12"/>
  <c r="AV524" i="12"/>
  <c r="AV528" i="12"/>
  <c r="AV532" i="12"/>
  <c r="AV536" i="12"/>
  <c r="AV540" i="12"/>
  <c r="AV544" i="12"/>
  <c r="AV548" i="12"/>
  <c r="AV552" i="12"/>
  <c r="AV556" i="12"/>
  <c r="AV560" i="12"/>
  <c r="AV564" i="12"/>
  <c r="AV568" i="12"/>
  <c r="AV572" i="12"/>
  <c r="AV580" i="12"/>
  <c r="AV584" i="12"/>
  <c r="AV588" i="12"/>
  <c r="AV592" i="12"/>
  <c r="AV596" i="12"/>
  <c r="AV600" i="12"/>
  <c r="AV604" i="12"/>
  <c r="AV608" i="12"/>
  <c r="AV612" i="12"/>
  <c r="AV616" i="12"/>
  <c r="AV620" i="12"/>
  <c r="AV624" i="12"/>
  <c r="AV628" i="12"/>
  <c r="AV632" i="12"/>
  <c r="AV636" i="12"/>
  <c r="AV640" i="12"/>
  <c r="AV644" i="12"/>
  <c r="AV648" i="12"/>
  <c r="AV652" i="12"/>
  <c r="AV656" i="12"/>
  <c r="AV660" i="12"/>
  <c r="AV664" i="12"/>
  <c r="AV668" i="12"/>
  <c r="AV672" i="12"/>
  <c r="AV676" i="12"/>
  <c r="AV680" i="12"/>
  <c r="AV684" i="12"/>
  <c r="AV688" i="12"/>
  <c r="AV692" i="12"/>
  <c r="AV696" i="12"/>
  <c r="AV700" i="12"/>
  <c r="AV704" i="12"/>
  <c r="AV708" i="12"/>
  <c r="AV712" i="12"/>
  <c r="AV716" i="12"/>
  <c r="AV720" i="12"/>
  <c r="AV724" i="12"/>
  <c r="AV728" i="12"/>
  <c r="AV732" i="12"/>
  <c r="AV736" i="12"/>
  <c r="AV740" i="12"/>
  <c r="AV744" i="12"/>
  <c r="AV748" i="12"/>
  <c r="AV752" i="12"/>
  <c r="AV756" i="12"/>
  <c r="AV760" i="12"/>
  <c r="AV764" i="12"/>
  <c r="AV768" i="12"/>
  <c r="AV772" i="12"/>
  <c r="AV776" i="12"/>
  <c r="AV780" i="12"/>
  <c r="AV784" i="12"/>
  <c r="AV788" i="12"/>
  <c r="AV792" i="12"/>
  <c r="AV796" i="12"/>
  <c r="AV800" i="12"/>
  <c r="AV804" i="12"/>
  <c r="AV808" i="12"/>
  <c r="AV812" i="12"/>
  <c r="AV816" i="12"/>
  <c r="AV820" i="12"/>
  <c r="AV824" i="12"/>
  <c r="AV828" i="12"/>
  <c r="AV832" i="12"/>
  <c r="AV836" i="12"/>
  <c r="AV840" i="12"/>
  <c r="AV844" i="12"/>
  <c r="AV848" i="12"/>
  <c r="AV852" i="12"/>
  <c r="AV856" i="12"/>
  <c r="AV860" i="12"/>
  <c r="AV864" i="12"/>
  <c r="AV868" i="12"/>
  <c r="AV872" i="12"/>
  <c r="AV876" i="12"/>
  <c r="AV880" i="12"/>
  <c r="AV884" i="12"/>
  <c r="AV888" i="12"/>
  <c r="AV892" i="12"/>
  <c r="AV896" i="12"/>
  <c r="AV900" i="12"/>
  <c r="AV904" i="12"/>
  <c r="AV908" i="12"/>
  <c r="AV912" i="12"/>
  <c r="AV916" i="12"/>
  <c r="AV920" i="12"/>
  <c r="AV924" i="12"/>
  <c r="AV928" i="12"/>
  <c r="AV932" i="12"/>
  <c r="AV936" i="12"/>
  <c r="AV940" i="12"/>
  <c r="AV944" i="12"/>
  <c r="AV948" i="12"/>
  <c r="AV952" i="12"/>
  <c r="AV956" i="12"/>
  <c r="AV960" i="12"/>
  <c r="AV968" i="12"/>
  <c r="AV972" i="12"/>
  <c r="AV976" i="12"/>
  <c r="AV980" i="12"/>
  <c r="AV984" i="12"/>
  <c r="AV988" i="12"/>
  <c r="AV992" i="12"/>
  <c r="AV996" i="12"/>
  <c r="AV1000" i="12"/>
  <c r="AV1004" i="12"/>
  <c r="AV1008" i="12"/>
  <c r="AV1012" i="12"/>
  <c r="AV1016" i="12"/>
  <c r="AV1020" i="12"/>
  <c r="AV1024" i="12"/>
  <c r="AV1028" i="12"/>
  <c r="AV1032" i="12"/>
  <c r="AV1036" i="12"/>
  <c r="AV1040" i="12"/>
  <c r="AV1044" i="12"/>
  <c r="AV1048" i="12"/>
  <c r="AV1052" i="12"/>
  <c r="AV1056" i="12"/>
  <c r="AV1060" i="12"/>
  <c r="AV1064" i="12"/>
  <c r="AV1068" i="12"/>
  <c r="AV1072" i="12"/>
  <c r="AV1076" i="12"/>
  <c r="AV1080" i="12"/>
  <c r="AV1084" i="12"/>
  <c r="AV1088" i="12"/>
  <c r="AV1092" i="12"/>
  <c r="AV1096" i="12"/>
  <c r="AV1100" i="12"/>
  <c r="AV1104" i="12"/>
  <c r="AV1108" i="12"/>
  <c r="AV1112" i="12"/>
  <c r="AV1116" i="12"/>
  <c r="AV1120" i="12"/>
  <c r="AV1124" i="12"/>
  <c r="AV1128" i="12"/>
  <c r="AV1132" i="12"/>
  <c r="AV1140" i="12"/>
  <c r="AV1144" i="12"/>
  <c r="AV1148" i="12"/>
  <c r="AV1152" i="12"/>
  <c r="AV1156" i="12"/>
  <c r="AV964" i="12"/>
  <c r="AV13" i="12"/>
  <c r="AV29" i="12"/>
  <c r="AV45" i="12"/>
  <c r="AV61" i="12"/>
  <c r="AV77" i="12"/>
  <c r="AV93" i="12"/>
  <c r="AV109" i="12"/>
  <c r="AV125" i="12"/>
  <c r="AV141" i="12"/>
  <c r="AV157" i="12"/>
  <c r="AV173" i="12"/>
  <c r="AV189" i="12"/>
  <c r="AV205" i="12"/>
  <c r="AV221" i="12"/>
  <c r="AV237" i="12"/>
  <c r="AV253" i="12"/>
  <c r="AV269" i="12"/>
  <c r="AV285" i="12"/>
  <c r="AV301" i="12"/>
  <c r="AV317" i="12"/>
  <c r="AV333" i="12"/>
  <c r="AV349" i="12"/>
  <c r="AV365" i="12"/>
  <c r="AV381" i="12"/>
  <c r="AV397" i="12"/>
  <c r="AV413" i="12"/>
  <c r="AV429" i="12"/>
  <c r="AV445" i="12"/>
  <c r="AV461" i="12"/>
  <c r="AV477" i="12"/>
  <c r="AV493" i="12"/>
  <c r="AV509" i="12"/>
  <c r="AV525" i="12"/>
  <c r="AV541" i="12"/>
  <c r="AV557" i="12"/>
  <c r="AV573" i="12"/>
  <c r="AV589" i="12"/>
  <c r="AV605" i="12"/>
  <c r="AV621" i="12"/>
  <c r="AV637" i="12"/>
  <c r="AV653" i="12"/>
  <c r="AV669" i="12"/>
  <c r="AV685" i="12"/>
  <c r="AV701" i="12"/>
  <c r="AV717" i="12"/>
  <c r="AV733" i="12"/>
  <c r="AV17" i="12"/>
  <c r="AV33" i="12"/>
  <c r="AV49" i="12"/>
  <c r="AV65" i="12"/>
  <c r="AV81" i="12"/>
  <c r="AV97" i="12"/>
  <c r="AV113" i="12"/>
  <c r="AV129" i="12"/>
  <c r="AV145" i="12"/>
  <c r="AV161" i="12"/>
  <c r="AV177" i="12"/>
  <c r="AV193" i="12"/>
  <c r="AV209" i="12"/>
  <c r="AV225" i="12"/>
  <c r="AV241" i="12"/>
  <c r="AV257" i="12"/>
  <c r="AV273" i="12"/>
  <c r="AV289" i="12"/>
  <c r="AV305" i="12"/>
  <c r="AV321" i="12"/>
  <c r="AV337" i="12"/>
  <c r="AV353" i="12"/>
  <c r="AV369" i="12"/>
  <c r="AV385" i="12"/>
  <c r="AV401" i="12"/>
  <c r="AV417" i="12"/>
  <c r="AV433" i="12"/>
  <c r="AV449" i="12"/>
  <c r="AV465" i="12"/>
  <c r="AV481" i="12"/>
  <c r="AV497" i="12"/>
  <c r="AV513" i="12"/>
  <c r="AV529" i="12"/>
  <c r="AV545" i="12"/>
  <c r="AV561" i="12"/>
  <c r="AV577" i="12"/>
  <c r="AV593" i="12"/>
  <c r="AV609" i="12"/>
  <c r="AV625" i="12"/>
  <c r="AV641" i="12"/>
  <c r="AV657" i="12"/>
  <c r="AV673" i="12"/>
  <c r="AV689" i="12"/>
  <c r="AV705" i="12"/>
  <c r="AV721" i="12"/>
  <c r="AV737" i="12"/>
  <c r="AV753" i="12"/>
  <c r="AV769" i="12"/>
  <c r="AV785" i="12"/>
  <c r="AV801" i="12"/>
  <c r="AV817" i="12"/>
  <c r="AV833" i="12"/>
  <c r="AV849" i="12"/>
  <c r="AV865" i="12"/>
  <c r="AV881" i="12"/>
  <c r="AV897" i="12"/>
  <c r="AV913" i="12"/>
  <c r="AV929" i="12"/>
  <c r="AV945" i="12"/>
  <c r="AV961" i="12"/>
  <c r="AV977" i="12"/>
  <c r="AV993" i="12"/>
  <c r="AV1009" i="12"/>
  <c r="AV1025" i="12"/>
  <c r="AV1041" i="12"/>
  <c r="AV1057" i="12"/>
  <c r="AV1073" i="12"/>
  <c r="AV1089" i="12"/>
  <c r="AV1105" i="12"/>
  <c r="AV1121" i="12"/>
  <c r="AV1141" i="12"/>
  <c r="AV1157" i="12"/>
  <c r="AV5" i="12"/>
  <c r="AV21" i="12"/>
  <c r="AV37" i="12"/>
  <c r="AV53" i="12"/>
  <c r="AV69" i="12"/>
  <c r="AV85" i="12"/>
  <c r="AV9" i="12"/>
  <c r="AV73" i="12"/>
  <c r="AV117" i="12"/>
  <c r="AV149" i="12"/>
  <c r="AV181" i="12"/>
  <c r="AV213" i="12"/>
  <c r="AV245" i="12"/>
  <c r="AV277" i="12"/>
  <c r="AV309" i="12"/>
  <c r="AV341" i="12"/>
  <c r="AV373" i="12"/>
  <c r="AV405" i="12"/>
  <c r="AV437" i="12"/>
  <c r="AV469" i="12"/>
  <c r="AV501" i="12"/>
  <c r="AV533" i="12"/>
  <c r="AV565" i="12"/>
  <c r="AV597" i="12"/>
  <c r="AV629" i="12"/>
  <c r="AV661" i="12"/>
  <c r="AV693" i="12"/>
  <c r="AV725" i="12"/>
  <c r="AV749" i="12"/>
  <c r="AV773" i="12"/>
  <c r="AV793" i="12"/>
  <c r="AV813" i="12"/>
  <c r="AV837" i="12"/>
  <c r="AV857" i="12"/>
  <c r="AV877" i="12"/>
  <c r="AV901" i="12"/>
  <c r="AV921" i="12"/>
  <c r="AV941" i="12"/>
  <c r="AV965" i="12"/>
  <c r="AV985" i="12"/>
  <c r="AV1005" i="12"/>
  <c r="AV1029" i="12"/>
  <c r="AV1049" i="12"/>
  <c r="AV1069" i="12"/>
  <c r="AV1093" i="12"/>
  <c r="AV1113" i="12"/>
  <c r="AV1133" i="12"/>
  <c r="AV105" i="12"/>
  <c r="AV201" i="12"/>
  <c r="AV265" i="12"/>
  <c r="AV361" i="12"/>
  <c r="AV457" i="12"/>
  <c r="AV521" i="12"/>
  <c r="AV617" i="12"/>
  <c r="AV745" i="12"/>
  <c r="AV809" i="12"/>
  <c r="AV853" i="12"/>
  <c r="AV917" i="12"/>
  <c r="AV981" i="12"/>
  <c r="AV1021" i="12"/>
  <c r="AV1065" i="12"/>
  <c r="AV1129" i="12"/>
  <c r="AV25" i="12"/>
  <c r="AV89" i="12"/>
  <c r="AV121" i="12"/>
  <c r="AV153" i="12"/>
  <c r="AV185" i="12"/>
  <c r="AV217" i="12"/>
  <c r="AV249" i="12"/>
  <c r="AV281" i="12"/>
  <c r="AV313" i="12"/>
  <c r="AV345" i="12"/>
  <c r="AV377" i="12"/>
  <c r="AV409" i="12"/>
  <c r="AV441" i="12"/>
  <c r="AV473" i="12"/>
  <c r="AV505" i="12"/>
  <c r="AV537" i="12"/>
  <c r="AV569" i="12"/>
  <c r="AV601" i="12"/>
  <c r="AV633" i="12"/>
  <c r="AV665" i="12"/>
  <c r="AV697" i="12"/>
  <c r="AV729" i="12"/>
  <c r="AV757" i="12"/>
  <c r="AV777" i="12"/>
  <c r="AV797" i="12"/>
  <c r="AV821" i="12"/>
  <c r="AV841" i="12"/>
  <c r="AV861" i="12"/>
  <c r="AV885" i="12"/>
  <c r="AV905" i="12"/>
  <c r="AV925" i="12"/>
  <c r="AV949" i="12"/>
  <c r="AV969" i="12"/>
  <c r="AV989" i="12"/>
  <c r="AV1013" i="12"/>
  <c r="AV1033" i="12"/>
  <c r="AV1053" i="12"/>
  <c r="AV1077" i="12"/>
  <c r="AV1097" i="12"/>
  <c r="AV1117" i="12"/>
  <c r="AV1145" i="12"/>
  <c r="AV57" i="12"/>
  <c r="AV137" i="12"/>
  <c r="AV233" i="12"/>
  <c r="AV329" i="12"/>
  <c r="AV425" i="12"/>
  <c r="AV553" i="12"/>
  <c r="AV681" i="12"/>
  <c r="AV765" i="12"/>
  <c r="AV829" i="12"/>
  <c r="AV893" i="12"/>
  <c r="AV937" i="12"/>
  <c r="AV1001" i="12"/>
  <c r="AV1085" i="12"/>
  <c r="AV1153" i="12"/>
  <c r="AV41" i="12"/>
  <c r="AV101" i="12"/>
  <c r="AV133" i="12"/>
  <c r="AV165" i="12"/>
  <c r="AV197" i="12"/>
  <c r="AV229" i="12"/>
  <c r="AV261" i="12"/>
  <c r="AV293" i="12"/>
  <c r="AV325" i="12"/>
  <c r="AV357" i="12"/>
  <c r="AV389" i="12"/>
  <c r="AV421" i="12"/>
  <c r="AV453" i="12"/>
  <c r="AV485" i="12"/>
  <c r="AV517" i="12"/>
  <c r="AV549" i="12"/>
  <c r="AV581" i="12"/>
  <c r="AV613" i="12"/>
  <c r="AV645" i="12"/>
  <c r="AV677" i="12"/>
  <c r="AV709" i="12"/>
  <c r="AV741" i="12"/>
  <c r="AV761" i="12"/>
  <c r="AV781" i="12"/>
  <c r="AV805" i="12"/>
  <c r="AV825" i="12"/>
  <c r="AV845" i="12"/>
  <c r="AV869" i="12"/>
  <c r="AV889" i="12"/>
  <c r="AV909" i="12"/>
  <c r="AV933" i="12"/>
  <c r="AV953" i="12"/>
  <c r="AV973" i="12"/>
  <c r="AV997" i="12"/>
  <c r="AV1017" i="12"/>
  <c r="AV1037" i="12"/>
  <c r="AV1061" i="12"/>
  <c r="AV1081" i="12"/>
  <c r="AV1101" i="12"/>
  <c r="AV1125" i="12"/>
  <c r="AV1149" i="12"/>
  <c r="AV169" i="12"/>
  <c r="AV297" i="12"/>
  <c r="AV393" i="12"/>
  <c r="AV489" i="12"/>
  <c r="AV585" i="12"/>
  <c r="AV649" i="12"/>
  <c r="AV713" i="12"/>
  <c r="AV789" i="12"/>
  <c r="AV873" i="12"/>
  <c r="AV957" i="12"/>
  <c r="AV1045" i="12"/>
  <c r="AV1109" i="12"/>
  <c r="BC1139" i="12"/>
  <c r="BC1138" i="12"/>
  <c r="O17" i="73"/>
  <c r="BC7" i="12"/>
  <c r="BC11" i="12"/>
  <c r="BC15" i="12"/>
  <c r="BC19" i="12"/>
  <c r="BC23" i="12"/>
  <c r="BC27" i="12"/>
  <c r="BC31" i="12"/>
  <c r="BC35" i="12"/>
  <c r="BC39" i="12"/>
  <c r="BC43" i="12"/>
  <c r="BC47" i="12"/>
  <c r="BC51" i="12"/>
  <c r="BC55" i="12"/>
  <c r="BC59" i="12"/>
  <c r="BC63" i="12"/>
  <c r="BC67" i="12"/>
  <c r="BC71" i="12"/>
  <c r="BC75" i="12"/>
  <c r="BC79" i="12"/>
  <c r="BC83" i="12"/>
  <c r="BC87" i="12"/>
  <c r="BC91" i="12"/>
  <c r="BC95" i="12"/>
  <c r="BC99" i="12"/>
  <c r="BC103" i="12"/>
  <c r="BC107" i="12"/>
  <c r="BC111" i="12"/>
  <c r="BC115" i="12"/>
  <c r="BC119" i="12"/>
  <c r="BC123" i="12"/>
  <c r="BC127" i="12"/>
  <c r="BC131" i="12"/>
  <c r="BC135" i="12"/>
  <c r="BC139" i="12"/>
  <c r="BC143" i="12"/>
  <c r="BC147" i="12"/>
  <c r="BC151" i="12"/>
  <c r="BC155" i="12"/>
  <c r="BC159" i="12"/>
  <c r="BC163" i="12"/>
  <c r="BC167" i="12"/>
  <c r="BC171" i="12"/>
  <c r="BC175" i="12"/>
  <c r="BC179" i="12"/>
  <c r="BC183" i="12"/>
  <c r="BC187" i="12"/>
  <c r="BC191" i="12"/>
  <c r="BC195" i="12"/>
  <c r="BC199" i="12"/>
  <c r="BC203" i="12"/>
  <c r="BC207" i="12"/>
  <c r="BC211" i="12"/>
  <c r="BC215" i="12"/>
  <c r="BC219" i="12"/>
  <c r="BC223" i="12"/>
  <c r="BC227" i="12"/>
  <c r="BC231" i="12"/>
  <c r="BC235" i="12"/>
  <c r="BC239" i="12"/>
  <c r="BC243" i="12"/>
  <c r="BC247" i="12"/>
  <c r="BC251" i="12"/>
  <c r="BC255" i="12"/>
  <c r="BC259" i="12"/>
  <c r="BC263" i="12"/>
  <c r="BC267" i="12"/>
  <c r="BC271" i="12"/>
  <c r="BC275" i="12"/>
  <c r="BC279" i="12"/>
  <c r="BC283" i="12"/>
  <c r="BC287" i="12"/>
  <c r="BC291" i="12"/>
  <c r="BC295" i="12"/>
  <c r="BC299" i="12"/>
  <c r="BC303" i="12"/>
  <c r="BC307" i="12"/>
  <c r="BC311" i="12"/>
  <c r="BC315" i="12"/>
  <c r="BC319" i="12"/>
  <c r="BC323" i="12"/>
  <c r="BC327" i="12"/>
  <c r="BC331" i="12"/>
  <c r="BC335" i="12"/>
  <c r="BC339" i="12"/>
  <c r="BC343" i="12"/>
  <c r="BC347" i="12"/>
  <c r="BC351" i="12"/>
  <c r="BC355" i="12"/>
  <c r="BC359" i="12"/>
  <c r="BC363" i="12"/>
  <c r="BC367" i="12"/>
  <c r="BC371" i="12"/>
  <c r="BC375" i="12"/>
  <c r="BC379" i="12"/>
  <c r="BC383" i="12"/>
  <c r="BC387" i="12"/>
  <c r="BC391" i="12"/>
  <c r="BC395" i="12"/>
  <c r="BC399" i="12"/>
  <c r="BC403" i="12"/>
  <c r="BC407" i="12"/>
  <c r="BC411" i="12"/>
  <c r="BC415" i="12"/>
  <c r="BC419" i="12"/>
  <c r="BC423" i="12"/>
  <c r="BC427" i="12"/>
  <c r="BC431" i="12"/>
  <c r="BC435" i="12"/>
  <c r="BC439" i="12"/>
  <c r="BC443" i="12"/>
  <c r="BC447" i="12"/>
  <c r="BC451" i="12"/>
  <c r="BC455" i="12"/>
  <c r="BC459" i="12"/>
  <c r="BC463" i="12"/>
  <c r="BC467" i="12"/>
  <c r="BC471" i="12"/>
  <c r="BC475" i="12"/>
  <c r="BC479" i="12"/>
  <c r="BC483" i="12"/>
  <c r="BC487" i="12"/>
  <c r="BC491" i="12"/>
  <c r="BC495" i="12"/>
  <c r="BC499" i="12"/>
  <c r="BC503" i="12"/>
  <c r="BC507" i="12"/>
  <c r="BC511" i="12"/>
  <c r="BC515" i="12"/>
  <c r="BC519" i="12"/>
  <c r="BC523" i="12"/>
  <c r="BC527" i="12"/>
  <c r="BC531" i="12"/>
  <c r="BC535" i="12"/>
  <c r="BC539" i="12"/>
  <c r="BC543" i="12"/>
  <c r="BC547" i="12"/>
  <c r="BC551" i="12"/>
  <c r="BC555" i="12"/>
  <c r="BC559" i="12"/>
  <c r="BC563" i="12"/>
  <c r="BC567" i="12"/>
  <c r="BC571" i="12"/>
  <c r="BC575" i="12"/>
  <c r="BC579" i="12"/>
  <c r="BC583" i="12"/>
  <c r="BC587" i="12"/>
  <c r="BC591" i="12"/>
  <c r="BC595" i="12"/>
  <c r="BC599" i="12"/>
  <c r="BC603" i="12"/>
  <c r="BC607" i="12"/>
  <c r="BC611" i="12"/>
  <c r="BC615" i="12"/>
  <c r="BC619" i="12"/>
  <c r="BC623" i="12"/>
  <c r="BC627" i="12"/>
  <c r="BC631" i="12"/>
  <c r="BC635" i="12"/>
  <c r="BC639" i="12"/>
  <c r="BC643" i="12"/>
  <c r="BC647" i="12"/>
  <c r="BC651" i="12"/>
  <c r="BC655" i="12"/>
  <c r="BC659" i="12"/>
  <c r="BC663" i="12"/>
  <c r="BC667" i="12"/>
  <c r="BC671" i="12"/>
  <c r="BC675" i="12"/>
  <c r="BC679" i="12"/>
  <c r="BC683" i="12"/>
  <c r="BC687" i="12"/>
  <c r="BC691" i="12"/>
  <c r="BC695" i="12"/>
  <c r="BC699" i="12"/>
  <c r="BC703" i="12"/>
  <c r="BC707" i="12"/>
  <c r="BC711" i="12"/>
  <c r="BC715" i="12"/>
  <c r="BC719" i="12"/>
  <c r="BC723" i="12"/>
  <c r="BC727" i="12"/>
  <c r="BC731" i="12"/>
  <c r="BC735" i="12"/>
  <c r="BC739" i="12"/>
  <c r="BC743" i="12"/>
  <c r="BC747" i="12"/>
  <c r="BC751" i="12"/>
  <c r="BC755" i="12"/>
  <c r="BC759" i="12"/>
  <c r="BC763" i="12"/>
  <c r="BC767" i="12"/>
  <c r="BC771" i="12"/>
  <c r="BC775" i="12"/>
  <c r="BC779" i="12"/>
  <c r="BC783" i="12"/>
  <c r="BC787" i="12"/>
  <c r="BC791" i="12"/>
  <c r="BC795" i="12"/>
  <c r="BC799" i="12"/>
  <c r="BC803" i="12"/>
  <c r="BC807" i="12"/>
  <c r="BC811" i="12"/>
  <c r="BC815" i="12"/>
  <c r="BC819" i="12"/>
  <c r="BC823" i="12"/>
  <c r="BC827" i="12"/>
  <c r="BC831" i="12"/>
  <c r="BC835" i="12"/>
  <c r="BC839" i="12"/>
  <c r="BC843" i="12"/>
  <c r="BC847" i="12"/>
  <c r="BC851" i="12"/>
  <c r="BC855" i="12"/>
  <c r="BC859" i="12"/>
  <c r="BC863" i="12"/>
  <c r="BC867" i="12"/>
  <c r="BC871" i="12"/>
  <c r="BC875" i="12"/>
  <c r="BC879" i="12"/>
  <c r="BC883" i="12"/>
  <c r="BC887" i="12"/>
  <c r="BC891" i="12"/>
  <c r="BC895" i="12"/>
  <c r="BC899" i="12"/>
  <c r="BC903" i="12"/>
  <c r="BC907" i="12"/>
  <c r="BC911" i="12"/>
  <c r="BC915" i="12"/>
  <c r="BC919" i="12"/>
  <c r="BC923" i="12"/>
  <c r="BC927" i="12"/>
  <c r="BC931" i="12"/>
  <c r="BC935" i="12"/>
  <c r="BC939" i="12"/>
  <c r="BC943" i="12"/>
  <c r="BC947" i="12"/>
  <c r="BC951" i="12"/>
  <c r="BC955" i="12"/>
  <c r="BC959" i="12"/>
  <c r="BC963" i="12"/>
  <c r="BC967" i="12"/>
  <c r="BC971" i="12"/>
  <c r="BC975" i="12"/>
  <c r="BC979" i="12"/>
  <c r="BC983" i="12"/>
  <c r="BC987" i="12"/>
  <c r="BC991" i="12"/>
  <c r="BC995" i="12"/>
  <c r="BC999" i="12"/>
  <c r="BC1003" i="12"/>
  <c r="BC1007" i="12"/>
  <c r="BC1011" i="12"/>
  <c r="BC1015" i="12"/>
  <c r="BC1019" i="12"/>
  <c r="BC1023" i="12"/>
  <c r="BC1027" i="12"/>
  <c r="BC1031" i="12"/>
  <c r="BC1035" i="12"/>
  <c r="BC1039" i="12"/>
  <c r="BC1043" i="12"/>
  <c r="BC1047" i="12"/>
  <c r="BC1051" i="12"/>
  <c r="BC1055" i="12"/>
  <c r="BC1059" i="12"/>
  <c r="BC1063" i="12"/>
  <c r="BC1067" i="12"/>
  <c r="BC1071" i="12"/>
  <c r="BC1075" i="12"/>
  <c r="BC1079" i="12"/>
  <c r="BC1083" i="12"/>
  <c r="BC1087" i="12"/>
  <c r="BC1091" i="12"/>
  <c r="BC1095" i="12"/>
  <c r="BC1099" i="12"/>
  <c r="BC1103" i="12"/>
  <c r="BC1107" i="12"/>
  <c r="BC1111" i="12"/>
  <c r="BC1115" i="12"/>
  <c r="BC1119" i="12"/>
  <c r="BC1123" i="12"/>
  <c r="BC1127" i="12"/>
  <c r="BC1131" i="12"/>
  <c r="BC1137" i="12"/>
  <c r="BC1143" i="12"/>
  <c r="BC1147" i="12"/>
  <c r="BC1151" i="12"/>
  <c r="BC1155" i="12"/>
  <c r="BC1159" i="12"/>
  <c r="BC8" i="12"/>
  <c r="BC13" i="12"/>
  <c r="BC18" i="12"/>
  <c r="BC24" i="12"/>
  <c r="BC29" i="12"/>
  <c r="BC34" i="12"/>
  <c r="BC40" i="12"/>
  <c r="BC45" i="12"/>
  <c r="BC50" i="12"/>
  <c r="BC56" i="12"/>
  <c r="BC61" i="12"/>
  <c r="BC66" i="12"/>
  <c r="BC72" i="12"/>
  <c r="BC77" i="12"/>
  <c r="BC82" i="12"/>
  <c r="BC88" i="12"/>
  <c r="BC93" i="12"/>
  <c r="BC98" i="12"/>
  <c r="BC104" i="12"/>
  <c r="BC109" i="12"/>
  <c r="BC114" i="12"/>
  <c r="BC120" i="12"/>
  <c r="BC125" i="12"/>
  <c r="BC130" i="12"/>
  <c r="BC136" i="12"/>
  <c r="BC141" i="12"/>
  <c r="BC146" i="12"/>
  <c r="BC152" i="12"/>
  <c r="BC157" i="12"/>
  <c r="BC162" i="12"/>
  <c r="BC168" i="12"/>
  <c r="BC173" i="12"/>
  <c r="BC178" i="12"/>
  <c r="BC184" i="12"/>
  <c r="BC189" i="12"/>
  <c r="BC194" i="12"/>
  <c r="BC200" i="12"/>
  <c r="BC205" i="12"/>
  <c r="BC210" i="12"/>
  <c r="BC216" i="12"/>
  <c r="BC221" i="12"/>
  <c r="BC226" i="12"/>
  <c r="BC232" i="12"/>
  <c r="BC237" i="12"/>
  <c r="BC242" i="12"/>
  <c r="BC248" i="12"/>
  <c r="BC253" i="12"/>
  <c r="BC258" i="12"/>
  <c r="BC264" i="12"/>
  <c r="BC269" i="12"/>
  <c r="BC274" i="12"/>
  <c r="BC280" i="12"/>
  <c r="BC285" i="12"/>
  <c r="BC290" i="12"/>
  <c r="BC296" i="12"/>
  <c r="BC301" i="12"/>
  <c r="BC306" i="12"/>
  <c r="BC312" i="12"/>
  <c r="BC317" i="12"/>
  <c r="BC322" i="12"/>
  <c r="BC328" i="12"/>
  <c r="BC333" i="12"/>
  <c r="BC338" i="12"/>
  <c r="BC344" i="12"/>
  <c r="BC349" i="12"/>
  <c r="BC354" i="12"/>
  <c r="BC360" i="12"/>
  <c r="BC365" i="12"/>
  <c r="BC370" i="12"/>
  <c r="BC376" i="12"/>
  <c r="BC381" i="12"/>
  <c r="BC386" i="12"/>
  <c r="BC392" i="12"/>
  <c r="BC397" i="12"/>
  <c r="BC402" i="12"/>
  <c r="BC408" i="12"/>
  <c r="BC413" i="12"/>
  <c r="BC418" i="12"/>
  <c r="BC424" i="12"/>
  <c r="BC429" i="12"/>
  <c r="BC434" i="12"/>
  <c r="BC440" i="12"/>
  <c r="BC445" i="12"/>
  <c r="BC450" i="12"/>
  <c r="BC456" i="12"/>
  <c r="BC461" i="12"/>
  <c r="BC466" i="12"/>
  <c r="BC472" i="12"/>
  <c r="BC477" i="12"/>
  <c r="BC482" i="12"/>
  <c r="BC488" i="12"/>
  <c r="BC493" i="12"/>
  <c r="BC498" i="12"/>
  <c r="BC504" i="12"/>
  <c r="BC509" i="12"/>
  <c r="BC514" i="12"/>
  <c r="BC520" i="12"/>
  <c r="BC525" i="12"/>
  <c r="BC530" i="12"/>
  <c r="BC536" i="12"/>
  <c r="BC541" i="12"/>
  <c r="BC546" i="12"/>
  <c r="BC552" i="12"/>
  <c r="BC557" i="12"/>
  <c r="BC562" i="12"/>
  <c r="BC568" i="12"/>
  <c r="BC573" i="12"/>
  <c r="BC578" i="12"/>
  <c r="BC584" i="12"/>
  <c r="BC589" i="12"/>
  <c r="BC594" i="12"/>
  <c r="BC600" i="12"/>
  <c r="BC605" i="12"/>
  <c r="BC610" i="12"/>
  <c r="BC616" i="12"/>
  <c r="BC621" i="12"/>
  <c r="BC626" i="12"/>
  <c r="BC632" i="12"/>
  <c r="BC637" i="12"/>
  <c r="BC642" i="12"/>
  <c r="BC648" i="12"/>
  <c r="BC653" i="12"/>
  <c r="BC658" i="12"/>
  <c r="BC664" i="12"/>
  <c r="BC669" i="12"/>
  <c r="BC674" i="12"/>
  <c r="BC680" i="12"/>
  <c r="BC685" i="12"/>
  <c r="BC690" i="12"/>
  <c r="BC696" i="12"/>
  <c r="BC701" i="12"/>
  <c r="BC706" i="12"/>
  <c r="BC712" i="12"/>
  <c r="BC717" i="12"/>
  <c r="BC722" i="12"/>
  <c r="BC728" i="12"/>
  <c r="BC733" i="12"/>
  <c r="BC738" i="12"/>
  <c r="BC744" i="12"/>
  <c r="BC749" i="12"/>
  <c r="BC754" i="12"/>
  <c r="BC760" i="12"/>
  <c r="BC765" i="12"/>
  <c r="BC770" i="12"/>
  <c r="BC776" i="12"/>
  <c r="BC781" i="12"/>
  <c r="BC786" i="12"/>
  <c r="BC792" i="12"/>
  <c r="BC797" i="12"/>
  <c r="BC802" i="12"/>
  <c r="BC808" i="12"/>
  <c r="BC813" i="12"/>
  <c r="BC818" i="12"/>
  <c r="BC824" i="12"/>
  <c r="BC829" i="12"/>
  <c r="BC834" i="12"/>
  <c r="BC840" i="12"/>
  <c r="BC845" i="12"/>
  <c r="BC850" i="12"/>
  <c r="BC856" i="12"/>
  <c r="BC861" i="12"/>
  <c r="BC866" i="12"/>
  <c r="BC872" i="12"/>
  <c r="BC877" i="12"/>
  <c r="BC882" i="12"/>
  <c r="BC888" i="12"/>
  <c r="BC893" i="12"/>
  <c r="BC898" i="12"/>
  <c r="BC904" i="12"/>
  <c r="BC909" i="12"/>
  <c r="BC914" i="12"/>
  <c r="BC920" i="12"/>
  <c r="BC925" i="12"/>
  <c r="BC930" i="12"/>
  <c r="BC936" i="12"/>
  <c r="BC941" i="12"/>
  <c r="BC946" i="12"/>
  <c r="BC952" i="12"/>
  <c r="BC957" i="12"/>
  <c r="BC962" i="12"/>
  <c r="BC968" i="12"/>
  <c r="BC973" i="12"/>
  <c r="BC978" i="12"/>
  <c r="BC984" i="12"/>
  <c r="BC989" i="12"/>
  <c r="BC994" i="12"/>
  <c r="BC1000" i="12"/>
  <c r="BC1005" i="12"/>
  <c r="BC1010" i="12"/>
  <c r="BC1016" i="12"/>
  <c r="BC1021" i="12"/>
  <c r="BC1026" i="12"/>
  <c r="BC1032" i="12"/>
  <c r="BC1037" i="12"/>
  <c r="BC1042" i="12"/>
  <c r="BC1048" i="12"/>
  <c r="BC1053" i="12"/>
  <c r="BC1058" i="12"/>
  <c r="BC1064" i="12"/>
  <c r="BC1069" i="12"/>
  <c r="BC1074" i="12"/>
  <c r="BC1080" i="12"/>
  <c r="BC1085" i="12"/>
  <c r="BC1090" i="12"/>
  <c r="BC1096" i="12"/>
  <c r="BC1101" i="12"/>
  <c r="BC1106" i="12"/>
  <c r="BC1112" i="12"/>
  <c r="BC1117" i="12"/>
  <c r="BC1122" i="12"/>
  <c r="BC1128" i="12"/>
  <c r="BC1133" i="12"/>
  <c r="BC1142" i="12"/>
  <c r="BC1148" i="12"/>
  <c r="BC1153" i="12"/>
  <c r="BC1158" i="12"/>
  <c r="BC9" i="12"/>
  <c r="BC14" i="12"/>
  <c r="BC20" i="12"/>
  <c r="BC25" i="12"/>
  <c r="BC30" i="12"/>
  <c r="BC36" i="12"/>
  <c r="BC41" i="12"/>
  <c r="BC46" i="12"/>
  <c r="BC52" i="12"/>
  <c r="BC57" i="12"/>
  <c r="BC62" i="12"/>
  <c r="BC68" i="12"/>
  <c r="BC73" i="12"/>
  <c r="BC78" i="12"/>
  <c r="BC84" i="12"/>
  <c r="BC89" i="12"/>
  <c r="BC94" i="12"/>
  <c r="BC100" i="12"/>
  <c r="BC105" i="12"/>
  <c r="BC110" i="12"/>
  <c r="BC116" i="12"/>
  <c r="BC121" i="12"/>
  <c r="BC126" i="12"/>
  <c r="BC132" i="12"/>
  <c r="BC137" i="12"/>
  <c r="BC142" i="12"/>
  <c r="BC148" i="12"/>
  <c r="BC153" i="12"/>
  <c r="BC158" i="12"/>
  <c r="BC164" i="12"/>
  <c r="BC169" i="12"/>
  <c r="BC174" i="12"/>
  <c r="BC180" i="12"/>
  <c r="BC185" i="12"/>
  <c r="BC190" i="12"/>
  <c r="BC196" i="12"/>
  <c r="BC201" i="12"/>
  <c r="BC206" i="12"/>
  <c r="BC212" i="12"/>
  <c r="BC217" i="12"/>
  <c r="BC222" i="12"/>
  <c r="BC228" i="12"/>
  <c r="BC233" i="12"/>
  <c r="BC238" i="12"/>
  <c r="BC244" i="12"/>
  <c r="BC249" i="12"/>
  <c r="BC254" i="12"/>
  <c r="BC260" i="12"/>
  <c r="BC265" i="12"/>
  <c r="BC270" i="12"/>
  <c r="BC276" i="12"/>
  <c r="BC281" i="12"/>
  <c r="BC286" i="12"/>
  <c r="BC292" i="12"/>
  <c r="BC297" i="12"/>
  <c r="BC302" i="12"/>
  <c r="BC308" i="12"/>
  <c r="BC313" i="12"/>
  <c r="BC318" i="12"/>
  <c r="BC324" i="12"/>
  <c r="BC329" i="12"/>
  <c r="BC334" i="12"/>
  <c r="BC340" i="12"/>
  <c r="BC345" i="12"/>
  <c r="BC350" i="12"/>
  <c r="BC356" i="12"/>
  <c r="BC361" i="12"/>
  <c r="BC366" i="12"/>
  <c r="BC372" i="12"/>
  <c r="BC377" i="12"/>
  <c r="BC382" i="12"/>
  <c r="BC388" i="12"/>
  <c r="BC393" i="12"/>
  <c r="BC398" i="12"/>
  <c r="BC404" i="12"/>
  <c r="BC409" i="12"/>
  <c r="BC414" i="12"/>
  <c r="BC420" i="12"/>
  <c r="BC425" i="12"/>
  <c r="BC430" i="12"/>
  <c r="BC436" i="12"/>
  <c r="BC441" i="12"/>
  <c r="BC446" i="12"/>
  <c r="BC452" i="12"/>
  <c r="BC457" i="12"/>
  <c r="BC462" i="12"/>
  <c r="BC468" i="12"/>
  <c r="BC473" i="12"/>
  <c r="BC478" i="12"/>
  <c r="BC484" i="12"/>
  <c r="BC489" i="12"/>
  <c r="BC494" i="12"/>
  <c r="BC500" i="12"/>
  <c r="BC505" i="12"/>
  <c r="BC510" i="12"/>
  <c r="BC516" i="12"/>
  <c r="BC521" i="12"/>
  <c r="BC526" i="12"/>
  <c r="BC532" i="12"/>
  <c r="BC537" i="12"/>
  <c r="BC542" i="12"/>
  <c r="BC548" i="12"/>
  <c r="BC553" i="12"/>
  <c r="BC558" i="12"/>
  <c r="BC564" i="12"/>
  <c r="BC569" i="12"/>
  <c r="BC574" i="12"/>
  <c r="BC580" i="12"/>
  <c r="BC585" i="12"/>
  <c r="BC590" i="12"/>
  <c r="BC596" i="12"/>
  <c r="BC601" i="12"/>
  <c r="BC606" i="12"/>
  <c r="BC612" i="12"/>
  <c r="BC617" i="12"/>
  <c r="BC622" i="12"/>
  <c r="BC628" i="12"/>
  <c r="BC633" i="12"/>
  <c r="BC638" i="12"/>
  <c r="BC644" i="12"/>
  <c r="BC649" i="12"/>
  <c r="BC654" i="12"/>
  <c r="BC660" i="12"/>
  <c r="BC665" i="12"/>
  <c r="BC670" i="12"/>
  <c r="BC676" i="12"/>
  <c r="BC681" i="12"/>
  <c r="BC686" i="12"/>
  <c r="BC692" i="12"/>
  <c r="BC697" i="12"/>
  <c r="BC702" i="12"/>
  <c r="BC708" i="12"/>
  <c r="BC713" i="12"/>
  <c r="BC718" i="12"/>
  <c r="BC724" i="12"/>
  <c r="BC729" i="12"/>
  <c r="BC734" i="12"/>
  <c r="BC740" i="12"/>
  <c r="BC745" i="12"/>
  <c r="BC750" i="12"/>
  <c r="BC756" i="12"/>
  <c r="BC761" i="12"/>
  <c r="BC766" i="12"/>
  <c r="BC772" i="12"/>
  <c r="BC777" i="12"/>
  <c r="BC782" i="12"/>
  <c r="BC788" i="12"/>
  <c r="BC793" i="12"/>
  <c r="BC798" i="12"/>
  <c r="BC804" i="12"/>
  <c r="BC809" i="12"/>
  <c r="BC814" i="12"/>
  <c r="BC820" i="12"/>
  <c r="BC825" i="12"/>
  <c r="BC830" i="12"/>
  <c r="BC836" i="12"/>
  <c r="BC841" i="12"/>
  <c r="BC846" i="12"/>
  <c r="BC852" i="12"/>
  <c r="BC857" i="12"/>
  <c r="BC862" i="12"/>
  <c r="BC868" i="12"/>
  <c r="BC873" i="12"/>
  <c r="BC878" i="12"/>
  <c r="BC884" i="12"/>
  <c r="BC889" i="12"/>
  <c r="BC894" i="12"/>
  <c r="BC900" i="12"/>
  <c r="BC905" i="12"/>
  <c r="BC910" i="12"/>
  <c r="BC916" i="12"/>
  <c r="BC921" i="12"/>
  <c r="BC926" i="12"/>
  <c r="BC932" i="12"/>
  <c r="BC937" i="12"/>
  <c r="BC942" i="12"/>
  <c r="BC948" i="12"/>
  <c r="BC953" i="12"/>
  <c r="BC958" i="12"/>
  <c r="BC964" i="12"/>
  <c r="BC969" i="12"/>
  <c r="BC974" i="12"/>
  <c r="BC980" i="12"/>
  <c r="BC985" i="12"/>
  <c r="BC990" i="12"/>
  <c r="BC996" i="12"/>
  <c r="BC1001" i="12"/>
  <c r="BC1006" i="12"/>
  <c r="BC1012" i="12"/>
  <c r="BC1017" i="12"/>
  <c r="BC1022" i="12"/>
  <c r="BC1028" i="12"/>
  <c r="BC1033" i="12"/>
  <c r="BC1038" i="12"/>
  <c r="BC1044" i="12"/>
  <c r="BC1049" i="12"/>
  <c r="BC1054" i="12"/>
  <c r="BC1060" i="12"/>
  <c r="BC1065" i="12"/>
  <c r="BC1070" i="12"/>
  <c r="BC1076" i="12"/>
  <c r="BC1081" i="12"/>
  <c r="BC1086" i="12"/>
  <c r="BC1092" i="12"/>
  <c r="BC1097" i="12"/>
  <c r="BC1102" i="12"/>
  <c r="BC1108" i="12"/>
  <c r="BC1113" i="12"/>
  <c r="BC1118" i="12"/>
  <c r="BC1124" i="12"/>
  <c r="BC1129" i="12"/>
  <c r="BC1136" i="12"/>
  <c r="BC1144" i="12"/>
  <c r="BC1149" i="12"/>
  <c r="BC1154" i="12"/>
  <c r="BC5" i="12"/>
  <c r="BC16" i="12"/>
  <c r="BC26" i="12"/>
  <c r="BC37" i="12"/>
  <c r="BC48" i="12"/>
  <c r="BC58" i="12"/>
  <c r="BC69" i="12"/>
  <c r="BC80" i="12"/>
  <c r="BC90" i="12"/>
  <c r="BC101" i="12"/>
  <c r="BC112" i="12"/>
  <c r="BC122" i="12"/>
  <c r="BC133" i="12"/>
  <c r="BC144" i="12"/>
  <c r="BC154" i="12"/>
  <c r="BC165" i="12"/>
  <c r="BC176" i="12"/>
  <c r="BC186" i="12"/>
  <c r="BC197" i="12"/>
  <c r="BC208" i="12"/>
  <c r="BC218" i="12"/>
  <c r="BC229" i="12"/>
  <c r="BC240" i="12"/>
  <c r="BC250" i="12"/>
  <c r="BC261" i="12"/>
  <c r="BC272" i="12"/>
  <c r="BC282" i="12"/>
  <c r="BC293" i="12"/>
  <c r="BC304" i="12"/>
  <c r="BC314" i="12"/>
  <c r="BC325" i="12"/>
  <c r="BC336" i="12"/>
  <c r="BC346" i="12"/>
  <c r="BC357" i="12"/>
  <c r="BC368" i="12"/>
  <c r="BC378" i="12"/>
  <c r="BC389" i="12"/>
  <c r="BC400" i="12"/>
  <c r="BC410" i="12"/>
  <c r="BC421" i="12"/>
  <c r="BC432" i="12"/>
  <c r="BC442" i="12"/>
  <c r="BC453" i="12"/>
  <c r="BC464" i="12"/>
  <c r="BC474" i="12"/>
  <c r="BC485" i="12"/>
  <c r="BC496" i="12"/>
  <c r="BC506" i="12"/>
  <c r="BC517" i="12"/>
  <c r="BC528" i="12"/>
  <c r="BC538" i="12"/>
  <c r="BC549" i="12"/>
  <c r="BC560" i="12"/>
  <c r="BC570" i="12"/>
  <c r="BC581" i="12"/>
  <c r="BC592" i="12"/>
  <c r="BC602" i="12"/>
  <c r="BC613" i="12"/>
  <c r="BC624" i="12"/>
  <c r="BC634" i="12"/>
  <c r="BC645" i="12"/>
  <c r="BC656" i="12"/>
  <c r="BC666" i="12"/>
  <c r="BC677" i="12"/>
  <c r="BC688" i="12"/>
  <c r="BC698" i="12"/>
  <c r="BC709" i="12"/>
  <c r="BC720" i="12"/>
  <c r="BC730" i="12"/>
  <c r="BC741" i="12"/>
  <c r="BC752" i="12"/>
  <c r="BC762" i="12"/>
  <c r="BC773" i="12"/>
  <c r="BC784" i="12"/>
  <c r="BC794" i="12"/>
  <c r="BC805" i="12"/>
  <c r="BC816" i="12"/>
  <c r="BC826" i="12"/>
  <c r="BC837" i="12"/>
  <c r="BC848" i="12"/>
  <c r="BC858" i="12"/>
  <c r="BC869" i="12"/>
  <c r="BC880" i="12"/>
  <c r="BC890" i="12"/>
  <c r="BC901" i="12"/>
  <c r="BC912" i="12"/>
  <c r="BC922" i="12"/>
  <c r="BC933" i="12"/>
  <c r="BC944" i="12"/>
  <c r="BC954" i="12"/>
  <c r="BC965" i="12"/>
  <c r="BC976" i="12"/>
  <c r="BC986" i="12"/>
  <c r="BC997" i="12"/>
  <c r="BC1008" i="12"/>
  <c r="BC1018" i="12"/>
  <c r="BC1029" i="12"/>
  <c r="BC1040" i="12"/>
  <c r="BC1050" i="12"/>
  <c r="BC1061" i="12"/>
  <c r="BC1072" i="12"/>
  <c r="BC1082" i="12"/>
  <c r="BC1093" i="12"/>
  <c r="BC1104" i="12"/>
  <c r="BC1114" i="12"/>
  <c r="BC1125" i="12"/>
  <c r="BC1140" i="12"/>
  <c r="BC1150" i="12"/>
  <c r="BC6" i="12"/>
  <c r="BC17" i="12"/>
  <c r="BC28" i="12"/>
  <c r="BC38" i="12"/>
  <c r="BC49" i="12"/>
  <c r="BC60" i="12"/>
  <c r="BC70" i="12"/>
  <c r="BC81" i="12"/>
  <c r="BC92" i="12"/>
  <c r="BC102" i="12"/>
  <c r="BC113" i="12"/>
  <c r="BC124" i="12"/>
  <c r="BC134" i="12"/>
  <c r="BC145" i="12"/>
  <c r="BC156" i="12"/>
  <c r="BC166" i="12"/>
  <c r="BC177" i="12"/>
  <c r="BC188" i="12"/>
  <c r="BC198" i="12"/>
  <c r="BC209" i="12"/>
  <c r="BC220" i="12"/>
  <c r="BC230" i="12"/>
  <c r="BC241" i="12"/>
  <c r="BC252" i="12"/>
  <c r="BC262" i="12"/>
  <c r="BC273" i="12"/>
  <c r="BC284" i="12"/>
  <c r="BC294" i="12"/>
  <c r="BC305" i="12"/>
  <c r="BC316" i="12"/>
  <c r="BC326" i="12"/>
  <c r="BC337" i="12"/>
  <c r="BC348" i="12"/>
  <c r="BC358" i="12"/>
  <c r="BC369" i="12"/>
  <c r="BC380" i="12"/>
  <c r="BC390" i="12"/>
  <c r="BC401" i="12"/>
  <c r="BC412" i="12"/>
  <c r="BC422" i="12"/>
  <c r="BC433" i="12"/>
  <c r="BC444" i="12"/>
  <c r="BC454" i="12"/>
  <c r="BC465" i="12"/>
  <c r="BC476" i="12"/>
  <c r="BC486" i="12"/>
  <c r="BC497" i="12"/>
  <c r="BC508" i="12"/>
  <c r="BC518" i="12"/>
  <c r="BC529" i="12"/>
  <c r="BC540" i="12"/>
  <c r="BC550" i="12"/>
  <c r="BC561" i="12"/>
  <c r="BC572" i="12"/>
  <c r="BC582" i="12"/>
  <c r="BC593" i="12"/>
  <c r="BC604" i="12"/>
  <c r="BC614" i="12"/>
  <c r="BC625" i="12"/>
  <c r="BC636" i="12"/>
  <c r="BC646" i="12"/>
  <c r="BC657" i="12"/>
  <c r="BC668" i="12"/>
  <c r="BC678" i="12"/>
  <c r="BC689" i="12"/>
  <c r="BC700" i="12"/>
  <c r="BC710" i="12"/>
  <c r="BC721" i="12"/>
  <c r="BC732" i="12"/>
  <c r="BC742" i="12"/>
  <c r="BC753" i="12"/>
  <c r="BC764" i="12"/>
  <c r="BC774" i="12"/>
  <c r="BC785" i="12"/>
  <c r="BC796" i="12"/>
  <c r="BC806" i="12"/>
  <c r="BC817" i="12"/>
  <c r="BC828" i="12"/>
  <c r="BC838" i="12"/>
  <c r="BC849" i="12"/>
  <c r="BC860" i="12"/>
  <c r="BC870" i="12"/>
  <c r="BC881" i="12"/>
  <c r="BC892" i="12"/>
  <c r="BC902" i="12"/>
  <c r="BC913" i="12"/>
  <c r="BC924" i="12"/>
  <c r="BC934" i="12"/>
  <c r="BC945" i="12"/>
  <c r="BC956" i="12"/>
  <c r="BC966" i="12"/>
  <c r="BC977" i="12"/>
  <c r="BC988" i="12"/>
  <c r="BC998" i="12"/>
  <c r="BC1009" i="12"/>
  <c r="BC1020" i="12"/>
  <c r="BC1030" i="12"/>
  <c r="BC1041" i="12"/>
  <c r="BC1052" i="12"/>
  <c r="BC1062" i="12"/>
  <c r="BC1073" i="12"/>
  <c r="BC1084" i="12"/>
  <c r="BC1094" i="12"/>
  <c r="BC1105" i="12"/>
  <c r="BC1116" i="12"/>
  <c r="BC1126" i="12"/>
  <c r="BC1141" i="12"/>
  <c r="BC1152" i="12"/>
  <c r="BC12" i="12"/>
  <c r="BC33" i="12"/>
  <c r="BC54" i="12"/>
  <c r="BC76" i="12"/>
  <c r="BC97" i="12"/>
  <c r="BC118" i="12"/>
  <c r="BC140" i="12"/>
  <c r="BC161" i="12"/>
  <c r="BC182" i="12"/>
  <c r="BC204" i="12"/>
  <c r="BC225" i="12"/>
  <c r="BC246" i="12"/>
  <c r="BC268" i="12"/>
  <c r="BC289" i="12"/>
  <c r="BC310" i="12"/>
  <c r="BC332" i="12"/>
  <c r="BC353" i="12"/>
  <c r="BC374" i="12"/>
  <c r="BC396" i="12"/>
  <c r="BC417" i="12"/>
  <c r="BC438" i="12"/>
  <c r="BC460" i="12"/>
  <c r="BC481" i="12"/>
  <c r="BC502" i="12"/>
  <c r="BC524" i="12"/>
  <c r="BC545" i="12"/>
  <c r="BC566" i="12"/>
  <c r="BC588" i="12"/>
  <c r="BC609" i="12"/>
  <c r="BC630" i="12"/>
  <c r="BC652" i="12"/>
  <c r="BC673" i="12"/>
  <c r="BC694" i="12"/>
  <c r="BC716" i="12"/>
  <c r="BC737" i="12"/>
  <c r="BC758" i="12"/>
  <c r="BC780" i="12"/>
  <c r="BC801" i="12"/>
  <c r="BC822" i="12"/>
  <c r="BC844" i="12"/>
  <c r="BC865" i="12"/>
  <c r="BC886" i="12"/>
  <c r="BC908" i="12"/>
  <c r="BC929" i="12"/>
  <c r="BC950" i="12"/>
  <c r="BC972" i="12"/>
  <c r="BC993" i="12"/>
  <c r="BC1014" i="12"/>
  <c r="BC1036" i="12"/>
  <c r="BC1057" i="12"/>
  <c r="BC1078" i="12"/>
  <c r="BC1100" i="12"/>
  <c r="BC1121" i="12"/>
  <c r="BC1146" i="12"/>
  <c r="BC21" i="12"/>
  <c r="BC42" i="12"/>
  <c r="BC64" i="12"/>
  <c r="BC85" i="12"/>
  <c r="BC106" i="12"/>
  <c r="BC128" i="12"/>
  <c r="BC149" i="12"/>
  <c r="BC170" i="12"/>
  <c r="BC192" i="12"/>
  <c r="BC213" i="12"/>
  <c r="BC234" i="12"/>
  <c r="BC256" i="12"/>
  <c r="BC277" i="12"/>
  <c r="BC298" i="12"/>
  <c r="BC320" i="12"/>
  <c r="BC341" i="12"/>
  <c r="BC362" i="12"/>
  <c r="BC384" i="12"/>
  <c r="BC405" i="12"/>
  <c r="BC426" i="12"/>
  <c r="BC448" i="12"/>
  <c r="BC469" i="12"/>
  <c r="BC490" i="12"/>
  <c r="BC512" i="12"/>
  <c r="BC533" i="12"/>
  <c r="BC554" i="12"/>
  <c r="BC576" i="12"/>
  <c r="BC597" i="12"/>
  <c r="BC618" i="12"/>
  <c r="BC640" i="12"/>
  <c r="BC661" i="12"/>
  <c r="BC682" i="12"/>
  <c r="BC704" i="12"/>
  <c r="BC725" i="12"/>
  <c r="BC746" i="12"/>
  <c r="BC768" i="12"/>
  <c r="BC789" i="12"/>
  <c r="BC810" i="12"/>
  <c r="BC832" i="12"/>
  <c r="BC853" i="12"/>
  <c r="BC874" i="12"/>
  <c r="BC896" i="12"/>
  <c r="BC917" i="12"/>
  <c r="BC938" i="12"/>
  <c r="BC960" i="12"/>
  <c r="BC981" i="12"/>
  <c r="BC1002" i="12"/>
  <c r="BC1024" i="12"/>
  <c r="BC1045" i="12"/>
  <c r="BC1066" i="12"/>
  <c r="BC1088" i="12"/>
  <c r="BC1109" i="12"/>
  <c r="BC1130" i="12"/>
  <c r="BC1156" i="12"/>
  <c r="BC10" i="12"/>
  <c r="BC53" i="12"/>
  <c r="BC96" i="12"/>
  <c r="BC138" i="12"/>
  <c r="BC181" i="12"/>
  <c r="BC224" i="12"/>
  <c r="BC266" i="12"/>
  <c r="BC309" i="12"/>
  <c r="BC352" i="12"/>
  <c r="BC394" i="12"/>
  <c r="BC437" i="12"/>
  <c r="BC480" i="12"/>
  <c r="BC522" i="12"/>
  <c r="BC565" i="12"/>
  <c r="BC608" i="12"/>
  <c r="BC650" i="12"/>
  <c r="BC693" i="12"/>
  <c r="BC736" i="12"/>
  <c r="BC778" i="12"/>
  <c r="BC821" i="12"/>
  <c r="BC864" i="12"/>
  <c r="BC906" i="12"/>
  <c r="BC949" i="12"/>
  <c r="BC992" i="12"/>
  <c r="BC1034" i="12"/>
  <c r="BC1077" i="12"/>
  <c r="BC1120" i="12"/>
  <c r="BC22" i="12"/>
  <c r="BC65" i="12"/>
  <c r="BC108" i="12"/>
  <c r="BC150" i="12"/>
  <c r="BC193" i="12"/>
  <c r="BC236" i="12"/>
  <c r="BC278" i="12"/>
  <c r="BC321" i="12"/>
  <c r="BC364" i="12"/>
  <c r="BC406" i="12"/>
  <c r="BC449" i="12"/>
  <c r="BC492" i="12"/>
  <c r="BC534" i="12"/>
  <c r="BC577" i="12"/>
  <c r="BC620" i="12"/>
  <c r="BC662" i="12"/>
  <c r="BC705" i="12"/>
  <c r="BC748" i="12"/>
  <c r="BC790" i="12"/>
  <c r="BC833" i="12"/>
  <c r="BC876" i="12"/>
  <c r="BC918" i="12"/>
  <c r="BC961" i="12"/>
  <c r="BC1004" i="12"/>
  <c r="BC1046" i="12"/>
  <c r="BC1089" i="12"/>
  <c r="BC1132" i="12"/>
  <c r="BC32" i="12"/>
  <c r="BC74" i="12"/>
  <c r="BC117" i="12"/>
  <c r="BC160" i="12"/>
  <c r="BC202" i="12"/>
  <c r="BC245" i="12"/>
  <c r="BC288" i="12"/>
  <c r="BC330" i="12"/>
  <c r="BC373" i="12"/>
  <c r="BC416" i="12"/>
  <c r="BC458" i="12"/>
  <c r="BC501" i="12"/>
  <c r="BC544" i="12"/>
  <c r="BC586" i="12"/>
  <c r="BC629" i="12"/>
  <c r="BC672" i="12"/>
  <c r="BC714" i="12"/>
  <c r="BC757" i="12"/>
  <c r="BC800" i="12"/>
  <c r="BC842" i="12"/>
  <c r="BC885" i="12"/>
  <c r="BC928" i="12"/>
  <c r="BC970" i="12"/>
  <c r="BC1013" i="12"/>
  <c r="BC1056" i="12"/>
  <c r="BC1098" i="12"/>
  <c r="BC1145" i="12"/>
  <c r="BC44" i="12"/>
  <c r="BC172" i="12"/>
  <c r="BC257" i="12"/>
  <c r="BC342" i="12"/>
  <c r="BC428" i="12"/>
  <c r="BC513" i="12"/>
  <c r="BC598" i="12"/>
  <c r="BC684" i="12"/>
  <c r="BC769" i="12"/>
  <c r="BC854" i="12"/>
  <c r="BC940" i="12"/>
  <c r="BC1025" i="12"/>
  <c r="BC1157" i="12"/>
  <c r="BC86" i="12"/>
  <c r="BC129" i="12"/>
  <c r="BC214" i="12"/>
  <c r="BC300" i="12"/>
  <c r="BC385" i="12"/>
  <c r="BC470" i="12"/>
  <c r="BC556" i="12"/>
  <c r="BC641" i="12"/>
  <c r="BC726" i="12"/>
  <c r="BC812" i="12"/>
  <c r="BC897" i="12"/>
  <c r="BC982" i="12"/>
  <c r="BC1068" i="12"/>
  <c r="BC1110" i="12"/>
  <c r="BB1138" i="12"/>
  <c r="O16" i="73"/>
  <c r="BB1139" i="12"/>
  <c r="BB8" i="12"/>
  <c r="BB12" i="12"/>
  <c r="BB16" i="12"/>
  <c r="BB20" i="12"/>
  <c r="BB24" i="12"/>
  <c r="BB28" i="12"/>
  <c r="BB32" i="12"/>
  <c r="BB36" i="12"/>
  <c r="BB40" i="12"/>
  <c r="BB44" i="12"/>
  <c r="BB48" i="12"/>
  <c r="BB52" i="12"/>
  <c r="BB56" i="12"/>
  <c r="BB60" i="12"/>
  <c r="BB64" i="12"/>
  <c r="BB68" i="12"/>
  <c r="BB72" i="12"/>
  <c r="BB76" i="12"/>
  <c r="BB80" i="12"/>
  <c r="BB84" i="12"/>
  <c r="BB88" i="12"/>
  <c r="BB92" i="12"/>
  <c r="BB96" i="12"/>
  <c r="BB100" i="12"/>
  <c r="BB104" i="12"/>
  <c r="BB108" i="12"/>
  <c r="BB112" i="12"/>
  <c r="BB116" i="12"/>
  <c r="BB120" i="12"/>
  <c r="BB124" i="12"/>
  <c r="BB128" i="12"/>
  <c r="BB132" i="12"/>
  <c r="BB136" i="12"/>
  <c r="BB140" i="12"/>
  <c r="BB144" i="12"/>
  <c r="BB148" i="12"/>
  <c r="BB152" i="12"/>
  <c r="BB156" i="12"/>
  <c r="BB160" i="12"/>
  <c r="BB164" i="12"/>
  <c r="BB168" i="12"/>
  <c r="BB172" i="12"/>
  <c r="BB176" i="12"/>
  <c r="BB180" i="12"/>
  <c r="BB184" i="12"/>
  <c r="BB188" i="12"/>
  <c r="BB192" i="12"/>
  <c r="BB196" i="12"/>
  <c r="BB200" i="12"/>
  <c r="BB204" i="12"/>
  <c r="BB208" i="12"/>
  <c r="BB212" i="12"/>
  <c r="BB216" i="12"/>
  <c r="BB220" i="12"/>
  <c r="BB224" i="12"/>
  <c r="BB228" i="12"/>
  <c r="BB232" i="12"/>
  <c r="BB236" i="12"/>
  <c r="BB240" i="12"/>
  <c r="BB244" i="12"/>
  <c r="BB248" i="12"/>
  <c r="BB252" i="12"/>
  <c r="BB256" i="12"/>
  <c r="BB260" i="12"/>
  <c r="BB264" i="12"/>
  <c r="BB268" i="12"/>
  <c r="BB272" i="12"/>
  <c r="BB276" i="12"/>
  <c r="BB280" i="12"/>
  <c r="BB284" i="12"/>
  <c r="BB288" i="12"/>
  <c r="BB292" i="12"/>
  <c r="BB296" i="12"/>
  <c r="BB300" i="12"/>
  <c r="BB304" i="12"/>
  <c r="BB308" i="12"/>
  <c r="BB312" i="12"/>
  <c r="BB316" i="12"/>
  <c r="BB320" i="12"/>
  <c r="BB324" i="12"/>
  <c r="BB328" i="12"/>
  <c r="BB332" i="12"/>
  <c r="BB336" i="12"/>
  <c r="BB340" i="12"/>
  <c r="BB344" i="12"/>
  <c r="BB348" i="12"/>
  <c r="BB352" i="12"/>
  <c r="BB356" i="12"/>
  <c r="BB360" i="12"/>
  <c r="BB364" i="12"/>
  <c r="BB368" i="12"/>
  <c r="BB372" i="12"/>
  <c r="BB376" i="12"/>
  <c r="BB380" i="12"/>
  <c r="BB384" i="12"/>
  <c r="BB388" i="12"/>
  <c r="BB392" i="12"/>
  <c r="BB396" i="12"/>
  <c r="BB400" i="12"/>
  <c r="BB404" i="12"/>
  <c r="BB408" i="12"/>
  <c r="BB412" i="12"/>
  <c r="BB416" i="12"/>
  <c r="BB420" i="12"/>
  <c r="BB424" i="12"/>
  <c r="BB428" i="12"/>
  <c r="BB432" i="12"/>
  <c r="BB436" i="12"/>
  <c r="BB440" i="12"/>
  <c r="BB444" i="12"/>
  <c r="BB448" i="12"/>
  <c r="BB452" i="12"/>
  <c r="BB456" i="12"/>
  <c r="BB460" i="12"/>
  <c r="BB464" i="12"/>
  <c r="BB468" i="12"/>
  <c r="BB472" i="12"/>
  <c r="BB476" i="12"/>
  <c r="BB480" i="12"/>
  <c r="BB484" i="12"/>
  <c r="BB488" i="12"/>
  <c r="BB492" i="12"/>
  <c r="BB496" i="12"/>
  <c r="BB500" i="12"/>
  <c r="BB504" i="12"/>
  <c r="BB508" i="12"/>
  <c r="BB512" i="12"/>
  <c r="BB516" i="12"/>
  <c r="BB520" i="12"/>
  <c r="BB524" i="12"/>
  <c r="BB528" i="12"/>
  <c r="BB532" i="12"/>
  <c r="BB536" i="12"/>
  <c r="BB540" i="12"/>
  <c r="BB544" i="12"/>
  <c r="BB548" i="12"/>
  <c r="BB552" i="12"/>
  <c r="BB556" i="12"/>
  <c r="BB560" i="12"/>
  <c r="BB564" i="12"/>
  <c r="BB568" i="12"/>
  <c r="BB572" i="12"/>
  <c r="BB576" i="12"/>
  <c r="BB580" i="12"/>
  <c r="BB584" i="12"/>
  <c r="BB588" i="12"/>
  <c r="BB592" i="12"/>
  <c r="BB596" i="12"/>
  <c r="BB600" i="12"/>
  <c r="BB604" i="12"/>
  <c r="BB608" i="12"/>
  <c r="BB612" i="12"/>
  <c r="BB616" i="12"/>
  <c r="BB620" i="12"/>
  <c r="BB624" i="12"/>
  <c r="BB628" i="12"/>
  <c r="BB632" i="12"/>
  <c r="BB636" i="12"/>
  <c r="BB640" i="12"/>
  <c r="BB644" i="12"/>
  <c r="BB648" i="12"/>
  <c r="BB652" i="12"/>
  <c r="BB656" i="12"/>
  <c r="BB660" i="12"/>
  <c r="BB664" i="12"/>
  <c r="BB668" i="12"/>
  <c r="BB672" i="12"/>
  <c r="BB676" i="12"/>
  <c r="BB680" i="12"/>
  <c r="BB684" i="12"/>
  <c r="BB688" i="12"/>
  <c r="BB692" i="12"/>
  <c r="BB696" i="12"/>
  <c r="BB700" i="12"/>
  <c r="BB704" i="12"/>
  <c r="BB708" i="12"/>
  <c r="BB712" i="12"/>
  <c r="BB716" i="12"/>
  <c r="BB720" i="12"/>
  <c r="BB724" i="12"/>
  <c r="BB728" i="12"/>
  <c r="BB732" i="12"/>
  <c r="BB736" i="12"/>
  <c r="BB740" i="12"/>
  <c r="BB744" i="12"/>
  <c r="BB748" i="12"/>
  <c r="BB752" i="12"/>
  <c r="BB756" i="12"/>
  <c r="BB760" i="12"/>
  <c r="BB764" i="12"/>
  <c r="BB768" i="12"/>
  <c r="BB772" i="12"/>
  <c r="BB776" i="12"/>
  <c r="BB5" i="12"/>
  <c r="BB10" i="12"/>
  <c r="BB15" i="12"/>
  <c r="BB21" i="12"/>
  <c r="BB26" i="12"/>
  <c r="BB31" i="12"/>
  <c r="BB37" i="12"/>
  <c r="BB42" i="12"/>
  <c r="BB47" i="12"/>
  <c r="BB53" i="12"/>
  <c r="BB58" i="12"/>
  <c r="BB63" i="12"/>
  <c r="BB69" i="12"/>
  <c r="BB74" i="12"/>
  <c r="BB79" i="12"/>
  <c r="BB85" i="12"/>
  <c r="BB90" i="12"/>
  <c r="BB95" i="12"/>
  <c r="BB101" i="12"/>
  <c r="BB106" i="12"/>
  <c r="BB111" i="12"/>
  <c r="BB117" i="12"/>
  <c r="BB122" i="12"/>
  <c r="BB127" i="12"/>
  <c r="BB133" i="12"/>
  <c r="BB138" i="12"/>
  <c r="BB143" i="12"/>
  <c r="BB149" i="12"/>
  <c r="BB154" i="12"/>
  <c r="BB159" i="12"/>
  <c r="BB165" i="12"/>
  <c r="BB170" i="12"/>
  <c r="BB175" i="12"/>
  <c r="BB181" i="12"/>
  <c r="BB186" i="12"/>
  <c r="BB191" i="12"/>
  <c r="BB197" i="12"/>
  <c r="BB202" i="12"/>
  <c r="BB207" i="12"/>
  <c r="BB213" i="12"/>
  <c r="BB218" i="12"/>
  <c r="BB223" i="12"/>
  <c r="BB229" i="12"/>
  <c r="BB234" i="12"/>
  <c r="BB239" i="12"/>
  <c r="BB245" i="12"/>
  <c r="BB250" i="12"/>
  <c r="BB255" i="12"/>
  <c r="BB261" i="12"/>
  <c r="BB266" i="12"/>
  <c r="BB271" i="12"/>
  <c r="BB277" i="12"/>
  <c r="BB282" i="12"/>
  <c r="BB287" i="12"/>
  <c r="BB293" i="12"/>
  <c r="BB298" i="12"/>
  <c r="BB303" i="12"/>
  <c r="BB309" i="12"/>
  <c r="BB314" i="12"/>
  <c r="BB319" i="12"/>
  <c r="BB325" i="12"/>
  <c r="BB330" i="12"/>
  <c r="BB335" i="12"/>
  <c r="BB341" i="12"/>
  <c r="BB346" i="12"/>
  <c r="BB351" i="12"/>
  <c r="BB357" i="12"/>
  <c r="BB362" i="12"/>
  <c r="BB367" i="12"/>
  <c r="BB373" i="12"/>
  <c r="BB378" i="12"/>
  <c r="BB383" i="12"/>
  <c r="BB389" i="12"/>
  <c r="BB394" i="12"/>
  <c r="BB399" i="12"/>
  <c r="BB405" i="12"/>
  <c r="BB410" i="12"/>
  <c r="BB415" i="12"/>
  <c r="BB421" i="12"/>
  <c r="BB426" i="12"/>
  <c r="BB431" i="12"/>
  <c r="BB437" i="12"/>
  <c r="BB442" i="12"/>
  <c r="BB447" i="12"/>
  <c r="BB453" i="12"/>
  <c r="BB458" i="12"/>
  <c r="BB463" i="12"/>
  <c r="BB469" i="12"/>
  <c r="BB474" i="12"/>
  <c r="BB479" i="12"/>
  <c r="BB485" i="12"/>
  <c r="BB490" i="12"/>
  <c r="BB495" i="12"/>
  <c r="BB501" i="12"/>
  <c r="BB506" i="12"/>
  <c r="BB511" i="12"/>
  <c r="BB517" i="12"/>
  <c r="BB522" i="12"/>
  <c r="BB527" i="12"/>
  <c r="BB533" i="12"/>
  <c r="BB538" i="12"/>
  <c r="BB543" i="12"/>
  <c r="BB549" i="12"/>
  <c r="BB554" i="12"/>
  <c r="BB559" i="12"/>
  <c r="BB565" i="12"/>
  <c r="BB570" i="12"/>
  <c r="BB575" i="12"/>
  <c r="BB581" i="12"/>
  <c r="BB586" i="12"/>
  <c r="BB591" i="12"/>
  <c r="BB597" i="12"/>
  <c r="BB602" i="12"/>
  <c r="BB607" i="12"/>
  <c r="BB613" i="12"/>
  <c r="BB618" i="12"/>
  <c r="BB623" i="12"/>
  <c r="BB629" i="12"/>
  <c r="BB634" i="12"/>
  <c r="BB639" i="12"/>
  <c r="BB645" i="12"/>
  <c r="BB650" i="12"/>
  <c r="BB655" i="12"/>
  <c r="BB661" i="12"/>
  <c r="BB666" i="12"/>
  <c r="BB671" i="12"/>
  <c r="BB677" i="12"/>
  <c r="BB682" i="12"/>
  <c r="BB687" i="12"/>
  <c r="BB693" i="12"/>
  <c r="BB698" i="12"/>
  <c r="BB703" i="12"/>
  <c r="BB709" i="12"/>
  <c r="BB714" i="12"/>
  <c r="BB719" i="12"/>
  <c r="BB725" i="12"/>
  <c r="BB730" i="12"/>
  <c r="BB735" i="12"/>
  <c r="BB741" i="12"/>
  <c r="BB746" i="12"/>
  <c r="BB751" i="12"/>
  <c r="BB757" i="12"/>
  <c r="BB762" i="12"/>
  <c r="BB767" i="12"/>
  <c r="BB773" i="12"/>
  <c r="BB778" i="12"/>
  <c r="BB782" i="12"/>
  <c r="BB786" i="12"/>
  <c r="BB790" i="12"/>
  <c r="BB794" i="12"/>
  <c r="BB798" i="12"/>
  <c r="BB802" i="12"/>
  <c r="BB806" i="12"/>
  <c r="BB810" i="12"/>
  <c r="BB814" i="12"/>
  <c r="BB818" i="12"/>
  <c r="BB822" i="12"/>
  <c r="BB826" i="12"/>
  <c r="BB830" i="12"/>
  <c r="BB834" i="12"/>
  <c r="BB838" i="12"/>
  <c r="BB842" i="12"/>
  <c r="BB846" i="12"/>
  <c r="BB850" i="12"/>
  <c r="BB854" i="12"/>
  <c r="BB858" i="12"/>
  <c r="BB862" i="12"/>
  <c r="BB866" i="12"/>
  <c r="BB870" i="12"/>
  <c r="BB874" i="12"/>
  <c r="BB878" i="12"/>
  <c r="BB882" i="12"/>
  <c r="BB886" i="12"/>
  <c r="BB890" i="12"/>
  <c r="BB894" i="12"/>
  <c r="BB898" i="12"/>
  <c r="BB902" i="12"/>
  <c r="BB906" i="12"/>
  <c r="BB910" i="12"/>
  <c r="BB914" i="12"/>
  <c r="BB918" i="12"/>
  <c r="BB922" i="12"/>
  <c r="BB926" i="12"/>
  <c r="BB930" i="12"/>
  <c r="BB934" i="12"/>
  <c r="BB938" i="12"/>
  <c r="BB942" i="12"/>
  <c r="BB946" i="12"/>
  <c r="BB950" i="12"/>
  <c r="BB954" i="12"/>
  <c r="BB958" i="12"/>
  <c r="BB962" i="12"/>
  <c r="BB966" i="12"/>
  <c r="BB970" i="12"/>
  <c r="BB974" i="12"/>
  <c r="BB978" i="12"/>
  <c r="BB982" i="12"/>
  <c r="BB986" i="12"/>
  <c r="BB990" i="12"/>
  <c r="BB994" i="12"/>
  <c r="BB998" i="12"/>
  <c r="BB1002" i="12"/>
  <c r="BB1006" i="12"/>
  <c r="BB1010" i="12"/>
  <c r="BB1014" i="12"/>
  <c r="BB1018" i="12"/>
  <c r="BB1022" i="12"/>
  <c r="BB1026" i="12"/>
  <c r="BB1030" i="12"/>
  <c r="BB1034" i="12"/>
  <c r="BB1038" i="12"/>
  <c r="BB1042" i="12"/>
  <c r="BB1046" i="12"/>
  <c r="BB1050" i="12"/>
  <c r="BB1054" i="12"/>
  <c r="BB1058" i="12"/>
  <c r="BB1062" i="12"/>
  <c r="BB1066" i="12"/>
  <c r="BB1070" i="12"/>
  <c r="BB1074" i="12"/>
  <c r="BB1078" i="12"/>
  <c r="BB1082" i="12"/>
  <c r="BB1086" i="12"/>
  <c r="BB1090" i="12"/>
  <c r="BB1094" i="12"/>
  <c r="BB1098" i="12"/>
  <c r="BB1102" i="12"/>
  <c r="BB1106" i="12"/>
  <c r="BB1110" i="12"/>
  <c r="BB1114" i="12"/>
  <c r="BB1118" i="12"/>
  <c r="BB1122" i="12"/>
  <c r="BB1126" i="12"/>
  <c r="BB1130" i="12"/>
  <c r="BB1136" i="12"/>
  <c r="BB1142" i="12"/>
  <c r="BB1146" i="12"/>
  <c r="BB1150" i="12"/>
  <c r="BB1154" i="12"/>
  <c r="BB1158" i="12"/>
  <c r="BB6" i="12"/>
  <c r="BB11" i="12"/>
  <c r="BB17" i="12"/>
  <c r="BB22" i="12"/>
  <c r="BB27" i="12"/>
  <c r="BB33" i="12"/>
  <c r="BB38" i="12"/>
  <c r="BB43" i="12"/>
  <c r="BB49" i="12"/>
  <c r="BB54" i="12"/>
  <c r="BB59" i="12"/>
  <c r="BB65" i="12"/>
  <c r="BB70" i="12"/>
  <c r="BB75" i="12"/>
  <c r="BB81" i="12"/>
  <c r="BB86" i="12"/>
  <c r="BB91" i="12"/>
  <c r="BB97" i="12"/>
  <c r="BB102" i="12"/>
  <c r="BB107" i="12"/>
  <c r="BB113" i="12"/>
  <c r="BB118" i="12"/>
  <c r="BB123" i="12"/>
  <c r="BB129" i="12"/>
  <c r="BB134" i="12"/>
  <c r="BB139" i="12"/>
  <c r="BB145" i="12"/>
  <c r="BB150" i="12"/>
  <c r="BB155" i="12"/>
  <c r="BB161" i="12"/>
  <c r="BB166" i="12"/>
  <c r="BB171" i="12"/>
  <c r="BB177" i="12"/>
  <c r="BB182" i="12"/>
  <c r="BB187" i="12"/>
  <c r="BB193" i="12"/>
  <c r="BB198" i="12"/>
  <c r="BB203" i="12"/>
  <c r="BB209" i="12"/>
  <c r="BB214" i="12"/>
  <c r="BB219" i="12"/>
  <c r="BB225" i="12"/>
  <c r="BB230" i="12"/>
  <c r="BB235" i="12"/>
  <c r="BB241" i="12"/>
  <c r="BB246" i="12"/>
  <c r="BB251" i="12"/>
  <c r="BB257" i="12"/>
  <c r="BB262" i="12"/>
  <c r="BB267" i="12"/>
  <c r="BB273" i="12"/>
  <c r="BB278" i="12"/>
  <c r="BB283" i="12"/>
  <c r="BB289" i="12"/>
  <c r="BB294" i="12"/>
  <c r="BB299" i="12"/>
  <c r="BB305" i="12"/>
  <c r="BB310" i="12"/>
  <c r="BB315" i="12"/>
  <c r="BB321" i="12"/>
  <c r="BB326" i="12"/>
  <c r="BB331" i="12"/>
  <c r="BB337" i="12"/>
  <c r="BB342" i="12"/>
  <c r="BB347" i="12"/>
  <c r="BB353" i="12"/>
  <c r="BB358" i="12"/>
  <c r="BB363" i="12"/>
  <c r="BB369" i="12"/>
  <c r="BB374" i="12"/>
  <c r="BB379" i="12"/>
  <c r="BB385" i="12"/>
  <c r="BB390" i="12"/>
  <c r="BB395" i="12"/>
  <c r="BB401" i="12"/>
  <c r="BB406" i="12"/>
  <c r="BB411" i="12"/>
  <c r="BB417" i="12"/>
  <c r="BB422" i="12"/>
  <c r="BB427" i="12"/>
  <c r="BB433" i="12"/>
  <c r="BB438" i="12"/>
  <c r="BB443" i="12"/>
  <c r="BB449" i="12"/>
  <c r="BB454" i="12"/>
  <c r="BB459" i="12"/>
  <c r="BB465" i="12"/>
  <c r="BB470" i="12"/>
  <c r="BB475" i="12"/>
  <c r="BB481" i="12"/>
  <c r="BB486" i="12"/>
  <c r="BB491" i="12"/>
  <c r="BB497" i="12"/>
  <c r="BB502" i="12"/>
  <c r="BB507" i="12"/>
  <c r="BB513" i="12"/>
  <c r="BB518" i="12"/>
  <c r="BB523" i="12"/>
  <c r="BB529" i="12"/>
  <c r="BB534" i="12"/>
  <c r="BB539" i="12"/>
  <c r="BB545" i="12"/>
  <c r="BB550" i="12"/>
  <c r="BB555" i="12"/>
  <c r="BB561" i="12"/>
  <c r="BB566" i="12"/>
  <c r="BB571" i="12"/>
  <c r="BB577" i="12"/>
  <c r="BB582" i="12"/>
  <c r="BB587" i="12"/>
  <c r="BB593" i="12"/>
  <c r="BB598" i="12"/>
  <c r="BB603" i="12"/>
  <c r="BB609" i="12"/>
  <c r="BB614" i="12"/>
  <c r="BB619" i="12"/>
  <c r="BB625" i="12"/>
  <c r="BB630" i="12"/>
  <c r="BB635" i="12"/>
  <c r="BB641" i="12"/>
  <c r="BB646" i="12"/>
  <c r="BB651" i="12"/>
  <c r="BB657" i="12"/>
  <c r="BB662" i="12"/>
  <c r="BB667" i="12"/>
  <c r="BB673" i="12"/>
  <c r="BB678" i="12"/>
  <c r="BB683" i="12"/>
  <c r="BB689" i="12"/>
  <c r="BB694" i="12"/>
  <c r="BB699" i="12"/>
  <c r="BB705" i="12"/>
  <c r="BB710" i="12"/>
  <c r="BB715" i="12"/>
  <c r="BB721" i="12"/>
  <c r="BB726" i="12"/>
  <c r="BB731" i="12"/>
  <c r="BB737" i="12"/>
  <c r="BB742" i="12"/>
  <c r="BB747" i="12"/>
  <c r="BB753" i="12"/>
  <c r="BB758" i="12"/>
  <c r="BB763" i="12"/>
  <c r="BB769" i="12"/>
  <c r="BB774" i="12"/>
  <c r="BB779" i="12"/>
  <c r="BB783" i="12"/>
  <c r="BB787" i="12"/>
  <c r="BB791" i="12"/>
  <c r="BB795" i="12"/>
  <c r="BB799" i="12"/>
  <c r="BB803" i="12"/>
  <c r="BB807" i="12"/>
  <c r="BB811" i="12"/>
  <c r="BB815" i="12"/>
  <c r="BB819" i="12"/>
  <c r="BB823" i="12"/>
  <c r="BB827" i="12"/>
  <c r="BB831" i="12"/>
  <c r="BB835" i="12"/>
  <c r="BB839" i="12"/>
  <c r="BB843" i="12"/>
  <c r="BB847" i="12"/>
  <c r="BB851" i="12"/>
  <c r="BB855" i="12"/>
  <c r="BB859" i="12"/>
  <c r="BB863" i="12"/>
  <c r="BB867" i="12"/>
  <c r="BB871" i="12"/>
  <c r="BB875" i="12"/>
  <c r="BB879" i="12"/>
  <c r="BB883" i="12"/>
  <c r="BB887" i="12"/>
  <c r="BB891" i="12"/>
  <c r="BB895" i="12"/>
  <c r="BB899" i="12"/>
  <c r="BB903" i="12"/>
  <c r="BB907" i="12"/>
  <c r="BB911" i="12"/>
  <c r="BB915" i="12"/>
  <c r="BB919" i="12"/>
  <c r="BB923" i="12"/>
  <c r="BB927" i="12"/>
  <c r="BB931" i="12"/>
  <c r="BB935" i="12"/>
  <c r="BB939" i="12"/>
  <c r="BB943" i="12"/>
  <c r="BB947" i="12"/>
  <c r="BB951" i="12"/>
  <c r="BB955" i="12"/>
  <c r="BB959" i="12"/>
  <c r="BB963" i="12"/>
  <c r="BB967" i="12"/>
  <c r="BB971" i="12"/>
  <c r="BB975" i="12"/>
  <c r="BB979" i="12"/>
  <c r="BB983" i="12"/>
  <c r="BB987" i="12"/>
  <c r="BB991" i="12"/>
  <c r="BB995" i="12"/>
  <c r="BB999" i="12"/>
  <c r="BB1003" i="12"/>
  <c r="BB1007" i="12"/>
  <c r="BB1011" i="12"/>
  <c r="BB1015" i="12"/>
  <c r="BB1019" i="12"/>
  <c r="BB1023" i="12"/>
  <c r="BB1027" i="12"/>
  <c r="BB1031" i="12"/>
  <c r="BB1035" i="12"/>
  <c r="BB1039" i="12"/>
  <c r="BB1043" i="12"/>
  <c r="BB1047" i="12"/>
  <c r="BB1051" i="12"/>
  <c r="BB1055" i="12"/>
  <c r="BB1059" i="12"/>
  <c r="BB1063" i="12"/>
  <c r="BB1067" i="12"/>
  <c r="BB1071" i="12"/>
  <c r="BB1075" i="12"/>
  <c r="BB1079" i="12"/>
  <c r="BB1083" i="12"/>
  <c r="BB1087" i="12"/>
  <c r="BB1091" i="12"/>
  <c r="BB1095" i="12"/>
  <c r="BB1099" i="12"/>
  <c r="BB1103" i="12"/>
  <c r="BB1107" i="12"/>
  <c r="BB1111" i="12"/>
  <c r="BB1115" i="12"/>
  <c r="BB1119" i="12"/>
  <c r="BB1123" i="12"/>
  <c r="BB1127" i="12"/>
  <c r="BB1131" i="12"/>
  <c r="BB1137" i="12"/>
  <c r="BB1143" i="12"/>
  <c r="BB1147" i="12"/>
  <c r="BB1151" i="12"/>
  <c r="BB1155" i="12"/>
  <c r="BB1159" i="12"/>
  <c r="BB9" i="12"/>
  <c r="BB19" i="12"/>
  <c r="BB30" i="12"/>
  <c r="BB41" i="12"/>
  <c r="BB51" i="12"/>
  <c r="BB62" i="12"/>
  <c r="BB73" i="12"/>
  <c r="BB83" i="12"/>
  <c r="BB94" i="12"/>
  <c r="BB105" i="12"/>
  <c r="BB115" i="12"/>
  <c r="BB126" i="12"/>
  <c r="BB137" i="12"/>
  <c r="BB147" i="12"/>
  <c r="BB158" i="12"/>
  <c r="BB169" i="12"/>
  <c r="BB179" i="12"/>
  <c r="BB190" i="12"/>
  <c r="BB201" i="12"/>
  <c r="BB211" i="12"/>
  <c r="BB222" i="12"/>
  <c r="BB233" i="12"/>
  <c r="BB243" i="12"/>
  <c r="BB254" i="12"/>
  <c r="BB265" i="12"/>
  <c r="BB275" i="12"/>
  <c r="BB286" i="12"/>
  <c r="BB297" i="12"/>
  <c r="BB307" i="12"/>
  <c r="BB318" i="12"/>
  <c r="BB329" i="12"/>
  <c r="BB339" i="12"/>
  <c r="BB350" i="12"/>
  <c r="BB361" i="12"/>
  <c r="BB371" i="12"/>
  <c r="BB382" i="12"/>
  <c r="BB393" i="12"/>
  <c r="BB403" i="12"/>
  <c r="BB414" i="12"/>
  <c r="BB425" i="12"/>
  <c r="BB435" i="12"/>
  <c r="BB446" i="12"/>
  <c r="BB457" i="12"/>
  <c r="BB467" i="12"/>
  <c r="BB478" i="12"/>
  <c r="BB489" i="12"/>
  <c r="BB499" i="12"/>
  <c r="BB510" i="12"/>
  <c r="BB521" i="12"/>
  <c r="BB531" i="12"/>
  <c r="BB542" i="12"/>
  <c r="BB553" i="12"/>
  <c r="BB563" i="12"/>
  <c r="BB574" i="12"/>
  <c r="BB585" i="12"/>
  <c r="BB595" i="12"/>
  <c r="BB606" i="12"/>
  <c r="BB617" i="12"/>
  <c r="BB627" i="12"/>
  <c r="BB638" i="12"/>
  <c r="BB649" i="12"/>
  <c r="BB659" i="12"/>
  <c r="BB670" i="12"/>
  <c r="BB681" i="12"/>
  <c r="BB691" i="12"/>
  <c r="BB702" i="12"/>
  <c r="BB713" i="12"/>
  <c r="BB723" i="12"/>
  <c r="BB734" i="12"/>
  <c r="BB745" i="12"/>
  <c r="BB755" i="12"/>
  <c r="BB766" i="12"/>
  <c r="BB777" i="12"/>
  <c r="BB785" i="12"/>
  <c r="BB793" i="12"/>
  <c r="BB801" i="12"/>
  <c r="BB809" i="12"/>
  <c r="BB817" i="12"/>
  <c r="BB825" i="12"/>
  <c r="BB833" i="12"/>
  <c r="BB841" i="12"/>
  <c r="BB849" i="12"/>
  <c r="BB857" i="12"/>
  <c r="BB865" i="12"/>
  <c r="BB873" i="12"/>
  <c r="BB881" i="12"/>
  <c r="BB889" i="12"/>
  <c r="BB897" i="12"/>
  <c r="BB905" i="12"/>
  <c r="BB913" i="12"/>
  <c r="BB921" i="12"/>
  <c r="BB929" i="12"/>
  <c r="BB937" i="12"/>
  <c r="BB945" i="12"/>
  <c r="BB953" i="12"/>
  <c r="BB961" i="12"/>
  <c r="BB969" i="12"/>
  <c r="BB977" i="12"/>
  <c r="BB985" i="12"/>
  <c r="BB993" i="12"/>
  <c r="BB1001" i="12"/>
  <c r="BB1009" i="12"/>
  <c r="BB1017" i="12"/>
  <c r="BB1025" i="12"/>
  <c r="BB1033" i="12"/>
  <c r="BB1041" i="12"/>
  <c r="BB1049" i="12"/>
  <c r="BB1057" i="12"/>
  <c r="BB1065" i="12"/>
  <c r="BB1073" i="12"/>
  <c r="BB1081" i="12"/>
  <c r="BB1089" i="12"/>
  <c r="BB1097" i="12"/>
  <c r="BB1105" i="12"/>
  <c r="BB1113" i="12"/>
  <c r="BB1121" i="12"/>
  <c r="BB1129" i="12"/>
  <c r="BB1141" i="12"/>
  <c r="BB1149" i="12"/>
  <c r="BB1157" i="12"/>
  <c r="BB13" i="12"/>
  <c r="BB23" i="12"/>
  <c r="BB34" i="12"/>
  <c r="BB45" i="12"/>
  <c r="BB55" i="12"/>
  <c r="BB66" i="12"/>
  <c r="BB77" i="12"/>
  <c r="BB87" i="12"/>
  <c r="BB98" i="12"/>
  <c r="BB109" i="12"/>
  <c r="BB119" i="12"/>
  <c r="BB130" i="12"/>
  <c r="BB141" i="12"/>
  <c r="BB151" i="12"/>
  <c r="BB162" i="12"/>
  <c r="BB173" i="12"/>
  <c r="BB183" i="12"/>
  <c r="BB194" i="12"/>
  <c r="BB205" i="12"/>
  <c r="BB215" i="12"/>
  <c r="BB226" i="12"/>
  <c r="BB237" i="12"/>
  <c r="BB247" i="12"/>
  <c r="BB258" i="12"/>
  <c r="BB269" i="12"/>
  <c r="BB279" i="12"/>
  <c r="BB290" i="12"/>
  <c r="BB301" i="12"/>
  <c r="BB311" i="12"/>
  <c r="BB322" i="12"/>
  <c r="BB333" i="12"/>
  <c r="BB343" i="12"/>
  <c r="BB354" i="12"/>
  <c r="BB365" i="12"/>
  <c r="BB375" i="12"/>
  <c r="BB386" i="12"/>
  <c r="BB397" i="12"/>
  <c r="BB407" i="12"/>
  <c r="BB418" i="12"/>
  <c r="BB429" i="12"/>
  <c r="BB439" i="12"/>
  <c r="BB450" i="12"/>
  <c r="BB461" i="12"/>
  <c r="BB471" i="12"/>
  <c r="BB482" i="12"/>
  <c r="BB493" i="12"/>
  <c r="BB503" i="12"/>
  <c r="BB514" i="12"/>
  <c r="BB525" i="12"/>
  <c r="BB535" i="12"/>
  <c r="BB546" i="12"/>
  <c r="BB557" i="12"/>
  <c r="BB567" i="12"/>
  <c r="BB578" i="12"/>
  <c r="BB589" i="12"/>
  <c r="BB599" i="12"/>
  <c r="BB610" i="12"/>
  <c r="BB621" i="12"/>
  <c r="BB631" i="12"/>
  <c r="BB642" i="12"/>
  <c r="BB653" i="12"/>
  <c r="BB663" i="12"/>
  <c r="BB674" i="12"/>
  <c r="BB685" i="12"/>
  <c r="BB695" i="12"/>
  <c r="BB706" i="12"/>
  <c r="BB717" i="12"/>
  <c r="BB727" i="12"/>
  <c r="BB738" i="12"/>
  <c r="BB749" i="12"/>
  <c r="BB759" i="12"/>
  <c r="BB770" i="12"/>
  <c r="BB780" i="12"/>
  <c r="BB788" i="12"/>
  <c r="BB796" i="12"/>
  <c r="BB804" i="12"/>
  <c r="BB812" i="12"/>
  <c r="BB820" i="12"/>
  <c r="BB828" i="12"/>
  <c r="BB836" i="12"/>
  <c r="BB844" i="12"/>
  <c r="BB852" i="12"/>
  <c r="BB860" i="12"/>
  <c r="BB868" i="12"/>
  <c r="BB876" i="12"/>
  <c r="BB884" i="12"/>
  <c r="BB892" i="12"/>
  <c r="BB900" i="12"/>
  <c r="BB908" i="12"/>
  <c r="BB916" i="12"/>
  <c r="BB924" i="12"/>
  <c r="BB932" i="12"/>
  <c r="BB940" i="12"/>
  <c r="BB948" i="12"/>
  <c r="BB956" i="12"/>
  <c r="BB964" i="12"/>
  <c r="BB972" i="12"/>
  <c r="BB980" i="12"/>
  <c r="BB988" i="12"/>
  <c r="BB996" i="12"/>
  <c r="BB1004" i="12"/>
  <c r="BB1012" i="12"/>
  <c r="BB1020" i="12"/>
  <c r="BB1028" i="12"/>
  <c r="BB1036" i="12"/>
  <c r="BB1044" i="12"/>
  <c r="BB1052" i="12"/>
  <c r="BB1060" i="12"/>
  <c r="BB1068" i="12"/>
  <c r="BB1076" i="12"/>
  <c r="BB1084" i="12"/>
  <c r="BB1092" i="12"/>
  <c r="BB1100" i="12"/>
  <c r="BB1108" i="12"/>
  <c r="BB1116" i="12"/>
  <c r="BB1124" i="12"/>
  <c r="BB1132" i="12"/>
  <c r="BB1144" i="12"/>
  <c r="BB1152" i="12"/>
  <c r="BB7" i="12"/>
  <c r="BB29" i="12"/>
  <c r="BB50" i="12"/>
  <c r="BB71" i="12"/>
  <c r="BB93" i="12"/>
  <c r="BB114" i="12"/>
  <c r="BB135" i="12"/>
  <c r="BB157" i="12"/>
  <c r="BB178" i="12"/>
  <c r="BB199" i="12"/>
  <c r="BB221" i="12"/>
  <c r="BB242" i="12"/>
  <c r="BB263" i="12"/>
  <c r="BB285" i="12"/>
  <c r="BB306" i="12"/>
  <c r="BB327" i="12"/>
  <c r="BB349" i="12"/>
  <c r="BB370" i="12"/>
  <c r="BB391" i="12"/>
  <c r="BB413" i="12"/>
  <c r="BB434" i="12"/>
  <c r="BB455" i="12"/>
  <c r="BB477" i="12"/>
  <c r="BB498" i="12"/>
  <c r="BB519" i="12"/>
  <c r="BB541" i="12"/>
  <c r="BB562" i="12"/>
  <c r="BB583" i="12"/>
  <c r="BB605" i="12"/>
  <c r="BB626" i="12"/>
  <c r="BB647" i="12"/>
  <c r="BB669" i="12"/>
  <c r="BB690" i="12"/>
  <c r="BB711" i="12"/>
  <c r="BB733" i="12"/>
  <c r="BB754" i="12"/>
  <c r="BB775" i="12"/>
  <c r="BB792" i="12"/>
  <c r="BB808" i="12"/>
  <c r="BB824" i="12"/>
  <c r="BB840" i="12"/>
  <c r="BB856" i="12"/>
  <c r="BB872" i="12"/>
  <c r="BB888" i="12"/>
  <c r="BB904" i="12"/>
  <c r="BB920" i="12"/>
  <c r="BB936" i="12"/>
  <c r="BB952" i="12"/>
  <c r="BB968" i="12"/>
  <c r="BB984" i="12"/>
  <c r="BB1000" i="12"/>
  <c r="BB1016" i="12"/>
  <c r="BB1032" i="12"/>
  <c r="BB1048" i="12"/>
  <c r="BB1064" i="12"/>
  <c r="BB1080" i="12"/>
  <c r="BB1096" i="12"/>
  <c r="BB1112" i="12"/>
  <c r="BB1128" i="12"/>
  <c r="BB1148" i="12"/>
  <c r="BB14" i="12"/>
  <c r="BB35" i="12"/>
  <c r="BB57" i="12"/>
  <c r="BB78" i="12"/>
  <c r="BB99" i="12"/>
  <c r="BB121" i="12"/>
  <c r="BB142" i="12"/>
  <c r="BB163" i="12"/>
  <c r="BB185" i="12"/>
  <c r="BB206" i="12"/>
  <c r="BB227" i="12"/>
  <c r="BB249" i="12"/>
  <c r="BB270" i="12"/>
  <c r="BB291" i="12"/>
  <c r="BB313" i="12"/>
  <c r="BB334" i="12"/>
  <c r="BB355" i="12"/>
  <c r="BB377" i="12"/>
  <c r="BB398" i="12"/>
  <c r="BB419" i="12"/>
  <c r="BB441" i="12"/>
  <c r="BB462" i="12"/>
  <c r="BB483" i="12"/>
  <c r="BB505" i="12"/>
  <c r="BB526" i="12"/>
  <c r="BB547" i="12"/>
  <c r="BB569" i="12"/>
  <c r="BB590" i="12"/>
  <c r="BB611" i="12"/>
  <c r="BB633" i="12"/>
  <c r="BB654" i="12"/>
  <c r="BB675" i="12"/>
  <c r="BB697" i="12"/>
  <c r="BB718" i="12"/>
  <c r="BB739" i="12"/>
  <c r="BB761" i="12"/>
  <c r="BB781" i="12"/>
  <c r="BB797" i="12"/>
  <c r="BB813" i="12"/>
  <c r="BB829" i="12"/>
  <c r="BB845" i="12"/>
  <c r="BB861" i="12"/>
  <c r="BB877" i="12"/>
  <c r="BB893" i="12"/>
  <c r="BB909" i="12"/>
  <c r="BB925" i="12"/>
  <c r="BB941" i="12"/>
  <c r="BB957" i="12"/>
  <c r="BB973" i="12"/>
  <c r="BB989" i="12"/>
  <c r="BB1005" i="12"/>
  <c r="BB1021" i="12"/>
  <c r="BB1037" i="12"/>
  <c r="BB1053" i="12"/>
  <c r="BB1069" i="12"/>
  <c r="BB1085" i="12"/>
  <c r="BB1101" i="12"/>
  <c r="BB1117" i="12"/>
  <c r="BB1133" i="12"/>
  <c r="BB1153" i="12"/>
  <c r="BB18" i="12"/>
  <c r="BB39" i="12"/>
  <c r="BB61" i="12"/>
  <c r="BB82" i="12"/>
  <c r="BB103" i="12"/>
  <c r="BB125" i="12"/>
  <c r="BB146" i="12"/>
  <c r="BB167" i="12"/>
  <c r="BB189" i="12"/>
  <c r="BB210" i="12"/>
  <c r="BB231" i="12"/>
  <c r="BB253" i="12"/>
  <c r="BB274" i="12"/>
  <c r="BB295" i="12"/>
  <c r="BB317" i="12"/>
  <c r="BB338" i="12"/>
  <c r="BB359" i="12"/>
  <c r="BB381" i="12"/>
  <c r="BB402" i="12"/>
  <c r="BB423" i="12"/>
  <c r="BB445" i="12"/>
  <c r="BB466" i="12"/>
  <c r="BB487" i="12"/>
  <c r="BB509" i="12"/>
  <c r="BB530" i="12"/>
  <c r="BB551" i="12"/>
  <c r="BB573" i="12"/>
  <c r="BB594" i="12"/>
  <c r="BB615" i="12"/>
  <c r="BB637" i="12"/>
  <c r="BB658" i="12"/>
  <c r="BB679" i="12"/>
  <c r="BB701" i="12"/>
  <c r="BB722" i="12"/>
  <c r="BB743" i="12"/>
  <c r="BB765" i="12"/>
  <c r="BB784" i="12"/>
  <c r="BB800" i="12"/>
  <c r="BB816" i="12"/>
  <c r="BB832" i="12"/>
  <c r="BB848" i="12"/>
  <c r="BB864" i="12"/>
  <c r="BB880" i="12"/>
  <c r="BB896" i="12"/>
  <c r="BB912" i="12"/>
  <c r="BB928" i="12"/>
  <c r="BB944" i="12"/>
  <c r="BB960" i="12"/>
  <c r="BB976" i="12"/>
  <c r="BB992" i="12"/>
  <c r="BB1008" i="12"/>
  <c r="BB1024" i="12"/>
  <c r="BB1040" i="12"/>
  <c r="BB1056" i="12"/>
  <c r="BB1072" i="12"/>
  <c r="BB1088" i="12"/>
  <c r="BB1104" i="12"/>
  <c r="BB1120" i="12"/>
  <c r="BB1140" i="12"/>
  <c r="BB1156" i="12"/>
  <c r="BB46" i="12"/>
  <c r="BB89" i="12"/>
  <c r="BB131" i="12"/>
  <c r="BB174" i="12"/>
  <c r="BB217" i="12"/>
  <c r="BB259" i="12"/>
  <c r="BB302" i="12"/>
  <c r="BB345" i="12"/>
  <c r="BB387" i="12"/>
  <c r="BB430" i="12"/>
  <c r="BB473" i="12"/>
  <c r="BB515" i="12"/>
  <c r="BB558" i="12"/>
  <c r="BB601" i="12"/>
  <c r="BB643" i="12"/>
  <c r="BB686" i="12"/>
  <c r="BB729" i="12"/>
  <c r="BB771" i="12"/>
  <c r="BB805" i="12"/>
  <c r="BB837" i="12"/>
  <c r="BB869" i="12"/>
  <c r="BB901" i="12"/>
  <c r="BB933" i="12"/>
  <c r="BB965" i="12"/>
  <c r="BB997" i="12"/>
  <c r="BB1029" i="12"/>
  <c r="BB1061" i="12"/>
  <c r="BB1093" i="12"/>
  <c r="BB1125" i="12"/>
  <c r="BB25" i="12"/>
  <c r="BB67" i="12"/>
  <c r="BB110" i="12"/>
  <c r="BB153" i="12"/>
  <c r="BB195" i="12"/>
  <c r="BB238" i="12"/>
  <c r="BB281" i="12"/>
  <c r="BB323" i="12"/>
  <c r="BB366" i="12"/>
  <c r="BB409" i="12"/>
  <c r="BB451" i="12"/>
  <c r="BB494" i="12"/>
  <c r="BB537" i="12"/>
  <c r="BB579" i="12"/>
  <c r="BB622" i="12"/>
  <c r="BB665" i="12"/>
  <c r="BB707" i="12"/>
  <c r="BB750" i="12"/>
  <c r="BB789" i="12"/>
  <c r="BB821" i="12"/>
  <c r="BB853" i="12"/>
  <c r="BB885" i="12"/>
  <c r="BB917" i="12"/>
  <c r="BB949" i="12"/>
  <c r="BB981" i="12"/>
  <c r="BB1013" i="12"/>
  <c r="BB1045" i="12"/>
  <c r="BB1077" i="12"/>
  <c r="BB1109" i="12"/>
  <c r="BB1145" i="12"/>
  <c r="N12" i="73"/>
  <c r="M12" i="73"/>
  <c r="M19" i="73"/>
  <c r="N19" i="73"/>
  <c r="BE1138" i="12"/>
  <c r="BA1138" i="12"/>
  <c r="O15" i="73"/>
  <c r="BA1139" i="12"/>
  <c r="BA7" i="12"/>
  <c r="BA11" i="12"/>
  <c r="BA15" i="12"/>
  <c r="BA19" i="12"/>
  <c r="BA23" i="12"/>
  <c r="BA27" i="12"/>
  <c r="BA31" i="12"/>
  <c r="BA35" i="12"/>
  <c r="BA39" i="12"/>
  <c r="BA43" i="12"/>
  <c r="BA47" i="12"/>
  <c r="BA51" i="12"/>
  <c r="BA55" i="12"/>
  <c r="BA59" i="12"/>
  <c r="BA63" i="12"/>
  <c r="BA67" i="12"/>
  <c r="BA71" i="12"/>
  <c r="BA75" i="12"/>
  <c r="BA79" i="12"/>
  <c r="BA83" i="12"/>
  <c r="BA87" i="12"/>
  <c r="BA91" i="12"/>
  <c r="BA95" i="12"/>
  <c r="BA99" i="12"/>
  <c r="BA103" i="12"/>
  <c r="BA107" i="12"/>
  <c r="BA111" i="12"/>
  <c r="BA115" i="12"/>
  <c r="BA119" i="12"/>
  <c r="BA123" i="12"/>
  <c r="BA127" i="12"/>
  <c r="BA131" i="12"/>
  <c r="BA135" i="12"/>
  <c r="BA139" i="12"/>
  <c r="BA143" i="12"/>
  <c r="BA147" i="12"/>
  <c r="BA151" i="12"/>
  <c r="BA155" i="12"/>
  <c r="BA159" i="12"/>
  <c r="BA163" i="12"/>
  <c r="BA167" i="12"/>
  <c r="BA171" i="12"/>
  <c r="BA175" i="12"/>
  <c r="BA179" i="12"/>
  <c r="BA183" i="12"/>
  <c r="BA187" i="12"/>
  <c r="BA191" i="12"/>
  <c r="BA195" i="12"/>
  <c r="BA199" i="12"/>
  <c r="BA203" i="12"/>
  <c r="BA207" i="12"/>
  <c r="BA211" i="12"/>
  <c r="BA215" i="12"/>
  <c r="BA219" i="12"/>
  <c r="BA223" i="12"/>
  <c r="BA227" i="12"/>
  <c r="BA231" i="12"/>
  <c r="BA235" i="12"/>
  <c r="BA239" i="12"/>
  <c r="BA243" i="12"/>
  <c r="BA247" i="12"/>
  <c r="BA251" i="12"/>
  <c r="BA255" i="12"/>
  <c r="BA259" i="12"/>
  <c r="BA263" i="12"/>
  <c r="BA267" i="12"/>
  <c r="BA271" i="12"/>
  <c r="BA275" i="12"/>
  <c r="BA279" i="12"/>
  <c r="BA283" i="12"/>
  <c r="BA287" i="12"/>
  <c r="BA291" i="12"/>
  <c r="BA295" i="12"/>
  <c r="BA299" i="12"/>
  <c r="BA303" i="12"/>
  <c r="BA307" i="12"/>
  <c r="BA311" i="12"/>
  <c r="BA315" i="12"/>
  <c r="BA319" i="12"/>
  <c r="BA323" i="12"/>
  <c r="BA327" i="12"/>
  <c r="BA331" i="12"/>
  <c r="BA335" i="12"/>
  <c r="BA339" i="12"/>
  <c r="BA343" i="12"/>
  <c r="BA347" i="12"/>
  <c r="BA351" i="12"/>
  <c r="BA355" i="12"/>
  <c r="BA359" i="12"/>
  <c r="BA363" i="12"/>
  <c r="BA367" i="12"/>
  <c r="BA371" i="12"/>
  <c r="BA375" i="12"/>
  <c r="BA379" i="12"/>
  <c r="BA383" i="12"/>
  <c r="BA387" i="12"/>
  <c r="BA391" i="12"/>
  <c r="BA395" i="12"/>
  <c r="BA399" i="12"/>
  <c r="BA403" i="12"/>
  <c r="BA407" i="12"/>
  <c r="BA411" i="12"/>
  <c r="BA415" i="12"/>
  <c r="BA419" i="12"/>
  <c r="BA423" i="12"/>
  <c r="BA427" i="12"/>
  <c r="BA431" i="12"/>
  <c r="BA435" i="12"/>
  <c r="BA439" i="12"/>
  <c r="BA443" i="12"/>
  <c r="BA447" i="12"/>
  <c r="BA451" i="12"/>
  <c r="BA455" i="12"/>
  <c r="BA459" i="12"/>
  <c r="BA463" i="12"/>
  <c r="BA467" i="12"/>
  <c r="BA471" i="12"/>
  <c r="BA475" i="12"/>
  <c r="BA479" i="12"/>
  <c r="BA483" i="12"/>
  <c r="BA487" i="12"/>
  <c r="BA491" i="12"/>
  <c r="BA495" i="12"/>
  <c r="BA499" i="12"/>
  <c r="BA503" i="12"/>
  <c r="BA507" i="12"/>
  <c r="BA511" i="12"/>
  <c r="BA515" i="12"/>
  <c r="BA519" i="12"/>
  <c r="BA523" i="12"/>
  <c r="BA527" i="12"/>
  <c r="BA531" i="12"/>
  <c r="BA535" i="12"/>
  <c r="BA539" i="12"/>
  <c r="BA543" i="12"/>
  <c r="BA547" i="12"/>
  <c r="BA551" i="12"/>
  <c r="BA555" i="12"/>
  <c r="BA559" i="12"/>
  <c r="BA563" i="12"/>
  <c r="BA567" i="12"/>
  <c r="BA571" i="12"/>
  <c r="BA575" i="12"/>
  <c r="BA579" i="12"/>
  <c r="BA583" i="12"/>
  <c r="BA587" i="12"/>
  <c r="BA591" i="12"/>
  <c r="BA595" i="12"/>
  <c r="BA599" i="12"/>
  <c r="BA603" i="12"/>
  <c r="BA607" i="12"/>
  <c r="BA611" i="12"/>
  <c r="BA615" i="12"/>
  <c r="BA619" i="12"/>
  <c r="BA623" i="12"/>
  <c r="BA627" i="12"/>
  <c r="BA631" i="12"/>
  <c r="BA635" i="12"/>
  <c r="BA639" i="12"/>
  <c r="BA643" i="12"/>
  <c r="BA647" i="12"/>
  <c r="BA651" i="12"/>
  <c r="BA655" i="12"/>
  <c r="BA659" i="12"/>
  <c r="BA663" i="12"/>
  <c r="BA667" i="12"/>
  <c r="BA671" i="12"/>
  <c r="BA675" i="12"/>
  <c r="BA679" i="12"/>
  <c r="BA683" i="12"/>
  <c r="BA687" i="12"/>
  <c r="BA691" i="12"/>
  <c r="BA695" i="12"/>
  <c r="BA699" i="12"/>
  <c r="BA703" i="12"/>
  <c r="BA707" i="12"/>
  <c r="BA711" i="12"/>
  <c r="BA715" i="12"/>
  <c r="BA719" i="12"/>
  <c r="BA723" i="12"/>
  <c r="BA727" i="12"/>
  <c r="BA731" i="12"/>
  <c r="BA735" i="12"/>
  <c r="BA739" i="12"/>
  <c r="BA743" i="12"/>
  <c r="BA747" i="12"/>
  <c r="BA751" i="12"/>
  <c r="BA755" i="12"/>
  <c r="BA759" i="12"/>
  <c r="BA763" i="12"/>
  <c r="BA767" i="12"/>
  <c r="BA771" i="12"/>
  <c r="BA775" i="12"/>
  <c r="BA779" i="12"/>
  <c r="BA783" i="12"/>
  <c r="BA787" i="12"/>
  <c r="BA791" i="12"/>
  <c r="BA795" i="12"/>
  <c r="BA799" i="12"/>
  <c r="BA803" i="12"/>
  <c r="BA807" i="12"/>
  <c r="BA811" i="12"/>
  <c r="BA815" i="12"/>
  <c r="BA819" i="12"/>
  <c r="BA823" i="12"/>
  <c r="BA827" i="12"/>
  <c r="BA831" i="12"/>
  <c r="BA835" i="12"/>
  <c r="BA839" i="12"/>
  <c r="BA843" i="12"/>
  <c r="BA847" i="12"/>
  <c r="BA851" i="12"/>
  <c r="BA855" i="12"/>
  <c r="BA859" i="12"/>
  <c r="BA863" i="12"/>
  <c r="BA867" i="12"/>
  <c r="BA871" i="12"/>
  <c r="BA875" i="12"/>
  <c r="BA879" i="12"/>
  <c r="BA883" i="12"/>
  <c r="BA887" i="12"/>
  <c r="BA891" i="12"/>
  <c r="BA895" i="12"/>
  <c r="BA899" i="12"/>
  <c r="BA903" i="12"/>
  <c r="BA907" i="12"/>
  <c r="BA911" i="12"/>
  <c r="BA915" i="12"/>
  <c r="BA919" i="12"/>
  <c r="BA923" i="12"/>
  <c r="BA927" i="12"/>
  <c r="BA931" i="12"/>
  <c r="BA935" i="12"/>
  <c r="BA939" i="12"/>
  <c r="BA943" i="12"/>
  <c r="BA947" i="12"/>
  <c r="BA951" i="12"/>
  <c r="BA955" i="12"/>
  <c r="BA959" i="12"/>
  <c r="BA963" i="12"/>
  <c r="BA967" i="12"/>
  <c r="BA971" i="12"/>
  <c r="BA975" i="12"/>
  <c r="BA979" i="12"/>
  <c r="BA983" i="12"/>
  <c r="BA987" i="12"/>
  <c r="BA991" i="12"/>
  <c r="BA995" i="12"/>
  <c r="BA999" i="12"/>
  <c r="BA1003" i="12"/>
  <c r="BA1007" i="12"/>
  <c r="BA1011" i="12"/>
  <c r="BA1015" i="12"/>
  <c r="BA1019" i="12"/>
  <c r="BA1023" i="12"/>
  <c r="BA1027" i="12"/>
  <c r="BA1031" i="12"/>
  <c r="BA1035" i="12"/>
  <c r="BA1039" i="12"/>
  <c r="BA1043" i="12"/>
  <c r="BA1047" i="12"/>
  <c r="BA1051" i="12"/>
  <c r="BA1055" i="12"/>
  <c r="BA1059" i="12"/>
  <c r="BA1063" i="12"/>
  <c r="BA1067" i="12"/>
  <c r="BA1071" i="12"/>
  <c r="BA1075" i="12"/>
  <c r="BA1079" i="12"/>
  <c r="BA1083" i="12"/>
  <c r="BA1087" i="12"/>
  <c r="BA1091" i="12"/>
  <c r="BA1095" i="12"/>
  <c r="BA1099" i="12"/>
  <c r="BA1103" i="12"/>
  <c r="BA1107" i="12"/>
  <c r="BA8" i="12"/>
  <c r="BA12" i="12"/>
  <c r="BA16" i="12"/>
  <c r="BA20" i="12"/>
  <c r="BA24" i="12"/>
  <c r="BA28" i="12"/>
  <c r="BA32" i="12"/>
  <c r="BA36" i="12"/>
  <c r="BA40" i="12"/>
  <c r="BA44" i="12"/>
  <c r="BA48" i="12"/>
  <c r="BA52" i="12"/>
  <c r="BA56" i="12"/>
  <c r="BA60" i="12"/>
  <c r="BA64" i="12"/>
  <c r="BA68" i="12"/>
  <c r="BA72" i="12"/>
  <c r="BA76" i="12"/>
  <c r="BA80" i="12"/>
  <c r="BA84" i="12"/>
  <c r="BA88" i="12"/>
  <c r="BA92" i="12"/>
  <c r="BA96" i="12"/>
  <c r="BA100" i="12"/>
  <c r="BA104" i="12"/>
  <c r="BA108" i="12"/>
  <c r="BA112" i="12"/>
  <c r="BA116" i="12"/>
  <c r="BA120" i="12"/>
  <c r="BA124" i="12"/>
  <c r="BA128" i="12"/>
  <c r="BA132" i="12"/>
  <c r="BA136" i="12"/>
  <c r="BA140" i="12"/>
  <c r="BA144" i="12"/>
  <c r="BA148" i="12"/>
  <c r="BA152" i="12"/>
  <c r="BA156" i="12"/>
  <c r="BA160" i="12"/>
  <c r="BA164" i="12"/>
  <c r="BA168" i="12"/>
  <c r="BA172" i="12"/>
  <c r="BA176" i="12"/>
  <c r="BA180" i="12"/>
  <c r="BA184" i="12"/>
  <c r="BA188" i="12"/>
  <c r="BA192" i="12"/>
  <c r="BA196" i="12"/>
  <c r="BA200" i="12"/>
  <c r="BA204" i="12"/>
  <c r="BA208" i="12"/>
  <c r="BA212" i="12"/>
  <c r="BA216" i="12"/>
  <c r="BA220" i="12"/>
  <c r="BA224" i="12"/>
  <c r="BA228" i="12"/>
  <c r="BA232" i="12"/>
  <c r="BA236" i="12"/>
  <c r="BA240" i="12"/>
  <c r="BA244" i="12"/>
  <c r="BA248" i="12"/>
  <c r="BA252" i="12"/>
  <c r="BA256" i="12"/>
  <c r="BA260" i="12"/>
  <c r="BA264" i="12"/>
  <c r="BA268" i="12"/>
  <c r="BA272" i="12"/>
  <c r="BA276" i="12"/>
  <c r="BA280" i="12"/>
  <c r="BA284" i="12"/>
  <c r="BA288" i="12"/>
  <c r="BA292" i="12"/>
  <c r="BA296" i="12"/>
  <c r="BA300" i="12"/>
  <c r="BA304" i="12"/>
  <c r="BA308" i="12"/>
  <c r="BA312" i="12"/>
  <c r="BA316" i="12"/>
  <c r="BA320" i="12"/>
  <c r="BA324" i="12"/>
  <c r="BA328" i="12"/>
  <c r="BA332" i="12"/>
  <c r="BA336" i="12"/>
  <c r="BA340" i="12"/>
  <c r="BA344" i="12"/>
  <c r="BA348" i="12"/>
  <c r="BA352" i="12"/>
  <c r="BA356" i="12"/>
  <c r="BA360" i="12"/>
  <c r="BA364" i="12"/>
  <c r="BA368" i="12"/>
  <c r="BA372" i="12"/>
  <c r="BA376" i="12"/>
  <c r="BA380" i="12"/>
  <c r="BA384" i="12"/>
  <c r="BA388" i="12"/>
  <c r="BA392" i="12"/>
  <c r="BA396" i="12"/>
  <c r="BA400" i="12"/>
  <c r="BA404" i="12"/>
  <c r="BA408" i="12"/>
  <c r="BA412" i="12"/>
  <c r="BA416" i="12"/>
  <c r="BA420" i="12"/>
  <c r="BA424" i="12"/>
  <c r="BA428" i="12"/>
  <c r="BA432" i="12"/>
  <c r="BA436" i="12"/>
  <c r="BA440" i="12"/>
  <c r="BA444" i="12"/>
  <c r="BA448" i="12"/>
  <c r="BA452" i="12"/>
  <c r="BA456" i="12"/>
  <c r="BA460" i="12"/>
  <c r="BA464" i="12"/>
  <c r="BA468" i="12"/>
  <c r="BA472" i="12"/>
  <c r="BA476" i="12"/>
  <c r="BA480" i="12"/>
  <c r="BA484" i="12"/>
  <c r="BA488" i="12"/>
  <c r="BA492" i="12"/>
  <c r="BA496" i="12"/>
  <c r="BA500" i="12"/>
  <c r="BA504" i="12"/>
  <c r="BA508" i="12"/>
  <c r="BA512" i="12"/>
  <c r="BA516" i="12"/>
  <c r="BA520" i="12"/>
  <c r="BA524" i="12"/>
  <c r="BA528" i="12"/>
  <c r="BA532" i="12"/>
  <c r="BA536" i="12"/>
  <c r="BA540" i="12"/>
  <c r="BA544" i="12"/>
  <c r="BA548" i="12"/>
  <c r="BA552" i="12"/>
  <c r="BA556" i="12"/>
  <c r="BA560" i="12"/>
  <c r="BA564" i="12"/>
  <c r="BA568" i="12"/>
  <c r="BA572" i="12"/>
  <c r="BA576" i="12"/>
  <c r="BA580" i="12"/>
  <c r="BA584" i="12"/>
  <c r="BA588" i="12"/>
  <c r="BA592" i="12"/>
  <c r="BA596" i="12"/>
  <c r="BA600" i="12"/>
  <c r="BA604" i="12"/>
  <c r="BA608" i="12"/>
  <c r="BA612" i="12"/>
  <c r="BA616" i="12"/>
  <c r="BA620" i="12"/>
  <c r="BA624" i="12"/>
  <c r="BA628" i="12"/>
  <c r="BA632" i="12"/>
  <c r="BA636" i="12"/>
  <c r="BA640" i="12"/>
  <c r="BA644" i="12"/>
  <c r="BA648" i="12"/>
  <c r="BA652" i="12"/>
  <c r="BA656" i="12"/>
  <c r="BA660" i="12"/>
  <c r="BA664" i="12"/>
  <c r="BA668" i="12"/>
  <c r="BA672" i="12"/>
  <c r="BA676" i="12"/>
  <c r="BA680" i="12"/>
  <c r="BA684" i="12"/>
  <c r="BA688" i="12"/>
  <c r="BA692" i="12"/>
  <c r="BA696" i="12"/>
  <c r="BA700" i="12"/>
  <c r="BA704" i="12"/>
  <c r="BA708" i="12"/>
  <c r="BA712" i="12"/>
  <c r="BA716" i="12"/>
  <c r="BA720" i="12"/>
  <c r="BA724" i="12"/>
  <c r="BA728" i="12"/>
  <c r="BA732" i="12"/>
  <c r="BA736" i="12"/>
  <c r="BA740" i="12"/>
  <c r="BA744" i="12"/>
  <c r="BA748" i="12"/>
  <c r="BA752" i="12"/>
  <c r="BA756" i="12"/>
  <c r="BA760" i="12"/>
  <c r="BA764" i="12"/>
  <c r="BA768" i="12"/>
  <c r="BA772" i="12"/>
  <c r="BA776" i="12"/>
  <c r="BA780" i="12"/>
  <c r="BA784" i="12"/>
  <c r="BA788" i="12"/>
  <c r="BA792" i="12"/>
  <c r="BA796" i="12"/>
  <c r="BA800" i="12"/>
  <c r="BA804" i="12"/>
  <c r="BA808" i="12"/>
  <c r="BA812" i="12"/>
  <c r="BA816" i="12"/>
  <c r="BA820" i="12"/>
  <c r="BA824" i="12"/>
  <c r="BA828" i="12"/>
  <c r="BA832" i="12"/>
  <c r="BA836" i="12"/>
  <c r="BA840" i="12"/>
  <c r="BA844" i="12"/>
  <c r="BA848" i="12"/>
  <c r="BA852" i="12"/>
  <c r="BA856" i="12"/>
  <c r="BA860" i="12"/>
  <c r="BA864" i="12"/>
  <c r="BA868" i="12"/>
  <c r="BA872" i="12"/>
  <c r="BA876" i="12"/>
  <c r="BA880" i="12"/>
  <c r="BA884" i="12"/>
  <c r="BA888" i="12"/>
  <c r="BA892" i="12"/>
  <c r="BA896" i="12"/>
  <c r="BA900" i="12"/>
  <c r="BA904" i="12"/>
  <c r="BA908" i="12"/>
  <c r="BA912" i="12"/>
  <c r="BA916" i="12"/>
  <c r="BA920" i="12"/>
  <c r="BA924" i="12"/>
  <c r="BA928" i="12"/>
  <c r="BA932" i="12"/>
  <c r="BA936" i="12"/>
  <c r="BA940" i="12"/>
  <c r="BA944" i="12"/>
  <c r="BA948" i="12"/>
  <c r="BA952" i="12"/>
  <c r="BA956" i="12"/>
  <c r="BA960" i="12"/>
  <c r="BA964" i="12"/>
  <c r="BA968" i="12"/>
  <c r="BA972" i="12"/>
  <c r="BA976" i="12"/>
  <c r="BA980" i="12"/>
  <c r="BA984" i="12"/>
  <c r="BA988" i="12"/>
  <c r="BA992" i="12"/>
  <c r="BA996" i="12"/>
  <c r="BA1000" i="12"/>
  <c r="BA1004" i="12"/>
  <c r="BA1008" i="12"/>
  <c r="BA1012" i="12"/>
  <c r="BA1016" i="12"/>
  <c r="BA1020" i="12"/>
  <c r="BA1024" i="12"/>
  <c r="BA1028" i="12"/>
  <c r="BA1032" i="12"/>
  <c r="BA1036" i="12"/>
  <c r="BA1040" i="12"/>
  <c r="BA1044" i="12"/>
  <c r="BA1048" i="12"/>
  <c r="BA1052" i="12"/>
  <c r="BA1056" i="12"/>
  <c r="BA1060" i="12"/>
  <c r="BA1064" i="12"/>
  <c r="BA1068" i="12"/>
  <c r="BA1072" i="12"/>
  <c r="BA1076" i="12"/>
  <c r="BA1080" i="12"/>
  <c r="BA1084" i="12"/>
  <c r="BA1088" i="12"/>
  <c r="BA10" i="12"/>
  <c r="BA18" i="12"/>
  <c r="BA26" i="12"/>
  <c r="BA34" i="12"/>
  <c r="BA42" i="12"/>
  <c r="BA50" i="12"/>
  <c r="BA58" i="12"/>
  <c r="BA66" i="12"/>
  <c r="BA74" i="12"/>
  <c r="BA82" i="12"/>
  <c r="BA90" i="12"/>
  <c r="BA98" i="12"/>
  <c r="BA106" i="12"/>
  <c r="BA114" i="12"/>
  <c r="BA122" i="12"/>
  <c r="BA130" i="12"/>
  <c r="BA138" i="12"/>
  <c r="BA146" i="12"/>
  <c r="BA154" i="12"/>
  <c r="BA162" i="12"/>
  <c r="BA170" i="12"/>
  <c r="BA178" i="12"/>
  <c r="BA186" i="12"/>
  <c r="BA194" i="12"/>
  <c r="BA202" i="12"/>
  <c r="BA210" i="12"/>
  <c r="BA218" i="12"/>
  <c r="BA226" i="12"/>
  <c r="BA234" i="12"/>
  <c r="BA242" i="12"/>
  <c r="BA250" i="12"/>
  <c r="BA258" i="12"/>
  <c r="BA266" i="12"/>
  <c r="BA274" i="12"/>
  <c r="BA282" i="12"/>
  <c r="BA290" i="12"/>
  <c r="BA298" i="12"/>
  <c r="BA306" i="12"/>
  <c r="BA314" i="12"/>
  <c r="BA322" i="12"/>
  <c r="BA330" i="12"/>
  <c r="BA338" i="12"/>
  <c r="BA346" i="12"/>
  <c r="BA354" i="12"/>
  <c r="BA362" i="12"/>
  <c r="BA370" i="12"/>
  <c r="BA378" i="12"/>
  <c r="BA386" i="12"/>
  <c r="BA394" i="12"/>
  <c r="BA402" i="12"/>
  <c r="BA410" i="12"/>
  <c r="BA418" i="12"/>
  <c r="BA426" i="12"/>
  <c r="BA434" i="12"/>
  <c r="BA442" i="12"/>
  <c r="BA450" i="12"/>
  <c r="BA458" i="12"/>
  <c r="BA466" i="12"/>
  <c r="BA474" i="12"/>
  <c r="BA482" i="12"/>
  <c r="BA490" i="12"/>
  <c r="BA498" i="12"/>
  <c r="BA506" i="12"/>
  <c r="BA514" i="12"/>
  <c r="BA522" i="12"/>
  <c r="BA530" i="12"/>
  <c r="BA538" i="12"/>
  <c r="BA546" i="12"/>
  <c r="BA554" i="12"/>
  <c r="BA562" i="12"/>
  <c r="BA570" i="12"/>
  <c r="BA578" i="12"/>
  <c r="BA586" i="12"/>
  <c r="BA594" i="12"/>
  <c r="BA602" i="12"/>
  <c r="BA610" i="12"/>
  <c r="BA618" i="12"/>
  <c r="BA626" i="12"/>
  <c r="BA634" i="12"/>
  <c r="BA642" i="12"/>
  <c r="BA650" i="12"/>
  <c r="BA658" i="12"/>
  <c r="BA666" i="12"/>
  <c r="BA674" i="12"/>
  <c r="BA682" i="12"/>
  <c r="BA690" i="12"/>
  <c r="BA698" i="12"/>
  <c r="BA706" i="12"/>
  <c r="BA714" i="12"/>
  <c r="BA722" i="12"/>
  <c r="BA730" i="12"/>
  <c r="BA738" i="12"/>
  <c r="BA746" i="12"/>
  <c r="BA754" i="12"/>
  <c r="BA762" i="12"/>
  <c r="BA770" i="12"/>
  <c r="BA778" i="12"/>
  <c r="BA786" i="12"/>
  <c r="BA794" i="12"/>
  <c r="BA802" i="12"/>
  <c r="BA810" i="12"/>
  <c r="BA818" i="12"/>
  <c r="BA826" i="12"/>
  <c r="BA834" i="12"/>
  <c r="BA842" i="12"/>
  <c r="BA850" i="12"/>
  <c r="BA858" i="12"/>
  <c r="BA866" i="12"/>
  <c r="BA874" i="12"/>
  <c r="BA882" i="12"/>
  <c r="BA890" i="12"/>
  <c r="BA898" i="12"/>
  <c r="BA906" i="12"/>
  <c r="BA914" i="12"/>
  <c r="BA922" i="12"/>
  <c r="BA930" i="12"/>
  <c r="BA938" i="12"/>
  <c r="BA946" i="12"/>
  <c r="BA954" i="12"/>
  <c r="BA962" i="12"/>
  <c r="BA970" i="12"/>
  <c r="BA978" i="12"/>
  <c r="BA986" i="12"/>
  <c r="BA994" i="12"/>
  <c r="BA1002" i="12"/>
  <c r="BA1010" i="12"/>
  <c r="BA1018" i="12"/>
  <c r="BA1026" i="12"/>
  <c r="BA1034" i="12"/>
  <c r="BA1042" i="12"/>
  <c r="BA1050" i="12"/>
  <c r="BA1058" i="12"/>
  <c r="BA1066" i="12"/>
  <c r="BA1074" i="12"/>
  <c r="BA1082" i="12"/>
  <c r="BA1090" i="12"/>
  <c r="BA1096" i="12"/>
  <c r="BA1101" i="12"/>
  <c r="BA1106" i="12"/>
  <c r="BA1111" i="12"/>
  <c r="BA1115" i="12"/>
  <c r="BA1119" i="12"/>
  <c r="BA1123" i="12"/>
  <c r="BA1127" i="12"/>
  <c r="BA1131" i="12"/>
  <c r="BA1137" i="12"/>
  <c r="BA1143" i="12"/>
  <c r="BA1147" i="12"/>
  <c r="BA1151" i="12"/>
  <c r="BA1155" i="12"/>
  <c r="BA1159" i="12"/>
  <c r="BA5" i="12"/>
  <c r="BA13" i="12"/>
  <c r="BA21" i="12"/>
  <c r="BA29" i="12"/>
  <c r="BA37" i="12"/>
  <c r="BA45" i="12"/>
  <c r="BA53" i="12"/>
  <c r="BA61" i="12"/>
  <c r="BA69" i="12"/>
  <c r="BA77" i="12"/>
  <c r="BA85" i="12"/>
  <c r="BA93" i="12"/>
  <c r="BA101" i="12"/>
  <c r="BA109" i="12"/>
  <c r="BA117" i="12"/>
  <c r="BA125" i="12"/>
  <c r="BA133" i="12"/>
  <c r="BA141" i="12"/>
  <c r="BA149" i="12"/>
  <c r="BA157" i="12"/>
  <c r="BA165" i="12"/>
  <c r="BA173" i="12"/>
  <c r="BA181" i="12"/>
  <c r="BA189" i="12"/>
  <c r="BA197" i="12"/>
  <c r="BA205" i="12"/>
  <c r="BA213" i="12"/>
  <c r="BA221" i="12"/>
  <c r="BA229" i="12"/>
  <c r="BA237" i="12"/>
  <c r="BA245" i="12"/>
  <c r="BA253" i="12"/>
  <c r="BA261" i="12"/>
  <c r="BA269" i="12"/>
  <c r="BA277" i="12"/>
  <c r="BA285" i="12"/>
  <c r="BA293" i="12"/>
  <c r="BA301" i="12"/>
  <c r="BA309" i="12"/>
  <c r="BA317" i="12"/>
  <c r="BA325" i="12"/>
  <c r="BA333" i="12"/>
  <c r="BA341" i="12"/>
  <c r="BA349" i="12"/>
  <c r="BA357" i="12"/>
  <c r="BA365" i="12"/>
  <c r="BA373" i="12"/>
  <c r="BA381" i="12"/>
  <c r="BA389" i="12"/>
  <c r="BA397" i="12"/>
  <c r="BA405" i="12"/>
  <c r="BA413" i="12"/>
  <c r="BA421" i="12"/>
  <c r="BA429" i="12"/>
  <c r="BA437" i="12"/>
  <c r="BA445" i="12"/>
  <c r="BA453" i="12"/>
  <c r="BA461" i="12"/>
  <c r="BA469" i="12"/>
  <c r="BA477" i="12"/>
  <c r="BA485" i="12"/>
  <c r="BA493" i="12"/>
  <c r="BA501" i="12"/>
  <c r="BA509" i="12"/>
  <c r="BA517" i="12"/>
  <c r="BA525" i="12"/>
  <c r="BA533" i="12"/>
  <c r="BA541" i="12"/>
  <c r="BA549" i="12"/>
  <c r="BA557" i="12"/>
  <c r="BA565" i="12"/>
  <c r="BA573" i="12"/>
  <c r="BA581" i="12"/>
  <c r="BA589" i="12"/>
  <c r="BA597" i="12"/>
  <c r="BA605" i="12"/>
  <c r="BA613" i="12"/>
  <c r="BA621" i="12"/>
  <c r="BA629" i="12"/>
  <c r="BA637" i="12"/>
  <c r="BA645" i="12"/>
  <c r="BA653" i="12"/>
  <c r="BA661" i="12"/>
  <c r="BA669" i="12"/>
  <c r="BA677" i="12"/>
  <c r="BA685" i="12"/>
  <c r="BA693" i="12"/>
  <c r="BA701" i="12"/>
  <c r="BA709" i="12"/>
  <c r="BA717" i="12"/>
  <c r="BA725" i="12"/>
  <c r="BA733" i="12"/>
  <c r="BA741" i="12"/>
  <c r="BA749" i="12"/>
  <c r="BA757" i="12"/>
  <c r="BA765" i="12"/>
  <c r="BA773" i="12"/>
  <c r="BA781" i="12"/>
  <c r="BA789" i="12"/>
  <c r="BA797" i="12"/>
  <c r="BA805" i="12"/>
  <c r="BA813" i="12"/>
  <c r="BA821" i="12"/>
  <c r="BA829" i="12"/>
  <c r="BA837" i="12"/>
  <c r="BA845" i="12"/>
  <c r="BA853" i="12"/>
  <c r="BA861" i="12"/>
  <c r="BA869" i="12"/>
  <c r="BA877" i="12"/>
  <c r="BA885" i="12"/>
  <c r="BA893" i="12"/>
  <c r="BA901" i="12"/>
  <c r="BA909" i="12"/>
  <c r="BA917" i="12"/>
  <c r="BA925" i="12"/>
  <c r="BA933" i="12"/>
  <c r="BA941" i="12"/>
  <c r="BA949" i="12"/>
  <c r="BA957" i="12"/>
  <c r="BA965" i="12"/>
  <c r="BA973" i="12"/>
  <c r="BA981" i="12"/>
  <c r="BA989" i="12"/>
  <c r="BA997" i="12"/>
  <c r="BA1005" i="12"/>
  <c r="BA1013" i="12"/>
  <c r="BA1021" i="12"/>
  <c r="BA1029" i="12"/>
  <c r="BA1037" i="12"/>
  <c r="BA1045" i="12"/>
  <c r="BA1053" i="12"/>
  <c r="BA1061" i="12"/>
  <c r="BA1069" i="12"/>
  <c r="BA1077" i="12"/>
  <c r="BA1085" i="12"/>
  <c r="BA1092" i="12"/>
  <c r="BA1097" i="12"/>
  <c r="BA1102" i="12"/>
  <c r="BA1108" i="12"/>
  <c r="BA1112" i="12"/>
  <c r="BA1116" i="12"/>
  <c r="BA1120" i="12"/>
  <c r="BA1124" i="12"/>
  <c r="BA1128" i="12"/>
  <c r="BA1132" i="12"/>
  <c r="BA1140" i="12"/>
  <c r="BA1144" i="12"/>
  <c r="BA1148" i="12"/>
  <c r="BA1152" i="12"/>
  <c r="BA1156" i="12"/>
  <c r="BA9" i="12"/>
  <c r="BA25" i="12"/>
  <c r="BA41" i="12"/>
  <c r="BA57" i="12"/>
  <c r="BA73" i="12"/>
  <c r="BA89" i="12"/>
  <c r="BA105" i="12"/>
  <c r="BA121" i="12"/>
  <c r="BA137" i="12"/>
  <c r="BA153" i="12"/>
  <c r="BA169" i="12"/>
  <c r="BA185" i="12"/>
  <c r="BA201" i="12"/>
  <c r="BA217" i="12"/>
  <c r="BA233" i="12"/>
  <c r="BA249" i="12"/>
  <c r="BA265" i="12"/>
  <c r="BA281" i="12"/>
  <c r="BA297" i="12"/>
  <c r="BA313" i="12"/>
  <c r="BA329" i="12"/>
  <c r="BA345" i="12"/>
  <c r="BA361" i="12"/>
  <c r="BA377" i="12"/>
  <c r="BA393" i="12"/>
  <c r="BA409" i="12"/>
  <c r="BA425" i="12"/>
  <c r="BA441" i="12"/>
  <c r="BA457" i="12"/>
  <c r="BA473" i="12"/>
  <c r="BA489" i="12"/>
  <c r="BA505" i="12"/>
  <c r="BA521" i="12"/>
  <c r="BA537" i="12"/>
  <c r="BA553" i="12"/>
  <c r="BA569" i="12"/>
  <c r="BA585" i="12"/>
  <c r="BA601" i="12"/>
  <c r="BA617" i="12"/>
  <c r="BA633" i="12"/>
  <c r="BA649" i="12"/>
  <c r="BA665" i="12"/>
  <c r="BA681" i="12"/>
  <c r="BA697" i="12"/>
  <c r="BA713" i="12"/>
  <c r="BA729" i="12"/>
  <c r="BA745" i="12"/>
  <c r="BA761" i="12"/>
  <c r="BA777" i="12"/>
  <c r="BA793" i="12"/>
  <c r="BA809" i="12"/>
  <c r="BA825" i="12"/>
  <c r="BA841" i="12"/>
  <c r="BA857" i="12"/>
  <c r="BA873" i="12"/>
  <c r="BA889" i="12"/>
  <c r="BA905" i="12"/>
  <c r="BA921" i="12"/>
  <c r="BA937" i="12"/>
  <c r="BA953" i="12"/>
  <c r="BA969" i="12"/>
  <c r="BA985" i="12"/>
  <c r="BA1001" i="12"/>
  <c r="BA1017" i="12"/>
  <c r="BA1033" i="12"/>
  <c r="BA1049" i="12"/>
  <c r="BA1065" i="12"/>
  <c r="BA1081" i="12"/>
  <c r="BA1094" i="12"/>
  <c r="BA1105" i="12"/>
  <c r="BA1114" i="12"/>
  <c r="BA1122" i="12"/>
  <c r="BA1130" i="12"/>
  <c r="BA1142" i="12"/>
  <c r="BA1150" i="12"/>
  <c r="BA1158" i="12"/>
  <c r="BA14" i="12"/>
  <c r="BA30" i="12"/>
  <c r="BA46" i="12"/>
  <c r="BA62" i="12"/>
  <c r="BA78" i="12"/>
  <c r="BA94" i="12"/>
  <c r="BA110" i="12"/>
  <c r="BA126" i="12"/>
  <c r="BA142" i="12"/>
  <c r="BA158" i="12"/>
  <c r="BA174" i="12"/>
  <c r="BA190" i="12"/>
  <c r="BA206" i="12"/>
  <c r="BA222" i="12"/>
  <c r="BA238" i="12"/>
  <c r="BA254" i="12"/>
  <c r="BA270" i="12"/>
  <c r="BA286" i="12"/>
  <c r="BA302" i="12"/>
  <c r="BA318" i="12"/>
  <c r="BA334" i="12"/>
  <c r="BA350" i="12"/>
  <c r="BA366" i="12"/>
  <c r="BA382" i="12"/>
  <c r="BA398" i="12"/>
  <c r="BA414" i="12"/>
  <c r="BA430" i="12"/>
  <c r="BA446" i="12"/>
  <c r="BA462" i="12"/>
  <c r="BA478" i="12"/>
  <c r="BA494" i="12"/>
  <c r="BA510" i="12"/>
  <c r="BA526" i="12"/>
  <c r="BA542" i="12"/>
  <c r="BA558" i="12"/>
  <c r="BA574" i="12"/>
  <c r="BA590" i="12"/>
  <c r="BA606" i="12"/>
  <c r="BA622" i="12"/>
  <c r="BA638" i="12"/>
  <c r="BA654" i="12"/>
  <c r="BA670" i="12"/>
  <c r="BA686" i="12"/>
  <c r="BA702" i="12"/>
  <c r="BA718" i="12"/>
  <c r="BA734" i="12"/>
  <c r="BA750" i="12"/>
  <c r="BA766" i="12"/>
  <c r="BA782" i="12"/>
  <c r="BA798" i="12"/>
  <c r="BA814" i="12"/>
  <c r="BA830" i="12"/>
  <c r="BA846" i="12"/>
  <c r="BA862" i="12"/>
  <c r="BA878" i="12"/>
  <c r="BA894" i="12"/>
  <c r="BA910" i="12"/>
  <c r="BA926" i="12"/>
  <c r="BA942" i="12"/>
  <c r="BA958" i="12"/>
  <c r="BA974" i="12"/>
  <c r="BA990" i="12"/>
  <c r="BA1006" i="12"/>
  <c r="BA1022" i="12"/>
  <c r="BA1038" i="12"/>
  <c r="BA1054" i="12"/>
  <c r="BA1070" i="12"/>
  <c r="BA1086" i="12"/>
  <c r="BA1098" i="12"/>
  <c r="BA1109" i="12"/>
  <c r="BA1117" i="12"/>
  <c r="BA1125" i="12"/>
  <c r="BA1133" i="12"/>
  <c r="BA1145" i="12"/>
  <c r="BA1153" i="12"/>
  <c r="BA17" i="12"/>
  <c r="BA33" i="12"/>
  <c r="BA49" i="12"/>
  <c r="BA65" i="12"/>
  <c r="BA81" i="12"/>
  <c r="BA97" i="12"/>
  <c r="BA113" i="12"/>
  <c r="BA129" i="12"/>
  <c r="BA145" i="12"/>
  <c r="BA161" i="12"/>
  <c r="BA177" i="12"/>
  <c r="BA193" i="12"/>
  <c r="BA209" i="12"/>
  <c r="BA225" i="12"/>
  <c r="BA241" i="12"/>
  <c r="BA257" i="12"/>
  <c r="BA273" i="12"/>
  <c r="BA289" i="12"/>
  <c r="BA305" i="12"/>
  <c r="BA321" i="12"/>
  <c r="BA337" i="12"/>
  <c r="BA353" i="12"/>
  <c r="BA369" i="12"/>
  <c r="BA385" i="12"/>
  <c r="BA401" i="12"/>
  <c r="BA417" i="12"/>
  <c r="BA433" i="12"/>
  <c r="BA449" i="12"/>
  <c r="BA465" i="12"/>
  <c r="BA481" i="12"/>
  <c r="BA497" i="12"/>
  <c r="BA513" i="12"/>
  <c r="BA529" i="12"/>
  <c r="BA545" i="12"/>
  <c r="BA561" i="12"/>
  <c r="BA577" i="12"/>
  <c r="BA593" i="12"/>
  <c r="BA609" i="12"/>
  <c r="BA625" i="12"/>
  <c r="BA641" i="12"/>
  <c r="BA657" i="12"/>
  <c r="BA673" i="12"/>
  <c r="BA689" i="12"/>
  <c r="BA705" i="12"/>
  <c r="BA721" i="12"/>
  <c r="BA737" i="12"/>
  <c r="BA753" i="12"/>
  <c r="BA769" i="12"/>
  <c r="BA785" i="12"/>
  <c r="BA801" i="12"/>
  <c r="BA817" i="12"/>
  <c r="BA833" i="12"/>
  <c r="BA849" i="12"/>
  <c r="BA865" i="12"/>
  <c r="BA881" i="12"/>
  <c r="BA897" i="12"/>
  <c r="BA913" i="12"/>
  <c r="BA929" i="12"/>
  <c r="BA945" i="12"/>
  <c r="BA961" i="12"/>
  <c r="BA977" i="12"/>
  <c r="BA993" i="12"/>
  <c r="BA1009" i="12"/>
  <c r="BA1025" i="12"/>
  <c r="BA1041" i="12"/>
  <c r="BA1057" i="12"/>
  <c r="BA1073" i="12"/>
  <c r="BA1089" i="12"/>
  <c r="BA1100" i="12"/>
  <c r="BA1110" i="12"/>
  <c r="BA1118" i="12"/>
  <c r="BA1126" i="12"/>
  <c r="BA1136" i="12"/>
  <c r="BA1146" i="12"/>
  <c r="BA1154" i="12"/>
  <c r="BA6" i="12"/>
  <c r="BA38" i="12"/>
  <c r="BA70" i="12"/>
  <c r="BA102" i="12"/>
  <c r="BA134" i="12"/>
  <c r="BA166" i="12"/>
  <c r="BA198" i="12"/>
  <c r="BA230" i="12"/>
  <c r="BA262" i="12"/>
  <c r="BA294" i="12"/>
  <c r="BA326" i="12"/>
  <c r="BA358" i="12"/>
  <c r="BA390" i="12"/>
  <c r="BA422" i="12"/>
  <c r="BA454" i="12"/>
  <c r="BA486" i="12"/>
  <c r="BA518" i="12"/>
  <c r="BA550" i="12"/>
  <c r="BA582" i="12"/>
  <c r="BA614" i="12"/>
  <c r="BA646" i="12"/>
  <c r="BA678" i="12"/>
  <c r="BA710" i="12"/>
  <c r="BA742" i="12"/>
  <c r="BA774" i="12"/>
  <c r="BA806" i="12"/>
  <c r="BA838" i="12"/>
  <c r="BA870" i="12"/>
  <c r="BA902" i="12"/>
  <c r="BA934" i="12"/>
  <c r="BA966" i="12"/>
  <c r="BA998" i="12"/>
  <c r="BA1030" i="12"/>
  <c r="BA22" i="12"/>
  <c r="BA54" i="12"/>
  <c r="BA86" i="12"/>
  <c r="BA118" i="12"/>
  <c r="BA150" i="12"/>
  <c r="BA182" i="12"/>
  <c r="BA214" i="12"/>
  <c r="BA246" i="12"/>
  <c r="BA278" i="12"/>
  <c r="BA310" i="12"/>
  <c r="BA342" i="12"/>
  <c r="BA374" i="12"/>
  <c r="BA406" i="12"/>
  <c r="BA438" i="12"/>
  <c r="BA470" i="12"/>
  <c r="BA502" i="12"/>
  <c r="BA534" i="12"/>
  <c r="BA566" i="12"/>
  <c r="BA598" i="12"/>
  <c r="BA630" i="12"/>
  <c r="BA662" i="12"/>
  <c r="BA694" i="12"/>
  <c r="BA726" i="12"/>
  <c r="BA758" i="12"/>
  <c r="BA790" i="12"/>
  <c r="BA822" i="12"/>
  <c r="BA854" i="12"/>
  <c r="BA886" i="12"/>
  <c r="BA918" i="12"/>
  <c r="BA950" i="12"/>
  <c r="BA982" i="12"/>
  <c r="BA1014" i="12"/>
  <c r="BA1093" i="12"/>
  <c r="BA1129" i="12"/>
  <c r="BA1046" i="12"/>
  <c r="BA1104" i="12"/>
  <c r="BA1141" i="12"/>
  <c r="BA1062" i="12"/>
  <c r="BA1113" i="12"/>
  <c r="BA1149" i="12"/>
  <c r="BA1078" i="12"/>
  <c r="BA1121" i="12"/>
  <c r="BA1157" i="12"/>
  <c r="G33" i="73"/>
  <c r="P10" i="73"/>
  <c r="O13" i="73"/>
  <c r="AY1138" i="12"/>
  <c r="AY1139" i="12"/>
  <c r="AY5" i="12"/>
  <c r="AY9" i="12"/>
  <c r="AY13" i="12"/>
  <c r="AY17" i="12"/>
  <c r="AY21" i="12"/>
  <c r="AY25" i="12"/>
  <c r="AY29" i="12"/>
  <c r="AY33" i="12"/>
  <c r="AY37" i="12"/>
  <c r="AY41" i="12"/>
  <c r="AY45" i="12"/>
  <c r="AY49" i="12"/>
  <c r="AY53" i="12"/>
  <c r="AY57" i="12"/>
  <c r="AY61" i="12"/>
  <c r="AY65" i="12"/>
  <c r="AY69" i="12"/>
  <c r="AY73" i="12"/>
  <c r="AY77" i="12"/>
  <c r="AY81" i="12"/>
  <c r="AY85" i="12"/>
  <c r="AY89" i="12"/>
  <c r="AY93" i="12"/>
  <c r="AY97" i="12"/>
  <c r="AY101" i="12"/>
  <c r="AY105" i="12"/>
  <c r="AY109" i="12"/>
  <c r="AY113" i="12"/>
  <c r="AY117" i="12"/>
  <c r="AY121" i="12"/>
  <c r="AY125" i="12"/>
  <c r="AY129" i="12"/>
  <c r="AY133" i="12"/>
  <c r="AY137" i="12"/>
  <c r="AY141" i="12"/>
  <c r="AY145" i="12"/>
  <c r="AY149" i="12"/>
  <c r="AY153" i="12"/>
  <c r="AY157" i="12"/>
  <c r="AY161" i="12"/>
  <c r="AY165" i="12"/>
  <c r="AY169" i="12"/>
  <c r="AY173" i="12"/>
  <c r="AY177" i="12"/>
  <c r="AY181" i="12"/>
  <c r="AY185" i="12"/>
  <c r="AY189" i="12"/>
  <c r="AY193" i="12"/>
  <c r="AY197" i="12"/>
  <c r="AY201" i="12"/>
  <c r="AY205" i="12"/>
  <c r="AY209" i="12"/>
  <c r="AY213" i="12"/>
  <c r="AY217" i="12"/>
  <c r="AY221" i="12"/>
  <c r="AY225" i="12"/>
  <c r="AY229" i="12"/>
  <c r="AY233" i="12"/>
  <c r="AY237" i="12"/>
  <c r="AY241" i="12"/>
  <c r="AY245" i="12"/>
  <c r="AY249" i="12"/>
  <c r="AY253" i="12"/>
  <c r="AY257" i="12"/>
  <c r="AY261" i="12"/>
  <c r="AY265" i="12"/>
  <c r="AY269" i="12"/>
  <c r="AY273" i="12"/>
  <c r="AY277" i="12"/>
  <c r="AY281" i="12"/>
  <c r="AY285" i="12"/>
  <c r="AY289" i="12"/>
  <c r="AY293" i="12"/>
  <c r="AY297" i="12"/>
  <c r="AY301" i="12"/>
  <c r="AY305" i="12"/>
  <c r="AY309" i="12"/>
  <c r="AY313" i="12"/>
  <c r="AY317" i="12"/>
  <c r="AY321" i="12"/>
  <c r="AY325" i="12"/>
  <c r="AY329" i="12"/>
  <c r="AY333" i="12"/>
  <c r="AY337" i="12"/>
  <c r="AY341" i="12"/>
  <c r="AY345" i="12"/>
  <c r="AY349" i="12"/>
  <c r="AY353" i="12"/>
  <c r="AY357" i="12"/>
  <c r="AY361" i="12"/>
  <c r="AY365" i="12"/>
  <c r="AY369" i="12"/>
  <c r="AY373" i="12"/>
  <c r="AY377" i="12"/>
  <c r="AY381" i="12"/>
  <c r="AY385" i="12"/>
  <c r="AY389" i="12"/>
  <c r="AY393" i="12"/>
  <c r="AY397" i="12"/>
  <c r="AY401" i="12"/>
  <c r="AY405" i="12"/>
  <c r="AY409" i="12"/>
  <c r="AY413" i="12"/>
  <c r="AY417" i="12"/>
  <c r="AY421" i="12"/>
  <c r="AY425" i="12"/>
  <c r="AY429" i="12"/>
  <c r="AY433" i="12"/>
  <c r="AY437" i="12"/>
  <c r="AY441" i="12"/>
  <c r="AY445" i="12"/>
  <c r="AY449" i="12"/>
  <c r="AY453" i="12"/>
  <c r="AY457" i="12"/>
  <c r="AY461" i="12"/>
  <c r="AY465" i="12"/>
  <c r="AY469" i="12"/>
  <c r="AY473" i="12"/>
  <c r="AY477" i="12"/>
  <c r="AY481" i="12"/>
  <c r="AY485" i="12"/>
  <c r="AY489" i="12"/>
  <c r="AY493" i="12"/>
  <c r="AY497" i="12"/>
  <c r="AY501" i="12"/>
  <c r="AY505" i="12"/>
  <c r="AY509" i="12"/>
  <c r="AY513" i="12"/>
  <c r="AY517" i="12"/>
  <c r="AY521" i="12"/>
  <c r="AY525" i="12"/>
  <c r="AY529" i="12"/>
  <c r="AY533" i="12"/>
  <c r="AY537" i="12"/>
  <c r="AY541" i="12"/>
  <c r="AY545" i="12"/>
  <c r="AY549" i="12"/>
  <c r="AY553" i="12"/>
  <c r="AY557" i="12"/>
  <c r="AY561" i="12"/>
  <c r="AY565" i="12"/>
  <c r="AY569" i="12"/>
  <c r="AY573" i="12"/>
  <c r="AY577" i="12"/>
  <c r="AY581" i="12"/>
  <c r="AY585" i="12"/>
  <c r="AY589" i="12"/>
  <c r="AY593" i="12"/>
  <c r="AY597" i="12"/>
  <c r="AY601" i="12"/>
  <c r="AY605" i="12"/>
  <c r="AY609" i="12"/>
  <c r="AY613" i="12"/>
  <c r="AY617" i="12"/>
  <c r="AY621" i="12"/>
  <c r="AY625" i="12"/>
  <c r="AY629" i="12"/>
  <c r="AY633" i="12"/>
  <c r="AY637" i="12"/>
  <c r="AY641" i="12"/>
  <c r="AY645" i="12"/>
  <c r="AY649" i="12"/>
  <c r="AY653" i="12"/>
  <c r="AY657" i="12"/>
  <c r="AY661" i="12"/>
  <c r="AY665" i="12"/>
  <c r="AY669" i="12"/>
  <c r="AY673" i="12"/>
  <c r="AY677" i="12"/>
  <c r="AY681" i="12"/>
  <c r="AY685" i="12"/>
  <c r="AY689" i="12"/>
  <c r="AY693" i="12"/>
  <c r="AY697" i="12"/>
  <c r="AY701" i="12"/>
  <c r="AY705" i="12"/>
  <c r="AY709" i="12"/>
  <c r="AY713" i="12"/>
  <c r="AY717" i="12"/>
  <c r="AY721" i="12"/>
  <c r="AY725" i="12"/>
  <c r="AY729" i="12"/>
  <c r="AY733" i="12"/>
  <c r="AY737" i="12"/>
  <c r="AY741" i="12"/>
  <c r="AY745" i="12"/>
  <c r="AY749" i="12"/>
  <c r="AY753" i="12"/>
  <c r="AY757" i="12"/>
  <c r="AY761" i="12"/>
  <c r="AY765" i="12"/>
  <c r="AY769" i="12"/>
  <c r="AY773" i="12"/>
  <c r="AY777" i="12"/>
  <c r="AY781" i="12"/>
  <c r="AY785" i="12"/>
  <c r="AY789" i="12"/>
  <c r="AY793" i="12"/>
  <c r="AY797" i="12"/>
  <c r="AY801" i="12"/>
  <c r="AY805" i="12"/>
  <c r="AY809" i="12"/>
  <c r="AY813" i="12"/>
  <c r="AY817" i="12"/>
  <c r="AY821" i="12"/>
  <c r="AY825" i="12"/>
  <c r="AY829" i="12"/>
  <c r="AY833" i="12"/>
  <c r="AY837" i="12"/>
  <c r="AY841" i="12"/>
  <c r="AY845" i="12"/>
  <c r="AY849" i="12"/>
  <c r="AY853" i="12"/>
  <c r="AY857" i="12"/>
  <c r="AY861" i="12"/>
  <c r="AY865" i="12"/>
  <c r="AY869" i="12"/>
  <c r="AY873" i="12"/>
  <c r="AY877" i="12"/>
  <c r="AY881" i="12"/>
  <c r="AY885" i="12"/>
  <c r="AY889" i="12"/>
  <c r="AY893" i="12"/>
  <c r="AY897" i="12"/>
  <c r="AY901" i="12"/>
  <c r="AY905" i="12"/>
  <c r="AY909" i="12"/>
  <c r="AY913" i="12"/>
  <c r="AY917" i="12"/>
  <c r="AY921" i="12"/>
  <c r="AY925" i="12"/>
  <c r="AY929" i="12"/>
  <c r="AY933" i="12"/>
  <c r="AY937" i="12"/>
  <c r="AY941" i="12"/>
  <c r="AY945" i="12"/>
  <c r="AY949" i="12"/>
  <c r="AY953" i="12"/>
  <c r="AY957" i="12"/>
  <c r="AY961" i="12"/>
  <c r="AY965" i="12"/>
  <c r="AY969" i="12"/>
  <c r="AY973" i="12"/>
  <c r="AY977" i="12"/>
  <c r="AY981" i="12"/>
  <c r="AY985" i="12"/>
  <c r="AY989" i="12"/>
  <c r="AY993" i="12"/>
  <c r="AY997" i="12"/>
  <c r="AY1001" i="12"/>
  <c r="AY1005" i="12"/>
  <c r="AY1009" i="12"/>
  <c r="AY1013" i="12"/>
  <c r="AY1017" i="12"/>
  <c r="AY1021" i="12"/>
  <c r="AY1025" i="12"/>
  <c r="AY1029" i="12"/>
  <c r="AY1033" i="12"/>
  <c r="AY1037" i="12"/>
  <c r="AY1041" i="12"/>
  <c r="AY1045" i="12"/>
  <c r="AY1049" i="12"/>
  <c r="AY1053" i="12"/>
  <c r="AY1057" i="12"/>
  <c r="AY1061" i="12"/>
  <c r="AY1065" i="12"/>
  <c r="AY1069" i="12"/>
  <c r="AY1073" i="12"/>
  <c r="AY1077" i="12"/>
  <c r="AY1081" i="12"/>
  <c r="AY1085" i="12"/>
  <c r="AY1089" i="12"/>
  <c r="AY1093" i="12"/>
  <c r="AY1097" i="12"/>
  <c r="AY1101" i="12"/>
  <c r="AY1105" i="12"/>
  <c r="AY1109" i="12"/>
  <c r="AY1113" i="12"/>
  <c r="AY1117" i="12"/>
  <c r="AY1121" i="12"/>
  <c r="AY1125" i="12"/>
  <c r="AY1129" i="12"/>
  <c r="AY1133" i="12"/>
  <c r="AY1141" i="12"/>
  <c r="AY1145" i="12"/>
  <c r="AY1149" i="12"/>
  <c r="AY1153" i="12"/>
  <c r="AY1157" i="12"/>
  <c r="AY6" i="12"/>
  <c r="AY10" i="12"/>
  <c r="AY14" i="12"/>
  <c r="AY18" i="12"/>
  <c r="AY22" i="12"/>
  <c r="AY26" i="12"/>
  <c r="AY30" i="12"/>
  <c r="AY34" i="12"/>
  <c r="AY38" i="12"/>
  <c r="AY42" i="12"/>
  <c r="AY46" i="12"/>
  <c r="AY50" i="12"/>
  <c r="AY54" i="12"/>
  <c r="AY58" i="12"/>
  <c r="AY62" i="12"/>
  <c r="AY66" i="12"/>
  <c r="AY70" i="12"/>
  <c r="AY74" i="12"/>
  <c r="AY78" i="12"/>
  <c r="AY82" i="12"/>
  <c r="AY86" i="12"/>
  <c r="AY90" i="12"/>
  <c r="AY94" i="12"/>
  <c r="AY98" i="12"/>
  <c r="AY102" i="12"/>
  <c r="AY106" i="12"/>
  <c r="AY110" i="12"/>
  <c r="AY114" i="12"/>
  <c r="AY118" i="12"/>
  <c r="AY122" i="12"/>
  <c r="AY126" i="12"/>
  <c r="AY130" i="12"/>
  <c r="AY134" i="12"/>
  <c r="AY138" i="12"/>
  <c r="AY142" i="12"/>
  <c r="AY146" i="12"/>
  <c r="AY150" i="12"/>
  <c r="AY154" i="12"/>
  <c r="AY158" i="12"/>
  <c r="AY162" i="12"/>
  <c r="AY166" i="12"/>
  <c r="AY170" i="12"/>
  <c r="AY174" i="12"/>
  <c r="AY178" i="12"/>
  <c r="AY182" i="12"/>
  <c r="AY186" i="12"/>
  <c r="AY190" i="12"/>
  <c r="AY194" i="12"/>
  <c r="AY198" i="12"/>
  <c r="AY202" i="12"/>
  <c r="AY206" i="12"/>
  <c r="AY210" i="12"/>
  <c r="AY214" i="12"/>
  <c r="AY218" i="12"/>
  <c r="AY222" i="12"/>
  <c r="AY226" i="12"/>
  <c r="AY230" i="12"/>
  <c r="AY234" i="12"/>
  <c r="AY238" i="12"/>
  <c r="AY242" i="12"/>
  <c r="AY246" i="12"/>
  <c r="AY250" i="12"/>
  <c r="AY254" i="12"/>
  <c r="AY258" i="12"/>
  <c r="AY262" i="12"/>
  <c r="AY266" i="12"/>
  <c r="AY270" i="12"/>
  <c r="AY274" i="12"/>
  <c r="AY278" i="12"/>
  <c r="AY282" i="12"/>
  <c r="AY286" i="12"/>
  <c r="AY290" i="12"/>
  <c r="AY294" i="12"/>
  <c r="AY298" i="12"/>
  <c r="AY302" i="12"/>
  <c r="AY306" i="12"/>
  <c r="AY310" i="12"/>
  <c r="AY314" i="12"/>
  <c r="AY318" i="12"/>
  <c r="AY322" i="12"/>
  <c r="AY326" i="12"/>
  <c r="AY330" i="12"/>
  <c r="AY334" i="12"/>
  <c r="AY338" i="12"/>
  <c r="AY342" i="12"/>
  <c r="AY346" i="12"/>
  <c r="AY350" i="12"/>
  <c r="AY354" i="12"/>
  <c r="AY358" i="12"/>
  <c r="AY362" i="12"/>
  <c r="AY366" i="12"/>
  <c r="AY370" i="12"/>
  <c r="AY374" i="12"/>
  <c r="AY378" i="12"/>
  <c r="AY382" i="12"/>
  <c r="AY386" i="12"/>
  <c r="AY390" i="12"/>
  <c r="AY394" i="12"/>
  <c r="AY398" i="12"/>
  <c r="AY402" i="12"/>
  <c r="AY406" i="12"/>
  <c r="AY410" i="12"/>
  <c r="AY414" i="12"/>
  <c r="AY418" i="12"/>
  <c r="AY422" i="12"/>
  <c r="AY426" i="12"/>
  <c r="AY430" i="12"/>
  <c r="AY434" i="12"/>
  <c r="AY438" i="12"/>
  <c r="AY442" i="12"/>
  <c r="AY446" i="12"/>
  <c r="AY450" i="12"/>
  <c r="AY454" i="12"/>
  <c r="AY458" i="12"/>
  <c r="AY462" i="12"/>
  <c r="AY466" i="12"/>
  <c r="AY470" i="12"/>
  <c r="AY474" i="12"/>
  <c r="AY478" i="12"/>
  <c r="AY482" i="12"/>
  <c r="AY486" i="12"/>
  <c r="AY490" i="12"/>
  <c r="AY494" i="12"/>
  <c r="AY498" i="12"/>
  <c r="AY502" i="12"/>
  <c r="AY506" i="12"/>
  <c r="AY510" i="12"/>
  <c r="AY514" i="12"/>
  <c r="AY518" i="12"/>
  <c r="AY522" i="12"/>
  <c r="AY526" i="12"/>
  <c r="AY530" i="12"/>
  <c r="AY534" i="12"/>
  <c r="AY538" i="12"/>
  <c r="AY542" i="12"/>
  <c r="AY546" i="12"/>
  <c r="AY550" i="12"/>
  <c r="AY554" i="12"/>
  <c r="AY558" i="12"/>
  <c r="AY562" i="12"/>
  <c r="AY566" i="12"/>
  <c r="AY570" i="12"/>
  <c r="AY574" i="12"/>
  <c r="AY578" i="12"/>
  <c r="AY582" i="12"/>
  <c r="AY586" i="12"/>
  <c r="AY590" i="12"/>
  <c r="AY594" i="12"/>
  <c r="AY598" i="12"/>
  <c r="AY602" i="12"/>
  <c r="AY606" i="12"/>
  <c r="AY610" i="12"/>
  <c r="AY614" i="12"/>
  <c r="AY618" i="12"/>
  <c r="AY622" i="12"/>
  <c r="AY626" i="12"/>
  <c r="AY630" i="12"/>
  <c r="AY634" i="12"/>
  <c r="AY638" i="12"/>
  <c r="AY642" i="12"/>
  <c r="AY646" i="12"/>
  <c r="AY650" i="12"/>
  <c r="AY654" i="12"/>
  <c r="AY658" i="12"/>
  <c r="AY662" i="12"/>
  <c r="AY666" i="12"/>
  <c r="AY670" i="12"/>
  <c r="AY674" i="12"/>
  <c r="AY678" i="12"/>
  <c r="AY682" i="12"/>
  <c r="AY686" i="12"/>
  <c r="AY690" i="12"/>
  <c r="AY694" i="12"/>
  <c r="AY698" i="12"/>
  <c r="AY702" i="12"/>
  <c r="AY706" i="12"/>
  <c r="AY710" i="12"/>
  <c r="AY714" i="12"/>
  <c r="AY718" i="12"/>
  <c r="AY722" i="12"/>
  <c r="AY726" i="12"/>
  <c r="AY730" i="12"/>
  <c r="AY734" i="12"/>
  <c r="AY738" i="12"/>
  <c r="AY742" i="12"/>
  <c r="AY746" i="12"/>
  <c r="AY750" i="12"/>
  <c r="AY754" i="12"/>
  <c r="AY758" i="12"/>
  <c r="AY762" i="12"/>
  <c r="AY766" i="12"/>
  <c r="AY770" i="12"/>
  <c r="AY774" i="12"/>
  <c r="AY778" i="12"/>
  <c r="AY782" i="12"/>
  <c r="AY786" i="12"/>
  <c r="AY790" i="12"/>
  <c r="AY794" i="12"/>
  <c r="AY798" i="12"/>
  <c r="AY802" i="12"/>
  <c r="AY806" i="12"/>
  <c r="AY810" i="12"/>
  <c r="AY814" i="12"/>
  <c r="AY818" i="12"/>
  <c r="AY822" i="12"/>
  <c r="AY826" i="12"/>
  <c r="AY830" i="12"/>
  <c r="AY834" i="12"/>
  <c r="AY838" i="12"/>
  <c r="AY842" i="12"/>
  <c r="AY846" i="12"/>
  <c r="AY850" i="12"/>
  <c r="AY854" i="12"/>
  <c r="AY858" i="12"/>
  <c r="AY862" i="12"/>
  <c r="AY866" i="12"/>
  <c r="AY870" i="12"/>
  <c r="AY874" i="12"/>
  <c r="AY878" i="12"/>
  <c r="AY882" i="12"/>
  <c r="AY886" i="12"/>
  <c r="AY890" i="12"/>
  <c r="AY894" i="12"/>
  <c r="AY898" i="12"/>
  <c r="AY902" i="12"/>
  <c r="AY906" i="12"/>
  <c r="AY910" i="12"/>
  <c r="AY914" i="12"/>
  <c r="AY918" i="12"/>
  <c r="AY922" i="12"/>
  <c r="AY926" i="12"/>
  <c r="AY930" i="12"/>
  <c r="AY934" i="12"/>
  <c r="AY938" i="12"/>
  <c r="AY942" i="12"/>
  <c r="AY946" i="12"/>
  <c r="AY950" i="12"/>
  <c r="AY954" i="12"/>
  <c r="AY958" i="12"/>
  <c r="AY962" i="12"/>
  <c r="AY966" i="12"/>
  <c r="AY970" i="12"/>
  <c r="AY974" i="12"/>
  <c r="AY978" i="12"/>
  <c r="AY982" i="12"/>
  <c r="AY986" i="12"/>
  <c r="AY990" i="12"/>
  <c r="AY994" i="12"/>
  <c r="AY998" i="12"/>
  <c r="AY1002" i="12"/>
  <c r="AY1006" i="12"/>
  <c r="AY1010" i="12"/>
  <c r="AY1014" i="12"/>
  <c r="AY1018" i="12"/>
  <c r="AY1022" i="12"/>
  <c r="AY1026" i="12"/>
  <c r="AY1030" i="12"/>
  <c r="AY1034" i="12"/>
  <c r="AY1038" i="12"/>
  <c r="AY1042" i="12"/>
  <c r="AY1046" i="12"/>
  <c r="AY1050" i="12"/>
  <c r="AY1054" i="12"/>
  <c r="AY1058" i="12"/>
  <c r="AY1062" i="12"/>
  <c r="AY1066" i="12"/>
  <c r="AY1070" i="12"/>
  <c r="AY1074" i="12"/>
  <c r="AY1078" i="12"/>
  <c r="AY1082" i="12"/>
  <c r="AY1086" i="12"/>
  <c r="AY1090" i="12"/>
  <c r="AY1094" i="12"/>
  <c r="AY1098" i="12"/>
  <c r="AY1102" i="12"/>
  <c r="AY1106" i="12"/>
  <c r="AY1110" i="12"/>
  <c r="AY1114" i="12"/>
  <c r="AY1118" i="12"/>
  <c r="AY1122" i="12"/>
  <c r="AY1126" i="12"/>
  <c r="AY1130" i="12"/>
  <c r="AY1136" i="12"/>
  <c r="AY1142" i="12"/>
  <c r="AY1146" i="12"/>
  <c r="AY1150" i="12"/>
  <c r="AY1154" i="12"/>
  <c r="AY1158" i="12"/>
  <c r="AY12" i="12"/>
  <c r="AY20" i="12"/>
  <c r="AY28" i="12"/>
  <c r="AY36" i="12"/>
  <c r="AY44" i="12"/>
  <c r="AY52" i="12"/>
  <c r="AY60" i="12"/>
  <c r="AY68" i="12"/>
  <c r="AY76" i="12"/>
  <c r="AY84" i="12"/>
  <c r="AY92" i="12"/>
  <c r="AY100" i="12"/>
  <c r="AY108" i="12"/>
  <c r="AY116" i="12"/>
  <c r="AY124" i="12"/>
  <c r="AY132" i="12"/>
  <c r="AY140" i="12"/>
  <c r="AY148" i="12"/>
  <c r="AY156" i="12"/>
  <c r="AY164" i="12"/>
  <c r="AY172" i="12"/>
  <c r="AY180" i="12"/>
  <c r="AY188" i="12"/>
  <c r="AY196" i="12"/>
  <c r="AY204" i="12"/>
  <c r="AY212" i="12"/>
  <c r="AY220" i="12"/>
  <c r="AY228" i="12"/>
  <c r="AY236" i="12"/>
  <c r="AY244" i="12"/>
  <c r="AY252" i="12"/>
  <c r="AY260" i="12"/>
  <c r="AY268" i="12"/>
  <c r="AY276" i="12"/>
  <c r="AY284" i="12"/>
  <c r="AY292" i="12"/>
  <c r="AY300" i="12"/>
  <c r="AY308" i="12"/>
  <c r="AY316" i="12"/>
  <c r="AY324" i="12"/>
  <c r="AY332" i="12"/>
  <c r="AY340" i="12"/>
  <c r="AY348" i="12"/>
  <c r="AY356" i="12"/>
  <c r="AY364" i="12"/>
  <c r="AY372" i="12"/>
  <c r="AY380" i="12"/>
  <c r="AY388" i="12"/>
  <c r="AY396" i="12"/>
  <c r="AY404" i="12"/>
  <c r="AY412" i="12"/>
  <c r="AY420" i="12"/>
  <c r="AY428" i="12"/>
  <c r="AY436" i="12"/>
  <c r="AY444" i="12"/>
  <c r="AY452" i="12"/>
  <c r="AY460" i="12"/>
  <c r="AY468" i="12"/>
  <c r="AY476" i="12"/>
  <c r="AY484" i="12"/>
  <c r="AY492" i="12"/>
  <c r="AY500" i="12"/>
  <c r="AY508" i="12"/>
  <c r="AY516" i="12"/>
  <c r="AY524" i="12"/>
  <c r="AY532" i="12"/>
  <c r="AY540" i="12"/>
  <c r="AY548" i="12"/>
  <c r="AY556" i="12"/>
  <c r="AY564" i="12"/>
  <c r="AY572" i="12"/>
  <c r="AY580" i="12"/>
  <c r="AY588" i="12"/>
  <c r="AY596" i="12"/>
  <c r="AY604" i="12"/>
  <c r="AY612" i="12"/>
  <c r="AY620" i="12"/>
  <c r="AY628" i="12"/>
  <c r="AY636" i="12"/>
  <c r="AY644" i="12"/>
  <c r="AY652" i="12"/>
  <c r="AY660" i="12"/>
  <c r="AY668" i="12"/>
  <c r="AY676" i="12"/>
  <c r="AY684" i="12"/>
  <c r="AY692" i="12"/>
  <c r="AY700" i="12"/>
  <c r="AY708" i="12"/>
  <c r="AY716" i="12"/>
  <c r="AY724" i="12"/>
  <c r="AY732" i="12"/>
  <c r="AY740" i="12"/>
  <c r="AY748" i="12"/>
  <c r="AY756" i="12"/>
  <c r="AY764" i="12"/>
  <c r="AY772" i="12"/>
  <c r="AY780" i="12"/>
  <c r="AY788" i="12"/>
  <c r="AY796" i="12"/>
  <c r="AY804" i="12"/>
  <c r="AY812" i="12"/>
  <c r="AY820" i="12"/>
  <c r="AY828" i="12"/>
  <c r="AY836" i="12"/>
  <c r="AY844" i="12"/>
  <c r="AY852" i="12"/>
  <c r="AY860" i="12"/>
  <c r="AY868" i="12"/>
  <c r="AY876" i="12"/>
  <c r="AY884" i="12"/>
  <c r="AY892" i="12"/>
  <c r="AY900" i="12"/>
  <c r="AY908" i="12"/>
  <c r="AY916" i="12"/>
  <c r="AY924" i="12"/>
  <c r="AY932" i="12"/>
  <c r="AY940" i="12"/>
  <c r="AY948" i="12"/>
  <c r="AY956" i="12"/>
  <c r="AY964" i="12"/>
  <c r="AY972" i="12"/>
  <c r="AY980" i="12"/>
  <c r="AY988" i="12"/>
  <c r="AY996" i="12"/>
  <c r="AY1004" i="12"/>
  <c r="AY1012" i="12"/>
  <c r="AY1020" i="12"/>
  <c r="AY1028" i="12"/>
  <c r="AY1036" i="12"/>
  <c r="AY1044" i="12"/>
  <c r="AY1052" i="12"/>
  <c r="AY1060" i="12"/>
  <c r="AY1068" i="12"/>
  <c r="AY1076" i="12"/>
  <c r="AY1084" i="12"/>
  <c r="AY1092" i="12"/>
  <c r="AY1100" i="12"/>
  <c r="AY1108" i="12"/>
  <c r="AY1116" i="12"/>
  <c r="AY1124" i="12"/>
  <c r="AY1132" i="12"/>
  <c r="AY1144" i="12"/>
  <c r="AY1152" i="12"/>
  <c r="AY7" i="12"/>
  <c r="AY15" i="12"/>
  <c r="AY23" i="12"/>
  <c r="AY31" i="12"/>
  <c r="AY39" i="12"/>
  <c r="AY47" i="12"/>
  <c r="AY55" i="12"/>
  <c r="AY63" i="12"/>
  <c r="AY71" i="12"/>
  <c r="AY79" i="12"/>
  <c r="AY87" i="12"/>
  <c r="AY95" i="12"/>
  <c r="AY103" i="12"/>
  <c r="AY111" i="12"/>
  <c r="AY119" i="12"/>
  <c r="AY127" i="12"/>
  <c r="AY135" i="12"/>
  <c r="AY143" i="12"/>
  <c r="AY151" i="12"/>
  <c r="AY159" i="12"/>
  <c r="AY167" i="12"/>
  <c r="AY175" i="12"/>
  <c r="AY183" i="12"/>
  <c r="AY191" i="12"/>
  <c r="AY199" i="12"/>
  <c r="AY207" i="12"/>
  <c r="AY215" i="12"/>
  <c r="AY223" i="12"/>
  <c r="AY231" i="12"/>
  <c r="AY239" i="12"/>
  <c r="AY247" i="12"/>
  <c r="AY255" i="12"/>
  <c r="AY263" i="12"/>
  <c r="AY271" i="12"/>
  <c r="AY279" i="12"/>
  <c r="AY287" i="12"/>
  <c r="AY295" i="12"/>
  <c r="AY303" i="12"/>
  <c r="AY311" i="12"/>
  <c r="AY319" i="12"/>
  <c r="AY327" i="12"/>
  <c r="AY335" i="12"/>
  <c r="AY343" i="12"/>
  <c r="AY351" i="12"/>
  <c r="AY359" i="12"/>
  <c r="AY367" i="12"/>
  <c r="AY375" i="12"/>
  <c r="AY383" i="12"/>
  <c r="AY391" i="12"/>
  <c r="AY399" i="12"/>
  <c r="AY407" i="12"/>
  <c r="AY415" i="12"/>
  <c r="AY423" i="12"/>
  <c r="AY431" i="12"/>
  <c r="AY439" i="12"/>
  <c r="AY447" i="12"/>
  <c r="AY455" i="12"/>
  <c r="AY463" i="12"/>
  <c r="AY471" i="12"/>
  <c r="AY479" i="12"/>
  <c r="AY487" i="12"/>
  <c r="AY495" i="12"/>
  <c r="AY503" i="12"/>
  <c r="AY511" i="12"/>
  <c r="AY519" i="12"/>
  <c r="AY527" i="12"/>
  <c r="AY535" i="12"/>
  <c r="AY543" i="12"/>
  <c r="AY551" i="12"/>
  <c r="AY559" i="12"/>
  <c r="AY567" i="12"/>
  <c r="AY575" i="12"/>
  <c r="AY583" i="12"/>
  <c r="AY591" i="12"/>
  <c r="AY599" i="12"/>
  <c r="AY607" i="12"/>
  <c r="AY615" i="12"/>
  <c r="AY623" i="12"/>
  <c r="AY631" i="12"/>
  <c r="AY639" i="12"/>
  <c r="AY647" i="12"/>
  <c r="AY655" i="12"/>
  <c r="AY663" i="12"/>
  <c r="AY671" i="12"/>
  <c r="AY679" i="12"/>
  <c r="AY687" i="12"/>
  <c r="AY695" i="12"/>
  <c r="AY703" i="12"/>
  <c r="AY711" i="12"/>
  <c r="AY719" i="12"/>
  <c r="AY727" i="12"/>
  <c r="AY735" i="12"/>
  <c r="AY743" i="12"/>
  <c r="AY751" i="12"/>
  <c r="AY759" i="12"/>
  <c r="AY767" i="12"/>
  <c r="AY775" i="12"/>
  <c r="AY783" i="12"/>
  <c r="AY791" i="12"/>
  <c r="AY799" i="12"/>
  <c r="AY807" i="12"/>
  <c r="AY815" i="12"/>
  <c r="AY823" i="12"/>
  <c r="AY831" i="12"/>
  <c r="AY839" i="12"/>
  <c r="AY847" i="12"/>
  <c r="AY855" i="12"/>
  <c r="AY863" i="12"/>
  <c r="AY871" i="12"/>
  <c r="AY879" i="12"/>
  <c r="AY887" i="12"/>
  <c r="AY895" i="12"/>
  <c r="AY903" i="12"/>
  <c r="AY911" i="12"/>
  <c r="AY919" i="12"/>
  <c r="AY927" i="12"/>
  <c r="AY935" i="12"/>
  <c r="AY943" i="12"/>
  <c r="AY951" i="12"/>
  <c r="AY959" i="12"/>
  <c r="AY967" i="12"/>
  <c r="AY975" i="12"/>
  <c r="AY983" i="12"/>
  <c r="AY991" i="12"/>
  <c r="AY999" i="12"/>
  <c r="AY1007" i="12"/>
  <c r="AY1015" i="12"/>
  <c r="AY1023" i="12"/>
  <c r="AY1031" i="12"/>
  <c r="AY1039" i="12"/>
  <c r="AY1047" i="12"/>
  <c r="AY1055" i="12"/>
  <c r="AY1063" i="12"/>
  <c r="AY1071" i="12"/>
  <c r="AY1079" i="12"/>
  <c r="AY1087" i="12"/>
  <c r="AY1095" i="12"/>
  <c r="AY1103" i="12"/>
  <c r="AY1111" i="12"/>
  <c r="AY1119" i="12"/>
  <c r="AY1127" i="12"/>
  <c r="AY1137" i="12"/>
  <c r="AY1147" i="12"/>
  <c r="AY1155" i="12"/>
  <c r="AY8" i="12"/>
  <c r="AY16" i="12"/>
  <c r="AY24" i="12"/>
  <c r="AY32" i="12"/>
  <c r="AY40" i="12"/>
  <c r="AY48" i="12"/>
  <c r="AY56" i="12"/>
  <c r="AY64" i="12"/>
  <c r="AY72" i="12"/>
  <c r="AY80" i="12"/>
  <c r="AY88" i="12"/>
  <c r="AY96" i="12"/>
  <c r="AY104" i="12"/>
  <c r="AY112" i="12"/>
  <c r="AY120" i="12"/>
  <c r="AY128" i="12"/>
  <c r="AY136" i="12"/>
  <c r="AY144" i="12"/>
  <c r="AY152" i="12"/>
  <c r="AY160" i="12"/>
  <c r="AY168" i="12"/>
  <c r="AY176" i="12"/>
  <c r="AY184" i="12"/>
  <c r="AY192" i="12"/>
  <c r="AY200" i="12"/>
  <c r="AY208" i="12"/>
  <c r="AY216" i="12"/>
  <c r="AY224" i="12"/>
  <c r="AY232" i="12"/>
  <c r="AY240" i="12"/>
  <c r="AY248" i="12"/>
  <c r="AY256" i="12"/>
  <c r="AY264" i="12"/>
  <c r="AY272" i="12"/>
  <c r="AY280" i="12"/>
  <c r="AY288" i="12"/>
  <c r="AY296" i="12"/>
  <c r="AY304" i="12"/>
  <c r="AY312" i="12"/>
  <c r="AY320" i="12"/>
  <c r="AY328" i="12"/>
  <c r="AY336" i="12"/>
  <c r="AY344" i="12"/>
  <c r="AY352" i="12"/>
  <c r="AY360" i="12"/>
  <c r="AY368" i="12"/>
  <c r="AY376" i="12"/>
  <c r="AY384" i="12"/>
  <c r="AY392" i="12"/>
  <c r="AY400" i="12"/>
  <c r="AY408" i="12"/>
  <c r="AY416" i="12"/>
  <c r="AY424" i="12"/>
  <c r="AY432" i="12"/>
  <c r="AY440" i="12"/>
  <c r="AY448" i="12"/>
  <c r="AY456" i="12"/>
  <c r="AY464" i="12"/>
  <c r="AY472" i="12"/>
  <c r="AY480" i="12"/>
  <c r="AY488" i="12"/>
  <c r="AY496" i="12"/>
  <c r="AY504" i="12"/>
  <c r="AY512" i="12"/>
  <c r="AY520" i="12"/>
  <c r="AY528" i="12"/>
  <c r="AY536" i="12"/>
  <c r="AY544" i="12"/>
  <c r="AY552" i="12"/>
  <c r="AY560" i="12"/>
  <c r="AY568" i="12"/>
  <c r="AY576" i="12"/>
  <c r="AY584" i="12"/>
  <c r="AY592" i="12"/>
  <c r="AY600" i="12"/>
  <c r="AY608" i="12"/>
  <c r="AY616" i="12"/>
  <c r="AY624" i="12"/>
  <c r="AY632" i="12"/>
  <c r="AY640" i="12"/>
  <c r="AY648" i="12"/>
  <c r="AY656" i="12"/>
  <c r="AY664" i="12"/>
  <c r="AY672" i="12"/>
  <c r="AY680" i="12"/>
  <c r="AY688" i="12"/>
  <c r="AY696" i="12"/>
  <c r="AY704" i="12"/>
  <c r="AY712" i="12"/>
  <c r="AY720" i="12"/>
  <c r="AY728" i="12"/>
  <c r="AY736" i="12"/>
  <c r="AY744" i="12"/>
  <c r="AY752" i="12"/>
  <c r="AY760" i="12"/>
  <c r="AY768" i="12"/>
  <c r="AY776" i="12"/>
  <c r="AY784" i="12"/>
  <c r="AY792" i="12"/>
  <c r="AY800" i="12"/>
  <c r="AY808" i="12"/>
  <c r="AY816" i="12"/>
  <c r="AY824" i="12"/>
  <c r="AY832" i="12"/>
  <c r="AY840" i="12"/>
  <c r="AY848" i="12"/>
  <c r="AY856" i="12"/>
  <c r="AY864" i="12"/>
  <c r="AY872" i="12"/>
  <c r="AY880" i="12"/>
  <c r="AY888" i="12"/>
  <c r="AY896" i="12"/>
  <c r="AY904" i="12"/>
  <c r="AY912" i="12"/>
  <c r="AY920" i="12"/>
  <c r="AY928" i="12"/>
  <c r="AY936" i="12"/>
  <c r="AY944" i="12"/>
  <c r="AY952" i="12"/>
  <c r="AY960" i="12"/>
  <c r="AY968" i="12"/>
  <c r="AY976" i="12"/>
  <c r="AY984" i="12"/>
  <c r="AY992" i="12"/>
  <c r="AY1000" i="12"/>
  <c r="AY1008" i="12"/>
  <c r="AY1016" i="12"/>
  <c r="AY1024" i="12"/>
  <c r="AY1032" i="12"/>
  <c r="AY1040" i="12"/>
  <c r="AY1048" i="12"/>
  <c r="AY1056" i="12"/>
  <c r="AY1064" i="12"/>
  <c r="AY1072" i="12"/>
  <c r="AY1080" i="12"/>
  <c r="AY1088" i="12"/>
  <c r="AY1096" i="12"/>
  <c r="AY1104" i="12"/>
  <c r="AY1112" i="12"/>
  <c r="AY1120" i="12"/>
  <c r="AY1128" i="12"/>
  <c r="AY1140" i="12"/>
  <c r="AY1148" i="12"/>
  <c r="AY1156" i="12"/>
  <c r="AY11" i="12"/>
  <c r="AY43" i="12"/>
  <c r="AY75" i="12"/>
  <c r="AY107" i="12"/>
  <c r="AY139" i="12"/>
  <c r="AY171" i="12"/>
  <c r="AY203" i="12"/>
  <c r="AY235" i="12"/>
  <c r="AY267" i="12"/>
  <c r="AY299" i="12"/>
  <c r="AY331" i="12"/>
  <c r="AY363" i="12"/>
  <c r="AY395" i="12"/>
  <c r="AY427" i="12"/>
  <c r="AY459" i="12"/>
  <c r="AY491" i="12"/>
  <c r="AY523" i="12"/>
  <c r="AY555" i="12"/>
  <c r="AY587" i="12"/>
  <c r="AY619" i="12"/>
  <c r="AY651" i="12"/>
  <c r="AY683" i="12"/>
  <c r="AY715" i="12"/>
  <c r="AY747" i="12"/>
  <c r="AY779" i="12"/>
  <c r="AY811" i="12"/>
  <c r="AY843" i="12"/>
  <c r="AY875" i="12"/>
  <c r="AY907" i="12"/>
  <c r="AY939" i="12"/>
  <c r="AY971" i="12"/>
  <c r="AY1003" i="12"/>
  <c r="AY1035" i="12"/>
  <c r="AY1067" i="12"/>
  <c r="AY1099" i="12"/>
  <c r="AY1131" i="12"/>
  <c r="AY19" i="12"/>
  <c r="AY51" i="12"/>
  <c r="AY83" i="12"/>
  <c r="AY115" i="12"/>
  <c r="AY147" i="12"/>
  <c r="AY179" i="12"/>
  <c r="AY211" i="12"/>
  <c r="AY243" i="12"/>
  <c r="AY275" i="12"/>
  <c r="AY307" i="12"/>
  <c r="AY339" i="12"/>
  <c r="AY371" i="12"/>
  <c r="AY403" i="12"/>
  <c r="AY435" i="12"/>
  <c r="AY467" i="12"/>
  <c r="AY499" i="12"/>
  <c r="AY531" i="12"/>
  <c r="AY563" i="12"/>
  <c r="AY595" i="12"/>
  <c r="AY627" i="12"/>
  <c r="AY659" i="12"/>
  <c r="AY691" i="12"/>
  <c r="AY723" i="12"/>
  <c r="AY755" i="12"/>
  <c r="AY787" i="12"/>
  <c r="AY819" i="12"/>
  <c r="AY851" i="12"/>
  <c r="AY883" i="12"/>
  <c r="AY915" i="12"/>
  <c r="AY947" i="12"/>
  <c r="AY979" i="12"/>
  <c r="AY1011" i="12"/>
  <c r="AY1043" i="12"/>
  <c r="AY1075" i="12"/>
  <c r="AY1107" i="12"/>
  <c r="AY1143" i="12"/>
  <c r="AY27" i="12"/>
  <c r="AY59" i="12"/>
  <c r="AY91" i="12"/>
  <c r="AY123" i="12"/>
  <c r="AY155" i="12"/>
  <c r="AY187" i="12"/>
  <c r="AY219" i="12"/>
  <c r="AY251" i="12"/>
  <c r="AY283" i="12"/>
  <c r="AY315" i="12"/>
  <c r="AY347" i="12"/>
  <c r="AY379" i="12"/>
  <c r="AY411" i="12"/>
  <c r="AY443" i="12"/>
  <c r="AY475" i="12"/>
  <c r="AY507" i="12"/>
  <c r="AY539" i="12"/>
  <c r="AY571" i="12"/>
  <c r="AY603" i="12"/>
  <c r="AY635" i="12"/>
  <c r="AY667" i="12"/>
  <c r="AY699" i="12"/>
  <c r="AY731" i="12"/>
  <c r="AY763" i="12"/>
  <c r="AY795" i="12"/>
  <c r="AY827" i="12"/>
  <c r="AY859" i="12"/>
  <c r="AY891" i="12"/>
  <c r="AY923" i="12"/>
  <c r="AY955" i="12"/>
  <c r="AY987" i="12"/>
  <c r="AY1019" i="12"/>
  <c r="AY1051" i="12"/>
  <c r="AY1083" i="12"/>
  <c r="AY1115" i="12"/>
  <c r="AY1151" i="12"/>
  <c r="AY67" i="12"/>
  <c r="AY195" i="12"/>
  <c r="AY323" i="12"/>
  <c r="AY451" i="12"/>
  <c r="AY579" i="12"/>
  <c r="AY707" i="12"/>
  <c r="AY835" i="12"/>
  <c r="AY963" i="12"/>
  <c r="AY1091" i="12"/>
  <c r="AY163" i="12"/>
  <c r="AY547" i="12"/>
  <c r="AY803" i="12"/>
  <c r="AY1059" i="12"/>
  <c r="AY99" i="12"/>
  <c r="AY227" i="12"/>
  <c r="AY355" i="12"/>
  <c r="AY483" i="12"/>
  <c r="AY611" i="12"/>
  <c r="AY739" i="12"/>
  <c r="AY867" i="12"/>
  <c r="AY995" i="12"/>
  <c r="AY1123" i="12"/>
  <c r="AY35" i="12"/>
  <c r="AY419" i="12"/>
  <c r="AY931" i="12"/>
  <c r="AY131" i="12"/>
  <c r="AY259" i="12"/>
  <c r="AY387" i="12"/>
  <c r="AY515" i="12"/>
  <c r="AY643" i="12"/>
  <c r="AY771" i="12"/>
  <c r="AY899" i="12"/>
  <c r="AY1027" i="12"/>
  <c r="AY1159" i="12"/>
  <c r="AY291" i="12"/>
  <c r="AY675" i="12"/>
  <c r="AX1138" i="12"/>
  <c r="O12" i="73"/>
  <c r="AX1139" i="12"/>
  <c r="AX6" i="12"/>
  <c r="AX10" i="12"/>
  <c r="AX14" i="12"/>
  <c r="AX18" i="12"/>
  <c r="AX22" i="12"/>
  <c r="AX26" i="12"/>
  <c r="AX30" i="12"/>
  <c r="AX34" i="12"/>
  <c r="AX38" i="12"/>
  <c r="AX42" i="12"/>
  <c r="AX46" i="12"/>
  <c r="AX50" i="12"/>
  <c r="AX54" i="12"/>
  <c r="AX58" i="12"/>
  <c r="AX62" i="12"/>
  <c r="AX66" i="12"/>
  <c r="AX70" i="12"/>
  <c r="AX74" i="12"/>
  <c r="AX78" i="12"/>
  <c r="AX82" i="12"/>
  <c r="AX86" i="12"/>
  <c r="AX90" i="12"/>
  <c r="AX94" i="12"/>
  <c r="AX98" i="12"/>
  <c r="AX102" i="12"/>
  <c r="AX106" i="12"/>
  <c r="AX110" i="12"/>
  <c r="AX114" i="12"/>
  <c r="AX118" i="12"/>
  <c r="AX122" i="12"/>
  <c r="AX126" i="12"/>
  <c r="AX130" i="12"/>
  <c r="AX134" i="12"/>
  <c r="AX138" i="12"/>
  <c r="AX142" i="12"/>
  <c r="AX146" i="12"/>
  <c r="AX150" i="12"/>
  <c r="AX154" i="12"/>
  <c r="AX158" i="12"/>
  <c r="AX162" i="12"/>
  <c r="AX166" i="12"/>
  <c r="AX170" i="12"/>
  <c r="AX174" i="12"/>
  <c r="AX178" i="12"/>
  <c r="AX182" i="12"/>
  <c r="AX186" i="12"/>
  <c r="AX190" i="12"/>
  <c r="AX194" i="12"/>
  <c r="AX198" i="12"/>
  <c r="AX202" i="12"/>
  <c r="AX206" i="12"/>
  <c r="AX210" i="12"/>
  <c r="AX214" i="12"/>
  <c r="AX218" i="12"/>
  <c r="AX222" i="12"/>
  <c r="AX226" i="12"/>
  <c r="AX230" i="12"/>
  <c r="AX234" i="12"/>
  <c r="AX238" i="12"/>
  <c r="AX242" i="12"/>
  <c r="AX246" i="12"/>
  <c r="AX250" i="12"/>
  <c r="AX254" i="12"/>
  <c r="AX258" i="12"/>
  <c r="AX262" i="12"/>
  <c r="AX266" i="12"/>
  <c r="AX270" i="12"/>
  <c r="AX274" i="12"/>
  <c r="AX278" i="12"/>
  <c r="AX282" i="12"/>
  <c r="AX286" i="12"/>
  <c r="AX290" i="12"/>
  <c r="AX294" i="12"/>
  <c r="AX298" i="12"/>
  <c r="AX302" i="12"/>
  <c r="AX306" i="12"/>
  <c r="AX310" i="12"/>
  <c r="AX314" i="12"/>
  <c r="AX318" i="12"/>
  <c r="AX322" i="12"/>
  <c r="AX326" i="12"/>
  <c r="AX330" i="12"/>
  <c r="AX334" i="12"/>
  <c r="AX338" i="12"/>
  <c r="AX342" i="12"/>
  <c r="AX346" i="12"/>
  <c r="AX350" i="12"/>
  <c r="AX354" i="12"/>
  <c r="AX358" i="12"/>
  <c r="AX362" i="12"/>
  <c r="AX366" i="12"/>
  <c r="AX370" i="12"/>
  <c r="AX374" i="12"/>
  <c r="AX378" i="12"/>
  <c r="AX382" i="12"/>
  <c r="AX386" i="12"/>
  <c r="AX390" i="12"/>
  <c r="AX394" i="12"/>
  <c r="AX398" i="12"/>
  <c r="AX402" i="12"/>
  <c r="AX406" i="12"/>
  <c r="AX410" i="12"/>
  <c r="AX414" i="12"/>
  <c r="AX418" i="12"/>
  <c r="AX422" i="12"/>
  <c r="AX426" i="12"/>
  <c r="AX430" i="12"/>
  <c r="AX434" i="12"/>
  <c r="AX438" i="12"/>
  <c r="AX442" i="12"/>
  <c r="AX446" i="12"/>
  <c r="AX450" i="12"/>
  <c r="AX454" i="12"/>
  <c r="AX458" i="12"/>
  <c r="AX462" i="12"/>
  <c r="AX466" i="12"/>
  <c r="AX470" i="12"/>
  <c r="AX474" i="12"/>
  <c r="AX478" i="12"/>
  <c r="AX482" i="12"/>
  <c r="AX486" i="12"/>
  <c r="AX490" i="12"/>
  <c r="AX494" i="12"/>
  <c r="AX498" i="12"/>
  <c r="AX502" i="12"/>
  <c r="AX506" i="12"/>
  <c r="AX510" i="12"/>
  <c r="AX514" i="12"/>
  <c r="AX518" i="12"/>
  <c r="AX522" i="12"/>
  <c r="AX526" i="12"/>
  <c r="AX530" i="12"/>
  <c r="AX534" i="12"/>
  <c r="AX538" i="12"/>
  <c r="AX542" i="12"/>
  <c r="AX546" i="12"/>
  <c r="AX550" i="12"/>
  <c r="AX554" i="12"/>
  <c r="AX558" i="12"/>
  <c r="AX562" i="12"/>
  <c r="AX566" i="12"/>
  <c r="AX570" i="12"/>
  <c r="AX574" i="12"/>
  <c r="AX578" i="12"/>
  <c r="AX582" i="12"/>
  <c r="AX586" i="12"/>
  <c r="AX590" i="12"/>
  <c r="AX594" i="12"/>
  <c r="AX598" i="12"/>
  <c r="AX602" i="12"/>
  <c r="AX606" i="12"/>
  <c r="AX610" i="12"/>
  <c r="AX614" i="12"/>
  <c r="AX618" i="12"/>
  <c r="AX622" i="12"/>
  <c r="AX626" i="12"/>
  <c r="AX630" i="12"/>
  <c r="AX634" i="12"/>
  <c r="AX638" i="12"/>
  <c r="AX642" i="12"/>
  <c r="AX646" i="12"/>
  <c r="AX650" i="12"/>
  <c r="AX654" i="12"/>
  <c r="AX658" i="12"/>
  <c r="AX662" i="12"/>
  <c r="AX666" i="12"/>
  <c r="AX670" i="12"/>
  <c r="AX674" i="12"/>
  <c r="AX678" i="12"/>
  <c r="AX682" i="12"/>
  <c r="AX686" i="12"/>
  <c r="AX690" i="12"/>
  <c r="AX694" i="12"/>
  <c r="AX698" i="12"/>
  <c r="AX702" i="12"/>
  <c r="AX706" i="12"/>
  <c r="AX710" i="12"/>
  <c r="AX714" i="12"/>
  <c r="AX718" i="12"/>
  <c r="AX722" i="12"/>
  <c r="AX726" i="12"/>
  <c r="AX730" i="12"/>
  <c r="AX734" i="12"/>
  <c r="AX738" i="12"/>
  <c r="AX742" i="12"/>
  <c r="AX746" i="12"/>
  <c r="AX750" i="12"/>
  <c r="AX754" i="12"/>
  <c r="AX758" i="12"/>
  <c r="AX762" i="12"/>
  <c r="AX766" i="12"/>
  <c r="AX770" i="12"/>
  <c r="AX774" i="12"/>
  <c r="AX778" i="12"/>
  <c r="AX782" i="12"/>
  <c r="AX786" i="12"/>
  <c r="AX790" i="12"/>
  <c r="AX794" i="12"/>
  <c r="AX798" i="12"/>
  <c r="AX802" i="12"/>
  <c r="AX806" i="12"/>
  <c r="AX810" i="12"/>
  <c r="AX814" i="12"/>
  <c r="AX818" i="12"/>
  <c r="AX822" i="12"/>
  <c r="AX826" i="12"/>
  <c r="AX830" i="12"/>
  <c r="AX834" i="12"/>
  <c r="AX838" i="12"/>
  <c r="AX842" i="12"/>
  <c r="AX846" i="12"/>
  <c r="AX850" i="12"/>
  <c r="AX854" i="12"/>
  <c r="AX858" i="12"/>
  <c r="AX862" i="12"/>
  <c r="AX866" i="12"/>
  <c r="AX870" i="12"/>
  <c r="AX874" i="12"/>
  <c r="AX878" i="12"/>
  <c r="AX882" i="12"/>
  <c r="AX886" i="12"/>
  <c r="AX890" i="12"/>
  <c r="AX894" i="12"/>
  <c r="AX898" i="12"/>
  <c r="AX902" i="12"/>
  <c r="AX906" i="12"/>
  <c r="AX910" i="12"/>
  <c r="AX914" i="12"/>
  <c r="AX918" i="12"/>
  <c r="AX922" i="12"/>
  <c r="AX926" i="12"/>
  <c r="AX930" i="12"/>
  <c r="AX934" i="12"/>
  <c r="AX938" i="12"/>
  <c r="AX942" i="12"/>
  <c r="AX946" i="12"/>
  <c r="AX950" i="12"/>
  <c r="AX954" i="12"/>
  <c r="AX958" i="12"/>
  <c r="AX962" i="12"/>
  <c r="AX966" i="12"/>
  <c r="AX970" i="12"/>
  <c r="AX974" i="12"/>
  <c r="AX978" i="12"/>
  <c r="AX982" i="12"/>
  <c r="AX986" i="12"/>
  <c r="AX990" i="12"/>
  <c r="AX994" i="12"/>
  <c r="AX998" i="12"/>
  <c r="AX1002" i="12"/>
  <c r="AX1006" i="12"/>
  <c r="AX1010" i="12"/>
  <c r="AX1014" i="12"/>
  <c r="AX1018" i="12"/>
  <c r="AX1022" i="12"/>
  <c r="AX1026" i="12"/>
  <c r="AX1030" i="12"/>
  <c r="AX1034" i="12"/>
  <c r="AX1038" i="12"/>
  <c r="AX1042" i="12"/>
  <c r="AX1046" i="12"/>
  <c r="AX1050" i="12"/>
  <c r="AX1054" i="12"/>
  <c r="AX1058" i="12"/>
  <c r="AX1062" i="12"/>
  <c r="AX1066" i="12"/>
  <c r="AX1070" i="12"/>
  <c r="AX1074" i="12"/>
  <c r="AX1078" i="12"/>
  <c r="AX1082" i="12"/>
  <c r="AX1086" i="12"/>
  <c r="AX1090" i="12"/>
  <c r="AX1094" i="12"/>
  <c r="AX1098" i="12"/>
  <c r="AX1102" i="12"/>
  <c r="AX1106" i="12"/>
  <c r="AX1110" i="12"/>
  <c r="AX1114" i="12"/>
  <c r="AX1118" i="12"/>
  <c r="AX1122" i="12"/>
  <c r="AX1126" i="12"/>
  <c r="AX1130" i="12"/>
  <c r="AX1136" i="12"/>
  <c r="AX1142" i="12"/>
  <c r="AX1146" i="12"/>
  <c r="AX1150" i="12"/>
  <c r="AX1154" i="12"/>
  <c r="AX1158" i="12"/>
  <c r="AX7" i="12"/>
  <c r="AX11" i="12"/>
  <c r="AX15" i="12"/>
  <c r="AX19" i="12"/>
  <c r="AX23" i="12"/>
  <c r="AX27" i="12"/>
  <c r="AX31" i="12"/>
  <c r="AX35" i="12"/>
  <c r="AX39" i="12"/>
  <c r="AX43" i="12"/>
  <c r="AX47" i="12"/>
  <c r="AX51" i="12"/>
  <c r="AX55" i="12"/>
  <c r="AX59" i="12"/>
  <c r="AX63" i="12"/>
  <c r="AX67" i="12"/>
  <c r="AX71" i="12"/>
  <c r="AX75" i="12"/>
  <c r="AX79" i="12"/>
  <c r="AX83" i="12"/>
  <c r="AX87" i="12"/>
  <c r="AX91" i="12"/>
  <c r="AX95" i="12"/>
  <c r="AX99" i="12"/>
  <c r="AX103" i="12"/>
  <c r="AX107" i="12"/>
  <c r="AX111" i="12"/>
  <c r="AX115" i="12"/>
  <c r="AX119" i="12"/>
  <c r="AX123" i="12"/>
  <c r="AX127" i="12"/>
  <c r="AX131" i="12"/>
  <c r="AX135" i="12"/>
  <c r="AX139" i="12"/>
  <c r="AX143" i="12"/>
  <c r="AX147" i="12"/>
  <c r="AX151" i="12"/>
  <c r="AX155" i="12"/>
  <c r="AX159" i="12"/>
  <c r="AX163" i="12"/>
  <c r="AX167" i="12"/>
  <c r="AX171" i="12"/>
  <c r="AX175" i="12"/>
  <c r="AX179" i="12"/>
  <c r="AX183" i="12"/>
  <c r="AX187" i="12"/>
  <c r="AX191" i="12"/>
  <c r="AX195" i="12"/>
  <c r="AX199" i="12"/>
  <c r="AX203" i="12"/>
  <c r="AX207" i="12"/>
  <c r="AX211" i="12"/>
  <c r="AX215" i="12"/>
  <c r="AX219" i="12"/>
  <c r="AX223" i="12"/>
  <c r="AX227" i="12"/>
  <c r="AX231" i="12"/>
  <c r="AX235" i="12"/>
  <c r="AX239" i="12"/>
  <c r="AX243" i="12"/>
  <c r="AX247" i="12"/>
  <c r="AX251" i="12"/>
  <c r="AX255" i="12"/>
  <c r="AX259" i="12"/>
  <c r="AX263" i="12"/>
  <c r="AX267" i="12"/>
  <c r="AX271" i="12"/>
  <c r="AX275" i="12"/>
  <c r="AX279" i="12"/>
  <c r="AX283" i="12"/>
  <c r="AX287" i="12"/>
  <c r="AX291" i="12"/>
  <c r="AX295" i="12"/>
  <c r="AX299" i="12"/>
  <c r="AX303" i="12"/>
  <c r="AX307" i="12"/>
  <c r="AX311" i="12"/>
  <c r="AX315" i="12"/>
  <c r="AX319" i="12"/>
  <c r="AX323" i="12"/>
  <c r="AX327" i="12"/>
  <c r="AX331" i="12"/>
  <c r="AX335" i="12"/>
  <c r="AX339" i="12"/>
  <c r="AX343" i="12"/>
  <c r="AX347" i="12"/>
  <c r="AX351" i="12"/>
  <c r="AX355" i="12"/>
  <c r="AX359" i="12"/>
  <c r="AX363" i="12"/>
  <c r="AX367" i="12"/>
  <c r="AX371" i="12"/>
  <c r="AX375" i="12"/>
  <c r="AX379" i="12"/>
  <c r="AX383" i="12"/>
  <c r="AX387" i="12"/>
  <c r="AX391" i="12"/>
  <c r="AX395" i="12"/>
  <c r="AX399" i="12"/>
  <c r="AX403" i="12"/>
  <c r="AX407" i="12"/>
  <c r="AX411" i="12"/>
  <c r="AX415" i="12"/>
  <c r="AX419" i="12"/>
  <c r="AX423" i="12"/>
  <c r="AX427" i="12"/>
  <c r="AX431" i="12"/>
  <c r="AX435" i="12"/>
  <c r="AX439" i="12"/>
  <c r="AX443" i="12"/>
  <c r="AX447" i="12"/>
  <c r="AX451" i="12"/>
  <c r="AX455" i="12"/>
  <c r="AX459" i="12"/>
  <c r="AX463" i="12"/>
  <c r="AX467" i="12"/>
  <c r="AX471" i="12"/>
  <c r="AX475" i="12"/>
  <c r="AX479" i="12"/>
  <c r="AX483" i="12"/>
  <c r="AX487" i="12"/>
  <c r="AX491" i="12"/>
  <c r="AX495" i="12"/>
  <c r="AX499" i="12"/>
  <c r="AX503" i="12"/>
  <c r="AX507" i="12"/>
  <c r="AX511" i="12"/>
  <c r="AX515" i="12"/>
  <c r="AX519" i="12"/>
  <c r="AX523" i="12"/>
  <c r="AX527" i="12"/>
  <c r="AX531" i="12"/>
  <c r="AX535" i="12"/>
  <c r="AX539" i="12"/>
  <c r="AX543" i="12"/>
  <c r="AX547" i="12"/>
  <c r="AX551" i="12"/>
  <c r="AX555" i="12"/>
  <c r="AX559" i="12"/>
  <c r="AX563" i="12"/>
  <c r="AX567" i="12"/>
  <c r="AX571" i="12"/>
  <c r="AX575" i="12"/>
  <c r="AX579" i="12"/>
  <c r="AX583" i="12"/>
  <c r="AX587" i="12"/>
  <c r="AX591" i="12"/>
  <c r="AX595" i="12"/>
  <c r="AX599" i="12"/>
  <c r="AX603" i="12"/>
  <c r="AX607" i="12"/>
  <c r="AX611" i="12"/>
  <c r="AX615" i="12"/>
  <c r="AX619" i="12"/>
  <c r="AX623" i="12"/>
  <c r="AX627" i="12"/>
  <c r="AX631" i="12"/>
  <c r="AX635" i="12"/>
  <c r="AX639" i="12"/>
  <c r="AX643" i="12"/>
  <c r="AX647" i="12"/>
  <c r="AX651" i="12"/>
  <c r="AX655" i="12"/>
  <c r="AX659" i="12"/>
  <c r="AX663" i="12"/>
  <c r="AX667" i="12"/>
  <c r="AX671" i="12"/>
  <c r="AX675" i="12"/>
  <c r="AX679" i="12"/>
  <c r="AX683" i="12"/>
  <c r="AX687" i="12"/>
  <c r="AX691" i="12"/>
  <c r="AX695" i="12"/>
  <c r="AX699" i="12"/>
  <c r="AX703" i="12"/>
  <c r="AX707" i="12"/>
  <c r="AX711" i="12"/>
  <c r="AX715" i="12"/>
  <c r="AX719" i="12"/>
  <c r="AX723" i="12"/>
  <c r="AX727" i="12"/>
  <c r="AX731" i="12"/>
  <c r="AX735" i="12"/>
  <c r="AX739" i="12"/>
  <c r="AX743" i="12"/>
  <c r="AX747" i="12"/>
  <c r="AX751" i="12"/>
  <c r="AX755" i="12"/>
  <c r="AX759" i="12"/>
  <c r="AX763" i="12"/>
  <c r="AX767" i="12"/>
  <c r="AX771" i="12"/>
  <c r="AX775" i="12"/>
  <c r="AX779" i="12"/>
  <c r="AX783" i="12"/>
  <c r="AX787" i="12"/>
  <c r="AX791" i="12"/>
  <c r="AX795" i="12"/>
  <c r="AX799" i="12"/>
  <c r="AX803" i="12"/>
  <c r="AX807" i="12"/>
  <c r="AX811" i="12"/>
  <c r="AX815" i="12"/>
  <c r="AX819" i="12"/>
  <c r="AX823" i="12"/>
  <c r="AX827" i="12"/>
  <c r="AX831" i="12"/>
  <c r="AX835" i="12"/>
  <c r="AX839" i="12"/>
  <c r="AX843" i="12"/>
  <c r="AX847" i="12"/>
  <c r="AX851" i="12"/>
  <c r="AX855" i="12"/>
  <c r="AX859" i="12"/>
  <c r="AX863" i="12"/>
  <c r="AX867" i="12"/>
  <c r="AX871" i="12"/>
  <c r="AX875" i="12"/>
  <c r="AX879" i="12"/>
  <c r="AX883" i="12"/>
  <c r="AX887" i="12"/>
  <c r="AX891" i="12"/>
  <c r="AX895" i="12"/>
  <c r="AX899" i="12"/>
  <c r="AX903" i="12"/>
  <c r="AX907" i="12"/>
  <c r="AX911" i="12"/>
  <c r="AX915" i="12"/>
  <c r="AX919" i="12"/>
  <c r="AX923" i="12"/>
  <c r="AX927" i="12"/>
  <c r="AX931" i="12"/>
  <c r="AX935" i="12"/>
  <c r="AX939" i="12"/>
  <c r="AX943" i="12"/>
  <c r="AX947" i="12"/>
  <c r="AX951" i="12"/>
  <c r="AX955" i="12"/>
  <c r="AX959" i="12"/>
  <c r="AX963" i="12"/>
  <c r="AX967" i="12"/>
  <c r="AX971" i="12"/>
  <c r="AX975" i="12"/>
  <c r="AX979" i="12"/>
  <c r="AX983" i="12"/>
  <c r="AX987" i="12"/>
  <c r="AX991" i="12"/>
  <c r="AX995" i="12"/>
  <c r="AX999" i="12"/>
  <c r="AX1003" i="12"/>
  <c r="AX1007" i="12"/>
  <c r="AX1011" i="12"/>
  <c r="AX1015" i="12"/>
  <c r="AX1019" i="12"/>
  <c r="AX1023" i="12"/>
  <c r="AX1027" i="12"/>
  <c r="AX1031" i="12"/>
  <c r="AX1035" i="12"/>
  <c r="AX1039" i="12"/>
  <c r="AX1043" i="12"/>
  <c r="AX1047" i="12"/>
  <c r="AX1051" i="12"/>
  <c r="AX1055" i="12"/>
  <c r="AX1059" i="12"/>
  <c r="AX1063" i="12"/>
  <c r="AX1067" i="12"/>
  <c r="AX1071" i="12"/>
  <c r="AX1075" i="12"/>
  <c r="AX1079" i="12"/>
  <c r="AX1083" i="12"/>
  <c r="AX1087" i="12"/>
  <c r="AX1091" i="12"/>
  <c r="AX1095" i="12"/>
  <c r="AX1099" i="12"/>
  <c r="AX1103" i="12"/>
  <c r="AX1107" i="12"/>
  <c r="AX1111" i="12"/>
  <c r="AX1115" i="12"/>
  <c r="AX1119" i="12"/>
  <c r="AX1123" i="12"/>
  <c r="AX1127" i="12"/>
  <c r="AX1131" i="12"/>
  <c r="AX1137" i="12"/>
  <c r="AX1143" i="12"/>
  <c r="AX1147" i="12"/>
  <c r="AX1151" i="12"/>
  <c r="AX1155" i="12"/>
  <c r="AX1159" i="12"/>
  <c r="AX5" i="12"/>
  <c r="AX13" i="12"/>
  <c r="AX21" i="12"/>
  <c r="AX29" i="12"/>
  <c r="AX37" i="12"/>
  <c r="AX45" i="12"/>
  <c r="AX53" i="12"/>
  <c r="AX61" i="12"/>
  <c r="AX69" i="12"/>
  <c r="AX77" i="12"/>
  <c r="AX85" i="12"/>
  <c r="AX93" i="12"/>
  <c r="AX101" i="12"/>
  <c r="AX109" i="12"/>
  <c r="AX117" i="12"/>
  <c r="AX125" i="12"/>
  <c r="AX133" i="12"/>
  <c r="AX141" i="12"/>
  <c r="AX149" i="12"/>
  <c r="AX157" i="12"/>
  <c r="AX165" i="12"/>
  <c r="AX173" i="12"/>
  <c r="AX181" i="12"/>
  <c r="AX189" i="12"/>
  <c r="AX197" i="12"/>
  <c r="AX205" i="12"/>
  <c r="AX213" i="12"/>
  <c r="AX221" i="12"/>
  <c r="AX229" i="12"/>
  <c r="AX237" i="12"/>
  <c r="AX245" i="12"/>
  <c r="AX253" i="12"/>
  <c r="AX261" i="12"/>
  <c r="AX269" i="12"/>
  <c r="AX277" i="12"/>
  <c r="AX285" i="12"/>
  <c r="AX293" i="12"/>
  <c r="AX301" i="12"/>
  <c r="AX309" i="12"/>
  <c r="AX317" i="12"/>
  <c r="AX325" i="12"/>
  <c r="AX333" i="12"/>
  <c r="AX341" i="12"/>
  <c r="AX349" i="12"/>
  <c r="AX357" i="12"/>
  <c r="AX365" i="12"/>
  <c r="AX373" i="12"/>
  <c r="AX381" i="12"/>
  <c r="AX389" i="12"/>
  <c r="AX397" i="12"/>
  <c r="AX405" i="12"/>
  <c r="AX413" i="12"/>
  <c r="AX421" i="12"/>
  <c r="AX429" i="12"/>
  <c r="AX437" i="12"/>
  <c r="AX445" i="12"/>
  <c r="AX453" i="12"/>
  <c r="AX461" i="12"/>
  <c r="AX469" i="12"/>
  <c r="AX477" i="12"/>
  <c r="AX485" i="12"/>
  <c r="AX493" i="12"/>
  <c r="AX501" i="12"/>
  <c r="AX509" i="12"/>
  <c r="AX517" i="12"/>
  <c r="AX525" i="12"/>
  <c r="AX533" i="12"/>
  <c r="AX541" i="12"/>
  <c r="AX549" i="12"/>
  <c r="AX557" i="12"/>
  <c r="AX565" i="12"/>
  <c r="AX573" i="12"/>
  <c r="AX581" i="12"/>
  <c r="AX589" i="12"/>
  <c r="AX597" i="12"/>
  <c r="AX605" i="12"/>
  <c r="AX613" i="12"/>
  <c r="AX621" i="12"/>
  <c r="AX629" i="12"/>
  <c r="AX637" i="12"/>
  <c r="AX645" i="12"/>
  <c r="AX653" i="12"/>
  <c r="AX661" i="12"/>
  <c r="AX669" i="12"/>
  <c r="AX677" i="12"/>
  <c r="AX685" i="12"/>
  <c r="AX693" i="12"/>
  <c r="AX701" i="12"/>
  <c r="AX709" i="12"/>
  <c r="AX717" i="12"/>
  <c r="AX725" i="12"/>
  <c r="AX733" i="12"/>
  <c r="AX741" i="12"/>
  <c r="AX749" i="12"/>
  <c r="AX757" i="12"/>
  <c r="AX765" i="12"/>
  <c r="AX773" i="12"/>
  <c r="AX781" i="12"/>
  <c r="AX789" i="12"/>
  <c r="AX797" i="12"/>
  <c r="AX805" i="12"/>
  <c r="AX813" i="12"/>
  <c r="AX821" i="12"/>
  <c r="AX829" i="12"/>
  <c r="AX837" i="12"/>
  <c r="AX845" i="12"/>
  <c r="AX853" i="12"/>
  <c r="AX861" i="12"/>
  <c r="AX869" i="12"/>
  <c r="AX877" i="12"/>
  <c r="AX885" i="12"/>
  <c r="AX893" i="12"/>
  <c r="AX901" i="12"/>
  <c r="AX909" i="12"/>
  <c r="AX917" i="12"/>
  <c r="AX925" i="12"/>
  <c r="AX933" i="12"/>
  <c r="AX941" i="12"/>
  <c r="AX949" i="12"/>
  <c r="AX957" i="12"/>
  <c r="AX965" i="12"/>
  <c r="AX973" i="12"/>
  <c r="AX981" i="12"/>
  <c r="AX989" i="12"/>
  <c r="AX997" i="12"/>
  <c r="AX1005" i="12"/>
  <c r="AX1013" i="12"/>
  <c r="AX1021" i="12"/>
  <c r="AX1029" i="12"/>
  <c r="AX1037" i="12"/>
  <c r="AX1045" i="12"/>
  <c r="AX1053" i="12"/>
  <c r="AX1061" i="12"/>
  <c r="AX1069" i="12"/>
  <c r="AX1077" i="12"/>
  <c r="AX1085" i="12"/>
  <c r="AX1093" i="12"/>
  <c r="AX1101" i="12"/>
  <c r="AX1109" i="12"/>
  <c r="AX1117" i="12"/>
  <c r="AX1125" i="12"/>
  <c r="AX1133" i="12"/>
  <c r="AX1145" i="12"/>
  <c r="AX1153" i="12"/>
  <c r="AX8" i="12"/>
  <c r="AX16" i="12"/>
  <c r="AX24" i="12"/>
  <c r="AX32" i="12"/>
  <c r="AX40" i="12"/>
  <c r="AX48" i="12"/>
  <c r="AX56" i="12"/>
  <c r="AX64" i="12"/>
  <c r="AX72" i="12"/>
  <c r="AX80" i="12"/>
  <c r="AX88" i="12"/>
  <c r="AX96" i="12"/>
  <c r="AX104" i="12"/>
  <c r="AX112" i="12"/>
  <c r="AX120" i="12"/>
  <c r="AX128" i="12"/>
  <c r="AX136" i="12"/>
  <c r="AX144" i="12"/>
  <c r="AX152" i="12"/>
  <c r="AX160" i="12"/>
  <c r="AX168" i="12"/>
  <c r="AX176" i="12"/>
  <c r="AX184" i="12"/>
  <c r="AX192" i="12"/>
  <c r="AX200" i="12"/>
  <c r="AX208" i="12"/>
  <c r="AX216" i="12"/>
  <c r="AX224" i="12"/>
  <c r="AX232" i="12"/>
  <c r="AX240" i="12"/>
  <c r="AX248" i="12"/>
  <c r="AX256" i="12"/>
  <c r="AX264" i="12"/>
  <c r="AX272" i="12"/>
  <c r="AX280" i="12"/>
  <c r="AX288" i="12"/>
  <c r="AX296" i="12"/>
  <c r="AX304" i="12"/>
  <c r="AX312" i="12"/>
  <c r="AX320" i="12"/>
  <c r="AX328" i="12"/>
  <c r="AX336" i="12"/>
  <c r="AX344" i="12"/>
  <c r="AX352" i="12"/>
  <c r="AX360" i="12"/>
  <c r="AX368" i="12"/>
  <c r="AX376" i="12"/>
  <c r="AX384" i="12"/>
  <c r="AX392" i="12"/>
  <c r="AX400" i="12"/>
  <c r="AX408" i="12"/>
  <c r="AX416" i="12"/>
  <c r="AX424" i="12"/>
  <c r="AX432" i="12"/>
  <c r="AX440" i="12"/>
  <c r="AX448" i="12"/>
  <c r="AX456" i="12"/>
  <c r="AX464" i="12"/>
  <c r="AX472" i="12"/>
  <c r="AX480" i="12"/>
  <c r="AX488" i="12"/>
  <c r="AX496" i="12"/>
  <c r="AX504" i="12"/>
  <c r="AX512" i="12"/>
  <c r="AX520" i="12"/>
  <c r="AX528" i="12"/>
  <c r="AX536" i="12"/>
  <c r="AX544" i="12"/>
  <c r="AX552" i="12"/>
  <c r="AX560" i="12"/>
  <c r="AX568" i="12"/>
  <c r="AX576" i="12"/>
  <c r="AX584" i="12"/>
  <c r="AX592" i="12"/>
  <c r="AX600" i="12"/>
  <c r="AX608" i="12"/>
  <c r="AX616" i="12"/>
  <c r="AX624" i="12"/>
  <c r="AX632" i="12"/>
  <c r="AX640" i="12"/>
  <c r="AX648" i="12"/>
  <c r="AX656" i="12"/>
  <c r="AX664" i="12"/>
  <c r="AX672" i="12"/>
  <c r="AX680" i="12"/>
  <c r="AX688" i="12"/>
  <c r="AX696" i="12"/>
  <c r="AX704" i="12"/>
  <c r="AX712" i="12"/>
  <c r="AX720" i="12"/>
  <c r="AX728" i="12"/>
  <c r="AX736" i="12"/>
  <c r="AX744" i="12"/>
  <c r="AX752" i="12"/>
  <c r="AX760" i="12"/>
  <c r="AX768" i="12"/>
  <c r="AX776" i="12"/>
  <c r="AX784" i="12"/>
  <c r="AX792" i="12"/>
  <c r="AX800" i="12"/>
  <c r="AX808" i="12"/>
  <c r="AX816" i="12"/>
  <c r="AX824" i="12"/>
  <c r="AX832" i="12"/>
  <c r="AX840" i="12"/>
  <c r="AX848" i="12"/>
  <c r="AX856" i="12"/>
  <c r="AX864" i="12"/>
  <c r="AX872" i="12"/>
  <c r="AX880" i="12"/>
  <c r="AX888" i="12"/>
  <c r="AX896" i="12"/>
  <c r="AX904" i="12"/>
  <c r="AX912" i="12"/>
  <c r="AX920" i="12"/>
  <c r="AX928" i="12"/>
  <c r="AX936" i="12"/>
  <c r="AX944" i="12"/>
  <c r="AX952" i="12"/>
  <c r="AX960" i="12"/>
  <c r="AX968" i="12"/>
  <c r="AX976" i="12"/>
  <c r="AX984" i="12"/>
  <c r="AX992" i="12"/>
  <c r="AX1000" i="12"/>
  <c r="AX1008" i="12"/>
  <c r="AX1016" i="12"/>
  <c r="AX1024" i="12"/>
  <c r="AX1032" i="12"/>
  <c r="AX1040" i="12"/>
  <c r="AX1048" i="12"/>
  <c r="AX1056" i="12"/>
  <c r="AX1064" i="12"/>
  <c r="AX1072" i="12"/>
  <c r="AX1080" i="12"/>
  <c r="AX1088" i="12"/>
  <c r="AX1096" i="12"/>
  <c r="AX1104" i="12"/>
  <c r="AX1112" i="12"/>
  <c r="AX1120" i="12"/>
  <c r="AX1128" i="12"/>
  <c r="AX1140" i="12"/>
  <c r="AX1148" i="12"/>
  <c r="AX1156" i="12"/>
  <c r="AX9" i="12"/>
  <c r="AX17" i="12"/>
  <c r="AX25" i="12"/>
  <c r="AX33" i="12"/>
  <c r="AX41" i="12"/>
  <c r="AX49" i="12"/>
  <c r="AX57" i="12"/>
  <c r="AX65" i="12"/>
  <c r="AX73" i="12"/>
  <c r="AX81" i="12"/>
  <c r="AX89" i="12"/>
  <c r="AX97" i="12"/>
  <c r="AX105" i="12"/>
  <c r="AX113" i="12"/>
  <c r="AX121" i="12"/>
  <c r="AX129" i="12"/>
  <c r="AX137" i="12"/>
  <c r="AX145" i="12"/>
  <c r="AX153" i="12"/>
  <c r="AX161" i="12"/>
  <c r="AX169" i="12"/>
  <c r="AX177" i="12"/>
  <c r="AX185" i="12"/>
  <c r="AX193" i="12"/>
  <c r="AX201" i="12"/>
  <c r="AX209" i="12"/>
  <c r="AX217" i="12"/>
  <c r="AX225" i="12"/>
  <c r="AX233" i="12"/>
  <c r="AX241" i="12"/>
  <c r="AX249" i="12"/>
  <c r="AX257" i="12"/>
  <c r="AX265" i="12"/>
  <c r="AX273" i="12"/>
  <c r="AX281" i="12"/>
  <c r="AX289" i="12"/>
  <c r="AX297" i="12"/>
  <c r="AX305" i="12"/>
  <c r="AX313" i="12"/>
  <c r="AX321" i="12"/>
  <c r="AX329" i="12"/>
  <c r="AX337" i="12"/>
  <c r="AX345" i="12"/>
  <c r="AX353" i="12"/>
  <c r="AX361" i="12"/>
  <c r="AX369" i="12"/>
  <c r="AX377" i="12"/>
  <c r="AX385" i="12"/>
  <c r="AX393" i="12"/>
  <c r="AX401" i="12"/>
  <c r="AX409" i="12"/>
  <c r="AX417" i="12"/>
  <c r="AX425" i="12"/>
  <c r="AX433" i="12"/>
  <c r="AX441" i="12"/>
  <c r="AX449" i="12"/>
  <c r="AX457" i="12"/>
  <c r="AX465" i="12"/>
  <c r="AX473" i="12"/>
  <c r="AX481" i="12"/>
  <c r="AX489" i="12"/>
  <c r="AX497" i="12"/>
  <c r="AX505" i="12"/>
  <c r="AX513" i="12"/>
  <c r="AX521" i="12"/>
  <c r="AX529" i="12"/>
  <c r="AX537" i="12"/>
  <c r="AX545" i="12"/>
  <c r="AX553" i="12"/>
  <c r="AX561" i="12"/>
  <c r="AX569" i="12"/>
  <c r="AX577" i="12"/>
  <c r="AX585" i="12"/>
  <c r="AX593" i="12"/>
  <c r="AX601" i="12"/>
  <c r="AX609" i="12"/>
  <c r="AX617" i="12"/>
  <c r="AX625" i="12"/>
  <c r="AX633" i="12"/>
  <c r="AX641" i="12"/>
  <c r="AX649" i="12"/>
  <c r="AX657" i="12"/>
  <c r="AX665" i="12"/>
  <c r="AX673" i="12"/>
  <c r="AX681" i="12"/>
  <c r="AX689" i="12"/>
  <c r="AX697" i="12"/>
  <c r="AX705" i="12"/>
  <c r="AX713" i="12"/>
  <c r="AX721" i="12"/>
  <c r="AX729" i="12"/>
  <c r="AX737" i="12"/>
  <c r="AX745" i="12"/>
  <c r="AX753" i="12"/>
  <c r="AX761" i="12"/>
  <c r="AX769" i="12"/>
  <c r="AX777" i="12"/>
  <c r="AX785" i="12"/>
  <c r="AX793" i="12"/>
  <c r="AX801" i="12"/>
  <c r="AX809" i="12"/>
  <c r="AX817" i="12"/>
  <c r="AX825" i="12"/>
  <c r="AX833" i="12"/>
  <c r="AX841" i="12"/>
  <c r="AX849" i="12"/>
  <c r="AX857" i="12"/>
  <c r="AX865" i="12"/>
  <c r="AX873" i="12"/>
  <c r="AX881" i="12"/>
  <c r="AX889" i="12"/>
  <c r="AX897" i="12"/>
  <c r="AX905" i="12"/>
  <c r="AX913" i="12"/>
  <c r="AX921" i="12"/>
  <c r="AX929" i="12"/>
  <c r="AX937" i="12"/>
  <c r="AX945" i="12"/>
  <c r="AX953" i="12"/>
  <c r="AX961" i="12"/>
  <c r="AX969" i="12"/>
  <c r="AX977" i="12"/>
  <c r="AX985" i="12"/>
  <c r="AX993" i="12"/>
  <c r="AX1001" i="12"/>
  <c r="AX1009" i="12"/>
  <c r="AX1017" i="12"/>
  <c r="AX1025" i="12"/>
  <c r="AX1033" i="12"/>
  <c r="AX1041" i="12"/>
  <c r="AX1049" i="12"/>
  <c r="AX1057" i="12"/>
  <c r="AX1065" i="12"/>
  <c r="AX1073" i="12"/>
  <c r="AX1081" i="12"/>
  <c r="AX1089" i="12"/>
  <c r="AX1097" i="12"/>
  <c r="AX1105" i="12"/>
  <c r="AX1113" i="12"/>
  <c r="AX1121" i="12"/>
  <c r="AX1129" i="12"/>
  <c r="AX1141" i="12"/>
  <c r="AX1149" i="12"/>
  <c r="AX1157" i="12"/>
  <c r="AX12" i="12"/>
  <c r="AX44" i="12"/>
  <c r="AX76" i="12"/>
  <c r="AX108" i="12"/>
  <c r="AX140" i="12"/>
  <c r="AX172" i="12"/>
  <c r="AX204" i="12"/>
  <c r="AX236" i="12"/>
  <c r="AX268" i="12"/>
  <c r="AX300" i="12"/>
  <c r="AX332" i="12"/>
  <c r="AX364" i="12"/>
  <c r="AX396" i="12"/>
  <c r="AX428" i="12"/>
  <c r="AX460" i="12"/>
  <c r="AX492" i="12"/>
  <c r="AX524" i="12"/>
  <c r="AX556" i="12"/>
  <c r="AX588" i="12"/>
  <c r="AX620" i="12"/>
  <c r="AX652" i="12"/>
  <c r="AX684" i="12"/>
  <c r="AX716" i="12"/>
  <c r="AX748" i="12"/>
  <c r="AX780" i="12"/>
  <c r="AX812" i="12"/>
  <c r="AX844" i="12"/>
  <c r="AX876" i="12"/>
  <c r="AX908" i="12"/>
  <c r="AX940" i="12"/>
  <c r="AX972" i="12"/>
  <c r="AX1004" i="12"/>
  <c r="AX1036" i="12"/>
  <c r="AX1068" i="12"/>
  <c r="AX1100" i="12"/>
  <c r="AX1132" i="12"/>
  <c r="AX20" i="12"/>
  <c r="AX52" i="12"/>
  <c r="AX84" i="12"/>
  <c r="AX116" i="12"/>
  <c r="AX148" i="12"/>
  <c r="AX180" i="12"/>
  <c r="AX212" i="12"/>
  <c r="AX244" i="12"/>
  <c r="AX276" i="12"/>
  <c r="AX308" i="12"/>
  <c r="AX340" i="12"/>
  <c r="AX372" i="12"/>
  <c r="AX404" i="12"/>
  <c r="AX436" i="12"/>
  <c r="AX468" i="12"/>
  <c r="AX500" i="12"/>
  <c r="AX532" i="12"/>
  <c r="AX564" i="12"/>
  <c r="AX596" i="12"/>
  <c r="AX628" i="12"/>
  <c r="AX660" i="12"/>
  <c r="AX692" i="12"/>
  <c r="AX724" i="12"/>
  <c r="AX756" i="12"/>
  <c r="AX788" i="12"/>
  <c r="AX820" i="12"/>
  <c r="AX852" i="12"/>
  <c r="AX884" i="12"/>
  <c r="AX916" i="12"/>
  <c r="AX948" i="12"/>
  <c r="AX980" i="12"/>
  <c r="AX1012" i="12"/>
  <c r="AX1044" i="12"/>
  <c r="AX1076" i="12"/>
  <c r="AX1108" i="12"/>
  <c r="AX1144" i="12"/>
  <c r="AX28" i="12"/>
  <c r="AX60" i="12"/>
  <c r="AX92" i="12"/>
  <c r="AX124" i="12"/>
  <c r="AX156" i="12"/>
  <c r="AX188" i="12"/>
  <c r="AX220" i="12"/>
  <c r="AX252" i="12"/>
  <c r="AX284" i="12"/>
  <c r="AX316" i="12"/>
  <c r="AX348" i="12"/>
  <c r="AX380" i="12"/>
  <c r="AX412" i="12"/>
  <c r="AX444" i="12"/>
  <c r="AX476" i="12"/>
  <c r="AX508" i="12"/>
  <c r="AX540" i="12"/>
  <c r="AX572" i="12"/>
  <c r="AX604" i="12"/>
  <c r="AX636" i="12"/>
  <c r="AX668" i="12"/>
  <c r="AX700" i="12"/>
  <c r="AX732" i="12"/>
  <c r="AX764" i="12"/>
  <c r="AX796" i="12"/>
  <c r="AX828" i="12"/>
  <c r="AX860" i="12"/>
  <c r="AX892" i="12"/>
  <c r="AX924" i="12"/>
  <c r="AX956" i="12"/>
  <c r="AX988" i="12"/>
  <c r="AX1020" i="12"/>
  <c r="AX1052" i="12"/>
  <c r="AX1084" i="12"/>
  <c r="AX1116" i="12"/>
  <c r="AX1152" i="12"/>
  <c r="AX68" i="12"/>
  <c r="AX196" i="12"/>
  <c r="AX324" i="12"/>
  <c r="AX452" i="12"/>
  <c r="AX580" i="12"/>
  <c r="AX708" i="12"/>
  <c r="AX836" i="12"/>
  <c r="AX964" i="12"/>
  <c r="AX1092" i="12"/>
  <c r="AX292" i="12"/>
  <c r="AX676" i="12"/>
  <c r="AX932" i="12"/>
  <c r="AX1060" i="12"/>
  <c r="AX100" i="12"/>
  <c r="AX228" i="12"/>
  <c r="AX356" i="12"/>
  <c r="AX484" i="12"/>
  <c r="AX612" i="12"/>
  <c r="AX740" i="12"/>
  <c r="AX868" i="12"/>
  <c r="AX996" i="12"/>
  <c r="AX1124" i="12"/>
  <c r="AX164" i="12"/>
  <c r="AX420" i="12"/>
  <c r="AX804" i="12"/>
  <c r="AX132" i="12"/>
  <c r="AX260" i="12"/>
  <c r="AX388" i="12"/>
  <c r="AX516" i="12"/>
  <c r="AX644" i="12"/>
  <c r="AX772" i="12"/>
  <c r="AX900" i="12"/>
  <c r="AX1028" i="12"/>
  <c r="AX36" i="12"/>
  <c r="AX548" i="12"/>
  <c r="AD20" i="13"/>
  <c r="AD36" i="13"/>
  <c r="AD34" i="13"/>
  <c r="U17" i="13"/>
  <c r="U23" i="13"/>
  <c r="X17" i="13"/>
  <c r="AB17" i="13"/>
  <c r="AC17" i="13"/>
  <c r="V17" i="13"/>
  <c r="Z17" i="13"/>
  <c r="W17" i="13"/>
  <c r="AA17" i="13"/>
  <c r="U18" i="13"/>
  <c r="AD17" i="13"/>
  <c r="U19" i="13"/>
  <c r="X18" i="13"/>
  <c r="AB18" i="13"/>
  <c r="W18" i="13"/>
  <c r="AA18" i="13"/>
  <c r="AC18" i="13"/>
  <c r="V18" i="13"/>
  <c r="Z18" i="13"/>
  <c r="AD18" i="13"/>
  <c r="X19" i="13"/>
  <c r="AB19" i="13"/>
  <c r="AC19" i="13"/>
  <c r="V19" i="13"/>
  <c r="Z19" i="13"/>
  <c r="W19" i="13"/>
  <c r="AA19" i="13"/>
  <c r="U21" i="13"/>
  <c r="AD19" i="13"/>
  <c r="X20" i="13"/>
  <c r="AB20" i="13"/>
  <c r="AA20" i="13"/>
  <c r="AC20" i="13"/>
  <c r="W20" i="13"/>
  <c r="V20" i="13"/>
  <c r="Z20" i="13"/>
  <c r="U22" i="13"/>
  <c r="X21" i="13"/>
  <c r="AB21" i="13"/>
  <c r="W21" i="13"/>
  <c r="AA21" i="13"/>
  <c r="AC21" i="13"/>
  <c r="V21" i="13"/>
  <c r="Z21" i="13"/>
  <c r="AD23" i="13"/>
  <c r="U24" i="13"/>
  <c r="AD21" i="13"/>
  <c r="AB24" i="13"/>
  <c r="X22" i="13"/>
  <c r="AB22" i="13"/>
  <c r="AA22" i="13"/>
  <c r="AC22" i="13"/>
  <c r="W22" i="13"/>
  <c r="V22" i="13"/>
  <c r="Z22" i="13"/>
  <c r="AD22" i="13"/>
  <c r="U26" i="13"/>
  <c r="AD31" i="13"/>
  <c r="X23" i="13"/>
  <c r="AB23" i="13"/>
  <c r="AC23" i="13"/>
  <c r="V23" i="13"/>
  <c r="Z23" i="13"/>
  <c r="W23" i="13"/>
  <c r="AA23" i="13"/>
  <c r="X24" i="13"/>
  <c r="Z24" i="13"/>
  <c r="V24" i="13"/>
  <c r="AA24" i="13"/>
  <c r="W24" i="13"/>
  <c r="U25" i="13"/>
  <c r="AD26" i="13"/>
  <c r="AD24" i="13"/>
  <c r="AD33" i="13"/>
  <c r="U35" i="13"/>
  <c r="X26" i="13"/>
  <c r="Z26" i="13"/>
  <c r="V26" i="13"/>
  <c r="AA26" i="13"/>
  <c r="W26" i="13"/>
  <c r="AD25" i="13"/>
  <c r="X25" i="13"/>
  <c r="AB25" i="13"/>
  <c r="AC25" i="13"/>
  <c r="V25" i="13"/>
  <c r="Z25" i="13"/>
  <c r="W25" i="13"/>
  <c r="AA25" i="13"/>
  <c r="AD35" i="13"/>
  <c r="AD27" i="13"/>
  <c r="AD32" i="13"/>
  <c r="AD30" i="13"/>
  <c r="W30" i="13"/>
  <c r="U29" i="13"/>
  <c r="W27" i="13"/>
  <c r="AA29" i="13"/>
  <c r="AD29" i="13"/>
  <c r="U30" i="13"/>
  <c r="AD28" i="13"/>
  <c r="U36" i="13"/>
  <c r="U27" i="13"/>
  <c r="AC27" i="13"/>
  <c r="V27" i="13"/>
  <c r="AB27" i="13"/>
  <c r="X27" i="13"/>
  <c r="Z27" i="13"/>
  <c r="U37" i="13"/>
  <c r="W35" i="13"/>
  <c r="AD51" i="13"/>
  <c r="U31" i="13"/>
  <c r="AC29" i="13"/>
  <c r="X29" i="13"/>
  <c r="Z29" i="13"/>
  <c r="V29" i="13"/>
  <c r="AB29" i="13"/>
  <c r="AD40" i="13"/>
  <c r="X28" i="13"/>
  <c r="AB28" i="13"/>
  <c r="AC28" i="13"/>
  <c r="V28" i="13"/>
  <c r="Z28" i="13"/>
  <c r="W28" i="13"/>
  <c r="AA28" i="13"/>
  <c r="U28" i="13"/>
  <c r="AC30" i="13"/>
  <c r="V30" i="13"/>
  <c r="AB30" i="13"/>
  <c r="X30" i="13"/>
  <c r="Z30" i="13"/>
  <c r="X31" i="13"/>
  <c r="AB31" i="13"/>
  <c r="AC31" i="13"/>
  <c r="V31" i="13"/>
  <c r="Z31" i="13"/>
  <c r="W31" i="13"/>
  <c r="AA31" i="13"/>
  <c r="U32" i="13"/>
  <c r="X32" i="13"/>
  <c r="AB32" i="13"/>
  <c r="AC32" i="13"/>
  <c r="V32" i="13"/>
  <c r="Z32" i="13"/>
  <c r="W32" i="13"/>
  <c r="AA32" i="13"/>
  <c r="X33" i="13"/>
  <c r="AB33" i="13"/>
  <c r="AC33" i="13"/>
  <c r="V33" i="13"/>
  <c r="Z33" i="13"/>
  <c r="W33" i="13"/>
  <c r="AA33" i="13"/>
  <c r="U33" i="13"/>
  <c r="U34" i="13"/>
  <c r="X34" i="13"/>
  <c r="AB34" i="13"/>
  <c r="AC34" i="13"/>
  <c r="V34" i="13"/>
  <c r="Z34" i="13"/>
  <c r="W34" i="13"/>
  <c r="AA34" i="13"/>
  <c r="AC35" i="13"/>
  <c r="V35" i="13"/>
  <c r="AB35" i="13"/>
  <c r="X35" i="13"/>
  <c r="Z35" i="13"/>
  <c r="X36" i="13"/>
  <c r="AB36" i="13"/>
  <c r="AC36" i="13"/>
  <c r="V36" i="13"/>
  <c r="Z36" i="13"/>
  <c r="W36" i="13"/>
  <c r="AA36" i="13"/>
  <c r="X37" i="13"/>
  <c r="AB37" i="13"/>
  <c r="AC37" i="13"/>
  <c r="V37" i="13"/>
  <c r="Z37" i="13"/>
  <c r="W37" i="13"/>
  <c r="AA37" i="13"/>
  <c r="U41" i="13"/>
  <c r="AA40" i="13"/>
  <c r="U39" i="13"/>
  <c r="U44" i="13"/>
  <c r="U40" i="13"/>
  <c r="AD38" i="13"/>
  <c r="X38" i="13"/>
  <c r="AB38" i="13"/>
  <c r="W38" i="13"/>
  <c r="AA38" i="13"/>
  <c r="AC38" i="13"/>
  <c r="V38" i="13"/>
  <c r="Z38" i="13"/>
  <c r="U42" i="13"/>
  <c r="X39" i="13"/>
  <c r="AB39" i="13"/>
  <c r="AC39" i="13"/>
  <c r="W39" i="13"/>
  <c r="AA39" i="13"/>
  <c r="V39" i="13"/>
  <c r="Z39" i="13"/>
  <c r="AC40" i="13"/>
  <c r="V40" i="13"/>
  <c r="AB40" i="13"/>
  <c r="X40" i="13"/>
  <c r="Z40" i="13"/>
  <c r="AD39" i="13"/>
  <c r="AD43" i="13"/>
  <c r="X41" i="13"/>
  <c r="W41" i="13"/>
  <c r="Z41" i="13"/>
  <c r="V41" i="13"/>
  <c r="AA41" i="13"/>
  <c r="AD42" i="13"/>
  <c r="AD41" i="13"/>
  <c r="U47" i="13"/>
  <c r="U43" i="13"/>
  <c r="X42" i="13"/>
  <c r="AB42" i="13"/>
  <c r="AC42" i="13"/>
  <c r="W42" i="13"/>
  <c r="AA42" i="13"/>
  <c r="V42" i="13"/>
  <c r="Z42" i="13"/>
  <c r="U45" i="13"/>
  <c r="AD45" i="13"/>
  <c r="X43" i="13"/>
  <c r="AB43" i="13"/>
  <c r="W43" i="13"/>
  <c r="AA43" i="13"/>
  <c r="AC43" i="13"/>
  <c r="V43" i="13"/>
  <c r="Z43" i="13"/>
  <c r="X44" i="13"/>
  <c r="AB44" i="13"/>
  <c r="AC44" i="13"/>
  <c r="W44" i="13"/>
  <c r="AA44" i="13"/>
  <c r="V44" i="13"/>
  <c r="Z44" i="13"/>
  <c r="U46" i="13"/>
  <c r="AD44" i="13"/>
  <c r="X46" i="13"/>
  <c r="W46" i="13"/>
  <c r="AA46" i="13"/>
  <c r="Z46" i="13"/>
  <c r="V46" i="13"/>
  <c r="X45" i="13"/>
  <c r="AB45" i="13"/>
  <c r="AA45" i="13"/>
  <c r="AC45" i="13"/>
  <c r="W45" i="13"/>
  <c r="V45" i="13"/>
  <c r="Z45" i="13"/>
  <c r="AB46" i="13"/>
  <c r="AC46" i="13"/>
  <c r="AD47" i="13"/>
  <c r="AD46" i="13"/>
  <c r="U48" i="13"/>
  <c r="AD48" i="13"/>
  <c r="X47" i="13"/>
  <c r="AB47" i="13"/>
  <c r="AA47" i="13"/>
  <c r="AC47" i="13"/>
  <c r="V47" i="13"/>
  <c r="Z47" i="13"/>
  <c r="W47" i="13"/>
  <c r="X48" i="13"/>
  <c r="AB48" i="13"/>
  <c r="AC48" i="13"/>
  <c r="W48" i="13"/>
  <c r="AA48" i="13"/>
  <c r="V48" i="13"/>
  <c r="Z48" i="13"/>
  <c r="U53" i="13"/>
  <c r="AB56" i="13"/>
  <c r="U49" i="13"/>
  <c r="U50" i="13"/>
  <c r="X49" i="13"/>
  <c r="AB49" i="13"/>
  <c r="AC49" i="13"/>
  <c r="V49" i="13"/>
  <c r="Z49" i="13"/>
  <c r="W49" i="13"/>
  <c r="AA49" i="13"/>
  <c r="AD49" i="13"/>
  <c r="U54" i="13"/>
  <c r="X50" i="13"/>
  <c r="AB50" i="13"/>
  <c r="AC50" i="13"/>
  <c r="W50" i="13"/>
  <c r="AA50" i="13"/>
  <c r="V50" i="13"/>
  <c r="Z50" i="13"/>
  <c r="AD50" i="13"/>
  <c r="X52" i="13"/>
  <c r="W52" i="13"/>
  <c r="AA52" i="13"/>
  <c r="Z52" i="13"/>
  <c r="V52" i="13"/>
  <c r="X51" i="13"/>
  <c r="AB51" i="13"/>
  <c r="AC51" i="13"/>
  <c r="AA51" i="13"/>
  <c r="V51" i="13"/>
  <c r="Z51" i="13"/>
  <c r="W51" i="13"/>
  <c r="U52" i="13"/>
  <c r="AB52" i="13"/>
  <c r="AC52" i="13"/>
  <c r="AD55" i="13"/>
  <c r="AD52" i="13"/>
  <c r="AD53" i="13"/>
  <c r="U56" i="13"/>
  <c r="X53" i="13"/>
  <c r="AB53" i="13"/>
  <c r="W53" i="13"/>
  <c r="AA53" i="13"/>
  <c r="AC53" i="13"/>
  <c r="V53" i="13"/>
  <c r="Z53" i="13"/>
  <c r="X54" i="13"/>
  <c r="AB54" i="13"/>
  <c r="AC54" i="13"/>
  <c r="W54" i="13"/>
  <c r="AA54" i="13"/>
  <c r="V54" i="13"/>
  <c r="Z54" i="13"/>
  <c r="AD54" i="13"/>
  <c r="U57" i="13"/>
  <c r="X56" i="13"/>
  <c r="W56" i="13"/>
  <c r="V56" i="13"/>
  <c r="AA56" i="13"/>
  <c r="Z56" i="13"/>
  <c r="X55" i="13"/>
  <c r="AB55" i="13"/>
  <c r="W55" i="13"/>
  <c r="AC55" i="13"/>
  <c r="V55" i="13"/>
  <c r="Z55" i="13"/>
  <c r="AA55" i="13"/>
  <c r="AD57" i="13"/>
  <c r="AD56" i="13"/>
  <c r="U58" i="13"/>
  <c r="X57" i="13"/>
  <c r="AB57" i="13"/>
  <c r="W57" i="13"/>
  <c r="AA57" i="13"/>
  <c r="AC57" i="13"/>
  <c r="V57" i="13"/>
  <c r="Z57" i="13"/>
  <c r="AD59" i="13"/>
  <c r="AD58" i="13"/>
  <c r="X58" i="13"/>
  <c r="AB58" i="13"/>
  <c r="AC58" i="13"/>
  <c r="V58" i="13"/>
  <c r="Z58" i="13"/>
  <c r="W58" i="13"/>
  <c r="AA58" i="13"/>
  <c r="X59" i="13"/>
  <c r="AB59" i="13"/>
  <c r="AC59" i="13"/>
  <c r="V59" i="13"/>
  <c r="Z59" i="13"/>
  <c r="W59" i="13"/>
  <c r="AA59" i="13"/>
  <c r="U59" i="13"/>
  <c r="AD60" i="13"/>
  <c r="AB94" i="69"/>
  <c r="AB33" i="69"/>
  <c r="AB125" i="69"/>
  <c r="AB116" i="69"/>
  <c r="AB53" i="69"/>
  <c r="AB117" i="69"/>
  <c r="AB136" i="69"/>
  <c r="AB30" i="69"/>
  <c r="AB46" i="69"/>
  <c r="AB62" i="69"/>
  <c r="AB74" i="69"/>
  <c r="AB82" i="69"/>
  <c r="AB90" i="69"/>
  <c r="AB106" i="69"/>
  <c r="AB122" i="69"/>
  <c r="AB39" i="69"/>
  <c r="AB137" i="69"/>
  <c r="AB49" i="69"/>
  <c r="AB138" i="69"/>
  <c r="AD57" i="69"/>
  <c r="AE57" i="69" s="1"/>
  <c r="AD97" i="69"/>
  <c r="AE97" i="69" s="1"/>
  <c r="AB25" i="69"/>
  <c r="AB129" i="69"/>
  <c r="AB73" i="69"/>
  <c r="AB100" i="69"/>
  <c r="AB121" i="69"/>
  <c r="AB101" i="69"/>
  <c r="AB92" i="69"/>
  <c r="AD67" i="69"/>
  <c r="AE67" i="69" s="1"/>
  <c r="AD83" i="69"/>
  <c r="AE83" i="69" s="1"/>
  <c r="AB120" i="69"/>
  <c r="AB65" i="69"/>
  <c r="AB61" i="69"/>
  <c r="AB93" i="69"/>
  <c r="U63" i="13"/>
  <c r="U60" i="13"/>
  <c r="AB62" i="13"/>
  <c r="U61" i="13"/>
  <c r="AB68" i="13"/>
  <c r="X60" i="13"/>
  <c r="W60" i="13"/>
  <c r="Z60" i="13"/>
  <c r="V60" i="13"/>
  <c r="AA60" i="13"/>
  <c r="AB65" i="13"/>
  <c r="AC60" i="13"/>
  <c r="AB60" i="13"/>
  <c r="X61" i="13"/>
  <c r="W61" i="13"/>
  <c r="V61" i="13"/>
  <c r="AA61" i="13"/>
  <c r="Z61" i="13"/>
  <c r="U62" i="13"/>
  <c r="AC61" i="13"/>
  <c r="AD62" i="13"/>
  <c r="AD61" i="13"/>
  <c r="U64" i="13"/>
  <c r="AB66" i="13"/>
  <c r="U65" i="13"/>
  <c r="X62" i="13"/>
  <c r="W62" i="13"/>
  <c r="Z62" i="13"/>
  <c r="V62" i="13"/>
  <c r="AA62" i="13"/>
  <c r="AB63" i="13"/>
  <c r="X63" i="13"/>
  <c r="W63" i="13"/>
  <c r="Z63" i="13"/>
  <c r="V63" i="13"/>
  <c r="AA63" i="13"/>
  <c r="AD64" i="13"/>
  <c r="AD63" i="13"/>
  <c r="X65" i="13"/>
  <c r="W65" i="13"/>
  <c r="Z65" i="13"/>
  <c r="V65" i="13"/>
  <c r="AA65" i="13"/>
  <c r="X64" i="13"/>
  <c r="AB64" i="13"/>
  <c r="AC64" i="13"/>
  <c r="V64" i="13"/>
  <c r="Z64" i="13"/>
  <c r="W64" i="13"/>
  <c r="AA64" i="13"/>
  <c r="U69" i="13"/>
  <c r="U75" i="13"/>
  <c r="X66" i="13"/>
  <c r="W66" i="13"/>
  <c r="V66" i="13"/>
  <c r="AA66" i="13"/>
  <c r="Z66" i="13"/>
  <c r="AD66" i="13"/>
  <c r="AD65" i="13"/>
  <c r="U68" i="13"/>
  <c r="U67" i="13"/>
  <c r="AB69" i="13"/>
  <c r="U72" i="13"/>
  <c r="X67" i="13"/>
  <c r="W67" i="13"/>
  <c r="Z67" i="13"/>
  <c r="AA67" i="13"/>
  <c r="V67" i="13"/>
  <c r="AD90" i="13"/>
  <c r="AB72" i="13"/>
  <c r="U71" i="13"/>
  <c r="U70" i="13"/>
  <c r="AC67" i="13"/>
  <c r="AD68" i="13"/>
  <c r="AD67" i="13"/>
  <c r="U74" i="13"/>
  <c r="X68" i="13"/>
  <c r="W68" i="13"/>
  <c r="V68" i="13"/>
  <c r="AA68" i="13"/>
  <c r="Z68" i="13"/>
  <c r="X69" i="13"/>
  <c r="W69" i="13"/>
  <c r="V69" i="13"/>
  <c r="AA69" i="13"/>
  <c r="Z69" i="13"/>
  <c r="AD94" i="13"/>
  <c r="AD93" i="13"/>
  <c r="U76" i="13"/>
  <c r="AB71" i="13"/>
  <c r="AD71" i="13"/>
  <c r="AD69" i="13"/>
  <c r="U81" i="13"/>
  <c r="U73" i="13"/>
  <c r="X71" i="13"/>
  <c r="W71" i="13"/>
  <c r="Z71" i="13"/>
  <c r="V71" i="13"/>
  <c r="AA71" i="13"/>
  <c r="X70" i="13"/>
  <c r="AB70" i="13"/>
  <c r="AC70" i="13"/>
  <c r="V70" i="13"/>
  <c r="Z70" i="13"/>
  <c r="W70" i="13"/>
  <c r="AA70" i="13"/>
  <c r="AD70" i="13"/>
  <c r="X72" i="13"/>
  <c r="W72" i="13"/>
  <c r="Z72" i="13"/>
  <c r="V72" i="13"/>
  <c r="AA72" i="13"/>
  <c r="AD74" i="13"/>
  <c r="AD72" i="13"/>
  <c r="AD73" i="13"/>
  <c r="X74" i="13"/>
  <c r="W74" i="13"/>
  <c r="Z74" i="13"/>
  <c r="V74" i="13"/>
  <c r="AA74" i="13"/>
  <c r="X73" i="13"/>
  <c r="AB73" i="13"/>
  <c r="AC73" i="13"/>
  <c r="V73" i="13"/>
  <c r="Z73" i="13"/>
  <c r="W73" i="13"/>
  <c r="AA73" i="13"/>
  <c r="X75" i="13"/>
  <c r="W75" i="13"/>
  <c r="Z75" i="13"/>
  <c r="V75" i="13"/>
  <c r="AA75" i="13"/>
  <c r="U79" i="13"/>
  <c r="U78" i="13"/>
  <c r="AD82" i="13"/>
  <c r="AD76" i="13"/>
  <c r="AD75" i="13"/>
  <c r="AC80" i="13"/>
  <c r="X77" i="13"/>
  <c r="W77" i="13"/>
  <c r="Z77" i="13"/>
  <c r="V77" i="13"/>
  <c r="AA77" i="13"/>
  <c r="X76" i="13"/>
  <c r="AB76" i="13"/>
  <c r="AC76" i="13"/>
  <c r="V76" i="13"/>
  <c r="Z76" i="13"/>
  <c r="W76" i="13"/>
  <c r="AA76" i="13"/>
  <c r="U77" i="13"/>
  <c r="AC77" i="13"/>
  <c r="AD79" i="13"/>
  <c r="AD77" i="13"/>
  <c r="AB81" i="13"/>
  <c r="AD78" i="13"/>
  <c r="X79" i="13"/>
  <c r="W79" i="13"/>
  <c r="Z79" i="13"/>
  <c r="V79" i="13"/>
  <c r="AA79" i="13"/>
  <c r="U80" i="13"/>
  <c r="AC79" i="13"/>
  <c r="X78" i="13"/>
  <c r="AB78" i="13"/>
  <c r="AC78" i="13"/>
  <c r="V78" i="13"/>
  <c r="Z78" i="13"/>
  <c r="W78" i="13"/>
  <c r="AA78" i="13"/>
  <c r="X80" i="13"/>
  <c r="W80" i="13"/>
  <c r="Z80" i="13"/>
  <c r="V80" i="13"/>
  <c r="AA80" i="13"/>
  <c r="AD87" i="13"/>
  <c r="X81" i="13"/>
  <c r="W81" i="13"/>
  <c r="Z81" i="13"/>
  <c r="V81" i="13"/>
  <c r="AA81" i="13"/>
  <c r="AD81" i="13"/>
  <c r="AD80" i="13"/>
  <c r="AD92" i="13"/>
  <c r="AD88" i="13"/>
  <c r="AD91" i="13"/>
  <c r="AD84" i="13"/>
  <c r="AT6" i="65" a="1"/>
  <c r="AT6" i="65" s="1"/>
  <c r="AD85" i="13"/>
  <c r="AD86" i="13"/>
  <c r="AD89" i="13"/>
  <c r="U82" i="13"/>
  <c r="U84" i="13"/>
  <c r="AB82" i="13"/>
  <c r="AD83" i="13"/>
  <c r="U83" i="13"/>
  <c r="U86" i="13"/>
  <c r="AB86" i="13"/>
  <c r="AB83" i="13"/>
  <c r="U92" i="13"/>
  <c r="X82" i="13"/>
  <c r="W82" i="13"/>
  <c r="Z82" i="13"/>
  <c r="V82" i="13"/>
  <c r="AA82" i="13"/>
  <c r="AC93" i="13"/>
  <c r="AB84" i="13"/>
  <c r="X83" i="13"/>
  <c r="W83" i="13"/>
  <c r="Z83" i="13"/>
  <c r="V83" i="13"/>
  <c r="AA83" i="13"/>
  <c r="U89" i="13"/>
  <c r="U85" i="13"/>
  <c r="X84" i="13"/>
  <c r="W84" i="13"/>
  <c r="Z84" i="13"/>
  <c r="V84" i="13"/>
  <c r="AA84" i="13"/>
  <c r="U91" i="13"/>
  <c r="AB90" i="13"/>
  <c r="X86" i="13"/>
  <c r="W86" i="13"/>
  <c r="V86" i="13"/>
  <c r="AA86" i="13"/>
  <c r="Z86" i="13"/>
  <c r="X85" i="13"/>
  <c r="AB85" i="13"/>
  <c r="AC85" i="13"/>
  <c r="W85" i="13"/>
  <c r="AA85" i="13"/>
  <c r="V85" i="13"/>
  <c r="Z85" i="13"/>
  <c r="U90" i="13"/>
  <c r="U88" i="13"/>
  <c r="U87" i="13"/>
  <c r="X88" i="13"/>
  <c r="W88" i="13"/>
  <c r="V88" i="13"/>
  <c r="Z88" i="13"/>
  <c r="AA88" i="13"/>
  <c r="AC88" i="13"/>
  <c r="X87" i="13"/>
  <c r="AB87" i="13"/>
  <c r="AC87" i="13"/>
  <c r="AA87" i="13"/>
  <c r="V87" i="13"/>
  <c r="Z87" i="13"/>
  <c r="W87" i="13"/>
  <c r="U93" i="13"/>
  <c r="AB89" i="13"/>
  <c r="AB91" i="13"/>
  <c r="X89" i="13"/>
  <c r="W89" i="13"/>
  <c r="Z89" i="13"/>
  <c r="V89" i="13"/>
  <c r="AA89" i="13"/>
  <c r="AB92" i="13"/>
  <c r="X90" i="13"/>
  <c r="W90" i="13"/>
  <c r="Z90" i="13"/>
  <c r="V90" i="13"/>
  <c r="AA90" i="13"/>
  <c r="X91" i="13"/>
  <c r="W91" i="13"/>
  <c r="Z91" i="13"/>
  <c r="V91" i="13"/>
  <c r="AA91" i="13"/>
  <c r="X92" i="13"/>
  <c r="W92" i="13"/>
  <c r="Z92" i="13"/>
  <c r="V92" i="13"/>
  <c r="AA92" i="13"/>
  <c r="X93" i="13"/>
  <c r="W93" i="13"/>
  <c r="Z93" i="13"/>
  <c r="V93" i="13"/>
  <c r="AA93" i="13"/>
  <c r="S45" i="66"/>
  <c r="S30" i="66" s="1"/>
  <c r="P30" i="66"/>
  <c r="R30" i="66" s="1"/>
  <c r="S42" i="66"/>
  <c r="S27" i="66" s="1"/>
  <c r="P27" i="66"/>
  <c r="R27" i="66" s="1"/>
  <c r="S43" i="66"/>
  <c r="S28" i="66" s="1"/>
  <c r="P28" i="66"/>
  <c r="R28" i="66" s="1"/>
  <c r="S44" i="66"/>
  <c r="S29" i="66" s="1"/>
  <c r="P29" i="66"/>
  <c r="R29" i="66" s="1"/>
  <c r="S40" i="66"/>
  <c r="S25" i="66" s="1"/>
  <c r="P25" i="66"/>
  <c r="R25" i="66" s="1"/>
  <c r="S41" i="66"/>
  <c r="S26" i="66" s="1"/>
  <c r="P26" i="66"/>
  <c r="R26" i="66" s="1"/>
  <c r="S39" i="66"/>
  <c r="S24" i="66" s="1"/>
  <c r="P24" i="66"/>
  <c r="R24" i="66" s="1"/>
  <c r="U102" i="13"/>
  <c r="U96" i="13"/>
  <c r="U95" i="13"/>
  <c r="U94" i="13"/>
  <c r="AC165" i="13"/>
  <c r="AD96" i="13"/>
  <c r="AD95" i="13"/>
  <c r="X94" i="13"/>
  <c r="AB94" i="13"/>
  <c r="AA94" i="13"/>
  <c r="AC94" i="13"/>
  <c r="W94" i="13"/>
  <c r="V94" i="13"/>
  <c r="Z94" i="13"/>
  <c r="X95" i="13"/>
  <c r="AB95" i="13"/>
  <c r="AC95" i="13"/>
  <c r="V95" i="13"/>
  <c r="Z95" i="13"/>
  <c r="W95" i="13"/>
  <c r="AA95" i="13"/>
  <c r="U99" i="13"/>
  <c r="U97" i="13"/>
  <c r="AB166" i="13"/>
  <c r="U98" i="13"/>
  <c r="X96" i="13"/>
  <c r="AB96" i="13"/>
  <c r="AC96" i="13"/>
  <c r="W96" i="13"/>
  <c r="V96" i="13"/>
  <c r="Z96" i="13"/>
  <c r="AA96" i="13"/>
  <c r="X97" i="13"/>
  <c r="AB97" i="13"/>
  <c r="AA97" i="13"/>
  <c r="AC97" i="13"/>
  <c r="W97" i="13"/>
  <c r="V97" i="13"/>
  <c r="Z97" i="13"/>
  <c r="AD98" i="13"/>
  <c r="AD97" i="13"/>
  <c r="U101" i="13"/>
  <c r="X98" i="13"/>
  <c r="AB98" i="13"/>
  <c r="AC98" i="13"/>
  <c r="AA98" i="13"/>
  <c r="V98" i="13"/>
  <c r="Z98" i="13"/>
  <c r="W98" i="13"/>
  <c r="AD103" i="13"/>
  <c r="AB102" i="13"/>
  <c r="AD100" i="13"/>
  <c r="U100" i="13"/>
  <c r="X99" i="13"/>
  <c r="AB99" i="13"/>
  <c r="AC99" i="13"/>
  <c r="AA99" i="13"/>
  <c r="V99" i="13"/>
  <c r="Z99" i="13"/>
  <c r="W99" i="13"/>
  <c r="AD99" i="13"/>
  <c r="AB101" i="13"/>
  <c r="X100" i="13"/>
  <c r="AB100" i="13"/>
  <c r="W100" i="13"/>
  <c r="AC100" i="13"/>
  <c r="V100" i="13"/>
  <c r="Z100" i="13"/>
  <c r="AA100" i="13"/>
  <c r="X101" i="13"/>
  <c r="W101" i="13"/>
  <c r="Z101" i="13"/>
  <c r="V101" i="13"/>
  <c r="AA101" i="13"/>
  <c r="U103" i="13"/>
  <c r="U163" i="13"/>
  <c r="X102" i="13"/>
  <c r="W102" i="13"/>
  <c r="Z102" i="13"/>
  <c r="V102" i="13"/>
  <c r="AA102" i="13"/>
  <c r="AD102" i="13"/>
  <c r="AD101" i="13"/>
  <c r="AD124" i="13"/>
  <c r="U105" i="13"/>
  <c r="AD105" i="13"/>
  <c r="X103" i="13"/>
  <c r="AB103" i="13"/>
  <c r="W103" i="13"/>
  <c r="AC103" i="13"/>
  <c r="V103" i="13"/>
  <c r="Z103" i="13"/>
  <c r="AA103" i="13"/>
  <c r="U106" i="13"/>
  <c r="X104" i="13"/>
  <c r="AB104" i="13"/>
  <c r="AC104" i="13"/>
  <c r="V104" i="13"/>
  <c r="Z104" i="13"/>
  <c r="W104" i="13"/>
  <c r="AA104" i="13"/>
  <c r="AD104" i="13"/>
  <c r="AD109" i="13"/>
  <c r="X105" i="13"/>
  <c r="AB105" i="13"/>
  <c r="AC105" i="13"/>
  <c r="W105" i="13"/>
  <c r="V105" i="13"/>
  <c r="Z105" i="13"/>
  <c r="AA105" i="13"/>
  <c r="AD106" i="13"/>
  <c r="AD107" i="13"/>
  <c r="X106" i="13"/>
  <c r="AB106" i="13"/>
  <c r="W106" i="13"/>
  <c r="AC106" i="13"/>
  <c r="AA106" i="13"/>
  <c r="V106" i="13"/>
  <c r="Z106" i="13"/>
  <c r="U109" i="13"/>
  <c r="X107" i="13"/>
  <c r="AB107" i="13"/>
  <c r="W107" i="13"/>
  <c r="AC107" i="13"/>
  <c r="V107" i="13"/>
  <c r="Z107" i="13"/>
  <c r="AA107" i="13"/>
  <c r="AD111" i="13"/>
  <c r="X108" i="13"/>
  <c r="AB108" i="13"/>
  <c r="AC108" i="13"/>
  <c r="AA108" i="13"/>
  <c r="V108" i="13"/>
  <c r="Z108" i="13"/>
  <c r="W108" i="13"/>
  <c r="AD108" i="13"/>
  <c r="U111" i="13"/>
  <c r="X109" i="13"/>
  <c r="AB109" i="13"/>
  <c r="AC109" i="13"/>
  <c r="AA109" i="13"/>
  <c r="V109" i="13"/>
  <c r="Z109" i="13"/>
  <c r="W109" i="13"/>
  <c r="U112" i="13"/>
  <c r="X110" i="13"/>
  <c r="AB110" i="13"/>
  <c r="AC110" i="13"/>
  <c r="W110" i="13"/>
  <c r="V110" i="13"/>
  <c r="Z110" i="13"/>
  <c r="AA110" i="13"/>
  <c r="AD110" i="13"/>
  <c r="U113" i="13"/>
  <c r="X111" i="13"/>
  <c r="AB111" i="13"/>
  <c r="AA111" i="13"/>
  <c r="AC111" i="13"/>
  <c r="W111" i="13"/>
  <c r="V111" i="13"/>
  <c r="Z111" i="13"/>
  <c r="AD114" i="13"/>
  <c r="AD116" i="13"/>
  <c r="X112" i="13"/>
  <c r="AB112" i="13"/>
  <c r="AA112" i="13"/>
  <c r="AC112" i="13"/>
  <c r="V112" i="13"/>
  <c r="Z112" i="13"/>
  <c r="W112" i="13"/>
  <c r="AD113" i="13"/>
  <c r="AD112" i="13"/>
  <c r="U115" i="13"/>
  <c r="AD119" i="13"/>
  <c r="X113" i="13"/>
  <c r="AB113" i="13"/>
  <c r="AC113" i="13"/>
  <c r="W113" i="13"/>
  <c r="V113" i="13"/>
  <c r="Z113" i="13"/>
  <c r="AA113" i="13"/>
  <c r="X114" i="13"/>
  <c r="AB114" i="13"/>
  <c r="W114" i="13"/>
  <c r="AC114" i="13"/>
  <c r="AA114" i="13"/>
  <c r="V114" i="13"/>
  <c r="Z114" i="13"/>
  <c r="AD118" i="13"/>
  <c r="AD115" i="13"/>
  <c r="X115" i="13"/>
  <c r="AB115" i="13"/>
  <c r="AC115" i="13"/>
  <c r="W115" i="13"/>
  <c r="V115" i="13"/>
  <c r="Z115" i="13"/>
  <c r="AA115" i="13"/>
  <c r="AD125" i="13"/>
  <c r="AD121" i="13"/>
  <c r="U120" i="13"/>
  <c r="AD117" i="13"/>
  <c r="BC6" i="65" a="1"/>
  <c r="BC6" i="65" s="1"/>
  <c r="AB119" i="13"/>
  <c r="AD122" i="13"/>
  <c r="AD126" i="13"/>
  <c r="U121" i="13"/>
  <c r="AD123" i="13"/>
  <c r="AD120" i="13"/>
  <c r="U119" i="13"/>
  <c r="U117" i="13"/>
  <c r="U118" i="13"/>
  <c r="X116" i="13"/>
  <c r="AB116" i="13"/>
  <c r="AC116" i="13"/>
  <c r="W116" i="13"/>
  <c r="AA116" i="13"/>
  <c r="V116" i="13"/>
  <c r="Z116" i="13"/>
  <c r="AB120" i="13"/>
  <c r="AB121" i="13"/>
  <c r="X117" i="13"/>
  <c r="AB117" i="13"/>
  <c r="W117" i="13"/>
  <c r="AC117" i="13"/>
  <c r="V117" i="13"/>
  <c r="Z117" i="13"/>
  <c r="AA117" i="13"/>
  <c r="X118" i="13"/>
  <c r="AB118" i="13"/>
  <c r="AC118" i="13"/>
  <c r="AA118" i="13"/>
  <c r="V118" i="13"/>
  <c r="Z118" i="13"/>
  <c r="W118" i="13"/>
  <c r="U122" i="13"/>
  <c r="X119" i="13"/>
  <c r="W119" i="13"/>
  <c r="AA119" i="13"/>
  <c r="Z119" i="13"/>
  <c r="V119" i="13"/>
  <c r="X120" i="13"/>
  <c r="W120" i="13"/>
  <c r="V120" i="13"/>
  <c r="AA120" i="13"/>
  <c r="Z120" i="13"/>
  <c r="X121" i="13"/>
  <c r="W121" i="13"/>
  <c r="AA121" i="13"/>
  <c r="Z121" i="13"/>
  <c r="V121" i="13"/>
  <c r="U123" i="13"/>
  <c r="U125" i="13"/>
  <c r="X122" i="13"/>
  <c r="AB122" i="13"/>
  <c r="AC122" i="13"/>
  <c r="V122" i="13"/>
  <c r="Z122" i="13"/>
  <c r="W122" i="13"/>
  <c r="AA122" i="13"/>
  <c r="U124" i="13"/>
  <c r="X123" i="13"/>
  <c r="AB123" i="13"/>
  <c r="AC123" i="13"/>
  <c r="W123" i="13"/>
  <c r="V123" i="13"/>
  <c r="Z123" i="13"/>
  <c r="AA123" i="13"/>
  <c r="U126" i="13"/>
  <c r="X124" i="13"/>
  <c r="AB124" i="13"/>
  <c r="AC124" i="13"/>
  <c r="AA124" i="13"/>
  <c r="V124" i="13"/>
  <c r="Z124" i="13"/>
  <c r="W124" i="13"/>
  <c r="X125" i="13"/>
  <c r="AB125" i="13"/>
  <c r="AC125" i="13"/>
  <c r="W125" i="13"/>
  <c r="V125" i="13"/>
  <c r="Z125" i="13"/>
  <c r="AA125" i="13"/>
  <c r="X126" i="13"/>
  <c r="AB126" i="13"/>
  <c r="W126" i="13"/>
  <c r="AC126" i="13"/>
  <c r="AA126" i="13"/>
  <c r="V126" i="13"/>
  <c r="Z126" i="13"/>
  <c r="U160" i="13"/>
  <c r="K6" i="65"/>
  <c r="AD129" i="13"/>
  <c r="X127" i="13"/>
  <c r="AB127" i="13"/>
  <c r="AC127" i="13"/>
  <c r="V127" i="13"/>
  <c r="Z127" i="13"/>
  <c r="W127" i="13"/>
  <c r="AA127" i="13"/>
  <c r="AD127" i="13"/>
  <c r="U127" i="13"/>
  <c r="AD128" i="13"/>
  <c r="U128" i="13"/>
  <c r="X128" i="13"/>
  <c r="AB128" i="13"/>
  <c r="AC128" i="13"/>
  <c r="V128" i="13"/>
  <c r="Z128" i="13"/>
  <c r="W128" i="13"/>
  <c r="AA128" i="13"/>
  <c r="X129" i="13"/>
  <c r="AB129" i="13"/>
  <c r="AC129" i="13"/>
  <c r="V129" i="13"/>
  <c r="Z129" i="13"/>
  <c r="W129" i="13"/>
  <c r="AA129" i="13"/>
  <c r="U129" i="13"/>
  <c r="U130" i="13"/>
  <c r="AD132" i="13"/>
  <c r="X130" i="13"/>
  <c r="AB130" i="13"/>
  <c r="AC130" i="13"/>
  <c r="V130" i="13"/>
  <c r="Z130" i="13"/>
  <c r="W130" i="13"/>
  <c r="AA130" i="13"/>
  <c r="AD130" i="13"/>
  <c r="X131" i="13"/>
  <c r="AB131" i="13"/>
  <c r="AC131" i="13"/>
  <c r="V131" i="13"/>
  <c r="Z131" i="13"/>
  <c r="W131" i="13"/>
  <c r="AA131" i="13"/>
  <c r="AD131" i="13"/>
  <c r="AC160" i="13"/>
  <c r="X132" i="13"/>
  <c r="AB132" i="13"/>
  <c r="AC132" i="13"/>
  <c r="V132" i="13"/>
  <c r="Z132" i="13"/>
  <c r="W132" i="13"/>
  <c r="AA132" i="13"/>
  <c r="U132" i="13"/>
  <c r="AA140" i="13"/>
  <c r="AD135" i="13"/>
  <c r="X133" i="13"/>
  <c r="AB133" i="13"/>
  <c r="AC133" i="13"/>
  <c r="V133" i="13"/>
  <c r="Z133" i="13"/>
  <c r="W133" i="13"/>
  <c r="AA133" i="13"/>
  <c r="AD133" i="13"/>
  <c r="U133" i="13"/>
  <c r="AD149" i="13"/>
  <c r="AD134" i="13"/>
  <c r="U134" i="13"/>
  <c r="X134" i="13"/>
  <c r="AB134" i="13"/>
  <c r="AC134" i="13"/>
  <c r="V134" i="13"/>
  <c r="Z134" i="13"/>
  <c r="W134" i="13"/>
  <c r="AA134" i="13"/>
  <c r="AD137" i="13"/>
  <c r="U135" i="13"/>
  <c r="X135" i="13"/>
  <c r="AB135" i="13"/>
  <c r="AC135" i="13"/>
  <c r="V135" i="13"/>
  <c r="Z135" i="13"/>
  <c r="W135" i="13"/>
  <c r="AA135" i="13"/>
  <c r="U136" i="13"/>
  <c r="X136" i="13"/>
  <c r="AB136" i="13"/>
  <c r="AC136" i="13"/>
  <c r="V136" i="13"/>
  <c r="Z136" i="13"/>
  <c r="W136" i="13"/>
  <c r="AA136" i="13"/>
  <c r="AD136" i="13"/>
  <c r="X137" i="13"/>
  <c r="AB137" i="13"/>
  <c r="AC137" i="13"/>
  <c r="V137" i="13"/>
  <c r="Z137" i="13"/>
  <c r="W137" i="13"/>
  <c r="AA137" i="13"/>
  <c r="M6" i="65"/>
  <c r="AD139" i="13"/>
  <c r="AD138" i="13"/>
  <c r="U144" i="13"/>
  <c r="U138" i="13"/>
  <c r="X138" i="13"/>
  <c r="AB138" i="13"/>
  <c r="AC138" i="13"/>
  <c r="V138" i="13"/>
  <c r="Z138" i="13"/>
  <c r="W138" i="13"/>
  <c r="AA138" i="13"/>
  <c r="X140" i="13"/>
  <c r="Z140" i="13"/>
  <c r="V140" i="13"/>
  <c r="AB140" i="13"/>
  <c r="AC140" i="13"/>
  <c r="U140" i="13"/>
  <c r="X139" i="13"/>
  <c r="AB139" i="13"/>
  <c r="AC139" i="13"/>
  <c r="V139" i="13"/>
  <c r="Z139" i="13"/>
  <c r="W139" i="13"/>
  <c r="AA139" i="13"/>
  <c r="U139" i="13"/>
  <c r="AD141" i="13"/>
  <c r="AD140" i="13"/>
  <c r="AC144" i="13"/>
  <c r="X141" i="13"/>
  <c r="AB141" i="13"/>
  <c r="AC141" i="13"/>
  <c r="V141" i="13"/>
  <c r="Z141" i="13"/>
  <c r="W141" i="13"/>
  <c r="AA141" i="13"/>
  <c r="AD142" i="13"/>
  <c r="U142" i="13"/>
  <c r="AD143" i="13"/>
  <c r="X142" i="13"/>
  <c r="AB142" i="13"/>
  <c r="AC142" i="13"/>
  <c r="V142" i="13"/>
  <c r="Z142" i="13"/>
  <c r="W142" i="13"/>
  <c r="AA142" i="13"/>
  <c r="AD148" i="13"/>
  <c r="U143" i="13"/>
  <c r="X144" i="13"/>
  <c r="W144" i="13"/>
  <c r="Z144" i="13"/>
  <c r="V144" i="13"/>
  <c r="AA144" i="13"/>
  <c r="X143" i="13"/>
  <c r="AB143" i="13"/>
  <c r="AC143" i="13"/>
  <c r="V143" i="13"/>
  <c r="Z143" i="13"/>
  <c r="W143" i="13"/>
  <c r="AA143" i="13"/>
  <c r="AD145" i="13"/>
  <c r="AD144" i="13"/>
  <c r="AD146" i="13"/>
  <c r="U145" i="13"/>
  <c r="X145" i="13"/>
  <c r="AB145" i="13"/>
  <c r="AC145" i="13"/>
  <c r="V145" i="13"/>
  <c r="Z145" i="13"/>
  <c r="W145" i="13"/>
  <c r="AA145" i="13"/>
  <c r="X146" i="13"/>
  <c r="AB146" i="13"/>
  <c r="AC146" i="13"/>
  <c r="V146" i="13"/>
  <c r="Z146" i="13"/>
  <c r="W146" i="13"/>
  <c r="AA146" i="13"/>
  <c r="U146" i="13"/>
  <c r="AD147" i="13"/>
  <c r="U147" i="13"/>
  <c r="X147" i="13"/>
  <c r="AB147" i="13"/>
  <c r="AC147" i="13"/>
  <c r="V147" i="13"/>
  <c r="Z147" i="13"/>
  <c r="W147" i="13"/>
  <c r="AA147" i="13"/>
  <c r="X148" i="13"/>
  <c r="AB148" i="13"/>
  <c r="AC148" i="13"/>
  <c r="V148" i="13"/>
  <c r="Z148" i="13"/>
  <c r="W148" i="13"/>
  <c r="AA148" i="13"/>
  <c r="U149" i="13"/>
  <c r="U151" i="13"/>
  <c r="U156" i="13"/>
  <c r="AB150" i="13"/>
  <c r="U152" i="13"/>
  <c r="AB149" i="13"/>
  <c r="X149" i="13"/>
  <c r="W149" i="13"/>
  <c r="Z149" i="13"/>
  <c r="V149" i="13"/>
  <c r="AA149" i="13"/>
  <c r="U153" i="13"/>
  <c r="X150" i="13"/>
  <c r="W150" i="13"/>
  <c r="AA150" i="13"/>
  <c r="Z150" i="13"/>
  <c r="V150" i="13"/>
  <c r="AD153" i="13"/>
  <c r="AD150" i="13"/>
  <c r="AD151" i="13"/>
  <c r="X151" i="13"/>
  <c r="AB151" i="13"/>
  <c r="AC151" i="13"/>
  <c r="AA151" i="13"/>
  <c r="V151" i="13"/>
  <c r="Z151" i="13"/>
  <c r="W151" i="13"/>
  <c r="X152" i="13"/>
  <c r="AB152" i="13"/>
  <c r="AC152" i="13"/>
  <c r="W152" i="13"/>
  <c r="V152" i="13"/>
  <c r="Z152" i="13"/>
  <c r="AA152" i="13"/>
  <c r="AD152" i="13"/>
  <c r="AA169" i="13"/>
  <c r="X154" i="13"/>
  <c r="W154" i="13"/>
  <c r="V154" i="13"/>
  <c r="Z154" i="13"/>
  <c r="AA154" i="13"/>
  <c r="X153" i="13"/>
  <c r="AB153" i="13"/>
  <c r="AC153" i="13"/>
  <c r="AA153" i="13"/>
  <c r="V153" i="13"/>
  <c r="Z153" i="13"/>
  <c r="W153" i="13"/>
  <c r="AD155" i="13"/>
  <c r="AD154" i="13"/>
  <c r="X156" i="13"/>
  <c r="W156" i="13"/>
  <c r="V156" i="13"/>
  <c r="AA156" i="13"/>
  <c r="Z156" i="13"/>
  <c r="X155" i="13"/>
  <c r="AB155" i="13"/>
  <c r="W155" i="13"/>
  <c r="AC155" i="13"/>
  <c r="V155" i="13"/>
  <c r="Z155" i="13"/>
  <c r="AA155" i="13"/>
  <c r="AB156" i="13"/>
  <c r="AD157" i="13"/>
  <c r="AD156" i="13"/>
  <c r="X158" i="13"/>
  <c r="W158" i="13"/>
  <c r="V158" i="13"/>
  <c r="AA158" i="13"/>
  <c r="Z158" i="13"/>
  <c r="U159" i="13"/>
  <c r="AB158" i="13"/>
  <c r="X157" i="13"/>
  <c r="AB157" i="13"/>
  <c r="AC157" i="13"/>
  <c r="AA157" i="13"/>
  <c r="V157" i="13"/>
  <c r="Z157" i="13"/>
  <c r="W157" i="13"/>
  <c r="X159" i="13"/>
  <c r="W159" i="13"/>
  <c r="AA159" i="13"/>
  <c r="V159" i="13"/>
  <c r="Z159" i="13"/>
  <c r="AB159" i="13"/>
  <c r="AC159" i="13"/>
  <c r="AD159" i="13"/>
  <c r="AD158" i="13"/>
  <c r="U162" i="13"/>
  <c r="X162" i="13"/>
  <c r="X160" i="13"/>
  <c r="AC162" i="13"/>
  <c r="U161" i="13"/>
  <c r="W160" i="13"/>
  <c r="AA160" i="13"/>
  <c r="V160" i="13"/>
  <c r="Z160" i="13"/>
  <c r="AD161" i="13"/>
  <c r="AD160" i="13"/>
  <c r="V161" i="13"/>
  <c r="Z161" i="13"/>
  <c r="W161" i="13"/>
  <c r="AA161" i="13"/>
  <c r="X161" i="13"/>
  <c r="AB161" i="13"/>
  <c r="AC161" i="13"/>
  <c r="W162" i="13"/>
  <c r="Z162" i="13"/>
  <c r="AA162" i="13"/>
  <c r="V162" i="13"/>
  <c r="AD162" i="13"/>
  <c r="AC167" i="13"/>
  <c r="AD164" i="13"/>
  <c r="V163" i="13"/>
  <c r="Z163" i="13"/>
  <c r="W163" i="13"/>
  <c r="AA163" i="13"/>
  <c r="X163" i="13"/>
  <c r="AB163" i="13"/>
  <c r="AC163" i="13"/>
  <c r="AD163" i="13"/>
  <c r="V164" i="13"/>
  <c r="Z164" i="13"/>
  <c r="AC164" i="13"/>
  <c r="W164" i="13"/>
  <c r="AA164" i="13"/>
  <c r="X164" i="13"/>
  <c r="AB164" i="13"/>
  <c r="W165" i="13"/>
  <c r="X165" i="13"/>
  <c r="V165" i="13"/>
  <c r="AB165" i="13"/>
  <c r="Z165" i="13"/>
  <c r="AD166" i="13"/>
  <c r="AD165" i="13"/>
  <c r="X166" i="13"/>
  <c r="W166" i="13"/>
  <c r="Z166" i="13"/>
  <c r="V166" i="13"/>
  <c r="AA166" i="13"/>
  <c r="W167" i="13"/>
  <c r="X167" i="13"/>
  <c r="Z167" i="13"/>
  <c r="V167" i="13"/>
  <c r="AB167" i="13"/>
  <c r="AD168" i="13"/>
  <c r="AD167" i="13"/>
  <c r="W169" i="13"/>
  <c r="X169" i="13"/>
  <c r="Z169" i="13"/>
  <c r="V169" i="13"/>
  <c r="AB169" i="13"/>
  <c r="V168" i="13"/>
  <c r="Z168" i="13"/>
  <c r="W168" i="13"/>
  <c r="AA168" i="13"/>
  <c r="X168" i="13"/>
  <c r="AB168" i="13"/>
  <c r="AC168" i="13"/>
  <c r="AD170" i="13"/>
  <c r="AD169" i="13"/>
  <c r="V170" i="13"/>
  <c r="Z170" i="13"/>
  <c r="W170" i="13"/>
  <c r="AA170" i="13"/>
  <c r="X170" i="13"/>
  <c r="AB170" i="13"/>
  <c r="AC170" i="13"/>
  <c r="V171" i="13"/>
  <c r="Z171" i="13"/>
  <c r="W171" i="13"/>
  <c r="AA171" i="13"/>
  <c r="X171" i="13"/>
  <c r="AB171" i="13"/>
  <c r="AC171" i="13"/>
  <c r="AD172" i="13"/>
  <c r="AD171" i="13"/>
  <c r="V172" i="13"/>
  <c r="Z172" i="13"/>
  <c r="W172" i="13"/>
  <c r="AA172" i="13"/>
  <c r="X172" i="13"/>
  <c r="AB172" i="13"/>
  <c r="AC172" i="13"/>
  <c r="V173" i="13"/>
  <c r="Z173" i="13"/>
  <c r="W173" i="13"/>
  <c r="AA173" i="13"/>
  <c r="AC173" i="13"/>
  <c r="X173" i="13"/>
  <c r="AB173" i="13"/>
  <c r="AD174" i="13"/>
  <c r="AD173" i="13"/>
  <c r="V174" i="13"/>
  <c r="Z174" i="13"/>
  <c r="W174" i="13"/>
  <c r="AA174" i="13"/>
  <c r="X174" i="13"/>
  <c r="AB174" i="13"/>
  <c r="AC174" i="13"/>
  <c r="V175" i="13"/>
  <c r="Z175" i="13"/>
  <c r="AC175" i="13"/>
  <c r="W175" i="13"/>
  <c r="AA175" i="13"/>
  <c r="X175" i="13"/>
  <c r="AB175" i="13"/>
  <c r="AD176" i="13"/>
  <c r="AD175" i="13"/>
  <c r="V176" i="13"/>
  <c r="Z176" i="13"/>
  <c r="W176" i="13"/>
  <c r="AA176" i="13"/>
  <c r="AC176" i="13"/>
  <c r="X176" i="13"/>
  <c r="AB176" i="13"/>
  <c r="V177" i="13"/>
  <c r="Z177" i="13"/>
  <c r="W177" i="13"/>
  <c r="AA177" i="13"/>
  <c r="X177" i="13"/>
  <c r="AB177" i="13"/>
  <c r="AC177" i="13"/>
  <c r="AD178" i="13"/>
  <c r="AD177" i="13"/>
  <c r="V178" i="13"/>
  <c r="Z178" i="13"/>
  <c r="W178" i="13"/>
  <c r="AA178" i="13"/>
  <c r="X178" i="13"/>
  <c r="AB178" i="13"/>
  <c r="AC178" i="13"/>
  <c r="V179" i="13"/>
  <c r="Z179" i="13"/>
  <c r="AC179" i="13"/>
  <c r="W179" i="13"/>
  <c r="AA179" i="13"/>
  <c r="X179" i="13"/>
  <c r="AB179" i="13"/>
  <c r="AD181" i="13"/>
  <c r="AD179" i="13"/>
  <c r="V180" i="13"/>
  <c r="Z180" i="13"/>
  <c r="W180" i="13"/>
  <c r="AA180" i="13"/>
  <c r="AC180" i="13"/>
  <c r="X180" i="13"/>
  <c r="AB180" i="13"/>
  <c r="AD180" i="13"/>
  <c r="V181" i="13"/>
  <c r="Z181" i="13"/>
  <c r="W181" i="13"/>
  <c r="AA181" i="13"/>
  <c r="X181" i="13"/>
  <c r="AB181" i="13"/>
  <c r="AC181" i="13"/>
  <c r="G31" i="67"/>
  <c r="S16" i="66"/>
  <c r="S11" i="66"/>
  <c r="S10" i="66"/>
  <c r="R10" i="66"/>
  <c r="R12" i="66"/>
  <c r="R15" i="66"/>
  <c r="R11" i="66"/>
  <c r="S19" i="66"/>
  <c r="G39" i="66"/>
  <c r="R13" i="66"/>
  <c r="R17" i="66"/>
  <c r="R14" i="66"/>
  <c r="R18" i="66"/>
  <c r="J8" i="65"/>
  <c r="J9" i="65"/>
  <c r="M8" i="65"/>
  <c r="M9" i="65"/>
  <c r="N55" i="59"/>
  <c r="N53" i="59"/>
  <c r="N54" i="59"/>
  <c r="N56" i="59"/>
  <c r="N57" i="59"/>
  <c r="M53" i="59"/>
  <c r="O53" i="59" s="1"/>
  <c r="M54" i="59"/>
  <c r="O54" i="59" s="1"/>
  <c r="M57" i="59"/>
  <c r="O57" i="59" s="1"/>
  <c r="W6" i="12"/>
  <c r="X6" i="12"/>
  <c r="Y6" i="12"/>
  <c r="Z6" i="12"/>
  <c r="AA6" i="12"/>
  <c r="AB6" i="12"/>
  <c r="AC6" i="12"/>
  <c r="AD6" i="12"/>
  <c r="W7" i="12"/>
  <c r="X7" i="12"/>
  <c r="Y7" i="12"/>
  <c r="Z7" i="12"/>
  <c r="AA7" i="12"/>
  <c r="AB7" i="12"/>
  <c r="AC7" i="12"/>
  <c r="AD7" i="12"/>
  <c r="W8" i="12"/>
  <c r="X8" i="12"/>
  <c r="Y8" i="12"/>
  <c r="Z8" i="12"/>
  <c r="AA8" i="12"/>
  <c r="AB8" i="12"/>
  <c r="AC8" i="12"/>
  <c r="AD8" i="12"/>
  <c r="W9" i="12"/>
  <c r="X9" i="12"/>
  <c r="Y9" i="12"/>
  <c r="Z9" i="12"/>
  <c r="AA9" i="12"/>
  <c r="AB9" i="12"/>
  <c r="AC9" i="12"/>
  <c r="AD9" i="12"/>
  <c r="W10" i="12"/>
  <c r="X10" i="12"/>
  <c r="Y10" i="12"/>
  <c r="Z10" i="12"/>
  <c r="AA10" i="12"/>
  <c r="AB10" i="12"/>
  <c r="AC10" i="12"/>
  <c r="AD10" i="12"/>
  <c r="W11" i="12"/>
  <c r="X11" i="12"/>
  <c r="Y11" i="12"/>
  <c r="Z11" i="12"/>
  <c r="AA11" i="12"/>
  <c r="AB11" i="12"/>
  <c r="AC11" i="12"/>
  <c r="AD11" i="12"/>
  <c r="W12" i="12"/>
  <c r="X12" i="12"/>
  <c r="Y12" i="12"/>
  <c r="Z12" i="12"/>
  <c r="AA12" i="12"/>
  <c r="AB12" i="12"/>
  <c r="AC12" i="12"/>
  <c r="AD12" i="12"/>
  <c r="W13" i="12"/>
  <c r="X13" i="12"/>
  <c r="Y13" i="12"/>
  <c r="Z13" i="12"/>
  <c r="AA13" i="12"/>
  <c r="AB13" i="12"/>
  <c r="AC13" i="12"/>
  <c r="AD13" i="12"/>
  <c r="W14" i="12"/>
  <c r="X14" i="12"/>
  <c r="Y14" i="12"/>
  <c r="Z14" i="12"/>
  <c r="AA14" i="12"/>
  <c r="AB14" i="12"/>
  <c r="AC14" i="12"/>
  <c r="AD14" i="12"/>
  <c r="W15" i="12"/>
  <c r="X15" i="12"/>
  <c r="Y15" i="12"/>
  <c r="Z15" i="12"/>
  <c r="AA15" i="12"/>
  <c r="AB15" i="12"/>
  <c r="AC15" i="12"/>
  <c r="AD15" i="12"/>
  <c r="W16" i="12"/>
  <c r="X16" i="12"/>
  <c r="Y16" i="12"/>
  <c r="Z16" i="12"/>
  <c r="AA16" i="12"/>
  <c r="AB16" i="12"/>
  <c r="AC16" i="12"/>
  <c r="AD16" i="12"/>
  <c r="W17" i="12"/>
  <c r="X17" i="12"/>
  <c r="Y17" i="12"/>
  <c r="Z17" i="12"/>
  <c r="AA17" i="12"/>
  <c r="AB17" i="12"/>
  <c r="AC17" i="12"/>
  <c r="AD17" i="12"/>
  <c r="W18" i="12"/>
  <c r="X18" i="12"/>
  <c r="Y18" i="12"/>
  <c r="Z18" i="12"/>
  <c r="AA18" i="12"/>
  <c r="AB18" i="12"/>
  <c r="AC18" i="12"/>
  <c r="AD18" i="12"/>
  <c r="W19" i="12"/>
  <c r="X19" i="12"/>
  <c r="Y19" i="12"/>
  <c r="Z19" i="12"/>
  <c r="AA19" i="12"/>
  <c r="AB19" i="12"/>
  <c r="AC19" i="12"/>
  <c r="AD19" i="12"/>
  <c r="W20" i="12"/>
  <c r="X20" i="12"/>
  <c r="Y20" i="12"/>
  <c r="Z20" i="12"/>
  <c r="AA20" i="12"/>
  <c r="AB20" i="12"/>
  <c r="AC20" i="12"/>
  <c r="AD20" i="12"/>
  <c r="W21" i="12"/>
  <c r="X21" i="12"/>
  <c r="Y21" i="12"/>
  <c r="Z21" i="12"/>
  <c r="AA21" i="12"/>
  <c r="AB21" i="12"/>
  <c r="AC21" i="12"/>
  <c r="AD21" i="12"/>
  <c r="W22" i="12"/>
  <c r="X22" i="12"/>
  <c r="Y22" i="12"/>
  <c r="Z22" i="12"/>
  <c r="AA22" i="12"/>
  <c r="AB22" i="12"/>
  <c r="AC22" i="12"/>
  <c r="AD22" i="12"/>
  <c r="W23" i="12"/>
  <c r="X23" i="12"/>
  <c r="Y23" i="12"/>
  <c r="Z23" i="12"/>
  <c r="AA23" i="12"/>
  <c r="AB23" i="12"/>
  <c r="AC23" i="12"/>
  <c r="AD23" i="12"/>
  <c r="W24" i="12"/>
  <c r="X24" i="12"/>
  <c r="Y24" i="12"/>
  <c r="Z24" i="12"/>
  <c r="AA24" i="12"/>
  <c r="AB24" i="12"/>
  <c r="AC24" i="12"/>
  <c r="AD24" i="12"/>
  <c r="W25" i="12"/>
  <c r="X25" i="12"/>
  <c r="Y25" i="12"/>
  <c r="Z25" i="12"/>
  <c r="AA25" i="12"/>
  <c r="AB25" i="12"/>
  <c r="AC25" i="12"/>
  <c r="AD25" i="12"/>
  <c r="W26" i="12"/>
  <c r="X26" i="12"/>
  <c r="Y26" i="12"/>
  <c r="Z26" i="12"/>
  <c r="AA26" i="12"/>
  <c r="AB26" i="12"/>
  <c r="AC26" i="12"/>
  <c r="AD26" i="12"/>
  <c r="W27" i="12"/>
  <c r="X27" i="12"/>
  <c r="Y27" i="12"/>
  <c r="Z27" i="12"/>
  <c r="AA27" i="12"/>
  <c r="AB27" i="12"/>
  <c r="AC27" i="12"/>
  <c r="AD27" i="12"/>
  <c r="W28" i="12"/>
  <c r="X28" i="12"/>
  <c r="Y28" i="12"/>
  <c r="Z28" i="12"/>
  <c r="AA28" i="12"/>
  <c r="AB28" i="12"/>
  <c r="AC28" i="12"/>
  <c r="AD28" i="12"/>
  <c r="W29" i="12"/>
  <c r="X29" i="12"/>
  <c r="Y29" i="12"/>
  <c r="Z29" i="12"/>
  <c r="AA29" i="12"/>
  <c r="AB29" i="12"/>
  <c r="AC29" i="12"/>
  <c r="AD29" i="12"/>
  <c r="W30" i="12"/>
  <c r="X30" i="12"/>
  <c r="Y30" i="12"/>
  <c r="Z30" i="12"/>
  <c r="AA30" i="12"/>
  <c r="AB30" i="12"/>
  <c r="AC30" i="12"/>
  <c r="AD30" i="12"/>
  <c r="W31" i="12"/>
  <c r="X31" i="12"/>
  <c r="Y31" i="12"/>
  <c r="Z31" i="12"/>
  <c r="AA31" i="12"/>
  <c r="AB31" i="12"/>
  <c r="AC31" i="12"/>
  <c r="AD31" i="12"/>
  <c r="W32" i="12"/>
  <c r="X32" i="12"/>
  <c r="Y32" i="12"/>
  <c r="Z32" i="12"/>
  <c r="AA32" i="12"/>
  <c r="AB32" i="12"/>
  <c r="AC32" i="12"/>
  <c r="AD32" i="12"/>
  <c r="W33" i="12"/>
  <c r="X33" i="12"/>
  <c r="Y33" i="12"/>
  <c r="Z33" i="12"/>
  <c r="AA33" i="12"/>
  <c r="AB33" i="12"/>
  <c r="AC33" i="12"/>
  <c r="AD33" i="12"/>
  <c r="W34" i="12"/>
  <c r="X34" i="12"/>
  <c r="Y34" i="12"/>
  <c r="Z34" i="12"/>
  <c r="AA34" i="12"/>
  <c r="AB34" i="12"/>
  <c r="AC34" i="12"/>
  <c r="AD34" i="12"/>
  <c r="W35" i="12"/>
  <c r="X35" i="12"/>
  <c r="Y35" i="12"/>
  <c r="Z35" i="12"/>
  <c r="AA35" i="12"/>
  <c r="AB35" i="12"/>
  <c r="AC35" i="12"/>
  <c r="AD35" i="12"/>
  <c r="W36" i="12"/>
  <c r="X36" i="12"/>
  <c r="Y36" i="12"/>
  <c r="Z36" i="12"/>
  <c r="AA36" i="12"/>
  <c r="AB36" i="12"/>
  <c r="AC36" i="12"/>
  <c r="AD36" i="12"/>
  <c r="W37" i="12"/>
  <c r="X37" i="12"/>
  <c r="Y37" i="12"/>
  <c r="Z37" i="12"/>
  <c r="AA37" i="12"/>
  <c r="AB37" i="12"/>
  <c r="AC37" i="12"/>
  <c r="AD37" i="12"/>
  <c r="W38" i="12"/>
  <c r="X38" i="12"/>
  <c r="Y38" i="12"/>
  <c r="Z38" i="12"/>
  <c r="AA38" i="12"/>
  <c r="AB38" i="12"/>
  <c r="AC38" i="12"/>
  <c r="AD38" i="12"/>
  <c r="W39" i="12"/>
  <c r="X39" i="12"/>
  <c r="Y39" i="12"/>
  <c r="Z39" i="12"/>
  <c r="AA39" i="12"/>
  <c r="AB39" i="12"/>
  <c r="AC39" i="12"/>
  <c r="AD39" i="12"/>
  <c r="W40" i="12"/>
  <c r="X40" i="12"/>
  <c r="Y40" i="12"/>
  <c r="Z40" i="12"/>
  <c r="AA40" i="12"/>
  <c r="AB40" i="12"/>
  <c r="AC40" i="12"/>
  <c r="AD40" i="12"/>
  <c r="W41" i="12"/>
  <c r="X41" i="12"/>
  <c r="Y41" i="12"/>
  <c r="Z41" i="12"/>
  <c r="AA41" i="12"/>
  <c r="AB41" i="12"/>
  <c r="AC41" i="12"/>
  <c r="AD41" i="12"/>
  <c r="W42" i="12"/>
  <c r="X42" i="12"/>
  <c r="Y42" i="12"/>
  <c r="Z42" i="12"/>
  <c r="AA42" i="12"/>
  <c r="AB42" i="12"/>
  <c r="AC42" i="12"/>
  <c r="AD42" i="12"/>
  <c r="W43" i="12"/>
  <c r="X43" i="12"/>
  <c r="Y43" i="12"/>
  <c r="Z43" i="12"/>
  <c r="AA43" i="12"/>
  <c r="AB43" i="12"/>
  <c r="AC43" i="12"/>
  <c r="AD43" i="12"/>
  <c r="W44" i="12"/>
  <c r="X44" i="12"/>
  <c r="Y44" i="12"/>
  <c r="Z44" i="12"/>
  <c r="AA44" i="12"/>
  <c r="AB44" i="12"/>
  <c r="AC44" i="12"/>
  <c r="AD44" i="12"/>
  <c r="W45" i="12"/>
  <c r="X45" i="12"/>
  <c r="Y45" i="12"/>
  <c r="Z45" i="12"/>
  <c r="AA45" i="12"/>
  <c r="AB45" i="12"/>
  <c r="AC45" i="12"/>
  <c r="AD45" i="12"/>
  <c r="W46" i="12"/>
  <c r="X46" i="12"/>
  <c r="Y46" i="12"/>
  <c r="Z46" i="12"/>
  <c r="AA46" i="12"/>
  <c r="AB46" i="12"/>
  <c r="AC46" i="12"/>
  <c r="AD46" i="12"/>
  <c r="W47" i="12"/>
  <c r="X47" i="12"/>
  <c r="Y47" i="12"/>
  <c r="Z47" i="12"/>
  <c r="AA47" i="12"/>
  <c r="AB47" i="12"/>
  <c r="AC47" i="12"/>
  <c r="AD47" i="12"/>
  <c r="W48" i="12"/>
  <c r="X48" i="12"/>
  <c r="Y48" i="12"/>
  <c r="Z48" i="12"/>
  <c r="AA48" i="12"/>
  <c r="AB48" i="12"/>
  <c r="AC48" i="12"/>
  <c r="AD48" i="12"/>
  <c r="W49" i="12"/>
  <c r="X49" i="12"/>
  <c r="Y49" i="12"/>
  <c r="Z49" i="12"/>
  <c r="AA49" i="12"/>
  <c r="AB49" i="12"/>
  <c r="AC49" i="12"/>
  <c r="AD49" i="12"/>
  <c r="W50" i="12"/>
  <c r="X50" i="12"/>
  <c r="Y50" i="12"/>
  <c r="Z50" i="12"/>
  <c r="AA50" i="12"/>
  <c r="AB50" i="12"/>
  <c r="AC50" i="12"/>
  <c r="AD50" i="12"/>
  <c r="W51" i="12"/>
  <c r="X51" i="12"/>
  <c r="Y51" i="12"/>
  <c r="Z51" i="12"/>
  <c r="AA51" i="12"/>
  <c r="AB51" i="12"/>
  <c r="AC51" i="12"/>
  <c r="AD51" i="12"/>
  <c r="W52" i="12"/>
  <c r="X52" i="12"/>
  <c r="Y52" i="12"/>
  <c r="Z52" i="12"/>
  <c r="AA52" i="12"/>
  <c r="AB52" i="12"/>
  <c r="AC52" i="12"/>
  <c r="AD52" i="12"/>
  <c r="W53" i="12"/>
  <c r="X53" i="12"/>
  <c r="Y53" i="12"/>
  <c r="Z53" i="12"/>
  <c r="AA53" i="12"/>
  <c r="AB53" i="12"/>
  <c r="AC53" i="12"/>
  <c r="AD53" i="12"/>
  <c r="W54" i="12"/>
  <c r="X54" i="12"/>
  <c r="Y54" i="12"/>
  <c r="Z54" i="12"/>
  <c r="AA54" i="12"/>
  <c r="AB54" i="12"/>
  <c r="AC54" i="12"/>
  <c r="AD54" i="12"/>
  <c r="W55" i="12"/>
  <c r="X55" i="12"/>
  <c r="Y55" i="12"/>
  <c r="Z55" i="12"/>
  <c r="AA55" i="12"/>
  <c r="AB55" i="12"/>
  <c r="AC55" i="12"/>
  <c r="AD55" i="12"/>
  <c r="W56" i="12"/>
  <c r="X56" i="12"/>
  <c r="Y56" i="12"/>
  <c r="Z56" i="12"/>
  <c r="AA56" i="12"/>
  <c r="AB56" i="12"/>
  <c r="AC56" i="12"/>
  <c r="AD56" i="12"/>
  <c r="W57" i="12"/>
  <c r="X57" i="12"/>
  <c r="Y57" i="12"/>
  <c r="Z57" i="12"/>
  <c r="AA57" i="12"/>
  <c r="AB57" i="12"/>
  <c r="AC57" i="12"/>
  <c r="AD57" i="12"/>
  <c r="W58" i="12"/>
  <c r="X58" i="12"/>
  <c r="Y58" i="12"/>
  <c r="Z58" i="12"/>
  <c r="AA58" i="12"/>
  <c r="AB58" i="12"/>
  <c r="AC58" i="12"/>
  <c r="AD58" i="12"/>
  <c r="W59" i="12"/>
  <c r="X59" i="12"/>
  <c r="Y59" i="12"/>
  <c r="Z59" i="12"/>
  <c r="AA59" i="12"/>
  <c r="AB59" i="12"/>
  <c r="AC59" i="12"/>
  <c r="AD59" i="12"/>
  <c r="W60" i="12"/>
  <c r="X60" i="12"/>
  <c r="Y60" i="12"/>
  <c r="Z60" i="12"/>
  <c r="AA60" i="12"/>
  <c r="AB60" i="12"/>
  <c r="AC60" i="12"/>
  <c r="AD60" i="12"/>
  <c r="W61" i="12"/>
  <c r="X61" i="12"/>
  <c r="Y61" i="12"/>
  <c r="Z61" i="12"/>
  <c r="AA61" i="12"/>
  <c r="AB61" i="12"/>
  <c r="AC61" i="12"/>
  <c r="AD61" i="12"/>
  <c r="W62" i="12"/>
  <c r="X62" i="12"/>
  <c r="Y62" i="12"/>
  <c r="Z62" i="12"/>
  <c r="AA62" i="12"/>
  <c r="AB62" i="12"/>
  <c r="AC62" i="12"/>
  <c r="AD62" i="12"/>
  <c r="W63" i="12"/>
  <c r="X63" i="12"/>
  <c r="Y63" i="12"/>
  <c r="Z63" i="12"/>
  <c r="AA63" i="12"/>
  <c r="AB63" i="12"/>
  <c r="AC63" i="12"/>
  <c r="AD63" i="12"/>
  <c r="W64" i="12"/>
  <c r="X64" i="12"/>
  <c r="Y64" i="12"/>
  <c r="Z64" i="12"/>
  <c r="AA64" i="12"/>
  <c r="AB64" i="12"/>
  <c r="AC64" i="12"/>
  <c r="AD64" i="12"/>
  <c r="W65" i="12"/>
  <c r="X65" i="12"/>
  <c r="Y65" i="12"/>
  <c r="Z65" i="12"/>
  <c r="AA65" i="12"/>
  <c r="AB65" i="12"/>
  <c r="AC65" i="12"/>
  <c r="AD65" i="12"/>
  <c r="W66" i="12"/>
  <c r="X66" i="12"/>
  <c r="Y66" i="12"/>
  <c r="Z66" i="12"/>
  <c r="AA66" i="12"/>
  <c r="AB66" i="12"/>
  <c r="AC66" i="12"/>
  <c r="AD66" i="12"/>
  <c r="W67" i="12"/>
  <c r="X67" i="12"/>
  <c r="Y67" i="12"/>
  <c r="Z67" i="12"/>
  <c r="AA67" i="12"/>
  <c r="AB67" i="12"/>
  <c r="AC67" i="12"/>
  <c r="AD67" i="12"/>
  <c r="W68" i="12"/>
  <c r="X68" i="12"/>
  <c r="Y68" i="12"/>
  <c r="Z68" i="12"/>
  <c r="AA68" i="12"/>
  <c r="AB68" i="12"/>
  <c r="AC68" i="12"/>
  <c r="AD68" i="12"/>
  <c r="W69" i="12"/>
  <c r="X69" i="12"/>
  <c r="Y69" i="12"/>
  <c r="Z69" i="12"/>
  <c r="AA69" i="12"/>
  <c r="AB69" i="12"/>
  <c r="AC69" i="12"/>
  <c r="AD69" i="12"/>
  <c r="W70" i="12"/>
  <c r="X70" i="12"/>
  <c r="Y70" i="12"/>
  <c r="Z70" i="12"/>
  <c r="AA70" i="12"/>
  <c r="AB70" i="12"/>
  <c r="AC70" i="12"/>
  <c r="AD70" i="12"/>
  <c r="W71" i="12"/>
  <c r="X71" i="12"/>
  <c r="Y71" i="12"/>
  <c r="Z71" i="12"/>
  <c r="AA71" i="12"/>
  <c r="AB71" i="12"/>
  <c r="AC71" i="12"/>
  <c r="AD71" i="12"/>
  <c r="W72" i="12"/>
  <c r="X72" i="12"/>
  <c r="Y72" i="12"/>
  <c r="Z72" i="12"/>
  <c r="AA72" i="12"/>
  <c r="AB72" i="12"/>
  <c r="AC72" i="12"/>
  <c r="AD72" i="12"/>
  <c r="W73" i="12"/>
  <c r="X73" i="12"/>
  <c r="Y73" i="12"/>
  <c r="Z73" i="12"/>
  <c r="AA73" i="12"/>
  <c r="AB73" i="12"/>
  <c r="AC73" i="12"/>
  <c r="AD73" i="12"/>
  <c r="W74" i="12"/>
  <c r="X74" i="12"/>
  <c r="Y74" i="12"/>
  <c r="Z74" i="12"/>
  <c r="AA74" i="12"/>
  <c r="AB74" i="12"/>
  <c r="AC74" i="12"/>
  <c r="AD74" i="12"/>
  <c r="W75" i="12"/>
  <c r="X75" i="12"/>
  <c r="Y75" i="12"/>
  <c r="Z75" i="12"/>
  <c r="AA75" i="12"/>
  <c r="AB75" i="12"/>
  <c r="AC75" i="12"/>
  <c r="AD75" i="12"/>
  <c r="W76" i="12"/>
  <c r="X76" i="12"/>
  <c r="Y76" i="12"/>
  <c r="Z76" i="12"/>
  <c r="AA76" i="12"/>
  <c r="AB76" i="12"/>
  <c r="AC76" i="12"/>
  <c r="AD76" i="12"/>
  <c r="W77" i="12"/>
  <c r="X77" i="12"/>
  <c r="Y77" i="12"/>
  <c r="Z77" i="12"/>
  <c r="AA77" i="12"/>
  <c r="AB77" i="12"/>
  <c r="AC77" i="12"/>
  <c r="AD77" i="12"/>
  <c r="W78" i="12"/>
  <c r="X78" i="12"/>
  <c r="Y78" i="12"/>
  <c r="Z78" i="12"/>
  <c r="AA78" i="12"/>
  <c r="AB78" i="12"/>
  <c r="AC78" i="12"/>
  <c r="AD78" i="12"/>
  <c r="W79" i="12"/>
  <c r="X79" i="12"/>
  <c r="Y79" i="12"/>
  <c r="Z79" i="12"/>
  <c r="AA79" i="12"/>
  <c r="AB79" i="12"/>
  <c r="AC79" i="12"/>
  <c r="AD79" i="12"/>
  <c r="W80" i="12"/>
  <c r="X80" i="12"/>
  <c r="Y80" i="12"/>
  <c r="Z80" i="12"/>
  <c r="AA80" i="12"/>
  <c r="AB80" i="12"/>
  <c r="AC80" i="12"/>
  <c r="AD80" i="12"/>
  <c r="W81" i="12"/>
  <c r="X81" i="12"/>
  <c r="Y81" i="12"/>
  <c r="Z81" i="12"/>
  <c r="AA81" i="12"/>
  <c r="AB81" i="12"/>
  <c r="AC81" i="12"/>
  <c r="AD81" i="12"/>
  <c r="W82" i="12"/>
  <c r="X82" i="12"/>
  <c r="Y82" i="12"/>
  <c r="Z82" i="12"/>
  <c r="AA82" i="12"/>
  <c r="AB82" i="12"/>
  <c r="AC82" i="12"/>
  <c r="AD82" i="12"/>
  <c r="W83" i="12"/>
  <c r="X83" i="12"/>
  <c r="Y83" i="12"/>
  <c r="Z83" i="12"/>
  <c r="AA83" i="12"/>
  <c r="AB83" i="12"/>
  <c r="AC83" i="12"/>
  <c r="AD83" i="12"/>
  <c r="W84" i="12"/>
  <c r="X84" i="12"/>
  <c r="Y84" i="12"/>
  <c r="Z84" i="12"/>
  <c r="AA84" i="12"/>
  <c r="AB84" i="12"/>
  <c r="AC84" i="12"/>
  <c r="AD84" i="12"/>
  <c r="W85" i="12"/>
  <c r="X85" i="12"/>
  <c r="Y85" i="12"/>
  <c r="Z85" i="12"/>
  <c r="AA85" i="12"/>
  <c r="AB85" i="12"/>
  <c r="AC85" i="12"/>
  <c r="AD85" i="12"/>
  <c r="W86" i="12"/>
  <c r="X86" i="12"/>
  <c r="Y86" i="12"/>
  <c r="Z86" i="12"/>
  <c r="AA86" i="12"/>
  <c r="AB86" i="12"/>
  <c r="AC86" i="12"/>
  <c r="AD86" i="12"/>
  <c r="W87" i="12"/>
  <c r="X87" i="12"/>
  <c r="Y87" i="12"/>
  <c r="Z87" i="12"/>
  <c r="AA87" i="12"/>
  <c r="AB87" i="12"/>
  <c r="AC87" i="12"/>
  <c r="AD87" i="12"/>
  <c r="W88" i="12"/>
  <c r="X88" i="12"/>
  <c r="Y88" i="12"/>
  <c r="Z88" i="12"/>
  <c r="AA88" i="12"/>
  <c r="AB88" i="12"/>
  <c r="AC88" i="12"/>
  <c r="AD88" i="12"/>
  <c r="W89" i="12"/>
  <c r="X89" i="12"/>
  <c r="Y89" i="12"/>
  <c r="Z89" i="12"/>
  <c r="AA89" i="12"/>
  <c r="AB89" i="12"/>
  <c r="AC89" i="12"/>
  <c r="AD89" i="12"/>
  <c r="W90" i="12"/>
  <c r="X90" i="12"/>
  <c r="Y90" i="12"/>
  <c r="Z90" i="12"/>
  <c r="AA90" i="12"/>
  <c r="AB90" i="12"/>
  <c r="AC90" i="12"/>
  <c r="AD90" i="12"/>
  <c r="W91" i="12"/>
  <c r="X91" i="12"/>
  <c r="Y91" i="12"/>
  <c r="Z91" i="12"/>
  <c r="AA91" i="12"/>
  <c r="AB91" i="12"/>
  <c r="AC91" i="12"/>
  <c r="AD91" i="12"/>
  <c r="W92" i="12"/>
  <c r="X92" i="12"/>
  <c r="Y92" i="12"/>
  <c r="Z92" i="12"/>
  <c r="AA92" i="12"/>
  <c r="AB92" i="12"/>
  <c r="AC92" i="12"/>
  <c r="AD92" i="12"/>
  <c r="W93" i="12"/>
  <c r="X93" i="12"/>
  <c r="Y93" i="12"/>
  <c r="Z93" i="12"/>
  <c r="AA93" i="12"/>
  <c r="AB93" i="12"/>
  <c r="AC93" i="12"/>
  <c r="AD93" i="12"/>
  <c r="W94" i="12"/>
  <c r="X94" i="12"/>
  <c r="Y94" i="12"/>
  <c r="Z94" i="12"/>
  <c r="AA94" i="12"/>
  <c r="AB94" i="12"/>
  <c r="AC94" i="12"/>
  <c r="AD94" i="12"/>
  <c r="W95" i="12"/>
  <c r="X95" i="12"/>
  <c r="Y95" i="12"/>
  <c r="Z95" i="12"/>
  <c r="AA95" i="12"/>
  <c r="AB95" i="12"/>
  <c r="AC95" i="12"/>
  <c r="AD95" i="12"/>
  <c r="W96" i="12"/>
  <c r="X96" i="12"/>
  <c r="Y96" i="12"/>
  <c r="Z96" i="12"/>
  <c r="AA96" i="12"/>
  <c r="AB96" i="12"/>
  <c r="AC96" i="12"/>
  <c r="AD96" i="12"/>
  <c r="W97" i="12"/>
  <c r="X97" i="12"/>
  <c r="Y97" i="12"/>
  <c r="Z97" i="12"/>
  <c r="AA97" i="12"/>
  <c r="AB97" i="12"/>
  <c r="AC97" i="12"/>
  <c r="AD97" i="12"/>
  <c r="W98" i="12"/>
  <c r="X98" i="12"/>
  <c r="Y98" i="12"/>
  <c r="Z98" i="12"/>
  <c r="AA98" i="12"/>
  <c r="AB98" i="12"/>
  <c r="AC98" i="12"/>
  <c r="AD98" i="12"/>
  <c r="W99" i="12"/>
  <c r="X99" i="12"/>
  <c r="Y99" i="12"/>
  <c r="Z99" i="12"/>
  <c r="AA99" i="12"/>
  <c r="AB99" i="12"/>
  <c r="AC99" i="12"/>
  <c r="AD99" i="12"/>
  <c r="W100" i="12"/>
  <c r="X100" i="12"/>
  <c r="Y100" i="12"/>
  <c r="Z100" i="12"/>
  <c r="AA100" i="12"/>
  <c r="AB100" i="12"/>
  <c r="AC100" i="12"/>
  <c r="AD100" i="12"/>
  <c r="W101" i="12"/>
  <c r="X101" i="12"/>
  <c r="Y101" i="12"/>
  <c r="Z101" i="12"/>
  <c r="AA101" i="12"/>
  <c r="AB101" i="12"/>
  <c r="AC101" i="12"/>
  <c r="AD101" i="12"/>
  <c r="W102" i="12"/>
  <c r="X102" i="12"/>
  <c r="Y102" i="12"/>
  <c r="Z102" i="12"/>
  <c r="AA102" i="12"/>
  <c r="AB102" i="12"/>
  <c r="AC102" i="12"/>
  <c r="AD102" i="12"/>
  <c r="W103" i="12"/>
  <c r="X103" i="12"/>
  <c r="Y103" i="12"/>
  <c r="Z103" i="12"/>
  <c r="AA103" i="12"/>
  <c r="AB103" i="12"/>
  <c r="AC103" i="12"/>
  <c r="AD103" i="12"/>
  <c r="W104" i="12"/>
  <c r="X104" i="12"/>
  <c r="Y104" i="12"/>
  <c r="Z104" i="12"/>
  <c r="AA104" i="12"/>
  <c r="AB104" i="12"/>
  <c r="AC104" i="12"/>
  <c r="AD104" i="12"/>
  <c r="W105" i="12"/>
  <c r="X105" i="12"/>
  <c r="Y105" i="12"/>
  <c r="Z105" i="12"/>
  <c r="AA105" i="12"/>
  <c r="AB105" i="12"/>
  <c r="AC105" i="12"/>
  <c r="AD105" i="12"/>
  <c r="W106" i="12"/>
  <c r="X106" i="12"/>
  <c r="Y106" i="12"/>
  <c r="Z106" i="12"/>
  <c r="AA106" i="12"/>
  <c r="AB106" i="12"/>
  <c r="AC106" i="12"/>
  <c r="AD106" i="12"/>
  <c r="W107" i="12"/>
  <c r="X107" i="12"/>
  <c r="Y107" i="12"/>
  <c r="Z107" i="12"/>
  <c r="AA107" i="12"/>
  <c r="AB107" i="12"/>
  <c r="AC107" i="12"/>
  <c r="AD107" i="12"/>
  <c r="W108" i="12"/>
  <c r="X108" i="12"/>
  <c r="Y108" i="12"/>
  <c r="Z108" i="12"/>
  <c r="AA108" i="12"/>
  <c r="AB108" i="12"/>
  <c r="AC108" i="12"/>
  <c r="AD108" i="12"/>
  <c r="W109" i="12"/>
  <c r="X109" i="12"/>
  <c r="Y109" i="12"/>
  <c r="Z109" i="12"/>
  <c r="AA109" i="12"/>
  <c r="AB109" i="12"/>
  <c r="AC109" i="12"/>
  <c r="AD109" i="12"/>
  <c r="W110" i="12"/>
  <c r="X110" i="12"/>
  <c r="Y110" i="12"/>
  <c r="Z110" i="12"/>
  <c r="AA110" i="12"/>
  <c r="AB110" i="12"/>
  <c r="AC110" i="12"/>
  <c r="AD110" i="12"/>
  <c r="W111" i="12"/>
  <c r="X111" i="12"/>
  <c r="Y111" i="12"/>
  <c r="Z111" i="12"/>
  <c r="AA111" i="12"/>
  <c r="AB111" i="12"/>
  <c r="AC111" i="12"/>
  <c r="AD111" i="12"/>
  <c r="W112" i="12"/>
  <c r="X112" i="12"/>
  <c r="Y112" i="12"/>
  <c r="Z112" i="12"/>
  <c r="AA112" i="12"/>
  <c r="AB112" i="12"/>
  <c r="AC112" i="12"/>
  <c r="AD112" i="12"/>
  <c r="W113" i="12"/>
  <c r="X113" i="12"/>
  <c r="Y113" i="12"/>
  <c r="Z113" i="12"/>
  <c r="AA113" i="12"/>
  <c r="AB113" i="12"/>
  <c r="AC113" i="12"/>
  <c r="AD113" i="12"/>
  <c r="W114" i="12"/>
  <c r="X114" i="12"/>
  <c r="Y114" i="12"/>
  <c r="Z114" i="12"/>
  <c r="AA114" i="12"/>
  <c r="AB114" i="12"/>
  <c r="AC114" i="12"/>
  <c r="AD114" i="12"/>
  <c r="W115" i="12"/>
  <c r="X115" i="12"/>
  <c r="Y115" i="12"/>
  <c r="Z115" i="12"/>
  <c r="AA115" i="12"/>
  <c r="AB115" i="12"/>
  <c r="AC115" i="12"/>
  <c r="AD115" i="12"/>
  <c r="W116" i="12"/>
  <c r="X116" i="12"/>
  <c r="Y116" i="12"/>
  <c r="Z116" i="12"/>
  <c r="AA116" i="12"/>
  <c r="AB116" i="12"/>
  <c r="AC116" i="12"/>
  <c r="AD116" i="12"/>
  <c r="W117" i="12"/>
  <c r="X117" i="12"/>
  <c r="Y117" i="12"/>
  <c r="Z117" i="12"/>
  <c r="AA117" i="12"/>
  <c r="AB117" i="12"/>
  <c r="AC117" i="12"/>
  <c r="AD117" i="12"/>
  <c r="W118" i="12"/>
  <c r="X118" i="12"/>
  <c r="Y118" i="12"/>
  <c r="Z118" i="12"/>
  <c r="AA118" i="12"/>
  <c r="AB118" i="12"/>
  <c r="AC118" i="12"/>
  <c r="AD118" i="12"/>
  <c r="W119" i="12"/>
  <c r="X119" i="12"/>
  <c r="Y119" i="12"/>
  <c r="Z119" i="12"/>
  <c r="AA119" i="12"/>
  <c r="AB119" i="12"/>
  <c r="AC119" i="12"/>
  <c r="AD119" i="12"/>
  <c r="W120" i="12"/>
  <c r="X120" i="12"/>
  <c r="Y120" i="12"/>
  <c r="Z120" i="12"/>
  <c r="AA120" i="12"/>
  <c r="AB120" i="12"/>
  <c r="AC120" i="12"/>
  <c r="AD120" i="12"/>
  <c r="W121" i="12"/>
  <c r="X121" i="12"/>
  <c r="Y121" i="12"/>
  <c r="Z121" i="12"/>
  <c r="AA121" i="12"/>
  <c r="AB121" i="12"/>
  <c r="AC121" i="12"/>
  <c r="AD121" i="12"/>
  <c r="W122" i="12"/>
  <c r="X122" i="12"/>
  <c r="Y122" i="12"/>
  <c r="Z122" i="12"/>
  <c r="AA122" i="12"/>
  <c r="AB122" i="12"/>
  <c r="AC122" i="12"/>
  <c r="AD122" i="12"/>
  <c r="W123" i="12"/>
  <c r="X123" i="12"/>
  <c r="Y123" i="12"/>
  <c r="Z123" i="12"/>
  <c r="AA123" i="12"/>
  <c r="AB123" i="12"/>
  <c r="AC123" i="12"/>
  <c r="AD123" i="12"/>
  <c r="W124" i="12"/>
  <c r="X124" i="12"/>
  <c r="Y124" i="12"/>
  <c r="Z124" i="12"/>
  <c r="AA124" i="12"/>
  <c r="AB124" i="12"/>
  <c r="AC124" i="12"/>
  <c r="AD124" i="12"/>
  <c r="W125" i="12"/>
  <c r="X125" i="12"/>
  <c r="Y125" i="12"/>
  <c r="Z125" i="12"/>
  <c r="AA125" i="12"/>
  <c r="AB125" i="12"/>
  <c r="AC125" i="12"/>
  <c r="AD125" i="12"/>
  <c r="W126" i="12"/>
  <c r="X126" i="12"/>
  <c r="Y126" i="12"/>
  <c r="Z126" i="12"/>
  <c r="AA126" i="12"/>
  <c r="AB126" i="12"/>
  <c r="AC126" i="12"/>
  <c r="AD126" i="12"/>
  <c r="W127" i="12"/>
  <c r="X127" i="12"/>
  <c r="Y127" i="12"/>
  <c r="Z127" i="12"/>
  <c r="AA127" i="12"/>
  <c r="AB127" i="12"/>
  <c r="AC127" i="12"/>
  <c r="AD127" i="12"/>
  <c r="W128" i="12"/>
  <c r="X128" i="12"/>
  <c r="Y128" i="12"/>
  <c r="Z128" i="12"/>
  <c r="AA128" i="12"/>
  <c r="AB128" i="12"/>
  <c r="AC128" i="12"/>
  <c r="AD128" i="12"/>
  <c r="W129" i="12"/>
  <c r="X129" i="12"/>
  <c r="Y129" i="12"/>
  <c r="Z129" i="12"/>
  <c r="AA129" i="12"/>
  <c r="AB129" i="12"/>
  <c r="AC129" i="12"/>
  <c r="AD129" i="12"/>
  <c r="W130" i="12"/>
  <c r="X130" i="12"/>
  <c r="Y130" i="12"/>
  <c r="Z130" i="12"/>
  <c r="AA130" i="12"/>
  <c r="AB130" i="12"/>
  <c r="AC130" i="12"/>
  <c r="AD130" i="12"/>
  <c r="W131" i="12"/>
  <c r="X131" i="12"/>
  <c r="Y131" i="12"/>
  <c r="Z131" i="12"/>
  <c r="AA131" i="12"/>
  <c r="AB131" i="12"/>
  <c r="AC131" i="12"/>
  <c r="AD131" i="12"/>
  <c r="W132" i="12"/>
  <c r="X132" i="12"/>
  <c r="Y132" i="12"/>
  <c r="Z132" i="12"/>
  <c r="AA132" i="12"/>
  <c r="AB132" i="12"/>
  <c r="AC132" i="12"/>
  <c r="AD132" i="12"/>
  <c r="W133" i="12"/>
  <c r="X133" i="12"/>
  <c r="Y133" i="12"/>
  <c r="Z133" i="12"/>
  <c r="AA133" i="12"/>
  <c r="AB133" i="12"/>
  <c r="AC133" i="12"/>
  <c r="AD133" i="12"/>
  <c r="W134" i="12"/>
  <c r="X134" i="12"/>
  <c r="Y134" i="12"/>
  <c r="Z134" i="12"/>
  <c r="AA134" i="12"/>
  <c r="AB134" i="12"/>
  <c r="AC134" i="12"/>
  <c r="AD134" i="12"/>
  <c r="W135" i="12"/>
  <c r="X135" i="12"/>
  <c r="Y135" i="12"/>
  <c r="Z135" i="12"/>
  <c r="AA135" i="12"/>
  <c r="AB135" i="12"/>
  <c r="AC135" i="12"/>
  <c r="AD135" i="12"/>
  <c r="W136" i="12"/>
  <c r="X136" i="12"/>
  <c r="Y136" i="12"/>
  <c r="Z136" i="12"/>
  <c r="AA136" i="12"/>
  <c r="AB136" i="12"/>
  <c r="AC136" i="12"/>
  <c r="AD136" i="12"/>
  <c r="W137" i="12"/>
  <c r="X137" i="12"/>
  <c r="Y137" i="12"/>
  <c r="Z137" i="12"/>
  <c r="AA137" i="12"/>
  <c r="AB137" i="12"/>
  <c r="AC137" i="12"/>
  <c r="AD137" i="12"/>
  <c r="W138" i="12"/>
  <c r="X138" i="12"/>
  <c r="Y138" i="12"/>
  <c r="Z138" i="12"/>
  <c r="AA138" i="12"/>
  <c r="AB138" i="12"/>
  <c r="AC138" i="12"/>
  <c r="AD138" i="12"/>
  <c r="W139" i="12"/>
  <c r="X139" i="12"/>
  <c r="Y139" i="12"/>
  <c r="Z139" i="12"/>
  <c r="AA139" i="12"/>
  <c r="AB139" i="12"/>
  <c r="AC139" i="12"/>
  <c r="AD139" i="12"/>
  <c r="W140" i="12"/>
  <c r="X140" i="12"/>
  <c r="Y140" i="12"/>
  <c r="Z140" i="12"/>
  <c r="AA140" i="12"/>
  <c r="AB140" i="12"/>
  <c r="AC140" i="12"/>
  <c r="AD140" i="12"/>
  <c r="W141" i="12"/>
  <c r="X141" i="12"/>
  <c r="Y141" i="12"/>
  <c r="Z141" i="12"/>
  <c r="AA141" i="12"/>
  <c r="AB141" i="12"/>
  <c r="AC141" i="12"/>
  <c r="AD141" i="12"/>
  <c r="W142" i="12"/>
  <c r="X142" i="12"/>
  <c r="Y142" i="12"/>
  <c r="Z142" i="12"/>
  <c r="AA142" i="12"/>
  <c r="AB142" i="12"/>
  <c r="AC142" i="12"/>
  <c r="AD142" i="12"/>
  <c r="W143" i="12"/>
  <c r="X143" i="12"/>
  <c r="Y143" i="12"/>
  <c r="Z143" i="12"/>
  <c r="AA143" i="12"/>
  <c r="AB143" i="12"/>
  <c r="AC143" i="12"/>
  <c r="AD143" i="12"/>
  <c r="W144" i="12"/>
  <c r="X144" i="12"/>
  <c r="Y144" i="12"/>
  <c r="Z144" i="12"/>
  <c r="AA144" i="12"/>
  <c r="AB144" i="12"/>
  <c r="AC144" i="12"/>
  <c r="AD144" i="12"/>
  <c r="W145" i="12"/>
  <c r="X145" i="12"/>
  <c r="Y145" i="12"/>
  <c r="Z145" i="12"/>
  <c r="AA145" i="12"/>
  <c r="AB145" i="12"/>
  <c r="AC145" i="12"/>
  <c r="AD145" i="12"/>
  <c r="W146" i="12"/>
  <c r="X146" i="12"/>
  <c r="Y146" i="12"/>
  <c r="Z146" i="12"/>
  <c r="AA146" i="12"/>
  <c r="AB146" i="12"/>
  <c r="AC146" i="12"/>
  <c r="AD146" i="12"/>
  <c r="W147" i="12"/>
  <c r="X147" i="12"/>
  <c r="Y147" i="12"/>
  <c r="Z147" i="12"/>
  <c r="AA147" i="12"/>
  <c r="AB147" i="12"/>
  <c r="AC147" i="12"/>
  <c r="AD147" i="12"/>
  <c r="W148" i="12"/>
  <c r="X148" i="12"/>
  <c r="Y148" i="12"/>
  <c r="Z148" i="12"/>
  <c r="AA148" i="12"/>
  <c r="AB148" i="12"/>
  <c r="AC148" i="12"/>
  <c r="AD148" i="12"/>
  <c r="W149" i="12"/>
  <c r="X149" i="12"/>
  <c r="Y149" i="12"/>
  <c r="Z149" i="12"/>
  <c r="AA149" i="12"/>
  <c r="AB149" i="12"/>
  <c r="AC149" i="12"/>
  <c r="AD149" i="12"/>
  <c r="W150" i="12"/>
  <c r="X150" i="12"/>
  <c r="Y150" i="12"/>
  <c r="Z150" i="12"/>
  <c r="AA150" i="12"/>
  <c r="AB150" i="12"/>
  <c r="AC150" i="12"/>
  <c r="AD150" i="12"/>
  <c r="W151" i="12"/>
  <c r="X151" i="12"/>
  <c r="Y151" i="12"/>
  <c r="Z151" i="12"/>
  <c r="AA151" i="12"/>
  <c r="AB151" i="12"/>
  <c r="AC151" i="12"/>
  <c r="AD151" i="12"/>
  <c r="W152" i="12"/>
  <c r="X152" i="12"/>
  <c r="Y152" i="12"/>
  <c r="Z152" i="12"/>
  <c r="AA152" i="12"/>
  <c r="AB152" i="12"/>
  <c r="AC152" i="12"/>
  <c r="AD152" i="12"/>
  <c r="W153" i="12"/>
  <c r="X153" i="12"/>
  <c r="Y153" i="12"/>
  <c r="Z153" i="12"/>
  <c r="AA153" i="12"/>
  <c r="AB153" i="12"/>
  <c r="AC153" i="12"/>
  <c r="AD153" i="12"/>
  <c r="W154" i="12"/>
  <c r="X154" i="12"/>
  <c r="Y154" i="12"/>
  <c r="Z154" i="12"/>
  <c r="AA154" i="12"/>
  <c r="AB154" i="12"/>
  <c r="AC154" i="12"/>
  <c r="AD154" i="12"/>
  <c r="W155" i="12"/>
  <c r="X155" i="12"/>
  <c r="Y155" i="12"/>
  <c r="Z155" i="12"/>
  <c r="AA155" i="12"/>
  <c r="AB155" i="12"/>
  <c r="AC155" i="12"/>
  <c r="AD155" i="12"/>
  <c r="W156" i="12"/>
  <c r="X156" i="12"/>
  <c r="Y156" i="12"/>
  <c r="Z156" i="12"/>
  <c r="AA156" i="12"/>
  <c r="AB156" i="12"/>
  <c r="AC156" i="12"/>
  <c r="AD156" i="12"/>
  <c r="W157" i="12"/>
  <c r="X157" i="12"/>
  <c r="Y157" i="12"/>
  <c r="Z157" i="12"/>
  <c r="AA157" i="12"/>
  <c r="AB157" i="12"/>
  <c r="AC157" i="12"/>
  <c r="AD157" i="12"/>
  <c r="W158" i="12"/>
  <c r="X158" i="12"/>
  <c r="Y158" i="12"/>
  <c r="Z158" i="12"/>
  <c r="AA158" i="12"/>
  <c r="AB158" i="12"/>
  <c r="AC158" i="12"/>
  <c r="AD158" i="12"/>
  <c r="W159" i="12"/>
  <c r="X159" i="12"/>
  <c r="Y159" i="12"/>
  <c r="Z159" i="12"/>
  <c r="AA159" i="12"/>
  <c r="AB159" i="12"/>
  <c r="AC159" i="12"/>
  <c r="AD159" i="12"/>
  <c r="W160" i="12"/>
  <c r="X160" i="12"/>
  <c r="Y160" i="12"/>
  <c r="Z160" i="12"/>
  <c r="AA160" i="12"/>
  <c r="AB160" i="12"/>
  <c r="AC160" i="12"/>
  <c r="AD160" i="12"/>
  <c r="W161" i="12"/>
  <c r="X161" i="12"/>
  <c r="Y161" i="12"/>
  <c r="Z161" i="12"/>
  <c r="AA161" i="12"/>
  <c r="AB161" i="12"/>
  <c r="AC161" i="12"/>
  <c r="AD161" i="12"/>
  <c r="W162" i="12"/>
  <c r="X162" i="12"/>
  <c r="Y162" i="12"/>
  <c r="Z162" i="12"/>
  <c r="AA162" i="12"/>
  <c r="AB162" i="12"/>
  <c r="AC162" i="12"/>
  <c r="AD162" i="12"/>
  <c r="W163" i="12"/>
  <c r="X163" i="12"/>
  <c r="Y163" i="12"/>
  <c r="Z163" i="12"/>
  <c r="AA163" i="12"/>
  <c r="AB163" i="12"/>
  <c r="AC163" i="12"/>
  <c r="AD163" i="12"/>
  <c r="W164" i="12"/>
  <c r="X164" i="12"/>
  <c r="Y164" i="12"/>
  <c r="Z164" i="12"/>
  <c r="AA164" i="12"/>
  <c r="AB164" i="12"/>
  <c r="AC164" i="12"/>
  <c r="AD164" i="12"/>
  <c r="W165" i="12"/>
  <c r="X165" i="12"/>
  <c r="Y165" i="12"/>
  <c r="Z165" i="12"/>
  <c r="AA165" i="12"/>
  <c r="AB165" i="12"/>
  <c r="AC165" i="12"/>
  <c r="AD165" i="12"/>
  <c r="W166" i="12"/>
  <c r="X166" i="12"/>
  <c r="Y166" i="12"/>
  <c r="Z166" i="12"/>
  <c r="AA166" i="12"/>
  <c r="AB166" i="12"/>
  <c r="AC166" i="12"/>
  <c r="AD166" i="12"/>
  <c r="W167" i="12"/>
  <c r="X167" i="12"/>
  <c r="Y167" i="12"/>
  <c r="Z167" i="12"/>
  <c r="AA167" i="12"/>
  <c r="AB167" i="12"/>
  <c r="AC167" i="12"/>
  <c r="AD167" i="12"/>
  <c r="W168" i="12"/>
  <c r="X168" i="12"/>
  <c r="Y168" i="12"/>
  <c r="Z168" i="12"/>
  <c r="AA168" i="12"/>
  <c r="AB168" i="12"/>
  <c r="AC168" i="12"/>
  <c r="AD168" i="12"/>
  <c r="W169" i="12"/>
  <c r="X169" i="12"/>
  <c r="Y169" i="12"/>
  <c r="Z169" i="12"/>
  <c r="AA169" i="12"/>
  <c r="AB169" i="12"/>
  <c r="AC169" i="12"/>
  <c r="AD169" i="12"/>
  <c r="W170" i="12"/>
  <c r="X170" i="12"/>
  <c r="Y170" i="12"/>
  <c r="Z170" i="12"/>
  <c r="AA170" i="12"/>
  <c r="AB170" i="12"/>
  <c r="AC170" i="12"/>
  <c r="AD170" i="12"/>
  <c r="W171" i="12"/>
  <c r="X171" i="12"/>
  <c r="Y171" i="12"/>
  <c r="Z171" i="12"/>
  <c r="AA171" i="12"/>
  <c r="AB171" i="12"/>
  <c r="AC171" i="12"/>
  <c r="AD171" i="12"/>
  <c r="W172" i="12"/>
  <c r="X172" i="12"/>
  <c r="Y172" i="12"/>
  <c r="Z172" i="12"/>
  <c r="AA172" i="12"/>
  <c r="AB172" i="12"/>
  <c r="AC172" i="12"/>
  <c r="AD172" i="12"/>
  <c r="W173" i="12"/>
  <c r="X173" i="12"/>
  <c r="Y173" i="12"/>
  <c r="Z173" i="12"/>
  <c r="AA173" i="12"/>
  <c r="AB173" i="12"/>
  <c r="AC173" i="12"/>
  <c r="AD173" i="12"/>
  <c r="W174" i="12"/>
  <c r="X174" i="12"/>
  <c r="Y174" i="12"/>
  <c r="Z174" i="12"/>
  <c r="AA174" i="12"/>
  <c r="AB174" i="12"/>
  <c r="AC174" i="12"/>
  <c r="AD174" i="12"/>
  <c r="W175" i="12"/>
  <c r="X175" i="12"/>
  <c r="Y175" i="12"/>
  <c r="Z175" i="12"/>
  <c r="AA175" i="12"/>
  <c r="AB175" i="12"/>
  <c r="AC175" i="12"/>
  <c r="AD175" i="12"/>
  <c r="W176" i="12"/>
  <c r="X176" i="12"/>
  <c r="Y176" i="12"/>
  <c r="Z176" i="12"/>
  <c r="AA176" i="12"/>
  <c r="AB176" i="12"/>
  <c r="AC176" i="12"/>
  <c r="AD176" i="12"/>
  <c r="W177" i="12"/>
  <c r="X177" i="12"/>
  <c r="Y177" i="12"/>
  <c r="Z177" i="12"/>
  <c r="AA177" i="12"/>
  <c r="AB177" i="12"/>
  <c r="AC177" i="12"/>
  <c r="AD177" i="12"/>
  <c r="W178" i="12"/>
  <c r="X178" i="12"/>
  <c r="Y178" i="12"/>
  <c r="Z178" i="12"/>
  <c r="AA178" i="12"/>
  <c r="AB178" i="12"/>
  <c r="AC178" i="12"/>
  <c r="AD178" i="12"/>
  <c r="W179" i="12"/>
  <c r="X179" i="12"/>
  <c r="Y179" i="12"/>
  <c r="Z179" i="12"/>
  <c r="AA179" i="12"/>
  <c r="AB179" i="12"/>
  <c r="AC179" i="12"/>
  <c r="AD179" i="12"/>
  <c r="W180" i="12"/>
  <c r="X180" i="12"/>
  <c r="Y180" i="12"/>
  <c r="Z180" i="12"/>
  <c r="AA180" i="12"/>
  <c r="AB180" i="12"/>
  <c r="AC180" i="12"/>
  <c r="AD180" i="12"/>
  <c r="W181" i="12"/>
  <c r="X181" i="12"/>
  <c r="Y181" i="12"/>
  <c r="Z181" i="12"/>
  <c r="AA181" i="12"/>
  <c r="AB181" i="12"/>
  <c r="AC181" i="12"/>
  <c r="AD181" i="12"/>
  <c r="W182" i="12"/>
  <c r="X182" i="12"/>
  <c r="Y182" i="12"/>
  <c r="Z182" i="12"/>
  <c r="AA182" i="12"/>
  <c r="AB182" i="12"/>
  <c r="AC182" i="12"/>
  <c r="AD182" i="12"/>
  <c r="W183" i="12"/>
  <c r="X183" i="12"/>
  <c r="Y183" i="12"/>
  <c r="Z183" i="12"/>
  <c r="AA183" i="12"/>
  <c r="AB183" i="12"/>
  <c r="AC183" i="12"/>
  <c r="AD183" i="12"/>
  <c r="W184" i="12"/>
  <c r="X184" i="12"/>
  <c r="Y184" i="12"/>
  <c r="Z184" i="12"/>
  <c r="AA184" i="12"/>
  <c r="AB184" i="12"/>
  <c r="AC184" i="12"/>
  <c r="AD184" i="12"/>
  <c r="W185" i="12"/>
  <c r="X185" i="12"/>
  <c r="Y185" i="12"/>
  <c r="Z185" i="12"/>
  <c r="AA185" i="12"/>
  <c r="AB185" i="12"/>
  <c r="AC185" i="12"/>
  <c r="AD185" i="12"/>
  <c r="W186" i="12"/>
  <c r="X186" i="12"/>
  <c r="Y186" i="12"/>
  <c r="Z186" i="12"/>
  <c r="AA186" i="12"/>
  <c r="AB186" i="12"/>
  <c r="AC186" i="12"/>
  <c r="AD186" i="12"/>
  <c r="W187" i="12"/>
  <c r="X187" i="12"/>
  <c r="Y187" i="12"/>
  <c r="Z187" i="12"/>
  <c r="AA187" i="12"/>
  <c r="AB187" i="12"/>
  <c r="AC187" i="12"/>
  <c r="AD187" i="12"/>
  <c r="W188" i="12"/>
  <c r="X188" i="12"/>
  <c r="Y188" i="12"/>
  <c r="Z188" i="12"/>
  <c r="AA188" i="12"/>
  <c r="AB188" i="12"/>
  <c r="AC188" i="12"/>
  <c r="AD188" i="12"/>
  <c r="W189" i="12"/>
  <c r="X189" i="12"/>
  <c r="Y189" i="12"/>
  <c r="Z189" i="12"/>
  <c r="AA189" i="12"/>
  <c r="AB189" i="12"/>
  <c r="AC189" i="12"/>
  <c r="AD189" i="12"/>
  <c r="W190" i="12"/>
  <c r="X190" i="12"/>
  <c r="Y190" i="12"/>
  <c r="Z190" i="12"/>
  <c r="AA190" i="12"/>
  <c r="AB190" i="12"/>
  <c r="AC190" i="12"/>
  <c r="AD190" i="12"/>
  <c r="W191" i="12"/>
  <c r="X191" i="12"/>
  <c r="Y191" i="12"/>
  <c r="Z191" i="12"/>
  <c r="AA191" i="12"/>
  <c r="AB191" i="12"/>
  <c r="AC191" i="12"/>
  <c r="AD191" i="12"/>
  <c r="W192" i="12"/>
  <c r="X192" i="12"/>
  <c r="Y192" i="12"/>
  <c r="Z192" i="12"/>
  <c r="AA192" i="12"/>
  <c r="AB192" i="12"/>
  <c r="AC192" i="12"/>
  <c r="AD192" i="12"/>
  <c r="W193" i="12"/>
  <c r="X193" i="12"/>
  <c r="Y193" i="12"/>
  <c r="Z193" i="12"/>
  <c r="AA193" i="12"/>
  <c r="AB193" i="12"/>
  <c r="AC193" i="12"/>
  <c r="AD193" i="12"/>
  <c r="W194" i="12"/>
  <c r="X194" i="12"/>
  <c r="Y194" i="12"/>
  <c r="Z194" i="12"/>
  <c r="AA194" i="12"/>
  <c r="AB194" i="12"/>
  <c r="AC194" i="12"/>
  <c r="AD194" i="12"/>
  <c r="W195" i="12"/>
  <c r="X195" i="12"/>
  <c r="Y195" i="12"/>
  <c r="Z195" i="12"/>
  <c r="AA195" i="12"/>
  <c r="AB195" i="12"/>
  <c r="AC195" i="12"/>
  <c r="AD195" i="12"/>
  <c r="W196" i="12"/>
  <c r="X196" i="12"/>
  <c r="Y196" i="12"/>
  <c r="Z196" i="12"/>
  <c r="AA196" i="12"/>
  <c r="AB196" i="12"/>
  <c r="AC196" i="12"/>
  <c r="AD196" i="12"/>
  <c r="W197" i="12"/>
  <c r="X197" i="12"/>
  <c r="Y197" i="12"/>
  <c r="Z197" i="12"/>
  <c r="AA197" i="12"/>
  <c r="AB197" i="12"/>
  <c r="AC197" i="12"/>
  <c r="AD197" i="12"/>
  <c r="W198" i="12"/>
  <c r="X198" i="12"/>
  <c r="Y198" i="12"/>
  <c r="Z198" i="12"/>
  <c r="AA198" i="12"/>
  <c r="AB198" i="12"/>
  <c r="AC198" i="12"/>
  <c r="AD198" i="12"/>
  <c r="W199" i="12"/>
  <c r="X199" i="12"/>
  <c r="Y199" i="12"/>
  <c r="Z199" i="12"/>
  <c r="AA199" i="12"/>
  <c r="AB199" i="12"/>
  <c r="AC199" i="12"/>
  <c r="AD199" i="12"/>
  <c r="W200" i="12"/>
  <c r="X200" i="12"/>
  <c r="Y200" i="12"/>
  <c r="Z200" i="12"/>
  <c r="AA200" i="12"/>
  <c r="AB200" i="12"/>
  <c r="AC200" i="12"/>
  <c r="AD200" i="12"/>
  <c r="W201" i="12"/>
  <c r="X201" i="12"/>
  <c r="Y201" i="12"/>
  <c r="Z201" i="12"/>
  <c r="AA201" i="12"/>
  <c r="AB201" i="12"/>
  <c r="AC201" i="12"/>
  <c r="AD201" i="12"/>
  <c r="W202" i="12"/>
  <c r="X202" i="12"/>
  <c r="Y202" i="12"/>
  <c r="Z202" i="12"/>
  <c r="AA202" i="12"/>
  <c r="AB202" i="12"/>
  <c r="AC202" i="12"/>
  <c r="AD202" i="12"/>
  <c r="W203" i="12"/>
  <c r="X203" i="12"/>
  <c r="Y203" i="12"/>
  <c r="Z203" i="12"/>
  <c r="AA203" i="12"/>
  <c r="AB203" i="12"/>
  <c r="AC203" i="12"/>
  <c r="AD203" i="12"/>
  <c r="W204" i="12"/>
  <c r="X204" i="12"/>
  <c r="Y204" i="12"/>
  <c r="Z204" i="12"/>
  <c r="AA204" i="12"/>
  <c r="AB204" i="12"/>
  <c r="AC204" i="12"/>
  <c r="AD204" i="12"/>
  <c r="W205" i="12"/>
  <c r="X205" i="12"/>
  <c r="Y205" i="12"/>
  <c r="Z205" i="12"/>
  <c r="AA205" i="12"/>
  <c r="AB205" i="12"/>
  <c r="AC205" i="12"/>
  <c r="AD205" i="12"/>
  <c r="W206" i="12"/>
  <c r="X206" i="12"/>
  <c r="Y206" i="12"/>
  <c r="Z206" i="12"/>
  <c r="AA206" i="12"/>
  <c r="AB206" i="12"/>
  <c r="AC206" i="12"/>
  <c r="AD206" i="12"/>
  <c r="W207" i="12"/>
  <c r="X207" i="12"/>
  <c r="Y207" i="12"/>
  <c r="Z207" i="12"/>
  <c r="AA207" i="12"/>
  <c r="AB207" i="12"/>
  <c r="AC207" i="12"/>
  <c r="AD207" i="12"/>
  <c r="W208" i="12"/>
  <c r="X208" i="12"/>
  <c r="Y208" i="12"/>
  <c r="Z208" i="12"/>
  <c r="AA208" i="12"/>
  <c r="AB208" i="12"/>
  <c r="AC208" i="12"/>
  <c r="AD208" i="12"/>
  <c r="W209" i="12"/>
  <c r="X209" i="12"/>
  <c r="Y209" i="12"/>
  <c r="Z209" i="12"/>
  <c r="AA209" i="12"/>
  <c r="AB209" i="12"/>
  <c r="AC209" i="12"/>
  <c r="AD209" i="12"/>
  <c r="W210" i="12"/>
  <c r="X210" i="12"/>
  <c r="Y210" i="12"/>
  <c r="Z210" i="12"/>
  <c r="AA210" i="12"/>
  <c r="AB210" i="12"/>
  <c r="AC210" i="12"/>
  <c r="AD210" i="12"/>
  <c r="W211" i="12"/>
  <c r="X211" i="12"/>
  <c r="Y211" i="12"/>
  <c r="Z211" i="12"/>
  <c r="AA211" i="12"/>
  <c r="AB211" i="12"/>
  <c r="AC211" i="12"/>
  <c r="AD211" i="12"/>
  <c r="W212" i="12"/>
  <c r="X212" i="12"/>
  <c r="Y212" i="12"/>
  <c r="Z212" i="12"/>
  <c r="AA212" i="12"/>
  <c r="AB212" i="12"/>
  <c r="AC212" i="12"/>
  <c r="AD212" i="12"/>
  <c r="W213" i="12"/>
  <c r="X213" i="12"/>
  <c r="Y213" i="12"/>
  <c r="Z213" i="12"/>
  <c r="AA213" i="12"/>
  <c r="AB213" i="12"/>
  <c r="AC213" i="12"/>
  <c r="AD213" i="12"/>
  <c r="W214" i="12"/>
  <c r="X214" i="12"/>
  <c r="Y214" i="12"/>
  <c r="Z214" i="12"/>
  <c r="AA214" i="12"/>
  <c r="AB214" i="12"/>
  <c r="AC214" i="12"/>
  <c r="AD214" i="12"/>
  <c r="W215" i="12"/>
  <c r="X215" i="12"/>
  <c r="Y215" i="12"/>
  <c r="Z215" i="12"/>
  <c r="AA215" i="12"/>
  <c r="AB215" i="12"/>
  <c r="AC215" i="12"/>
  <c r="AD215" i="12"/>
  <c r="W216" i="12"/>
  <c r="X216" i="12"/>
  <c r="Y216" i="12"/>
  <c r="Z216" i="12"/>
  <c r="AA216" i="12"/>
  <c r="AB216" i="12"/>
  <c r="AC216" i="12"/>
  <c r="AD216" i="12"/>
  <c r="W217" i="12"/>
  <c r="X217" i="12"/>
  <c r="Y217" i="12"/>
  <c r="Z217" i="12"/>
  <c r="AA217" i="12"/>
  <c r="AB217" i="12"/>
  <c r="AC217" i="12"/>
  <c r="AD217" i="12"/>
  <c r="W218" i="12"/>
  <c r="X218" i="12"/>
  <c r="Y218" i="12"/>
  <c r="Z218" i="12"/>
  <c r="AA218" i="12"/>
  <c r="AB218" i="12"/>
  <c r="AC218" i="12"/>
  <c r="AD218" i="12"/>
  <c r="W219" i="12"/>
  <c r="X219" i="12"/>
  <c r="Y219" i="12"/>
  <c r="Z219" i="12"/>
  <c r="AA219" i="12"/>
  <c r="AB219" i="12"/>
  <c r="AC219" i="12"/>
  <c r="AD219" i="12"/>
  <c r="W220" i="12"/>
  <c r="X220" i="12"/>
  <c r="Y220" i="12"/>
  <c r="Z220" i="12"/>
  <c r="AA220" i="12"/>
  <c r="AB220" i="12"/>
  <c r="AC220" i="12"/>
  <c r="AD220" i="12"/>
  <c r="W221" i="12"/>
  <c r="X221" i="12"/>
  <c r="Y221" i="12"/>
  <c r="Z221" i="12"/>
  <c r="AA221" i="12"/>
  <c r="AB221" i="12"/>
  <c r="AC221" i="12"/>
  <c r="AD221" i="12"/>
  <c r="W222" i="12"/>
  <c r="X222" i="12"/>
  <c r="Y222" i="12"/>
  <c r="Z222" i="12"/>
  <c r="AA222" i="12"/>
  <c r="AB222" i="12"/>
  <c r="AC222" i="12"/>
  <c r="AD222" i="12"/>
  <c r="W223" i="12"/>
  <c r="X223" i="12"/>
  <c r="Y223" i="12"/>
  <c r="Z223" i="12"/>
  <c r="AA223" i="12"/>
  <c r="AB223" i="12"/>
  <c r="AC223" i="12"/>
  <c r="AD223" i="12"/>
  <c r="W224" i="12"/>
  <c r="X224" i="12"/>
  <c r="Y224" i="12"/>
  <c r="Z224" i="12"/>
  <c r="AA224" i="12"/>
  <c r="AB224" i="12"/>
  <c r="AC224" i="12"/>
  <c r="AD224" i="12"/>
  <c r="W225" i="12"/>
  <c r="X225" i="12"/>
  <c r="Y225" i="12"/>
  <c r="Z225" i="12"/>
  <c r="AA225" i="12"/>
  <c r="AB225" i="12"/>
  <c r="AC225" i="12"/>
  <c r="AD225" i="12"/>
  <c r="W226" i="12"/>
  <c r="X226" i="12"/>
  <c r="Y226" i="12"/>
  <c r="Z226" i="12"/>
  <c r="AA226" i="12"/>
  <c r="AB226" i="12"/>
  <c r="AC226" i="12"/>
  <c r="AD226" i="12"/>
  <c r="W227" i="12"/>
  <c r="X227" i="12"/>
  <c r="Y227" i="12"/>
  <c r="Z227" i="12"/>
  <c r="AA227" i="12"/>
  <c r="AB227" i="12"/>
  <c r="AC227" i="12"/>
  <c r="AD227" i="12"/>
  <c r="W228" i="12"/>
  <c r="X228" i="12"/>
  <c r="Y228" i="12"/>
  <c r="Z228" i="12"/>
  <c r="AA228" i="12"/>
  <c r="AB228" i="12"/>
  <c r="AC228" i="12"/>
  <c r="AD228" i="12"/>
  <c r="W229" i="12"/>
  <c r="X229" i="12"/>
  <c r="Y229" i="12"/>
  <c r="Z229" i="12"/>
  <c r="AA229" i="12"/>
  <c r="AB229" i="12"/>
  <c r="AC229" i="12"/>
  <c r="AD229" i="12"/>
  <c r="W230" i="12"/>
  <c r="X230" i="12"/>
  <c r="Y230" i="12"/>
  <c r="Z230" i="12"/>
  <c r="AA230" i="12"/>
  <c r="AB230" i="12"/>
  <c r="AC230" i="12"/>
  <c r="AD230" i="12"/>
  <c r="W231" i="12"/>
  <c r="X231" i="12"/>
  <c r="Y231" i="12"/>
  <c r="Z231" i="12"/>
  <c r="AA231" i="12"/>
  <c r="AB231" i="12"/>
  <c r="AC231" i="12"/>
  <c r="AD231" i="12"/>
  <c r="W232" i="12"/>
  <c r="X232" i="12"/>
  <c r="Y232" i="12"/>
  <c r="Z232" i="12"/>
  <c r="AA232" i="12"/>
  <c r="AB232" i="12"/>
  <c r="AC232" i="12"/>
  <c r="AD232" i="12"/>
  <c r="W233" i="12"/>
  <c r="X233" i="12"/>
  <c r="Y233" i="12"/>
  <c r="Z233" i="12"/>
  <c r="AA233" i="12"/>
  <c r="AB233" i="12"/>
  <c r="AC233" i="12"/>
  <c r="AD233" i="12"/>
  <c r="W234" i="12"/>
  <c r="X234" i="12"/>
  <c r="Y234" i="12"/>
  <c r="Z234" i="12"/>
  <c r="AA234" i="12"/>
  <c r="AB234" i="12"/>
  <c r="AC234" i="12"/>
  <c r="AD234" i="12"/>
  <c r="W235" i="12"/>
  <c r="X235" i="12"/>
  <c r="Y235" i="12"/>
  <c r="Z235" i="12"/>
  <c r="AA235" i="12"/>
  <c r="AB235" i="12"/>
  <c r="AC235" i="12"/>
  <c r="AD235" i="12"/>
  <c r="W236" i="12"/>
  <c r="X236" i="12"/>
  <c r="Y236" i="12"/>
  <c r="Z236" i="12"/>
  <c r="AA236" i="12"/>
  <c r="AB236" i="12"/>
  <c r="AC236" i="12"/>
  <c r="AD236" i="12"/>
  <c r="W237" i="12"/>
  <c r="X237" i="12"/>
  <c r="Y237" i="12"/>
  <c r="Z237" i="12"/>
  <c r="AA237" i="12"/>
  <c r="AB237" i="12"/>
  <c r="AC237" i="12"/>
  <c r="AD237" i="12"/>
  <c r="W238" i="12"/>
  <c r="X238" i="12"/>
  <c r="Y238" i="12"/>
  <c r="Z238" i="12"/>
  <c r="AA238" i="12"/>
  <c r="AB238" i="12"/>
  <c r="AC238" i="12"/>
  <c r="AD238" i="12"/>
  <c r="W239" i="12"/>
  <c r="X239" i="12"/>
  <c r="Y239" i="12"/>
  <c r="Z239" i="12"/>
  <c r="AA239" i="12"/>
  <c r="AB239" i="12"/>
  <c r="AC239" i="12"/>
  <c r="AD239" i="12"/>
  <c r="W240" i="12"/>
  <c r="X240" i="12"/>
  <c r="Y240" i="12"/>
  <c r="Z240" i="12"/>
  <c r="AA240" i="12"/>
  <c r="AB240" i="12"/>
  <c r="AC240" i="12"/>
  <c r="AD240" i="12"/>
  <c r="W241" i="12"/>
  <c r="X241" i="12"/>
  <c r="Y241" i="12"/>
  <c r="Z241" i="12"/>
  <c r="AA241" i="12"/>
  <c r="AB241" i="12"/>
  <c r="AC241" i="12"/>
  <c r="AD241" i="12"/>
  <c r="W242" i="12"/>
  <c r="X242" i="12"/>
  <c r="Y242" i="12"/>
  <c r="Z242" i="12"/>
  <c r="AA242" i="12"/>
  <c r="AB242" i="12"/>
  <c r="AC242" i="12"/>
  <c r="AD242" i="12"/>
  <c r="W243" i="12"/>
  <c r="X243" i="12"/>
  <c r="Y243" i="12"/>
  <c r="Z243" i="12"/>
  <c r="AA243" i="12"/>
  <c r="AB243" i="12"/>
  <c r="AC243" i="12"/>
  <c r="AD243" i="12"/>
  <c r="W244" i="12"/>
  <c r="X244" i="12"/>
  <c r="Y244" i="12"/>
  <c r="Z244" i="12"/>
  <c r="AA244" i="12"/>
  <c r="AB244" i="12"/>
  <c r="AC244" i="12"/>
  <c r="AD244" i="12"/>
  <c r="W245" i="12"/>
  <c r="X245" i="12"/>
  <c r="Y245" i="12"/>
  <c r="Z245" i="12"/>
  <c r="AA245" i="12"/>
  <c r="AB245" i="12"/>
  <c r="AC245" i="12"/>
  <c r="AD245" i="12"/>
  <c r="W246" i="12"/>
  <c r="X246" i="12"/>
  <c r="Y246" i="12"/>
  <c r="Z246" i="12"/>
  <c r="AA246" i="12"/>
  <c r="AB246" i="12"/>
  <c r="AC246" i="12"/>
  <c r="AD246" i="12"/>
  <c r="W247" i="12"/>
  <c r="X247" i="12"/>
  <c r="Y247" i="12"/>
  <c r="Z247" i="12"/>
  <c r="AA247" i="12"/>
  <c r="AB247" i="12"/>
  <c r="AC247" i="12"/>
  <c r="AD247" i="12"/>
  <c r="W248" i="12"/>
  <c r="X248" i="12"/>
  <c r="Y248" i="12"/>
  <c r="Z248" i="12"/>
  <c r="AA248" i="12"/>
  <c r="AB248" i="12"/>
  <c r="AC248" i="12"/>
  <c r="AD248" i="12"/>
  <c r="W249" i="12"/>
  <c r="X249" i="12"/>
  <c r="Y249" i="12"/>
  <c r="Z249" i="12"/>
  <c r="AA249" i="12"/>
  <c r="AB249" i="12"/>
  <c r="AC249" i="12"/>
  <c r="AD249" i="12"/>
  <c r="W250" i="12"/>
  <c r="X250" i="12"/>
  <c r="Y250" i="12"/>
  <c r="Z250" i="12"/>
  <c r="AA250" i="12"/>
  <c r="AB250" i="12"/>
  <c r="AC250" i="12"/>
  <c r="AD250" i="12"/>
  <c r="W251" i="12"/>
  <c r="X251" i="12"/>
  <c r="Y251" i="12"/>
  <c r="Z251" i="12"/>
  <c r="AA251" i="12"/>
  <c r="AB251" i="12"/>
  <c r="AC251" i="12"/>
  <c r="AD251" i="12"/>
  <c r="W252" i="12"/>
  <c r="X252" i="12"/>
  <c r="Y252" i="12"/>
  <c r="Z252" i="12"/>
  <c r="AA252" i="12"/>
  <c r="AB252" i="12"/>
  <c r="AC252" i="12"/>
  <c r="AD252" i="12"/>
  <c r="W253" i="12"/>
  <c r="X253" i="12"/>
  <c r="Y253" i="12"/>
  <c r="Z253" i="12"/>
  <c r="AA253" i="12"/>
  <c r="AB253" i="12"/>
  <c r="AC253" i="12"/>
  <c r="AD253" i="12"/>
  <c r="W254" i="12"/>
  <c r="X254" i="12"/>
  <c r="Y254" i="12"/>
  <c r="Z254" i="12"/>
  <c r="AA254" i="12"/>
  <c r="AB254" i="12"/>
  <c r="AC254" i="12"/>
  <c r="AD254" i="12"/>
  <c r="W255" i="12"/>
  <c r="X255" i="12"/>
  <c r="Y255" i="12"/>
  <c r="Z255" i="12"/>
  <c r="AA255" i="12"/>
  <c r="AB255" i="12"/>
  <c r="AC255" i="12"/>
  <c r="AD255" i="12"/>
  <c r="W256" i="12"/>
  <c r="X256" i="12"/>
  <c r="Y256" i="12"/>
  <c r="Z256" i="12"/>
  <c r="AA256" i="12"/>
  <c r="AB256" i="12"/>
  <c r="AC256" i="12"/>
  <c r="AD256" i="12"/>
  <c r="W257" i="12"/>
  <c r="X257" i="12"/>
  <c r="Y257" i="12"/>
  <c r="Z257" i="12"/>
  <c r="AA257" i="12"/>
  <c r="AB257" i="12"/>
  <c r="AC257" i="12"/>
  <c r="AD257" i="12"/>
  <c r="W258" i="12"/>
  <c r="X258" i="12"/>
  <c r="Y258" i="12"/>
  <c r="Z258" i="12"/>
  <c r="AA258" i="12"/>
  <c r="AB258" i="12"/>
  <c r="AC258" i="12"/>
  <c r="AD258" i="12"/>
  <c r="W259" i="12"/>
  <c r="X259" i="12"/>
  <c r="Y259" i="12"/>
  <c r="Z259" i="12"/>
  <c r="AA259" i="12"/>
  <c r="AB259" i="12"/>
  <c r="AC259" i="12"/>
  <c r="AD259" i="12"/>
  <c r="W260" i="12"/>
  <c r="X260" i="12"/>
  <c r="Y260" i="12"/>
  <c r="Z260" i="12"/>
  <c r="AA260" i="12"/>
  <c r="AB260" i="12"/>
  <c r="AC260" i="12"/>
  <c r="AD260" i="12"/>
  <c r="W261" i="12"/>
  <c r="X261" i="12"/>
  <c r="Y261" i="12"/>
  <c r="Z261" i="12"/>
  <c r="AA261" i="12"/>
  <c r="AB261" i="12"/>
  <c r="AC261" i="12"/>
  <c r="AD261" i="12"/>
  <c r="W262" i="12"/>
  <c r="X262" i="12"/>
  <c r="Y262" i="12"/>
  <c r="Z262" i="12"/>
  <c r="AA262" i="12"/>
  <c r="AB262" i="12"/>
  <c r="AC262" i="12"/>
  <c r="AD262" i="12"/>
  <c r="W263" i="12"/>
  <c r="X263" i="12"/>
  <c r="Y263" i="12"/>
  <c r="Z263" i="12"/>
  <c r="AA263" i="12"/>
  <c r="AB263" i="12"/>
  <c r="AC263" i="12"/>
  <c r="AD263" i="12"/>
  <c r="W264" i="12"/>
  <c r="X264" i="12"/>
  <c r="Y264" i="12"/>
  <c r="Z264" i="12"/>
  <c r="AA264" i="12"/>
  <c r="AB264" i="12"/>
  <c r="AC264" i="12"/>
  <c r="AD264" i="12"/>
  <c r="W265" i="12"/>
  <c r="X265" i="12"/>
  <c r="Y265" i="12"/>
  <c r="Z265" i="12"/>
  <c r="AA265" i="12"/>
  <c r="AB265" i="12"/>
  <c r="AC265" i="12"/>
  <c r="AD265" i="12"/>
  <c r="W266" i="12"/>
  <c r="X266" i="12"/>
  <c r="Y266" i="12"/>
  <c r="Z266" i="12"/>
  <c r="AA266" i="12"/>
  <c r="AB266" i="12"/>
  <c r="AC266" i="12"/>
  <c r="AD266" i="12"/>
  <c r="W267" i="12"/>
  <c r="X267" i="12"/>
  <c r="Y267" i="12"/>
  <c r="Z267" i="12"/>
  <c r="AA267" i="12"/>
  <c r="AB267" i="12"/>
  <c r="AC267" i="12"/>
  <c r="AD267" i="12"/>
  <c r="W268" i="12"/>
  <c r="X268" i="12"/>
  <c r="Y268" i="12"/>
  <c r="Z268" i="12"/>
  <c r="AA268" i="12"/>
  <c r="AB268" i="12"/>
  <c r="AC268" i="12"/>
  <c r="AD268" i="12"/>
  <c r="W269" i="12"/>
  <c r="X269" i="12"/>
  <c r="Y269" i="12"/>
  <c r="Z269" i="12"/>
  <c r="AA269" i="12"/>
  <c r="AB269" i="12"/>
  <c r="AC269" i="12"/>
  <c r="AD269" i="12"/>
  <c r="W270" i="12"/>
  <c r="X270" i="12"/>
  <c r="Y270" i="12"/>
  <c r="Z270" i="12"/>
  <c r="AA270" i="12"/>
  <c r="AB270" i="12"/>
  <c r="AC270" i="12"/>
  <c r="AD270" i="12"/>
  <c r="W271" i="12"/>
  <c r="X271" i="12"/>
  <c r="Y271" i="12"/>
  <c r="Z271" i="12"/>
  <c r="AA271" i="12"/>
  <c r="AB271" i="12"/>
  <c r="AC271" i="12"/>
  <c r="AD271" i="12"/>
  <c r="W272" i="12"/>
  <c r="X272" i="12"/>
  <c r="Y272" i="12"/>
  <c r="Z272" i="12"/>
  <c r="AA272" i="12"/>
  <c r="AB272" i="12"/>
  <c r="AC272" i="12"/>
  <c r="AD272" i="12"/>
  <c r="W273" i="12"/>
  <c r="X273" i="12"/>
  <c r="Y273" i="12"/>
  <c r="Z273" i="12"/>
  <c r="AA273" i="12"/>
  <c r="AB273" i="12"/>
  <c r="AC273" i="12"/>
  <c r="AD273" i="12"/>
  <c r="W274" i="12"/>
  <c r="X274" i="12"/>
  <c r="Y274" i="12"/>
  <c r="Z274" i="12"/>
  <c r="AA274" i="12"/>
  <c r="AB274" i="12"/>
  <c r="AC274" i="12"/>
  <c r="AD274" i="12"/>
  <c r="W275" i="12"/>
  <c r="X275" i="12"/>
  <c r="Y275" i="12"/>
  <c r="Z275" i="12"/>
  <c r="AA275" i="12"/>
  <c r="AB275" i="12"/>
  <c r="AC275" i="12"/>
  <c r="AD275" i="12"/>
  <c r="W276" i="12"/>
  <c r="X276" i="12"/>
  <c r="Y276" i="12"/>
  <c r="Z276" i="12"/>
  <c r="AA276" i="12"/>
  <c r="AB276" i="12"/>
  <c r="AC276" i="12"/>
  <c r="AD276" i="12"/>
  <c r="W277" i="12"/>
  <c r="X277" i="12"/>
  <c r="Y277" i="12"/>
  <c r="Z277" i="12"/>
  <c r="AA277" i="12"/>
  <c r="AB277" i="12"/>
  <c r="AC277" i="12"/>
  <c r="AD277" i="12"/>
  <c r="W278" i="12"/>
  <c r="X278" i="12"/>
  <c r="Y278" i="12"/>
  <c r="Z278" i="12"/>
  <c r="AA278" i="12"/>
  <c r="AB278" i="12"/>
  <c r="AC278" i="12"/>
  <c r="AD278" i="12"/>
  <c r="W279" i="12"/>
  <c r="X279" i="12"/>
  <c r="Y279" i="12"/>
  <c r="Z279" i="12"/>
  <c r="AA279" i="12"/>
  <c r="AB279" i="12"/>
  <c r="AC279" i="12"/>
  <c r="AD279" i="12"/>
  <c r="W280" i="12"/>
  <c r="X280" i="12"/>
  <c r="Y280" i="12"/>
  <c r="Z280" i="12"/>
  <c r="AA280" i="12"/>
  <c r="AB280" i="12"/>
  <c r="AC280" i="12"/>
  <c r="AD280" i="12"/>
  <c r="W281" i="12"/>
  <c r="X281" i="12"/>
  <c r="Y281" i="12"/>
  <c r="Z281" i="12"/>
  <c r="AA281" i="12"/>
  <c r="AB281" i="12"/>
  <c r="AC281" i="12"/>
  <c r="AD281" i="12"/>
  <c r="W282" i="12"/>
  <c r="X282" i="12"/>
  <c r="Y282" i="12"/>
  <c r="Z282" i="12"/>
  <c r="AA282" i="12"/>
  <c r="AB282" i="12"/>
  <c r="AC282" i="12"/>
  <c r="AD282" i="12"/>
  <c r="W283" i="12"/>
  <c r="X283" i="12"/>
  <c r="Y283" i="12"/>
  <c r="Z283" i="12"/>
  <c r="AA283" i="12"/>
  <c r="AB283" i="12"/>
  <c r="AC283" i="12"/>
  <c r="AD283" i="12"/>
  <c r="W284" i="12"/>
  <c r="X284" i="12"/>
  <c r="Y284" i="12"/>
  <c r="Z284" i="12"/>
  <c r="AA284" i="12"/>
  <c r="AB284" i="12"/>
  <c r="AC284" i="12"/>
  <c r="AD284" i="12"/>
  <c r="W285" i="12"/>
  <c r="X285" i="12"/>
  <c r="Y285" i="12"/>
  <c r="Z285" i="12"/>
  <c r="AA285" i="12"/>
  <c r="AB285" i="12"/>
  <c r="AC285" i="12"/>
  <c r="AD285" i="12"/>
  <c r="W286" i="12"/>
  <c r="X286" i="12"/>
  <c r="Y286" i="12"/>
  <c r="Z286" i="12"/>
  <c r="AA286" i="12"/>
  <c r="AB286" i="12"/>
  <c r="AC286" i="12"/>
  <c r="AD286" i="12"/>
  <c r="W287" i="12"/>
  <c r="X287" i="12"/>
  <c r="Y287" i="12"/>
  <c r="Z287" i="12"/>
  <c r="AA287" i="12"/>
  <c r="AB287" i="12"/>
  <c r="AC287" i="12"/>
  <c r="AD287" i="12"/>
  <c r="W288" i="12"/>
  <c r="X288" i="12"/>
  <c r="Y288" i="12"/>
  <c r="Z288" i="12"/>
  <c r="AA288" i="12"/>
  <c r="AB288" i="12"/>
  <c r="AC288" i="12"/>
  <c r="AD288" i="12"/>
  <c r="W289" i="12"/>
  <c r="X289" i="12"/>
  <c r="Y289" i="12"/>
  <c r="Z289" i="12"/>
  <c r="AA289" i="12"/>
  <c r="AB289" i="12"/>
  <c r="AC289" i="12"/>
  <c r="AD289" i="12"/>
  <c r="W290" i="12"/>
  <c r="X290" i="12"/>
  <c r="Y290" i="12"/>
  <c r="Z290" i="12"/>
  <c r="AA290" i="12"/>
  <c r="AB290" i="12"/>
  <c r="AC290" i="12"/>
  <c r="AD290" i="12"/>
  <c r="W291" i="12"/>
  <c r="X291" i="12"/>
  <c r="Y291" i="12"/>
  <c r="Z291" i="12"/>
  <c r="AA291" i="12"/>
  <c r="AB291" i="12"/>
  <c r="AC291" i="12"/>
  <c r="AD291" i="12"/>
  <c r="W292" i="12"/>
  <c r="X292" i="12"/>
  <c r="Y292" i="12"/>
  <c r="Z292" i="12"/>
  <c r="AA292" i="12"/>
  <c r="AB292" i="12"/>
  <c r="AC292" i="12"/>
  <c r="AD292" i="12"/>
  <c r="W293" i="12"/>
  <c r="X293" i="12"/>
  <c r="Y293" i="12"/>
  <c r="Z293" i="12"/>
  <c r="AA293" i="12"/>
  <c r="AB293" i="12"/>
  <c r="AC293" i="12"/>
  <c r="AD293" i="12"/>
  <c r="W294" i="12"/>
  <c r="X294" i="12"/>
  <c r="Y294" i="12"/>
  <c r="Z294" i="12"/>
  <c r="AA294" i="12"/>
  <c r="AB294" i="12"/>
  <c r="AC294" i="12"/>
  <c r="AD294" i="12"/>
  <c r="W295" i="12"/>
  <c r="X295" i="12"/>
  <c r="Y295" i="12"/>
  <c r="Z295" i="12"/>
  <c r="AA295" i="12"/>
  <c r="AB295" i="12"/>
  <c r="AC295" i="12"/>
  <c r="AD295" i="12"/>
  <c r="W296" i="12"/>
  <c r="X296" i="12"/>
  <c r="Y296" i="12"/>
  <c r="Z296" i="12"/>
  <c r="AA296" i="12"/>
  <c r="AB296" i="12"/>
  <c r="AC296" i="12"/>
  <c r="AD296" i="12"/>
  <c r="W297" i="12"/>
  <c r="X297" i="12"/>
  <c r="Y297" i="12"/>
  <c r="Z297" i="12"/>
  <c r="AA297" i="12"/>
  <c r="AB297" i="12"/>
  <c r="AC297" i="12"/>
  <c r="AD297" i="12"/>
  <c r="W298" i="12"/>
  <c r="X298" i="12"/>
  <c r="Y298" i="12"/>
  <c r="Z298" i="12"/>
  <c r="AA298" i="12"/>
  <c r="AB298" i="12"/>
  <c r="AC298" i="12"/>
  <c r="AD298" i="12"/>
  <c r="W299" i="12"/>
  <c r="X299" i="12"/>
  <c r="Y299" i="12"/>
  <c r="Z299" i="12"/>
  <c r="AA299" i="12"/>
  <c r="AB299" i="12"/>
  <c r="AC299" i="12"/>
  <c r="AD299" i="12"/>
  <c r="W300" i="12"/>
  <c r="X300" i="12"/>
  <c r="Y300" i="12"/>
  <c r="Z300" i="12"/>
  <c r="AA300" i="12"/>
  <c r="AB300" i="12"/>
  <c r="AC300" i="12"/>
  <c r="AD300" i="12"/>
  <c r="W301" i="12"/>
  <c r="X301" i="12"/>
  <c r="Y301" i="12"/>
  <c r="Z301" i="12"/>
  <c r="AA301" i="12"/>
  <c r="AB301" i="12"/>
  <c r="AC301" i="12"/>
  <c r="AD301" i="12"/>
  <c r="W302" i="12"/>
  <c r="X302" i="12"/>
  <c r="Y302" i="12"/>
  <c r="Z302" i="12"/>
  <c r="AA302" i="12"/>
  <c r="AB302" i="12"/>
  <c r="AC302" i="12"/>
  <c r="AD302" i="12"/>
  <c r="W303" i="12"/>
  <c r="X303" i="12"/>
  <c r="Y303" i="12"/>
  <c r="Z303" i="12"/>
  <c r="AA303" i="12"/>
  <c r="AB303" i="12"/>
  <c r="AC303" i="12"/>
  <c r="AD303" i="12"/>
  <c r="W304" i="12"/>
  <c r="X304" i="12"/>
  <c r="Y304" i="12"/>
  <c r="Z304" i="12"/>
  <c r="AA304" i="12"/>
  <c r="AB304" i="12"/>
  <c r="AC304" i="12"/>
  <c r="AD304" i="12"/>
  <c r="W305" i="12"/>
  <c r="X305" i="12"/>
  <c r="Y305" i="12"/>
  <c r="Z305" i="12"/>
  <c r="AA305" i="12"/>
  <c r="AB305" i="12"/>
  <c r="AC305" i="12"/>
  <c r="AD305" i="12"/>
  <c r="W306" i="12"/>
  <c r="X306" i="12"/>
  <c r="Y306" i="12"/>
  <c r="Z306" i="12"/>
  <c r="AA306" i="12"/>
  <c r="AB306" i="12"/>
  <c r="AC306" i="12"/>
  <c r="AD306" i="12"/>
  <c r="W307" i="12"/>
  <c r="X307" i="12"/>
  <c r="Y307" i="12"/>
  <c r="Z307" i="12"/>
  <c r="AA307" i="12"/>
  <c r="AB307" i="12"/>
  <c r="AC307" i="12"/>
  <c r="AD307" i="12"/>
  <c r="W308" i="12"/>
  <c r="X308" i="12"/>
  <c r="Y308" i="12"/>
  <c r="Z308" i="12"/>
  <c r="AA308" i="12"/>
  <c r="AB308" i="12"/>
  <c r="AC308" i="12"/>
  <c r="AD308" i="12"/>
  <c r="W309" i="12"/>
  <c r="X309" i="12"/>
  <c r="Y309" i="12"/>
  <c r="Z309" i="12"/>
  <c r="AA309" i="12"/>
  <c r="AB309" i="12"/>
  <c r="AC309" i="12"/>
  <c r="AD309" i="12"/>
  <c r="W310" i="12"/>
  <c r="X310" i="12"/>
  <c r="Y310" i="12"/>
  <c r="Z310" i="12"/>
  <c r="AA310" i="12"/>
  <c r="AB310" i="12"/>
  <c r="AC310" i="12"/>
  <c r="AD310" i="12"/>
  <c r="W311" i="12"/>
  <c r="X311" i="12"/>
  <c r="Y311" i="12"/>
  <c r="Z311" i="12"/>
  <c r="AA311" i="12"/>
  <c r="AB311" i="12"/>
  <c r="AC311" i="12"/>
  <c r="AD311" i="12"/>
  <c r="W312" i="12"/>
  <c r="X312" i="12"/>
  <c r="Y312" i="12"/>
  <c r="Z312" i="12"/>
  <c r="AA312" i="12"/>
  <c r="AB312" i="12"/>
  <c r="AC312" i="12"/>
  <c r="AD312" i="12"/>
  <c r="W313" i="12"/>
  <c r="X313" i="12"/>
  <c r="Y313" i="12"/>
  <c r="Z313" i="12"/>
  <c r="AA313" i="12"/>
  <c r="AB313" i="12"/>
  <c r="AC313" i="12"/>
  <c r="AD313" i="12"/>
  <c r="W314" i="12"/>
  <c r="X314" i="12"/>
  <c r="Y314" i="12"/>
  <c r="Z314" i="12"/>
  <c r="AA314" i="12"/>
  <c r="AB314" i="12"/>
  <c r="AC314" i="12"/>
  <c r="AD314" i="12"/>
  <c r="W315" i="12"/>
  <c r="X315" i="12"/>
  <c r="Y315" i="12"/>
  <c r="Z315" i="12"/>
  <c r="AA315" i="12"/>
  <c r="AB315" i="12"/>
  <c r="AC315" i="12"/>
  <c r="AD315" i="12"/>
  <c r="W316" i="12"/>
  <c r="X316" i="12"/>
  <c r="Y316" i="12"/>
  <c r="Z316" i="12"/>
  <c r="AA316" i="12"/>
  <c r="AB316" i="12"/>
  <c r="AC316" i="12"/>
  <c r="AD316" i="12"/>
  <c r="W317" i="12"/>
  <c r="X317" i="12"/>
  <c r="Y317" i="12"/>
  <c r="Z317" i="12"/>
  <c r="AA317" i="12"/>
  <c r="AB317" i="12"/>
  <c r="AC317" i="12"/>
  <c r="AD317" i="12"/>
  <c r="W318" i="12"/>
  <c r="X318" i="12"/>
  <c r="Y318" i="12"/>
  <c r="Z318" i="12"/>
  <c r="AA318" i="12"/>
  <c r="AB318" i="12"/>
  <c r="AC318" i="12"/>
  <c r="AD318" i="12"/>
  <c r="W319" i="12"/>
  <c r="X319" i="12"/>
  <c r="Y319" i="12"/>
  <c r="Z319" i="12"/>
  <c r="AA319" i="12"/>
  <c r="AB319" i="12"/>
  <c r="AC319" i="12"/>
  <c r="AD319" i="12"/>
  <c r="W320" i="12"/>
  <c r="X320" i="12"/>
  <c r="Y320" i="12"/>
  <c r="Z320" i="12"/>
  <c r="AA320" i="12"/>
  <c r="AB320" i="12"/>
  <c r="AC320" i="12"/>
  <c r="AD320" i="12"/>
  <c r="W321" i="12"/>
  <c r="X321" i="12"/>
  <c r="Y321" i="12"/>
  <c r="Z321" i="12"/>
  <c r="AA321" i="12"/>
  <c r="AB321" i="12"/>
  <c r="AC321" i="12"/>
  <c r="AD321" i="12"/>
  <c r="W322" i="12"/>
  <c r="X322" i="12"/>
  <c r="Y322" i="12"/>
  <c r="Z322" i="12"/>
  <c r="AA322" i="12"/>
  <c r="AB322" i="12"/>
  <c r="AC322" i="12"/>
  <c r="AD322" i="12"/>
  <c r="W323" i="12"/>
  <c r="X323" i="12"/>
  <c r="Y323" i="12"/>
  <c r="Z323" i="12"/>
  <c r="AA323" i="12"/>
  <c r="AB323" i="12"/>
  <c r="AC323" i="12"/>
  <c r="AD323" i="12"/>
  <c r="W324" i="12"/>
  <c r="X324" i="12"/>
  <c r="Y324" i="12"/>
  <c r="Z324" i="12"/>
  <c r="AA324" i="12"/>
  <c r="AB324" i="12"/>
  <c r="AC324" i="12"/>
  <c r="AD324" i="12"/>
  <c r="W325" i="12"/>
  <c r="X325" i="12"/>
  <c r="Y325" i="12"/>
  <c r="Z325" i="12"/>
  <c r="AA325" i="12"/>
  <c r="AB325" i="12"/>
  <c r="AC325" i="12"/>
  <c r="AD325" i="12"/>
  <c r="W326" i="12"/>
  <c r="X326" i="12"/>
  <c r="Y326" i="12"/>
  <c r="Z326" i="12"/>
  <c r="AA326" i="12"/>
  <c r="AB326" i="12"/>
  <c r="AC326" i="12"/>
  <c r="AD326" i="12"/>
  <c r="W327" i="12"/>
  <c r="X327" i="12"/>
  <c r="Y327" i="12"/>
  <c r="Z327" i="12"/>
  <c r="AA327" i="12"/>
  <c r="AB327" i="12"/>
  <c r="AC327" i="12"/>
  <c r="AD327" i="12"/>
  <c r="W328" i="12"/>
  <c r="X328" i="12"/>
  <c r="Y328" i="12"/>
  <c r="Z328" i="12"/>
  <c r="AA328" i="12"/>
  <c r="AB328" i="12"/>
  <c r="AC328" i="12"/>
  <c r="AD328" i="12"/>
  <c r="W329" i="12"/>
  <c r="X329" i="12"/>
  <c r="Y329" i="12"/>
  <c r="Z329" i="12"/>
  <c r="AA329" i="12"/>
  <c r="AB329" i="12"/>
  <c r="AC329" i="12"/>
  <c r="AD329" i="12"/>
  <c r="W330" i="12"/>
  <c r="X330" i="12"/>
  <c r="Y330" i="12"/>
  <c r="Z330" i="12"/>
  <c r="AA330" i="12"/>
  <c r="AB330" i="12"/>
  <c r="AC330" i="12"/>
  <c r="AD330" i="12"/>
  <c r="W331" i="12"/>
  <c r="X331" i="12"/>
  <c r="Y331" i="12"/>
  <c r="Z331" i="12"/>
  <c r="AA331" i="12"/>
  <c r="AB331" i="12"/>
  <c r="AC331" i="12"/>
  <c r="AD331" i="12"/>
  <c r="W332" i="12"/>
  <c r="X332" i="12"/>
  <c r="Y332" i="12"/>
  <c r="Z332" i="12"/>
  <c r="AA332" i="12"/>
  <c r="AB332" i="12"/>
  <c r="AC332" i="12"/>
  <c r="AD332" i="12"/>
  <c r="W333" i="12"/>
  <c r="X333" i="12"/>
  <c r="Y333" i="12"/>
  <c r="Z333" i="12"/>
  <c r="AA333" i="12"/>
  <c r="AB333" i="12"/>
  <c r="AC333" i="12"/>
  <c r="AD333" i="12"/>
  <c r="W334" i="12"/>
  <c r="X334" i="12"/>
  <c r="Y334" i="12"/>
  <c r="Z334" i="12"/>
  <c r="AA334" i="12"/>
  <c r="AB334" i="12"/>
  <c r="AC334" i="12"/>
  <c r="AD334" i="12"/>
  <c r="W335" i="12"/>
  <c r="X335" i="12"/>
  <c r="Y335" i="12"/>
  <c r="Z335" i="12"/>
  <c r="AA335" i="12"/>
  <c r="AB335" i="12"/>
  <c r="AC335" i="12"/>
  <c r="AD335" i="12"/>
  <c r="W336" i="12"/>
  <c r="X336" i="12"/>
  <c r="Y336" i="12"/>
  <c r="Z336" i="12"/>
  <c r="AA336" i="12"/>
  <c r="AB336" i="12"/>
  <c r="AC336" i="12"/>
  <c r="AD336" i="12"/>
  <c r="W337" i="12"/>
  <c r="X337" i="12"/>
  <c r="Y337" i="12"/>
  <c r="Z337" i="12"/>
  <c r="AA337" i="12"/>
  <c r="AB337" i="12"/>
  <c r="AC337" i="12"/>
  <c r="AD337" i="12"/>
  <c r="W338" i="12"/>
  <c r="X338" i="12"/>
  <c r="Y338" i="12"/>
  <c r="Z338" i="12"/>
  <c r="AA338" i="12"/>
  <c r="AB338" i="12"/>
  <c r="AC338" i="12"/>
  <c r="AD338" i="12"/>
  <c r="W339" i="12"/>
  <c r="X339" i="12"/>
  <c r="Y339" i="12"/>
  <c r="Z339" i="12"/>
  <c r="AA339" i="12"/>
  <c r="AB339" i="12"/>
  <c r="AC339" i="12"/>
  <c r="AD339" i="12"/>
  <c r="W340" i="12"/>
  <c r="X340" i="12"/>
  <c r="Y340" i="12"/>
  <c r="Z340" i="12"/>
  <c r="AA340" i="12"/>
  <c r="AB340" i="12"/>
  <c r="AC340" i="12"/>
  <c r="AD340" i="12"/>
  <c r="W341" i="12"/>
  <c r="X341" i="12"/>
  <c r="Y341" i="12"/>
  <c r="Z341" i="12"/>
  <c r="AA341" i="12"/>
  <c r="AB341" i="12"/>
  <c r="AC341" i="12"/>
  <c r="AD341" i="12"/>
  <c r="W342" i="12"/>
  <c r="X342" i="12"/>
  <c r="Y342" i="12"/>
  <c r="Z342" i="12"/>
  <c r="AA342" i="12"/>
  <c r="AB342" i="12"/>
  <c r="AC342" i="12"/>
  <c r="AD342" i="12"/>
  <c r="W343" i="12"/>
  <c r="X343" i="12"/>
  <c r="Y343" i="12"/>
  <c r="Z343" i="12"/>
  <c r="AA343" i="12"/>
  <c r="AB343" i="12"/>
  <c r="AC343" i="12"/>
  <c r="AD343" i="12"/>
  <c r="W344" i="12"/>
  <c r="X344" i="12"/>
  <c r="Y344" i="12"/>
  <c r="Z344" i="12"/>
  <c r="AA344" i="12"/>
  <c r="AB344" i="12"/>
  <c r="AC344" i="12"/>
  <c r="AD344" i="12"/>
  <c r="W345" i="12"/>
  <c r="X345" i="12"/>
  <c r="Y345" i="12"/>
  <c r="Z345" i="12"/>
  <c r="AA345" i="12"/>
  <c r="AB345" i="12"/>
  <c r="AC345" i="12"/>
  <c r="AD345" i="12"/>
  <c r="W346" i="12"/>
  <c r="X346" i="12"/>
  <c r="Y346" i="12"/>
  <c r="Z346" i="12"/>
  <c r="AA346" i="12"/>
  <c r="AB346" i="12"/>
  <c r="AC346" i="12"/>
  <c r="AD346" i="12"/>
  <c r="W347" i="12"/>
  <c r="X347" i="12"/>
  <c r="Y347" i="12"/>
  <c r="Z347" i="12"/>
  <c r="AA347" i="12"/>
  <c r="AB347" i="12"/>
  <c r="AC347" i="12"/>
  <c r="AD347" i="12"/>
  <c r="W348" i="12"/>
  <c r="X348" i="12"/>
  <c r="Y348" i="12"/>
  <c r="Z348" i="12"/>
  <c r="AA348" i="12"/>
  <c r="AB348" i="12"/>
  <c r="AC348" i="12"/>
  <c r="AD348" i="12"/>
  <c r="W349" i="12"/>
  <c r="X349" i="12"/>
  <c r="Y349" i="12"/>
  <c r="Z349" i="12"/>
  <c r="AA349" i="12"/>
  <c r="AB349" i="12"/>
  <c r="AC349" i="12"/>
  <c r="AD349" i="12"/>
  <c r="W350" i="12"/>
  <c r="X350" i="12"/>
  <c r="Y350" i="12"/>
  <c r="Z350" i="12"/>
  <c r="AA350" i="12"/>
  <c r="AB350" i="12"/>
  <c r="AC350" i="12"/>
  <c r="AD350" i="12"/>
  <c r="W351" i="12"/>
  <c r="X351" i="12"/>
  <c r="Y351" i="12"/>
  <c r="Z351" i="12"/>
  <c r="AA351" i="12"/>
  <c r="AB351" i="12"/>
  <c r="AC351" i="12"/>
  <c r="AD351" i="12"/>
  <c r="W352" i="12"/>
  <c r="X352" i="12"/>
  <c r="Y352" i="12"/>
  <c r="Z352" i="12"/>
  <c r="AA352" i="12"/>
  <c r="AB352" i="12"/>
  <c r="AC352" i="12"/>
  <c r="AD352" i="12"/>
  <c r="W353" i="12"/>
  <c r="X353" i="12"/>
  <c r="Y353" i="12"/>
  <c r="Z353" i="12"/>
  <c r="AA353" i="12"/>
  <c r="AB353" i="12"/>
  <c r="AC353" i="12"/>
  <c r="AD353" i="12"/>
  <c r="W354" i="12"/>
  <c r="X354" i="12"/>
  <c r="Y354" i="12"/>
  <c r="Z354" i="12"/>
  <c r="AA354" i="12"/>
  <c r="AB354" i="12"/>
  <c r="AC354" i="12"/>
  <c r="AD354" i="12"/>
  <c r="W355" i="12"/>
  <c r="X355" i="12"/>
  <c r="Y355" i="12"/>
  <c r="Z355" i="12"/>
  <c r="AA355" i="12"/>
  <c r="AB355" i="12"/>
  <c r="AC355" i="12"/>
  <c r="AD355" i="12"/>
  <c r="W356" i="12"/>
  <c r="X356" i="12"/>
  <c r="Y356" i="12"/>
  <c r="Z356" i="12"/>
  <c r="AA356" i="12"/>
  <c r="AB356" i="12"/>
  <c r="AC356" i="12"/>
  <c r="AD356" i="12"/>
  <c r="W357" i="12"/>
  <c r="X357" i="12"/>
  <c r="Y357" i="12"/>
  <c r="Z357" i="12"/>
  <c r="AA357" i="12"/>
  <c r="AB357" i="12"/>
  <c r="AC357" i="12"/>
  <c r="AD357" i="12"/>
  <c r="W358" i="12"/>
  <c r="X358" i="12"/>
  <c r="Y358" i="12"/>
  <c r="Z358" i="12"/>
  <c r="AA358" i="12"/>
  <c r="AB358" i="12"/>
  <c r="AC358" i="12"/>
  <c r="AD358" i="12"/>
  <c r="W359" i="12"/>
  <c r="X359" i="12"/>
  <c r="Y359" i="12"/>
  <c r="Z359" i="12"/>
  <c r="AA359" i="12"/>
  <c r="AB359" i="12"/>
  <c r="AC359" i="12"/>
  <c r="AD359" i="12"/>
  <c r="W360" i="12"/>
  <c r="X360" i="12"/>
  <c r="Y360" i="12"/>
  <c r="Z360" i="12"/>
  <c r="AA360" i="12"/>
  <c r="AB360" i="12"/>
  <c r="AC360" i="12"/>
  <c r="AD360" i="12"/>
  <c r="W361" i="12"/>
  <c r="X361" i="12"/>
  <c r="Y361" i="12"/>
  <c r="Z361" i="12"/>
  <c r="AA361" i="12"/>
  <c r="AB361" i="12"/>
  <c r="AC361" i="12"/>
  <c r="AD361" i="12"/>
  <c r="W362" i="12"/>
  <c r="X362" i="12"/>
  <c r="Y362" i="12"/>
  <c r="Z362" i="12"/>
  <c r="AA362" i="12"/>
  <c r="AB362" i="12"/>
  <c r="AC362" i="12"/>
  <c r="AD362" i="12"/>
  <c r="W363" i="12"/>
  <c r="X363" i="12"/>
  <c r="Y363" i="12"/>
  <c r="Z363" i="12"/>
  <c r="AA363" i="12"/>
  <c r="AB363" i="12"/>
  <c r="AC363" i="12"/>
  <c r="AD363" i="12"/>
  <c r="W364" i="12"/>
  <c r="X364" i="12"/>
  <c r="Y364" i="12"/>
  <c r="Z364" i="12"/>
  <c r="AA364" i="12"/>
  <c r="AB364" i="12"/>
  <c r="AC364" i="12"/>
  <c r="AD364" i="12"/>
  <c r="W365" i="12"/>
  <c r="X365" i="12"/>
  <c r="Y365" i="12"/>
  <c r="Z365" i="12"/>
  <c r="AA365" i="12"/>
  <c r="AB365" i="12"/>
  <c r="AC365" i="12"/>
  <c r="AD365" i="12"/>
  <c r="W366" i="12"/>
  <c r="X366" i="12"/>
  <c r="Y366" i="12"/>
  <c r="Z366" i="12"/>
  <c r="AA366" i="12"/>
  <c r="AB366" i="12"/>
  <c r="AC366" i="12"/>
  <c r="AD366" i="12"/>
  <c r="W367" i="12"/>
  <c r="X367" i="12"/>
  <c r="Y367" i="12"/>
  <c r="Z367" i="12"/>
  <c r="AA367" i="12"/>
  <c r="AB367" i="12"/>
  <c r="AC367" i="12"/>
  <c r="AD367" i="12"/>
  <c r="W368" i="12"/>
  <c r="X368" i="12"/>
  <c r="Y368" i="12"/>
  <c r="Z368" i="12"/>
  <c r="AA368" i="12"/>
  <c r="AB368" i="12"/>
  <c r="AC368" i="12"/>
  <c r="AD368" i="12"/>
  <c r="W369" i="12"/>
  <c r="X369" i="12"/>
  <c r="Y369" i="12"/>
  <c r="Z369" i="12"/>
  <c r="AA369" i="12"/>
  <c r="AB369" i="12"/>
  <c r="AC369" i="12"/>
  <c r="AD369" i="12"/>
  <c r="W370" i="12"/>
  <c r="X370" i="12"/>
  <c r="Y370" i="12"/>
  <c r="Z370" i="12"/>
  <c r="AA370" i="12"/>
  <c r="AB370" i="12"/>
  <c r="AC370" i="12"/>
  <c r="AD370" i="12"/>
  <c r="W371" i="12"/>
  <c r="X371" i="12"/>
  <c r="Y371" i="12"/>
  <c r="Z371" i="12"/>
  <c r="AA371" i="12"/>
  <c r="AB371" i="12"/>
  <c r="AC371" i="12"/>
  <c r="AD371" i="12"/>
  <c r="W372" i="12"/>
  <c r="X372" i="12"/>
  <c r="Y372" i="12"/>
  <c r="Z372" i="12"/>
  <c r="AA372" i="12"/>
  <c r="AB372" i="12"/>
  <c r="AC372" i="12"/>
  <c r="AD372" i="12"/>
  <c r="W373" i="12"/>
  <c r="X373" i="12"/>
  <c r="Y373" i="12"/>
  <c r="Z373" i="12"/>
  <c r="AA373" i="12"/>
  <c r="AB373" i="12"/>
  <c r="AC373" i="12"/>
  <c r="AD373" i="12"/>
  <c r="W374" i="12"/>
  <c r="X374" i="12"/>
  <c r="Y374" i="12"/>
  <c r="Z374" i="12"/>
  <c r="AA374" i="12"/>
  <c r="AB374" i="12"/>
  <c r="AC374" i="12"/>
  <c r="AD374" i="12"/>
  <c r="W375" i="12"/>
  <c r="X375" i="12"/>
  <c r="Y375" i="12"/>
  <c r="Z375" i="12"/>
  <c r="AA375" i="12"/>
  <c r="AB375" i="12"/>
  <c r="AC375" i="12"/>
  <c r="AD375" i="12"/>
  <c r="W376" i="12"/>
  <c r="X376" i="12"/>
  <c r="Y376" i="12"/>
  <c r="Z376" i="12"/>
  <c r="AA376" i="12"/>
  <c r="AB376" i="12"/>
  <c r="AC376" i="12"/>
  <c r="AD376" i="12"/>
  <c r="W377" i="12"/>
  <c r="X377" i="12"/>
  <c r="Y377" i="12"/>
  <c r="Z377" i="12"/>
  <c r="AA377" i="12"/>
  <c r="AB377" i="12"/>
  <c r="AC377" i="12"/>
  <c r="AD377" i="12"/>
  <c r="W378" i="12"/>
  <c r="X378" i="12"/>
  <c r="Y378" i="12"/>
  <c r="Z378" i="12"/>
  <c r="AA378" i="12"/>
  <c r="AB378" i="12"/>
  <c r="AC378" i="12"/>
  <c r="AD378" i="12"/>
  <c r="W379" i="12"/>
  <c r="X379" i="12"/>
  <c r="Y379" i="12"/>
  <c r="Z379" i="12"/>
  <c r="AA379" i="12"/>
  <c r="AB379" i="12"/>
  <c r="AC379" i="12"/>
  <c r="AD379" i="12"/>
  <c r="W380" i="12"/>
  <c r="X380" i="12"/>
  <c r="Y380" i="12"/>
  <c r="Z380" i="12"/>
  <c r="AA380" i="12"/>
  <c r="AB380" i="12"/>
  <c r="AC380" i="12"/>
  <c r="AD380" i="12"/>
  <c r="W381" i="12"/>
  <c r="X381" i="12"/>
  <c r="Y381" i="12"/>
  <c r="Z381" i="12"/>
  <c r="AA381" i="12"/>
  <c r="AB381" i="12"/>
  <c r="AC381" i="12"/>
  <c r="AD381" i="12"/>
  <c r="W382" i="12"/>
  <c r="X382" i="12"/>
  <c r="Y382" i="12"/>
  <c r="Z382" i="12"/>
  <c r="AA382" i="12"/>
  <c r="AB382" i="12"/>
  <c r="AC382" i="12"/>
  <c r="AD382" i="12"/>
  <c r="W383" i="12"/>
  <c r="X383" i="12"/>
  <c r="Y383" i="12"/>
  <c r="Z383" i="12"/>
  <c r="AA383" i="12"/>
  <c r="AB383" i="12"/>
  <c r="AC383" i="12"/>
  <c r="AD383" i="12"/>
  <c r="W384" i="12"/>
  <c r="X384" i="12"/>
  <c r="Y384" i="12"/>
  <c r="Z384" i="12"/>
  <c r="AA384" i="12"/>
  <c r="AB384" i="12"/>
  <c r="AC384" i="12"/>
  <c r="AD384" i="12"/>
  <c r="W385" i="12"/>
  <c r="X385" i="12"/>
  <c r="Y385" i="12"/>
  <c r="Z385" i="12"/>
  <c r="AA385" i="12"/>
  <c r="AB385" i="12"/>
  <c r="AC385" i="12"/>
  <c r="AD385" i="12"/>
  <c r="W386" i="12"/>
  <c r="X386" i="12"/>
  <c r="Y386" i="12"/>
  <c r="Z386" i="12"/>
  <c r="AA386" i="12"/>
  <c r="AB386" i="12"/>
  <c r="AC386" i="12"/>
  <c r="AD386" i="12"/>
  <c r="W387" i="12"/>
  <c r="X387" i="12"/>
  <c r="Y387" i="12"/>
  <c r="Z387" i="12"/>
  <c r="AA387" i="12"/>
  <c r="AB387" i="12"/>
  <c r="AC387" i="12"/>
  <c r="AD387" i="12"/>
  <c r="W388" i="12"/>
  <c r="X388" i="12"/>
  <c r="Y388" i="12"/>
  <c r="Z388" i="12"/>
  <c r="AA388" i="12"/>
  <c r="AB388" i="12"/>
  <c r="AC388" i="12"/>
  <c r="AD388" i="12"/>
  <c r="W389" i="12"/>
  <c r="X389" i="12"/>
  <c r="Y389" i="12"/>
  <c r="Z389" i="12"/>
  <c r="AA389" i="12"/>
  <c r="AB389" i="12"/>
  <c r="AC389" i="12"/>
  <c r="AD389" i="12"/>
  <c r="W390" i="12"/>
  <c r="X390" i="12"/>
  <c r="Y390" i="12"/>
  <c r="Z390" i="12"/>
  <c r="AA390" i="12"/>
  <c r="AB390" i="12"/>
  <c r="AC390" i="12"/>
  <c r="AD390" i="12"/>
  <c r="W391" i="12"/>
  <c r="X391" i="12"/>
  <c r="Y391" i="12"/>
  <c r="Z391" i="12"/>
  <c r="AA391" i="12"/>
  <c r="AB391" i="12"/>
  <c r="AC391" i="12"/>
  <c r="AD391" i="12"/>
  <c r="W392" i="12"/>
  <c r="X392" i="12"/>
  <c r="Y392" i="12"/>
  <c r="Z392" i="12"/>
  <c r="AA392" i="12"/>
  <c r="AB392" i="12"/>
  <c r="AC392" i="12"/>
  <c r="AD392" i="12"/>
  <c r="W393" i="12"/>
  <c r="X393" i="12"/>
  <c r="Y393" i="12"/>
  <c r="Z393" i="12"/>
  <c r="AA393" i="12"/>
  <c r="AB393" i="12"/>
  <c r="AC393" i="12"/>
  <c r="AD393" i="12"/>
  <c r="W394" i="12"/>
  <c r="X394" i="12"/>
  <c r="Y394" i="12"/>
  <c r="Z394" i="12"/>
  <c r="AA394" i="12"/>
  <c r="AB394" i="12"/>
  <c r="AC394" i="12"/>
  <c r="AD394" i="12"/>
  <c r="W395" i="12"/>
  <c r="X395" i="12"/>
  <c r="Y395" i="12"/>
  <c r="Z395" i="12"/>
  <c r="AA395" i="12"/>
  <c r="AB395" i="12"/>
  <c r="AC395" i="12"/>
  <c r="AD395" i="12"/>
  <c r="W396" i="12"/>
  <c r="X396" i="12"/>
  <c r="Y396" i="12"/>
  <c r="Z396" i="12"/>
  <c r="AA396" i="12"/>
  <c r="AB396" i="12"/>
  <c r="AC396" i="12"/>
  <c r="AD396" i="12"/>
  <c r="W397" i="12"/>
  <c r="X397" i="12"/>
  <c r="Y397" i="12"/>
  <c r="Z397" i="12"/>
  <c r="AA397" i="12"/>
  <c r="AB397" i="12"/>
  <c r="AC397" i="12"/>
  <c r="AD397" i="12"/>
  <c r="W398" i="12"/>
  <c r="X398" i="12"/>
  <c r="Y398" i="12"/>
  <c r="Z398" i="12"/>
  <c r="AA398" i="12"/>
  <c r="AB398" i="12"/>
  <c r="AC398" i="12"/>
  <c r="AD398" i="12"/>
  <c r="W399" i="12"/>
  <c r="X399" i="12"/>
  <c r="Y399" i="12"/>
  <c r="Z399" i="12"/>
  <c r="AA399" i="12"/>
  <c r="AB399" i="12"/>
  <c r="AC399" i="12"/>
  <c r="AD399" i="12"/>
  <c r="W400" i="12"/>
  <c r="X400" i="12"/>
  <c r="Y400" i="12"/>
  <c r="Z400" i="12"/>
  <c r="AA400" i="12"/>
  <c r="AB400" i="12"/>
  <c r="AC400" i="12"/>
  <c r="AD400" i="12"/>
  <c r="W401" i="12"/>
  <c r="X401" i="12"/>
  <c r="Y401" i="12"/>
  <c r="Z401" i="12"/>
  <c r="AA401" i="12"/>
  <c r="AB401" i="12"/>
  <c r="AC401" i="12"/>
  <c r="AD401" i="12"/>
  <c r="W402" i="12"/>
  <c r="X402" i="12"/>
  <c r="Y402" i="12"/>
  <c r="Z402" i="12"/>
  <c r="AA402" i="12"/>
  <c r="AB402" i="12"/>
  <c r="AC402" i="12"/>
  <c r="AD402" i="12"/>
  <c r="W403" i="12"/>
  <c r="X403" i="12"/>
  <c r="Y403" i="12"/>
  <c r="Z403" i="12"/>
  <c r="AA403" i="12"/>
  <c r="AB403" i="12"/>
  <c r="AC403" i="12"/>
  <c r="AD403" i="12"/>
  <c r="W404" i="12"/>
  <c r="X404" i="12"/>
  <c r="Y404" i="12"/>
  <c r="Z404" i="12"/>
  <c r="AA404" i="12"/>
  <c r="AB404" i="12"/>
  <c r="AC404" i="12"/>
  <c r="AD404" i="12"/>
  <c r="W405" i="12"/>
  <c r="X405" i="12"/>
  <c r="Y405" i="12"/>
  <c r="Z405" i="12"/>
  <c r="AA405" i="12"/>
  <c r="AB405" i="12"/>
  <c r="AC405" i="12"/>
  <c r="AD405" i="12"/>
  <c r="W406" i="12"/>
  <c r="X406" i="12"/>
  <c r="Y406" i="12"/>
  <c r="Z406" i="12"/>
  <c r="AA406" i="12"/>
  <c r="AB406" i="12"/>
  <c r="AC406" i="12"/>
  <c r="AD406" i="12"/>
  <c r="W407" i="12"/>
  <c r="X407" i="12"/>
  <c r="Y407" i="12"/>
  <c r="Z407" i="12"/>
  <c r="AA407" i="12"/>
  <c r="AB407" i="12"/>
  <c r="AC407" i="12"/>
  <c r="AD407" i="12"/>
  <c r="W408" i="12"/>
  <c r="X408" i="12"/>
  <c r="Y408" i="12"/>
  <c r="Z408" i="12"/>
  <c r="AA408" i="12"/>
  <c r="AB408" i="12"/>
  <c r="AC408" i="12"/>
  <c r="AD408" i="12"/>
  <c r="W409" i="12"/>
  <c r="X409" i="12"/>
  <c r="Y409" i="12"/>
  <c r="Z409" i="12"/>
  <c r="AA409" i="12"/>
  <c r="AB409" i="12"/>
  <c r="AC409" i="12"/>
  <c r="AD409" i="12"/>
  <c r="W410" i="12"/>
  <c r="X410" i="12"/>
  <c r="Y410" i="12"/>
  <c r="Z410" i="12"/>
  <c r="AA410" i="12"/>
  <c r="AB410" i="12"/>
  <c r="AC410" i="12"/>
  <c r="AD410" i="12"/>
  <c r="W411" i="12"/>
  <c r="X411" i="12"/>
  <c r="Y411" i="12"/>
  <c r="Z411" i="12"/>
  <c r="AA411" i="12"/>
  <c r="AB411" i="12"/>
  <c r="AC411" i="12"/>
  <c r="AD411" i="12"/>
  <c r="W412" i="12"/>
  <c r="X412" i="12"/>
  <c r="Y412" i="12"/>
  <c r="Z412" i="12"/>
  <c r="AA412" i="12"/>
  <c r="AB412" i="12"/>
  <c r="AC412" i="12"/>
  <c r="AD412" i="12"/>
  <c r="W413" i="12"/>
  <c r="X413" i="12"/>
  <c r="Y413" i="12"/>
  <c r="Z413" i="12"/>
  <c r="AA413" i="12"/>
  <c r="AB413" i="12"/>
  <c r="AC413" i="12"/>
  <c r="AD413" i="12"/>
  <c r="W414" i="12"/>
  <c r="X414" i="12"/>
  <c r="Y414" i="12"/>
  <c r="Z414" i="12"/>
  <c r="AA414" i="12"/>
  <c r="AB414" i="12"/>
  <c r="AC414" i="12"/>
  <c r="AD414" i="12"/>
  <c r="W415" i="12"/>
  <c r="X415" i="12"/>
  <c r="Y415" i="12"/>
  <c r="Z415" i="12"/>
  <c r="AA415" i="12"/>
  <c r="AB415" i="12"/>
  <c r="AC415" i="12"/>
  <c r="AD415" i="12"/>
  <c r="W416" i="12"/>
  <c r="X416" i="12"/>
  <c r="Y416" i="12"/>
  <c r="Z416" i="12"/>
  <c r="AA416" i="12"/>
  <c r="AB416" i="12"/>
  <c r="AC416" i="12"/>
  <c r="AD416" i="12"/>
  <c r="W417" i="12"/>
  <c r="X417" i="12"/>
  <c r="Y417" i="12"/>
  <c r="Z417" i="12"/>
  <c r="AA417" i="12"/>
  <c r="AB417" i="12"/>
  <c r="AC417" i="12"/>
  <c r="AD417" i="12"/>
  <c r="W418" i="12"/>
  <c r="X418" i="12"/>
  <c r="Y418" i="12"/>
  <c r="Z418" i="12"/>
  <c r="AA418" i="12"/>
  <c r="AB418" i="12"/>
  <c r="AC418" i="12"/>
  <c r="AD418" i="12"/>
  <c r="W419" i="12"/>
  <c r="X419" i="12"/>
  <c r="Y419" i="12"/>
  <c r="Z419" i="12"/>
  <c r="AA419" i="12"/>
  <c r="AB419" i="12"/>
  <c r="AC419" i="12"/>
  <c r="AD419" i="12"/>
  <c r="W420" i="12"/>
  <c r="X420" i="12"/>
  <c r="Y420" i="12"/>
  <c r="Z420" i="12"/>
  <c r="AA420" i="12"/>
  <c r="AB420" i="12"/>
  <c r="AC420" i="12"/>
  <c r="AD420" i="12"/>
  <c r="W421" i="12"/>
  <c r="X421" i="12"/>
  <c r="Y421" i="12"/>
  <c r="Z421" i="12"/>
  <c r="AA421" i="12"/>
  <c r="AB421" i="12"/>
  <c r="AC421" i="12"/>
  <c r="AD421" i="12"/>
  <c r="W422" i="12"/>
  <c r="X422" i="12"/>
  <c r="Y422" i="12"/>
  <c r="Z422" i="12"/>
  <c r="AA422" i="12"/>
  <c r="AB422" i="12"/>
  <c r="AC422" i="12"/>
  <c r="AD422" i="12"/>
  <c r="W423" i="12"/>
  <c r="X423" i="12"/>
  <c r="Y423" i="12"/>
  <c r="Z423" i="12"/>
  <c r="AA423" i="12"/>
  <c r="AB423" i="12"/>
  <c r="AC423" i="12"/>
  <c r="AD423" i="12"/>
  <c r="W424" i="12"/>
  <c r="X424" i="12"/>
  <c r="Y424" i="12"/>
  <c r="Z424" i="12"/>
  <c r="AA424" i="12"/>
  <c r="AB424" i="12"/>
  <c r="AC424" i="12"/>
  <c r="AD424" i="12"/>
  <c r="W425" i="12"/>
  <c r="X425" i="12"/>
  <c r="Y425" i="12"/>
  <c r="Z425" i="12"/>
  <c r="AA425" i="12"/>
  <c r="AB425" i="12"/>
  <c r="AC425" i="12"/>
  <c r="AD425" i="12"/>
  <c r="W426" i="12"/>
  <c r="X426" i="12"/>
  <c r="Y426" i="12"/>
  <c r="Z426" i="12"/>
  <c r="AA426" i="12"/>
  <c r="AB426" i="12"/>
  <c r="AC426" i="12"/>
  <c r="AD426" i="12"/>
  <c r="W427" i="12"/>
  <c r="X427" i="12"/>
  <c r="Y427" i="12"/>
  <c r="Z427" i="12"/>
  <c r="AA427" i="12"/>
  <c r="AB427" i="12"/>
  <c r="AC427" i="12"/>
  <c r="AD427" i="12"/>
  <c r="W428" i="12"/>
  <c r="X428" i="12"/>
  <c r="Y428" i="12"/>
  <c r="Z428" i="12"/>
  <c r="AA428" i="12"/>
  <c r="AB428" i="12"/>
  <c r="AC428" i="12"/>
  <c r="AD428" i="12"/>
  <c r="W429" i="12"/>
  <c r="X429" i="12"/>
  <c r="Y429" i="12"/>
  <c r="Z429" i="12"/>
  <c r="AA429" i="12"/>
  <c r="AB429" i="12"/>
  <c r="AC429" i="12"/>
  <c r="AD429" i="12"/>
  <c r="W430" i="12"/>
  <c r="X430" i="12"/>
  <c r="Y430" i="12"/>
  <c r="Z430" i="12"/>
  <c r="AA430" i="12"/>
  <c r="AB430" i="12"/>
  <c r="AC430" i="12"/>
  <c r="AD430" i="12"/>
  <c r="W431" i="12"/>
  <c r="X431" i="12"/>
  <c r="Y431" i="12"/>
  <c r="Z431" i="12"/>
  <c r="AA431" i="12"/>
  <c r="AB431" i="12"/>
  <c r="AC431" i="12"/>
  <c r="AD431" i="12"/>
  <c r="W432" i="12"/>
  <c r="X432" i="12"/>
  <c r="Y432" i="12"/>
  <c r="Z432" i="12"/>
  <c r="AA432" i="12"/>
  <c r="AB432" i="12"/>
  <c r="AC432" i="12"/>
  <c r="AD432" i="12"/>
  <c r="W433" i="12"/>
  <c r="X433" i="12"/>
  <c r="Y433" i="12"/>
  <c r="Z433" i="12"/>
  <c r="AA433" i="12"/>
  <c r="AB433" i="12"/>
  <c r="AC433" i="12"/>
  <c r="AD433" i="12"/>
  <c r="W434" i="12"/>
  <c r="X434" i="12"/>
  <c r="Y434" i="12"/>
  <c r="Z434" i="12"/>
  <c r="AA434" i="12"/>
  <c r="AB434" i="12"/>
  <c r="AC434" i="12"/>
  <c r="AD434" i="12"/>
  <c r="W435" i="12"/>
  <c r="X435" i="12"/>
  <c r="Y435" i="12"/>
  <c r="Z435" i="12"/>
  <c r="AA435" i="12"/>
  <c r="AB435" i="12"/>
  <c r="AC435" i="12"/>
  <c r="AD435" i="12"/>
  <c r="W436" i="12"/>
  <c r="X436" i="12"/>
  <c r="Y436" i="12"/>
  <c r="Z436" i="12"/>
  <c r="AA436" i="12"/>
  <c r="AB436" i="12"/>
  <c r="AC436" i="12"/>
  <c r="AD436" i="12"/>
  <c r="W437" i="12"/>
  <c r="X437" i="12"/>
  <c r="Y437" i="12"/>
  <c r="Z437" i="12"/>
  <c r="AA437" i="12"/>
  <c r="AB437" i="12"/>
  <c r="AC437" i="12"/>
  <c r="AD437" i="12"/>
  <c r="W438" i="12"/>
  <c r="X438" i="12"/>
  <c r="Y438" i="12"/>
  <c r="Z438" i="12"/>
  <c r="AA438" i="12"/>
  <c r="AB438" i="12"/>
  <c r="AC438" i="12"/>
  <c r="AD438" i="12"/>
  <c r="W439" i="12"/>
  <c r="X439" i="12"/>
  <c r="Y439" i="12"/>
  <c r="Z439" i="12"/>
  <c r="AA439" i="12"/>
  <c r="AB439" i="12"/>
  <c r="AC439" i="12"/>
  <c r="AD439" i="12"/>
  <c r="W440" i="12"/>
  <c r="X440" i="12"/>
  <c r="Y440" i="12"/>
  <c r="Z440" i="12"/>
  <c r="AA440" i="12"/>
  <c r="AB440" i="12"/>
  <c r="AC440" i="12"/>
  <c r="AD440" i="12"/>
  <c r="W441" i="12"/>
  <c r="X441" i="12"/>
  <c r="Y441" i="12"/>
  <c r="Z441" i="12"/>
  <c r="AA441" i="12"/>
  <c r="AB441" i="12"/>
  <c r="AC441" i="12"/>
  <c r="AD441" i="12"/>
  <c r="W442" i="12"/>
  <c r="X442" i="12"/>
  <c r="Y442" i="12"/>
  <c r="Z442" i="12"/>
  <c r="AA442" i="12"/>
  <c r="AB442" i="12"/>
  <c r="AC442" i="12"/>
  <c r="AD442" i="12"/>
  <c r="W443" i="12"/>
  <c r="X443" i="12"/>
  <c r="Y443" i="12"/>
  <c r="Z443" i="12"/>
  <c r="AA443" i="12"/>
  <c r="AB443" i="12"/>
  <c r="AC443" i="12"/>
  <c r="AD443" i="12"/>
  <c r="W444" i="12"/>
  <c r="X444" i="12"/>
  <c r="Y444" i="12"/>
  <c r="Z444" i="12"/>
  <c r="AA444" i="12"/>
  <c r="AB444" i="12"/>
  <c r="AC444" i="12"/>
  <c r="AD444" i="12"/>
  <c r="W445" i="12"/>
  <c r="X445" i="12"/>
  <c r="Y445" i="12"/>
  <c r="Z445" i="12"/>
  <c r="AA445" i="12"/>
  <c r="AB445" i="12"/>
  <c r="AC445" i="12"/>
  <c r="AD445" i="12"/>
  <c r="W446" i="12"/>
  <c r="X446" i="12"/>
  <c r="Y446" i="12"/>
  <c r="Z446" i="12"/>
  <c r="AA446" i="12"/>
  <c r="AB446" i="12"/>
  <c r="AC446" i="12"/>
  <c r="AD446" i="12"/>
  <c r="W447" i="12"/>
  <c r="X447" i="12"/>
  <c r="Y447" i="12"/>
  <c r="Z447" i="12"/>
  <c r="AA447" i="12"/>
  <c r="AB447" i="12"/>
  <c r="AC447" i="12"/>
  <c r="AD447" i="12"/>
  <c r="W448" i="12"/>
  <c r="X448" i="12"/>
  <c r="Y448" i="12"/>
  <c r="Z448" i="12"/>
  <c r="AA448" i="12"/>
  <c r="AB448" i="12"/>
  <c r="AC448" i="12"/>
  <c r="AD448" i="12"/>
  <c r="W449" i="12"/>
  <c r="X449" i="12"/>
  <c r="Y449" i="12"/>
  <c r="Z449" i="12"/>
  <c r="AA449" i="12"/>
  <c r="AB449" i="12"/>
  <c r="AC449" i="12"/>
  <c r="AD449" i="12"/>
  <c r="W450" i="12"/>
  <c r="X450" i="12"/>
  <c r="Y450" i="12"/>
  <c r="Z450" i="12"/>
  <c r="AA450" i="12"/>
  <c r="AB450" i="12"/>
  <c r="AC450" i="12"/>
  <c r="AD450" i="12"/>
  <c r="W451" i="12"/>
  <c r="X451" i="12"/>
  <c r="Y451" i="12"/>
  <c r="Z451" i="12"/>
  <c r="AA451" i="12"/>
  <c r="AB451" i="12"/>
  <c r="AC451" i="12"/>
  <c r="AD451" i="12"/>
  <c r="W452" i="12"/>
  <c r="X452" i="12"/>
  <c r="Y452" i="12"/>
  <c r="Z452" i="12"/>
  <c r="AA452" i="12"/>
  <c r="AB452" i="12"/>
  <c r="AC452" i="12"/>
  <c r="AD452" i="12"/>
  <c r="W453" i="12"/>
  <c r="X453" i="12"/>
  <c r="Y453" i="12"/>
  <c r="Z453" i="12"/>
  <c r="AA453" i="12"/>
  <c r="AB453" i="12"/>
  <c r="AC453" i="12"/>
  <c r="AD453" i="12"/>
  <c r="W454" i="12"/>
  <c r="X454" i="12"/>
  <c r="Y454" i="12"/>
  <c r="Z454" i="12"/>
  <c r="AA454" i="12"/>
  <c r="AB454" i="12"/>
  <c r="AC454" i="12"/>
  <c r="AD454" i="12"/>
  <c r="W455" i="12"/>
  <c r="X455" i="12"/>
  <c r="Y455" i="12"/>
  <c r="Z455" i="12"/>
  <c r="AA455" i="12"/>
  <c r="AB455" i="12"/>
  <c r="AC455" i="12"/>
  <c r="AD455" i="12"/>
  <c r="W456" i="12"/>
  <c r="X456" i="12"/>
  <c r="Y456" i="12"/>
  <c r="Z456" i="12"/>
  <c r="AA456" i="12"/>
  <c r="AB456" i="12"/>
  <c r="AC456" i="12"/>
  <c r="AD456" i="12"/>
  <c r="W457" i="12"/>
  <c r="X457" i="12"/>
  <c r="Y457" i="12"/>
  <c r="Z457" i="12"/>
  <c r="AA457" i="12"/>
  <c r="AB457" i="12"/>
  <c r="AC457" i="12"/>
  <c r="AD457" i="12"/>
  <c r="W458" i="12"/>
  <c r="X458" i="12"/>
  <c r="Y458" i="12"/>
  <c r="Z458" i="12"/>
  <c r="AA458" i="12"/>
  <c r="AB458" i="12"/>
  <c r="AC458" i="12"/>
  <c r="AD458" i="12"/>
  <c r="W459" i="12"/>
  <c r="X459" i="12"/>
  <c r="Y459" i="12"/>
  <c r="Z459" i="12"/>
  <c r="AA459" i="12"/>
  <c r="AB459" i="12"/>
  <c r="AC459" i="12"/>
  <c r="AD459" i="12"/>
  <c r="W460" i="12"/>
  <c r="X460" i="12"/>
  <c r="Y460" i="12"/>
  <c r="Z460" i="12"/>
  <c r="AA460" i="12"/>
  <c r="AB460" i="12"/>
  <c r="AC460" i="12"/>
  <c r="AD460" i="12"/>
  <c r="W461" i="12"/>
  <c r="X461" i="12"/>
  <c r="Y461" i="12"/>
  <c r="Z461" i="12"/>
  <c r="AA461" i="12"/>
  <c r="AB461" i="12"/>
  <c r="AC461" i="12"/>
  <c r="AD461" i="12"/>
  <c r="W462" i="12"/>
  <c r="X462" i="12"/>
  <c r="Y462" i="12"/>
  <c r="Z462" i="12"/>
  <c r="AA462" i="12"/>
  <c r="AB462" i="12"/>
  <c r="AC462" i="12"/>
  <c r="AD462" i="12"/>
  <c r="W463" i="12"/>
  <c r="X463" i="12"/>
  <c r="Y463" i="12"/>
  <c r="Z463" i="12"/>
  <c r="AA463" i="12"/>
  <c r="AB463" i="12"/>
  <c r="AC463" i="12"/>
  <c r="AD463" i="12"/>
  <c r="W464" i="12"/>
  <c r="X464" i="12"/>
  <c r="Y464" i="12"/>
  <c r="Z464" i="12"/>
  <c r="AA464" i="12"/>
  <c r="AB464" i="12"/>
  <c r="AC464" i="12"/>
  <c r="AD464" i="12"/>
  <c r="W465" i="12"/>
  <c r="X465" i="12"/>
  <c r="Y465" i="12"/>
  <c r="Z465" i="12"/>
  <c r="AA465" i="12"/>
  <c r="AB465" i="12"/>
  <c r="AC465" i="12"/>
  <c r="AD465" i="12"/>
  <c r="W466" i="12"/>
  <c r="X466" i="12"/>
  <c r="Y466" i="12"/>
  <c r="Z466" i="12"/>
  <c r="AA466" i="12"/>
  <c r="AB466" i="12"/>
  <c r="AC466" i="12"/>
  <c r="AD466" i="12"/>
  <c r="W467" i="12"/>
  <c r="X467" i="12"/>
  <c r="Y467" i="12"/>
  <c r="Z467" i="12"/>
  <c r="AA467" i="12"/>
  <c r="AB467" i="12"/>
  <c r="AC467" i="12"/>
  <c r="AD467" i="12"/>
  <c r="W468" i="12"/>
  <c r="X468" i="12"/>
  <c r="Y468" i="12"/>
  <c r="Z468" i="12"/>
  <c r="AA468" i="12"/>
  <c r="AB468" i="12"/>
  <c r="AC468" i="12"/>
  <c r="AD468" i="12"/>
  <c r="W469" i="12"/>
  <c r="X469" i="12"/>
  <c r="Y469" i="12"/>
  <c r="Z469" i="12"/>
  <c r="AA469" i="12"/>
  <c r="AB469" i="12"/>
  <c r="AC469" i="12"/>
  <c r="AD469" i="12"/>
  <c r="W470" i="12"/>
  <c r="X470" i="12"/>
  <c r="Y470" i="12"/>
  <c r="Z470" i="12"/>
  <c r="AA470" i="12"/>
  <c r="AB470" i="12"/>
  <c r="AC470" i="12"/>
  <c r="AD470" i="12"/>
  <c r="W471" i="12"/>
  <c r="X471" i="12"/>
  <c r="Y471" i="12"/>
  <c r="Z471" i="12"/>
  <c r="AA471" i="12"/>
  <c r="AB471" i="12"/>
  <c r="AC471" i="12"/>
  <c r="AD471" i="12"/>
  <c r="W472" i="12"/>
  <c r="X472" i="12"/>
  <c r="Y472" i="12"/>
  <c r="Z472" i="12"/>
  <c r="AA472" i="12"/>
  <c r="AB472" i="12"/>
  <c r="AC472" i="12"/>
  <c r="AD472" i="12"/>
  <c r="W473" i="12"/>
  <c r="X473" i="12"/>
  <c r="Y473" i="12"/>
  <c r="Z473" i="12"/>
  <c r="AA473" i="12"/>
  <c r="AB473" i="12"/>
  <c r="AC473" i="12"/>
  <c r="AD473" i="12"/>
  <c r="W474" i="12"/>
  <c r="X474" i="12"/>
  <c r="Y474" i="12"/>
  <c r="Z474" i="12"/>
  <c r="AA474" i="12"/>
  <c r="AB474" i="12"/>
  <c r="AC474" i="12"/>
  <c r="AD474" i="12"/>
  <c r="W475" i="12"/>
  <c r="X475" i="12"/>
  <c r="Y475" i="12"/>
  <c r="Z475" i="12"/>
  <c r="AA475" i="12"/>
  <c r="AB475" i="12"/>
  <c r="AC475" i="12"/>
  <c r="AD475" i="12"/>
  <c r="W476" i="12"/>
  <c r="X476" i="12"/>
  <c r="Y476" i="12"/>
  <c r="Z476" i="12"/>
  <c r="AA476" i="12"/>
  <c r="AB476" i="12"/>
  <c r="AC476" i="12"/>
  <c r="AD476" i="12"/>
  <c r="W477" i="12"/>
  <c r="X477" i="12"/>
  <c r="Y477" i="12"/>
  <c r="Z477" i="12"/>
  <c r="AA477" i="12"/>
  <c r="AB477" i="12"/>
  <c r="AC477" i="12"/>
  <c r="AD477" i="12"/>
  <c r="W478" i="12"/>
  <c r="X478" i="12"/>
  <c r="Y478" i="12"/>
  <c r="Z478" i="12"/>
  <c r="AA478" i="12"/>
  <c r="AB478" i="12"/>
  <c r="AC478" i="12"/>
  <c r="AD478" i="12"/>
  <c r="W479" i="12"/>
  <c r="X479" i="12"/>
  <c r="Y479" i="12"/>
  <c r="Z479" i="12"/>
  <c r="AA479" i="12"/>
  <c r="AB479" i="12"/>
  <c r="AC479" i="12"/>
  <c r="AD479" i="12"/>
  <c r="W480" i="12"/>
  <c r="X480" i="12"/>
  <c r="Y480" i="12"/>
  <c r="Z480" i="12"/>
  <c r="AA480" i="12"/>
  <c r="AB480" i="12"/>
  <c r="AC480" i="12"/>
  <c r="AD480" i="12"/>
  <c r="W481" i="12"/>
  <c r="X481" i="12"/>
  <c r="Y481" i="12"/>
  <c r="Z481" i="12"/>
  <c r="AA481" i="12"/>
  <c r="AB481" i="12"/>
  <c r="AC481" i="12"/>
  <c r="AD481" i="12"/>
  <c r="W482" i="12"/>
  <c r="X482" i="12"/>
  <c r="Y482" i="12"/>
  <c r="Z482" i="12"/>
  <c r="AA482" i="12"/>
  <c r="AB482" i="12"/>
  <c r="AC482" i="12"/>
  <c r="AD482" i="12"/>
  <c r="W483" i="12"/>
  <c r="X483" i="12"/>
  <c r="Y483" i="12"/>
  <c r="Z483" i="12"/>
  <c r="AA483" i="12"/>
  <c r="AB483" i="12"/>
  <c r="AC483" i="12"/>
  <c r="AD483" i="12"/>
  <c r="W484" i="12"/>
  <c r="X484" i="12"/>
  <c r="Y484" i="12"/>
  <c r="Z484" i="12"/>
  <c r="AA484" i="12"/>
  <c r="AB484" i="12"/>
  <c r="AC484" i="12"/>
  <c r="AD484" i="12"/>
  <c r="W485" i="12"/>
  <c r="X485" i="12"/>
  <c r="Y485" i="12"/>
  <c r="Z485" i="12"/>
  <c r="AA485" i="12"/>
  <c r="AB485" i="12"/>
  <c r="AC485" i="12"/>
  <c r="AD485" i="12"/>
  <c r="W486" i="12"/>
  <c r="X486" i="12"/>
  <c r="Y486" i="12"/>
  <c r="Z486" i="12"/>
  <c r="AA486" i="12"/>
  <c r="AB486" i="12"/>
  <c r="AC486" i="12"/>
  <c r="AD486" i="12"/>
  <c r="W487" i="12"/>
  <c r="X487" i="12"/>
  <c r="Y487" i="12"/>
  <c r="Z487" i="12"/>
  <c r="AA487" i="12"/>
  <c r="AB487" i="12"/>
  <c r="AC487" i="12"/>
  <c r="AD487" i="12"/>
  <c r="W488" i="12"/>
  <c r="X488" i="12"/>
  <c r="Y488" i="12"/>
  <c r="Z488" i="12"/>
  <c r="AA488" i="12"/>
  <c r="AB488" i="12"/>
  <c r="AC488" i="12"/>
  <c r="AD488" i="12"/>
  <c r="W489" i="12"/>
  <c r="X489" i="12"/>
  <c r="Y489" i="12"/>
  <c r="Z489" i="12"/>
  <c r="AA489" i="12"/>
  <c r="AB489" i="12"/>
  <c r="AC489" i="12"/>
  <c r="AD489" i="12"/>
  <c r="W492" i="12"/>
  <c r="X492" i="12"/>
  <c r="Y492" i="12"/>
  <c r="Z492" i="12"/>
  <c r="AA492" i="12"/>
  <c r="AB492" i="12"/>
  <c r="AC492" i="12"/>
  <c r="AD492" i="12"/>
  <c r="W493" i="12"/>
  <c r="X493" i="12"/>
  <c r="Y493" i="12"/>
  <c r="Z493" i="12"/>
  <c r="AA493" i="12"/>
  <c r="AB493" i="12"/>
  <c r="AC493" i="12"/>
  <c r="AD493" i="12"/>
  <c r="W494" i="12"/>
  <c r="X494" i="12"/>
  <c r="Y494" i="12"/>
  <c r="Z494" i="12"/>
  <c r="AA494" i="12"/>
  <c r="AB494" i="12"/>
  <c r="AC494" i="12"/>
  <c r="AD494" i="12"/>
  <c r="W495" i="12"/>
  <c r="X495" i="12"/>
  <c r="Y495" i="12"/>
  <c r="Z495" i="12"/>
  <c r="AA495" i="12"/>
  <c r="AB495" i="12"/>
  <c r="AC495" i="12"/>
  <c r="AD495" i="12"/>
  <c r="W496" i="12"/>
  <c r="X496" i="12"/>
  <c r="Y496" i="12"/>
  <c r="Z496" i="12"/>
  <c r="AA496" i="12"/>
  <c r="AB496" i="12"/>
  <c r="AC496" i="12"/>
  <c r="AD496" i="12"/>
  <c r="W497" i="12"/>
  <c r="X497" i="12"/>
  <c r="Y497" i="12"/>
  <c r="Z497" i="12"/>
  <c r="AA497" i="12"/>
  <c r="AB497" i="12"/>
  <c r="AC497" i="12"/>
  <c r="AD497" i="12"/>
  <c r="W498" i="12"/>
  <c r="X498" i="12"/>
  <c r="Y498" i="12"/>
  <c r="Z498" i="12"/>
  <c r="AA498" i="12"/>
  <c r="AB498" i="12"/>
  <c r="AC498" i="12"/>
  <c r="AD498" i="12"/>
  <c r="W499" i="12"/>
  <c r="X499" i="12"/>
  <c r="Y499" i="12"/>
  <c r="Z499" i="12"/>
  <c r="AA499" i="12"/>
  <c r="AB499" i="12"/>
  <c r="AC499" i="12"/>
  <c r="AD499" i="12"/>
  <c r="W500" i="12"/>
  <c r="X500" i="12"/>
  <c r="Y500" i="12"/>
  <c r="Z500" i="12"/>
  <c r="AA500" i="12"/>
  <c r="AB500" i="12"/>
  <c r="AC500" i="12"/>
  <c r="AD500" i="12"/>
  <c r="W501" i="12"/>
  <c r="X501" i="12"/>
  <c r="Y501" i="12"/>
  <c r="Z501" i="12"/>
  <c r="AA501" i="12"/>
  <c r="AB501" i="12"/>
  <c r="AC501" i="12"/>
  <c r="AD501" i="12"/>
  <c r="W502" i="12"/>
  <c r="X502" i="12"/>
  <c r="Y502" i="12"/>
  <c r="Z502" i="12"/>
  <c r="AA502" i="12"/>
  <c r="AB502" i="12"/>
  <c r="AC502" i="12"/>
  <c r="AD502" i="12"/>
  <c r="W503" i="12"/>
  <c r="X503" i="12"/>
  <c r="Y503" i="12"/>
  <c r="Z503" i="12"/>
  <c r="AA503" i="12"/>
  <c r="AB503" i="12"/>
  <c r="AC503" i="12"/>
  <c r="AD503" i="12"/>
  <c r="W504" i="12"/>
  <c r="X504" i="12"/>
  <c r="Y504" i="12"/>
  <c r="Z504" i="12"/>
  <c r="AA504" i="12"/>
  <c r="AB504" i="12"/>
  <c r="AC504" i="12"/>
  <c r="AD504" i="12"/>
  <c r="W505" i="12"/>
  <c r="X505" i="12"/>
  <c r="Y505" i="12"/>
  <c r="Z505" i="12"/>
  <c r="AA505" i="12"/>
  <c r="AB505" i="12"/>
  <c r="AC505" i="12"/>
  <c r="AD505" i="12"/>
  <c r="W506" i="12"/>
  <c r="X506" i="12"/>
  <c r="Y506" i="12"/>
  <c r="Z506" i="12"/>
  <c r="AA506" i="12"/>
  <c r="AB506" i="12"/>
  <c r="AC506" i="12"/>
  <c r="AD506" i="12"/>
  <c r="W507" i="12"/>
  <c r="X507" i="12"/>
  <c r="Y507" i="12"/>
  <c r="Z507" i="12"/>
  <c r="AA507" i="12"/>
  <c r="AB507" i="12"/>
  <c r="AC507" i="12"/>
  <c r="AD507" i="12"/>
  <c r="W508" i="12"/>
  <c r="X508" i="12"/>
  <c r="Y508" i="12"/>
  <c r="Z508" i="12"/>
  <c r="AA508" i="12"/>
  <c r="AB508" i="12"/>
  <c r="AC508" i="12"/>
  <c r="AD508" i="12"/>
  <c r="W509" i="12"/>
  <c r="X509" i="12"/>
  <c r="Y509" i="12"/>
  <c r="Z509" i="12"/>
  <c r="AA509" i="12"/>
  <c r="AB509" i="12"/>
  <c r="AC509" i="12"/>
  <c r="AD509" i="12"/>
  <c r="W510" i="12"/>
  <c r="X510" i="12"/>
  <c r="Y510" i="12"/>
  <c r="Z510" i="12"/>
  <c r="AA510" i="12"/>
  <c r="AB510" i="12"/>
  <c r="AC510" i="12"/>
  <c r="AD510" i="12"/>
  <c r="W511" i="12"/>
  <c r="X511" i="12"/>
  <c r="Y511" i="12"/>
  <c r="Z511" i="12"/>
  <c r="AA511" i="12"/>
  <c r="AB511" i="12"/>
  <c r="AC511" i="12"/>
  <c r="AD511" i="12"/>
  <c r="W512" i="12"/>
  <c r="X512" i="12"/>
  <c r="Y512" i="12"/>
  <c r="Z512" i="12"/>
  <c r="AA512" i="12"/>
  <c r="AB512" i="12"/>
  <c r="AC512" i="12"/>
  <c r="AD512" i="12"/>
  <c r="W513" i="12"/>
  <c r="X513" i="12"/>
  <c r="Y513" i="12"/>
  <c r="Z513" i="12"/>
  <c r="AA513" i="12"/>
  <c r="AB513" i="12"/>
  <c r="AC513" i="12"/>
  <c r="AD513" i="12"/>
  <c r="W514" i="12"/>
  <c r="X514" i="12"/>
  <c r="Y514" i="12"/>
  <c r="Z514" i="12"/>
  <c r="AA514" i="12"/>
  <c r="AB514" i="12"/>
  <c r="AC514" i="12"/>
  <c r="AD514" i="12"/>
  <c r="W515" i="12"/>
  <c r="X515" i="12"/>
  <c r="Y515" i="12"/>
  <c r="Z515" i="12"/>
  <c r="AA515" i="12"/>
  <c r="AB515" i="12"/>
  <c r="AC515" i="12"/>
  <c r="AD515" i="12"/>
  <c r="W516" i="12"/>
  <c r="X516" i="12"/>
  <c r="Y516" i="12"/>
  <c r="Z516" i="12"/>
  <c r="AA516" i="12"/>
  <c r="AB516" i="12"/>
  <c r="AC516" i="12"/>
  <c r="AD516" i="12"/>
  <c r="W517" i="12"/>
  <c r="X517" i="12"/>
  <c r="Y517" i="12"/>
  <c r="Z517" i="12"/>
  <c r="AA517" i="12"/>
  <c r="AB517" i="12"/>
  <c r="AC517" i="12"/>
  <c r="AD517" i="12"/>
  <c r="W518" i="12"/>
  <c r="X518" i="12"/>
  <c r="Y518" i="12"/>
  <c r="Z518" i="12"/>
  <c r="AA518" i="12"/>
  <c r="AB518" i="12"/>
  <c r="AC518" i="12"/>
  <c r="AD518" i="12"/>
  <c r="W519" i="12"/>
  <c r="X519" i="12"/>
  <c r="Y519" i="12"/>
  <c r="Z519" i="12"/>
  <c r="AA519" i="12"/>
  <c r="AB519" i="12"/>
  <c r="AC519" i="12"/>
  <c r="AD519" i="12"/>
  <c r="W520" i="12"/>
  <c r="X520" i="12"/>
  <c r="Y520" i="12"/>
  <c r="Z520" i="12"/>
  <c r="AA520" i="12"/>
  <c r="AB520" i="12"/>
  <c r="AC520" i="12"/>
  <c r="AD520" i="12"/>
  <c r="W521" i="12"/>
  <c r="X521" i="12"/>
  <c r="Y521" i="12"/>
  <c r="Z521" i="12"/>
  <c r="AA521" i="12"/>
  <c r="AB521" i="12"/>
  <c r="AC521" i="12"/>
  <c r="AD521" i="12"/>
  <c r="W522" i="12"/>
  <c r="X522" i="12"/>
  <c r="Y522" i="12"/>
  <c r="Z522" i="12"/>
  <c r="AA522" i="12"/>
  <c r="AB522" i="12"/>
  <c r="AC522" i="12"/>
  <c r="AD522" i="12"/>
  <c r="W523" i="12"/>
  <c r="X523" i="12"/>
  <c r="Y523" i="12"/>
  <c r="Z523" i="12"/>
  <c r="AA523" i="12"/>
  <c r="AB523" i="12"/>
  <c r="AC523" i="12"/>
  <c r="AD523" i="12"/>
  <c r="W524" i="12"/>
  <c r="X524" i="12"/>
  <c r="Y524" i="12"/>
  <c r="Z524" i="12"/>
  <c r="AA524" i="12"/>
  <c r="AB524" i="12"/>
  <c r="AC524" i="12"/>
  <c r="AD524" i="12"/>
  <c r="W525" i="12"/>
  <c r="X525" i="12"/>
  <c r="Y525" i="12"/>
  <c r="Z525" i="12"/>
  <c r="AA525" i="12"/>
  <c r="AB525" i="12"/>
  <c r="AC525" i="12"/>
  <c r="AD525" i="12"/>
  <c r="W526" i="12"/>
  <c r="X526" i="12"/>
  <c r="Y526" i="12"/>
  <c r="Z526" i="12"/>
  <c r="AA526" i="12"/>
  <c r="AB526" i="12"/>
  <c r="AC526" i="12"/>
  <c r="AD526" i="12"/>
  <c r="W527" i="12"/>
  <c r="X527" i="12"/>
  <c r="Y527" i="12"/>
  <c r="Z527" i="12"/>
  <c r="AA527" i="12"/>
  <c r="AB527" i="12"/>
  <c r="AC527" i="12"/>
  <c r="AD527" i="12"/>
  <c r="W528" i="12"/>
  <c r="X528" i="12"/>
  <c r="Y528" i="12"/>
  <c r="Z528" i="12"/>
  <c r="AA528" i="12"/>
  <c r="AB528" i="12"/>
  <c r="AC528" i="12"/>
  <c r="AD528" i="12"/>
  <c r="W529" i="12"/>
  <c r="X529" i="12"/>
  <c r="Y529" i="12"/>
  <c r="Z529" i="12"/>
  <c r="AA529" i="12"/>
  <c r="AB529" i="12"/>
  <c r="AC529" i="12"/>
  <c r="AD529" i="12"/>
  <c r="W530" i="12"/>
  <c r="X530" i="12"/>
  <c r="Y530" i="12"/>
  <c r="Z530" i="12"/>
  <c r="AA530" i="12"/>
  <c r="AB530" i="12"/>
  <c r="AC530" i="12"/>
  <c r="AD530" i="12"/>
  <c r="W531" i="12"/>
  <c r="X531" i="12"/>
  <c r="Y531" i="12"/>
  <c r="Z531" i="12"/>
  <c r="AA531" i="12"/>
  <c r="AB531" i="12"/>
  <c r="AC531" i="12"/>
  <c r="AD531" i="12"/>
  <c r="W532" i="12"/>
  <c r="X532" i="12"/>
  <c r="Y532" i="12"/>
  <c r="Z532" i="12"/>
  <c r="AA532" i="12"/>
  <c r="AB532" i="12"/>
  <c r="AC532" i="12"/>
  <c r="AD532" i="12"/>
  <c r="W533" i="12"/>
  <c r="X533" i="12"/>
  <c r="Y533" i="12"/>
  <c r="Z533" i="12"/>
  <c r="AA533" i="12"/>
  <c r="AB533" i="12"/>
  <c r="AC533" i="12"/>
  <c r="AD533" i="12"/>
  <c r="W534" i="12"/>
  <c r="X534" i="12"/>
  <c r="Y534" i="12"/>
  <c r="Z534" i="12"/>
  <c r="AA534" i="12"/>
  <c r="AB534" i="12"/>
  <c r="AC534" i="12"/>
  <c r="AD534" i="12"/>
  <c r="W535" i="12"/>
  <c r="X535" i="12"/>
  <c r="Y535" i="12"/>
  <c r="Z535" i="12"/>
  <c r="AA535" i="12"/>
  <c r="AB535" i="12"/>
  <c r="AC535" i="12"/>
  <c r="AD535" i="12"/>
  <c r="W536" i="12"/>
  <c r="X536" i="12"/>
  <c r="Y536" i="12"/>
  <c r="Z536" i="12"/>
  <c r="AA536" i="12"/>
  <c r="AB536" i="12"/>
  <c r="AC536" i="12"/>
  <c r="AD536" i="12"/>
  <c r="W537" i="12"/>
  <c r="X537" i="12"/>
  <c r="Y537" i="12"/>
  <c r="Z537" i="12"/>
  <c r="AA537" i="12"/>
  <c r="AB537" i="12"/>
  <c r="AC537" i="12"/>
  <c r="AD537" i="12"/>
  <c r="W538" i="12"/>
  <c r="X538" i="12"/>
  <c r="Y538" i="12"/>
  <c r="Z538" i="12"/>
  <c r="AA538" i="12"/>
  <c r="AB538" i="12"/>
  <c r="AC538" i="12"/>
  <c r="AD538" i="12"/>
  <c r="W539" i="12"/>
  <c r="X539" i="12"/>
  <c r="Y539" i="12"/>
  <c r="Z539" i="12"/>
  <c r="AA539" i="12"/>
  <c r="AB539" i="12"/>
  <c r="AC539" i="12"/>
  <c r="AD539" i="12"/>
  <c r="W540" i="12"/>
  <c r="X540" i="12"/>
  <c r="Y540" i="12"/>
  <c r="Z540" i="12"/>
  <c r="AA540" i="12"/>
  <c r="AB540" i="12"/>
  <c r="AC540" i="12"/>
  <c r="AD540" i="12"/>
  <c r="W541" i="12"/>
  <c r="X541" i="12"/>
  <c r="Y541" i="12"/>
  <c r="Z541" i="12"/>
  <c r="AA541" i="12"/>
  <c r="AB541" i="12"/>
  <c r="AC541" i="12"/>
  <c r="AD541" i="12"/>
  <c r="W542" i="12"/>
  <c r="X542" i="12"/>
  <c r="Y542" i="12"/>
  <c r="Z542" i="12"/>
  <c r="AA542" i="12"/>
  <c r="AB542" i="12"/>
  <c r="AC542" i="12"/>
  <c r="AD542" i="12"/>
  <c r="W543" i="12"/>
  <c r="X543" i="12"/>
  <c r="Y543" i="12"/>
  <c r="Z543" i="12"/>
  <c r="AA543" i="12"/>
  <c r="AB543" i="12"/>
  <c r="AC543" i="12"/>
  <c r="AD543" i="12"/>
  <c r="W544" i="12"/>
  <c r="X544" i="12"/>
  <c r="Y544" i="12"/>
  <c r="Z544" i="12"/>
  <c r="AA544" i="12"/>
  <c r="AB544" i="12"/>
  <c r="AC544" i="12"/>
  <c r="AD544" i="12"/>
  <c r="W545" i="12"/>
  <c r="X545" i="12"/>
  <c r="Y545" i="12"/>
  <c r="Z545" i="12"/>
  <c r="AA545" i="12"/>
  <c r="AB545" i="12"/>
  <c r="AC545" i="12"/>
  <c r="AD545" i="12"/>
  <c r="W546" i="12"/>
  <c r="X546" i="12"/>
  <c r="Y546" i="12"/>
  <c r="Z546" i="12"/>
  <c r="AA546" i="12"/>
  <c r="AB546" i="12"/>
  <c r="AC546" i="12"/>
  <c r="AD546" i="12"/>
  <c r="W547" i="12"/>
  <c r="X547" i="12"/>
  <c r="Y547" i="12"/>
  <c r="Z547" i="12"/>
  <c r="AA547" i="12"/>
  <c r="AB547" i="12"/>
  <c r="AC547" i="12"/>
  <c r="AD547" i="12"/>
  <c r="W548" i="12"/>
  <c r="X548" i="12"/>
  <c r="Y548" i="12"/>
  <c r="Z548" i="12"/>
  <c r="AA548" i="12"/>
  <c r="AB548" i="12"/>
  <c r="AC548" i="12"/>
  <c r="AD548" i="12"/>
  <c r="W549" i="12"/>
  <c r="X549" i="12"/>
  <c r="Y549" i="12"/>
  <c r="Z549" i="12"/>
  <c r="AA549" i="12"/>
  <c r="AB549" i="12"/>
  <c r="AC549" i="12"/>
  <c r="AD549" i="12"/>
  <c r="W550" i="12"/>
  <c r="X550" i="12"/>
  <c r="Y550" i="12"/>
  <c r="Z550" i="12"/>
  <c r="AA550" i="12"/>
  <c r="AB550" i="12"/>
  <c r="AC550" i="12"/>
  <c r="AD550" i="12"/>
  <c r="W551" i="12"/>
  <c r="X551" i="12"/>
  <c r="Y551" i="12"/>
  <c r="Z551" i="12"/>
  <c r="AA551" i="12"/>
  <c r="AB551" i="12"/>
  <c r="AC551" i="12"/>
  <c r="AD551" i="12"/>
  <c r="W552" i="12"/>
  <c r="X552" i="12"/>
  <c r="Y552" i="12"/>
  <c r="Z552" i="12"/>
  <c r="AA552" i="12"/>
  <c r="AB552" i="12"/>
  <c r="AC552" i="12"/>
  <c r="AD552" i="12"/>
  <c r="W553" i="12"/>
  <c r="X553" i="12"/>
  <c r="Y553" i="12"/>
  <c r="Z553" i="12"/>
  <c r="AA553" i="12"/>
  <c r="AB553" i="12"/>
  <c r="AC553" i="12"/>
  <c r="AD553" i="12"/>
  <c r="W554" i="12"/>
  <c r="X554" i="12"/>
  <c r="Y554" i="12"/>
  <c r="Z554" i="12"/>
  <c r="AA554" i="12"/>
  <c r="AB554" i="12"/>
  <c r="AC554" i="12"/>
  <c r="AD554" i="12"/>
  <c r="W555" i="12"/>
  <c r="X555" i="12"/>
  <c r="Y555" i="12"/>
  <c r="Z555" i="12"/>
  <c r="AA555" i="12"/>
  <c r="AB555" i="12"/>
  <c r="AC555" i="12"/>
  <c r="AD555" i="12"/>
  <c r="W556" i="12"/>
  <c r="X556" i="12"/>
  <c r="Y556" i="12"/>
  <c r="Z556" i="12"/>
  <c r="AA556" i="12"/>
  <c r="AB556" i="12"/>
  <c r="AC556" i="12"/>
  <c r="AD556" i="12"/>
  <c r="W557" i="12"/>
  <c r="X557" i="12"/>
  <c r="Y557" i="12"/>
  <c r="Z557" i="12"/>
  <c r="AA557" i="12"/>
  <c r="AB557" i="12"/>
  <c r="AC557" i="12"/>
  <c r="AD557" i="12"/>
  <c r="W558" i="12"/>
  <c r="X558" i="12"/>
  <c r="Y558" i="12"/>
  <c r="Z558" i="12"/>
  <c r="AA558" i="12"/>
  <c r="AB558" i="12"/>
  <c r="AC558" i="12"/>
  <c r="AD558" i="12"/>
  <c r="W559" i="12"/>
  <c r="X559" i="12"/>
  <c r="Y559" i="12"/>
  <c r="Z559" i="12"/>
  <c r="AA559" i="12"/>
  <c r="AB559" i="12"/>
  <c r="AC559" i="12"/>
  <c r="AD559" i="12"/>
  <c r="W560" i="12"/>
  <c r="X560" i="12"/>
  <c r="Y560" i="12"/>
  <c r="Z560" i="12"/>
  <c r="AA560" i="12"/>
  <c r="AB560" i="12"/>
  <c r="AC560" i="12"/>
  <c r="AD560" i="12"/>
  <c r="W561" i="12"/>
  <c r="X561" i="12"/>
  <c r="Y561" i="12"/>
  <c r="Z561" i="12"/>
  <c r="AA561" i="12"/>
  <c r="AB561" i="12"/>
  <c r="AC561" i="12"/>
  <c r="AD561" i="12"/>
  <c r="W562" i="12"/>
  <c r="X562" i="12"/>
  <c r="Y562" i="12"/>
  <c r="Z562" i="12"/>
  <c r="AA562" i="12"/>
  <c r="AB562" i="12"/>
  <c r="AC562" i="12"/>
  <c r="AD562" i="12"/>
  <c r="W563" i="12"/>
  <c r="X563" i="12"/>
  <c r="Y563" i="12"/>
  <c r="Z563" i="12"/>
  <c r="AA563" i="12"/>
  <c r="AB563" i="12"/>
  <c r="AC563" i="12"/>
  <c r="AD563" i="12"/>
  <c r="W564" i="12"/>
  <c r="X564" i="12"/>
  <c r="Y564" i="12"/>
  <c r="Z564" i="12"/>
  <c r="AA564" i="12"/>
  <c r="AB564" i="12"/>
  <c r="AC564" i="12"/>
  <c r="AD564" i="12"/>
  <c r="W565" i="12"/>
  <c r="X565" i="12"/>
  <c r="Y565" i="12"/>
  <c r="Z565" i="12"/>
  <c r="AA565" i="12"/>
  <c r="AB565" i="12"/>
  <c r="AC565" i="12"/>
  <c r="AD565" i="12"/>
  <c r="W566" i="12"/>
  <c r="X566" i="12"/>
  <c r="Y566" i="12"/>
  <c r="Z566" i="12"/>
  <c r="AA566" i="12"/>
  <c r="AB566" i="12"/>
  <c r="AC566" i="12"/>
  <c r="AD566" i="12"/>
  <c r="W567" i="12"/>
  <c r="X567" i="12"/>
  <c r="Y567" i="12"/>
  <c r="Z567" i="12"/>
  <c r="AA567" i="12"/>
  <c r="AB567" i="12"/>
  <c r="AC567" i="12"/>
  <c r="AD567" i="12"/>
  <c r="W568" i="12"/>
  <c r="X568" i="12"/>
  <c r="Y568" i="12"/>
  <c r="Z568" i="12"/>
  <c r="AA568" i="12"/>
  <c r="AB568" i="12"/>
  <c r="AC568" i="12"/>
  <c r="AD568" i="12"/>
  <c r="W569" i="12"/>
  <c r="X569" i="12"/>
  <c r="Y569" i="12"/>
  <c r="Z569" i="12"/>
  <c r="AA569" i="12"/>
  <c r="AB569" i="12"/>
  <c r="AC569" i="12"/>
  <c r="AD569" i="12"/>
  <c r="W570" i="12"/>
  <c r="X570" i="12"/>
  <c r="Y570" i="12"/>
  <c r="Z570" i="12"/>
  <c r="AA570" i="12"/>
  <c r="AB570" i="12"/>
  <c r="AC570" i="12"/>
  <c r="AD570" i="12"/>
  <c r="W571" i="12"/>
  <c r="X571" i="12"/>
  <c r="Y571" i="12"/>
  <c r="Z571" i="12"/>
  <c r="AA571" i="12"/>
  <c r="AB571" i="12"/>
  <c r="AC571" i="12"/>
  <c r="AD571" i="12"/>
  <c r="W572" i="12"/>
  <c r="X572" i="12"/>
  <c r="Y572" i="12"/>
  <c r="Z572" i="12"/>
  <c r="AA572" i="12"/>
  <c r="AB572" i="12"/>
  <c r="AC572" i="12"/>
  <c r="AD572" i="12"/>
  <c r="W573" i="12"/>
  <c r="X573" i="12"/>
  <c r="Y573" i="12"/>
  <c r="Z573" i="12"/>
  <c r="AA573" i="12"/>
  <c r="AB573" i="12"/>
  <c r="AC573" i="12"/>
  <c r="AD573" i="12"/>
  <c r="W574" i="12"/>
  <c r="X574" i="12"/>
  <c r="Y574" i="12"/>
  <c r="Z574" i="12"/>
  <c r="AA574" i="12"/>
  <c r="AB574" i="12"/>
  <c r="AC574" i="12"/>
  <c r="AD574" i="12"/>
  <c r="W575" i="12"/>
  <c r="X575" i="12"/>
  <c r="Y575" i="12"/>
  <c r="Z575" i="12"/>
  <c r="AA575" i="12"/>
  <c r="AB575" i="12"/>
  <c r="AC575" i="12"/>
  <c r="AD575" i="12"/>
  <c r="W576" i="12"/>
  <c r="X576" i="12"/>
  <c r="Y576" i="12"/>
  <c r="Z576" i="12"/>
  <c r="AA576" i="12"/>
  <c r="AB576" i="12"/>
  <c r="AC576" i="12"/>
  <c r="AD576" i="12"/>
  <c r="W577" i="12"/>
  <c r="X577" i="12"/>
  <c r="Y577" i="12"/>
  <c r="Z577" i="12"/>
  <c r="AA577" i="12"/>
  <c r="AB577" i="12"/>
  <c r="AC577" i="12"/>
  <c r="AD577" i="12"/>
  <c r="W578" i="12"/>
  <c r="X578" i="12"/>
  <c r="Y578" i="12"/>
  <c r="Z578" i="12"/>
  <c r="AA578" i="12"/>
  <c r="AB578" i="12"/>
  <c r="AC578" i="12"/>
  <c r="AD578" i="12"/>
  <c r="W579" i="12"/>
  <c r="X579" i="12"/>
  <c r="Y579" i="12"/>
  <c r="Z579" i="12"/>
  <c r="AA579" i="12"/>
  <c r="AB579" i="12"/>
  <c r="AC579" i="12"/>
  <c r="AD579" i="12"/>
  <c r="W580" i="12"/>
  <c r="X580" i="12"/>
  <c r="Y580" i="12"/>
  <c r="Z580" i="12"/>
  <c r="AA580" i="12"/>
  <c r="AB580" i="12"/>
  <c r="AC580" i="12"/>
  <c r="AD580" i="12"/>
  <c r="W581" i="12"/>
  <c r="X581" i="12"/>
  <c r="Y581" i="12"/>
  <c r="Z581" i="12"/>
  <c r="AA581" i="12"/>
  <c r="AB581" i="12"/>
  <c r="AC581" i="12"/>
  <c r="AD581" i="12"/>
  <c r="W582" i="12"/>
  <c r="X582" i="12"/>
  <c r="Y582" i="12"/>
  <c r="Z582" i="12"/>
  <c r="AA582" i="12"/>
  <c r="AB582" i="12"/>
  <c r="AC582" i="12"/>
  <c r="AD582" i="12"/>
  <c r="W583" i="12"/>
  <c r="X583" i="12"/>
  <c r="Y583" i="12"/>
  <c r="Z583" i="12"/>
  <c r="AA583" i="12"/>
  <c r="AB583" i="12"/>
  <c r="AC583" i="12"/>
  <c r="AD583" i="12"/>
  <c r="W584" i="12"/>
  <c r="X584" i="12"/>
  <c r="Y584" i="12"/>
  <c r="Z584" i="12"/>
  <c r="AA584" i="12"/>
  <c r="AB584" i="12"/>
  <c r="AC584" i="12"/>
  <c r="AD584" i="12"/>
  <c r="W585" i="12"/>
  <c r="X585" i="12"/>
  <c r="Y585" i="12"/>
  <c r="Z585" i="12"/>
  <c r="AA585" i="12"/>
  <c r="AB585" i="12"/>
  <c r="AC585" i="12"/>
  <c r="AD585" i="12"/>
  <c r="W586" i="12"/>
  <c r="X586" i="12"/>
  <c r="Y586" i="12"/>
  <c r="Z586" i="12"/>
  <c r="AA586" i="12"/>
  <c r="AB586" i="12"/>
  <c r="AC586" i="12"/>
  <c r="AD586" i="12"/>
  <c r="W587" i="12"/>
  <c r="X587" i="12"/>
  <c r="Y587" i="12"/>
  <c r="Z587" i="12"/>
  <c r="AA587" i="12"/>
  <c r="AB587" i="12"/>
  <c r="AC587" i="12"/>
  <c r="AD587" i="12"/>
  <c r="W588" i="12"/>
  <c r="X588" i="12"/>
  <c r="Y588" i="12"/>
  <c r="Z588" i="12"/>
  <c r="AA588" i="12"/>
  <c r="AB588" i="12"/>
  <c r="AC588" i="12"/>
  <c r="AD588" i="12"/>
  <c r="W589" i="12"/>
  <c r="X589" i="12"/>
  <c r="Y589" i="12"/>
  <c r="Z589" i="12"/>
  <c r="AA589" i="12"/>
  <c r="AB589" i="12"/>
  <c r="AC589" i="12"/>
  <c r="AD589" i="12"/>
  <c r="W590" i="12"/>
  <c r="X590" i="12"/>
  <c r="Y590" i="12"/>
  <c r="Z590" i="12"/>
  <c r="AA590" i="12"/>
  <c r="AB590" i="12"/>
  <c r="AC590" i="12"/>
  <c r="AD590" i="12"/>
  <c r="W591" i="12"/>
  <c r="X591" i="12"/>
  <c r="Y591" i="12"/>
  <c r="Z591" i="12"/>
  <c r="AA591" i="12"/>
  <c r="AB591" i="12"/>
  <c r="AC591" i="12"/>
  <c r="AD591" i="12"/>
  <c r="W592" i="12"/>
  <c r="X592" i="12"/>
  <c r="Y592" i="12"/>
  <c r="Z592" i="12"/>
  <c r="AA592" i="12"/>
  <c r="AB592" i="12"/>
  <c r="AC592" i="12"/>
  <c r="AD592" i="12"/>
  <c r="W593" i="12"/>
  <c r="X593" i="12"/>
  <c r="Y593" i="12"/>
  <c r="Z593" i="12"/>
  <c r="AA593" i="12"/>
  <c r="AB593" i="12"/>
  <c r="AC593" i="12"/>
  <c r="AD593" i="12"/>
  <c r="W594" i="12"/>
  <c r="X594" i="12"/>
  <c r="Y594" i="12"/>
  <c r="Z594" i="12"/>
  <c r="AA594" i="12"/>
  <c r="AB594" i="12"/>
  <c r="AC594" i="12"/>
  <c r="AD594" i="12"/>
  <c r="W595" i="12"/>
  <c r="X595" i="12"/>
  <c r="Y595" i="12"/>
  <c r="Z595" i="12"/>
  <c r="AA595" i="12"/>
  <c r="AB595" i="12"/>
  <c r="AC595" i="12"/>
  <c r="AD595" i="12"/>
  <c r="W596" i="12"/>
  <c r="X596" i="12"/>
  <c r="Y596" i="12"/>
  <c r="Z596" i="12"/>
  <c r="AA596" i="12"/>
  <c r="AB596" i="12"/>
  <c r="AC596" i="12"/>
  <c r="AD596" i="12"/>
  <c r="W597" i="12"/>
  <c r="X597" i="12"/>
  <c r="Y597" i="12"/>
  <c r="Z597" i="12"/>
  <c r="AA597" i="12"/>
  <c r="AB597" i="12"/>
  <c r="AC597" i="12"/>
  <c r="AD597" i="12"/>
  <c r="W598" i="12"/>
  <c r="X598" i="12"/>
  <c r="Y598" i="12"/>
  <c r="Z598" i="12"/>
  <c r="AA598" i="12"/>
  <c r="AB598" i="12"/>
  <c r="AC598" i="12"/>
  <c r="AD598" i="12"/>
  <c r="W599" i="12"/>
  <c r="X599" i="12"/>
  <c r="Y599" i="12"/>
  <c r="Z599" i="12"/>
  <c r="AA599" i="12"/>
  <c r="AB599" i="12"/>
  <c r="AC599" i="12"/>
  <c r="AD599" i="12"/>
  <c r="W600" i="12"/>
  <c r="X600" i="12"/>
  <c r="Y600" i="12"/>
  <c r="Z600" i="12"/>
  <c r="AA600" i="12"/>
  <c r="AB600" i="12"/>
  <c r="AC600" i="12"/>
  <c r="AD600" i="12"/>
  <c r="W601" i="12"/>
  <c r="X601" i="12"/>
  <c r="Y601" i="12"/>
  <c r="Z601" i="12"/>
  <c r="AA601" i="12"/>
  <c r="AB601" i="12"/>
  <c r="AC601" i="12"/>
  <c r="AD601" i="12"/>
  <c r="W602" i="12"/>
  <c r="X602" i="12"/>
  <c r="Y602" i="12"/>
  <c r="Z602" i="12"/>
  <c r="AA602" i="12"/>
  <c r="AB602" i="12"/>
  <c r="AC602" i="12"/>
  <c r="AD602" i="12"/>
  <c r="W603" i="12"/>
  <c r="X603" i="12"/>
  <c r="Y603" i="12"/>
  <c r="Z603" i="12"/>
  <c r="AA603" i="12"/>
  <c r="AB603" i="12"/>
  <c r="AC603" i="12"/>
  <c r="AD603" i="12"/>
  <c r="W604" i="12"/>
  <c r="X604" i="12"/>
  <c r="Y604" i="12"/>
  <c r="Z604" i="12"/>
  <c r="AA604" i="12"/>
  <c r="AB604" i="12"/>
  <c r="AC604" i="12"/>
  <c r="AD604" i="12"/>
  <c r="W605" i="12"/>
  <c r="X605" i="12"/>
  <c r="Y605" i="12"/>
  <c r="Z605" i="12"/>
  <c r="AA605" i="12"/>
  <c r="AB605" i="12"/>
  <c r="AC605" i="12"/>
  <c r="AD605" i="12"/>
  <c r="W606" i="12"/>
  <c r="X606" i="12"/>
  <c r="Y606" i="12"/>
  <c r="Z606" i="12"/>
  <c r="AA606" i="12"/>
  <c r="AB606" i="12"/>
  <c r="AC606" i="12"/>
  <c r="AD606" i="12"/>
  <c r="W607" i="12"/>
  <c r="X607" i="12"/>
  <c r="Y607" i="12"/>
  <c r="Z607" i="12"/>
  <c r="AA607" i="12"/>
  <c r="AB607" i="12"/>
  <c r="AC607" i="12"/>
  <c r="AD607" i="12"/>
  <c r="W608" i="12"/>
  <c r="X608" i="12"/>
  <c r="Y608" i="12"/>
  <c r="Z608" i="12"/>
  <c r="AA608" i="12"/>
  <c r="AB608" i="12"/>
  <c r="AC608" i="12"/>
  <c r="AD608" i="12"/>
  <c r="W609" i="12"/>
  <c r="X609" i="12"/>
  <c r="Y609" i="12"/>
  <c r="Z609" i="12"/>
  <c r="AA609" i="12"/>
  <c r="AB609" i="12"/>
  <c r="AC609" i="12"/>
  <c r="AD609" i="12"/>
  <c r="W610" i="12"/>
  <c r="X610" i="12"/>
  <c r="Y610" i="12"/>
  <c r="Z610" i="12"/>
  <c r="AA610" i="12"/>
  <c r="AB610" i="12"/>
  <c r="AC610" i="12"/>
  <c r="AD610" i="12"/>
  <c r="W611" i="12"/>
  <c r="X611" i="12"/>
  <c r="Y611" i="12"/>
  <c r="Z611" i="12"/>
  <c r="AA611" i="12"/>
  <c r="AB611" i="12"/>
  <c r="AC611" i="12"/>
  <c r="AD611" i="12"/>
  <c r="W612" i="12"/>
  <c r="X612" i="12"/>
  <c r="Y612" i="12"/>
  <c r="Z612" i="12"/>
  <c r="AA612" i="12"/>
  <c r="AB612" i="12"/>
  <c r="AC612" i="12"/>
  <c r="AD612" i="12"/>
  <c r="W613" i="12"/>
  <c r="X613" i="12"/>
  <c r="Y613" i="12"/>
  <c r="Z613" i="12"/>
  <c r="AA613" i="12"/>
  <c r="AB613" i="12"/>
  <c r="AC613" i="12"/>
  <c r="AD613" i="12"/>
  <c r="W614" i="12"/>
  <c r="X614" i="12"/>
  <c r="Y614" i="12"/>
  <c r="Z614" i="12"/>
  <c r="AA614" i="12"/>
  <c r="AB614" i="12"/>
  <c r="AC614" i="12"/>
  <c r="AD614" i="12"/>
  <c r="W615" i="12"/>
  <c r="X615" i="12"/>
  <c r="Y615" i="12"/>
  <c r="Z615" i="12"/>
  <c r="AA615" i="12"/>
  <c r="AB615" i="12"/>
  <c r="AC615" i="12"/>
  <c r="AD615" i="12"/>
  <c r="W616" i="12"/>
  <c r="X616" i="12"/>
  <c r="Y616" i="12"/>
  <c r="Z616" i="12"/>
  <c r="AA616" i="12"/>
  <c r="AB616" i="12"/>
  <c r="AC616" i="12"/>
  <c r="AD616" i="12"/>
  <c r="W617" i="12"/>
  <c r="X617" i="12"/>
  <c r="Y617" i="12"/>
  <c r="Z617" i="12"/>
  <c r="AA617" i="12"/>
  <c r="AB617" i="12"/>
  <c r="AC617" i="12"/>
  <c r="AD617" i="12"/>
  <c r="W618" i="12"/>
  <c r="X618" i="12"/>
  <c r="Y618" i="12"/>
  <c r="Z618" i="12"/>
  <c r="AA618" i="12"/>
  <c r="AB618" i="12"/>
  <c r="AC618" i="12"/>
  <c r="AD618" i="12"/>
  <c r="W619" i="12"/>
  <c r="X619" i="12"/>
  <c r="Y619" i="12"/>
  <c r="Z619" i="12"/>
  <c r="AA619" i="12"/>
  <c r="AB619" i="12"/>
  <c r="AC619" i="12"/>
  <c r="AD619" i="12"/>
  <c r="W620" i="12"/>
  <c r="X620" i="12"/>
  <c r="Y620" i="12"/>
  <c r="Z620" i="12"/>
  <c r="AA620" i="12"/>
  <c r="AB620" i="12"/>
  <c r="AC620" i="12"/>
  <c r="AD620" i="12"/>
  <c r="W621" i="12"/>
  <c r="X621" i="12"/>
  <c r="Y621" i="12"/>
  <c r="Z621" i="12"/>
  <c r="AA621" i="12"/>
  <c r="AB621" i="12"/>
  <c r="AC621" i="12"/>
  <c r="AD621" i="12"/>
  <c r="W622" i="12"/>
  <c r="X622" i="12"/>
  <c r="Y622" i="12"/>
  <c r="Z622" i="12"/>
  <c r="AA622" i="12"/>
  <c r="AB622" i="12"/>
  <c r="AC622" i="12"/>
  <c r="AD622" i="12"/>
  <c r="W623" i="12"/>
  <c r="X623" i="12"/>
  <c r="Y623" i="12"/>
  <c r="Z623" i="12"/>
  <c r="AA623" i="12"/>
  <c r="AB623" i="12"/>
  <c r="AC623" i="12"/>
  <c r="AD623" i="12"/>
  <c r="W624" i="12"/>
  <c r="X624" i="12"/>
  <c r="Y624" i="12"/>
  <c r="Z624" i="12"/>
  <c r="AA624" i="12"/>
  <c r="AB624" i="12"/>
  <c r="AC624" i="12"/>
  <c r="AD624" i="12"/>
  <c r="W625" i="12"/>
  <c r="X625" i="12"/>
  <c r="Y625" i="12"/>
  <c r="Z625" i="12"/>
  <c r="AA625" i="12"/>
  <c r="AB625" i="12"/>
  <c r="AC625" i="12"/>
  <c r="AD625" i="12"/>
  <c r="W626" i="12"/>
  <c r="X626" i="12"/>
  <c r="Y626" i="12"/>
  <c r="Z626" i="12"/>
  <c r="AA626" i="12"/>
  <c r="AB626" i="12"/>
  <c r="AC626" i="12"/>
  <c r="AD626" i="12"/>
  <c r="W627" i="12"/>
  <c r="X627" i="12"/>
  <c r="Y627" i="12"/>
  <c r="Z627" i="12"/>
  <c r="AA627" i="12"/>
  <c r="AB627" i="12"/>
  <c r="AC627" i="12"/>
  <c r="AD627" i="12"/>
  <c r="W628" i="12"/>
  <c r="X628" i="12"/>
  <c r="Y628" i="12"/>
  <c r="Z628" i="12"/>
  <c r="AA628" i="12"/>
  <c r="AB628" i="12"/>
  <c r="AC628" i="12"/>
  <c r="AD628" i="12"/>
  <c r="W629" i="12"/>
  <c r="X629" i="12"/>
  <c r="Y629" i="12"/>
  <c r="Z629" i="12"/>
  <c r="AA629" i="12"/>
  <c r="AB629" i="12"/>
  <c r="AC629" i="12"/>
  <c r="AD629" i="12"/>
  <c r="W630" i="12"/>
  <c r="X630" i="12"/>
  <c r="Y630" i="12"/>
  <c r="Z630" i="12"/>
  <c r="AA630" i="12"/>
  <c r="AB630" i="12"/>
  <c r="AC630" i="12"/>
  <c r="AD630" i="12"/>
  <c r="W631" i="12"/>
  <c r="X631" i="12"/>
  <c r="Y631" i="12"/>
  <c r="Z631" i="12"/>
  <c r="AA631" i="12"/>
  <c r="AB631" i="12"/>
  <c r="AC631" i="12"/>
  <c r="AD631" i="12"/>
  <c r="W632" i="12"/>
  <c r="X632" i="12"/>
  <c r="Y632" i="12"/>
  <c r="Z632" i="12"/>
  <c r="AA632" i="12"/>
  <c r="AB632" i="12"/>
  <c r="AC632" i="12"/>
  <c r="AD632" i="12"/>
  <c r="W633" i="12"/>
  <c r="X633" i="12"/>
  <c r="Y633" i="12"/>
  <c r="Z633" i="12"/>
  <c r="AA633" i="12"/>
  <c r="AB633" i="12"/>
  <c r="AC633" i="12"/>
  <c r="AD633" i="12"/>
  <c r="W634" i="12"/>
  <c r="X634" i="12"/>
  <c r="Y634" i="12"/>
  <c r="Z634" i="12"/>
  <c r="AA634" i="12"/>
  <c r="AB634" i="12"/>
  <c r="AC634" i="12"/>
  <c r="AD634" i="12"/>
  <c r="W635" i="12"/>
  <c r="X635" i="12"/>
  <c r="Y635" i="12"/>
  <c r="Z635" i="12"/>
  <c r="AA635" i="12"/>
  <c r="AB635" i="12"/>
  <c r="AC635" i="12"/>
  <c r="AD635" i="12"/>
  <c r="W636" i="12"/>
  <c r="X636" i="12"/>
  <c r="Y636" i="12"/>
  <c r="Z636" i="12"/>
  <c r="AA636" i="12"/>
  <c r="AB636" i="12"/>
  <c r="AC636" i="12"/>
  <c r="AD636" i="12"/>
  <c r="W637" i="12"/>
  <c r="X637" i="12"/>
  <c r="Y637" i="12"/>
  <c r="Z637" i="12"/>
  <c r="AA637" i="12"/>
  <c r="AB637" i="12"/>
  <c r="AC637" i="12"/>
  <c r="AD637" i="12"/>
  <c r="W638" i="12"/>
  <c r="X638" i="12"/>
  <c r="Y638" i="12"/>
  <c r="Z638" i="12"/>
  <c r="AA638" i="12"/>
  <c r="AB638" i="12"/>
  <c r="AC638" i="12"/>
  <c r="AD638" i="12"/>
  <c r="W639" i="12"/>
  <c r="X639" i="12"/>
  <c r="Y639" i="12"/>
  <c r="Z639" i="12"/>
  <c r="AA639" i="12"/>
  <c r="AB639" i="12"/>
  <c r="AC639" i="12"/>
  <c r="AD639" i="12"/>
  <c r="W640" i="12"/>
  <c r="X640" i="12"/>
  <c r="Y640" i="12"/>
  <c r="Z640" i="12"/>
  <c r="AA640" i="12"/>
  <c r="AB640" i="12"/>
  <c r="AC640" i="12"/>
  <c r="AD640" i="12"/>
  <c r="W641" i="12"/>
  <c r="X641" i="12"/>
  <c r="Y641" i="12"/>
  <c r="Z641" i="12"/>
  <c r="AA641" i="12"/>
  <c r="AB641" i="12"/>
  <c r="AC641" i="12"/>
  <c r="AD641" i="12"/>
  <c r="W642" i="12"/>
  <c r="X642" i="12"/>
  <c r="Y642" i="12"/>
  <c r="Z642" i="12"/>
  <c r="AA642" i="12"/>
  <c r="AB642" i="12"/>
  <c r="AC642" i="12"/>
  <c r="AD642" i="12"/>
  <c r="W643" i="12"/>
  <c r="X643" i="12"/>
  <c r="Y643" i="12"/>
  <c r="Z643" i="12"/>
  <c r="AA643" i="12"/>
  <c r="AB643" i="12"/>
  <c r="AC643" i="12"/>
  <c r="AD643" i="12"/>
  <c r="W644" i="12"/>
  <c r="X644" i="12"/>
  <c r="Y644" i="12"/>
  <c r="Z644" i="12"/>
  <c r="AA644" i="12"/>
  <c r="AB644" i="12"/>
  <c r="AC644" i="12"/>
  <c r="AD644" i="12"/>
  <c r="W645" i="12"/>
  <c r="X645" i="12"/>
  <c r="Y645" i="12"/>
  <c r="Z645" i="12"/>
  <c r="AA645" i="12"/>
  <c r="AB645" i="12"/>
  <c r="AC645" i="12"/>
  <c r="AD645" i="12"/>
  <c r="W646" i="12"/>
  <c r="X646" i="12"/>
  <c r="Y646" i="12"/>
  <c r="Z646" i="12"/>
  <c r="AA646" i="12"/>
  <c r="AB646" i="12"/>
  <c r="AC646" i="12"/>
  <c r="AD646" i="12"/>
  <c r="W647" i="12"/>
  <c r="X647" i="12"/>
  <c r="Y647" i="12"/>
  <c r="Z647" i="12"/>
  <c r="AA647" i="12"/>
  <c r="AB647" i="12"/>
  <c r="AC647" i="12"/>
  <c r="AD647" i="12"/>
  <c r="W648" i="12"/>
  <c r="X648" i="12"/>
  <c r="Y648" i="12"/>
  <c r="Z648" i="12"/>
  <c r="AA648" i="12"/>
  <c r="AB648" i="12"/>
  <c r="AC648" i="12"/>
  <c r="AD648" i="12"/>
  <c r="W649" i="12"/>
  <c r="X649" i="12"/>
  <c r="Y649" i="12"/>
  <c r="Z649" i="12"/>
  <c r="AA649" i="12"/>
  <c r="AB649" i="12"/>
  <c r="AC649" i="12"/>
  <c r="AD649" i="12"/>
  <c r="W650" i="12"/>
  <c r="X650" i="12"/>
  <c r="Y650" i="12"/>
  <c r="Z650" i="12"/>
  <c r="AA650" i="12"/>
  <c r="AB650" i="12"/>
  <c r="AC650" i="12"/>
  <c r="AD650" i="12"/>
  <c r="W651" i="12"/>
  <c r="X651" i="12"/>
  <c r="Y651" i="12"/>
  <c r="Z651" i="12"/>
  <c r="AA651" i="12"/>
  <c r="AB651" i="12"/>
  <c r="AC651" i="12"/>
  <c r="AD651" i="12"/>
  <c r="W652" i="12"/>
  <c r="X652" i="12"/>
  <c r="Y652" i="12"/>
  <c r="Z652" i="12"/>
  <c r="AA652" i="12"/>
  <c r="AB652" i="12"/>
  <c r="AC652" i="12"/>
  <c r="AD652" i="12"/>
  <c r="W653" i="12"/>
  <c r="X653" i="12"/>
  <c r="Y653" i="12"/>
  <c r="Z653" i="12"/>
  <c r="AA653" i="12"/>
  <c r="AB653" i="12"/>
  <c r="AC653" i="12"/>
  <c r="AD653" i="12"/>
  <c r="W654" i="12"/>
  <c r="X654" i="12"/>
  <c r="Y654" i="12"/>
  <c r="Z654" i="12"/>
  <c r="AA654" i="12"/>
  <c r="AB654" i="12"/>
  <c r="AC654" i="12"/>
  <c r="AD654" i="12"/>
  <c r="W655" i="12"/>
  <c r="X655" i="12"/>
  <c r="Y655" i="12"/>
  <c r="Z655" i="12"/>
  <c r="AA655" i="12"/>
  <c r="AB655" i="12"/>
  <c r="AC655" i="12"/>
  <c r="AD655" i="12"/>
  <c r="W656" i="12"/>
  <c r="X656" i="12"/>
  <c r="Y656" i="12"/>
  <c r="Z656" i="12"/>
  <c r="AA656" i="12"/>
  <c r="AB656" i="12"/>
  <c r="AC656" i="12"/>
  <c r="AD656" i="12"/>
  <c r="W657" i="12"/>
  <c r="X657" i="12"/>
  <c r="Y657" i="12"/>
  <c r="Z657" i="12"/>
  <c r="AA657" i="12"/>
  <c r="AB657" i="12"/>
  <c r="AC657" i="12"/>
  <c r="AD657" i="12"/>
  <c r="W658" i="12"/>
  <c r="X658" i="12"/>
  <c r="Y658" i="12"/>
  <c r="Z658" i="12"/>
  <c r="AA658" i="12"/>
  <c r="AB658" i="12"/>
  <c r="AC658" i="12"/>
  <c r="AD658" i="12"/>
  <c r="W659" i="12"/>
  <c r="X659" i="12"/>
  <c r="Y659" i="12"/>
  <c r="Z659" i="12"/>
  <c r="AA659" i="12"/>
  <c r="AB659" i="12"/>
  <c r="AC659" i="12"/>
  <c r="AD659" i="12"/>
  <c r="W660" i="12"/>
  <c r="X660" i="12"/>
  <c r="Y660" i="12"/>
  <c r="Z660" i="12"/>
  <c r="AA660" i="12"/>
  <c r="AB660" i="12"/>
  <c r="AC660" i="12"/>
  <c r="AD660" i="12"/>
  <c r="W661" i="12"/>
  <c r="X661" i="12"/>
  <c r="Y661" i="12"/>
  <c r="Z661" i="12"/>
  <c r="AA661" i="12"/>
  <c r="AB661" i="12"/>
  <c r="AC661" i="12"/>
  <c r="AD661" i="12"/>
  <c r="W662" i="12"/>
  <c r="X662" i="12"/>
  <c r="Y662" i="12"/>
  <c r="Z662" i="12"/>
  <c r="AA662" i="12"/>
  <c r="AB662" i="12"/>
  <c r="AC662" i="12"/>
  <c r="AD662" i="12"/>
  <c r="W663" i="12"/>
  <c r="X663" i="12"/>
  <c r="Y663" i="12"/>
  <c r="Z663" i="12"/>
  <c r="AA663" i="12"/>
  <c r="AB663" i="12"/>
  <c r="AC663" i="12"/>
  <c r="AD663" i="12"/>
  <c r="W664" i="12"/>
  <c r="X664" i="12"/>
  <c r="Y664" i="12"/>
  <c r="Z664" i="12"/>
  <c r="AA664" i="12"/>
  <c r="AB664" i="12"/>
  <c r="AC664" i="12"/>
  <c r="AD664" i="12"/>
  <c r="W665" i="12"/>
  <c r="X665" i="12"/>
  <c r="Y665" i="12"/>
  <c r="Z665" i="12"/>
  <c r="AA665" i="12"/>
  <c r="AB665" i="12"/>
  <c r="AC665" i="12"/>
  <c r="AD665" i="12"/>
  <c r="W666" i="12"/>
  <c r="X666" i="12"/>
  <c r="Y666" i="12"/>
  <c r="Z666" i="12"/>
  <c r="AA666" i="12"/>
  <c r="AB666" i="12"/>
  <c r="AC666" i="12"/>
  <c r="AD666" i="12"/>
  <c r="W667" i="12"/>
  <c r="X667" i="12"/>
  <c r="Y667" i="12"/>
  <c r="Z667" i="12"/>
  <c r="AA667" i="12"/>
  <c r="AB667" i="12"/>
  <c r="AC667" i="12"/>
  <c r="AD667" i="12"/>
  <c r="W668" i="12"/>
  <c r="X668" i="12"/>
  <c r="Y668" i="12"/>
  <c r="Z668" i="12"/>
  <c r="AA668" i="12"/>
  <c r="AB668" i="12"/>
  <c r="AC668" i="12"/>
  <c r="AD668" i="12"/>
  <c r="W669" i="12"/>
  <c r="X669" i="12"/>
  <c r="Y669" i="12"/>
  <c r="Z669" i="12"/>
  <c r="AA669" i="12"/>
  <c r="AB669" i="12"/>
  <c r="AC669" i="12"/>
  <c r="AD669" i="12"/>
  <c r="W670" i="12"/>
  <c r="X670" i="12"/>
  <c r="Y670" i="12"/>
  <c r="Z670" i="12"/>
  <c r="AA670" i="12"/>
  <c r="AB670" i="12"/>
  <c r="AC670" i="12"/>
  <c r="AD670" i="12"/>
  <c r="W671" i="12"/>
  <c r="X671" i="12"/>
  <c r="Y671" i="12"/>
  <c r="Z671" i="12"/>
  <c r="AA671" i="12"/>
  <c r="AB671" i="12"/>
  <c r="AC671" i="12"/>
  <c r="AD671" i="12"/>
  <c r="W672" i="12"/>
  <c r="X672" i="12"/>
  <c r="Y672" i="12"/>
  <c r="Z672" i="12"/>
  <c r="AA672" i="12"/>
  <c r="AB672" i="12"/>
  <c r="AC672" i="12"/>
  <c r="AD672" i="12"/>
  <c r="W673" i="12"/>
  <c r="X673" i="12"/>
  <c r="Y673" i="12"/>
  <c r="Z673" i="12"/>
  <c r="AA673" i="12"/>
  <c r="AB673" i="12"/>
  <c r="AC673" i="12"/>
  <c r="AD673" i="12"/>
  <c r="W674" i="12"/>
  <c r="X674" i="12"/>
  <c r="Y674" i="12"/>
  <c r="Z674" i="12"/>
  <c r="AA674" i="12"/>
  <c r="AB674" i="12"/>
  <c r="AC674" i="12"/>
  <c r="AD674" i="12"/>
  <c r="W675" i="12"/>
  <c r="X675" i="12"/>
  <c r="Y675" i="12"/>
  <c r="Z675" i="12"/>
  <c r="AA675" i="12"/>
  <c r="AB675" i="12"/>
  <c r="AC675" i="12"/>
  <c r="AD675" i="12"/>
  <c r="W676" i="12"/>
  <c r="X676" i="12"/>
  <c r="Y676" i="12"/>
  <c r="Z676" i="12"/>
  <c r="AA676" i="12"/>
  <c r="AB676" i="12"/>
  <c r="AC676" i="12"/>
  <c r="AD676" i="12"/>
  <c r="W677" i="12"/>
  <c r="X677" i="12"/>
  <c r="Y677" i="12"/>
  <c r="Z677" i="12"/>
  <c r="AA677" i="12"/>
  <c r="AB677" i="12"/>
  <c r="AC677" i="12"/>
  <c r="AD677" i="12"/>
  <c r="W678" i="12"/>
  <c r="X678" i="12"/>
  <c r="Y678" i="12"/>
  <c r="Z678" i="12"/>
  <c r="AA678" i="12"/>
  <c r="AB678" i="12"/>
  <c r="AC678" i="12"/>
  <c r="AD678" i="12"/>
  <c r="W679" i="12"/>
  <c r="X679" i="12"/>
  <c r="Y679" i="12"/>
  <c r="Z679" i="12"/>
  <c r="AA679" i="12"/>
  <c r="AB679" i="12"/>
  <c r="AC679" i="12"/>
  <c r="AD679" i="12"/>
  <c r="W680" i="12"/>
  <c r="X680" i="12"/>
  <c r="Y680" i="12"/>
  <c r="Z680" i="12"/>
  <c r="AA680" i="12"/>
  <c r="AB680" i="12"/>
  <c r="AC680" i="12"/>
  <c r="AD680" i="12"/>
  <c r="W681" i="12"/>
  <c r="X681" i="12"/>
  <c r="Y681" i="12"/>
  <c r="Z681" i="12"/>
  <c r="AA681" i="12"/>
  <c r="AB681" i="12"/>
  <c r="AC681" i="12"/>
  <c r="AD681" i="12"/>
  <c r="W682" i="12"/>
  <c r="X682" i="12"/>
  <c r="Y682" i="12"/>
  <c r="Z682" i="12"/>
  <c r="AA682" i="12"/>
  <c r="AB682" i="12"/>
  <c r="AC682" i="12"/>
  <c r="AD682" i="12"/>
  <c r="W683" i="12"/>
  <c r="X683" i="12"/>
  <c r="Y683" i="12"/>
  <c r="Z683" i="12"/>
  <c r="AA683" i="12"/>
  <c r="AB683" i="12"/>
  <c r="AC683" i="12"/>
  <c r="AD683" i="12"/>
  <c r="W684" i="12"/>
  <c r="X684" i="12"/>
  <c r="Y684" i="12"/>
  <c r="Z684" i="12"/>
  <c r="AA684" i="12"/>
  <c r="AB684" i="12"/>
  <c r="AC684" i="12"/>
  <c r="AD684" i="12"/>
  <c r="W685" i="12"/>
  <c r="X685" i="12"/>
  <c r="Y685" i="12"/>
  <c r="Z685" i="12"/>
  <c r="AA685" i="12"/>
  <c r="AB685" i="12"/>
  <c r="AC685" i="12"/>
  <c r="AD685" i="12"/>
  <c r="W686" i="12"/>
  <c r="X686" i="12"/>
  <c r="Y686" i="12"/>
  <c r="Z686" i="12"/>
  <c r="AA686" i="12"/>
  <c r="AB686" i="12"/>
  <c r="AC686" i="12"/>
  <c r="AD686" i="12"/>
  <c r="W687" i="12"/>
  <c r="X687" i="12"/>
  <c r="Y687" i="12"/>
  <c r="Z687" i="12"/>
  <c r="AA687" i="12"/>
  <c r="AB687" i="12"/>
  <c r="AC687" i="12"/>
  <c r="AD687" i="12"/>
  <c r="W688" i="12"/>
  <c r="X688" i="12"/>
  <c r="Y688" i="12"/>
  <c r="Z688" i="12"/>
  <c r="AA688" i="12"/>
  <c r="AB688" i="12"/>
  <c r="AC688" i="12"/>
  <c r="AD688" i="12"/>
  <c r="W689" i="12"/>
  <c r="X689" i="12"/>
  <c r="Y689" i="12"/>
  <c r="Z689" i="12"/>
  <c r="AA689" i="12"/>
  <c r="AB689" i="12"/>
  <c r="AC689" i="12"/>
  <c r="AD689" i="12"/>
  <c r="W690" i="12"/>
  <c r="X690" i="12"/>
  <c r="Y690" i="12"/>
  <c r="Z690" i="12"/>
  <c r="AA690" i="12"/>
  <c r="AB690" i="12"/>
  <c r="AC690" i="12"/>
  <c r="AD690" i="12"/>
  <c r="W691" i="12"/>
  <c r="X691" i="12"/>
  <c r="Y691" i="12"/>
  <c r="Z691" i="12"/>
  <c r="AA691" i="12"/>
  <c r="AB691" i="12"/>
  <c r="AC691" i="12"/>
  <c r="AD691" i="12"/>
  <c r="W692" i="12"/>
  <c r="X692" i="12"/>
  <c r="Y692" i="12"/>
  <c r="Z692" i="12"/>
  <c r="AA692" i="12"/>
  <c r="AB692" i="12"/>
  <c r="AC692" i="12"/>
  <c r="AD692" i="12"/>
  <c r="W693" i="12"/>
  <c r="X693" i="12"/>
  <c r="Y693" i="12"/>
  <c r="Z693" i="12"/>
  <c r="AA693" i="12"/>
  <c r="AB693" i="12"/>
  <c r="AC693" i="12"/>
  <c r="AD693" i="12"/>
  <c r="W694" i="12"/>
  <c r="X694" i="12"/>
  <c r="Y694" i="12"/>
  <c r="Z694" i="12"/>
  <c r="AA694" i="12"/>
  <c r="AB694" i="12"/>
  <c r="AC694" i="12"/>
  <c r="AD694" i="12"/>
  <c r="W695" i="12"/>
  <c r="X695" i="12"/>
  <c r="Y695" i="12"/>
  <c r="Z695" i="12"/>
  <c r="AA695" i="12"/>
  <c r="AB695" i="12"/>
  <c r="AC695" i="12"/>
  <c r="AD695" i="12"/>
  <c r="W696" i="12"/>
  <c r="X696" i="12"/>
  <c r="Y696" i="12"/>
  <c r="Z696" i="12"/>
  <c r="AA696" i="12"/>
  <c r="AB696" i="12"/>
  <c r="AC696" i="12"/>
  <c r="AD696" i="12"/>
  <c r="W697" i="12"/>
  <c r="X697" i="12"/>
  <c r="Y697" i="12"/>
  <c r="Z697" i="12"/>
  <c r="AA697" i="12"/>
  <c r="AB697" i="12"/>
  <c r="AC697" i="12"/>
  <c r="AD697" i="12"/>
  <c r="W698" i="12"/>
  <c r="X698" i="12"/>
  <c r="Y698" i="12"/>
  <c r="Z698" i="12"/>
  <c r="AA698" i="12"/>
  <c r="AB698" i="12"/>
  <c r="AC698" i="12"/>
  <c r="AD698" i="12"/>
  <c r="W699" i="12"/>
  <c r="X699" i="12"/>
  <c r="Y699" i="12"/>
  <c r="Z699" i="12"/>
  <c r="AA699" i="12"/>
  <c r="AB699" i="12"/>
  <c r="AC699" i="12"/>
  <c r="AD699" i="12"/>
  <c r="W700" i="12"/>
  <c r="X700" i="12"/>
  <c r="Y700" i="12"/>
  <c r="Z700" i="12"/>
  <c r="AA700" i="12"/>
  <c r="AB700" i="12"/>
  <c r="AC700" i="12"/>
  <c r="AD700" i="12"/>
  <c r="W701" i="12"/>
  <c r="X701" i="12"/>
  <c r="Y701" i="12"/>
  <c r="Z701" i="12"/>
  <c r="AA701" i="12"/>
  <c r="AB701" i="12"/>
  <c r="AC701" i="12"/>
  <c r="AD701" i="12"/>
  <c r="W702" i="12"/>
  <c r="X702" i="12"/>
  <c r="Y702" i="12"/>
  <c r="Z702" i="12"/>
  <c r="AA702" i="12"/>
  <c r="AB702" i="12"/>
  <c r="AC702" i="12"/>
  <c r="AD702" i="12"/>
  <c r="W703" i="12"/>
  <c r="X703" i="12"/>
  <c r="Y703" i="12"/>
  <c r="Z703" i="12"/>
  <c r="AA703" i="12"/>
  <c r="AB703" i="12"/>
  <c r="AC703" i="12"/>
  <c r="AD703" i="12"/>
  <c r="W704" i="12"/>
  <c r="X704" i="12"/>
  <c r="Y704" i="12"/>
  <c r="Z704" i="12"/>
  <c r="AA704" i="12"/>
  <c r="AB704" i="12"/>
  <c r="AC704" i="12"/>
  <c r="AD704" i="12"/>
  <c r="W705" i="12"/>
  <c r="X705" i="12"/>
  <c r="Y705" i="12"/>
  <c r="Z705" i="12"/>
  <c r="AA705" i="12"/>
  <c r="AB705" i="12"/>
  <c r="AC705" i="12"/>
  <c r="AD705" i="12"/>
  <c r="W706" i="12"/>
  <c r="X706" i="12"/>
  <c r="Y706" i="12"/>
  <c r="Z706" i="12"/>
  <c r="AA706" i="12"/>
  <c r="AB706" i="12"/>
  <c r="AC706" i="12"/>
  <c r="AD706" i="12"/>
  <c r="W707" i="12"/>
  <c r="X707" i="12"/>
  <c r="Y707" i="12"/>
  <c r="Z707" i="12"/>
  <c r="AA707" i="12"/>
  <c r="AB707" i="12"/>
  <c r="AC707" i="12"/>
  <c r="AD707" i="12"/>
  <c r="W708" i="12"/>
  <c r="X708" i="12"/>
  <c r="Y708" i="12"/>
  <c r="Z708" i="12"/>
  <c r="AA708" i="12"/>
  <c r="AB708" i="12"/>
  <c r="AC708" i="12"/>
  <c r="AD708" i="12"/>
  <c r="W709" i="12"/>
  <c r="X709" i="12"/>
  <c r="Y709" i="12"/>
  <c r="Z709" i="12"/>
  <c r="AA709" i="12"/>
  <c r="AB709" i="12"/>
  <c r="AC709" i="12"/>
  <c r="AD709" i="12"/>
  <c r="W710" i="12"/>
  <c r="X710" i="12"/>
  <c r="Y710" i="12"/>
  <c r="Z710" i="12"/>
  <c r="AA710" i="12"/>
  <c r="AB710" i="12"/>
  <c r="AC710" i="12"/>
  <c r="AD710" i="12"/>
  <c r="W711" i="12"/>
  <c r="X711" i="12"/>
  <c r="Y711" i="12"/>
  <c r="Z711" i="12"/>
  <c r="AA711" i="12"/>
  <c r="AB711" i="12"/>
  <c r="AC711" i="12"/>
  <c r="AD711" i="12"/>
  <c r="W712" i="12"/>
  <c r="X712" i="12"/>
  <c r="Y712" i="12"/>
  <c r="Z712" i="12"/>
  <c r="AA712" i="12"/>
  <c r="AB712" i="12"/>
  <c r="AC712" i="12"/>
  <c r="AD712" i="12"/>
  <c r="W713" i="12"/>
  <c r="X713" i="12"/>
  <c r="Y713" i="12"/>
  <c r="Z713" i="12"/>
  <c r="AA713" i="12"/>
  <c r="AB713" i="12"/>
  <c r="AC713" i="12"/>
  <c r="AD713" i="12"/>
  <c r="W714" i="12"/>
  <c r="X714" i="12"/>
  <c r="Y714" i="12"/>
  <c r="Z714" i="12"/>
  <c r="AA714" i="12"/>
  <c r="AB714" i="12"/>
  <c r="AC714" i="12"/>
  <c r="AD714" i="12"/>
  <c r="W715" i="12"/>
  <c r="X715" i="12"/>
  <c r="Y715" i="12"/>
  <c r="Z715" i="12"/>
  <c r="AA715" i="12"/>
  <c r="AB715" i="12"/>
  <c r="AC715" i="12"/>
  <c r="AD715" i="12"/>
  <c r="W716" i="12"/>
  <c r="X716" i="12"/>
  <c r="Y716" i="12"/>
  <c r="Z716" i="12"/>
  <c r="AA716" i="12"/>
  <c r="AB716" i="12"/>
  <c r="AC716" i="12"/>
  <c r="AD716" i="12"/>
  <c r="W717" i="12"/>
  <c r="X717" i="12"/>
  <c r="Y717" i="12"/>
  <c r="Z717" i="12"/>
  <c r="AA717" i="12"/>
  <c r="AB717" i="12"/>
  <c r="AC717" i="12"/>
  <c r="AD717" i="12"/>
  <c r="W718" i="12"/>
  <c r="X718" i="12"/>
  <c r="Y718" i="12"/>
  <c r="Z718" i="12"/>
  <c r="AA718" i="12"/>
  <c r="AB718" i="12"/>
  <c r="AC718" i="12"/>
  <c r="AD718" i="12"/>
  <c r="W730" i="12"/>
  <c r="X730" i="12"/>
  <c r="Y730" i="12"/>
  <c r="Z730" i="12"/>
  <c r="AA730" i="12"/>
  <c r="AB730" i="12"/>
  <c r="AC730" i="12"/>
  <c r="AD730" i="12"/>
  <c r="W731" i="12"/>
  <c r="X731" i="12"/>
  <c r="Y731" i="12"/>
  <c r="Z731" i="12"/>
  <c r="AA731" i="12"/>
  <c r="AB731" i="12"/>
  <c r="AC731" i="12"/>
  <c r="AD731" i="12"/>
  <c r="W732" i="12"/>
  <c r="X732" i="12"/>
  <c r="Y732" i="12"/>
  <c r="Z732" i="12"/>
  <c r="AA732" i="12"/>
  <c r="AB732" i="12"/>
  <c r="AC732" i="12"/>
  <c r="AD732" i="12"/>
  <c r="W733" i="12"/>
  <c r="X733" i="12"/>
  <c r="Y733" i="12"/>
  <c r="Z733" i="12"/>
  <c r="AA733" i="12"/>
  <c r="AB733" i="12"/>
  <c r="AC733" i="12"/>
  <c r="AD733" i="12"/>
  <c r="W734" i="12"/>
  <c r="X734" i="12"/>
  <c r="Y734" i="12"/>
  <c r="Z734" i="12"/>
  <c r="AA734" i="12"/>
  <c r="AB734" i="12"/>
  <c r="AC734" i="12"/>
  <c r="AD734" i="12"/>
  <c r="W735" i="12"/>
  <c r="X735" i="12"/>
  <c r="Y735" i="12"/>
  <c r="Z735" i="12"/>
  <c r="AA735" i="12"/>
  <c r="AB735" i="12"/>
  <c r="AC735" i="12"/>
  <c r="AD735" i="12"/>
  <c r="W736" i="12"/>
  <c r="X736" i="12"/>
  <c r="Y736" i="12"/>
  <c r="Z736" i="12"/>
  <c r="AA736" i="12"/>
  <c r="AB736" i="12"/>
  <c r="AC736" i="12"/>
  <c r="AD736" i="12"/>
  <c r="W737" i="12"/>
  <c r="X737" i="12"/>
  <c r="Y737" i="12"/>
  <c r="Z737" i="12"/>
  <c r="AA737" i="12"/>
  <c r="AB737" i="12"/>
  <c r="AC737" i="12"/>
  <c r="AD737" i="12"/>
  <c r="W738" i="12"/>
  <c r="X738" i="12"/>
  <c r="Y738" i="12"/>
  <c r="Z738" i="12"/>
  <c r="AA738" i="12"/>
  <c r="AB738" i="12"/>
  <c r="AC738" i="12"/>
  <c r="AD738" i="12"/>
  <c r="W739" i="12"/>
  <c r="X739" i="12"/>
  <c r="Y739" i="12"/>
  <c r="Z739" i="12"/>
  <c r="AA739" i="12"/>
  <c r="AB739" i="12"/>
  <c r="AC739" i="12"/>
  <c r="AD739" i="12"/>
  <c r="W740" i="12"/>
  <c r="X740" i="12"/>
  <c r="Y740" i="12"/>
  <c r="Z740" i="12"/>
  <c r="AA740" i="12"/>
  <c r="AB740" i="12"/>
  <c r="AC740" i="12"/>
  <c r="AD740" i="12"/>
  <c r="W741" i="12"/>
  <c r="X741" i="12"/>
  <c r="Y741" i="12"/>
  <c r="Z741" i="12"/>
  <c r="AA741" i="12"/>
  <c r="AB741" i="12"/>
  <c r="AC741" i="12"/>
  <c r="AD741" i="12"/>
  <c r="W742" i="12"/>
  <c r="X742" i="12"/>
  <c r="Y742" i="12"/>
  <c r="Z742" i="12"/>
  <c r="AA742" i="12"/>
  <c r="AB742" i="12"/>
  <c r="AC742" i="12"/>
  <c r="AD742" i="12"/>
  <c r="W743" i="12"/>
  <c r="X743" i="12"/>
  <c r="Y743" i="12"/>
  <c r="Z743" i="12"/>
  <c r="AA743" i="12"/>
  <c r="AB743" i="12"/>
  <c r="AC743" i="12"/>
  <c r="AD743" i="12"/>
  <c r="W744" i="12"/>
  <c r="X744" i="12"/>
  <c r="Y744" i="12"/>
  <c r="Z744" i="12"/>
  <c r="AA744" i="12"/>
  <c r="AB744" i="12"/>
  <c r="AC744" i="12"/>
  <c r="AD744" i="12"/>
  <c r="W745" i="12"/>
  <c r="X745" i="12"/>
  <c r="Y745" i="12"/>
  <c r="Z745" i="12"/>
  <c r="AA745" i="12"/>
  <c r="AB745" i="12"/>
  <c r="AC745" i="12"/>
  <c r="AD745" i="12"/>
  <c r="W746" i="12"/>
  <c r="X746" i="12"/>
  <c r="Y746" i="12"/>
  <c r="Z746" i="12"/>
  <c r="AA746" i="12"/>
  <c r="AB746" i="12"/>
  <c r="AC746" i="12"/>
  <c r="AD746" i="12"/>
  <c r="W747" i="12"/>
  <c r="X747" i="12"/>
  <c r="Y747" i="12"/>
  <c r="Z747" i="12"/>
  <c r="AA747" i="12"/>
  <c r="AB747" i="12"/>
  <c r="AC747" i="12"/>
  <c r="AD747" i="12"/>
  <c r="W748" i="12"/>
  <c r="X748" i="12"/>
  <c r="Y748" i="12"/>
  <c r="Z748" i="12"/>
  <c r="AA748" i="12"/>
  <c r="AB748" i="12"/>
  <c r="AC748" i="12"/>
  <c r="AD748" i="12"/>
  <c r="W749" i="12"/>
  <c r="X749" i="12"/>
  <c r="Y749" i="12"/>
  <c r="Z749" i="12"/>
  <c r="AA749" i="12"/>
  <c r="AB749" i="12"/>
  <c r="AC749" i="12"/>
  <c r="AD749" i="12"/>
  <c r="W750" i="12"/>
  <c r="X750" i="12"/>
  <c r="Y750" i="12"/>
  <c r="Z750" i="12"/>
  <c r="AA750" i="12"/>
  <c r="AB750" i="12"/>
  <c r="AC750" i="12"/>
  <c r="AD750" i="12"/>
  <c r="W751" i="12"/>
  <c r="X751" i="12"/>
  <c r="Y751" i="12"/>
  <c r="Z751" i="12"/>
  <c r="AA751" i="12"/>
  <c r="AB751" i="12"/>
  <c r="AC751" i="12"/>
  <c r="AD751" i="12"/>
  <c r="W752" i="12"/>
  <c r="X752" i="12"/>
  <c r="Y752" i="12"/>
  <c r="Z752" i="12"/>
  <c r="AA752" i="12"/>
  <c r="AB752" i="12"/>
  <c r="AC752" i="12"/>
  <c r="AD752" i="12"/>
  <c r="W753" i="12"/>
  <c r="X753" i="12"/>
  <c r="Y753" i="12"/>
  <c r="Z753" i="12"/>
  <c r="AA753" i="12"/>
  <c r="AB753" i="12"/>
  <c r="AC753" i="12"/>
  <c r="AD753" i="12"/>
  <c r="W754" i="12"/>
  <c r="X754" i="12"/>
  <c r="Y754" i="12"/>
  <c r="Z754" i="12"/>
  <c r="AA754" i="12"/>
  <c r="AB754" i="12"/>
  <c r="AC754" i="12"/>
  <c r="AD754" i="12"/>
  <c r="W755" i="12"/>
  <c r="X755" i="12"/>
  <c r="Y755" i="12"/>
  <c r="Z755" i="12"/>
  <c r="AA755" i="12"/>
  <c r="AB755" i="12"/>
  <c r="AC755" i="12"/>
  <c r="AD755" i="12"/>
  <c r="W756" i="12"/>
  <c r="X756" i="12"/>
  <c r="Y756" i="12"/>
  <c r="Z756" i="12"/>
  <c r="AA756" i="12"/>
  <c r="AB756" i="12"/>
  <c r="AC756" i="12"/>
  <c r="AD756" i="12"/>
  <c r="W757" i="12"/>
  <c r="X757" i="12"/>
  <c r="Y757" i="12"/>
  <c r="Z757" i="12"/>
  <c r="AA757" i="12"/>
  <c r="AB757" i="12"/>
  <c r="AC757" i="12"/>
  <c r="AD757" i="12"/>
  <c r="W758" i="12"/>
  <c r="X758" i="12"/>
  <c r="Y758" i="12"/>
  <c r="Z758" i="12"/>
  <c r="AA758" i="12"/>
  <c r="AB758" i="12"/>
  <c r="AC758" i="12"/>
  <c r="AD758" i="12"/>
  <c r="W759" i="12"/>
  <c r="X759" i="12"/>
  <c r="Y759" i="12"/>
  <c r="Z759" i="12"/>
  <c r="AA759" i="12"/>
  <c r="AB759" i="12"/>
  <c r="AC759" i="12"/>
  <c r="AD759" i="12"/>
  <c r="W760" i="12"/>
  <c r="X760" i="12"/>
  <c r="Y760" i="12"/>
  <c r="Z760" i="12"/>
  <c r="AA760" i="12"/>
  <c r="AB760" i="12"/>
  <c r="AC760" i="12"/>
  <c r="AD760" i="12"/>
  <c r="W761" i="12"/>
  <c r="X761" i="12"/>
  <c r="Y761" i="12"/>
  <c r="Z761" i="12"/>
  <c r="AA761" i="12"/>
  <c r="AB761" i="12"/>
  <c r="AC761" i="12"/>
  <c r="AD761" i="12"/>
  <c r="W762" i="12"/>
  <c r="X762" i="12"/>
  <c r="Y762" i="12"/>
  <c r="Z762" i="12"/>
  <c r="AA762" i="12"/>
  <c r="AB762" i="12"/>
  <c r="AC762" i="12"/>
  <c r="AD762" i="12"/>
  <c r="W763" i="12"/>
  <c r="X763" i="12"/>
  <c r="Y763" i="12"/>
  <c r="Z763" i="12"/>
  <c r="AA763" i="12"/>
  <c r="AB763" i="12"/>
  <c r="AC763" i="12"/>
  <c r="AD763" i="12"/>
  <c r="W764" i="12"/>
  <c r="X764" i="12"/>
  <c r="Y764" i="12"/>
  <c r="Z764" i="12"/>
  <c r="AA764" i="12"/>
  <c r="AB764" i="12"/>
  <c r="AC764" i="12"/>
  <c r="AD764" i="12"/>
  <c r="W765" i="12"/>
  <c r="X765" i="12"/>
  <c r="Y765" i="12"/>
  <c r="Z765" i="12"/>
  <c r="AA765" i="12"/>
  <c r="AB765" i="12"/>
  <c r="AC765" i="12"/>
  <c r="AD765" i="12"/>
  <c r="W766" i="12"/>
  <c r="X766" i="12"/>
  <c r="Y766" i="12"/>
  <c r="Z766" i="12"/>
  <c r="AA766" i="12"/>
  <c r="AB766" i="12"/>
  <c r="AC766" i="12"/>
  <c r="AD766" i="12"/>
  <c r="W767" i="12"/>
  <c r="X767" i="12"/>
  <c r="Y767" i="12"/>
  <c r="Z767" i="12"/>
  <c r="AA767" i="12"/>
  <c r="AB767" i="12"/>
  <c r="AC767" i="12"/>
  <c r="AD767" i="12"/>
  <c r="W768" i="12"/>
  <c r="X768" i="12"/>
  <c r="Y768" i="12"/>
  <c r="Z768" i="12"/>
  <c r="AA768" i="12"/>
  <c r="AB768" i="12"/>
  <c r="AC768" i="12"/>
  <c r="AD768" i="12"/>
  <c r="W769" i="12"/>
  <c r="X769" i="12"/>
  <c r="Y769" i="12"/>
  <c r="Z769" i="12"/>
  <c r="AA769" i="12"/>
  <c r="AB769" i="12"/>
  <c r="AC769" i="12"/>
  <c r="AD769" i="12"/>
  <c r="W770" i="12"/>
  <c r="X770" i="12"/>
  <c r="Y770" i="12"/>
  <c r="Z770" i="12"/>
  <c r="AA770" i="12"/>
  <c r="AB770" i="12"/>
  <c r="AC770" i="12"/>
  <c r="AD770" i="12"/>
  <c r="W771" i="12"/>
  <c r="X771" i="12"/>
  <c r="Y771" i="12"/>
  <c r="Z771" i="12"/>
  <c r="AA771" i="12"/>
  <c r="AB771" i="12"/>
  <c r="AC771" i="12"/>
  <c r="AD771" i="12"/>
  <c r="W772" i="12"/>
  <c r="X772" i="12"/>
  <c r="Y772" i="12"/>
  <c r="Z772" i="12"/>
  <c r="AA772" i="12"/>
  <c r="AB772" i="12"/>
  <c r="AC772" i="12"/>
  <c r="AD772" i="12"/>
  <c r="W773" i="12"/>
  <c r="X773" i="12"/>
  <c r="Y773" i="12"/>
  <c r="Z773" i="12"/>
  <c r="AA773" i="12"/>
  <c r="AB773" i="12"/>
  <c r="AC773" i="12"/>
  <c r="AD773" i="12"/>
  <c r="W774" i="12"/>
  <c r="X774" i="12"/>
  <c r="Y774" i="12"/>
  <c r="Z774" i="12"/>
  <c r="AA774" i="12"/>
  <c r="AB774" i="12"/>
  <c r="AC774" i="12"/>
  <c r="AD774" i="12"/>
  <c r="W775" i="12"/>
  <c r="X775" i="12"/>
  <c r="Y775" i="12"/>
  <c r="Z775" i="12"/>
  <c r="AA775" i="12"/>
  <c r="AB775" i="12"/>
  <c r="AC775" i="12"/>
  <c r="AD775" i="12"/>
  <c r="W776" i="12"/>
  <c r="X776" i="12"/>
  <c r="Y776" i="12"/>
  <c r="Z776" i="12"/>
  <c r="AA776" i="12"/>
  <c r="AB776" i="12"/>
  <c r="AC776" i="12"/>
  <c r="AD776" i="12"/>
  <c r="W777" i="12"/>
  <c r="X777" i="12"/>
  <c r="Y777" i="12"/>
  <c r="Z777" i="12"/>
  <c r="AA777" i="12"/>
  <c r="AB777" i="12"/>
  <c r="AC777" i="12"/>
  <c r="AD777" i="12"/>
  <c r="W778" i="12"/>
  <c r="X778" i="12"/>
  <c r="Y778" i="12"/>
  <c r="Z778" i="12"/>
  <c r="AA778" i="12"/>
  <c r="AB778" i="12"/>
  <c r="AC778" i="12"/>
  <c r="AD778" i="12"/>
  <c r="W779" i="12"/>
  <c r="X779" i="12"/>
  <c r="Y779" i="12"/>
  <c r="Z779" i="12"/>
  <c r="AA779" i="12"/>
  <c r="AB779" i="12"/>
  <c r="AC779" i="12"/>
  <c r="AD779" i="12"/>
  <c r="W780" i="12"/>
  <c r="X780" i="12"/>
  <c r="Y780" i="12"/>
  <c r="Z780" i="12"/>
  <c r="AA780" i="12"/>
  <c r="AB780" i="12"/>
  <c r="AC780" i="12"/>
  <c r="AD780" i="12"/>
  <c r="W781" i="12"/>
  <c r="X781" i="12"/>
  <c r="Y781" i="12"/>
  <c r="Z781" i="12"/>
  <c r="AA781" i="12"/>
  <c r="AB781" i="12"/>
  <c r="AC781" i="12"/>
  <c r="AD781" i="12"/>
  <c r="W782" i="12"/>
  <c r="X782" i="12"/>
  <c r="Y782" i="12"/>
  <c r="Z782" i="12"/>
  <c r="AA782" i="12"/>
  <c r="AB782" i="12"/>
  <c r="AC782" i="12"/>
  <c r="AD782" i="12"/>
  <c r="W783" i="12"/>
  <c r="X783" i="12"/>
  <c r="Y783" i="12"/>
  <c r="Z783" i="12"/>
  <c r="AA783" i="12"/>
  <c r="AB783" i="12"/>
  <c r="AC783" i="12"/>
  <c r="AD783" i="12"/>
  <c r="W784" i="12"/>
  <c r="X784" i="12"/>
  <c r="Y784" i="12"/>
  <c r="Z784" i="12"/>
  <c r="AA784" i="12"/>
  <c r="AB784" i="12"/>
  <c r="AC784" i="12"/>
  <c r="AD784" i="12"/>
  <c r="W785" i="12"/>
  <c r="X785" i="12"/>
  <c r="Y785" i="12"/>
  <c r="Z785" i="12"/>
  <c r="AA785" i="12"/>
  <c r="AB785" i="12"/>
  <c r="AC785" i="12"/>
  <c r="AD785" i="12"/>
  <c r="W786" i="12"/>
  <c r="X786" i="12"/>
  <c r="Y786" i="12"/>
  <c r="Z786" i="12"/>
  <c r="AA786" i="12"/>
  <c r="AB786" i="12"/>
  <c r="AC786" i="12"/>
  <c r="AD786" i="12"/>
  <c r="W787" i="12"/>
  <c r="X787" i="12"/>
  <c r="Y787" i="12"/>
  <c r="Z787" i="12"/>
  <c r="AA787" i="12"/>
  <c r="AB787" i="12"/>
  <c r="AC787" i="12"/>
  <c r="AD787" i="12"/>
  <c r="W788" i="12"/>
  <c r="X788" i="12"/>
  <c r="Y788" i="12"/>
  <c r="Z788" i="12"/>
  <c r="AA788" i="12"/>
  <c r="AB788" i="12"/>
  <c r="AC788" i="12"/>
  <c r="AD788" i="12"/>
  <c r="W789" i="12"/>
  <c r="X789" i="12"/>
  <c r="Y789" i="12"/>
  <c r="Z789" i="12"/>
  <c r="AA789" i="12"/>
  <c r="AB789" i="12"/>
  <c r="AC789" i="12"/>
  <c r="AD789" i="12"/>
  <c r="W790" i="12"/>
  <c r="X790" i="12"/>
  <c r="Y790" i="12"/>
  <c r="Z790" i="12"/>
  <c r="AA790" i="12"/>
  <c r="AB790" i="12"/>
  <c r="AC790" i="12"/>
  <c r="AD790" i="12"/>
  <c r="W791" i="12"/>
  <c r="X791" i="12"/>
  <c r="Y791" i="12"/>
  <c r="Z791" i="12"/>
  <c r="AA791" i="12"/>
  <c r="AB791" i="12"/>
  <c r="AC791" i="12"/>
  <c r="AD791" i="12"/>
  <c r="W792" i="12"/>
  <c r="X792" i="12"/>
  <c r="Y792" i="12"/>
  <c r="Z792" i="12"/>
  <c r="AA792" i="12"/>
  <c r="AB792" i="12"/>
  <c r="AC792" i="12"/>
  <c r="AD792" i="12"/>
  <c r="W793" i="12"/>
  <c r="X793" i="12"/>
  <c r="Y793" i="12"/>
  <c r="Z793" i="12"/>
  <c r="AA793" i="12"/>
  <c r="AB793" i="12"/>
  <c r="AC793" i="12"/>
  <c r="AD793" i="12"/>
  <c r="W794" i="12"/>
  <c r="X794" i="12"/>
  <c r="Y794" i="12"/>
  <c r="Z794" i="12"/>
  <c r="AA794" i="12"/>
  <c r="AB794" i="12"/>
  <c r="AC794" i="12"/>
  <c r="AD794" i="12"/>
  <c r="W795" i="12"/>
  <c r="X795" i="12"/>
  <c r="Y795" i="12"/>
  <c r="Z795" i="12"/>
  <c r="AA795" i="12"/>
  <c r="AB795" i="12"/>
  <c r="AC795" i="12"/>
  <c r="AD795" i="12"/>
  <c r="W796" i="12"/>
  <c r="X796" i="12"/>
  <c r="Y796" i="12"/>
  <c r="Z796" i="12"/>
  <c r="AA796" i="12"/>
  <c r="AB796" i="12"/>
  <c r="AC796" i="12"/>
  <c r="AD796" i="12"/>
  <c r="W797" i="12"/>
  <c r="X797" i="12"/>
  <c r="Y797" i="12"/>
  <c r="Z797" i="12"/>
  <c r="AA797" i="12"/>
  <c r="AB797" i="12"/>
  <c r="AC797" i="12"/>
  <c r="AD797" i="12"/>
  <c r="W798" i="12"/>
  <c r="X798" i="12"/>
  <c r="Y798" i="12"/>
  <c r="Z798" i="12"/>
  <c r="AA798" i="12"/>
  <c r="AB798" i="12"/>
  <c r="AC798" i="12"/>
  <c r="AD798" i="12"/>
  <c r="W799" i="12"/>
  <c r="X799" i="12"/>
  <c r="Y799" i="12"/>
  <c r="Z799" i="12"/>
  <c r="AA799" i="12"/>
  <c r="AB799" i="12"/>
  <c r="AC799" i="12"/>
  <c r="AD799" i="12"/>
  <c r="W800" i="12"/>
  <c r="X800" i="12"/>
  <c r="Y800" i="12"/>
  <c r="Z800" i="12"/>
  <c r="AA800" i="12"/>
  <c r="AB800" i="12"/>
  <c r="AC800" i="12"/>
  <c r="AD800" i="12"/>
  <c r="W801" i="12"/>
  <c r="X801" i="12"/>
  <c r="Y801" i="12"/>
  <c r="Z801" i="12"/>
  <c r="AA801" i="12"/>
  <c r="AB801" i="12"/>
  <c r="AC801" i="12"/>
  <c r="AD801" i="12"/>
  <c r="W802" i="12"/>
  <c r="X802" i="12"/>
  <c r="Y802" i="12"/>
  <c r="Z802" i="12"/>
  <c r="AA802" i="12"/>
  <c r="AB802" i="12"/>
  <c r="AC802" i="12"/>
  <c r="AD802" i="12"/>
  <c r="W803" i="12"/>
  <c r="X803" i="12"/>
  <c r="Y803" i="12"/>
  <c r="Z803" i="12"/>
  <c r="AA803" i="12"/>
  <c r="AB803" i="12"/>
  <c r="AC803" i="12"/>
  <c r="AD803" i="12"/>
  <c r="W804" i="12"/>
  <c r="X804" i="12"/>
  <c r="Y804" i="12"/>
  <c r="Z804" i="12"/>
  <c r="AA804" i="12"/>
  <c r="AB804" i="12"/>
  <c r="AC804" i="12"/>
  <c r="AD804" i="12"/>
  <c r="W805" i="12"/>
  <c r="X805" i="12"/>
  <c r="Y805" i="12"/>
  <c r="Z805" i="12"/>
  <c r="AA805" i="12"/>
  <c r="AB805" i="12"/>
  <c r="AC805" i="12"/>
  <c r="AD805" i="12"/>
  <c r="W806" i="12"/>
  <c r="X806" i="12"/>
  <c r="Y806" i="12"/>
  <c r="Z806" i="12"/>
  <c r="AA806" i="12"/>
  <c r="AB806" i="12"/>
  <c r="AC806" i="12"/>
  <c r="AD806" i="12"/>
  <c r="W807" i="12"/>
  <c r="X807" i="12"/>
  <c r="Y807" i="12"/>
  <c r="Z807" i="12"/>
  <c r="AA807" i="12"/>
  <c r="AB807" i="12"/>
  <c r="AC807" i="12"/>
  <c r="AD807" i="12"/>
  <c r="W808" i="12"/>
  <c r="X808" i="12"/>
  <c r="Y808" i="12"/>
  <c r="Z808" i="12"/>
  <c r="AA808" i="12"/>
  <c r="AB808" i="12"/>
  <c r="AC808" i="12"/>
  <c r="AD808" i="12"/>
  <c r="W809" i="12"/>
  <c r="X809" i="12"/>
  <c r="Y809" i="12"/>
  <c r="Z809" i="12"/>
  <c r="AA809" i="12"/>
  <c r="AB809" i="12"/>
  <c r="AC809" i="12"/>
  <c r="AD809" i="12"/>
  <c r="W810" i="12"/>
  <c r="X810" i="12"/>
  <c r="Y810" i="12"/>
  <c r="Z810" i="12"/>
  <c r="AA810" i="12"/>
  <c r="AB810" i="12"/>
  <c r="AC810" i="12"/>
  <c r="AD810" i="12"/>
  <c r="W811" i="12"/>
  <c r="X811" i="12"/>
  <c r="Y811" i="12"/>
  <c r="Z811" i="12"/>
  <c r="AA811" i="12"/>
  <c r="AB811" i="12"/>
  <c r="AC811" i="12"/>
  <c r="AD811" i="12"/>
  <c r="W812" i="12"/>
  <c r="X812" i="12"/>
  <c r="Y812" i="12"/>
  <c r="Z812" i="12"/>
  <c r="AA812" i="12"/>
  <c r="AB812" i="12"/>
  <c r="AC812" i="12"/>
  <c r="AD812" i="12"/>
  <c r="W813" i="12"/>
  <c r="X813" i="12"/>
  <c r="Y813" i="12"/>
  <c r="Z813" i="12"/>
  <c r="AA813" i="12"/>
  <c r="AB813" i="12"/>
  <c r="AC813" i="12"/>
  <c r="AD813" i="12"/>
  <c r="W814" i="12"/>
  <c r="X814" i="12"/>
  <c r="Y814" i="12"/>
  <c r="Z814" i="12"/>
  <c r="AA814" i="12"/>
  <c r="AB814" i="12"/>
  <c r="AC814" i="12"/>
  <c r="AD814" i="12"/>
  <c r="W815" i="12"/>
  <c r="X815" i="12"/>
  <c r="Y815" i="12"/>
  <c r="Z815" i="12"/>
  <c r="AA815" i="12"/>
  <c r="AB815" i="12"/>
  <c r="AC815" i="12"/>
  <c r="AD815" i="12"/>
  <c r="W816" i="12"/>
  <c r="X816" i="12"/>
  <c r="Y816" i="12"/>
  <c r="Z816" i="12"/>
  <c r="AA816" i="12"/>
  <c r="AB816" i="12"/>
  <c r="AC816" i="12"/>
  <c r="AD816" i="12"/>
  <c r="W817" i="12"/>
  <c r="X817" i="12"/>
  <c r="Y817" i="12"/>
  <c r="Z817" i="12"/>
  <c r="AA817" i="12"/>
  <c r="AB817" i="12"/>
  <c r="AC817" i="12"/>
  <c r="AD817" i="12"/>
  <c r="W818" i="12"/>
  <c r="X818" i="12"/>
  <c r="Y818" i="12"/>
  <c r="Z818" i="12"/>
  <c r="AA818" i="12"/>
  <c r="AB818" i="12"/>
  <c r="AC818" i="12"/>
  <c r="AD818" i="12"/>
  <c r="W819" i="12"/>
  <c r="X819" i="12"/>
  <c r="Y819" i="12"/>
  <c r="Z819" i="12"/>
  <c r="AA819" i="12"/>
  <c r="AB819" i="12"/>
  <c r="AC819" i="12"/>
  <c r="AD819" i="12"/>
  <c r="W820" i="12"/>
  <c r="X820" i="12"/>
  <c r="Y820" i="12"/>
  <c r="Z820" i="12"/>
  <c r="AA820" i="12"/>
  <c r="AB820" i="12"/>
  <c r="AC820" i="12"/>
  <c r="AD820" i="12"/>
  <c r="W821" i="12"/>
  <c r="X821" i="12"/>
  <c r="Y821" i="12"/>
  <c r="Z821" i="12"/>
  <c r="AA821" i="12"/>
  <c r="AB821" i="12"/>
  <c r="AC821" i="12"/>
  <c r="AD821" i="12"/>
  <c r="W822" i="12"/>
  <c r="X822" i="12"/>
  <c r="Y822" i="12"/>
  <c r="Z822" i="12"/>
  <c r="AA822" i="12"/>
  <c r="AB822" i="12"/>
  <c r="AC822" i="12"/>
  <c r="AD822" i="12"/>
  <c r="W823" i="12"/>
  <c r="X823" i="12"/>
  <c r="Y823" i="12"/>
  <c r="Z823" i="12"/>
  <c r="AA823" i="12"/>
  <c r="AB823" i="12"/>
  <c r="AC823" i="12"/>
  <c r="AD823" i="12"/>
  <c r="W824" i="12"/>
  <c r="X824" i="12"/>
  <c r="Y824" i="12"/>
  <c r="Z824" i="12"/>
  <c r="AA824" i="12"/>
  <c r="AB824" i="12"/>
  <c r="AC824" i="12"/>
  <c r="AD824" i="12"/>
  <c r="W825" i="12"/>
  <c r="X825" i="12"/>
  <c r="Y825" i="12"/>
  <c r="Z825" i="12"/>
  <c r="AA825" i="12"/>
  <c r="AB825" i="12"/>
  <c r="AC825" i="12"/>
  <c r="AD825" i="12"/>
  <c r="W826" i="12"/>
  <c r="X826" i="12"/>
  <c r="Y826" i="12"/>
  <c r="Z826" i="12"/>
  <c r="AA826" i="12"/>
  <c r="AB826" i="12"/>
  <c r="AC826" i="12"/>
  <c r="AD826" i="12"/>
  <c r="W827" i="12"/>
  <c r="X827" i="12"/>
  <c r="Y827" i="12"/>
  <c r="Z827" i="12"/>
  <c r="AA827" i="12"/>
  <c r="AB827" i="12"/>
  <c r="AC827" i="12"/>
  <c r="AD827" i="12"/>
  <c r="W828" i="12"/>
  <c r="X828" i="12"/>
  <c r="Y828" i="12"/>
  <c r="Z828" i="12"/>
  <c r="AA828" i="12"/>
  <c r="AB828" i="12"/>
  <c r="AC828" i="12"/>
  <c r="AD828" i="12"/>
  <c r="W829" i="12"/>
  <c r="X829" i="12"/>
  <c r="Y829" i="12"/>
  <c r="Z829" i="12"/>
  <c r="AA829" i="12"/>
  <c r="AB829" i="12"/>
  <c r="AC829" i="12"/>
  <c r="AD829" i="12"/>
  <c r="W830" i="12"/>
  <c r="X830" i="12"/>
  <c r="Y830" i="12"/>
  <c r="Z830" i="12"/>
  <c r="AA830" i="12"/>
  <c r="AB830" i="12"/>
  <c r="AC830" i="12"/>
  <c r="AD830" i="12"/>
  <c r="W831" i="12"/>
  <c r="X831" i="12"/>
  <c r="Y831" i="12"/>
  <c r="Z831" i="12"/>
  <c r="AA831" i="12"/>
  <c r="AB831" i="12"/>
  <c r="AC831" i="12"/>
  <c r="AD831" i="12"/>
  <c r="W832" i="12"/>
  <c r="X832" i="12"/>
  <c r="Y832" i="12"/>
  <c r="Z832" i="12"/>
  <c r="AA832" i="12"/>
  <c r="AB832" i="12"/>
  <c r="AC832" i="12"/>
  <c r="AD832" i="12"/>
  <c r="W833" i="12"/>
  <c r="X833" i="12"/>
  <c r="Y833" i="12"/>
  <c r="Z833" i="12"/>
  <c r="AA833" i="12"/>
  <c r="AB833" i="12"/>
  <c r="AC833" i="12"/>
  <c r="AD833" i="12"/>
  <c r="W834" i="12"/>
  <c r="X834" i="12"/>
  <c r="Y834" i="12"/>
  <c r="Z834" i="12"/>
  <c r="AA834" i="12"/>
  <c r="AB834" i="12"/>
  <c r="AC834" i="12"/>
  <c r="AD834" i="12"/>
  <c r="W835" i="12"/>
  <c r="X835" i="12"/>
  <c r="Y835" i="12"/>
  <c r="Z835" i="12"/>
  <c r="AA835" i="12"/>
  <c r="AB835" i="12"/>
  <c r="AC835" i="12"/>
  <c r="AD835" i="12"/>
  <c r="W836" i="12"/>
  <c r="X836" i="12"/>
  <c r="Y836" i="12"/>
  <c r="Z836" i="12"/>
  <c r="AA836" i="12"/>
  <c r="AB836" i="12"/>
  <c r="AC836" i="12"/>
  <c r="AD836" i="12"/>
  <c r="W837" i="12"/>
  <c r="X837" i="12"/>
  <c r="Y837" i="12"/>
  <c r="Z837" i="12"/>
  <c r="AA837" i="12"/>
  <c r="AB837" i="12"/>
  <c r="AC837" i="12"/>
  <c r="AD837" i="12"/>
  <c r="W838" i="12"/>
  <c r="X838" i="12"/>
  <c r="Y838" i="12"/>
  <c r="Z838" i="12"/>
  <c r="AA838" i="12"/>
  <c r="AB838" i="12"/>
  <c r="AC838" i="12"/>
  <c r="AD838" i="12"/>
  <c r="W839" i="12"/>
  <c r="X839" i="12"/>
  <c r="Y839" i="12"/>
  <c r="Z839" i="12"/>
  <c r="AA839" i="12"/>
  <c r="AB839" i="12"/>
  <c r="AC839" i="12"/>
  <c r="AD839" i="12"/>
  <c r="W840" i="12"/>
  <c r="X840" i="12"/>
  <c r="Y840" i="12"/>
  <c r="Z840" i="12"/>
  <c r="AA840" i="12"/>
  <c r="AB840" i="12"/>
  <c r="AC840" i="12"/>
  <c r="AD840" i="12"/>
  <c r="W841" i="12"/>
  <c r="X841" i="12"/>
  <c r="Y841" i="12"/>
  <c r="Z841" i="12"/>
  <c r="AA841" i="12"/>
  <c r="AB841" i="12"/>
  <c r="AC841" i="12"/>
  <c r="AD841" i="12"/>
  <c r="W842" i="12"/>
  <c r="X842" i="12"/>
  <c r="Y842" i="12"/>
  <c r="Z842" i="12"/>
  <c r="AA842" i="12"/>
  <c r="AB842" i="12"/>
  <c r="AC842" i="12"/>
  <c r="AD842" i="12"/>
  <c r="W843" i="12"/>
  <c r="X843" i="12"/>
  <c r="Y843" i="12"/>
  <c r="Z843" i="12"/>
  <c r="AA843" i="12"/>
  <c r="AB843" i="12"/>
  <c r="AC843" i="12"/>
  <c r="AD843" i="12"/>
  <c r="W844" i="12"/>
  <c r="X844" i="12"/>
  <c r="Y844" i="12"/>
  <c r="Z844" i="12"/>
  <c r="AA844" i="12"/>
  <c r="AB844" i="12"/>
  <c r="AC844" i="12"/>
  <c r="AD844" i="12"/>
  <c r="W845" i="12"/>
  <c r="X845" i="12"/>
  <c r="Y845" i="12"/>
  <c r="Z845" i="12"/>
  <c r="AA845" i="12"/>
  <c r="AB845" i="12"/>
  <c r="AC845" i="12"/>
  <c r="AD845" i="12"/>
  <c r="W846" i="12"/>
  <c r="X846" i="12"/>
  <c r="Y846" i="12"/>
  <c r="Z846" i="12"/>
  <c r="AA846" i="12"/>
  <c r="AB846" i="12"/>
  <c r="AC846" i="12"/>
  <c r="AD846" i="12"/>
  <c r="W847" i="12"/>
  <c r="X847" i="12"/>
  <c r="Y847" i="12"/>
  <c r="Z847" i="12"/>
  <c r="AA847" i="12"/>
  <c r="AB847" i="12"/>
  <c r="AC847" i="12"/>
  <c r="AD847" i="12"/>
  <c r="W848" i="12"/>
  <c r="X848" i="12"/>
  <c r="Y848" i="12"/>
  <c r="Z848" i="12"/>
  <c r="AA848" i="12"/>
  <c r="AB848" i="12"/>
  <c r="AC848" i="12"/>
  <c r="AD848" i="12"/>
  <c r="W849" i="12"/>
  <c r="X849" i="12"/>
  <c r="Y849" i="12"/>
  <c r="Z849" i="12"/>
  <c r="AA849" i="12"/>
  <c r="AB849" i="12"/>
  <c r="AC849" i="12"/>
  <c r="AD849" i="12"/>
  <c r="W850" i="12"/>
  <c r="X850" i="12"/>
  <c r="Y850" i="12"/>
  <c r="Z850" i="12"/>
  <c r="AA850" i="12"/>
  <c r="AB850" i="12"/>
  <c r="AC850" i="12"/>
  <c r="AD850" i="12"/>
  <c r="W851" i="12"/>
  <c r="X851" i="12"/>
  <c r="Y851" i="12"/>
  <c r="Z851" i="12"/>
  <c r="AA851" i="12"/>
  <c r="AB851" i="12"/>
  <c r="AC851" i="12"/>
  <c r="AD851" i="12"/>
  <c r="W852" i="12"/>
  <c r="X852" i="12"/>
  <c r="Y852" i="12"/>
  <c r="Z852" i="12"/>
  <c r="AA852" i="12"/>
  <c r="AB852" i="12"/>
  <c r="AC852" i="12"/>
  <c r="AD852" i="12"/>
  <c r="W853" i="12"/>
  <c r="X853" i="12"/>
  <c r="Y853" i="12"/>
  <c r="Z853" i="12"/>
  <c r="AA853" i="12"/>
  <c r="AB853" i="12"/>
  <c r="AC853" i="12"/>
  <c r="AD853" i="12"/>
  <c r="W854" i="12"/>
  <c r="X854" i="12"/>
  <c r="Y854" i="12"/>
  <c r="Z854" i="12"/>
  <c r="AA854" i="12"/>
  <c r="AB854" i="12"/>
  <c r="AC854" i="12"/>
  <c r="AD854" i="12"/>
  <c r="W855" i="12"/>
  <c r="X855" i="12"/>
  <c r="Y855" i="12"/>
  <c r="Z855" i="12"/>
  <c r="AA855" i="12"/>
  <c r="AB855" i="12"/>
  <c r="AC855" i="12"/>
  <c r="AD855" i="12"/>
  <c r="W856" i="12"/>
  <c r="X856" i="12"/>
  <c r="Y856" i="12"/>
  <c r="Z856" i="12"/>
  <c r="AA856" i="12"/>
  <c r="AB856" i="12"/>
  <c r="AC856" i="12"/>
  <c r="AD856" i="12"/>
  <c r="W857" i="12"/>
  <c r="X857" i="12"/>
  <c r="Y857" i="12"/>
  <c r="Z857" i="12"/>
  <c r="AA857" i="12"/>
  <c r="AB857" i="12"/>
  <c r="AC857" i="12"/>
  <c r="AD857" i="12"/>
  <c r="W858" i="12"/>
  <c r="X858" i="12"/>
  <c r="Y858" i="12"/>
  <c r="Z858" i="12"/>
  <c r="AA858" i="12"/>
  <c r="AB858" i="12"/>
  <c r="AC858" i="12"/>
  <c r="AD858" i="12"/>
  <c r="W859" i="12"/>
  <c r="X859" i="12"/>
  <c r="Y859" i="12"/>
  <c r="Z859" i="12"/>
  <c r="AA859" i="12"/>
  <c r="AB859" i="12"/>
  <c r="AC859" i="12"/>
  <c r="AD859" i="12"/>
  <c r="W860" i="12"/>
  <c r="X860" i="12"/>
  <c r="Y860" i="12"/>
  <c r="Z860" i="12"/>
  <c r="AA860" i="12"/>
  <c r="AB860" i="12"/>
  <c r="AC860" i="12"/>
  <c r="AD860" i="12"/>
  <c r="W861" i="12"/>
  <c r="X861" i="12"/>
  <c r="Y861" i="12"/>
  <c r="Z861" i="12"/>
  <c r="AA861" i="12"/>
  <c r="AB861" i="12"/>
  <c r="AC861" i="12"/>
  <c r="AD861" i="12"/>
  <c r="W862" i="12"/>
  <c r="X862" i="12"/>
  <c r="Y862" i="12"/>
  <c r="Z862" i="12"/>
  <c r="AA862" i="12"/>
  <c r="AB862" i="12"/>
  <c r="AC862" i="12"/>
  <c r="AD862" i="12"/>
  <c r="W863" i="12"/>
  <c r="X863" i="12"/>
  <c r="Y863" i="12"/>
  <c r="Z863" i="12"/>
  <c r="AA863" i="12"/>
  <c r="AB863" i="12"/>
  <c r="AC863" i="12"/>
  <c r="AD863" i="12"/>
  <c r="W864" i="12"/>
  <c r="X864" i="12"/>
  <c r="Y864" i="12"/>
  <c r="Z864" i="12"/>
  <c r="AA864" i="12"/>
  <c r="AB864" i="12"/>
  <c r="AC864" i="12"/>
  <c r="AD864" i="12"/>
  <c r="W865" i="12"/>
  <c r="X865" i="12"/>
  <c r="Y865" i="12"/>
  <c r="Z865" i="12"/>
  <c r="AA865" i="12"/>
  <c r="AB865" i="12"/>
  <c r="AC865" i="12"/>
  <c r="AD865" i="12"/>
  <c r="W866" i="12"/>
  <c r="X866" i="12"/>
  <c r="Y866" i="12"/>
  <c r="Z866" i="12"/>
  <c r="AA866" i="12"/>
  <c r="AB866" i="12"/>
  <c r="AC866" i="12"/>
  <c r="AD866" i="12"/>
  <c r="W867" i="12"/>
  <c r="X867" i="12"/>
  <c r="Y867" i="12"/>
  <c r="Z867" i="12"/>
  <c r="AA867" i="12"/>
  <c r="AB867" i="12"/>
  <c r="AC867" i="12"/>
  <c r="AD867" i="12"/>
  <c r="W868" i="12"/>
  <c r="X868" i="12"/>
  <c r="Y868" i="12"/>
  <c r="Z868" i="12"/>
  <c r="AA868" i="12"/>
  <c r="AB868" i="12"/>
  <c r="AC868" i="12"/>
  <c r="AD868" i="12"/>
  <c r="W869" i="12"/>
  <c r="X869" i="12"/>
  <c r="Y869" i="12"/>
  <c r="Z869" i="12"/>
  <c r="AA869" i="12"/>
  <c r="AB869" i="12"/>
  <c r="AC869" i="12"/>
  <c r="AD869" i="12"/>
  <c r="W870" i="12"/>
  <c r="X870" i="12"/>
  <c r="Y870" i="12"/>
  <c r="Z870" i="12"/>
  <c r="AA870" i="12"/>
  <c r="AB870" i="12"/>
  <c r="AC870" i="12"/>
  <c r="AD870" i="12"/>
  <c r="W871" i="12"/>
  <c r="X871" i="12"/>
  <c r="Y871" i="12"/>
  <c r="Z871" i="12"/>
  <c r="AA871" i="12"/>
  <c r="AB871" i="12"/>
  <c r="AC871" i="12"/>
  <c r="AD871" i="12"/>
  <c r="W872" i="12"/>
  <c r="X872" i="12"/>
  <c r="Y872" i="12"/>
  <c r="Z872" i="12"/>
  <c r="AA872" i="12"/>
  <c r="AB872" i="12"/>
  <c r="AC872" i="12"/>
  <c r="AD872" i="12"/>
  <c r="W873" i="12"/>
  <c r="X873" i="12"/>
  <c r="Y873" i="12"/>
  <c r="Z873" i="12"/>
  <c r="AA873" i="12"/>
  <c r="AB873" i="12"/>
  <c r="AC873" i="12"/>
  <c r="AD873" i="12"/>
  <c r="W874" i="12"/>
  <c r="X874" i="12"/>
  <c r="Y874" i="12"/>
  <c r="Z874" i="12"/>
  <c r="AA874" i="12"/>
  <c r="AB874" i="12"/>
  <c r="AC874" i="12"/>
  <c r="AD874" i="12"/>
  <c r="W875" i="12"/>
  <c r="X875" i="12"/>
  <c r="Y875" i="12"/>
  <c r="Z875" i="12"/>
  <c r="AA875" i="12"/>
  <c r="AB875" i="12"/>
  <c r="AC875" i="12"/>
  <c r="AD875" i="12"/>
  <c r="W876" i="12"/>
  <c r="X876" i="12"/>
  <c r="Y876" i="12"/>
  <c r="Z876" i="12"/>
  <c r="AA876" i="12"/>
  <c r="AB876" i="12"/>
  <c r="AC876" i="12"/>
  <c r="AD876" i="12"/>
  <c r="W877" i="12"/>
  <c r="X877" i="12"/>
  <c r="Y877" i="12"/>
  <c r="Z877" i="12"/>
  <c r="AA877" i="12"/>
  <c r="AB877" i="12"/>
  <c r="AC877" i="12"/>
  <c r="AD877" i="12"/>
  <c r="W878" i="12"/>
  <c r="X878" i="12"/>
  <c r="Y878" i="12"/>
  <c r="Z878" i="12"/>
  <c r="AA878" i="12"/>
  <c r="AB878" i="12"/>
  <c r="AC878" i="12"/>
  <c r="AD878" i="12"/>
  <c r="W879" i="12"/>
  <c r="X879" i="12"/>
  <c r="Y879" i="12"/>
  <c r="Z879" i="12"/>
  <c r="AA879" i="12"/>
  <c r="AB879" i="12"/>
  <c r="AC879" i="12"/>
  <c r="AD879" i="12"/>
  <c r="W880" i="12"/>
  <c r="X880" i="12"/>
  <c r="Y880" i="12"/>
  <c r="Z880" i="12"/>
  <c r="AA880" i="12"/>
  <c r="AB880" i="12"/>
  <c r="AC880" i="12"/>
  <c r="AD880" i="12"/>
  <c r="W881" i="12"/>
  <c r="X881" i="12"/>
  <c r="Y881" i="12"/>
  <c r="Z881" i="12"/>
  <c r="AA881" i="12"/>
  <c r="AB881" i="12"/>
  <c r="AC881" i="12"/>
  <c r="AD881" i="12"/>
  <c r="W882" i="12"/>
  <c r="X882" i="12"/>
  <c r="Y882" i="12"/>
  <c r="Z882" i="12"/>
  <c r="AA882" i="12"/>
  <c r="AB882" i="12"/>
  <c r="AC882" i="12"/>
  <c r="AD882" i="12"/>
  <c r="W883" i="12"/>
  <c r="X883" i="12"/>
  <c r="Y883" i="12"/>
  <c r="Z883" i="12"/>
  <c r="AA883" i="12"/>
  <c r="AB883" i="12"/>
  <c r="AC883" i="12"/>
  <c r="AD883" i="12"/>
  <c r="W884" i="12"/>
  <c r="X884" i="12"/>
  <c r="Y884" i="12"/>
  <c r="Z884" i="12"/>
  <c r="AA884" i="12"/>
  <c r="AB884" i="12"/>
  <c r="AC884" i="12"/>
  <c r="AD884" i="12"/>
  <c r="W885" i="12"/>
  <c r="X885" i="12"/>
  <c r="Y885" i="12"/>
  <c r="Z885" i="12"/>
  <c r="AA885" i="12"/>
  <c r="AB885" i="12"/>
  <c r="AC885" i="12"/>
  <c r="AD885" i="12"/>
  <c r="W886" i="12"/>
  <c r="X886" i="12"/>
  <c r="Y886" i="12"/>
  <c r="Z886" i="12"/>
  <c r="AA886" i="12"/>
  <c r="AB886" i="12"/>
  <c r="AC886" i="12"/>
  <c r="AD886" i="12"/>
  <c r="W887" i="12"/>
  <c r="X887" i="12"/>
  <c r="Y887" i="12"/>
  <c r="Z887" i="12"/>
  <c r="AA887" i="12"/>
  <c r="AB887" i="12"/>
  <c r="AC887" i="12"/>
  <c r="AD887" i="12"/>
  <c r="W888" i="12"/>
  <c r="X888" i="12"/>
  <c r="Y888" i="12"/>
  <c r="Z888" i="12"/>
  <c r="AA888" i="12"/>
  <c r="AB888" i="12"/>
  <c r="AC888" i="12"/>
  <c r="AD888" i="12"/>
  <c r="W889" i="12"/>
  <c r="X889" i="12"/>
  <c r="Y889" i="12"/>
  <c r="Z889" i="12"/>
  <c r="AA889" i="12"/>
  <c r="AB889" i="12"/>
  <c r="AC889" i="12"/>
  <c r="AD889" i="12"/>
  <c r="W890" i="12"/>
  <c r="X890" i="12"/>
  <c r="Y890" i="12"/>
  <c r="Z890" i="12"/>
  <c r="AA890" i="12"/>
  <c r="AB890" i="12"/>
  <c r="AC890" i="12"/>
  <c r="AD890" i="12"/>
  <c r="W891" i="12"/>
  <c r="X891" i="12"/>
  <c r="Y891" i="12"/>
  <c r="Z891" i="12"/>
  <c r="AA891" i="12"/>
  <c r="AB891" i="12"/>
  <c r="AC891" i="12"/>
  <c r="AD891" i="12"/>
  <c r="W892" i="12"/>
  <c r="X892" i="12"/>
  <c r="Y892" i="12"/>
  <c r="Z892" i="12"/>
  <c r="AA892" i="12"/>
  <c r="AB892" i="12"/>
  <c r="AC892" i="12"/>
  <c r="AD892" i="12"/>
  <c r="W893" i="12"/>
  <c r="X893" i="12"/>
  <c r="Y893" i="12"/>
  <c r="Z893" i="12"/>
  <c r="AA893" i="12"/>
  <c r="AB893" i="12"/>
  <c r="AC893" i="12"/>
  <c r="AD893" i="12"/>
  <c r="W894" i="12"/>
  <c r="X894" i="12"/>
  <c r="Y894" i="12"/>
  <c r="Z894" i="12"/>
  <c r="AA894" i="12"/>
  <c r="AB894" i="12"/>
  <c r="AC894" i="12"/>
  <c r="AD894" i="12"/>
  <c r="W895" i="12"/>
  <c r="X895" i="12"/>
  <c r="Y895" i="12"/>
  <c r="Z895" i="12"/>
  <c r="AA895" i="12"/>
  <c r="AB895" i="12"/>
  <c r="AC895" i="12"/>
  <c r="AD895" i="12"/>
  <c r="W896" i="12"/>
  <c r="X896" i="12"/>
  <c r="Y896" i="12"/>
  <c r="Z896" i="12"/>
  <c r="AA896" i="12"/>
  <c r="AB896" i="12"/>
  <c r="AC896" i="12"/>
  <c r="AD896" i="12"/>
  <c r="W897" i="12"/>
  <c r="X897" i="12"/>
  <c r="Y897" i="12"/>
  <c r="Z897" i="12"/>
  <c r="AA897" i="12"/>
  <c r="AB897" i="12"/>
  <c r="AC897" i="12"/>
  <c r="AD897" i="12"/>
  <c r="W898" i="12"/>
  <c r="X898" i="12"/>
  <c r="Y898" i="12"/>
  <c r="Z898" i="12"/>
  <c r="AA898" i="12"/>
  <c r="AB898" i="12"/>
  <c r="AC898" i="12"/>
  <c r="AD898" i="12"/>
  <c r="W899" i="12"/>
  <c r="X899" i="12"/>
  <c r="Y899" i="12"/>
  <c r="Z899" i="12"/>
  <c r="AA899" i="12"/>
  <c r="AB899" i="12"/>
  <c r="AC899" i="12"/>
  <c r="AD899" i="12"/>
  <c r="W900" i="12"/>
  <c r="X900" i="12"/>
  <c r="Y900" i="12"/>
  <c r="Z900" i="12"/>
  <c r="AA900" i="12"/>
  <c r="AB900" i="12"/>
  <c r="AC900" i="12"/>
  <c r="AD900" i="12"/>
  <c r="W901" i="12"/>
  <c r="X901" i="12"/>
  <c r="Y901" i="12"/>
  <c r="Z901" i="12"/>
  <c r="AA901" i="12"/>
  <c r="AB901" i="12"/>
  <c r="AC901" i="12"/>
  <c r="AD901" i="12"/>
  <c r="W902" i="12"/>
  <c r="X902" i="12"/>
  <c r="Y902" i="12"/>
  <c r="Z902" i="12"/>
  <c r="AA902" i="12"/>
  <c r="AB902" i="12"/>
  <c r="AC902" i="12"/>
  <c r="AD902" i="12"/>
  <c r="W903" i="12"/>
  <c r="X903" i="12"/>
  <c r="Y903" i="12"/>
  <c r="Z903" i="12"/>
  <c r="AA903" i="12"/>
  <c r="AB903" i="12"/>
  <c r="AC903" i="12"/>
  <c r="AD903" i="12"/>
  <c r="W904" i="12"/>
  <c r="X904" i="12"/>
  <c r="Y904" i="12"/>
  <c r="Z904" i="12"/>
  <c r="AA904" i="12"/>
  <c r="AB904" i="12"/>
  <c r="AC904" i="12"/>
  <c r="AD904" i="12"/>
  <c r="W905" i="12"/>
  <c r="X905" i="12"/>
  <c r="Y905" i="12"/>
  <c r="Z905" i="12"/>
  <c r="AA905" i="12"/>
  <c r="AB905" i="12"/>
  <c r="AC905" i="12"/>
  <c r="AD905" i="12"/>
  <c r="W906" i="12"/>
  <c r="X906" i="12"/>
  <c r="Y906" i="12"/>
  <c r="Z906" i="12"/>
  <c r="AA906" i="12"/>
  <c r="AB906" i="12"/>
  <c r="AC906" i="12"/>
  <c r="AD906" i="12"/>
  <c r="W907" i="12"/>
  <c r="X907" i="12"/>
  <c r="Y907" i="12"/>
  <c r="Z907" i="12"/>
  <c r="AA907" i="12"/>
  <c r="AB907" i="12"/>
  <c r="AC907" i="12"/>
  <c r="AD907" i="12"/>
  <c r="W908" i="12"/>
  <c r="X908" i="12"/>
  <c r="Y908" i="12"/>
  <c r="Z908" i="12"/>
  <c r="AA908" i="12"/>
  <c r="AB908" i="12"/>
  <c r="AC908" i="12"/>
  <c r="AD908" i="12"/>
  <c r="W909" i="12"/>
  <c r="X909" i="12"/>
  <c r="Y909" i="12"/>
  <c r="Z909" i="12"/>
  <c r="AA909" i="12"/>
  <c r="AB909" i="12"/>
  <c r="AC909" i="12"/>
  <c r="AD909" i="12"/>
  <c r="W910" i="12"/>
  <c r="X910" i="12"/>
  <c r="Y910" i="12"/>
  <c r="Z910" i="12"/>
  <c r="AA910" i="12"/>
  <c r="AB910" i="12"/>
  <c r="AC910" i="12"/>
  <c r="AD910" i="12"/>
  <c r="W911" i="12"/>
  <c r="X911" i="12"/>
  <c r="Y911" i="12"/>
  <c r="Z911" i="12"/>
  <c r="AA911" i="12"/>
  <c r="AB911" i="12"/>
  <c r="AC911" i="12"/>
  <c r="AD911" i="12"/>
  <c r="W912" i="12"/>
  <c r="X912" i="12"/>
  <c r="Y912" i="12"/>
  <c r="Z912" i="12"/>
  <c r="AA912" i="12"/>
  <c r="AB912" i="12"/>
  <c r="AC912" i="12"/>
  <c r="AD912" i="12"/>
  <c r="W913" i="12"/>
  <c r="X913" i="12"/>
  <c r="Y913" i="12"/>
  <c r="Z913" i="12"/>
  <c r="AA913" i="12"/>
  <c r="AB913" i="12"/>
  <c r="AC913" i="12"/>
  <c r="AD913" i="12"/>
  <c r="W914" i="12"/>
  <c r="X914" i="12"/>
  <c r="Y914" i="12"/>
  <c r="Z914" i="12"/>
  <c r="AA914" i="12"/>
  <c r="AB914" i="12"/>
  <c r="AC914" i="12"/>
  <c r="AD914" i="12"/>
  <c r="W915" i="12"/>
  <c r="X915" i="12"/>
  <c r="Y915" i="12"/>
  <c r="Z915" i="12"/>
  <c r="AA915" i="12"/>
  <c r="AB915" i="12"/>
  <c r="AC915" i="12"/>
  <c r="AD915" i="12"/>
  <c r="W916" i="12"/>
  <c r="X916" i="12"/>
  <c r="Y916" i="12"/>
  <c r="Z916" i="12"/>
  <c r="AA916" i="12"/>
  <c r="AB916" i="12"/>
  <c r="AC916" i="12"/>
  <c r="AD916" i="12"/>
  <c r="W917" i="12"/>
  <c r="X917" i="12"/>
  <c r="Y917" i="12"/>
  <c r="Z917" i="12"/>
  <c r="AA917" i="12"/>
  <c r="AB917" i="12"/>
  <c r="AC917" i="12"/>
  <c r="AD917" i="12"/>
  <c r="W918" i="12"/>
  <c r="X918" i="12"/>
  <c r="Y918" i="12"/>
  <c r="Z918" i="12"/>
  <c r="AA918" i="12"/>
  <c r="AB918" i="12"/>
  <c r="AC918" i="12"/>
  <c r="AD918" i="12"/>
  <c r="W919" i="12"/>
  <c r="X919" i="12"/>
  <c r="Y919" i="12"/>
  <c r="Z919" i="12"/>
  <c r="AA919" i="12"/>
  <c r="AB919" i="12"/>
  <c r="AC919" i="12"/>
  <c r="AD919" i="12"/>
  <c r="W920" i="12"/>
  <c r="X920" i="12"/>
  <c r="Y920" i="12"/>
  <c r="Z920" i="12"/>
  <c r="AA920" i="12"/>
  <c r="AB920" i="12"/>
  <c r="AC920" i="12"/>
  <c r="AD920" i="12"/>
  <c r="W921" i="12"/>
  <c r="X921" i="12"/>
  <c r="Y921" i="12"/>
  <c r="Z921" i="12"/>
  <c r="AA921" i="12"/>
  <c r="AB921" i="12"/>
  <c r="AC921" i="12"/>
  <c r="AD921" i="12"/>
  <c r="W922" i="12"/>
  <c r="X922" i="12"/>
  <c r="Y922" i="12"/>
  <c r="Z922" i="12"/>
  <c r="AA922" i="12"/>
  <c r="AB922" i="12"/>
  <c r="AC922" i="12"/>
  <c r="AD922" i="12"/>
  <c r="W923" i="12"/>
  <c r="X923" i="12"/>
  <c r="Y923" i="12"/>
  <c r="Z923" i="12"/>
  <c r="AA923" i="12"/>
  <c r="AB923" i="12"/>
  <c r="AC923" i="12"/>
  <c r="AD923" i="12"/>
  <c r="W924" i="12"/>
  <c r="X924" i="12"/>
  <c r="Y924" i="12"/>
  <c r="Z924" i="12"/>
  <c r="AA924" i="12"/>
  <c r="AB924" i="12"/>
  <c r="AC924" i="12"/>
  <c r="AD924" i="12"/>
  <c r="W925" i="12"/>
  <c r="X925" i="12"/>
  <c r="Y925" i="12"/>
  <c r="Z925" i="12"/>
  <c r="AA925" i="12"/>
  <c r="AB925" i="12"/>
  <c r="AC925" i="12"/>
  <c r="AD925" i="12"/>
  <c r="W926" i="12"/>
  <c r="X926" i="12"/>
  <c r="Y926" i="12"/>
  <c r="Z926" i="12"/>
  <c r="AA926" i="12"/>
  <c r="AB926" i="12"/>
  <c r="AC926" i="12"/>
  <c r="AD926" i="12"/>
  <c r="W927" i="12"/>
  <c r="X927" i="12"/>
  <c r="Y927" i="12"/>
  <c r="Z927" i="12"/>
  <c r="AA927" i="12"/>
  <c r="AB927" i="12"/>
  <c r="AC927" i="12"/>
  <c r="AD927" i="12"/>
  <c r="W928" i="12"/>
  <c r="X928" i="12"/>
  <c r="Y928" i="12"/>
  <c r="Z928" i="12"/>
  <c r="AA928" i="12"/>
  <c r="AB928" i="12"/>
  <c r="AC928" i="12"/>
  <c r="AD928" i="12"/>
  <c r="W929" i="12"/>
  <c r="X929" i="12"/>
  <c r="Y929" i="12"/>
  <c r="Z929" i="12"/>
  <c r="AA929" i="12"/>
  <c r="AB929" i="12"/>
  <c r="AC929" i="12"/>
  <c r="AD929" i="12"/>
  <c r="W930" i="12"/>
  <c r="X930" i="12"/>
  <c r="Y930" i="12"/>
  <c r="Z930" i="12"/>
  <c r="AA930" i="12"/>
  <c r="AB930" i="12"/>
  <c r="AC930" i="12"/>
  <c r="AD930" i="12"/>
  <c r="W931" i="12"/>
  <c r="X931" i="12"/>
  <c r="Y931" i="12"/>
  <c r="Z931" i="12"/>
  <c r="AA931" i="12"/>
  <c r="AB931" i="12"/>
  <c r="AC931" i="12"/>
  <c r="AD931" i="12"/>
  <c r="W932" i="12"/>
  <c r="X932" i="12"/>
  <c r="Y932" i="12"/>
  <c r="Z932" i="12"/>
  <c r="AA932" i="12"/>
  <c r="AB932" i="12"/>
  <c r="AC932" i="12"/>
  <c r="AD932" i="12"/>
  <c r="W933" i="12"/>
  <c r="X933" i="12"/>
  <c r="Y933" i="12"/>
  <c r="Z933" i="12"/>
  <c r="AA933" i="12"/>
  <c r="AB933" i="12"/>
  <c r="AC933" i="12"/>
  <c r="AD933" i="12"/>
  <c r="W934" i="12"/>
  <c r="X934" i="12"/>
  <c r="Y934" i="12"/>
  <c r="Z934" i="12"/>
  <c r="AA934" i="12"/>
  <c r="AB934" i="12"/>
  <c r="AC934" i="12"/>
  <c r="AD934" i="12"/>
  <c r="W935" i="12"/>
  <c r="X935" i="12"/>
  <c r="Y935" i="12"/>
  <c r="Z935" i="12"/>
  <c r="AA935" i="12"/>
  <c r="AB935" i="12"/>
  <c r="AC935" i="12"/>
  <c r="AD935" i="12"/>
  <c r="W936" i="12"/>
  <c r="X936" i="12"/>
  <c r="Y936" i="12"/>
  <c r="Z936" i="12"/>
  <c r="AA936" i="12"/>
  <c r="AB936" i="12"/>
  <c r="AC936" i="12"/>
  <c r="AD936" i="12"/>
  <c r="W937" i="12"/>
  <c r="X937" i="12"/>
  <c r="Y937" i="12"/>
  <c r="Z937" i="12"/>
  <c r="AA937" i="12"/>
  <c r="AB937" i="12"/>
  <c r="AC937" i="12"/>
  <c r="AD937" i="12"/>
  <c r="W938" i="12"/>
  <c r="X938" i="12"/>
  <c r="Y938" i="12"/>
  <c r="Z938" i="12"/>
  <c r="AA938" i="12"/>
  <c r="AB938" i="12"/>
  <c r="AC938" i="12"/>
  <c r="AD938" i="12"/>
  <c r="W939" i="12"/>
  <c r="X939" i="12"/>
  <c r="Y939" i="12"/>
  <c r="Z939" i="12"/>
  <c r="AA939" i="12"/>
  <c r="AB939" i="12"/>
  <c r="AC939" i="12"/>
  <c r="AD939" i="12"/>
  <c r="W940" i="12"/>
  <c r="X940" i="12"/>
  <c r="Y940" i="12"/>
  <c r="Z940" i="12"/>
  <c r="AA940" i="12"/>
  <c r="AB940" i="12"/>
  <c r="AC940" i="12"/>
  <c r="AD940" i="12"/>
  <c r="W941" i="12"/>
  <c r="X941" i="12"/>
  <c r="Y941" i="12"/>
  <c r="Z941" i="12"/>
  <c r="AA941" i="12"/>
  <c r="AB941" i="12"/>
  <c r="AC941" i="12"/>
  <c r="AD941" i="12"/>
  <c r="W942" i="12"/>
  <c r="X942" i="12"/>
  <c r="Y942" i="12"/>
  <c r="Z942" i="12"/>
  <c r="AA942" i="12"/>
  <c r="AB942" i="12"/>
  <c r="AC942" i="12"/>
  <c r="AD942" i="12"/>
  <c r="W943" i="12"/>
  <c r="X943" i="12"/>
  <c r="Y943" i="12"/>
  <c r="Z943" i="12"/>
  <c r="AA943" i="12"/>
  <c r="AB943" i="12"/>
  <c r="AC943" i="12"/>
  <c r="AD943" i="12"/>
  <c r="W944" i="12"/>
  <c r="X944" i="12"/>
  <c r="Y944" i="12"/>
  <c r="Z944" i="12"/>
  <c r="AA944" i="12"/>
  <c r="AB944" i="12"/>
  <c r="AC944" i="12"/>
  <c r="AD944" i="12"/>
  <c r="W945" i="12"/>
  <c r="X945" i="12"/>
  <c r="Y945" i="12"/>
  <c r="Z945" i="12"/>
  <c r="AA945" i="12"/>
  <c r="AB945" i="12"/>
  <c r="AC945" i="12"/>
  <c r="AD945" i="12"/>
  <c r="W946" i="12"/>
  <c r="X946" i="12"/>
  <c r="Y946" i="12"/>
  <c r="Z946" i="12"/>
  <c r="AA946" i="12"/>
  <c r="AB946" i="12"/>
  <c r="AC946" i="12"/>
  <c r="AD946" i="12"/>
  <c r="W947" i="12"/>
  <c r="X947" i="12"/>
  <c r="Y947" i="12"/>
  <c r="Z947" i="12"/>
  <c r="AA947" i="12"/>
  <c r="AB947" i="12"/>
  <c r="AC947" i="12"/>
  <c r="AD947" i="12"/>
  <c r="W948" i="12"/>
  <c r="X948" i="12"/>
  <c r="Y948" i="12"/>
  <c r="Z948" i="12"/>
  <c r="AA948" i="12"/>
  <c r="AB948" i="12"/>
  <c r="AC948" i="12"/>
  <c r="AD948" i="12"/>
  <c r="W949" i="12"/>
  <c r="X949" i="12"/>
  <c r="Y949" i="12"/>
  <c r="Z949" i="12"/>
  <c r="AA949" i="12"/>
  <c r="AB949" i="12"/>
  <c r="AC949" i="12"/>
  <c r="AD949" i="12"/>
  <c r="W950" i="12"/>
  <c r="X950" i="12"/>
  <c r="Y950" i="12"/>
  <c r="Z950" i="12"/>
  <c r="AA950" i="12"/>
  <c r="AB950" i="12"/>
  <c r="AC950" i="12"/>
  <c r="AD950" i="12"/>
  <c r="W951" i="12"/>
  <c r="X951" i="12"/>
  <c r="Y951" i="12"/>
  <c r="Z951" i="12"/>
  <c r="AA951" i="12"/>
  <c r="AB951" i="12"/>
  <c r="AC951" i="12"/>
  <c r="AD951" i="12"/>
  <c r="W952" i="12"/>
  <c r="X952" i="12"/>
  <c r="Y952" i="12"/>
  <c r="Z952" i="12"/>
  <c r="AA952" i="12"/>
  <c r="AB952" i="12"/>
  <c r="AC952" i="12"/>
  <c r="AD952" i="12"/>
  <c r="W953" i="12"/>
  <c r="X953" i="12"/>
  <c r="Y953" i="12"/>
  <c r="Z953" i="12"/>
  <c r="AA953" i="12"/>
  <c r="AB953" i="12"/>
  <c r="AC953" i="12"/>
  <c r="AD953" i="12"/>
  <c r="W954" i="12"/>
  <c r="X954" i="12"/>
  <c r="Y954" i="12"/>
  <c r="Z954" i="12"/>
  <c r="AA954" i="12"/>
  <c r="AB954" i="12"/>
  <c r="AC954" i="12"/>
  <c r="AD954" i="12"/>
  <c r="W955" i="12"/>
  <c r="X955" i="12"/>
  <c r="Y955" i="12"/>
  <c r="Z955" i="12"/>
  <c r="AA955" i="12"/>
  <c r="AB955" i="12"/>
  <c r="AC955" i="12"/>
  <c r="AD955" i="12"/>
  <c r="W956" i="12"/>
  <c r="X956" i="12"/>
  <c r="Y956" i="12"/>
  <c r="Z956" i="12"/>
  <c r="AA956" i="12"/>
  <c r="AB956" i="12"/>
  <c r="AC956" i="12"/>
  <c r="AD956" i="12"/>
  <c r="W957" i="12"/>
  <c r="X957" i="12"/>
  <c r="Y957" i="12"/>
  <c r="Z957" i="12"/>
  <c r="AA957" i="12"/>
  <c r="AB957" i="12"/>
  <c r="AC957" i="12"/>
  <c r="AD957" i="12"/>
  <c r="W958" i="12"/>
  <c r="X958" i="12"/>
  <c r="Y958" i="12"/>
  <c r="Z958" i="12"/>
  <c r="AA958" i="12"/>
  <c r="AB958" i="12"/>
  <c r="AC958" i="12"/>
  <c r="AD958" i="12"/>
  <c r="W959" i="12"/>
  <c r="X959" i="12"/>
  <c r="Y959" i="12"/>
  <c r="Z959" i="12"/>
  <c r="AA959" i="12"/>
  <c r="AB959" i="12"/>
  <c r="AC959" i="12"/>
  <c r="AD959" i="12"/>
  <c r="W960" i="12"/>
  <c r="X960" i="12"/>
  <c r="Y960" i="12"/>
  <c r="Z960" i="12"/>
  <c r="AA960" i="12"/>
  <c r="AB960" i="12"/>
  <c r="AC960" i="12"/>
  <c r="AD960" i="12"/>
  <c r="W961" i="12"/>
  <c r="X961" i="12"/>
  <c r="Y961" i="12"/>
  <c r="Z961" i="12"/>
  <c r="AA961" i="12"/>
  <c r="AB961" i="12"/>
  <c r="AC961" i="12"/>
  <c r="AD961" i="12"/>
  <c r="W962" i="12"/>
  <c r="X962" i="12"/>
  <c r="Y962" i="12"/>
  <c r="Z962" i="12"/>
  <c r="AA962" i="12"/>
  <c r="AB962" i="12"/>
  <c r="AC962" i="12"/>
  <c r="AD962" i="12"/>
  <c r="W963" i="12"/>
  <c r="X963" i="12"/>
  <c r="Y963" i="12"/>
  <c r="Z963" i="12"/>
  <c r="AA963" i="12"/>
  <c r="AB963" i="12"/>
  <c r="AC963" i="12"/>
  <c r="AD963" i="12"/>
  <c r="W964" i="12"/>
  <c r="X964" i="12"/>
  <c r="Y964" i="12"/>
  <c r="Z964" i="12"/>
  <c r="AA964" i="12"/>
  <c r="AB964" i="12"/>
  <c r="AC964" i="12"/>
  <c r="AD964" i="12"/>
  <c r="W965" i="12"/>
  <c r="X965" i="12"/>
  <c r="Y965" i="12"/>
  <c r="Z965" i="12"/>
  <c r="AA965" i="12"/>
  <c r="AB965" i="12"/>
  <c r="AC965" i="12"/>
  <c r="AD965" i="12"/>
  <c r="W966" i="12"/>
  <c r="X966" i="12"/>
  <c r="Y966" i="12"/>
  <c r="Z966" i="12"/>
  <c r="AA966" i="12"/>
  <c r="AB966" i="12"/>
  <c r="AC966" i="12"/>
  <c r="AD966" i="12"/>
  <c r="W967" i="12"/>
  <c r="X967" i="12"/>
  <c r="Y967" i="12"/>
  <c r="Z967" i="12"/>
  <c r="AA967" i="12"/>
  <c r="AB967" i="12"/>
  <c r="AC967" i="12"/>
  <c r="AD967" i="12"/>
  <c r="W968" i="12"/>
  <c r="X968" i="12"/>
  <c r="Y968" i="12"/>
  <c r="Z968" i="12"/>
  <c r="AA968" i="12"/>
  <c r="AB968" i="12"/>
  <c r="AC968" i="12"/>
  <c r="AD968" i="12"/>
  <c r="W969" i="12"/>
  <c r="X969" i="12"/>
  <c r="Y969" i="12"/>
  <c r="Z969" i="12"/>
  <c r="AA969" i="12"/>
  <c r="AB969" i="12"/>
  <c r="AC969" i="12"/>
  <c r="AD969" i="12"/>
  <c r="W970" i="12"/>
  <c r="X970" i="12"/>
  <c r="Y970" i="12"/>
  <c r="Z970" i="12"/>
  <c r="AA970" i="12"/>
  <c r="AB970" i="12"/>
  <c r="AC970" i="12"/>
  <c r="AD970" i="12"/>
  <c r="W971" i="12"/>
  <c r="X971" i="12"/>
  <c r="Y971" i="12"/>
  <c r="Z971" i="12"/>
  <c r="AA971" i="12"/>
  <c r="AB971" i="12"/>
  <c r="AC971" i="12"/>
  <c r="AD971" i="12"/>
  <c r="W972" i="12"/>
  <c r="X972" i="12"/>
  <c r="Y972" i="12"/>
  <c r="Z972" i="12"/>
  <c r="AA972" i="12"/>
  <c r="AB972" i="12"/>
  <c r="AC972" i="12"/>
  <c r="AD972" i="12"/>
  <c r="W973" i="12"/>
  <c r="X973" i="12"/>
  <c r="Y973" i="12"/>
  <c r="Z973" i="12"/>
  <c r="AA973" i="12"/>
  <c r="AB973" i="12"/>
  <c r="AC973" i="12"/>
  <c r="AD973" i="12"/>
  <c r="W974" i="12"/>
  <c r="X974" i="12"/>
  <c r="Y974" i="12"/>
  <c r="Z974" i="12"/>
  <c r="AA974" i="12"/>
  <c r="AB974" i="12"/>
  <c r="AC974" i="12"/>
  <c r="AD974" i="12"/>
  <c r="W975" i="12"/>
  <c r="X975" i="12"/>
  <c r="Y975" i="12"/>
  <c r="Z975" i="12"/>
  <c r="AA975" i="12"/>
  <c r="AB975" i="12"/>
  <c r="AC975" i="12"/>
  <c r="AD975" i="12"/>
  <c r="W976" i="12"/>
  <c r="X976" i="12"/>
  <c r="Y976" i="12"/>
  <c r="Z976" i="12"/>
  <c r="AA976" i="12"/>
  <c r="AB976" i="12"/>
  <c r="AC976" i="12"/>
  <c r="AD976" i="12"/>
  <c r="W977" i="12"/>
  <c r="X977" i="12"/>
  <c r="Y977" i="12"/>
  <c r="Z977" i="12"/>
  <c r="AA977" i="12"/>
  <c r="AB977" i="12"/>
  <c r="AC977" i="12"/>
  <c r="AD977" i="12"/>
  <c r="W978" i="12"/>
  <c r="X978" i="12"/>
  <c r="Y978" i="12"/>
  <c r="Z978" i="12"/>
  <c r="AA978" i="12"/>
  <c r="AB978" i="12"/>
  <c r="AC978" i="12"/>
  <c r="AD978" i="12"/>
  <c r="W979" i="12"/>
  <c r="X979" i="12"/>
  <c r="Y979" i="12"/>
  <c r="Z979" i="12"/>
  <c r="AA979" i="12"/>
  <c r="AB979" i="12"/>
  <c r="AC979" i="12"/>
  <c r="AD979" i="12"/>
  <c r="W980" i="12"/>
  <c r="X980" i="12"/>
  <c r="Y980" i="12"/>
  <c r="Z980" i="12"/>
  <c r="AA980" i="12"/>
  <c r="AB980" i="12"/>
  <c r="AC980" i="12"/>
  <c r="AD980" i="12"/>
  <c r="W981" i="12"/>
  <c r="X981" i="12"/>
  <c r="Y981" i="12"/>
  <c r="Z981" i="12"/>
  <c r="AA981" i="12"/>
  <c r="AB981" i="12"/>
  <c r="AC981" i="12"/>
  <c r="AD981" i="12"/>
  <c r="W982" i="12"/>
  <c r="X982" i="12"/>
  <c r="Y982" i="12"/>
  <c r="Z982" i="12"/>
  <c r="AA982" i="12"/>
  <c r="AB982" i="12"/>
  <c r="AC982" i="12"/>
  <c r="AD982" i="12"/>
  <c r="W983" i="12"/>
  <c r="X983" i="12"/>
  <c r="Y983" i="12"/>
  <c r="Z983" i="12"/>
  <c r="AA983" i="12"/>
  <c r="AB983" i="12"/>
  <c r="AC983" i="12"/>
  <c r="AD983" i="12"/>
  <c r="W984" i="12"/>
  <c r="X984" i="12"/>
  <c r="Y984" i="12"/>
  <c r="Z984" i="12"/>
  <c r="AA984" i="12"/>
  <c r="AB984" i="12"/>
  <c r="AC984" i="12"/>
  <c r="AD984" i="12"/>
  <c r="W985" i="12"/>
  <c r="X985" i="12"/>
  <c r="Y985" i="12"/>
  <c r="Z985" i="12"/>
  <c r="AA985" i="12"/>
  <c r="AB985" i="12"/>
  <c r="AC985" i="12"/>
  <c r="AD985" i="12"/>
  <c r="W986" i="12"/>
  <c r="X986" i="12"/>
  <c r="Y986" i="12"/>
  <c r="Z986" i="12"/>
  <c r="AA986" i="12"/>
  <c r="AB986" i="12"/>
  <c r="AC986" i="12"/>
  <c r="AD986" i="12"/>
  <c r="W987" i="12"/>
  <c r="X987" i="12"/>
  <c r="Y987" i="12"/>
  <c r="Z987" i="12"/>
  <c r="AA987" i="12"/>
  <c r="AB987" i="12"/>
  <c r="AC987" i="12"/>
  <c r="AD987" i="12"/>
  <c r="W988" i="12"/>
  <c r="X988" i="12"/>
  <c r="Y988" i="12"/>
  <c r="Z988" i="12"/>
  <c r="AA988" i="12"/>
  <c r="AB988" i="12"/>
  <c r="AC988" i="12"/>
  <c r="AD988" i="12"/>
  <c r="W989" i="12"/>
  <c r="X989" i="12"/>
  <c r="Y989" i="12"/>
  <c r="Z989" i="12"/>
  <c r="AA989" i="12"/>
  <c r="AB989" i="12"/>
  <c r="AC989" i="12"/>
  <c r="AD989" i="12"/>
  <c r="W990" i="12"/>
  <c r="X990" i="12"/>
  <c r="Y990" i="12"/>
  <c r="Z990" i="12"/>
  <c r="AA990" i="12"/>
  <c r="AB990" i="12"/>
  <c r="AC990" i="12"/>
  <c r="AD990" i="12"/>
  <c r="W991" i="12"/>
  <c r="X991" i="12"/>
  <c r="Y991" i="12"/>
  <c r="Z991" i="12"/>
  <c r="AA991" i="12"/>
  <c r="AB991" i="12"/>
  <c r="AC991" i="12"/>
  <c r="AD991" i="12"/>
  <c r="W992" i="12"/>
  <c r="X992" i="12"/>
  <c r="Y992" i="12"/>
  <c r="Z992" i="12"/>
  <c r="AA992" i="12"/>
  <c r="AB992" i="12"/>
  <c r="AC992" i="12"/>
  <c r="AD992" i="12"/>
  <c r="W993" i="12"/>
  <c r="X993" i="12"/>
  <c r="Y993" i="12"/>
  <c r="Z993" i="12"/>
  <c r="AA993" i="12"/>
  <c r="AB993" i="12"/>
  <c r="AC993" i="12"/>
  <c r="AD993" i="12"/>
  <c r="W994" i="12"/>
  <c r="X994" i="12"/>
  <c r="Y994" i="12"/>
  <c r="Z994" i="12"/>
  <c r="AA994" i="12"/>
  <c r="AB994" i="12"/>
  <c r="AC994" i="12"/>
  <c r="AD994" i="12"/>
  <c r="W995" i="12"/>
  <c r="X995" i="12"/>
  <c r="Y995" i="12"/>
  <c r="Z995" i="12"/>
  <c r="AA995" i="12"/>
  <c r="AB995" i="12"/>
  <c r="AC995" i="12"/>
  <c r="AD995" i="12"/>
  <c r="W996" i="12"/>
  <c r="X996" i="12"/>
  <c r="Y996" i="12"/>
  <c r="Z996" i="12"/>
  <c r="AA996" i="12"/>
  <c r="AB996" i="12"/>
  <c r="AC996" i="12"/>
  <c r="AD996" i="12"/>
  <c r="W997" i="12"/>
  <c r="X997" i="12"/>
  <c r="Y997" i="12"/>
  <c r="Z997" i="12"/>
  <c r="AA997" i="12"/>
  <c r="AB997" i="12"/>
  <c r="AC997" i="12"/>
  <c r="AD997" i="12"/>
  <c r="W998" i="12"/>
  <c r="X998" i="12"/>
  <c r="Y998" i="12"/>
  <c r="Z998" i="12"/>
  <c r="AA998" i="12"/>
  <c r="AB998" i="12"/>
  <c r="AC998" i="12"/>
  <c r="AD998" i="12"/>
  <c r="W999" i="12"/>
  <c r="X999" i="12"/>
  <c r="Y999" i="12"/>
  <c r="Z999" i="12"/>
  <c r="AA999" i="12"/>
  <c r="AB999" i="12"/>
  <c r="AC999" i="12"/>
  <c r="AD999" i="12"/>
  <c r="W1000" i="12"/>
  <c r="X1000" i="12"/>
  <c r="Y1000" i="12"/>
  <c r="Z1000" i="12"/>
  <c r="AA1000" i="12"/>
  <c r="AB1000" i="12"/>
  <c r="AC1000" i="12"/>
  <c r="AD1000" i="12"/>
  <c r="W1001" i="12"/>
  <c r="X1001" i="12"/>
  <c r="Y1001" i="12"/>
  <c r="Z1001" i="12"/>
  <c r="AA1001" i="12"/>
  <c r="AB1001" i="12"/>
  <c r="AC1001" i="12"/>
  <c r="AD1001" i="12"/>
  <c r="W1002" i="12"/>
  <c r="X1002" i="12"/>
  <c r="Y1002" i="12"/>
  <c r="Z1002" i="12"/>
  <c r="AA1002" i="12"/>
  <c r="AB1002" i="12"/>
  <c r="AC1002" i="12"/>
  <c r="AD1002" i="12"/>
  <c r="W1003" i="12"/>
  <c r="X1003" i="12"/>
  <c r="Y1003" i="12"/>
  <c r="Z1003" i="12"/>
  <c r="AA1003" i="12"/>
  <c r="AB1003" i="12"/>
  <c r="AC1003" i="12"/>
  <c r="AD1003" i="12"/>
  <c r="W1004" i="12"/>
  <c r="X1004" i="12"/>
  <c r="Y1004" i="12"/>
  <c r="Z1004" i="12"/>
  <c r="AA1004" i="12"/>
  <c r="AB1004" i="12"/>
  <c r="AC1004" i="12"/>
  <c r="AD1004" i="12"/>
  <c r="W1005" i="12"/>
  <c r="X1005" i="12"/>
  <c r="Y1005" i="12"/>
  <c r="Z1005" i="12"/>
  <c r="AA1005" i="12"/>
  <c r="AB1005" i="12"/>
  <c r="AC1005" i="12"/>
  <c r="AD1005" i="12"/>
  <c r="W1006" i="12"/>
  <c r="X1006" i="12"/>
  <c r="Y1006" i="12"/>
  <c r="Z1006" i="12"/>
  <c r="AA1006" i="12"/>
  <c r="AB1006" i="12"/>
  <c r="AC1006" i="12"/>
  <c r="AD1006" i="12"/>
  <c r="W1007" i="12"/>
  <c r="X1007" i="12"/>
  <c r="Y1007" i="12"/>
  <c r="Z1007" i="12"/>
  <c r="AA1007" i="12"/>
  <c r="AB1007" i="12"/>
  <c r="AC1007" i="12"/>
  <c r="AD1007" i="12"/>
  <c r="W1008" i="12"/>
  <c r="X1008" i="12"/>
  <c r="Y1008" i="12"/>
  <c r="Z1008" i="12"/>
  <c r="AA1008" i="12"/>
  <c r="AB1008" i="12"/>
  <c r="AC1008" i="12"/>
  <c r="AD1008" i="12"/>
  <c r="W1009" i="12"/>
  <c r="X1009" i="12"/>
  <c r="Y1009" i="12"/>
  <c r="Z1009" i="12"/>
  <c r="AA1009" i="12"/>
  <c r="AB1009" i="12"/>
  <c r="AC1009" i="12"/>
  <c r="AD1009" i="12"/>
  <c r="W1010" i="12"/>
  <c r="X1010" i="12"/>
  <c r="Y1010" i="12"/>
  <c r="Z1010" i="12"/>
  <c r="AA1010" i="12"/>
  <c r="AB1010" i="12"/>
  <c r="AC1010" i="12"/>
  <c r="AD1010" i="12"/>
  <c r="W1011" i="12"/>
  <c r="X1011" i="12"/>
  <c r="Y1011" i="12"/>
  <c r="Z1011" i="12"/>
  <c r="AA1011" i="12"/>
  <c r="AB1011" i="12"/>
  <c r="AC1011" i="12"/>
  <c r="AD1011" i="12"/>
  <c r="W1012" i="12"/>
  <c r="X1012" i="12"/>
  <c r="Y1012" i="12"/>
  <c r="Z1012" i="12"/>
  <c r="AA1012" i="12"/>
  <c r="AB1012" i="12"/>
  <c r="AC1012" i="12"/>
  <c r="AD1012" i="12"/>
  <c r="W1013" i="12"/>
  <c r="X1013" i="12"/>
  <c r="Y1013" i="12"/>
  <c r="Z1013" i="12"/>
  <c r="AA1013" i="12"/>
  <c r="AB1013" i="12"/>
  <c r="AC1013" i="12"/>
  <c r="AD1013" i="12"/>
  <c r="W1014" i="12"/>
  <c r="X1014" i="12"/>
  <c r="Y1014" i="12"/>
  <c r="Z1014" i="12"/>
  <c r="AA1014" i="12"/>
  <c r="AB1014" i="12"/>
  <c r="AC1014" i="12"/>
  <c r="AD1014" i="12"/>
  <c r="W1015" i="12"/>
  <c r="X1015" i="12"/>
  <c r="Y1015" i="12"/>
  <c r="Z1015" i="12"/>
  <c r="AA1015" i="12"/>
  <c r="AB1015" i="12"/>
  <c r="AC1015" i="12"/>
  <c r="AD1015" i="12"/>
  <c r="W1016" i="12"/>
  <c r="X1016" i="12"/>
  <c r="Y1016" i="12"/>
  <c r="Z1016" i="12"/>
  <c r="AA1016" i="12"/>
  <c r="AB1016" i="12"/>
  <c r="AC1016" i="12"/>
  <c r="AD1016" i="12"/>
  <c r="W1017" i="12"/>
  <c r="X1017" i="12"/>
  <c r="Y1017" i="12"/>
  <c r="Z1017" i="12"/>
  <c r="AA1017" i="12"/>
  <c r="AB1017" i="12"/>
  <c r="AC1017" i="12"/>
  <c r="AD1017" i="12"/>
  <c r="W1018" i="12"/>
  <c r="X1018" i="12"/>
  <c r="Y1018" i="12"/>
  <c r="Z1018" i="12"/>
  <c r="AA1018" i="12"/>
  <c r="AB1018" i="12"/>
  <c r="AC1018" i="12"/>
  <c r="AD1018" i="12"/>
  <c r="W1019" i="12"/>
  <c r="X1019" i="12"/>
  <c r="Y1019" i="12"/>
  <c r="Z1019" i="12"/>
  <c r="AA1019" i="12"/>
  <c r="AB1019" i="12"/>
  <c r="AC1019" i="12"/>
  <c r="AD1019" i="12"/>
  <c r="W1020" i="12"/>
  <c r="X1020" i="12"/>
  <c r="Y1020" i="12"/>
  <c r="Z1020" i="12"/>
  <c r="AA1020" i="12"/>
  <c r="AB1020" i="12"/>
  <c r="AC1020" i="12"/>
  <c r="AD1020" i="12"/>
  <c r="W1021" i="12"/>
  <c r="X1021" i="12"/>
  <c r="Y1021" i="12"/>
  <c r="Z1021" i="12"/>
  <c r="AA1021" i="12"/>
  <c r="AB1021" i="12"/>
  <c r="AC1021" i="12"/>
  <c r="AD1021" i="12"/>
  <c r="W1022" i="12"/>
  <c r="X1022" i="12"/>
  <c r="Y1022" i="12"/>
  <c r="Z1022" i="12"/>
  <c r="AA1022" i="12"/>
  <c r="AB1022" i="12"/>
  <c r="AC1022" i="12"/>
  <c r="AD1022" i="12"/>
  <c r="W1023" i="12"/>
  <c r="X1023" i="12"/>
  <c r="Y1023" i="12"/>
  <c r="Z1023" i="12"/>
  <c r="AA1023" i="12"/>
  <c r="AB1023" i="12"/>
  <c r="AC1023" i="12"/>
  <c r="AD1023" i="12"/>
  <c r="W1024" i="12"/>
  <c r="X1024" i="12"/>
  <c r="Y1024" i="12"/>
  <c r="Z1024" i="12"/>
  <c r="AA1024" i="12"/>
  <c r="AB1024" i="12"/>
  <c r="AC1024" i="12"/>
  <c r="AD1024" i="12"/>
  <c r="W1025" i="12"/>
  <c r="X1025" i="12"/>
  <c r="Y1025" i="12"/>
  <c r="Z1025" i="12"/>
  <c r="AA1025" i="12"/>
  <c r="AB1025" i="12"/>
  <c r="AC1025" i="12"/>
  <c r="AD1025" i="12"/>
  <c r="W1026" i="12"/>
  <c r="X1026" i="12"/>
  <c r="Y1026" i="12"/>
  <c r="Z1026" i="12"/>
  <c r="AA1026" i="12"/>
  <c r="AB1026" i="12"/>
  <c r="AC1026" i="12"/>
  <c r="AD1026" i="12"/>
  <c r="W1027" i="12"/>
  <c r="X1027" i="12"/>
  <c r="Y1027" i="12"/>
  <c r="Z1027" i="12"/>
  <c r="AA1027" i="12"/>
  <c r="AB1027" i="12"/>
  <c r="AC1027" i="12"/>
  <c r="AD1027" i="12"/>
  <c r="W1028" i="12"/>
  <c r="X1028" i="12"/>
  <c r="Y1028" i="12"/>
  <c r="Z1028" i="12"/>
  <c r="AA1028" i="12"/>
  <c r="AB1028" i="12"/>
  <c r="AC1028" i="12"/>
  <c r="AD1028" i="12"/>
  <c r="W1029" i="12"/>
  <c r="X1029" i="12"/>
  <c r="Y1029" i="12"/>
  <c r="Z1029" i="12"/>
  <c r="AA1029" i="12"/>
  <c r="AB1029" i="12"/>
  <c r="AC1029" i="12"/>
  <c r="AD1029" i="12"/>
  <c r="W1030" i="12"/>
  <c r="X1030" i="12"/>
  <c r="Y1030" i="12"/>
  <c r="Z1030" i="12"/>
  <c r="AA1030" i="12"/>
  <c r="AB1030" i="12"/>
  <c r="AC1030" i="12"/>
  <c r="AD1030" i="12"/>
  <c r="W1031" i="12"/>
  <c r="X1031" i="12"/>
  <c r="Y1031" i="12"/>
  <c r="Z1031" i="12"/>
  <c r="AA1031" i="12"/>
  <c r="AB1031" i="12"/>
  <c r="AC1031" i="12"/>
  <c r="AD1031" i="12"/>
  <c r="W1032" i="12"/>
  <c r="X1032" i="12"/>
  <c r="Y1032" i="12"/>
  <c r="Z1032" i="12"/>
  <c r="AA1032" i="12"/>
  <c r="AB1032" i="12"/>
  <c r="AC1032" i="12"/>
  <c r="AD1032" i="12"/>
  <c r="W1033" i="12"/>
  <c r="X1033" i="12"/>
  <c r="Y1033" i="12"/>
  <c r="Z1033" i="12"/>
  <c r="AA1033" i="12"/>
  <c r="AB1033" i="12"/>
  <c r="AC1033" i="12"/>
  <c r="AD1033" i="12"/>
  <c r="W1034" i="12"/>
  <c r="X1034" i="12"/>
  <c r="Y1034" i="12"/>
  <c r="Z1034" i="12"/>
  <c r="AA1034" i="12"/>
  <c r="AB1034" i="12"/>
  <c r="AC1034" i="12"/>
  <c r="AD1034" i="12"/>
  <c r="W1035" i="12"/>
  <c r="X1035" i="12"/>
  <c r="Y1035" i="12"/>
  <c r="Z1035" i="12"/>
  <c r="AA1035" i="12"/>
  <c r="AB1035" i="12"/>
  <c r="AC1035" i="12"/>
  <c r="AD1035" i="12"/>
  <c r="W1036" i="12"/>
  <c r="X1036" i="12"/>
  <c r="Y1036" i="12"/>
  <c r="Z1036" i="12"/>
  <c r="AA1036" i="12"/>
  <c r="AB1036" i="12"/>
  <c r="AC1036" i="12"/>
  <c r="AD1036" i="12"/>
  <c r="W1037" i="12"/>
  <c r="X1037" i="12"/>
  <c r="Y1037" i="12"/>
  <c r="Z1037" i="12"/>
  <c r="AA1037" i="12"/>
  <c r="AB1037" i="12"/>
  <c r="AC1037" i="12"/>
  <c r="AD1037" i="12"/>
  <c r="W1038" i="12"/>
  <c r="X1038" i="12"/>
  <c r="Y1038" i="12"/>
  <c r="Z1038" i="12"/>
  <c r="AA1038" i="12"/>
  <c r="AB1038" i="12"/>
  <c r="AC1038" i="12"/>
  <c r="AD1038" i="12"/>
  <c r="W1039" i="12"/>
  <c r="X1039" i="12"/>
  <c r="Y1039" i="12"/>
  <c r="Z1039" i="12"/>
  <c r="AA1039" i="12"/>
  <c r="AB1039" i="12"/>
  <c r="AC1039" i="12"/>
  <c r="AD1039" i="12"/>
  <c r="W1040" i="12"/>
  <c r="X1040" i="12"/>
  <c r="Y1040" i="12"/>
  <c r="Z1040" i="12"/>
  <c r="AA1040" i="12"/>
  <c r="AB1040" i="12"/>
  <c r="AC1040" i="12"/>
  <c r="AD1040" i="12"/>
  <c r="W1041" i="12"/>
  <c r="X1041" i="12"/>
  <c r="Y1041" i="12"/>
  <c r="Z1041" i="12"/>
  <c r="AA1041" i="12"/>
  <c r="AB1041" i="12"/>
  <c r="AC1041" i="12"/>
  <c r="AD1041" i="12"/>
  <c r="W1042" i="12"/>
  <c r="X1042" i="12"/>
  <c r="Y1042" i="12"/>
  <c r="Z1042" i="12"/>
  <c r="AA1042" i="12"/>
  <c r="AB1042" i="12"/>
  <c r="AC1042" i="12"/>
  <c r="AD1042" i="12"/>
  <c r="W1043" i="12"/>
  <c r="X1043" i="12"/>
  <c r="Y1043" i="12"/>
  <c r="Z1043" i="12"/>
  <c r="AA1043" i="12"/>
  <c r="AB1043" i="12"/>
  <c r="AC1043" i="12"/>
  <c r="AD1043" i="12"/>
  <c r="W1044" i="12"/>
  <c r="X1044" i="12"/>
  <c r="Y1044" i="12"/>
  <c r="Z1044" i="12"/>
  <c r="AA1044" i="12"/>
  <c r="AB1044" i="12"/>
  <c r="AC1044" i="12"/>
  <c r="AD1044" i="12"/>
  <c r="W1045" i="12"/>
  <c r="X1045" i="12"/>
  <c r="Y1045" i="12"/>
  <c r="Z1045" i="12"/>
  <c r="AA1045" i="12"/>
  <c r="AB1045" i="12"/>
  <c r="AC1045" i="12"/>
  <c r="AD1045" i="12"/>
  <c r="W1046" i="12"/>
  <c r="X1046" i="12"/>
  <c r="Y1046" i="12"/>
  <c r="Z1046" i="12"/>
  <c r="AA1046" i="12"/>
  <c r="AB1046" i="12"/>
  <c r="AC1046" i="12"/>
  <c r="AD1046" i="12"/>
  <c r="W1047" i="12"/>
  <c r="X1047" i="12"/>
  <c r="Y1047" i="12"/>
  <c r="Z1047" i="12"/>
  <c r="AA1047" i="12"/>
  <c r="AB1047" i="12"/>
  <c r="AC1047" i="12"/>
  <c r="AD1047" i="12"/>
  <c r="W1048" i="12"/>
  <c r="X1048" i="12"/>
  <c r="Y1048" i="12"/>
  <c r="Z1048" i="12"/>
  <c r="AA1048" i="12"/>
  <c r="AB1048" i="12"/>
  <c r="AC1048" i="12"/>
  <c r="AD1048" i="12"/>
  <c r="W1049" i="12"/>
  <c r="X1049" i="12"/>
  <c r="Y1049" i="12"/>
  <c r="Z1049" i="12"/>
  <c r="AA1049" i="12"/>
  <c r="AB1049" i="12"/>
  <c r="AC1049" i="12"/>
  <c r="AD1049" i="12"/>
  <c r="W1050" i="12"/>
  <c r="X1050" i="12"/>
  <c r="Y1050" i="12"/>
  <c r="Z1050" i="12"/>
  <c r="AA1050" i="12"/>
  <c r="AB1050" i="12"/>
  <c r="AC1050" i="12"/>
  <c r="AD1050" i="12"/>
  <c r="W1051" i="12"/>
  <c r="X1051" i="12"/>
  <c r="Y1051" i="12"/>
  <c r="Z1051" i="12"/>
  <c r="AA1051" i="12"/>
  <c r="AB1051" i="12"/>
  <c r="AC1051" i="12"/>
  <c r="AD1051" i="12"/>
  <c r="W1052" i="12"/>
  <c r="X1052" i="12"/>
  <c r="Y1052" i="12"/>
  <c r="Z1052" i="12"/>
  <c r="AA1052" i="12"/>
  <c r="AB1052" i="12"/>
  <c r="AC1052" i="12"/>
  <c r="AD1052" i="12"/>
  <c r="W1053" i="12"/>
  <c r="X1053" i="12"/>
  <c r="Y1053" i="12"/>
  <c r="Z1053" i="12"/>
  <c r="AA1053" i="12"/>
  <c r="AB1053" i="12"/>
  <c r="AC1053" i="12"/>
  <c r="AD1053" i="12"/>
  <c r="W1054" i="12"/>
  <c r="X1054" i="12"/>
  <c r="Y1054" i="12"/>
  <c r="Z1054" i="12"/>
  <c r="AA1054" i="12"/>
  <c r="AB1054" i="12"/>
  <c r="AC1054" i="12"/>
  <c r="AD1054" i="12"/>
  <c r="W1055" i="12"/>
  <c r="X1055" i="12"/>
  <c r="Y1055" i="12"/>
  <c r="Z1055" i="12"/>
  <c r="AA1055" i="12"/>
  <c r="AB1055" i="12"/>
  <c r="AC1055" i="12"/>
  <c r="AD1055" i="12"/>
  <c r="W1056" i="12"/>
  <c r="X1056" i="12"/>
  <c r="Y1056" i="12"/>
  <c r="Z1056" i="12"/>
  <c r="AA1056" i="12"/>
  <c r="AB1056" i="12"/>
  <c r="AC1056" i="12"/>
  <c r="AD1056" i="12"/>
  <c r="W1057" i="12"/>
  <c r="X1057" i="12"/>
  <c r="Y1057" i="12"/>
  <c r="Z1057" i="12"/>
  <c r="AA1057" i="12"/>
  <c r="AB1057" i="12"/>
  <c r="AC1057" i="12"/>
  <c r="AD1057" i="12"/>
  <c r="W1058" i="12"/>
  <c r="X1058" i="12"/>
  <c r="Y1058" i="12"/>
  <c r="Z1058" i="12"/>
  <c r="AA1058" i="12"/>
  <c r="AB1058" i="12"/>
  <c r="AC1058" i="12"/>
  <c r="AD1058" i="12"/>
  <c r="W1059" i="12"/>
  <c r="X1059" i="12"/>
  <c r="Y1059" i="12"/>
  <c r="Z1059" i="12"/>
  <c r="AA1059" i="12"/>
  <c r="AB1059" i="12"/>
  <c r="AC1059" i="12"/>
  <c r="AD1059" i="12"/>
  <c r="W1060" i="12"/>
  <c r="X1060" i="12"/>
  <c r="Y1060" i="12"/>
  <c r="Z1060" i="12"/>
  <c r="AA1060" i="12"/>
  <c r="AB1060" i="12"/>
  <c r="AC1060" i="12"/>
  <c r="AD1060" i="12"/>
  <c r="W1061" i="12"/>
  <c r="X1061" i="12"/>
  <c r="Y1061" i="12"/>
  <c r="Z1061" i="12"/>
  <c r="AA1061" i="12"/>
  <c r="AB1061" i="12"/>
  <c r="AC1061" i="12"/>
  <c r="AD1061" i="12"/>
  <c r="W1062" i="12"/>
  <c r="X1062" i="12"/>
  <c r="Y1062" i="12"/>
  <c r="Z1062" i="12"/>
  <c r="AA1062" i="12"/>
  <c r="AB1062" i="12"/>
  <c r="AC1062" i="12"/>
  <c r="AD1062" i="12"/>
  <c r="W1063" i="12"/>
  <c r="X1063" i="12"/>
  <c r="Y1063" i="12"/>
  <c r="Z1063" i="12"/>
  <c r="AA1063" i="12"/>
  <c r="AB1063" i="12"/>
  <c r="AC1063" i="12"/>
  <c r="AD1063" i="12"/>
  <c r="W1064" i="12"/>
  <c r="X1064" i="12"/>
  <c r="Y1064" i="12"/>
  <c r="Z1064" i="12"/>
  <c r="AA1064" i="12"/>
  <c r="AB1064" i="12"/>
  <c r="AC1064" i="12"/>
  <c r="AD1064" i="12"/>
  <c r="W1065" i="12"/>
  <c r="X1065" i="12"/>
  <c r="Y1065" i="12"/>
  <c r="Z1065" i="12"/>
  <c r="AA1065" i="12"/>
  <c r="AB1065" i="12"/>
  <c r="AC1065" i="12"/>
  <c r="AD1065" i="12"/>
  <c r="W1066" i="12"/>
  <c r="X1066" i="12"/>
  <c r="Y1066" i="12"/>
  <c r="Z1066" i="12"/>
  <c r="AA1066" i="12"/>
  <c r="AB1066" i="12"/>
  <c r="AC1066" i="12"/>
  <c r="AD1066" i="12"/>
  <c r="W1067" i="12"/>
  <c r="X1067" i="12"/>
  <c r="Y1067" i="12"/>
  <c r="Z1067" i="12"/>
  <c r="AA1067" i="12"/>
  <c r="AB1067" i="12"/>
  <c r="AC1067" i="12"/>
  <c r="AD1067" i="12"/>
  <c r="W1068" i="12"/>
  <c r="X1068" i="12"/>
  <c r="Y1068" i="12"/>
  <c r="Z1068" i="12"/>
  <c r="AA1068" i="12"/>
  <c r="AB1068" i="12"/>
  <c r="AC1068" i="12"/>
  <c r="AD1068" i="12"/>
  <c r="W1069" i="12"/>
  <c r="X1069" i="12"/>
  <c r="Y1069" i="12"/>
  <c r="Z1069" i="12"/>
  <c r="AA1069" i="12"/>
  <c r="AB1069" i="12"/>
  <c r="AC1069" i="12"/>
  <c r="AD1069" i="12"/>
  <c r="W1070" i="12"/>
  <c r="X1070" i="12"/>
  <c r="Y1070" i="12"/>
  <c r="Z1070" i="12"/>
  <c r="AA1070" i="12"/>
  <c r="AB1070" i="12"/>
  <c r="AC1070" i="12"/>
  <c r="AD1070" i="12"/>
  <c r="W1071" i="12"/>
  <c r="X1071" i="12"/>
  <c r="Y1071" i="12"/>
  <c r="Z1071" i="12"/>
  <c r="AA1071" i="12"/>
  <c r="AB1071" i="12"/>
  <c r="AC1071" i="12"/>
  <c r="AD1071" i="12"/>
  <c r="W1072" i="12"/>
  <c r="X1072" i="12"/>
  <c r="Y1072" i="12"/>
  <c r="Z1072" i="12"/>
  <c r="AA1072" i="12"/>
  <c r="AB1072" i="12"/>
  <c r="AC1072" i="12"/>
  <c r="AD1072" i="12"/>
  <c r="W1073" i="12"/>
  <c r="X1073" i="12"/>
  <c r="Y1073" i="12"/>
  <c r="Z1073" i="12"/>
  <c r="AA1073" i="12"/>
  <c r="AB1073" i="12"/>
  <c r="AC1073" i="12"/>
  <c r="AD1073" i="12"/>
  <c r="W1074" i="12"/>
  <c r="X1074" i="12"/>
  <c r="Y1074" i="12"/>
  <c r="Z1074" i="12"/>
  <c r="AA1074" i="12"/>
  <c r="AB1074" i="12"/>
  <c r="AC1074" i="12"/>
  <c r="AD1074" i="12"/>
  <c r="W1075" i="12"/>
  <c r="X1075" i="12"/>
  <c r="Y1075" i="12"/>
  <c r="Z1075" i="12"/>
  <c r="AA1075" i="12"/>
  <c r="AB1075" i="12"/>
  <c r="AC1075" i="12"/>
  <c r="AD1075" i="12"/>
  <c r="W1076" i="12"/>
  <c r="X1076" i="12"/>
  <c r="Y1076" i="12"/>
  <c r="Z1076" i="12"/>
  <c r="AA1076" i="12"/>
  <c r="AB1076" i="12"/>
  <c r="AC1076" i="12"/>
  <c r="AD1076" i="12"/>
  <c r="W1077" i="12"/>
  <c r="X1077" i="12"/>
  <c r="Y1077" i="12"/>
  <c r="Z1077" i="12"/>
  <c r="AA1077" i="12"/>
  <c r="AB1077" i="12"/>
  <c r="AC1077" i="12"/>
  <c r="AD1077" i="12"/>
  <c r="W1078" i="12"/>
  <c r="X1078" i="12"/>
  <c r="Y1078" i="12"/>
  <c r="Z1078" i="12"/>
  <c r="AA1078" i="12"/>
  <c r="AB1078" i="12"/>
  <c r="AC1078" i="12"/>
  <c r="AD1078" i="12"/>
  <c r="W1079" i="12"/>
  <c r="X1079" i="12"/>
  <c r="Y1079" i="12"/>
  <c r="Z1079" i="12"/>
  <c r="AA1079" i="12"/>
  <c r="AB1079" i="12"/>
  <c r="AC1079" i="12"/>
  <c r="AD1079" i="12"/>
  <c r="W1080" i="12"/>
  <c r="X1080" i="12"/>
  <c r="Y1080" i="12"/>
  <c r="Z1080" i="12"/>
  <c r="AA1080" i="12"/>
  <c r="AB1080" i="12"/>
  <c r="AC1080" i="12"/>
  <c r="AD1080" i="12"/>
  <c r="W1081" i="12"/>
  <c r="X1081" i="12"/>
  <c r="Y1081" i="12"/>
  <c r="Z1081" i="12"/>
  <c r="AA1081" i="12"/>
  <c r="AB1081" i="12"/>
  <c r="AC1081" i="12"/>
  <c r="AD1081" i="12"/>
  <c r="W1082" i="12"/>
  <c r="X1082" i="12"/>
  <c r="Y1082" i="12"/>
  <c r="Z1082" i="12"/>
  <c r="AA1082" i="12"/>
  <c r="AB1082" i="12"/>
  <c r="AC1082" i="12"/>
  <c r="AD1082" i="12"/>
  <c r="W1083" i="12"/>
  <c r="X1083" i="12"/>
  <c r="Y1083" i="12"/>
  <c r="Z1083" i="12"/>
  <c r="AA1083" i="12"/>
  <c r="AB1083" i="12"/>
  <c r="AC1083" i="12"/>
  <c r="AD1083" i="12"/>
  <c r="W1084" i="12"/>
  <c r="X1084" i="12"/>
  <c r="Y1084" i="12"/>
  <c r="Z1084" i="12"/>
  <c r="AA1084" i="12"/>
  <c r="AB1084" i="12"/>
  <c r="AC1084" i="12"/>
  <c r="AD1084" i="12"/>
  <c r="W1085" i="12"/>
  <c r="X1085" i="12"/>
  <c r="Y1085" i="12"/>
  <c r="Z1085" i="12"/>
  <c r="AA1085" i="12"/>
  <c r="AB1085" i="12"/>
  <c r="AC1085" i="12"/>
  <c r="AD1085" i="12"/>
  <c r="W1086" i="12"/>
  <c r="X1086" i="12"/>
  <c r="Y1086" i="12"/>
  <c r="Z1086" i="12"/>
  <c r="AA1086" i="12"/>
  <c r="AB1086" i="12"/>
  <c r="AC1086" i="12"/>
  <c r="AD1086" i="12"/>
  <c r="W1087" i="12"/>
  <c r="X1087" i="12"/>
  <c r="Y1087" i="12"/>
  <c r="Z1087" i="12"/>
  <c r="AA1087" i="12"/>
  <c r="AB1087" i="12"/>
  <c r="AC1087" i="12"/>
  <c r="AD1087" i="12"/>
  <c r="W1088" i="12"/>
  <c r="X1088" i="12"/>
  <c r="Y1088" i="12"/>
  <c r="Z1088" i="12"/>
  <c r="AA1088" i="12"/>
  <c r="AB1088" i="12"/>
  <c r="AC1088" i="12"/>
  <c r="AD1088" i="12"/>
  <c r="W1089" i="12"/>
  <c r="X1089" i="12"/>
  <c r="Y1089" i="12"/>
  <c r="Z1089" i="12"/>
  <c r="AA1089" i="12"/>
  <c r="AB1089" i="12"/>
  <c r="AC1089" i="12"/>
  <c r="AD1089" i="12"/>
  <c r="W1090" i="12"/>
  <c r="X1090" i="12"/>
  <c r="Y1090" i="12"/>
  <c r="Z1090" i="12"/>
  <c r="AA1090" i="12"/>
  <c r="AB1090" i="12"/>
  <c r="AC1090" i="12"/>
  <c r="AD1090" i="12"/>
  <c r="W1091" i="12"/>
  <c r="X1091" i="12"/>
  <c r="Y1091" i="12"/>
  <c r="Z1091" i="12"/>
  <c r="AA1091" i="12"/>
  <c r="AB1091" i="12"/>
  <c r="AC1091" i="12"/>
  <c r="AD1091" i="12"/>
  <c r="W1092" i="12"/>
  <c r="X1092" i="12"/>
  <c r="Y1092" i="12"/>
  <c r="Z1092" i="12"/>
  <c r="AA1092" i="12"/>
  <c r="AB1092" i="12"/>
  <c r="AC1092" i="12"/>
  <c r="AD1092" i="12"/>
  <c r="W1093" i="12"/>
  <c r="X1093" i="12"/>
  <c r="Y1093" i="12"/>
  <c r="Z1093" i="12"/>
  <c r="AA1093" i="12"/>
  <c r="AB1093" i="12"/>
  <c r="AC1093" i="12"/>
  <c r="AD1093" i="12"/>
  <c r="W1094" i="12"/>
  <c r="X1094" i="12"/>
  <c r="Y1094" i="12"/>
  <c r="Z1094" i="12"/>
  <c r="AA1094" i="12"/>
  <c r="AB1094" i="12"/>
  <c r="AC1094" i="12"/>
  <c r="AD1094" i="12"/>
  <c r="W1095" i="12"/>
  <c r="X1095" i="12"/>
  <c r="Y1095" i="12"/>
  <c r="Z1095" i="12"/>
  <c r="AA1095" i="12"/>
  <c r="AB1095" i="12"/>
  <c r="AC1095" i="12"/>
  <c r="AD1095" i="12"/>
  <c r="W1096" i="12"/>
  <c r="X1096" i="12"/>
  <c r="Y1096" i="12"/>
  <c r="Z1096" i="12"/>
  <c r="AA1096" i="12"/>
  <c r="AB1096" i="12"/>
  <c r="AC1096" i="12"/>
  <c r="AD1096" i="12"/>
  <c r="W1097" i="12"/>
  <c r="X1097" i="12"/>
  <c r="Y1097" i="12"/>
  <c r="Z1097" i="12"/>
  <c r="AA1097" i="12"/>
  <c r="AB1097" i="12"/>
  <c r="AC1097" i="12"/>
  <c r="AD1097" i="12"/>
  <c r="W1098" i="12"/>
  <c r="X1098" i="12"/>
  <c r="Y1098" i="12"/>
  <c r="Z1098" i="12"/>
  <c r="AA1098" i="12"/>
  <c r="AB1098" i="12"/>
  <c r="AC1098" i="12"/>
  <c r="AD1098" i="12"/>
  <c r="W1099" i="12"/>
  <c r="X1099" i="12"/>
  <c r="Y1099" i="12"/>
  <c r="Z1099" i="12"/>
  <c r="AA1099" i="12"/>
  <c r="AB1099" i="12"/>
  <c r="AC1099" i="12"/>
  <c r="AD1099" i="12"/>
  <c r="W1100" i="12"/>
  <c r="X1100" i="12"/>
  <c r="Y1100" i="12"/>
  <c r="Z1100" i="12"/>
  <c r="AA1100" i="12"/>
  <c r="AB1100" i="12"/>
  <c r="AC1100" i="12"/>
  <c r="AD1100" i="12"/>
  <c r="W1101" i="12"/>
  <c r="X1101" i="12"/>
  <c r="Y1101" i="12"/>
  <c r="Z1101" i="12"/>
  <c r="AA1101" i="12"/>
  <c r="AB1101" i="12"/>
  <c r="AC1101" i="12"/>
  <c r="AD1101" i="12"/>
  <c r="W1102" i="12"/>
  <c r="X1102" i="12"/>
  <c r="Y1102" i="12"/>
  <c r="Z1102" i="12"/>
  <c r="AA1102" i="12"/>
  <c r="AB1102" i="12"/>
  <c r="AC1102" i="12"/>
  <c r="AD1102" i="12"/>
  <c r="W1103" i="12"/>
  <c r="X1103" i="12"/>
  <c r="Y1103" i="12"/>
  <c r="Z1103" i="12"/>
  <c r="AA1103" i="12"/>
  <c r="AB1103" i="12"/>
  <c r="AC1103" i="12"/>
  <c r="AD1103" i="12"/>
  <c r="W1104" i="12"/>
  <c r="X1104" i="12"/>
  <c r="Y1104" i="12"/>
  <c r="Z1104" i="12"/>
  <c r="AA1104" i="12"/>
  <c r="AB1104" i="12"/>
  <c r="AC1104" i="12"/>
  <c r="AD1104" i="12"/>
  <c r="W1105" i="12"/>
  <c r="X1105" i="12"/>
  <c r="Y1105" i="12"/>
  <c r="Z1105" i="12"/>
  <c r="AA1105" i="12"/>
  <c r="AB1105" i="12"/>
  <c r="AC1105" i="12"/>
  <c r="AD1105" i="12"/>
  <c r="W1106" i="12"/>
  <c r="X1106" i="12"/>
  <c r="Y1106" i="12"/>
  <c r="Z1106" i="12"/>
  <c r="AA1106" i="12"/>
  <c r="AB1106" i="12"/>
  <c r="AC1106" i="12"/>
  <c r="AD1106" i="12"/>
  <c r="W1107" i="12"/>
  <c r="X1107" i="12"/>
  <c r="Y1107" i="12"/>
  <c r="Z1107" i="12"/>
  <c r="AA1107" i="12"/>
  <c r="AB1107" i="12"/>
  <c r="AC1107" i="12"/>
  <c r="AD1107" i="12"/>
  <c r="W1108" i="12"/>
  <c r="X1108" i="12"/>
  <c r="Y1108" i="12"/>
  <c r="Z1108" i="12"/>
  <c r="AA1108" i="12"/>
  <c r="AB1108" i="12"/>
  <c r="AC1108" i="12"/>
  <c r="AD1108" i="12"/>
  <c r="W1109" i="12"/>
  <c r="X1109" i="12"/>
  <c r="Y1109" i="12"/>
  <c r="Z1109" i="12"/>
  <c r="AA1109" i="12"/>
  <c r="AB1109" i="12"/>
  <c r="AC1109" i="12"/>
  <c r="AD1109" i="12"/>
  <c r="W1110" i="12"/>
  <c r="X1110" i="12"/>
  <c r="Y1110" i="12"/>
  <c r="Z1110" i="12"/>
  <c r="AA1110" i="12"/>
  <c r="AB1110" i="12"/>
  <c r="AC1110" i="12"/>
  <c r="AD1110" i="12"/>
  <c r="W1111" i="12"/>
  <c r="X1111" i="12"/>
  <c r="Y1111" i="12"/>
  <c r="Z1111" i="12"/>
  <c r="AA1111" i="12"/>
  <c r="AB1111" i="12"/>
  <c r="AC1111" i="12"/>
  <c r="AD1111" i="12"/>
  <c r="W1112" i="12"/>
  <c r="X1112" i="12"/>
  <c r="Y1112" i="12"/>
  <c r="Z1112" i="12"/>
  <c r="AA1112" i="12"/>
  <c r="AB1112" i="12"/>
  <c r="AC1112" i="12"/>
  <c r="AD1112" i="12"/>
  <c r="W1113" i="12"/>
  <c r="X1113" i="12"/>
  <c r="Y1113" i="12"/>
  <c r="Z1113" i="12"/>
  <c r="AA1113" i="12"/>
  <c r="AB1113" i="12"/>
  <c r="AC1113" i="12"/>
  <c r="AD1113" i="12"/>
  <c r="W1114" i="12"/>
  <c r="X1114" i="12"/>
  <c r="Y1114" i="12"/>
  <c r="Z1114" i="12"/>
  <c r="AA1114" i="12"/>
  <c r="AB1114" i="12"/>
  <c r="AC1114" i="12"/>
  <c r="AD1114" i="12"/>
  <c r="W1115" i="12"/>
  <c r="X1115" i="12"/>
  <c r="Y1115" i="12"/>
  <c r="Z1115" i="12"/>
  <c r="AA1115" i="12"/>
  <c r="AB1115" i="12"/>
  <c r="AC1115" i="12"/>
  <c r="AD1115" i="12"/>
  <c r="W1116" i="12"/>
  <c r="X1116" i="12"/>
  <c r="Y1116" i="12"/>
  <c r="Z1116" i="12"/>
  <c r="AA1116" i="12"/>
  <c r="AB1116" i="12"/>
  <c r="AC1116" i="12"/>
  <c r="AD1116" i="12"/>
  <c r="W1117" i="12"/>
  <c r="X1117" i="12"/>
  <c r="Y1117" i="12"/>
  <c r="Z1117" i="12"/>
  <c r="AA1117" i="12"/>
  <c r="AB1117" i="12"/>
  <c r="AC1117" i="12"/>
  <c r="AD1117" i="12"/>
  <c r="W1118" i="12"/>
  <c r="X1118" i="12"/>
  <c r="Y1118" i="12"/>
  <c r="Z1118" i="12"/>
  <c r="AA1118" i="12"/>
  <c r="AB1118" i="12"/>
  <c r="AC1118" i="12"/>
  <c r="AD1118" i="12"/>
  <c r="W1119" i="12"/>
  <c r="X1119" i="12"/>
  <c r="Y1119" i="12"/>
  <c r="Z1119" i="12"/>
  <c r="AA1119" i="12"/>
  <c r="AB1119" i="12"/>
  <c r="AC1119" i="12"/>
  <c r="AD1119" i="12"/>
  <c r="W1120" i="12"/>
  <c r="X1120" i="12"/>
  <c r="Y1120" i="12"/>
  <c r="Z1120" i="12"/>
  <c r="AA1120" i="12"/>
  <c r="AB1120" i="12"/>
  <c r="AC1120" i="12"/>
  <c r="AD1120" i="12"/>
  <c r="W1121" i="12"/>
  <c r="X1121" i="12"/>
  <c r="Y1121" i="12"/>
  <c r="Z1121" i="12"/>
  <c r="AA1121" i="12"/>
  <c r="AB1121" i="12"/>
  <c r="AC1121" i="12"/>
  <c r="AD1121" i="12"/>
  <c r="W1122" i="12"/>
  <c r="X1122" i="12"/>
  <c r="Y1122" i="12"/>
  <c r="Z1122" i="12"/>
  <c r="AA1122" i="12"/>
  <c r="AB1122" i="12"/>
  <c r="AC1122" i="12"/>
  <c r="AD1122" i="12"/>
  <c r="W1123" i="12"/>
  <c r="X1123" i="12"/>
  <c r="Y1123" i="12"/>
  <c r="Z1123" i="12"/>
  <c r="AA1123" i="12"/>
  <c r="AB1123" i="12"/>
  <c r="AC1123" i="12"/>
  <c r="AD1123" i="12"/>
  <c r="W1124" i="12"/>
  <c r="X1124" i="12"/>
  <c r="Y1124" i="12"/>
  <c r="Z1124" i="12"/>
  <c r="AA1124" i="12"/>
  <c r="AB1124" i="12"/>
  <c r="AC1124" i="12"/>
  <c r="AD1124" i="12"/>
  <c r="W1125" i="12"/>
  <c r="X1125" i="12"/>
  <c r="Y1125" i="12"/>
  <c r="Z1125" i="12"/>
  <c r="AA1125" i="12"/>
  <c r="AB1125" i="12"/>
  <c r="AC1125" i="12"/>
  <c r="AD1125" i="12"/>
  <c r="W1126" i="12"/>
  <c r="X1126" i="12"/>
  <c r="Y1126" i="12"/>
  <c r="Z1126" i="12"/>
  <c r="AA1126" i="12"/>
  <c r="AB1126" i="12"/>
  <c r="AC1126" i="12"/>
  <c r="AD1126" i="12"/>
  <c r="W1127" i="12"/>
  <c r="X1127" i="12"/>
  <c r="Y1127" i="12"/>
  <c r="Z1127" i="12"/>
  <c r="AA1127" i="12"/>
  <c r="AB1127" i="12"/>
  <c r="AC1127" i="12"/>
  <c r="AD1127" i="12"/>
  <c r="W1128" i="12"/>
  <c r="X1128" i="12"/>
  <c r="Y1128" i="12"/>
  <c r="Z1128" i="12"/>
  <c r="AA1128" i="12"/>
  <c r="AB1128" i="12"/>
  <c r="AC1128" i="12"/>
  <c r="AD1128" i="12"/>
  <c r="W1129" i="12"/>
  <c r="X1129" i="12"/>
  <c r="Y1129" i="12"/>
  <c r="Z1129" i="12"/>
  <c r="AA1129" i="12"/>
  <c r="AB1129" i="12"/>
  <c r="AC1129" i="12"/>
  <c r="AD1129" i="12"/>
  <c r="W1130" i="12"/>
  <c r="X1130" i="12"/>
  <c r="Y1130" i="12"/>
  <c r="Z1130" i="12"/>
  <c r="AA1130" i="12"/>
  <c r="AB1130" i="12"/>
  <c r="AC1130" i="12"/>
  <c r="AD1130" i="12"/>
  <c r="W1131" i="12"/>
  <c r="X1131" i="12"/>
  <c r="Y1131" i="12"/>
  <c r="Z1131" i="12"/>
  <c r="AA1131" i="12"/>
  <c r="AB1131" i="12"/>
  <c r="AC1131" i="12"/>
  <c r="AD1131" i="12"/>
  <c r="W1132" i="12"/>
  <c r="X1132" i="12"/>
  <c r="Y1132" i="12"/>
  <c r="Z1132" i="12"/>
  <c r="AA1132" i="12"/>
  <c r="AB1132" i="12"/>
  <c r="AC1132" i="12"/>
  <c r="AD1132" i="12"/>
  <c r="W1133" i="12"/>
  <c r="X1133" i="12"/>
  <c r="Y1133" i="12"/>
  <c r="Z1133" i="12"/>
  <c r="AA1133" i="12"/>
  <c r="AB1133" i="12"/>
  <c r="AC1133" i="12"/>
  <c r="AD1133" i="12"/>
  <c r="W1136" i="12"/>
  <c r="X1136" i="12"/>
  <c r="Y1136" i="12"/>
  <c r="Z1136" i="12"/>
  <c r="AA1136" i="12"/>
  <c r="AB1136" i="12"/>
  <c r="AC1136" i="12"/>
  <c r="AD1136" i="12"/>
  <c r="W1137" i="12"/>
  <c r="X1137" i="12"/>
  <c r="Y1137" i="12"/>
  <c r="Z1137" i="12"/>
  <c r="AA1137" i="12"/>
  <c r="AB1137" i="12"/>
  <c r="AC1137" i="12"/>
  <c r="AD1137" i="12"/>
  <c r="W1140" i="12"/>
  <c r="X1140" i="12"/>
  <c r="Y1140" i="12"/>
  <c r="Z1140" i="12"/>
  <c r="AA1140" i="12"/>
  <c r="AB1140" i="12"/>
  <c r="AC1140" i="12"/>
  <c r="AD1140" i="12"/>
  <c r="W1141" i="12"/>
  <c r="X1141" i="12"/>
  <c r="Y1141" i="12"/>
  <c r="Z1141" i="12"/>
  <c r="AA1141" i="12"/>
  <c r="AB1141" i="12"/>
  <c r="AC1141" i="12"/>
  <c r="AD1141" i="12"/>
  <c r="W1142" i="12"/>
  <c r="X1142" i="12"/>
  <c r="Y1142" i="12"/>
  <c r="Z1142" i="12"/>
  <c r="AA1142" i="12"/>
  <c r="AB1142" i="12"/>
  <c r="AC1142" i="12"/>
  <c r="AD1142" i="12"/>
  <c r="W1143" i="12"/>
  <c r="X1143" i="12"/>
  <c r="Y1143" i="12"/>
  <c r="Z1143" i="12"/>
  <c r="AA1143" i="12"/>
  <c r="AB1143" i="12"/>
  <c r="AC1143" i="12"/>
  <c r="AD1143" i="12"/>
  <c r="W1144" i="12"/>
  <c r="X1144" i="12"/>
  <c r="Y1144" i="12"/>
  <c r="Z1144" i="12"/>
  <c r="AA1144" i="12"/>
  <c r="AB1144" i="12"/>
  <c r="AC1144" i="12"/>
  <c r="AD1144" i="12"/>
  <c r="W1145" i="12"/>
  <c r="X1145" i="12"/>
  <c r="Y1145" i="12"/>
  <c r="Z1145" i="12"/>
  <c r="AA1145" i="12"/>
  <c r="AB1145" i="12"/>
  <c r="AC1145" i="12"/>
  <c r="AD1145" i="12"/>
  <c r="W1146" i="12"/>
  <c r="X1146" i="12"/>
  <c r="Y1146" i="12"/>
  <c r="Z1146" i="12"/>
  <c r="AA1146" i="12"/>
  <c r="AB1146" i="12"/>
  <c r="AC1146" i="12"/>
  <c r="AD1146" i="12"/>
  <c r="W1147" i="12"/>
  <c r="X1147" i="12"/>
  <c r="Y1147" i="12"/>
  <c r="Z1147" i="12"/>
  <c r="AA1147" i="12"/>
  <c r="AB1147" i="12"/>
  <c r="AC1147" i="12"/>
  <c r="AD1147" i="12"/>
  <c r="W1148" i="12"/>
  <c r="X1148" i="12"/>
  <c r="Y1148" i="12"/>
  <c r="Z1148" i="12"/>
  <c r="AA1148" i="12"/>
  <c r="AB1148" i="12"/>
  <c r="AC1148" i="12"/>
  <c r="AD1148" i="12"/>
  <c r="W1149" i="12"/>
  <c r="X1149" i="12"/>
  <c r="Y1149" i="12"/>
  <c r="Z1149" i="12"/>
  <c r="AA1149" i="12"/>
  <c r="AB1149" i="12"/>
  <c r="AC1149" i="12"/>
  <c r="AD1149" i="12"/>
  <c r="W1150" i="12"/>
  <c r="X1150" i="12"/>
  <c r="Y1150" i="12"/>
  <c r="Z1150" i="12"/>
  <c r="AA1150" i="12"/>
  <c r="AB1150" i="12"/>
  <c r="AC1150" i="12"/>
  <c r="AD1150" i="12"/>
  <c r="W1151" i="12"/>
  <c r="X1151" i="12"/>
  <c r="Y1151" i="12"/>
  <c r="Z1151" i="12"/>
  <c r="AA1151" i="12"/>
  <c r="AB1151" i="12"/>
  <c r="AC1151" i="12"/>
  <c r="AD1151" i="12"/>
  <c r="W1152" i="12"/>
  <c r="X1152" i="12"/>
  <c r="Y1152" i="12"/>
  <c r="Z1152" i="12"/>
  <c r="AA1152" i="12"/>
  <c r="AB1152" i="12"/>
  <c r="AC1152" i="12"/>
  <c r="AD1152" i="12"/>
  <c r="W1153" i="12"/>
  <c r="X1153" i="12"/>
  <c r="Y1153" i="12"/>
  <c r="Z1153" i="12"/>
  <c r="AA1153" i="12"/>
  <c r="AB1153" i="12"/>
  <c r="AC1153" i="12"/>
  <c r="AD1153" i="12"/>
  <c r="W1154" i="12"/>
  <c r="X1154" i="12"/>
  <c r="Y1154" i="12"/>
  <c r="Z1154" i="12"/>
  <c r="AA1154" i="12"/>
  <c r="AB1154" i="12"/>
  <c r="AC1154" i="12"/>
  <c r="AD1154" i="12"/>
  <c r="W1155" i="12"/>
  <c r="X1155" i="12"/>
  <c r="Y1155" i="12"/>
  <c r="Z1155" i="12"/>
  <c r="AA1155" i="12"/>
  <c r="AB1155" i="12"/>
  <c r="AC1155" i="12"/>
  <c r="AD1155" i="12"/>
  <c r="W1156" i="12"/>
  <c r="X1156" i="12"/>
  <c r="Y1156" i="12"/>
  <c r="Z1156" i="12"/>
  <c r="AA1156" i="12"/>
  <c r="AB1156" i="12"/>
  <c r="AC1156" i="12"/>
  <c r="AD1156" i="12"/>
  <c r="W1157" i="12"/>
  <c r="X1157" i="12"/>
  <c r="Y1157" i="12"/>
  <c r="Z1157" i="12"/>
  <c r="AA1157" i="12"/>
  <c r="AB1157" i="12"/>
  <c r="AC1157" i="12"/>
  <c r="AD1157" i="12"/>
  <c r="W1158" i="12"/>
  <c r="X1158" i="12"/>
  <c r="Y1158" i="12"/>
  <c r="Z1158" i="12"/>
  <c r="AA1158" i="12"/>
  <c r="AB1158" i="12"/>
  <c r="AC1158" i="12"/>
  <c r="AD1158" i="12"/>
  <c r="W1159" i="12"/>
  <c r="X1159" i="12"/>
  <c r="Y1159" i="12"/>
  <c r="Z1159" i="12"/>
  <c r="AA1159" i="12"/>
  <c r="AB1159" i="12"/>
  <c r="AC1159" i="12"/>
  <c r="AD1159" i="12"/>
  <c r="X5" i="12"/>
  <c r="Y5" i="12"/>
  <c r="Z5" i="12"/>
  <c r="AA5" i="12"/>
  <c r="AB5" i="12"/>
  <c r="AC5" i="12"/>
  <c r="AD5" i="12"/>
  <c r="E12" i="60"/>
  <c r="E17" i="60"/>
  <c r="E16" i="60"/>
  <c r="M55" i="59"/>
  <c r="O55" i="59" s="1"/>
  <c r="M56" i="59"/>
  <c r="O56" i="59" s="1"/>
  <c r="O6" i="15" l="1" a="1"/>
  <c r="O6" i="15" s="1"/>
  <c r="DN5" i="12" a="1"/>
  <c r="DN5" i="12" s="1"/>
  <c r="DO5" i="12" a="1"/>
  <c r="DO5" i="12" s="1"/>
  <c r="DK5" i="12" a="1"/>
  <c r="DK5" i="12" s="1"/>
  <c r="DL5" i="12" a="1"/>
  <c r="DL5" i="12" s="1"/>
  <c r="DM5" i="12" a="1"/>
  <c r="DM5" i="12" s="1"/>
  <c r="O6" i="44" a="1"/>
  <c r="O6" i="44" s="1"/>
  <c r="P21" i="66"/>
  <c r="P20" i="66"/>
  <c r="CN5" i="12" a="1"/>
  <c r="CN5" i="12" s="1"/>
  <c r="CJ5" i="12" a="1"/>
  <c r="CJ5" i="12" s="1"/>
  <c r="CK5" i="12" a="1"/>
  <c r="CK5" i="12" s="1"/>
  <c r="CM5" i="12" a="1"/>
  <c r="CM5" i="12" s="1"/>
  <c r="CL5" i="12" a="1"/>
  <c r="CL5" i="12" s="1"/>
  <c r="CH5" i="12" a="1"/>
  <c r="CH5" i="12" s="1"/>
  <c r="CI5" i="12" a="1"/>
  <c r="CI5" i="12" s="1"/>
  <c r="N7" i="65"/>
  <c r="N10" i="65" s="1"/>
  <c r="L7" i="65"/>
  <c r="O58" i="59"/>
  <c r="N58" i="59"/>
  <c r="L12" i="16"/>
  <c r="M12" i="16"/>
  <c r="L13" i="16"/>
  <c r="M13" i="16"/>
  <c r="L14" i="16"/>
  <c r="M14" i="16"/>
  <c r="L15" i="16"/>
  <c r="M15" i="16"/>
  <c r="L16" i="16"/>
  <c r="M16" i="16"/>
  <c r="L17" i="16"/>
  <c r="M17" i="16"/>
  <c r="L18" i="16"/>
  <c r="M18" i="16"/>
  <c r="L19" i="16"/>
  <c r="M19" i="16"/>
  <c r="L20" i="16"/>
  <c r="M11" i="16"/>
  <c r="L11" i="16"/>
  <c r="N20" i="16"/>
  <c r="N19" i="16"/>
  <c r="N18" i="16"/>
  <c r="N17" i="16"/>
  <c r="N16" i="16"/>
  <c r="N15" i="16"/>
  <c r="N14" i="16"/>
  <c r="N13" i="16"/>
  <c r="N12" i="16"/>
  <c r="N11" i="16"/>
  <c r="N10" i="16"/>
  <c r="S20" i="66" l="1"/>
  <c r="R20" i="66"/>
  <c r="S21" i="66"/>
  <c r="R21" i="66"/>
  <c r="K7" i="65"/>
  <c r="L10" i="65"/>
  <c r="J7" i="65"/>
  <c r="M7" i="65"/>
  <c r="R38" i="66" l="1"/>
  <c r="S38" i="66" s="1"/>
  <c r="S23" i="66" s="1"/>
  <c r="R37" i="66"/>
  <c r="E11" i="60"/>
  <c r="P23" i="66" l="1"/>
  <c r="R23" i="66" s="1"/>
  <c r="S37" i="66"/>
  <c r="S22" i="66" s="1"/>
  <c r="S33" i="66" s="1"/>
  <c r="P22" i="66"/>
  <c r="R22" i="66" s="1"/>
  <c r="P31" i="66" l="1"/>
  <c r="R31" i="66" s="1"/>
  <c r="R33" i="66" s="1"/>
  <c r="T33" i="66" s="1"/>
  <c r="V5" i="12"/>
  <c r="V6" i="12"/>
  <c r="V7" i="12"/>
  <c r="V8" i="12"/>
  <c r="V9" i="12"/>
  <c r="V10" i="12"/>
  <c r="V11" i="12"/>
  <c r="V12" i="12"/>
  <c r="V13" i="12"/>
  <c r="V14" i="12"/>
  <c r="V15" i="12"/>
  <c r="V16" i="12"/>
  <c r="V17" i="12"/>
  <c r="V18" i="12"/>
  <c r="V19" i="12"/>
  <c r="V20" i="12"/>
  <c r="V21" i="12"/>
  <c r="V22" i="12"/>
  <c r="V23" i="12"/>
  <c r="V24" i="12"/>
  <c r="V25" i="12"/>
  <c r="V26" i="12"/>
  <c r="V27" i="12"/>
  <c r="V28" i="12"/>
  <c r="V29" i="12"/>
  <c r="V30" i="12"/>
  <c r="V31" i="12"/>
  <c r="V32" i="12"/>
  <c r="V33" i="12"/>
  <c r="V34" i="12"/>
  <c r="V35" i="12"/>
  <c r="V36" i="12"/>
  <c r="V37" i="12"/>
  <c r="V38" i="12"/>
  <c r="V39" i="12"/>
  <c r="V40" i="12"/>
  <c r="V41" i="12"/>
  <c r="V42" i="12"/>
  <c r="V43" i="12"/>
  <c r="V44" i="12"/>
  <c r="V45" i="12"/>
  <c r="V46" i="12"/>
  <c r="V47" i="12"/>
  <c r="V48" i="12"/>
  <c r="V49" i="12"/>
  <c r="V50" i="12"/>
  <c r="V51" i="12"/>
  <c r="V52" i="12"/>
  <c r="V53" i="12"/>
  <c r="V54" i="12"/>
  <c r="V55" i="12"/>
  <c r="V56" i="12"/>
  <c r="V57" i="12"/>
  <c r="V58" i="12"/>
  <c r="V59" i="12"/>
  <c r="V60" i="12"/>
  <c r="V61" i="12"/>
  <c r="V62" i="12"/>
  <c r="V63" i="12"/>
  <c r="V64" i="12"/>
  <c r="V65" i="12"/>
  <c r="V66" i="12"/>
  <c r="V67" i="12"/>
  <c r="V68" i="12"/>
  <c r="V69" i="12"/>
  <c r="V70" i="12"/>
  <c r="V71" i="12"/>
  <c r="V72" i="12"/>
  <c r="V73" i="12"/>
  <c r="V74" i="12"/>
  <c r="V75" i="12"/>
  <c r="V76" i="12"/>
  <c r="V77" i="12"/>
  <c r="V78" i="12"/>
  <c r="V79" i="12"/>
  <c r="V80" i="12"/>
  <c r="V81" i="12"/>
  <c r="V82" i="12"/>
  <c r="V83" i="12"/>
  <c r="V84" i="12"/>
  <c r="V85" i="12"/>
  <c r="V86" i="12"/>
  <c r="V87" i="12"/>
  <c r="V88" i="12"/>
  <c r="V89" i="12"/>
  <c r="V90" i="12"/>
  <c r="V91" i="12"/>
  <c r="V92" i="12"/>
  <c r="V93" i="12"/>
  <c r="V94" i="12"/>
  <c r="V95" i="12"/>
  <c r="V96" i="12"/>
  <c r="V97" i="12"/>
  <c r="V98" i="12"/>
  <c r="V99" i="12"/>
  <c r="V100" i="12"/>
  <c r="V101" i="12"/>
  <c r="V102" i="12"/>
  <c r="V103" i="12"/>
  <c r="V104" i="12"/>
  <c r="V105" i="12"/>
  <c r="V106" i="12"/>
  <c r="V107" i="12"/>
  <c r="V108" i="12"/>
  <c r="V109" i="12"/>
  <c r="V110" i="12"/>
  <c r="V111" i="12"/>
  <c r="V112" i="12"/>
  <c r="V113" i="12"/>
  <c r="V114" i="12"/>
  <c r="V115" i="12"/>
  <c r="V116" i="12"/>
  <c r="V117" i="12"/>
  <c r="V118" i="12"/>
  <c r="V119" i="12"/>
  <c r="V120" i="12"/>
  <c r="V121" i="12"/>
  <c r="V122" i="12"/>
  <c r="V123" i="12"/>
  <c r="V124" i="12"/>
  <c r="V125" i="12"/>
  <c r="V126" i="12"/>
  <c r="V127" i="12"/>
  <c r="V128" i="12"/>
  <c r="V129" i="12"/>
  <c r="V130" i="12"/>
  <c r="V131" i="12"/>
  <c r="V132" i="12"/>
  <c r="V133" i="12"/>
  <c r="V134" i="12"/>
  <c r="V135" i="12"/>
  <c r="V136" i="12"/>
  <c r="V137" i="12"/>
  <c r="V138" i="12"/>
  <c r="V139" i="12"/>
  <c r="V140" i="12"/>
  <c r="V141" i="12"/>
  <c r="V142" i="12"/>
  <c r="V143" i="12"/>
  <c r="V144" i="12"/>
  <c r="V145" i="12"/>
  <c r="V146" i="12"/>
  <c r="V147" i="12"/>
  <c r="V148" i="12"/>
  <c r="V149" i="12"/>
  <c r="V150" i="12"/>
  <c r="V151" i="12"/>
  <c r="V152" i="12"/>
  <c r="V153" i="12"/>
  <c r="V154" i="12"/>
  <c r="V155" i="12"/>
  <c r="V156" i="12"/>
  <c r="V157" i="12"/>
  <c r="V158" i="12"/>
  <c r="V159" i="12"/>
  <c r="V160" i="12"/>
  <c r="V161" i="12"/>
  <c r="V162" i="12"/>
  <c r="V163" i="12"/>
  <c r="V164" i="12"/>
  <c r="V165" i="12"/>
  <c r="V166" i="12"/>
  <c r="V167" i="12"/>
  <c r="V168" i="12"/>
  <c r="V169" i="12"/>
  <c r="V170" i="12"/>
  <c r="V171" i="12"/>
  <c r="V172" i="12"/>
  <c r="V173" i="12"/>
  <c r="V174" i="12"/>
  <c r="V175" i="12"/>
  <c r="V176" i="12"/>
  <c r="V177" i="12"/>
  <c r="V178" i="12"/>
  <c r="V179" i="12"/>
  <c r="V180" i="12"/>
  <c r="V181" i="12"/>
  <c r="V182" i="12"/>
  <c r="V183" i="12"/>
  <c r="V184" i="12"/>
  <c r="V185" i="12"/>
  <c r="V186" i="12"/>
  <c r="V187" i="12"/>
  <c r="V188" i="12"/>
  <c r="V189" i="12"/>
  <c r="V190" i="12"/>
  <c r="V191" i="12"/>
  <c r="V192" i="12"/>
  <c r="V193" i="12"/>
  <c r="V194" i="12"/>
  <c r="V195" i="12"/>
  <c r="V196" i="12"/>
  <c r="V197" i="12"/>
  <c r="V198" i="12"/>
  <c r="V199" i="12"/>
  <c r="V200" i="12"/>
  <c r="V201" i="12"/>
  <c r="V202" i="12"/>
  <c r="V203" i="12"/>
  <c r="V204" i="12"/>
  <c r="V205" i="12"/>
  <c r="V206" i="12"/>
  <c r="V207" i="12"/>
  <c r="V208" i="12"/>
  <c r="V209" i="12"/>
  <c r="V210" i="12"/>
  <c r="V211" i="12"/>
  <c r="V212" i="12"/>
  <c r="V213" i="12"/>
  <c r="V214" i="12"/>
  <c r="V215" i="12"/>
  <c r="V216" i="12"/>
  <c r="V217" i="12"/>
  <c r="V218" i="12"/>
  <c r="V219" i="12"/>
  <c r="V220" i="12"/>
  <c r="V221" i="12"/>
  <c r="V222" i="12"/>
  <c r="V223" i="12"/>
  <c r="V224" i="12"/>
  <c r="V225" i="12"/>
  <c r="V226" i="12"/>
  <c r="V227" i="12"/>
  <c r="V228" i="12"/>
  <c r="V229" i="12"/>
  <c r="V230" i="12"/>
  <c r="V231" i="12"/>
  <c r="V232" i="12"/>
  <c r="V233" i="12"/>
  <c r="V234" i="12"/>
  <c r="V235" i="12"/>
  <c r="V236" i="12"/>
  <c r="V237" i="12"/>
  <c r="V238" i="12"/>
  <c r="V239" i="12"/>
  <c r="V240" i="12"/>
  <c r="V241" i="12"/>
  <c r="V242" i="12"/>
  <c r="V243" i="12"/>
  <c r="V244" i="12"/>
  <c r="V245" i="12"/>
  <c r="V246" i="12"/>
  <c r="V247" i="12"/>
  <c r="V248" i="12"/>
  <c r="V249" i="12"/>
  <c r="V250" i="12"/>
  <c r="V251" i="12"/>
  <c r="V252" i="12"/>
  <c r="V253" i="12"/>
  <c r="V254" i="12"/>
  <c r="V255" i="12"/>
  <c r="V256" i="12"/>
  <c r="V257" i="12"/>
  <c r="V258" i="12"/>
  <c r="V259" i="12"/>
  <c r="V260" i="12"/>
  <c r="V261" i="12"/>
  <c r="V262" i="12"/>
  <c r="V263" i="12"/>
  <c r="V264" i="12"/>
  <c r="V265" i="12"/>
  <c r="V266" i="12"/>
  <c r="V267" i="12"/>
  <c r="V268" i="12"/>
  <c r="V269" i="12"/>
  <c r="V270" i="12"/>
  <c r="V271" i="12"/>
  <c r="V272" i="12"/>
  <c r="V273" i="12"/>
  <c r="V274" i="12"/>
  <c r="V275" i="12"/>
  <c r="V276" i="12"/>
  <c r="V277" i="12"/>
  <c r="V278" i="12"/>
  <c r="V279" i="12"/>
  <c r="V280" i="12"/>
  <c r="V281" i="12"/>
  <c r="V282" i="12"/>
  <c r="V283" i="12"/>
  <c r="V284" i="12"/>
  <c r="V285" i="12"/>
  <c r="V286" i="12"/>
  <c r="V287" i="12"/>
  <c r="V288" i="12"/>
  <c r="V289" i="12"/>
  <c r="V290" i="12"/>
  <c r="V291" i="12"/>
  <c r="V292" i="12"/>
  <c r="V293" i="12"/>
  <c r="V294" i="12"/>
  <c r="V295" i="12"/>
  <c r="V296" i="12"/>
  <c r="V297" i="12"/>
  <c r="V298" i="12"/>
  <c r="V299" i="12"/>
  <c r="V300" i="12"/>
  <c r="V301" i="12"/>
  <c r="V302" i="12"/>
  <c r="V303" i="12"/>
  <c r="V304" i="12"/>
  <c r="V305" i="12"/>
  <c r="V306" i="12"/>
  <c r="V307" i="12"/>
  <c r="V308" i="12"/>
  <c r="V309" i="12"/>
  <c r="V310" i="12"/>
  <c r="V311" i="12"/>
  <c r="V312" i="12"/>
  <c r="V313" i="12"/>
  <c r="V314" i="12"/>
  <c r="V315" i="12"/>
  <c r="V316" i="12"/>
  <c r="V317" i="12"/>
  <c r="V318" i="12"/>
  <c r="V319" i="12"/>
  <c r="V320" i="12"/>
  <c r="V321" i="12"/>
  <c r="V322" i="12"/>
  <c r="V323" i="12"/>
  <c r="V324" i="12"/>
  <c r="V325" i="12"/>
  <c r="V326" i="12"/>
  <c r="V327" i="12"/>
  <c r="V328" i="12"/>
  <c r="V329" i="12"/>
  <c r="V330" i="12"/>
  <c r="V331" i="12"/>
  <c r="V332" i="12"/>
  <c r="V333" i="12"/>
  <c r="V334" i="12"/>
  <c r="V335" i="12"/>
  <c r="V336" i="12"/>
  <c r="V337" i="12"/>
  <c r="V338" i="12"/>
  <c r="V339" i="12"/>
  <c r="V340" i="12"/>
  <c r="V341" i="12"/>
  <c r="V342" i="12"/>
  <c r="V343" i="12"/>
  <c r="V344" i="12"/>
  <c r="V345" i="12"/>
  <c r="V346" i="12"/>
  <c r="V347" i="12"/>
  <c r="V348" i="12"/>
  <c r="V349" i="12"/>
  <c r="V350" i="12"/>
  <c r="V351" i="12"/>
  <c r="V352" i="12"/>
  <c r="V353" i="12"/>
  <c r="V354" i="12"/>
  <c r="V355" i="12"/>
  <c r="V356" i="12"/>
  <c r="V357" i="12"/>
  <c r="V358" i="12"/>
  <c r="V359" i="12"/>
  <c r="V360" i="12"/>
  <c r="V361" i="12"/>
  <c r="V362" i="12"/>
  <c r="V363" i="12"/>
  <c r="V364" i="12"/>
  <c r="V365" i="12"/>
  <c r="V366" i="12"/>
  <c r="V367" i="12"/>
  <c r="V368" i="12"/>
  <c r="V369" i="12"/>
  <c r="V370" i="12"/>
  <c r="V371" i="12"/>
  <c r="V372" i="12"/>
  <c r="V373" i="12"/>
  <c r="V374" i="12"/>
  <c r="V375" i="12"/>
  <c r="V376" i="12"/>
  <c r="V377" i="12"/>
  <c r="V378" i="12"/>
  <c r="V379" i="12"/>
  <c r="V380" i="12"/>
  <c r="V381" i="12"/>
  <c r="V382" i="12"/>
  <c r="V383" i="12"/>
  <c r="V384" i="12"/>
  <c r="V385" i="12"/>
  <c r="V386" i="12"/>
  <c r="V387" i="12"/>
  <c r="V388" i="12"/>
  <c r="V389" i="12"/>
  <c r="V390" i="12"/>
  <c r="V391" i="12"/>
  <c r="V392" i="12"/>
  <c r="V393" i="12"/>
  <c r="V394" i="12"/>
  <c r="V395" i="12"/>
  <c r="V396" i="12"/>
  <c r="V397" i="12"/>
  <c r="V398" i="12"/>
  <c r="V399" i="12"/>
  <c r="V400" i="12"/>
  <c r="V401" i="12"/>
  <c r="V402" i="12"/>
  <c r="V403" i="12"/>
  <c r="V404" i="12"/>
  <c r="V405" i="12"/>
  <c r="V406" i="12"/>
  <c r="V407" i="12"/>
  <c r="V408" i="12"/>
  <c r="V409" i="12"/>
  <c r="V410" i="12"/>
  <c r="V411" i="12"/>
  <c r="V412" i="12"/>
  <c r="V413" i="12"/>
  <c r="V414" i="12"/>
  <c r="V415" i="12"/>
  <c r="V416" i="12"/>
  <c r="V417" i="12"/>
  <c r="V418" i="12"/>
  <c r="V419" i="12"/>
  <c r="V420" i="12"/>
  <c r="V421" i="12"/>
  <c r="V422" i="12"/>
  <c r="V423" i="12"/>
  <c r="V424" i="12"/>
  <c r="V425" i="12"/>
  <c r="V426" i="12"/>
  <c r="V427" i="12"/>
  <c r="V428" i="12"/>
  <c r="V429" i="12"/>
  <c r="V430" i="12"/>
  <c r="V431" i="12"/>
  <c r="V432" i="12"/>
  <c r="V433" i="12"/>
  <c r="V434" i="12"/>
  <c r="V435" i="12"/>
  <c r="V436" i="12"/>
  <c r="V437" i="12"/>
  <c r="V438" i="12"/>
  <c r="V439" i="12"/>
  <c r="V440" i="12"/>
  <c r="V441" i="12"/>
  <c r="V442" i="12"/>
  <c r="V443" i="12"/>
  <c r="V444" i="12"/>
  <c r="V445" i="12"/>
  <c r="V446" i="12"/>
  <c r="V447" i="12"/>
  <c r="V448" i="12"/>
  <c r="V449" i="12"/>
  <c r="V450" i="12"/>
  <c r="V451" i="12"/>
  <c r="V452" i="12"/>
  <c r="V453" i="12"/>
  <c r="V454" i="12"/>
  <c r="V455" i="12"/>
  <c r="V456" i="12"/>
  <c r="V457" i="12"/>
  <c r="V458" i="12"/>
  <c r="V459" i="12"/>
  <c r="V460" i="12"/>
  <c r="V461" i="12"/>
  <c r="V462" i="12"/>
  <c r="V463" i="12"/>
  <c r="V464" i="12"/>
  <c r="V465" i="12"/>
  <c r="V466" i="12"/>
  <c r="V467" i="12"/>
  <c r="V468" i="12"/>
  <c r="V469" i="12"/>
  <c r="V470" i="12"/>
  <c r="V471" i="12"/>
  <c r="V472" i="12"/>
  <c r="V473" i="12"/>
  <c r="V474" i="12"/>
  <c r="V475" i="12"/>
  <c r="V476" i="12"/>
  <c r="V477" i="12"/>
  <c r="V478" i="12"/>
  <c r="V479" i="12"/>
  <c r="V480" i="12"/>
  <c r="V481" i="12"/>
  <c r="V482" i="12"/>
  <c r="V483" i="12"/>
  <c r="V484" i="12"/>
  <c r="V485" i="12"/>
  <c r="V486" i="12"/>
  <c r="V487" i="12"/>
  <c r="V488" i="12"/>
  <c r="V489" i="12"/>
  <c r="V492" i="12"/>
  <c r="V493" i="12"/>
  <c r="V494" i="12"/>
  <c r="V495" i="12"/>
  <c r="V496" i="12"/>
  <c r="V497" i="12"/>
  <c r="V498" i="12"/>
  <c r="V499" i="12"/>
  <c r="V500" i="12"/>
  <c r="V501" i="12"/>
  <c r="V502" i="12"/>
  <c r="V503" i="12"/>
  <c r="V504" i="12"/>
  <c r="V505" i="12"/>
  <c r="V506" i="12"/>
  <c r="V507" i="12"/>
  <c r="V508" i="12"/>
  <c r="V509" i="12"/>
  <c r="V510" i="12"/>
  <c r="V511" i="12"/>
  <c r="V512" i="12"/>
  <c r="V513" i="12"/>
  <c r="V514" i="12"/>
  <c r="V515" i="12"/>
  <c r="V516" i="12"/>
  <c r="V517" i="12"/>
  <c r="V518" i="12"/>
  <c r="V519" i="12"/>
  <c r="V520" i="12"/>
  <c r="V521" i="12"/>
  <c r="V522" i="12"/>
  <c r="V523" i="12"/>
  <c r="V524" i="12"/>
  <c r="V525" i="12"/>
  <c r="V526" i="12"/>
  <c r="V527" i="12"/>
  <c r="V528" i="12"/>
  <c r="V529" i="12"/>
  <c r="V530" i="12"/>
  <c r="V531" i="12"/>
  <c r="V532" i="12"/>
  <c r="V533" i="12"/>
  <c r="V534" i="12"/>
  <c r="V535" i="12"/>
  <c r="V536" i="12"/>
  <c r="V537" i="12"/>
  <c r="V538" i="12"/>
  <c r="V539" i="12"/>
  <c r="V540" i="12"/>
  <c r="V541" i="12"/>
  <c r="V542" i="12"/>
  <c r="V543" i="12"/>
  <c r="V544" i="12"/>
  <c r="V545" i="12"/>
  <c r="V546" i="12"/>
  <c r="V547" i="12"/>
  <c r="V548" i="12"/>
  <c r="V549" i="12"/>
  <c r="V550" i="12"/>
  <c r="V551" i="12"/>
  <c r="V552" i="12"/>
  <c r="V553" i="12"/>
  <c r="V554" i="12"/>
  <c r="V555" i="12"/>
  <c r="V556" i="12"/>
  <c r="V557" i="12"/>
  <c r="V558" i="12"/>
  <c r="V559" i="12"/>
  <c r="V560" i="12"/>
  <c r="V561" i="12"/>
  <c r="V562" i="12"/>
  <c r="V563" i="12"/>
  <c r="V564" i="12"/>
  <c r="V565" i="12"/>
  <c r="V566" i="12"/>
  <c r="V567" i="12"/>
  <c r="V568" i="12"/>
  <c r="V569" i="12"/>
  <c r="V570" i="12"/>
  <c r="V571" i="12"/>
  <c r="V572" i="12"/>
  <c r="V573" i="12"/>
  <c r="V574" i="12"/>
  <c r="V575" i="12"/>
  <c r="V576" i="12"/>
  <c r="V577" i="12"/>
  <c r="V578" i="12"/>
  <c r="V579" i="12"/>
  <c r="V580" i="12"/>
  <c r="V581" i="12"/>
  <c r="V582" i="12"/>
  <c r="V583" i="12"/>
  <c r="V584" i="12"/>
  <c r="V585" i="12"/>
  <c r="V586" i="12"/>
  <c r="V587" i="12"/>
  <c r="V588" i="12"/>
  <c r="V589" i="12"/>
  <c r="V590" i="12"/>
  <c r="V591" i="12"/>
  <c r="V592" i="12"/>
  <c r="V593" i="12"/>
  <c r="V594" i="12"/>
  <c r="V595" i="12"/>
  <c r="V596" i="12"/>
  <c r="V597" i="12"/>
  <c r="V598" i="12"/>
  <c r="V599" i="12"/>
  <c r="V600" i="12"/>
  <c r="V601" i="12"/>
  <c r="V602" i="12"/>
  <c r="V603" i="12"/>
  <c r="V604" i="12"/>
  <c r="V605" i="12"/>
  <c r="V606" i="12"/>
  <c r="V607" i="12"/>
  <c r="V608" i="12"/>
  <c r="V609" i="12"/>
  <c r="V610" i="12"/>
  <c r="V611" i="12"/>
  <c r="V612" i="12"/>
  <c r="V613" i="12"/>
  <c r="V614" i="12"/>
  <c r="V615" i="12"/>
  <c r="V616" i="12"/>
  <c r="V617" i="12"/>
  <c r="V618" i="12"/>
  <c r="V619" i="12"/>
  <c r="V620" i="12"/>
  <c r="V621" i="12"/>
  <c r="V622" i="12"/>
  <c r="V623" i="12"/>
  <c r="V624" i="12"/>
  <c r="V625" i="12"/>
  <c r="V626" i="12"/>
  <c r="V627" i="12"/>
  <c r="V628" i="12"/>
  <c r="V629" i="12"/>
  <c r="V630" i="12"/>
  <c r="V631" i="12"/>
  <c r="V632" i="12"/>
  <c r="V633" i="12"/>
  <c r="V634" i="12"/>
  <c r="V635" i="12"/>
  <c r="V636" i="12"/>
  <c r="V637" i="12"/>
  <c r="V638" i="12"/>
  <c r="V639" i="12"/>
  <c r="V640" i="12"/>
  <c r="V641" i="12"/>
  <c r="V642" i="12"/>
  <c r="V643" i="12"/>
  <c r="V644" i="12"/>
  <c r="V645" i="12"/>
  <c r="V646" i="12"/>
  <c r="V647" i="12"/>
  <c r="V648" i="12"/>
  <c r="V649" i="12"/>
  <c r="V650" i="12"/>
  <c r="V651" i="12"/>
  <c r="V652" i="12"/>
  <c r="V653" i="12"/>
  <c r="V654" i="12"/>
  <c r="V655" i="12"/>
  <c r="V656" i="12"/>
  <c r="V657" i="12"/>
  <c r="V658" i="12"/>
  <c r="V659" i="12"/>
  <c r="V660" i="12"/>
  <c r="V661" i="12"/>
  <c r="V662" i="12"/>
  <c r="V663" i="12"/>
  <c r="V664" i="12"/>
  <c r="V665" i="12"/>
  <c r="V666" i="12"/>
  <c r="V667" i="12"/>
  <c r="V668" i="12"/>
  <c r="V669" i="12"/>
  <c r="V670" i="12"/>
  <c r="V671" i="12"/>
  <c r="V672" i="12"/>
  <c r="V673" i="12"/>
  <c r="V674" i="12"/>
  <c r="V675" i="12"/>
  <c r="V676" i="12"/>
  <c r="V677" i="12"/>
  <c r="V678" i="12"/>
  <c r="V679" i="12"/>
  <c r="V680" i="12"/>
  <c r="V681" i="12"/>
  <c r="V682" i="12"/>
  <c r="V683" i="12"/>
  <c r="V684" i="12"/>
  <c r="V685" i="12"/>
  <c r="V686" i="12"/>
  <c r="V687" i="12"/>
  <c r="V688" i="12"/>
  <c r="V689" i="12"/>
  <c r="V690" i="12"/>
  <c r="V691" i="12"/>
  <c r="V692" i="12"/>
  <c r="V693" i="12"/>
  <c r="V694" i="12"/>
  <c r="V695" i="12"/>
  <c r="V696" i="12"/>
  <c r="V697" i="12"/>
  <c r="V698" i="12"/>
  <c r="V699" i="12"/>
  <c r="V700" i="12"/>
  <c r="V701" i="12"/>
  <c r="V702" i="12"/>
  <c r="V703" i="12"/>
  <c r="V704" i="12"/>
  <c r="V705" i="12"/>
  <c r="V706" i="12"/>
  <c r="V707" i="12"/>
  <c r="V708" i="12"/>
  <c r="V709" i="12"/>
  <c r="V710" i="12"/>
  <c r="V711" i="12"/>
  <c r="V712" i="12"/>
  <c r="V713" i="12"/>
  <c r="V714" i="12"/>
  <c r="V715" i="12"/>
  <c r="V716" i="12"/>
  <c r="V717" i="12"/>
  <c r="V718" i="12"/>
  <c r="V730" i="12"/>
  <c r="V731" i="12"/>
  <c r="V732" i="12"/>
  <c r="V733" i="12"/>
  <c r="V734" i="12"/>
  <c r="V735" i="12"/>
  <c r="V736" i="12"/>
  <c r="V737" i="12"/>
  <c r="V738" i="12"/>
  <c r="V739" i="12"/>
  <c r="V740" i="12"/>
  <c r="V741" i="12"/>
  <c r="V742" i="12"/>
  <c r="V743" i="12"/>
  <c r="V744" i="12"/>
  <c r="V745" i="12"/>
  <c r="V746" i="12"/>
  <c r="V747" i="12"/>
  <c r="V748" i="12"/>
  <c r="V749" i="12"/>
  <c r="V750" i="12"/>
  <c r="V751" i="12"/>
  <c r="V752" i="12"/>
  <c r="V753" i="12"/>
  <c r="V754" i="12"/>
  <c r="V755" i="12"/>
  <c r="V756" i="12"/>
  <c r="V757" i="12"/>
  <c r="V758" i="12"/>
  <c r="V759" i="12"/>
  <c r="V760" i="12"/>
  <c r="V761" i="12"/>
  <c r="V762" i="12"/>
  <c r="V763" i="12"/>
  <c r="V764" i="12"/>
  <c r="V765" i="12"/>
  <c r="V766" i="12"/>
  <c r="V767" i="12"/>
  <c r="V768" i="12"/>
  <c r="V769" i="12"/>
  <c r="V770" i="12"/>
  <c r="V771" i="12"/>
  <c r="V772" i="12"/>
  <c r="V773" i="12"/>
  <c r="V774" i="12"/>
  <c r="V775" i="12"/>
  <c r="V776" i="12"/>
  <c r="V777" i="12"/>
  <c r="V778" i="12"/>
  <c r="V779" i="12"/>
  <c r="V780" i="12"/>
  <c r="V781" i="12"/>
  <c r="V782" i="12"/>
  <c r="V783" i="12"/>
  <c r="V784" i="12"/>
  <c r="V785" i="12"/>
  <c r="V786" i="12"/>
  <c r="V787" i="12"/>
  <c r="V788" i="12"/>
  <c r="V789" i="12"/>
  <c r="V790" i="12"/>
  <c r="V791" i="12"/>
  <c r="V792" i="12"/>
  <c r="V793" i="12"/>
  <c r="V794" i="12"/>
  <c r="V795" i="12"/>
  <c r="V796" i="12"/>
  <c r="V797" i="12"/>
  <c r="V798" i="12"/>
  <c r="V799" i="12"/>
  <c r="V800" i="12"/>
  <c r="V801" i="12"/>
  <c r="V802" i="12"/>
  <c r="V803" i="12"/>
  <c r="V804" i="12"/>
  <c r="V805" i="12"/>
  <c r="V806" i="12"/>
  <c r="V807" i="12"/>
  <c r="V808" i="12"/>
  <c r="V809" i="12"/>
  <c r="V810" i="12"/>
  <c r="V811" i="12"/>
  <c r="V812" i="12"/>
  <c r="V813" i="12"/>
  <c r="V814" i="12"/>
  <c r="V815" i="12"/>
  <c r="V816" i="12"/>
  <c r="V817" i="12"/>
  <c r="V818" i="12"/>
  <c r="V819" i="12"/>
  <c r="V820" i="12"/>
  <c r="V821" i="12"/>
  <c r="V822" i="12"/>
  <c r="V823" i="12"/>
  <c r="V824" i="12"/>
  <c r="V825" i="12"/>
  <c r="V826" i="12"/>
  <c r="V827" i="12"/>
  <c r="V828" i="12"/>
  <c r="V829" i="12"/>
  <c r="V830" i="12"/>
  <c r="V831" i="12"/>
  <c r="V832" i="12"/>
  <c r="V833" i="12"/>
  <c r="V834" i="12"/>
  <c r="V835" i="12"/>
  <c r="V836" i="12"/>
  <c r="V837" i="12"/>
  <c r="V838" i="12"/>
  <c r="V839" i="12"/>
  <c r="V840" i="12"/>
  <c r="V841" i="12"/>
  <c r="V842" i="12"/>
  <c r="V843" i="12"/>
  <c r="V844" i="12"/>
  <c r="V845" i="12"/>
  <c r="V846" i="12"/>
  <c r="V847" i="12"/>
  <c r="V848" i="12"/>
  <c r="V849" i="12"/>
  <c r="V850" i="12"/>
  <c r="V851" i="12"/>
  <c r="V852" i="12"/>
  <c r="V853" i="12"/>
  <c r="V854" i="12"/>
  <c r="V855" i="12"/>
  <c r="V856" i="12"/>
  <c r="V857" i="12"/>
  <c r="V858" i="12"/>
  <c r="V859" i="12"/>
  <c r="V860" i="12"/>
  <c r="V861" i="12"/>
  <c r="V862" i="12"/>
  <c r="V863" i="12"/>
  <c r="V864" i="12"/>
  <c r="V865" i="12"/>
  <c r="V866" i="12"/>
  <c r="V867" i="12"/>
  <c r="V868" i="12"/>
  <c r="V869" i="12"/>
  <c r="V870" i="12"/>
  <c r="V871" i="12"/>
  <c r="V872" i="12"/>
  <c r="V873" i="12"/>
  <c r="V874" i="12"/>
  <c r="V875" i="12"/>
  <c r="V876" i="12"/>
  <c r="V877" i="12"/>
  <c r="V878" i="12"/>
  <c r="V879" i="12"/>
  <c r="V880" i="12"/>
  <c r="V881" i="12"/>
  <c r="V882" i="12"/>
  <c r="V883" i="12"/>
  <c r="V884" i="12"/>
  <c r="V885" i="12"/>
  <c r="V886" i="12"/>
  <c r="V887" i="12"/>
  <c r="V888" i="12"/>
  <c r="V889" i="12"/>
  <c r="V890" i="12"/>
  <c r="V891" i="12"/>
  <c r="V892" i="12"/>
  <c r="V893" i="12"/>
  <c r="V894" i="12"/>
  <c r="V895" i="12"/>
  <c r="V896" i="12"/>
  <c r="V897" i="12"/>
  <c r="V898" i="12"/>
  <c r="V899" i="12"/>
  <c r="V900" i="12"/>
  <c r="V901" i="12"/>
  <c r="V902" i="12"/>
  <c r="V903" i="12"/>
  <c r="V904" i="12"/>
  <c r="V905" i="12"/>
  <c r="V906" i="12"/>
  <c r="V907" i="12"/>
  <c r="V908" i="12"/>
  <c r="V909" i="12"/>
  <c r="V910" i="12"/>
  <c r="V911" i="12"/>
  <c r="V912" i="12"/>
  <c r="V913" i="12"/>
  <c r="V914" i="12"/>
  <c r="V915" i="12"/>
  <c r="V916" i="12"/>
  <c r="V917" i="12"/>
  <c r="V918" i="12"/>
  <c r="V919" i="12"/>
  <c r="V920" i="12"/>
  <c r="V921" i="12"/>
  <c r="V922" i="12"/>
  <c r="V923" i="12"/>
  <c r="V924" i="12"/>
  <c r="V925" i="12"/>
  <c r="V926" i="12"/>
  <c r="V927" i="12"/>
  <c r="V928" i="12"/>
  <c r="V929" i="12"/>
  <c r="V930" i="12"/>
  <c r="V931" i="12"/>
  <c r="V932" i="12"/>
  <c r="V933" i="12"/>
  <c r="V934" i="12"/>
  <c r="V935" i="12"/>
  <c r="V936" i="12"/>
  <c r="V937" i="12"/>
  <c r="V938" i="12"/>
  <c r="V939" i="12"/>
  <c r="V940" i="12"/>
  <c r="V941" i="12"/>
  <c r="V942" i="12"/>
  <c r="V943" i="12"/>
  <c r="V944" i="12"/>
  <c r="V945" i="12"/>
  <c r="V946" i="12"/>
  <c r="V947" i="12"/>
  <c r="V948" i="12"/>
  <c r="V949" i="12"/>
  <c r="V950" i="12"/>
  <c r="V951" i="12"/>
  <c r="V952" i="12"/>
  <c r="V953" i="12"/>
  <c r="V954" i="12"/>
  <c r="V955" i="12"/>
  <c r="V956" i="12"/>
  <c r="V957" i="12"/>
  <c r="V958" i="12"/>
  <c r="V959" i="12"/>
  <c r="V960" i="12"/>
  <c r="V961" i="12"/>
  <c r="V962" i="12"/>
  <c r="V963" i="12"/>
  <c r="V964" i="12"/>
  <c r="V965" i="12"/>
  <c r="V966" i="12"/>
  <c r="V967" i="12"/>
  <c r="V968" i="12"/>
  <c r="V969" i="12"/>
  <c r="V970" i="12"/>
  <c r="V971" i="12"/>
  <c r="V972" i="12"/>
  <c r="V973" i="12"/>
  <c r="V974" i="12"/>
  <c r="V975" i="12"/>
  <c r="V976" i="12"/>
  <c r="V977" i="12"/>
  <c r="V978" i="12"/>
  <c r="V979" i="12"/>
  <c r="V980" i="12"/>
  <c r="V981" i="12"/>
  <c r="V982" i="12"/>
  <c r="V983" i="12"/>
  <c r="V984" i="12"/>
  <c r="V985" i="12"/>
  <c r="V986" i="12"/>
  <c r="V987" i="12"/>
  <c r="V988" i="12"/>
  <c r="V989" i="12"/>
  <c r="V990" i="12"/>
  <c r="V991" i="12"/>
  <c r="V992" i="12"/>
  <c r="V993" i="12"/>
  <c r="V994" i="12"/>
  <c r="V995" i="12"/>
  <c r="V996" i="12"/>
  <c r="V997" i="12"/>
  <c r="V998" i="12"/>
  <c r="V999" i="12"/>
  <c r="V1000" i="12"/>
  <c r="V1001" i="12"/>
  <c r="V1002" i="12"/>
  <c r="V1003" i="12"/>
  <c r="V1004" i="12"/>
  <c r="V1005" i="12"/>
  <c r="V1006" i="12"/>
  <c r="V1007" i="12"/>
  <c r="V1008" i="12"/>
  <c r="V1009" i="12"/>
  <c r="V1010" i="12"/>
  <c r="V1011" i="12"/>
  <c r="V1012" i="12"/>
  <c r="V1013" i="12"/>
  <c r="V1014" i="12"/>
  <c r="V1015" i="12"/>
  <c r="V1016" i="12"/>
  <c r="V1017" i="12"/>
  <c r="V1018" i="12"/>
  <c r="V1019" i="12"/>
  <c r="V1020" i="12"/>
  <c r="V1021" i="12"/>
  <c r="V1022" i="12"/>
  <c r="V1023" i="12"/>
  <c r="V1024" i="12"/>
  <c r="V1025" i="12"/>
  <c r="V1026" i="12"/>
  <c r="V1027" i="12"/>
  <c r="V1028" i="12"/>
  <c r="V1029" i="12"/>
  <c r="V1030" i="12"/>
  <c r="V1031" i="12"/>
  <c r="V1032" i="12"/>
  <c r="V1033" i="12"/>
  <c r="V1034" i="12"/>
  <c r="V1035" i="12"/>
  <c r="V1036" i="12"/>
  <c r="V1037" i="12"/>
  <c r="V1038" i="12"/>
  <c r="V1039" i="12"/>
  <c r="V1040" i="12"/>
  <c r="V1041" i="12"/>
  <c r="V1042" i="12"/>
  <c r="V1043" i="12"/>
  <c r="V1044" i="12"/>
  <c r="V1045" i="12"/>
  <c r="V1046" i="12"/>
  <c r="V1047" i="12"/>
  <c r="V1048" i="12"/>
  <c r="V1049" i="12"/>
  <c r="V1050" i="12"/>
  <c r="V1051" i="12"/>
  <c r="V1052" i="12"/>
  <c r="V1053" i="12"/>
  <c r="V1054" i="12"/>
  <c r="V1055" i="12"/>
  <c r="V1056" i="12"/>
  <c r="V1057" i="12"/>
  <c r="V1058" i="12"/>
  <c r="V1059" i="12"/>
  <c r="V1060" i="12"/>
  <c r="V1061" i="12"/>
  <c r="V1062" i="12"/>
  <c r="V1063" i="12"/>
  <c r="V1064" i="12"/>
  <c r="V1065" i="12"/>
  <c r="V1066" i="12"/>
  <c r="V1067" i="12"/>
  <c r="V1068" i="12"/>
  <c r="V1069" i="12"/>
  <c r="V1070" i="12"/>
  <c r="V1071" i="12"/>
  <c r="V1072" i="12"/>
  <c r="V1073" i="12"/>
  <c r="V1074" i="12"/>
  <c r="V1075" i="12"/>
  <c r="V1076" i="12"/>
  <c r="V1077" i="12"/>
  <c r="V1078" i="12"/>
  <c r="V1079" i="12"/>
  <c r="V1080" i="12"/>
  <c r="V1081" i="12"/>
  <c r="V1082" i="12"/>
  <c r="V1083" i="12"/>
  <c r="V1084" i="12"/>
  <c r="V1085" i="12"/>
  <c r="V1086" i="12"/>
  <c r="V1087" i="12"/>
  <c r="V1088" i="12"/>
  <c r="V1089" i="12"/>
  <c r="V1090" i="12"/>
  <c r="V1091" i="12"/>
  <c r="V1092" i="12"/>
  <c r="V1093" i="12"/>
  <c r="V1094" i="12"/>
  <c r="V1095" i="12"/>
  <c r="V1096" i="12"/>
  <c r="V1097" i="12"/>
  <c r="V1098" i="12"/>
  <c r="V1099" i="12"/>
  <c r="V1100" i="12"/>
  <c r="V1101" i="12"/>
  <c r="V1102" i="12"/>
  <c r="V1103" i="12"/>
  <c r="V1104" i="12"/>
  <c r="V1105" i="12"/>
  <c r="V1106" i="12"/>
  <c r="V1107" i="12"/>
  <c r="V1108" i="12"/>
  <c r="V1109" i="12"/>
  <c r="V1110" i="12"/>
  <c r="V1111" i="12"/>
  <c r="V1112" i="12"/>
  <c r="V1113" i="12"/>
  <c r="V1114" i="12"/>
  <c r="V1115" i="12"/>
  <c r="V1116" i="12"/>
  <c r="V1117" i="12"/>
  <c r="V1118" i="12"/>
  <c r="V1119" i="12"/>
  <c r="V1120" i="12"/>
  <c r="V1121" i="12"/>
  <c r="V1122" i="12"/>
  <c r="V1123" i="12"/>
  <c r="V1124" i="12"/>
  <c r="V1125" i="12"/>
  <c r="V1126" i="12"/>
  <c r="V1127" i="12"/>
  <c r="V1128" i="12"/>
  <c r="V1129" i="12"/>
  <c r="V1130" i="12"/>
  <c r="V1131" i="12"/>
  <c r="V1132" i="12"/>
  <c r="V1133" i="12"/>
  <c r="V1136" i="12"/>
  <c r="V1137" i="12"/>
  <c r="V1140" i="12"/>
  <c r="V1141" i="12"/>
  <c r="V1142" i="12"/>
  <c r="V1143" i="12"/>
  <c r="V1144" i="12"/>
  <c r="V1145" i="12"/>
  <c r="V1146" i="12"/>
  <c r="V1147" i="12"/>
  <c r="V1148" i="12"/>
  <c r="V1149" i="12"/>
  <c r="V1150" i="12"/>
  <c r="V1151" i="12"/>
  <c r="V1152" i="12"/>
  <c r="V1153" i="12"/>
  <c r="V1154" i="12"/>
  <c r="V1155" i="12"/>
  <c r="V1156" i="12"/>
  <c r="V1157" i="12"/>
  <c r="V1158" i="12"/>
  <c r="V1159" i="12"/>
  <c r="U5" i="12"/>
  <c r="U6" i="12"/>
  <c r="U7" i="12"/>
  <c r="U8" i="12"/>
  <c r="U9" i="12"/>
  <c r="U10" i="12"/>
  <c r="U11" i="12"/>
  <c r="U12" i="12"/>
  <c r="U13" i="12"/>
  <c r="U14" i="12"/>
  <c r="U15" i="12"/>
  <c r="U16" i="12"/>
  <c r="U17" i="12"/>
  <c r="U18" i="12"/>
  <c r="U19" i="12"/>
  <c r="U20" i="12"/>
  <c r="U21" i="12"/>
  <c r="U22" i="12"/>
  <c r="U23" i="12"/>
  <c r="U24" i="12"/>
  <c r="U25" i="12"/>
  <c r="U26" i="12"/>
  <c r="U27" i="12"/>
  <c r="U28" i="12"/>
  <c r="U29" i="12"/>
  <c r="U30" i="12"/>
  <c r="U31" i="12"/>
  <c r="U32" i="12"/>
  <c r="U33" i="12"/>
  <c r="U34" i="12"/>
  <c r="U35" i="12"/>
  <c r="U36" i="12"/>
  <c r="U37" i="12"/>
  <c r="U38" i="12"/>
  <c r="U39" i="12"/>
  <c r="U40" i="12"/>
  <c r="U41" i="12"/>
  <c r="U42" i="12"/>
  <c r="U43" i="12"/>
  <c r="U44" i="12"/>
  <c r="U45" i="12"/>
  <c r="U46" i="12"/>
  <c r="U47" i="12"/>
  <c r="U48" i="12"/>
  <c r="U49" i="12"/>
  <c r="U50" i="12"/>
  <c r="U51" i="12"/>
  <c r="U52" i="12"/>
  <c r="U53" i="12"/>
  <c r="U54" i="12"/>
  <c r="U55" i="12"/>
  <c r="U56" i="12"/>
  <c r="U57" i="12"/>
  <c r="U58" i="12"/>
  <c r="U59" i="12"/>
  <c r="U60" i="12"/>
  <c r="U61" i="12"/>
  <c r="U62" i="12"/>
  <c r="U63" i="12"/>
  <c r="U64" i="12"/>
  <c r="U65" i="12"/>
  <c r="U66" i="12"/>
  <c r="U67" i="12"/>
  <c r="U68" i="12"/>
  <c r="U69" i="12"/>
  <c r="U70" i="12"/>
  <c r="U71" i="12"/>
  <c r="U72" i="12"/>
  <c r="U73" i="12"/>
  <c r="U74" i="12"/>
  <c r="U75" i="12"/>
  <c r="U76" i="12"/>
  <c r="U77" i="12"/>
  <c r="U78" i="12"/>
  <c r="U79" i="12"/>
  <c r="U80" i="12"/>
  <c r="U81" i="12"/>
  <c r="U82" i="12"/>
  <c r="U83" i="12"/>
  <c r="U84" i="12"/>
  <c r="U85" i="12"/>
  <c r="U86" i="12"/>
  <c r="U87" i="12"/>
  <c r="U88" i="12"/>
  <c r="U89" i="12"/>
  <c r="U90" i="12"/>
  <c r="U91" i="12"/>
  <c r="U92" i="12"/>
  <c r="U93" i="12"/>
  <c r="U94" i="12"/>
  <c r="U95" i="12"/>
  <c r="U96" i="12"/>
  <c r="U97" i="12"/>
  <c r="U98" i="12"/>
  <c r="U99" i="12"/>
  <c r="U100" i="12"/>
  <c r="U101" i="12"/>
  <c r="U102" i="12"/>
  <c r="U103" i="12"/>
  <c r="U104" i="12"/>
  <c r="U105" i="12"/>
  <c r="U106" i="12"/>
  <c r="U107" i="12"/>
  <c r="U108" i="12"/>
  <c r="U109" i="12"/>
  <c r="U110" i="12"/>
  <c r="U111" i="12"/>
  <c r="U112" i="12"/>
  <c r="U113" i="12"/>
  <c r="U114" i="12"/>
  <c r="U115" i="12"/>
  <c r="U116" i="12"/>
  <c r="U117" i="12"/>
  <c r="U118" i="12"/>
  <c r="U119" i="12"/>
  <c r="U120" i="12"/>
  <c r="U121" i="12"/>
  <c r="U122" i="12"/>
  <c r="U123" i="12"/>
  <c r="U124" i="12"/>
  <c r="U125" i="12"/>
  <c r="U126" i="12"/>
  <c r="U127" i="12"/>
  <c r="U128" i="12"/>
  <c r="U129" i="12"/>
  <c r="U130" i="12"/>
  <c r="U131" i="12"/>
  <c r="U132" i="12"/>
  <c r="U133" i="12"/>
  <c r="U134" i="12"/>
  <c r="U135" i="12"/>
  <c r="U136" i="12"/>
  <c r="U137" i="12"/>
  <c r="U138" i="12"/>
  <c r="U139" i="12"/>
  <c r="U140" i="12"/>
  <c r="U141" i="12"/>
  <c r="U142" i="12"/>
  <c r="U143" i="12"/>
  <c r="U144" i="12"/>
  <c r="U145" i="12"/>
  <c r="U146" i="12"/>
  <c r="U147" i="12"/>
  <c r="U148" i="12"/>
  <c r="U149" i="12"/>
  <c r="U150" i="12"/>
  <c r="U151" i="12"/>
  <c r="U152" i="12"/>
  <c r="U153" i="12"/>
  <c r="U154" i="12"/>
  <c r="U155" i="12"/>
  <c r="U156" i="12"/>
  <c r="U157" i="12"/>
  <c r="U158" i="12"/>
  <c r="U159" i="12"/>
  <c r="U160" i="12"/>
  <c r="U161" i="12"/>
  <c r="U162" i="12"/>
  <c r="U163" i="12"/>
  <c r="U164" i="12"/>
  <c r="U165" i="12"/>
  <c r="U166" i="12"/>
  <c r="U167" i="12"/>
  <c r="U168" i="12"/>
  <c r="U169" i="12"/>
  <c r="U170" i="12"/>
  <c r="U171" i="12"/>
  <c r="U172" i="12"/>
  <c r="U173" i="12"/>
  <c r="U174" i="12"/>
  <c r="U175" i="12"/>
  <c r="U176" i="12"/>
  <c r="U177" i="12"/>
  <c r="U178" i="12"/>
  <c r="U179" i="12"/>
  <c r="U180" i="12"/>
  <c r="U181" i="12"/>
  <c r="U182" i="12"/>
  <c r="U183" i="12"/>
  <c r="U184" i="12"/>
  <c r="U185" i="12"/>
  <c r="U186" i="12"/>
  <c r="U187" i="12"/>
  <c r="U188" i="12"/>
  <c r="U189" i="12"/>
  <c r="U190" i="12"/>
  <c r="U191" i="12"/>
  <c r="U192" i="12"/>
  <c r="U193" i="12"/>
  <c r="U194" i="12"/>
  <c r="U195" i="12"/>
  <c r="U196" i="12"/>
  <c r="U197" i="12"/>
  <c r="U198" i="12"/>
  <c r="U199" i="12"/>
  <c r="U200" i="12"/>
  <c r="U201" i="12"/>
  <c r="U202" i="12"/>
  <c r="U203" i="12"/>
  <c r="U204" i="12"/>
  <c r="U205" i="12"/>
  <c r="U206" i="12"/>
  <c r="U207" i="12"/>
  <c r="U208" i="12"/>
  <c r="U209" i="12"/>
  <c r="U210" i="12"/>
  <c r="U211" i="12"/>
  <c r="U212" i="12"/>
  <c r="U213" i="12"/>
  <c r="U214" i="12"/>
  <c r="U215" i="12"/>
  <c r="U216" i="12"/>
  <c r="U217" i="12"/>
  <c r="U218" i="12"/>
  <c r="U219" i="12"/>
  <c r="U220" i="12"/>
  <c r="U221" i="12"/>
  <c r="U222" i="12"/>
  <c r="U223" i="12"/>
  <c r="U224" i="12"/>
  <c r="U225" i="12"/>
  <c r="U226" i="12"/>
  <c r="U227" i="12"/>
  <c r="U228" i="12"/>
  <c r="U229" i="12"/>
  <c r="U230" i="12"/>
  <c r="U231" i="12"/>
  <c r="U232" i="12"/>
  <c r="U233" i="12"/>
  <c r="U234" i="12"/>
  <c r="U235" i="12"/>
  <c r="U236" i="12"/>
  <c r="U237" i="12"/>
  <c r="U238" i="12"/>
  <c r="U239" i="12"/>
  <c r="U240" i="12"/>
  <c r="U241" i="12"/>
  <c r="U242" i="12"/>
  <c r="U243" i="12"/>
  <c r="U244" i="12"/>
  <c r="U245" i="12"/>
  <c r="U246" i="12"/>
  <c r="U247" i="12"/>
  <c r="U248" i="12"/>
  <c r="U249" i="12"/>
  <c r="U250" i="12"/>
  <c r="U251" i="12"/>
  <c r="U252" i="12"/>
  <c r="U253" i="12"/>
  <c r="U254" i="12"/>
  <c r="U255" i="12"/>
  <c r="U256" i="12"/>
  <c r="U257" i="12"/>
  <c r="U258" i="12"/>
  <c r="U259" i="12"/>
  <c r="U260" i="12"/>
  <c r="U261" i="12"/>
  <c r="U262" i="12"/>
  <c r="U263" i="12"/>
  <c r="U264" i="12"/>
  <c r="U265" i="12"/>
  <c r="U266" i="12"/>
  <c r="U267" i="12"/>
  <c r="U268" i="12"/>
  <c r="U269" i="12"/>
  <c r="U270" i="12"/>
  <c r="U271" i="12"/>
  <c r="U272" i="12"/>
  <c r="U273" i="12"/>
  <c r="U274" i="12"/>
  <c r="U275" i="12"/>
  <c r="U276" i="12"/>
  <c r="U277" i="12"/>
  <c r="U278" i="12"/>
  <c r="U279" i="12"/>
  <c r="U280" i="12"/>
  <c r="U281" i="12"/>
  <c r="U282" i="12"/>
  <c r="U283" i="12"/>
  <c r="U284" i="12"/>
  <c r="U285" i="12"/>
  <c r="U286" i="12"/>
  <c r="U287" i="12"/>
  <c r="U288" i="12"/>
  <c r="U289" i="12"/>
  <c r="U290" i="12"/>
  <c r="U291" i="12"/>
  <c r="U292" i="12"/>
  <c r="U293" i="12"/>
  <c r="U294" i="12"/>
  <c r="U295" i="12"/>
  <c r="U296" i="12"/>
  <c r="U297" i="12"/>
  <c r="U298" i="12"/>
  <c r="U299" i="12"/>
  <c r="U300" i="12"/>
  <c r="U301" i="12"/>
  <c r="U302" i="12"/>
  <c r="U303" i="12"/>
  <c r="U304" i="12"/>
  <c r="U305" i="12"/>
  <c r="U306" i="12"/>
  <c r="U307" i="12"/>
  <c r="U308" i="12"/>
  <c r="U309" i="12"/>
  <c r="U310" i="12"/>
  <c r="U311" i="12"/>
  <c r="U312" i="12"/>
  <c r="U313" i="12"/>
  <c r="U314" i="12"/>
  <c r="U315" i="12"/>
  <c r="U316" i="12"/>
  <c r="U317" i="12"/>
  <c r="U318" i="12"/>
  <c r="U319" i="12"/>
  <c r="U320" i="12"/>
  <c r="U321" i="12"/>
  <c r="U322" i="12"/>
  <c r="U323" i="12"/>
  <c r="U324" i="12"/>
  <c r="U325" i="12"/>
  <c r="U326" i="12"/>
  <c r="U327" i="12"/>
  <c r="U328" i="12"/>
  <c r="U329" i="12"/>
  <c r="U330" i="12"/>
  <c r="U331" i="12"/>
  <c r="U332" i="12"/>
  <c r="U333" i="12"/>
  <c r="U334" i="12"/>
  <c r="U335" i="12"/>
  <c r="U336" i="12"/>
  <c r="U337" i="12"/>
  <c r="U338" i="12"/>
  <c r="U339" i="12"/>
  <c r="U340" i="12"/>
  <c r="U341" i="12"/>
  <c r="U342" i="12"/>
  <c r="U343" i="12"/>
  <c r="U344" i="12"/>
  <c r="U345" i="12"/>
  <c r="U346" i="12"/>
  <c r="U347" i="12"/>
  <c r="U348" i="12"/>
  <c r="U349" i="12"/>
  <c r="U350" i="12"/>
  <c r="U351" i="12"/>
  <c r="U352" i="12"/>
  <c r="U353" i="12"/>
  <c r="U354" i="12"/>
  <c r="U355" i="12"/>
  <c r="U356" i="12"/>
  <c r="U357" i="12"/>
  <c r="U358" i="12"/>
  <c r="U359" i="12"/>
  <c r="U360" i="12"/>
  <c r="U361" i="12"/>
  <c r="U362" i="12"/>
  <c r="U363" i="12"/>
  <c r="U364" i="12"/>
  <c r="U365" i="12"/>
  <c r="U366" i="12"/>
  <c r="U367" i="12"/>
  <c r="U368" i="12"/>
  <c r="U369" i="12"/>
  <c r="U370" i="12"/>
  <c r="U371" i="12"/>
  <c r="U372" i="12"/>
  <c r="U373" i="12"/>
  <c r="U374" i="12"/>
  <c r="U375" i="12"/>
  <c r="U376" i="12"/>
  <c r="U377" i="12"/>
  <c r="U378" i="12"/>
  <c r="U379" i="12"/>
  <c r="U380" i="12"/>
  <c r="U381" i="12"/>
  <c r="U382" i="12"/>
  <c r="U383" i="12"/>
  <c r="U384" i="12"/>
  <c r="U385" i="12"/>
  <c r="U386" i="12"/>
  <c r="U387" i="12"/>
  <c r="U388" i="12"/>
  <c r="U389" i="12"/>
  <c r="U390" i="12"/>
  <c r="U391" i="12"/>
  <c r="U392" i="12"/>
  <c r="U393" i="12"/>
  <c r="U394" i="12"/>
  <c r="U395" i="12"/>
  <c r="U396" i="12"/>
  <c r="U397" i="12"/>
  <c r="U398" i="12"/>
  <c r="U399" i="12"/>
  <c r="U400" i="12"/>
  <c r="U401" i="12"/>
  <c r="U402" i="12"/>
  <c r="U403" i="12"/>
  <c r="U404" i="12"/>
  <c r="U405" i="12"/>
  <c r="U406" i="12"/>
  <c r="U407" i="12"/>
  <c r="U408" i="12"/>
  <c r="U409" i="12"/>
  <c r="U410" i="12"/>
  <c r="U411" i="12"/>
  <c r="U412" i="12"/>
  <c r="U413" i="12"/>
  <c r="U414" i="12"/>
  <c r="U415" i="12"/>
  <c r="U416" i="12"/>
  <c r="U417" i="12"/>
  <c r="U418" i="12"/>
  <c r="U419" i="12"/>
  <c r="U420" i="12"/>
  <c r="U421" i="12"/>
  <c r="U422" i="12"/>
  <c r="U423" i="12"/>
  <c r="U424" i="12"/>
  <c r="U425" i="12"/>
  <c r="U426" i="12"/>
  <c r="U427" i="12"/>
  <c r="U428" i="12"/>
  <c r="U429" i="12"/>
  <c r="U430" i="12"/>
  <c r="U431" i="12"/>
  <c r="U432" i="12"/>
  <c r="U433" i="12"/>
  <c r="U434" i="12"/>
  <c r="U435" i="12"/>
  <c r="U436" i="12"/>
  <c r="U437" i="12"/>
  <c r="U438" i="12"/>
  <c r="U439" i="12"/>
  <c r="U440" i="12"/>
  <c r="U441" i="12"/>
  <c r="U442" i="12"/>
  <c r="U443" i="12"/>
  <c r="U444" i="12"/>
  <c r="U445" i="12"/>
  <c r="U446" i="12"/>
  <c r="U447" i="12"/>
  <c r="U448" i="12"/>
  <c r="U449" i="12"/>
  <c r="U450" i="12"/>
  <c r="U451" i="12"/>
  <c r="U452" i="12"/>
  <c r="U453" i="12"/>
  <c r="U454" i="12"/>
  <c r="U455" i="12"/>
  <c r="U456" i="12"/>
  <c r="U457" i="12"/>
  <c r="U458" i="12"/>
  <c r="U459" i="12"/>
  <c r="U460" i="12"/>
  <c r="U461" i="12"/>
  <c r="U462" i="12"/>
  <c r="U463" i="12"/>
  <c r="U464" i="12"/>
  <c r="U465" i="12"/>
  <c r="U466" i="12"/>
  <c r="U467" i="12"/>
  <c r="U468" i="12"/>
  <c r="U469" i="12"/>
  <c r="U470" i="12"/>
  <c r="U471" i="12"/>
  <c r="U472" i="12"/>
  <c r="U473" i="12"/>
  <c r="U474" i="12"/>
  <c r="U475" i="12"/>
  <c r="U476" i="12"/>
  <c r="U477" i="12"/>
  <c r="U478" i="12"/>
  <c r="U479" i="12"/>
  <c r="U480" i="12"/>
  <c r="U481" i="12"/>
  <c r="U482" i="12"/>
  <c r="U483" i="12"/>
  <c r="U484" i="12"/>
  <c r="U485" i="12"/>
  <c r="U486" i="12"/>
  <c r="U487" i="12"/>
  <c r="U488" i="12"/>
  <c r="U489" i="12"/>
  <c r="U492" i="12"/>
  <c r="U493" i="12"/>
  <c r="U494" i="12"/>
  <c r="U495" i="12"/>
  <c r="U496" i="12"/>
  <c r="U497" i="12"/>
  <c r="U498" i="12"/>
  <c r="U499" i="12"/>
  <c r="U500" i="12"/>
  <c r="U501" i="12"/>
  <c r="U502" i="12"/>
  <c r="U503" i="12"/>
  <c r="U504" i="12"/>
  <c r="U505" i="12"/>
  <c r="U506" i="12"/>
  <c r="U507" i="12"/>
  <c r="U508" i="12"/>
  <c r="U509" i="12"/>
  <c r="U510" i="12"/>
  <c r="U511" i="12"/>
  <c r="U512" i="12"/>
  <c r="U513" i="12"/>
  <c r="U514" i="12"/>
  <c r="U515" i="12"/>
  <c r="U516" i="12"/>
  <c r="U517" i="12"/>
  <c r="U518" i="12"/>
  <c r="U519" i="12"/>
  <c r="U520" i="12"/>
  <c r="U521" i="12"/>
  <c r="U522" i="12"/>
  <c r="U523" i="12"/>
  <c r="U524" i="12"/>
  <c r="U525" i="12"/>
  <c r="U526" i="12"/>
  <c r="U527" i="12"/>
  <c r="U528" i="12"/>
  <c r="U529" i="12"/>
  <c r="U530" i="12"/>
  <c r="U531" i="12"/>
  <c r="U532" i="12"/>
  <c r="U533" i="12"/>
  <c r="U534" i="12"/>
  <c r="U535" i="12"/>
  <c r="U536" i="12"/>
  <c r="U537" i="12"/>
  <c r="U538" i="12"/>
  <c r="U539" i="12"/>
  <c r="U540" i="12"/>
  <c r="U541" i="12"/>
  <c r="U542" i="12"/>
  <c r="U543" i="12"/>
  <c r="U544" i="12"/>
  <c r="U545" i="12"/>
  <c r="U546" i="12"/>
  <c r="U547" i="12"/>
  <c r="U548" i="12"/>
  <c r="U549" i="12"/>
  <c r="U550" i="12"/>
  <c r="U551" i="12"/>
  <c r="U552" i="12"/>
  <c r="U553" i="12"/>
  <c r="U554" i="12"/>
  <c r="U555" i="12"/>
  <c r="U556" i="12"/>
  <c r="U557" i="12"/>
  <c r="U558" i="12"/>
  <c r="U559" i="12"/>
  <c r="U560" i="12"/>
  <c r="U561" i="12"/>
  <c r="U562" i="12"/>
  <c r="U563" i="12"/>
  <c r="U564" i="12"/>
  <c r="U565" i="12"/>
  <c r="U566" i="12"/>
  <c r="U567" i="12"/>
  <c r="U568" i="12"/>
  <c r="U569" i="12"/>
  <c r="U570" i="12"/>
  <c r="U571" i="12"/>
  <c r="U572" i="12"/>
  <c r="U573" i="12"/>
  <c r="U574" i="12"/>
  <c r="U575" i="12"/>
  <c r="U576" i="12"/>
  <c r="U577" i="12"/>
  <c r="U578" i="12"/>
  <c r="U579" i="12"/>
  <c r="U580" i="12"/>
  <c r="U581" i="12"/>
  <c r="U582" i="12"/>
  <c r="U583" i="12"/>
  <c r="U584" i="12"/>
  <c r="U585" i="12"/>
  <c r="U586" i="12"/>
  <c r="U587" i="12"/>
  <c r="U588" i="12"/>
  <c r="U589" i="12"/>
  <c r="U590" i="12"/>
  <c r="U591" i="12"/>
  <c r="U592" i="12"/>
  <c r="U593" i="12"/>
  <c r="U594" i="12"/>
  <c r="U595" i="12"/>
  <c r="U596" i="12"/>
  <c r="U597" i="12"/>
  <c r="U598" i="12"/>
  <c r="U599" i="12"/>
  <c r="U600" i="12"/>
  <c r="U601" i="12"/>
  <c r="U602" i="12"/>
  <c r="U603" i="12"/>
  <c r="U604" i="12"/>
  <c r="U605" i="12"/>
  <c r="U606" i="12"/>
  <c r="U607" i="12"/>
  <c r="U608" i="12"/>
  <c r="U609" i="12"/>
  <c r="U610" i="12"/>
  <c r="U611" i="12"/>
  <c r="U612" i="12"/>
  <c r="U613" i="12"/>
  <c r="U614" i="12"/>
  <c r="U615" i="12"/>
  <c r="U616" i="12"/>
  <c r="U617" i="12"/>
  <c r="U618" i="12"/>
  <c r="U619" i="12"/>
  <c r="U620" i="12"/>
  <c r="U621" i="12"/>
  <c r="U622" i="12"/>
  <c r="U623" i="12"/>
  <c r="U624" i="12"/>
  <c r="U625" i="12"/>
  <c r="U626" i="12"/>
  <c r="U627" i="12"/>
  <c r="U628" i="12"/>
  <c r="U629" i="12"/>
  <c r="U630" i="12"/>
  <c r="U631" i="12"/>
  <c r="U632" i="12"/>
  <c r="U633" i="12"/>
  <c r="U634" i="12"/>
  <c r="U635" i="12"/>
  <c r="U636" i="12"/>
  <c r="U637" i="12"/>
  <c r="U638" i="12"/>
  <c r="U639" i="12"/>
  <c r="U640" i="12"/>
  <c r="U641" i="12"/>
  <c r="U642" i="12"/>
  <c r="U643" i="12"/>
  <c r="U644" i="12"/>
  <c r="U645" i="12"/>
  <c r="U646" i="12"/>
  <c r="U647" i="12"/>
  <c r="U648" i="12"/>
  <c r="U649" i="12"/>
  <c r="U650" i="12"/>
  <c r="U651" i="12"/>
  <c r="U652" i="12"/>
  <c r="U653" i="12"/>
  <c r="U654" i="12"/>
  <c r="U655" i="12"/>
  <c r="U656" i="12"/>
  <c r="U657" i="12"/>
  <c r="U658" i="12"/>
  <c r="U659" i="12"/>
  <c r="U660" i="12"/>
  <c r="U661" i="12"/>
  <c r="U662" i="12"/>
  <c r="U663" i="12"/>
  <c r="U664" i="12"/>
  <c r="U665" i="12"/>
  <c r="U666" i="12"/>
  <c r="U667" i="12"/>
  <c r="U668" i="12"/>
  <c r="U669" i="12"/>
  <c r="U670" i="12"/>
  <c r="U671" i="12"/>
  <c r="U672" i="12"/>
  <c r="U673" i="12"/>
  <c r="U674" i="12"/>
  <c r="U675" i="12"/>
  <c r="U676" i="12"/>
  <c r="U677" i="12"/>
  <c r="U678" i="12"/>
  <c r="U679" i="12"/>
  <c r="U680" i="12"/>
  <c r="U681" i="12"/>
  <c r="U682" i="12"/>
  <c r="U683" i="12"/>
  <c r="U684" i="12"/>
  <c r="U685" i="12"/>
  <c r="U686" i="12"/>
  <c r="U687" i="12"/>
  <c r="U688" i="12"/>
  <c r="U689" i="12"/>
  <c r="U690" i="12"/>
  <c r="U691" i="12"/>
  <c r="U692" i="12"/>
  <c r="U693" i="12"/>
  <c r="U694" i="12"/>
  <c r="U695" i="12"/>
  <c r="U696" i="12"/>
  <c r="U697" i="12"/>
  <c r="U698" i="12"/>
  <c r="U699" i="12"/>
  <c r="U700" i="12"/>
  <c r="U701" i="12"/>
  <c r="U702" i="12"/>
  <c r="U703" i="12"/>
  <c r="U704" i="12"/>
  <c r="U705" i="12"/>
  <c r="U706" i="12"/>
  <c r="U707" i="12"/>
  <c r="U708" i="12"/>
  <c r="U709" i="12"/>
  <c r="U710" i="12"/>
  <c r="U711" i="12"/>
  <c r="U712" i="12"/>
  <c r="U713" i="12"/>
  <c r="U714" i="12"/>
  <c r="U715" i="12"/>
  <c r="U716" i="12"/>
  <c r="U717" i="12"/>
  <c r="U718" i="12"/>
  <c r="U730" i="12"/>
  <c r="U731" i="12"/>
  <c r="U732" i="12"/>
  <c r="U733" i="12"/>
  <c r="U734" i="12"/>
  <c r="U735" i="12"/>
  <c r="U736" i="12"/>
  <c r="U737" i="12"/>
  <c r="U738" i="12"/>
  <c r="U739" i="12"/>
  <c r="U740" i="12"/>
  <c r="U741" i="12"/>
  <c r="U742" i="12"/>
  <c r="U743" i="12"/>
  <c r="U744" i="12"/>
  <c r="U745" i="12"/>
  <c r="U746" i="12"/>
  <c r="U747" i="12"/>
  <c r="U748" i="12"/>
  <c r="U749" i="12"/>
  <c r="U750" i="12"/>
  <c r="U751" i="12"/>
  <c r="U752" i="12"/>
  <c r="U753" i="12"/>
  <c r="U754" i="12"/>
  <c r="U755" i="12"/>
  <c r="U756" i="12"/>
  <c r="U757" i="12"/>
  <c r="U758" i="12"/>
  <c r="U759" i="12"/>
  <c r="U760" i="12"/>
  <c r="U761" i="12"/>
  <c r="U762" i="12"/>
  <c r="U763" i="12"/>
  <c r="U764" i="12"/>
  <c r="U765" i="12"/>
  <c r="U766" i="12"/>
  <c r="U767" i="12"/>
  <c r="U768" i="12"/>
  <c r="U769" i="12"/>
  <c r="U770" i="12"/>
  <c r="U771" i="12"/>
  <c r="U772" i="12"/>
  <c r="U773" i="12"/>
  <c r="U774" i="12"/>
  <c r="U775" i="12"/>
  <c r="U776" i="12"/>
  <c r="U777" i="12"/>
  <c r="U778" i="12"/>
  <c r="U779" i="12"/>
  <c r="U780" i="12"/>
  <c r="U781" i="12"/>
  <c r="U782" i="12"/>
  <c r="U783" i="12"/>
  <c r="U784" i="12"/>
  <c r="U785" i="12"/>
  <c r="U786" i="12"/>
  <c r="U787" i="12"/>
  <c r="U788" i="12"/>
  <c r="U789" i="12"/>
  <c r="U790" i="12"/>
  <c r="U791" i="12"/>
  <c r="U792" i="12"/>
  <c r="U793" i="12"/>
  <c r="U794" i="12"/>
  <c r="U795" i="12"/>
  <c r="U796" i="12"/>
  <c r="U797" i="12"/>
  <c r="U798" i="12"/>
  <c r="U799" i="12"/>
  <c r="U800" i="12"/>
  <c r="U801" i="12"/>
  <c r="U802" i="12"/>
  <c r="U803" i="12"/>
  <c r="U804" i="12"/>
  <c r="U805" i="12"/>
  <c r="U806" i="12"/>
  <c r="U807" i="12"/>
  <c r="U808" i="12"/>
  <c r="U809" i="12"/>
  <c r="U810" i="12"/>
  <c r="U811" i="12"/>
  <c r="U812" i="12"/>
  <c r="U813" i="12"/>
  <c r="U814" i="12"/>
  <c r="U815" i="12"/>
  <c r="U816" i="12"/>
  <c r="U817" i="12"/>
  <c r="U818" i="12"/>
  <c r="U819" i="12"/>
  <c r="U820" i="12"/>
  <c r="U821" i="12"/>
  <c r="U822" i="12"/>
  <c r="U823" i="12"/>
  <c r="U824" i="12"/>
  <c r="U825" i="12"/>
  <c r="U826" i="12"/>
  <c r="U827" i="12"/>
  <c r="U828" i="12"/>
  <c r="U829" i="12"/>
  <c r="U830" i="12"/>
  <c r="U831" i="12"/>
  <c r="U832" i="12"/>
  <c r="U833" i="12"/>
  <c r="U834" i="12"/>
  <c r="U835" i="12"/>
  <c r="U836" i="12"/>
  <c r="U837" i="12"/>
  <c r="U838" i="12"/>
  <c r="U839" i="12"/>
  <c r="U840" i="12"/>
  <c r="U841" i="12"/>
  <c r="U842" i="12"/>
  <c r="U843" i="12"/>
  <c r="U844" i="12"/>
  <c r="U845" i="12"/>
  <c r="U846" i="12"/>
  <c r="U847" i="12"/>
  <c r="U848" i="12"/>
  <c r="U849" i="12"/>
  <c r="U850" i="12"/>
  <c r="U851" i="12"/>
  <c r="U852" i="12"/>
  <c r="U853" i="12"/>
  <c r="U854" i="12"/>
  <c r="U855" i="12"/>
  <c r="U856" i="12"/>
  <c r="U857" i="12"/>
  <c r="U858" i="12"/>
  <c r="U859" i="12"/>
  <c r="U860" i="12"/>
  <c r="U861" i="12"/>
  <c r="U862" i="12"/>
  <c r="U863" i="12"/>
  <c r="U864" i="12"/>
  <c r="U865" i="12"/>
  <c r="U866" i="12"/>
  <c r="U867" i="12"/>
  <c r="U868" i="12"/>
  <c r="U869" i="12"/>
  <c r="U870" i="12"/>
  <c r="U871" i="12"/>
  <c r="U872" i="12"/>
  <c r="U873" i="12"/>
  <c r="U874" i="12"/>
  <c r="U875" i="12"/>
  <c r="U876" i="12"/>
  <c r="U877" i="12"/>
  <c r="U878" i="12"/>
  <c r="U879" i="12"/>
  <c r="U880" i="12"/>
  <c r="U881" i="12"/>
  <c r="U882" i="12"/>
  <c r="U883" i="12"/>
  <c r="U884" i="12"/>
  <c r="U885" i="12"/>
  <c r="U886" i="12"/>
  <c r="U887" i="12"/>
  <c r="U888" i="12"/>
  <c r="U889" i="12"/>
  <c r="U890" i="12"/>
  <c r="U891" i="12"/>
  <c r="U892" i="12"/>
  <c r="U893" i="12"/>
  <c r="U894" i="12"/>
  <c r="U895" i="12"/>
  <c r="U896" i="12"/>
  <c r="U897" i="12"/>
  <c r="U898" i="12"/>
  <c r="U899" i="12"/>
  <c r="U900" i="12"/>
  <c r="U901" i="12"/>
  <c r="U902" i="12"/>
  <c r="U903" i="12"/>
  <c r="U904" i="12"/>
  <c r="U905" i="12"/>
  <c r="U906" i="12"/>
  <c r="U907" i="12"/>
  <c r="U908" i="12"/>
  <c r="U909" i="12"/>
  <c r="U910" i="12"/>
  <c r="U911" i="12"/>
  <c r="U912" i="12"/>
  <c r="U913" i="12"/>
  <c r="U914" i="12"/>
  <c r="U915" i="12"/>
  <c r="U916" i="12"/>
  <c r="U917" i="12"/>
  <c r="U918" i="12"/>
  <c r="U919" i="12"/>
  <c r="U920" i="12"/>
  <c r="U921" i="12"/>
  <c r="U922" i="12"/>
  <c r="U923" i="12"/>
  <c r="U924" i="12"/>
  <c r="U925" i="12"/>
  <c r="U926" i="12"/>
  <c r="U927" i="12"/>
  <c r="U928" i="12"/>
  <c r="U929" i="12"/>
  <c r="U930" i="12"/>
  <c r="U931" i="12"/>
  <c r="U932" i="12"/>
  <c r="U933" i="12"/>
  <c r="U934" i="12"/>
  <c r="U935" i="12"/>
  <c r="U936" i="12"/>
  <c r="U937" i="12"/>
  <c r="U938" i="12"/>
  <c r="U939" i="12"/>
  <c r="U940" i="12"/>
  <c r="U941" i="12"/>
  <c r="U942" i="12"/>
  <c r="U943" i="12"/>
  <c r="U944" i="12"/>
  <c r="U945" i="12"/>
  <c r="U946" i="12"/>
  <c r="U947" i="12"/>
  <c r="U948" i="12"/>
  <c r="U949" i="12"/>
  <c r="U950" i="12"/>
  <c r="U951" i="12"/>
  <c r="U952" i="12"/>
  <c r="U953" i="12"/>
  <c r="U954" i="12"/>
  <c r="U955" i="12"/>
  <c r="U956" i="12"/>
  <c r="U957" i="12"/>
  <c r="U958" i="12"/>
  <c r="U959" i="12"/>
  <c r="U960" i="12"/>
  <c r="U961" i="12"/>
  <c r="U962" i="12"/>
  <c r="U963" i="12"/>
  <c r="U964" i="12"/>
  <c r="U965" i="12"/>
  <c r="U966" i="12"/>
  <c r="U967" i="12"/>
  <c r="U968" i="12"/>
  <c r="U969" i="12"/>
  <c r="U970" i="12"/>
  <c r="U971" i="12"/>
  <c r="U972" i="12"/>
  <c r="U973" i="12"/>
  <c r="U974" i="12"/>
  <c r="U975" i="12"/>
  <c r="U976" i="12"/>
  <c r="U977" i="12"/>
  <c r="U978" i="12"/>
  <c r="U979" i="12"/>
  <c r="U980" i="12"/>
  <c r="U981" i="12"/>
  <c r="U982" i="12"/>
  <c r="U983" i="12"/>
  <c r="U984" i="12"/>
  <c r="U985" i="12"/>
  <c r="U986" i="12"/>
  <c r="U987" i="12"/>
  <c r="U988" i="12"/>
  <c r="U989" i="12"/>
  <c r="U990" i="12"/>
  <c r="U991" i="12"/>
  <c r="U992" i="12"/>
  <c r="U993" i="12"/>
  <c r="U994" i="12"/>
  <c r="U995" i="12"/>
  <c r="U996" i="12"/>
  <c r="U997" i="12"/>
  <c r="U998" i="12"/>
  <c r="U999" i="12"/>
  <c r="U1000" i="12"/>
  <c r="U1001" i="12"/>
  <c r="U1002" i="12"/>
  <c r="U1003" i="12"/>
  <c r="U1004" i="12"/>
  <c r="U1005" i="12"/>
  <c r="U1006" i="12"/>
  <c r="U1007" i="12"/>
  <c r="U1008" i="12"/>
  <c r="U1009" i="12"/>
  <c r="U1010" i="12"/>
  <c r="U1011" i="12"/>
  <c r="U1012" i="12"/>
  <c r="U1013" i="12"/>
  <c r="U1014" i="12"/>
  <c r="U1015" i="12"/>
  <c r="U1016" i="12"/>
  <c r="U1017" i="12"/>
  <c r="U1018" i="12"/>
  <c r="U1019" i="12"/>
  <c r="U1020" i="12"/>
  <c r="U1021" i="12"/>
  <c r="U1022" i="12"/>
  <c r="U1023" i="12"/>
  <c r="U1024" i="12"/>
  <c r="U1025" i="12"/>
  <c r="U1026" i="12"/>
  <c r="U1027" i="12"/>
  <c r="U1028" i="12"/>
  <c r="U1029" i="12"/>
  <c r="U1030" i="12"/>
  <c r="U1031" i="12"/>
  <c r="U1032" i="12"/>
  <c r="U1033" i="12"/>
  <c r="U1034" i="12"/>
  <c r="U1035" i="12"/>
  <c r="U1036" i="12"/>
  <c r="U1037" i="12"/>
  <c r="U1038" i="12"/>
  <c r="U1039" i="12"/>
  <c r="U1040" i="12"/>
  <c r="U1041" i="12"/>
  <c r="U1042" i="12"/>
  <c r="U1043" i="12"/>
  <c r="U1044" i="12"/>
  <c r="U1045" i="12"/>
  <c r="U1046" i="12"/>
  <c r="U1047" i="12"/>
  <c r="U1048" i="12"/>
  <c r="U1049" i="12"/>
  <c r="U1050" i="12"/>
  <c r="U1051" i="12"/>
  <c r="U1052" i="12"/>
  <c r="U1053" i="12"/>
  <c r="U1054" i="12"/>
  <c r="U1055" i="12"/>
  <c r="U1056" i="12"/>
  <c r="U1057" i="12"/>
  <c r="U1058" i="12"/>
  <c r="U1059" i="12"/>
  <c r="U1060" i="12"/>
  <c r="U1061" i="12"/>
  <c r="U1062" i="12"/>
  <c r="U1063" i="12"/>
  <c r="U1064" i="12"/>
  <c r="U1065" i="12"/>
  <c r="U1066" i="12"/>
  <c r="U1067" i="12"/>
  <c r="U1068" i="12"/>
  <c r="U1069" i="12"/>
  <c r="U1070" i="12"/>
  <c r="U1071" i="12"/>
  <c r="U1072" i="12"/>
  <c r="U1073" i="12"/>
  <c r="U1074" i="12"/>
  <c r="U1075" i="12"/>
  <c r="U1076" i="12"/>
  <c r="U1077" i="12"/>
  <c r="U1078" i="12"/>
  <c r="U1079" i="12"/>
  <c r="U1080" i="12"/>
  <c r="U1081" i="12"/>
  <c r="U1082" i="12"/>
  <c r="U1083" i="12"/>
  <c r="U1084" i="12"/>
  <c r="U1085" i="12"/>
  <c r="U1086" i="12"/>
  <c r="U1087" i="12"/>
  <c r="U1088" i="12"/>
  <c r="U1089" i="12"/>
  <c r="U1090" i="12"/>
  <c r="U1091" i="12"/>
  <c r="U1092" i="12"/>
  <c r="U1093" i="12"/>
  <c r="U1094" i="12"/>
  <c r="U1095" i="12"/>
  <c r="U1096" i="12"/>
  <c r="U1097" i="12"/>
  <c r="U1098" i="12"/>
  <c r="U1099" i="12"/>
  <c r="U1100" i="12"/>
  <c r="U1101" i="12"/>
  <c r="U1102" i="12"/>
  <c r="U1103" i="12"/>
  <c r="U1104" i="12"/>
  <c r="U1105" i="12"/>
  <c r="U1106" i="12"/>
  <c r="U1107" i="12"/>
  <c r="U1108" i="12"/>
  <c r="U1109" i="12"/>
  <c r="U1110" i="12"/>
  <c r="U1111" i="12"/>
  <c r="U1112" i="12"/>
  <c r="U1113" i="12"/>
  <c r="U1114" i="12"/>
  <c r="U1115" i="12"/>
  <c r="U1116" i="12"/>
  <c r="U1117" i="12"/>
  <c r="U1118" i="12"/>
  <c r="U1119" i="12"/>
  <c r="U1120" i="12"/>
  <c r="U1121" i="12"/>
  <c r="U1122" i="12"/>
  <c r="U1123" i="12"/>
  <c r="U1124" i="12"/>
  <c r="U1125" i="12"/>
  <c r="U1126" i="12"/>
  <c r="U1127" i="12"/>
  <c r="U1128" i="12"/>
  <c r="U1129" i="12"/>
  <c r="U1130" i="12"/>
  <c r="U1131" i="12"/>
  <c r="U1132" i="12"/>
  <c r="U1133" i="12"/>
  <c r="U1136" i="12"/>
  <c r="U1137" i="12"/>
  <c r="U1140" i="12"/>
  <c r="U1141" i="12"/>
  <c r="U1142" i="12"/>
  <c r="U1143" i="12"/>
  <c r="U1144" i="12"/>
  <c r="U1145" i="12"/>
  <c r="U1146" i="12"/>
  <c r="U1147" i="12"/>
  <c r="U1148" i="12"/>
  <c r="U1149" i="12"/>
  <c r="U1150" i="12"/>
  <c r="U1151" i="12"/>
  <c r="U1152" i="12"/>
  <c r="U1153" i="12"/>
  <c r="U1154" i="12"/>
  <c r="U1155" i="12"/>
  <c r="U1156" i="12"/>
  <c r="U1157" i="12"/>
  <c r="U1158" i="12"/>
  <c r="U1159" i="12"/>
  <c r="T5" i="12"/>
  <c r="T6" i="12"/>
  <c r="T7" i="12"/>
  <c r="T8" i="12"/>
  <c r="T9" i="12"/>
  <c r="T10" i="12"/>
  <c r="T11" i="12"/>
  <c r="T12" i="12"/>
  <c r="T13" i="12"/>
  <c r="T14" i="12"/>
  <c r="T15" i="12"/>
  <c r="T16" i="12"/>
  <c r="T17" i="12"/>
  <c r="T18" i="12"/>
  <c r="T19" i="12"/>
  <c r="T20" i="12"/>
  <c r="T21" i="12"/>
  <c r="T22" i="12"/>
  <c r="T23" i="12"/>
  <c r="T24" i="12"/>
  <c r="T25" i="12"/>
  <c r="T26" i="12"/>
  <c r="T27" i="12"/>
  <c r="T28" i="12"/>
  <c r="T29" i="12"/>
  <c r="T30" i="12"/>
  <c r="T31" i="12"/>
  <c r="T32" i="12"/>
  <c r="T33" i="12"/>
  <c r="T34" i="12"/>
  <c r="T35" i="12"/>
  <c r="T36" i="12"/>
  <c r="T37" i="12"/>
  <c r="T38" i="12"/>
  <c r="T39" i="12"/>
  <c r="T40" i="12"/>
  <c r="T41" i="12"/>
  <c r="T42" i="12"/>
  <c r="T43" i="12"/>
  <c r="T44" i="12"/>
  <c r="T45" i="12"/>
  <c r="T46" i="12"/>
  <c r="T47" i="12"/>
  <c r="T48" i="12"/>
  <c r="T49" i="12"/>
  <c r="T50" i="12"/>
  <c r="T51" i="12"/>
  <c r="T52" i="12"/>
  <c r="T53" i="12"/>
  <c r="T54" i="12"/>
  <c r="T55" i="12"/>
  <c r="T56" i="12"/>
  <c r="T57" i="12"/>
  <c r="T58" i="12"/>
  <c r="T59" i="12"/>
  <c r="T60" i="12"/>
  <c r="T61" i="12"/>
  <c r="T62" i="12"/>
  <c r="T63" i="12"/>
  <c r="T64" i="12"/>
  <c r="T65" i="12"/>
  <c r="T66" i="12"/>
  <c r="T67" i="12"/>
  <c r="T68" i="12"/>
  <c r="T69" i="12"/>
  <c r="T70" i="12"/>
  <c r="T71" i="12"/>
  <c r="T72" i="12"/>
  <c r="T73" i="12"/>
  <c r="T74" i="12"/>
  <c r="T75" i="12"/>
  <c r="T76" i="12"/>
  <c r="T77" i="12"/>
  <c r="T78" i="12"/>
  <c r="T79" i="12"/>
  <c r="T80" i="12"/>
  <c r="T81" i="12"/>
  <c r="T82" i="12"/>
  <c r="T83" i="12"/>
  <c r="T84" i="12"/>
  <c r="T85" i="12"/>
  <c r="T86" i="12"/>
  <c r="T87" i="12"/>
  <c r="T88" i="12"/>
  <c r="T89" i="12"/>
  <c r="T90" i="12"/>
  <c r="T91" i="12"/>
  <c r="T92" i="12"/>
  <c r="T93" i="12"/>
  <c r="T94" i="12"/>
  <c r="T95" i="12"/>
  <c r="T96" i="12"/>
  <c r="T97" i="12"/>
  <c r="T98" i="12"/>
  <c r="T99" i="12"/>
  <c r="T100" i="12"/>
  <c r="T101" i="12"/>
  <c r="T102" i="12"/>
  <c r="T103" i="12"/>
  <c r="T104" i="12"/>
  <c r="T105" i="12"/>
  <c r="T106" i="12"/>
  <c r="T107" i="12"/>
  <c r="T108" i="12"/>
  <c r="T109" i="12"/>
  <c r="T110" i="12"/>
  <c r="T111" i="12"/>
  <c r="T112" i="12"/>
  <c r="T113" i="12"/>
  <c r="T114" i="12"/>
  <c r="T115" i="12"/>
  <c r="T116" i="12"/>
  <c r="T117" i="12"/>
  <c r="T118" i="12"/>
  <c r="T119" i="12"/>
  <c r="T120" i="12"/>
  <c r="T121" i="12"/>
  <c r="T122" i="12"/>
  <c r="T123" i="12"/>
  <c r="T124" i="12"/>
  <c r="T125" i="12"/>
  <c r="T126" i="12"/>
  <c r="T127" i="12"/>
  <c r="T128" i="12"/>
  <c r="T129" i="12"/>
  <c r="T130" i="12"/>
  <c r="T131" i="12"/>
  <c r="T132" i="12"/>
  <c r="T133" i="12"/>
  <c r="T134" i="12"/>
  <c r="T135" i="12"/>
  <c r="T136" i="12"/>
  <c r="T137" i="12"/>
  <c r="T138" i="12"/>
  <c r="T139" i="12"/>
  <c r="T140" i="12"/>
  <c r="T141" i="12"/>
  <c r="T142" i="12"/>
  <c r="T143" i="12"/>
  <c r="T144" i="12"/>
  <c r="T145" i="12"/>
  <c r="T146" i="12"/>
  <c r="T147" i="12"/>
  <c r="T148" i="12"/>
  <c r="T149" i="12"/>
  <c r="T150" i="12"/>
  <c r="T151" i="12"/>
  <c r="T152" i="12"/>
  <c r="T153" i="12"/>
  <c r="T154" i="12"/>
  <c r="T155" i="12"/>
  <c r="T156" i="12"/>
  <c r="T157" i="12"/>
  <c r="T158" i="12"/>
  <c r="T159" i="12"/>
  <c r="T160" i="12"/>
  <c r="T161" i="12"/>
  <c r="T162" i="12"/>
  <c r="T163" i="12"/>
  <c r="T164" i="12"/>
  <c r="T165" i="12"/>
  <c r="T166" i="12"/>
  <c r="T167" i="12"/>
  <c r="T168" i="12"/>
  <c r="T169" i="12"/>
  <c r="T170" i="12"/>
  <c r="T171" i="12"/>
  <c r="T172" i="12"/>
  <c r="T173" i="12"/>
  <c r="T174" i="12"/>
  <c r="T175" i="12"/>
  <c r="T176" i="12"/>
  <c r="T177" i="12"/>
  <c r="T178" i="12"/>
  <c r="T179" i="12"/>
  <c r="T180" i="12"/>
  <c r="T181" i="12"/>
  <c r="T182" i="12"/>
  <c r="T183" i="12"/>
  <c r="T184" i="12"/>
  <c r="T185" i="12"/>
  <c r="T186" i="12"/>
  <c r="T187" i="12"/>
  <c r="T188" i="12"/>
  <c r="T189" i="12"/>
  <c r="T190" i="12"/>
  <c r="T191" i="12"/>
  <c r="T192" i="12"/>
  <c r="T193" i="12"/>
  <c r="T194" i="12"/>
  <c r="T195" i="12"/>
  <c r="T196" i="12"/>
  <c r="T197" i="12"/>
  <c r="T198" i="12"/>
  <c r="T199" i="12"/>
  <c r="T200" i="12"/>
  <c r="T201" i="12"/>
  <c r="T202" i="12"/>
  <c r="T203" i="12"/>
  <c r="T204" i="12"/>
  <c r="T205" i="12"/>
  <c r="T206" i="12"/>
  <c r="T207" i="12"/>
  <c r="T208" i="12"/>
  <c r="T209" i="12"/>
  <c r="T210" i="12"/>
  <c r="T211" i="12"/>
  <c r="T212" i="12"/>
  <c r="T213" i="12"/>
  <c r="T214" i="12"/>
  <c r="T215" i="12"/>
  <c r="T216" i="12"/>
  <c r="T217" i="12"/>
  <c r="T218" i="12"/>
  <c r="T219" i="12"/>
  <c r="T220" i="12"/>
  <c r="T221" i="12"/>
  <c r="T222" i="12"/>
  <c r="T223" i="12"/>
  <c r="T224" i="12"/>
  <c r="T225" i="12"/>
  <c r="T226" i="12"/>
  <c r="T227" i="12"/>
  <c r="T228" i="12"/>
  <c r="T229" i="12"/>
  <c r="T230" i="12"/>
  <c r="T231" i="12"/>
  <c r="T232" i="12"/>
  <c r="T233" i="12"/>
  <c r="T234" i="12"/>
  <c r="T235" i="12"/>
  <c r="T236" i="12"/>
  <c r="T237" i="12"/>
  <c r="T238" i="12"/>
  <c r="T239" i="12"/>
  <c r="T240" i="12"/>
  <c r="T241" i="12"/>
  <c r="T242" i="12"/>
  <c r="T243" i="12"/>
  <c r="T244" i="12"/>
  <c r="T245" i="12"/>
  <c r="T246" i="12"/>
  <c r="T247" i="12"/>
  <c r="T248" i="12"/>
  <c r="T249" i="12"/>
  <c r="T250" i="12"/>
  <c r="T251" i="12"/>
  <c r="T252" i="12"/>
  <c r="T253" i="12"/>
  <c r="T254" i="12"/>
  <c r="T255" i="12"/>
  <c r="T256" i="12"/>
  <c r="T257" i="12"/>
  <c r="T258" i="12"/>
  <c r="T259" i="12"/>
  <c r="T260" i="12"/>
  <c r="T261" i="12"/>
  <c r="T262" i="12"/>
  <c r="T263" i="12"/>
  <c r="T264" i="12"/>
  <c r="T265" i="12"/>
  <c r="T266" i="12"/>
  <c r="T267" i="12"/>
  <c r="T268" i="12"/>
  <c r="T269" i="12"/>
  <c r="T270" i="12"/>
  <c r="T271" i="12"/>
  <c r="T272" i="12"/>
  <c r="T273" i="12"/>
  <c r="T274" i="12"/>
  <c r="T275" i="12"/>
  <c r="T276" i="12"/>
  <c r="T277" i="12"/>
  <c r="T278" i="12"/>
  <c r="T279" i="12"/>
  <c r="T280" i="12"/>
  <c r="T281" i="12"/>
  <c r="T282" i="12"/>
  <c r="T283" i="12"/>
  <c r="T284" i="12"/>
  <c r="T285" i="12"/>
  <c r="T286" i="12"/>
  <c r="T287" i="12"/>
  <c r="T288" i="12"/>
  <c r="T289" i="12"/>
  <c r="T290" i="12"/>
  <c r="T291" i="12"/>
  <c r="T292" i="12"/>
  <c r="T293" i="12"/>
  <c r="T294" i="12"/>
  <c r="T295" i="12"/>
  <c r="T296" i="12"/>
  <c r="T297" i="12"/>
  <c r="T298" i="12"/>
  <c r="T299" i="12"/>
  <c r="T300" i="12"/>
  <c r="T301" i="12"/>
  <c r="T302" i="12"/>
  <c r="T303" i="12"/>
  <c r="T304" i="12"/>
  <c r="T305" i="12"/>
  <c r="T306" i="12"/>
  <c r="T307" i="12"/>
  <c r="T308" i="12"/>
  <c r="T309" i="12"/>
  <c r="T310" i="12"/>
  <c r="T311" i="12"/>
  <c r="T312" i="12"/>
  <c r="T313" i="12"/>
  <c r="T314" i="12"/>
  <c r="T315" i="12"/>
  <c r="T316" i="12"/>
  <c r="T317" i="12"/>
  <c r="T318" i="12"/>
  <c r="T319" i="12"/>
  <c r="T320" i="12"/>
  <c r="T321" i="12"/>
  <c r="T322" i="12"/>
  <c r="T323" i="12"/>
  <c r="T324" i="12"/>
  <c r="T325" i="12"/>
  <c r="T326" i="12"/>
  <c r="T327" i="12"/>
  <c r="T328" i="12"/>
  <c r="T329" i="12"/>
  <c r="T330" i="12"/>
  <c r="T331" i="12"/>
  <c r="T332" i="12"/>
  <c r="T333" i="12"/>
  <c r="T334" i="12"/>
  <c r="T335" i="12"/>
  <c r="T336" i="12"/>
  <c r="T337" i="12"/>
  <c r="T338" i="12"/>
  <c r="T339" i="12"/>
  <c r="T340" i="12"/>
  <c r="T341" i="12"/>
  <c r="T342" i="12"/>
  <c r="T343" i="12"/>
  <c r="T344" i="12"/>
  <c r="T345" i="12"/>
  <c r="T346" i="12"/>
  <c r="T347" i="12"/>
  <c r="T348" i="12"/>
  <c r="T349" i="12"/>
  <c r="T350" i="12"/>
  <c r="T351" i="12"/>
  <c r="T352" i="12"/>
  <c r="T353" i="12"/>
  <c r="T354" i="12"/>
  <c r="T355" i="12"/>
  <c r="T356" i="12"/>
  <c r="T357" i="12"/>
  <c r="T358" i="12"/>
  <c r="T359" i="12"/>
  <c r="T360" i="12"/>
  <c r="T361" i="12"/>
  <c r="T362" i="12"/>
  <c r="T363" i="12"/>
  <c r="T364" i="12"/>
  <c r="T365" i="12"/>
  <c r="T366" i="12"/>
  <c r="T367" i="12"/>
  <c r="T368" i="12"/>
  <c r="T369" i="12"/>
  <c r="T370" i="12"/>
  <c r="T371" i="12"/>
  <c r="T372" i="12"/>
  <c r="T373" i="12"/>
  <c r="T374" i="12"/>
  <c r="T375" i="12"/>
  <c r="T376" i="12"/>
  <c r="T377" i="12"/>
  <c r="T378" i="12"/>
  <c r="T379" i="12"/>
  <c r="T380" i="12"/>
  <c r="T381" i="12"/>
  <c r="T382" i="12"/>
  <c r="T383" i="12"/>
  <c r="T384" i="12"/>
  <c r="T385" i="12"/>
  <c r="T386" i="12"/>
  <c r="T387" i="12"/>
  <c r="T388" i="12"/>
  <c r="T389" i="12"/>
  <c r="T390" i="12"/>
  <c r="T391" i="12"/>
  <c r="T392" i="12"/>
  <c r="T393" i="12"/>
  <c r="T394" i="12"/>
  <c r="T395" i="12"/>
  <c r="T396" i="12"/>
  <c r="T397" i="12"/>
  <c r="T398" i="12"/>
  <c r="T399" i="12"/>
  <c r="T400" i="12"/>
  <c r="T401" i="12"/>
  <c r="T402" i="12"/>
  <c r="T403" i="12"/>
  <c r="T404" i="12"/>
  <c r="T405" i="12"/>
  <c r="T406" i="12"/>
  <c r="T407" i="12"/>
  <c r="T408" i="12"/>
  <c r="T409" i="12"/>
  <c r="T410" i="12"/>
  <c r="T411" i="12"/>
  <c r="T412" i="12"/>
  <c r="T413" i="12"/>
  <c r="T414" i="12"/>
  <c r="T415" i="12"/>
  <c r="T416" i="12"/>
  <c r="T417" i="12"/>
  <c r="T418" i="12"/>
  <c r="T419" i="12"/>
  <c r="T420" i="12"/>
  <c r="T421" i="12"/>
  <c r="T422" i="12"/>
  <c r="T423" i="12"/>
  <c r="T424" i="12"/>
  <c r="T425" i="12"/>
  <c r="T426" i="12"/>
  <c r="T427" i="12"/>
  <c r="T428" i="12"/>
  <c r="T429" i="12"/>
  <c r="T430" i="12"/>
  <c r="T431" i="12"/>
  <c r="T432" i="12"/>
  <c r="T433" i="12"/>
  <c r="T434" i="12"/>
  <c r="T435" i="12"/>
  <c r="T436" i="12"/>
  <c r="T437" i="12"/>
  <c r="T438" i="12"/>
  <c r="T439" i="12"/>
  <c r="T440" i="12"/>
  <c r="T441" i="12"/>
  <c r="T442" i="12"/>
  <c r="T443" i="12"/>
  <c r="T444" i="12"/>
  <c r="T445" i="12"/>
  <c r="T446" i="12"/>
  <c r="T447" i="12"/>
  <c r="T448" i="12"/>
  <c r="T449" i="12"/>
  <c r="T450" i="12"/>
  <c r="T451" i="12"/>
  <c r="T452" i="12"/>
  <c r="T453" i="12"/>
  <c r="T454" i="12"/>
  <c r="T455" i="12"/>
  <c r="T456" i="12"/>
  <c r="T457" i="12"/>
  <c r="T458" i="12"/>
  <c r="T459" i="12"/>
  <c r="T460" i="12"/>
  <c r="T461" i="12"/>
  <c r="T462" i="12"/>
  <c r="T463" i="12"/>
  <c r="T464" i="12"/>
  <c r="T465" i="12"/>
  <c r="T466" i="12"/>
  <c r="T467" i="12"/>
  <c r="T468" i="12"/>
  <c r="T469" i="12"/>
  <c r="T470" i="12"/>
  <c r="T471" i="12"/>
  <c r="T472" i="12"/>
  <c r="T473" i="12"/>
  <c r="T474" i="12"/>
  <c r="T475" i="12"/>
  <c r="T476" i="12"/>
  <c r="T477" i="12"/>
  <c r="T478" i="12"/>
  <c r="T479" i="12"/>
  <c r="T480" i="12"/>
  <c r="T481" i="12"/>
  <c r="T482" i="12"/>
  <c r="T483" i="12"/>
  <c r="T484" i="12"/>
  <c r="T485" i="12"/>
  <c r="T486" i="12"/>
  <c r="T487" i="12"/>
  <c r="T488" i="12"/>
  <c r="T489" i="12"/>
  <c r="T492" i="12"/>
  <c r="T493" i="12"/>
  <c r="T494" i="12"/>
  <c r="T495" i="12"/>
  <c r="T496" i="12"/>
  <c r="T497" i="12"/>
  <c r="T498" i="12"/>
  <c r="T499" i="12"/>
  <c r="T500" i="12"/>
  <c r="T501" i="12"/>
  <c r="T502" i="12"/>
  <c r="T503" i="12"/>
  <c r="T504" i="12"/>
  <c r="T505" i="12"/>
  <c r="T506" i="12"/>
  <c r="T507" i="12"/>
  <c r="T508" i="12"/>
  <c r="T509" i="12"/>
  <c r="T510" i="12"/>
  <c r="T511" i="12"/>
  <c r="T512" i="12"/>
  <c r="T513" i="12"/>
  <c r="T514" i="12"/>
  <c r="T515" i="12"/>
  <c r="T516" i="12"/>
  <c r="T517" i="12"/>
  <c r="T518" i="12"/>
  <c r="T519" i="12"/>
  <c r="T520" i="12"/>
  <c r="T521" i="12"/>
  <c r="T522" i="12"/>
  <c r="T523" i="12"/>
  <c r="T524" i="12"/>
  <c r="T525" i="12"/>
  <c r="T526" i="12"/>
  <c r="T527" i="12"/>
  <c r="T528" i="12"/>
  <c r="T529" i="12"/>
  <c r="T530" i="12"/>
  <c r="T531" i="12"/>
  <c r="T532" i="12"/>
  <c r="T533" i="12"/>
  <c r="T534" i="12"/>
  <c r="T535" i="12"/>
  <c r="T536" i="12"/>
  <c r="T537" i="12"/>
  <c r="T538" i="12"/>
  <c r="T539" i="12"/>
  <c r="T540" i="12"/>
  <c r="T541" i="12"/>
  <c r="T542" i="12"/>
  <c r="T543" i="12"/>
  <c r="T544" i="12"/>
  <c r="T545" i="12"/>
  <c r="T546" i="12"/>
  <c r="T547" i="12"/>
  <c r="T548" i="12"/>
  <c r="T549" i="12"/>
  <c r="T550" i="12"/>
  <c r="T551" i="12"/>
  <c r="T552" i="12"/>
  <c r="T553" i="12"/>
  <c r="T554" i="12"/>
  <c r="T555" i="12"/>
  <c r="T556" i="12"/>
  <c r="T557" i="12"/>
  <c r="T558" i="12"/>
  <c r="T559" i="12"/>
  <c r="T560" i="12"/>
  <c r="T561" i="12"/>
  <c r="T562" i="12"/>
  <c r="T563" i="12"/>
  <c r="T564" i="12"/>
  <c r="T565" i="12"/>
  <c r="T566" i="12"/>
  <c r="T567" i="12"/>
  <c r="T568" i="12"/>
  <c r="T569" i="12"/>
  <c r="T570" i="12"/>
  <c r="T571" i="12"/>
  <c r="T572" i="12"/>
  <c r="T573" i="12"/>
  <c r="T574" i="12"/>
  <c r="T575" i="12"/>
  <c r="T576" i="12"/>
  <c r="T577" i="12"/>
  <c r="T578" i="12"/>
  <c r="T579" i="12"/>
  <c r="T580" i="12"/>
  <c r="T581" i="12"/>
  <c r="T582" i="12"/>
  <c r="T583" i="12"/>
  <c r="T584" i="12"/>
  <c r="T585" i="12"/>
  <c r="T586" i="12"/>
  <c r="T587" i="12"/>
  <c r="T588" i="12"/>
  <c r="T589" i="12"/>
  <c r="T590" i="12"/>
  <c r="T591" i="12"/>
  <c r="T592" i="12"/>
  <c r="T593" i="12"/>
  <c r="T594" i="12"/>
  <c r="T595" i="12"/>
  <c r="T596" i="12"/>
  <c r="T597" i="12"/>
  <c r="T598" i="12"/>
  <c r="T599" i="12"/>
  <c r="T600" i="12"/>
  <c r="T601" i="12"/>
  <c r="T602" i="12"/>
  <c r="T603" i="12"/>
  <c r="T604" i="12"/>
  <c r="T605" i="12"/>
  <c r="T606" i="12"/>
  <c r="T607" i="12"/>
  <c r="T608" i="12"/>
  <c r="T609" i="12"/>
  <c r="T610" i="12"/>
  <c r="T611" i="12"/>
  <c r="T612" i="12"/>
  <c r="T613" i="12"/>
  <c r="T614" i="12"/>
  <c r="T615" i="12"/>
  <c r="T616" i="12"/>
  <c r="T617" i="12"/>
  <c r="T618" i="12"/>
  <c r="T619" i="12"/>
  <c r="T620" i="12"/>
  <c r="T621" i="12"/>
  <c r="T622" i="12"/>
  <c r="T623" i="12"/>
  <c r="T624" i="12"/>
  <c r="T625" i="12"/>
  <c r="T626" i="12"/>
  <c r="T627" i="12"/>
  <c r="T628" i="12"/>
  <c r="T629" i="12"/>
  <c r="T630" i="12"/>
  <c r="T631" i="12"/>
  <c r="T632" i="12"/>
  <c r="T633" i="12"/>
  <c r="T634" i="12"/>
  <c r="T635" i="12"/>
  <c r="T636" i="12"/>
  <c r="T637" i="12"/>
  <c r="T638" i="12"/>
  <c r="T639" i="12"/>
  <c r="T640" i="12"/>
  <c r="T641" i="12"/>
  <c r="T642" i="12"/>
  <c r="T643" i="12"/>
  <c r="T644" i="12"/>
  <c r="T645" i="12"/>
  <c r="T646" i="12"/>
  <c r="T647" i="12"/>
  <c r="T648" i="12"/>
  <c r="T649" i="12"/>
  <c r="T650" i="12"/>
  <c r="T651" i="12"/>
  <c r="T652" i="12"/>
  <c r="T653" i="12"/>
  <c r="T654" i="12"/>
  <c r="T655" i="12"/>
  <c r="T656" i="12"/>
  <c r="T657" i="12"/>
  <c r="T658" i="12"/>
  <c r="T659" i="12"/>
  <c r="T660" i="12"/>
  <c r="T661" i="12"/>
  <c r="T662" i="12"/>
  <c r="T663" i="12"/>
  <c r="T664" i="12"/>
  <c r="T665" i="12"/>
  <c r="T666" i="12"/>
  <c r="T667" i="12"/>
  <c r="T668" i="12"/>
  <c r="T669" i="12"/>
  <c r="T670" i="12"/>
  <c r="T671" i="12"/>
  <c r="T672" i="12"/>
  <c r="T673" i="12"/>
  <c r="T674" i="12"/>
  <c r="T675" i="12"/>
  <c r="T676" i="12"/>
  <c r="T677" i="12"/>
  <c r="T678" i="12"/>
  <c r="T679" i="12"/>
  <c r="T680" i="12"/>
  <c r="T681" i="12"/>
  <c r="T682" i="12"/>
  <c r="T683" i="12"/>
  <c r="T684" i="12"/>
  <c r="T685" i="12"/>
  <c r="T686" i="12"/>
  <c r="T687" i="12"/>
  <c r="T688" i="12"/>
  <c r="T689" i="12"/>
  <c r="T690" i="12"/>
  <c r="T691" i="12"/>
  <c r="T692" i="12"/>
  <c r="T693" i="12"/>
  <c r="T694" i="12"/>
  <c r="T695" i="12"/>
  <c r="T696" i="12"/>
  <c r="T697" i="12"/>
  <c r="T698" i="12"/>
  <c r="T699" i="12"/>
  <c r="T700" i="12"/>
  <c r="T701" i="12"/>
  <c r="T702" i="12"/>
  <c r="T703" i="12"/>
  <c r="T704" i="12"/>
  <c r="T705" i="12"/>
  <c r="T706" i="12"/>
  <c r="T707" i="12"/>
  <c r="T708" i="12"/>
  <c r="T709" i="12"/>
  <c r="T710" i="12"/>
  <c r="T711" i="12"/>
  <c r="T712" i="12"/>
  <c r="T713" i="12"/>
  <c r="T714" i="12"/>
  <c r="T715" i="12"/>
  <c r="T716" i="12"/>
  <c r="T717" i="12"/>
  <c r="T718" i="12"/>
  <c r="T730" i="12"/>
  <c r="T731" i="12"/>
  <c r="T732" i="12"/>
  <c r="T733" i="12"/>
  <c r="T734" i="12"/>
  <c r="T735" i="12"/>
  <c r="T736" i="12"/>
  <c r="T737" i="12"/>
  <c r="T738" i="12"/>
  <c r="T739" i="12"/>
  <c r="T740" i="12"/>
  <c r="T741" i="12"/>
  <c r="T742" i="12"/>
  <c r="T743" i="12"/>
  <c r="T744" i="12"/>
  <c r="T745" i="12"/>
  <c r="T746" i="12"/>
  <c r="T747" i="12"/>
  <c r="T748" i="12"/>
  <c r="T749" i="12"/>
  <c r="T750" i="12"/>
  <c r="T751" i="12"/>
  <c r="T752" i="12"/>
  <c r="T753" i="12"/>
  <c r="T754" i="12"/>
  <c r="T755" i="12"/>
  <c r="T756" i="12"/>
  <c r="T757" i="12"/>
  <c r="T758" i="12"/>
  <c r="T759" i="12"/>
  <c r="T760" i="12"/>
  <c r="T761" i="12"/>
  <c r="T762" i="12"/>
  <c r="T763" i="12"/>
  <c r="T764" i="12"/>
  <c r="T765" i="12"/>
  <c r="T766" i="12"/>
  <c r="T767" i="12"/>
  <c r="T768" i="12"/>
  <c r="T769" i="12"/>
  <c r="T770" i="12"/>
  <c r="T771" i="12"/>
  <c r="T772" i="12"/>
  <c r="T773" i="12"/>
  <c r="T774" i="12"/>
  <c r="T775" i="12"/>
  <c r="T776" i="12"/>
  <c r="T777" i="12"/>
  <c r="T778" i="12"/>
  <c r="T779" i="12"/>
  <c r="T780" i="12"/>
  <c r="T781" i="12"/>
  <c r="T782" i="12"/>
  <c r="T783" i="12"/>
  <c r="T784" i="12"/>
  <c r="T785" i="12"/>
  <c r="T786" i="12"/>
  <c r="T787" i="12"/>
  <c r="T788" i="12"/>
  <c r="T789" i="12"/>
  <c r="T790" i="12"/>
  <c r="T791" i="12"/>
  <c r="T792" i="12"/>
  <c r="T793" i="12"/>
  <c r="T794" i="12"/>
  <c r="T795" i="12"/>
  <c r="T796" i="12"/>
  <c r="T797" i="12"/>
  <c r="T798" i="12"/>
  <c r="T799" i="12"/>
  <c r="T800" i="12"/>
  <c r="T801" i="12"/>
  <c r="T802" i="12"/>
  <c r="T803" i="12"/>
  <c r="T804" i="12"/>
  <c r="T805" i="12"/>
  <c r="T806" i="12"/>
  <c r="T807" i="12"/>
  <c r="T808" i="12"/>
  <c r="T809" i="12"/>
  <c r="T810" i="12"/>
  <c r="T811" i="12"/>
  <c r="T812" i="12"/>
  <c r="T813" i="12"/>
  <c r="T814" i="12"/>
  <c r="T815" i="12"/>
  <c r="T816" i="12"/>
  <c r="T817" i="12"/>
  <c r="T818" i="12"/>
  <c r="T819" i="12"/>
  <c r="T820" i="12"/>
  <c r="T821" i="12"/>
  <c r="T822" i="12"/>
  <c r="T823" i="12"/>
  <c r="T824" i="12"/>
  <c r="T825" i="12"/>
  <c r="T826" i="12"/>
  <c r="T827" i="12"/>
  <c r="T828" i="12"/>
  <c r="T829" i="12"/>
  <c r="T830" i="12"/>
  <c r="T831" i="12"/>
  <c r="T832" i="12"/>
  <c r="T833" i="12"/>
  <c r="T834" i="12"/>
  <c r="T835" i="12"/>
  <c r="T836" i="12"/>
  <c r="T837" i="12"/>
  <c r="T838" i="12"/>
  <c r="T839" i="12"/>
  <c r="T840" i="12"/>
  <c r="T841" i="12"/>
  <c r="T842" i="12"/>
  <c r="T843" i="12"/>
  <c r="T844" i="12"/>
  <c r="T845" i="12"/>
  <c r="T846" i="12"/>
  <c r="T847" i="12"/>
  <c r="T848" i="12"/>
  <c r="T849" i="12"/>
  <c r="T850" i="12"/>
  <c r="T851" i="12"/>
  <c r="T852" i="12"/>
  <c r="T853" i="12"/>
  <c r="T854" i="12"/>
  <c r="T855" i="12"/>
  <c r="T856" i="12"/>
  <c r="T857" i="12"/>
  <c r="T858" i="12"/>
  <c r="T859" i="12"/>
  <c r="T860" i="12"/>
  <c r="T861" i="12"/>
  <c r="T862" i="12"/>
  <c r="T863" i="12"/>
  <c r="T864" i="12"/>
  <c r="T865" i="12"/>
  <c r="T866" i="12"/>
  <c r="T867" i="12"/>
  <c r="T868" i="12"/>
  <c r="T869" i="12"/>
  <c r="T870" i="12"/>
  <c r="T871" i="12"/>
  <c r="T872" i="12"/>
  <c r="T873" i="12"/>
  <c r="T874" i="12"/>
  <c r="T875" i="12"/>
  <c r="T876" i="12"/>
  <c r="T877" i="12"/>
  <c r="T878" i="12"/>
  <c r="T879" i="12"/>
  <c r="T880" i="12"/>
  <c r="T881" i="12"/>
  <c r="T882" i="12"/>
  <c r="T883" i="12"/>
  <c r="T884" i="12"/>
  <c r="T885" i="12"/>
  <c r="T886" i="12"/>
  <c r="T887" i="12"/>
  <c r="T888" i="12"/>
  <c r="T889" i="12"/>
  <c r="T890" i="12"/>
  <c r="T891" i="12"/>
  <c r="T892" i="12"/>
  <c r="T893" i="12"/>
  <c r="T894" i="12"/>
  <c r="T895" i="12"/>
  <c r="T896" i="12"/>
  <c r="T897" i="12"/>
  <c r="T898" i="12"/>
  <c r="T899" i="12"/>
  <c r="T900" i="12"/>
  <c r="T901" i="12"/>
  <c r="T902" i="12"/>
  <c r="T903" i="12"/>
  <c r="T904" i="12"/>
  <c r="T905" i="12"/>
  <c r="T906" i="12"/>
  <c r="T907" i="12"/>
  <c r="T908" i="12"/>
  <c r="T909" i="12"/>
  <c r="T910" i="12"/>
  <c r="T911" i="12"/>
  <c r="T912" i="12"/>
  <c r="T913" i="12"/>
  <c r="T914" i="12"/>
  <c r="T915" i="12"/>
  <c r="T916" i="12"/>
  <c r="T917" i="12"/>
  <c r="T918" i="12"/>
  <c r="T919" i="12"/>
  <c r="T920" i="12"/>
  <c r="T921" i="12"/>
  <c r="T922" i="12"/>
  <c r="T923" i="12"/>
  <c r="T924" i="12"/>
  <c r="T925" i="12"/>
  <c r="T926" i="12"/>
  <c r="T927" i="12"/>
  <c r="T928" i="12"/>
  <c r="T929" i="12"/>
  <c r="T930" i="12"/>
  <c r="T931" i="12"/>
  <c r="T932" i="12"/>
  <c r="T933" i="12"/>
  <c r="T934" i="12"/>
  <c r="T935" i="12"/>
  <c r="T936" i="12"/>
  <c r="T937" i="12"/>
  <c r="T938" i="12"/>
  <c r="T939" i="12"/>
  <c r="T940" i="12"/>
  <c r="T941" i="12"/>
  <c r="T942" i="12"/>
  <c r="T943" i="12"/>
  <c r="T944" i="12"/>
  <c r="T945" i="12"/>
  <c r="T946" i="12"/>
  <c r="T947" i="12"/>
  <c r="T948" i="12"/>
  <c r="T949" i="12"/>
  <c r="T950" i="12"/>
  <c r="T951" i="12"/>
  <c r="T952" i="12"/>
  <c r="T953" i="12"/>
  <c r="T954" i="12"/>
  <c r="T955" i="12"/>
  <c r="T956" i="12"/>
  <c r="T957" i="12"/>
  <c r="T958" i="12"/>
  <c r="T959" i="12"/>
  <c r="T960" i="12"/>
  <c r="T961" i="12"/>
  <c r="T962" i="12"/>
  <c r="T963" i="12"/>
  <c r="T964" i="12"/>
  <c r="T965" i="12"/>
  <c r="T966" i="12"/>
  <c r="T967" i="12"/>
  <c r="T968" i="12"/>
  <c r="T969" i="12"/>
  <c r="T970" i="12"/>
  <c r="T971" i="12"/>
  <c r="T972" i="12"/>
  <c r="T973" i="12"/>
  <c r="T974" i="12"/>
  <c r="T975" i="12"/>
  <c r="T976" i="12"/>
  <c r="T977" i="12"/>
  <c r="T978" i="12"/>
  <c r="T979" i="12"/>
  <c r="T980" i="12"/>
  <c r="T981" i="12"/>
  <c r="T982" i="12"/>
  <c r="T983" i="12"/>
  <c r="T984" i="12"/>
  <c r="T985" i="12"/>
  <c r="T986" i="12"/>
  <c r="T987" i="12"/>
  <c r="T988" i="12"/>
  <c r="T989" i="12"/>
  <c r="T990" i="12"/>
  <c r="T991" i="12"/>
  <c r="T992" i="12"/>
  <c r="T993" i="12"/>
  <c r="T994" i="12"/>
  <c r="T995" i="12"/>
  <c r="T996" i="12"/>
  <c r="T997" i="12"/>
  <c r="T998" i="12"/>
  <c r="T999" i="12"/>
  <c r="T1000" i="12"/>
  <c r="T1001" i="12"/>
  <c r="T1002" i="12"/>
  <c r="T1003" i="12"/>
  <c r="T1004" i="12"/>
  <c r="T1005" i="12"/>
  <c r="T1006" i="12"/>
  <c r="T1007" i="12"/>
  <c r="T1008" i="12"/>
  <c r="T1009" i="12"/>
  <c r="T1010" i="12"/>
  <c r="T1011" i="12"/>
  <c r="T1012" i="12"/>
  <c r="T1013" i="12"/>
  <c r="T1014" i="12"/>
  <c r="T1015" i="12"/>
  <c r="T1016" i="12"/>
  <c r="T1017" i="12"/>
  <c r="T1018" i="12"/>
  <c r="T1019" i="12"/>
  <c r="T1020" i="12"/>
  <c r="T1021" i="12"/>
  <c r="T1022" i="12"/>
  <c r="T1023" i="12"/>
  <c r="T1024" i="12"/>
  <c r="T1025" i="12"/>
  <c r="T1026" i="12"/>
  <c r="T1027" i="12"/>
  <c r="T1028" i="12"/>
  <c r="T1029" i="12"/>
  <c r="T1030" i="12"/>
  <c r="T1031" i="12"/>
  <c r="T1032" i="12"/>
  <c r="T1033" i="12"/>
  <c r="T1034" i="12"/>
  <c r="T1035" i="12"/>
  <c r="T1036" i="12"/>
  <c r="T1037" i="12"/>
  <c r="T1038" i="12"/>
  <c r="T1039" i="12"/>
  <c r="T1040" i="12"/>
  <c r="T1041" i="12"/>
  <c r="T1042" i="12"/>
  <c r="T1043" i="12"/>
  <c r="T1044" i="12"/>
  <c r="T1045" i="12"/>
  <c r="T1046" i="12"/>
  <c r="T1047" i="12"/>
  <c r="T1048" i="12"/>
  <c r="T1049" i="12"/>
  <c r="T1050" i="12"/>
  <c r="T1051" i="12"/>
  <c r="T1052" i="12"/>
  <c r="T1053" i="12"/>
  <c r="T1054" i="12"/>
  <c r="T1055" i="12"/>
  <c r="T1056" i="12"/>
  <c r="T1057" i="12"/>
  <c r="T1058" i="12"/>
  <c r="T1059" i="12"/>
  <c r="T1060" i="12"/>
  <c r="T1061" i="12"/>
  <c r="T1062" i="12"/>
  <c r="T1063" i="12"/>
  <c r="T1064" i="12"/>
  <c r="T1065" i="12"/>
  <c r="T1066" i="12"/>
  <c r="T1067" i="12"/>
  <c r="T1068" i="12"/>
  <c r="T1069" i="12"/>
  <c r="T1070" i="12"/>
  <c r="T1071" i="12"/>
  <c r="T1072" i="12"/>
  <c r="T1073" i="12"/>
  <c r="T1074" i="12"/>
  <c r="T1075" i="12"/>
  <c r="T1076" i="12"/>
  <c r="T1077" i="12"/>
  <c r="T1078" i="12"/>
  <c r="T1079" i="12"/>
  <c r="T1080" i="12"/>
  <c r="T1081" i="12"/>
  <c r="T1082" i="12"/>
  <c r="T1083" i="12"/>
  <c r="T1084" i="12"/>
  <c r="T1085" i="12"/>
  <c r="T1086" i="12"/>
  <c r="T1087" i="12"/>
  <c r="T1088" i="12"/>
  <c r="T1089" i="12"/>
  <c r="T1090" i="12"/>
  <c r="T1091" i="12"/>
  <c r="T1092" i="12"/>
  <c r="T1093" i="12"/>
  <c r="T1094" i="12"/>
  <c r="T1095" i="12"/>
  <c r="T1096" i="12"/>
  <c r="T1097" i="12"/>
  <c r="T1098" i="12"/>
  <c r="T1099" i="12"/>
  <c r="T1100" i="12"/>
  <c r="T1101" i="12"/>
  <c r="T1102" i="12"/>
  <c r="T1103" i="12"/>
  <c r="T1104" i="12"/>
  <c r="T1105" i="12"/>
  <c r="T1106" i="12"/>
  <c r="T1107" i="12"/>
  <c r="T1108" i="12"/>
  <c r="T1109" i="12"/>
  <c r="T1110" i="12"/>
  <c r="T1111" i="12"/>
  <c r="T1112" i="12"/>
  <c r="T1113" i="12"/>
  <c r="T1114" i="12"/>
  <c r="T1115" i="12"/>
  <c r="T1116" i="12"/>
  <c r="T1117" i="12"/>
  <c r="T1118" i="12"/>
  <c r="T1119" i="12"/>
  <c r="T1120" i="12"/>
  <c r="T1121" i="12"/>
  <c r="T1122" i="12"/>
  <c r="T1123" i="12"/>
  <c r="T1124" i="12"/>
  <c r="T1125" i="12"/>
  <c r="T1126" i="12"/>
  <c r="T1127" i="12"/>
  <c r="T1128" i="12"/>
  <c r="T1129" i="12"/>
  <c r="T1130" i="12"/>
  <c r="T1131" i="12"/>
  <c r="T1132" i="12"/>
  <c r="T1133" i="12"/>
  <c r="T1136" i="12"/>
  <c r="T1137" i="12"/>
  <c r="T1140" i="12"/>
  <c r="T1141" i="12"/>
  <c r="T1142" i="12"/>
  <c r="T1143" i="12"/>
  <c r="T1144" i="12"/>
  <c r="T1145" i="12"/>
  <c r="T1146" i="12"/>
  <c r="T1147" i="12"/>
  <c r="T1148" i="12"/>
  <c r="T1149" i="12"/>
  <c r="T1150" i="12"/>
  <c r="T1151" i="12"/>
  <c r="T1152" i="12"/>
  <c r="T1153" i="12"/>
  <c r="T1154" i="12"/>
  <c r="T1155" i="12"/>
  <c r="T1156" i="12"/>
  <c r="T1157" i="12"/>
  <c r="T1158" i="12"/>
  <c r="T1159" i="12"/>
  <c r="S5" i="12"/>
  <c r="S6" i="12"/>
  <c r="S7" i="12"/>
  <c r="S8" i="12"/>
  <c r="S9" i="12"/>
  <c r="S10" i="12"/>
  <c r="S11" i="12"/>
  <c r="S12" i="12"/>
  <c r="S13" i="12"/>
  <c r="S14" i="12"/>
  <c r="S15" i="12"/>
  <c r="S16" i="12"/>
  <c r="S17" i="12"/>
  <c r="S18" i="12"/>
  <c r="S19" i="12"/>
  <c r="S20" i="12"/>
  <c r="S21" i="12"/>
  <c r="S22" i="12"/>
  <c r="S23" i="12"/>
  <c r="S24" i="12"/>
  <c r="S25" i="12"/>
  <c r="S26" i="12"/>
  <c r="S27" i="12"/>
  <c r="S28" i="12"/>
  <c r="S29" i="12"/>
  <c r="S30" i="12"/>
  <c r="S31" i="12"/>
  <c r="S32" i="12"/>
  <c r="S33" i="12"/>
  <c r="S34" i="12"/>
  <c r="S35" i="12"/>
  <c r="S36" i="12"/>
  <c r="S37" i="12"/>
  <c r="S38" i="12"/>
  <c r="S39" i="12"/>
  <c r="S40" i="12"/>
  <c r="S41" i="12"/>
  <c r="S42" i="12"/>
  <c r="S43" i="12"/>
  <c r="S44" i="12"/>
  <c r="S45" i="12"/>
  <c r="S46" i="12"/>
  <c r="S47" i="12"/>
  <c r="S48" i="12"/>
  <c r="S49" i="12"/>
  <c r="S50" i="12"/>
  <c r="S51" i="12"/>
  <c r="S52" i="12"/>
  <c r="S53" i="12"/>
  <c r="S54" i="12"/>
  <c r="S55" i="12"/>
  <c r="S56" i="12"/>
  <c r="S57" i="12"/>
  <c r="S58" i="12"/>
  <c r="S59" i="12"/>
  <c r="S60" i="12"/>
  <c r="S61" i="12"/>
  <c r="S62" i="12"/>
  <c r="S63" i="12"/>
  <c r="S64" i="12"/>
  <c r="S65" i="12"/>
  <c r="S66" i="12"/>
  <c r="S67" i="12"/>
  <c r="S68" i="12"/>
  <c r="S69" i="12"/>
  <c r="S70" i="12"/>
  <c r="S71" i="12"/>
  <c r="S72" i="12"/>
  <c r="S73" i="12"/>
  <c r="S74" i="12"/>
  <c r="S75" i="12"/>
  <c r="S76" i="12"/>
  <c r="S77" i="12"/>
  <c r="S78" i="12"/>
  <c r="S79" i="12"/>
  <c r="S80" i="12"/>
  <c r="S81" i="12"/>
  <c r="S82" i="12"/>
  <c r="S83" i="12"/>
  <c r="S84" i="12"/>
  <c r="S85" i="12"/>
  <c r="S86" i="12"/>
  <c r="S87" i="12"/>
  <c r="S88" i="12"/>
  <c r="S89" i="12"/>
  <c r="S90" i="12"/>
  <c r="S91" i="12"/>
  <c r="S92" i="12"/>
  <c r="S93" i="12"/>
  <c r="S94" i="12"/>
  <c r="S95" i="12"/>
  <c r="S96" i="12"/>
  <c r="S97" i="12"/>
  <c r="S98" i="12"/>
  <c r="S99" i="12"/>
  <c r="S100" i="12"/>
  <c r="S101" i="12"/>
  <c r="S102" i="12"/>
  <c r="S103" i="12"/>
  <c r="S104" i="12"/>
  <c r="S105" i="12"/>
  <c r="S106" i="12"/>
  <c r="S107" i="12"/>
  <c r="S108" i="12"/>
  <c r="S109" i="12"/>
  <c r="S110" i="12"/>
  <c r="S111" i="12"/>
  <c r="S112" i="12"/>
  <c r="S113" i="12"/>
  <c r="S114" i="12"/>
  <c r="S115" i="12"/>
  <c r="S116" i="12"/>
  <c r="S117" i="12"/>
  <c r="S118" i="12"/>
  <c r="S119" i="12"/>
  <c r="S120" i="12"/>
  <c r="S121" i="12"/>
  <c r="S122" i="12"/>
  <c r="S123" i="12"/>
  <c r="S124" i="12"/>
  <c r="S125" i="12"/>
  <c r="S126" i="12"/>
  <c r="S127" i="12"/>
  <c r="S128" i="12"/>
  <c r="S129" i="12"/>
  <c r="S130" i="12"/>
  <c r="S131" i="12"/>
  <c r="S132" i="12"/>
  <c r="S133" i="12"/>
  <c r="S134" i="12"/>
  <c r="S135" i="12"/>
  <c r="S136" i="12"/>
  <c r="S137" i="12"/>
  <c r="S138" i="12"/>
  <c r="S139" i="12"/>
  <c r="S140" i="12"/>
  <c r="S141" i="12"/>
  <c r="S142" i="12"/>
  <c r="S143" i="12"/>
  <c r="S144" i="12"/>
  <c r="S145" i="12"/>
  <c r="S146" i="12"/>
  <c r="S147" i="12"/>
  <c r="S148" i="12"/>
  <c r="S149" i="12"/>
  <c r="S150" i="12"/>
  <c r="S151" i="12"/>
  <c r="S152" i="12"/>
  <c r="S153" i="12"/>
  <c r="S154" i="12"/>
  <c r="S155" i="12"/>
  <c r="S156" i="12"/>
  <c r="S157" i="12"/>
  <c r="S158" i="12"/>
  <c r="S159" i="12"/>
  <c r="S160" i="12"/>
  <c r="S161" i="12"/>
  <c r="S162" i="12"/>
  <c r="S163" i="12"/>
  <c r="S164" i="12"/>
  <c r="S165" i="12"/>
  <c r="S166" i="12"/>
  <c r="S167" i="12"/>
  <c r="S168" i="12"/>
  <c r="S169" i="12"/>
  <c r="S170" i="12"/>
  <c r="S171" i="12"/>
  <c r="S172" i="12"/>
  <c r="S173" i="12"/>
  <c r="S174" i="12"/>
  <c r="S175" i="12"/>
  <c r="S176" i="12"/>
  <c r="S177" i="12"/>
  <c r="S178" i="12"/>
  <c r="S179" i="12"/>
  <c r="S180" i="12"/>
  <c r="S181" i="12"/>
  <c r="S182" i="12"/>
  <c r="S183" i="12"/>
  <c r="S184" i="12"/>
  <c r="S185" i="12"/>
  <c r="S186" i="12"/>
  <c r="S187" i="12"/>
  <c r="S188" i="12"/>
  <c r="S189" i="12"/>
  <c r="S190" i="12"/>
  <c r="S191" i="12"/>
  <c r="S192" i="12"/>
  <c r="S193" i="12"/>
  <c r="S194" i="12"/>
  <c r="S195" i="12"/>
  <c r="S196" i="12"/>
  <c r="S197" i="12"/>
  <c r="S198" i="12"/>
  <c r="S199" i="12"/>
  <c r="S200" i="12"/>
  <c r="S201" i="12"/>
  <c r="S202" i="12"/>
  <c r="S203" i="12"/>
  <c r="S204" i="12"/>
  <c r="S205" i="12"/>
  <c r="S206" i="12"/>
  <c r="S207" i="12"/>
  <c r="S208" i="12"/>
  <c r="S209" i="12"/>
  <c r="S210" i="12"/>
  <c r="S211" i="12"/>
  <c r="S212" i="12"/>
  <c r="S213" i="12"/>
  <c r="S214" i="12"/>
  <c r="S215" i="12"/>
  <c r="S216" i="12"/>
  <c r="S217" i="12"/>
  <c r="S218" i="12"/>
  <c r="S219" i="12"/>
  <c r="S220" i="12"/>
  <c r="S221" i="12"/>
  <c r="S222" i="12"/>
  <c r="S223" i="12"/>
  <c r="S224" i="12"/>
  <c r="S225" i="12"/>
  <c r="S226" i="12"/>
  <c r="S227" i="12"/>
  <c r="S228" i="12"/>
  <c r="S229" i="12"/>
  <c r="S230" i="12"/>
  <c r="S231" i="12"/>
  <c r="S232" i="12"/>
  <c r="S233" i="12"/>
  <c r="S234" i="12"/>
  <c r="S235" i="12"/>
  <c r="S236" i="12"/>
  <c r="S237" i="12"/>
  <c r="S238" i="12"/>
  <c r="S239" i="12"/>
  <c r="S240" i="12"/>
  <c r="S241" i="12"/>
  <c r="S242" i="12"/>
  <c r="S243" i="12"/>
  <c r="S244" i="12"/>
  <c r="S245" i="12"/>
  <c r="S246" i="12"/>
  <c r="S247" i="12"/>
  <c r="S248" i="12"/>
  <c r="S249" i="12"/>
  <c r="S250" i="12"/>
  <c r="S251" i="12"/>
  <c r="S252" i="12"/>
  <c r="S253" i="12"/>
  <c r="S254" i="12"/>
  <c r="S255" i="12"/>
  <c r="S256" i="12"/>
  <c r="S257" i="12"/>
  <c r="S258" i="12"/>
  <c r="S259" i="12"/>
  <c r="S260" i="12"/>
  <c r="S261" i="12"/>
  <c r="S262" i="12"/>
  <c r="S263" i="12"/>
  <c r="S264" i="12"/>
  <c r="S265" i="12"/>
  <c r="S266" i="12"/>
  <c r="S267" i="12"/>
  <c r="S268" i="12"/>
  <c r="S269" i="12"/>
  <c r="S270" i="12"/>
  <c r="S271" i="12"/>
  <c r="S272" i="12"/>
  <c r="S273" i="12"/>
  <c r="S274" i="12"/>
  <c r="S275" i="12"/>
  <c r="S276" i="12"/>
  <c r="S277" i="12"/>
  <c r="S278" i="12"/>
  <c r="S279" i="12"/>
  <c r="S280" i="12"/>
  <c r="S281" i="12"/>
  <c r="S282" i="12"/>
  <c r="S283" i="12"/>
  <c r="S284" i="12"/>
  <c r="S285" i="12"/>
  <c r="S286" i="12"/>
  <c r="S287" i="12"/>
  <c r="S288" i="12"/>
  <c r="S289" i="12"/>
  <c r="S290" i="12"/>
  <c r="S291" i="12"/>
  <c r="S292" i="12"/>
  <c r="S293" i="12"/>
  <c r="S294" i="12"/>
  <c r="S295" i="12"/>
  <c r="S296" i="12"/>
  <c r="S297" i="12"/>
  <c r="S298" i="12"/>
  <c r="S299" i="12"/>
  <c r="S300" i="12"/>
  <c r="S301" i="12"/>
  <c r="S302" i="12"/>
  <c r="S303" i="12"/>
  <c r="S304" i="12"/>
  <c r="S305" i="12"/>
  <c r="S306" i="12"/>
  <c r="S307" i="12"/>
  <c r="S308" i="12"/>
  <c r="S309" i="12"/>
  <c r="S310" i="12"/>
  <c r="S311" i="12"/>
  <c r="S312" i="12"/>
  <c r="S313" i="12"/>
  <c r="S314" i="12"/>
  <c r="S315" i="12"/>
  <c r="S316" i="12"/>
  <c r="S317" i="12"/>
  <c r="S318" i="12"/>
  <c r="S319" i="12"/>
  <c r="S320" i="12"/>
  <c r="S321" i="12"/>
  <c r="S322" i="12"/>
  <c r="S323" i="12"/>
  <c r="S324" i="12"/>
  <c r="S325" i="12"/>
  <c r="S326" i="12"/>
  <c r="S327" i="12"/>
  <c r="S328" i="12"/>
  <c r="S329" i="12"/>
  <c r="S330" i="12"/>
  <c r="S331" i="12"/>
  <c r="S332" i="12"/>
  <c r="S333" i="12"/>
  <c r="S334" i="12"/>
  <c r="S335" i="12"/>
  <c r="S336" i="12"/>
  <c r="S337" i="12"/>
  <c r="S338" i="12"/>
  <c r="S339" i="12"/>
  <c r="S340" i="12"/>
  <c r="S341" i="12"/>
  <c r="S342" i="12"/>
  <c r="S343" i="12"/>
  <c r="S344" i="12"/>
  <c r="S345" i="12"/>
  <c r="S346" i="12"/>
  <c r="S347" i="12"/>
  <c r="S348" i="12"/>
  <c r="S349" i="12"/>
  <c r="S350" i="12"/>
  <c r="S351" i="12"/>
  <c r="S352" i="12"/>
  <c r="S353" i="12"/>
  <c r="S354" i="12"/>
  <c r="S355" i="12"/>
  <c r="S356" i="12"/>
  <c r="S357" i="12"/>
  <c r="S358" i="12"/>
  <c r="S359" i="12"/>
  <c r="S360" i="12"/>
  <c r="S361" i="12"/>
  <c r="S362" i="12"/>
  <c r="S363" i="12"/>
  <c r="S364" i="12"/>
  <c r="S365" i="12"/>
  <c r="S366" i="12"/>
  <c r="S367" i="12"/>
  <c r="S368" i="12"/>
  <c r="S369" i="12"/>
  <c r="S370" i="12"/>
  <c r="S371" i="12"/>
  <c r="S372" i="12"/>
  <c r="S373" i="12"/>
  <c r="S374" i="12"/>
  <c r="S375" i="12"/>
  <c r="S376" i="12"/>
  <c r="S377" i="12"/>
  <c r="S378" i="12"/>
  <c r="S379" i="12"/>
  <c r="S380" i="12"/>
  <c r="S381" i="12"/>
  <c r="S382" i="12"/>
  <c r="S383" i="12"/>
  <c r="S384" i="12"/>
  <c r="S385" i="12"/>
  <c r="S386" i="12"/>
  <c r="S387" i="12"/>
  <c r="S388" i="12"/>
  <c r="S389" i="12"/>
  <c r="S390" i="12"/>
  <c r="S391" i="12"/>
  <c r="S392" i="12"/>
  <c r="S393" i="12"/>
  <c r="S394" i="12"/>
  <c r="S395" i="12"/>
  <c r="S396" i="12"/>
  <c r="S397" i="12"/>
  <c r="S398" i="12"/>
  <c r="S399" i="12"/>
  <c r="S400" i="12"/>
  <c r="S401" i="12"/>
  <c r="S402" i="12"/>
  <c r="S403" i="12"/>
  <c r="S404" i="12"/>
  <c r="S405" i="12"/>
  <c r="S406" i="12"/>
  <c r="S407" i="12"/>
  <c r="S408" i="12"/>
  <c r="S409" i="12"/>
  <c r="S410" i="12"/>
  <c r="S411" i="12"/>
  <c r="S412" i="12"/>
  <c r="S413" i="12"/>
  <c r="S414" i="12"/>
  <c r="S415" i="12"/>
  <c r="S416" i="12"/>
  <c r="S417" i="12"/>
  <c r="S418" i="12"/>
  <c r="S419" i="12"/>
  <c r="S420" i="12"/>
  <c r="S421" i="12"/>
  <c r="S422" i="12"/>
  <c r="S423" i="12"/>
  <c r="S424" i="12"/>
  <c r="S425" i="12"/>
  <c r="S426" i="12"/>
  <c r="S427" i="12"/>
  <c r="S428" i="12"/>
  <c r="S429" i="12"/>
  <c r="S430" i="12"/>
  <c r="S431" i="12"/>
  <c r="S432" i="12"/>
  <c r="S433" i="12"/>
  <c r="S434" i="12"/>
  <c r="S435" i="12"/>
  <c r="S436" i="12"/>
  <c r="S437" i="12"/>
  <c r="S438" i="12"/>
  <c r="S439" i="12"/>
  <c r="S440" i="12"/>
  <c r="S441" i="12"/>
  <c r="S442" i="12"/>
  <c r="S443" i="12"/>
  <c r="S444" i="12"/>
  <c r="S445" i="12"/>
  <c r="S446" i="12"/>
  <c r="S447" i="12"/>
  <c r="S448" i="12"/>
  <c r="S449" i="12"/>
  <c r="S450" i="12"/>
  <c r="S451" i="12"/>
  <c r="S452" i="12"/>
  <c r="S453" i="12"/>
  <c r="S454" i="12"/>
  <c r="S455" i="12"/>
  <c r="S456" i="12"/>
  <c r="S457" i="12"/>
  <c r="S458" i="12"/>
  <c r="S459" i="12"/>
  <c r="S460" i="12"/>
  <c r="S461" i="12"/>
  <c r="S462" i="12"/>
  <c r="S463" i="12"/>
  <c r="S464" i="12"/>
  <c r="S465" i="12"/>
  <c r="S466" i="12"/>
  <c r="S467" i="12"/>
  <c r="S468" i="12"/>
  <c r="S469" i="12"/>
  <c r="S470" i="12"/>
  <c r="S471" i="12"/>
  <c r="S472" i="12"/>
  <c r="S473" i="12"/>
  <c r="S474" i="12"/>
  <c r="S475" i="12"/>
  <c r="S476" i="12"/>
  <c r="S477" i="12"/>
  <c r="S478" i="12"/>
  <c r="S479" i="12"/>
  <c r="S480" i="12"/>
  <c r="S481" i="12"/>
  <c r="S482" i="12"/>
  <c r="S483" i="12"/>
  <c r="S484" i="12"/>
  <c r="S485" i="12"/>
  <c r="S486" i="12"/>
  <c r="S487" i="12"/>
  <c r="S488" i="12"/>
  <c r="S489" i="12"/>
  <c r="S492" i="12"/>
  <c r="S493" i="12"/>
  <c r="S494" i="12"/>
  <c r="S495" i="12"/>
  <c r="S496" i="12"/>
  <c r="S497" i="12"/>
  <c r="S498" i="12"/>
  <c r="S499" i="12"/>
  <c r="S500" i="12"/>
  <c r="S501" i="12"/>
  <c r="S502" i="12"/>
  <c r="S503" i="12"/>
  <c r="S504" i="12"/>
  <c r="S505" i="12"/>
  <c r="S506" i="12"/>
  <c r="S507" i="12"/>
  <c r="S508" i="12"/>
  <c r="S509" i="12"/>
  <c r="S510" i="12"/>
  <c r="S511" i="12"/>
  <c r="S512" i="12"/>
  <c r="S513" i="12"/>
  <c r="S514" i="12"/>
  <c r="S515" i="12"/>
  <c r="S516" i="12"/>
  <c r="S517" i="12"/>
  <c r="S518" i="12"/>
  <c r="S519" i="12"/>
  <c r="S520" i="12"/>
  <c r="S521" i="12"/>
  <c r="S522" i="12"/>
  <c r="S523" i="12"/>
  <c r="S524" i="12"/>
  <c r="S525" i="12"/>
  <c r="S526" i="12"/>
  <c r="S527" i="12"/>
  <c r="S528" i="12"/>
  <c r="S529" i="12"/>
  <c r="S530" i="12"/>
  <c r="S531" i="12"/>
  <c r="S532" i="12"/>
  <c r="S533" i="12"/>
  <c r="S534" i="12"/>
  <c r="S535" i="12"/>
  <c r="S536" i="12"/>
  <c r="S537" i="12"/>
  <c r="S538" i="12"/>
  <c r="S539" i="12"/>
  <c r="S540" i="12"/>
  <c r="S541" i="12"/>
  <c r="S542" i="12"/>
  <c r="S543" i="12"/>
  <c r="S544" i="12"/>
  <c r="S545" i="12"/>
  <c r="S546" i="12"/>
  <c r="S547" i="12"/>
  <c r="S548" i="12"/>
  <c r="S549" i="12"/>
  <c r="S550" i="12"/>
  <c r="S551" i="12"/>
  <c r="S552" i="12"/>
  <c r="S553" i="12"/>
  <c r="S554" i="12"/>
  <c r="S555" i="12"/>
  <c r="S556" i="12"/>
  <c r="S557" i="12"/>
  <c r="S558" i="12"/>
  <c r="S559" i="12"/>
  <c r="S560" i="12"/>
  <c r="S561" i="12"/>
  <c r="S562" i="12"/>
  <c r="S563" i="12"/>
  <c r="S564" i="12"/>
  <c r="S565" i="12"/>
  <c r="S566" i="12"/>
  <c r="S567" i="12"/>
  <c r="S568" i="12"/>
  <c r="S569" i="12"/>
  <c r="S570" i="12"/>
  <c r="S571" i="12"/>
  <c r="S572" i="12"/>
  <c r="S573" i="12"/>
  <c r="S574" i="12"/>
  <c r="S575" i="12"/>
  <c r="S576" i="12"/>
  <c r="S577" i="12"/>
  <c r="S578" i="12"/>
  <c r="S579" i="12"/>
  <c r="S580" i="12"/>
  <c r="S581" i="12"/>
  <c r="S582" i="12"/>
  <c r="S583" i="12"/>
  <c r="S584" i="12"/>
  <c r="S585" i="12"/>
  <c r="S586" i="12"/>
  <c r="S587" i="12"/>
  <c r="S588" i="12"/>
  <c r="S589" i="12"/>
  <c r="S590" i="12"/>
  <c r="S591" i="12"/>
  <c r="S592" i="12"/>
  <c r="S593" i="12"/>
  <c r="S594" i="12"/>
  <c r="S595" i="12"/>
  <c r="S596" i="12"/>
  <c r="S597" i="12"/>
  <c r="S598" i="12"/>
  <c r="S599" i="12"/>
  <c r="S600" i="12"/>
  <c r="S601" i="12"/>
  <c r="S602" i="12"/>
  <c r="S603" i="12"/>
  <c r="S604" i="12"/>
  <c r="S605" i="12"/>
  <c r="S606" i="12"/>
  <c r="S607" i="12"/>
  <c r="S608" i="12"/>
  <c r="S609" i="12"/>
  <c r="S610" i="12"/>
  <c r="S611" i="12"/>
  <c r="S612" i="12"/>
  <c r="S613" i="12"/>
  <c r="S614" i="12"/>
  <c r="S615" i="12"/>
  <c r="S616" i="12"/>
  <c r="S617" i="12"/>
  <c r="S618" i="12"/>
  <c r="S619" i="12"/>
  <c r="S620" i="12"/>
  <c r="S621" i="12"/>
  <c r="S622" i="12"/>
  <c r="S623" i="12"/>
  <c r="S624" i="12"/>
  <c r="S625" i="12"/>
  <c r="S626" i="12"/>
  <c r="S627" i="12"/>
  <c r="S628" i="12"/>
  <c r="S629" i="12"/>
  <c r="S630" i="12"/>
  <c r="S631" i="12"/>
  <c r="S632" i="12"/>
  <c r="S633" i="12"/>
  <c r="S634" i="12"/>
  <c r="S635" i="12"/>
  <c r="S636" i="12"/>
  <c r="S637" i="12"/>
  <c r="S638" i="12"/>
  <c r="S639" i="12"/>
  <c r="S640" i="12"/>
  <c r="S641" i="12"/>
  <c r="S642" i="12"/>
  <c r="S643" i="12"/>
  <c r="S644" i="12"/>
  <c r="S645" i="12"/>
  <c r="S646" i="12"/>
  <c r="S647" i="12"/>
  <c r="S648" i="12"/>
  <c r="S649" i="12"/>
  <c r="S650" i="12"/>
  <c r="S651" i="12"/>
  <c r="S652" i="12"/>
  <c r="S653" i="12"/>
  <c r="S654" i="12"/>
  <c r="S655" i="12"/>
  <c r="S656" i="12"/>
  <c r="S657" i="12"/>
  <c r="S658" i="12"/>
  <c r="S659" i="12"/>
  <c r="S660" i="12"/>
  <c r="S661" i="12"/>
  <c r="S662" i="12"/>
  <c r="S663" i="12"/>
  <c r="S664" i="12"/>
  <c r="S665" i="12"/>
  <c r="S666" i="12"/>
  <c r="S667" i="12"/>
  <c r="S668" i="12"/>
  <c r="S669" i="12"/>
  <c r="S670" i="12"/>
  <c r="S671" i="12"/>
  <c r="S672" i="12"/>
  <c r="S673" i="12"/>
  <c r="S674" i="12"/>
  <c r="S675" i="12"/>
  <c r="S676" i="12"/>
  <c r="S677" i="12"/>
  <c r="S678" i="12"/>
  <c r="S679" i="12"/>
  <c r="S680" i="12"/>
  <c r="S681" i="12"/>
  <c r="S682" i="12"/>
  <c r="S683" i="12"/>
  <c r="S684" i="12"/>
  <c r="S685" i="12"/>
  <c r="S686" i="12"/>
  <c r="S687" i="12"/>
  <c r="S688" i="12"/>
  <c r="S689" i="12"/>
  <c r="S690" i="12"/>
  <c r="S691" i="12"/>
  <c r="S692" i="12"/>
  <c r="S693" i="12"/>
  <c r="S694" i="12"/>
  <c r="S695" i="12"/>
  <c r="S696" i="12"/>
  <c r="S697" i="12"/>
  <c r="S698" i="12"/>
  <c r="S699" i="12"/>
  <c r="S700" i="12"/>
  <c r="S701" i="12"/>
  <c r="S702" i="12"/>
  <c r="S703" i="12"/>
  <c r="S704" i="12"/>
  <c r="S705" i="12"/>
  <c r="S706" i="12"/>
  <c r="S707" i="12"/>
  <c r="S708" i="12"/>
  <c r="S709" i="12"/>
  <c r="S710" i="12"/>
  <c r="S711" i="12"/>
  <c r="S712" i="12"/>
  <c r="S713" i="12"/>
  <c r="S714" i="12"/>
  <c r="S715" i="12"/>
  <c r="S716" i="12"/>
  <c r="S717" i="12"/>
  <c r="S718" i="12"/>
  <c r="S730" i="12"/>
  <c r="S731" i="12"/>
  <c r="S732" i="12"/>
  <c r="S733" i="12"/>
  <c r="S734" i="12"/>
  <c r="S735" i="12"/>
  <c r="S736" i="12"/>
  <c r="S737" i="12"/>
  <c r="S738" i="12"/>
  <c r="S739" i="12"/>
  <c r="S740" i="12"/>
  <c r="S741" i="12"/>
  <c r="S742" i="12"/>
  <c r="S743" i="12"/>
  <c r="S744" i="12"/>
  <c r="S745" i="12"/>
  <c r="S746" i="12"/>
  <c r="S747" i="12"/>
  <c r="S748" i="12"/>
  <c r="S749" i="12"/>
  <c r="S750" i="12"/>
  <c r="S751" i="12"/>
  <c r="S752" i="12"/>
  <c r="S753" i="12"/>
  <c r="S754" i="12"/>
  <c r="S755" i="12"/>
  <c r="S756" i="12"/>
  <c r="S757" i="12"/>
  <c r="S758" i="12"/>
  <c r="S759" i="12"/>
  <c r="S760" i="12"/>
  <c r="S761" i="12"/>
  <c r="S762" i="12"/>
  <c r="S763" i="12"/>
  <c r="S764" i="12"/>
  <c r="S765" i="12"/>
  <c r="S766" i="12"/>
  <c r="S767" i="12"/>
  <c r="S768" i="12"/>
  <c r="S769" i="12"/>
  <c r="S770" i="12"/>
  <c r="S771" i="12"/>
  <c r="S772" i="12"/>
  <c r="S773" i="12"/>
  <c r="S774" i="12"/>
  <c r="S775" i="12"/>
  <c r="S776" i="12"/>
  <c r="S777" i="12"/>
  <c r="S778" i="12"/>
  <c r="S779" i="12"/>
  <c r="S780" i="12"/>
  <c r="S781" i="12"/>
  <c r="S782" i="12"/>
  <c r="S783" i="12"/>
  <c r="S784" i="12"/>
  <c r="S785" i="12"/>
  <c r="S786" i="12"/>
  <c r="S787" i="12"/>
  <c r="S788" i="12"/>
  <c r="S789" i="12"/>
  <c r="S790" i="12"/>
  <c r="S791" i="12"/>
  <c r="S792" i="12"/>
  <c r="S793" i="12"/>
  <c r="S794" i="12"/>
  <c r="S795" i="12"/>
  <c r="S796" i="12"/>
  <c r="S797" i="12"/>
  <c r="S798" i="12"/>
  <c r="S799" i="12"/>
  <c r="S800" i="12"/>
  <c r="S801" i="12"/>
  <c r="S802" i="12"/>
  <c r="S803" i="12"/>
  <c r="S804" i="12"/>
  <c r="S805" i="12"/>
  <c r="S806" i="12"/>
  <c r="S807" i="12"/>
  <c r="S808" i="12"/>
  <c r="S809" i="12"/>
  <c r="S810" i="12"/>
  <c r="S811" i="12"/>
  <c r="S812" i="12"/>
  <c r="S813" i="12"/>
  <c r="S814" i="12"/>
  <c r="S815" i="12"/>
  <c r="S816" i="12"/>
  <c r="S817" i="12"/>
  <c r="S818" i="12"/>
  <c r="S819" i="12"/>
  <c r="S820" i="12"/>
  <c r="S821" i="12"/>
  <c r="S822" i="12"/>
  <c r="S823" i="12"/>
  <c r="S824" i="12"/>
  <c r="S825" i="12"/>
  <c r="S826" i="12"/>
  <c r="S827" i="12"/>
  <c r="S828" i="12"/>
  <c r="S829" i="12"/>
  <c r="S830" i="12"/>
  <c r="S831" i="12"/>
  <c r="S832" i="12"/>
  <c r="S833" i="12"/>
  <c r="S834" i="12"/>
  <c r="S835" i="12"/>
  <c r="S836" i="12"/>
  <c r="S837" i="12"/>
  <c r="S838" i="12"/>
  <c r="S839" i="12"/>
  <c r="S840" i="12"/>
  <c r="S841" i="12"/>
  <c r="S842" i="12"/>
  <c r="S843" i="12"/>
  <c r="S844" i="12"/>
  <c r="S845" i="12"/>
  <c r="S846" i="12"/>
  <c r="S847" i="12"/>
  <c r="S848" i="12"/>
  <c r="S849" i="12"/>
  <c r="S850" i="12"/>
  <c r="S851" i="12"/>
  <c r="S852" i="12"/>
  <c r="S853" i="12"/>
  <c r="S854" i="12"/>
  <c r="S855" i="12"/>
  <c r="S856" i="12"/>
  <c r="S857" i="12"/>
  <c r="S858" i="12"/>
  <c r="S859" i="12"/>
  <c r="S860" i="12"/>
  <c r="S861" i="12"/>
  <c r="S862" i="12"/>
  <c r="S863" i="12"/>
  <c r="S864" i="12"/>
  <c r="S865" i="12"/>
  <c r="S866" i="12"/>
  <c r="S867" i="12"/>
  <c r="S868" i="12"/>
  <c r="S869" i="12"/>
  <c r="S870" i="12"/>
  <c r="S871" i="12"/>
  <c r="S872" i="12"/>
  <c r="S873" i="12"/>
  <c r="S874" i="12"/>
  <c r="S875" i="12"/>
  <c r="S876" i="12"/>
  <c r="S877" i="12"/>
  <c r="S878" i="12"/>
  <c r="S879" i="12"/>
  <c r="S880" i="12"/>
  <c r="S881" i="12"/>
  <c r="S882" i="12"/>
  <c r="S883" i="12"/>
  <c r="S884" i="12"/>
  <c r="S885" i="12"/>
  <c r="S886" i="12"/>
  <c r="S887" i="12"/>
  <c r="S888" i="12"/>
  <c r="S889" i="12"/>
  <c r="S890" i="12"/>
  <c r="S891" i="12"/>
  <c r="S892" i="12"/>
  <c r="S893" i="12"/>
  <c r="S894" i="12"/>
  <c r="S895" i="12"/>
  <c r="S896" i="12"/>
  <c r="S897" i="12"/>
  <c r="S898" i="12"/>
  <c r="S899" i="12"/>
  <c r="S900" i="12"/>
  <c r="S901" i="12"/>
  <c r="S902" i="12"/>
  <c r="S903" i="12"/>
  <c r="S904" i="12"/>
  <c r="S905" i="12"/>
  <c r="S906" i="12"/>
  <c r="S907" i="12"/>
  <c r="S908" i="12"/>
  <c r="S909" i="12"/>
  <c r="S910" i="12"/>
  <c r="S911" i="12"/>
  <c r="S912" i="12"/>
  <c r="S913" i="12"/>
  <c r="S914" i="12"/>
  <c r="S915" i="12"/>
  <c r="S916" i="12"/>
  <c r="S917" i="12"/>
  <c r="S918" i="12"/>
  <c r="S919" i="12"/>
  <c r="S920" i="12"/>
  <c r="S921" i="12"/>
  <c r="S922" i="12"/>
  <c r="S923" i="12"/>
  <c r="S924" i="12"/>
  <c r="S925" i="12"/>
  <c r="S926" i="12"/>
  <c r="S927" i="12"/>
  <c r="S928" i="12"/>
  <c r="S929" i="12"/>
  <c r="S930" i="12"/>
  <c r="S931" i="12"/>
  <c r="S932" i="12"/>
  <c r="S933" i="12"/>
  <c r="S934" i="12"/>
  <c r="S935" i="12"/>
  <c r="S936" i="12"/>
  <c r="S937" i="12"/>
  <c r="S938" i="12"/>
  <c r="S939" i="12"/>
  <c r="S940" i="12"/>
  <c r="S941" i="12"/>
  <c r="S942" i="12"/>
  <c r="S943" i="12"/>
  <c r="S944" i="12"/>
  <c r="S945" i="12"/>
  <c r="S946" i="12"/>
  <c r="S947" i="12"/>
  <c r="S948" i="12"/>
  <c r="S949" i="12"/>
  <c r="S950" i="12"/>
  <c r="S951" i="12"/>
  <c r="S952" i="12"/>
  <c r="S953" i="12"/>
  <c r="S954" i="12"/>
  <c r="S955" i="12"/>
  <c r="S956" i="12"/>
  <c r="S957" i="12"/>
  <c r="S958" i="12"/>
  <c r="S959" i="12"/>
  <c r="S960" i="12"/>
  <c r="S961" i="12"/>
  <c r="S962" i="12"/>
  <c r="S963" i="12"/>
  <c r="S964" i="12"/>
  <c r="S965" i="12"/>
  <c r="S966" i="12"/>
  <c r="S967" i="12"/>
  <c r="S968" i="12"/>
  <c r="S969" i="12"/>
  <c r="S970" i="12"/>
  <c r="S971" i="12"/>
  <c r="S972" i="12"/>
  <c r="S973" i="12"/>
  <c r="S974" i="12"/>
  <c r="S975" i="12"/>
  <c r="S976" i="12"/>
  <c r="S977" i="12"/>
  <c r="S978" i="12"/>
  <c r="S979" i="12"/>
  <c r="S980" i="12"/>
  <c r="S981" i="12"/>
  <c r="S982" i="12"/>
  <c r="S983" i="12"/>
  <c r="S984" i="12"/>
  <c r="S985" i="12"/>
  <c r="S986" i="12"/>
  <c r="S987" i="12"/>
  <c r="S988" i="12"/>
  <c r="S989" i="12"/>
  <c r="S990" i="12"/>
  <c r="S991" i="12"/>
  <c r="S992" i="12"/>
  <c r="S993" i="12"/>
  <c r="S994" i="12"/>
  <c r="S995" i="12"/>
  <c r="S996" i="12"/>
  <c r="S997" i="12"/>
  <c r="S998" i="12"/>
  <c r="S999" i="12"/>
  <c r="S1000" i="12"/>
  <c r="S1001" i="12"/>
  <c r="S1002" i="12"/>
  <c r="S1003" i="12"/>
  <c r="S1004" i="12"/>
  <c r="S1005" i="12"/>
  <c r="S1006" i="12"/>
  <c r="S1007" i="12"/>
  <c r="S1008" i="12"/>
  <c r="S1009" i="12"/>
  <c r="S1010" i="12"/>
  <c r="S1011" i="12"/>
  <c r="S1012" i="12"/>
  <c r="S1013" i="12"/>
  <c r="S1014" i="12"/>
  <c r="S1015" i="12"/>
  <c r="S1016" i="12"/>
  <c r="S1017" i="12"/>
  <c r="S1018" i="12"/>
  <c r="S1019" i="12"/>
  <c r="S1020" i="12"/>
  <c r="S1021" i="12"/>
  <c r="S1022" i="12"/>
  <c r="S1023" i="12"/>
  <c r="S1024" i="12"/>
  <c r="S1025" i="12"/>
  <c r="S1026" i="12"/>
  <c r="S1027" i="12"/>
  <c r="S1028" i="12"/>
  <c r="S1029" i="12"/>
  <c r="S1030" i="12"/>
  <c r="S1031" i="12"/>
  <c r="S1032" i="12"/>
  <c r="S1033" i="12"/>
  <c r="S1034" i="12"/>
  <c r="S1035" i="12"/>
  <c r="S1036" i="12"/>
  <c r="S1037" i="12"/>
  <c r="S1038" i="12"/>
  <c r="S1039" i="12"/>
  <c r="S1040" i="12"/>
  <c r="S1041" i="12"/>
  <c r="S1042" i="12"/>
  <c r="S1043" i="12"/>
  <c r="S1044" i="12"/>
  <c r="S1045" i="12"/>
  <c r="S1046" i="12"/>
  <c r="S1047" i="12"/>
  <c r="S1048" i="12"/>
  <c r="S1049" i="12"/>
  <c r="S1050" i="12"/>
  <c r="S1051" i="12"/>
  <c r="S1052" i="12"/>
  <c r="S1053" i="12"/>
  <c r="S1054" i="12"/>
  <c r="S1055" i="12"/>
  <c r="S1056" i="12"/>
  <c r="S1057" i="12"/>
  <c r="S1058" i="12"/>
  <c r="S1059" i="12"/>
  <c r="S1060" i="12"/>
  <c r="S1061" i="12"/>
  <c r="S1062" i="12"/>
  <c r="S1063" i="12"/>
  <c r="S1064" i="12"/>
  <c r="S1065" i="12"/>
  <c r="S1066" i="12"/>
  <c r="S1067" i="12"/>
  <c r="S1068" i="12"/>
  <c r="S1069" i="12"/>
  <c r="S1070" i="12"/>
  <c r="S1071" i="12"/>
  <c r="S1072" i="12"/>
  <c r="S1073" i="12"/>
  <c r="S1074" i="12"/>
  <c r="S1075" i="12"/>
  <c r="S1076" i="12"/>
  <c r="S1077" i="12"/>
  <c r="S1078" i="12"/>
  <c r="S1079" i="12"/>
  <c r="S1080" i="12"/>
  <c r="S1081" i="12"/>
  <c r="S1082" i="12"/>
  <c r="S1083" i="12"/>
  <c r="S1084" i="12"/>
  <c r="S1085" i="12"/>
  <c r="S1086" i="12"/>
  <c r="S1087" i="12"/>
  <c r="S1088" i="12"/>
  <c r="S1089" i="12"/>
  <c r="S1090" i="12"/>
  <c r="S1091" i="12"/>
  <c r="S1092" i="12"/>
  <c r="S1093" i="12"/>
  <c r="S1094" i="12"/>
  <c r="S1095" i="12"/>
  <c r="S1096" i="12"/>
  <c r="S1097" i="12"/>
  <c r="S1098" i="12"/>
  <c r="S1099" i="12"/>
  <c r="S1100" i="12"/>
  <c r="S1101" i="12"/>
  <c r="S1102" i="12"/>
  <c r="S1103" i="12"/>
  <c r="S1104" i="12"/>
  <c r="S1105" i="12"/>
  <c r="S1106" i="12"/>
  <c r="S1107" i="12"/>
  <c r="S1108" i="12"/>
  <c r="S1109" i="12"/>
  <c r="S1110" i="12"/>
  <c r="S1111" i="12"/>
  <c r="S1112" i="12"/>
  <c r="S1113" i="12"/>
  <c r="S1114" i="12"/>
  <c r="S1115" i="12"/>
  <c r="S1116" i="12"/>
  <c r="S1117" i="12"/>
  <c r="S1118" i="12"/>
  <c r="S1119" i="12"/>
  <c r="S1120" i="12"/>
  <c r="S1121" i="12"/>
  <c r="S1122" i="12"/>
  <c r="S1123" i="12"/>
  <c r="S1124" i="12"/>
  <c r="S1125" i="12"/>
  <c r="S1126" i="12"/>
  <c r="S1127" i="12"/>
  <c r="S1128" i="12"/>
  <c r="S1129" i="12"/>
  <c r="S1130" i="12"/>
  <c r="S1131" i="12"/>
  <c r="S1132" i="12"/>
  <c r="S1133" i="12"/>
  <c r="S1136" i="12"/>
  <c r="S1137" i="12"/>
  <c r="S1140" i="12"/>
  <c r="S1141" i="12"/>
  <c r="S1142" i="12"/>
  <c r="S1143" i="12"/>
  <c r="S1144" i="12"/>
  <c r="S1145" i="12"/>
  <c r="S1146" i="12"/>
  <c r="S1147" i="12"/>
  <c r="S1148" i="12"/>
  <c r="S1149" i="12"/>
  <c r="S1150" i="12"/>
  <c r="S1151" i="12"/>
  <c r="S1152" i="12"/>
  <c r="S1153" i="12"/>
  <c r="S1154" i="12"/>
  <c r="S1155" i="12"/>
  <c r="S1156" i="12"/>
  <c r="S1157" i="12"/>
  <c r="S1158" i="12"/>
  <c r="S1159" i="12"/>
  <c r="R5" i="12"/>
  <c r="R6" i="12"/>
  <c r="R7" i="12"/>
  <c r="R8" i="12"/>
  <c r="R9" i="12"/>
  <c r="R10" i="12"/>
  <c r="R11" i="12"/>
  <c r="R12" i="12"/>
  <c r="R13" i="12"/>
  <c r="R14" i="12"/>
  <c r="R15" i="12"/>
  <c r="R16" i="12"/>
  <c r="R17" i="12"/>
  <c r="R18" i="12"/>
  <c r="R19" i="12"/>
  <c r="R20" i="12"/>
  <c r="R21" i="12"/>
  <c r="R22" i="12"/>
  <c r="R23" i="12"/>
  <c r="R24" i="12"/>
  <c r="R25" i="12"/>
  <c r="R26" i="12"/>
  <c r="R27" i="12"/>
  <c r="R28" i="12"/>
  <c r="R29" i="12"/>
  <c r="R30" i="12"/>
  <c r="R31" i="12"/>
  <c r="R32" i="12"/>
  <c r="R33" i="12"/>
  <c r="R34" i="12"/>
  <c r="R35" i="12"/>
  <c r="R36" i="12"/>
  <c r="R37" i="12"/>
  <c r="R38" i="12"/>
  <c r="R39" i="12"/>
  <c r="R40" i="12"/>
  <c r="R41" i="12"/>
  <c r="R42" i="12"/>
  <c r="R43" i="12"/>
  <c r="R44" i="12"/>
  <c r="R45" i="12"/>
  <c r="R46" i="12"/>
  <c r="R47" i="12"/>
  <c r="R48" i="12"/>
  <c r="R49" i="12"/>
  <c r="R50" i="12"/>
  <c r="R51" i="12"/>
  <c r="R52" i="12"/>
  <c r="R53" i="12"/>
  <c r="R54" i="12"/>
  <c r="R55" i="12"/>
  <c r="R56" i="12"/>
  <c r="R57" i="12"/>
  <c r="R58" i="12"/>
  <c r="R59" i="12"/>
  <c r="R60" i="12"/>
  <c r="R61" i="12"/>
  <c r="R62" i="12"/>
  <c r="R63" i="12"/>
  <c r="R64" i="12"/>
  <c r="R65" i="12"/>
  <c r="R66" i="12"/>
  <c r="R67" i="12"/>
  <c r="R68" i="12"/>
  <c r="R69" i="12"/>
  <c r="R70" i="12"/>
  <c r="R71" i="12"/>
  <c r="R72" i="12"/>
  <c r="R73" i="12"/>
  <c r="R74" i="12"/>
  <c r="R75" i="12"/>
  <c r="R76" i="12"/>
  <c r="R77" i="12"/>
  <c r="R78" i="12"/>
  <c r="R79" i="12"/>
  <c r="R80" i="12"/>
  <c r="R81" i="12"/>
  <c r="R82" i="12"/>
  <c r="R83" i="12"/>
  <c r="R84" i="12"/>
  <c r="R85" i="12"/>
  <c r="R86" i="12"/>
  <c r="R87" i="12"/>
  <c r="R88" i="12"/>
  <c r="R89" i="12"/>
  <c r="R90" i="12"/>
  <c r="R91" i="12"/>
  <c r="R92" i="12"/>
  <c r="R93" i="12"/>
  <c r="R94" i="12"/>
  <c r="R95" i="12"/>
  <c r="R96" i="12"/>
  <c r="R97" i="12"/>
  <c r="R98" i="12"/>
  <c r="R99" i="12"/>
  <c r="R100" i="12"/>
  <c r="R101" i="12"/>
  <c r="R102" i="12"/>
  <c r="R103" i="12"/>
  <c r="R104" i="12"/>
  <c r="R105" i="12"/>
  <c r="R106" i="12"/>
  <c r="R107" i="12"/>
  <c r="R108" i="12"/>
  <c r="R109" i="12"/>
  <c r="R110" i="12"/>
  <c r="R111" i="12"/>
  <c r="R112" i="12"/>
  <c r="R113" i="12"/>
  <c r="R114" i="12"/>
  <c r="R115" i="12"/>
  <c r="R116" i="12"/>
  <c r="R117" i="12"/>
  <c r="R118" i="12"/>
  <c r="R119" i="12"/>
  <c r="R120" i="12"/>
  <c r="R121" i="12"/>
  <c r="R122" i="12"/>
  <c r="R123" i="12"/>
  <c r="R124" i="12"/>
  <c r="R125" i="12"/>
  <c r="R126" i="12"/>
  <c r="R127" i="12"/>
  <c r="R128" i="12"/>
  <c r="R129" i="12"/>
  <c r="R130" i="12"/>
  <c r="R131" i="12"/>
  <c r="R132" i="12"/>
  <c r="R133" i="12"/>
  <c r="R134" i="12"/>
  <c r="R135" i="12"/>
  <c r="R136" i="12"/>
  <c r="R137" i="12"/>
  <c r="R138" i="12"/>
  <c r="R139" i="12"/>
  <c r="R140" i="12"/>
  <c r="R141" i="12"/>
  <c r="R142" i="12"/>
  <c r="R143" i="12"/>
  <c r="R144" i="12"/>
  <c r="R145" i="12"/>
  <c r="R146" i="12"/>
  <c r="R147" i="12"/>
  <c r="R148" i="12"/>
  <c r="R149" i="12"/>
  <c r="R150" i="12"/>
  <c r="R151" i="12"/>
  <c r="R152" i="12"/>
  <c r="R153" i="12"/>
  <c r="R154" i="12"/>
  <c r="R155" i="12"/>
  <c r="R156" i="12"/>
  <c r="R157" i="12"/>
  <c r="R158" i="12"/>
  <c r="R159" i="12"/>
  <c r="R160" i="12"/>
  <c r="R161" i="12"/>
  <c r="R162" i="12"/>
  <c r="R163" i="12"/>
  <c r="R164" i="12"/>
  <c r="R165" i="12"/>
  <c r="R166" i="12"/>
  <c r="R167" i="12"/>
  <c r="R168" i="12"/>
  <c r="R169" i="12"/>
  <c r="R170" i="12"/>
  <c r="R171" i="12"/>
  <c r="R172" i="12"/>
  <c r="R173" i="12"/>
  <c r="R174" i="12"/>
  <c r="R175" i="12"/>
  <c r="R176" i="12"/>
  <c r="R177" i="12"/>
  <c r="R178" i="12"/>
  <c r="R179" i="12"/>
  <c r="R180" i="12"/>
  <c r="R181" i="12"/>
  <c r="R182" i="12"/>
  <c r="R183" i="12"/>
  <c r="R184" i="12"/>
  <c r="R185" i="12"/>
  <c r="R186" i="12"/>
  <c r="R187" i="12"/>
  <c r="R188" i="12"/>
  <c r="R189" i="12"/>
  <c r="R190" i="12"/>
  <c r="R191" i="12"/>
  <c r="R192" i="12"/>
  <c r="R193" i="12"/>
  <c r="R194" i="12"/>
  <c r="R195" i="12"/>
  <c r="R196" i="12"/>
  <c r="R197" i="12"/>
  <c r="R198" i="12"/>
  <c r="R199" i="12"/>
  <c r="R200" i="12"/>
  <c r="R201" i="12"/>
  <c r="R202" i="12"/>
  <c r="R203" i="12"/>
  <c r="R204" i="12"/>
  <c r="R205" i="12"/>
  <c r="R206" i="12"/>
  <c r="R207" i="12"/>
  <c r="R208" i="12"/>
  <c r="R209" i="12"/>
  <c r="R210" i="12"/>
  <c r="R211" i="12"/>
  <c r="R212" i="12"/>
  <c r="R213" i="12"/>
  <c r="R214" i="12"/>
  <c r="R215" i="12"/>
  <c r="R216" i="12"/>
  <c r="R217" i="12"/>
  <c r="R218" i="12"/>
  <c r="R219" i="12"/>
  <c r="R220" i="12"/>
  <c r="R221" i="12"/>
  <c r="R222" i="12"/>
  <c r="R223" i="12"/>
  <c r="R224" i="12"/>
  <c r="R225" i="12"/>
  <c r="R226" i="12"/>
  <c r="R227" i="12"/>
  <c r="R228" i="12"/>
  <c r="R229" i="12"/>
  <c r="R230" i="12"/>
  <c r="R231" i="12"/>
  <c r="R232" i="12"/>
  <c r="R233" i="12"/>
  <c r="R234" i="12"/>
  <c r="R235" i="12"/>
  <c r="R236" i="12"/>
  <c r="R237" i="12"/>
  <c r="R238" i="12"/>
  <c r="R239" i="12"/>
  <c r="R240" i="12"/>
  <c r="R241" i="12"/>
  <c r="R242" i="12"/>
  <c r="R243" i="12"/>
  <c r="R244" i="12"/>
  <c r="R245" i="12"/>
  <c r="R246" i="12"/>
  <c r="R247" i="12"/>
  <c r="R248" i="12"/>
  <c r="R249" i="12"/>
  <c r="R250" i="12"/>
  <c r="R251" i="12"/>
  <c r="R252" i="12"/>
  <c r="R253" i="12"/>
  <c r="R254" i="12"/>
  <c r="R255" i="12"/>
  <c r="R256" i="12"/>
  <c r="R257" i="12"/>
  <c r="R258" i="12"/>
  <c r="R259" i="12"/>
  <c r="R260" i="12"/>
  <c r="R261" i="12"/>
  <c r="R262" i="12"/>
  <c r="R263" i="12"/>
  <c r="R264" i="12"/>
  <c r="R265" i="12"/>
  <c r="R266" i="12"/>
  <c r="R267" i="12"/>
  <c r="R268" i="12"/>
  <c r="R269" i="12"/>
  <c r="R270" i="12"/>
  <c r="R271" i="12"/>
  <c r="R272" i="12"/>
  <c r="R273" i="12"/>
  <c r="R274" i="12"/>
  <c r="R275" i="12"/>
  <c r="R276" i="12"/>
  <c r="R277" i="12"/>
  <c r="R278" i="12"/>
  <c r="R279" i="12"/>
  <c r="R280" i="12"/>
  <c r="R281" i="12"/>
  <c r="R282" i="12"/>
  <c r="R283" i="12"/>
  <c r="R284" i="12"/>
  <c r="R285" i="12"/>
  <c r="R286" i="12"/>
  <c r="R287" i="12"/>
  <c r="R288" i="12"/>
  <c r="R289" i="12"/>
  <c r="R290" i="12"/>
  <c r="R291" i="12"/>
  <c r="R292" i="12"/>
  <c r="R293" i="12"/>
  <c r="R294" i="12"/>
  <c r="R295" i="12"/>
  <c r="R296" i="12"/>
  <c r="R297" i="12"/>
  <c r="R298" i="12"/>
  <c r="R299" i="12"/>
  <c r="R300" i="12"/>
  <c r="R301" i="12"/>
  <c r="R302" i="12"/>
  <c r="R303" i="12"/>
  <c r="R304" i="12"/>
  <c r="R305" i="12"/>
  <c r="R306" i="12"/>
  <c r="R307" i="12"/>
  <c r="R308" i="12"/>
  <c r="R309" i="12"/>
  <c r="R310" i="12"/>
  <c r="R311" i="12"/>
  <c r="R312" i="12"/>
  <c r="R313" i="12"/>
  <c r="R314" i="12"/>
  <c r="R315" i="12"/>
  <c r="R316" i="12"/>
  <c r="R317" i="12"/>
  <c r="R318" i="12"/>
  <c r="R319" i="12"/>
  <c r="R320" i="12"/>
  <c r="R321" i="12"/>
  <c r="R322" i="12"/>
  <c r="R323" i="12"/>
  <c r="R324" i="12"/>
  <c r="R325" i="12"/>
  <c r="R326" i="12"/>
  <c r="R327" i="12"/>
  <c r="R328" i="12"/>
  <c r="R329" i="12"/>
  <c r="R330" i="12"/>
  <c r="R331" i="12"/>
  <c r="R332" i="12"/>
  <c r="R333" i="12"/>
  <c r="R334" i="12"/>
  <c r="R335" i="12"/>
  <c r="R336" i="12"/>
  <c r="R337" i="12"/>
  <c r="R338" i="12"/>
  <c r="R339" i="12"/>
  <c r="R340" i="12"/>
  <c r="R341" i="12"/>
  <c r="R342" i="12"/>
  <c r="R343" i="12"/>
  <c r="R344" i="12"/>
  <c r="R345" i="12"/>
  <c r="R346" i="12"/>
  <c r="R347" i="12"/>
  <c r="R348" i="12"/>
  <c r="R349" i="12"/>
  <c r="R350" i="12"/>
  <c r="R351" i="12"/>
  <c r="R352" i="12"/>
  <c r="R353" i="12"/>
  <c r="R354" i="12"/>
  <c r="R355" i="12"/>
  <c r="R356" i="12"/>
  <c r="R357" i="12"/>
  <c r="R358" i="12"/>
  <c r="R359" i="12"/>
  <c r="R360" i="12"/>
  <c r="R361" i="12"/>
  <c r="R362" i="12"/>
  <c r="R363" i="12"/>
  <c r="R364" i="12"/>
  <c r="R365" i="12"/>
  <c r="R366" i="12"/>
  <c r="R367" i="12"/>
  <c r="R368" i="12"/>
  <c r="R369" i="12"/>
  <c r="R370" i="12"/>
  <c r="R371" i="12"/>
  <c r="R372" i="12"/>
  <c r="R373" i="12"/>
  <c r="R374" i="12"/>
  <c r="R375" i="12"/>
  <c r="R376" i="12"/>
  <c r="R377" i="12"/>
  <c r="R378" i="12"/>
  <c r="R379" i="12"/>
  <c r="R380" i="12"/>
  <c r="R381" i="12"/>
  <c r="R382" i="12"/>
  <c r="R383" i="12"/>
  <c r="R384" i="12"/>
  <c r="R385" i="12"/>
  <c r="R386" i="12"/>
  <c r="R387" i="12"/>
  <c r="R388" i="12"/>
  <c r="R389" i="12"/>
  <c r="R390" i="12"/>
  <c r="R391" i="12"/>
  <c r="R392" i="12"/>
  <c r="R393" i="12"/>
  <c r="R394" i="12"/>
  <c r="R395" i="12"/>
  <c r="R396" i="12"/>
  <c r="R397" i="12"/>
  <c r="R398" i="12"/>
  <c r="R399" i="12"/>
  <c r="R400" i="12"/>
  <c r="R401" i="12"/>
  <c r="R402" i="12"/>
  <c r="R403" i="12"/>
  <c r="R404" i="12"/>
  <c r="R405" i="12"/>
  <c r="R406" i="12"/>
  <c r="R407" i="12"/>
  <c r="R408" i="12"/>
  <c r="R409" i="12"/>
  <c r="R410" i="12"/>
  <c r="R411" i="12"/>
  <c r="R412" i="12"/>
  <c r="R413" i="12"/>
  <c r="R414" i="12"/>
  <c r="R415" i="12"/>
  <c r="R416" i="12"/>
  <c r="R417" i="12"/>
  <c r="R418" i="12"/>
  <c r="R419" i="12"/>
  <c r="R420" i="12"/>
  <c r="R421" i="12"/>
  <c r="R422" i="12"/>
  <c r="R423" i="12"/>
  <c r="R424" i="12"/>
  <c r="R425" i="12"/>
  <c r="R426" i="12"/>
  <c r="R427" i="12"/>
  <c r="R428" i="12"/>
  <c r="R429" i="12"/>
  <c r="R430" i="12"/>
  <c r="R431" i="12"/>
  <c r="R432" i="12"/>
  <c r="R433" i="12"/>
  <c r="R434" i="12"/>
  <c r="R435" i="12"/>
  <c r="R436" i="12"/>
  <c r="R437" i="12"/>
  <c r="R438" i="12"/>
  <c r="R439" i="12"/>
  <c r="R440" i="12"/>
  <c r="R441" i="12"/>
  <c r="R442" i="12"/>
  <c r="R443" i="12"/>
  <c r="R444" i="12"/>
  <c r="R445" i="12"/>
  <c r="R446" i="12"/>
  <c r="R447" i="12"/>
  <c r="R448" i="12"/>
  <c r="R449" i="12"/>
  <c r="R450" i="12"/>
  <c r="R451" i="12"/>
  <c r="R452" i="12"/>
  <c r="R453" i="12"/>
  <c r="R454" i="12"/>
  <c r="R455" i="12"/>
  <c r="R456" i="12"/>
  <c r="R457" i="12"/>
  <c r="R458" i="12"/>
  <c r="R459" i="12"/>
  <c r="R460" i="12"/>
  <c r="R461" i="12"/>
  <c r="R462" i="12"/>
  <c r="R463" i="12"/>
  <c r="R464" i="12"/>
  <c r="R465" i="12"/>
  <c r="R466" i="12"/>
  <c r="R467" i="12"/>
  <c r="R468" i="12"/>
  <c r="R469" i="12"/>
  <c r="R470" i="12"/>
  <c r="R471" i="12"/>
  <c r="R472" i="12"/>
  <c r="R473" i="12"/>
  <c r="R474" i="12"/>
  <c r="R475" i="12"/>
  <c r="R476" i="12"/>
  <c r="R477" i="12"/>
  <c r="R478" i="12"/>
  <c r="R479" i="12"/>
  <c r="R480" i="12"/>
  <c r="R481" i="12"/>
  <c r="R482" i="12"/>
  <c r="R483" i="12"/>
  <c r="R484" i="12"/>
  <c r="R485" i="12"/>
  <c r="R486" i="12"/>
  <c r="R487" i="12"/>
  <c r="R488" i="12"/>
  <c r="R489" i="12"/>
  <c r="R492" i="12"/>
  <c r="R493" i="12"/>
  <c r="R494" i="12"/>
  <c r="R495" i="12"/>
  <c r="R496" i="12"/>
  <c r="R497" i="12"/>
  <c r="R498" i="12"/>
  <c r="R499" i="12"/>
  <c r="R500" i="12"/>
  <c r="R501" i="12"/>
  <c r="R502" i="12"/>
  <c r="R503" i="12"/>
  <c r="R504" i="12"/>
  <c r="R505" i="12"/>
  <c r="R506" i="12"/>
  <c r="R507" i="12"/>
  <c r="R508" i="12"/>
  <c r="R509" i="12"/>
  <c r="R510" i="12"/>
  <c r="R511" i="12"/>
  <c r="R512" i="12"/>
  <c r="R513" i="12"/>
  <c r="R514" i="12"/>
  <c r="R515" i="12"/>
  <c r="R516" i="12"/>
  <c r="R517" i="12"/>
  <c r="R518" i="12"/>
  <c r="R519" i="12"/>
  <c r="R520" i="12"/>
  <c r="R521" i="12"/>
  <c r="R522" i="12"/>
  <c r="R523" i="12"/>
  <c r="R524" i="12"/>
  <c r="R525" i="12"/>
  <c r="R526" i="12"/>
  <c r="R527" i="12"/>
  <c r="R528" i="12"/>
  <c r="R529" i="12"/>
  <c r="R530" i="12"/>
  <c r="R531" i="12"/>
  <c r="R532" i="12"/>
  <c r="R533" i="12"/>
  <c r="R534" i="12"/>
  <c r="R535" i="12"/>
  <c r="R536" i="12"/>
  <c r="R537" i="12"/>
  <c r="R538" i="12"/>
  <c r="R539" i="12"/>
  <c r="R540" i="12"/>
  <c r="R541" i="12"/>
  <c r="R542" i="12"/>
  <c r="R543" i="12"/>
  <c r="R544" i="12"/>
  <c r="R545" i="12"/>
  <c r="R546" i="12"/>
  <c r="R547" i="12"/>
  <c r="R548" i="12"/>
  <c r="R549" i="12"/>
  <c r="R550" i="12"/>
  <c r="R551" i="12"/>
  <c r="R552" i="12"/>
  <c r="R553" i="12"/>
  <c r="R554" i="12"/>
  <c r="R555" i="12"/>
  <c r="R556" i="12"/>
  <c r="R557" i="12"/>
  <c r="R558" i="12"/>
  <c r="R559" i="12"/>
  <c r="R560" i="12"/>
  <c r="R561" i="12"/>
  <c r="R562" i="12"/>
  <c r="R563" i="12"/>
  <c r="R564" i="12"/>
  <c r="R565" i="12"/>
  <c r="R566" i="12"/>
  <c r="R567" i="12"/>
  <c r="R568" i="12"/>
  <c r="R569" i="12"/>
  <c r="R570" i="12"/>
  <c r="R571" i="12"/>
  <c r="R572" i="12"/>
  <c r="R573" i="12"/>
  <c r="R574" i="12"/>
  <c r="R575" i="12"/>
  <c r="R576" i="12"/>
  <c r="R577" i="12"/>
  <c r="R578" i="12"/>
  <c r="R579" i="12"/>
  <c r="R580" i="12"/>
  <c r="R581" i="12"/>
  <c r="R582" i="12"/>
  <c r="R583" i="12"/>
  <c r="R584" i="12"/>
  <c r="R585" i="12"/>
  <c r="R586" i="12"/>
  <c r="R587" i="12"/>
  <c r="R588" i="12"/>
  <c r="R589" i="12"/>
  <c r="R590" i="12"/>
  <c r="R591" i="12"/>
  <c r="R592" i="12"/>
  <c r="R593" i="12"/>
  <c r="R594" i="12"/>
  <c r="R595" i="12"/>
  <c r="R596" i="12"/>
  <c r="R597" i="12"/>
  <c r="R598" i="12"/>
  <c r="R599" i="12"/>
  <c r="R600" i="12"/>
  <c r="R601" i="12"/>
  <c r="R602" i="12"/>
  <c r="R603" i="12"/>
  <c r="R604" i="12"/>
  <c r="R605" i="12"/>
  <c r="R606" i="12"/>
  <c r="R607" i="12"/>
  <c r="R608" i="12"/>
  <c r="R609" i="12"/>
  <c r="R610" i="12"/>
  <c r="R611" i="12"/>
  <c r="R612" i="12"/>
  <c r="R613" i="12"/>
  <c r="R614" i="12"/>
  <c r="R615" i="12"/>
  <c r="R616" i="12"/>
  <c r="R617" i="12"/>
  <c r="R618" i="12"/>
  <c r="R619" i="12"/>
  <c r="R620" i="12"/>
  <c r="R621" i="12"/>
  <c r="R622" i="12"/>
  <c r="R623" i="12"/>
  <c r="R624" i="12"/>
  <c r="R625" i="12"/>
  <c r="R626" i="12"/>
  <c r="R627" i="12"/>
  <c r="R628" i="12"/>
  <c r="R629" i="12"/>
  <c r="R630" i="12"/>
  <c r="R631" i="12"/>
  <c r="R632" i="12"/>
  <c r="R633" i="12"/>
  <c r="R634" i="12"/>
  <c r="R635" i="12"/>
  <c r="R636" i="12"/>
  <c r="R637" i="12"/>
  <c r="R638" i="12"/>
  <c r="R639" i="12"/>
  <c r="R640" i="12"/>
  <c r="R641" i="12"/>
  <c r="R642" i="12"/>
  <c r="R643" i="12"/>
  <c r="R644" i="12"/>
  <c r="R645" i="12"/>
  <c r="R646" i="12"/>
  <c r="R647" i="12"/>
  <c r="R648" i="12"/>
  <c r="R649" i="12"/>
  <c r="R650" i="12"/>
  <c r="R651" i="12"/>
  <c r="R652" i="12"/>
  <c r="R653" i="12"/>
  <c r="R654" i="12"/>
  <c r="R655" i="12"/>
  <c r="R656" i="12"/>
  <c r="R657" i="12"/>
  <c r="R658" i="12"/>
  <c r="R659" i="12"/>
  <c r="R660" i="12"/>
  <c r="R661" i="12"/>
  <c r="R662" i="12"/>
  <c r="R663" i="12"/>
  <c r="R664" i="12"/>
  <c r="R665" i="12"/>
  <c r="R666" i="12"/>
  <c r="R667" i="12"/>
  <c r="R668" i="12"/>
  <c r="R669" i="12"/>
  <c r="R670" i="12"/>
  <c r="R671" i="12"/>
  <c r="R672" i="12"/>
  <c r="R673" i="12"/>
  <c r="R674" i="12"/>
  <c r="R675" i="12"/>
  <c r="R676" i="12"/>
  <c r="R677" i="12"/>
  <c r="R678" i="12"/>
  <c r="R679" i="12"/>
  <c r="R680" i="12"/>
  <c r="R681" i="12"/>
  <c r="R682" i="12"/>
  <c r="R683" i="12"/>
  <c r="R684" i="12"/>
  <c r="R685" i="12"/>
  <c r="R686" i="12"/>
  <c r="R687" i="12"/>
  <c r="R688" i="12"/>
  <c r="R689" i="12"/>
  <c r="R690" i="12"/>
  <c r="R691" i="12"/>
  <c r="R692" i="12"/>
  <c r="R693" i="12"/>
  <c r="R694" i="12"/>
  <c r="R695" i="12"/>
  <c r="R696" i="12"/>
  <c r="R697" i="12"/>
  <c r="R698" i="12"/>
  <c r="R699" i="12"/>
  <c r="R700" i="12"/>
  <c r="R701" i="12"/>
  <c r="R702" i="12"/>
  <c r="R703" i="12"/>
  <c r="R704" i="12"/>
  <c r="R705" i="12"/>
  <c r="R706" i="12"/>
  <c r="R707" i="12"/>
  <c r="R708" i="12"/>
  <c r="R709" i="12"/>
  <c r="R710" i="12"/>
  <c r="R711" i="12"/>
  <c r="R712" i="12"/>
  <c r="R713" i="12"/>
  <c r="R714" i="12"/>
  <c r="R715" i="12"/>
  <c r="R716" i="12"/>
  <c r="R717" i="12"/>
  <c r="R718" i="12"/>
  <c r="R730" i="12"/>
  <c r="R731" i="12"/>
  <c r="R732" i="12"/>
  <c r="R733" i="12"/>
  <c r="R734" i="12"/>
  <c r="R735" i="12"/>
  <c r="R736" i="12"/>
  <c r="R737" i="12"/>
  <c r="R738" i="12"/>
  <c r="R739" i="12"/>
  <c r="R740" i="12"/>
  <c r="R741" i="12"/>
  <c r="R742" i="12"/>
  <c r="R743" i="12"/>
  <c r="R744" i="12"/>
  <c r="R745" i="12"/>
  <c r="R746" i="12"/>
  <c r="R747" i="12"/>
  <c r="R748" i="12"/>
  <c r="R749" i="12"/>
  <c r="R750" i="12"/>
  <c r="R751" i="12"/>
  <c r="R752" i="12"/>
  <c r="R753" i="12"/>
  <c r="R754" i="12"/>
  <c r="R755" i="12"/>
  <c r="R756" i="12"/>
  <c r="R757" i="12"/>
  <c r="R758" i="12"/>
  <c r="R759" i="12"/>
  <c r="R760" i="12"/>
  <c r="R761" i="12"/>
  <c r="R762" i="12"/>
  <c r="R763" i="12"/>
  <c r="R764" i="12"/>
  <c r="R765" i="12"/>
  <c r="R766" i="12"/>
  <c r="R767" i="12"/>
  <c r="R768" i="12"/>
  <c r="R769" i="12"/>
  <c r="R770" i="12"/>
  <c r="R771" i="12"/>
  <c r="R772" i="12"/>
  <c r="R773" i="12"/>
  <c r="R774" i="12"/>
  <c r="R775" i="12"/>
  <c r="R776" i="12"/>
  <c r="R777" i="12"/>
  <c r="R778" i="12"/>
  <c r="R779" i="12"/>
  <c r="R780" i="12"/>
  <c r="R781" i="12"/>
  <c r="R782" i="12"/>
  <c r="R783" i="12"/>
  <c r="R784" i="12"/>
  <c r="R785" i="12"/>
  <c r="R786" i="12"/>
  <c r="R787" i="12"/>
  <c r="R788" i="12"/>
  <c r="R789" i="12"/>
  <c r="R790" i="12"/>
  <c r="R791" i="12"/>
  <c r="R792" i="12"/>
  <c r="R793" i="12"/>
  <c r="R794" i="12"/>
  <c r="R795" i="12"/>
  <c r="R796" i="12"/>
  <c r="R797" i="12"/>
  <c r="R798" i="12"/>
  <c r="R799" i="12"/>
  <c r="R800" i="12"/>
  <c r="R801" i="12"/>
  <c r="R802" i="12"/>
  <c r="R803" i="12"/>
  <c r="R804" i="12"/>
  <c r="R805" i="12"/>
  <c r="R806" i="12"/>
  <c r="R807" i="12"/>
  <c r="R808" i="12"/>
  <c r="R809" i="12"/>
  <c r="R810" i="12"/>
  <c r="R811" i="12"/>
  <c r="R812" i="12"/>
  <c r="R813" i="12"/>
  <c r="R814" i="12"/>
  <c r="R815" i="12"/>
  <c r="R816" i="12"/>
  <c r="R817" i="12"/>
  <c r="R818" i="12"/>
  <c r="R819" i="12"/>
  <c r="R820" i="12"/>
  <c r="R821" i="12"/>
  <c r="R822" i="12"/>
  <c r="R823" i="12"/>
  <c r="R824" i="12"/>
  <c r="R825" i="12"/>
  <c r="R826" i="12"/>
  <c r="R827" i="12"/>
  <c r="R828" i="12"/>
  <c r="R829" i="12"/>
  <c r="R830" i="12"/>
  <c r="R831" i="12"/>
  <c r="R832" i="12"/>
  <c r="R833" i="12"/>
  <c r="R834" i="12"/>
  <c r="R835" i="12"/>
  <c r="R836" i="12"/>
  <c r="R837" i="12"/>
  <c r="R838" i="12"/>
  <c r="R839" i="12"/>
  <c r="R840" i="12"/>
  <c r="R841" i="12"/>
  <c r="R842" i="12"/>
  <c r="R843" i="12"/>
  <c r="R844" i="12"/>
  <c r="R845" i="12"/>
  <c r="R846" i="12"/>
  <c r="R847" i="12"/>
  <c r="R848" i="12"/>
  <c r="R849" i="12"/>
  <c r="R850" i="12"/>
  <c r="R851" i="12"/>
  <c r="R852" i="12"/>
  <c r="R853" i="12"/>
  <c r="R854" i="12"/>
  <c r="R855" i="12"/>
  <c r="R856" i="12"/>
  <c r="R857" i="12"/>
  <c r="R858" i="12"/>
  <c r="R859" i="12"/>
  <c r="R860" i="12"/>
  <c r="R861" i="12"/>
  <c r="R862" i="12"/>
  <c r="R863" i="12"/>
  <c r="R864" i="12"/>
  <c r="R865" i="12"/>
  <c r="R866" i="12"/>
  <c r="R867" i="12"/>
  <c r="R868" i="12"/>
  <c r="R869" i="12"/>
  <c r="R870" i="12"/>
  <c r="R871" i="12"/>
  <c r="R872" i="12"/>
  <c r="R873" i="12"/>
  <c r="R874" i="12"/>
  <c r="R875" i="12"/>
  <c r="R876" i="12"/>
  <c r="R877" i="12"/>
  <c r="R878" i="12"/>
  <c r="R879" i="12"/>
  <c r="R880" i="12"/>
  <c r="R881" i="12"/>
  <c r="R882" i="12"/>
  <c r="R883" i="12"/>
  <c r="R884" i="12"/>
  <c r="R885" i="12"/>
  <c r="R886" i="12"/>
  <c r="R887" i="12"/>
  <c r="R888" i="12"/>
  <c r="R889" i="12"/>
  <c r="R890" i="12"/>
  <c r="R891" i="12"/>
  <c r="R892" i="12"/>
  <c r="R893" i="12"/>
  <c r="R894" i="12"/>
  <c r="R895" i="12"/>
  <c r="R896" i="12"/>
  <c r="R897" i="12"/>
  <c r="R898" i="12"/>
  <c r="R899" i="12"/>
  <c r="R900" i="12"/>
  <c r="R901" i="12"/>
  <c r="R902" i="12"/>
  <c r="R903" i="12"/>
  <c r="R904" i="12"/>
  <c r="R905" i="12"/>
  <c r="R906" i="12"/>
  <c r="R907" i="12"/>
  <c r="R908" i="12"/>
  <c r="R909" i="12"/>
  <c r="R910" i="12"/>
  <c r="R911" i="12"/>
  <c r="R912" i="12"/>
  <c r="R913" i="12"/>
  <c r="R914" i="12"/>
  <c r="R915" i="12"/>
  <c r="R916" i="12"/>
  <c r="R917" i="12"/>
  <c r="R918" i="12"/>
  <c r="R919" i="12"/>
  <c r="R920" i="12"/>
  <c r="R921" i="12"/>
  <c r="R922" i="12"/>
  <c r="R923" i="12"/>
  <c r="R924" i="12"/>
  <c r="R925" i="12"/>
  <c r="R926" i="12"/>
  <c r="R927" i="12"/>
  <c r="R928" i="12"/>
  <c r="R929" i="12"/>
  <c r="R930" i="12"/>
  <c r="R931" i="12"/>
  <c r="R932" i="12"/>
  <c r="R933" i="12"/>
  <c r="R934" i="12"/>
  <c r="R935" i="12"/>
  <c r="R936" i="12"/>
  <c r="R937" i="12"/>
  <c r="R938" i="12"/>
  <c r="R939" i="12"/>
  <c r="R940" i="12"/>
  <c r="R941" i="12"/>
  <c r="R942" i="12"/>
  <c r="R943" i="12"/>
  <c r="R944" i="12"/>
  <c r="R945" i="12"/>
  <c r="R946" i="12"/>
  <c r="R947" i="12"/>
  <c r="R948" i="12"/>
  <c r="R949" i="12"/>
  <c r="R950" i="12"/>
  <c r="R951" i="12"/>
  <c r="R952" i="12"/>
  <c r="R953" i="12"/>
  <c r="R954" i="12"/>
  <c r="R955" i="12"/>
  <c r="R956" i="12"/>
  <c r="R957" i="12"/>
  <c r="R958" i="12"/>
  <c r="R959" i="12"/>
  <c r="R960" i="12"/>
  <c r="R961" i="12"/>
  <c r="R962" i="12"/>
  <c r="R963" i="12"/>
  <c r="R964" i="12"/>
  <c r="R965" i="12"/>
  <c r="R966" i="12"/>
  <c r="R967" i="12"/>
  <c r="R968" i="12"/>
  <c r="R969" i="12"/>
  <c r="R970" i="12"/>
  <c r="R971" i="12"/>
  <c r="R972" i="12"/>
  <c r="R973" i="12"/>
  <c r="R974" i="12"/>
  <c r="R975" i="12"/>
  <c r="R976" i="12"/>
  <c r="R977" i="12"/>
  <c r="R978" i="12"/>
  <c r="R979" i="12"/>
  <c r="R980" i="12"/>
  <c r="R981" i="12"/>
  <c r="R982" i="12"/>
  <c r="R983" i="12"/>
  <c r="R984" i="12"/>
  <c r="R985" i="12"/>
  <c r="R986" i="12"/>
  <c r="R987" i="12"/>
  <c r="R988" i="12"/>
  <c r="R989" i="12"/>
  <c r="R990" i="12"/>
  <c r="R991" i="12"/>
  <c r="R992" i="12"/>
  <c r="R993" i="12"/>
  <c r="R994" i="12"/>
  <c r="R995" i="12"/>
  <c r="R996" i="12"/>
  <c r="R997" i="12"/>
  <c r="R998" i="12"/>
  <c r="R999" i="12"/>
  <c r="R1000" i="12"/>
  <c r="R1001" i="12"/>
  <c r="R1002" i="12"/>
  <c r="R1003" i="12"/>
  <c r="R1004" i="12"/>
  <c r="R1005" i="12"/>
  <c r="R1006" i="12"/>
  <c r="R1007" i="12"/>
  <c r="R1008" i="12"/>
  <c r="R1009" i="12"/>
  <c r="R1010" i="12"/>
  <c r="R1011" i="12"/>
  <c r="R1012" i="12"/>
  <c r="R1013" i="12"/>
  <c r="R1014" i="12"/>
  <c r="R1015" i="12"/>
  <c r="R1016" i="12"/>
  <c r="R1017" i="12"/>
  <c r="R1018" i="12"/>
  <c r="R1019" i="12"/>
  <c r="R1020" i="12"/>
  <c r="R1021" i="12"/>
  <c r="R1022" i="12"/>
  <c r="R1023" i="12"/>
  <c r="R1024" i="12"/>
  <c r="R1025" i="12"/>
  <c r="R1026" i="12"/>
  <c r="R1027" i="12"/>
  <c r="R1028" i="12"/>
  <c r="R1029" i="12"/>
  <c r="R1030" i="12"/>
  <c r="R1031" i="12"/>
  <c r="R1032" i="12"/>
  <c r="R1033" i="12"/>
  <c r="R1034" i="12"/>
  <c r="R1035" i="12"/>
  <c r="R1036" i="12"/>
  <c r="R1037" i="12"/>
  <c r="R1038" i="12"/>
  <c r="R1039" i="12"/>
  <c r="R1040" i="12"/>
  <c r="R1041" i="12"/>
  <c r="R1042" i="12"/>
  <c r="R1043" i="12"/>
  <c r="R1044" i="12"/>
  <c r="R1045" i="12"/>
  <c r="R1046" i="12"/>
  <c r="R1047" i="12"/>
  <c r="R1048" i="12"/>
  <c r="R1049" i="12"/>
  <c r="R1050" i="12"/>
  <c r="R1051" i="12"/>
  <c r="R1052" i="12"/>
  <c r="R1053" i="12"/>
  <c r="R1054" i="12"/>
  <c r="R1055" i="12"/>
  <c r="R1056" i="12"/>
  <c r="R1057" i="12"/>
  <c r="R1058" i="12"/>
  <c r="R1059" i="12"/>
  <c r="R1060" i="12"/>
  <c r="R1061" i="12"/>
  <c r="R1062" i="12"/>
  <c r="R1063" i="12"/>
  <c r="R1064" i="12"/>
  <c r="R1065" i="12"/>
  <c r="R1066" i="12"/>
  <c r="R1067" i="12"/>
  <c r="R1068" i="12"/>
  <c r="R1069" i="12"/>
  <c r="R1070" i="12"/>
  <c r="R1071" i="12"/>
  <c r="R1072" i="12"/>
  <c r="R1073" i="12"/>
  <c r="R1074" i="12"/>
  <c r="R1075" i="12"/>
  <c r="R1076" i="12"/>
  <c r="R1077" i="12"/>
  <c r="R1078" i="12"/>
  <c r="R1079" i="12"/>
  <c r="R1080" i="12"/>
  <c r="R1081" i="12"/>
  <c r="R1082" i="12"/>
  <c r="R1083" i="12"/>
  <c r="R1084" i="12"/>
  <c r="R1085" i="12"/>
  <c r="R1086" i="12"/>
  <c r="R1087" i="12"/>
  <c r="R1088" i="12"/>
  <c r="R1089" i="12"/>
  <c r="R1090" i="12"/>
  <c r="R1091" i="12"/>
  <c r="R1092" i="12"/>
  <c r="R1093" i="12"/>
  <c r="R1094" i="12"/>
  <c r="R1095" i="12"/>
  <c r="R1096" i="12"/>
  <c r="R1097" i="12"/>
  <c r="R1098" i="12"/>
  <c r="R1099" i="12"/>
  <c r="R1100" i="12"/>
  <c r="R1101" i="12"/>
  <c r="R1102" i="12"/>
  <c r="R1103" i="12"/>
  <c r="R1104" i="12"/>
  <c r="R1105" i="12"/>
  <c r="R1106" i="12"/>
  <c r="R1107" i="12"/>
  <c r="R1108" i="12"/>
  <c r="R1109" i="12"/>
  <c r="R1110" i="12"/>
  <c r="R1111" i="12"/>
  <c r="R1112" i="12"/>
  <c r="R1113" i="12"/>
  <c r="R1114" i="12"/>
  <c r="R1115" i="12"/>
  <c r="R1116" i="12"/>
  <c r="R1117" i="12"/>
  <c r="R1118" i="12"/>
  <c r="R1119" i="12"/>
  <c r="R1120" i="12"/>
  <c r="R1121" i="12"/>
  <c r="R1122" i="12"/>
  <c r="R1123" i="12"/>
  <c r="R1124" i="12"/>
  <c r="R1125" i="12"/>
  <c r="R1126" i="12"/>
  <c r="R1127" i="12"/>
  <c r="R1128" i="12"/>
  <c r="R1129" i="12"/>
  <c r="R1130" i="12"/>
  <c r="R1131" i="12"/>
  <c r="R1132" i="12"/>
  <c r="R1133" i="12"/>
  <c r="R1136" i="12"/>
  <c r="R1137" i="12"/>
  <c r="R1140" i="12"/>
  <c r="R1141" i="12"/>
  <c r="R1142" i="12"/>
  <c r="R1143" i="12"/>
  <c r="R1144" i="12"/>
  <c r="R1145" i="12"/>
  <c r="R1146" i="12"/>
  <c r="R1147" i="12"/>
  <c r="R1148" i="12"/>
  <c r="R1149" i="12"/>
  <c r="R1150" i="12"/>
  <c r="R1151" i="12"/>
  <c r="R1152" i="12"/>
  <c r="R1153" i="12"/>
  <c r="R1154" i="12"/>
  <c r="R1155" i="12"/>
  <c r="R1156" i="12"/>
  <c r="R1157" i="12"/>
  <c r="R1158" i="12"/>
  <c r="R1159" i="12"/>
  <c r="Q5" i="12"/>
  <c r="Q6" i="12"/>
  <c r="Q7" i="12"/>
  <c r="Q8" i="12"/>
  <c r="Q9" i="12"/>
  <c r="Q10" i="12"/>
  <c r="Q11" i="12"/>
  <c r="Q12" i="12"/>
  <c r="Q13" i="12"/>
  <c r="Q14" i="12"/>
  <c r="Q15" i="12"/>
  <c r="Q16" i="12"/>
  <c r="Q17" i="12"/>
  <c r="Q18" i="12"/>
  <c r="Q19" i="12"/>
  <c r="Q20" i="12"/>
  <c r="Q21" i="12"/>
  <c r="Q22" i="12"/>
  <c r="Q23" i="12"/>
  <c r="Q24" i="12"/>
  <c r="Q25" i="12"/>
  <c r="Q26" i="12"/>
  <c r="Q27" i="12"/>
  <c r="Q28" i="12"/>
  <c r="Q29" i="12"/>
  <c r="Q30" i="12"/>
  <c r="Q31" i="12"/>
  <c r="Q32" i="12"/>
  <c r="Q33" i="12"/>
  <c r="Q34" i="12"/>
  <c r="Q35" i="12"/>
  <c r="Q36" i="12"/>
  <c r="Q37" i="12"/>
  <c r="Q38" i="12"/>
  <c r="Q39" i="12"/>
  <c r="Q40" i="12"/>
  <c r="Q41" i="12"/>
  <c r="Q42" i="12"/>
  <c r="Q43" i="12"/>
  <c r="Q44" i="12"/>
  <c r="Q45" i="12"/>
  <c r="Q46" i="12"/>
  <c r="Q47" i="12"/>
  <c r="Q48" i="12"/>
  <c r="Q49" i="12"/>
  <c r="Q50" i="12"/>
  <c r="Q51" i="12"/>
  <c r="Q52" i="12"/>
  <c r="Q53" i="12"/>
  <c r="Q54" i="12"/>
  <c r="Q55" i="12"/>
  <c r="Q56" i="12"/>
  <c r="Q57" i="12"/>
  <c r="Q58" i="12"/>
  <c r="Q59" i="12"/>
  <c r="Q60" i="12"/>
  <c r="Q61" i="12"/>
  <c r="Q62" i="12"/>
  <c r="Q63" i="12"/>
  <c r="Q64" i="12"/>
  <c r="Q65" i="12"/>
  <c r="Q66" i="12"/>
  <c r="Q67" i="12"/>
  <c r="Q68" i="12"/>
  <c r="Q69" i="12"/>
  <c r="Q70" i="12"/>
  <c r="Q71" i="12"/>
  <c r="Q72" i="12"/>
  <c r="Q73" i="12"/>
  <c r="Q74" i="12"/>
  <c r="Q75" i="12"/>
  <c r="Q76" i="12"/>
  <c r="Q77" i="12"/>
  <c r="Q78" i="12"/>
  <c r="Q79" i="12"/>
  <c r="Q80" i="12"/>
  <c r="Q81" i="12"/>
  <c r="Q82" i="12"/>
  <c r="Q83" i="12"/>
  <c r="Q84" i="12"/>
  <c r="Q85" i="12"/>
  <c r="Q86" i="12"/>
  <c r="Q87" i="12"/>
  <c r="Q88" i="12"/>
  <c r="Q89" i="12"/>
  <c r="Q90" i="12"/>
  <c r="Q91" i="12"/>
  <c r="Q92" i="12"/>
  <c r="Q93" i="12"/>
  <c r="Q94" i="12"/>
  <c r="Q95" i="12"/>
  <c r="Q96" i="12"/>
  <c r="Q97" i="12"/>
  <c r="Q98" i="12"/>
  <c r="Q99" i="12"/>
  <c r="Q100" i="12"/>
  <c r="Q101" i="12"/>
  <c r="Q102" i="12"/>
  <c r="Q103" i="12"/>
  <c r="Q104" i="12"/>
  <c r="Q105" i="12"/>
  <c r="Q106" i="12"/>
  <c r="Q107" i="12"/>
  <c r="Q108" i="12"/>
  <c r="Q109" i="12"/>
  <c r="Q110" i="12"/>
  <c r="Q111" i="12"/>
  <c r="Q112" i="12"/>
  <c r="Q113" i="12"/>
  <c r="Q114" i="12"/>
  <c r="Q115" i="12"/>
  <c r="Q116" i="12"/>
  <c r="Q117" i="12"/>
  <c r="Q118" i="12"/>
  <c r="Q119" i="12"/>
  <c r="Q120" i="12"/>
  <c r="Q121" i="12"/>
  <c r="Q122" i="12"/>
  <c r="Q123" i="12"/>
  <c r="Q124" i="12"/>
  <c r="Q125" i="12"/>
  <c r="Q126" i="12"/>
  <c r="Q127" i="12"/>
  <c r="Q128" i="12"/>
  <c r="Q129" i="12"/>
  <c r="Q130" i="12"/>
  <c r="Q131" i="12"/>
  <c r="Q132" i="12"/>
  <c r="Q133" i="12"/>
  <c r="Q134" i="12"/>
  <c r="Q135" i="12"/>
  <c r="Q136" i="12"/>
  <c r="Q137" i="12"/>
  <c r="Q138" i="12"/>
  <c r="Q139" i="12"/>
  <c r="Q140" i="12"/>
  <c r="Q141" i="12"/>
  <c r="Q142" i="12"/>
  <c r="Q143" i="12"/>
  <c r="Q144" i="12"/>
  <c r="Q145" i="12"/>
  <c r="Q146" i="12"/>
  <c r="Q147" i="12"/>
  <c r="Q148" i="12"/>
  <c r="Q149" i="12"/>
  <c r="Q150" i="12"/>
  <c r="Q151" i="12"/>
  <c r="Q152" i="12"/>
  <c r="Q153" i="12"/>
  <c r="Q154" i="12"/>
  <c r="Q155" i="12"/>
  <c r="Q156" i="12"/>
  <c r="Q157" i="12"/>
  <c r="Q158" i="12"/>
  <c r="Q159" i="12"/>
  <c r="Q160" i="12"/>
  <c r="Q161" i="12"/>
  <c r="Q162" i="12"/>
  <c r="Q163" i="12"/>
  <c r="Q164" i="12"/>
  <c r="Q165" i="12"/>
  <c r="Q166" i="12"/>
  <c r="Q167" i="12"/>
  <c r="Q168" i="12"/>
  <c r="Q169" i="12"/>
  <c r="Q170" i="12"/>
  <c r="Q171" i="12"/>
  <c r="Q172" i="12"/>
  <c r="Q173" i="12"/>
  <c r="Q174" i="12"/>
  <c r="Q175" i="12"/>
  <c r="Q176" i="12"/>
  <c r="Q177" i="12"/>
  <c r="Q178" i="12"/>
  <c r="Q179" i="12"/>
  <c r="Q180" i="12"/>
  <c r="Q181" i="12"/>
  <c r="Q182" i="12"/>
  <c r="Q183" i="12"/>
  <c r="Q184" i="12"/>
  <c r="Q185" i="12"/>
  <c r="Q186" i="12"/>
  <c r="Q187" i="12"/>
  <c r="Q188" i="12"/>
  <c r="Q189" i="12"/>
  <c r="Q190" i="12"/>
  <c r="Q191" i="12"/>
  <c r="Q192" i="12"/>
  <c r="Q193" i="12"/>
  <c r="Q194" i="12"/>
  <c r="Q195" i="12"/>
  <c r="Q196" i="12"/>
  <c r="Q197" i="12"/>
  <c r="Q198" i="12"/>
  <c r="Q199" i="12"/>
  <c r="Q200" i="12"/>
  <c r="Q201" i="12"/>
  <c r="Q202" i="12"/>
  <c r="Q203" i="12"/>
  <c r="Q204" i="12"/>
  <c r="Q205" i="12"/>
  <c r="Q206" i="12"/>
  <c r="Q207" i="12"/>
  <c r="Q208" i="12"/>
  <c r="Q209" i="12"/>
  <c r="Q210" i="12"/>
  <c r="Q211" i="12"/>
  <c r="Q212" i="12"/>
  <c r="Q213" i="12"/>
  <c r="Q214" i="12"/>
  <c r="Q215" i="12"/>
  <c r="Q216" i="12"/>
  <c r="Q217" i="12"/>
  <c r="Q218" i="12"/>
  <c r="Q219" i="12"/>
  <c r="Q220" i="12"/>
  <c r="Q221" i="12"/>
  <c r="Q222" i="12"/>
  <c r="Q223" i="12"/>
  <c r="Q224" i="12"/>
  <c r="Q225" i="12"/>
  <c r="Q226" i="12"/>
  <c r="Q227" i="12"/>
  <c r="Q228" i="12"/>
  <c r="Q229" i="12"/>
  <c r="Q230" i="12"/>
  <c r="Q231" i="12"/>
  <c r="Q232" i="12"/>
  <c r="Q233" i="12"/>
  <c r="Q234" i="12"/>
  <c r="Q235" i="12"/>
  <c r="Q236" i="12"/>
  <c r="Q237" i="12"/>
  <c r="Q238" i="12"/>
  <c r="Q239" i="12"/>
  <c r="Q240" i="12"/>
  <c r="Q241" i="12"/>
  <c r="Q242" i="12"/>
  <c r="Q243" i="12"/>
  <c r="Q244" i="12"/>
  <c r="Q245" i="12"/>
  <c r="Q246" i="12"/>
  <c r="Q247" i="12"/>
  <c r="Q248" i="12"/>
  <c r="Q249" i="12"/>
  <c r="Q250" i="12"/>
  <c r="Q251" i="12"/>
  <c r="Q252" i="12"/>
  <c r="Q253" i="12"/>
  <c r="Q254" i="12"/>
  <c r="Q255" i="12"/>
  <c r="Q256" i="12"/>
  <c r="Q257" i="12"/>
  <c r="Q258" i="12"/>
  <c r="Q259" i="12"/>
  <c r="Q260" i="12"/>
  <c r="Q261" i="12"/>
  <c r="Q262" i="12"/>
  <c r="Q263" i="12"/>
  <c r="Q264" i="12"/>
  <c r="Q265" i="12"/>
  <c r="Q266" i="12"/>
  <c r="Q267" i="12"/>
  <c r="Q268" i="12"/>
  <c r="Q269" i="12"/>
  <c r="Q270" i="12"/>
  <c r="Q271" i="12"/>
  <c r="Q272" i="12"/>
  <c r="Q273" i="12"/>
  <c r="Q274" i="12"/>
  <c r="Q275" i="12"/>
  <c r="Q276" i="12"/>
  <c r="Q277" i="12"/>
  <c r="Q278" i="12"/>
  <c r="Q279" i="12"/>
  <c r="Q280" i="12"/>
  <c r="Q281" i="12"/>
  <c r="Q282" i="12"/>
  <c r="Q283" i="12"/>
  <c r="Q284" i="12"/>
  <c r="Q285" i="12"/>
  <c r="Q286" i="12"/>
  <c r="Q287" i="12"/>
  <c r="Q288" i="12"/>
  <c r="Q289" i="12"/>
  <c r="Q290" i="12"/>
  <c r="Q291" i="12"/>
  <c r="Q292" i="12"/>
  <c r="Q293" i="12"/>
  <c r="Q294" i="12"/>
  <c r="Q295" i="12"/>
  <c r="Q296" i="12"/>
  <c r="Q297" i="12"/>
  <c r="Q298" i="12"/>
  <c r="Q299" i="12"/>
  <c r="Q300" i="12"/>
  <c r="Q301" i="12"/>
  <c r="Q302" i="12"/>
  <c r="Q303" i="12"/>
  <c r="Q304" i="12"/>
  <c r="Q305" i="12"/>
  <c r="Q306" i="12"/>
  <c r="Q307" i="12"/>
  <c r="Q308" i="12"/>
  <c r="Q309" i="12"/>
  <c r="Q310" i="12"/>
  <c r="Q311" i="12"/>
  <c r="Q312" i="12"/>
  <c r="Q313" i="12"/>
  <c r="Q314" i="12"/>
  <c r="Q315" i="12"/>
  <c r="Q316" i="12"/>
  <c r="Q317" i="12"/>
  <c r="Q318" i="12"/>
  <c r="Q319" i="12"/>
  <c r="Q320" i="12"/>
  <c r="Q321" i="12"/>
  <c r="Q322" i="12"/>
  <c r="Q323" i="12"/>
  <c r="Q324" i="12"/>
  <c r="Q325" i="12"/>
  <c r="Q326" i="12"/>
  <c r="Q327" i="12"/>
  <c r="Q328" i="12"/>
  <c r="Q329" i="12"/>
  <c r="Q330" i="12"/>
  <c r="Q331" i="12"/>
  <c r="Q332" i="12"/>
  <c r="Q333" i="12"/>
  <c r="Q334" i="12"/>
  <c r="Q335" i="12"/>
  <c r="Q336" i="12"/>
  <c r="Q337" i="12"/>
  <c r="Q338" i="12"/>
  <c r="Q339" i="12"/>
  <c r="Q340" i="12"/>
  <c r="Q341" i="12"/>
  <c r="Q342" i="12"/>
  <c r="Q343" i="12"/>
  <c r="Q344" i="12"/>
  <c r="Q345" i="12"/>
  <c r="Q346" i="12"/>
  <c r="Q347" i="12"/>
  <c r="Q348" i="12"/>
  <c r="Q349" i="12"/>
  <c r="Q350" i="12"/>
  <c r="Q351" i="12"/>
  <c r="Q352" i="12"/>
  <c r="Q353" i="12"/>
  <c r="Q354" i="12"/>
  <c r="Q355" i="12"/>
  <c r="Q356" i="12"/>
  <c r="Q357" i="12"/>
  <c r="Q358" i="12"/>
  <c r="Q359" i="12"/>
  <c r="Q360" i="12"/>
  <c r="Q361" i="12"/>
  <c r="Q362" i="12"/>
  <c r="Q363" i="12"/>
  <c r="Q364" i="12"/>
  <c r="Q365" i="12"/>
  <c r="Q366" i="12"/>
  <c r="Q367" i="12"/>
  <c r="Q368" i="12"/>
  <c r="Q369" i="12"/>
  <c r="Q370" i="12"/>
  <c r="Q371" i="12"/>
  <c r="Q372" i="12"/>
  <c r="Q373" i="12"/>
  <c r="Q374" i="12"/>
  <c r="Q375" i="12"/>
  <c r="Q376" i="12"/>
  <c r="Q377" i="12"/>
  <c r="Q378" i="12"/>
  <c r="Q379" i="12"/>
  <c r="Q380" i="12"/>
  <c r="Q381" i="12"/>
  <c r="Q382" i="12"/>
  <c r="Q383" i="12"/>
  <c r="Q384" i="12"/>
  <c r="Q385" i="12"/>
  <c r="Q386" i="12"/>
  <c r="Q387" i="12"/>
  <c r="Q388" i="12"/>
  <c r="Q389" i="12"/>
  <c r="Q390" i="12"/>
  <c r="Q391" i="12"/>
  <c r="Q392" i="12"/>
  <c r="Q393" i="12"/>
  <c r="Q394" i="12"/>
  <c r="Q395" i="12"/>
  <c r="Q396" i="12"/>
  <c r="Q397" i="12"/>
  <c r="Q398" i="12"/>
  <c r="Q399" i="12"/>
  <c r="Q400" i="12"/>
  <c r="Q401" i="12"/>
  <c r="Q402" i="12"/>
  <c r="Q403" i="12"/>
  <c r="Q404" i="12"/>
  <c r="Q405" i="12"/>
  <c r="Q406" i="12"/>
  <c r="Q407" i="12"/>
  <c r="Q408" i="12"/>
  <c r="Q409" i="12"/>
  <c r="Q410" i="12"/>
  <c r="Q411" i="12"/>
  <c r="Q412" i="12"/>
  <c r="Q413" i="12"/>
  <c r="Q414" i="12"/>
  <c r="Q415" i="12"/>
  <c r="Q416" i="12"/>
  <c r="Q417" i="12"/>
  <c r="Q418" i="12"/>
  <c r="Q419" i="12"/>
  <c r="Q420" i="12"/>
  <c r="Q421" i="12"/>
  <c r="Q422" i="12"/>
  <c r="Q423" i="12"/>
  <c r="Q424" i="12"/>
  <c r="Q425" i="12"/>
  <c r="Q426" i="12"/>
  <c r="Q427" i="12"/>
  <c r="Q428" i="12"/>
  <c r="Q429" i="12"/>
  <c r="Q430" i="12"/>
  <c r="Q431" i="12"/>
  <c r="Q432" i="12"/>
  <c r="Q433" i="12"/>
  <c r="Q434" i="12"/>
  <c r="Q435" i="12"/>
  <c r="Q436" i="12"/>
  <c r="Q437" i="12"/>
  <c r="Q438" i="12"/>
  <c r="Q439" i="12"/>
  <c r="Q440" i="12"/>
  <c r="Q441" i="12"/>
  <c r="Q442" i="12"/>
  <c r="Q443" i="12"/>
  <c r="Q444" i="12"/>
  <c r="Q445" i="12"/>
  <c r="Q446" i="12"/>
  <c r="Q447" i="12"/>
  <c r="Q448" i="12"/>
  <c r="Q449" i="12"/>
  <c r="Q450" i="12"/>
  <c r="Q451" i="12"/>
  <c r="Q452" i="12"/>
  <c r="Q453" i="12"/>
  <c r="Q454" i="12"/>
  <c r="Q455" i="12"/>
  <c r="Q456" i="12"/>
  <c r="Q457" i="12"/>
  <c r="Q458" i="12"/>
  <c r="Q459" i="12"/>
  <c r="Q460" i="12"/>
  <c r="Q461" i="12"/>
  <c r="Q462" i="12"/>
  <c r="Q463" i="12"/>
  <c r="Q464" i="12"/>
  <c r="Q465" i="12"/>
  <c r="Q466" i="12"/>
  <c r="Q467" i="12"/>
  <c r="Q468" i="12"/>
  <c r="Q469" i="12"/>
  <c r="Q470" i="12"/>
  <c r="Q471" i="12"/>
  <c r="Q472" i="12"/>
  <c r="Q473" i="12"/>
  <c r="Q474" i="12"/>
  <c r="Q475" i="12"/>
  <c r="Q476" i="12"/>
  <c r="Q477" i="12"/>
  <c r="Q478" i="12"/>
  <c r="Q479" i="12"/>
  <c r="Q480" i="12"/>
  <c r="Q481" i="12"/>
  <c r="Q482" i="12"/>
  <c r="Q483" i="12"/>
  <c r="Q484" i="12"/>
  <c r="Q485" i="12"/>
  <c r="Q486" i="12"/>
  <c r="Q487" i="12"/>
  <c r="Q488" i="12"/>
  <c r="Q489" i="12"/>
  <c r="Q492" i="12"/>
  <c r="Q493" i="12"/>
  <c r="Q494" i="12"/>
  <c r="Q495" i="12"/>
  <c r="Q496" i="12"/>
  <c r="Q497" i="12"/>
  <c r="Q498" i="12"/>
  <c r="Q499" i="12"/>
  <c r="Q500" i="12"/>
  <c r="Q501" i="12"/>
  <c r="Q502" i="12"/>
  <c r="Q503" i="12"/>
  <c r="Q504" i="12"/>
  <c r="Q505" i="12"/>
  <c r="Q506" i="12"/>
  <c r="Q507" i="12"/>
  <c r="Q508" i="12"/>
  <c r="Q509" i="12"/>
  <c r="Q510" i="12"/>
  <c r="Q511" i="12"/>
  <c r="Q512" i="12"/>
  <c r="Q513" i="12"/>
  <c r="Q514" i="12"/>
  <c r="Q515" i="12"/>
  <c r="Q516" i="12"/>
  <c r="Q517" i="12"/>
  <c r="Q518" i="12"/>
  <c r="Q519" i="12"/>
  <c r="Q520" i="12"/>
  <c r="Q521" i="12"/>
  <c r="Q522" i="12"/>
  <c r="Q523" i="12"/>
  <c r="Q524" i="12"/>
  <c r="Q525" i="12"/>
  <c r="Q526" i="12"/>
  <c r="Q527" i="12"/>
  <c r="Q528" i="12"/>
  <c r="Q529" i="12"/>
  <c r="Q530" i="12"/>
  <c r="Q531" i="12"/>
  <c r="Q532" i="12"/>
  <c r="Q533" i="12"/>
  <c r="Q534" i="12"/>
  <c r="Q535" i="12"/>
  <c r="Q536" i="12"/>
  <c r="Q537" i="12"/>
  <c r="Q538" i="12"/>
  <c r="Q539" i="12"/>
  <c r="Q540" i="12"/>
  <c r="Q541" i="12"/>
  <c r="Q542" i="12"/>
  <c r="Q543" i="12"/>
  <c r="Q544" i="12"/>
  <c r="Q545" i="12"/>
  <c r="Q546" i="12"/>
  <c r="Q547" i="12"/>
  <c r="Q548" i="12"/>
  <c r="Q549" i="12"/>
  <c r="Q550" i="12"/>
  <c r="Q551" i="12"/>
  <c r="Q552" i="12"/>
  <c r="Q553" i="12"/>
  <c r="Q554" i="12"/>
  <c r="Q555" i="12"/>
  <c r="Q556" i="12"/>
  <c r="Q557" i="12"/>
  <c r="Q558" i="12"/>
  <c r="Q559" i="12"/>
  <c r="Q560" i="12"/>
  <c r="Q561" i="12"/>
  <c r="Q562" i="12"/>
  <c r="Q563" i="12"/>
  <c r="Q564" i="12"/>
  <c r="Q565" i="12"/>
  <c r="Q566" i="12"/>
  <c r="Q567" i="12"/>
  <c r="Q568" i="12"/>
  <c r="Q569" i="12"/>
  <c r="Q570" i="12"/>
  <c r="Q571" i="12"/>
  <c r="Q572" i="12"/>
  <c r="Q573" i="12"/>
  <c r="Q574" i="12"/>
  <c r="Q575" i="12"/>
  <c r="Q576" i="12"/>
  <c r="Q577" i="12"/>
  <c r="Q578" i="12"/>
  <c r="Q579" i="12"/>
  <c r="Q580" i="12"/>
  <c r="Q581" i="12"/>
  <c r="Q582" i="12"/>
  <c r="Q583" i="12"/>
  <c r="Q584" i="12"/>
  <c r="Q585" i="12"/>
  <c r="Q586" i="12"/>
  <c r="Q587" i="12"/>
  <c r="Q588" i="12"/>
  <c r="Q589" i="12"/>
  <c r="Q590" i="12"/>
  <c r="Q591" i="12"/>
  <c r="Q592" i="12"/>
  <c r="Q593" i="12"/>
  <c r="Q594" i="12"/>
  <c r="Q595" i="12"/>
  <c r="Q596" i="12"/>
  <c r="Q597" i="12"/>
  <c r="Q598" i="12"/>
  <c r="Q599" i="12"/>
  <c r="Q600" i="12"/>
  <c r="Q601" i="12"/>
  <c r="Q602" i="12"/>
  <c r="Q603" i="12"/>
  <c r="Q604" i="12"/>
  <c r="Q605" i="12"/>
  <c r="Q606" i="12"/>
  <c r="Q607" i="12"/>
  <c r="Q608" i="12"/>
  <c r="Q609" i="12"/>
  <c r="Q610" i="12"/>
  <c r="Q611" i="12"/>
  <c r="Q612" i="12"/>
  <c r="Q613" i="12"/>
  <c r="Q614" i="12"/>
  <c r="Q615" i="12"/>
  <c r="Q616" i="12"/>
  <c r="Q617" i="12"/>
  <c r="Q618" i="12"/>
  <c r="Q619" i="12"/>
  <c r="Q620" i="12"/>
  <c r="Q621" i="12"/>
  <c r="Q622" i="12"/>
  <c r="Q623" i="12"/>
  <c r="Q624" i="12"/>
  <c r="Q625" i="12"/>
  <c r="Q626" i="12"/>
  <c r="Q627" i="12"/>
  <c r="Q628" i="12"/>
  <c r="Q629" i="12"/>
  <c r="Q630" i="12"/>
  <c r="Q631" i="12"/>
  <c r="Q632" i="12"/>
  <c r="Q633" i="12"/>
  <c r="Q634" i="12"/>
  <c r="Q635" i="12"/>
  <c r="Q636" i="12"/>
  <c r="Q637" i="12"/>
  <c r="Q638" i="12"/>
  <c r="Q639" i="12"/>
  <c r="Q640" i="12"/>
  <c r="Q641" i="12"/>
  <c r="Q642" i="12"/>
  <c r="Q643" i="12"/>
  <c r="Q644" i="12"/>
  <c r="Q645" i="12"/>
  <c r="Q646" i="12"/>
  <c r="Q647" i="12"/>
  <c r="Q648" i="12"/>
  <c r="Q649" i="12"/>
  <c r="Q650" i="12"/>
  <c r="Q651" i="12"/>
  <c r="Q652" i="12"/>
  <c r="Q653" i="12"/>
  <c r="Q654" i="12"/>
  <c r="Q655" i="12"/>
  <c r="Q656" i="12"/>
  <c r="Q657" i="12"/>
  <c r="Q658" i="12"/>
  <c r="Q659" i="12"/>
  <c r="Q660" i="12"/>
  <c r="Q661" i="12"/>
  <c r="Q662" i="12"/>
  <c r="Q663" i="12"/>
  <c r="Q664" i="12"/>
  <c r="Q665" i="12"/>
  <c r="Q666" i="12"/>
  <c r="Q667" i="12"/>
  <c r="Q668" i="12"/>
  <c r="Q669" i="12"/>
  <c r="Q670" i="12"/>
  <c r="Q671" i="12"/>
  <c r="Q672" i="12"/>
  <c r="Q673" i="12"/>
  <c r="Q674" i="12"/>
  <c r="Q675" i="12"/>
  <c r="Q676" i="12"/>
  <c r="Q677" i="12"/>
  <c r="Q678" i="12"/>
  <c r="Q679" i="12"/>
  <c r="Q680" i="12"/>
  <c r="Q681" i="12"/>
  <c r="Q682" i="12"/>
  <c r="Q683" i="12"/>
  <c r="Q684" i="12"/>
  <c r="Q685" i="12"/>
  <c r="Q686" i="12"/>
  <c r="Q687" i="12"/>
  <c r="Q688" i="12"/>
  <c r="Q689" i="12"/>
  <c r="Q690" i="12"/>
  <c r="Q691" i="12"/>
  <c r="Q692" i="12"/>
  <c r="Q693" i="12"/>
  <c r="Q694" i="12"/>
  <c r="Q695" i="12"/>
  <c r="Q696" i="12"/>
  <c r="Q697" i="12"/>
  <c r="Q698" i="12"/>
  <c r="Q699" i="12"/>
  <c r="Q700" i="12"/>
  <c r="Q701" i="12"/>
  <c r="Q702" i="12"/>
  <c r="Q703" i="12"/>
  <c r="Q704" i="12"/>
  <c r="Q705" i="12"/>
  <c r="Q706" i="12"/>
  <c r="Q707" i="12"/>
  <c r="Q708" i="12"/>
  <c r="Q709" i="12"/>
  <c r="Q710" i="12"/>
  <c r="Q711" i="12"/>
  <c r="Q712" i="12"/>
  <c r="Q713" i="12"/>
  <c r="Q714" i="12"/>
  <c r="Q715" i="12"/>
  <c r="Q716" i="12"/>
  <c r="Q717" i="12"/>
  <c r="Q718" i="12"/>
  <c r="Q730" i="12"/>
  <c r="Q731" i="12"/>
  <c r="Q732" i="12"/>
  <c r="Q733" i="12"/>
  <c r="Q734" i="12"/>
  <c r="Q735" i="12"/>
  <c r="Q736" i="12"/>
  <c r="Q737" i="12"/>
  <c r="Q738" i="12"/>
  <c r="Q739" i="12"/>
  <c r="Q740" i="12"/>
  <c r="Q741" i="12"/>
  <c r="Q742" i="12"/>
  <c r="Q743" i="12"/>
  <c r="Q744" i="12"/>
  <c r="Q745" i="12"/>
  <c r="Q746" i="12"/>
  <c r="Q747" i="12"/>
  <c r="Q748" i="12"/>
  <c r="Q749" i="12"/>
  <c r="Q750" i="12"/>
  <c r="Q751" i="12"/>
  <c r="Q752" i="12"/>
  <c r="Q753" i="12"/>
  <c r="Q754" i="12"/>
  <c r="Q755" i="12"/>
  <c r="Q756" i="12"/>
  <c r="Q757" i="12"/>
  <c r="Q758" i="12"/>
  <c r="Q759" i="12"/>
  <c r="Q760" i="12"/>
  <c r="Q761" i="12"/>
  <c r="Q762" i="12"/>
  <c r="Q763" i="12"/>
  <c r="Q764" i="12"/>
  <c r="Q765" i="12"/>
  <c r="Q766" i="12"/>
  <c r="Q767" i="12"/>
  <c r="Q768" i="12"/>
  <c r="Q769" i="12"/>
  <c r="Q770" i="12"/>
  <c r="Q771" i="12"/>
  <c r="Q772" i="12"/>
  <c r="Q773" i="12"/>
  <c r="Q774" i="12"/>
  <c r="Q775" i="12"/>
  <c r="Q776" i="12"/>
  <c r="Q777" i="12"/>
  <c r="Q778" i="12"/>
  <c r="Q779" i="12"/>
  <c r="Q780" i="12"/>
  <c r="Q781" i="12"/>
  <c r="Q782" i="12"/>
  <c r="Q783" i="12"/>
  <c r="Q784" i="12"/>
  <c r="Q785" i="12"/>
  <c r="Q786" i="12"/>
  <c r="Q787" i="12"/>
  <c r="Q788" i="12"/>
  <c r="Q789" i="12"/>
  <c r="Q790" i="12"/>
  <c r="Q791" i="12"/>
  <c r="Q792" i="12"/>
  <c r="Q793" i="12"/>
  <c r="Q794" i="12"/>
  <c r="Q795" i="12"/>
  <c r="Q796" i="12"/>
  <c r="Q797" i="12"/>
  <c r="Q798" i="12"/>
  <c r="Q799" i="12"/>
  <c r="Q800" i="12"/>
  <c r="Q801" i="12"/>
  <c r="Q802" i="12"/>
  <c r="Q803" i="12"/>
  <c r="Q804" i="12"/>
  <c r="Q805" i="12"/>
  <c r="Q806" i="12"/>
  <c r="Q807" i="12"/>
  <c r="Q808" i="12"/>
  <c r="Q809" i="12"/>
  <c r="Q810" i="12"/>
  <c r="Q811" i="12"/>
  <c r="Q812" i="12"/>
  <c r="Q813" i="12"/>
  <c r="Q814" i="12"/>
  <c r="Q815" i="12"/>
  <c r="Q816" i="12"/>
  <c r="Q817" i="12"/>
  <c r="Q818" i="12"/>
  <c r="Q819" i="12"/>
  <c r="Q820" i="12"/>
  <c r="Q821" i="12"/>
  <c r="Q822" i="12"/>
  <c r="Q823" i="12"/>
  <c r="Q824" i="12"/>
  <c r="Q825" i="12"/>
  <c r="Q826" i="12"/>
  <c r="Q827" i="12"/>
  <c r="Q828" i="12"/>
  <c r="Q829" i="12"/>
  <c r="Q830" i="12"/>
  <c r="Q831" i="12"/>
  <c r="Q832" i="12"/>
  <c r="Q833" i="12"/>
  <c r="Q834" i="12"/>
  <c r="Q835" i="12"/>
  <c r="Q836" i="12"/>
  <c r="Q837" i="12"/>
  <c r="Q838" i="12"/>
  <c r="Q839" i="12"/>
  <c r="Q840" i="12"/>
  <c r="Q841" i="12"/>
  <c r="Q842" i="12"/>
  <c r="Q843" i="12"/>
  <c r="Q844" i="12"/>
  <c r="Q845" i="12"/>
  <c r="Q846" i="12"/>
  <c r="Q847" i="12"/>
  <c r="Q848" i="12"/>
  <c r="Q849" i="12"/>
  <c r="Q850" i="12"/>
  <c r="Q851" i="12"/>
  <c r="Q852" i="12"/>
  <c r="Q853" i="12"/>
  <c r="Q854" i="12"/>
  <c r="Q855" i="12"/>
  <c r="Q856" i="12"/>
  <c r="Q857" i="12"/>
  <c r="Q858" i="12"/>
  <c r="Q859" i="12"/>
  <c r="Q860" i="12"/>
  <c r="Q861" i="12"/>
  <c r="Q862" i="12"/>
  <c r="Q863" i="12"/>
  <c r="Q864" i="12"/>
  <c r="Q865" i="12"/>
  <c r="Q866" i="12"/>
  <c r="Q867" i="12"/>
  <c r="Q868" i="12"/>
  <c r="Q869" i="12"/>
  <c r="Q870" i="12"/>
  <c r="Q871" i="12"/>
  <c r="Q872" i="12"/>
  <c r="Q873" i="12"/>
  <c r="Q874" i="12"/>
  <c r="Q875" i="12"/>
  <c r="Q876" i="12"/>
  <c r="Q877" i="12"/>
  <c r="Q878" i="12"/>
  <c r="Q879" i="12"/>
  <c r="Q880" i="12"/>
  <c r="Q881" i="12"/>
  <c r="Q882" i="12"/>
  <c r="Q883" i="12"/>
  <c r="Q884" i="12"/>
  <c r="Q885" i="12"/>
  <c r="Q886" i="12"/>
  <c r="Q887" i="12"/>
  <c r="Q888" i="12"/>
  <c r="Q889" i="12"/>
  <c r="Q890" i="12"/>
  <c r="Q891" i="12"/>
  <c r="Q892" i="12"/>
  <c r="Q893" i="12"/>
  <c r="Q894" i="12"/>
  <c r="Q895" i="12"/>
  <c r="Q896" i="12"/>
  <c r="Q897" i="12"/>
  <c r="Q898" i="12"/>
  <c r="Q899" i="12"/>
  <c r="Q900" i="12"/>
  <c r="Q901" i="12"/>
  <c r="Q902" i="12"/>
  <c r="Q903" i="12"/>
  <c r="Q904" i="12"/>
  <c r="Q905" i="12"/>
  <c r="Q906" i="12"/>
  <c r="Q907" i="12"/>
  <c r="Q908" i="12"/>
  <c r="Q909" i="12"/>
  <c r="Q910" i="12"/>
  <c r="Q911" i="12"/>
  <c r="Q912" i="12"/>
  <c r="Q913" i="12"/>
  <c r="Q914" i="12"/>
  <c r="Q915" i="12"/>
  <c r="Q916" i="12"/>
  <c r="Q917" i="12"/>
  <c r="Q918" i="12"/>
  <c r="Q919" i="12"/>
  <c r="Q920" i="12"/>
  <c r="Q921" i="12"/>
  <c r="Q922" i="12"/>
  <c r="Q923" i="12"/>
  <c r="Q924" i="12"/>
  <c r="Q925" i="12"/>
  <c r="Q926" i="12"/>
  <c r="Q927" i="12"/>
  <c r="Q928" i="12"/>
  <c r="Q929" i="12"/>
  <c r="Q930" i="12"/>
  <c r="Q931" i="12"/>
  <c r="Q932" i="12"/>
  <c r="Q933" i="12"/>
  <c r="Q934" i="12"/>
  <c r="Q935" i="12"/>
  <c r="Q936" i="12"/>
  <c r="Q937" i="12"/>
  <c r="Q938" i="12"/>
  <c r="Q939" i="12"/>
  <c r="Q940" i="12"/>
  <c r="Q941" i="12"/>
  <c r="Q942" i="12"/>
  <c r="Q943" i="12"/>
  <c r="Q944" i="12"/>
  <c r="Q945" i="12"/>
  <c r="Q946" i="12"/>
  <c r="Q947" i="12"/>
  <c r="Q948" i="12"/>
  <c r="Q949" i="12"/>
  <c r="Q950" i="12"/>
  <c r="Q951" i="12"/>
  <c r="Q952" i="12"/>
  <c r="Q953" i="12"/>
  <c r="Q954" i="12"/>
  <c r="Q955" i="12"/>
  <c r="Q956" i="12"/>
  <c r="Q957" i="12"/>
  <c r="Q958" i="12"/>
  <c r="Q959" i="12"/>
  <c r="Q960" i="12"/>
  <c r="Q961" i="12"/>
  <c r="Q962" i="12"/>
  <c r="Q963" i="12"/>
  <c r="Q964" i="12"/>
  <c r="Q965" i="12"/>
  <c r="Q966" i="12"/>
  <c r="Q967" i="12"/>
  <c r="Q968" i="12"/>
  <c r="Q969" i="12"/>
  <c r="Q970" i="12"/>
  <c r="Q971" i="12"/>
  <c r="Q972" i="12"/>
  <c r="Q973" i="12"/>
  <c r="Q974" i="12"/>
  <c r="Q975" i="12"/>
  <c r="Q976" i="12"/>
  <c r="Q977" i="12"/>
  <c r="Q978" i="12"/>
  <c r="Q979" i="12"/>
  <c r="Q980" i="12"/>
  <c r="Q981" i="12"/>
  <c r="Q982" i="12"/>
  <c r="Q983" i="12"/>
  <c r="Q984" i="12"/>
  <c r="Q985" i="12"/>
  <c r="Q986" i="12"/>
  <c r="Q987" i="12"/>
  <c r="Q988" i="12"/>
  <c r="Q989" i="12"/>
  <c r="Q990" i="12"/>
  <c r="Q991" i="12"/>
  <c r="Q992" i="12"/>
  <c r="Q993" i="12"/>
  <c r="Q994" i="12"/>
  <c r="Q995" i="12"/>
  <c r="Q996" i="12"/>
  <c r="Q997" i="12"/>
  <c r="Q998" i="12"/>
  <c r="Q999" i="12"/>
  <c r="Q1000" i="12"/>
  <c r="Q1001" i="12"/>
  <c r="Q1002" i="12"/>
  <c r="Q1003" i="12"/>
  <c r="Q1004" i="12"/>
  <c r="Q1005" i="12"/>
  <c r="Q1006" i="12"/>
  <c r="Q1007" i="12"/>
  <c r="Q1008" i="12"/>
  <c r="Q1009" i="12"/>
  <c r="Q1010" i="12"/>
  <c r="Q1011" i="12"/>
  <c r="Q1012" i="12"/>
  <c r="Q1013" i="12"/>
  <c r="Q1014" i="12"/>
  <c r="Q1015" i="12"/>
  <c r="Q1016" i="12"/>
  <c r="Q1017" i="12"/>
  <c r="Q1018" i="12"/>
  <c r="Q1019" i="12"/>
  <c r="Q1020" i="12"/>
  <c r="Q1021" i="12"/>
  <c r="Q1022" i="12"/>
  <c r="Q1023" i="12"/>
  <c r="Q1024" i="12"/>
  <c r="Q1025" i="12"/>
  <c r="Q1026" i="12"/>
  <c r="Q1027" i="12"/>
  <c r="Q1028" i="12"/>
  <c r="Q1029" i="12"/>
  <c r="Q1030" i="12"/>
  <c r="Q1031" i="12"/>
  <c r="Q1032" i="12"/>
  <c r="Q1033" i="12"/>
  <c r="Q1034" i="12"/>
  <c r="Q1035" i="12"/>
  <c r="Q1036" i="12"/>
  <c r="Q1037" i="12"/>
  <c r="Q1038" i="12"/>
  <c r="Q1039" i="12"/>
  <c r="Q1040" i="12"/>
  <c r="Q1041" i="12"/>
  <c r="Q1042" i="12"/>
  <c r="Q1043" i="12"/>
  <c r="Q1044" i="12"/>
  <c r="Q1045" i="12"/>
  <c r="Q1046" i="12"/>
  <c r="Q1047" i="12"/>
  <c r="Q1048" i="12"/>
  <c r="Q1049" i="12"/>
  <c r="Q1050" i="12"/>
  <c r="Q1051" i="12"/>
  <c r="Q1052" i="12"/>
  <c r="Q1053" i="12"/>
  <c r="Q1054" i="12"/>
  <c r="Q1055" i="12"/>
  <c r="Q1056" i="12"/>
  <c r="Q1057" i="12"/>
  <c r="Q1058" i="12"/>
  <c r="Q1059" i="12"/>
  <c r="Q1060" i="12"/>
  <c r="Q1061" i="12"/>
  <c r="Q1062" i="12"/>
  <c r="Q1063" i="12"/>
  <c r="Q1064" i="12"/>
  <c r="Q1065" i="12"/>
  <c r="Q1066" i="12"/>
  <c r="Q1067" i="12"/>
  <c r="Q1068" i="12"/>
  <c r="Q1069" i="12"/>
  <c r="Q1070" i="12"/>
  <c r="Q1071" i="12"/>
  <c r="Q1072" i="12"/>
  <c r="Q1073" i="12"/>
  <c r="Q1074" i="12"/>
  <c r="Q1075" i="12"/>
  <c r="Q1076" i="12"/>
  <c r="Q1077" i="12"/>
  <c r="Q1078" i="12"/>
  <c r="Q1079" i="12"/>
  <c r="Q1080" i="12"/>
  <c r="Q1081" i="12"/>
  <c r="Q1082" i="12"/>
  <c r="Q1083" i="12"/>
  <c r="Q1084" i="12"/>
  <c r="Q1085" i="12"/>
  <c r="Q1086" i="12"/>
  <c r="Q1087" i="12"/>
  <c r="Q1088" i="12"/>
  <c r="Q1089" i="12"/>
  <c r="Q1090" i="12"/>
  <c r="Q1091" i="12"/>
  <c r="Q1092" i="12"/>
  <c r="Q1093" i="12"/>
  <c r="Q1094" i="12"/>
  <c r="Q1095" i="12"/>
  <c r="Q1096" i="12"/>
  <c r="Q1097" i="12"/>
  <c r="Q1098" i="12"/>
  <c r="Q1099" i="12"/>
  <c r="Q1100" i="12"/>
  <c r="Q1101" i="12"/>
  <c r="Q1102" i="12"/>
  <c r="Q1103" i="12"/>
  <c r="Q1104" i="12"/>
  <c r="Q1105" i="12"/>
  <c r="Q1106" i="12"/>
  <c r="Q1107" i="12"/>
  <c r="Q1108" i="12"/>
  <c r="Q1109" i="12"/>
  <c r="Q1110" i="12"/>
  <c r="Q1111" i="12"/>
  <c r="Q1112" i="12"/>
  <c r="Q1113" i="12"/>
  <c r="Q1114" i="12"/>
  <c r="Q1115" i="12"/>
  <c r="Q1116" i="12"/>
  <c r="Q1117" i="12"/>
  <c r="Q1118" i="12"/>
  <c r="Q1119" i="12"/>
  <c r="Q1120" i="12"/>
  <c r="Q1121" i="12"/>
  <c r="Q1122" i="12"/>
  <c r="Q1123" i="12"/>
  <c r="Q1124" i="12"/>
  <c r="Q1125" i="12"/>
  <c r="Q1126" i="12"/>
  <c r="Q1127" i="12"/>
  <c r="Q1128" i="12"/>
  <c r="Q1129" i="12"/>
  <c r="Q1130" i="12"/>
  <c r="Q1131" i="12"/>
  <c r="Q1132" i="12"/>
  <c r="Q1133" i="12"/>
  <c r="Q1136" i="12"/>
  <c r="Q1137" i="12"/>
  <c r="Q1140" i="12"/>
  <c r="Q1141" i="12"/>
  <c r="Q1142" i="12"/>
  <c r="Q1143" i="12"/>
  <c r="Q1144" i="12"/>
  <c r="Q1145" i="12"/>
  <c r="Q1146" i="12"/>
  <c r="Q1147" i="12"/>
  <c r="Q1148" i="12"/>
  <c r="Q1149" i="12"/>
  <c r="Q1150" i="12"/>
  <c r="Q1151" i="12"/>
  <c r="Q1152" i="12"/>
  <c r="Q1153" i="12"/>
  <c r="Q1154" i="12"/>
  <c r="Q1155" i="12"/>
  <c r="Q1156" i="12"/>
  <c r="Q1157" i="12"/>
  <c r="Q1158" i="12"/>
  <c r="Q1159" i="12"/>
  <c r="P5" i="12"/>
  <c r="P6" i="12"/>
  <c r="P7" i="12"/>
  <c r="P8" i="12"/>
  <c r="P9" i="12"/>
  <c r="P10" i="12"/>
  <c r="P11" i="12"/>
  <c r="P12" i="12"/>
  <c r="P13" i="12"/>
  <c r="P14" i="12"/>
  <c r="P15" i="12"/>
  <c r="P16" i="12"/>
  <c r="P17" i="12"/>
  <c r="P18" i="12"/>
  <c r="P19" i="12"/>
  <c r="P20" i="12"/>
  <c r="P21" i="12"/>
  <c r="P22" i="12"/>
  <c r="P23" i="12"/>
  <c r="P24" i="12"/>
  <c r="P25" i="12"/>
  <c r="P26" i="12"/>
  <c r="P27" i="12"/>
  <c r="P28" i="12"/>
  <c r="P29" i="12"/>
  <c r="P30" i="12"/>
  <c r="P31" i="12"/>
  <c r="P32" i="12"/>
  <c r="P33" i="12"/>
  <c r="P34" i="12"/>
  <c r="P35" i="12"/>
  <c r="P36" i="12"/>
  <c r="P37" i="12"/>
  <c r="P38" i="12"/>
  <c r="P39" i="12"/>
  <c r="P40" i="12"/>
  <c r="P41" i="12"/>
  <c r="P42" i="12"/>
  <c r="P43" i="12"/>
  <c r="P44" i="12"/>
  <c r="P45" i="12"/>
  <c r="P46" i="12"/>
  <c r="P47" i="12"/>
  <c r="P48" i="12"/>
  <c r="P49" i="12"/>
  <c r="P50" i="12"/>
  <c r="P51" i="12"/>
  <c r="P52" i="12"/>
  <c r="P53" i="12"/>
  <c r="P54" i="12"/>
  <c r="P55" i="12"/>
  <c r="P56" i="12"/>
  <c r="P57" i="12"/>
  <c r="P58" i="12"/>
  <c r="P59" i="12"/>
  <c r="P60" i="12"/>
  <c r="P61" i="12"/>
  <c r="P62" i="12"/>
  <c r="P63" i="12"/>
  <c r="P64" i="12"/>
  <c r="P65" i="12"/>
  <c r="P66" i="12"/>
  <c r="P67" i="12"/>
  <c r="P68" i="12"/>
  <c r="P69" i="12"/>
  <c r="P70" i="12"/>
  <c r="P71" i="12"/>
  <c r="P72" i="12"/>
  <c r="P73" i="12"/>
  <c r="P74" i="12"/>
  <c r="P75" i="12"/>
  <c r="P76" i="12"/>
  <c r="P77" i="12"/>
  <c r="P78" i="12"/>
  <c r="P79" i="12"/>
  <c r="P80" i="12"/>
  <c r="P81" i="12"/>
  <c r="P82" i="12"/>
  <c r="P83" i="12"/>
  <c r="P84" i="12"/>
  <c r="P85" i="12"/>
  <c r="P86" i="12"/>
  <c r="P87" i="12"/>
  <c r="P88" i="12"/>
  <c r="P89" i="12"/>
  <c r="P90" i="12"/>
  <c r="P91" i="12"/>
  <c r="P92" i="12"/>
  <c r="P93" i="12"/>
  <c r="P94" i="12"/>
  <c r="P95" i="12"/>
  <c r="P96" i="12"/>
  <c r="P97" i="12"/>
  <c r="P98" i="12"/>
  <c r="P99" i="12"/>
  <c r="P100" i="12"/>
  <c r="P101" i="12"/>
  <c r="P102" i="12"/>
  <c r="P103" i="12"/>
  <c r="P104" i="12"/>
  <c r="P105" i="12"/>
  <c r="P106" i="12"/>
  <c r="P107" i="12"/>
  <c r="P108" i="12"/>
  <c r="P109" i="12"/>
  <c r="P110" i="12"/>
  <c r="P111" i="12"/>
  <c r="P112" i="12"/>
  <c r="P113" i="12"/>
  <c r="P114" i="12"/>
  <c r="P115" i="12"/>
  <c r="P116" i="12"/>
  <c r="P117" i="12"/>
  <c r="P118" i="12"/>
  <c r="P119" i="12"/>
  <c r="P120" i="12"/>
  <c r="P121" i="12"/>
  <c r="P122" i="12"/>
  <c r="P123" i="12"/>
  <c r="P124" i="12"/>
  <c r="P125" i="12"/>
  <c r="P126" i="12"/>
  <c r="P127" i="12"/>
  <c r="P128" i="12"/>
  <c r="P129" i="12"/>
  <c r="P130" i="12"/>
  <c r="P131" i="12"/>
  <c r="P132" i="12"/>
  <c r="P133" i="12"/>
  <c r="P134" i="12"/>
  <c r="P135" i="12"/>
  <c r="P136" i="12"/>
  <c r="P137" i="12"/>
  <c r="P138" i="12"/>
  <c r="P139" i="12"/>
  <c r="P140" i="12"/>
  <c r="P141" i="12"/>
  <c r="P142" i="12"/>
  <c r="P143" i="12"/>
  <c r="P144" i="12"/>
  <c r="P145" i="12"/>
  <c r="P146" i="12"/>
  <c r="P147" i="12"/>
  <c r="P148" i="12"/>
  <c r="P149" i="12"/>
  <c r="P150" i="12"/>
  <c r="P151" i="12"/>
  <c r="P152" i="12"/>
  <c r="P153" i="12"/>
  <c r="P154" i="12"/>
  <c r="P155" i="12"/>
  <c r="P156" i="12"/>
  <c r="P157" i="12"/>
  <c r="P158" i="12"/>
  <c r="P159" i="12"/>
  <c r="P160" i="12"/>
  <c r="P161" i="12"/>
  <c r="P162" i="12"/>
  <c r="P163" i="12"/>
  <c r="P164" i="12"/>
  <c r="P165" i="12"/>
  <c r="P166" i="12"/>
  <c r="P167" i="12"/>
  <c r="P168" i="12"/>
  <c r="P169" i="12"/>
  <c r="P170" i="12"/>
  <c r="P171" i="12"/>
  <c r="P172" i="12"/>
  <c r="P173" i="12"/>
  <c r="P174" i="12"/>
  <c r="P175" i="12"/>
  <c r="P176" i="12"/>
  <c r="P177" i="12"/>
  <c r="P178" i="12"/>
  <c r="P179" i="12"/>
  <c r="P180" i="12"/>
  <c r="P181" i="12"/>
  <c r="P182" i="12"/>
  <c r="P183" i="12"/>
  <c r="P184" i="12"/>
  <c r="P185" i="12"/>
  <c r="P186" i="12"/>
  <c r="P187" i="12"/>
  <c r="P188" i="12"/>
  <c r="P189" i="12"/>
  <c r="P190" i="12"/>
  <c r="P191" i="12"/>
  <c r="P192" i="12"/>
  <c r="P193" i="12"/>
  <c r="P194" i="12"/>
  <c r="P195" i="12"/>
  <c r="P196" i="12"/>
  <c r="P197" i="12"/>
  <c r="P198" i="12"/>
  <c r="P199" i="12"/>
  <c r="P200" i="12"/>
  <c r="P201" i="12"/>
  <c r="P202" i="12"/>
  <c r="P203" i="12"/>
  <c r="P204" i="12"/>
  <c r="P205" i="12"/>
  <c r="P206" i="12"/>
  <c r="P207" i="12"/>
  <c r="P208" i="12"/>
  <c r="P209" i="12"/>
  <c r="P210" i="12"/>
  <c r="P211" i="12"/>
  <c r="P212" i="12"/>
  <c r="P213" i="12"/>
  <c r="P214" i="12"/>
  <c r="P215" i="12"/>
  <c r="P216" i="12"/>
  <c r="P217" i="12"/>
  <c r="P218" i="12"/>
  <c r="P219" i="12"/>
  <c r="P220" i="12"/>
  <c r="P221" i="12"/>
  <c r="P222" i="12"/>
  <c r="P223" i="12"/>
  <c r="P224" i="12"/>
  <c r="P225" i="12"/>
  <c r="P226" i="12"/>
  <c r="P227" i="12"/>
  <c r="P228" i="12"/>
  <c r="P229" i="12"/>
  <c r="P230" i="12"/>
  <c r="P231" i="12"/>
  <c r="P232" i="12"/>
  <c r="P233" i="12"/>
  <c r="P234" i="12"/>
  <c r="P235" i="12"/>
  <c r="P236" i="12"/>
  <c r="P237" i="12"/>
  <c r="P238" i="12"/>
  <c r="P239" i="12"/>
  <c r="P240" i="12"/>
  <c r="P241" i="12"/>
  <c r="P242" i="12"/>
  <c r="P243" i="12"/>
  <c r="P244" i="12"/>
  <c r="P245" i="12"/>
  <c r="P246" i="12"/>
  <c r="P247" i="12"/>
  <c r="P248" i="12"/>
  <c r="P249" i="12"/>
  <c r="P250" i="12"/>
  <c r="P251" i="12"/>
  <c r="P252" i="12"/>
  <c r="P253" i="12"/>
  <c r="P254" i="12"/>
  <c r="P255" i="12"/>
  <c r="P256" i="12"/>
  <c r="P257" i="12"/>
  <c r="P258" i="12"/>
  <c r="P259" i="12"/>
  <c r="P260" i="12"/>
  <c r="P261" i="12"/>
  <c r="P262" i="12"/>
  <c r="P263" i="12"/>
  <c r="P264" i="12"/>
  <c r="P265" i="12"/>
  <c r="P266" i="12"/>
  <c r="P267" i="12"/>
  <c r="P268" i="12"/>
  <c r="P269" i="12"/>
  <c r="P270" i="12"/>
  <c r="P271" i="12"/>
  <c r="P272" i="12"/>
  <c r="P273" i="12"/>
  <c r="P274" i="12"/>
  <c r="P275" i="12"/>
  <c r="P276" i="12"/>
  <c r="P277" i="12"/>
  <c r="P278" i="12"/>
  <c r="P279" i="12"/>
  <c r="P280" i="12"/>
  <c r="P281" i="12"/>
  <c r="P282" i="12"/>
  <c r="P283" i="12"/>
  <c r="P284" i="12"/>
  <c r="P285" i="12"/>
  <c r="P286" i="12"/>
  <c r="P287" i="12"/>
  <c r="P288" i="12"/>
  <c r="P289" i="12"/>
  <c r="P290" i="12"/>
  <c r="P291" i="12"/>
  <c r="P292" i="12"/>
  <c r="P293" i="12"/>
  <c r="P294" i="12"/>
  <c r="P295" i="12"/>
  <c r="P296" i="12"/>
  <c r="P297" i="12"/>
  <c r="P298" i="12"/>
  <c r="P299" i="12"/>
  <c r="P300" i="12"/>
  <c r="P301" i="12"/>
  <c r="P302" i="12"/>
  <c r="P303" i="12"/>
  <c r="P304" i="12"/>
  <c r="P305" i="12"/>
  <c r="P306" i="12"/>
  <c r="P307" i="12"/>
  <c r="P308" i="12"/>
  <c r="P309" i="12"/>
  <c r="P310" i="12"/>
  <c r="P311" i="12"/>
  <c r="P312" i="12"/>
  <c r="P313" i="12"/>
  <c r="P314" i="12"/>
  <c r="P315" i="12"/>
  <c r="P316" i="12"/>
  <c r="P317" i="12"/>
  <c r="P318" i="12"/>
  <c r="P319" i="12"/>
  <c r="P320" i="12"/>
  <c r="P321" i="12"/>
  <c r="P322" i="12"/>
  <c r="P323" i="12"/>
  <c r="P324" i="12"/>
  <c r="P325" i="12"/>
  <c r="P326" i="12"/>
  <c r="P327" i="12"/>
  <c r="P328" i="12"/>
  <c r="P329" i="12"/>
  <c r="P330" i="12"/>
  <c r="P331" i="12"/>
  <c r="P332" i="12"/>
  <c r="P333" i="12"/>
  <c r="P334" i="12"/>
  <c r="P335" i="12"/>
  <c r="P336" i="12"/>
  <c r="P337" i="12"/>
  <c r="P338" i="12"/>
  <c r="P339" i="12"/>
  <c r="P340" i="12"/>
  <c r="P341" i="12"/>
  <c r="P342" i="12"/>
  <c r="P343" i="12"/>
  <c r="P344" i="12"/>
  <c r="P345" i="12"/>
  <c r="P346" i="12"/>
  <c r="P347" i="12"/>
  <c r="P348" i="12"/>
  <c r="P349" i="12"/>
  <c r="P350" i="12"/>
  <c r="P351" i="12"/>
  <c r="P352" i="12"/>
  <c r="P353" i="12"/>
  <c r="P354" i="12"/>
  <c r="P355" i="12"/>
  <c r="P356" i="12"/>
  <c r="P357" i="12"/>
  <c r="P358" i="12"/>
  <c r="P359" i="12"/>
  <c r="P360" i="12"/>
  <c r="P361" i="12"/>
  <c r="P362" i="12"/>
  <c r="P363" i="12"/>
  <c r="P364" i="12"/>
  <c r="P365" i="12"/>
  <c r="P366" i="12"/>
  <c r="P367" i="12"/>
  <c r="P368" i="12"/>
  <c r="P369" i="12"/>
  <c r="P370" i="12"/>
  <c r="P371" i="12"/>
  <c r="P372" i="12"/>
  <c r="P373" i="12"/>
  <c r="P374" i="12"/>
  <c r="P375" i="12"/>
  <c r="P376" i="12"/>
  <c r="P377" i="12"/>
  <c r="P378" i="12"/>
  <c r="P379" i="12"/>
  <c r="P380" i="12"/>
  <c r="P381" i="12"/>
  <c r="P382" i="12"/>
  <c r="P383" i="12"/>
  <c r="P384" i="12"/>
  <c r="P385" i="12"/>
  <c r="P386" i="12"/>
  <c r="P387" i="12"/>
  <c r="P388" i="12"/>
  <c r="P389" i="12"/>
  <c r="P390" i="12"/>
  <c r="P391" i="12"/>
  <c r="P392" i="12"/>
  <c r="P393" i="12"/>
  <c r="P394" i="12"/>
  <c r="P395" i="12"/>
  <c r="P396" i="12"/>
  <c r="P397" i="12"/>
  <c r="P398" i="12"/>
  <c r="P399" i="12"/>
  <c r="P400" i="12"/>
  <c r="P401" i="12"/>
  <c r="P402" i="12"/>
  <c r="P403" i="12"/>
  <c r="P404" i="12"/>
  <c r="P405" i="12"/>
  <c r="P406" i="12"/>
  <c r="P407" i="12"/>
  <c r="P408" i="12"/>
  <c r="P409" i="12"/>
  <c r="P410" i="12"/>
  <c r="P411" i="12"/>
  <c r="P412" i="12"/>
  <c r="P413" i="12"/>
  <c r="P414" i="12"/>
  <c r="P415" i="12"/>
  <c r="P416" i="12"/>
  <c r="P417" i="12"/>
  <c r="P418" i="12"/>
  <c r="P419" i="12"/>
  <c r="P420" i="12"/>
  <c r="P421" i="12"/>
  <c r="P422" i="12"/>
  <c r="P423" i="12"/>
  <c r="P424" i="12"/>
  <c r="P425" i="12"/>
  <c r="P426" i="12"/>
  <c r="P427" i="12"/>
  <c r="P428" i="12"/>
  <c r="P429" i="12"/>
  <c r="P430" i="12"/>
  <c r="P431" i="12"/>
  <c r="P432" i="12"/>
  <c r="P433" i="12"/>
  <c r="P434" i="12"/>
  <c r="P435" i="12"/>
  <c r="P436" i="12"/>
  <c r="P437" i="12"/>
  <c r="P438" i="12"/>
  <c r="P439" i="12"/>
  <c r="P440" i="12"/>
  <c r="P441" i="12"/>
  <c r="P442" i="12"/>
  <c r="P443" i="12"/>
  <c r="P444" i="12"/>
  <c r="P445" i="12"/>
  <c r="P446" i="12"/>
  <c r="P447" i="12"/>
  <c r="P448" i="12"/>
  <c r="P449" i="12"/>
  <c r="P450" i="12"/>
  <c r="P451" i="12"/>
  <c r="P452" i="12"/>
  <c r="P453" i="12"/>
  <c r="P454" i="12"/>
  <c r="P455" i="12"/>
  <c r="P456" i="12"/>
  <c r="P457" i="12"/>
  <c r="P458" i="12"/>
  <c r="P459" i="12"/>
  <c r="P460" i="12"/>
  <c r="P461" i="12"/>
  <c r="P462" i="12"/>
  <c r="P463" i="12"/>
  <c r="P464" i="12"/>
  <c r="P465" i="12"/>
  <c r="P466" i="12"/>
  <c r="P467" i="12"/>
  <c r="P468" i="12"/>
  <c r="P469" i="12"/>
  <c r="P470" i="12"/>
  <c r="P471" i="12"/>
  <c r="P472" i="12"/>
  <c r="P473" i="12"/>
  <c r="P474" i="12"/>
  <c r="P475" i="12"/>
  <c r="P476" i="12"/>
  <c r="P477" i="12"/>
  <c r="P478" i="12"/>
  <c r="P479" i="12"/>
  <c r="P480" i="12"/>
  <c r="P481" i="12"/>
  <c r="P482" i="12"/>
  <c r="P483" i="12"/>
  <c r="P484" i="12"/>
  <c r="P485" i="12"/>
  <c r="P486" i="12"/>
  <c r="P487" i="12"/>
  <c r="P488" i="12"/>
  <c r="P489" i="12"/>
  <c r="P492" i="12"/>
  <c r="P493" i="12"/>
  <c r="P494" i="12"/>
  <c r="P495" i="12"/>
  <c r="P496" i="12"/>
  <c r="P497" i="12"/>
  <c r="P498" i="12"/>
  <c r="P499" i="12"/>
  <c r="P500" i="12"/>
  <c r="P501" i="12"/>
  <c r="P502" i="12"/>
  <c r="P503" i="12"/>
  <c r="P504" i="12"/>
  <c r="P505" i="12"/>
  <c r="P506" i="12"/>
  <c r="P507" i="12"/>
  <c r="P508" i="12"/>
  <c r="P509" i="12"/>
  <c r="P510" i="12"/>
  <c r="P511" i="12"/>
  <c r="P512" i="12"/>
  <c r="P513" i="12"/>
  <c r="P514" i="12"/>
  <c r="P515" i="12"/>
  <c r="P516" i="12"/>
  <c r="P517" i="12"/>
  <c r="P518" i="12"/>
  <c r="P519" i="12"/>
  <c r="P520" i="12"/>
  <c r="P521" i="12"/>
  <c r="P522" i="12"/>
  <c r="P523" i="12"/>
  <c r="P524" i="12"/>
  <c r="P525" i="12"/>
  <c r="P526" i="12"/>
  <c r="P527" i="12"/>
  <c r="P528" i="12"/>
  <c r="P529" i="12"/>
  <c r="P530" i="12"/>
  <c r="P531" i="12"/>
  <c r="P532" i="12"/>
  <c r="P533" i="12"/>
  <c r="P534" i="12"/>
  <c r="P535" i="12"/>
  <c r="P536" i="12"/>
  <c r="P537" i="12"/>
  <c r="P538" i="12"/>
  <c r="P539" i="12"/>
  <c r="P540" i="12"/>
  <c r="P541" i="12"/>
  <c r="P542" i="12"/>
  <c r="P543" i="12"/>
  <c r="P544" i="12"/>
  <c r="P545" i="12"/>
  <c r="P546" i="12"/>
  <c r="P547" i="12"/>
  <c r="P548" i="12"/>
  <c r="P549" i="12"/>
  <c r="P550" i="12"/>
  <c r="P551" i="12"/>
  <c r="P552" i="12"/>
  <c r="P553" i="12"/>
  <c r="P554" i="12"/>
  <c r="P555" i="12"/>
  <c r="P556" i="12"/>
  <c r="P557" i="12"/>
  <c r="P558" i="12"/>
  <c r="P559" i="12"/>
  <c r="P560" i="12"/>
  <c r="P561" i="12"/>
  <c r="P562" i="12"/>
  <c r="P563" i="12"/>
  <c r="P564" i="12"/>
  <c r="P565" i="12"/>
  <c r="P566" i="12"/>
  <c r="P567" i="12"/>
  <c r="P568" i="12"/>
  <c r="P569" i="12"/>
  <c r="P570" i="12"/>
  <c r="P571" i="12"/>
  <c r="P572" i="12"/>
  <c r="P573" i="12"/>
  <c r="P574" i="12"/>
  <c r="P575" i="12"/>
  <c r="P576" i="12"/>
  <c r="P577" i="12"/>
  <c r="P578" i="12"/>
  <c r="P579" i="12"/>
  <c r="P580" i="12"/>
  <c r="P581" i="12"/>
  <c r="P582" i="12"/>
  <c r="P583" i="12"/>
  <c r="P584" i="12"/>
  <c r="P585" i="12"/>
  <c r="P586" i="12"/>
  <c r="P587" i="12"/>
  <c r="P588" i="12"/>
  <c r="P589" i="12"/>
  <c r="P590" i="12"/>
  <c r="P591" i="12"/>
  <c r="P592" i="12"/>
  <c r="P593" i="12"/>
  <c r="P594" i="12"/>
  <c r="P595" i="12"/>
  <c r="P596" i="12"/>
  <c r="P597" i="12"/>
  <c r="P598" i="12"/>
  <c r="P599" i="12"/>
  <c r="P600" i="12"/>
  <c r="P601" i="12"/>
  <c r="P602" i="12"/>
  <c r="P603" i="12"/>
  <c r="P604" i="12"/>
  <c r="P605" i="12"/>
  <c r="P606" i="12"/>
  <c r="P607" i="12"/>
  <c r="P608" i="12"/>
  <c r="P609" i="12"/>
  <c r="P610" i="12"/>
  <c r="P611" i="12"/>
  <c r="P612" i="12"/>
  <c r="P613" i="12"/>
  <c r="P614" i="12"/>
  <c r="P615" i="12"/>
  <c r="P616" i="12"/>
  <c r="P617" i="12"/>
  <c r="P618" i="12"/>
  <c r="P619" i="12"/>
  <c r="P620" i="12"/>
  <c r="P621" i="12"/>
  <c r="P622" i="12"/>
  <c r="P623" i="12"/>
  <c r="P624" i="12"/>
  <c r="P625" i="12"/>
  <c r="P626" i="12"/>
  <c r="P627" i="12"/>
  <c r="P628" i="12"/>
  <c r="P629" i="12"/>
  <c r="P630" i="12"/>
  <c r="P631" i="12"/>
  <c r="P632" i="12"/>
  <c r="P633" i="12"/>
  <c r="P634" i="12"/>
  <c r="P635" i="12"/>
  <c r="P636" i="12"/>
  <c r="P637" i="12"/>
  <c r="P638" i="12"/>
  <c r="P639" i="12"/>
  <c r="P640" i="12"/>
  <c r="P641" i="12"/>
  <c r="P642" i="12"/>
  <c r="P643" i="12"/>
  <c r="P644" i="12"/>
  <c r="P645" i="12"/>
  <c r="P646" i="12"/>
  <c r="P647" i="12"/>
  <c r="P648" i="12"/>
  <c r="P649" i="12"/>
  <c r="P650" i="12"/>
  <c r="P651" i="12"/>
  <c r="P652" i="12"/>
  <c r="P653" i="12"/>
  <c r="P654" i="12"/>
  <c r="P655" i="12"/>
  <c r="P656" i="12"/>
  <c r="P657" i="12"/>
  <c r="P658" i="12"/>
  <c r="P659" i="12"/>
  <c r="P660" i="12"/>
  <c r="P661" i="12"/>
  <c r="P662" i="12"/>
  <c r="P663" i="12"/>
  <c r="P664" i="12"/>
  <c r="P665" i="12"/>
  <c r="P666" i="12"/>
  <c r="P667" i="12"/>
  <c r="P668" i="12"/>
  <c r="P669" i="12"/>
  <c r="P670" i="12"/>
  <c r="P671" i="12"/>
  <c r="P672" i="12"/>
  <c r="P673" i="12"/>
  <c r="P674" i="12"/>
  <c r="P675" i="12"/>
  <c r="P676" i="12"/>
  <c r="P677" i="12"/>
  <c r="P678" i="12"/>
  <c r="P679" i="12"/>
  <c r="P680" i="12"/>
  <c r="P681" i="12"/>
  <c r="P682" i="12"/>
  <c r="P683" i="12"/>
  <c r="P684" i="12"/>
  <c r="P685" i="12"/>
  <c r="P686" i="12"/>
  <c r="P687" i="12"/>
  <c r="P688" i="12"/>
  <c r="P689" i="12"/>
  <c r="P690" i="12"/>
  <c r="P691" i="12"/>
  <c r="P692" i="12"/>
  <c r="P693" i="12"/>
  <c r="P694" i="12"/>
  <c r="P695" i="12"/>
  <c r="P696" i="12"/>
  <c r="P697" i="12"/>
  <c r="P698" i="12"/>
  <c r="P699" i="12"/>
  <c r="P700" i="12"/>
  <c r="P701" i="12"/>
  <c r="P702" i="12"/>
  <c r="P703" i="12"/>
  <c r="P704" i="12"/>
  <c r="P705" i="12"/>
  <c r="P706" i="12"/>
  <c r="P707" i="12"/>
  <c r="P708" i="12"/>
  <c r="P709" i="12"/>
  <c r="P710" i="12"/>
  <c r="P711" i="12"/>
  <c r="P712" i="12"/>
  <c r="P713" i="12"/>
  <c r="P714" i="12"/>
  <c r="P715" i="12"/>
  <c r="P716" i="12"/>
  <c r="P717" i="12"/>
  <c r="P718" i="12"/>
  <c r="P730" i="12"/>
  <c r="P731" i="12"/>
  <c r="P732" i="12"/>
  <c r="P733" i="12"/>
  <c r="P734" i="12"/>
  <c r="P735" i="12"/>
  <c r="P736" i="12"/>
  <c r="P737" i="12"/>
  <c r="P738" i="12"/>
  <c r="P739" i="12"/>
  <c r="P740" i="12"/>
  <c r="P741" i="12"/>
  <c r="P742" i="12"/>
  <c r="P743" i="12"/>
  <c r="P744" i="12"/>
  <c r="P745" i="12"/>
  <c r="P746" i="12"/>
  <c r="P747" i="12"/>
  <c r="P748" i="12"/>
  <c r="P749" i="12"/>
  <c r="P750" i="12"/>
  <c r="P751" i="12"/>
  <c r="P752" i="12"/>
  <c r="P753" i="12"/>
  <c r="P754" i="12"/>
  <c r="P755" i="12"/>
  <c r="P756" i="12"/>
  <c r="P757" i="12"/>
  <c r="P758" i="12"/>
  <c r="P759" i="12"/>
  <c r="P760" i="12"/>
  <c r="P761" i="12"/>
  <c r="P762" i="12"/>
  <c r="P763" i="12"/>
  <c r="P764" i="12"/>
  <c r="P765" i="12"/>
  <c r="P766" i="12"/>
  <c r="P767" i="12"/>
  <c r="P768" i="12"/>
  <c r="P769" i="12"/>
  <c r="P770" i="12"/>
  <c r="P771" i="12"/>
  <c r="P772" i="12"/>
  <c r="P773" i="12"/>
  <c r="P774" i="12"/>
  <c r="P775" i="12"/>
  <c r="P776" i="12"/>
  <c r="P777" i="12"/>
  <c r="P778" i="12"/>
  <c r="P779" i="12"/>
  <c r="P780" i="12"/>
  <c r="P781" i="12"/>
  <c r="P782" i="12"/>
  <c r="P783" i="12"/>
  <c r="P784" i="12"/>
  <c r="P785" i="12"/>
  <c r="P786" i="12"/>
  <c r="P787" i="12"/>
  <c r="P788" i="12"/>
  <c r="P789" i="12"/>
  <c r="P790" i="12"/>
  <c r="P791" i="12"/>
  <c r="P792" i="12"/>
  <c r="P793" i="12"/>
  <c r="P794" i="12"/>
  <c r="P795" i="12"/>
  <c r="P796" i="12"/>
  <c r="P797" i="12"/>
  <c r="P798" i="12"/>
  <c r="P799" i="12"/>
  <c r="P800" i="12"/>
  <c r="P801" i="12"/>
  <c r="P802" i="12"/>
  <c r="P803" i="12"/>
  <c r="P804" i="12"/>
  <c r="P805" i="12"/>
  <c r="P806" i="12"/>
  <c r="P807" i="12"/>
  <c r="P808" i="12"/>
  <c r="P809" i="12"/>
  <c r="P810" i="12"/>
  <c r="P811" i="12"/>
  <c r="P812" i="12"/>
  <c r="P813" i="12"/>
  <c r="P814" i="12"/>
  <c r="P815" i="12"/>
  <c r="P816" i="12"/>
  <c r="P817" i="12"/>
  <c r="P818" i="12"/>
  <c r="P819" i="12"/>
  <c r="P820" i="12"/>
  <c r="P821" i="12"/>
  <c r="P822" i="12"/>
  <c r="P823" i="12"/>
  <c r="P824" i="12"/>
  <c r="P825" i="12"/>
  <c r="P826" i="12"/>
  <c r="P827" i="12"/>
  <c r="P828" i="12"/>
  <c r="P829" i="12"/>
  <c r="P830" i="12"/>
  <c r="P831" i="12"/>
  <c r="P832" i="12"/>
  <c r="P833" i="12"/>
  <c r="P834" i="12"/>
  <c r="P835" i="12"/>
  <c r="P836" i="12"/>
  <c r="P837" i="12"/>
  <c r="P838" i="12"/>
  <c r="P839" i="12"/>
  <c r="P840" i="12"/>
  <c r="P841" i="12"/>
  <c r="P842" i="12"/>
  <c r="P843" i="12"/>
  <c r="P844" i="12"/>
  <c r="P845" i="12"/>
  <c r="P846" i="12"/>
  <c r="P847" i="12"/>
  <c r="P848" i="12"/>
  <c r="P849" i="12"/>
  <c r="P850" i="12"/>
  <c r="P851" i="12"/>
  <c r="P852" i="12"/>
  <c r="P853" i="12"/>
  <c r="P854" i="12"/>
  <c r="P855" i="12"/>
  <c r="P856" i="12"/>
  <c r="P857" i="12"/>
  <c r="P858" i="12"/>
  <c r="P859" i="12"/>
  <c r="P860" i="12"/>
  <c r="P861" i="12"/>
  <c r="P862" i="12"/>
  <c r="P863" i="12"/>
  <c r="P864" i="12"/>
  <c r="P865" i="12"/>
  <c r="P866" i="12"/>
  <c r="P867" i="12"/>
  <c r="P868" i="12"/>
  <c r="P869" i="12"/>
  <c r="P870" i="12"/>
  <c r="P871" i="12"/>
  <c r="P872" i="12"/>
  <c r="P873" i="12"/>
  <c r="P874" i="12"/>
  <c r="P875" i="12"/>
  <c r="P876" i="12"/>
  <c r="P877" i="12"/>
  <c r="P878" i="12"/>
  <c r="P879" i="12"/>
  <c r="P880" i="12"/>
  <c r="P881" i="12"/>
  <c r="P882" i="12"/>
  <c r="P883" i="12"/>
  <c r="P884" i="12"/>
  <c r="P885" i="12"/>
  <c r="P886" i="12"/>
  <c r="P887" i="12"/>
  <c r="P888" i="12"/>
  <c r="P889" i="12"/>
  <c r="P890" i="12"/>
  <c r="P891" i="12"/>
  <c r="P892" i="12"/>
  <c r="P893" i="12"/>
  <c r="P894" i="12"/>
  <c r="P895" i="12"/>
  <c r="P896" i="12"/>
  <c r="P897" i="12"/>
  <c r="P898" i="12"/>
  <c r="P899" i="12"/>
  <c r="P900" i="12"/>
  <c r="P901" i="12"/>
  <c r="P902" i="12"/>
  <c r="P903" i="12"/>
  <c r="P904" i="12"/>
  <c r="P905" i="12"/>
  <c r="P906" i="12"/>
  <c r="P907" i="12"/>
  <c r="P908" i="12"/>
  <c r="P909" i="12"/>
  <c r="P910" i="12"/>
  <c r="P911" i="12"/>
  <c r="P912" i="12"/>
  <c r="P913" i="12"/>
  <c r="P914" i="12"/>
  <c r="P915" i="12"/>
  <c r="P916" i="12"/>
  <c r="P917" i="12"/>
  <c r="P918" i="12"/>
  <c r="P919" i="12"/>
  <c r="P920" i="12"/>
  <c r="P921" i="12"/>
  <c r="P922" i="12"/>
  <c r="P923" i="12"/>
  <c r="P924" i="12"/>
  <c r="P925" i="12"/>
  <c r="P926" i="12"/>
  <c r="P927" i="12"/>
  <c r="P928" i="12"/>
  <c r="P929" i="12"/>
  <c r="P930" i="12"/>
  <c r="P931" i="12"/>
  <c r="P932" i="12"/>
  <c r="P933" i="12"/>
  <c r="P934" i="12"/>
  <c r="P935" i="12"/>
  <c r="P936" i="12"/>
  <c r="P937" i="12"/>
  <c r="P938" i="12"/>
  <c r="P939" i="12"/>
  <c r="P940" i="12"/>
  <c r="P941" i="12"/>
  <c r="P942" i="12"/>
  <c r="P943" i="12"/>
  <c r="P944" i="12"/>
  <c r="P945" i="12"/>
  <c r="P946" i="12"/>
  <c r="P947" i="12"/>
  <c r="P948" i="12"/>
  <c r="P949" i="12"/>
  <c r="P950" i="12"/>
  <c r="P951" i="12"/>
  <c r="P952" i="12"/>
  <c r="P953" i="12"/>
  <c r="P954" i="12"/>
  <c r="P955" i="12"/>
  <c r="P956" i="12"/>
  <c r="P957" i="12"/>
  <c r="P958" i="12"/>
  <c r="P959" i="12"/>
  <c r="P960" i="12"/>
  <c r="P961" i="12"/>
  <c r="P962" i="12"/>
  <c r="P963" i="12"/>
  <c r="P964" i="12"/>
  <c r="P965" i="12"/>
  <c r="P966" i="12"/>
  <c r="P967" i="12"/>
  <c r="P968" i="12"/>
  <c r="P969" i="12"/>
  <c r="P970" i="12"/>
  <c r="P971" i="12"/>
  <c r="P972" i="12"/>
  <c r="P973" i="12"/>
  <c r="P974" i="12"/>
  <c r="P975" i="12"/>
  <c r="P976" i="12"/>
  <c r="P977" i="12"/>
  <c r="P978" i="12"/>
  <c r="P979" i="12"/>
  <c r="P980" i="12"/>
  <c r="P981" i="12"/>
  <c r="P982" i="12"/>
  <c r="P983" i="12"/>
  <c r="P984" i="12"/>
  <c r="P985" i="12"/>
  <c r="P986" i="12"/>
  <c r="P987" i="12"/>
  <c r="P988" i="12"/>
  <c r="P989" i="12"/>
  <c r="P990" i="12"/>
  <c r="P991" i="12"/>
  <c r="P992" i="12"/>
  <c r="P993" i="12"/>
  <c r="P994" i="12"/>
  <c r="P995" i="12"/>
  <c r="P996" i="12"/>
  <c r="P997" i="12"/>
  <c r="P998" i="12"/>
  <c r="P999" i="12"/>
  <c r="P1000" i="12"/>
  <c r="P1001" i="12"/>
  <c r="P1002" i="12"/>
  <c r="P1003" i="12"/>
  <c r="P1004" i="12"/>
  <c r="P1005" i="12"/>
  <c r="P1006" i="12"/>
  <c r="P1007" i="12"/>
  <c r="P1008" i="12"/>
  <c r="P1009" i="12"/>
  <c r="P1010" i="12"/>
  <c r="P1011" i="12"/>
  <c r="P1012" i="12"/>
  <c r="P1013" i="12"/>
  <c r="P1014" i="12"/>
  <c r="P1015" i="12"/>
  <c r="P1016" i="12"/>
  <c r="P1017" i="12"/>
  <c r="P1018" i="12"/>
  <c r="P1019" i="12"/>
  <c r="P1020" i="12"/>
  <c r="P1021" i="12"/>
  <c r="P1022" i="12"/>
  <c r="P1023" i="12"/>
  <c r="P1024" i="12"/>
  <c r="P1025" i="12"/>
  <c r="P1026" i="12"/>
  <c r="P1027" i="12"/>
  <c r="P1028" i="12"/>
  <c r="P1029" i="12"/>
  <c r="P1030" i="12"/>
  <c r="P1031" i="12"/>
  <c r="P1032" i="12"/>
  <c r="P1033" i="12"/>
  <c r="P1034" i="12"/>
  <c r="P1035" i="12"/>
  <c r="P1036" i="12"/>
  <c r="P1037" i="12"/>
  <c r="P1038" i="12"/>
  <c r="P1039" i="12"/>
  <c r="P1040" i="12"/>
  <c r="P1041" i="12"/>
  <c r="P1042" i="12"/>
  <c r="P1043" i="12"/>
  <c r="P1044" i="12"/>
  <c r="P1045" i="12"/>
  <c r="P1046" i="12"/>
  <c r="P1047" i="12"/>
  <c r="P1048" i="12"/>
  <c r="P1049" i="12"/>
  <c r="P1050" i="12"/>
  <c r="P1051" i="12"/>
  <c r="P1052" i="12"/>
  <c r="P1053" i="12"/>
  <c r="P1054" i="12"/>
  <c r="P1055" i="12"/>
  <c r="P1056" i="12"/>
  <c r="P1057" i="12"/>
  <c r="P1058" i="12"/>
  <c r="P1059" i="12"/>
  <c r="P1060" i="12"/>
  <c r="P1061" i="12"/>
  <c r="P1062" i="12"/>
  <c r="P1063" i="12"/>
  <c r="P1064" i="12"/>
  <c r="P1065" i="12"/>
  <c r="P1066" i="12"/>
  <c r="P1067" i="12"/>
  <c r="P1068" i="12"/>
  <c r="P1069" i="12"/>
  <c r="P1070" i="12"/>
  <c r="P1071" i="12"/>
  <c r="P1072" i="12"/>
  <c r="P1073" i="12"/>
  <c r="P1074" i="12"/>
  <c r="P1075" i="12"/>
  <c r="P1076" i="12"/>
  <c r="P1077" i="12"/>
  <c r="P1078" i="12"/>
  <c r="P1079" i="12"/>
  <c r="P1080" i="12"/>
  <c r="P1081" i="12"/>
  <c r="P1082" i="12"/>
  <c r="P1083" i="12"/>
  <c r="P1084" i="12"/>
  <c r="P1085" i="12"/>
  <c r="P1086" i="12"/>
  <c r="P1087" i="12"/>
  <c r="P1088" i="12"/>
  <c r="P1089" i="12"/>
  <c r="P1090" i="12"/>
  <c r="P1091" i="12"/>
  <c r="P1092" i="12"/>
  <c r="P1093" i="12"/>
  <c r="P1094" i="12"/>
  <c r="P1095" i="12"/>
  <c r="P1096" i="12"/>
  <c r="P1097" i="12"/>
  <c r="P1098" i="12"/>
  <c r="P1099" i="12"/>
  <c r="P1100" i="12"/>
  <c r="P1101" i="12"/>
  <c r="P1102" i="12"/>
  <c r="P1103" i="12"/>
  <c r="P1104" i="12"/>
  <c r="P1105" i="12"/>
  <c r="P1106" i="12"/>
  <c r="P1107" i="12"/>
  <c r="P1108" i="12"/>
  <c r="P1109" i="12"/>
  <c r="P1110" i="12"/>
  <c r="P1111" i="12"/>
  <c r="P1112" i="12"/>
  <c r="P1113" i="12"/>
  <c r="P1114" i="12"/>
  <c r="P1115" i="12"/>
  <c r="P1116" i="12"/>
  <c r="P1117" i="12"/>
  <c r="P1118" i="12"/>
  <c r="P1119" i="12"/>
  <c r="P1120" i="12"/>
  <c r="P1121" i="12"/>
  <c r="P1122" i="12"/>
  <c r="P1123" i="12"/>
  <c r="P1124" i="12"/>
  <c r="P1125" i="12"/>
  <c r="P1126" i="12"/>
  <c r="P1127" i="12"/>
  <c r="P1128" i="12"/>
  <c r="P1129" i="12"/>
  <c r="P1130" i="12"/>
  <c r="P1131" i="12"/>
  <c r="P1132" i="12"/>
  <c r="P1133" i="12"/>
  <c r="P1136" i="12"/>
  <c r="P1137" i="12"/>
  <c r="P1140" i="12"/>
  <c r="P1141" i="12"/>
  <c r="P1142" i="12"/>
  <c r="P1143" i="12"/>
  <c r="P1144" i="12"/>
  <c r="P1145" i="12"/>
  <c r="P1146" i="12"/>
  <c r="P1147" i="12"/>
  <c r="P1148" i="12"/>
  <c r="P1149" i="12"/>
  <c r="P1150" i="12"/>
  <c r="P1151" i="12"/>
  <c r="P1152" i="12"/>
  <c r="P1153" i="12"/>
  <c r="P1154" i="12"/>
  <c r="P1155" i="12"/>
  <c r="P1156" i="12"/>
  <c r="P1157" i="12"/>
  <c r="P1158" i="12"/>
  <c r="P1159" i="12"/>
  <c r="H34" i="16"/>
  <c r="H35" i="16"/>
  <c r="H36" i="16"/>
  <c r="H32" i="16"/>
  <c r="H33" i="16"/>
  <c r="BI2" i="58"/>
  <c r="BJ2" i="58"/>
  <c r="F18" i="60"/>
  <c r="C18" i="60"/>
  <c r="AV17" i="60"/>
  <c r="AU17" i="60"/>
  <c r="AT17" i="60"/>
  <c r="AS17" i="60"/>
  <c r="AR17" i="60"/>
  <c r="AQ17" i="60"/>
  <c r="AP17" i="60"/>
  <c r="AO17" i="60"/>
  <c r="AN17" i="60"/>
  <c r="AM17" i="60"/>
  <c r="AL17" i="60"/>
  <c r="AK17" i="60"/>
  <c r="AJ17" i="60"/>
  <c r="AI17" i="60"/>
  <c r="AH17" i="60"/>
  <c r="AG17" i="60"/>
  <c r="AF17" i="60"/>
  <c r="AE17" i="60"/>
  <c r="AD17" i="60"/>
  <c r="AC17" i="60"/>
  <c r="AB17" i="60"/>
  <c r="AA17" i="60"/>
  <c r="Z17" i="60"/>
  <c r="Y17" i="60"/>
  <c r="X17" i="60"/>
  <c r="W17" i="60"/>
  <c r="U17" i="60"/>
  <c r="T17" i="60"/>
  <c r="S17" i="60"/>
  <c r="R17" i="60"/>
  <c r="Q17" i="60"/>
  <c r="P17" i="60"/>
  <c r="O17" i="60"/>
  <c r="N17" i="60"/>
  <c r="M17" i="60"/>
  <c r="L17" i="60"/>
  <c r="K17" i="60"/>
  <c r="J17" i="60"/>
  <c r="AV16" i="60"/>
  <c r="AU16" i="60"/>
  <c r="AT16" i="60"/>
  <c r="AS16" i="60"/>
  <c r="AR16" i="60"/>
  <c r="AQ16" i="60"/>
  <c r="AP16" i="60"/>
  <c r="AO16" i="60"/>
  <c r="AN16" i="60"/>
  <c r="AM16" i="60"/>
  <c r="AL16" i="60"/>
  <c r="AK16" i="60"/>
  <c r="AJ16" i="60"/>
  <c r="AI16" i="60"/>
  <c r="AH16" i="60"/>
  <c r="AG16" i="60"/>
  <c r="AF16" i="60"/>
  <c r="AE16" i="60"/>
  <c r="AD16" i="60"/>
  <c r="AC16" i="60"/>
  <c r="AB16" i="60"/>
  <c r="AA16" i="60"/>
  <c r="Z16" i="60"/>
  <c r="Y16" i="60"/>
  <c r="X16" i="60"/>
  <c r="W16" i="60"/>
  <c r="U16" i="60"/>
  <c r="T16" i="60"/>
  <c r="S16" i="60"/>
  <c r="R16" i="60"/>
  <c r="Q16" i="60"/>
  <c r="P16" i="60"/>
  <c r="O16" i="60"/>
  <c r="N16" i="60"/>
  <c r="M16" i="60"/>
  <c r="L16" i="60"/>
  <c r="K16" i="60"/>
  <c r="J16" i="60"/>
  <c r="H16" i="60"/>
  <c r="H18" i="60" s="1"/>
  <c r="F13" i="60"/>
  <c r="F20" i="60" s="1"/>
  <c r="C13" i="60"/>
  <c r="AV12" i="60"/>
  <c r="AU12" i="60"/>
  <c r="AT12" i="60"/>
  <c r="AS12" i="60"/>
  <c r="AR12" i="60"/>
  <c r="AQ12" i="60"/>
  <c r="AP12" i="60"/>
  <c r="AO12" i="60"/>
  <c r="AN12" i="60"/>
  <c r="AM12" i="60"/>
  <c r="AL12" i="60"/>
  <c r="AK12" i="60"/>
  <c r="AJ12" i="60"/>
  <c r="AI12" i="60"/>
  <c r="AH12" i="60"/>
  <c r="AG12" i="60"/>
  <c r="AF12" i="60"/>
  <c r="AE12" i="60"/>
  <c r="AD12" i="60"/>
  <c r="AC12" i="60"/>
  <c r="AB12" i="60"/>
  <c r="AA12" i="60"/>
  <c r="Z12" i="60"/>
  <c r="Y12" i="60"/>
  <c r="X12" i="60"/>
  <c r="W12" i="60"/>
  <c r="U12" i="60"/>
  <c r="T12" i="60"/>
  <c r="S12" i="60"/>
  <c r="R12" i="60"/>
  <c r="Q12" i="60"/>
  <c r="P12" i="60"/>
  <c r="O12" i="60"/>
  <c r="N12" i="60"/>
  <c r="M12" i="60"/>
  <c r="L12" i="60"/>
  <c r="K12" i="60"/>
  <c r="J12" i="60"/>
  <c r="AV11" i="60"/>
  <c r="AU11" i="60"/>
  <c r="AT11" i="60"/>
  <c r="AS11" i="60"/>
  <c r="AR11" i="60"/>
  <c r="AQ11" i="60"/>
  <c r="AP11" i="60"/>
  <c r="AO11" i="60"/>
  <c r="AN11" i="60"/>
  <c r="AM11" i="60"/>
  <c r="AL11" i="60"/>
  <c r="AK11" i="60"/>
  <c r="AJ11" i="60"/>
  <c r="AI11" i="60"/>
  <c r="AH11" i="60"/>
  <c r="AG11" i="60"/>
  <c r="AF11" i="60"/>
  <c r="AE11" i="60"/>
  <c r="AD11" i="60"/>
  <c r="AC11" i="60"/>
  <c r="AB11" i="60"/>
  <c r="AA11" i="60"/>
  <c r="Z11" i="60"/>
  <c r="Y11" i="60"/>
  <c r="X11" i="60"/>
  <c r="W11" i="60"/>
  <c r="U11" i="60"/>
  <c r="J11" i="60"/>
  <c r="H11" i="60"/>
  <c r="O15" i="16" l="1"/>
  <c r="P15" i="16"/>
  <c r="O17" i="16"/>
  <c r="P17" i="16"/>
  <c r="O18" i="16"/>
  <c r="P18" i="16"/>
  <c r="O16" i="16"/>
  <c r="P16" i="16"/>
  <c r="P19" i="16"/>
  <c r="O19" i="16"/>
  <c r="H13" i="60"/>
  <c r="I11" i="60"/>
  <c r="X13" i="60"/>
  <c r="AB13" i="60"/>
  <c r="AF13" i="60"/>
  <c r="AJ13" i="60"/>
  <c r="AN13" i="60"/>
  <c r="AR13" i="60"/>
  <c r="AV13" i="60"/>
  <c r="Z13" i="60"/>
  <c r="AD13" i="60"/>
  <c r="AL13" i="60"/>
  <c r="AP13" i="60"/>
  <c r="AT13" i="60"/>
  <c r="AG18" i="60"/>
  <c r="N18" i="60"/>
  <c r="R18" i="60"/>
  <c r="W18" i="60"/>
  <c r="AA18" i="60"/>
  <c r="AE18" i="60"/>
  <c r="AI18" i="60"/>
  <c r="AM18" i="60"/>
  <c r="AQ18" i="60"/>
  <c r="AU18" i="60"/>
  <c r="AK18" i="60"/>
  <c r="W13" i="60"/>
  <c r="AA13" i="60"/>
  <c r="AE13" i="60"/>
  <c r="AI13" i="60"/>
  <c r="AM13" i="60"/>
  <c r="AQ13" i="60"/>
  <c r="AU13" i="60"/>
  <c r="K18" i="60"/>
  <c r="O18" i="60"/>
  <c r="S18" i="60"/>
  <c r="Q18" i="60"/>
  <c r="U18" i="60"/>
  <c r="Y18" i="60"/>
  <c r="AC18" i="60"/>
  <c r="AO18" i="60"/>
  <c r="AS18" i="60"/>
  <c r="V16" i="60"/>
  <c r="AW16" i="60" s="1"/>
  <c r="V17" i="60"/>
  <c r="AW17" i="60" s="1"/>
  <c r="AX17" i="60" s="1"/>
  <c r="AH13" i="60"/>
  <c r="M18" i="60"/>
  <c r="X18" i="60"/>
  <c r="AB18" i="60"/>
  <c r="AF18" i="60"/>
  <c r="AJ18" i="60"/>
  <c r="AN18" i="60"/>
  <c r="AR18" i="60"/>
  <c r="AV18" i="60"/>
  <c r="Y13" i="60"/>
  <c r="AC13" i="60"/>
  <c r="AG13" i="60"/>
  <c r="AK13" i="60"/>
  <c r="AO13" i="60"/>
  <c r="AS13" i="60"/>
  <c r="V12" i="60"/>
  <c r="AW12" i="60" s="1"/>
  <c r="AX12" i="60" s="1"/>
  <c r="J13" i="60"/>
  <c r="L18" i="60"/>
  <c r="P18" i="60"/>
  <c r="T18" i="60"/>
  <c r="U13" i="60"/>
  <c r="Z18" i="60"/>
  <c r="AD18" i="60"/>
  <c r="AH18" i="60"/>
  <c r="AL18" i="60"/>
  <c r="AP18" i="60"/>
  <c r="AT18" i="60"/>
  <c r="J18" i="60"/>
  <c r="I16" i="60"/>
  <c r="I18" i="60" s="1"/>
  <c r="K11" i="60" l="1"/>
  <c r="K13" i="60" s="1"/>
  <c r="K20" i="60" s="1"/>
  <c r="T11" i="60"/>
  <c r="T13" i="60" s="1"/>
  <c r="T20" i="60" s="1"/>
  <c r="L11" i="60"/>
  <c r="L13" i="60" s="1"/>
  <c r="L20" i="60" s="1"/>
  <c r="AT20" i="60"/>
  <c r="AP20" i="60"/>
  <c r="I13" i="60"/>
  <c r="R11" i="60"/>
  <c r="R13" i="60" s="1"/>
  <c r="R20" i="60" s="1"/>
  <c r="N11" i="60"/>
  <c r="N13" i="60" s="1"/>
  <c r="N20" i="60" s="1"/>
  <c r="S11" i="60"/>
  <c r="S13" i="60" s="1"/>
  <c r="S20" i="60" s="1"/>
  <c r="Q11" i="60"/>
  <c r="Q13" i="60" s="1"/>
  <c r="Q20" i="60" s="1"/>
  <c r="M11" i="60"/>
  <c r="P11" i="60"/>
  <c r="P13" i="60" s="1"/>
  <c r="P20" i="60" s="1"/>
  <c r="O11" i="60"/>
  <c r="O13" i="60" s="1"/>
  <c r="O20" i="60" s="1"/>
  <c r="AL20" i="60"/>
  <c r="AV20" i="60"/>
  <c r="AF20" i="60"/>
  <c r="AR20" i="60"/>
  <c r="AB20" i="60"/>
  <c r="AD20" i="60"/>
  <c r="Z20" i="60"/>
  <c r="AG20" i="60"/>
  <c r="AN20" i="60"/>
  <c r="X20" i="60"/>
  <c r="AJ20" i="60"/>
  <c r="AC20" i="60"/>
  <c r="Y20" i="60"/>
  <c r="AI20" i="60"/>
  <c r="AK20" i="60"/>
  <c r="U20" i="60"/>
  <c r="AS20" i="60"/>
  <c r="AU20" i="60"/>
  <c r="AE20" i="60"/>
  <c r="AH20" i="60"/>
  <c r="AO20" i="60"/>
  <c r="AQ20" i="60"/>
  <c r="AA20" i="60"/>
  <c r="AM20" i="60"/>
  <c r="W20" i="60"/>
  <c r="V18" i="60"/>
  <c r="J20" i="60"/>
  <c r="AX16" i="60"/>
  <c r="AX18" i="60" s="1"/>
  <c r="AW18" i="60"/>
  <c r="V11" i="60" l="1"/>
  <c r="M13" i="60"/>
  <c r="M20" i="60" s="1"/>
  <c r="BF182" i="13"/>
  <c r="BG182" i="13"/>
  <c r="BH182" i="13"/>
  <c r="BI182" i="13"/>
  <c r="BJ182" i="13"/>
  <c r="BF183" i="13"/>
  <c r="BG183" i="13"/>
  <c r="BH183" i="13"/>
  <c r="BI183" i="13"/>
  <c r="BJ183" i="13"/>
  <c r="BJ26" i="58"/>
  <c r="BJ25" i="58"/>
  <c r="BJ21" i="58"/>
  <c r="BJ22" i="58"/>
  <c r="BJ23" i="58"/>
  <c r="BJ24" i="58"/>
  <c r="BJ27" i="58"/>
  <c r="BJ28" i="58"/>
  <c r="BJ20" i="58"/>
  <c r="BL20" i="58"/>
  <c r="BL21" i="58"/>
  <c r="BL22" i="58"/>
  <c r="BL23" i="58"/>
  <c r="BL24" i="58"/>
  <c r="BL25" i="58"/>
  <c r="BL26" i="58"/>
  <c r="BL27" i="58"/>
  <c r="BL28" i="58"/>
  <c r="BL8" i="58"/>
  <c r="BL9" i="58"/>
  <c r="BL10" i="58"/>
  <c r="BL11" i="58"/>
  <c r="BL12" i="58"/>
  <c r="BL13" i="58"/>
  <c r="BL14" i="58"/>
  <c r="BL15" i="58"/>
  <c r="BL16" i="58"/>
  <c r="BL17" i="58"/>
  <c r="BL18" i="58"/>
  <c r="BL19" i="58"/>
  <c r="BL7" i="58"/>
  <c r="O185" i="13" l="1"/>
  <c r="M185" i="13"/>
  <c r="N185" i="13"/>
  <c r="N184" i="13"/>
  <c r="O184" i="13"/>
  <c r="M184" i="13"/>
  <c r="N183" i="13"/>
  <c r="O183" i="13"/>
  <c r="M183" i="13"/>
  <c r="D185" i="13"/>
  <c r="E185" i="13"/>
  <c r="J185" i="13"/>
  <c r="J184" i="13"/>
  <c r="D184" i="13"/>
  <c r="E184" i="13"/>
  <c r="E183" i="13"/>
  <c r="D183" i="13"/>
  <c r="J183" i="13"/>
  <c r="BK8" i="58"/>
  <c r="BK16" i="58"/>
  <c r="BK24" i="58"/>
  <c r="BK28" i="58"/>
  <c r="BK7" i="58"/>
  <c r="BK9" i="58"/>
  <c r="BK13" i="58"/>
  <c r="BK17" i="58"/>
  <c r="BK15" i="58"/>
  <c r="BK27" i="58"/>
  <c r="BK14" i="58"/>
  <c r="BK22" i="58"/>
  <c r="BK23" i="58"/>
  <c r="BN15" i="58"/>
  <c r="BN23" i="58"/>
  <c r="BN27" i="58"/>
  <c r="BN8" i="58"/>
  <c r="BN16" i="58"/>
  <c r="BN24" i="58"/>
  <c r="BN28" i="58"/>
  <c r="BN9" i="58"/>
  <c r="BN13" i="58"/>
  <c r="BN17" i="58"/>
  <c r="BN7" i="58"/>
  <c r="BN14" i="58"/>
  <c r="BN22" i="58"/>
  <c r="BK12" i="58"/>
  <c r="BK20" i="58"/>
  <c r="BK19" i="58"/>
  <c r="BK21" i="58"/>
  <c r="BK25" i="58"/>
  <c r="BK10" i="58"/>
  <c r="BK18" i="58"/>
  <c r="BK26" i="58"/>
  <c r="BK11" i="58"/>
  <c r="BN11" i="58"/>
  <c r="BN19" i="58"/>
  <c r="BN10" i="58"/>
  <c r="BN12" i="58"/>
  <c r="BN20" i="58"/>
  <c r="BN18" i="58"/>
  <c r="BN26" i="58"/>
  <c r="BN21" i="58"/>
  <c r="BN25" i="58"/>
  <c r="AH185" i="13"/>
  <c r="Q185" i="13"/>
  <c r="AH184" i="13"/>
  <c r="Q184" i="13"/>
  <c r="AH183" i="13"/>
  <c r="Q183" i="13"/>
  <c r="AW11" i="60"/>
  <c r="V13" i="60"/>
  <c r="V20" i="60" s="1"/>
  <c r="F185" i="13"/>
  <c r="AG185" i="13"/>
  <c r="AF185" i="13"/>
  <c r="AE185" i="13"/>
  <c r="AD185" i="13"/>
  <c r="G183" i="13"/>
  <c r="F183" i="13"/>
  <c r="AG183" i="13"/>
  <c r="AF183" i="13"/>
  <c r="AE183" i="13"/>
  <c r="AD183" i="13"/>
  <c r="G184" i="13"/>
  <c r="F184" i="13"/>
  <c r="AG184" i="13"/>
  <c r="AF184" i="13"/>
  <c r="AE184" i="13"/>
  <c r="AD184" i="13"/>
  <c r="I183" i="13"/>
  <c r="K183" i="13"/>
  <c r="H183" i="13"/>
  <c r="K185" i="13"/>
  <c r="K184" i="13"/>
  <c r="I184" i="13"/>
  <c r="I185" i="13"/>
  <c r="H185" i="13"/>
  <c r="H184" i="13"/>
  <c r="G185" i="13"/>
  <c r="BP8" i="58"/>
  <c r="BF184" i="13"/>
  <c r="BG184" i="13"/>
  <c r="BH184" i="13"/>
  <c r="BI184" i="13"/>
  <c r="BJ184" i="13"/>
  <c r="BF185" i="13"/>
  <c r="BG185" i="13"/>
  <c r="BH185" i="13"/>
  <c r="BI185" i="13"/>
  <c r="BJ185" i="13"/>
  <c r="K7" i="15"/>
  <c r="BJ18" i="58"/>
  <c r="BJ19" i="58"/>
  <c r="BJ15" i="58"/>
  <c r="BJ16" i="58"/>
  <c r="BJ17" i="58"/>
  <c r="O182" i="13" l="1"/>
  <c r="M182" i="13"/>
  <c r="N182" i="13"/>
  <c r="J182" i="13"/>
  <c r="E182" i="13"/>
  <c r="D182" i="13"/>
  <c r="I182" i="13"/>
  <c r="Q182" i="13"/>
  <c r="L182" i="13"/>
  <c r="R182" i="13"/>
  <c r="AB182" i="13" s="1"/>
  <c r="F182" i="13"/>
  <c r="AE182" i="13"/>
  <c r="H182" i="13"/>
  <c r="G182" i="13"/>
  <c r="P182" i="13"/>
  <c r="AH182" i="13"/>
  <c r="K182" i="13"/>
  <c r="AD182" i="13"/>
  <c r="AF182" i="13"/>
  <c r="AG182" i="13"/>
  <c r="AW13" i="60"/>
  <c r="AW20" i="60" s="1"/>
  <c r="AX11" i="60"/>
  <c r="AX13" i="60" s="1"/>
  <c r="AX20" i="60" s="1"/>
  <c r="R183" i="13"/>
  <c r="P183" i="13"/>
  <c r="L183" i="13"/>
  <c r="R184" i="13"/>
  <c r="P184" i="13"/>
  <c r="L184" i="13"/>
  <c r="BJ14" i="58"/>
  <c r="BJ13" i="58"/>
  <c r="BJ10" i="58"/>
  <c r="BJ11" i="58"/>
  <c r="BJ12" i="58"/>
  <c r="BJ8" i="58"/>
  <c r="BJ9" i="58"/>
  <c r="BJ7" i="58"/>
  <c r="M5" i="12"/>
  <c r="M6" i="12"/>
  <c r="M7" i="12"/>
  <c r="M8" i="12"/>
  <c r="M9" i="12"/>
  <c r="M10" i="12"/>
  <c r="M11" i="12"/>
  <c r="M12" i="12"/>
  <c r="M13" i="12"/>
  <c r="M14" i="12"/>
  <c r="M15" i="12"/>
  <c r="M16" i="12"/>
  <c r="M17" i="12"/>
  <c r="M18" i="12"/>
  <c r="M19" i="12"/>
  <c r="M20" i="12"/>
  <c r="M21" i="12"/>
  <c r="M22" i="12"/>
  <c r="M23" i="12"/>
  <c r="M24" i="12"/>
  <c r="M25" i="12"/>
  <c r="M26" i="12"/>
  <c r="M27" i="12"/>
  <c r="M28" i="12"/>
  <c r="M29" i="12"/>
  <c r="M30" i="12"/>
  <c r="M31" i="12"/>
  <c r="M32" i="12"/>
  <c r="M33" i="12"/>
  <c r="M34" i="12"/>
  <c r="M35" i="12"/>
  <c r="M36" i="12"/>
  <c r="M37" i="12"/>
  <c r="M38" i="12"/>
  <c r="M39" i="12"/>
  <c r="M40" i="12"/>
  <c r="M41" i="12"/>
  <c r="M42" i="12"/>
  <c r="M43" i="12"/>
  <c r="M44" i="12"/>
  <c r="M45" i="12"/>
  <c r="M46" i="12"/>
  <c r="M47" i="12"/>
  <c r="M48" i="12"/>
  <c r="M49" i="12"/>
  <c r="M50" i="12"/>
  <c r="M51" i="12"/>
  <c r="M52" i="12"/>
  <c r="M53" i="12"/>
  <c r="M54" i="12"/>
  <c r="M55" i="12"/>
  <c r="M56" i="12"/>
  <c r="M57" i="12"/>
  <c r="M58" i="12"/>
  <c r="M59" i="12"/>
  <c r="M60" i="12"/>
  <c r="M61" i="12"/>
  <c r="M62" i="12"/>
  <c r="M63" i="12"/>
  <c r="M64" i="12"/>
  <c r="M65" i="12"/>
  <c r="M66" i="12"/>
  <c r="M67" i="12"/>
  <c r="M68" i="12"/>
  <c r="M69" i="12"/>
  <c r="M70" i="12"/>
  <c r="M71" i="12"/>
  <c r="M72" i="12"/>
  <c r="M73" i="12"/>
  <c r="M74" i="12"/>
  <c r="M75" i="12"/>
  <c r="M76" i="12"/>
  <c r="M77" i="12"/>
  <c r="M78" i="12"/>
  <c r="M79" i="12"/>
  <c r="M80" i="12"/>
  <c r="M81" i="12"/>
  <c r="M82" i="12"/>
  <c r="M83" i="12"/>
  <c r="M84" i="12"/>
  <c r="M85" i="12"/>
  <c r="M86" i="12"/>
  <c r="M87" i="12"/>
  <c r="M88" i="12"/>
  <c r="M89" i="12"/>
  <c r="M90" i="12"/>
  <c r="M91" i="12"/>
  <c r="M92" i="12"/>
  <c r="M93" i="12"/>
  <c r="M94" i="12"/>
  <c r="M95" i="12"/>
  <c r="M96" i="12"/>
  <c r="M97" i="12"/>
  <c r="M98" i="12"/>
  <c r="M99" i="12"/>
  <c r="M100" i="12"/>
  <c r="M101" i="12"/>
  <c r="M102" i="12"/>
  <c r="M103" i="12"/>
  <c r="M104" i="12"/>
  <c r="M105" i="12"/>
  <c r="M106" i="12"/>
  <c r="M107" i="12"/>
  <c r="M108" i="12"/>
  <c r="M109" i="12"/>
  <c r="M110" i="12"/>
  <c r="M111" i="12"/>
  <c r="M112" i="12"/>
  <c r="M113" i="12"/>
  <c r="M114" i="12"/>
  <c r="M115" i="12"/>
  <c r="M116" i="12"/>
  <c r="M117" i="12"/>
  <c r="M118" i="12"/>
  <c r="M119" i="12"/>
  <c r="M120" i="12"/>
  <c r="M121" i="12"/>
  <c r="M122" i="12"/>
  <c r="M123" i="12"/>
  <c r="M124" i="12"/>
  <c r="M125" i="12"/>
  <c r="M126" i="12"/>
  <c r="M127" i="12"/>
  <c r="M128" i="12"/>
  <c r="M129" i="12"/>
  <c r="M130" i="12"/>
  <c r="M131" i="12"/>
  <c r="M132" i="12"/>
  <c r="M133" i="12"/>
  <c r="M134" i="12"/>
  <c r="M135" i="12"/>
  <c r="M136" i="12"/>
  <c r="M137" i="12"/>
  <c r="M138" i="12"/>
  <c r="M139" i="12"/>
  <c r="M140" i="12"/>
  <c r="M141" i="12"/>
  <c r="M142" i="12"/>
  <c r="M143" i="12"/>
  <c r="M144" i="12"/>
  <c r="M145" i="12"/>
  <c r="M146" i="12"/>
  <c r="M147" i="12"/>
  <c r="M148" i="12"/>
  <c r="M149" i="12"/>
  <c r="M150" i="12"/>
  <c r="M151" i="12"/>
  <c r="M152" i="12"/>
  <c r="M153" i="12"/>
  <c r="M154" i="12"/>
  <c r="M155" i="12"/>
  <c r="M156" i="12"/>
  <c r="M157" i="12"/>
  <c r="M158" i="12"/>
  <c r="M159" i="12"/>
  <c r="M160" i="12"/>
  <c r="M161" i="12"/>
  <c r="M162" i="12"/>
  <c r="M163" i="12"/>
  <c r="M164" i="12"/>
  <c r="M165" i="12"/>
  <c r="M166" i="12"/>
  <c r="M167" i="12"/>
  <c r="M168" i="12"/>
  <c r="M169" i="12"/>
  <c r="M170" i="12"/>
  <c r="M171" i="12"/>
  <c r="M172" i="12"/>
  <c r="M173" i="12"/>
  <c r="M174" i="12"/>
  <c r="M175" i="12"/>
  <c r="M176" i="12"/>
  <c r="M177" i="12"/>
  <c r="M178" i="12"/>
  <c r="M179" i="12"/>
  <c r="M180" i="12"/>
  <c r="M181" i="12"/>
  <c r="M182" i="12"/>
  <c r="M183" i="12"/>
  <c r="M184" i="12"/>
  <c r="M185" i="12"/>
  <c r="M186" i="12"/>
  <c r="M187" i="12"/>
  <c r="M188" i="12"/>
  <c r="M189" i="12"/>
  <c r="M190" i="12"/>
  <c r="M191" i="12"/>
  <c r="M192" i="12"/>
  <c r="M193" i="12"/>
  <c r="M194" i="12"/>
  <c r="M195" i="12"/>
  <c r="M196" i="12"/>
  <c r="M197" i="12"/>
  <c r="M198" i="12"/>
  <c r="M199" i="12"/>
  <c r="M200" i="12"/>
  <c r="M201" i="12"/>
  <c r="M202" i="12"/>
  <c r="M203" i="12"/>
  <c r="M204" i="12"/>
  <c r="M205" i="12"/>
  <c r="M206" i="12"/>
  <c r="M207" i="12"/>
  <c r="M208" i="12"/>
  <c r="M209" i="12"/>
  <c r="M210" i="12"/>
  <c r="M211" i="12"/>
  <c r="M212" i="12"/>
  <c r="M213" i="12"/>
  <c r="M214" i="12"/>
  <c r="M215" i="12"/>
  <c r="M216" i="12"/>
  <c r="M217" i="12"/>
  <c r="M218" i="12"/>
  <c r="M219" i="12"/>
  <c r="M220" i="12"/>
  <c r="M221" i="12"/>
  <c r="M222" i="12"/>
  <c r="M223" i="12"/>
  <c r="M224" i="12"/>
  <c r="M225" i="12"/>
  <c r="M226" i="12"/>
  <c r="M227" i="12"/>
  <c r="M228" i="12"/>
  <c r="M229" i="12"/>
  <c r="M230" i="12"/>
  <c r="M231" i="12"/>
  <c r="M232" i="12"/>
  <c r="M233" i="12"/>
  <c r="M234" i="12"/>
  <c r="M235" i="12"/>
  <c r="M236" i="12"/>
  <c r="M237" i="12"/>
  <c r="M238" i="12"/>
  <c r="M239" i="12"/>
  <c r="M240" i="12"/>
  <c r="M241" i="12"/>
  <c r="M242" i="12"/>
  <c r="M243" i="12"/>
  <c r="M244" i="12"/>
  <c r="M245" i="12"/>
  <c r="M246" i="12"/>
  <c r="M247" i="12"/>
  <c r="M248" i="12"/>
  <c r="M249" i="12"/>
  <c r="M250" i="12"/>
  <c r="M251" i="12"/>
  <c r="M252" i="12"/>
  <c r="M253" i="12"/>
  <c r="M254" i="12"/>
  <c r="M255" i="12"/>
  <c r="M256" i="12"/>
  <c r="M257" i="12"/>
  <c r="M258" i="12"/>
  <c r="M259" i="12"/>
  <c r="M260" i="12"/>
  <c r="M261" i="12"/>
  <c r="M262" i="12"/>
  <c r="M263" i="12"/>
  <c r="M264" i="12"/>
  <c r="M265" i="12"/>
  <c r="M266" i="12"/>
  <c r="M267" i="12"/>
  <c r="M268" i="12"/>
  <c r="M269" i="12"/>
  <c r="M270" i="12"/>
  <c r="M271" i="12"/>
  <c r="M272" i="12"/>
  <c r="M273" i="12"/>
  <c r="M274" i="12"/>
  <c r="M275" i="12"/>
  <c r="M276" i="12"/>
  <c r="M277" i="12"/>
  <c r="M278" i="12"/>
  <c r="M279" i="12"/>
  <c r="M280" i="12"/>
  <c r="M281" i="12"/>
  <c r="M282" i="12"/>
  <c r="M283" i="12"/>
  <c r="M284" i="12"/>
  <c r="M285" i="12"/>
  <c r="M286" i="12"/>
  <c r="M287" i="12"/>
  <c r="M288" i="12"/>
  <c r="M289" i="12"/>
  <c r="M290" i="12"/>
  <c r="M291" i="12"/>
  <c r="M292" i="12"/>
  <c r="M293" i="12"/>
  <c r="M294" i="12"/>
  <c r="M295" i="12"/>
  <c r="M296" i="12"/>
  <c r="M297" i="12"/>
  <c r="M298" i="12"/>
  <c r="M299" i="12"/>
  <c r="M300" i="12"/>
  <c r="M301" i="12"/>
  <c r="M302" i="12"/>
  <c r="M303" i="12"/>
  <c r="M304" i="12"/>
  <c r="M305" i="12"/>
  <c r="M306" i="12"/>
  <c r="M307" i="12"/>
  <c r="M308" i="12"/>
  <c r="M309" i="12"/>
  <c r="M310" i="12"/>
  <c r="M311" i="12"/>
  <c r="M312" i="12"/>
  <c r="M313" i="12"/>
  <c r="M314" i="12"/>
  <c r="M315" i="12"/>
  <c r="M316" i="12"/>
  <c r="M317" i="12"/>
  <c r="M318" i="12"/>
  <c r="M319" i="12"/>
  <c r="M320" i="12"/>
  <c r="M321" i="12"/>
  <c r="M322" i="12"/>
  <c r="M323" i="12"/>
  <c r="M324" i="12"/>
  <c r="M325" i="12"/>
  <c r="M326" i="12"/>
  <c r="M327" i="12"/>
  <c r="M328" i="12"/>
  <c r="M329" i="12"/>
  <c r="M330" i="12"/>
  <c r="M331" i="12"/>
  <c r="M332" i="12"/>
  <c r="M333" i="12"/>
  <c r="M334" i="12"/>
  <c r="M335" i="12"/>
  <c r="M336" i="12"/>
  <c r="M337" i="12"/>
  <c r="M338" i="12"/>
  <c r="M339" i="12"/>
  <c r="M340" i="12"/>
  <c r="M341" i="12"/>
  <c r="M342" i="12"/>
  <c r="M343" i="12"/>
  <c r="M344" i="12"/>
  <c r="M345" i="12"/>
  <c r="M346" i="12"/>
  <c r="M347" i="12"/>
  <c r="M348" i="12"/>
  <c r="M349" i="12"/>
  <c r="M350" i="12"/>
  <c r="M351" i="12"/>
  <c r="M352" i="12"/>
  <c r="M353" i="12"/>
  <c r="M354" i="12"/>
  <c r="M355" i="12"/>
  <c r="M356" i="12"/>
  <c r="M357" i="12"/>
  <c r="M358" i="12"/>
  <c r="M359" i="12"/>
  <c r="M360" i="12"/>
  <c r="M361" i="12"/>
  <c r="M362" i="12"/>
  <c r="M363" i="12"/>
  <c r="M364" i="12"/>
  <c r="M365" i="12"/>
  <c r="M366" i="12"/>
  <c r="M367" i="12"/>
  <c r="M368" i="12"/>
  <c r="M369" i="12"/>
  <c r="M370" i="12"/>
  <c r="M371" i="12"/>
  <c r="M372" i="12"/>
  <c r="M373" i="12"/>
  <c r="M374" i="12"/>
  <c r="M375" i="12"/>
  <c r="M376" i="12"/>
  <c r="M377" i="12"/>
  <c r="M378" i="12"/>
  <c r="M379" i="12"/>
  <c r="M380" i="12"/>
  <c r="M381" i="12"/>
  <c r="M382" i="12"/>
  <c r="M383" i="12"/>
  <c r="M384" i="12"/>
  <c r="M385" i="12"/>
  <c r="M386" i="12"/>
  <c r="M387" i="12"/>
  <c r="M388" i="12"/>
  <c r="M389" i="12"/>
  <c r="M390" i="12"/>
  <c r="M391" i="12"/>
  <c r="M392" i="12"/>
  <c r="M393" i="12"/>
  <c r="M394" i="12"/>
  <c r="M395" i="12"/>
  <c r="M396" i="12"/>
  <c r="M397" i="12"/>
  <c r="M398" i="12"/>
  <c r="M399" i="12"/>
  <c r="M400" i="12"/>
  <c r="M401" i="12"/>
  <c r="M402" i="12"/>
  <c r="M403" i="12"/>
  <c r="M404" i="12"/>
  <c r="M405" i="12"/>
  <c r="M406" i="12"/>
  <c r="M407" i="12"/>
  <c r="M408" i="12"/>
  <c r="M409" i="12"/>
  <c r="M410" i="12"/>
  <c r="M411" i="12"/>
  <c r="M412" i="12"/>
  <c r="M413" i="12"/>
  <c r="M414" i="12"/>
  <c r="M415" i="12"/>
  <c r="M416" i="12"/>
  <c r="M417" i="12"/>
  <c r="M418" i="12"/>
  <c r="M419" i="12"/>
  <c r="M420" i="12"/>
  <c r="M421" i="12"/>
  <c r="M422" i="12"/>
  <c r="M423" i="12"/>
  <c r="M424" i="12"/>
  <c r="M425" i="12"/>
  <c r="M426" i="12"/>
  <c r="M427" i="12"/>
  <c r="M428" i="12"/>
  <c r="M429" i="12"/>
  <c r="M430" i="12"/>
  <c r="M431" i="12"/>
  <c r="M432" i="12"/>
  <c r="M433" i="12"/>
  <c r="M434" i="12"/>
  <c r="M435" i="12"/>
  <c r="M436" i="12"/>
  <c r="M437" i="12"/>
  <c r="M438" i="12"/>
  <c r="M439" i="12"/>
  <c r="M440" i="12"/>
  <c r="M441" i="12"/>
  <c r="M442" i="12"/>
  <c r="M443" i="12"/>
  <c r="M444" i="12"/>
  <c r="M445" i="12"/>
  <c r="M446" i="12"/>
  <c r="M447" i="12"/>
  <c r="M448" i="12"/>
  <c r="M449" i="12"/>
  <c r="M450" i="12"/>
  <c r="M451" i="12"/>
  <c r="M452" i="12"/>
  <c r="M453" i="12"/>
  <c r="M454" i="12"/>
  <c r="M455" i="12"/>
  <c r="M456" i="12"/>
  <c r="M457" i="12"/>
  <c r="M458" i="12"/>
  <c r="M459" i="12"/>
  <c r="M460" i="12"/>
  <c r="M461" i="12"/>
  <c r="M462" i="12"/>
  <c r="M463" i="12"/>
  <c r="M464" i="12"/>
  <c r="M465" i="12"/>
  <c r="M466" i="12"/>
  <c r="M467" i="12"/>
  <c r="M468" i="12"/>
  <c r="M469" i="12"/>
  <c r="M470" i="12"/>
  <c r="M471" i="12"/>
  <c r="M472" i="12"/>
  <c r="M473" i="12"/>
  <c r="M474" i="12"/>
  <c r="M475" i="12"/>
  <c r="M476" i="12"/>
  <c r="M477" i="12"/>
  <c r="M478" i="12"/>
  <c r="M479" i="12"/>
  <c r="M480" i="12"/>
  <c r="M481" i="12"/>
  <c r="M482" i="12"/>
  <c r="M483" i="12"/>
  <c r="M484" i="12"/>
  <c r="M485" i="12"/>
  <c r="M486" i="12"/>
  <c r="M487" i="12"/>
  <c r="M488" i="12"/>
  <c r="M489" i="12"/>
  <c r="M492" i="12"/>
  <c r="M493" i="12"/>
  <c r="M494" i="12"/>
  <c r="M495" i="12"/>
  <c r="M496" i="12"/>
  <c r="M497" i="12"/>
  <c r="M498" i="12"/>
  <c r="M499" i="12"/>
  <c r="M500" i="12"/>
  <c r="M501" i="12"/>
  <c r="M502" i="12"/>
  <c r="M503" i="12"/>
  <c r="M504" i="12"/>
  <c r="M505" i="12"/>
  <c r="M506" i="12"/>
  <c r="M507" i="12"/>
  <c r="M508" i="12"/>
  <c r="M509" i="12"/>
  <c r="M510" i="12"/>
  <c r="M511" i="12"/>
  <c r="M512" i="12"/>
  <c r="M513" i="12"/>
  <c r="M514" i="12"/>
  <c r="M515" i="12"/>
  <c r="M516" i="12"/>
  <c r="M517" i="12"/>
  <c r="M518" i="12"/>
  <c r="M519" i="12"/>
  <c r="M520" i="12"/>
  <c r="M521" i="12"/>
  <c r="M522" i="12"/>
  <c r="M523" i="12"/>
  <c r="M524" i="12"/>
  <c r="M525" i="12"/>
  <c r="M526" i="12"/>
  <c r="M527" i="12"/>
  <c r="M528" i="12"/>
  <c r="M529" i="12"/>
  <c r="M530" i="12"/>
  <c r="M531" i="12"/>
  <c r="M532" i="12"/>
  <c r="M533" i="12"/>
  <c r="M534" i="12"/>
  <c r="M535" i="12"/>
  <c r="M536" i="12"/>
  <c r="M537" i="12"/>
  <c r="M538" i="12"/>
  <c r="M539" i="12"/>
  <c r="M540" i="12"/>
  <c r="M541" i="12"/>
  <c r="M542" i="12"/>
  <c r="M543" i="12"/>
  <c r="M544" i="12"/>
  <c r="M545" i="12"/>
  <c r="M546" i="12"/>
  <c r="M547" i="12"/>
  <c r="M548" i="12"/>
  <c r="M549" i="12"/>
  <c r="M550" i="12"/>
  <c r="M551" i="12"/>
  <c r="M552" i="12"/>
  <c r="M553" i="12"/>
  <c r="M554" i="12"/>
  <c r="M555" i="12"/>
  <c r="M556" i="12"/>
  <c r="M557" i="12"/>
  <c r="M558" i="12"/>
  <c r="M559" i="12"/>
  <c r="M560" i="12"/>
  <c r="M561" i="12"/>
  <c r="M562" i="12"/>
  <c r="M563" i="12"/>
  <c r="M564" i="12"/>
  <c r="M565" i="12"/>
  <c r="M566" i="12"/>
  <c r="M567" i="12"/>
  <c r="M568" i="12"/>
  <c r="M569" i="12"/>
  <c r="M570" i="12"/>
  <c r="M571" i="12"/>
  <c r="M572" i="12"/>
  <c r="M573" i="12"/>
  <c r="M574" i="12"/>
  <c r="M575" i="12"/>
  <c r="M576" i="12"/>
  <c r="M577" i="12"/>
  <c r="M578" i="12"/>
  <c r="M579" i="12"/>
  <c r="M580" i="12"/>
  <c r="M581" i="12"/>
  <c r="M582" i="12"/>
  <c r="M583" i="12"/>
  <c r="M584" i="12"/>
  <c r="M585" i="12"/>
  <c r="M586" i="12"/>
  <c r="M587" i="12"/>
  <c r="M588" i="12"/>
  <c r="M589" i="12"/>
  <c r="M590" i="12"/>
  <c r="M591" i="12"/>
  <c r="M592" i="12"/>
  <c r="M593" i="12"/>
  <c r="M594" i="12"/>
  <c r="M595" i="12"/>
  <c r="M596" i="12"/>
  <c r="M597" i="12"/>
  <c r="M598" i="12"/>
  <c r="M599" i="12"/>
  <c r="M600" i="12"/>
  <c r="M601" i="12"/>
  <c r="M602" i="12"/>
  <c r="M603" i="12"/>
  <c r="M604" i="12"/>
  <c r="M605" i="12"/>
  <c r="M606" i="12"/>
  <c r="M607" i="12"/>
  <c r="M608" i="12"/>
  <c r="M609" i="12"/>
  <c r="M610" i="12"/>
  <c r="M611" i="12"/>
  <c r="M612" i="12"/>
  <c r="M613" i="12"/>
  <c r="M614" i="12"/>
  <c r="M615" i="12"/>
  <c r="M616" i="12"/>
  <c r="M617" i="12"/>
  <c r="M618" i="12"/>
  <c r="M619" i="12"/>
  <c r="M620" i="12"/>
  <c r="M621" i="12"/>
  <c r="M622" i="12"/>
  <c r="M623" i="12"/>
  <c r="M624" i="12"/>
  <c r="M625" i="12"/>
  <c r="M626" i="12"/>
  <c r="M627" i="12"/>
  <c r="M628" i="12"/>
  <c r="M629" i="12"/>
  <c r="M630" i="12"/>
  <c r="M631" i="12"/>
  <c r="M632" i="12"/>
  <c r="M633" i="12"/>
  <c r="M634" i="12"/>
  <c r="M635" i="12"/>
  <c r="M636" i="12"/>
  <c r="M637" i="12"/>
  <c r="M638" i="12"/>
  <c r="M639" i="12"/>
  <c r="M640" i="12"/>
  <c r="M641" i="12"/>
  <c r="M642" i="12"/>
  <c r="M643" i="12"/>
  <c r="M644" i="12"/>
  <c r="M645" i="12"/>
  <c r="M646" i="12"/>
  <c r="M647" i="12"/>
  <c r="M648" i="12"/>
  <c r="M649" i="12"/>
  <c r="M650" i="12"/>
  <c r="M651" i="12"/>
  <c r="M652" i="12"/>
  <c r="M653" i="12"/>
  <c r="M654" i="12"/>
  <c r="M655" i="12"/>
  <c r="M656" i="12"/>
  <c r="M657" i="12"/>
  <c r="M658" i="12"/>
  <c r="M659" i="12"/>
  <c r="M660" i="12"/>
  <c r="M661" i="12"/>
  <c r="M662" i="12"/>
  <c r="M663" i="12"/>
  <c r="M664" i="12"/>
  <c r="M665" i="12"/>
  <c r="M666" i="12"/>
  <c r="M667" i="12"/>
  <c r="M668" i="12"/>
  <c r="M669" i="12"/>
  <c r="M670" i="12"/>
  <c r="M671" i="12"/>
  <c r="M672" i="12"/>
  <c r="M673" i="12"/>
  <c r="M674" i="12"/>
  <c r="M675" i="12"/>
  <c r="M676" i="12"/>
  <c r="M677" i="12"/>
  <c r="M678" i="12"/>
  <c r="M679" i="12"/>
  <c r="M680" i="12"/>
  <c r="M681" i="12"/>
  <c r="M682" i="12"/>
  <c r="M683" i="12"/>
  <c r="M684" i="12"/>
  <c r="M685" i="12"/>
  <c r="M686" i="12"/>
  <c r="M687" i="12"/>
  <c r="M688" i="12"/>
  <c r="M689" i="12"/>
  <c r="M690" i="12"/>
  <c r="M691" i="12"/>
  <c r="M692" i="12"/>
  <c r="M693" i="12"/>
  <c r="M694" i="12"/>
  <c r="M695" i="12"/>
  <c r="M696" i="12"/>
  <c r="M697" i="12"/>
  <c r="M698" i="12"/>
  <c r="M699" i="12"/>
  <c r="M700" i="12"/>
  <c r="M701" i="12"/>
  <c r="M702" i="12"/>
  <c r="M703" i="12"/>
  <c r="M704" i="12"/>
  <c r="M705" i="12"/>
  <c r="M706" i="12"/>
  <c r="M707" i="12"/>
  <c r="M708" i="12"/>
  <c r="M709" i="12"/>
  <c r="M710" i="12"/>
  <c r="M711" i="12"/>
  <c r="M712" i="12"/>
  <c r="M713" i="12"/>
  <c r="M714" i="12"/>
  <c r="M715" i="12"/>
  <c r="M716" i="12"/>
  <c r="M717" i="12"/>
  <c r="M718" i="12"/>
  <c r="M730" i="12"/>
  <c r="M731" i="12"/>
  <c r="M732" i="12"/>
  <c r="M733" i="12"/>
  <c r="M734" i="12"/>
  <c r="M735" i="12"/>
  <c r="M736" i="12"/>
  <c r="M737" i="12"/>
  <c r="M738" i="12"/>
  <c r="M739" i="12"/>
  <c r="M740" i="12"/>
  <c r="M741" i="12"/>
  <c r="M742" i="12"/>
  <c r="M743" i="12"/>
  <c r="M744" i="12"/>
  <c r="M745" i="12"/>
  <c r="M746" i="12"/>
  <c r="M747" i="12"/>
  <c r="M748" i="12"/>
  <c r="M749" i="12"/>
  <c r="M750" i="12"/>
  <c r="M751" i="12"/>
  <c r="M752" i="12"/>
  <c r="M753" i="12"/>
  <c r="M754" i="12"/>
  <c r="M755" i="12"/>
  <c r="M756" i="12"/>
  <c r="M757" i="12"/>
  <c r="M758" i="12"/>
  <c r="M759" i="12"/>
  <c r="M760" i="12"/>
  <c r="M761" i="12"/>
  <c r="M762" i="12"/>
  <c r="M763" i="12"/>
  <c r="M764" i="12"/>
  <c r="M765" i="12"/>
  <c r="M766" i="12"/>
  <c r="M767" i="12"/>
  <c r="M768" i="12"/>
  <c r="M769" i="12"/>
  <c r="M770" i="12"/>
  <c r="M771" i="12"/>
  <c r="M772" i="12"/>
  <c r="M773" i="12"/>
  <c r="M774" i="12"/>
  <c r="M775" i="12"/>
  <c r="M776" i="12"/>
  <c r="M777" i="12"/>
  <c r="M778" i="12"/>
  <c r="M779" i="12"/>
  <c r="M780" i="12"/>
  <c r="M781" i="12"/>
  <c r="M782" i="12"/>
  <c r="M783" i="12"/>
  <c r="M784" i="12"/>
  <c r="M785" i="12"/>
  <c r="M786" i="12"/>
  <c r="M787" i="12"/>
  <c r="M788" i="12"/>
  <c r="M789" i="12"/>
  <c r="M790" i="12"/>
  <c r="M791" i="12"/>
  <c r="M792" i="12"/>
  <c r="M793" i="12"/>
  <c r="M794" i="12"/>
  <c r="M795" i="12"/>
  <c r="M796" i="12"/>
  <c r="M797" i="12"/>
  <c r="M798" i="12"/>
  <c r="M799" i="12"/>
  <c r="M800" i="12"/>
  <c r="M801" i="12"/>
  <c r="M802" i="12"/>
  <c r="M803" i="12"/>
  <c r="M804" i="12"/>
  <c r="M805" i="12"/>
  <c r="M806" i="12"/>
  <c r="M807" i="12"/>
  <c r="M808" i="12"/>
  <c r="M809" i="12"/>
  <c r="M810" i="12"/>
  <c r="M811" i="12"/>
  <c r="M812" i="12"/>
  <c r="M813" i="12"/>
  <c r="M814" i="12"/>
  <c r="M815" i="12"/>
  <c r="M816" i="12"/>
  <c r="M817" i="12"/>
  <c r="M818" i="12"/>
  <c r="M819" i="12"/>
  <c r="M820" i="12"/>
  <c r="M821" i="12"/>
  <c r="M822" i="12"/>
  <c r="M823" i="12"/>
  <c r="M824" i="12"/>
  <c r="M825" i="12"/>
  <c r="M826" i="12"/>
  <c r="M827" i="12"/>
  <c r="M828" i="12"/>
  <c r="M829" i="12"/>
  <c r="M830" i="12"/>
  <c r="M831" i="12"/>
  <c r="M832" i="12"/>
  <c r="M833" i="12"/>
  <c r="M834" i="12"/>
  <c r="M835" i="12"/>
  <c r="M836" i="12"/>
  <c r="M837" i="12"/>
  <c r="M838" i="12"/>
  <c r="M839" i="12"/>
  <c r="M840" i="12"/>
  <c r="M841" i="12"/>
  <c r="M842" i="12"/>
  <c r="M843" i="12"/>
  <c r="M844" i="12"/>
  <c r="M845" i="12"/>
  <c r="M846" i="12"/>
  <c r="M847" i="12"/>
  <c r="M848" i="12"/>
  <c r="M849" i="12"/>
  <c r="M850" i="12"/>
  <c r="M851" i="12"/>
  <c r="M852" i="12"/>
  <c r="M853" i="12"/>
  <c r="M854" i="12"/>
  <c r="M855" i="12"/>
  <c r="M856" i="12"/>
  <c r="M857" i="12"/>
  <c r="M858" i="12"/>
  <c r="M859" i="12"/>
  <c r="M860" i="12"/>
  <c r="M861" i="12"/>
  <c r="M862" i="12"/>
  <c r="M863" i="12"/>
  <c r="M864" i="12"/>
  <c r="M865" i="12"/>
  <c r="M866" i="12"/>
  <c r="M867" i="12"/>
  <c r="M868" i="12"/>
  <c r="M869" i="12"/>
  <c r="M870" i="12"/>
  <c r="M871" i="12"/>
  <c r="M872" i="12"/>
  <c r="M873" i="12"/>
  <c r="M874" i="12"/>
  <c r="M875" i="12"/>
  <c r="M876" i="12"/>
  <c r="M877" i="12"/>
  <c r="M878" i="12"/>
  <c r="M879" i="12"/>
  <c r="M880" i="12"/>
  <c r="M881" i="12"/>
  <c r="M882" i="12"/>
  <c r="M883" i="12"/>
  <c r="M884" i="12"/>
  <c r="M885" i="12"/>
  <c r="M886" i="12"/>
  <c r="M887" i="12"/>
  <c r="M888" i="12"/>
  <c r="M889" i="12"/>
  <c r="M890" i="12"/>
  <c r="M891" i="12"/>
  <c r="M892" i="12"/>
  <c r="M893" i="12"/>
  <c r="M894" i="12"/>
  <c r="M895" i="12"/>
  <c r="M896" i="12"/>
  <c r="M897" i="12"/>
  <c r="M898" i="12"/>
  <c r="M899" i="12"/>
  <c r="M900" i="12"/>
  <c r="M901" i="12"/>
  <c r="M902" i="12"/>
  <c r="M903" i="12"/>
  <c r="M904" i="12"/>
  <c r="M905" i="12"/>
  <c r="M906" i="12"/>
  <c r="M907" i="12"/>
  <c r="M908" i="12"/>
  <c r="M909" i="12"/>
  <c r="M910" i="12"/>
  <c r="M911" i="12"/>
  <c r="M912" i="12"/>
  <c r="M913" i="12"/>
  <c r="M914" i="12"/>
  <c r="M915" i="12"/>
  <c r="M916" i="12"/>
  <c r="M917" i="12"/>
  <c r="M918" i="12"/>
  <c r="M919" i="12"/>
  <c r="M920" i="12"/>
  <c r="M921" i="12"/>
  <c r="M922" i="12"/>
  <c r="M923" i="12"/>
  <c r="M924" i="12"/>
  <c r="M925" i="12"/>
  <c r="M926" i="12"/>
  <c r="M927" i="12"/>
  <c r="M928" i="12"/>
  <c r="M929" i="12"/>
  <c r="M930" i="12"/>
  <c r="M931" i="12"/>
  <c r="M932" i="12"/>
  <c r="M933" i="12"/>
  <c r="M934" i="12"/>
  <c r="M935" i="12"/>
  <c r="M936" i="12"/>
  <c r="M937" i="12"/>
  <c r="M938" i="12"/>
  <c r="M939" i="12"/>
  <c r="M940" i="12"/>
  <c r="M941" i="12"/>
  <c r="M942" i="12"/>
  <c r="M943" i="12"/>
  <c r="M944" i="12"/>
  <c r="M945" i="12"/>
  <c r="M946" i="12"/>
  <c r="M947" i="12"/>
  <c r="M948" i="12"/>
  <c r="M949" i="12"/>
  <c r="M950" i="12"/>
  <c r="M951" i="12"/>
  <c r="M952" i="12"/>
  <c r="M953" i="12"/>
  <c r="M954" i="12"/>
  <c r="M955" i="12"/>
  <c r="M956" i="12"/>
  <c r="M957" i="12"/>
  <c r="M958" i="12"/>
  <c r="M959" i="12"/>
  <c r="M960" i="12"/>
  <c r="M961" i="12"/>
  <c r="M962" i="12"/>
  <c r="M963" i="12"/>
  <c r="M964" i="12"/>
  <c r="M965" i="12"/>
  <c r="M966" i="12"/>
  <c r="M967" i="12"/>
  <c r="M968" i="12"/>
  <c r="M969" i="12"/>
  <c r="M970" i="12"/>
  <c r="M971" i="12"/>
  <c r="M972" i="12"/>
  <c r="M973" i="12"/>
  <c r="M974" i="12"/>
  <c r="M975" i="12"/>
  <c r="M976" i="12"/>
  <c r="M977" i="12"/>
  <c r="M978" i="12"/>
  <c r="M979" i="12"/>
  <c r="M980" i="12"/>
  <c r="M981" i="12"/>
  <c r="M982" i="12"/>
  <c r="M983" i="12"/>
  <c r="M984" i="12"/>
  <c r="M985" i="12"/>
  <c r="M986" i="12"/>
  <c r="M987" i="12"/>
  <c r="M988" i="12"/>
  <c r="M989" i="12"/>
  <c r="M990" i="12"/>
  <c r="M991" i="12"/>
  <c r="M992" i="12"/>
  <c r="M993" i="12"/>
  <c r="M994" i="12"/>
  <c r="M995" i="12"/>
  <c r="M996" i="12"/>
  <c r="M997" i="12"/>
  <c r="M998" i="12"/>
  <c r="M999" i="12"/>
  <c r="M1000" i="12"/>
  <c r="M1001" i="12"/>
  <c r="M1002" i="12"/>
  <c r="M1003" i="12"/>
  <c r="M1004" i="12"/>
  <c r="M1005" i="12"/>
  <c r="M1006" i="12"/>
  <c r="M1007" i="12"/>
  <c r="M1008" i="12"/>
  <c r="M1009" i="12"/>
  <c r="M1010" i="12"/>
  <c r="M1011" i="12"/>
  <c r="M1012" i="12"/>
  <c r="M1013" i="12"/>
  <c r="M1014" i="12"/>
  <c r="M1015" i="12"/>
  <c r="M1016" i="12"/>
  <c r="M1017" i="12"/>
  <c r="M1018" i="12"/>
  <c r="M1019" i="12"/>
  <c r="M1020" i="12"/>
  <c r="M1021" i="12"/>
  <c r="M1022" i="12"/>
  <c r="M1023" i="12"/>
  <c r="M1024" i="12"/>
  <c r="M1025" i="12"/>
  <c r="M1026" i="12"/>
  <c r="M1027" i="12"/>
  <c r="M1028" i="12"/>
  <c r="M1029" i="12"/>
  <c r="M1030" i="12"/>
  <c r="M1031" i="12"/>
  <c r="M1032" i="12"/>
  <c r="M1033" i="12"/>
  <c r="M1034" i="12"/>
  <c r="M1035" i="12"/>
  <c r="M1036" i="12"/>
  <c r="M1037" i="12"/>
  <c r="M1038" i="12"/>
  <c r="M1039" i="12"/>
  <c r="M1040" i="12"/>
  <c r="M1041" i="12"/>
  <c r="M1042" i="12"/>
  <c r="M1043" i="12"/>
  <c r="M1044" i="12"/>
  <c r="M1045" i="12"/>
  <c r="M1046" i="12"/>
  <c r="M1047" i="12"/>
  <c r="M1048" i="12"/>
  <c r="M1049" i="12"/>
  <c r="M1050" i="12"/>
  <c r="M1051" i="12"/>
  <c r="M1052" i="12"/>
  <c r="M1053" i="12"/>
  <c r="M1054" i="12"/>
  <c r="M1055" i="12"/>
  <c r="M1056" i="12"/>
  <c r="M1057" i="12"/>
  <c r="M1058" i="12"/>
  <c r="M1059" i="12"/>
  <c r="M1060" i="12"/>
  <c r="M1061" i="12"/>
  <c r="M1062" i="12"/>
  <c r="M1063" i="12"/>
  <c r="M1064" i="12"/>
  <c r="M1065" i="12"/>
  <c r="M1066" i="12"/>
  <c r="M1067" i="12"/>
  <c r="M1068" i="12"/>
  <c r="M1069" i="12"/>
  <c r="M1070" i="12"/>
  <c r="M1071" i="12"/>
  <c r="M1072" i="12"/>
  <c r="M1073" i="12"/>
  <c r="M1074" i="12"/>
  <c r="M1075" i="12"/>
  <c r="M1076" i="12"/>
  <c r="M1077" i="12"/>
  <c r="M1078" i="12"/>
  <c r="M1079" i="12"/>
  <c r="M1080" i="12"/>
  <c r="M1081" i="12"/>
  <c r="M1082" i="12"/>
  <c r="M1083" i="12"/>
  <c r="M1084" i="12"/>
  <c r="M1085" i="12"/>
  <c r="M1086" i="12"/>
  <c r="M1087" i="12"/>
  <c r="M1088" i="12"/>
  <c r="M1089" i="12"/>
  <c r="M1090" i="12"/>
  <c r="M1091" i="12"/>
  <c r="M1092" i="12"/>
  <c r="M1093" i="12"/>
  <c r="M1094" i="12"/>
  <c r="M1095" i="12"/>
  <c r="M1096" i="12"/>
  <c r="M1097" i="12"/>
  <c r="M1098" i="12"/>
  <c r="M1099" i="12"/>
  <c r="M1100" i="12"/>
  <c r="M1101" i="12"/>
  <c r="M1102" i="12"/>
  <c r="M1103" i="12"/>
  <c r="M1104" i="12"/>
  <c r="M1105" i="12"/>
  <c r="M1106" i="12"/>
  <c r="M1107" i="12"/>
  <c r="M1108" i="12"/>
  <c r="M1109" i="12"/>
  <c r="M1110" i="12"/>
  <c r="M1111" i="12"/>
  <c r="M1112" i="12"/>
  <c r="M1113" i="12"/>
  <c r="M1114" i="12"/>
  <c r="M1115" i="12"/>
  <c r="M1116" i="12"/>
  <c r="M1117" i="12"/>
  <c r="M1118" i="12"/>
  <c r="M1119" i="12"/>
  <c r="M1120" i="12"/>
  <c r="M1121" i="12"/>
  <c r="M1122" i="12"/>
  <c r="M1123" i="12"/>
  <c r="M1124" i="12"/>
  <c r="M1125" i="12"/>
  <c r="M1126" i="12"/>
  <c r="M1127" i="12"/>
  <c r="M1128" i="12"/>
  <c r="M1129" i="12"/>
  <c r="M1130" i="12"/>
  <c r="M1131" i="12"/>
  <c r="M1132" i="12"/>
  <c r="M1133" i="12"/>
  <c r="M1136" i="12"/>
  <c r="M1137" i="12"/>
  <c r="M1140" i="12"/>
  <c r="M1141" i="12"/>
  <c r="M1142" i="12"/>
  <c r="M1143" i="12"/>
  <c r="M1144" i="12"/>
  <c r="M1145" i="12"/>
  <c r="M1146" i="12"/>
  <c r="M1147" i="12"/>
  <c r="M1148" i="12"/>
  <c r="M1149" i="12"/>
  <c r="M1150" i="12"/>
  <c r="M1151" i="12"/>
  <c r="M1152" i="12"/>
  <c r="M1153" i="12"/>
  <c r="M1154" i="12"/>
  <c r="M1155" i="12"/>
  <c r="M1156" i="12"/>
  <c r="M1157" i="12"/>
  <c r="M1158" i="12"/>
  <c r="M1159" i="12"/>
  <c r="I70" i="12"/>
  <c r="J70" i="12"/>
  <c r="K70" i="12"/>
  <c r="L70" i="12"/>
  <c r="N70" i="12"/>
  <c r="O70" i="12"/>
  <c r="AE70" i="12"/>
  <c r="AR70" i="12"/>
  <c r="AS70" i="12"/>
  <c r="AT70" i="12"/>
  <c r="AU70" i="12"/>
  <c r="BF70" i="12"/>
  <c r="BG70" i="12"/>
  <c r="BH70" i="12"/>
  <c r="BI70" i="12"/>
  <c r="BJ70" i="12"/>
  <c r="I5" i="12"/>
  <c r="BF5" i="12"/>
  <c r="BF6" i="12"/>
  <c r="BF7" i="12"/>
  <c r="BF8" i="12"/>
  <c r="BF9" i="12"/>
  <c r="BF10" i="12"/>
  <c r="BF11" i="12"/>
  <c r="BF12" i="12"/>
  <c r="BF13" i="12"/>
  <c r="BF14" i="12"/>
  <c r="BF15" i="12"/>
  <c r="BF16" i="12"/>
  <c r="BF17" i="12"/>
  <c r="BF18" i="12"/>
  <c r="BF19" i="12"/>
  <c r="BF20" i="12"/>
  <c r="BF21" i="12"/>
  <c r="BF22" i="12"/>
  <c r="BF23" i="12"/>
  <c r="BF24" i="12"/>
  <c r="BF25" i="12"/>
  <c r="BF26" i="12"/>
  <c r="BF27" i="12"/>
  <c r="BF28" i="12"/>
  <c r="BF29" i="12"/>
  <c r="BF30" i="12"/>
  <c r="BF31" i="12"/>
  <c r="BF32" i="12"/>
  <c r="BF33" i="12"/>
  <c r="BF34" i="12"/>
  <c r="BF35" i="12"/>
  <c r="BF36" i="12"/>
  <c r="BF37" i="12"/>
  <c r="BF38" i="12"/>
  <c r="BF39" i="12"/>
  <c r="BF40" i="12"/>
  <c r="BF41" i="12"/>
  <c r="BF42" i="12"/>
  <c r="BF43" i="12"/>
  <c r="BF44" i="12"/>
  <c r="BF45" i="12"/>
  <c r="BF46" i="12"/>
  <c r="BF47" i="12"/>
  <c r="BF48" i="12"/>
  <c r="BF49" i="12"/>
  <c r="BF50" i="12"/>
  <c r="BF51" i="12"/>
  <c r="BF52" i="12"/>
  <c r="BF53" i="12"/>
  <c r="BF54" i="12"/>
  <c r="BF55" i="12"/>
  <c r="BF56" i="12"/>
  <c r="BF57" i="12"/>
  <c r="BF58" i="12"/>
  <c r="BF59" i="12"/>
  <c r="BF60" i="12"/>
  <c r="BF61" i="12"/>
  <c r="BF62" i="12"/>
  <c r="BF63" i="12"/>
  <c r="BF64" i="12"/>
  <c r="BF65" i="12"/>
  <c r="BF66" i="12"/>
  <c r="BF67" i="12"/>
  <c r="BF68" i="12"/>
  <c r="BF69" i="12"/>
  <c r="BF71" i="12"/>
  <c r="BF72" i="12"/>
  <c r="BF73" i="12"/>
  <c r="BF74" i="12"/>
  <c r="BF75" i="12"/>
  <c r="BF76" i="12"/>
  <c r="BF77" i="12"/>
  <c r="BF78" i="12"/>
  <c r="BF79" i="12"/>
  <c r="BF80" i="12"/>
  <c r="BF81" i="12"/>
  <c r="BF82" i="12"/>
  <c r="BF83" i="12"/>
  <c r="BF84" i="12"/>
  <c r="BF85" i="12"/>
  <c r="BF86" i="12"/>
  <c r="BF87" i="12"/>
  <c r="BF88" i="12"/>
  <c r="BF89" i="12"/>
  <c r="BF90" i="12"/>
  <c r="BF91" i="12"/>
  <c r="BF92" i="12"/>
  <c r="BF93" i="12"/>
  <c r="BF94" i="12"/>
  <c r="BF95" i="12"/>
  <c r="BF96" i="12"/>
  <c r="BF97" i="12"/>
  <c r="BF98" i="12"/>
  <c r="BF99" i="12"/>
  <c r="BF100" i="12"/>
  <c r="BF101" i="12"/>
  <c r="BF102" i="12"/>
  <c r="BF103" i="12"/>
  <c r="BF104" i="12"/>
  <c r="BF105" i="12"/>
  <c r="BF106" i="12"/>
  <c r="BF107" i="12"/>
  <c r="BF108" i="12"/>
  <c r="BF109" i="12"/>
  <c r="BF110" i="12"/>
  <c r="BF111" i="12"/>
  <c r="BF112" i="12"/>
  <c r="BF113" i="12"/>
  <c r="BF114" i="12"/>
  <c r="BF115" i="12"/>
  <c r="BF116" i="12"/>
  <c r="BF117" i="12"/>
  <c r="BF118" i="12"/>
  <c r="BF119" i="12"/>
  <c r="BF120" i="12"/>
  <c r="BF121" i="12"/>
  <c r="BF122" i="12"/>
  <c r="BF123" i="12"/>
  <c r="BF124" i="12"/>
  <c r="BF125" i="12"/>
  <c r="BF126" i="12"/>
  <c r="BF127" i="12"/>
  <c r="BF128" i="12"/>
  <c r="BF129" i="12"/>
  <c r="BF130" i="12"/>
  <c r="BF131" i="12"/>
  <c r="BF132" i="12"/>
  <c r="BF133" i="12"/>
  <c r="BF134" i="12"/>
  <c r="BF135" i="12"/>
  <c r="BF136" i="12"/>
  <c r="BF137" i="12"/>
  <c r="BF138" i="12"/>
  <c r="BF139" i="12"/>
  <c r="BF140" i="12"/>
  <c r="BF141" i="12"/>
  <c r="BF142" i="12"/>
  <c r="BF143" i="12"/>
  <c r="BF144" i="12"/>
  <c r="BF145" i="12"/>
  <c r="BF146" i="12"/>
  <c r="BF147" i="12"/>
  <c r="BF148" i="12"/>
  <c r="BF149" i="12"/>
  <c r="BF150" i="12"/>
  <c r="BF151" i="12"/>
  <c r="BF152" i="12"/>
  <c r="BF153" i="12"/>
  <c r="BF154" i="12"/>
  <c r="BF155" i="12"/>
  <c r="BF156" i="12"/>
  <c r="BF157" i="12"/>
  <c r="BF158" i="12"/>
  <c r="BF159" i="12"/>
  <c r="BF160" i="12"/>
  <c r="BF161" i="12"/>
  <c r="BF162" i="12"/>
  <c r="BF163" i="12"/>
  <c r="BF164" i="12"/>
  <c r="BF165" i="12"/>
  <c r="BF166" i="12"/>
  <c r="BF167" i="12"/>
  <c r="BF168" i="12"/>
  <c r="BF169" i="12"/>
  <c r="BF170" i="12"/>
  <c r="BF171" i="12"/>
  <c r="BF172" i="12"/>
  <c r="BF173" i="12"/>
  <c r="BF174" i="12"/>
  <c r="BF175" i="12"/>
  <c r="BF176" i="12"/>
  <c r="BF177" i="12"/>
  <c r="BF178" i="12"/>
  <c r="BF179" i="12"/>
  <c r="BF180" i="12"/>
  <c r="BF181" i="12"/>
  <c r="BF182" i="12"/>
  <c r="BF183" i="12"/>
  <c r="BF184" i="12"/>
  <c r="BF185" i="12"/>
  <c r="BF186" i="12"/>
  <c r="BF187" i="12"/>
  <c r="BF188" i="12"/>
  <c r="BF189" i="12"/>
  <c r="BF190" i="12"/>
  <c r="BF191" i="12"/>
  <c r="BF192" i="12"/>
  <c r="BF193" i="12"/>
  <c r="BF194" i="12"/>
  <c r="BF195" i="12"/>
  <c r="BF196" i="12"/>
  <c r="BF197" i="12"/>
  <c r="BF198" i="12"/>
  <c r="BF199" i="12"/>
  <c r="BF200" i="12"/>
  <c r="BF201" i="12"/>
  <c r="BF202" i="12"/>
  <c r="BF203" i="12"/>
  <c r="BF204" i="12"/>
  <c r="BF205" i="12"/>
  <c r="BF206" i="12"/>
  <c r="BF207" i="12"/>
  <c r="BF208" i="12"/>
  <c r="BF209" i="12"/>
  <c r="BF210" i="12"/>
  <c r="BF211" i="12"/>
  <c r="BF212" i="12"/>
  <c r="BF213" i="12"/>
  <c r="BF214" i="12"/>
  <c r="BF215" i="12"/>
  <c r="BF216" i="12"/>
  <c r="BF217" i="12"/>
  <c r="BF218" i="12"/>
  <c r="BF219" i="12"/>
  <c r="BF220" i="12"/>
  <c r="BF221" i="12"/>
  <c r="BF222" i="12"/>
  <c r="BF223" i="12"/>
  <c r="BF224" i="12"/>
  <c r="BF225" i="12"/>
  <c r="BF226" i="12"/>
  <c r="BF227" i="12"/>
  <c r="BF228" i="12"/>
  <c r="BF229" i="12"/>
  <c r="BF230" i="12"/>
  <c r="BF231" i="12"/>
  <c r="BF232" i="12"/>
  <c r="BF233" i="12"/>
  <c r="BF234" i="12"/>
  <c r="BF235" i="12"/>
  <c r="BF236" i="12"/>
  <c r="BF237" i="12"/>
  <c r="BF238" i="12"/>
  <c r="BF239" i="12"/>
  <c r="BF240" i="12"/>
  <c r="BF241" i="12"/>
  <c r="BF242" i="12"/>
  <c r="BF243" i="12"/>
  <c r="BF244" i="12"/>
  <c r="BF245" i="12"/>
  <c r="BF246" i="12"/>
  <c r="BF247" i="12"/>
  <c r="BF248" i="12"/>
  <c r="BF249" i="12"/>
  <c r="BF250" i="12"/>
  <c r="BF251" i="12"/>
  <c r="BF252" i="12"/>
  <c r="BF253" i="12"/>
  <c r="BF254" i="12"/>
  <c r="BF255" i="12"/>
  <c r="BF256" i="12"/>
  <c r="BF257" i="12"/>
  <c r="BF258" i="12"/>
  <c r="BF259" i="12"/>
  <c r="BF260" i="12"/>
  <c r="BF261" i="12"/>
  <c r="BF262" i="12"/>
  <c r="BF263" i="12"/>
  <c r="BF264" i="12"/>
  <c r="BF265" i="12"/>
  <c r="BF266" i="12"/>
  <c r="BF267" i="12"/>
  <c r="BF268" i="12"/>
  <c r="BF269" i="12"/>
  <c r="BF270" i="12"/>
  <c r="BF271" i="12"/>
  <c r="BF272" i="12"/>
  <c r="BF273" i="12"/>
  <c r="BF274" i="12"/>
  <c r="BF275" i="12"/>
  <c r="BF276" i="12"/>
  <c r="BF277" i="12"/>
  <c r="BF278" i="12"/>
  <c r="BF279" i="12"/>
  <c r="BF280" i="12"/>
  <c r="BF281" i="12"/>
  <c r="BF282" i="12"/>
  <c r="BF283" i="12"/>
  <c r="BF284" i="12"/>
  <c r="BF285" i="12"/>
  <c r="BF286" i="12"/>
  <c r="BF287" i="12"/>
  <c r="BF288" i="12"/>
  <c r="BF289" i="12"/>
  <c r="BF290" i="12"/>
  <c r="BF291" i="12"/>
  <c r="BF292" i="12"/>
  <c r="BF293" i="12"/>
  <c r="BF294" i="12"/>
  <c r="BF295" i="12"/>
  <c r="BF296" i="12"/>
  <c r="BF297" i="12"/>
  <c r="BF298" i="12"/>
  <c r="BF299" i="12"/>
  <c r="BF300" i="12"/>
  <c r="BF301" i="12"/>
  <c r="BF302" i="12"/>
  <c r="BF303" i="12"/>
  <c r="BF304" i="12"/>
  <c r="BF305" i="12"/>
  <c r="BF306" i="12"/>
  <c r="BF307" i="12"/>
  <c r="BF308" i="12"/>
  <c r="BF309" i="12"/>
  <c r="BF310" i="12"/>
  <c r="BF311" i="12"/>
  <c r="BF312" i="12"/>
  <c r="BF313" i="12"/>
  <c r="BF314" i="12"/>
  <c r="BF315" i="12"/>
  <c r="BF316" i="12"/>
  <c r="BF317" i="12"/>
  <c r="BF318" i="12"/>
  <c r="BF319" i="12"/>
  <c r="BF320" i="12"/>
  <c r="BF321" i="12"/>
  <c r="BF322" i="12"/>
  <c r="BF323" i="12"/>
  <c r="BF324" i="12"/>
  <c r="BF325" i="12"/>
  <c r="BF326" i="12"/>
  <c r="BF327" i="12"/>
  <c r="BF328" i="12"/>
  <c r="BF329" i="12"/>
  <c r="BF330" i="12"/>
  <c r="BF331" i="12"/>
  <c r="BF332" i="12"/>
  <c r="BF333" i="12"/>
  <c r="BF334" i="12"/>
  <c r="BF335" i="12"/>
  <c r="BF336" i="12"/>
  <c r="BF337" i="12"/>
  <c r="BF338" i="12"/>
  <c r="BF339" i="12"/>
  <c r="BF340" i="12"/>
  <c r="BF341" i="12"/>
  <c r="BF342" i="12"/>
  <c r="BF343" i="12"/>
  <c r="BF344" i="12"/>
  <c r="BF345" i="12"/>
  <c r="BF346" i="12"/>
  <c r="BF347" i="12"/>
  <c r="BF348" i="12"/>
  <c r="BF349" i="12"/>
  <c r="BF350" i="12"/>
  <c r="BF351" i="12"/>
  <c r="BF352" i="12"/>
  <c r="BF353" i="12"/>
  <c r="BF354" i="12"/>
  <c r="BF355" i="12"/>
  <c r="BF356" i="12"/>
  <c r="BF357" i="12"/>
  <c r="BF358" i="12"/>
  <c r="BF359" i="12"/>
  <c r="BF360" i="12"/>
  <c r="BF361" i="12"/>
  <c r="BF362" i="12"/>
  <c r="BF363" i="12"/>
  <c r="BF364" i="12"/>
  <c r="BF365" i="12"/>
  <c r="BF366" i="12"/>
  <c r="BF367" i="12"/>
  <c r="BF368" i="12"/>
  <c r="BF369" i="12"/>
  <c r="BF370" i="12"/>
  <c r="BF371" i="12"/>
  <c r="BF372" i="12"/>
  <c r="BF373" i="12"/>
  <c r="BF374" i="12"/>
  <c r="BF375" i="12"/>
  <c r="BF376" i="12"/>
  <c r="BF377" i="12"/>
  <c r="BF378" i="12"/>
  <c r="BF379" i="12"/>
  <c r="BF380" i="12"/>
  <c r="BF381" i="12"/>
  <c r="BF382" i="12"/>
  <c r="BF383" i="12"/>
  <c r="BF384" i="12"/>
  <c r="BF385" i="12"/>
  <c r="BF386" i="12"/>
  <c r="BF387" i="12"/>
  <c r="BF388" i="12"/>
  <c r="BF389" i="12"/>
  <c r="BF390" i="12"/>
  <c r="BF391" i="12"/>
  <c r="BF392" i="12"/>
  <c r="BF393" i="12"/>
  <c r="BF394" i="12"/>
  <c r="BF395" i="12"/>
  <c r="BF396" i="12"/>
  <c r="BF397" i="12"/>
  <c r="BF398" i="12"/>
  <c r="BF399" i="12"/>
  <c r="BF400" i="12"/>
  <c r="BF401" i="12"/>
  <c r="BF402" i="12"/>
  <c r="BF403" i="12"/>
  <c r="BF404" i="12"/>
  <c r="BF405" i="12"/>
  <c r="BF406" i="12"/>
  <c r="BF407" i="12"/>
  <c r="BF408" i="12"/>
  <c r="BF409" i="12"/>
  <c r="BF410" i="12"/>
  <c r="BF411" i="12"/>
  <c r="BF412" i="12"/>
  <c r="BF413" i="12"/>
  <c r="BF414" i="12"/>
  <c r="BF415" i="12"/>
  <c r="BF416" i="12"/>
  <c r="BF417" i="12"/>
  <c r="BF418" i="12"/>
  <c r="BF419" i="12"/>
  <c r="BF420" i="12"/>
  <c r="BF421" i="12"/>
  <c r="BF422" i="12"/>
  <c r="BF423" i="12"/>
  <c r="BF424" i="12"/>
  <c r="BF425" i="12"/>
  <c r="BF426" i="12"/>
  <c r="BF427" i="12"/>
  <c r="BF428" i="12"/>
  <c r="BF429" i="12"/>
  <c r="BF430" i="12"/>
  <c r="BF431" i="12"/>
  <c r="BF432" i="12"/>
  <c r="BF433" i="12"/>
  <c r="BF434" i="12"/>
  <c r="BF435" i="12"/>
  <c r="BF436" i="12"/>
  <c r="BF437" i="12"/>
  <c r="BF438" i="12"/>
  <c r="BF439" i="12"/>
  <c r="BF440" i="12"/>
  <c r="BF441" i="12"/>
  <c r="BF442" i="12"/>
  <c r="BF443" i="12"/>
  <c r="BF444" i="12"/>
  <c r="BF445" i="12"/>
  <c r="BF446" i="12"/>
  <c r="BF447" i="12"/>
  <c r="BF448" i="12"/>
  <c r="BF449" i="12"/>
  <c r="BF450" i="12"/>
  <c r="BF451" i="12"/>
  <c r="BF452" i="12"/>
  <c r="BF453" i="12"/>
  <c r="BF454" i="12"/>
  <c r="BF455" i="12"/>
  <c r="BF456" i="12"/>
  <c r="BF457" i="12"/>
  <c r="BF458" i="12"/>
  <c r="BF459" i="12"/>
  <c r="BF460" i="12"/>
  <c r="BF461" i="12"/>
  <c r="BF462" i="12"/>
  <c r="BF463" i="12"/>
  <c r="BF464" i="12"/>
  <c r="BF465" i="12"/>
  <c r="BF466" i="12"/>
  <c r="BF467" i="12"/>
  <c r="BF468" i="12"/>
  <c r="BF469" i="12"/>
  <c r="BF470" i="12"/>
  <c r="BF471" i="12"/>
  <c r="BF472" i="12"/>
  <c r="BF473" i="12"/>
  <c r="BF474" i="12"/>
  <c r="BF475" i="12"/>
  <c r="BF476" i="12"/>
  <c r="BF477" i="12"/>
  <c r="BF478" i="12"/>
  <c r="BF479" i="12"/>
  <c r="BF480" i="12"/>
  <c r="BF481" i="12"/>
  <c r="BF482" i="12"/>
  <c r="BF483" i="12"/>
  <c r="BF484" i="12"/>
  <c r="BF485" i="12"/>
  <c r="BF486" i="12"/>
  <c r="BF487" i="12"/>
  <c r="BF488" i="12"/>
  <c r="BF489" i="12"/>
  <c r="BF492" i="12"/>
  <c r="BF493" i="12"/>
  <c r="BF494" i="12"/>
  <c r="BF495" i="12"/>
  <c r="BF496" i="12"/>
  <c r="BF497" i="12"/>
  <c r="BF498" i="12"/>
  <c r="BF499" i="12"/>
  <c r="BF500" i="12"/>
  <c r="BF501" i="12"/>
  <c r="BF502" i="12"/>
  <c r="BF503" i="12"/>
  <c r="BF504" i="12"/>
  <c r="BF505" i="12"/>
  <c r="BF506" i="12"/>
  <c r="BF507" i="12"/>
  <c r="BF508" i="12"/>
  <c r="BF509" i="12"/>
  <c r="BF510" i="12"/>
  <c r="BF511" i="12"/>
  <c r="BF512" i="12"/>
  <c r="BF513" i="12"/>
  <c r="BF514" i="12"/>
  <c r="BF515" i="12"/>
  <c r="BF516" i="12"/>
  <c r="BF517" i="12"/>
  <c r="BF518" i="12"/>
  <c r="BF519" i="12"/>
  <c r="BF520" i="12"/>
  <c r="BF521" i="12"/>
  <c r="BF522" i="12"/>
  <c r="BF523" i="12"/>
  <c r="BF524" i="12"/>
  <c r="BF525" i="12"/>
  <c r="BF526" i="12"/>
  <c r="BF527" i="12"/>
  <c r="BF528" i="12"/>
  <c r="BF529" i="12"/>
  <c r="BF530" i="12"/>
  <c r="BF531" i="12"/>
  <c r="BF532" i="12"/>
  <c r="BF533" i="12"/>
  <c r="BF534" i="12"/>
  <c r="BF535" i="12"/>
  <c r="BF536" i="12"/>
  <c r="BF537" i="12"/>
  <c r="BF538" i="12"/>
  <c r="BF539" i="12"/>
  <c r="BF540" i="12"/>
  <c r="BF541" i="12"/>
  <c r="BF542" i="12"/>
  <c r="BF543" i="12"/>
  <c r="BF544" i="12"/>
  <c r="BF545" i="12"/>
  <c r="BF546" i="12"/>
  <c r="BF547" i="12"/>
  <c r="BF548" i="12"/>
  <c r="BF549" i="12"/>
  <c r="BF550" i="12"/>
  <c r="BF551" i="12"/>
  <c r="BF552" i="12"/>
  <c r="BF553" i="12"/>
  <c r="BF554" i="12"/>
  <c r="BF555" i="12"/>
  <c r="BF556" i="12"/>
  <c r="BF557" i="12"/>
  <c r="BF558" i="12"/>
  <c r="BF559" i="12"/>
  <c r="BF560" i="12"/>
  <c r="BF561" i="12"/>
  <c r="BF562" i="12"/>
  <c r="BF563" i="12"/>
  <c r="BF564" i="12"/>
  <c r="BF565" i="12"/>
  <c r="BF566" i="12"/>
  <c r="BF567" i="12"/>
  <c r="BF568" i="12"/>
  <c r="BF569" i="12"/>
  <c r="BF570" i="12"/>
  <c r="BF571" i="12"/>
  <c r="BF572" i="12"/>
  <c r="BF573" i="12"/>
  <c r="BF574" i="12"/>
  <c r="BF575" i="12"/>
  <c r="BF576" i="12"/>
  <c r="BF577" i="12"/>
  <c r="BF578" i="12"/>
  <c r="BF579" i="12"/>
  <c r="BF580" i="12"/>
  <c r="BF581" i="12"/>
  <c r="BF582" i="12"/>
  <c r="BF583" i="12"/>
  <c r="BF584" i="12"/>
  <c r="BF585" i="12"/>
  <c r="BF586" i="12"/>
  <c r="BF587" i="12"/>
  <c r="BF588" i="12"/>
  <c r="BF589" i="12"/>
  <c r="BF590" i="12"/>
  <c r="BF591" i="12"/>
  <c r="BF592" i="12"/>
  <c r="BF593" i="12"/>
  <c r="BF594" i="12"/>
  <c r="BF595" i="12"/>
  <c r="BF596" i="12"/>
  <c r="BF597" i="12"/>
  <c r="BF598" i="12"/>
  <c r="BF599" i="12"/>
  <c r="BF600" i="12"/>
  <c r="BF601" i="12"/>
  <c r="BF602" i="12"/>
  <c r="BF603" i="12"/>
  <c r="BF604" i="12"/>
  <c r="BF605" i="12"/>
  <c r="BF606" i="12"/>
  <c r="BF607" i="12"/>
  <c r="BF608" i="12"/>
  <c r="BF609" i="12"/>
  <c r="BF610" i="12"/>
  <c r="BF611" i="12"/>
  <c r="BF612" i="12"/>
  <c r="BF613" i="12"/>
  <c r="BF614" i="12"/>
  <c r="BF615" i="12"/>
  <c r="BF616" i="12"/>
  <c r="BF617" i="12"/>
  <c r="BF618" i="12"/>
  <c r="BF619" i="12"/>
  <c r="BF620" i="12"/>
  <c r="BF621" i="12"/>
  <c r="BF622" i="12"/>
  <c r="BF623" i="12"/>
  <c r="BF624" i="12"/>
  <c r="BF625" i="12"/>
  <c r="BF626" i="12"/>
  <c r="BF627" i="12"/>
  <c r="BF628" i="12"/>
  <c r="BF629" i="12"/>
  <c r="BF630" i="12"/>
  <c r="BF631" i="12"/>
  <c r="BF632" i="12"/>
  <c r="BF633" i="12"/>
  <c r="BF634" i="12"/>
  <c r="BF635" i="12"/>
  <c r="BF636" i="12"/>
  <c r="BF637" i="12"/>
  <c r="BF638" i="12"/>
  <c r="BF639" i="12"/>
  <c r="BF640" i="12"/>
  <c r="BF641" i="12"/>
  <c r="BF642" i="12"/>
  <c r="BF643" i="12"/>
  <c r="BF644" i="12"/>
  <c r="BF645" i="12"/>
  <c r="BF646" i="12"/>
  <c r="BF647" i="12"/>
  <c r="BF648" i="12"/>
  <c r="BF649" i="12"/>
  <c r="BF650" i="12"/>
  <c r="BF651" i="12"/>
  <c r="BF652" i="12"/>
  <c r="BF653" i="12"/>
  <c r="BF654" i="12"/>
  <c r="BF655" i="12"/>
  <c r="BF656" i="12"/>
  <c r="BF657" i="12"/>
  <c r="BF658" i="12"/>
  <c r="BF659" i="12"/>
  <c r="BF660" i="12"/>
  <c r="BF661" i="12"/>
  <c r="BF662" i="12"/>
  <c r="BF663" i="12"/>
  <c r="BF664" i="12"/>
  <c r="BF665" i="12"/>
  <c r="BF666" i="12"/>
  <c r="BF667" i="12"/>
  <c r="BF668" i="12"/>
  <c r="BF669" i="12"/>
  <c r="BF670" i="12"/>
  <c r="BF671" i="12"/>
  <c r="BF672" i="12"/>
  <c r="BF673" i="12"/>
  <c r="BF674" i="12"/>
  <c r="BF675" i="12"/>
  <c r="BF676" i="12"/>
  <c r="BF677" i="12"/>
  <c r="BF678" i="12"/>
  <c r="BF679" i="12"/>
  <c r="BF680" i="12"/>
  <c r="BF681" i="12"/>
  <c r="BF682" i="12"/>
  <c r="BF683" i="12"/>
  <c r="BF684" i="12"/>
  <c r="BF685" i="12"/>
  <c r="BF686" i="12"/>
  <c r="BF687" i="12"/>
  <c r="BF688" i="12"/>
  <c r="BF689" i="12"/>
  <c r="BF690" i="12"/>
  <c r="BF691" i="12"/>
  <c r="BF692" i="12"/>
  <c r="BF693" i="12"/>
  <c r="BF694" i="12"/>
  <c r="BF695" i="12"/>
  <c r="BF696" i="12"/>
  <c r="BF697" i="12"/>
  <c r="BF698" i="12"/>
  <c r="BF699" i="12"/>
  <c r="BF700" i="12"/>
  <c r="BF701" i="12"/>
  <c r="BF702" i="12"/>
  <c r="BF703" i="12"/>
  <c r="BF704" i="12"/>
  <c r="BF705" i="12"/>
  <c r="BF706" i="12"/>
  <c r="BF707" i="12"/>
  <c r="BF708" i="12"/>
  <c r="BF709" i="12"/>
  <c r="BF710" i="12"/>
  <c r="BF711" i="12"/>
  <c r="BF712" i="12"/>
  <c r="BF713" i="12"/>
  <c r="BF714" i="12"/>
  <c r="BF715" i="12"/>
  <c r="BF716" i="12"/>
  <c r="BF717" i="12"/>
  <c r="BF718" i="12"/>
  <c r="BF730" i="12"/>
  <c r="BF731" i="12"/>
  <c r="BF732" i="12"/>
  <c r="BF733" i="12"/>
  <c r="BF734" i="12"/>
  <c r="BF735" i="12"/>
  <c r="BF736" i="12"/>
  <c r="BF737" i="12"/>
  <c r="BF738" i="12"/>
  <c r="BF739" i="12"/>
  <c r="BF740" i="12"/>
  <c r="BF741" i="12"/>
  <c r="BF742" i="12"/>
  <c r="BF743" i="12"/>
  <c r="BF744" i="12"/>
  <c r="BF745" i="12"/>
  <c r="BF746" i="12"/>
  <c r="BF747" i="12"/>
  <c r="BF748" i="12"/>
  <c r="BF749" i="12"/>
  <c r="BF750" i="12"/>
  <c r="BF751" i="12"/>
  <c r="BF752" i="12"/>
  <c r="BF753" i="12"/>
  <c r="BF754" i="12"/>
  <c r="BF755" i="12"/>
  <c r="BF756" i="12"/>
  <c r="BF757" i="12"/>
  <c r="BF758" i="12"/>
  <c r="BF759" i="12"/>
  <c r="BF760" i="12"/>
  <c r="BF761" i="12"/>
  <c r="BF762" i="12"/>
  <c r="BF763" i="12"/>
  <c r="BF764" i="12"/>
  <c r="BF765" i="12"/>
  <c r="BF766" i="12"/>
  <c r="BF767" i="12"/>
  <c r="BF768" i="12"/>
  <c r="BF769" i="12"/>
  <c r="BF770" i="12"/>
  <c r="BF771" i="12"/>
  <c r="BF772" i="12"/>
  <c r="BF773" i="12"/>
  <c r="BF774" i="12"/>
  <c r="BF775" i="12"/>
  <c r="BF776" i="12"/>
  <c r="BF777" i="12"/>
  <c r="BF778" i="12"/>
  <c r="BF779" i="12"/>
  <c r="BF780" i="12"/>
  <c r="BF781" i="12"/>
  <c r="BF782" i="12"/>
  <c r="BF783" i="12"/>
  <c r="BF784" i="12"/>
  <c r="BF785" i="12"/>
  <c r="BF786" i="12"/>
  <c r="BF787" i="12"/>
  <c r="BF788" i="12"/>
  <c r="BF789" i="12"/>
  <c r="BF790" i="12"/>
  <c r="BF791" i="12"/>
  <c r="BF792" i="12"/>
  <c r="BF793" i="12"/>
  <c r="BF794" i="12"/>
  <c r="BF795" i="12"/>
  <c r="BF796" i="12"/>
  <c r="BF797" i="12"/>
  <c r="BF798" i="12"/>
  <c r="BF799" i="12"/>
  <c r="BF800" i="12"/>
  <c r="BF801" i="12"/>
  <c r="BF802" i="12"/>
  <c r="BF803" i="12"/>
  <c r="BF804" i="12"/>
  <c r="BF805" i="12"/>
  <c r="BF806" i="12"/>
  <c r="BF807" i="12"/>
  <c r="BF808" i="12"/>
  <c r="BF809" i="12"/>
  <c r="BF810" i="12"/>
  <c r="BF811" i="12"/>
  <c r="BF812" i="12"/>
  <c r="BF813" i="12"/>
  <c r="BF814" i="12"/>
  <c r="BF815" i="12"/>
  <c r="BF816" i="12"/>
  <c r="BF817" i="12"/>
  <c r="BF818" i="12"/>
  <c r="BF819" i="12"/>
  <c r="BF820" i="12"/>
  <c r="BF821" i="12"/>
  <c r="BF822" i="12"/>
  <c r="BF823" i="12"/>
  <c r="BF824" i="12"/>
  <c r="BF825" i="12"/>
  <c r="BF826" i="12"/>
  <c r="BF827" i="12"/>
  <c r="BF828" i="12"/>
  <c r="BF829" i="12"/>
  <c r="BF830" i="12"/>
  <c r="BF831" i="12"/>
  <c r="BF832" i="12"/>
  <c r="BF833" i="12"/>
  <c r="BF834" i="12"/>
  <c r="BF835" i="12"/>
  <c r="BF836" i="12"/>
  <c r="BF837" i="12"/>
  <c r="BF838" i="12"/>
  <c r="BF839" i="12"/>
  <c r="BF840" i="12"/>
  <c r="BF841" i="12"/>
  <c r="BF842" i="12"/>
  <c r="BF843" i="12"/>
  <c r="BF844" i="12"/>
  <c r="BF845" i="12"/>
  <c r="BF846" i="12"/>
  <c r="BF847" i="12"/>
  <c r="BF848" i="12"/>
  <c r="BF849" i="12"/>
  <c r="BF850" i="12"/>
  <c r="BF851" i="12"/>
  <c r="BF852" i="12"/>
  <c r="BF853" i="12"/>
  <c r="BF854" i="12"/>
  <c r="BF855" i="12"/>
  <c r="BF856" i="12"/>
  <c r="BF857" i="12"/>
  <c r="BF858" i="12"/>
  <c r="BF859" i="12"/>
  <c r="BF860" i="12"/>
  <c r="BF861" i="12"/>
  <c r="BF862" i="12"/>
  <c r="BF863" i="12"/>
  <c r="BF864" i="12"/>
  <c r="BF865" i="12"/>
  <c r="BF866" i="12"/>
  <c r="BF867" i="12"/>
  <c r="BF868" i="12"/>
  <c r="BF869" i="12"/>
  <c r="BF870" i="12"/>
  <c r="BF871" i="12"/>
  <c r="BF872" i="12"/>
  <c r="BF873" i="12"/>
  <c r="BF874" i="12"/>
  <c r="BF875" i="12"/>
  <c r="BF876" i="12"/>
  <c r="BF877" i="12"/>
  <c r="BF878" i="12"/>
  <c r="BF879" i="12"/>
  <c r="BF880" i="12"/>
  <c r="BF881" i="12"/>
  <c r="BF882" i="12"/>
  <c r="BF883" i="12"/>
  <c r="BF884" i="12"/>
  <c r="BF885" i="12"/>
  <c r="BF886" i="12"/>
  <c r="BF887" i="12"/>
  <c r="BF888" i="12"/>
  <c r="BF889" i="12"/>
  <c r="BF890" i="12"/>
  <c r="BF891" i="12"/>
  <c r="BF892" i="12"/>
  <c r="BF893" i="12"/>
  <c r="BF894" i="12"/>
  <c r="BF895" i="12"/>
  <c r="BF896" i="12"/>
  <c r="BF897" i="12"/>
  <c r="BF898" i="12"/>
  <c r="BF899" i="12"/>
  <c r="BF900" i="12"/>
  <c r="BF901" i="12"/>
  <c r="BF902" i="12"/>
  <c r="BF903" i="12"/>
  <c r="BF904" i="12"/>
  <c r="BF905" i="12"/>
  <c r="BF906" i="12"/>
  <c r="BF907" i="12"/>
  <c r="BF908" i="12"/>
  <c r="BF909" i="12"/>
  <c r="BF910" i="12"/>
  <c r="BF911" i="12"/>
  <c r="BF912" i="12"/>
  <c r="BF913" i="12"/>
  <c r="BF914" i="12"/>
  <c r="BF915" i="12"/>
  <c r="BF916" i="12"/>
  <c r="BF917" i="12"/>
  <c r="BF918" i="12"/>
  <c r="BF919" i="12"/>
  <c r="BF920" i="12"/>
  <c r="BF921" i="12"/>
  <c r="BF922" i="12"/>
  <c r="BF923" i="12"/>
  <c r="BF924" i="12"/>
  <c r="BF925" i="12"/>
  <c r="BF926" i="12"/>
  <c r="BF927" i="12"/>
  <c r="BF928" i="12"/>
  <c r="BF929" i="12"/>
  <c r="BF930" i="12"/>
  <c r="BF931" i="12"/>
  <c r="BF932" i="12"/>
  <c r="BF933" i="12"/>
  <c r="BF934" i="12"/>
  <c r="BF935" i="12"/>
  <c r="BF936" i="12"/>
  <c r="BF937" i="12"/>
  <c r="BF938" i="12"/>
  <c r="BF939" i="12"/>
  <c r="BF940" i="12"/>
  <c r="BF941" i="12"/>
  <c r="BF942" i="12"/>
  <c r="BF943" i="12"/>
  <c r="BF944" i="12"/>
  <c r="BF945" i="12"/>
  <c r="BF946" i="12"/>
  <c r="BF947" i="12"/>
  <c r="BF948" i="12"/>
  <c r="BF949" i="12"/>
  <c r="BF950" i="12"/>
  <c r="BF951" i="12"/>
  <c r="BF952" i="12"/>
  <c r="BF953" i="12"/>
  <c r="BF954" i="12"/>
  <c r="BF955" i="12"/>
  <c r="BF956" i="12"/>
  <c r="BF957" i="12"/>
  <c r="BF958" i="12"/>
  <c r="BF959" i="12"/>
  <c r="BF960" i="12"/>
  <c r="BF961" i="12"/>
  <c r="BF962" i="12"/>
  <c r="BF963" i="12"/>
  <c r="BF964" i="12"/>
  <c r="BF965" i="12"/>
  <c r="BF966" i="12"/>
  <c r="BF967" i="12"/>
  <c r="BF968" i="12"/>
  <c r="BF969" i="12"/>
  <c r="BF970" i="12"/>
  <c r="BF971" i="12"/>
  <c r="BF972" i="12"/>
  <c r="BF973" i="12"/>
  <c r="BF974" i="12"/>
  <c r="BF975" i="12"/>
  <c r="BF976" i="12"/>
  <c r="BF977" i="12"/>
  <c r="BF978" i="12"/>
  <c r="BF979" i="12"/>
  <c r="BF980" i="12"/>
  <c r="BF981" i="12"/>
  <c r="BF982" i="12"/>
  <c r="BF983" i="12"/>
  <c r="BF984" i="12"/>
  <c r="BF985" i="12"/>
  <c r="BF986" i="12"/>
  <c r="BF987" i="12"/>
  <c r="BF988" i="12"/>
  <c r="BF989" i="12"/>
  <c r="BF990" i="12"/>
  <c r="BF991" i="12"/>
  <c r="BF992" i="12"/>
  <c r="BF993" i="12"/>
  <c r="BF994" i="12"/>
  <c r="BF995" i="12"/>
  <c r="BF996" i="12"/>
  <c r="BF997" i="12"/>
  <c r="BF998" i="12"/>
  <c r="BF999" i="12"/>
  <c r="BF1000" i="12"/>
  <c r="BF1001" i="12"/>
  <c r="BF1002" i="12"/>
  <c r="BF1003" i="12"/>
  <c r="BF1004" i="12"/>
  <c r="BF1005" i="12"/>
  <c r="BF1006" i="12"/>
  <c r="BF1007" i="12"/>
  <c r="BF1008" i="12"/>
  <c r="BF1009" i="12"/>
  <c r="BF1010" i="12"/>
  <c r="BF1011" i="12"/>
  <c r="BF1012" i="12"/>
  <c r="BF1013" i="12"/>
  <c r="BF1014" i="12"/>
  <c r="BF1015" i="12"/>
  <c r="BF1016" i="12"/>
  <c r="BF1017" i="12"/>
  <c r="BF1018" i="12"/>
  <c r="BF1019" i="12"/>
  <c r="BF1020" i="12"/>
  <c r="BF1021" i="12"/>
  <c r="BF1022" i="12"/>
  <c r="BF1023" i="12"/>
  <c r="BF1024" i="12"/>
  <c r="BF1025" i="12"/>
  <c r="BF1026" i="12"/>
  <c r="BF1027" i="12"/>
  <c r="BF1028" i="12"/>
  <c r="BF1029" i="12"/>
  <c r="BF1030" i="12"/>
  <c r="BF1031" i="12"/>
  <c r="BF1032" i="12"/>
  <c r="BF1033" i="12"/>
  <c r="BF1034" i="12"/>
  <c r="BF1035" i="12"/>
  <c r="BF1036" i="12"/>
  <c r="BF1037" i="12"/>
  <c r="BF1038" i="12"/>
  <c r="BF1039" i="12"/>
  <c r="BF1040" i="12"/>
  <c r="BF1041" i="12"/>
  <c r="BF1042" i="12"/>
  <c r="BF1043" i="12"/>
  <c r="BF1044" i="12"/>
  <c r="BF1045" i="12"/>
  <c r="BF1046" i="12"/>
  <c r="BF1047" i="12"/>
  <c r="BF1048" i="12"/>
  <c r="BF1049" i="12"/>
  <c r="BF1050" i="12"/>
  <c r="BF1051" i="12"/>
  <c r="BF1052" i="12"/>
  <c r="BF1053" i="12"/>
  <c r="BF1054" i="12"/>
  <c r="BF1055" i="12"/>
  <c r="BF1056" i="12"/>
  <c r="BF1057" i="12"/>
  <c r="BF1058" i="12"/>
  <c r="BF1059" i="12"/>
  <c r="BF1060" i="12"/>
  <c r="BF1061" i="12"/>
  <c r="BF1062" i="12"/>
  <c r="BF1063" i="12"/>
  <c r="BF1064" i="12"/>
  <c r="BF1065" i="12"/>
  <c r="BF1066" i="12"/>
  <c r="BF1067" i="12"/>
  <c r="BF1068" i="12"/>
  <c r="BF1069" i="12"/>
  <c r="BF1070" i="12"/>
  <c r="BF1071" i="12"/>
  <c r="BF1072" i="12"/>
  <c r="BF1073" i="12"/>
  <c r="BF1074" i="12"/>
  <c r="BF1075" i="12"/>
  <c r="BF1076" i="12"/>
  <c r="BF1077" i="12"/>
  <c r="BF1078" i="12"/>
  <c r="BF1079" i="12"/>
  <c r="BF1080" i="12"/>
  <c r="BF1081" i="12"/>
  <c r="BF1082" i="12"/>
  <c r="BF1083" i="12"/>
  <c r="BF1084" i="12"/>
  <c r="BF1085" i="12"/>
  <c r="BF1086" i="12"/>
  <c r="BF1087" i="12"/>
  <c r="BF1088" i="12"/>
  <c r="BF1089" i="12"/>
  <c r="BF1090" i="12"/>
  <c r="BF1091" i="12"/>
  <c r="BF1092" i="12"/>
  <c r="BF1093" i="12"/>
  <c r="BF1094" i="12"/>
  <c r="BF1095" i="12"/>
  <c r="BF1096" i="12"/>
  <c r="BF1097" i="12"/>
  <c r="BF1098" i="12"/>
  <c r="BF1099" i="12"/>
  <c r="BF1100" i="12"/>
  <c r="BF1101" i="12"/>
  <c r="BF1102" i="12"/>
  <c r="BF1103" i="12"/>
  <c r="BF1104" i="12"/>
  <c r="BF1105" i="12"/>
  <c r="BF1106" i="12"/>
  <c r="BF1107" i="12"/>
  <c r="BF1108" i="12"/>
  <c r="BF1109" i="12"/>
  <c r="BF1110" i="12"/>
  <c r="BF1111" i="12"/>
  <c r="BF1112" i="12"/>
  <c r="BF1113" i="12"/>
  <c r="BF1114" i="12"/>
  <c r="BF1115" i="12"/>
  <c r="BF1116" i="12"/>
  <c r="BF1117" i="12"/>
  <c r="BF1118" i="12"/>
  <c r="BF1119" i="12"/>
  <c r="BF1120" i="12"/>
  <c r="BF1121" i="12"/>
  <c r="BF1122" i="12"/>
  <c r="BF1123" i="12"/>
  <c r="BF1124" i="12"/>
  <c r="BF1125" i="12"/>
  <c r="BF1126" i="12"/>
  <c r="BF1127" i="12"/>
  <c r="BF1128" i="12"/>
  <c r="BF1129" i="12"/>
  <c r="BF1130" i="12"/>
  <c r="BF1131" i="12"/>
  <c r="BF1132" i="12"/>
  <c r="BF1133" i="12"/>
  <c r="BF1136" i="12"/>
  <c r="BF1137" i="12"/>
  <c r="BF1140" i="12"/>
  <c r="BF1141" i="12"/>
  <c r="BF1142" i="12"/>
  <c r="BF1143" i="12"/>
  <c r="BF1144" i="12"/>
  <c r="BF1145" i="12"/>
  <c r="BF1146" i="12"/>
  <c r="BF1147" i="12"/>
  <c r="BF1148" i="12"/>
  <c r="BF1149" i="12"/>
  <c r="BF1150" i="12"/>
  <c r="BF1151" i="12"/>
  <c r="BF1152" i="12"/>
  <c r="BF1153" i="12"/>
  <c r="BF1154" i="12"/>
  <c r="BF1155" i="12"/>
  <c r="BF1156" i="12"/>
  <c r="BF1157" i="12"/>
  <c r="BF1158" i="12"/>
  <c r="BF1159" i="12"/>
  <c r="BJ6" i="12"/>
  <c r="BJ7" i="12"/>
  <c r="BJ8" i="12"/>
  <c r="BJ9" i="12"/>
  <c r="BJ10" i="12"/>
  <c r="BJ11" i="12"/>
  <c r="BJ12" i="12"/>
  <c r="BJ13" i="12"/>
  <c r="BJ14" i="12"/>
  <c r="BJ15" i="12"/>
  <c r="BJ16" i="12"/>
  <c r="BJ17" i="12"/>
  <c r="BJ18" i="12"/>
  <c r="BJ19" i="12"/>
  <c r="BJ20" i="12"/>
  <c r="BJ21" i="12"/>
  <c r="BJ22" i="12"/>
  <c r="BJ23" i="12"/>
  <c r="BJ24" i="12"/>
  <c r="BJ25" i="12"/>
  <c r="BJ26" i="12"/>
  <c r="BJ27" i="12"/>
  <c r="BJ28" i="12"/>
  <c r="BJ29" i="12"/>
  <c r="BJ30" i="12"/>
  <c r="BJ31" i="12"/>
  <c r="BJ32" i="12"/>
  <c r="BJ33" i="12"/>
  <c r="BJ34" i="12"/>
  <c r="BJ35" i="12"/>
  <c r="BJ36" i="12"/>
  <c r="BJ37" i="12"/>
  <c r="BJ38" i="12"/>
  <c r="BJ39" i="12"/>
  <c r="BJ40" i="12"/>
  <c r="BJ41" i="12"/>
  <c r="BJ42" i="12"/>
  <c r="BJ43" i="12"/>
  <c r="BJ44" i="12"/>
  <c r="BJ45" i="12"/>
  <c r="BJ46" i="12"/>
  <c r="BJ47" i="12"/>
  <c r="BJ48" i="12"/>
  <c r="BJ49" i="12"/>
  <c r="BJ50" i="12"/>
  <c r="BJ51" i="12"/>
  <c r="BJ52" i="12"/>
  <c r="BJ53" i="12"/>
  <c r="BJ54" i="12"/>
  <c r="BJ55" i="12"/>
  <c r="BJ56" i="12"/>
  <c r="BJ57" i="12"/>
  <c r="BJ58" i="12"/>
  <c r="BJ59" i="12"/>
  <c r="BJ60" i="12"/>
  <c r="BJ61" i="12"/>
  <c r="BJ62" i="12"/>
  <c r="BJ63" i="12"/>
  <c r="BJ64" i="12"/>
  <c r="BJ65" i="12"/>
  <c r="BJ66" i="12"/>
  <c r="BJ67" i="12"/>
  <c r="BJ68" i="12"/>
  <c r="BJ69" i="12"/>
  <c r="BJ71" i="12"/>
  <c r="BJ72" i="12"/>
  <c r="BJ73" i="12"/>
  <c r="BJ74" i="12"/>
  <c r="BJ75" i="12"/>
  <c r="BJ76" i="12"/>
  <c r="BJ77" i="12"/>
  <c r="BJ78" i="12"/>
  <c r="BJ79" i="12"/>
  <c r="BJ80" i="12"/>
  <c r="BJ81" i="12"/>
  <c r="BJ82" i="12"/>
  <c r="BJ83" i="12"/>
  <c r="BJ84" i="12"/>
  <c r="BJ85" i="12"/>
  <c r="BJ86" i="12"/>
  <c r="BJ87" i="12"/>
  <c r="BJ88" i="12"/>
  <c r="BJ89" i="12"/>
  <c r="BJ90" i="12"/>
  <c r="BJ91" i="12"/>
  <c r="BJ92" i="12"/>
  <c r="BJ93" i="12"/>
  <c r="BJ94" i="12"/>
  <c r="BJ95" i="12"/>
  <c r="BJ96" i="12"/>
  <c r="BJ97" i="12"/>
  <c r="BJ98" i="12"/>
  <c r="BJ99" i="12"/>
  <c r="BJ100" i="12"/>
  <c r="BJ101" i="12"/>
  <c r="BJ102" i="12"/>
  <c r="BJ103" i="12"/>
  <c r="BJ104" i="12"/>
  <c r="BJ105" i="12"/>
  <c r="BJ106" i="12"/>
  <c r="BJ107" i="12"/>
  <c r="BJ108" i="12"/>
  <c r="BJ109" i="12"/>
  <c r="BJ110" i="12"/>
  <c r="BJ111" i="12"/>
  <c r="BJ112" i="12"/>
  <c r="BJ113" i="12"/>
  <c r="BJ114" i="12"/>
  <c r="BJ115" i="12"/>
  <c r="BJ116" i="12"/>
  <c r="BJ117" i="12"/>
  <c r="BJ118" i="12"/>
  <c r="BJ119" i="12"/>
  <c r="BJ120" i="12"/>
  <c r="BJ121" i="12"/>
  <c r="BJ122" i="12"/>
  <c r="BJ123" i="12"/>
  <c r="BJ124" i="12"/>
  <c r="BJ125" i="12"/>
  <c r="BJ126" i="12"/>
  <c r="BJ127" i="12"/>
  <c r="BJ128" i="12"/>
  <c r="BJ129" i="12"/>
  <c r="BJ130" i="12"/>
  <c r="BJ131" i="12"/>
  <c r="BJ132" i="12"/>
  <c r="BJ133" i="12"/>
  <c r="BJ134" i="12"/>
  <c r="BJ135" i="12"/>
  <c r="BJ136" i="12"/>
  <c r="BJ137" i="12"/>
  <c r="BJ138" i="12"/>
  <c r="BJ139" i="12"/>
  <c r="BJ140" i="12"/>
  <c r="BJ141" i="12"/>
  <c r="BJ142" i="12"/>
  <c r="BJ143" i="12"/>
  <c r="BJ144" i="12"/>
  <c r="BJ145" i="12"/>
  <c r="BJ146" i="12"/>
  <c r="BJ147" i="12"/>
  <c r="BJ148" i="12"/>
  <c r="BJ149" i="12"/>
  <c r="BJ150" i="12"/>
  <c r="BJ151" i="12"/>
  <c r="BJ152" i="12"/>
  <c r="BJ153" i="12"/>
  <c r="BJ154" i="12"/>
  <c r="BJ155" i="12"/>
  <c r="BJ156" i="12"/>
  <c r="BJ157" i="12"/>
  <c r="BJ158" i="12"/>
  <c r="BJ159" i="12"/>
  <c r="BJ160" i="12"/>
  <c r="BJ161" i="12"/>
  <c r="BJ162" i="12"/>
  <c r="BJ163" i="12"/>
  <c r="BJ164" i="12"/>
  <c r="BJ165" i="12"/>
  <c r="BJ166" i="12"/>
  <c r="BJ167" i="12"/>
  <c r="BJ168" i="12"/>
  <c r="BJ169" i="12"/>
  <c r="BJ170" i="12"/>
  <c r="BJ171" i="12"/>
  <c r="BJ172" i="12"/>
  <c r="BJ173" i="12"/>
  <c r="BJ174" i="12"/>
  <c r="BJ175" i="12"/>
  <c r="BJ176" i="12"/>
  <c r="BJ177" i="12"/>
  <c r="BJ178" i="12"/>
  <c r="BJ179" i="12"/>
  <c r="BJ180" i="12"/>
  <c r="BJ181" i="12"/>
  <c r="BJ182" i="12"/>
  <c r="BJ183" i="12"/>
  <c r="BJ184" i="12"/>
  <c r="BJ185" i="12"/>
  <c r="BJ186" i="12"/>
  <c r="BJ187" i="12"/>
  <c r="BJ188" i="12"/>
  <c r="BJ189" i="12"/>
  <c r="BJ190" i="12"/>
  <c r="BJ191" i="12"/>
  <c r="BJ192" i="12"/>
  <c r="BJ193" i="12"/>
  <c r="BJ194" i="12"/>
  <c r="BJ195" i="12"/>
  <c r="BJ196" i="12"/>
  <c r="BJ197" i="12"/>
  <c r="BJ198" i="12"/>
  <c r="BJ199" i="12"/>
  <c r="BJ200" i="12"/>
  <c r="BJ201" i="12"/>
  <c r="BJ202" i="12"/>
  <c r="BJ203" i="12"/>
  <c r="BJ204" i="12"/>
  <c r="BJ205" i="12"/>
  <c r="BJ206" i="12"/>
  <c r="BJ207" i="12"/>
  <c r="BJ208" i="12"/>
  <c r="BJ209" i="12"/>
  <c r="BJ210" i="12"/>
  <c r="BJ211" i="12"/>
  <c r="BJ212" i="12"/>
  <c r="BJ213" i="12"/>
  <c r="BJ214" i="12"/>
  <c r="BJ215" i="12"/>
  <c r="BJ216" i="12"/>
  <c r="BJ217" i="12"/>
  <c r="BJ218" i="12"/>
  <c r="BJ219" i="12"/>
  <c r="BJ220" i="12"/>
  <c r="BJ221" i="12"/>
  <c r="BJ222" i="12"/>
  <c r="BJ223" i="12"/>
  <c r="BJ224" i="12"/>
  <c r="BJ225" i="12"/>
  <c r="BJ226" i="12"/>
  <c r="BJ227" i="12"/>
  <c r="BJ228" i="12"/>
  <c r="BJ229" i="12"/>
  <c r="BJ230" i="12"/>
  <c r="BJ231" i="12"/>
  <c r="BJ232" i="12"/>
  <c r="BJ233" i="12"/>
  <c r="BJ234" i="12"/>
  <c r="BJ235" i="12"/>
  <c r="BJ236" i="12"/>
  <c r="BJ237" i="12"/>
  <c r="BJ238" i="12"/>
  <c r="BJ239" i="12"/>
  <c r="BJ240" i="12"/>
  <c r="BJ241" i="12"/>
  <c r="BJ242" i="12"/>
  <c r="BJ243" i="12"/>
  <c r="BJ244" i="12"/>
  <c r="BJ245" i="12"/>
  <c r="BJ246" i="12"/>
  <c r="BJ247" i="12"/>
  <c r="BJ248" i="12"/>
  <c r="BJ249" i="12"/>
  <c r="BJ250" i="12"/>
  <c r="BJ251" i="12"/>
  <c r="BJ252" i="12"/>
  <c r="BJ253" i="12"/>
  <c r="BJ254" i="12"/>
  <c r="BJ255" i="12"/>
  <c r="BJ256" i="12"/>
  <c r="BJ257" i="12"/>
  <c r="BJ258" i="12"/>
  <c r="BJ259" i="12"/>
  <c r="BJ260" i="12"/>
  <c r="BJ261" i="12"/>
  <c r="BJ262" i="12"/>
  <c r="BJ263" i="12"/>
  <c r="BJ264" i="12"/>
  <c r="BJ265" i="12"/>
  <c r="BJ266" i="12"/>
  <c r="BJ267" i="12"/>
  <c r="BJ268" i="12"/>
  <c r="BJ269" i="12"/>
  <c r="BJ270" i="12"/>
  <c r="BJ271" i="12"/>
  <c r="BJ272" i="12"/>
  <c r="BJ273" i="12"/>
  <c r="BJ274" i="12"/>
  <c r="BJ275" i="12"/>
  <c r="BJ276" i="12"/>
  <c r="BJ277" i="12"/>
  <c r="BJ278" i="12"/>
  <c r="BJ279" i="12"/>
  <c r="BJ280" i="12"/>
  <c r="BJ281" i="12"/>
  <c r="BJ282" i="12"/>
  <c r="BJ283" i="12"/>
  <c r="BJ284" i="12"/>
  <c r="BJ285" i="12"/>
  <c r="BJ286" i="12"/>
  <c r="BJ287" i="12"/>
  <c r="BJ288" i="12"/>
  <c r="BJ289" i="12"/>
  <c r="BJ290" i="12"/>
  <c r="BJ291" i="12"/>
  <c r="BJ292" i="12"/>
  <c r="BJ293" i="12"/>
  <c r="BJ294" i="12"/>
  <c r="BJ295" i="12"/>
  <c r="BJ296" i="12"/>
  <c r="BJ297" i="12"/>
  <c r="BJ298" i="12"/>
  <c r="BJ299" i="12"/>
  <c r="BJ300" i="12"/>
  <c r="BJ301" i="12"/>
  <c r="BJ302" i="12"/>
  <c r="BJ303" i="12"/>
  <c r="BJ304" i="12"/>
  <c r="BJ305" i="12"/>
  <c r="BJ306" i="12"/>
  <c r="BJ307" i="12"/>
  <c r="BJ308" i="12"/>
  <c r="BJ309" i="12"/>
  <c r="BJ310" i="12"/>
  <c r="BJ311" i="12"/>
  <c r="BJ312" i="12"/>
  <c r="BJ313" i="12"/>
  <c r="BJ314" i="12"/>
  <c r="BJ315" i="12"/>
  <c r="BJ316" i="12"/>
  <c r="BJ317" i="12"/>
  <c r="BJ318" i="12"/>
  <c r="BJ319" i="12"/>
  <c r="BJ320" i="12"/>
  <c r="BJ321" i="12"/>
  <c r="BJ322" i="12"/>
  <c r="BJ323" i="12"/>
  <c r="BJ324" i="12"/>
  <c r="BJ325" i="12"/>
  <c r="BJ326" i="12"/>
  <c r="BJ327" i="12"/>
  <c r="BJ328" i="12"/>
  <c r="BJ329" i="12"/>
  <c r="BJ330" i="12"/>
  <c r="BJ331" i="12"/>
  <c r="BJ332" i="12"/>
  <c r="BJ333" i="12"/>
  <c r="BJ334" i="12"/>
  <c r="BJ335" i="12"/>
  <c r="BJ336" i="12"/>
  <c r="BJ337" i="12"/>
  <c r="BJ338" i="12"/>
  <c r="BJ339" i="12"/>
  <c r="BJ340" i="12"/>
  <c r="BJ341" i="12"/>
  <c r="BJ342" i="12"/>
  <c r="BJ343" i="12"/>
  <c r="BJ344" i="12"/>
  <c r="BJ345" i="12"/>
  <c r="BJ346" i="12"/>
  <c r="BJ347" i="12"/>
  <c r="BJ348" i="12"/>
  <c r="BJ349" i="12"/>
  <c r="BJ350" i="12"/>
  <c r="BJ351" i="12"/>
  <c r="BJ352" i="12"/>
  <c r="BJ353" i="12"/>
  <c r="BJ354" i="12"/>
  <c r="BJ355" i="12"/>
  <c r="BJ356" i="12"/>
  <c r="BJ357" i="12"/>
  <c r="BJ358" i="12"/>
  <c r="BJ359" i="12"/>
  <c r="BJ360" i="12"/>
  <c r="BJ361" i="12"/>
  <c r="BJ362" i="12"/>
  <c r="BJ363" i="12"/>
  <c r="BJ364" i="12"/>
  <c r="BJ365" i="12"/>
  <c r="BJ366" i="12"/>
  <c r="BJ367" i="12"/>
  <c r="BJ368" i="12"/>
  <c r="BJ369" i="12"/>
  <c r="BJ370" i="12"/>
  <c r="BJ371" i="12"/>
  <c r="BJ372" i="12"/>
  <c r="BJ373" i="12"/>
  <c r="BJ374" i="12"/>
  <c r="BJ375" i="12"/>
  <c r="BJ376" i="12"/>
  <c r="BJ377" i="12"/>
  <c r="BJ378" i="12"/>
  <c r="BJ379" i="12"/>
  <c r="BJ380" i="12"/>
  <c r="BJ381" i="12"/>
  <c r="BJ382" i="12"/>
  <c r="BJ383" i="12"/>
  <c r="BJ384" i="12"/>
  <c r="BJ385" i="12"/>
  <c r="BJ386" i="12"/>
  <c r="BJ387" i="12"/>
  <c r="BJ388" i="12"/>
  <c r="BJ389" i="12"/>
  <c r="BJ390" i="12"/>
  <c r="BJ391" i="12"/>
  <c r="BJ392" i="12"/>
  <c r="BJ393" i="12"/>
  <c r="BJ394" i="12"/>
  <c r="BJ395" i="12"/>
  <c r="BJ396" i="12"/>
  <c r="BJ397" i="12"/>
  <c r="BJ398" i="12"/>
  <c r="BJ399" i="12"/>
  <c r="BJ400" i="12"/>
  <c r="BJ401" i="12"/>
  <c r="BJ402" i="12"/>
  <c r="BJ403" i="12"/>
  <c r="BJ404" i="12"/>
  <c r="BJ405" i="12"/>
  <c r="BJ406" i="12"/>
  <c r="BJ407" i="12"/>
  <c r="BJ408" i="12"/>
  <c r="BJ409" i="12"/>
  <c r="BJ410" i="12"/>
  <c r="BJ411" i="12"/>
  <c r="BJ412" i="12"/>
  <c r="BJ413" i="12"/>
  <c r="BJ414" i="12"/>
  <c r="BJ415" i="12"/>
  <c r="BJ416" i="12"/>
  <c r="BJ417" i="12"/>
  <c r="BJ418" i="12"/>
  <c r="BJ419" i="12"/>
  <c r="BJ420" i="12"/>
  <c r="BJ421" i="12"/>
  <c r="BJ422" i="12"/>
  <c r="BJ423" i="12"/>
  <c r="BJ424" i="12"/>
  <c r="BJ425" i="12"/>
  <c r="BJ426" i="12"/>
  <c r="BJ427" i="12"/>
  <c r="BJ428" i="12"/>
  <c r="BJ429" i="12"/>
  <c r="BJ430" i="12"/>
  <c r="BJ431" i="12"/>
  <c r="BJ432" i="12"/>
  <c r="BJ433" i="12"/>
  <c r="BJ434" i="12"/>
  <c r="BJ435" i="12"/>
  <c r="BJ436" i="12"/>
  <c r="BJ437" i="12"/>
  <c r="BJ438" i="12"/>
  <c r="BJ439" i="12"/>
  <c r="BJ440" i="12"/>
  <c r="BJ441" i="12"/>
  <c r="BJ442" i="12"/>
  <c r="BJ443" i="12"/>
  <c r="BJ444" i="12"/>
  <c r="BJ445" i="12"/>
  <c r="BJ446" i="12"/>
  <c r="BJ447" i="12"/>
  <c r="BJ448" i="12"/>
  <c r="BJ449" i="12"/>
  <c r="BJ450" i="12"/>
  <c r="BJ451" i="12"/>
  <c r="BJ452" i="12"/>
  <c r="BJ453" i="12"/>
  <c r="BJ454" i="12"/>
  <c r="BJ455" i="12"/>
  <c r="BJ456" i="12"/>
  <c r="BJ457" i="12"/>
  <c r="BJ458" i="12"/>
  <c r="BJ459" i="12"/>
  <c r="BJ460" i="12"/>
  <c r="BJ461" i="12"/>
  <c r="BJ462" i="12"/>
  <c r="BJ463" i="12"/>
  <c r="BJ464" i="12"/>
  <c r="BJ465" i="12"/>
  <c r="BJ466" i="12"/>
  <c r="BJ467" i="12"/>
  <c r="BJ468" i="12"/>
  <c r="BJ469" i="12"/>
  <c r="BJ470" i="12"/>
  <c r="BJ471" i="12"/>
  <c r="BJ472" i="12"/>
  <c r="BJ473" i="12"/>
  <c r="BJ474" i="12"/>
  <c r="BJ475" i="12"/>
  <c r="BJ476" i="12"/>
  <c r="BJ477" i="12"/>
  <c r="BJ478" i="12"/>
  <c r="BJ479" i="12"/>
  <c r="BJ480" i="12"/>
  <c r="BJ481" i="12"/>
  <c r="BJ482" i="12"/>
  <c r="BJ483" i="12"/>
  <c r="BJ484" i="12"/>
  <c r="BJ485" i="12"/>
  <c r="BJ486" i="12"/>
  <c r="BJ487" i="12"/>
  <c r="BJ488" i="12"/>
  <c r="BJ489" i="12"/>
  <c r="BJ492" i="12"/>
  <c r="BJ493" i="12"/>
  <c r="BJ494" i="12"/>
  <c r="BJ495" i="12"/>
  <c r="BJ496" i="12"/>
  <c r="BJ497" i="12"/>
  <c r="BJ498" i="12"/>
  <c r="BJ499" i="12"/>
  <c r="BJ500" i="12"/>
  <c r="BJ501" i="12"/>
  <c r="BJ502" i="12"/>
  <c r="BJ503" i="12"/>
  <c r="BJ504" i="12"/>
  <c r="BJ505" i="12"/>
  <c r="BJ506" i="12"/>
  <c r="BJ507" i="12"/>
  <c r="BJ508" i="12"/>
  <c r="BJ509" i="12"/>
  <c r="BJ510" i="12"/>
  <c r="BJ511" i="12"/>
  <c r="BJ512" i="12"/>
  <c r="BJ513" i="12"/>
  <c r="BJ514" i="12"/>
  <c r="BJ515" i="12"/>
  <c r="BJ516" i="12"/>
  <c r="BJ517" i="12"/>
  <c r="BJ518" i="12"/>
  <c r="BJ519" i="12"/>
  <c r="BJ520" i="12"/>
  <c r="BJ521" i="12"/>
  <c r="BJ522" i="12"/>
  <c r="BJ523" i="12"/>
  <c r="BJ524" i="12"/>
  <c r="BJ525" i="12"/>
  <c r="BJ526" i="12"/>
  <c r="BJ527" i="12"/>
  <c r="BJ528" i="12"/>
  <c r="BJ529" i="12"/>
  <c r="BJ530" i="12"/>
  <c r="BJ531" i="12"/>
  <c r="BJ532" i="12"/>
  <c r="BJ533" i="12"/>
  <c r="BJ534" i="12"/>
  <c r="BJ535" i="12"/>
  <c r="BJ536" i="12"/>
  <c r="BJ537" i="12"/>
  <c r="BJ538" i="12"/>
  <c r="BJ539" i="12"/>
  <c r="BJ540" i="12"/>
  <c r="BJ541" i="12"/>
  <c r="BJ542" i="12"/>
  <c r="BJ543" i="12"/>
  <c r="BJ544" i="12"/>
  <c r="BJ545" i="12"/>
  <c r="BJ546" i="12"/>
  <c r="BJ547" i="12"/>
  <c r="BJ548" i="12"/>
  <c r="BJ549" i="12"/>
  <c r="BJ550" i="12"/>
  <c r="BJ551" i="12"/>
  <c r="BJ552" i="12"/>
  <c r="BJ553" i="12"/>
  <c r="BJ554" i="12"/>
  <c r="BJ555" i="12"/>
  <c r="BJ556" i="12"/>
  <c r="BJ557" i="12"/>
  <c r="BJ558" i="12"/>
  <c r="BJ559" i="12"/>
  <c r="BJ560" i="12"/>
  <c r="BJ561" i="12"/>
  <c r="BJ562" i="12"/>
  <c r="BJ563" i="12"/>
  <c r="BJ564" i="12"/>
  <c r="BJ565" i="12"/>
  <c r="BJ566" i="12"/>
  <c r="BJ567" i="12"/>
  <c r="BJ568" i="12"/>
  <c r="BJ569" i="12"/>
  <c r="BJ570" i="12"/>
  <c r="BJ571" i="12"/>
  <c r="BJ572" i="12"/>
  <c r="BJ573" i="12"/>
  <c r="BJ574" i="12"/>
  <c r="BJ575" i="12"/>
  <c r="BJ576" i="12"/>
  <c r="BJ577" i="12"/>
  <c r="BJ578" i="12"/>
  <c r="BJ579" i="12"/>
  <c r="BJ580" i="12"/>
  <c r="BJ581" i="12"/>
  <c r="BJ582" i="12"/>
  <c r="BJ583" i="12"/>
  <c r="BJ584" i="12"/>
  <c r="BJ585" i="12"/>
  <c r="BJ586" i="12"/>
  <c r="BJ587" i="12"/>
  <c r="BJ588" i="12"/>
  <c r="BJ589" i="12"/>
  <c r="BJ590" i="12"/>
  <c r="BJ591" i="12"/>
  <c r="BJ592" i="12"/>
  <c r="BJ593" i="12"/>
  <c r="BJ594" i="12"/>
  <c r="BJ595" i="12"/>
  <c r="BJ596" i="12"/>
  <c r="BJ597" i="12"/>
  <c r="BJ598" i="12"/>
  <c r="BJ599" i="12"/>
  <c r="BJ600" i="12"/>
  <c r="BJ601" i="12"/>
  <c r="BJ602" i="12"/>
  <c r="BJ603" i="12"/>
  <c r="BJ604" i="12"/>
  <c r="BJ605" i="12"/>
  <c r="BJ606" i="12"/>
  <c r="BJ607" i="12"/>
  <c r="BJ608" i="12"/>
  <c r="BJ609" i="12"/>
  <c r="BJ610" i="12"/>
  <c r="BJ611" i="12"/>
  <c r="BJ612" i="12"/>
  <c r="BJ613" i="12"/>
  <c r="BJ614" i="12"/>
  <c r="BJ615" i="12"/>
  <c r="BJ616" i="12"/>
  <c r="BJ617" i="12"/>
  <c r="BJ618" i="12"/>
  <c r="BJ619" i="12"/>
  <c r="BJ620" i="12"/>
  <c r="BJ621" i="12"/>
  <c r="BJ622" i="12"/>
  <c r="BJ623" i="12"/>
  <c r="BJ624" i="12"/>
  <c r="BJ625" i="12"/>
  <c r="BJ626" i="12"/>
  <c r="BJ627" i="12"/>
  <c r="BJ628" i="12"/>
  <c r="BJ629" i="12"/>
  <c r="BJ630" i="12"/>
  <c r="BJ631" i="12"/>
  <c r="BJ632" i="12"/>
  <c r="BJ633" i="12"/>
  <c r="BJ634" i="12"/>
  <c r="BJ635" i="12"/>
  <c r="BJ636" i="12"/>
  <c r="BJ637" i="12"/>
  <c r="BJ638" i="12"/>
  <c r="BJ639" i="12"/>
  <c r="BJ640" i="12"/>
  <c r="BJ641" i="12"/>
  <c r="BJ642" i="12"/>
  <c r="BJ643" i="12"/>
  <c r="BJ644" i="12"/>
  <c r="BJ645" i="12"/>
  <c r="BJ646" i="12"/>
  <c r="BJ647" i="12"/>
  <c r="BJ648" i="12"/>
  <c r="BJ649" i="12"/>
  <c r="BJ650" i="12"/>
  <c r="BJ651" i="12"/>
  <c r="BJ652" i="12"/>
  <c r="BJ653" i="12"/>
  <c r="BJ654" i="12"/>
  <c r="BJ655" i="12"/>
  <c r="BJ656" i="12"/>
  <c r="BJ657" i="12"/>
  <c r="BJ658" i="12"/>
  <c r="BJ659" i="12"/>
  <c r="BJ660" i="12"/>
  <c r="BJ661" i="12"/>
  <c r="BJ662" i="12"/>
  <c r="BJ663" i="12"/>
  <c r="BJ664" i="12"/>
  <c r="BJ665" i="12"/>
  <c r="BJ666" i="12"/>
  <c r="BJ667" i="12"/>
  <c r="BJ668" i="12"/>
  <c r="BJ669" i="12"/>
  <c r="BJ670" i="12"/>
  <c r="BJ671" i="12"/>
  <c r="BJ672" i="12"/>
  <c r="BJ673" i="12"/>
  <c r="BJ674" i="12"/>
  <c r="BJ675" i="12"/>
  <c r="BJ676" i="12"/>
  <c r="BJ677" i="12"/>
  <c r="BJ678" i="12"/>
  <c r="BJ679" i="12"/>
  <c r="BJ680" i="12"/>
  <c r="BJ681" i="12"/>
  <c r="BJ682" i="12"/>
  <c r="BJ683" i="12"/>
  <c r="BJ684" i="12"/>
  <c r="BJ685" i="12"/>
  <c r="BJ686" i="12"/>
  <c r="BJ687" i="12"/>
  <c r="BJ688" i="12"/>
  <c r="BJ689" i="12"/>
  <c r="BJ690" i="12"/>
  <c r="BJ691" i="12"/>
  <c r="BJ692" i="12"/>
  <c r="BJ693" i="12"/>
  <c r="BJ694" i="12"/>
  <c r="BJ695" i="12"/>
  <c r="BJ696" i="12"/>
  <c r="BJ697" i="12"/>
  <c r="BJ698" i="12"/>
  <c r="BJ699" i="12"/>
  <c r="BJ700" i="12"/>
  <c r="BJ701" i="12"/>
  <c r="BJ702" i="12"/>
  <c r="BJ703" i="12"/>
  <c r="BJ704" i="12"/>
  <c r="BJ705" i="12"/>
  <c r="BJ706" i="12"/>
  <c r="BJ707" i="12"/>
  <c r="BJ708" i="12"/>
  <c r="BJ709" i="12"/>
  <c r="BJ710" i="12"/>
  <c r="BJ711" i="12"/>
  <c r="BJ712" i="12"/>
  <c r="BJ713" i="12"/>
  <c r="BJ714" i="12"/>
  <c r="BJ715" i="12"/>
  <c r="BJ716" i="12"/>
  <c r="BJ717" i="12"/>
  <c r="BJ718" i="12"/>
  <c r="BJ730" i="12"/>
  <c r="BJ731" i="12"/>
  <c r="BJ732" i="12"/>
  <c r="BJ733" i="12"/>
  <c r="BJ734" i="12"/>
  <c r="BJ735" i="12"/>
  <c r="BJ736" i="12"/>
  <c r="BJ737" i="12"/>
  <c r="BJ738" i="12"/>
  <c r="BJ739" i="12"/>
  <c r="BJ740" i="12"/>
  <c r="BJ741" i="12"/>
  <c r="BJ742" i="12"/>
  <c r="BJ743" i="12"/>
  <c r="BJ744" i="12"/>
  <c r="BJ745" i="12"/>
  <c r="BJ746" i="12"/>
  <c r="BJ747" i="12"/>
  <c r="BJ748" i="12"/>
  <c r="BJ749" i="12"/>
  <c r="BJ750" i="12"/>
  <c r="BJ751" i="12"/>
  <c r="BJ752" i="12"/>
  <c r="BJ753" i="12"/>
  <c r="BJ754" i="12"/>
  <c r="BJ755" i="12"/>
  <c r="BJ756" i="12"/>
  <c r="BJ757" i="12"/>
  <c r="BJ758" i="12"/>
  <c r="BJ759" i="12"/>
  <c r="BJ760" i="12"/>
  <c r="BJ761" i="12"/>
  <c r="BJ762" i="12"/>
  <c r="BJ763" i="12"/>
  <c r="BJ764" i="12"/>
  <c r="BJ765" i="12"/>
  <c r="BJ766" i="12"/>
  <c r="BJ767" i="12"/>
  <c r="BJ768" i="12"/>
  <c r="BJ769" i="12"/>
  <c r="BJ770" i="12"/>
  <c r="BJ771" i="12"/>
  <c r="BJ772" i="12"/>
  <c r="BJ773" i="12"/>
  <c r="BJ774" i="12"/>
  <c r="BJ775" i="12"/>
  <c r="BJ776" i="12"/>
  <c r="BJ777" i="12"/>
  <c r="BJ778" i="12"/>
  <c r="BJ779" i="12"/>
  <c r="BJ780" i="12"/>
  <c r="BJ781" i="12"/>
  <c r="BJ782" i="12"/>
  <c r="BJ783" i="12"/>
  <c r="BJ784" i="12"/>
  <c r="BJ785" i="12"/>
  <c r="BJ786" i="12"/>
  <c r="BJ787" i="12"/>
  <c r="BJ788" i="12"/>
  <c r="BJ789" i="12"/>
  <c r="BJ790" i="12"/>
  <c r="BJ791" i="12"/>
  <c r="BJ792" i="12"/>
  <c r="BJ793" i="12"/>
  <c r="BJ794" i="12"/>
  <c r="BJ795" i="12"/>
  <c r="BJ796" i="12"/>
  <c r="BJ797" i="12"/>
  <c r="BJ798" i="12"/>
  <c r="BJ799" i="12"/>
  <c r="BJ800" i="12"/>
  <c r="BJ801" i="12"/>
  <c r="BJ802" i="12"/>
  <c r="BJ803" i="12"/>
  <c r="BJ804" i="12"/>
  <c r="BJ805" i="12"/>
  <c r="BJ806" i="12"/>
  <c r="BJ807" i="12"/>
  <c r="BJ808" i="12"/>
  <c r="BJ809" i="12"/>
  <c r="BJ810" i="12"/>
  <c r="BJ811" i="12"/>
  <c r="BJ812" i="12"/>
  <c r="BJ813" i="12"/>
  <c r="BJ814" i="12"/>
  <c r="BJ815" i="12"/>
  <c r="BJ816" i="12"/>
  <c r="BJ817" i="12"/>
  <c r="BJ818" i="12"/>
  <c r="BJ819" i="12"/>
  <c r="BJ820" i="12"/>
  <c r="BJ821" i="12"/>
  <c r="BJ822" i="12"/>
  <c r="BJ823" i="12"/>
  <c r="BJ824" i="12"/>
  <c r="BJ825" i="12"/>
  <c r="BJ826" i="12"/>
  <c r="BJ827" i="12"/>
  <c r="BJ828" i="12"/>
  <c r="BJ829" i="12"/>
  <c r="BJ830" i="12"/>
  <c r="BJ831" i="12"/>
  <c r="BJ832" i="12"/>
  <c r="BJ833" i="12"/>
  <c r="BJ834" i="12"/>
  <c r="BJ835" i="12"/>
  <c r="BJ836" i="12"/>
  <c r="BJ837" i="12"/>
  <c r="BJ838" i="12"/>
  <c r="BJ839" i="12"/>
  <c r="BJ840" i="12"/>
  <c r="BJ841" i="12"/>
  <c r="BJ842" i="12"/>
  <c r="BJ843" i="12"/>
  <c r="BJ844" i="12"/>
  <c r="BJ845" i="12"/>
  <c r="BJ846" i="12"/>
  <c r="BJ847" i="12"/>
  <c r="BJ848" i="12"/>
  <c r="BJ849" i="12"/>
  <c r="BJ850" i="12"/>
  <c r="BJ851" i="12"/>
  <c r="BJ852" i="12"/>
  <c r="BJ853" i="12"/>
  <c r="BJ854" i="12"/>
  <c r="BJ855" i="12"/>
  <c r="BJ856" i="12"/>
  <c r="BJ857" i="12"/>
  <c r="BJ858" i="12"/>
  <c r="BJ859" i="12"/>
  <c r="BJ860" i="12"/>
  <c r="BJ861" i="12"/>
  <c r="BJ862" i="12"/>
  <c r="BJ863" i="12"/>
  <c r="BJ864" i="12"/>
  <c r="BJ865" i="12"/>
  <c r="BJ866" i="12"/>
  <c r="BJ867" i="12"/>
  <c r="BJ868" i="12"/>
  <c r="BJ869" i="12"/>
  <c r="BJ870" i="12"/>
  <c r="BJ871" i="12"/>
  <c r="BJ872" i="12"/>
  <c r="BJ873" i="12"/>
  <c r="BJ874" i="12"/>
  <c r="BJ875" i="12"/>
  <c r="BJ876" i="12"/>
  <c r="BJ877" i="12"/>
  <c r="BJ878" i="12"/>
  <c r="BJ879" i="12"/>
  <c r="BJ880" i="12"/>
  <c r="BJ881" i="12"/>
  <c r="BJ882" i="12"/>
  <c r="BJ883" i="12"/>
  <c r="BJ884" i="12"/>
  <c r="BJ885" i="12"/>
  <c r="BJ886" i="12"/>
  <c r="BJ887" i="12"/>
  <c r="BJ888" i="12"/>
  <c r="BJ889" i="12"/>
  <c r="BJ890" i="12"/>
  <c r="BJ891" i="12"/>
  <c r="BJ892" i="12"/>
  <c r="BJ893" i="12"/>
  <c r="BJ894" i="12"/>
  <c r="BJ895" i="12"/>
  <c r="BJ896" i="12"/>
  <c r="BJ897" i="12"/>
  <c r="BJ898" i="12"/>
  <c r="BJ899" i="12"/>
  <c r="BJ900" i="12"/>
  <c r="BJ901" i="12"/>
  <c r="BJ902" i="12"/>
  <c r="BJ903" i="12"/>
  <c r="BJ904" i="12"/>
  <c r="BJ905" i="12"/>
  <c r="BJ906" i="12"/>
  <c r="BJ907" i="12"/>
  <c r="BJ908" i="12"/>
  <c r="BJ909" i="12"/>
  <c r="BJ910" i="12"/>
  <c r="BJ911" i="12"/>
  <c r="BJ912" i="12"/>
  <c r="BJ913" i="12"/>
  <c r="BJ914" i="12"/>
  <c r="BJ915" i="12"/>
  <c r="BJ916" i="12"/>
  <c r="BJ917" i="12"/>
  <c r="BJ918" i="12"/>
  <c r="BJ919" i="12"/>
  <c r="BJ920" i="12"/>
  <c r="BJ921" i="12"/>
  <c r="BJ922" i="12"/>
  <c r="BJ923" i="12"/>
  <c r="BJ924" i="12"/>
  <c r="BJ925" i="12"/>
  <c r="BJ926" i="12"/>
  <c r="BJ927" i="12"/>
  <c r="BJ928" i="12"/>
  <c r="BJ929" i="12"/>
  <c r="BJ930" i="12"/>
  <c r="BJ931" i="12"/>
  <c r="BJ932" i="12"/>
  <c r="BJ933" i="12"/>
  <c r="BJ934" i="12"/>
  <c r="BJ935" i="12"/>
  <c r="BJ936" i="12"/>
  <c r="BJ937" i="12"/>
  <c r="BJ938" i="12"/>
  <c r="BJ939" i="12"/>
  <c r="BJ940" i="12"/>
  <c r="BJ941" i="12"/>
  <c r="BJ942" i="12"/>
  <c r="BJ943" i="12"/>
  <c r="BJ944" i="12"/>
  <c r="BJ945" i="12"/>
  <c r="BJ946" i="12"/>
  <c r="BJ947" i="12"/>
  <c r="BJ948" i="12"/>
  <c r="BJ949" i="12"/>
  <c r="BJ950" i="12"/>
  <c r="BJ951" i="12"/>
  <c r="BJ952" i="12"/>
  <c r="BJ953" i="12"/>
  <c r="BJ954" i="12"/>
  <c r="BJ955" i="12"/>
  <c r="BJ956" i="12"/>
  <c r="BJ957" i="12"/>
  <c r="BJ958" i="12"/>
  <c r="BJ959" i="12"/>
  <c r="BJ960" i="12"/>
  <c r="BJ961" i="12"/>
  <c r="BJ962" i="12"/>
  <c r="BJ963" i="12"/>
  <c r="BJ964" i="12"/>
  <c r="BJ965" i="12"/>
  <c r="BJ966" i="12"/>
  <c r="BJ967" i="12"/>
  <c r="BJ968" i="12"/>
  <c r="BJ969" i="12"/>
  <c r="BJ970" i="12"/>
  <c r="BJ971" i="12"/>
  <c r="BJ972" i="12"/>
  <c r="BJ973" i="12"/>
  <c r="BJ974" i="12"/>
  <c r="BJ975" i="12"/>
  <c r="BJ976" i="12"/>
  <c r="BJ977" i="12"/>
  <c r="BJ978" i="12"/>
  <c r="BJ979" i="12"/>
  <c r="BJ980" i="12"/>
  <c r="BJ981" i="12"/>
  <c r="BJ982" i="12"/>
  <c r="BJ983" i="12"/>
  <c r="BJ984" i="12"/>
  <c r="BJ985" i="12"/>
  <c r="BJ986" i="12"/>
  <c r="BJ987" i="12"/>
  <c r="BJ988" i="12"/>
  <c r="BJ989" i="12"/>
  <c r="BJ990" i="12"/>
  <c r="BJ991" i="12"/>
  <c r="BJ992" i="12"/>
  <c r="BJ993" i="12"/>
  <c r="BJ994" i="12"/>
  <c r="BJ995" i="12"/>
  <c r="BJ996" i="12"/>
  <c r="BJ997" i="12"/>
  <c r="BJ998" i="12"/>
  <c r="BJ999" i="12"/>
  <c r="BJ1000" i="12"/>
  <c r="BJ1001" i="12"/>
  <c r="BJ1002" i="12"/>
  <c r="BJ1003" i="12"/>
  <c r="BJ1004" i="12"/>
  <c r="BJ1005" i="12"/>
  <c r="BJ1006" i="12"/>
  <c r="BJ1007" i="12"/>
  <c r="BJ1008" i="12"/>
  <c r="BJ1009" i="12"/>
  <c r="BJ1010" i="12"/>
  <c r="BJ1011" i="12"/>
  <c r="BJ1012" i="12"/>
  <c r="BJ1013" i="12"/>
  <c r="BJ1014" i="12"/>
  <c r="BJ1015" i="12"/>
  <c r="BJ1016" i="12"/>
  <c r="BJ1017" i="12"/>
  <c r="BJ1018" i="12"/>
  <c r="BJ1019" i="12"/>
  <c r="BJ1020" i="12"/>
  <c r="BJ1021" i="12"/>
  <c r="BJ1022" i="12"/>
  <c r="BJ1023" i="12"/>
  <c r="BJ1024" i="12"/>
  <c r="BJ1025" i="12"/>
  <c r="BJ1026" i="12"/>
  <c r="BJ1027" i="12"/>
  <c r="BJ1028" i="12"/>
  <c r="BJ1029" i="12"/>
  <c r="BJ1030" i="12"/>
  <c r="BJ1031" i="12"/>
  <c r="BJ1032" i="12"/>
  <c r="BJ1033" i="12"/>
  <c r="BJ1034" i="12"/>
  <c r="BJ1035" i="12"/>
  <c r="BJ1036" i="12"/>
  <c r="BJ1037" i="12"/>
  <c r="BJ1038" i="12"/>
  <c r="BJ1039" i="12"/>
  <c r="BJ1040" i="12"/>
  <c r="BJ1041" i="12"/>
  <c r="BJ1042" i="12"/>
  <c r="BJ1043" i="12"/>
  <c r="BJ1044" i="12"/>
  <c r="BJ1045" i="12"/>
  <c r="BJ1046" i="12"/>
  <c r="BJ1047" i="12"/>
  <c r="BJ1048" i="12"/>
  <c r="BJ1049" i="12"/>
  <c r="BJ1050" i="12"/>
  <c r="BJ1051" i="12"/>
  <c r="BJ1052" i="12"/>
  <c r="BJ1053" i="12"/>
  <c r="BJ1054" i="12"/>
  <c r="BJ1055" i="12"/>
  <c r="BJ1056" i="12"/>
  <c r="BJ1057" i="12"/>
  <c r="BJ1058" i="12"/>
  <c r="BJ1059" i="12"/>
  <c r="BJ1060" i="12"/>
  <c r="BJ1061" i="12"/>
  <c r="BJ1062" i="12"/>
  <c r="BJ1063" i="12"/>
  <c r="BJ1064" i="12"/>
  <c r="BJ1065" i="12"/>
  <c r="BJ1066" i="12"/>
  <c r="BJ1067" i="12"/>
  <c r="BJ1068" i="12"/>
  <c r="BJ1069" i="12"/>
  <c r="BJ1070" i="12"/>
  <c r="BJ1071" i="12"/>
  <c r="BJ1072" i="12"/>
  <c r="BJ1073" i="12"/>
  <c r="BJ1074" i="12"/>
  <c r="BJ1075" i="12"/>
  <c r="BJ1076" i="12"/>
  <c r="BJ1077" i="12"/>
  <c r="BJ1078" i="12"/>
  <c r="BJ1079" i="12"/>
  <c r="BJ1080" i="12"/>
  <c r="BJ1081" i="12"/>
  <c r="BJ1082" i="12"/>
  <c r="BJ1083" i="12"/>
  <c r="BJ1084" i="12"/>
  <c r="BJ1085" i="12"/>
  <c r="BJ1086" i="12"/>
  <c r="BJ1087" i="12"/>
  <c r="BJ1088" i="12"/>
  <c r="BJ1089" i="12"/>
  <c r="BJ1090" i="12"/>
  <c r="BJ1091" i="12"/>
  <c r="BJ1092" i="12"/>
  <c r="BJ1093" i="12"/>
  <c r="BJ1094" i="12"/>
  <c r="BJ1095" i="12"/>
  <c r="BJ1096" i="12"/>
  <c r="BJ1097" i="12"/>
  <c r="BJ1098" i="12"/>
  <c r="BJ1099" i="12"/>
  <c r="BJ1100" i="12"/>
  <c r="BJ1101" i="12"/>
  <c r="BJ1102" i="12"/>
  <c r="BJ1103" i="12"/>
  <c r="BJ1104" i="12"/>
  <c r="BJ1105" i="12"/>
  <c r="BJ1106" i="12"/>
  <c r="BJ1107" i="12"/>
  <c r="BJ1108" i="12"/>
  <c r="BJ1109" i="12"/>
  <c r="BJ1110" i="12"/>
  <c r="BJ1111" i="12"/>
  <c r="BJ1112" i="12"/>
  <c r="BJ1113" i="12"/>
  <c r="BJ1114" i="12"/>
  <c r="BJ1115" i="12"/>
  <c r="BJ1116" i="12"/>
  <c r="BJ1117" i="12"/>
  <c r="BJ1118" i="12"/>
  <c r="BJ1119" i="12"/>
  <c r="BJ1120" i="12"/>
  <c r="BJ1121" i="12"/>
  <c r="BJ1122" i="12"/>
  <c r="BJ1123" i="12"/>
  <c r="BJ1124" i="12"/>
  <c r="BJ1125" i="12"/>
  <c r="BJ1126" i="12"/>
  <c r="BJ1127" i="12"/>
  <c r="BJ1128" i="12"/>
  <c r="BJ1129" i="12"/>
  <c r="BJ1130" i="12"/>
  <c r="BJ1131" i="12"/>
  <c r="BJ1132" i="12"/>
  <c r="BJ1133" i="12"/>
  <c r="BJ1136" i="12"/>
  <c r="BJ1137" i="12"/>
  <c r="BJ1140" i="12"/>
  <c r="BJ1141" i="12"/>
  <c r="BJ1142" i="12"/>
  <c r="BJ1143" i="12"/>
  <c r="BJ1144" i="12"/>
  <c r="BJ1145" i="12"/>
  <c r="BJ1146" i="12"/>
  <c r="BJ1147" i="12"/>
  <c r="BJ1148" i="12"/>
  <c r="BJ1149" i="12"/>
  <c r="BJ1150" i="12"/>
  <c r="BJ1151" i="12"/>
  <c r="BJ1152" i="12"/>
  <c r="BJ1153" i="12"/>
  <c r="BJ1154" i="12"/>
  <c r="BJ1155" i="12"/>
  <c r="BJ1156" i="12"/>
  <c r="BJ1157" i="12"/>
  <c r="BJ1158" i="12"/>
  <c r="BJ1159" i="12"/>
  <c r="BJ5" i="12"/>
  <c r="AU5" i="12"/>
  <c r="AU6" i="12"/>
  <c r="AU7" i="12"/>
  <c r="AU8" i="12"/>
  <c r="AU9" i="12"/>
  <c r="AU10" i="12"/>
  <c r="AU11" i="12"/>
  <c r="AU12" i="12"/>
  <c r="AU13" i="12"/>
  <c r="AU14" i="12"/>
  <c r="AU15" i="12"/>
  <c r="AU16" i="12"/>
  <c r="AU17" i="12"/>
  <c r="AU18" i="12"/>
  <c r="AU19" i="12"/>
  <c r="AU20" i="12"/>
  <c r="AU21" i="12"/>
  <c r="AU22" i="12"/>
  <c r="AU23" i="12"/>
  <c r="AU24" i="12"/>
  <c r="AU25" i="12"/>
  <c r="AU26" i="12"/>
  <c r="AU27" i="12"/>
  <c r="AU28" i="12"/>
  <c r="AU29" i="12"/>
  <c r="AU30" i="12"/>
  <c r="AU31" i="12"/>
  <c r="AU32" i="12"/>
  <c r="AU33" i="12"/>
  <c r="AU34" i="12"/>
  <c r="AU35" i="12"/>
  <c r="AU36" i="12"/>
  <c r="AU37" i="12"/>
  <c r="AU38" i="12"/>
  <c r="AU39" i="12"/>
  <c r="AU40" i="12"/>
  <c r="AU41" i="12"/>
  <c r="AU42" i="12"/>
  <c r="AU43" i="12"/>
  <c r="AU44" i="12"/>
  <c r="AU45" i="12"/>
  <c r="AU46" i="12"/>
  <c r="AU47" i="12"/>
  <c r="AU48" i="12"/>
  <c r="AU49" i="12"/>
  <c r="AU50" i="12"/>
  <c r="AU51" i="12"/>
  <c r="AU52" i="12"/>
  <c r="AU53" i="12"/>
  <c r="AU54" i="12"/>
  <c r="AU55" i="12"/>
  <c r="AU56" i="12"/>
  <c r="AU57" i="12"/>
  <c r="AU58" i="12"/>
  <c r="AU59" i="12"/>
  <c r="AU60" i="12"/>
  <c r="AU61" i="12"/>
  <c r="AU62" i="12"/>
  <c r="AU63" i="12"/>
  <c r="AU64" i="12"/>
  <c r="AU65" i="12"/>
  <c r="AU66" i="12"/>
  <c r="AU67" i="12"/>
  <c r="AU68" i="12"/>
  <c r="AU69" i="12"/>
  <c r="AU71" i="12"/>
  <c r="AU72" i="12"/>
  <c r="AU73" i="12"/>
  <c r="AU74" i="12"/>
  <c r="AU75" i="12"/>
  <c r="AU76" i="12"/>
  <c r="AU77" i="12"/>
  <c r="AU78" i="12"/>
  <c r="AU79" i="12"/>
  <c r="AU80" i="12"/>
  <c r="AU81" i="12"/>
  <c r="AU82" i="12"/>
  <c r="AU83" i="12"/>
  <c r="AU84" i="12"/>
  <c r="AU85" i="12"/>
  <c r="AU86" i="12"/>
  <c r="AU87" i="12"/>
  <c r="AU88" i="12"/>
  <c r="AU89" i="12"/>
  <c r="AU90" i="12"/>
  <c r="AU91" i="12"/>
  <c r="AU92" i="12"/>
  <c r="AU93" i="12"/>
  <c r="AU94" i="12"/>
  <c r="AU95" i="12"/>
  <c r="AU96" i="12"/>
  <c r="AU97" i="12"/>
  <c r="AU98" i="12"/>
  <c r="AU99" i="12"/>
  <c r="AU100" i="12"/>
  <c r="AU101" i="12"/>
  <c r="AU102" i="12"/>
  <c r="AU103" i="12"/>
  <c r="AU104" i="12"/>
  <c r="AU105" i="12"/>
  <c r="AU106" i="12"/>
  <c r="AU107" i="12"/>
  <c r="AU108" i="12"/>
  <c r="AU109" i="12"/>
  <c r="AU110" i="12"/>
  <c r="AU111" i="12"/>
  <c r="AU112" i="12"/>
  <c r="AU113" i="12"/>
  <c r="AU114" i="12"/>
  <c r="AU115" i="12"/>
  <c r="AU116" i="12"/>
  <c r="AU117" i="12"/>
  <c r="AU118" i="12"/>
  <c r="AU119" i="12"/>
  <c r="AU120" i="12"/>
  <c r="AU121" i="12"/>
  <c r="AU122" i="12"/>
  <c r="AU123" i="12"/>
  <c r="AU124" i="12"/>
  <c r="AU125" i="12"/>
  <c r="AU126" i="12"/>
  <c r="AU127" i="12"/>
  <c r="AU128" i="12"/>
  <c r="AU129" i="12"/>
  <c r="AU130" i="12"/>
  <c r="AU131" i="12"/>
  <c r="AU132" i="12"/>
  <c r="AU133" i="12"/>
  <c r="AU134" i="12"/>
  <c r="AU135" i="12"/>
  <c r="AU136" i="12"/>
  <c r="AU137" i="12"/>
  <c r="AU138" i="12"/>
  <c r="AU139" i="12"/>
  <c r="AU140" i="12"/>
  <c r="AU141" i="12"/>
  <c r="AU142" i="12"/>
  <c r="AU143" i="12"/>
  <c r="AU144" i="12"/>
  <c r="AU145" i="12"/>
  <c r="AU146" i="12"/>
  <c r="AU147" i="12"/>
  <c r="AU148" i="12"/>
  <c r="AU149" i="12"/>
  <c r="AU150" i="12"/>
  <c r="AU151" i="12"/>
  <c r="AU152" i="12"/>
  <c r="AU153" i="12"/>
  <c r="AU154" i="12"/>
  <c r="AU155" i="12"/>
  <c r="AU156" i="12"/>
  <c r="AU157" i="12"/>
  <c r="AU158" i="12"/>
  <c r="AU159" i="12"/>
  <c r="AU160" i="12"/>
  <c r="AU161" i="12"/>
  <c r="AU162" i="12"/>
  <c r="AU163" i="12"/>
  <c r="AU164" i="12"/>
  <c r="AU165" i="12"/>
  <c r="AU166" i="12"/>
  <c r="AU167" i="12"/>
  <c r="AU168" i="12"/>
  <c r="AU169" i="12"/>
  <c r="AU170" i="12"/>
  <c r="AU171" i="12"/>
  <c r="AU172" i="12"/>
  <c r="AU173" i="12"/>
  <c r="AU174" i="12"/>
  <c r="AU175" i="12"/>
  <c r="AU176" i="12"/>
  <c r="AU177" i="12"/>
  <c r="AU178" i="12"/>
  <c r="AU179" i="12"/>
  <c r="AU180" i="12"/>
  <c r="AU181" i="12"/>
  <c r="AU182" i="12"/>
  <c r="AU183" i="12"/>
  <c r="AU184" i="12"/>
  <c r="AU185" i="12"/>
  <c r="AU186" i="12"/>
  <c r="AU187" i="12"/>
  <c r="AU188" i="12"/>
  <c r="AU189" i="12"/>
  <c r="AU190" i="12"/>
  <c r="AU191" i="12"/>
  <c r="AU192" i="12"/>
  <c r="AU193" i="12"/>
  <c r="AU194" i="12"/>
  <c r="AU195" i="12"/>
  <c r="AU196" i="12"/>
  <c r="AU197" i="12"/>
  <c r="AU198" i="12"/>
  <c r="AU199" i="12"/>
  <c r="AU200" i="12"/>
  <c r="AU201" i="12"/>
  <c r="AU202" i="12"/>
  <c r="AU203" i="12"/>
  <c r="AU204" i="12"/>
  <c r="AU205" i="12"/>
  <c r="AU206" i="12"/>
  <c r="AU207" i="12"/>
  <c r="AU208" i="12"/>
  <c r="AU209" i="12"/>
  <c r="AU210" i="12"/>
  <c r="AU211" i="12"/>
  <c r="AU212" i="12"/>
  <c r="AU213" i="12"/>
  <c r="AU214" i="12"/>
  <c r="AU215" i="12"/>
  <c r="AU216" i="12"/>
  <c r="AU217" i="12"/>
  <c r="AU218" i="12"/>
  <c r="AU219" i="12"/>
  <c r="AU220" i="12"/>
  <c r="AU221" i="12"/>
  <c r="AU222" i="12"/>
  <c r="AU223" i="12"/>
  <c r="AU224" i="12"/>
  <c r="AU225" i="12"/>
  <c r="AU226" i="12"/>
  <c r="AU227" i="12"/>
  <c r="AU228" i="12"/>
  <c r="AU229" i="12"/>
  <c r="AU230" i="12"/>
  <c r="AU231" i="12"/>
  <c r="AU232" i="12"/>
  <c r="AU233" i="12"/>
  <c r="AU234" i="12"/>
  <c r="AU235" i="12"/>
  <c r="AU236" i="12"/>
  <c r="AU237" i="12"/>
  <c r="AU238" i="12"/>
  <c r="AU239" i="12"/>
  <c r="AU240" i="12"/>
  <c r="AU241" i="12"/>
  <c r="AU242" i="12"/>
  <c r="AU243" i="12"/>
  <c r="AU244" i="12"/>
  <c r="AU245" i="12"/>
  <c r="AU246" i="12"/>
  <c r="AU247" i="12"/>
  <c r="AU248" i="12"/>
  <c r="AU249" i="12"/>
  <c r="AU250" i="12"/>
  <c r="AU251" i="12"/>
  <c r="AU252" i="12"/>
  <c r="AU253" i="12"/>
  <c r="AU254" i="12"/>
  <c r="AU255" i="12"/>
  <c r="AU256" i="12"/>
  <c r="AU257" i="12"/>
  <c r="AU258" i="12"/>
  <c r="AU259" i="12"/>
  <c r="AU260" i="12"/>
  <c r="AU261" i="12"/>
  <c r="AU262" i="12"/>
  <c r="AU263" i="12"/>
  <c r="AU264" i="12"/>
  <c r="AU265" i="12"/>
  <c r="AU266" i="12"/>
  <c r="AU267" i="12"/>
  <c r="AU268" i="12"/>
  <c r="AU269" i="12"/>
  <c r="AU270" i="12"/>
  <c r="AU271" i="12"/>
  <c r="AU272" i="12"/>
  <c r="AU273" i="12"/>
  <c r="AU274" i="12"/>
  <c r="AU275" i="12"/>
  <c r="AU276" i="12"/>
  <c r="AU277" i="12"/>
  <c r="AU278" i="12"/>
  <c r="AU279" i="12"/>
  <c r="AU280" i="12"/>
  <c r="AU281" i="12"/>
  <c r="AU282" i="12"/>
  <c r="AU283" i="12"/>
  <c r="AU284" i="12"/>
  <c r="AU285" i="12"/>
  <c r="AU286" i="12"/>
  <c r="AU287" i="12"/>
  <c r="AU288" i="12"/>
  <c r="AU289" i="12"/>
  <c r="AU290" i="12"/>
  <c r="AU291" i="12"/>
  <c r="AU292" i="12"/>
  <c r="AU293" i="12"/>
  <c r="AU294" i="12"/>
  <c r="AU295" i="12"/>
  <c r="AU296" i="12"/>
  <c r="AU297" i="12"/>
  <c r="AU298" i="12"/>
  <c r="AU299" i="12"/>
  <c r="AU300" i="12"/>
  <c r="AU301" i="12"/>
  <c r="AU302" i="12"/>
  <c r="AU303" i="12"/>
  <c r="AU304" i="12"/>
  <c r="AU305" i="12"/>
  <c r="AU306" i="12"/>
  <c r="AU307" i="12"/>
  <c r="AU308" i="12"/>
  <c r="AU309" i="12"/>
  <c r="AU310" i="12"/>
  <c r="AU311" i="12"/>
  <c r="AU312" i="12"/>
  <c r="AU313" i="12"/>
  <c r="AU314" i="12"/>
  <c r="AU315" i="12"/>
  <c r="AU316" i="12"/>
  <c r="AU317" i="12"/>
  <c r="AU318" i="12"/>
  <c r="AU319" i="12"/>
  <c r="AU320" i="12"/>
  <c r="AU321" i="12"/>
  <c r="AU322" i="12"/>
  <c r="AU323" i="12"/>
  <c r="AU324" i="12"/>
  <c r="AU325" i="12"/>
  <c r="AU326" i="12"/>
  <c r="AU327" i="12"/>
  <c r="AU328" i="12"/>
  <c r="AU329" i="12"/>
  <c r="AU330" i="12"/>
  <c r="AU331" i="12"/>
  <c r="AU332" i="12"/>
  <c r="AU333" i="12"/>
  <c r="AU334" i="12"/>
  <c r="AU335" i="12"/>
  <c r="AU336" i="12"/>
  <c r="AU337" i="12"/>
  <c r="AU338" i="12"/>
  <c r="AU339" i="12"/>
  <c r="AU340" i="12"/>
  <c r="AU341" i="12"/>
  <c r="AU342" i="12"/>
  <c r="AU343" i="12"/>
  <c r="AU344" i="12"/>
  <c r="AU345" i="12"/>
  <c r="AU346" i="12"/>
  <c r="AU347" i="12"/>
  <c r="AU348" i="12"/>
  <c r="AU349" i="12"/>
  <c r="AU350" i="12"/>
  <c r="AU351" i="12"/>
  <c r="AU352" i="12"/>
  <c r="AU353" i="12"/>
  <c r="AU354" i="12"/>
  <c r="AU355" i="12"/>
  <c r="AU356" i="12"/>
  <c r="AU357" i="12"/>
  <c r="AU358" i="12"/>
  <c r="AU359" i="12"/>
  <c r="AU360" i="12"/>
  <c r="AU361" i="12"/>
  <c r="AU362" i="12"/>
  <c r="AU363" i="12"/>
  <c r="AU364" i="12"/>
  <c r="AU365" i="12"/>
  <c r="AU366" i="12"/>
  <c r="AU367" i="12"/>
  <c r="AU368" i="12"/>
  <c r="AU369" i="12"/>
  <c r="AU370" i="12"/>
  <c r="AU371" i="12"/>
  <c r="AU372" i="12"/>
  <c r="AU373" i="12"/>
  <c r="AU374" i="12"/>
  <c r="AU375" i="12"/>
  <c r="AU376" i="12"/>
  <c r="AU377" i="12"/>
  <c r="AU378" i="12"/>
  <c r="AU379" i="12"/>
  <c r="AU380" i="12"/>
  <c r="AU381" i="12"/>
  <c r="AU382" i="12"/>
  <c r="AU383" i="12"/>
  <c r="AU384" i="12"/>
  <c r="AU385" i="12"/>
  <c r="AU386" i="12"/>
  <c r="AU387" i="12"/>
  <c r="AU388" i="12"/>
  <c r="AU389" i="12"/>
  <c r="AU390" i="12"/>
  <c r="AU391" i="12"/>
  <c r="AU392" i="12"/>
  <c r="AU393" i="12"/>
  <c r="AU394" i="12"/>
  <c r="AU395" i="12"/>
  <c r="AU396" i="12"/>
  <c r="AU397" i="12"/>
  <c r="AU398" i="12"/>
  <c r="AU399" i="12"/>
  <c r="AU400" i="12"/>
  <c r="AU401" i="12"/>
  <c r="AU402" i="12"/>
  <c r="AU403" i="12"/>
  <c r="AU404" i="12"/>
  <c r="AU405" i="12"/>
  <c r="AU406" i="12"/>
  <c r="AU407" i="12"/>
  <c r="AU408" i="12"/>
  <c r="AU409" i="12"/>
  <c r="AU410" i="12"/>
  <c r="AU411" i="12"/>
  <c r="AU412" i="12"/>
  <c r="AU413" i="12"/>
  <c r="AU414" i="12"/>
  <c r="AU415" i="12"/>
  <c r="AU416" i="12"/>
  <c r="AU417" i="12"/>
  <c r="AU418" i="12"/>
  <c r="AU419" i="12"/>
  <c r="AU420" i="12"/>
  <c r="AU421" i="12"/>
  <c r="AU422" i="12"/>
  <c r="AU423" i="12"/>
  <c r="AU424" i="12"/>
  <c r="AU425" i="12"/>
  <c r="AU426" i="12"/>
  <c r="AU427" i="12"/>
  <c r="AU428" i="12"/>
  <c r="AU429" i="12"/>
  <c r="AU430" i="12"/>
  <c r="AU431" i="12"/>
  <c r="AU432" i="12"/>
  <c r="AU433" i="12"/>
  <c r="AU434" i="12"/>
  <c r="AU435" i="12"/>
  <c r="AU436" i="12"/>
  <c r="AU437" i="12"/>
  <c r="AU438" i="12"/>
  <c r="AU439" i="12"/>
  <c r="AU440" i="12"/>
  <c r="AU441" i="12"/>
  <c r="AU442" i="12"/>
  <c r="AU443" i="12"/>
  <c r="AU444" i="12"/>
  <c r="AU445" i="12"/>
  <c r="AU446" i="12"/>
  <c r="AU447" i="12"/>
  <c r="AU448" i="12"/>
  <c r="AU449" i="12"/>
  <c r="AU450" i="12"/>
  <c r="AU451" i="12"/>
  <c r="AU452" i="12"/>
  <c r="AU453" i="12"/>
  <c r="AU454" i="12"/>
  <c r="AU455" i="12"/>
  <c r="AU456" i="12"/>
  <c r="AU457" i="12"/>
  <c r="AU458" i="12"/>
  <c r="AU459" i="12"/>
  <c r="AU460" i="12"/>
  <c r="AU461" i="12"/>
  <c r="AU462" i="12"/>
  <c r="AU463" i="12"/>
  <c r="AU464" i="12"/>
  <c r="AU465" i="12"/>
  <c r="AU466" i="12"/>
  <c r="AU467" i="12"/>
  <c r="AU468" i="12"/>
  <c r="AU469" i="12"/>
  <c r="AU470" i="12"/>
  <c r="AU471" i="12"/>
  <c r="AU472" i="12"/>
  <c r="AU473" i="12"/>
  <c r="AU474" i="12"/>
  <c r="AU475" i="12"/>
  <c r="AU476" i="12"/>
  <c r="AU477" i="12"/>
  <c r="AU478" i="12"/>
  <c r="AU479" i="12"/>
  <c r="AU480" i="12"/>
  <c r="AU481" i="12"/>
  <c r="AU482" i="12"/>
  <c r="AU483" i="12"/>
  <c r="AU484" i="12"/>
  <c r="AU485" i="12"/>
  <c r="AU486" i="12"/>
  <c r="AU487" i="12"/>
  <c r="AU488" i="12"/>
  <c r="AU489" i="12"/>
  <c r="AU492" i="12"/>
  <c r="AU493" i="12"/>
  <c r="AU494" i="12"/>
  <c r="AU495" i="12"/>
  <c r="AU496" i="12"/>
  <c r="AU497" i="12"/>
  <c r="AU498" i="12"/>
  <c r="AU499" i="12"/>
  <c r="AU500" i="12"/>
  <c r="AU501" i="12"/>
  <c r="AU502" i="12"/>
  <c r="AU503" i="12"/>
  <c r="AU504" i="12"/>
  <c r="AU505" i="12"/>
  <c r="AU506" i="12"/>
  <c r="AU507" i="12"/>
  <c r="AU508" i="12"/>
  <c r="AU509" i="12"/>
  <c r="AU510" i="12"/>
  <c r="AU511" i="12"/>
  <c r="AU512" i="12"/>
  <c r="AU513" i="12"/>
  <c r="AU514" i="12"/>
  <c r="AU515" i="12"/>
  <c r="AU516" i="12"/>
  <c r="AU517" i="12"/>
  <c r="AU518" i="12"/>
  <c r="AU519" i="12"/>
  <c r="AU520" i="12"/>
  <c r="AU521" i="12"/>
  <c r="AU522" i="12"/>
  <c r="AU523" i="12"/>
  <c r="AU524" i="12"/>
  <c r="AU525" i="12"/>
  <c r="AU526" i="12"/>
  <c r="AU527" i="12"/>
  <c r="AU528" i="12"/>
  <c r="AU529" i="12"/>
  <c r="AU530" i="12"/>
  <c r="AU531" i="12"/>
  <c r="AU532" i="12"/>
  <c r="AU533" i="12"/>
  <c r="AU534" i="12"/>
  <c r="AU535" i="12"/>
  <c r="AU536" i="12"/>
  <c r="AU537" i="12"/>
  <c r="AU538" i="12"/>
  <c r="AU539" i="12"/>
  <c r="AU540" i="12"/>
  <c r="AU541" i="12"/>
  <c r="AU542" i="12"/>
  <c r="AU543" i="12"/>
  <c r="AU544" i="12"/>
  <c r="AU545" i="12"/>
  <c r="AU546" i="12"/>
  <c r="AU547" i="12"/>
  <c r="AU548" i="12"/>
  <c r="AU549" i="12"/>
  <c r="AU550" i="12"/>
  <c r="AU551" i="12"/>
  <c r="AU552" i="12"/>
  <c r="AU553" i="12"/>
  <c r="AU554" i="12"/>
  <c r="AU555" i="12"/>
  <c r="AU556" i="12"/>
  <c r="AU557" i="12"/>
  <c r="AU558" i="12"/>
  <c r="AU559" i="12"/>
  <c r="AU560" i="12"/>
  <c r="AU561" i="12"/>
  <c r="AU562" i="12"/>
  <c r="AU563" i="12"/>
  <c r="AU564" i="12"/>
  <c r="AU565" i="12"/>
  <c r="AU566" i="12"/>
  <c r="AU567" i="12"/>
  <c r="AU568" i="12"/>
  <c r="AU569" i="12"/>
  <c r="AU570" i="12"/>
  <c r="AU571" i="12"/>
  <c r="AU572" i="12"/>
  <c r="AU573" i="12"/>
  <c r="AU574" i="12"/>
  <c r="AU575" i="12"/>
  <c r="AU576" i="12"/>
  <c r="AU577" i="12"/>
  <c r="AU578" i="12"/>
  <c r="AU579" i="12"/>
  <c r="AU580" i="12"/>
  <c r="AU581" i="12"/>
  <c r="AU582" i="12"/>
  <c r="AU583" i="12"/>
  <c r="AU584" i="12"/>
  <c r="AU585" i="12"/>
  <c r="AU586" i="12"/>
  <c r="AU587" i="12"/>
  <c r="AU588" i="12"/>
  <c r="AU589" i="12"/>
  <c r="AU590" i="12"/>
  <c r="AU591" i="12"/>
  <c r="AU592" i="12"/>
  <c r="AU593" i="12"/>
  <c r="AU594" i="12"/>
  <c r="AU595" i="12"/>
  <c r="AU596" i="12"/>
  <c r="AU597" i="12"/>
  <c r="AU598" i="12"/>
  <c r="AU599" i="12"/>
  <c r="AU600" i="12"/>
  <c r="AU601" i="12"/>
  <c r="AU602" i="12"/>
  <c r="AU603" i="12"/>
  <c r="AU604" i="12"/>
  <c r="AU605" i="12"/>
  <c r="AU606" i="12"/>
  <c r="AU607" i="12"/>
  <c r="AU608" i="12"/>
  <c r="AU609" i="12"/>
  <c r="AU610" i="12"/>
  <c r="AU611" i="12"/>
  <c r="AU612" i="12"/>
  <c r="AU613" i="12"/>
  <c r="AU614" i="12"/>
  <c r="AU615" i="12"/>
  <c r="AU616" i="12"/>
  <c r="AU617" i="12"/>
  <c r="AU618" i="12"/>
  <c r="AU619" i="12"/>
  <c r="AU620" i="12"/>
  <c r="AU621" i="12"/>
  <c r="AU622" i="12"/>
  <c r="AU623" i="12"/>
  <c r="AU624" i="12"/>
  <c r="AU625" i="12"/>
  <c r="AU626" i="12"/>
  <c r="AU627" i="12"/>
  <c r="AU628" i="12"/>
  <c r="AU629" i="12"/>
  <c r="AU630" i="12"/>
  <c r="AU631" i="12"/>
  <c r="AU632" i="12"/>
  <c r="AU633" i="12"/>
  <c r="AU634" i="12"/>
  <c r="AU635" i="12"/>
  <c r="AU636" i="12"/>
  <c r="AU637" i="12"/>
  <c r="AU638" i="12"/>
  <c r="AU639" i="12"/>
  <c r="AU640" i="12"/>
  <c r="AU641" i="12"/>
  <c r="AU642" i="12"/>
  <c r="AU643" i="12"/>
  <c r="AU644" i="12"/>
  <c r="AU645" i="12"/>
  <c r="AU646" i="12"/>
  <c r="AU647" i="12"/>
  <c r="AU648" i="12"/>
  <c r="AU649" i="12"/>
  <c r="AU650" i="12"/>
  <c r="AU651" i="12"/>
  <c r="AU652" i="12"/>
  <c r="AU653" i="12"/>
  <c r="AU654" i="12"/>
  <c r="AU655" i="12"/>
  <c r="AU656" i="12"/>
  <c r="AU657" i="12"/>
  <c r="AU658" i="12"/>
  <c r="AU659" i="12"/>
  <c r="AU660" i="12"/>
  <c r="AU661" i="12"/>
  <c r="AU662" i="12"/>
  <c r="AU663" i="12"/>
  <c r="AU664" i="12"/>
  <c r="AU665" i="12"/>
  <c r="AU666" i="12"/>
  <c r="AU667" i="12"/>
  <c r="AU668" i="12"/>
  <c r="AU669" i="12"/>
  <c r="AU670" i="12"/>
  <c r="AU671" i="12"/>
  <c r="AU672" i="12"/>
  <c r="AU673" i="12"/>
  <c r="AU674" i="12"/>
  <c r="AU675" i="12"/>
  <c r="AU676" i="12"/>
  <c r="AU677" i="12"/>
  <c r="AU678" i="12"/>
  <c r="AU679" i="12"/>
  <c r="AU680" i="12"/>
  <c r="AU681" i="12"/>
  <c r="AU682" i="12"/>
  <c r="AU683" i="12"/>
  <c r="AU684" i="12"/>
  <c r="AU685" i="12"/>
  <c r="AU686" i="12"/>
  <c r="AU687" i="12"/>
  <c r="AU688" i="12"/>
  <c r="AU689" i="12"/>
  <c r="AU690" i="12"/>
  <c r="AU691" i="12"/>
  <c r="AU692" i="12"/>
  <c r="AU693" i="12"/>
  <c r="AU694" i="12"/>
  <c r="AU695" i="12"/>
  <c r="AU696" i="12"/>
  <c r="AU697" i="12"/>
  <c r="AU698" i="12"/>
  <c r="AU699" i="12"/>
  <c r="AU700" i="12"/>
  <c r="AU701" i="12"/>
  <c r="AU702" i="12"/>
  <c r="AU703" i="12"/>
  <c r="AU704" i="12"/>
  <c r="AU705" i="12"/>
  <c r="AU706" i="12"/>
  <c r="AU707" i="12"/>
  <c r="AU708" i="12"/>
  <c r="AU709" i="12"/>
  <c r="AU710" i="12"/>
  <c r="AU711" i="12"/>
  <c r="AU712" i="12"/>
  <c r="AU713" i="12"/>
  <c r="AU714" i="12"/>
  <c r="AU715" i="12"/>
  <c r="AU716" i="12"/>
  <c r="AU717" i="12"/>
  <c r="AU718" i="12"/>
  <c r="AU730" i="12"/>
  <c r="AU731" i="12"/>
  <c r="AU732" i="12"/>
  <c r="AU733" i="12"/>
  <c r="AU734" i="12"/>
  <c r="AU735" i="12"/>
  <c r="AU736" i="12"/>
  <c r="AU737" i="12"/>
  <c r="AU738" i="12"/>
  <c r="AU739" i="12"/>
  <c r="AU740" i="12"/>
  <c r="AU741" i="12"/>
  <c r="AU742" i="12"/>
  <c r="AU743" i="12"/>
  <c r="AU744" i="12"/>
  <c r="AU745" i="12"/>
  <c r="AU746" i="12"/>
  <c r="AU747" i="12"/>
  <c r="AU748" i="12"/>
  <c r="AU749" i="12"/>
  <c r="AU750" i="12"/>
  <c r="AU751" i="12"/>
  <c r="AU752" i="12"/>
  <c r="AU753" i="12"/>
  <c r="AU754" i="12"/>
  <c r="AU755" i="12"/>
  <c r="AU756" i="12"/>
  <c r="AU757" i="12"/>
  <c r="AU758" i="12"/>
  <c r="AU759" i="12"/>
  <c r="AU760" i="12"/>
  <c r="AU761" i="12"/>
  <c r="AU762" i="12"/>
  <c r="AU763" i="12"/>
  <c r="AU764" i="12"/>
  <c r="AU765" i="12"/>
  <c r="AU766" i="12"/>
  <c r="AU767" i="12"/>
  <c r="AU768" i="12"/>
  <c r="AU769" i="12"/>
  <c r="AU770" i="12"/>
  <c r="AU771" i="12"/>
  <c r="AU772" i="12"/>
  <c r="AU773" i="12"/>
  <c r="AU774" i="12"/>
  <c r="AU775" i="12"/>
  <c r="AU776" i="12"/>
  <c r="AU777" i="12"/>
  <c r="AU778" i="12"/>
  <c r="AU779" i="12"/>
  <c r="AU780" i="12"/>
  <c r="AU781" i="12"/>
  <c r="AU782" i="12"/>
  <c r="AU783" i="12"/>
  <c r="AU784" i="12"/>
  <c r="AU785" i="12"/>
  <c r="AU786" i="12"/>
  <c r="AU787" i="12"/>
  <c r="AU788" i="12"/>
  <c r="AU789" i="12"/>
  <c r="AU790" i="12"/>
  <c r="AU791" i="12"/>
  <c r="AU792" i="12"/>
  <c r="AU793" i="12"/>
  <c r="AU794" i="12"/>
  <c r="AU795" i="12"/>
  <c r="AU796" i="12"/>
  <c r="AU797" i="12"/>
  <c r="AU798" i="12"/>
  <c r="AU799" i="12"/>
  <c r="AU800" i="12"/>
  <c r="AU801" i="12"/>
  <c r="AU802" i="12"/>
  <c r="AU803" i="12"/>
  <c r="AU804" i="12"/>
  <c r="AU805" i="12"/>
  <c r="AU806" i="12"/>
  <c r="AU807" i="12"/>
  <c r="AU808" i="12"/>
  <c r="AU809" i="12"/>
  <c r="AU810" i="12"/>
  <c r="AU811" i="12"/>
  <c r="AU812" i="12"/>
  <c r="AU813" i="12"/>
  <c r="AU814" i="12"/>
  <c r="AU815" i="12"/>
  <c r="AU816" i="12"/>
  <c r="AU817" i="12"/>
  <c r="AU818" i="12"/>
  <c r="AU819" i="12"/>
  <c r="AU820" i="12"/>
  <c r="AU821" i="12"/>
  <c r="AU822" i="12"/>
  <c r="AU823" i="12"/>
  <c r="AU824" i="12"/>
  <c r="AU825" i="12"/>
  <c r="AU826" i="12"/>
  <c r="AU827" i="12"/>
  <c r="AU828" i="12"/>
  <c r="AU829" i="12"/>
  <c r="AU830" i="12"/>
  <c r="AU831" i="12"/>
  <c r="AU832" i="12"/>
  <c r="AU833" i="12"/>
  <c r="AU834" i="12"/>
  <c r="AU835" i="12"/>
  <c r="AU836" i="12"/>
  <c r="AU837" i="12"/>
  <c r="AU838" i="12"/>
  <c r="AU839" i="12"/>
  <c r="AU840" i="12"/>
  <c r="AU841" i="12"/>
  <c r="AU842" i="12"/>
  <c r="AU843" i="12"/>
  <c r="AU844" i="12"/>
  <c r="AU845" i="12"/>
  <c r="AU846" i="12"/>
  <c r="AU847" i="12"/>
  <c r="AU848" i="12"/>
  <c r="AU849" i="12"/>
  <c r="AU850" i="12"/>
  <c r="AU851" i="12"/>
  <c r="AU852" i="12"/>
  <c r="AU853" i="12"/>
  <c r="AU854" i="12"/>
  <c r="AU855" i="12"/>
  <c r="AU856" i="12"/>
  <c r="AU857" i="12"/>
  <c r="AU858" i="12"/>
  <c r="AU859" i="12"/>
  <c r="AU860" i="12"/>
  <c r="AU861" i="12"/>
  <c r="AU862" i="12"/>
  <c r="AU863" i="12"/>
  <c r="AU864" i="12"/>
  <c r="AU865" i="12"/>
  <c r="AU866" i="12"/>
  <c r="AU867" i="12"/>
  <c r="AU868" i="12"/>
  <c r="AU869" i="12"/>
  <c r="AU870" i="12"/>
  <c r="AU871" i="12"/>
  <c r="AU872" i="12"/>
  <c r="AU873" i="12"/>
  <c r="AU874" i="12"/>
  <c r="AU875" i="12"/>
  <c r="AU876" i="12"/>
  <c r="AU877" i="12"/>
  <c r="AU878" i="12"/>
  <c r="AU879" i="12"/>
  <c r="AU880" i="12"/>
  <c r="AU881" i="12"/>
  <c r="AU882" i="12"/>
  <c r="AU883" i="12"/>
  <c r="AU884" i="12"/>
  <c r="AU885" i="12"/>
  <c r="AU886" i="12"/>
  <c r="AU887" i="12"/>
  <c r="AU888" i="12"/>
  <c r="AU889" i="12"/>
  <c r="AU890" i="12"/>
  <c r="AU891" i="12"/>
  <c r="AU892" i="12"/>
  <c r="AU893" i="12"/>
  <c r="AU894" i="12"/>
  <c r="AU895" i="12"/>
  <c r="AU896" i="12"/>
  <c r="AU897" i="12"/>
  <c r="AU898" i="12"/>
  <c r="AU899" i="12"/>
  <c r="AU900" i="12"/>
  <c r="AU901" i="12"/>
  <c r="AU902" i="12"/>
  <c r="AU903" i="12"/>
  <c r="AU904" i="12"/>
  <c r="AU905" i="12"/>
  <c r="AU906" i="12"/>
  <c r="AU907" i="12"/>
  <c r="AU908" i="12"/>
  <c r="AU909" i="12"/>
  <c r="AU910" i="12"/>
  <c r="AU911" i="12"/>
  <c r="AU912" i="12"/>
  <c r="AU913" i="12"/>
  <c r="AU914" i="12"/>
  <c r="AU915" i="12"/>
  <c r="AU916" i="12"/>
  <c r="AU917" i="12"/>
  <c r="AU918" i="12"/>
  <c r="AU919" i="12"/>
  <c r="AU920" i="12"/>
  <c r="AU921" i="12"/>
  <c r="AU922" i="12"/>
  <c r="AU923" i="12"/>
  <c r="AU924" i="12"/>
  <c r="AU925" i="12"/>
  <c r="AU926" i="12"/>
  <c r="AU927" i="12"/>
  <c r="AU928" i="12"/>
  <c r="AU929" i="12"/>
  <c r="AU930" i="12"/>
  <c r="AU931" i="12"/>
  <c r="AU932" i="12"/>
  <c r="AU933" i="12"/>
  <c r="AU934" i="12"/>
  <c r="AU935" i="12"/>
  <c r="AU936" i="12"/>
  <c r="AU937" i="12"/>
  <c r="AU938" i="12"/>
  <c r="AU939" i="12"/>
  <c r="AU940" i="12"/>
  <c r="AU941" i="12"/>
  <c r="AU942" i="12"/>
  <c r="AU943" i="12"/>
  <c r="AU944" i="12"/>
  <c r="AU945" i="12"/>
  <c r="AU946" i="12"/>
  <c r="AU947" i="12"/>
  <c r="AU948" i="12"/>
  <c r="AU949" i="12"/>
  <c r="AU950" i="12"/>
  <c r="AU951" i="12"/>
  <c r="AU952" i="12"/>
  <c r="AU953" i="12"/>
  <c r="AU954" i="12"/>
  <c r="AU955" i="12"/>
  <c r="AU956" i="12"/>
  <c r="AU957" i="12"/>
  <c r="AU958" i="12"/>
  <c r="AU959" i="12"/>
  <c r="AU960" i="12"/>
  <c r="AU961" i="12"/>
  <c r="AU962" i="12"/>
  <c r="AU963" i="12"/>
  <c r="AU964" i="12"/>
  <c r="AU965" i="12"/>
  <c r="AU966" i="12"/>
  <c r="AU967" i="12"/>
  <c r="AU968" i="12"/>
  <c r="AU969" i="12"/>
  <c r="AU970" i="12"/>
  <c r="AU971" i="12"/>
  <c r="AU972" i="12"/>
  <c r="AU973" i="12"/>
  <c r="AU974" i="12"/>
  <c r="AU975" i="12"/>
  <c r="AU976" i="12"/>
  <c r="AU977" i="12"/>
  <c r="AU978" i="12"/>
  <c r="AU979" i="12"/>
  <c r="AU980" i="12"/>
  <c r="AU981" i="12"/>
  <c r="AU982" i="12"/>
  <c r="AU983" i="12"/>
  <c r="AU984" i="12"/>
  <c r="AU985" i="12"/>
  <c r="AU986" i="12"/>
  <c r="AU987" i="12"/>
  <c r="AU988" i="12"/>
  <c r="AU989" i="12"/>
  <c r="AU990" i="12"/>
  <c r="AU991" i="12"/>
  <c r="AU992" i="12"/>
  <c r="AU993" i="12"/>
  <c r="AU994" i="12"/>
  <c r="AU995" i="12"/>
  <c r="AU996" i="12"/>
  <c r="AU997" i="12"/>
  <c r="AU998" i="12"/>
  <c r="AU999" i="12"/>
  <c r="AU1000" i="12"/>
  <c r="AU1001" i="12"/>
  <c r="AU1002" i="12"/>
  <c r="AU1003" i="12"/>
  <c r="AU1004" i="12"/>
  <c r="AU1005" i="12"/>
  <c r="AU1006" i="12"/>
  <c r="AU1007" i="12"/>
  <c r="AU1008" i="12"/>
  <c r="AU1009" i="12"/>
  <c r="AU1010" i="12"/>
  <c r="AU1011" i="12"/>
  <c r="AU1012" i="12"/>
  <c r="AU1013" i="12"/>
  <c r="AU1014" i="12"/>
  <c r="AU1015" i="12"/>
  <c r="AU1016" i="12"/>
  <c r="AU1017" i="12"/>
  <c r="AU1018" i="12"/>
  <c r="AU1019" i="12"/>
  <c r="AU1020" i="12"/>
  <c r="AU1021" i="12"/>
  <c r="AU1022" i="12"/>
  <c r="AU1023" i="12"/>
  <c r="AU1024" i="12"/>
  <c r="AU1025" i="12"/>
  <c r="AU1026" i="12"/>
  <c r="AU1027" i="12"/>
  <c r="AU1028" i="12"/>
  <c r="AU1029" i="12"/>
  <c r="AU1030" i="12"/>
  <c r="AU1031" i="12"/>
  <c r="AU1032" i="12"/>
  <c r="AU1033" i="12"/>
  <c r="AU1034" i="12"/>
  <c r="AU1035" i="12"/>
  <c r="AU1036" i="12"/>
  <c r="AU1037" i="12"/>
  <c r="AU1038" i="12"/>
  <c r="AU1039" i="12"/>
  <c r="AU1040" i="12"/>
  <c r="AU1041" i="12"/>
  <c r="AU1042" i="12"/>
  <c r="AU1043" i="12"/>
  <c r="AU1044" i="12"/>
  <c r="AU1045" i="12"/>
  <c r="AU1046" i="12"/>
  <c r="AU1047" i="12"/>
  <c r="AU1048" i="12"/>
  <c r="AU1049" i="12"/>
  <c r="AU1050" i="12"/>
  <c r="AU1051" i="12"/>
  <c r="AU1052" i="12"/>
  <c r="AU1053" i="12"/>
  <c r="AU1054" i="12"/>
  <c r="AU1055" i="12"/>
  <c r="AU1056" i="12"/>
  <c r="AU1057" i="12"/>
  <c r="AU1058" i="12"/>
  <c r="AU1059" i="12"/>
  <c r="AU1060" i="12"/>
  <c r="AU1061" i="12"/>
  <c r="AU1062" i="12"/>
  <c r="AU1063" i="12"/>
  <c r="AU1064" i="12"/>
  <c r="AU1065" i="12"/>
  <c r="AU1066" i="12"/>
  <c r="AU1067" i="12"/>
  <c r="AU1068" i="12"/>
  <c r="AU1069" i="12"/>
  <c r="AU1070" i="12"/>
  <c r="AU1071" i="12"/>
  <c r="AU1072" i="12"/>
  <c r="AU1073" i="12"/>
  <c r="AU1074" i="12"/>
  <c r="AU1075" i="12"/>
  <c r="AU1076" i="12"/>
  <c r="AU1077" i="12"/>
  <c r="AU1078" i="12"/>
  <c r="AU1079" i="12"/>
  <c r="AU1080" i="12"/>
  <c r="AU1081" i="12"/>
  <c r="AU1082" i="12"/>
  <c r="AU1083" i="12"/>
  <c r="AU1084" i="12"/>
  <c r="AU1085" i="12"/>
  <c r="AU1086" i="12"/>
  <c r="AU1087" i="12"/>
  <c r="AU1088" i="12"/>
  <c r="AU1089" i="12"/>
  <c r="AU1090" i="12"/>
  <c r="AU1091" i="12"/>
  <c r="AU1092" i="12"/>
  <c r="AU1093" i="12"/>
  <c r="AU1094" i="12"/>
  <c r="AU1095" i="12"/>
  <c r="AU1096" i="12"/>
  <c r="AU1097" i="12"/>
  <c r="AU1098" i="12"/>
  <c r="AU1099" i="12"/>
  <c r="AU1100" i="12"/>
  <c r="AU1101" i="12"/>
  <c r="AU1102" i="12"/>
  <c r="AU1103" i="12"/>
  <c r="AU1104" i="12"/>
  <c r="AU1105" i="12"/>
  <c r="AU1106" i="12"/>
  <c r="AU1107" i="12"/>
  <c r="AU1108" i="12"/>
  <c r="AU1109" i="12"/>
  <c r="AU1110" i="12"/>
  <c r="AU1111" i="12"/>
  <c r="AU1112" i="12"/>
  <c r="AU1113" i="12"/>
  <c r="AU1114" i="12"/>
  <c r="AU1115" i="12"/>
  <c r="AU1116" i="12"/>
  <c r="AU1117" i="12"/>
  <c r="AU1118" i="12"/>
  <c r="AU1119" i="12"/>
  <c r="AU1120" i="12"/>
  <c r="AU1121" i="12"/>
  <c r="AU1122" i="12"/>
  <c r="AU1123" i="12"/>
  <c r="AU1124" i="12"/>
  <c r="AU1125" i="12"/>
  <c r="AU1126" i="12"/>
  <c r="AU1127" i="12"/>
  <c r="AU1128" i="12"/>
  <c r="AU1129" i="12"/>
  <c r="AU1130" i="12"/>
  <c r="AU1131" i="12"/>
  <c r="AU1132" i="12"/>
  <c r="AU1133" i="12"/>
  <c r="AU1136" i="12"/>
  <c r="AU1137" i="12"/>
  <c r="AU1140" i="12"/>
  <c r="AU1141" i="12"/>
  <c r="AU1142" i="12"/>
  <c r="AU1143" i="12"/>
  <c r="AU1144" i="12"/>
  <c r="AU1145" i="12"/>
  <c r="AU1146" i="12"/>
  <c r="AU1147" i="12"/>
  <c r="AU1148" i="12"/>
  <c r="AU1149" i="12"/>
  <c r="AU1150" i="12"/>
  <c r="AU1151" i="12"/>
  <c r="AU1152" i="12"/>
  <c r="AU1153" i="12"/>
  <c r="AU1154" i="12"/>
  <c r="AU1155" i="12"/>
  <c r="AU1156" i="12"/>
  <c r="AU1157" i="12"/>
  <c r="AU1158" i="12"/>
  <c r="AU1159" i="12"/>
  <c r="D11" i="51"/>
  <c r="C11" i="51"/>
  <c r="BF188" i="13"/>
  <c r="BG188" i="13"/>
  <c r="BH188" i="13"/>
  <c r="BI188" i="13"/>
  <c r="BJ188" i="13"/>
  <c r="BF189" i="13"/>
  <c r="BG189" i="13"/>
  <c r="BH189" i="13"/>
  <c r="BI189" i="13"/>
  <c r="BJ189" i="13"/>
  <c r="I714" i="12"/>
  <c r="J714" i="12"/>
  <c r="K714" i="12"/>
  <c r="L714" i="12"/>
  <c r="N714" i="12"/>
  <c r="O714" i="12"/>
  <c r="AE714" i="12"/>
  <c r="AR714" i="12"/>
  <c r="AS714" i="12"/>
  <c r="AT714" i="12"/>
  <c r="BG714" i="12"/>
  <c r="BH714" i="12"/>
  <c r="BI714" i="12"/>
  <c r="D5" i="47"/>
  <c r="M188" i="13" l="1"/>
  <c r="N188" i="13"/>
  <c r="O188" i="13"/>
  <c r="O189" i="13"/>
  <c r="M189" i="13"/>
  <c r="N189" i="13"/>
  <c r="J188" i="13"/>
  <c r="D188" i="13"/>
  <c r="E188" i="13"/>
  <c r="D189" i="13"/>
  <c r="E189" i="13"/>
  <c r="J189" i="13"/>
  <c r="AH189" i="13"/>
  <c r="Q189" i="13"/>
  <c r="AH188" i="13"/>
  <c r="Q188" i="13"/>
  <c r="AC182" i="13"/>
  <c r="X182" i="13"/>
  <c r="W182" i="13"/>
  <c r="Z182" i="13"/>
  <c r="V182" i="13"/>
  <c r="AA182" i="13"/>
  <c r="F189" i="13"/>
  <c r="AG189" i="13"/>
  <c r="AF189" i="13"/>
  <c r="AE189" i="13"/>
  <c r="AD189" i="13"/>
  <c r="F188" i="13"/>
  <c r="AG188" i="13"/>
  <c r="AF188" i="13"/>
  <c r="AE188" i="13"/>
  <c r="AD188" i="13"/>
  <c r="T189" i="13"/>
  <c r="H189" i="13"/>
  <c r="G189" i="13"/>
  <c r="I189" i="13"/>
  <c r="K189" i="13"/>
  <c r="S189" i="13"/>
  <c r="G188" i="13"/>
  <c r="K188" i="13"/>
  <c r="H188" i="13"/>
  <c r="I188" i="13"/>
  <c r="S188" i="13"/>
  <c r="T188" i="13"/>
  <c r="W183" i="13"/>
  <c r="AA183" i="13"/>
  <c r="X183" i="13"/>
  <c r="AB183" i="13"/>
  <c r="AC183" i="13"/>
  <c r="V183" i="13"/>
  <c r="Z183" i="13"/>
  <c r="W184" i="13"/>
  <c r="AA184" i="13"/>
  <c r="X184" i="13"/>
  <c r="AB184" i="13"/>
  <c r="AC184" i="13"/>
  <c r="V184" i="13"/>
  <c r="Z184" i="13"/>
  <c r="L189" i="13"/>
  <c r="R189" i="13"/>
  <c r="P189" i="13"/>
  <c r="L188" i="13"/>
  <c r="P188" i="13"/>
  <c r="R188" i="13"/>
  <c r="DT5" i="12" a="1"/>
  <c r="DT5" i="12" s="1"/>
  <c r="K19" i="54"/>
  <c r="DE5" i="12" a="1"/>
  <c r="DE5" i="12" s="1"/>
  <c r="C12" i="51"/>
  <c r="W189" i="13" l="1"/>
  <c r="X189" i="13"/>
  <c r="AB189" i="13"/>
  <c r="V189" i="13"/>
  <c r="Z189" i="13"/>
  <c r="AA189" i="13"/>
  <c r="AC189" i="13"/>
  <c r="AB188" i="13"/>
  <c r="AC188" i="13"/>
  <c r="W188" i="13"/>
  <c r="AA188" i="13"/>
  <c r="X188" i="13"/>
  <c r="V188" i="13"/>
  <c r="Z188" i="13"/>
  <c r="H29" i="16" l="1"/>
  <c r="H30" i="16"/>
  <c r="H28" i="16"/>
  <c r="K734" i="12"/>
  <c r="J734" i="12"/>
  <c r="I734" i="12"/>
  <c r="B6" i="51"/>
  <c r="BG186" i="13"/>
  <c r="BH186" i="13"/>
  <c r="BI186" i="13"/>
  <c r="BJ186" i="13"/>
  <c r="BG187" i="13"/>
  <c r="BH187" i="13"/>
  <c r="BI187" i="13"/>
  <c r="BJ187" i="13"/>
  <c r="C5" i="48"/>
  <c r="L734" i="12"/>
  <c r="N734" i="12"/>
  <c r="O734" i="12"/>
  <c r="AE734" i="12"/>
  <c r="AR734" i="12"/>
  <c r="AS734" i="12"/>
  <c r="AT734" i="12"/>
  <c r="BG734" i="12"/>
  <c r="BH734" i="12"/>
  <c r="BI734" i="12"/>
  <c r="O186" i="13" l="1"/>
  <c r="M186" i="13"/>
  <c r="N186" i="13"/>
  <c r="N187" i="13"/>
  <c r="O187" i="13"/>
  <c r="M187" i="13"/>
  <c r="J186" i="13"/>
  <c r="E186" i="13"/>
  <c r="D186" i="13"/>
  <c r="E187" i="13"/>
  <c r="D187" i="13"/>
  <c r="J187" i="13"/>
  <c r="AH187" i="13"/>
  <c r="Q187" i="13"/>
  <c r="AH186" i="13"/>
  <c r="Q186" i="13"/>
  <c r="P12" i="16"/>
  <c r="P13" i="16"/>
  <c r="O11" i="16"/>
  <c r="AG186" i="13"/>
  <c r="F186" i="13"/>
  <c r="AF186" i="13"/>
  <c r="AE186" i="13"/>
  <c r="AD186" i="13"/>
  <c r="F187" i="13"/>
  <c r="AG187" i="13"/>
  <c r="AF187" i="13"/>
  <c r="AE187" i="13"/>
  <c r="AD187" i="13"/>
  <c r="G187" i="13"/>
  <c r="K187" i="13"/>
  <c r="I187" i="13"/>
  <c r="H187" i="13"/>
  <c r="G186" i="13"/>
  <c r="I186" i="13"/>
  <c r="K186" i="13"/>
  <c r="H186" i="13"/>
  <c r="R187" i="13"/>
  <c r="L187" i="13"/>
  <c r="L185" i="13"/>
  <c r="R185" i="13"/>
  <c r="P185" i="13"/>
  <c r="P186" i="13"/>
  <c r="R186" i="13"/>
  <c r="L186" i="13"/>
  <c r="O13" i="16"/>
  <c r="O12" i="16"/>
  <c r="P11" i="16"/>
  <c r="H31" i="16"/>
  <c r="BD187" i="13"/>
  <c r="S187" i="13" s="1"/>
  <c r="BE187" i="13"/>
  <c r="T187" i="13" s="1"/>
  <c r="I1156" i="12"/>
  <c r="J1156" i="12"/>
  <c r="K1156" i="12"/>
  <c r="L1156" i="12"/>
  <c r="N1156" i="12"/>
  <c r="O1156" i="12"/>
  <c r="AE1156" i="12"/>
  <c r="AR1156" i="12"/>
  <c r="AS1156" i="12"/>
  <c r="AT1156" i="12"/>
  <c r="BG1156" i="12"/>
  <c r="BH1156" i="12"/>
  <c r="BI1156" i="12"/>
  <c r="I1157" i="12"/>
  <c r="I1158" i="12"/>
  <c r="I1159" i="12"/>
  <c r="J1157" i="12"/>
  <c r="J1158" i="12"/>
  <c r="J1159" i="12"/>
  <c r="K1157" i="12"/>
  <c r="K1158" i="12"/>
  <c r="K1159" i="12"/>
  <c r="L1157" i="12"/>
  <c r="L1158" i="12"/>
  <c r="L1159" i="12"/>
  <c r="N1157" i="12"/>
  <c r="N1158" i="12"/>
  <c r="N1159" i="12"/>
  <c r="O1157" i="12"/>
  <c r="O1158" i="12"/>
  <c r="O1159" i="12"/>
  <c r="AE1157" i="12"/>
  <c r="AE1158" i="12"/>
  <c r="AE1159" i="12"/>
  <c r="AR1157" i="12"/>
  <c r="AR1158" i="12"/>
  <c r="AR1159" i="12"/>
  <c r="AS1157" i="12"/>
  <c r="AS1158" i="12"/>
  <c r="AS1159" i="12"/>
  <c r="AT1157" i="12"/>
  <c r="AT1158" i="12"/>
  <c r="AT1159" i="12"/>
  <c r="BG1157" i="12"/>
  <c r="BG1158" i="12"/>
  <c r="BG1159" i="12"/>
  <c r="BH1157" i="12"/>
  <c r="BH1158" i="12"/>
  <c r="BH1159" i="12"/>
  <c r="BI1157" i="12"/>
  <c r="BI1158" i="12"/>
  <c r="BI1159" i="12"/>
  <c r="I1131" i="12"/>
  <c r="J1131" i="12"/>
  <c r="K1131" i="12"/>
  <c r="L1131" i="12"/>
  <c r="N1131" i="12"/>
  <c r="O1131" i="12"/>
  <c r="AE1131" i="12"/>
  <c r="AR1131" i="12"/>
  <c r="AS1131" i="12"/>
  <c r="AT1131" i="12"/>
  <c r="BG1131" i="12"/>
  <c r="BH1131" i="12"/>
  <c r="BI1131" i="12"/>
  <c r="I941" i="12"/>
  <c r="J941" i="12"/>
  <c r="K941" i="12"/>
  <c r="L941" i="12"/>
  <c r="N941" i="12"/>
  <c r="O941" i="12"/>
  <c r="AE941" i="12"/>
  <c r="AR941" i="12"/>
  <c r="AS941" i="12"/>
  <c r="AT941" i="12"/>
  <c r="BG941" i="12"/>
  <c r="BH941" i="12"/>
  <c r="BI941" i="12"/>
  <c r="I942" i="12"/>
  <c r="J942" i="12"/>
  <c r="K942" i="12"/>
  <c r="L942" i="12"/>
  <c r="N942" i="12"/>
  <c r="O942" i="12"/>
  <c r="AE942" i="12"/>
  <c r="AR942" i="12"/>
  <c r="AS942" i="12"/>
  <c r="AT942" i="12"/>
  <c r="BG942" i="12"/>
  <c r="BH942" i="12"/>
  <c r="BI942" i="12"/>
  <c r="I931" i="12"/>
  <c r="J931" i="12"/>
  <c r="K931" i="12"/>
  <c r="L931" i="12"/>
  <c r="N931" i="12"/>
  <c r="O931" i="12"/>
  <c r="AE931" i="12"/>
  <c r="AR931" i="12"/>
  <c r="AS931" i="12"/>
  <c r="AT931" i="12"/>
  <c r="BG931" i="12"/>
  <c r="BH931" i="12"/>
  <c r="BI931" i="12"/>
  <c r="I927" i="12"/>
  <c r="J927" i="12"/>
  <c r="K927" i="12"/>
  <c r="L927" i="12"/>
  <c r="N927" i="12"/>
  <c r="O927" i="12"/>
  <c r="AE927" i="12"/>
  <c r="AR927" i="12"/>
  <c r="AS927" i="12"/>
  <c r="AT927" i="12"/>
  <c r="BG927" i="12"/>
  <c r="BH927" i="12"/>
  <c r="BI927" i="12"/>
  <c r="I928" i="12"/>
  <c r="J928" i="12"/>
  <c r="K928" i="12"/>
  <c r="L928" i="12"/>
  <c r="N928" i="12"/>
  <c r="O928" i="12"/>
  <c r="AE928" i="12"/>
  <c r="AR928" i="12"/>
  <c r="AS928" i="12"/>
  <c r="AT928" i="12"/>
  <c r="BG928" i="12"/>
  <c r="BH928" i="12"/>
  <c r="BI928" i="12"/>
  <c r="I867" i="12"/>
  <c r="J867" i="12"/>
  <c r="K867" i="12"/>
  <c r="L867" i="12"/>
  <c r="N867" i="12"/>
  <c r="O867" i="12"/>
  <c r="AE867" i="12"/>
  <c r="AR867" i="12"/>
  <c r="AS867" i="12"/>
  <c r="AT867" i="12"/>
  <c r="BG867" i="12"/>
  <c r="BH867" i="12"/>
  <c r="BI867" i="12"/>
  <c r="I859" i="12"/>
  <c r="J859" i="12"/>
  <c r="K859" i="12"/>
  <c r="L859" i="12"/>
  <c r="N859" i="12"/>
  <c r="O859" i="12"/>
  <c r="AE859" i="12"/>
  <c r="AR859" i="12"/>
  <c r="AS859" i="12"/>
  <c r="AT859" i="12"/>
  <c r="BG859" i="12"/>
  <c r="BH859" i="12"/>
  <c r="BI859" i="12"/>
  <c r="I755" i="12"/>
  <c r="J755" i="12"/>
  <c r="K755" i="12"/>
  <c r="L755" i="12"/>
  <c r="N755" i="12"/>
  <c r="O755" i="12"/>
  <c r="AE755" i="12"/>
  <c r="AR755" i="12"/>
  <c r="AS755" i="12"/>
  <c r="AT755" i="12"/>
  <c r="BG755" i="12"/>
  <c r="BH755" i="12"/>
  <c r="BI755" i="12"/>
  <c r="I756" i="12"/>
  <c r="J756" i="12"/>
  <c r="K756" i="12"/>
  <c r="L756" i="12"/>
  <c r="N756" i="12"/>
  <c r="O756" i="12"/>
  <c r="AE756" i="12"/>
  <c r="AR756" i="12"/>
  <c r="AS756" i="12"/>
  <c r="AT756" i="12"/>
  <c r="BG756" i="12"/>
  <c r="BH756" i="12"/>
  <c r="BI756" i="12"/>
  <c r="I757" i="12"/>
  <c r="J757" i="12"/>
  <c r="K757" i="12"/>
  <c r="L757" i="12"/>
  <c r="N757" i="12"/>
  <c r="O757" i="12"/>
  <c r="AE757" i="12"/>
  <c r="AR757" i="12"/>
  <c r="AS757" i="12"/>
  <c r="AT757" i="12"/>
  <c r="BG757" i="12"/>
  <c r="BH757" i="12"/>
  <c r="BI757" i="12"/>
  <c r="I758" i="12"/>
  <c r="J758" i="12"/>
  <c r="K758" i="12"/>
  <c r="L758" i="12"/>
  <c r="N758" i="12"/>
  <c r="O758" i="12"/>
  <c r="AE758" i="12"/>
  <c r="AR758" i="12"/>
  <c r="AS758" i="12"/>
  <c r="AT758" i="12"/>
  <c r="BG758" i="12"/>
  <c r="BH758" i="12"/>
  <c r="BI758" i="12"/>
  <c r="I759" i="12"/>
  <c r="J759" i="12"/>
  <c r="K759" i="12"/>
  <c r="L759" i="12"/>
  <c r="N759" i="12"/>
  <c r="O759" i="12"/>
  <c r="AE759" i="12"/>
  <c r="AR759" i="12"/>
  <c r="AS759" i="12"/>
  <c r="AT759" i="12"/>
  <c r="BG759" i="12"/>
  <c r="BH759" i="12"/>
  <c r="BI759" i="12"/>
  <c r="I730" i="12"/>
  <c r="J730" i="12"/>
  <c r="K730" i="12"/>
  <c r="L730" i="12"/>
  <c r="N730" i="12"/>
  <c r="O730" i="12"/>
  <c r="AE730" i="12"/>
  <c r="AR730" i="12"/>
  <c r="AS730" i="12"/>
  <c r="AT730" i="12"/>
  <c r="BG730" i="12"/>
  <c r="BH730" i="12"/>
  <c r="BI730" i="12"/>
  <c r="I731" i="12"/>
  <c r="J731" i="12"/>
  <c r="K731" i="12"/>
  <c r="L731" i="12"/>
  <c r="N731" i="12"/>
  <c r="O731" i="12"/>
  <c r="AE731" i="12"/>
  <c r="AR731" i="12"/>
  <c r="AS731" i="12"/>
  <c r="AT731" i="12"/>
  <c r="BG731" i="12"/>
  <c r="BH731" i="12"/>
  <c r="BI731" i="12"/>
  <c r="I732" i="12"/>
  <c r="J732" i="12"/>
  <c r="K732" i="12"/>
  <c r="L732" i="12"/>
  <c r="N732" i="12"/>
  <c r="O732" i="12"/>
  <c r="AE732" i="12"/>
  <c r="AR732" i="12"/>
  <c r="AS732" i="12"/>
  <c r="AT732" i="12"/>
  <c r="BG732" i="12"/>
  <c r="BH732" i="12"/>
  <c r="BI732" i="12"/>
  <c r="I733" i="12"/>
  <c r="J733" i="12"/>
  <c r="K733" i="12"/>
  <c r="L733" i="12"/>
  <c r="N733" i="12"/>
  <c r="O733" i="12"/>
  <c r="AE733" i="12"/>
  <c r="AR733" i="12"/>
  <c r="AS733" i="12"/>
  <c r="AT733" i="12"/>
  <c r="BG733" i="12"/>
  <c r="BH733" i="12"/>
  <c r="BI733" i="12"/>
  <c r="I680" i="12"/>
  <c r="J680" i="12"/>
  <c r="K680" i="12"/>
  <c r="L680" i="12"/>
  <c r="N680" i="12"/>
  <c r="O680" i="12"/>
  <c r="AE680" i="12"/>
  <c r="AR680" i="12"/>
  <c r="AS680" i="12"/>
  <c r="AT680" i="12"/>
  <c r="BG680" i="12"/>
  <c r="BH680" i="12"/>
  <c r="BI680" i="12"/>
  <c r="I679" i="12"/>
  <c r="J679" i="12"/>
  <c r="K679" i="12"/>
  <c r="L679" i="12"/>
  <c r="N679" i="12"/>
  <c r="O679" i="12"/>
  <c r="AE679" i="12"/>
  <c r="AR679" i="12"/>
  <c r="AS679" i="12"/>
  <c r="AT679" i="12"/>
  <c r="BG679" i="12"/>
  <c r="BH679" i="12"/>
  <c r="BI679" i="12"/>
  <c r="I677" i="12"/>
  <c r="J677" i="12"/>
  <c r="K677" i="12"/>
  <c r="L677" i="12"/>
  <c r="N677" i="12"/>
  <c r="O677" i="12"/>
  <c r="AE677" i="12"/>
  <c r="AR677" i="12"/>
  <c r="AS677" i="12"/>
  <c r="AT677" i="12"/>
  <c r="BG677" i="12"/>
  <c r="BH677" i="12"/>
  <c r="BI677" i="12"/>
  <c r="I678" i="12"/>
  <c r="J678" i="12"/>
  <c r="K678" i="12"/>
  <c r="L678" i="12"/>
  <c r="N678" i="12"/>
  <c r="O678" i="12"/>
  <c r="AE678" i="12"/>
  <c r="AR678" i="12"/>
  <c r="AS678" i="12"/>
  <c r="AT678" i="12"/>
  <c r="BG678" i="12"/>
  <c r="BH678" i="12"/>
  <c r="BI678" i="12"/>
  <c r="I681" i="12"/>
  <c r="J681" i="12"/>
  <c r="K681" i="12"/>
  <c r="L681" i="12"/>
  <c r="N681" i="12"/>
  <c r="O681" i="12"/>
  <c r="AE681" i="12"/>
  <c r="AR681" i="12"/>
  <c r="AS681" i="12"/>
  <c r="AT681" i="12"/>
  <c r="BG681" i="12"/>
  <c r="BH681" i="12"/>
  <c r="BI681" i="12"/>
  <c r="I676" i="12"/>
  <c r="J676" i="12"/>
  <c r="K676" i="12"/>
  <c r="L676" i="12"/>
  <c r="N676" i="12"/>
  <c r="O676" i="12"/>
  <c r="AE676" i="12"/>
  <c r="AR676" i="12"/>
  <c r="AS676" i="12"/>
  <c r="AT676" i="12"/>
  <c r="BG676" i="12"/>
  <c r="BH676" i="12"/>
  <c r="BI676" i="12"/>
  <c r="I675" i="12"/>
  <c r="J675" i="12"/>
  <c r="K675" i="12"/>
  <c r="L675" i="12"/>
  <c r="N675" i="12"/>
  <c r="O675" i="12"/>
  <c r="AE675" i="12"/>
  <c r="AR675" i="12"/>
  <c r="AS675" i="12"/>
  <c r="AT675" i="12"/>
  <c r="BG675" i="12"/>
  <c r="BH675" i="12"/>
  <c r="BI675" i="12"/>
  <c r="I674" i="12"/>
  <c r="J674" i="12"/>
  <c r="K674" i="12"/>
  <c r="L674" i="12"/>
  <c r="N674" i="12"/>
  <c r="O674" i="12"/>
  <c r="AE674" i="12"/>
  <c r="AR674" i="12"/>
  <c r="AS674" i="12"/>
  <c r="AT674" i="12"/>
  <c r="BG674" i="12"/>
  <c r="BH674" i="12"/>
  <c r="BI674" i="12"/>
  <c r="I645" i="12"/>
  <c r="J645" i="12"/>
  <c r="K645" i="12"/>
  <c r="L645" i="12"/>
  <c r="N645" i="12"/>
  <c r="O645" i="12"/>
  <c r="AE645" i="12"/>
  <c r="AR645" i="12"/>
  <c r="AS645" i="12"/>
  <c r="AT645" i="12"/>
  <c r="BG645" i="12"/>
  <c r="BH645" i="12"/>
  <c r="BI645" i="12"/>
  <c r="I467" i="12"/>
  <c r="J467" i="12"/>
  <c r="K467" i="12"/>
  <c r="L467" i="12"/>
  <c r="N467" i="12"/>
  <c r="O467" i="12"/>
  <c r="AE467" i="12"/>
  <c r="AR467" i="12"/>
  <c r="AS467" i="12"/>
  <c r="AT467" i="12"/>
  <c r="BG467" i="12"/>
  <c r="BH467" i="12"/>
  <c r="BI467" i="12"/>
  <c r="I447" i="12"/>
  <c r="J447" i="12"/>
  <c r="K447" i="12"/>
  <c r="L447" i="12"/>
  <c r="N447" i="12"/>
  <c r="O447" i="12"/>
  <c r="AE447" i="12"/>
  <c r="AR447" i="12"/>
  <c r="AS447" i="12"/>
  <c r="AT447" i="12"/>
  <c r="BG447" i="12"/>
  <c r="BH447" i="12"/>
  <c r="BI447" i="12"/>
  <c r="I448" i="12"/>
  <c r="J448" i="12"/>
  <c r="K448" i="12"/>
  <c r="L448" i="12"/>
  <c r="N448" i="12"/>
  <c r="O448" i="12"/>
  <c r="AE448" i="12"/>
  <c r="AR448" i="12"/>
  <c r="AS448" i="12"/>
  <c r="AT448" i="12"/>
  <c r="BG448" i="12"/>
  <c r="BH448" i="12"/>
  <c r="BI448" i="12"/>
  <c r="I438" i="12"/>
  <c r="J438" i="12"/>
  <c r="K438" i="12"/>
  <c r="L438" i="12"/>
  <c r="N438" i="12"/>
  <c r="O438" i="12"/>
  <c r="AE438" i="12"/>
  <c r="AR438" i="12"/>
  <c r="AS438" i="12"/>
  <c r="AT438" i="12"/>
  <c r="BG438" i="12"/>
  <c r="BH438" i="12"/>
  <c r="BI438" i="12"/>
  <c r="I439" i="12"/>
  <c r="J439" i="12"/>
  <c r="K439" i="12"/>
  <c r="L439" i="12"/>
  <c r="N439" i="12"/>
  <c r="O439" i="12"/>
  <c r="AE439" i="12"/>
  <c r="AR439" i="12"/>
  <c r="AS439" i="12"/>
  <c r="AT439" i="12"/>
  <c r="BG439" i="12"/>
  <c r="BH439" i="12"/>
  <c r="BI439" i="12"/>
  <c r="I434" i="12"/>
  <c r="J434" i="12"/>
  <c r="K434" i="12"/>
  <c r="L434" i="12"/>
  <c r="N434" i="12"/>
  <c r="O434" i="12"/>
  <c r="AE434" i="12"/>
  <c r="AR434" i="12"/>
  <c r="AS434" i="12"/>
  <c r="AT434" i="12"/>
  <c r="BG434" i="12"/>
  <c r="BH434" i="12"/>
  <c r="BI434" i="12"/>
  <c r="I431" i="12"/>
  <c r="J431" i="12"/>
  <c r="K431" i="12"/>
  <c r="L431" i="12"/>
  <c r="N431" i="12"/>
  <c r="O431" i="12"/>
  <c r="AE431" i="12"/>
  <c r="AR431" i="12"/>
  <c r="AS431" i="12"/>
  <c r="AT431" i="12"/>
  <c r="BG431" i="12"/>
  <c r="BH431" i="12"/>
  <c r="BI431" i="12"/>
  <c r="I403" i="12"/>
  <c r="J403" i="12"/>
  <c r="K403" i="12"/>
  <c r="L403" i="12"/>
  <c r="N403" i="12"/>
  <c r="O403" i="12"/>
  <c r="AE403" i="12"/>
  <c r="AR403" i="12"/>
  <c r="AS403" i="12"/>
  <c r="AT403" i="12"/>
  <c r="BG403" i="12"/>
  <c r="BH403" i="12"/>
  <c r="BI403" i="12"/>
  <c r="I141" i="12"/>
  <c r="J141" i="12"/>
  <c r="K141" i="12"/>
  <c r="L141" i="12"/>
  <c r="N141" i="12"/>
  <c r="O141" i="12"/>
  <c r="AE141" i="12"/>
  <c r="AR141" i="12"/>
  <c r="AS141" i="12"/>
  <c r="AT141" i="12"/>
  <c r="BG141" i="12"/>
  <c r="BH141" i="12"/>
  <c r="BI141" i="12"/>
  <c r="G25" i="70" l="1"/>
  <c r="J25" i="70" s="1"/>
  <c r="AB25" i="70" s="1"/>
  <c r="G23" i="70"/>
  <c r="J23" i="70" s="1"/>
  <c r="AB23" i="70" s="1"/>
  <c r="G30" i="70"/>
  <c r="J30" i="70" s="1"/>
  <c r="AB30" i="70" s="1"/>
  <c r="G24" i="70"/>
  <c r="J24" i="70" s="1"/>
  <c r="AB24" i="70" s="1"/>
  <c r="G29" i="70"/>
  <c r="J29" i="70" s="1"/>
  <c r="AB29" i="70" s="1"/>
  <c r="G28" i="70"/>
  <c r="J28" i="70" s="1"/>
  <c r="AB28" i="70" s="1"/>
  <c r="G22" i="70"/>
  <c r="G27" i="70"/>
  <c r="J27" i="70" s="1"/>
  <c r="AB27" i="70" s="1"/>
  <c r="G26" i="70"/>
  <c r="J26" i="70" s="1"/>
  <c r="AB26" i="70" s="1"/>
  <c r="G31" i="70"/>
  <c r="J31" i="70" s="1"/>
  <c r="AB31" i="70" s="1"/>
  <c r="G23" i="71"/>
  <c r="J23" i="71" s="1"/>
  <c r="G28" i="71"/>
  <c r="J28" i="71" s="1"/>
  <c r="G24" i="71"/>
  <c r="J24" i="71" s="1"/>
  <c r="G30" i="71"/>
  <c r="J30" i="71" s="1"/>
  <c r="G25" i="71"/>
  <c r="J25" i="71" s="1"/>
  <c r="G29" i="71"/>
  <c r="J29" i="71" s="1"/>
  <c r="G27" i="71"/>
  <c r="J27" i="71" s="1"/>
  <c r="G22" i="71"/>
  <c r="J22" i="71" s="1"/>
  <c r="G31" i="71"/>
  <c r="J31" i="71" s="1"/>
  <c r="G26" i="71"/>
  <c r="J26" i="71" s="1"/>
  <c r="G39" i="71"/>
  <c r="G103" i="71"/>
  <c r="J103" i="71" s="1"/>
  <c r="G98" i="71"/>
  <c r="J98" i="71" s="1"/>
  <c r="G57" i="71"/>
  <c r="J57" i="71" s="1"/>
  <c r="G134" i="71"/>
  <c r="G37" i="71"/>
  <c r="J37" i="71" s="1"/>
  <c r="G96" i="71"/>
  <c r="J96" i="71" s="1"/>
  <c r="G120" i="71"/>
  <c r="G91" i="71"/>
  <c r="J91" i="71" s="1"/>
  <c r="G82" i="71"/>
  <c r="J82" i="71" s="1"/>
  <c r="G41" i="71"/>
  <c r="J41" i="71" s="1"/>
  <c r="G122" i="71"/>
  <c r="J122" i="71" s="1"/>
  <c r="G140" i="71"/>
  <c r="J140" i="71" s="1"/>
  <c r="G64" i="71"/>
  <c r="G92" i="71"/>
  <c r="J92" i="71" s="1"/>
  <c r="G79" i="71"/>
  <c r="J79" i="71" s="1"/>
  <c r="G88" i="71"/>
  <c r="J88" i="71" s="1"/>
  <c r="G46" i="71"/>
  <c r="J46" i="71" s="1"/>
  <c r="G126" i="71"/>
  <c r="G116" i="71"/>
  <c r="J116" i="71" s="1"/>
  <c r="G32" i="71"/>
  <c r="J32" i="71" s="1"/>
  <c r="G102" i="71"/>
  <c r="J102" i="71" s="1"/>
  <c r="G52" i="71"/>
  <c r="G112" i="71"/>
  <c r="J112" i="71" s="1"/>
  <c r="G142" i="71"/>
  <c r="J142" i="71" s="1"/>
  <c r="G35" i="71"/>
  <c r="G141" i="71"/>
  <c r="J141" i="71" s="1"/>
  <c r="G50" i="71"/>
  <c r="J50" i="71" s="1"/>
  <c r="G111" i="71"/>
  <c r="J111" i="71" s="1"/>
  <c r="G56" i="71"/>
  <c r="J56" i="71" s="1"/>
  <c r="G100" i="71"/>
  <c r="J100" i="71" s="1"/>
  <c r="G119" i="71"/>
  <c r="J119" i="71" s="1"/>
  <c r="G38" i="71"/>
  <c r="J38" i="71" s="1"/>
  <c r="G121" i="71"/>
  <c r="J121" i="71" s="1"/>
  <c r="G65" i="71"/>
  <c r="J65" i="71" s="1"/>
  <c r="G139" i="71"/>
  <c r="J139" i="71" s="1"/>
  <c r="G45" i="71"/>
  <c r="J45" i="71" s="1"/>
  <c r="G89" i="71"/>
  <c r="J89" i="71" s="1"/>
  <c r="G33" i="71"/>
  <c r="J33" i="71" s="1"/>
  <c r="G51" i="71"/>
  <c r="G44" i="71"/>
  <c r="J44" i="71" s="1"/>
  <c r="F142" i="71"/>
  <c r="G70" i="71"/>
  <c r="J70" i="71" s="1"/>
  <c r="G87" i="71"/>
  <c r="J87" i="71" s="1"/>
  <c r="G36" i="71"/>
  <c r="J36" i="71" s="1"/>
  <c r="G132" i="71"/>
  <c r="J132" i="71" s="1"/>
  <c r="G81" i="71"/>
  <c r="J81" i="71" s="1"/>
  <c r="G61" i="71"/>
  <c r="J61" i="71" s="1"/>
  <c r="G105" i="71"/>
  <c r="J105" i="71" s="1"/>
  <c r="G49" i="71"/>
  <c r="J49" i="71" s="1"/>
  <c r="G66" i="71"/>
  <c r="J66" i="71" s="1"/>
  <c r="E141" i="71"/>
  <c r="G135" i="71"/>
  <c r="J135" i="71" s="1"/>
  <c r="G93" i="71"/>
  <c r="J93" i="71" s="1"/>
  <c r="G73" i="71"/>
  <c r="J73" i="71" s="1"/>
  <c r="G114" i="71"/>
  <c r="J114" i="71" s="1"/>
  <c r="G124" i="71"/>
  <c r="G55" i="71"/>
  <c r="J55" i="71" s="1"/>
  <c r="G34" i="71"/>
  <c r="J34" i="71" s="1"/>
  <c r="G117" i="71"/>
  <c r="J117" i="71" s="1"/>
  <c r="G78" i="71"/>
  <c r="J78" i="71" s="1"/>
  <c r="G54" i="71"/>
  <c r="J54" i="71" s="1"/>
  <c r="G80" i="71"/>
  <c r="G131" i="71"/>
  <c r="J131" i="71" s="1"/>
  <c r="G43" i="71"/>
  <c r="G107" i="71"/>
  <c r="G104" i="71"/>
  <c r="J104" i="71" s="1"/>
  <c r="G62" i="71"/>
  <c r="J62" i="71" s="1"/>
  <c r="G138" i="71"/>
  <c r="J138" i="71" s="1"/>
  <c r="G48" i="71"/>
  <c r="G106" i="71"/>
  <c r="J106" i="71" s="1"/>
  <c r="G128" i="71"/>
  <c r="G95" i="71"/>
  <c r="J95" i="71" s="1"/>
  <c r="G109" i="71"/>
  <c r="J109" i="71" s="1"/>
  <c r="G68" i="71"/>
  <c r="F141" i="71"/>
  <c r="G58" i="71"/>
  <c r="J58" i="71" s="1"/>
  <c r="G74" i="71"/>
  <c r="J74" i="71" s="1"/>
  <c r="G136" i="71"/>
  <c r="G130" i="71"/>
  <c r="J130" i="71" s="1"/>
  <c r="G67" i="71"/>
  <c r="G86" i="71"/>
  <c r="J86" i="71" s="1"/>
  <c r="G72" i="71"/>
  <c r="J72" i="71" s="1"/>
  <c r="G85" i="71"/>
  <c r="J85" i="71" s="1"/>
  <c r="G129" i="71"/>
  <c r="J129" i="71" s="1"/>
  <c r="G42" i="71"/>
  <c r="J42" i="71" s="1"/>
  <c r="G71" i="71"/>
  <c r="J71" i="71" s="1"/>
  <c r="G133" i="71"/>
  <c r="J133" i="71" s="1"/>
  <c r="G97" i="71"/>
  <c r="J97" i="71" s="1"/>
  <c r="G59" i="71"/>
  <c r="J59" i="71" s="1"/>
  <c r="G40" i="71"/>
  <c r="G84" i="71"/>
  <c r="J84" i="71" s="1"/>
  <c r="G90" i="71"/>
  <c r="J90" i="71" s="1"/>
  <c r="G47" i="71"/>
  <c r="J47" i="71" s="1"/>
  <c r="G125" i="71"/>
  <c r="J125" i="71" s="1"/>
  <c r="G101" i="71"/>
  <c r="J101" i="71" s="1"/>
  <c r="G115" i="71"/>
  <c r="J115" i="71" s="1"/>
  <c r="G113" i="71"/>
  <c r="J113" i="71" s="1"/>
  <c r="G69" i="71"/>
  <c r="J69" i="71" s="1"/>
  <c r="G94" i="71"/>
  <c r="J94" i="71" s="1"/>
  <c r="G99" i="71"/>
  <c r="J99" i="71" s="1"/>
  <c r="G77" i="71"/>
  <c r="J77" i="71" s="1"/>
  <c r="G118" i="71"/>
  <c r="J118" i="71" s="1"/>
  <c r="G53" i="71"/>
  <c r="J53" i="71" s="1"/>
  <c r="G75" i="71"/>
  <c r="J75" i="71" s="1"/>
  <c r="G137" i="71"/>
  <c r="J137" i="71" s="1"/>
  <c r="G108" i="71"/>
  <c r="J108" i="71" s="1"/>
  <c r="G127" i="71"/>
  <c r="J127" i="71" s="1"/>
  <c r="G63" i="71"/>
  <c r="G110" i="71"/>
  <c r="J110" i="71" s="1"/>
  <c r="G76" i="71"/>
  <c r="J76" i="71" s="1"/>
  <c r="G60" i="71"/>
  <c r="J60" i="71" s="1"/>
  <c r="G123" i="71"/>
  <c r="J123" i="71" s="1"/>
  <c r="E142" i="71"/>
  <c r="G83" i="71"/>
  <c r="J83" i="71" s="1"/>
  <c r="O22" i="69" a="1"/>
  <c r="O22" i="69" s="1"/>
  <c r="N22" i="58" a="1"/>
  <c r="N22" i="58" s="1"/>
  <c r="Q115" i="70"/>
  <c r="Q40" i="70"/>
  <c r="Q123" i="70"/>
  <c r="U51" i="70"/>
  <c r="U71" i="70"/>
  <c r="U103" i="70"/>
  <c r="Q100" i="70"/>
  <c r="U77" i="70"/>
  <c r="U131" i="70"/>
  <c r="U35" i="70"/>
  <c r="U107" i="70"/>
  <c r="U49" i="70"/>
  <c r="U140" i="70"/>
  <c r="U87" i="70"/>
  <c r="U55" i="70"/>
  <c r="U69" i="70"/>
  <c r="Q76" i="70"/>
  <c r="U79" i="70"/>
  <c r="Q57" i="70"/>
  <c r="U106" i="70"/>
  <c r="Q54" i="70"/>
  <c r="Q71" i="70"/>
  <c r="Q44" i="70"/>
  <c r="U76" i="70"/>
  <c r="U78" i="70"/>
  <c r="U81" i="70"/>
  <c r="Q66" i="70"/>
  <c r="Q140" i="70"/>
  <c r="U80" i="70"/>
  <c r="U93" i="70"/>
  <c r="Q50" i="70"/>
  <c r="Q113" i="70"/>
  <c r="U43" i="70"/>
  <c r="Q89" i="70"/>
  <c r="Q59" i="70"/>
  <c r="U84" i="70"/>
  <c r="U116" i="70"/>
  <c r="U75" i="70"/>
  <c r="U74" i="70"/>
  <c r="Q110" i="70"/>
  <c r="U137" i="70"/>
  <c r="Q48" i="70"/>
  <c r="Q114" i="70"/>
  <c r="Q35" i="70"/>
  <c r="U109" i="70"/>
  <c r="Q94" i="70"/>
  <c r="U133" i="70"/>
  <c r="U129" i="70"/>
  <c r="U142" i="70"/>
  <c r="Q141" i="70"/>
  <c r="U70" i="70"/>
  <c r="U62" i="70"/>
  <c r="Q42" i="70"/>
  <c r="Q126" i="70"/>
  <c r="Q106" i="70"/>
  <c r="Q131" i="70"/>
  <c r="Q69" i="70"/>
  <c r="Q53" i="70"/>
  <c r="Q104" i="70"/>
  <c r="Q83" i="70"/>
  <c r="U52" i="70"/>
  <c r="U117" i="70"/>
  <c r="U60" i="70"/>
  <c r="Q118" i="70"/>
  <c r="U100" i="70"/>
  <c r="U59" i="70"/>
  <c r="U108" i="70"/>
  <c r="Q116" i="70"/>
  <c r="U110" i="70"/>
  <c r="U113" i="70"/>
  <c r="U37" i="70"/>
  <c r="U89" i="70"/>
  <c r="Q37" i="70"/>
  <c r="U44" i="70"/>
  <c r="U138" i="70"/>
  <c r="Q74" i="70"/>
  <c r="Q65" i="70"/>
  <c r="Q98" i="70"/>
  <c r="Q91" i="70"/>
  <c r="Q64" i="70"/>
  <c r="U92" i="70"/>
  <c r="Q61" i="70"/>
  <c r="U97" i="70"/>
  <c r="Q79" i="70"/>
  <c r="Q58" i="70"/>
  <c r="Q68" i="70"/>
  <c r="U96" i="70"/>
  <c r="U64" i="70"/>
  <c r="Q81" i="70"/>
  <c r="Q47" i="70"/>
  <c r="Q39" i="70"/>
  <c r="Q87" i="70"/>
  <c r="Q139" i="70"/>
  <c r="U115" i="70"/>
  <c r="U54" i="70"/>
  <c r="Q101" i="70"/>
  <c r="U91" i="70"/>
  <c r="Q95" i="70"/>
  <c r="Q107" i="70"/>
  <c r="Q75" i="70"/>
  <c r="Q41" i="70"/>
  <c r="U45" i="70"/>
  <c r="Q70" i="70"/>
  <c r="U33" i="70"/>
  <c r="Q134" i="70"/>
  <c r="U114" i="70"/>
  <c r="U42" i="70"/>
  <c r="Q62" i="70"/>
  <c r="Q135" i="70"/>
  <c r="Q103" i="70"/>
  <c r="Q124" i="70"/>
  <c r="Q60" i="70"/>
  <c r="Q51" i="70"/>
  <c r="Q67" i="70"/>
  <c r="U104" i="70"/>
  <c r="U56" i="70"/>
  <c r="U85" i="70"/>
  <c r="U136" i="70"/>
  <c r="U36" i="70"/>
  <c r="U82" i="70"/>
  <c r="U32" i="70"/>
  <c r="U118" i="70"/>
  <c r="U73" i="70"/>
  <c r="U135" i="70"/>
  <c r="Q92" i="70"/>
  <c r="U41" i="70"/>
  <c r="Q78" i="70"/>
  <c r="U39" i="70"/>
  <c r="U61" i="70"/>
  <c r="U111" i="70"/>
  <c r="Q136" i="70"/>
  <c r="U123" i="70"/>
  <c r="U105" i="70"/>
  <c r="U34" i="70"/>
  <c r="Q137" i="70"/>
  <c r="U128" i="70"/>
  <c r="Q117" i="70"/>
  <c r="Q138" i="70"/>
  <c r="Q84" i="70"/>
  <c r="U127" i="70"/>
  <c r="Q108" i="70"/>
  <c r="U90" i="70"/>
  <c r="Q128" i="70"/>
  <c r="Q93" i="70"/>
  <c r="U139" i="70"/>
  <c r="U48" i="70"/>
  <c r="U63" i="70"/>
  <c r="Q97" i="70"/>
  <c r="Q36" i="70"/>
  <c r="U95" i="70"/>
  <c r="Q96" i="70"/>
  <c r="Q88" i="70"/>
  <c r="Q127" i="70"/>
  <c r="U40" i="70"/>
  <c r="U112" i="70"/>
  <c r="Q49" i="70"/>
  <c r="Q56" i="70"/>
  <c r="Q38" i="70"/>
  <c r="U57" i="70"/>
  <c r="U120" i="70"/>
  <c r="U126" i="70"/>
  <c r="U130" i="70"/>
  <c r="Q109" i="70"/>
  <c r="Q45" i="70"/>
  <c r="U94" i="70"/>
  <c r="Q129" i="70"/>
  <c r="U122" i="70"/>
  <c r="U134" i="70"/>
  <c r="Q121" i="70"/>
  <c r="Q34" i="70"/>
  <c r="U83" i="70"/>
  <c r="U65" i="70"/>
  <c r="U38" i="70"/>
  <c r="U119" i="70"/>
  <c r="Q112" i="70"/>
  <c r="U132" i="70"/>
  <c r="Q73" i="70"/>
  <c r="Q82" i="70"/>
  <c r="Q133" i="70"/>
  <c r="Q63" i="70"/>
  <c r="U58" i="70"/>
  <c r="U141" i="70"/>
  <c r="Q85" i="70"/>
  <c r="U124" i="70"/>
  <c r="U121" i="70"/>
  <c r="Q52" i="70"/>
  <c r="U50" i="70"/>
  <c r="U99" i="70"/>
  <c r="Q80" i="70"/>
  <c r="U68" i="70"/>
  <c r="Q43" i="70"/>
  <c r="Q72" i="70"/>
  <c r="U86" i="70"/>
  <c r="Q33" i="70"/>
  <c r="U101" i="70"/>
  <c r="U67" i="70"/>
  <c r="Q120" i="70"/>
  <c r="U47" i="70"/>
  <c r="Q105" i="70"/>
  <c r="U88" i="70"/>
  <c r="Q122" i="70"/>
  <c r="Q99" i="70"/>
  <c r="Q132" i="70"/>
  <c r="Q55" i="70"/>
  <c r="U53" i="70"/>
  <c r="Q46" i="70"/>
  <c r="Q125" i="70"/>
  <c r="U98" i="70"/>
  <c r="Q119" i="70"/>
  <c r="Q90" i="70"/>
  <c r="Q32" i="70"/>
  <c r="U72" i="70"/>
  <c r="Q86" i="70"/>
  <c r="Q142" i="70"/>
  <c r="Q77" i="70"/>
  <c r="U102" i="70"/>
  <c r="Q102" i="70"/>
  <c r="Q111" i="70"/>
  <c r="U66" i="70"/>
  <c r="U46" i="70"/>
  <c r="U125" i="70"/>
  <c r="Q130" i="70"/>
  <c r="AG30" i="71"/>
  <c r="D29" i="71" s="1"/>
  <c r="N29" i="71" s="1"/>
  <c r="R124" i="71"/>
  <c r="R119" i="71"/>
  <c r="S104" i="71"/>
  <c r="S82" i="71"/>
  <c r="S66" i="71"/>
  <c r="S54" i="71"/>
  <c r="R46" i="71"/>
  <c r="AG32" i="71"/>
  <c r="D31" i="71" s="1"/>
  <c r="N31" i="71" s="1"/>
  <c r="O31" i="71" s="1"/>
  <c r="P31" i="71" s="1"/>
  <c r="T128" i="71"/>
  <c r="R99" i="71"/>
  <c r="S80" i="71"/>
  <c r="R53" i="71"/>
  <c r="T48" i="71"/>
  <c r="R42" i="71"/>
  <c r="R34" i="71"/>
  <c r="S94" i="70"/>
  <c r="AH31" i="70"/>
  <c r="D30" i="70" s="1"/>
  <c r="R104" i="70"/>
  <c r="S83" i="70"/>
  <c r="R69" i="70"/>
  <c r="R55" i="70"/>
  <c r="R140" i="71"/>
  <c r="R128" i="71"/>
  <c r="T124" i="71"/>
  <c r="S70" i="71"/>
  <c r="S62" i="71"/>
  <c r="T51" i="71"/>
  <c r="AG31" i="71"/>
  <c r="D30" i="71" s="1"/>
  <c r="N30" i="71" s="1"/>
  <c r="Q30" i="71" s="1"/>
  <c r="R113" i="71"/>
  <c r="R105" i="71"/>
  <c r="R91" i="71"/>
  <c r="S56" i="71"/>
  <c r="R38" i="71"/>
  <c r="R33" i="71"/>
  <c r="S69" i="70"/>
  <c r="AH29" i="70"/>
  <c r="D28" i="70" s="1"/>
  <c r="AG24" i="71"/>
  <c r="D23" i="71" s="1"/>
  <c r="N23" i="71" s="1"/>
  <c r="R101" i="71"/>
  <c r="R87" i="71"/>
  <c r="R48" i="71"/>
  <c r="R37" i="71"/>
  <c r="R142" i="70"/>
  <c r="R120" i="70"/>
  <c r="R87" i="70"/>
  <c r="T122" i="71"/>
  <c r="S103" i="70"/>
  <c r="R67" i="70"/>
  <c r="R96" i="70"/>
  <c r="AH28" i="70"/>
  <c r="D27" i="70" s="1"/>
  <c r="R83" i="70"/>
  <c r="S68" i="70"/>
  <c r="R79" i="71"/>
  <c r="S88" i="70"/>
  <c r="R49" i="71"/>
  <c r="AH32" i="70"/>
  <c r="D31" i="70" s="1"/>
  <c r="R103" i="70"/>
  <c r="R78" i="70"/>
  <c r="S44" i="70"/>
  <c r="R63" i="70"/>
  <c r="R112" i="70"/>
  <c r="R60" i="70"/>
  <c r="T84" i="70"/>
  <c r="R123" i="71"/>
  <c r="S125" i="70"/>
  <c r="S36" i="71"/>
  <c r="S112" i="71"/>
  <c r="T105" i="71"/>
  <c r="S58" i="70"/>
  <c r="T69" i="71"/>
  <c r="S53" i="71"/>
  <c r="T113" i="71"/>
  <c r="R68" i="70"/>
  <c r="R65" i="70"/>
  <c r="R54" i="71"/>
  <c r="S42" i="71"/>
  <c r="R142" i="71"/>
  <c r="R122" i="71"/>
  <c r="T118" i="71"/>
  <c r="R103" i="71"/>
  <c r="R81" i="71"/>
  <c r="R65" i="71"/>
  <c r="T53" i="71"/>
  <c r="T45" i="71"/>
  <c r="R138" i="71"/>
  <c r="R120" i="71"/>
  <c r="R97" i="71"/>
  <c r="S78" i="71"/>
  <c r="R51" i="71"/>
  <c r="T46" i="71"/>
  <c r="T41" i="71"/>
  <c r="T33" i="71"/>
  <c r="S46" i="70"/>
  <c r="R110" i="70"/>
  <c r="R132" i="70"/>
  <c r="S92" i="70"/>
  <c r="S79" i="70"/>
  <c r="S64" i="70"/>
  <c r="R51" i="70"/>
  <c r="R134" i="71"/>
  <c r="T126" i="71"/>
  <c r="T116" i="71"/>
  <c r="S68" i="71"/>
  <c r="R61" i="71"/>
  <c r="R40" i="71"/>
  <c r="T136" i="71"/>
  <c r="T112" i="71"/>
  <c r="S102" i="71"/>
  <c r="S72" i="71"/>
  <c r="T42" i="71"/>
  <c r="T37" i="71"/>
  <c r="S86" i="70"/>
  <c r="R124" i="70"/>
  <c r="R112" i="71"/>
  <c r="S92" i="71"/>
  <c r="S86" i="71"/>
  <c r="T47" i="71"/>
  <c r="R36" i="71"/>
  <c r="R53" i="70"/>
  <c r="AH25" i="70"/>
  <c r="D24" i="70" s="1"/>
  <c r="R99" i="70"/>
  <c r="R80" i="70"/>
  <c r="R118" i="71"/>
  <c r="S54" i="70"/>
  <c r="S87" i="70"/>
  <c r="R47" i="70"/>
  <c r="S95" i="70"/>
  <c r="S76" i="70"/>
  <c r="R132" i="71"/>
  <c r="R121" i="71"/>
  <c r="T114" i="71"/>
  <c r="S98" i="71"/>
  <c r="S74" i="71"/>
  <c r="S58" i="71"/>
  <c r="T52" i="71"/>
  <c r="T44" i="71"/>
  <c r="R136" i="71"/>
  <c r="R116" i="71"/>
  <c r="S84" i="71"/>
  <c r="R77" i="71"/>
  <c r="R50" i="71"/>
  <c r="R45" i="71"/>
  <c r="T40" i="71"/>
  <c r="S62" i="70"/>
  <c r="AH23" i="70"/>
  <c r="D22" i="70" s="1"/>
  <c r="S111" i="70"/>
  <c r="R89" i="70"/>
  <c r="R76" i="70"/>
  <c r="T130" i="71"/>
  <c r="R73" i="71"/>
  <c r="T134" i="71"/>
  <c r="T49" i="71"/>
  <c r="S78" i="70"/>
  <c r="S72" i="70"/>
  <c r="AG23" i="71"/>
  <c r="AG29" i="71"/>
  <c r="D28" i="71" s="1"/>
  <c r="N28" i="71" s="1"/>
  <c r="Q28" i="71" s="1"/>
  <c r="S64" i="71"/>
  <c r="T38" i="71"/>
  <c r="T110" i="71"/>
  <c r="R59" i="71"/>
  <c r="T34" i="71"/>
  <c r="AH24" i="70"/>
  <c r="D23" i="70" s="1"/>
  <c r="S109" i="71"/>
  <c r="R75" i="71"/>
  <c r="S133" i="70"/>
  <c r="S67" i="70"/>
  <c r="AH26" i="70"/>
  <c r="D25" i="70" s="1"/>
  <c r="R69" i="71"/>
  <c r="R85" i="70"/>
  <c r="S52" i="70"/>
  <c r="R95" i="70"/>
  <c r="R111" i="70"/>
  <c r="R79" i="70"/>
  <c r="S40" i="70"/>
  <c r="R140" i="70"/>
  <c r="S85" i="70"/>
  <c r="S51" i="71"/>
  <c r="R44" i="70"/>
  <c r="S108" i="71"/>
  <c r="R84" i="71"/>
  <c r="R60" i="71"/>
  <c r="R74" i="70"/>
  <c r="R76" i="71"/>
  <c r="R72" i="71"/>
  <c r="T73" i="71"/>
  <c r="S121" i="70"/>
  <c r="S37" i="71"/>
  <c r="T99" i="71"/>
  <c r="R38" i="70"/>
  <c r="T103" i="71"/>
  <c r="R64" i="71"/>
  <c r="R36" i="70"/>
  <c r="R57" i="70"/>
  <c r="R58" i="71"/>
  <c r="T68" i="70"/>
  <c r="S34" i="70"/>
  <c r="S50" i="71"/>
  <c r="R135" i="71"/>
  <c r="R127" i="71"/>
  <c r="S118" i="71"/>
  <c r="T58" i="71"/>
  <c r="T82" i="71"/>
  <c r="S99" i="71"/>
  <c r="S85" i="71"/>
  <c r="S137" i="71"/>
  <c r="R34" i="70"/>
  <c r="T66" i="70"/>
  <c r="R118" i="70"/>
  <c r="T34" i="70"/>
  <c r="T50" i="70"/>
  <c r="R119" i="70"/>
  <c r="T43" i="70"/>
  <c r="T81" i="70"/>
  <c r="R131" i="70"/>
  <c r="R121" i="70"/>
  <c r="S112" i="70"/>
  <c r="S97" i="70"/>
  <c r="R125" i="71"/>
  <c r="T75" i="71"/>
  <c r="R80" i="71"/>
  <c r="S63" i="71"/>
  <c r="T76" i="71"/>
  <c r="T96" i="71"/>
  <c r="S79" i="71"/>
  <c r="S131" i="71"/>
  <c r="T131" i="71"/>
  <c r="T106" i="70"/>
  <c r="R42" i="70"/>
  <c r="T70" i="70"/>
  <c r="R122" i="70"/>
  <c r="S39" i="70"/>
  <c r="S55" i="70"/>
  <c r="S127" i="70"/>
  <c r="T61" i="70"/>
  <c r="T91" i="70"/>
  <c r="S139" i="70"/>
  <c r="T129" i="70"/>
  <c r="S114" i="70"/>
  <c r="S130" i="70"/>
  <c r="R66" i="71"/>
  <c r="T87" i="71"/>
  <c r="T95" i="71"/>
  <c r="R139" i="71"/>
  <c r="T32" i="71"/>
  <c r="T68" i="71"/>
  <c r="T117" i="71"/>
  <c r="S105" i="71"/>
  <c r="S133" i="71"/>
  <c r="R98" i="70"/>
  <c r="T104" i="70"/>
  <c r="T132" i="70"/>
  <c r="T48" i="70"/>
  <c r="T64" i="70"/>
  <c r="T47" i="70"/>
  <c r="T69" i="70"/>
  <c r="R115" i="70"/>
  <c r="T109" i="70"/>
  <c r="R141" i="70"/>
  <c r="R49" i="70"/>
  <c r="R46" i="70"/>
  <c r="S134" i="71"/>
  <c r="S130" i="71"/>
  <c r="S69" i="71"/>
  <c r="T80" i="71"/>
  <c r="T102" i="71"/>
  <c r="T114" i="70"/>
  <c r="S57" i="70"/>
  <c r="R139" i="70"/>
  <c r="S111" i="71"/>
  <c r="T126" i="70"/>
  <c r="T103" i="70"/>
  <c r="R130" i="70"/>
  <c r="T133" i="71"/>
  <c r="R114" i="70"/>
  <c r="S124" i="70"/>
  <c r="S32" i="70"/>
  <c r="S140" i="71"/>
  <c r="S116" i="70"/>
  <c r="S33" i="70"/>
  <c r="S83" i="71"/>
  <c r="T49" i="70"/>
  <c r="T86" i="70"/>
  <c r="T112" i="70"/>
  <c r="T52" i="70"/>
  <c r="T55" i="70"/>
  <c r="T123" i="70"/>
  <c r="S100" i="70"/>
  <c r="S40" i="71"/>
  <c r="S52" i="71"/>
  <c r="S57" i="71"/>
  <c r="R109" i="71"/>
  <c r="S107" i="71"/>
  <c r="T135" i="70"/>
  <c r="S135" i="71"/>
  <c r="S110" i="70"/>
  <c r="T79" i="70"/>
  <c r="T78" i="70"/>
  <c r="S37" i="70"/>
  <c r="T41" i="70"/>
  <c r="T117" i="70"/>
  <c r="R108" i="71"/>
  <c r="R47" i="71"/>
  <c r="R83" i="71"/>
  <c r="R35" i="71"/>
  <c r="R107" i="70"/>
  <c r="R56" i="70"/>
  <c r="R130" i="71"/>
  <c r="R95" i="71"/>
  <c r="R52" i="71"/>
  <c r="R114" i="71"/>
  <c r="S94" i="71"/>
  <c r="R39" i="71"/>
  <c r="R45" i="70"/>
  <c r="R116" i="70"/>
  <c r="R89" i="71"/>
  <c r="T43" i="71"/>
  <c r="S93" i="70"/>
  <c r="R91" i="70"/>
  <c r="R63" i="71"/>
  <c r="R71" i="70"/>
  <c r="R102" i="70"/>
  <c r="R136" i="70"/>
  <c r="S76" i="71"/>
  <c r="S77" i="70"/>
  <c r="R100" i="70"/>
  <c r="R64" i="70"/>
  <c r="T108" i="71"/>
  <c r="S48" i="70"/>
  <c r="R43" i="70"/>
  <c r="S116" i="71"/>
  <c r="S73" i="70"/>
  <c r="T101" i="71"/>
  <c r="S33" i="71"/>
  <c r="R137" i="71"/>
  <c r="T88" i="70"/>
  <c r="T89" i="71"/>
  <c r="R70" i="70"/>
  <c r="T142" i="71"/>
  <c r="T81" i="71"/>
  <c r="R86" i="71"/>
  <c r="S66" i="70"/>
  <c r="R68" i="71"/>
  <c r="S48" i="71"/>
  <c r="S119" i="71"/>
  <c r="T134" i="70"/>
  <c r="T100" i="70"/>
  <c r="T124" i="70"/>
  <c r="T58" i="70"/>
  <c r="T59" i="70"/>
  <c r="T105" i="70"/>
  <c r="T115" i="71"/>
  <c r="S120" i="71"/>
  <c r="S87" i="71"/>
  <c r="T104" i="71"/>
  <c r="S115" i="71"/>
  <c r="T139" i="71"/>
  <c r="S74" i="70"/>
  <c r="T128" i="70"/>
  <c r="S63" i="70"/>
  <c r="T75" i="70"/>
  <c r="R123" i="70"/>
  <c r="S142" i="70"/>
  <c r="S138" i="70"/>
  <c r="R94" i="71"/>
  <c r="T111" i="71"/>
  <c r="T60" i="71"/>
  <c r="S97" i="71"/>
  <c r="T118" i="70"/>
  <c r="T74" i="70"/>
  <c r="T40" i="70"/>
  <c r="R135" i="70"/>
  <c r="T85" i="70"/>
  <c r="R125" i="70"/>
  <c r="R100" i="71"/>
  <c r="T71" i="71"/>
  <c r="S127" i="71"/>
  <c r="T57" i="70"/>
  <c r="S102" i="70"/>
  <c r="S45" i="70"/>
  <c r="S140" i="70"/>
  <c r="S132" i="70"/>
  <c r="T136" i="70"/>
  <c r="R127" i="70"/>
  <c r="T115" i="70"/>
  <c r="T98" i="70"/>
  <c r="T33" i="70"/>
  <c r="AG26" i="71"/>
  <c r="D25" i="71" s="1"/>
  <c r="N25" i="71" s="1"/>
  <c r="R93" i="71"/>
  <c r="R71" i="71"/>
  <c r="R48" i="70"/>
  <c r="R67" i="71"/>
  <c r="R111" i="71"/>
  <c r="T36" i="71"/>
  <c r="R110" i="71"/>
  <c r="R85" i="71"/>
  <c r="AH30" i="70"/>
  <c r="D29" i="70" s="1"/>
  <c r="R101" i="70"/>
  <c r="S91" i="70"/>
  <c r="S99" i="70"/>
  <c r="T50" i="71"/>
  <c r="S84" i="70"/>
  <c r="R39" i="70"/>
  <c r="T67" i="71"/>
  <c r="R32" i="71"/>
  <c r="S39" i="71"/>
  <c r="S41" i="71"/>
  <c r="R141" i="71"/>
  <c r="R78" i="71"/>
  <c r="T121" i="71"/>
  <c r="R54" i="70"/>
  <c r="T55" i="71"/>
  <c r="S81" i="70"/>
  <c r="S126" i="71"/>
  <c r="S80" i="70"/>
  <c r="R74" i="71"/>
  <c r="T88" i="71"/>
  <c r="T74" i="71"/>
  <c r="S77" i="71"/>
  <c r="T110" i="70"/>
  <c r="T108" i="70"/>
  <c r="T46" i="70"/>
  <c r="T35" i="70"/>
  <c r="S115" i="70"/>
  <c r="T120" i="71"/>
  <c r="R57" i="71"/>
  <c r="S100" i="71"/>
  <c r="R43" i="71"/>
  <c r="AH27" i="70"/>
  <c r="D26" i="70" s="1"/>
  <c r="R59" i="70"/>
  <c r="T132" i="71"/>
  <c r="T106" i="71"/>
  <c r="R55" i="71"/>
  <c r="R126" i="71"/>
  <c r="S96" i="71"/>
  <c r="R41" i="71"/>
  <c r="S117" i="70"/>
  <c r="S90" i="71"/>
  <c r="R44" i="71"/>
  <c r="S70" i="70"/>
  <c r="R92" i="70"/>
  <c r="S117" i="71"/>
  <c r="R75" i="70"/>
  <c r="R61" i="70"/>
  <c r="R73" i="70"/>
  <c r="S36" i="70"/>
  <c r="AG25" i="71"/>
  <c r="D24" i="71" s="1"/>
  <c r="N24" i="71" s="1"/>
  <c r="O24" i="71" s="1"/>
  <c r="P24" i="71" s="1"/>
  <c r="R37" i="70"/>
  <c r="S107" i="70"/>
  <c r="S75" i="70"/>
  <c r="R35" i="70"/>
  <c r="S129" i="70"/>
  <c r="R94" i="70"/>
  <c r="R128" i="70"/>
  <c r="R93" i="70"/>
  <c r="R88" i="71"/>
  <c r="R98" i="71"/>
  <c r="S42" i="70"/>
  <c r="R131" i="71"/>
  <c r="R92" i="71"/>
  <c r="T54" i="71"/>
  <c r="S124" i="71"/>
  <c r="S89" i="70"/>
  <c r="T85" i="71"/>
  <c r="R90" i="70"/>
  <c r="S47" i="71"/>
  <c r="S132" i="71"/>
  <c r="S114" i="71"/>
  <c r="R108" i="70"/>
  <c r="S141" i="70"/>
  <c r="S43" i="71"/>
  <c r="R82" i="71"/>
  <c r="R86" i="70"/>
  <c r="R52" i="70"/>
  <c r="S137" i="70"/>
  <c r="R106" i="70"/>
  <c r="R56" i="71"/>
  <c r="T62" i="71"/>
  <c r="S32" i="71"/>
  <c r="S88" i="71"/>
  <c r="S103" i="71"/>
  <c r="R115" i="71"/>
  <c r="S142" i="71"/>
  <c r="R66" i="70"/>
  <c r="T82" i="70"/>
  <c r="R134" i="70"/>
  <c r="T38" i="70"/>
  <c r="T54" i="70"/>
  <c r="T127" i="70"/>
  <c r="T51" i="70"/>
  <c r="T89" i="70"/>
  <c r="T139" i="70"/>
  <c r="R129" i="70"/>
  <c r="R84" i="70"/>
  <c r="T77" i="71"/>
  <c r="S82" i="70"/>
  <c r="S106" i="71"/>
  <c r="R102" i="71"/>
  <c r="S67" i="71"/>
  <c r="T84" i="71"/>
  <c r="T100" i="71"/>
  <c r="R107" i="71"/>
  <c r="S139" i="71"/>
  <c r="T135" i="71"/>
  <c r="T96" i="70"/>
  <c r="R82" i="70"/>
  <c r="T90" i="70"/>
  <c r="R138" i="70"/>
  <c r="S43" i="70"/>
  <c r="S59" i="70"/>
  <c r="T37" i="70"/>
  <c r="T67" i="70"/>
  <c r="T99" i="70"/>
  <c r="T107" i="70"/>
  <c r="T137" i="70"/>
  <c r="S118" i="70"/>
  <c r="S134" i="70"/>
  <c r="S38" i="71"/>
  <c r="R133" i="71"/>
  <c r="T56" i="71"/>
  <c r="T109" i="71"/>
  <c r="S93" i="71"/>
  <c r="S73" i="71"/>
  <c r="S141" i="71"/>
  <c r="T76" i="70"/>
  <c r="T36" i="70"/>
  <c r="S119" i="70"/>
  <c r="T77" i="70"/>
  <c r="R117" i="70"/>
  <c r="S35" i="71"/>
  <c r="T140" i="71"/>
  <c r="R117" i="71"/>
  <c r="R81" i="70"/>
  <c r="T125" i="70"/>
  <c r="T120" i="70"/>
  <c r="S49" i="70"/>
  <c r="S61" i="70"/>
  <c r="T141" i="70"/>
  <c r="S75" i="71"/>
  <c r="T138" i="70"/>
  <c r="R72" i="70"/>
  <c r="S136" i="71"/>
  <c r="S45" i="71"/>
  <c r="T72" i="70"/>
  <c r="R33" i="70"/>
  <c r="T65" i="71"/>
  <c r="S96" i="70"/>
  <c r="R105" i="70"/>
  <c r="T93" i="71"/>
  <c r="S110" i="71"/>
  <c r="T79" i="71"/>
  <c r="T66" i="71"/>
  <c r="S91" i="71"/>
  <c r="S121" i="71"/>
  <c r="S90" i="70"/>
  <c r="T42" i="70"/>
  <c r="S135" i="70"/>
  <c r="T97" i="70"/>
  <c r="R137" i="70"/>
  <c r="S34" i="71"/>
  <c r="S128" i="71"/>
  <c r="S55" i="71"/>
  <c r="S89" i="71"/>
  <c r="T123" i="71"/>
  <c r="T122" i="70"/>
  <c r="S101" i="70"/>
  <c r="S47" i="70"/>
  <c r="T45" i="70"/>
  <c r="T113" i="70"/>
  <c r="S122" i="70"/>
  <c r="T119" i="71"/>
  <c r="T78" i="71"/>
  <c r="S81" i="71"/>
  <c r="R126" i="70"/>
  <c r="T56" i="70"/>
  <c r="T63" i="70"/>
  <c r="S131" i="70"/>
  <c r="S108" i="70"/>
  <c r="R96" i="71"/>
  <c r="S61" i="71"/>
  <c r="T90" i="71"/>
  <c r="S105" i="70"/>
  <c r="T125" i="71"/>
  <c r="T71" i="70"/>
  <c r="T95" i="70"/>
  <c r="S136" i="70"/>
  <c r="R106" i="71"/>
  <c r="T142" i="70"/>
  <c r="AG27" i="71"/>
  <c r="D26" i="71" s="1"/>
  <c r="N26" i="71" s="1"/>
  <c r="R88" i="70"/>
  <c r="AG28" i="71"/>
  <c r="D27" i="71" s="1"/>
  <c r="N27" i="71" s="1"/>
  <c r="Q27" i="71" s="1"/>
  <c r="T39" i="71"/>
  <c r="S60" i="71"/>
  <c r="R109" i="70"/>
  <c r="T35" i="71"/>
  <c r="S71" i="70"/>
  <c r="R40" i="70"/>
  <c r="S60" i="70"/>
  <c r="S113" i="70"/>
  <c r="S56" i="70"/>
  <c r="S38" i="70"/>
  <c r="T32" i="70"/>
  <c r="R41" i="70"/>
  <c r="S98" i="70"/>
  <c r="T63" i="71"/>
  <c r="T57" i="71"/>
  <c r="R70" i="71"/>
  <c r="T61" i="71"/>
  <c r="T80" i="70"/>
  <c r="R90" i="71"/>
  <c r="S50" i="70"/>
  <c r="T59" i="71"/>
  <c r="T97" i="71"/>
  <c r="T70" i="71"/>
  <c r="S95" i="71"/>
  <c r="S129" i="71"/>
  <c r="T92" i="70"/>
  <c r="T140" i="70"/>
  <c r="T62" i="70"/>
  <c r="T73" i="70"/>
  <c r="R113" i="70"/>
  <c r="S104" i="70"/>
  <c r="S44" i="71"/>
  <c r="T92" i="71"/>
  <c r="S138" i="71"/>
  <c r="S35" i="70"/>
  <c r="T83" i="70"/>
  <c r="S126" i="70"/>
  <c r="R129" i="71"/>
  <c r="S101" i="71"/>
  <c r="T116" i="70"/>
  <c r="R32" i="70"/>
  <c r="S46" i="71"/>
  <c r="T129" i="71"/>
  <c r="T141" i="71"/>
  <c r="S113" i="71"/>
  <c r="S123" i="70"/>
  <c r="T130" i="70"/>
  <c r="T107" i="71"/>
  <c r="T138" i="71"/>
  <c r="S71" i="71"/>
  <c r="T102" i="70"/>
  <c r="S51" i="70"/>
  <c r="T131" i="70"/>
  <c r="R62" i="71"/>
  <c r="S125" i="71"/>
  <c r="T44" i="70"/>
  <c r="T93" i="70"/>
  <c r="R104" i="71"/>
  <c r="S65" i="71"/>
  <c r="S41" i="70"/>
  <c r="T65" i="70"/>
  <c r="T133" i="70"/>
  <c r="T137" i="71"/>
  <c r="S109" i="70"/>
  <c r="S106" i="70"/>
  <c r="T86" i="71"/>
  <c r="R133" i="70"/>
  <c r="T94" i="71"/>
  <c r="T111" i="70"/>
  <c r="S53" i="70"/>
  <c r="T83" i="71"/>
  <c r="S59" i="71"/>
  <c r="S123" i="71"/>
  <c r="R97" i="70"/>
  <c r="T119" i="70"/>
  <c r="T121" i="70"/>
  <c r="R77" i="70"/>
  <c r="T64" i="71"/>
  <c r="R50" i="70"/>
  <c r="T60" i="70"/>
  <c r="T101" i="70"/>
  <c r="S122" i="71"/>
  <c r="T72" i="71"/>
  <c r="T87" i="70"/>
  <c r="R58" i="70"/>
  <c r="S65" i="70"/>
  <c r="S120" i="70"/>
  <c r="S49" i="71"/>
  <c r="T127" i="71"/>
  <c r="T53" i="70"/>
  <c r="R62" i="70"/>
  <c r="T94" i="70"/>
  <c r="T39" i="70"/>
  <c r="T91" i="71"/>
  <c r="S128" i="70"/>
  <c r="T98" i="71"/>
  <c r="T130" i="69"/>
  <c r="S85" i="69"/>
  <c r="T127" i="69"/>
  <c r="U123" i="69"/>
  <c r="T97" i="69"/>
  <c r="U111" i="69"/>
  <c r="U135" i="69"/>
  <c r="S110" i="69"/>
  <c r="U132" i="69"/>
  <c r="U96" i="69"/>
  <c r="S92" i="69"/>
  <c r="T103" i="69"/>
  <c r="S139" i="69"/>
  <c r="T115" i="69"/>
  <c r="S126" i="69"/>
  <c r="T85" i="69"/>
  <c r="S121" i="69"/>
  <c r="T125" i="69"/>
  <c r="S90" i="69"/>
  <c r="T98" i="69"/>
  <c r="T137" i="69"/>
  <c r="T117" i="69"/>
  <c r="S97" i="69"/>
  <c r="S125" i="69"/>
  <c r="U91" i="69"/>
  <c r="U99" i="69"/>
  <c r="T102" i="69"/>
  <c r="T113" i="69"/>
  <c r="U101" i="69"/>
  <c r="T88" i="69"/>
  <c r="T131" i="69"/>
  <c r="T123" i="69"/>
  <c r="S129" i="69"/>
  <c r="T109" i="69"/>
  <c r="S93" i="69"/>
  <c r="T139" i="69"/>
  <c r="S119" i="69"/>
  <c r="S123" i="69"/>
  <c r="U95" i="69"/>
  <c r="T93" i="69"/>
  <c r="T89" i="69"/>
  <c r="T126" i="69"/>
  <c r="S94" i="69"/>
  <c r="U116" i="69"/>
  <c r="S88" i="69"/>
  <c r="S105" i="69"/>
  <c r="T118" i="69"/>
  <c r="T110" i="69"/>
  <c r="S114" i="69"/>
  <c r="S113" i="69"/>
  <c r="T94" i="69"/>
  <c r="T141" i="69"/>
  <c r="S89" i="69"/>
  <c r="T86" i="69"/>
  <c r="S96" i="69"/>
  <c r="S103" i="69"/>
  <c r="S131" i="69"/>
  <c r="T119" i="69"/>
  <c r="S107" i="69"/>
  <c r="T129" i="69"/>
  <c r="S98" i="69"/>
  <c r="S117" i="69"/>
  <c r="S130" i="69"/>
  <c r="S138" i="69"/>
  <c r="S134" i="69"/>
  <c r="S87" i="69"/>
  <c r="S95" i="69"/>
  <c r="S112" i="69"/>
  <c r="T142" i="69"/>
  <c r="S108" i="69"/>
  <c r="S128" i="69"/>
  <c r="S136" i="69"/>
  <c r="S115" i="69"/>
  <c r="U125" i="69"/>
  <c r="U141" i="69"/>
  <c r="U121" i="69"/>
  <c r="T135" i="69"/>
  <c r="S111" i="69"/>
  <c r="S86" i="69"/>
  <c r="T133" i="69"/>
  <c r="T96" i="69"/>
  <c r="T90" i="69"/>
  <c r="T124" i="69"/>
  <c r="T87" i="69"/>
  <c r="S142" i="69"/>
  <c r="T91" i="69"/>
  <c r="S99" i="69"/>
  <c r="T108" i="69"/>
  <c r="T120" i="69"/>
  <c r="S116" i="69"/>
  <c r="T107" i="69"/>
  <c r="T99" i="69"/>
  <c r="S120" i="69"/>
  <c r="T100" i="69"/>
  <c r="T111" i="69"/>
  <c r="S137" i="69"/>
  <c r="S141" i="69"/>
  <c r="S135" i="69"/>
  <c r="S101" i="69"/>
  <c r="T101" i="69"/>
  <c r="T105" i="69"/>
  <c r="T138" i="69"/>
  <c r="S118" i="69"/>
  <c r="T116" i="69"/>
  <c r="S127" i="69"/>
  <c r="T92" i="69"/>
  <c r="S124" i="69"/>
  <c r="T140" i="69"/>
  <c r="S91" i="69"/>
  <c r="T104" i="69"/>
  <c r="S133" i="69"/>
  <c r="T114" i="69"/>
  <c r="T121" i="69"/>
  <c r="S140" i="69"/>
  <c r="T122" i="69"/>
  <c r="T112" i="69"/>
  <c r="T134" i="69"/>
  <c r="T106" i="69"/>
  <c r="T128" i="69"/>
  <c r="S104" i="69"/>
  <c r="T136" i="69"/>
  <c r="S100" i="69"/>
  <c r="S132" i="69"/>
  <c r="S109" i="69"/>
  <c r="S122" i="69"/>
  <c r="T95" i="69"/>
  <c r="S102" i="69"/>
  <c r="S106" i="69"/>
  <c r="T132" i="69"/>
  <c r="U128" i="69"/>
  <c r="U88" i="69"/>
  <c r="U124" i="69"/>
  <c r="U117" i="69"/>
  <c r="U110" i="69"/>
  <c r="U100" i="69"/>
  <c r="U102" i="69"/>
  <c r="U87" i="69"/>
  <c r="U130" i="69"/>
  <c r="U90" i="69"/>
  <c r="U134" i="69"/>
  <c r="U106" i="69"/>
  <c r="U103" i="69"/>
  <c r="U120" i="69"/>
  <c r="U122" i="69"/>
  <c r="U107" i="69"/>
  <c r="U97" i="69"/>
  <c r="U112" i="69"/>
  <c r="U126" i="69"/>
  <c r="U109" i="69"/>
  <c r="U119" i="69"/>
  <c r="U92" i="69"/>
  <c r="U105" i="69"/>
  <c r="U118" i="69"/>
  <c r="U129" i="69"/>
  <c r="U85" i="69"/>
  <c r="U108" i="69"/>
  <c r="U94" i="69"/>
  <c r="U133" i="69"/>
  <c r="U98" i="69"/>
  <c r="U127" i="69"/>
  <c r="U89" i="69"/>
  <c r="U115" i="69"/>
  <c r="U136" i="69"/>
  <c r="U142" i="69"/>
  <c r="U131" i="69"/>
  <c r="U113" i="69"/>
  <c r="U139" i="69"/>
  <c r="U140" i="69"/>
  <c r="U114" i="69"/>
  <c r="U104" i="69"/>
  <c r="U138" i="69"/>
  <c r="U86" i="69"/>
  <c r="U93" i="69"/>
  <c r="U137" i="69"/>
  <c r="R89" i="58"/>
  <c r="T65" i="58"/>
  <c r="R137" i="58"/>
  <c r="S126" i="58"/>
  <c r="S118" i="58"/>
  <c r="S105" i="58"/>
  <c r="T46" i="58"/>
  <c r="T120" i="58"/>
  <c r="T80" i="58"/>
  <c r="S45" i="58"/>
  <c r="S92" i="58"/>
  <c r="T89" i="58"/>
  <c r="T131" i="58"/>
  <c r="S99" i="58"/>
  <c r="T59" i="58"/>
  <c r="R140" i="58"/>
  <c r="R69" i="58"/>
  <c r="S137" i="58"/>
  <c r="R133" i="58"/>
  <c r="R122" i="58"/>
  <c r="T92" i="58"/>
  <c r="T117" i="58"/>
  <c r="T104" i="58"/>
  <c r="T64" i="58"/>
  <c r="R93" i="58"/>
  <c r="T101" i="58"/>
  <c r="R57" i="58"/>
  <c r="S115" i="58"/>
  <c r="T75" i="58"/>
  <c r="R59" i="58"/>
  <c r="R120" i="58"/>
  <c r="S44" i="58"/>
  <c r="T109" i="58"/>
  <c r="S110" i="58"/>
  <c r="T66" i="58"/>
  <c r="T47" i="58"/>
  <c r="R131" i="58"/>
  <c r="R138" i="58"/>
  <c r="R102" i="58"/>
  <c r="S81" i="58"/>
  <c r="S136" i="58"/>
  <c r="T88" i="58"/>
  <c r="S49" i="58"/>
  <c r="R54" i="58"/>
  <c r="S119" i="58"/>
  <c r="T83" i="58"/>
  <c r="R67" i="58"/>
  <c r="R61" i="58"/>
  <c r="T86" i="58"/>
  <c r="S57" i="58"/>
  <c r="S128" i="58"/>
  <c r="S88" i="58"/>
  <c r="S54" i="58"/>
  <c r="S139" i="58"/>
  <c r="R79" i="58"/>
  <c r="S108" i="58"/>
  <c r="R70" i="58"/>
  <c r="R68" i="58"/>
  <c r="S70" i="58"/>
  <c r="T90" i="58"/>
  <c r="R115" i="58"/>
  <c r="T54" i="58"/>
  <c r="S61" i="58"/>
  <c r="R66" i="58"/>
  <c r="R127" i="58"/>
  <c r="S107" i="58"/>
  <c r="R116" i="58"/>
  <c r="T50" i="58"/>
  <c r="S90" i="58"/>
  <c r="S62" i="58"/>
  <c r="R119" i="58"/>
  <c r="S83" i="58"/>
  <c r="T126" i="58"/>
  <c r="T62" i="58"/>
  <c r="T48" i="58"/>
  <c r="S97" i="58"/>
  <c r="S77" i="58"/>
  <c r="R71" i="58"/>
  <c r="T134" i="58"/>
  <c r="T96" i="58"/>
  <c r="T99" i="58"/>
  <c r="R47" i="58"/>
  <c r="S121" i="58"/>
  <c r="S74" i="58"/>
  <c r="R139" i="58"/>
  <c r="T111" i="58"/>
  <c r="S66" i="58"/>
  <c r="R141" i="58"/>
  <c r="R109" i="58"/>
  <c r="R101" i="58"/>
  <c r="T102" i="58"/>
  <c r="R130" i="58"/>
  <c r="T93" i="58"/>
  <c r="S116" i="58"/>
  <c r="S72" i="58"/>
  <c r="T141" i="58"/>
  <c r="R65" i="58"/>
  <c r="S127" i="58"/>
  <c r="T87" i="58"/>
  <c r="T55" i="58"/>
  <c r="R124" i="58"/>
  <c r="S87" i="58"/>
  <c r="S109" i="58"/>
  <c r="R97" i="58"/>
  <c r="S98" i="58"/>
  <c r="R114" i="58"/>
  <c r="T105" i="58"/>
  <c r="T136" i="58"/>
  <c r="S100" i="58"/>
  <c r="S56" i="58"/>
  <c r="R56" i="58"/>
  <c r="S65" i="58"/>
  <c r="T135" i="58"/>
  <c r="T103" i="58"/>
  <c r="T71" i="58"/>
  <c r="R55" i="58"/>
  <c r="R104" i="58"/>
  <c r="S85" i="58"/>
  <c r="T142" i="58"/>
  <c r="T106" i="58"/>
  <c r="R62" i="58"/>
  <c r="R121" i="58"/>
  <c r="R110" i="58"/>
  <c r="S134" i="58"/>
  <c r="S46" i="58"/>
  <c r="S124" i="58"/>
  <c r="S84" i="58"/>
  <c r="T108" i="58"/>
  <c r="T139" i="58"/>
  <c r="T107" i="58"/>
  <c r="S79" i="58"/>
  <c r="R63" i="58"/>
  <c r="T44" i="58"/>
  <c r="S76" i="58"/>
  <c r="R46" i="58"/>
  <c r="T116" i="58"/>
  <c r="T72" i="58"/>
  <c r="T125" i="58"/>
  <c r="T127" i="58"/>
  <c r="R58" i="58"/>
  <c r="R123" i="58"/>
  <c r="S138" i="58"/>
  <c r="T58" i="58"/>
  <c r="S95" i="58"/>
  <c r="R112" i="58"/>
  <c r="T78" i="58"/>
  <c r="R99" i="58"/>
  <c r="R132" i="58"/>
  <c r="T110" i="58"/>
  <c r="S47" i="58"/>
  <c r="R111" i="58"/>
  <c r="S82" i="58"/>
  <c r="T52" i="58"/>
  <c r="R84" i="58"/>
  <c r="T82" i="58"/>
  <c r="R51" i="58"/>
  <c r="R87" i="58"/>
  <c r="T81" i="58"/>
  <c r="S94" i="58"/>
  <c r="R49" i="58"/>
  <c r="T138" i="58"/>
  <c r="R82" i="58"/>
  <c r="S64" i="58"/>
  <c r="R106" i="58"/>
  <c r="S140" i="58"/>
  <c r="T77" i="58"/>
  <c r="T85" i="58"/>
  <c r="T97" i="58"/>
  <c r="R135" i="58"/>
  <c r="S133" i="58"/>
  <c r="R50" i="58"/>
  <c r="R90" i="58"/>
  <c r="S55" i="58"/>
  <c r="R45" i="58"/>
  <c r="T49" i="58"/>
  <c r="T70" i="58"/>
  <c r="R142" i="58"/>
  <c r="S69" i="58"/>
  <c r="T132" i="58"/>
  <c r="T100" i="58"/>
  <c r="T56" i="58"/>
  <c r="R105" i="58"/>
  <c r="S125" i="58"/>
  <c r="T115" i="58"/>
  <c r="T67" i="58"/>
  <c r="S52" i="58"/>
  <c r="R108" i="58"/>
  <c r="T60" i="58"/>
  <c r="S73" i="58"/>
  <c r="S50" i="58"/>
  <c r="R126" i="58"/>
  <c r="T69" i="58"/>
  <c r="S132" i="58"/>
  <c r="T84" i="58"/>
  <c r="T45" i="58"/>
  <c r="T129" i="58"/>
  <c r="S131" i="58"/>
  <c r="T91" i="58"/>
  <c r="S67" i="58"/>
  <c r="R52" i="58"/>
  <c r="R88" i="58"/>
  <c r="T73" i="58"/>
  <c r="T130" i="58"/>
  <c r="T98" i="58"/>
  <c r="S58" i="58"/>
  <c r="R85" i="58"/>
  <c r="R94" i="58"/>
  <c r="R98" i="58"/>
  <c r="T112" i="58"/>
  <c r="T68" i="58"/>
  <c r="R129" i="58"/>
  <c r="S113" i="58"/>
  <c r="S135" i="58"/>
  <c r="T95" i="58"/>
  <c r="R75" i="58"/>
  <c r="S59" i="58"/>
  <c r="S130" i="58"/>
  <c r="R86" i="58"/>
  <c r="S129" i="58"/>
  <c r="S112" i="58"/>
  <c r="S68" i="58"/>
  <c r="R117" i="58"/>
  <c r="S89" i="58"/>
  <c r="R81" i="58"/>
  <c r="S123" i="58"/>
  <c r="R128" i="58"/>
  <c r="T133" i="58"/>
  <c r="S78" i="58"/>
  <c r="S51" i="58"/>
  <c r="R107" i="58"/>
  <c r="S60" i="58"/>
  <c r="R103" i="58"/>
  <c r="S75" i="58"/>
  <c r="R77" i="58"/>
  <c r="R83" i="58"/>
  <c r="S102" i="58"/>
  <c r="R95" i="58"/>
  <c r="T118" i="58"/>
  <c r="R44" i="58"/>
  <c r="T124" i="58"/>
  <c r="T114" i="58"/>
  <c r="R78" i="58"/>
  <c r="S122" i="58"/>
  <c r="T140" i="58"/>
  <c r="T123" i="58"/>
  <c r="S93" i="58"/>
  <c r="R72" i="58"/>
  <c r="R96" i="58"/>
  <c r="R91" i="58"/>
  <c r="T137" i="58"/>
  <c r="T94" i="58"/>
  <c r="T76" i="58"/>
  <c r="R100" i="58"/>
  <c r="S114" i="58"/>
  <c r="R125" i="58"/>
  <c r="S71" i="58"/>
  <c r="R134" i="58"/>
  <c r="T57" i="58"/>
  <c r="T128" i="58"/>
  <c r="S96" i="58"/>
  <c r="T53" i="58"/>
  <c r="R64" i="58"/>
  <c r="S101" i="58"/>
  <c r="S111" i="58"/>
  <c r="T63" i="58"/>
  <c r="S48" i="58"/>
  <c r="R92" i="58"/>
  <c r="T61" i="58"/>
  <c r="S142" i="58"/>
  <c r="R118" i="58"/>
  <c r="S120" i="58"/>
  <c r="S80" i="58"/>
  <c r="S141" i="58"/>
  <c r="T119" i="58"/>
  <c r="T79" i="58"/>
  <c r="S63" i="58"/>
  <c r="R48" i="58"/>
  <c r="R136" i="58"/>
  <c r="R53" i="58"/>
  <c r="T121" i="58"/>
  <c r="T122" i="58"/>
  <c r="S86" i="58"/>
  <c r="T51" i="58"/>
  <c r="R73" i="58"/>
  <c r="S117" i="58"/>
  <c r="S104" i="58"/>
  <c r="R80" i="58"/>
  <c r="T113" i="58"/>
  <c r="S91" i="58"/>
  <c r="R113" i="58"/>
  <c r="S53" i="58"/>
  <c r="R74" i="58"/>
  <c r="R60" i="58"/>
  <c r="S103" i="58"/>
  <c r="R76" i="58"/>
  <c r="S106" i="58"/>
  <c r="T74" i="58"/>
  <c r="H44" i="58"/>
  <c r="H48" i="58"/>
  <c r="H52" i="58"/>
  <c r="H56" i="58"/>
  <c r="H60" i="58"/>
  <c r="H64" i="58"/>
  <c r="H68" i="58"/>
  <c r="H72" i="58"/>
  <c r="H76" i="58"/>
  <c r="H80" i="58"/>
  <c r="H84" i="58"/>
  <c r="H88" i="58"/>
  <c r="H92" i="58"/>
  <c r="H96" i="58"/>
  <c r="H100" i="58"/>
  <c r="H104" i="58"/>
  <c r="H108" i="58"/>
  <c r="H112" i="58"/>
  <c r="H116" i="58"/>
  <c r="H120" i="58"/>
  <c r="H124" i="58"/>
  <c r="H128" i="58"/>
  <c r="H132" i="58"/>
  <c r="H136" i="58"/>
  <c r="H140" i="58"/>
  <c r="H55" i="58"/>
  <c r="H79" i="58"/>
  <c r="H91" i="58"/>
  <c r="H103" i="58"/>
  <c r="H123" i="58"/>
  <c r="H131" i="58"/>
  <c r="H139" i="58"/>
  <c r="H45" i="58"/>
  <c r="H49" i="58"/>
  <c r="H53" i="58"/>
  <c r="H57" i="58"/>
  <c r="H61" i="58"/>
  <c r="H65" i="58"/>
  <c r="H69" i="58"/>
  <c r="H73" i="58"/>
  <c r="H77" i="58"/>
  <c r="H81" i="58"/>
  <c r="H85" i="58"/>
  <c r="H89" i="58"/>
  <c r="H93" i="58"/>
  <c r="H97" i="58"/>
  <c r="H101" i="58"/>
  <c r="H105" i="58"/>
  <c r="H109" i="58"/>
  <c r="H113" i="58"/>
  <c r="H117" i="58"/>
  <c r="H121" i="58"/>
  <c r="H125" i="58"/>
  <c r="H129" i="58"/>
  <c r="H133" i="58"/>
  <c r="H137" i="58"/>
  <c r="H141" i="58"/>
  <c r="H51" i="58"/>
  <c r="H63" i="58"/>
  <c r="H67" i="58"/>
  <c r="H75" i="58"/>
  <c r="H87" i="58"/>
  <c r="H99" i="58"/>
  <c r="H111" i="58"/>
  <c r="H46" i="58"/>
  <c r="H50" i="58"/>
  <c r="H54" i="58"/>
  <c r="H58" i="58"/>
  <c r="H62" i="58"/>
  <c r="H66" i="58"/>
  <c r="H70" i="58"/>
  <c r="H74" i="58"/>
  <c r="H78" i="58"/>
  <c r="H82" i="58"/>
  <c r="H86" i="58"/>
  <c r="H90" i="58"/>
  <c r="H94" i="58"/>
  <c r="H98" i="58"/>
  <c r="H102" i="58"/>
  <c r="H106" i="58"/>
  <c r="H110" i="58"/>
  <c r="H114" i="58"/>
  <c r="H118" i="58"/>
  <c r="H122" i="58"/>
  <c r="H126" i="58"/>
  <c r="H130" i="58"/>
  <c r="H134" i="58"/>
  <c r="H138" i="58"/>
  <c r="H47" i="58"/>
  <c r="H59" i="58"/>
  <c r="H71" i="58"/>
  <c r="H83" i="58"/>
  <c r="H95" i="58"/>
  <c r="H107" i="58"/>
  <c r="H119" i="58"/>
  <c r="H127" i="58"/>
  <c r="H135" i="58"/>
  <c r="H115" i="58"/>
  <c r="P187" i="13"/>
  <c r="AC187" i="13"/>
  <c r="V187" i="13"/>
  <c r="Z187" i="13"/>
  <c r="X187" i="13"/>
  <c r="AB187" i="13"/>
  <c r="W187" i="13"/>
  <c r="AA187" i="13"/>
  <c r="AA185" i="13"/>
  <c r="X185" i="13"/>
  <c r="AB185" i="13"/>
  <c r="V185" i="13"/>
  <c r="Z185" i="13"/>
  <c r="W185" i="13"/>
  <c r="AC185" i="13"/>
  <c r="Z186" i="13"/>
  <c r="W186" i="13"/>
  <c r="AA186" i="13"/>
  <c r="AC186" i="13"/>
  <c r="V186" i="13"/>
  <c r="X186" i="13"/>
  <c r="AB186" i="13"/>
  <c r="BD186" i="13"/>
  <c r="S164" i="13" s="1"/>
  <c r="O14" i="16"/>
  <c r="P14" i="16"/>
  <c r="DI5" i="12" a="1"/>
  <c r="DI5" i="12" s="1"/>
  <c r="BE186" i="13"/>
  <c r="T164" i="13" s="1"/>
  <c r="BF187" i="13"/>
  <c r="K10" i="15"/>
  <c r="K11" i="15"/>
  <c r="K9" i="15"/>
  <c r="O6" i="12"/>
  <c r="O7" i="12"/>
  <c r="O8" i="12"/>
  <c r="O9" i="12"/>
  <c r="O10" i="12"/>
  <c r="O11" i="12"/>
  <c r="O12" i="12"/>
  <c r="O13" i="12"/>
  <c r="O14" i="12"/>
  <c r="O15" i="12"/>
  <c r="O16" i="12"/>
  <c r="O17" i="12"/>
  <c r="O18" i="12"/>
  <c r="O19" i="12"/>
  <c r="O20" i="12"/>
  <c r="O21" i="12"/>
  <c r="O22" i="12"/>
  <c r="O23" i="12"/>
  <c r="O24" i="12"/>
  <c r="O25" i="12"/>
  <c r="O26" i="12"/>
  <c r="O27" i="12"/>
  <c r="O28" i="12"/>
  <c r="O29" i="12"/>
  <c r="O30" i="12"/>
  <c r="O31" i="12"/>
  <c r="O32" i="12"/>
  <c r="O33" i="12"/>
  <c r="O34" i="12"/>
  <c r="O35" i="12"/>
  <c r="O36" i="12"/>
  <c r="O37" i="12"/>
  <c r="O38" i="12"/>
  <c r="O39" i="12"/>
  <c r="O40" i="12"/>
  <c r="O41" i="12"/>
  <c r="O42" i="12"/>
  <c r="O43" i="12"/>
  <c r="O44" i="12"/>
  <c r="O45" i="12"/>
  <c r="O46" i="12"/>
  <c r="O47" i="12"/>
  <c r="O48" i="12"/>
  <c r="O49" i="12"/>
  <c r="O50" i="12"/>
  <c r="O51" i="12"/>
  <c r="O52" i="12"/>
  <c r="O53" i="12"/>
  <c r="O54" i="12"/>
  <c r="O55" i="12"/>
  <c r="O56" i="12"/>
  <c r="O57" i="12"/>
  <c r="O58" i="12"/>
  <c r="O59" i="12"/>
  <c r="O60" i="12"/>
  <c r="O61" i="12"/>
  <c r="O62" i="12"/>
  <c r="O63" i="12"/>
  <c r="O64" i="12"/>
  <c r="O65" i="12"/>
  <c r="O66" i="12"/>
  <c r="O67" i="12"/>
  <c r="O68" i="12"/>
  <c r="O69" i="12"/>
  <c r="O71" i="12"/>
  <c r="O72" i="12"/>
  <c r="O73" i="12"/>
  <c r="O74" i="12"/>
  <c r="O75" i="12"/>
  <c r="O76" i="12"/>
  <c r="O77" i="12"/>
  <c r="O78" i="12"/>
  <c r="O79" i="12"/>
  <c r="O80" i="12"/>
  <c r="O81" i="12"/>
  <c r="O82" i="12"/>
  <c r="O83" i="12"/>
  <c r="O84" i="12"/>
  <c r="O85" i="12"/>
  <c r="O86" i="12"/>
  <c r="O87" i="12"/>
  <c r="O88" i="12"/>
  <c r="O89" i="12"/>
  <c r="O90" i="12"/>
  <c r="O91" i="12"/>
  <c r="O92" i="12"/>
  <c r="O93" i="12"/>
  <c r="O94" i="12"/>
  <c r="O95" i="12"/>
  <c r="O96" i="12"/>
  <c r="O97" i="12"/>
  <c r="O98" i="12"/>
  <c r="O99" i="12"/>
  <c r="O100" i="12"/>
  <c r="O101" i="12"/>
  <c r="O102" i="12"/>
  <c r="O103" i="12"/>
  <c r="O104" i="12"/>
  <c r="O105" i="12"/>
  <c r="O106" i="12"/>
  <c r="O107" i="12"/>
  <c r="O108" i="12"/>
  <c r="O109" i="12"/>
  <c r="O110" i="12"/>
  <c r="O111" i="12"/>
  <c r="O112" i="12"/>
  <c r="O113" i="12"/>
  <c r="O114" i="12"/>
  <c r="O115" i="12"/>
  <c r="O116" i="12"/>
  <c r="O117" i="12"/>
  <c r="O118" i="12"/>
  <c r="O119" i="12"/>
  <c r="O120" i="12"/>
  <c r="O121" i="12"/>
  <c r="O122" i="12"/>
  <c r="O123" i="12"/>
  <c r="O124" i="12"/>
  <c r="O125" i="12"/>
  <c r="O126" i="12"/>
  <c r="O127" i="12"/>
  <c r="O128" i="12"/>
  <c r="O129" i="12"/>
  <c r="O130" i="12"/>
  <c r="O131" i="12"/>
  <c r="O132" i="12"/>
  <c r="O133" i="12"/>
  <c r="O134" i="12"/>
  <c r="O135" i="12"/>
  <c r="O136" i="12"/>
  <c r="O137" i="12"/>
  <c r="O138" i="12"/>
  <c r="O139" i="12"/>
  <c r="O140" i="12"/>
  <c r="O142" i="12"/>
  <c r="O143" i="12"/>
  <c r="O144" i="12"/>
  <c r="O145" i="12"/>
  <c r="O146" i="12"/>
  <c r="O147" i="12"/>
  <c r="O148" i="12"/>
  <c r="O149" i="12"/>
  <c r="O150" i="12"/>
  <c r="O151" i="12"/>
  <c r="O152" i="12"/>
  <c r="O153" i="12"/>
  <c r="O154" i="12"/>
  <c r="O155" i="12"/>
  <c r="O156" i="12"/>
  <c r="O157" i="12"/>
  <c r="O158" i="12"/>
  <c r="O159" i="12"/>
  <c r="O160" i="12"/>
  <c r="O161" i="12"/>
  <c r="O162" i="12"/>
  <c r="O163" i="12"/>
  <c r="O164" i="12"/>
  <c r="O165" i="12"/>
  <c r="O166" i="12"/>
  <c r="O167" i="12"/>
  <c r="O168" i="12"/>
  <c r="O169" i="12"/>
  <c r="O170" i="12"/>
  <c r="O171" i="12"/>
  <c r="O172" i="12"/>
  <c r="O173" i="12"/>
  <c r="O174" i="12"/>
  <c r="O175" i="12"/>
  <c r="O176" i="12"/>
  <c r="O177" i="12"/>
  <c r="O178" i="12"/>
  <c r="O179" i="12"/>
  <c r="O180" i="12"/>
  <c r="O181" i="12"/>
  <c r="O182" i="12"/>
  <c r="O183" i="12"/>
  <c r="O184" i="12"/>
  <c r="O185" i="12"/>
  <c r="O186" i="12"/>
  <c r="O187" i="12"/>
  <c r="O188" i="12"/>
  <c r="O189" i="12"/>
  <c r="O190" i="12"/>
  <c r="O191" i="12"/>
  <c r="O192" i="12"/>
  <c r="O193" i="12"/>
  <c r="O194" i="12"/>
  <c r="O195" i="12"/>
  <c r="O196" i="12"/>
  <c r="O197" i="12"/>
  <c r="O198" i="12"/>
  <c r="O199" i="12"/>
  <c r="O200" i="12"/>
  <c r="O201" i="12"/>
  <c r="O202" i="12"/>
  <c r="O203" i="12"/>
  <c r="O204" i="12"/>
  <c r="O205" i="12"/>
  <c r="O206" i="12"/>
  <c r="O207" i="12"/>
  <c r="O208" i="12"/>
  <c r="O209" i="12"/>
  <c r="O210" i="12"/>
  <c r="O211" i="12"/>
  <c r="O212" i="12"/>
  <c r="O213" i="12"/>
  <c r="O214" i="12"/>
  <c r="O215" i="12"/>
  <c r="O216" i="12"/>
  <c r="O217" i="12"/>
  <c r="O218" i="12"/>
  <c r="O219" i="12"/>
  <c r="O220" i="12"/>
  <c r="O221" i="12"/>
  <c r="O222" i="12"/>
  <c r="O223" i="12"/>
  <c r="O224" i="12"/>
  <c r="O225" i="12"/>
  <c r="O226" i="12"/>
  <c r="O227" i="12"/>
  <c r="O228" i="12"/>
  <c r="O229" i="12"/>
  <c r="O230" i="12"/>
  <c r="O231" i="12"/>
  <c r="O232" i="12"/>
  <c r="O233" i="12"/>
  <c r="O234" i="12"/>
  <c r="O235" i="12"/>
  <c r="O236" i="12"/>
  <c r="O237" i="12"/>
  <c r="O238" i="12"/>
  <c r="O239" i="12"/>
  <c r="O240" i="12"/>
  <c r="O241" i="12"/>
  <c r="O242" i="12"/>
  <c r="O243" i="12"/>
  <c r="O244" i="12"/>
  <c r="O245" i="12"/>
  <c r="O246" i="12"/>
  <c r="O247" i="12"/>
  <c r="O248" i="12"/>
  <c r="O249" i="12"/>
  <c r="O250" i="12"/>
  <c r="O251" i="12"/>
  <c r="O252" i="12"/>
  <c r="O253" i="12"/>
  <c r="O254" i="12"/>
  <c r="O255" i="12"/>
  <c r="O256" i="12"/>
  <c r="O257" i="12"/>
  <c r="O258" i="12"/>
  <c r="O259" i="12"/>
  <c r="O260" i="12"/>
  <c r="O261" i="12"/>
  <c r="O262" i="12"/>
  <c r="O263" i="12"/>
  <c r="O264" i="12"/>
  <c r="O265" i="12"/>
  <c r="O266" i="12"/>
  <c r="O267" i="12"/>
  <c r="O268" i="12"/>
  <c r="O269" i="12"/>
  <c r="O270" i="12"/>
  <c r="O271" i="12"/>
  <c r="O272" i="12"/>
  <c r="O273" i="12"/>
  <c r="O274" i="12"/>
  <c r="O275" i="12"/>
  <c r="O276" i="12"/>
  <c r="O277" i="12"/>
  <c r="O278" i="12"/>
  <c r="O279" i="12"/>
  <c r="O280" i="12"/>
  <c r="O281" i="12"/>
  <c r="O282" i="12"/>
  <c r="O283" i="12"/>
  <c r="O284" i="12"/>
  <c r="O285" i="12"/>
  <c r="O286" i="12"/>
  <c r="O287" i="12"/>
  <c r="O288" i="12"/>
  <c r="O289" i="12"/>
  <c r="O290" i="12"/>
  <c r="O291" i="12"/>
  <c r="O292" i="12"/>
  <c r="O293" i="12"/>
  <c r="O294" i="12"/>
  <c r="O295" i="12"/>
  <c r="O296" i="12"/>
  <c r="O297" i="12"/>
  <c r="O298" i="12"/>
  <c r="O299" i="12"/>
  <c r="O300" i="12"/>
  <c r="O301" i="12"/>
  <c r="O302" i="12"/>
  <c r="O303" i="12"/>
  <c r="O304" i="12"/>
  <c r="O305" i="12"/>
  <c r="O306" i="12"/>
  <c r="O307" i="12"/>
  <c r="O308" i="12"/>
  <c r="O309" i="12"/>
  <c r="O310" i="12"/>
  <c r="O311" i="12"/>
  <c r="O312" i="12"/>
  <c r="O313" i="12"/>
  <c r="O314" i="12"/>
  <c r="O315" i="12"/>
  <c r="O316" i="12"/>
  <c r="O317" i="12"/>
  <c r="O318" i="12"/>
  <c r="O319" i="12"/>
  <c r="O320" i="12"/>
  <c r="O321" i="12"/>
  <c r="O322" i="12"/>
  <c r="O323" i="12"/>
  <c r="O324" i="12"/>
  <c r="O325" i="12"/>
  <c r="O326" i="12"/>
  <c r="O327" i="12"/>
  <c r="O328" i="12"/>
  <c r="O329" i="12"/>
  <c r="O330" i="12"/>
  <c r="O331" i="12"/>
  <c r="O332" i="12"/>
  <c r="O333" i="12"/>
  <c r="O334" i="12"/>
  <c r="O335" i="12"/>
  <c r="O336" i="12"/>
  <c r="O337" i="12"/>
  <c r="O338" i="12"/>
  <c r="O339" i="12"/>
  <c r="O340" i="12"/>
  <c r="O341" i="12"/>
  <c r="O342" i="12"/>
  <c r="O343" i="12"/>
  <c r="O344" i="12"/>
  <c r="O345" i="12"/>
  <c r="O346" i="12"/>
  <c r="O347" i="12"/>
  <c r="O348" i="12"/>
  <c r="O349" i="12"/>
  <c r="O350" i="12"/>
  <c r="O351" i="12"/>
  <c r="O352" i="12"/>
  <c r="O353" i="12"/>
  <c r="O354" i="12"/>
  <c r="O355" i="12"/>
  <c r="O356" i="12"/>
  <c r="O357" i="12"/>
  <c r="O358" i="12"/>
  <c r="O359" i="12"/>
  <c r="O360" i="12"/>
  <c r="O361" i="12"/>
  <c r="O362" i="12"/>
  <c r="O363" i="12"/>
  <c r="O364" i="12"/>
  <c r="O365" i="12"/>
  <c r="O366" i="12"/>
  <c r="O367" i="12"/>
  <c r="O368" i="12"/>
  <c r="O369" i="12"/>
  <c r="O370" i="12"/>
  <c r="O371" i="12"/>
  <c r="O372" i="12"/>
  <c r="O373" i="12"/>
  <c r="O374" i="12"/>
  <c r="O375" i="12"/>
  <c r="O376" i="12"/>
  <c r="O377" i="12"/>
  <c r="O378" i="12"/>
  <c r="O379" i="12"/>
  <c r="O380" i="12"/>
  <c r="O381" i="12"/>
  <c r="O382" i="12"/>
  <c r="O383" i="12"/>
  <c r="O384" i="12"/>
  <c r="O385" i="12"/>
  <c r="O386" i="12"/>
  <c r="O387" i="12"/>
  <c r="O388" i="12"/>
  <c r="O389" i="12"/>
  <c r="O390" i="12"/>
  <c r="O391" i="12"/>
  <c r="O392" i="12"/>
  <c r="O393" i="12"/>
  <c r="O394" i="12"/>
  <c r="O395" i="12"/>
  <c r="O396" i="12"/>
  <c r="O397" i="12"/>
  <c r="O398" i="12"/>
  <c r="O399" i="12"/>
  <c r="O400" i="12"/>
  <c r="O401" i="12"/>
  <c r="O402" i="12"/>
  <c r="O404" i="12"/>
  <c r="O405" i="12"/>
  <c r="O406" i="12"/>
  <c r="O407" i="12"/>
  <c r="O408" i="12"/>
  <c r="O409" i="12"/>
  <c r="O410" i="12"/>
  <c r="O411" i="12"/>
  <c r="O412" i="12"/>
  <c r="O413" i="12"/>
  <c r="O414" i="12"/>
  <c r="O415" i="12"/>
  <c r="O416" i="12"/>
  <c r="O417" i="12"/>
  <c r="O418" i="12"/>
  <c r="O419" i="12"/>
  <c r="O420" i="12"/>
  <c r="O421" i="12"/>
  <c r="O422" i="12"/>
  <c r="O423" i="12"/>
  <c r="O424" i="12"/>
  <c r="O425" i="12"/>
  <c r="O426" i="12"/>
  <c r="O427" i="12"/>
  <c r="O428" i="12"/>
  <c r="O429" i="12"/>
  <c r="O430" i="12"/>
  <c r="O432" i="12"/>
  <c r="O433" i="12"/>
  <c r="O435" i="12"/>
  <c r="O436" i="12"/>
  <c r="O437" i="12"/>
  <c r="O440" i="12"/>
  <c r="O441" i="12"/>
  <c r="O442" i="12"/>
  <c r="O443" i="12"/>
  <c r="O444" i="12"/>
  <c r="O445" i="12"/>
  <c r="O446" i="12"/>
  <c r="O449" i="12"/>
  <c r="O450" i="12"/>
  <c r="O451" i="12"/>
  <c r="O452" i="12"/>
  <c r="O453" i="12"/>
  <c r="O454" i="12"/>
  <c r="O455" i="12"/>
  <c r="O456" i="12"/>
  <c r="O457" i="12"/>
  <c r="O458" i="12"/>
  <c r="O459" i="12"/>
  <c r="O460" i="12"/>
  <c r="O461" i="12"/>
  <c r="O462" i="12"/>
  <c r="O463" i="12"/>
  <c r="O464" i="12"/>
  <c r="O465" i="12"/>
  <c r="O466" i="12"/>
  <c r="O468" i="12"/>
  <c r="O469" i="12"/>
  <c r="O470" i="12"/>
  <c r="O471" i="12"/>
  <c r="O472" i="12"/>
  <c r="O473" i="12"/>
  <c r="O474" i="12"/>
  <c r="O475" i="12"/>
  <c r="O476" i="12"/>
  <c r="O477" i="12"/>
  <c r="O478" i="12"/>
  <c r="O479" i="12"/>
  <c r="O480" i="12"/>
  <c r="O481" i="12"/>
  <c r="O482" i="12"/>
  <c r="O483" i="12"/>
  <c r="O484" i="12"/>
  <c r="O485" i="12"/>
  <c r="O486" i="12"/>
  <c r="O487" i="12"/>
  <c r="O488" i="12"/>
  <c r="O489" i="12"/>
  <c r="O492" i="12"/>
  <c r="O493" i="12"/>
  <c r="O494" i="12"/>
  <c r="O495" i="12"/>
  <c r="O496" i="12"/>
  <c r="O497" i="12"/>
  <c r="O498" i="12"/>
  <c r="O499" i="12"/>
  <c r="O500" i="12"/>
  <c r="O501" i="12"/>
  <c r="O502" i="12"/>
  <c r="O503" i="12"/>
  <c r="O504" i="12"/>
  <c r="O505" i="12"/>
  <c r="O506" i="12"/>
  <c r="O507" i="12"/>
  <c r="O508" i="12"/>
  <c r="O509" i="12"/>
  <c r="O510" i="12"/>
  <c r="O511" i="12"/>
  <c r="O512" i="12"/>
  <c r="O513" i="12"/>
  <c r="O514" i="12"/>
  <c r="O515" i="12"/>
  <c r="O516" i="12"/>
  <c r="O517" i="12"/>
  <c r="O518" i="12"/>
  <c r="O519" i="12"/>
  <c r="O520" i="12"/>
  <c r="O521" i="12"/>
  <c r="O522" i="12"/>
  <c r="O523" i="12"/>
  <c r="O524" i="12"/>
  <c r="O525" i="12"/>
  <c r="O526" i="12"/>
  <c r="O527" i="12"/>
  <c r="O528" i="12"/>
  <c r="O529" i="12"/>
  <c r="O530" i="12"/>
  <c r="O531" i="12"/>
  <c r="O532" i="12"/>
  <c r="O533" i="12"/>
  <c r="O534" i="12"/>
  <c r="O535" i="12"/>
  <c r="O536" i="12"/>
  <c r="O537" i="12"/>
  <c r="O538" i="12"/>
  <c r="O539" i="12"/>
  <c r="O540" i="12"/>
  <c r="O541" i="12"/>
  <c r="O542" i="12"/>
  <c r="O543" i="12"/>
  <c r="O544" i="12"/>
  <c r="O545" i="12"/>
  <c r="O546" i="12"/>
  <c r="O547" i="12"/>
  <c r="O548" i="12"/>
  <c r="O549" i="12"/>
  <c r="O550" i="12"/>
  <c r="O551" i="12"/>
  <c r="O552" i="12"/>
  <c r="O553" i="12"/>
  <c r="O554" i="12"/>
  <c r="O555" i="12"/>
  <c r="O556" i="12"/>
  <c r="O557" i="12"/>
  <c r="O558" i="12"/>
  <c r="O559" i="12"/>
  <c r="O560" i="12"/>
  <c r="O561" i="12"/>
  <c r="O562" i="12"/>
  <c r="O563" i="12"/>
  <c r="O564" i="12"/>
  <c r="O565" i="12"/>
  <c r="O566" i="12"/>
  <c r="O567" i="12"/>
  <c r="O568" i="12"/>
  <c r="O569" i="12"/>
  <c r="O570" i="12"/>
  <c r="O571" i="12"/>
  <c r="O572" i="12"/>
  <c r="O573" i="12"/>
  <c r="O574" i="12"/>
  <c r="O575" i="12"/>
  <c r="O576" i="12"/>
  <c r="O577" i="12"/>
  <c r="O578" i="12"/>
  <c r="O579" i="12"/>
  <c r="O580" i="12"/>
  <c r="O581" i="12"/>
  <c r="O582" i="12"/>
  <c r="O583" i="12"/>
  <c r="O584" i="12"/>
  <c r="O585" i="12"/>
  <c r="O586" i="12"/>
  <c r="O587" i="12"/>
  <c r="O588" i="12"/>
  <c r="O589" i="12"/>
  <c r="O590" i="12"/>
  <c r="O591" i="12"/>
  <c r="O592" i="12"/>
  <c r="O593" i="12"/>
  <c r="O594" i="12"/>
  <c r="O595" i="12"/>
  <c r="O596" i="12"/>
  <c r="O597" i="12"/>
  <c r="O598" i="12"/>
  <c r="O599" i="12"/>
  <c r="O600" i="12"/>
  <c r="O601" i="12"/>
  <c r="O602" i="12"/>
  <c r="O603" i="12"/>
  <c r="O604" i="12"/>
  <c r="O605" i="12"/>
  <c r="O606" i="12"/>
  <c r="O607" i="12"/>
  <c r="O608" i="12"/>
  <c r="O609" i="12"/>
  <c r="O610" i="12"/>
  <c r="O611" i="12"/>
  <c r="O612" i="12"/>
  <c r="O613" i="12"/>
  <c r="O614" i="12"/>
  <c r="O615" i="12"/>
  <c r="O616" i="12"/>
  <c r="O617" i="12"/>
  <c r="O618" i="12"/>
  <c r="O619" i="12"/>
  <c r="O620" i="12"/>
  <c r="O621" i="12"/>
  <c r="O622" i="12"/>
  <c r="O623" i="12"/>
  <c r="O624" i="12"/>
  <c r="O625" i="12"/>
  <c r="O626" i="12"/>
  <c r="O627" i="12"/>
  <c r="O628" i="12"/>
  <c r="O629" i="12"/>
  <c r="O630" i="12"/>
  <c r="O631" i="12"/>
  <c r="O632" i="12"/>
  <c r="O633" i="12"/>
  <c r="O634" i="12"/>
  <c r="O635" i="12"/>
  <c r="O636" i="12"/>
  <c r="O637" i="12"/>
  <c r="O638" i="12"/>
  <c r="O639" i="12"/>
  <c r="O640" i="12"/>
  <c r="O641" i="12"/>
  <c r="O642" i="12"/>
  <c r="O643" i="12"/>
  <c r="O644" i="12"/>
  <c r="O646" i="12"/>
  <c r="O647" i="12"/>
  <c r="O648" i="12"/>
  <c r="O649" i="12"/>
  <c r="O650" i="12"/>
  <c r="O651" i="12"/>
  <c r="O652" i="12"/>
  <c r="O653" i="12"/>
  <c r="O654" i="12"/>
  <c r="O655" i="12"/>
  <c r="O656" i="12"/>
  <c r="O657" i="12"/>
  <c r="O658" i="12"/>
  <c r="O659" i="12"/>
  <c r="O660" i="12"/>
  <c r="O661" i="12"/>
  <c r="O662" i="12"/>
  <c r="O663" i="12"/>
  <c r="O664" i="12"/>
  <c r="O665" i="12"/>
  <c r="O666" i="12"/>
  <c r="O667" i="12"/>
  <c r="O668" i="12"/>
  <c r="O669" i="12"/>
  <c r="O670" i="12"/>
  <c r="O671" i="12"/>
  <c r="O672" i="12"/>
  <c r="O673" i="12"/>
  <c r="O682" i="12"/>
  <c r="O683" i="12"/>
  <c r="O684" i="12"/>
  <c r="O685" i="12"/>
  <c r="O686" i="12"/>
  <c r="O687" i="12"/>
  <c r="O688" i="12"/>
  <c r="O689" i="12"/>
  <c r="O690" i="12"/>
  <c r="O691" i="12"/>
  <c r="O692" i="12"/>
  <c r="O693" i="12"/>
  <c r="O694" i="12"/>
  <c r="O695" i="12"/>
  <c r="O696" i="12"/>
  <c r="O697" i="12"/>
  <c r="O698" i="12"/>
  <c r="O699" i="12"/>
  <c r="O700" i="12"/>
  <c r="O701" i="12"/>
  <c r="O702" i="12"/>
  <c r="O703" i="12"/>
  <c r="O704" i="12"/>
  <c r="O705" i="12"/>
  <c r="O706" i="12"/>
  <c r="O707" i="12"/>
  <c r="O708" i="12"/>
  <c r="O709" i="12"/>
  <c r="O710" i="12"/>
  <c r="O711" i="12"/>
  <c r="O712" i="12"/>
  <c r="O713" i="12"/>
  <c r="O715" i="12"/>
  <c r="O716" i="12"/>
  <c r="O717" i="12"/>
  <c r="O718" i="12"/>
  <c r="O735" i="12"/>
  <c r="O736" i="12"/>
  <c r="O737" i="12"/>
  <c r="O738" i="12"/>
  <c r="O739" i="12"/>
  <c r="O740" i="12"/>
  <c r="O741" i="12"/>
  <c r="O742" i="12"/>
  <c r="O743" i="12"/>
  <c r="O744" i="12"/>
  <c r="O745" i="12"/>
  <c r="O746" i="12"/>
  <c r="O747" i="12"/>
  <c r="O748" i="12"/>
  <c r="O749" i="12"/>
  <c r="O750" i="12"/>
  <c r="O751" i="12"/>
  <c r="O752" i="12"/>
  <c r="O753" i="12"/>
  <c r="O754" i="12"/>
  <c r="O760" i="12"/>
  <c r="O761" i="12"/>
  <c r="O762" i="12"/>
  <c r="O763" i="12"/>
  <c r="O764" i="12"/>
  <c r="O765" i="12"/>
  <c r="O766" i="12"/>
  <c r="O767" i="12"/>
  <c r="O768" i="12"/>
  <c r="O769" i="12"/>
  <c r="O770" i="12"/>
  <c r="O771" i="12"/>
  <c r="O772" i="12"/>
  <c r="O773" i="12"/>
  <c r="O774" i="12"/>
  <c r="O775" i="12"/>
  <c r="O776" i="12"/>
  <c r="O777" i="12"/>
  <c r="O778" i="12"/>
  <c r="O779" i="12"/>
  <c r="O780" i="12"/>
  <c r="O781" i="12"/>
  <c r="O782" i="12"/>
  <c r="O783" i="12"/>
  <c r="O784" i="12"/>
  <c r="O785" i="12"/>
  <c r="O786" i="12"/>
  <c r="O787" i="12"/>
  <c r="O788" i="12"/>
  <c r="O789" i="12"/>
  <c r="O790" i="12"/>
  <c r="O791" i="12"/>
  <c r="O792" i="12"/>
  <c r="O793" i="12"/>
  <c r="O794" i="12"/>
  <c r="O795" i="12"/>
  <c r="O796" i="12"/>
  <c r="O797" i="12"/>
  <c r="O798" i="12"/>
  <c r="O799" i="12"/>
  <c r="O800" i="12"/>
  <c r="O801" i="12"/>
  <c r="O802" i="12"/>
  <c r="O803" i="12"/>
  <c r="O804" i="12"/>
  <c r="O805" i="12"/>
  <c r="O806" i="12"/>
  <c r="O807" i="12"/>
  <c r="O808" i="12"/>
  <c r="O809" i="12"/>
  <c r="O810" i="12"/>
  <c r="O811" i="12"/>
  <c r="O812" i="12"/>
  <c r="O813" i="12"/>
  <c r="O814" i="12"/>
  <c r="O815" i="12"/>
  <c r="O816" i="12"/>
  <c r="O817" i="12"/>
  <c r="O818" i="12"/>
  <c r="O819" i="12"/>
  <c r="O820" i="12"/>
  <c r="O821" i="12"/>
  <c r="O822" i="12"/>
  <c r="O823" i="12"/>
  <c r="O824" i="12"/>
  <c r="O825" i="12"/>
  <c r="O826" i="12"/>
  <c r="O827" i="12"/>
  <c r="O828" i="12"/>
  <c r="O829" i="12"/>
  <c r="O830" i="12"/>
  <c r="O831" i="12"/>
  <c r="O832" i="12"/>
  <c r="O833" i="12"/>
  <c r="O834" i="12"/>
  <c r="O835" i="12"/>
  <c r="O836" i="12"/>
  <c r="O837" i="12"/>
  <c r="O838" i="12"/>
  <c r="O839" i="12"/>
  <c r="O840" i="12"/>
  <c r="O841" i="12"/>
  <c r="O842" i="12"/>
  <c r="O843" i="12"/>
  <c r="O844" i="12"/>
  <c r="O845" i="12"/>
  <c r="O846" i="12"/>
  <c r="O847" i="12"/>
  <c r="O848" i="12"/>
  <c r="O849" i="12"/>
  <c r="O850" i="12"/>
  <c r="O851" i="12"/>
  <c r="O852" i="12"/>
  <c r="O853" i="12"/>
  <c r="O854" i="12"/>
  <c r="O855" i="12"/>
  <c r="O856" i="12"/>
  <c r="O857" i="12"/>
  <c r="O858" i="12"/>
  <c r="O860" i="12"/>
  <c r="O861" i="12"/>
  <c r="O862" i="12"/>
  <c r="O863" i="12"/>
  <c r="O864" i="12"/>
  <c r="O865" i="12"/>
  <c r="O866" i="12"/>
  <c r="O868" i="12"/>
  <c r="O869" i="12"/>
  <c r="O870" i="12"/>
  <c r="O871" i="12"/>
  <c r="O872" i="12"/>
  <c r="O873" i="12"/>
  <c r="O874" i="12"/>
  <c r="O875" i="12"/>
  <c r="O876" i="12"/>
  <c r="O877" i="12"/>
  <c r="O878" i="12"/>
  <c r="O879" i="12"/>
  <c r="O880" i="12"/>
  <c r="O881" i="12"/>
  <c r="O882" i="12"/>
  <c r="O883" i="12"/>
  <c r="O884" i="12"/>
  <c r="O885" i="12"/>
  <c r="O886" i="12"/>
  <c r="O887" i="12"/>
  <c r="O888" i="12"/>
  <c r="O889" i="12"/>
  <c r="O890" i="12"/>
  <c r="O891" i="12"/>
  <c r="O892" i="12"/>
  <c r="O893" i="12"/>
  <c r="O894" i="12"/>
  <c r="O895" i="12"/>
  <c r="O896" i="12"/>
  <c r="O897" i="12"/>
  <c r="O898" i="12"/>
  <c r="O899" i="12"/>
  <c r="O900" i="12"/>
  <c r="O901" i="12"/>
  <c r="O902" i="12"/>
  <c r="O903" i="12"/>
  <c r="O904" i="12"/>
  <c r="O905" i="12"/>
  <c r="O906" i="12"/>
  <c r="O907" i="12"/>
  <c r="O908" i="12"/>
  <c r="O909" i="12"/>
  <c r="O910" i="12"/>
  <c r="O911" i="12"/>
  <c r="O912" i="12"/>
  <c r="O913" i="12"/>
  <c r="O914" i="12"/>
  <c r="O915" i="12"/>
  <c r="O916" i="12"/>
  <c r="O917" i="12"/>
  <c r="O918" i="12"/>
  <c r="O919" i="12"/>
  <c r="O920" i="12"/>
  <c r="O921" i="12"/>
  <c r="O922" i="12"/>
  <c r="O923" i="12"/>
  <c r="O924" i="12"/>
  <c r="O925" i="12"/>
  <c r="O926" i="12"/>
  <c r="O929" i="12"/>
  <c r="O930" i="12"/>
  <c r="O932" i="12"/>
  <c r="O933" i="12"/>
  <c r="O934" i="12"/>
  <c r="O935" i="12"/>
  <c r="O936" i="12"/>
  <c r="O937" i="12"/>
  <c r="O938" i="12"/>
  <c r="O939" i="12"/>
  <c r="O940" i="12"/>
  <c r="O943" i="12"/>
  <c r="O944" i="12"/>
  <c r="O945" i="12"/>
  <c r="O946" i="12"/>
  <c r="O947" i="12"/>
  <c r="O948" i="12"/>
  <c r="O949" i="12"/>
  <c r="O950" i="12"/>
  <c r="O951" i="12"/>
  <c r="O952" i="12"/>
  <c r="O953" i="12"/>
  <c r="O954" i="12"/>
  <c r="O955" i="12"/>
  <c r="O956" i="12"/>
  <c r="O957" i="12"/>
  <c r="O958" i="12"/>
  <c r="O959" i="12"/>
  <c r="O960" i="12"/>
  <c r="O961" i="12"/>
  <c r="O962" i="12"/>
  <c r="O963" i="12"/>
  <c r="O964" i="12"/>
  <c r="O965" i="12"/>
  <c r="O966" i="12"/>
  <c r="O967" i="12"/>
  <c r="O968" i="12"/>
  <c r="O969" i="12"/>
  <c r="O970" i="12"/>
  <c r="O971" i="12"/>
  <c r="O972" i="12"/>
  <c r="O973" i="12"/>
  <c r="O974" i="12"/>
  <c r="O975" i="12"/>
  <c r="O976" i="12"/>
  <c r="O977" i="12"/>
  <c r="O978" i="12"/>
  <c r="O979" i="12"/>
  <c r="O980" i="12"/>
  <c r="O981" i="12"/>
  <c r="O982" i="12"/>
  <c r="O983" i="12"/>
  <c r="O984" i="12"/>
  <c r="O985" i="12"/>
  <c r="O986" i="12"/>
  <c r="O987" i="12"/>
  <c r="O988" i="12"/>
  <c r="O989" i="12"/>
  <c r="O990" i="12"/>
  <c r="O991" i="12"/>
  <c r="O992" i="12"/>
  <c r="O993" i="12"/>
  <c r="O994" i="12"/>
  <c r="O995" i="12"/>
  <c r="O996" i="12"/>
  <c r="O997" i="12"/>
  <c r="O998" i="12"/>
  <c r="O999" i="12"/>
  <c r="O1000" i="12"/>
  <c r="O1001" i="12"/>
  <c r="O1002" i="12"/>
  <c r="O1003" i="12"/>
  <c r="O1004" i="12"/>
  <c r="O1005" i="12"/>
  <c r="O1006" i="12"/>
  <c r="O1007" i="12"/>
  <c r="O1008" i="12"/>
  <c r="O1009" i="12"/>
  <c r="O1010" i="12"/>
  <c r="O1011" i="12"/>
  <c r="O1012" i="12"/>
  <c r="O1013" i="12"/>
  <c r="O1014" i="12"/>
  <c r="O1015" i="12"/>
  <c r="O1016" i="12"/>
  <c r="O1017" i="12"/>
  <c r="O1018" i="12"/>
  <c r="O1019" i="12"/>
  <c r="O1020" i="12"/>
  <c r="O1021" i="12"/>
  <c r="O1022" i="12"/>
  <c r="O1023" i="12"/>
  <c r="O1024" i="12"/>
  <c r="O1025" i="12"/>
  <c r="O1026" i="12"/>
  <c r="O1027" i="12"/>
  <c r="O1028" i="12"/>
  <c r="O1029" i="12"/>
  <c r="O1030" i="12"/>
  <c r="O1031" i="12"/>
  <c r="O1032" i="12"/>
  <c r="O1033" i="12"/>
  <c r="O1034" i="12"/>
  <c r="O1035" i="12"/>
  <c r="O1036" i="12"/>
  <c r="O1037" i="12"/>
  <c r="O1038" i="12"/>
  <c r="O1039" i="12"/>
  <c r="O1040" i="12"/>
  <c r="O1041" i="12"/>
  <c r="O1042" i="12"/>
  <c r="O1043" i="12"/>
  <c r="O1044" i="12"/>
  <c r="O1045" i="12"/>
  <c r="O1046" i="12"/>
  <c r="O1047" i="12"/>
  <c r="O1048" i="12"/>
  <c r="O1049" i="12"/>
  <c r="O1050" i="12"/>
  <c r="O1051" i="12"/>
  <c r="O1052" i="12"/>
  <c r="O1053" i="12"/>
  <c r="O1054" i="12"/>
  <c r="O1055" i="12"/>
  <c r="O1056" i="12"/>
  <c r="O1057" i="12"/>
  <c r="O1058" i="12"/>
  <c r="O1059" i="12"/>
  <c r="O1060" i="12"/>
  <c r="O1061" i="12"/>
  <c r="O1062" i="12"/>
  <c r="O1063" i="12"/>
  <c r="O1064" i="12"/>
  <c r="O1065" i="12"/>
  <c r="O1066" i="12"/>
  <c r="O1067" i="12"/>
  <c r="O1068" i="12"/>
  <c r="O1069" i="12"/>
  <c r="O1070" i="12"/>
  <c r="O1071" i="12"/>
  <c r="O1072" i="12"/>
  <c r="O1073" i="12"/>
  <c r="O1074" i="12"/>
  <c r="O1075" i="12"/>
  <c r="O1076" i="12"/>
  <c r="O1077" i="12"/>
  <c r="O1078" i="12"/>
  <c r="O1079" i="12"/>
  <c r="O1080" i="12"/>
  <c r="O1081" i="12"/>
  <c r="O1082" i="12"/>
  <c r="O1083" i="12"/>
  <c r="O1084" i="12"/>
  <c r="O1085" i="12"/>
  <c r="O1086" i="12"/>
  <c r="O1087" i="12"/>
  <c r="O1088" i="12"/>
  <c r="O1089" i="12"/>
  <c r="O1090" i="12"/>
  <c r="O1091" i="12"/>
  <c r="O1092" i="12"/>
  <c r="O1093" i="12"/>
  <c r="O1094" i="12"/>
  <c r="O1095" i="12"/>
  <c r="O1096" i="12"/>
  <c r="O1097" i="12"/>
  <c r="O1098" i="12"/>
  <c r="O1099" i="12"/>
  <c r="O1100" i="12"/>
  <c r="O1101" i="12"/>
  <c r="O1102" i="12"/>
  <c r="O1103" i="12"/>
  <c r="O1104" i="12"/>
  <c r="O1105" i="12"/>
  <c r="O1106" i="12"/>
  <c r="O1107" i="12"/>
  <c r="O1108" i="12"/>
  <c r="O1109" i="12"/>
  <c r="O1110" i="12"/>
  <c r="O1111" i="12"/>
  <c r="O1112" i="12"/>
  <c r="O1113" i="12"/>
  <c r="O1114" i="12"/>
  <c r="O1115" i="12"/>
  <c r="O1116" i="12"/>
  <c r="O1117" i="12"/>
  <c r="O1118" i="12"/>
  <c r="O1119" i="12"/>
  <c r="O1120" i="12"/>
  <c r="O1121" i="12"/>
  <c r="O1122" i="12"/>
  <c r="O1123" i="12"/>
  <c r="O1124" i="12"/>
  <c r="O1125" i="12"/>
  <c r="O1126" i="12"/>
  <c r="O1127" i="12"/>
  <c r="O1128" i="12"/>
  <c r="O1129" i="12"/>
  <c r="O1130" i="12"/>
  <c r="O1132" i="12"/>
  <c r="O1133" i="12"/>
  <c r="O1136" i="12"/>
  <c r="O1137" i="12"/>
  <c r="O1140" i="12"/>
  <c r="O1141" i="12"/>
  <c r="O1142" i="12"/>
  <c r="O1143" i="12"/>
  <c r="O1144" i="12"/>
  <c r="O1145" i="12"/>
  <c r="O1146" i="12"/>
  <c r="O1147" i="12"/>
  <c r="O1148" i="12"/>
  <c r="O1149" i="12"/>
  <c r="O1150" i="12"/>
  <c r="O1151" i="12"/>
  <c r="O1152" i="12"/>
  <c r="O1153" i="12"/>
  <c r="O1154" i="12"/>
  <c r="O1155" i="12"/>
  <c r="O5" i="12"/>
  <c r="N6" i="12"/>
  <c r="N7" i="12"/>
  <c r="N8" i="12"/>
  <c r="N9" i="12"/>
  <c r="N10" i="12"/>
  <c r="N11" i="12"/>
  <c r="N12" i="12"/>
  <c r="N13" i="12"/>
  <c r="N14" i="12"/>
  <c r="N15" i="12"/>
  <c r="N16" i="12"/>
  <c r="N17" i="12"/>
  <c r="N18" i="12"/>
  <c r="N19" i="12"/>
  <c r="N20" i="12"/>
  <c r="N21" i="12"/>
  <c r="N22" i="12"/>
  <c r="N23" i="12"/>
  <c r="N24" i="12"/>
  <c r="N25" i="12"/>
  <c r="N26" i="12"/>
  <c r="N27" i="12"/>
  <c r="N28" i="12"/>
  <c r="N29" i="12"/>
  <c r="N30" i="12"/>
  <c r="N31" i="12"/>
  <c r="N32" i="12"/>
  <c r="N33" i="12"/>
  <c r="N34" i="12"/>
  <c r="N35" i="12"/>
  <c r="N36" i="12"/>
  <c r="N37" i="12"/>
  <c r="N38" i="12"/>
  <c r="N39" i="12"/>
  <c r="N40" i="12"/>
  <c r="N41" i="12"/>
  <c r="N42" i="12"/>
  <c r="N43" i="12"/>
  <c r="N44" i="12"/>
  <c r="N45" i="12"/>
  <c r="N46" i="12"/>
  <c r="N47" i="12"/>
  <c r="N48" i="12"/>
  <c r="N49" i="12"/>
  <c r="N50" i="12"/>
  <c r="N51" i="12"/>
  <c r="N52" i="12"/>
  <c r="N53" i="12"/>
  <c r="N54" i="12"/>
  <c r="N55" i="12"/>
  <c r="N56" i="12"/>
  <c r="N57" i="12"/>
  <c r="N58" i="12"/>
  <c r="N59" i="12"/>
  <c r="N60" i="12"/>
  <c r="N61" i="12"/>
  <c r="N62" i="12"/>
  <c r="N63" i="12"/>
  <c r="N64" i="12"/>
  <c r="N65" i="12"/>
  <c r="N66" i="12"/>
  <c r="N67" i="12"/>
  <c r="N68" i="12"/>
  <c r="N69" i="12"/>
  <c r="N71" i="12"/>
  <c r="N72" i="12"/>
  <c r="N73" i="12"/>
  <c r="N74" i="12"/>
  <c r="N75" i="12"/>
  <c r="N76" i="12"/>
  <c r="N77" i="12"/>
  <c r="N78" i="12"/>
  <c r="N79" i="12"/>
  <c r="N80" i="12"/>
  <c r="N81" i="12"/>
  <c r="N82" i="12"/>
  <c r="N83" i="12"/>
  <c r="N84" i="12"/>
  <c r="N85" i="12"/>
  <c r="N86" i="12"/>
  <c r="N87" i="12"/>
  <c r="N88" i="12"/>
  <c r="N89" i="12"/>
  <c r="N90" i="12"/>
  <c r="N91" i="12"/>
  <c r="N92" i="12"/>
  <c r="N93" i="12"/>
  <c r="N94" i="12"/>
  <c r="N95" i="12"/>
  <c r="N96" i="12"/>
  <c r="N97" i="12"/>
  <c r="N98" i="12"/>
  <c r="N99" i="12"/>
  <c r="N100" i="12"/>
  <c r="N101" i="12"/>
  <c r="N102" i="12"/>
  <c r="N103" i="12"/>
  <c r="N104" i="12"/>
  <c r="N105" i="12"/>
  <c r="N106" i="12"/>
  <c r="N107" i="12"/>
  <c r="N108" i="12"/>
  <c r="N109" i="12"/>
  <c r="N110" i="12"/>
  <c r="N111" i="12"/>
  <c r="N112" i="12"/>
  <c r="N113" i="12"/>
  <c r="N114" i="12"/>
  <c r="N115" i="12"/>
  <c r="N116" i="12"/>
  <c r="N117" i="12"/>
  <c r="N118" i="12"/>
  <c r="N119" i="12"/>
  <c r="N120" i="12"/>
  <c r="N121" i="12"/>
  <c r="N122" i="12"/>
  <c r="N123" i="12"/>
  <c r="N124" i="12"/>
  <c r="N125" i="12"/>
  <c r="N126" i="12"/>
  <c r="N127" i="12"/>
  <c r="N128" i="12"/>
  <c r="N129" i="12"/>
  <c r="N130" i="12"/>
  <c r="N131" i="12"/>
  <c r="N132" i="12"/>
  <c r="N133" i="12"/>
  <c r="N134" i="12"/>
  <c r="N135" i="12"/>
  <c r="N136" i="12"/>
  <c r="N137" i="12"/>
  <c r="N138" i="12"/>
  <c r="N139" i="12"/>
  <c r="N140" i="12"/>
  <c r="N142" i="12"/>
  <c r="N143" i="12"/>
  <c r="N144" i="12"/>
  <c r="N145" i="12"/>
  <c r="N146" i="12"/>
  <c r="N147" i="12"/>
  <c r="N148" i="12"/>
  <c r="N149" i="12"/>
  <c r="N150" i="12"/>
  <c r="N151" i="12"/>
  <c r="N152" i="12"/>
  <c r="N153" i="12"/>
  <c r="N154" i="12"/>
  <c r="N155" i="12"/>
  <c r="N156" i="12"/>
  <c r="N157" i="12"/>
  <c r="N158" i="12"/>
  <c r="N159" i="12"/>
  <c r="N160" i="12"/>
  <c r="N161" i="12"/>
  <c r="N162" i="12"/>
  <c r="N163" i="12"/>
  <c r="N164" i="12"/>
  <c r="N165" i="12"/>
  <c r="N166" i="12"/>
  <c r="N167" i="12"/>
  <c r="N168" i="12"/>
  <c r="N169" i="12"/>
  <c r="N170" i="12"/>
  <c r="N171" i="12"/>
  <c r="N172" i="12"/>
  <c r="N173" i="12"/>
  <c r="N174" i="12"/>
  <c r="N175" i="12"/>
  <c r="N176" i="12"/>
  <c r="N177" i="12"/>
  <c r="N178" i="12"/>
  <c r="N179" i="12"/>
  <c r="N180" i="12"/>
  <c r="N181" i="12"/>
  <c r="N182" i="12"/>
  <c r="N183" i="12"/>
  <c r="N184" i="12"/>
  <c r="N185" i="12"/>
  <c r="N186" i="12"/>
  <c r="N187" i="12"/>
  <c r="N188" i="12"/>
  <c r="N189" i="12"/>
  <c r="N190" i="12"/>
  <c r="N191" i="12"/>
  <c r="N192" i="12"/>
  <c r="N193" i="12"/>
  <c r="N194" i="12"/>
  <c r="N195" i="12"/>
  <c r="N196" i="12"/>
  <c r="N197" i="12"/>
  <c r="N198" i="12"/>
  <c r="N199" i="12"/>
  <c r="N200" i="12"/>
  <c r="N201" i="12"/>
  <c r="N202" i="12"/>
  <c r="N203" i="12"/>
  <c r="N204" i="12"/>
  <c r="N205" i="12"/>
  <c r="N206" i="12"/>
  <c r="N207" i="12"/>
  <c r="N208" i="12"/>
  <c r="N209" i="12"/>
  <c r="N210" i="12"/>
  <c r="N211" i="12"/>
  <c r="N212" i="12"/>
  <c r="N213" i="12"/>
  <c r="N214" i="12"/>
  <c r="N215" i="12"/>
  <c r="N216" i="12"/>
  <c r="N217" i="12"/>
  <c r="N218" i="12"/>
  <c r="N219" i="12"/>
  <c r="N220" i="12"/>
  <c r="N221" i="12"/>
  <c r="N222" i="12"/>
  <c r="N223" i="12"/>
  <c r="N224" i="12"/>
  <c r="N225" i="12"/>
  <c r="N226" i="12"/>
  <c r="N227" i="12"/>
  <c r="N228" i="12"/>
  <c r="N229" i="12"/>
  <c r="N230" i="12"/>
  <c r="N231" i="12"/>
  <c r="N232" i="12"/>
  <c r="N233" i="12"/>
  <c r="N234" i="12"/>
  <c r="N235" i="12"/>
  <c r="N236" i="12"/>
  <c r="N237" i="12"/>
  <c r="N238" i="12"/>
  <c r="N239" i="12"/>
  <c r="N240" i="12"/>
  <c r="N241" i="12"/>
  <c r="N242" i="12"/>
  <c r="N243" i="12"/>
  <c r="N244" i="12"/>
  <c r="N245" i="12"/>
  <c r="N246" i="12"/>
  <c r="N247" i="12"/>
  <c r="N248" i="12"/>
  <c r="N249" i="12"/>
  <c r="N250" i="12"/>
  <c r="N251" i="12"/>
  <c r="N252" i="12"/>
  <c r="N253" i="12"/>
  <c r="N254" i="12"/>
  <c r="N255" i="12"/>
  <c r="N256" i="12"/>
  <c r="N257" i="12"/>
  <c r="N258" i="12"/>
  <c r="N259" i="12"/>
  <c r="N260" i="12"/>
  <c r="N261" i="12"/>
  <c r="N262" i="12"/>
  <c r="N263" i="12"/>
  <c r="N264" i="12"/>
  <c r="N265" i="12"/>
  <c r="N266" i="12"/>
  <c r="N267" i="12"/>
  <c r="N268" i="12"/>
  <c r="N269" i="12"/>
  <c r="N270" i="12"/>
  <c r="N271" i="12"/>
  <c r="N272" i="12"/>
  <c r="N273" i="12"/>
  <c r="N274" i="12"/>
  <c r="N275" i="12"/>
  <c r="N276" i="12"/>
  <c r="N277" i="12"/>
  <c r="N278" i="12"/>
  <c r="N279" i="12"/>
  <c r="N280" i="12"/>
  <c r="N281" i="12"/>
  <c r="N282" i="12"/>
  <c r="N283" i="12"/>
  <c r="N284" i="12"/>
  <c r="N285" i="12"/>
  <c r="N286" i="12"/>
  <c r="N287" i="12"/>
  <c r="N288" i="12"/>
  <c r="N289" i="12"/>
  <c r="N290" i="12"/>
  <c r="N291" i="12"/>
  <c r="N292" i="12"/>
  <c r="N293" i="12"/>
  <c r="N294" i="12"/>
  <c r="N295" i="12"/>
  <c r="N296" i="12"/>
  <c r="N297" i="12"/>
  <c r="N298" i="12"/>
  <c r="N299" i="12"/>
  <c r="N300" i="12"/>
  <c r="N301" i="12"/>
  <c r="N302" i="12"/>
  <c r="N303" i="12"/>
  <c r="N304" i="12"/>
  <c r="N305" i="12"/>
  <c r="N306" i="12"/>
  <c r="N307" i="12"/>
  <c r="N308" i="12"/>
  <c r="N309" i="12"/>
  <c r="N310" i="12"/>
  <c r="N311" i="12"/>
  <c r="N312" i="12"/>
  <c r="N313" i="12"/>
  <c r="N314" i="12"/>
  <c r="N315" i="12"/>
  <c r="N316" i="12"/>
  <c r="N317" i="12"/>
  <c r="N318" i="12"/>
  <c r="N319" i="12"/>
  <c r="N320" i="12"/>
  <c r="N321" i="12"/>
  <c r="N322" i="12"/>
  <c r="N323" i="12"/>
  <c r="N324" i="12"/>
  <c r="N325" i="12"/>
  <c r="N326" i="12"/>
  <c r="N327" i="12"/>
  <c r="N328" i="12"/>
  <c r="N329" i="12"/>
  <c r="N330" i="12"/>
  <c r="N331" i="12"/>
  <c r="N332" i="12"/>
  <c r="N333" i="12"/>
  <c r="N334" i="12"/>
  <c r="N335" i="12"/>
  <c r="N336" i="12"/>
  <c r="N337" i="12"/>
  <c r="N338" i="12"/>
  <c r="N339" i="12"/>
  <c r="N340" i="12"/>
  <c r="N341" i="12"/>
  <c r="N342" i="12"/>
  <c r="N343" i="12"/>
  <c r="N344" i="12"/>
  <c r="N345" i="12"/>
  <c r="N346" i="12"/>
  <c r="N347" i="12"/>
  <c r="N348" i="12"/>
  <c r="N349" i="12"/>
  <c r="N350" i="12"/>
  <c r="N351" i="12"/>
  <c r="N352" i="12"/>
  <c r="N353" i="12"/>
  <c r="N354" i="12"/>
  <c r="N355" i="12"/>
  <c r="N356" i="12"/>
  <c r="N357" i="12"/>
  <c r="N358" i="12"/>
  <c r="N359" i="12"/>
  <c r="N360" i="12"/>
  <c r="N361" i="12"/>
  <c r="N362" i="12"/>
  <c r="N363" i="12"/>
  <c r="N364" i="12"/>
  <c r="N365" i="12"/>
  <c r="N366" i="12"/>
  <c r="N367" i="12"/>
  <c r="N368" i="12"/>
  <c r="N369" i="12"/>
  <c r="N370" i="12"/>
  <c r="N371" i="12"/>
  <c r="N372" i="12"/>
  <c r="N373" i="12"/>
  <c r="N374" i="12"/>
  <c r="N375" i="12"/>
  <c r="N376" i="12"/>
  <c r="N377" i="12"/>
  <c r="N378" i="12"/>
  <c r="N379" i="12"/>
  <c r="N380" i="12"/>
  <c r="N381" i="12"/>
  <c r="N382" i="12"/>
  <c r="N383" i="12"/>
  <c r="N384" i="12"/>
  <c r="N385" i="12"/>
  <c r="N386" i="12"/>
  <c r="N387" i="12"/>
  <c r="N388" i="12"/>
  <c r="N389" i="12"/>
  <c r="N390" i="12"/>
  <c r="N391" i="12"/>
  <c r="N392" i="12"/>
  <c r="N393" i="12"/>
  <c r="N394" i="12"/>
  <c r="N395" i="12"/>
  <c r="N396" i="12"/>
  <c r="N397" i="12"/>
  <c r="N398" i="12"/>
  <c r="N399" i="12"/>
  <c r="N400" i="12"/>
  <c r="N401" i="12"/>
  <c r="N402" i="12"/>
  <c r="N404" i="12"/>
  <c r="N405" i="12"/>
  <c r="N406" i="12"/>
  <c r="N407" i="12"/>
  <c r="N408" i="12"/>
  <c r="N409" i="12"/>
  <c r="N410" i="12"/>
  <c r="N411" i="12"/>
  <c r="N412" i="12"/>
  <c r="N413" i="12"/>
  <c r="N414" i="12"/>
  <c r="N415" i="12"/>
  <c r="N416" i="12"/>
  <c r="N417" i="12"/>
  <c r="N418" i="12"/>
  <c r="N419" i="12"/>
  <c r="N420" i="12"/>
  <c r="N421" i="12"/>
  <c r="N422" i="12"/>
  <c r="N423" i="12"/>
  <c r="N424" i="12"/>
  <c r="N425" i="12"/>
  <c r="N426" i="12"/>
  <c r="N427" i="12"/>
  <c r="N428" i="12"/>
  <c r="N429" i="12"/>
  <c r="N430" i="12"/>
  <c r="N432" i="12"/>
  <c r="N433" i="12"/>
  <c r="N435" i="12"/>
  <c r="N436" i="12"/>
  <c r="N437" i="12"/>
  <c r="N440" i="12"/>
  <c r="N441" i="12"/>
  <c r="N442" i="12"/>
  <c r="N443" i="12"/>
  <c r="N444" i="12"/>
  <c r="N445" i="12"/>
  <c r="N446" i="12"/>
  <c r="N449" i="12"/>
  <c r="N450" i="12"/>
  <c r="N451" i="12"/>
  <c r="N452" i="12"/>
  <c r="N453" i="12"/>
  <c r="N454" i="12"/>
  <c r="N455" i="12"/>
  <c r="N456" i="12"/>
  <c r="N457" i="12"/>
  <c r="N458" i="12"/>
  <c r="N459" i="12"/>
  <c r="N460" i="12"/>
  <c r="N461" i="12"/>
  <c r="N462" i="12"/>
  <c r="N463" i="12"/>
  <c r="N464" i="12"/>
  <c r="N465" i="12"/>
  <c r="N466" i="12"/>
  <c r="N468" i="12"/>
  <c r="N469" i="12"/>
  <c r="N470" i="12"/>
  <c r="N471" i="12"/>
  <c r="N472" i="12"/>
  <c r="N473" i="12"/>
  <c r="N474" i="12"/>
  <c r="N475" i="12"/>
  <c r="N476" i="12"/>
  <c r="N477" i="12"/>
  <c r="N478" i="12"/>
  <c r="N479" i="12"/>
  <c r="N480" i="12"/>
  <c r="N481" i="12"/>
  <c r="N482" i="12"/>
  <c r="N483" i="12"/>
  <c r="N484" i="12"/>
  <c r="N485" i="12"/>
  <c r="N486" i="12"/>
  <c r="N487" i="12"/>
  <c r="N488" i="12"/>
  <c r="N489" i="12"/>
  <c r="N492" i="12"/>
  <c r="N493" i="12"/>
  <c r="N494" i="12"/>
  <c r="N495" i="12"/>
  <c r="N496" i="12"/>
  <c r="N497" i="12"/>
  <c r="N498" i="12"/>
  <c r="N499" i="12"/>
  <c r="N500" i="12"/>
  <c r="N501" i="12"/>
  <c r="N502" i="12"/>
  <c r="N503" i="12"/>
  <c r="N504" i="12"/>
  <c r="N505" i="12"/>
  <c r="N506" i="12"/>
  <c r="N507" i="12"/>
  <c r="N508" i="12"/>
  <c r="N509" i="12"/>
  <c r="N510" i="12"/>
  <c r="N511" i="12"/>
  <c r="N512" i="12"/>
  <c r="N513" i="12"/>
  <c r="N514" i="12"/>
  <c r="N515" i="12"/>
  <c r="N516" i="12"/>
  <c r="N517" i="12"/>
  <c r="N518" i="12"/>
  <c r="N519" i="12"/>
  <c r="N520" i="12"/>
  <c r="N521" i="12"/>
  <c r="N522" i="12"/>
  <c r="N523" i="12"/>
  <c r="N524" i="12"/>
  <c r="N525" i="12"/>
  <c r="N526" i="12"/>
  <c r="N527" i="12"/>
  <c r="N528" i="12"/>
  <c r="N529" i="12"/>
  <c r="N530" i="12"/>
  <c r="N531" i="12"/>
  <c r="N532" i="12"/>
  <c r="N533" i="12"/>
  <c r="N534" i="12"/>
  <c r="N535" i="12"/>
  <c r="N536" i="12"/>
  <c r="N537" i="12"/>
  <c r="N538" i="12"/>
  <c r="N539" i="12"/>
  <c r="N540" i="12"/>
  <c r="N541" i="12"/>
  <c r="N542" i="12"/>
  <c r="N543" i="12"/>
  <c r="N544" i="12"/>
  <c r="N545" i="12"/>
  <c r="N546" i="12"/>
  <c r="N547" i="12"/>
  <c r="N548" i="12"/>
  <c r="N549" i="12"/>
  <c r="N550" i="12"/>
  <c r="N551" i="12"/>
  <c r="N552" i="12"/>
  <c r="N553" i="12"/>
  <c r="N554" i="12"/>
  <c r="N555" i="12"/>
  <c r="N556" i="12"/>
  <c r="N557" i="12"/>
  <c r="N558" i="12"/>
  <c r="N559" i="12"/>
  <c r="N560" i="12"/>
  <c r="N561" i="12"/>
  <c r="N562" i="12"/>
  <c r="N563" i="12"/>
  <c r="N564" i="12"/>
  <c r="N565" i="12"/>
  <c r="N566" i="12"/>
  <c r="N567" i="12"/>
  <c r="N568" i="12"/>
  <c r="N569" i="12"/>
  <c r="N570" i="12"/>
  <c r="N571" i="12"/>
  <c r="N572" i="12"/>
  <c r="N573" i="12"/>
  <c r="N574" i="12"/>
  <c r="N575" i="12"/>
  <c r="N576" i="12"/>
  <c r="N577" i="12"/>
  <c r="N578" i="12"/>
  <c r="N579" i="12"/>
  <c r="N580" i="12"/>
  <c r="N581" i="12"/>
  <c r="N582" i="12"/>
  <c r="N583" i="12"/>
  <c r="N584" i="12"/>
  <c r="N585" i="12"/>
  <c r="N586" i="12"/>
  <c r="N587" i="12"/>
  <c r="N588" i="12"/>
  <c r="N589" i="12"/>
  <c r="N590" i="12"/>
  <c r="N591" i="12"/>
  <c r="N592" i="12"/>
  <c r="N593" i="12"/>
  <c r="N594" i="12"/>
  <c r="N595" i="12"/>
  <c r="N596" i="12"/>
  <c r="N597" i="12"/>
  <c r="N598" i="12"/>
  <c r="N599" i="12"/>
  <c r="N600" i="12"/>
  <c r="N601" i="12"/>
  <c r="N602" i="12"/>
  <c r="N603" i="12"/>
  <c r="N604" i="12"/>
  <c r="N605" i="12"/>
  <c r="N606" i="12"/>
  <c r="N607" i="12"/>
  <c r="N608" i="12"/>
  <c r="N609" i="12"/>
  <c r="N610" i="12"/>
  <c r="N611" i="12"/>
  <c r="N612" i="12"/>
  <c r="N613" i="12"/>
  <c r="N614" i="12"/>
  <c r="N615" i="12"/>
  <c r="N616" i="12"/>
  <c r="N617" i="12"/>
  <c r="N618" i="12"/>
  <c r="N619" i="12"/>
  <c r="N620" i="12"/>
  <c r="N621" i="12"/>
  <c r="N622" i="12"/>
  <c r="N623" i="12"/>
  <c r="N624" i="12"/>
  <c r="N625" i="12"/>
  <c r="N626" i="12"/>
  <c r="N627" i="12"/>
  <c r="N628" i="12"/>
  <c r="N629" i="12"/>
  <c r="N630" i="12"/>
  <c r="N631" i="12"/>
  <c r="N632" i="12"/>
  <c r="N633" i="12"/>
  <c r="N634" i="12"/>
  <c r="N635" i="12"/>
  <c r="N636" i="12"/>
  <c r="N637" i="12"/>
  <c r="N638" i="12"/>
  <c r="N639" i="12"/>
  <c r="N640" i="12"/>
  <c r="N641" i="12"/>
  <c r="N642" i="12"/>
  <c r="N643" i="12"/>
  <c r="N644" i="12"/>
  <c r="N646" i="12"/>
  <c r="N647" i="12"/>
  <c r="N648" i="12"/>
  <c r="N649" i="12"/>
  <c r="N650" i="12"/>
  <c r="N651" i="12"/>
  <c r="N652" i="12"/>
  <c r="N653" i="12"/>
  <c r="N654" i="12"/>
  <c r="N655" i="12"/>
  <c r="N656" i="12"/>
  <c r="N657" i="12"/>
  <c r="N658" i="12"/>
  <c r="N659" i="12"/>
  <c r="N660" i="12"/>
  <c r="N661" i="12"/>
  <c r="N662" i="12"/>
  <c r="N663" i="12"/>
  <c r="N664" i="12"/>
  <c r="N665" i="12"/>
  <c r="N666" i="12"/>
  <c r="N667" i="12"/>
  <c r="N668" i="12"/>
  <c r="N669" i="12"/>
  <c r="N670" i="12"/>
  <c r="N671" i="12"/>
  <c r="N672" i="12"/>
  <c r="N673" i="12"/>
  <c r="N682" i="12"/>
  <c r="N683" i="12"/>
  <c r="N684" i="12"/>
  <c r="N685" i="12"/>
  <c r="N686" i="12"/>
  <c r="N687" i="12"/>
  <c r="N688" i="12"/>
  <c r="N689" i="12"/>
  <c r="N690" i="12"/>
  <c r="N691" i="12"/>
  <c r="N692" i="12"/>
  <c r="N693" i="12"/>
  <c r="N694" i="12"/>
  <c r="N695" i="12"/>
  <c r="N696" i="12"/>
  <c r="N697" i="12"/>
  <c r="N698" i="12"/>
  <c r="N699" i="12"/>
  <c r="N700" i="12"/>
  <c r="N701" i="12"/>
  <c r="N702" i="12"/>
  <c r="N703" i="12"/>
  <c r="N704" i="12"/>
  <c r="N705" i="12"/>
  <c r="N706" i="12"/>
  <c r="N707" i="12"/>
  <c r="N708" i="12"/>
  <c r="N709" i="12"/>
  <c r="N710" i="12"/>
  <c r="N711" i="12"/>
  <c r="N712" i="12"/>
  <c r="N713" i="12"/>
  <c r="N715" i="12"/>
  <c r="N716" i="12"/>
  <c r="N717" i="12"/>
  <c r="N718" i="12"/>
  <c r="N735" i="12"/>
  <c r="N736" i="12"/>
  <c r="N737" i="12"/>
  <c r="N738" i="12"/>
  <c r="N739" i="12"/>
  <c r="N740" i="12"/>
  <c r="N741" i="12"/>
  <c r="N742" i="12"/>
  <c r="N743" i="12"/>
  <c r="N744" i="12"/>
  <c r="N745" i="12"/>
  <c r="N746" i="12"/>
  <c r="N747" i="12"/>
  <c r="N748" i="12"/>
  <c r="N749" i="12"/>
  <c r="N750" i="12"/>
  <c r="N751" i="12"/>
  <c r="N752" i="12"/>
  <c r="N753" i="12"/>
  <c r="N754" i="12"/>
  <c r="N760" i="12"/>
  <c r="N761" i="12"/>
  <c r="N762" i="12"/>
  <c r="N763" i="12"/>
  <c r="N764" i="12"/>
  <c r="N765" i="12"/>
  <c r="N766" i="12"/>
  <c r="N767" i="12"/>
  <c r="N768" i="12"/>
  <c r="N769" i="12"/>
  <c r="N770" i="12"/>
  <c r="N771" i="12"/>
  <c r="N772" i="12"/>
  <c r="N773" i="12"/>
  <c r="N774" i="12"/>
  <c r="N775" i="12"/>
  <c r="N776" i="12"/>
  <c r="N777" i="12"/>
  <c r="N778" i="12"/>
  <c r="N779" i="12"/>
  <c r="N780" i="12"/>
  <c r="N781" i="12"/>
  <c r="N782" i="12"/>
  <c r="N783" i="12"/>
  <c r="N784" i="12"/>
  <c r="N785" i="12"/>
  <c r="N786" i="12"/>
  <c r="N787" i="12"/>
  <c r="N788" i="12"/>
  <c r="N789" i="12"/>
  <c r="N790" i="12"/>
  <c r="N791" i="12"/>
  <c r="N792" i="12"/>
  <c r="N793" i="12"/>
  <c r="N794" i="12"/>
  <c r="N795" i="12"/>
  <c r="N796" i="12"/>
  <c r="N797" i="12"/>
  <c r="N798" i="12"/>
  <c r="N799" i="12"/>
  <c r="N800" i="12"/>
  <c r="N801" i="12"/>
  <c r="N802" i="12"/>
  <c r="N803" i="12"/>
  <c r="N804" i="12"/>
  <c r="N805" i="12"/>
  <c r="N806" i="12"/>
  <c r="N807" i="12"/>
  <c r="N808" i="12"/>
  <c r="N809" i="12"/>
  <c r="N810" i="12"/>
  <c r="N811" i="12"/>
  <c r="N812" i="12"/>
  <c r="N813" i="12"/>
  <c r="N814" i="12"/>
  <c r="N815" i="12"/>
  <c r="N816" i="12"/>
  <c r="N817" i="12"/>
  <c r="N818" i="12"/>
  <c r="N819" i="12"/>
  <c r="N820" i="12"/>
  <c r="N821" i="12"/>
  <c r="N822" i="12"/>
  <c r="N823" i="12"/>
  <c r="N824" i="12"/>
  <c r="N825" i="12"/>
  <c r="N826" i="12"/>
  <c r="N827" i="12"/>
  <c r="N828" i="12"/>
  <c r="N829" i="12"/>
  <c r="N830" i="12"/>
  <c r="N831" i="12"/>
  <c r="N832" i="12"/>
  <c r="N833" i="12"/>
  <c r="N834" i="12"/>
  <c r="N835" i="12"/>
  <c r="N836" i="12"/>
  <c r="N837" i="12"/>
  <c r="N838" i="12"/>
  <c r="N839" i="12"/>
  <c r="N840" i="12"/>
  <c r="N841" i="12"/>
  <c r="N842" i="12"/>
  <c r="N843" i="12"/>
  <c r="N844" i="12"/>
  <c r="N845" i="12"/>
  <c r="N846" i="12"/>
  <c r="N847" i="12"/>
  <c r="N848" i="12"/>
  <c r="N849" i="12"/>
  <c r="N850" i="12"/>
  <c r="N851" i="12"/>
  <c r="N852" i="12"/>
  <c r="N853" i="12"/>
  <c r="N854" i="12"/>
  <c r="N855" i="12"/>
  <c r="N856" i="12"/>
  <c r="N857" i="12"/>
  <c r="N858" i="12"/>
  <c r="N860" i="12"/>
  <c r="N861" i="12"/>
  <c r="N862" i="12"/>
  <c r="N863" i="12"/>
  <c r="N864" i="12"/>
  <c r="N865" i="12"/>
  <c r="N866" i="12"/>
  <c r="N868" i="12"/>
  <c r="N869" i="12"/>
  <c r="N870" i="12"/>
  <c r="N871" i="12"/>
  <c r="N872" i="12"/>
  <c r="N873" i="12"/>
  <c r="N874" i="12"/>
  <c r="N875" i="12"/>
  <c r="N876" i="12"/>
  <c r="N877" i="12"/>
  <c r="N878" i="12"/>
  <c r="N879" i="12"/>
  <c r="N880" i="12"/>
  <c r="N881" i="12"/>
  <c r="N882" i="12"/>
  <c r="N883" i="12"/>
  <c r="N884" i="12"/>
  <c r="N885" i="12"/>
  <c r="N886" i="12"/>
  <c r="N887" i="12"/>
  <c r="N888" i="12"/>
  <c r="N889" i="12"/>
  <c r="N890" i="12"/>
  <c r="N891" i="12"/>
  <c r="N892" i="12"/>
  <c r="N893" i="12"/>
  <c r="N894" i="12"/>
  <c r="N895" i="12"/>
  <c r="N896" i="12"/>
  <c r="N897" i="12"/>
  <c r="N898" i="12"/>
  <c r="N899" i="12"/>
  <c r="N900" i="12"/>
  <c r="N901" i="12"/>
  <c r="N902" i="12"/>
  <c r="N903" i="12"/>
  <c r="N904" i="12"/>
  <c r="N905" i="12"/>
  <c r="N906" i="12"/>
  <c r="N907" i="12"/>
  <c r="N908" i="12"/>
  <c r="N909" i="12"/>
  <c r="N910" i="12"/>
  <c r="N911" i="12"/>
  <c r="N912" i="12"/>
  <c r="N913" i="12"/>
  <c r="N914" i="12"/>
  <c r="N915" i="12"/>
  <c r="N916" i="12"/>
  <c r="N917" i="12"/>
  <c r="N918" i="12"/>
  <c r="N919" i="12"/>
  <c r="N920" i="12"/>
  <c r="N921" i="12"/>
  <c r="N922" i="12"/>
  <c r="N923" i="12"/>
  <c r="N924" i="12"/>
  <c r="N925" i="12"/>
  <c r="N926" i="12"/>
  <c r="N929" i="12"/>
  <c r="N930" i="12"/>
  <c r="N932" i="12"/>
  <c r="N933" i="12"/>
  <c r="N934" i="12"/>
  <c r="N935" i="12"/>
  <c r="N936" i="12"/>
  <c r="N937" i="12"/>
  <c r="N938" i="12"/>
  <c r="N939" i="12"/>
  <c r="N940" i="12"/>
  <c r="N943" i="12"/>
  <c r="N944" i="12"/>
  <c r="N945" i="12"/>
  <c r="N946" i="12"/>
  <c r="N947" i="12"/>
  <c r="N948" i="12"/>
  <c r="N949" i="12"/>
  <c r="N950" i="12"/>
  <c r="N951" i="12"/>
  <c r="N952" i="12"/>
  <c r="N953" i="12"/>
  <c r="N954" i="12"/>
  <c r="N955" i="12"/>
  <c r="N956" i="12"/>
  <c r="N957" i="12"/>
  <c r="N958" i="12"/>
  <c r="N959" i="12"/>
  <c r="N960" i="12"/>
  <c r="N961" i="12"/>
  <c r="N962" i="12"/>
  <c r="N963" i="12"/>
  <c r="N964" i="12"/>
  <c r="N965" i="12"/>
  <c r="N966" i="12"/>
  <c r="N967" i="12"/>
  <c r="N968" i="12"/>
  <c r="N969" i="12"/>
  <c r="N970" i="12"/>
  <c r="N971" i="12"/>
  <c r="N972" i="12"/>
  <c r="N973" i="12"/>
  <c r="N974" i="12"/>
  <c r="N975" i="12"/>
  <c r="N976" i="12"/>
  <c r="N977" i="12"/>
  <c r="N978" i="12"/>
  <c r="N979" i="12"/>
  <c r="N980" i="12"/>
  <c r="N981" i="12"/>
  <c r="N982" i="12"/>
  <c r="N983" i="12"/>
  <c r="N984" i="12"/>
  <c r="N985" i="12"/>
  <c r="N986" i="12"/>
  <c r="N987" i="12"/>
  <c r="N988" i="12"/>
  <c r="N989" i="12"/>
  <c r="N990" i="12"/>
  <c r="N991" i="12"/>
  <c r="N992" i="12"/>
  <c r="N993" i="12"/>
  <c r="N994" i="12"/>
  <c r="N995" i="12"/>
  <c r="N996" i="12"/>
  <c r="N997" i="12"/>
  <c r="N998" i="12"/>
  <c r="N999" i="12"/>
  <c r="N1000" i="12"/>
  <c r="N1001" i="12"/>
  <c r="N1002" i="12"/>
  <c r="N1003" i="12"/>
  <c r="N1004" i="12"/>
  <c r="N1005" i="12"/>
  <c r="N1006" i="12"/>
  <c r="N1007" i="12"/>
  <c r="N1008" i="12"/>
  <c r="N1009" i="12"/>
  <c r="N1010" i="12"/>
  <c r="N1011" i="12"/>
  <c r="N1012" i="12"/>
  <c r="N1013" i="12"/>
  <c r="N1014" i="12"/>
  <c r="N1015" i="12"/>
  <c r="N1016" i="12"/>
  <c r="N1017" i="12"/>
  <c r="N1018" i="12"/>
  <c r="N1019" i="12"/>
  <c r="N1020" i="12"/>
  <c r="N1021" i="12"/>
  <c r="N1022" i="12"/>
  <c r="N1023" i="12"/>
  <c r="N1024" i="12"/>
  <c r="N1025" i="12"/>
  <c r="N1026" i="12"/>
  <c r="N1027" i="12"/>
  <c r="N1028" i="12"/>
  <c r="N1029" i="12"/>
  <c r="N1030" i="12"/>
  <c r="N1031" i="12"/>
  <c r="N1032" i="12"/>
  <c r="N1033" i="12"/>
  <c r="N1034" i="12"/>
  <c r="N1035" i="12"/>
  <c r="N1036" i="12"/>
  <c r="N1037" i="12"/>
  <c r="N1038" i="12"/>
  <c r="N1039" i="12"/>
  <c r="N1040" i="12"/>
  <c r="N1041" i="12"/>
  <c r="N1042" i="12"/>
  <c r="N1043" i="12"/>
  <c r="N1044" i="12"/>
  <c r="N1045" i="12"/>
  <c r="N1046" i="12"/>
  <c r="N1047" i="12"/>
  <c r="N1048" i="12"/>
  <c r="N1049" i="12"/>
  <c r="N1050" i="12"/>
  <c r="N1051" i="12"/>
  <c r="N1052" i="12"/>
  <c r="N1053" i="12"/>
  <c r="N1054" i="12"/>
  <c r="N1055" i="12"/>
  <c r="N1056" i="12"/>
  <c r="N1057" i="12"/>
  <c r="N1058" i="12"/>
  <c r="N1059" i="12"/>
  <c r="N1060" i="12"/>
  <c r="N1061" i="12"/>
  <c r="N1062" i="12"/>
  <c r="N1063" i="12"/>
  <c r="N1064" i="12"/>
  <c r="N1065" i="12"/>
  <c r="N1066" i="12"/>
  <c r="N1067" i="12"/>
  <c r="N1068" i="12"/>
  <c r="N1069" i="12"/>
  <c r="N1070" i="12"/>
  <c r="N1071" i="12"/>
  <c r="N1072" i="12"/>
  <c r="N1073" i="12"/>
  <c r="N1074" i="12"/>
  <c r="N1075" i="12"/>
  <c r="N1076" i="12"/>
  <c r="N1077" i="12"/>
  <c r="N1078" i="12"/>
  <c r="N1079" i="12"/>
  <c r="N1080" i="12"/>
  <c r="N1081" i="12"/>
  <c r="N1082" i="12"/>
  <c r="N1083" i="12"/>
  <c r="N1084" i="12"/>
  <c r="N1085" i="12"/>
  <c r="N1086" i="12"/>
  <c r="N1087" i="12"/>
  <c r="N1088" i="12"/>
  <c r="N1089" i="12"/>
  <c r="N1090" i="12"/>
  <c r="N1091" i="12"/>
  <c r="N1092" i="12"/>
  <c r="N1093" i="12"/>
  <c r="N1094" i="12"/>
  <c r="N1095" i="12"/>
  <c r="N1096" i="12"/>
  <c r="N1097" i="12"/>
  <c r="N1098" i="12"/>
  <c r="N1099" i="12"/>
  <c r="N1100" i="12"/>
  <c r="N1101" i="12"/>
  <c r="N1102" i="12"/>
  <c r="N1103" i="12"/>
  <c r="N1104" i="12"/>
  <c r="N1105" i="12"/>
  <c r="N1106" i="12"/>
  <c r="N1107" i="12"/>
  <c r="N1108" i="12"/>
  <c r="N1109" i="12"/>
  <c r="N1110" i="12"/>
  <c r="N1111" i="12"/>
  <c r="N1112" i="12"/>
  <c r="N1113" i="12"/>
  <c r="N1114" i="12"/>
  <c r="N1115" i="12"/>
  <c r="N1116" i="12"/>
  <c r="N1117" i="12"/>
  <c r="N1118" i="12"/>
  <c r="N1119" i="12"/>
  <c r="N1120" i="12"/>
  <c r="N1121" i="12"/>
  <c r="N1122" i="12"/>
  <c r="N1123" i="12"/>
  <c r="N1124" i="12"/>
  <c r="N1125" i="12"/>
  <c r="N1126" i="12"/>
  <c r="N1127" i="12"/>
  <c r="N1128" i="12"/>
  <c r="N1129" i="12"/>
  <c r="N1130" i="12"/>
  <c r="N1132" i="12"/>
  <c r="N1133" i="12"/>
  <c r="N1136" i="12"/>
  <c r="N1137" i="12"/>
  <c r="N1140" i="12"/>
  <c r="N1141" i="12"/>
  <c r="N1142" i="12"/>
  <c r="N1143" i="12"/>
  <c r="N1144" i="12"/>
  <c r="N1145" i="12"/>
  <c r="N1146" i="12"/>
  <c r="N1147" i="12"/>
  <c r="N1148" i="12"/>
  <c r="N1149" i="12"/>
  <c r="N1150" i="12"/>
  <c r="N1151" i="12"/>
  <c r="N1152" i="12"/>
  <c r="N1153" i="12"/>
  <c r="N1154" i="12"/>
  <c r="N1155" i="12"/>
  <c r="N5" i="12"/>
  <c r="H141" i="71" l="1"/>
  <c r="E27" i="70"/>
  <c r="F27" i="70"/>
  <c r="H27" i="70" s="1"/>
  <c r="E24" i="70"/>
  <c r="F24" i="70"/>
  <c r="H24" i="70" s="1"/>
  <c r="F30" i="70"/>
  <c r="H30" i="70" s="1"/>
  <c r="E30" i="70"/>
  <c r="E31" i="70"/>
  <c r="F31" i="70"/>
  <c r="H31" i="70" s="1"/>
  <c r="F28" i="70"/>
  <c r="H28" i="70" s="1"/>
  <c r="E28" i="70"/>
  <c r="F23" i="70"/>
  <c r="H23" i="70" s="1"/>
  <c r="E23" i="70"/>
  <c r="F26" i="70"/>
  <c r="H26" i="70" s="1"/>
  <c r="E26" i="70"/>
  <c r="F29" i="70"/>
  <c r="H29" i="70" s="1"/>
  <c r="E29" i="70"/>
  <c r="E25" i="70"/>
  <c r="F25" i="70"/>
  <c r="H25" i="70" s="1"/>
  <c r="H142" i="71"/>
  <c r="AA31" i="71"/>
  <c r="AC31" i="71"/>
  <c r="AD31" i="71" s="1"/>
  <c r="AB31" i="71"/>
  <c r="AC60" i="71"/>
  <c r="AD60" i="71" s="1"/>
  <c r="AB60" i="71"/>
  <c r="AA60" i="71"/>
  <c r="AB127" i="71"/>
  <c r="AC127" i="71"/>
  <c r="AD127" i="71" s="1"/>
  <c r="AA127" i="71"/>
  <c r="AB53" i="71"/>
  <c r="AA53" i="71"/>
  <c r="AC53" i="71"/>
  <c r="AD53" i="71" s="1"/>
  <c r="AC94" i="71"/>
  <c r="AD94" i="71" s="1"/>
  <c r="AB94" i="71"/>
  <c r="AA94" i="71"/>
  <c r="AB101" i="71"/>
  <c r="AC101" i="71"/>
  <c r="AD101" i="71" s="1"/>
  <c r="AA101" i="71"/>
  <c r="AC84" i="71"/>
  <c r="AD84" i="71" s="1"/>
  <c r="AB84" i="71"/>
  <c r="AA84" i="71"/>
  <c r="AB133" i="71"/>
  <c r="AC133" i="71"/>
  <c r="AD133" i="71" s="1"/>
  <c r="AA133" i="71"/>
  <c r="AA85" i="71"/>
  <c r="AB85" i="71"/>
  <c r="AC85" i="71"/>
  <c r="AD85" i="71" s="1"/>
  <c r="AC130" i="71"/>
  <c r="AD130" i="71" s="1"/>
  <c r="AB130" i="71"/>
  <c r="AA130" i="71"/>
  <c r="J128" i="71"/>
  <c r="AC128" i="71" s="1"/>
  <c r="AD128" i="71" s="1"/>
  <c r="AC62" i="71"/>
  <c r="AD62" i="71" s="1"/>
  <c r="AB62" i="71"/>
  <c r="AA62" i="71"/>
  <c r="AB131" i="71"/>
  <c r="AC131" i="71"/>
  <c r="AD131" i="71" s="1"/>
  <c r="AA131" i="71"/>
  <c r="AC117" i="71"/>
  <c r="AD117" i="71" s="1"/>
  <c r="AB117" i="71"/>
  <c r="AA117" i="71"/>
  <c r="AB114" i="71"/>
  <c r="AA114" i="71"/>
  <c r="AC114" i="71"/>
  <c r="AD114" i="71" s="1"/>
  <c r="AC61" i="71"/>
  <c r="AD61" i="71" s="1"/>
  <c r="AB61" i="71"/>
  <c r="AA61" i="71"/>
  <c r="AB87" i="71"/>
  <c r="AC87" i="71"/>
  <c r="AD87" i="71" s="1"/>
  <c r="AA87" i="71"/>
  <c r="J51" i="71"/>
  <c r="AB51" i="71" s="1"/>
  <c r="AB139" i="71"/>
  <c r="AC139" i="71"/>
  <c r="AD139" i="71" s="1"/>
  <c r="AA139" i="71"/>
  <c r="AC119" i="71"/>
  <c r="AD119" i="71" s="1"/>
  <c r="AB119" i="71"/>
  <c r="AA119" i="71"/>
  <c r="AC50" i="71"/>
  <c r="AD50" i="71" s="1"/>
  <c r="AB50" i="71"/>
  <c r="AA50" i="71"/>
  <c r="AB112" i="71"/>
  <c r="AA112" i="71"/>
  <c r="AC112" i="71"/>
  <c r="AD112" i="71" s="1"/>
  <c r="AB116" i="71"/>
  <c r="AA116" i="71"/>
  <c r="AC116" i="71"/>
  <c r="AD116" i="71" s="1"/>
  <c r="AB79" i="71"/>
  <c r="AC79" i="71"/>
  <c r="AD79" i="71" s="1"/>
  <c r="AA79" i="71"/>
  <c r="AC122" i="71"/>
  <c r="AD122" i="71" s="1"/>
  <c r="AB122" i="71"/>
  <c r="AA122" i="71"/>
  <c r="J120" i="71"/>
  <c r="AB120" i="71" s="1"/>
  <c r="AC57" i="71"/>
  <c r="AD57" i="71" s="1"/>
  <c r="AB57" i="71"/>
  <c r="AA57" i="71"/>
  <c r="AB83" i="71"/>
  <c r="AC83" i="71"/>
  <c r="AD83" i="71" s="1"/>
  <c r="AA83" i="71"/>
  <c r="AC76" i="71"/>
  <c r="AD76" i="71" s="1"/>
  <c r="AB76" i="71"/>
  <c r="AA76" i="71"/>
  <c r="AB108" i="71"/>
  <c r="AA108" i="71"/>
  <c r="AC108" i="71"/>
  <c r="AD108" i="71" s="1"/>
  <c r="AB118" i="71"/>
  <c r="AC118" i="71"/>
  <c r="AD118" i="71" s="1"/>
  <c r="AA118" i="71"/>
  <c r="AC69" i="71"/>
  <c r="AD69" i="71" s="1"/>
  <c r="AB69" i="71"/>
  <c r="AA69" i="71"/>
  <c r="AC125" i="71"/>
  <c r="AD125" i="71" s="1"/>
  <c r="AB125" i="71"/>
  <c r="AA125" i="71"/>
  <c r="J40" i="71"/>
  <c r="AB71" i="71"/>
  <c r="AC71" i="71"/>
  <c r="AD71" i="71" s="1"/>
  <c r="AA71" i="71"/>
  <c r="AC72" i="71"/>
  <c r="AD72" i="71" s="1"/>
  <c r="AB72" i="71"/>
  <c r="AA72" i="71"/>
  <c r="J136" i="71"/>
  <c r="J68" i="71"/>
  <c r="AC68" i="71" s="1"/>
  <c r="AD68" i="71" s="1"/>
  <c r="AB106" i="71"/>
  <c r="AC106" i="71"/>
  <c r="AD106" i="71" s="1"/>
  <c r="AA106" i="71"/>
  <c r="AC104" i="71"/>
  <c r="AD104" i="71" s="1"/>
  <c r="AB104" i="71"/>
  <c r="AA104" i="71"/>
  <c r="J80" i="71"/>
  <c r="AC80" i="71" s="1"/>
  <c r="AD80" i="71" s="1"/>
  <c r="AC34" i="71"/>
  <c r="AD34" i="71" s="1"/>
  <c r="AB34" i="71"/>
  <c r="AA34" i="71"/>
  <c r="AC73" i="71"/>
  <c r="AD73" i="71" s="1"/>
  <c r="AB73" i="71"/>
  <c r="AA73" i="71"/>
  <c r="AC66" i="71"/>
  <c r="AD66" i="71" s="1"/>
  <c r="AB66" i="71"/>
  <c r="AA66" i="71"/>
  <c r="AC81" i="71"/>
  <c r="AD81" i="71" s="1"/>
  <c r="AB81" i="71"/>
  <c r="AC70" i="71"/>
  <c r="AD70" i="71" s="1"/>
  <c r="AB70" i="71"/>
  <c r="AA70" i="71"/>
  <c r="AB33" i="71"/>
  <c r="AC33" i="71"/>
  <c r="AD33" i="71" s="1"/>
  <c r="AA33" i="71"/>
  <c r="AC65" i="71"/>
  <c r="AD65" i="71" s="1"/>
  <c r="AB65" i="71"/>
  <c r="AB100" i="71"/>
  <c r="AC100" i="71"/>
  <c r="AD100" i="71" s="1"/>
  <c r="AA100" i="71"/>
  <c r="J52" i="71"/>
  <c r="AC52" i="71" s="1"/>
  <c r="AD52" i="71" s="1"/>
  <c r="J126" i="71"/>
  <c r="AB92" i="71"/>
  <c r="AC92" i="71"/>
  <c r="AD92" i="71" s="1"/>
  <c r="AA92" i="71"/>
  <c r="AB41" i="71"/>
  <c r="AC41" i="71"/>
  <c r="AD41" i="71" s="1"/>
  <c r="AA41" i="71"/>
  <c r="AC96" i="71"/>
  <c r="AD96" i="71" s="1"/>
  <c r="AB96" i="71"/>
  <c r="AA96" i="71"/>
  <c r="AB98" i="71"/>
  <c r="AC98" i="71"/>
  <c r="AD98" i="71" s="1"/>
  <c r="AA98" i="71"/>
  <c r="AB110" i="71"/>
  <c r="AC110" i="71"/>
  <c r="AD110" i="71" s="1"/>
  <c r="AA110" i="71"/>
  <c r="AC137" i="71"/>
  <c r="AD137" i="71" s="1"/>
  <c r="AB137" i="71"/>
  <c r="AA137" i="71"/>
  <c r="AC77" i="71"/>
  <c r="AD77" i="71" s="1"/>
  <c r="AB77" i="71"/>
  <c r="AA77" i="71"/>
  <c r="AC113" i="71"/>
  <c r="AD113" i="71" s="1"/>
  <c r="AA113" i="71"/>
  <c r="AB113" i="71"/>
  <c r="AB47" i="71"/>
  <c r="AC47" i="71"/>
  <c r="AD47" i="71" s="1"/>
  <c r="AA47" i="71"/>
  <c r="AC59" i="71"/>
  <c r="AD59" i="71" s="1"/>
  <c r="AB59" i="71"/>
  <c r="AA59" i="71"/>
  <c r="AC42" i="71"/>
  <c r="AD42" i="71" s="1"/>
  <c r="AB42" i="71"/>
  <c r="AA42" i="71"/>
  <c r="AC86" i="71"/>
  <c r="AD86" i="71" s="1"/>
  <c r="AB86" i="71"/>
  <c r="AA86" i="71"/>
  <c r="AC74" i="71"/>
  <c r="AD74" i="71" s="1"/>
  <c r="AB74" i="71"/>
  <c r="AA74" i="71"/>
  <c r="AC109" i="71"/>
  <c r="AD109" i="71" s="1"/>
  <c r="AB109" i="71"/>
  <c r="AA109" i="71"/>
  <c r="J48" i="71"/>
  <c r="J107" i="71"/>
  <c r="AB107" i="71" s="1"/>
  <c r="AC54" i="71"/>
  <c r="AD54" i="71" s="1"/>
  <c r="AB54" i="71"/>
  <c r="AC55" i="71"/>
  <c r="AD55" i="71" s="1"/>
  <c r="AB55" i="71"/>
  <c r="AA55" i="71"/>
  <c r="AB93" i="71"/>
  <c r="AC93" i="71"/>
  <c r="AD93" i="71" s="1"/>
  <c r="AA93" i="71"/>
  <c r="AB49" i="71"/>
  <c r="AA49" i="71"/>
  <c r="AC49" i="71"/>
  <c r="AD49" i="71" s="1"/>
  <c r="AC132" i="71"/>
  <c r="AD132" i="71" s="1"/>
  <c r="AB132" i="71"/>
  <c r="AA132" i="71"/>
  <c r="AB89" i="71"/>
  <c r="AC89" i="71"/>
  <c r="AD89" i="71" s="1"/>
  <c r="AA89" i="71"/>
  <c r="AB121" i="71"/>
  <c r="AC121" i="71"/>
  <c r="AD121" i="71" s="1"/>
  <c r="AA121" i="71"/>
  <c r="AC56" i="71"/>
  <c r="AD56" i="71" s="1"/>
  <c r="AB56" i="71"/>
  <c r="AA56" i="71"/>
  <c r="J35" i="71"/>
  <c r="AC102" i="71"/>
  <c r="AD102" i="71" s="1"/>
  <c r="AB102" i="71"/>
  <c r="AA102" i="71"/>
  <c r="AC46" i="71"/>
  <c r="AD46" i="71" s="1"/>
  <c r="AB46" i="71"/>
  <c r="AA46" i="71"/>
  <c r="J64" i="71"/>
  <c r="AC82" i="71"/>
  <c r="AD82" i="71" s="1"/>
  <c r="AB82" i="71"/>
  <c r="AA82" i="71"/>
  <c r="AB37" i="71"/>
  <c r="AC37" i="71"/>
  <c r="AD37" i="71" s="1"/>
  <c r="AA37" i="71"/>
  <c r="AB103" i="71"/>
  <c r="AC103" i="71"/>
  <c r="AD103" i="71" s="1"/>
  <c r="AA103" i="71"/>
  <c r="AB123" i="71"/>
  <c r="AC123" i="71"/>
  <c r="AD123" i="71" s="1"/>
  <c r="AA123" i="71"/>
  <c r="J63" i="71"/>
  <c r="AC63" i="71" s="1"/>
  <c r="AD63" i="71" s="1"/>
  <c r="AB75" i="71"/>
  <c r="AC75" i="71"/>
  <c r="AD75" i="71" s="1"/>
  <c r="AA75" i="71"/>
  <c r="AC99" i="71"/>
  <c r="AD99" i="71" s="1"/>
  <c r="AB99" i="71"/>
  <c r="AA99" i="71"/>
  <c r="AB115" i="71"/>
  <c r="AC115" i="71"/>
  <c r="AD115" i="71" s="1"/>
  <c r="AA115" i="71"/>
  <c r="AC90" i="71"/>
  <c r="AD90" i="71" s="1"/>
  <c r="AB90" i="71"/>
  <c r="AA90" i="71"/>
  <c r="AB97" i="71"/>
  <c r="AC97" i="71"/>
  <c r="AD97" i="71" s="1"/>
  <c r="AA97" i="71"/>
  <c r="AB129" i="71"/>
  <c r="AC129" i="71"/>
  <c r="AD129" i="71" s="1"/>
  <c r="AA129" i="71"/>
  <c r="J67" i="71"/>
  <c r="AC67" i="71" s="1"/>
  <c r="AD67" i="71" s="1"/>
  <c r="AC58" i="71"/>
  <c r="AD58" i="71" s="1"/>
  <c r="AB58" i="71"/>
  <c r="AA58" i="71"/>
  <c r="AB95" i="71"/>
  <c r="AC95" i="71"/>
  <c r="AD95" i="71" s="1"/>
  <c r="AA95" i="71"/>
  <c r="AC138" i="71"/>
  <c r="AD138" i="71" s="1"/>
  <c r="AB138" i="71"/>
  <c r="AA138" i="71"/>
  <c r="J43" i="71"/>
  <c r="AB43" i="71" s="1"/>
  <c r="AC78" i="71"/>
  <c r="AD78" i="71" s="1"/>
  <c r="AB78" i="71"/>
  <c r="AA78" i="71"/>
  <c r="J124" i="71"/>
  <c r="AC124" i="71" s="1"/>
  <c r="AD124" i="71" s="1"/>
  <c r="AB135" i="71"/>
  <c r="AC135" i="71"/>
  <c r="AD135" i="71" s="1"/>
  <c r="AA135" i="71"/>
  <c r="AB105" i="71"/>
  <c r="AA105" i="71"/>
  <c r="AC105" i="71"/>
  <c r="AD105" i="71" s="1"/>
  <c r="AC36" i="71"/>
  <c r="AD36" i="71" s="1"/>
  <c r="AA36" i="71"/>
  <c r="AB36" i="71"/>
  <c r="AC44" i="71"/>
  <c r="AD44" i="71" s="1"/>
  <c r="AB44" i="71"/>
  <c r="AB45" i="71"/>
  <c r="AC45" i="71"/>
  <c r="AD45" i="71" s="1"/>
  <c r="AA45" i="71"/>
  <c r="AC38" i="71"/>
  <c r="AD38" i="71" s="1"/>
  <c r="AB38" i="71"/>
  <c r="AA38" i="71"/>
  <c r="AC111" i="71"/>
  <c r="AD111" i="71" s="1"/>
  <c r="AB111" i="71"/>
  <c r="AA111" i="71"/>
  <c r="AB32" i="71"/>
  <c r="AC32" i="71"/>
  <c r="AD32" i="71" s="1"/>
  <c r="AA32" i="71"/>
  <c r="AB88" i="71"/>
  <c r="AC88" i="71"/>
  <c r="AD88" i="71" s="1"/>
  <c r="AA88" i="71"/>
  <c r="AC140" i="71"/>
  <c r="AD140" i="71" s="1"/>
  <c r="AB140" i="71"/>
  <c r="AA140" i="71"/>
  <c r="AA91" i="71"/>
  <c r="AB91" i="71"/>
  <c r="AC91" i="71"/>
  <c r="AD91" i="71" s="1"/>
  <c r="J134" i="71"/>
  <c r="AC134" i="71" s="1"/>
  <c r="AD134" i="71" s="1"/>
  <c r="J39" i="71"/>
  <c r="AB39" i="71" s="1"/>
  <c r="R31" i="71"/>
  <c r="R24" i="71"/>
  <c r="Q24" i="71"/>
  <c r="T24" i="71"/>
  <c r="O29" i="71"/>
  <c r="P29" i="71"/>
  <c r="D22" i="71"/>
  <c r="AB22" i="71" s="1"/>
  <c r="S31" i="71"/>
  <c r="O23" i="71"/>
  <c r="P23" i="71"/>
  <c r="Q29" i="71"/>
  <c r="Q23" i="71"/>
  <c r="O28" i="71"/>
  <c r="P28" i="71"/>
  <c r="O26" i="71"/>
  <c r="P26" i="71"/>
  <c r="T31" i="71"/>
  <c r="O27" i="71"/>
  <c r="P27" i="71"/>
  <c r="O25" i="71"/>
  <c r="P25" i="71"/>
  <c r="S24" i="71"/>
  <c r="O30" i="71"/>
  <c r="P30" i="71"/>
  <c r="Q25" i="71"/>
  <c r="Q31" i="71"/>
  <c r="Q26" i="71"/>
  <c r="U164" i="13"/>
  <c r="T166" i="13"/>
  <c r="T165" i="13"/>
  <c r="S166" i="13"/>
  <c r="S165" i="13"/>
  <c r="T168" i="13"/>
  <c r="T167" i="13"/>
  <c r="S168" i="13"/>
  <c r="S167" i="13"/>
  <c r="T170" i="13"/>
  <c r="T169" i="13"/>
  <c r="S170" i="13"/>
  <c r="S169" i="13"/>
  <c r="T172" i="13"/>
  <c r="T171" i="13"/>
  <c r="S172" i="13"/>
  <c r="S171" i="13"/>
  <c r="S174" i="13"/>
  <c r="S173" i="13"/>
  <c r="T174" i="13"/>
  <c r="T173" i="13"/>
  <c r="P34" i="69"/>
  <c r="P38" i="69"/>
  <c r="P42" i="69"/>
  <c r="P46" i="69"/>
  <c r="P50" i="69"/>
  <c r="P54" i="69"/>
  <c r="P58" i="69"/>
  <c r="P62" i="69"/>
  <c r="P66" i="69"/>
  <c r="P70" i="69"/>
  <c r="P74" i="69"/>
  <c r="P78" i="69"/>
  <c r="P82" i="69"/>
  <c r="Q36" i="69"/>
  <c r="Q40" i="69"/>
  <c r="Q44" i="69"/>
  <c r="Q48" i="69"/>
  <c r="Q52" i="69"/>
  <c r="Q56" i="69"/>
  <c r="Q60" i="69"/>
  <c r="Q64" i="69"/>
  <c r="Q68" i="69"/>
  <c r="Q72" i="69"/>
  <c r="Q76" i="69"/>
  <c r="Q80" i="69"/>
  <c r="Q84" i="69"/>
  <c r="R39" i="69"/>
  <c r="P35" i="69"/>
  <c r="P39" i="69"/>
  <c r="P43" i="69"/>
  <c r="P47" i="69"/>
  <c r="P51" i="69"/>
  <c r="P55" i="69"/>
  <c r="P59" i="69"/>
  <c r="P63" i="69"/>
  <c r="P67" i="69"/>
  <c r="P71" i="69"/>
  <c r="P75" i="69"/>
  <c r="P79" i="69"/>
  <c r="P83" i="69"/>
  <c r="Q33" i="69"/>
  <c r="Q37" i="69"/>
  <c r="Q41" i="69"/>
  <c r="Q45" i="69"/>
  <c r="Q49" i="69"/>
  <c r="Q53" i="69"/>
  <c r="Q57" i="69"/>
  <c r="Q61" i="69"/>
  <c r="Q65" i="69"/>
  <c r="Q69" i="69"/>
  <c r="Q73" i="69"/>
  <c r="Q77" i="69"/>
  <c r="Q81" i="69"/>
  <c r="R83" i="69"/>
  <c r="R81" i="69"/>
  <c r="R79" i="69"/>
  <c r="R77" i="69"/>
  <c r="R75" i="69"/>
  <c r="R73" i="69"/>
  <c r="R71" i="69"/>
  <c r="R69" i="69"/>
  <c r="R67" i="69"/>
  <c r="R65" i="69"/>
  <c r="R63" i="69"/>
  <c r="R61" i="69"/>
  <c r="R59" i="69"/>
  <c r="R57" i="69"/>
  <c r="R55" i="69"/>
  <c r="R53" i="69"/>
  <c r="R51" i="69"/>
  <c r="R49" i="69"/>
  <c r="R47" i="69"/>
  <c r="R45" i="69"/>
  <c r="R43" i="69"/>
  <c r="R41" i="69"/>
  <c r="R37" i="69"/>
  <c r="R35" i="69"/>
  <c r="R33" i="69"/>
  <c r="P36" i="69"/>
  <c r="P40" i="69"/>
  <c r="P44" i="69"/>
  <c r="P48" i="69"/>
  <c r="P52" i="69"/>
  <c r="P56" i="69"/>
  <c r="P60" i="69"/>
  <c r="P64" i="69"/>
  <c r="P68" i="69"/>
  <c r="P72" i="69"/>
  <c r="P76" i="69"/>
  <c r="P80" i="69"/>
  <c r="P84" i="69"/>
  <c r="Q34" i="69"/>
  <c r="Q38" i="69"/>
  <c r="Q42" i="69"/>
  <c r="Q46" i="69"/>
  <c r="Q50" i="69"/>
  <c r="Q54" i="69"/>
  <c r="Q58" i="69"/>
  <c r="Q62" i="69"/>
  <c r="Q66" i="69"/>
  <c r="Q70" i="69"/>
  <c r="Q74" i="69"/>
  <c r="Q78" i="69"/>
  <c r="Q82" i="69"/>
  <c r="R70" i="69"/>
  <c r="R56" i="69"/>
  <c r="R52" i="69"/>
  <c r="R48" i="69"/>
  <c r="R44" i="69"/>
  <c r="R42" i="69"/>
  <c r="R38" i="69"/>
  <c r="R36" i="69"/>
  <c r="P33" i="69"/>
  <c r="P37" i="69"/>
  <c r="P41" i="69"/>
  <c r="P45" i="69"/>
  <c r="P49" i="69"/>
  <c r="P53" i="69"/>
  <c r="P57" i="69"/>
  <c r="P61" i="69"/>
  <c r="P65" i="69"/>
  <c r="P69" i="69"/>
  <c r="P73" i="69"/>
  <c r="P77" i="69"/>
  <c r="P81" i="69"/>
  <c r="Q35" i="69"/>
  <c r="Q39" i="69"/>
  <c r="Q43" i="69"/>
  <c r="Q47" i="69"/>
  <c r="Q51" i="69"/>
  <c r="Q55" i="69"/>
  <c r="Q59" i="69"/>
  <c r="Q63" i="69"/>
  <c r="Q67" i="69"/>
  <c r="Q71" i="69"/>
  <c r="Q75" i="69"/>
  <c r="Q79" i="69"/>
  <c r="Q83" i="69"/>
  <c r="R84" i="69"/>
  <c r="R82" i="69"/>
  <c r="R80" i="69"/>
  <c r="R78" i="69"/>
  <c r="R76" i="69"/>
  <c r="R74" i="69"/>
  <c r="R72" i="69"/>
  <c r="R68" i="69"/>
  <c r="R66" i="69"/>
  <c r="R64" i="69"/>
  <c r="R62" i="69"/>
  <c r="R60" i="69"/>
  <c r="R58" i="69"/>
  <c r="R54" i="69"/>
  <c r="R50" i="69"/>
  <c r="R46" i="69"/>
  <c r="R40" i="69"/>
  <c r="R34" i="69"/>
  <c r="O33" i="58"/>
  <c r="T33" i="58" s="1"/>
  <c r="O34" i="58"/>
  <c r="O38" i="58"/>
  <c r="O42" i="58"/>
  <c r="O41" i="58"/>
  <c r="O35" i="58"/>
  <c r="O39" i="58"/>
  <c r="O43" i="58"/>
  <c r="O36" i="58"/>
  <c r="O40" i="58"/>
  <c r="O37" i="58"/>
  <c r="O24" i="58"/>
  <c r="O28" i="58"/>
  <c r="O32" i="58"/>
  <c r="O25" i="58"/>
  <c r="O26" i="58"/>
  <c r="O30" i="58"/>
  <c r="O27" i="58"/>
  <c r="O31" i="58"/>
  <c r="O29" i="58"/>
  <c r="P26" i="69"/>
  <c r="Q26" i="69" s="1"/>
  <c r="R26" i="69" s="1"/>
  <c r="P30" i="69"/>
  <c r="Q30" i="69" s="1"/>
  <c r="P23" i="69"/>
  <c r="Q23" i="69" s="1"/>
  <c r="R23" i="69" s="1"/>
  <c r="P27" i="69"/>
  <c r="S27" i="69" s="1"/>
  <c r="P31" i="69"/>
  <c r="Q31" i="69" s="1"/>
  <c r="P24" i="69"/>
  <c r="Q24" i="69" s="1"/>
  <c r="R24" i="69" s="1"/>
  <c r="P28" i="69"/>
  <c r="Q28" i="69" s="1"/>
  <c r="P32" i="69"/>
  <c r="Q27" i="69"/>
  <c r="R27" i="69" s="1"/>
  <c r="P25" i="69"/>
  <c r="T25" i="69" s="1"/>
  <c r="P29" i="69"/>
  <c r="Q29" i="69" s="1"/>
  <c r="Q32" i="69"/>
  <c r="T176" i="13"/>
  <c r="T175" i="13"/>
  <c r="S176" i="13"/>
  <c r="S175" i="13"/>
  <c r="T178" i="13"/>
  <c r="T177" i="13"/>
  <c r="S178" i="13"/>
  <c r="S177" i="13"/>
  <c r="T180" i="13"/>
  <c r="T179" i="13"/>
  <c r="S180" i="13"/>
  <c r="S179" i="13"/>
  <c r="S182" i="13"/>
  <c r="S181" i="13"/>
  <c r="T182" i="13"/>
  <c r="T181" i="13"/>
  <c r="T184" i="13"/>
  <c r="T183" i="13"/>
  <c r="S184" i="13"/>
  <c r="S183" i="13"/>
  <c r="AB29" i="71"/>
  <c r="AC29" i="71"/>
  <c r="AD29" i="71" s="1"/>
  <c r="AC28" i="71"/>
  <c r="AD28" i="71" s="1"/>
  <c r="AB28" i="71"/>
  <c r="T186" i="13"/>
  <c r="T185" i="13"/>
  <c r="AC27" i="71"/>
  <c r="AD27" i="71" s="1"/>
  <c r="AB27" i="71"/>
  <c r="AC24" i="71"/>
  <c r="AD24" i="71" s="1"/>
  <c r="AB24" i="71"/>
  <c r="S186" i="13"/>
  <c r="S185" i="13"/>
  <c r="AB25" i="71"/>
  <c r="AC25" i="71"/>
  <c r="AD25" i="71" s="1"/>
  <c r="AC30" i="71"/>
  <c r="AD30" i="71" s="1"/>
  <c r="AB30" i="71"/>
  <c r="AB23" i="71"/>
  <c r="AC23" i="71"/>
  <c r="AD23" i="71" s="1"/>
  <c r="AB26" i="71"/>
  <c r="AC26" i="71"/>
  <c r="AD26" i="71" s="1"/>
  <c r="AA28" i="70"/>
  <c r="N25" i="70"/>
  <c r="O25" i="70"/>
  <c r="AC27" i="70"/>
  <c r="AD27" i="70" s="1"/>
  <c r="N26" i="70"/>
  <c r="Q26" i="70" s="1"/>
  <c r="O26" i="70"/>
  <c r="N29" i="70"/>
  <c r="O29" i="70"/>
  <c r="AC24" i="70"/>
  <c r="AD24" i="70" s="1"/>
  <c r="AC29" i="70"/>
  <c r="AD29" i="70" s="1"/>
  <c r="AC25" i="70"/>
  <c r="AD25" i="70" s="1"/>
  <c r="N23" i="70"/>
  <c r="Q23" i="70" s="1"/>
  <c r="O23" i="70"/>
  <c r="O24" i="70"/>
  <c r="N24" i="70"/>
  <c r="AA31" i="70"/>
  <c r="N31" i="70"/>
  <c r="O31" i="70"/>
  <c r="N30" i="70"/>
  <c r="O30" i="70"/>
  <c r="O27" i="70"/>
  <c r="N27" i="70"/>
  <c r="AA30" i="70"/>
  <c r="AA23" i="70"/>
  <c r="N22" i="70"/>
  <c r="O22" i="70"/>
  <c r="AC26" i="70"/>
  <c r="AD26" i="70" s="1"/>
  <c r="N28" i="70"/>
  <c r="O28" i="70"/>
  <c r="O23" i="58"/>
  <c r="P23" i="58" s="1"/>
  <c r="U187" i="13"/>
  <c r="N6" i="15" a="1"/>
  <c r="N6" i="15" s="1"/>
  <c r="BF186" i="13"/>
  <c r="BF190" i="13" s="1"/>
  <c r="N6" i="44" a="1"/>
  <c r="N6" i="44" s="1"/>
  <c r="BY5" i="12" a="1"/>
  <c r="BY5" i="12" s="1"/>
  <c r="BX5" i="12" a="1"/>
  <c r="BX5" i="12" s="1"/>
  <c r="E31" i="71" l="1"/>
  <c r="F31" i="71"/>
  <c r="H31" i="71" s="1"/>
  <c r="U28" i="71"/>
  <c r="U23" i="71"/>
  <c r="U29" i="71"/>
  <c r="U31" i="71"/>
  <c r="E43" i="71"/>
  <c r="F43" i="71"/>
  <c r="H43" i="71" s="1"/>
  <c r="F58" i="71"/>
  <c r="H58" i="71" s="1"/>
  <c r="E58" i="71"/>
  <c r="E46" i="71"/>
  <c r="F46" i="71"/>
  <c r="H46" i="71" s="1"/>
  <c r="F56" i="71"/>
  <c r="H56" i="71" s="1"/>
  <c r="E56" i="71"/>
  <c r="E121" i="71"/>
  <c r="F121" i="71"/>
  <c r="H121" i="71" s="1"/>
  <c r="E93" i="71"/>
  <c r="F93" i="71"/>
  <c r="H93" i="71" s="1"/>
  <c r="AA54" i="71"/>
  <c r="F54" i="71"/>
  <c r="H54" i="71" s="1"/>
  <c r="E54" i="71"/>
  <c r="AB48" i="71"/>
  <c r="AA48" i="71"/>
  <c r="F42" i="71"/>
  <c r="H42" i="71" s="1"/>
  <c r="E42" i="71"/>
  <c r="E113" i="71"/>
  <c r="F113" i="71"/>
  <c r="H113" i="71" s="1"/>
  <c r="E77" i="71"/>
  <c r="F77" i="71"/>
  <c r="H77" i="71" s="1"/>
  <c r="E96" i="71"/>
  <c r="F96" i="71"/>
  <c r="H96" i="71" s="1"/>
  <c r="E41" i="71"/>
  <c r="F41" i="71"/>
  <c r="H41" i="71" s="1"/>
  <c r="AB126" i="71"/>
  <c r="AA126" i="71"/>
  <c r="E34" i="71"/>
  <c r="F34" i="71"/>
  <c r="H34" i="71" s="1"/>
  <c r="AB136" i="71"/>
  <c r="AA136" i="71"/>
  <c r="AB40" i="71"/>
  <c r="AA40" i="71"/>
  <c r="F120" i="71"/>
  <c r="H120" i="71" s="1"/>
  <c r="E120" i="71"/>
  <c r="F112" i="71"/>
  <c r="H112" i="71" s="1"/>
  <c r="E112" i="71"/>
  <c r="E61" i="71"/>
  <c r="F61" i="71"/>
  <c r="H61" i="71" s="1"/>
  <c r="F114" i="71"/>
  <c r="H114" i="71" s="1"/>
  <c r="E114" i="71"/>
  <c r="F62" i="71"/>
  <c r="H62" i="71" s="1"/>
  <c r="E62" i="71"/>
  <c r="E85" i="71"/>
  <c r="F85" i="71"/>
  <c r="H85" i="71" s="1"/>
  <c r="E133" i="71"/>
  <c r="F133" i="71"/>
  <c r="H133" i="71" s="1"/>
  <c r="F94" i="71"/>
  <c r="H94" i="71" s="1"/>
  <c r="E94" i="71"/>
  <c r="E53" i="71"/>
  <c r="F53" i="71"/>
  <c r="H53" i="71" s="1"/>
  <c r="U25" i="71"/>
  <c r="E32" i="71"/>
  <c r="F32" i="71"/>
  <c r="H32" i="71" s="1"/>
  <c r="E36" i="71"/>
  <c r="F36" i="71"/>
  <c r="H36" i="71" s="1"/>
  <c r="F135" i="71"/>
  <c r="H135" i="71" s="1"/>
  <c r="E135" i="71"/>
  <c r="E78" i="71"/>
  <c r="F78" i="71"/>
  <c r="H78" i="71" s="1"/>
  <c r="E97" i="71"/>
  <c r="F97" i="71"/>
  <c r="H97" i="71" s="1"/>
  <c r="E99" i="71"/>
  <c r="F99" i="71"/>
  <c r="H99" i="71" s="1"/>
  <c r="E75" i="71"/>
  <c r="F75" i="71"/>
  <c r="H75" i="71" s="1"/>
  <c r="E37" i="71"/>
  <c r="F37" i="71"/>
  <c r="H37" i="71" s="1"/>
  <c r="AB64" i="71"/>
  <c r="AA64" i="71"/>
  <c r="AC35" i="71"/>
  <c r="AD35" i="71" s="1"/>
  <c r="AA35" i="71"/>
  <c r="E132" i="71"/>
  <c r="F132" i="71"/>
  <c r="H132" i="71" s="1"/>
  <c r="E49" i="71"/>
  <c r="F49" i="71"/>
  <c r="H49" i="71" s="1"/>
  <c r="AC48" i="71"/>
  <c r="AD48" i="71" s="1"/>
  <c r="F86" i="71"/>
  <c r="H86" i="71" s="1"/>
  <c r="E86" i="71"/>
  <c r="AC126" i="71"/>
  <c r="AD126" i="71" s="1"/>
  <c r="F70" i="71"/>
  <c r="H70" i="71" s="1"/>
  <c r="E70" i="71"/>
  <c r="F73" i="71"/>
  <c r="H73" i="71" s="1"/>
  <c r="E73" i="71"/>
  <c r="F104" i="71"/>
  <c r="H104" i="71" s="1"/>
  <c r="E104" i="71"/>
  <c r="E106" i="71"/>
  <c r="F106" i="71"/>
  <c r="H106" i="71" s="1"/>
  <c r="AC136" i="71"/>
  <c r="AD136" i="71" s="1"/>
  <c r="AC40" i="71"/>
  <c r="AD40" i="71" s="1"/>
  <c r="F108" i="71"/>
  <c r="H108" i="71" s="1"/>
  <c r="E108" i="71"/>
  <c r="F57" i="71"/>
  <c r="H57" i="71" s="1"/>
  <c r="E57" i="71"/>
  <c r="E116" i="71"/>
  <c r="F116" i="71"/>
  <c r="H116" i="71" s="1"/>
  <c r="F119" i="71"/>
  <c r="H119" i="71" s="1"/>
  <c r="E119" i="71"/>
  <c r="E139" i="71"/>
  <c r="F139" i="71"/>
  <c r="H139" i="71" s="1"/>
  <c r="E130" i="71"/>
  <c r="F130" i="71"/>
  <c r="H130" i="71" s="1"/>
  <c r="E60" i="71"/>
  <c r="F60" i="71"/>
  <c r="H60" i="71" s="1"/>
  <c r="U30" i="71"/>
  <c r="U26" i="71"/>
  <c r="AC39" i="71"/>
  <c r="AD39" i="71" s="1"/>
  <c r="AA39" i="71"/>
  <c r="F140" i="71"/>
  <c r="H140" i="71" s="1"/>
  <c r="E140" i="71"/>
  <c r="F88" i="71"/>
  <c r="H88" i="71" s="1"/>
  <c r="E88" i="71"/>
  <c r="F38" i="71"/>
  <c r="H38" i="71" s="1"/>
  <c r="E38" i="71"/>
  <c r="E45" i="71"/>
  <c r="F45" i="71"/>
  <c r="H45" i="71" s="1"/>
  <c r="F105" i="71"/>
  <c r="H105" i="71" s="1"/>
  <c r="E105" i="71"/>
  <c r="AB124" i="71"/>
  <c r="AA124" i="71"/>
  <c r="F138" i="71"/>
  <c r="H138" i="71" s="1"/>
  <c r="E138" i="71"/>
  <c r="E95" i="71"/>
  <c r="F95" i="71"/>
  <c r="H95" i="71" s="1"/>
  <c r="AB67" i="71"/>
  <c r="AA67" i="71"/>
  <c r="E129" i="71"/>
  <c r="F129" i="71"/>
  <c r="H129" i="71" s="1"/>
  <c r="AB63" i="71"/>
  <c r="AA63" i="71"/>
  <c r="E123" i="71"/>
  <c r="F123" i="71"/>
  <c r="H123" i="71" s="1"/>
  <c r="E103" i="71"/>
  <c r="F103" i="71"/>
  <c r="H103" i="71" s="1"/>
  <c r="AC64" i="71"/>
  <c r="AD64" i="71" s="1"/>
  <c r="AB35" i="71"/>
  <c r="E55" i="71"/>
  <c r="F55" i="71"/>
  <c r="H55" i="71" s="1"/>
  <c r="AA107" i="71"/>
  <c r="AC107" i="71"/>
  <c r="AD107" i="71" s="1"/>
  <c r="E74" i="71"/>
  <c r="F74" i="71"/>
  <c r="H74" i="71" s="1"/>
  <c r="E98" i="71"/>
  <c r="F98" i="71"/>
  <c r="H98" i="71" s="1"/>
  <c r="AB52" i="71"/>
  <c r="AA52" i="71"/>
  <c r="E100" i="71"/>
  <c r="F100" i="71"/>
  <c r="H100" i="71" s="1"/>
  <c r="E66" i="71"/>
  <c r="F66" i="71"/>
  <c r="H66" i="71" s="1"/>
  <c r="AB80" i="71"/>
  <c r="AA80" i="71"/>
  <c r="AB68" i="71"/>
  <c r="AA68" i="71"/>
  <c r="E69" i="71"/>
  <c r="F69" i="71"/>
  <c r="H69" i="71" s="1"/>
  <c r="E118" i="71"/>
  <c r="F118" i="71"/>
  <c r="H118" i="71" s="1"/>
  <c r="F122" i="71"/>
  <c r="H122" i="71" s="1"/>
  <c r="E122" i="71"/>
  <c r="F79" i="71"/>
  <c r="H79" i="71" s="1"/>
  <c r="E79" i="71"/>
  <c r="E50" i="71"/>
  <c r="F50" i="71"/>
  <c r="H50" i="71" s="1"/>
  <c r="AA51" i="71"/>
  <c r="AC51" i="71"/>
  <c r="AD51" i="71" s="1"/>
  <c r="F87" i="71"/>
  <c r="H87" i="71" s="1"/>
  <c r="E87" i="71"/>
  <c r="E117" i="71"/>
  <c r="F117" i="71"/>
  <c r="H117" i="71" s="1"/>
  <c r="E131" i="71"/>
  <c r="F131" i="71"/>
  <c r="H131" i="71" s="1"/>
  <c r="AB128" i="71"/>
  <c r="AA128" i="71"/>
  <c r="F84" i="71"/>
  <c r="H84" i="71" s="1"/>
  <c r="E84" i="71"/>
  <c r="E101" i="71"/>
  <c r="F101" i="71"/>
  <c r="H101" i="71" s="1"/>
  <c r="AB134" i="71"/>
  <c r="AA134" i="71"/>
  <c r="U27" i="71"/>
  <c r="E39" i="71"/>
  <c r="F39" i="71"/>
  <c r="H39" i="71" s="1"/>
  <c r="F91" i="71"/>
  <c r="H91" i="71" s="1"/>
  <c r="E91" i="71"/>
  <c r="E111" i="71"/>
  <c r="F111" i="71"/>
  <c r="H111" i="71" s="1"/>
  <c r="AA44" i="71"/>
  <c r="F44" i="71"/>
  <c r="H44" i="71" s="1"/>
  <c r="E44" i="71"/>
  <c r="AC43" i="71"/>
  <c r="AD43" i="71" s="1"/>
  <c r="AA43" i="71"/>
  <c r="E90" i="71"/>
  <c r="F90" i="71"/>
  <c r="H90" i="71" s="1"/>
  <c r="E115" i="71"/>
  <c r="F115" i="71"/>
  <c r="H115" i="71" s="1"/>
  <c r="U24" i="71"/>
  <c r="E82" i="71"/>
  <c r="F82" i="71"/>
  <c r="H82" i="71" s="1"/>
  <c r="E102" i="71"/>
  <c r="F102" i="71"/>
  <c r="H102" i="71" s="1"/>
  <c r="E89" i="71"/>
  <c r="F89" i="71"/>
  <c r="H89" i="71" s="1"/>
  <c r="E107" i="71"/>
  <c r="F107" i="71"/>
  <c r="H107" i="71" s="1"/>
  <c r="F109" i="71"/>
  <c r="H109" i="71" s="1"/>
  <c r="E109" i="71"/>
  <c r="E59" i="71"/>
  <c r="F59" i="71"/>
  <c r="H59" i="71" s="1"/>
  <c r="E47" i="71"/>
  <c r="F47" i="71"/>
  <c r="H47" i="71" s="1"/>
  <c r="F137" i="71"/>
  <c r="H137" i="71" s="1"/>
  <c r="E137" i="71"/>
  <c r="E110" i="71"/>
  <c r="F110" i="71"/>
  <c r="H110" i="71" s="1"/>
  <c r="F92" i="71"/>
  <c r="H92" i="71" s="1"/>
  <c r="E92" i="71"/>
  <c r="AA65" i="71"/>
  <c r="F65" i="71"/>
  <c r="H65" i="71" s="1"/>
  <c r="E65" i="71"/>
  <c r="E33" i="71"/>
  <c r="F33" i="71"/>
  <c r="H33" i="71" s="1"/>
  <c r="AA81" i="71"/>
  <c r="F81" i="71"/>
  <c r="H81" i="71" s="1"/>
  <c r="E81" i="71"/>
  <c r="E72" i="71"/>
  <c r="F72" i="71"/>
  <c r="H72" i="71" s="1"/>
  <c r="F71" i="71"/>
  <c r="H71" i="71" s="1"/>
  <c r="E71" i="71"/>
  <c r="E125" i="71"/>
  <c r="F125" i="71"/>
  <c r="H125" i="71" s="1"/>
  <c r="E76" i="71"/>
  <c r="F76" i="71"/>
  <c r="H76" i="71" s="1"/>
  <c r="E83" i="71"/>
  <c r="F83" i="71"/>
  <c r="H83" i="71" s="1"/>
  <c r="AA120" i="71"/>
  <c r="AC120" i="71"/>
  <c r="AD120" i="71" s="1"/>
  <c r="E51" i="71"/>
  <c r="F51" i="71"/>
  <c r="H51" i="71" s="1"/>
  <c r="E127" i="71"/>
  <c r="F127" i="71"/>
  <c r="H127" i="71" s="1"/>
  <c r="E30" i="71"/>
  <c r="F30" i="71"/>
  <c r="H30" i="71" s="1"/>
  <c r="E27" i="71"/>
  <c r="F27" i="71"/>
  <c r="H27" i="71" s="1"/>
  <c r="F26" i="71"/>
  <c r="H26" i="71" s="1"/>
  <c r="E26" i="71"/>
  <c r="F28" i="71"/>
  <c r="H28" i="71" s="1"/>
  <c r="E28" i="71"/>
  <c r="F24" i="71"/>
  <c r="H24" i="71" s="1"/>
  <c r="E24" i="71"/>
  <c r="E23" i="71"/>
  <c r="F23" i="71"/>
  <c r="H23" i="71" s="1"/>
  <c r="E25" i="71"/>
  <c r="F25" i="71"/>
  <c r="H25" i="71" s="1"/>
  <c r="E29" i="71"/>
  <c r="F29" i="71"/>
  <c r="H29" i="71" s="1"/>
  <c r="AA30" i="71"/>
  <c r="AA28" i="71"/>
  <c r="AA26" i="71"/>
  <c r="AA24" i="71"/>
  <c r="AA27" i="71"/>
  <c r="AA23" i="71"/>
  <c r="AA25" i="71"/>
  <c r="AA29" i="71"/>
  <c r="AC22" i="71"/>
  <c r="AD22" i="71" s="1"/>
  <c r="E22" i="71"/>
  <c r="AA22" i="71"/>
  <c r="F22" i="71"/>
  <c r="H22" i="71" s="1"/>
  <c r="T27" i="71"/>
  <c r="R27" i="71"/>
  <c r="S27" i="71"/>
  <c r="R28" i="71"/>
  <c r="S28" i="71"/>
  <c r="T28" i="71"/>
  <c r="R23" i="71"/>
  <c r="S23" i="71"/>
  <c r="T23" i="71"/>
  <c r="R30" i="71"/>
  <c r="T30" i="71"/>
  <c r="S30" i="71"/>
  <c r="R26" i="71"/>
  <c r="T26" i="71"/>
  <c r="S26" i="71"/>
  <c r="N22" i="71"/>
  <c r="O22" i="71" s="1"/>
  <c r="P22" i="71" s="1"/>
  <c r="Q22" i="71" s="1"/>
  <c r="R25" i="71"/>
  <c r="T25" i="71"/>
  <c r="S25" i="71"/>
  <c r="S29" i="71"/>
  <c r="T29" i="71"/>
  <c r="R29" i="71"/>
  <c r="R33" i="58"/>
  <c r="U174" i="13"/>
  <c r="U172" i="13"/>
  <c r="U170" i="13"/>
  <c r="U168" i="13"/>
  <c r="S24" i="69"/>
  <c r="U166" i="13"/>
  <c r="U165" i="13"/>
  <c r="U169" i="13"/>
  <c r="U167" i="13"/>
  <c r="U171" i="13"/>
  <c r="U173" i="13"/>
  <c r="S26" i="69"/>
  <c r="Q25" i="69"/>
  <c r="V25" i="69" s="1"/>
  <c r="V28" i="69"/>
  <c r="V75" i="69"/>
  <c r="V59" i="69"/>
  <c r="V43" i="69"/>
  <c r="T77" i="69"/>
  <c r="S77" i="69"/>
  <c r="U77" i="69"/>
  <c r="S61" i="69"/>
  <c r="T61" i="69"/>
  <c r="U61" i="69"/>
  <c r="T45" i="69"/>
  <c r="U45" i="69"/>
  <c r="S45" i="69"/>
  <c r="V82" i="69"/>
  <c r="V66" i="69"/>
  <c r="V34" i="69"/>
  <c r="S72" i="69"/>
  <c r="T72" i="69"/>
  <c r="U72" i="69"/>
  <c r="T56" i="69"/>
  <c r="S56" i="69"/>
  <c r="U56" i="69"/>
  <c r="T40" i="69"/>
  <c r="U40" i="69"/>
  <c r="S40" i="69"/>
  <c r="V45" i="69"/>
  <c r="S83" i="69"/>
  <c r="U83" i="69"/>
  <c r="T83" i="69"/>
  <c r="T67" i="69"/>
  <c r="U67" i="69"/>
  <c r="S67" i="69"/>
  <c r="T51" i="69"/>
  <c r="S51" i="69"/>
  <c r="U51" i="69"/>
  <c r="V76" i="69"/>
  <c r="T78" i="69"/>
  <c r="S78" i="69"/>
  <c r="U78" i="69"/>
  <c r="S62" i="69"/>
  <c r="U62" i="69"/>
  <c r="T62" i="69"/>
  <c r="S46" i="69"/>
  <c r="U46" i="69"/>
  <c r="T46" i="69"/>
  <c r="V39" i="69"/>
  <c r="S73" i="69"/>
  <c r="U73" i="69"/>
  <c r="T73" i="69"/>
  <c r="T57" i="69"/>
  <c r="U57" i="69"/>
  <c r="S57" i="69"/>
  <c r="S41" i="69"/>
  <c r="T41" i="69"/>
  <c r="U41" i="69"/>
  <c r="V78" i="69"/>
  <c r="V62" i="69"/>
  <c r="V46" i="69"/>
  <c r="S84" i="69"/>
  <c r="T84" i="69"/>
  <c r="U84" i="69"/>
  <c r="T68" i="69"/>
  <c r="S68" i="69"/>
  <c r="U68" i="69"/>
  <c r="T52" i="69"/>
  <c r="U52" i="69"/>
  <c r="S52" i="69"/>
  <c r="S36" i="69"/>
  <c r="T36" i="69"/>
  <c r="U36" i="69"/>
  <c r="V73" i="69"/>
  <c r="V57" i="69"/>
  <c r="T79" i="69"/>
  <c r="U79" i="69"/>
  <c r="S79" i="69"/>
  <c r="S63" i="69"/>
  <c r="T63" i="69"/>
  <c r="U63" i="69"/>
  <c r="S47" i="69"/>
  <c r="U47" i="69"/>
  <c r="T47" i="69"/>
  <c r="V72" i="69"/>
  <c r="V56" i="69"/>
  <c r="T74" i="69"/>
  <c r="U74" i="69"/>
  <c r="S74" i="69"/>
  <c r="T58" i="69"/>
  <c r="S58" i="69"/>
  <c r="U58" i="69"/>
  <c r="U42" i="69"/>
  <c r="T42" i="69"/>
  <c r="S42" i="69"/>
  <c r="V51" i="69"/>
  <c r="T69" i="69"/>
  <c r="U69" i="69"/>
  <c r="S69" i="69"/>
  <c r="U53" i="69"/>
  <c r="T53" i="69"/>
  <c r="S53" i="69"/>
  <c r="T37" i="69"/>
  <c r="S37" i="69"/>
  <c r="U37" i="69"/>
  <c r="V42" i="69"/>
  <c r="S80" i="69"/>
  <c r="T80" i="69"/>
  <c r="U80" i="69"/>
  <c r="S64" i="69"/>
  <c r="T64" i="69"/>
  <c r="U64" i="69"/>
  <c r="S48" i="69"/>
  <c r="T48" i="69"/>
  <c r="U48" i="69"/>
  <c r="V53" i="69"/>
  <c r="T75" i="69"/>
  <c r="S75" i="69"/>
  <c r="U75" i="69"/>
  <c r="U59" i="69"/>
  <c r="S59" i="69"/>
  <c r="T59" i="69"/>
  <c r="U43" i="69"/>
  <c r="AQ43" i="69" s="1"/>
  <c r="T43" i="69"/>
  <c r="S43" i="69"/>
  <c r="V84" i="69"/>
  <c r="S70" i="69"/>
  <c r="U70" i="69"/>
  <c r="T70" i="69"/>
  <c r="S54" i="69"/>
  <c r="T54" i="69"/>
  <c r="U54" i="69"/>
  <c r="T38" i="69"/>
  <c r="S38" i="69"/>
  <c r="U38" i="69"/>
  <c r="V63" i="69"/>
  <c r="V47" i="69"/>
  <c r="T81" i="69"/>
  <c r="S81" i="69"/>
  <c r="U81" i="69"/>
  <c r="U65" i="69"/>
  <c r="S65" i="69"/>
  <c r="T65" i="69"/>
  <c r="T49" i="69"/>
  <c r="S49" i="69"/>
  <c r="U49" i="69"/>
  <c r="U33" i="69"/>
  <c r="T33" i="69"/>
  <c r="S33" i="69"/>
  <c r="V54" i="69"/>
  <c r="V38" i="69"/>
  <c r="T76" i="69"/>
  <c r="S76" i="69"/>
  <c r="U76" i="69"/>
  <c r="S60" i="69"/>
  <c r="T60" i="69"/>
  <c r="U60" i="69"/>
  <c r="S44" i="69"/>
  <c r="U44" i="69"/>
  <c r="T44" i="69"/>
  <c r="V81" i="69"/>
  <c r="V65" i="69"/>
  <c r="V49" i="69"/>
  <c r="V33" i="69"/>
  <c r="U71" i="69"/>
  <c r="T71" i="69"/>
  <c r="S71" i="69"/>
  <c r="S55" i="69"/>
  <c r="T55" i="69"/>
  <c r="U55" i="69"/>
  <c r="T39" i="69"/>
  <c r="S39" i="69"/>
  <c r="U39" i="69"/>
  <c r="AQ39" i="69" s="1"/>
  <c r="V80" i="69"/>
  <c r="V48" i="69"/>
  <c r="S82" i="69"/>
  <c r="T82" i="69"/>
  <c r="U82" i="69"/>
  <c r="T66" i="69"/>
  <c r="S66" i="69"/>
  <c r="U66" i="69"/>
  <c r="S50" i="69"/>
  <c r="U50" i="69"/>
  <c r="T50" i="69"/>
  <c r="S34" i="69"/>
  <c r="U34" i="69"/>
  <c r="AQ34" i="69" s="1"/>
  <c r="T34" i="69"/>
  <c r="V141" i="69"/>
  <c r="AQ141" i="69" s="1"/>
  <c r="V116" i="69"/>
  <c r="AQ116" i="69" s="1"/>
  <c r="V50" i="69"/>
  <c r="V91" i="69"/>
  <c r="AQ91" i="69" s="1"/>
  <c r="V94" i="69"/>
  <c r="AQ94" i="69" s="1"/>
  <c r="V36" i="69"/>
  <c r="V69" i="69"/>
  <c r="V124" i="69"/>
  <c r="AQ124" i="69" s="1"/>
  <c r="V79" i="69"/>
  <c r="V77" i="69"/>
  <c r="V52" i="69"/>
  <c r="V128" i="69"/>
  <c r="AQ128" i="69" s="1"/>
  <c r="V74" i="69"/>
  <c r="V104" i="69"/>
  <c r="AQ104" i="69" s="1"/>
  <c r="V121" i="69"/>
  <c r="AQ121" i="69" s="1"/>
  <c r="V123" i="69"/>
  <c r="AQ123" i="69" s="1"/>
  <c r="V96" i="69"/>
  <c r="AQ96" i="69" s="1"/>
  <c r="V125" i="69"/>
  <c r="AQ125" i="69" s="1"/>
  <c r="V132" i="69"/>
  <c r="AQ132" i="69" s="1"/>
  <c r="V126" i="69"/>
  <c r="AQ126" i="69" s="1"/>
  <c r="V111" i="69"/>
  <c r="AQ111" i="69" s="1"/>
  <c r="V35" i="69"/>
  <c r="V67" i="69"/>
  <c r="V68" i="69"/>
  <c r="V106" i="69"/>
  <c r="AQ106" i="69" s="1"/>
  <c r="V37" i="69"/>
  <c r="V100" i="69"/>
  <c r="AQ100" i="69" s="1"/>
  <c r="V55" i="69"/>
  <c r="V109" i="69"/>
  <c r="AQ109" i="69" s="1"/>
  <c r="V119" i="69"/>
  <c r="AQ119" i="69" s="1"/>
  <c r="V70" i="69"/>
  <c r="V44" i="69"/>
  <c r="V60" i="69"/>
  <c r="V40" i="69"/>
  <c r="V58" i="69"/>
  <c r="V71" i="69"/>
  <c r="V83" i="69"/>
  <c r="V136" i="69"/>
  <c r="AQ136" i="69" s="1"/>
  <c r="V64" i="69"/>
  <c r="V131" i="69"/>
  <c r="AQ131" i="69" s="1"/>
  <c r="V41" i="69"/>
  <c r="V112" i="69"/>
  <c r="AQ112" i="69" s="1"/>
  <c r="V102" i="69"/>
  <c r="AQ102" i="69" s="1"/>
  <c r="V86" i="69"/>
  <c r="AQ86" i="69" s="1"/>
  <c r="V107" i="69"/>
  <c r="AQ107" i="69" s="1"/>
  <c r="V61" i="69"/>
  <c r="V142" i="69"/>
  <c r="AQ142" i="69" s="1"/>
  <c r="V135" i="69"/>
  <c r="AQ135" i="69" s="1"/>
  <c r="V138" i="69"/>
  <c r="AQ138" i="69" s="1"/>
  <c r="V85" i="69"/>
  <c r="AQ85" i="69" s="1"/>
  <c r="V140" i="69"/>
  <c r="AQ140" i="69" s="1"/>
  <c r="V110" i="69"/>
  <c r="AQ110" i="69" s="1"/>
  <c r="V101" i="69"/>
  <c r="AQ101" i="69" s="1"/>
  <c r="V89" i="69"/>
  <c r="AQ89" i="69" s="1"/>
  <c r="V137" i="69"/>
  <c r="AQ137" i="69" s="1"/>
  <c r="V115" i="69"/>
  <c r="AQ115" i="69" s="1"/>
  <c r="V134" i="69"/>
  <c r="AQ134" i="69" s="1"/>
  <c r="V105" i="69"/>
  <c r="AQ105" i="69" s="1"/>
  <c r="V87" i="69"/>
  <c r="AQ87" i="69" s="1"/>
  <c r="V108" i="69"/>
  <c r="AQ108" i="69" s="1"/>
  <c r="V98" i="69"/>
  <c r="AQ98" i="69" s="1"/>
  <c r="V139" i="69"/>
  <c r="AQ139" i="69" s="1"/>
  <c r="V92" i="69"/>
  <c r="AQ92" i="69" s="1"/>
  <c r="V99" i="69"/>
  <c r="AQ99" i="69" s="1"/>
  <c r="V88" i="69"/>
  <c r="AQ88" i="69" s="1"/>
  <c r="V113" i="69"/>
  <c r="AQ113" i="69" s="1"/>
  <c r="V133" i="69"/>
  <c r="AQ133" i="69" s="1"/>
  <c r="V130" i="69"/>
  <c r="AQ130" i="69" s="1"/>
  <c r="V117" i="69"/>
  <c r="AQ117" i="69" s="1"/>
  <c r="V93" i="69"/>
  <c r="AQ93" i="69" s="1"/>
  <c r="V95" i="69"/>
  <c r="AQ95" i="69" s="1"/>
  <c r="V122" i="69"/>
  <c r="AQ122" i="69" s="1"/>
  <c r="V97" i="69"/>
  <c r="AQ97" i="69" s="1"/>
  <c r="V114" i="69"/>
  <c r="AQ114" i="69" s="1"/>
  <c r="V127" i="69"/>
  <c r="AQ127" i="69" s="1"/>
  <c r="V120" i="69"/>
  <c r="AQ120" i="69" s="1"/>
  <c r="V118" i="69"/>
  <c r="AQ118" i="69" s="1"/>
  <c r="V90" i="69"/>
  <c r="AQ90" i="69" s="1"/>
  <c r="V129" i="69"/>
  <c r="AQ129" i="69" s="1"/>
  <c r="V103" i="69"/>
  <c r="AQ103" i="69" s="1"/>
  <c r="V31" i="69"/>
  <c r="U126" i="71"/>
  <c r="U103" i="71"/>
  <c r="U32" i="71"/>
  <c r="U141" i="71"/>
  <c r="U72" i="71"/>
  <c r="U121" i="71"/>
  <c r="U110" i="71"/>
  <c r="U131" i="71"/>
  <c r="U106" i="71"/>
  <c r="U81" i="71"/>
  <c r="U111" i="71"/>
  <c r="U86" i="71"/>
  <c r="U137" i="71"/>
  <c r="U95" i="71"/>
  <c r="U59" i="71"/>
  <c r="U49" i="71"/>
  <c r="U109" i="71"/>
  <c r="U46" i="71"/>
  <c r="U133" i="71"/>
  <c r="U51" i="71"/>
  <c r="U105" i="71"/>
  <c r="U123" i="71"/>
  <c r="U71" i="71"/>
  <c r="U125" i="71"/>
  <c r="U65" i="71"/>
  <c r="U140" i="71"/>
  <c r="U73" i="71"/>
  <c r="U101" i="71"/>
  <c r="U48" i="71"/>
  <c r="U116" i="71"/>
  <c r="U39" i="71"/>
  <c r="U138" i="71"/>
  <c r="U69" i="71"/>
  <c r="U99" i="71"/>
  <c r="U84" i="71"/>
  <c r="U40" i="71"/>
  <c r="U139" i="71"/>
  <c r="U120" i="71"/>
  <c r="U66" i="71"/>
  <c r="U136" i="71"/>
  <c r="U93" i="71"/>
  <c r="U53" i="71"/>
  <c r="U115" i="71"/>
  <c r="U119" i="71"/>
  <c r="U128" i="71"/>
  <c r="U33" i="71"/>
  <c r="U100" i="71"/>
  <c r="U82" i="71"/>
  <c r="U112" i="71"/>
  <c r="U42" i="71"/>
  <c r="U97" i="71"/>
  <c r="U87" i="71"/>
  <c r="U67" i="71"/>
  <c r="U38" i="71"/>
  <c r="U60" i="71"/>
  <c r="U45" i="71"/>
  <c r="U70" i="71"/>
  <c r="U91" i="71"/>
  <c r="U85" i="71"/>
  <c r="U94" i="71"/>
  <c r="U113" i="71"/>
  <c r="U90" i="71"/>
  <c r="U79" i="71"/>
  <c r="U83" i="71"/>
  <c r="U118" i="71"/>
  <c r="U41" i="71"/>
  <c r="U76" i="71"/>
  <c r="U68" i="71"/>
  <c r="U34" i="71"/>
  <c r="U47" i="71"/>
  <c r="U98" i="71"/>
  <c r="U92" i="71"/>
  <c r="U80" i="71"/>
  <c r="U56" i="71"/>
  <c r="U108" i="71"/>
  <c r="U75" i="71"/>
  <c r="U35" i="71"/>
  <c r="U63" i="71"/>
  <c r="U77" i="71"/>
  <c r="U61" i="71"/>
  <c r="U52" i="71"/>
  <c r="U64" i="71"/>
  <c r="U36" i="71"/>
  <c r="U50" i="71"/>
  <c r="U142" i="71"/>
  <c r="U122" i="71"/>
  <c r="U43" i="71"/>
  <c r="U62" i="71"/>
  <c r="U55" i="71"/>
  <c r="U124" i="71"/>
  <c r="U129" i="71"/>
  <c r="U102" i="71"/>
  <c r="U58" i="71"/>
  <c r="U54" i="71"/>
  <c r="U78" i="71"/>
  <c r="U37" i="71"/>
  <c r="U135" i="71"/>
  <c r="U132" i="71"/>
  <c r="U134" i="71"/>
  <c r="U117" i="71"/>
  <c r="U74" i="71"/>
  <c r="U88" i="71"/>
  <c r="U44" i="71"/>
  <c r="U89" i="71"/>
  <c r="U114" i="71"/>
  <c r="U130" i="71"/>
  <c r="U96" i="71"/>
  <c r="U107" i="71"/>
  <c r="U104" i="71"/>
  <c r="U57" i="71"/>
  <c r="U127" i="71"/>
  <c r="U135" i="58"/>
  <c r="AQ135" i="58" s="1"/>
  <c r="U83" i="58"/>
  <c r="AQ83" i="58" s="1"/>
  <c r="U57" i="58"/>
  <c r="AQ57" i="58" s="1"/>
  <c r="U132" i="58"/>
  <c r="AQ132" i="58" s="1"/>
  <c r="U120" i="58"/>
  <c r="AQ120" i="58" s="1"/>
  <c r="U107" i="58"/>
  <c r="AQ107" i="58" s="1"/>
  <c r="U72" i="58"/>
  <c r="AQ72" i="58" s="1"/>
  <c r="U85" i="58"/>
  <c r="AQ85" i="58" s="1"/>
  <c r="U96" i="58"/>
  <c r="AQ96" i="58" s="1"/>
  <c r="U50" i="58"/>
  <c r="AQ50" i="58" s="1"/>
  <c r="U82" i="58"/>
  <c r="AQ82" i="58" s="1"/>
  <c r="U80" i="58"/>
  <c r="AQ80" i="58" s="1"/>
  <c r="U95" i="58"/>
  <c r="AQ95" i="58" s="1"/>
  <c r="U53" i="58"/>
  <c r="AQ53" i="58" s="1"/>
  <c r="U117" i="58"/>
  <c r="AQ117" i="58" s="1"/>
  <c r="U77" i="58"/>
  <c r="AQ77" i="58" s="1"/>
  <c r="U125" i="58"/>
  <c r="AQ125" i="58" s="1"/>
  <c r="U55" i="58"/>
  <c r="AQ55" i="58" s="1"/>
  <c r="U138" i="58"/>
  <c r="AQ138" i="58" s="1"/>
  <c r="U58" i="58"/>
  <c r="AQ58" i="58" s="1"/>
  <c r="U97" i="58"/>
  <c r="AQ97" i="58" s="1"/>
  <c r="U68" i="58"/>
  <c r="AQ68" i="58" s="1"/>
  <c r="U105" i="58"/>
  <c r="AQ105" i="58" s="1"/>
  <c r="U92" i="58"/>
  <c r="AQ92" i="58" s="1"/>
  <c r="U60" i="58"/>
  <c r="AQ60" i="58" s="1"/>
  <c r="U81" i="58"/>
  <c r="AQ81" i="58" s="1"/>
  <c r="U124" i="58"/>
  <c r="AQ124" i="58" s="1"/>
  <c r="U47" i="58"/>
  <c r="AQ47" i="58" s="1"/>
  <c r="U51" i="58"/>
  <c r="AQ51" i="58" s="1"/>
  <c r="U86" i="58"/>
  <c r="AQ86" i="58" s="1"/>
  <c r="U140" i="58"/>
  <c r="AQ140" i="58" s="1"/>
  <c r="U76" i="58"/>
  <c r="AQ76" i="58" s="1"/>
  <c r="U101" i="58"/>
  <c r="AQ101" i="58" s="1"/>
  <c r="U63" i="58"/>
  <c r="AQ63" i="58" s="1"/>
  <c r="U91" i="58"/>
  <c r="AQ91" i="58" s="1"/>
  <c r="U75" i="58"/>
  <c r="AQ75" i="58" s="1"/>
  <c r="U119" i="58"/>
  <c r="AQ119" i="58" s="1"/>
  <c r="U108" i="58"/>
  <c r="AQ108" i="58" s="1"/>
  <c r="U62" i="58"/>
  <c r="AQ62" i="58" s="1"/>
  <c r="U121" i="58"/>
  <c r="AQ121" i="58" s="1"/>
  <c r="U67" i="58"/>
  <c r="AQ67" i="58" s="1"/>
  <c r="U46" i="58"/>
  <c r="AQ46" i="58" s="1"/>
  <c r="U141" i="58"/>
  <c r="AQ141" i="58" s="1"/>
  <c r="U45" i="58"/>
  <c r="AQ45" i="58" s="1"/>
  <c r="U71" i="58"/>
  <c r="AQ71" i="58" s="1"/>
  <c r="U64" i="58"/>
  <c r="AQ64" i="58" s="1"/>
  <c r="U111" i="58"/>
  <c r="AQ111" i="58" s="1"/>
  <c r="U118" i="58"/>
  <c r="AQ118" i="58" s="1"/>
  <c r="U56" i="58"/>
  <c r="AQ56" i="58" s="1"/>
  <c r="U49" i="58"/>
  <c r="AQ49" i="58" s="1"/>
  <c r="U66" i="58"/>
  <c r="AQ66" i="58" s="1"/>
  <c r="U139" i="58"/>
  <c r="AQ139" i="58" s="1"/>
  <c r="U110" i="58"/>
  <c r="AQ110" i="58" s="1"/>
  <c r="U113" i="58"/>
  <c r="AQ113" i="58" s="1"/>
  <c r="U100" i="58"/>
  <c r="AQ100" i="58" s="1"/>
  <c r="U59" i="58"/>
  <c r="AQ59" i="58" s="1"/>
  <c r="U137" i="58"/>
  <c r="AQ137" i="58" s="1"/>
  <c r="U79" i="58"/>
  <c r="AQ79" i="58" s="1"/>
  <c r="U84" i="58"/>
  <c r="AQ84" i="58" s="1"/>
  <c r="U136" i="58"/>
  <c r="AQ136" i="58" s="1"/>
  <c r="U93" i="58"/>
  <c r="AQ93" i="58" s="1"/>
  <c r="U133" i="58"/>
  <c r="AQ133" i="58" s="1"/>
  <c r="U52" i="58"/>
  <c r="AQ52" i="58" s="1"/>
  <c r="U87" i="58"/>
  <c r="AQ87" i="58" s="1"/>
  <c r="U127" i="58"/>
  <c r="AQ127" i="58" s="1"/>
  <c r="U142" i="58"/>
  <c r="AQ142" i="58" s="1"/>
  <c r="U73" i="58"/>
  <c r="AQ73" i="58" s="1"/>
  <c r="U116" i="58"/>
  <c r="AQ116" i="58" s="1"/>
  <c r="U129" i="58"/>
  <c r="AQ129" i="58" s="1"/>
  <c r="U104" i="58"/>
  <c r="AQ104" i="58" s="1"/>
  <c r="U99" i="58"/>
  <c r="AQ99" i="58" s="1"/>
  <c r="U54" i="58"/>
  <c r="AQ54" i="58" s="1"/>
  <c r="U98" i="58"/>
  <c r="AQ98" i="58" s="1"/>
  <c r="U134" i="58"/>
  <c r="AQ134" i="58" s="1"/>
  <c r="U128" i="58"/>
  <c r="AQ128" i="58" s="1"/>
  <c r="U112" i="58"/>
  <c r="AQ112" i="58" s="1"/>
  <c r="U130" i="58"/>
  <c r="AQ130" i="58" s="1"/>
  <c r="U88" i="58"/>
  <c r="AQ88" i="58" s="1"/>
  <c r="U109" i="58"/>
  <c r="AQ109" i="58" s="1"/>
  <c r="U78" i="58"/>
  <c r="AQ78" i="58" s="1"/>
  <c r="U44" i="58"/>
  <c r="AQ44" i="58" s="1"/>
  <c r="U106" i="58"/>
  <c r="AQ106" i="58" s="1"/>
  <c r="U90" i="58"/>
  <c r="AQ90" i="58" s="1"/>
  <c r="U123" i="58"/>
  <c r="AQ123" i="58" s="1"/>
  <c r="U115" i="58"/>
  <c r="AQ115" i="58" s="1"/>
  <c r="U69" i="58"/>
  <c r="AQ69" i="58" s="1"/>
  <c r="U70" i="58"/>
  <c r="AQ70" i="58" s="1"/>
  <c r="U131" i="58"/>
  <c r="AQ131" i="58" s="1"/>
  <c r="U89" i="58"/>
  <c r="AQ89" i="58" s="1"/>
  <c r="U122" i="58"/>
  <c r="AQ122" i="58" s="1"/>
  <c r="U114" i="58"/>
  <c r="AQ114" i="58" s="1"/>
  <c r="U102" i="58"/>
  <c r="AQ102" i="58" s="1"/>
  <c r="U126" i="58"/>
  <c r="AQ126" i="58" s="1"/>
  <c r="U74" i="58"/>
  <c r="AQ74" i="58" s="1"/>
  <c r="U103" i="58"/>
  <c r="AQ103" i="58" s="1"/>
  <c r="U94" i="58"/>
  <c r="AQ94" i="58" s="1"/>
  <c r="U61" i="58"/>
  <c r="AQ61" i="58" s="1"/>
  <c r="U48" i="58"/>
  <c r="AQ48" i="58" s="1"/>
  <c r="U65" i="58"/>
  <c r="AQ65" i="58" s="1"/>
  <c r="V32" i="69"/>
  <c r="S33" i="58"/>
  <c r="P33" i="58"/>
  <c r="T27" i="69"/>
  <c r="T26" i="69"/>
  <c r="P37" i="58"/>
  <c r="S37" i="58"/>
  <c r="T37" i="58"/>
  <c r="R37" i="58"/>
  <c r="P39" i="58"/>
  <c r="R39" i="58"/>
  <c r="S39" i="58"/>
  <c r="T39" i="58"/>
  <c r="P38" i="58"/>
  <c r="T38" i="58"/>
  <c r="S38" i="58"/>
  <c r="R38" i="58"/>
  <c r="P42" i="58"/>
  <c r="R42" i="58"/>
  <c r="T42" i="58"/>
  <c r="S42" i="58"/>
  <c r="P40" i="58"/>
  <c r="R40" i="58"/>
  <c r="T40" i="58"/>
  <c r="S40" i="58"/>
  <c r="P35" i="58"/>
  <c r="T35" i="58"/>
  <c r="S35" i="58"/>
  <c r="R35" i="58"/>
  <c r="P34" i="58"/>
  <c r="S34" i="58"/>
  <c r="T34" i="58"/>
  <c r="R34" i="58"/>
  <c r="P43" i="58"/>
  <c r="T43" i="58"/>
  <c r="R43" i="58"/>
  <c r="S43" i="58"/>
  <c r="P36" i="58"/>
  <c r="R36" i="58"/>
  <c r="S36" i="58"/>
  <c r="T36" i="58"/>
  <c r="P41" i="58"/>
  <c r="T41" i="58"/>
  <c r="R41" i="58"/>
  <c r="S41" i="58"/>
  <c r="Q33" i="58"/>
  <c r="U33" i="58"/>
  <c r="AQ33" i="58" s="1"/>
  <c r="S23" i="69"/>
  <c r="P31" i="58"/>
  <c r="R31" i="58"/>
  <c r="T31" i="58"/>
  <c r="S31" i="58"/>
  <c r="P25" i="58"/>
  <c r="R25" i="58"/>
  <c r="S25" i="58"/>
  <c r="T25" i="58"/>
  <c r="P27" i="58"/>
  <c r="T27" i="58"/>
  <c r="S27" i="58"/>
  <c r="R27" i="58"/>
  <c r="P32" i="58"/>
  <c r="T32" i="58"/>
  <c r="S32" i="58"/>
  <c r="R32" i="58"/>
  <c r="P30" i="58"/>
  <c r="T30" i="58"/>
  <c r="R30" i="58"/>
  <c r="S30" i="58"/>
  <c r="P28" i="58"/>
  <c r="R28" i="58"/>
  <c r="S28" i="58"/>
  <c r="T28" i="58"/>
  <c r="P29" i="58"/>
  <c r="R29" i="58"/>
  <c r="S29" i="58"/>
  <c r="T29" i="58"/>
  <c r="P26" i="58"/>
  <c r="R26" i="58"/>
  <c r="S26" i="58"/>
  <c r="T26" i="58"/>
  <c r="P24" i="58"/>
  <c r="T24" i="58"/>
  <c r="R24" i="58"/>
  <c r="S24" i="58"/>
  <c r="V27" i="69"/>
  <c r="U184" i="13"/>
  <c r="U182" i="13"/>
  <c r="U180" i="13"/>
  <c r="U178" i="13"/>
  <c r="U176" i="13"/>
  <c r="U177" i="13"/>
  <c r="V30" i="69"/>
  <c r="R30" i="69"/>
  <c r="R25" i="69"/>
  <c r="R28" i="69"/>
  <c r="R31" i="69"/>
  <c r="V29" i="69"/>
  <c r="R29" i="69"/>
  <c r="R32" i="69"/>
  <c r="S28" i="69"/>
  <c r="U28" i="69"/>
  <c r="AQ28" i="69" s="1"/>
  <c r="T28" i="69"/>
  <c r="S31" i="69"/>
  <c r="T31" i="69"/>
  <c r="U31" i="69"/>
  <c r="U32" i="69"/>
  <c r="S32" i="69"/>
  <c r="T32" i="69"/>
  <c r="T29" i="69"/>
  <c r="S29" i="69"/>
  <c r="U29" i="69"/>
  <c r="S30" i="69"/>
  <c r="T30" i="69"/>
  <c r="U30" i="69"/>
  <c r="U175" i="13"/>
  <c r="U179" i="13"/>
  <c r="U181" i="13"/>
  <c r="U183" i="13"/>
  <c r="AA26" i="70"/>
  <c r="AC23" i="70"/>
  <c r="AD23" i="70" s="1"/>
  <c r="AA29" i="70"/>
  <c r="AC30" i="70"/>
  <c r="AD30" i="70" s="1"/>
  <c r="AC31" i="70"/>
  <c r="AD31" i="70" s="1"/>
  <c r="AA27" i="70"/>
  <c r="P28" i="70"/>
  <c r="U28" i="70" s="1"/>
  <c r="Q28" i="70"/>
  <c r="P22" i="70"/>
  <c r="U22" i="70" s="1"/>
  <c r="R30" i="70"/>
  <c r="S30" i="70"/>
  <c r="P23" i="70"/>
  <c r="U23" i="70" s="1"/>
  <c r="R23" i="70"/>
  <c r="S23" i="70"/>
  <c r="P29" i="70"/>
  <c r="U29" i="70" s="1"/>
  <c r="Q29" i="70"/>
  <c r="Q25" i="70"/>
  <c r="P25" i="70"/>
  <c r="U25" i="70" s="1"/>
  <c r="Q30" i="70"/>
  <c r="P30" i="70"/>
  <c r="U30" i="70" s="1"/>
  <c r="P26" i="70"/>
  <c r="U26" i="70" s="1"/>
  <c r="R26" i="70"/>
  <c r="S26" i="70"/>
  <c r="AC28" i="70"/>
  <c r="AD28" i="70" s="1"/>
  <c r="R28" i="70"/>
  <c r="S28" i="70"/>
  <c r="S22" i="70"/>
  <c r="R22" i="70"/>
  <c r="S27" i="70"/>
  <c r="R27" i="70"/>
  <c r="P31" i="70"/>
  <c r="Q31" i="70"/>
  <c r="S24" i="70"/>
  <c r="R24" i="70"/>
  <c r="R29" i="70"/>
  <c r="S29" i="70"/>
  <c r="S25" i="70"/>
  <c r="R25" i="70"/>
  <c r="P22" i="69"/>
  <c r="T22" i="69" s="1"/>
  <c r="P27" i="70"/>
  <c r="U27" i="70" s="1"/>
  <c r="Q27" i="70"/>
  <c r="S31" i="70"/>
  <c r="R31" i="70"/>
  <c r="P24" i="70"/>
  <c r="U24" i="70" s="1"/>
  <c r="Q24" i="70"/>
  <c r="AA25" i="70"/>
  <c r="AA24" i="70"/>
  <c r="T23" i="69"/>
  <c r="S25" i="69"/>
  <c r="T24" i="69"/>
  <c r="O22" i="58"/>
  <c r="P22" i="58" s="1"/>
  <c r="U27" i="69"/>
  <c r="U23" i="69"/>
  <c r="V23" i="69"/>
  <c r="U24" i="69"/>
  <c r="V24" i="69"/>
  <c r="U26" i="69"/>
  <c r="V26" i="69"/>
  <c r="U25" i="69"/>
  <c r="S23" i="58"/>
  <c r="T23" i="58"/>
  <c r="R23" i="58"/>
  <c r="U186" i="13"/>
  <c r="U188" i="13"/>
  <c r="U189" i="13"/>
  <c r="U185" i="13"/>
  <c r="AJ23" i="71" l="1" a="1"/>
  <c r="AJ23" i="71" s="1"/>
  <c r="F136" i="71"/>
  <c r="H136" i="71" s="1"/>
  <c r="E136" i="71"/>
  <c r="E126" i="71"/>
  <c r="F126" i="71"/>
  <c r="H126" i="71" s="1"/>
  <c r="E48" i="71"/>
  <c r="F48" i="71"/>
  <c r="H48" i="71" s="1"/>
  <c r="Q22" i="70"/>
  <c r="F128" i="71"/>
  <c r="H128" i="71" s="1"/>
  <c r="E128" i="71"/>
  <c r="E68" i="71"/>
  <c r="F68" i="71"/>
  <c r="H68" i="71" s="1"/>
  <c r="E52" i="71"/>
  <c r="F52" i="71"/>
  <c r="H52" i="71" s="1"/>
  <c r="F63" i="71"/>
  <c r="H63" i="71" s="1"/>
  <c r="E63" i="71"/>
  <c r="E67" i="71"/>
  <c r="F67" i="71"/>
  <c r="H67" i="71" s="1"/>
  <c r="E64" i="71"/>
  <c r="F64" i="71"/>
  <c r="H64" i="71" s="1"/>
  <c r="E35" i="71"/>
  <c r="F35" i="71"/>
  <c r="H35" i="71" s="1"/>
  <c r="F40" i="71"/>
  <c r="H40" i="71" s="1"/>
  <c r="E40" i="71"/>
  <c r="E134" i="71"/>
  <c r="F134" i="71"/>
  <c r="H134" i="71" s="1"/>
  <c r="F80" i="71"/>
  <c r="H80" i="71" s="1"/>
  <c r="E80" i="71"/>
  <c r="F124" i="71"/>
  <c r="H124" i="71" s="1"/>
  <c r="E124" i="71"/>
  <c r="AI23" i="71" a="1"/>
  <c r="AI23" i="71" s="1"/>
  <c r="R22" i="71"/>
  <c r="T22" i="71"/>
  <c r="U22" i="71"/>
  <c r="S22" i="71"/>
  <c r="AQ25" i="69"/>
  <c r="AQ33" i="69"/>
  <c r="AQ71" i="69"/>
  <c r="AQ60" i="69"/>
  <c r="AQ63" i="69"/>
  <c r="AQ79" i="69"/>
  <c r="AQ76" i="69"/>
  <c r="AQ24" i="69"/>
  <c r="AQ30" i="69"/>
  <c r="AQ32" i="69"/>
  <c r="AQ82" i="69"/>
  <c r="AQ55" i="69"/>
  <c r="AQ49" i="69"/>
  <c r="AQ41" i="69"/>
  <c r="AQ57" i="69"/>
  <c r="AQ78" i="69"/>
  <c r="AQ51" i="69"/>
  <c r="AQ72" i="69"/>
  <c r="AQ77" i="69"/>
  <c r="AQ69" i="69"/>
  <c r="AQ23" i="69"/>
  <c r="AQ65" i="69"/>
  <c r="AQ80" i="69"/>
  <c r="AQ37" i="69"/>
  <c r="AQ42" i="69"/>
  <c r="AQ36" i="69"/>
  <c r="AQ52" i="69"/>
  <c r="AQ56" i="69"/>
  <c r="AQ61" i="69"/>
  <c r="AQ27" i="69"/>
  <c r="AQ81" i="69"/>
  <c r="AQ54" i="69"/>
  <c r="AQ70" i="69"/>
  <c r="AQ59" i="69"/>
  <c r="AQ64" i="69"/>
  <c r="AQ53" i="69"/>
  <c r="AQ58" i="69"/>
  <c r="AQ74" i="69"/>
  <c r="AQ84" i="69"/>
  <c r="AQ62" i="69"/>
  <c r="AQ67" i="69"/>
  <c r="AQ26" i="69"/>
  <c r="AQ31" i="69"/>
  <c r="AQ66" i="69"/>
  <c r="AQ29" i="69"/>
  <c r="AQ50" i="69"/>
  <c r="AQ44" i="69"/>
  <c r="AQ38" i="69"/>
  <c r="AQ75" i="69"/>
  <c r="AQ48" i="69"/>
  <c r="AQ47" i="69"/>
  <c r="AQ68" i="69"/>
  <c r="AQ73" i="69"/>
  <c r="AQ46" i="69"/>
  <c r="AQ83" i="69"/>
  <c r="AQ40" i="69"/>
  <c r="AQ45" i="69"/>
  <c r="Q41" i="58"/>
  <c r="U41" i="58"/>
  <c r="AQ41" i="58" s="1"/>
  <c r="Q36" i="58"/>
  <c r="U36" i="58"/>
  <c r="AQ36" i="58" s="1"/>
  <c r="Q43" i="58"/>
  <c r="U43" i="58"/>
  <c r="AQ43" i="58" s="1"/>
  <c r="Q34" i="58"/>
  <c r="U34" i="58"/>
  <c r="AQ34" i="58" s="1"/>
  <c r="Q35" i="58"/>
  <c r="U35" i="58"/>
  <c r="AQ35" i="58" s="1"/>
  <c r="Q40" i="58"/>
  <c r="U40" i="58"/>
  <c r="AQ40" i="58" s="1"/>
  <c r="Q42" i="58"/>
  <c r="U42" i="58"/>
  <c r="AQ42" i="58" s="1"/>
  <c r="Q38" i="58"/>
  <c r="U38" i="58"/>
  <c r="AQ38" i="58" s="1"/>
  <c r="Q39" i="58"/>
  <c r="U39" i="58"/>
  <c r="AQ39" i="58" s="1"/>
  <c r="Q37" i="58"/>
  <c r="U37" i="58"/>
  <c r="AQ37" i="58" s="1"/>
  <c r="Q24" i="58"/>
  <c r="U24" i="58"/>
  <c r="AQ24" i="58" s="1"/>
  <c r="Q26" i="58"/>
  <c r="U26" i="58"/>
  <c r="AQ26" i="58" s="1"/>
  <c r="Q29" i="58"/>
  <c r="U29" i="58"/>
  <c r="AQ29" i="58" s="1"/>
  <c r="Q28" i="58"/>
  <c r="U28" i="58"/>
  <c r="AQ28" i="58" s="1"/>
  <c r="Q30" i="58"/>
  <c r="U30" i="58"/>
  <c r="AQ30" i="58" s="1"/>
  <c r="Q32" i="58"/>
  <c r="U32" i="58"/>
  <c r="AQ32" i="58" s="1"/>
  <c r="Q27" i="58"/>
  <c r="U27" i="58"/>
  <c r="AQ27" i="58" s="1"/>
  <c r="Q25" i="58"/>
  <c r="U25" i="58"/>
  <c r="AQ25" i="58" s="1"/>
  <c r="Q31" i="58"/>
  <c r="U31" i="58"/>
  <c r="AQ31" i="58" s="1"/>
  <c r="Q22" i="69"/>
  <c r="R22" i="69" s="1"/>
  <c r="AR22" i="69" s="1" a="1"/>
  <c r="AR22" i="69" s="1"/>
  <c r="T29" i="70"/>
  <c r="T28" i="70"/>
  <c r="S22" i="69"/>
  <c r="T25" i="70"/>
  <c r="T22" i="70"/>
  <c r="T24" i="70"/>
  <c r="T27" i="70"/>
  <c r="T26" i="70"/>
  <c r="T23" i="70"/>
  <c r="T30" i="70"/>
  <c r="T31" i="70"/>
  <c r="U31" i="70"/>
  <c r="S22" i="58"/>
  <c r="R22" i="58"/>
  <c r="T22" i="58"/>
  <c r="Q22" i="58"/>
  <c r="U22" i="58"/>
  <c r="Q23" i="58"/>
  <c r="U23" i="58"/>
  <c r="AQ23" i="58" s="1"/>
  <c r="U190" i="13"/>
  <c r="I1152" i="12"/>
  <c r="I1155" i="12"/>
  <c r="I61" i="12"/>
  <c r="I62" i="12"/>
  <c r="I6" i="12"/>
  <c r="J6" i="12"/>
  <c r="K6" i="12"/>
  <c r="L6" i="12"/>
  <c r="AE6" i="12"/>
  <c r="AR6" i="12"/>
  <c r="AS6" i="12"/>
  <c r="AT6" i="12"/>
  <c r="BG6" i="12"/>
  <c r="BH6" i="12"/>
  <c r="BI6" i="12"/>
  <c r="I7" i="12"/>
  <c r="J7" i="12"/>
  <c r="K7" i="12"/>
  <c r="L7" i="12"/>
  <c r="AE7" i="12"/>
  <c r="AR7" i="12"/>
  <c r="AS7" i="12"/>
  <c r="AT7" i="12"/>
  <c r="BG7" i="12"/>
  <c r="BH7" i="12"/>
  <c r="BI7" i="12"/>
  <c r="I8" i="12"/>
  <c r="J8" i="12"/>
  <c r="K8" i="12"/>
  <c r="L8" i="12"/>
  <c r="AE8" i="12"/>
  <c r="AR8" i="12"/>
  <c r="AS8" i="12"/>
  <c r="AT8" i="12"/>
  <c r="BG8" i="12"/>
  <c r="BH8" i="12"/>
  <c r="BI8" i="12"/>
  <c r="I9" i="12"/>
  <c r="J9" i="12"/>
  <c r="K9" i="12"/>
  <c r="L9" i="12"/>
  <c r="AE9" i="12"/>
  <c r="AR9" i="12"/>
  <c r="AS9" i="12"/>
  <c r="AT9" i="12"/>
  <c r="BG9" i="12"/>
  <c r="BH9" i="12"/>
  <c r="BI9" i="12"/>
  <c r="I10" i="12"/>
  <c r="J10" i="12"/>
  <c r="K10" i="12"/>
  <c r="L10" i="12"/>
  <c r="AE10" i="12"/>
  <c r="AR10" i="12"/>
  <c r="AS10" i="12"/>
  <c r="AT10" i="12"/>
  <c r="BG10" i="12"/>
  <c r="BH10" i="12"/>
  <c r="BI10" i="12"/>
  <c r="I11" i="12"/>
  <c r="J11" i="12"/>
  <c r="K11" i="12"/>
  <c r="L11" i="12"/>
  <c r="AE11" i="12"/>
  <c r="AR11" i="12"/>
  <c r="AS11" i="12"/>
  <c r="AT11" i="12"/>
  <c r="BG11" i="12"/>
  <c r="BH11" i="12"/>
  <c r="BI11" i="12"/>
  <c r="I12" i="12"/>
  <c r="J12" i="12"/>
  <c r="K12" i="12"/>
  <c r="L12" i="12"/>
  <c r="AE12" i="12"/>
  <c r="AR12" i="12"/>
  <c r="AS12" i="12"/>
  <c r="AT12" i="12"/>
  <c r="BG12" i="12"/>
  <c r="BH12" i="12"/>
  <c r="BI12" i="12"/>
  <c r="I13" i="12"/>
  <c r="J13" i="12"/>
  <c r="K13" i="12"/>
  <c r="L13" i="12"/>
  <c r="AE13" i="12"/>
  <c r="AR13" i="12"/>
  <c r="AS13" i="12"/>
  <c r="AT13" i="12"/>
  <c r="BG13" i="12"/>
  <c r="BH13" i="12"/>
  <c r="BI13" i="12"/>
  <c r="I14" i="12"/>
  <c r="J14" i="12"/>
  <c r="K14" i="12"/>
  <c r="L14" i="12"/>
  <c r="AE14" i="12"/>
  <c r="AR14" i="12"/>
  <c r="AS14" i="12"/>
  <c r="AT14" i="12"/>
  <c r="BG14" i="12"/>
  <c r="BH14" i="12"/>
  <c r="BI14" i="12"/>
  <c r="I15" i="12"/>
  <c r="J15" i="12"/>
  <c r="K15" i="12"/>
  <c r="L15" i="12"/>
  <c r="AE15" i="12"/>
  <c r="AR15" i="12"/>
  <c r="AS15" i="12"/>
  <c r="AT15" i="12"/>
  <c r="BG15" i="12"/>
  <c r="BH15" i="12"/>
  <c r="BI15" i="12"/>
  <c r="I16" i="12"/>
  <c r="J16" i="12"/>
  <c r="K16" i="12"/>
  <c r="L16" i="12"/>
  <c r="AE16" i="12"/>
  <c r="AR16" i="12"/>
  <c r="AS16" i="12"/>
  <c r="AT16" i="12"/>
  <c r="BG16" i="12"/>
  <c r="BH16" i="12"/>
  <c r="BI16" i="12"/>
  <c r="I17" i="12"/>
  <c r="J17" i="12"/>
  <c r="K17" i="12"/>
  <c r="L17" i="12"/>
  <c r="AE17" i="12"/>
  <c r="AR17" i="12"/>
  <c r="AS17" i="12"/>
  <c r="AT17" i="12"/>
  <c r="BG17" i="12"/>
  <c r="BH17" i="12"/>
  <c r="BI17" i="12"/>
  <c r="I18" i="12"/>
  <c r="J18" i="12"/>
  <c r="K18" i="12"/>
  <c r="L18" i="12"/>
  <c r="AE18" i="12"/>
  <c r="AR18" i="12"/>
  <c r="AS18" i="12"/>
  <c r="AT18" i="12"/>
  <c r="BG18" i="12"/>
  <c r="BH18" i="12"/>
  <c r="BI18" i="12"/>
  <c r="I19" i="12"/>
  <c r="J19" i="12"/>
  <c r="K19" i="12"/>
  <c r="L19" i="12"/>
  <c r="AE19" i="12"/>
  <c r="AR19" i="12"/>
  <c r="AS19" i="12"/>
  <c r="AT19" i="12"/>
  <c r="BG19" i="12"/>
  <c r="BH19" i="12"/>
  <c r="BI19" i="12"/>
  <c r="I20" i="12"/>
  <c r="J20" i="12"/>
  <c r="K20" i="12"/>
  <c r="L20" i="12"/>
  <c r="AE20" i="12"/>
  <c r="AR20" i="12"/>
  <c r="AS20" i="12"/>
  <c r="AT20" i="12"/>
  <c r="BG20" i="12"/>
  <c r="BH20" i="12"/>
  <c r="BI20" i="12"/>
  <c r="I21" i="12"/>
  <c r="J21" i="12"/>
  <c r="K21" i="12"/>
  <c r="L21" i="12"/>
  <c r="AE21" i="12"/>
  <c r="AR21" i="12"/>
  <c r="AS21" i="12"/>
  <c r="AT21" i="12"/>
  <c r="BG21" i="12"/>
  <c r="BH21" i="12"/>
  <c r="BI21" i="12"/>
  <c r="I22" i="12"/>
  <c r="J22" i="12"/>
  <c r="K22" i="12"/>
  <c r="L22" i="12"/>
  <c r="AE22" i="12"/>
  <c r="AR22" i="12"/>
  <c r="AS22" i="12"/>
  <c r="AT22" i="12"/>
  <c r="BG22" i="12"/>
  <c r="BH22" i="12"/>
  <c r="BI22" i="12"/>
  <c r="I23" i="12"/>
  <c r="J23" i="12"/>
  <c r="K23" i="12"/>
  <c r="L23" i="12"/>
  <c r="AE23" i="12"/>
  <c r="AR23" i="12"/>
  <c r="AS23" i="12"/>
  <c r="AT23" i="12"/>
  <c r="BG23" i="12"/>
  <c r="BH23" i="12"/>
  <c r="BI23" i="12"/>
  <c r="I24" i="12"/>
  <c r="J24" i="12"/>
  <c r="K24" i="12"/>
  <c r="L24" i="12"/>
  <c r="AE24" i="12"/>
  <c r="AR24" i="12"/>
  <c r="AS24" i="12"/>
  <c r="AT24" i="12"/>
  <c r="BG24" i="12"/>
  <c r="BH24" i="12"/>
  <c r="BI24" i="12"/>
  <c r="I25" i="12"/>
  <c r="J25" i="12"/>
  <c r="K25" i="12"/>
  <c r="L25" i="12"/>
  <c r="AE25" i="12"/>
  <c r="AR25" i="12"/>
  <c r="AS25" i="12"/>
  <c r="AT25" i="12"/>
  <c r="BG25" i="12"/>
  <c r="BH25" i="12"/>
  <c r="BI25" i="12"/>
  <c r="I26" i="12"/>
  <c r="J26" i="12"/>
  <c r="K26" i="12"/>
  <c r="L26" i="12"/>
  <c r="AE26" i="12"/>
  <c r="AR26" i="12"/>
  <c r="AS26" i="12"/>
  <c r="AT26" i="12"/>
  <c r="BG26" i="12"/>
  <c r="BH26" i="12"/>
  <c r="BI26" i="12"/>
  <c r="I27" i="12"/>
  <c r="J27" i="12"/>
  <c r="K27" i="12"/>
  <c r="L27" i="12"/>
  <c r="AE27" i="12"/>
  <c r="AR27" i="12"/>
  <c r="AS27" i="12"/>
  <c r="AT27" i="12"/>
  <c r="BG27" i="12"/>
  <c r="BH27" i="12"/>
  <c r="BI27" i="12"/>
  <c r="I28" i="12"/>
  <c r="J28" i="12"/>
  <c r="K28" i="12"/>
  <c r="L28" i="12"/>
  <c r="AE28" i="12"/>
  <c r="AR28" i="12"/>
  <c r="AS28" i="12"/>
  <c r="AT28" i="12"/>
  <c r="BG28" i="12"/>
  <c r="BH28" i="12"/>
  <c r="BI28" i="12"/>
  <c r="I29" i="12"/>
  <c r="J29" i="12"/>
  <c r="K29" i="12"/>
  <c r="L29" i="12"/>
  <c r="AE29" i="12"/>
  <c r="AR29" i="12"/>
  <c r="AS29" i="12"/>
  <c r="AT29" i="12"/>
  <c r="BG29" i="12"/>
  <c r="BH29" i="12"/>
  <c r="BI29" i="12"/>
  <c r="I30" i="12"/>
  <c r="J30" i="12"/>
  <c r="K30" i="12"/>
  <c r="L30" i="12"/>
  <c r="AE30" i="12"/>
  <c r="AR30" i="12"/>
  <c r="AS30" i="12"/>
  <c r="AT30" i="12"/>
  <c r="BG30" i="12"/>
  <c r="BH30" i="12"/>
  <c r="BI30" i="12"/>
  <c r="I31" i="12"/>
  <c r="J31" i="12"/>
  <c r="K31" i="12"/>
  <c r="L31" i="12"/>
  <c r="AE31" i="12"/>
  <c r="AR31" i="12"/>
  <c r="AS31" i="12"/>
  <c r="AT31" i="12"/>
  <c r="BG31" i="12"/>
  <c r="BH31" i="12"/>
  <c r="BI31" i="12"/>
  <c r="I32" i="12"/>
  <c r="J32" i="12"/>
  <c r="K32" i="12"/>
  <c r="L32" i="12"/>
  <c r="AE32" i="12"/>
  <c r="AR32" i="12"/>
  <c r="AS32" i="12"/>
  <c r="AT32" i="12"/>
  <c r="BG32" i="12"/>
  <c r="BH32" i="12"/>
  <c r="BI32" i="12"/>
  <c r="I33" i="12"/>
  <c r="J33" i="12"/>
  <c r="K33" i="12"/>
  <c r="L33" i="12"/>
  <c r="AE33" i="12"/>
  <c r="AR33" i="12"/>
  <c r="AS33" i="12"/>
  <c r="AT33" i="12"/>
  <c r="BG33" i="12"/>
  <c r="BH33" i="12"/>
  <c r="BI33" i="12"/>
  <c r="I34" i="12"/>
  <c r="J34" i="12"/>
  <c r="K34" i="12"/>
  <c r="L34" i="12"/>
  <c r="AE34" i="12"/>
  <c r="AR34" i="12"/>
  <c r="AS34" i="12"/>
  <c r="AT34" i="12"/>
  <c r="BG34" i="12"/>
  <c r="BH34" i="12"/>
  <c r="BI34" i="12"/>
  <c r="I35" i="12"/>
  <c r="J35" i="12"/>
  <c r="K35" i="12"/>
  <c r="L35" i="12"/>
  <c r="AE35" i="12"/>
  <c r="AR35" i="12"/>
  <c r="AS35" i="12"/>
  <c r="AT35" i="12"/>
  <c r="BG35" i="12"/>
  <c r="BH35" i="12"/>
  <c r="BI35" i="12"/>
  <c r="I36" i="12"/>
  <c r="J36" i="12"/>
  <c r="K36" i="12"/>
  <c r="L36" i="12"/>
  <c r="AE36" i="12"/>
  <c r="AR36" i="12"/>
  <c r="AS36" i="12"/>
  <c r="AT36" i="12"/>
  <c r="BG36" i="12"/>
  <c r="BH36" i="12"/>
  <c r="BI36" i="12"/>
  <c r="I37" i="12"/>
  <c r="J37" i="12"/>
  <c r="K37" i="12"/>
  <c r="L37" i="12"/>
  <c r="AE37" i="12"/>
  <c r="AR37" i="12"/>
  <c r="AS37" i="12"/>
  <c r="AT37" i="12"/>
  <c r="BG37" i="12"/>
  <c r="BH37" i="12"/>
  <c r="BI37" i="12"/>
  <c r="I38" i="12"/>
  <c r="J38" i="12"/>
  <c r="K38" i="12"/>
  <c r="L38" i="12"/>
  <c r="AE38" i="12"/>
  <c r="AR38" i="12"/>
  <c r="AS38" i="12"/>
  <c r="AT38" i="12"/>
  <c r="BG38" i="12"/>
  <c r="BH38" i="12"/>
  <c r="BI38" i="12"/>
  <c r="I39" i="12"/>
  <c r="J39" i="12"/>
  <c r="K39" i="12"/>
  <c r="L39" i="12"/>
  <c r="AE39" i="12"/>
  <c r="AR39" i="12"/>
  <c r="AS39" i="12"/>
  <c r="AT39" i="12"/>
  <c r="BG39" i="12"/>
  <c r="BH39" i="12"/>
  <c r="BI39" i="12"/>
  <c r="I40" i="12"/>
  <c r="J40" i="12"/>
  <c r="K40" i="12"/>
  <c r="L40" i="12"/>
  <c r="AE40" i="12"/>
  <c r="AR40" i="12"/>
  <c r="AS40" i="12"/>
  <c r="AT40" i="12"/>
  <c r="BG40" i="12"/>
  <c r="BH40" i="12"/>
  <c r="BI40" i="12"/>
  <c r="I41" i="12"/>
  <c r="J41" i="12"/>
  <c r="K41" i="12"/>
  <c r="L41" i="12"/>
  <c r="AE41" i="12"/>
  <c r="AR41" i="12"/>
  <c r="AS41" i="12"/>
  <c r="AT41" i="12"/>
  <c r="BG41" i="12"/>
  <c r="BH41" i="12"/>
  <c r="BI41" i="12"/>
  <c r="I42" i="12"/>
  <c r="J42" i="12"/>
  <c r="K42" i="12"/>
  <c r="L42" i="12"/>
  <c r="AE42" i="12"/>
  <c r="AR42" i="12"/>
  <c r="AS42" i="12"/>
  <c r="AT42" i="12"/>
  <c r="BG42" i="12"/>
  <c r="BH42" i="12"/>
  <c r="BI42" i="12"/>
  <c r="I43" i="12"/>
  <c r="J43" i="12"/>
  <c r="K43" i="12"/>
  <c r="L43" i="12"/>
  <c r="AE43" i="12"/>
  <c r="AR43" i="12"/>
  <c r="AS43" i="12"/>
  <c r="AT43" i="12"/>
  <c r="BG43" i="12"/>
  <c r="BH43" i="12"/>
  <c r="BI43" i="12"/>
  <c r="I44" i="12"/>
  <c r="J44" i="12"/>
  <c r="K44" i="12"/>
  <c r="L44" i="12"/>
  <c r="AE44" i="12"/>
  <c r="AR44" i="12"/>
  <c r="AS44" i="12"/>
  <c r="AT44" i="12"/>
  <c r="BG44" i="12"/>
  <c r="BH44" i="12"/>
  <c r="BI44" i="12"/>
  <c r="I45" i="12"/>
  <c r="J45" i="12"/>
  <c r="K45" i="12"/>
  <c r="L45" i="12"/>
  <c r="AE45" i="12"/>
  <c r="AR45" i="12"/>
  <c r="AS45" i="12"/>
  <c r="AT45" i="12"/>
  <c r="BG45" i="12"/>
  <c r="BH45" i="12"/>
  <c r="BI45" i="12"/>
  <c r="I46" i="12"/>
  <c r="J46" i="12"/>
  <c r="K46" i="12"/>
  <c r="L46" i="12"/>
  <c r="AE46" i="12"/>
  <c r="AR46" i="12"/>
  <c r="AS46" i="12"/>
  <c r="AT46" i="12"/>
  <c r="BG46" i="12"/>
  <c r="BH46" i="12"/>
  <c r="BI46" i="12"/>
  <c r="I47" i="12"/>
  <c r="J47" i="12"/>
  <c r="K47" i="12"/>
  <c r="L47" i="12"/>
  <c r="AE47" i="12"/>
  <c r="AR47" i="12"/>
  <c r="AS47" i="12"/>
  <c r="AT47" i="12"/>
  <c r="BG47" i="12"/>
  <c r="BH47" i="12"/>
  <c r="BI47" i="12"/>
  <c r="I48" i="12"/>
  <c r="J48" i="12"/>
  <c r="K48" i="12"/>
  <c r="L48" i="12"/>
  <c r="AE48" i="12"/>
  <c r="AR48" i="12"/>
  <c r="AS48" i="12"/>
  <c r="AT48" i="12"/>
  <c r="BG48" i="12"/>
  <c r="BH48" i="12"/>
  <c r="BI48" i="12"/>
  <c r="I49" i="12"/>
  <c r="J49" i="12"/>
  <c r="K49" i="12"/>
  <c r="L49" i="12"/>
  <c r="AE49" i="12"/>
  <c r="AR49" i="12"/>
  <c r="AS49" i="12"/>
  <c r="AT49" i="12"/>
  <c r="BG49" i="12"/>
  <c r="BH49" i="12"/>
  <c r="BI49" i="12"/>
  <c r="I50" i="12"/>
  <c r="J50" i="12"/>
  <c r="K50" i="12"/>
  <c r="L50" i="12"/>
  <c r="AE50" i="12"/>
  <c r="AR50" i="12"/>
  <c r="AS50" i="12"/>
  <c r="AT50" i="12"/>
  <c r="BG50" i="12"/>
  <c r="BH50" i="12"/>
  <c r="BI50" i="12"/>
  <c r="I51" i="12"/>
  <c r="J51" i="12"/>
  <c r="K51" i="12"/>
  <c r="L51" i="12"/>
  <c r="AE51" i="12"/>
  <c r="AR51" i="12"/>
  <c r="AS51" i="12"/>
  <c r="AT51" i="12"/>
  <c r="BG51" i="12"/>
  <c r="BH51" i="12"/>
  <c r="BI51" i="12"/>
  <c r="I52" i="12"/>
  <c r="J52" i="12"/>
  <c r="K52" i="12"/>
  <c r="L52" i="12"/>
  <c r="AE52" i="12"/>
  <c r="AR52" i="12"/>
  <c r="AS52" i="12"/>
  <c r="AT52" i="12"/>
  <c r="BG52" i="12"/>
  <c r="BH52" i="12"/>
  <c r="BI52" i="12"/>
  <c r="I53" i="12"/>
  <c r="J53" i="12"/>
  <c r="K53" i="12"/>
  <c r="L53" i="12"/>
  <c r="AE53" i="12"/>
  <c r="AR53" i="12"/>
  <c r="AS53" i="12"/>
  <c r="AT53" i="12"/>
  <c r="BG53" i="12"/>
  <c r="BH53" i="12"/>
  <c r="BI53" i="12"/>
  <c r="I54" i="12"/>
  <c r="J54" i="12"/>
  <c r="K54" i="12"/>
  <c r="L54" i="12"/>
  <c r="AE54" i="12"/>
  <c r="AR54" i="12"/>
  <c r="AS54" i="12"/>
  <c r="AT54" i="12"/>
  <c r="BG54" i="12"/>
  <c r="BH54" i="12"/>
  <c r="BI54" i="12"/>
  <c r="I55" i="12"/>
  <c r="J55" i="12"/>
  <c r="K55" i="12"/>
  <c r="L55" i="12"/>
  <c r="AE55" i="12"/>
  <c r="AR55" i="12"/>
  <c r="AS55" i="12"/>
  <c r="AT55" i="12"/>
  <c r="BG55" i="12"/>
  <c r="BH55" i="12"/>
  <c r="BI55" i="12"/>
  <c r="I56" i="12"/>
  <c r="J56" i="12"/>
  <c r="K56" i="12"/>
  <c r="L56" i="12"/>
  <c r="AE56" i="12"/>
  <c r="AR56" i="12"/>
  <c r="AS56" i="12"/>
  <c r="AT56" i="12"/>
  <c r="BG56" i="12"/>
  <c r="BH56" i="12"/>
  <c r="BI56" i="12"/>
  <c r="I57" i="12"/>
  <c r="J57" i="12"/>
  <c r="K57" i="12"/>
  <c r="L57" i="12"/>
  <c r="AE57" i="12"/>
  <c r="AR57" i="12"/>
  <c r="AS57" i="12"/>
  <c r="AT57" i="12"/>
  <c r="BG57" i="12"/>
  <c r="BH57" i="12"/>
  <c r="BI57" i="12"/>
  <c r="I58" i="12"/>
  <c r="J58" i="12"/>
  <c r="K58" i="12"/>
  <c r="L58" i="12"/>
  <c r="AE58" i="12"/>
  <c r="AR58" i="12"/>
  <c r="AS58" i="12"/>
  <c r="AT58" i="12"/>
  <c r="BG58" i="12"/>
  <c r="BH58" i="12"/>
  <c r="BI58" i="12"/>
  <c r="I59" i="12"/>
  <c r="J59" i="12"/>
  <c r="K59" i="12"/>
  <c r="L59" i="12"/>
  <c r="AE59" i="12"/>
  <c r="AR59" i="12"/>
  <c r="AS59" i="12"/>
  <c r="AT59" i="12"/>
  <c r="BG59" i="12"/>
  <c r="BH59" i="12"/>
  <c r="BI59" i="12"/>
  <c r="I60" i="12"/>
  <c r="J60" i="12"/>
  <c r="K60" i="12"/>
  <c r="L60" i="12"/>
  <c r="AE60" i="12"/>
  <c r="AR60" i="12"/>
  <c r="AS60" i="12"/>
  <c r="AT60" i="12"/>
  <c r="BG60" i="12"/>
  <c r="BH60" i="12"/>
  <c r="BI60" i="12"/>
  <c r="J61" i="12"/>
  <c r="K61" i="12"/>
  <c r="L61" i="12"/>
  <c r="AE61" i="12"/>
  <c r="AR61" i="12"/>
  <c r="AS61" i="12"/>
  <c r="AT61" i="12"/>
  <c r="BG61" i="12"/>
  <c r="BH61" i="12"/>
  <c r="BI61" i="12"/>
  <c r="J62" i="12"/>
  <c r="K62" i="12"/>
  <c r="L62" i="12"/>
  <c r="AE62" i="12"/>
  <c r="AR62" i="12"/>
  <c r="AS62" i="12"/>
  <c r="AT62" i="12"/>
  <c r="BG62" i="12"/>
  <c r="BH62" i="12"/>
  <c r="BI62" i="12"/>
  <c r="I63" i="12"/>
  <c r="J63" i="12"/>
  <c r="K63" i="12"/>
  <c r="L63" i="12"/>
  <c r="AE63" i="12"/>
  <c r="AR63" i="12"/>
  <c r="AS63" i="12"/>
  <c r="AT63" i="12"/>
  <c r="BG63" i="12"/>
  <c r="BH63" i="12"/>
  <c r="BI63" i="12"/>
  <c r="I64" i="12"/>
  <c r="J64" i="12"/>
  <c r="K64" i="12"/>
  <c r="L64" i="12"/>
  <c r="AE64" i="12"/>
  <c r="AR64" i="12"/>
  <c r="AS64" i="12"/>
  <c r="AT64" i="12"/>
  <c r="BG64" i="12"/>
  <c r="BH64" i="12"/>
  <c r="BI64" i="12"/>
  <c r="I65" i="12"/>
  <c r="J65" i="12"/>
  <c r="K65" i="12"/>
  <c r="L65" i="12"/>
  <c r="AE65" i="12"/>
  <c r="AR65" i="12"/>
  <c r="AS65" i="12"/>
  <c r="AT65" i="12"/>
  <c r="BG65" i="12"/>
  <c r="BH65" i="12"/>
  <c r="BI65" i="12"/>
  <c r="I66" i="12"/>
  <c r="J66" i="12"/>
  <c r="K66" i="12"/>
  <c r="L66" i="12"/>
  <c r="AE66" i="12"/>
  <c r="AR66" i="12"/>
  <c r="AS66" i="12"/>
  <c r="AT66" i="12"/>
  <c r="BG66" i="12"/>
  <c r="BH66" i="12"/>
  <c r="BI66" i="12"/>
  <c r="I67" i="12"/>
  <c r="J67" i="12"/>
  <c r="K67" i="12"/>
  <c r="L67" i="12"/>
  <c r="AE67" i="12"/>
  <c r="AR67" i="12"/>
  <c r="AS67" i="12"/>
  <c r="AT67" i="12"/>
  <c r="BG67" i="12"/>
  <c r="BH67" i="12"/>
  <c r="BI67" i="12"/>
  <c r="I68" i="12"/>
  <c r="J68" i="12"/>
  <c r="K68" i="12"/>
  <c r="L68" i="12"/>
  <c r="AE68" i="12"/>
  <c r="AR68" i="12"/>
  <c r="AS68" i="12"/>
  <c r="AT68" i="12"/>
  <c r="BG68" i="12"/>
  <c r="BH68" i="12"/>
  <c r="BI68" i="12"/>
  <c r="I69" i="12"/>
  <c r="J69" i="12"/>
  <c r="K69" i="12"/>
  <c r="L69" i="12"/>
  <c r="AE69" i="12"/>
  <c r="AR69" i="12"/>
  <c r="AS69" i="12"/>
  <c r="AT69" i="12"/>
  <c r="BG69" i="12"/>
  <c r="BH69" i="12"/>
  <c r="BI69" i="12"/>
  <c r="I71" i="12"/>
  <c r="J71" i="12"/>
  <c r="K71" i="12"/>
  <c r="L71" i="12"/>
  <c r="AE71" i="12"/>
  <c r="AR71" i="12"/>
  <c r="AS71" i="12"/>
  <c r="AT71" i="12"/>
  <c r="BG71" i="12"/>
  <c r="BH71" i="12"/>
  <c r="BI71" i="12"/>
  <c r="I72" i="12"/>
  <c r="J72" i="12"/>
  <c r="K72" i="12"/>
  <c r="L72" i="12"/>
  <c r="AE72" i="12"/>
  <c r="AR72" i="12"/>
  <c r="AS72" i="12"/>
  <c r="AT72" i="12"/>
  <c r="BG72" i="12"/>
  <c r="BH72" i="12"/>
  <c r="BI72" i="12"/>
  <c r="I73" i="12"/>
  <c r="J73" i="12"/>
  <c r="K73" i="12"/>
  <c r="L73" i="12"/>
  <c r="AE73" i="12"/>
  <c r="AR73" i="12"/>
  <c r="AS73" i="12"/>
  <c r="AT73" i="12"/>
  <c r="BG73" i="12"/>
  <c r="BH73" i="12"/>
  <c r="BI73" i="12"/>
  <c r="I74" i="12"/>
  <c r="J74" i="12"/>
  <c r="K74" i="12"/>
  <c r="L74" i="12"/>
  <c r="AE74" i="12"/>
  <c r="AR74" i="12"/>
  <c r="AS74" i="12"/>
  <c r="AT74" i="12"/>
  <c r="BG74" i="12"/>
  <c r="BH74" i="12"/>
  <c r="BI74" i="12"/>
  <c r="I75" i="12"/>
  <c r="J75" i="12"/>
  <c r="K75" i="12"/>
  <c r="L75" i="12"/>
  <c r="AE75" i="12"/>
  <c r="AR75" i="12"/>
  <c r="AS75" i="12"/>
  <c r="AT75" i="12"/>
  <c r="BG75" i="12"/>
  <c r="BH75" i="12"/>
  <c r="BI75" i="12"/>
  <c r="I76" i="12"/>
  <c r="J76" i="12"/>
  <c r="K76" i="12"/>
  <c r="L76" i="12"/>
  <c r="AE76" i="12"/>
  <c r="AR76" i="12"/>
  <c r="AS76" i="12"/>
  <c r="AT76" i="12"/>
  <c r="BG76" i="12"/>
  <c r="BH76" i="12"/>
  <c r="BI76" i="12"/>
  <c r="I77" i="12"/>
  <c r="J77" i="12"/>
  <c r="K77" i="12"/>
  <c r="L77" i="12"/>
  <c r="AE77" i="12"/>
  <c r="AR77" i="12"/>
  <c r="AS77" i="12"/>
  <c r="AT77" i="12"/>
  <c r="BG77" i="12"/>
  <c r="BH77" i="12"/>
  <c r="BI77" i="12"/>
  <c r="I78" i="12"/>
  <c r="J78" i="12"/>
  <c r="K78" i="12"/>
  <c r="L78" i="12"/>
  <c r="AE78" i="12"/>
  <c r="AR78" i="12"/>
  <c r="AS78" i="12"/>
  <c r="AT78" i="12"/>
  <c r="BG78" i="12"/>
  <c r="BH78" i="12"/>
  <c r="BI78" i="12"/>
  <c r="I79" i="12"/>
  <c r="J79" i="12"/>
  <c r="K79" i="12"/>
  <c r="L79" i="12"/>
  <c r="AE79" i="12"/>
  <c r="AR79" i="12"/>
  <c r="AS79" i="12"/>
  <c r="AT79" i="12"/>
  <c r="BG79" i="12"/>
  <c r="BH79" i="12"/>
  <c r="BI79" i="12"/>
  <c r="I80" i="12"/>
  <c r="J80" i="12"/>
  <c r="K80" i="12"/>
  <c r="L80" i="12"/>
  <c r="AE80" i="12"/>
  <c r="AR80" i="12"/>
  <c r="AS80" i="12"/>
  <c r="AT80" i="12"/>
  <c r="BG80" i="12"/>
  <c r="BH80" i="12"/>
  <c r="BI80" i="12"/>
  <c r="I81" i="12"/>
  <c r="J81" i="12"/>
  <c r="K81" i="12"/>
  <c r="L81" i="12"/>
  <c r="AE81" i="12"/>
  <c r="AR81" i="12"/>
  <c r="AS81" i="12"/>
  <c r="AT81" i="12"/>
  <c r="BG81" i="12"/>
  <c r="BH81" i="12"/>
  <c r="BI81" i="12"/>
  <c r="I82" i="12"/>
  <c r="J82" i="12"/>
  <c r="K82" i="12"/>
  <c r="L82" i="12"/>
  <c r="AE82" i="12"/>
  <c r="AR82" i="12"/>
  <c r="AS82" i="12"/>
  <c r="AT82" i="12"/>
  <c r="BG82" i="12"/>
  <c r="BH82" i="12"/>
  <c r="BI82" i="12"/>
  <c r="I83" i="12"/>
  <c r="J83" i="12"/>
  <c r="K83" i="12"/>
  <c r="L83" i="12"/>
  <c r="AE83" i="12"/>
  <c r="AR83" i="12"/>
  <c r="AS83" i="12"/>
  <c r="AT83" i="12"/>
  <c r="BG83" i="12"/>
  <c r="BH83" i="12"/>
  <c r="BI83" i="12"/>
  <c r="I84" i="12"/>
  <c r="J84" i="12"/>
  <c r="K84" i="12"/>
  <c r="L84" i="12"/>
  <c r="AE84" i="12"/>
  <c r="AR84" i="12"/>
  <c r="AS84" i="12"/>
  <c r="AT84" i="12"/>
  <c r="BG84" i="12"/>
  <c r="BH84" i="12"/>
  <c r="BI84" i="12"/>
  <c r="I85" i="12"/>
  <c r="J85" i="12"/>
  <c r="K85" i="12"/>
  <c r="L85" i="12"/>
  <c r="AE85" i="12"/>
  <c r="AR85" i="12"/>
  <c r="AS85" i="12"/>
  <c r="AT85" i="12"/>
  <c r="BG85" i="12"/>
  <c r="BH85" i="12"/>
  <c r="BI85" i="12"/>
  <c r="I86" i="12"/>
  <c r="J86" i="12"/>
  <c r="K86" i="12"/>
  <c r="L86" i="12"/>
  <c r="AE86" i="12"/>
  <c r="AR86" i="12"/>
  <c r="AS86" i="12"/>
  <c r="AT86" i="12"/>
  <c r="BG86" i="12"/>
  <c r="BH86" i="12"/>
  <c r="BI86" i="12"/>
  <c r="I87" i="12"/>
  <c r="J87" i="12"/>
  <c r="K87" i="12"/>
  <c r="L87" i="12"/>
  <c r="AE87" i="12"/>
  <c r="AR87" i="12"/>
  <c r="AS87" i="12"/>
  <c r="AT87" i="12"/>
  <c r="BG87" i="12"/>
  <c r="BH87" i="12"/>
  <c r="BI87" i="12"/>
  <c r="I88" i="12"/>
  <c r="J88" i="12"/>
  <c r="K88" i="12"/>
  <c r="L88" i="12"/>
  <c r="AE88" i="12"/>
  <c r="AR88" i="12"/>
  <c r="AS88" i="12"/>
  <c r="AT88" i="12"/>
  <c r="BG88" i="12"/>
  <c r="BH88" i="12"/>
  <c r="BI88" i="12"/>
  <c r="I89" i="12"/>
  <c r="J89" i="12"/>
  <c r="K89" i="12"/>
  <c r="L89" i="12"/>
  <c r="AE89" i="12"/>
  <c r="AR89" i="12"/>
  <c r="AS89" i="12"/>
  <c r="AT89" i="12"/>
  <c r="BG89" i="12"/>
  <c r="BH89" i="12"/>
  <c r="BI89" i="12"/>
  <c r="I90" i="12"/>
  <c r="J90" i="12"/>
  <c r="K90" i="12"/>
  <c r="L90" i="12"/>
  <c r="AE90" i="12"/>
  <c r="AR90" i="12"/>
  <c r="AS90" i="12"/>
  <c r="AT90" i="12"/>
  <c r="BG90" i="12"/>
  <c r="BH90" i="12"/>
  <c r="BI90" i="12"/>
  <c r="I91" i="12"/>
  <c r="J91" i="12"/>
  <c r="K91" i="12"/>
  <c r="L91" i="12"/>
  <c r="AE91" i="12"/>
  <c r="AR91" i="12"/>
  <c r="AS91" i="12"/>
  <c r="AT91" i="12"/>
  <c r="BG91" i="12"/>
  <c r="BH91" i="12"/>
  <c r="BI91" i="12"/>
  <c r="I92" i="12"/>
  <c r="J92" i="12"/>
  <c r="K92" i="12"/>
  <c r="L92" i="12"/>
  <c r="AE92" i="12"/>
  <c r="AR92" i="12"/>
  <c r="AS92" i="12"/>
  <c r="AT92" i="12"/>
  <c r="BG92" i="12"/>
  <c r="BH92" i="12"/>
  <c r="BI92" i="12"/>
  <c r="I93" i="12"/>
  <c r="J93" i="12"/>
  <c r="K93" i="12"/>
  <c r="L93" i="12"/>
  <c r="AE93" i="12"/>
  <c r="AR93" i="12"/>
  <c r="AS93" i="12"/>
  <c r="AT93" i="12"/>
  <c r="BG93" i="12"/>
  <c r="BH93" i="12"/>
  <c r="BI93" i="12"/>
  <c r="I94" i="12"/>
  <c r="J94" i="12"/>
  <c r="K94" i="12"/>
  <c r="L94" i="12"/>
  <c r="AE94" i="12"/>
  <c r="AR94" i="12"/>
  <c r="AS94" i="12"/>
  <c r="AT94" i="12"/>
  <c r="BG94" i="12"/>
  <c r="BH94" i="12"/>
  <c r="BI94" i="12"/>
  <c r="I95" i="12"/>
  <c r="J95" i="12"/>
  <c r="K95" i="12"/>
  <c r="L95" i="12"/>
  <c r="AE95" i="12"/>
  <c r="AR95" i="12"/>
  <c r="AS95" i="12"/>
  <c r="AT95" i="12"/>
  <c r="BG95" i="12"/>
  <c r="BH95" i="12"/>
  <c r="BI95" i="12"/>
  <c r="I96" i="12"/>
  <c r="J96" i="12"/>
  <c r="K96" i="12"/>
  <c r="L96" i="12"/>
  <c r="AE96" i="12"/>
  <c r="AR96" i="12"/>
  <c r="AS96" i="12"/>
  <c r="AT96" i="12"/>
  <c r="BG96" i="12"/>
  <c r="BH96" i="12"/>
  <c r="BI96" i="12"/>
  <c r="I97" i="12"/>
  <c r="J97" i="12"/>
  <c r="K97" i="12"/>
  <c r="L97" i="12"/>
  <c r="AE97" i="12"/>
  <c r="AR97" i="12"/>
  <c r="AS97" i="12"/>
  <c r="AT97" i="12"/>
  <c r="BG97" i="12"/>
  <c r="BH97" i="12"/>
  <c r="BI97" i="12"/>
  <c r="I98" i="12"/>
  <c r="J98" i="12"/>
  <c r="K98" i="12"/>
  <c r="L98" i="12"/>
  <c r="AE98" i="12"/>
  <c r="AR98" i="12"/>
  <c r="AS98" i="12"/>
  <c r="AT98" i="12"/>
  <c r="BG98" i="12"/>
  <c r="BH98" i="12"/>
  <c r="BI98" i="12"/>
  <c r="I99" i="12"/>
  <c r="J99" i="12"/>
  <c r="K99" i="12"/>
  <c r="L99" i="12"/>
  <c r="AE99" i="12"/>
  <c r="AR99" i="12"/>
  <c r="AS99" i="12"/>
  <c r="AT99" i="12"/>
  <c r="BG99" i="12"/>
  <c r="BH99" i="12"/>
  <c r="BI99" i="12"/>
  <c r="I100" i="12"/>
  <c r="J100" i="12"/>
  <c r="K100" i="12"/>
  <c r="L100" i="12"/>
  <c r="AE100" i="12"/>
  <c r="AR100" i="12"/>
  <c r="AS100" i="12"/>
  <c r="AT100" i="12"/>
  <c r="BG100" i="12"/>
  <c r="BH100" i="12"/>
  <c r="BI100" i="12"/>
  <c r="I101" i="12"/>
  <c r="J101" i="12"/>
  <c r="K101" i="12"/>
  <c r="L101" i="12"/>
  <c r="AE101" i="12"/>
  <c r="AR101" i="12"/>
  <c r="AS101" i="12"/>
  <c r="AT101" i="12"/>
  <c r="BG101" i="12"/>
  <c r="BH101" i="12"/>
  <c r="BI101" i="12"/>
  <c r="I102" i="12"/>
  <c r="J102" i="12"/>
  <c r="K102" i="12"/>
  <c r="L102" i="12"/>
  <c r="AE102" i="12"/>
  <c r="AR102" i="12"/>
  <c r="AS102" i="12"/>
  <c r="AT102" i="12"/>
  <c r="BG102" i="12"/>
  <c r="BH102" i="12"/>
  <c r="BI102" i="12"/>
  <c r="I103" i="12"/>
  <c r="J103" i="12"/>
  <c r="K103" i="12"/>
  <c r="L103" i="12"/>
  <c r="AE103" i="12"/>
  <c r="AR103" i="12"/>
  <c r="AS103" i="12"/>
  <c r="AT103" i="12"/>
  <c r="BG103" i="12"/>
  <c r="BH103" i="12"/>
  <c r="BI103" i="12"/>
  <c r="I104" i="12"/>
  <c r="J104" i="12"/>
  <c r="K104" i="12"/>
  <c r="L104" i="12"/>
  <c r="AE104" i="12"/>
  <c r="AR104" i="12"/>
  <c r="AS104" i="12"/>
  <c r="AT104" i="12"/>
  <c r="BG104" i="12"/>
  <c r="BH104" i="12"/>
  <c r="BI104" i="12"/>
  <c r="I105" i="12"/>
  <c r="J105" i="12"/>
  <c r="K105" i="12"/>
  <c r="L105" i="12"/>
  <c r="AE105" i="12"/>
  <c r="AR105" i="12"/>
  <c r="AS105" i="12"/>
  <c r="AT105" i="12"/>
  <c r="BG105" i="12"/>
  <c r="BH105" i="12"/>
  <c r="BI105" i="12"/>
  <c r="I106" i="12"/>
  <c r="J106" i="12"/>
  <c r="K106" i="12"/>
  <c r="L106" i="12"/>
  <c r="AE106" i="12"/>
  <c r="AR106" i="12"/>
  <c r="AS106" i="12"/>
  <c r="AT106" i="12"/>
  <c r="BG106" i="12"/>
  <c r="BH106" i="12"/>
  <c r="BI106" i="12"/>
  <c r="I107" i="12"/>
  <c r="J107" i="12"/>
  <c r="K107" i="12"/>
  <c r="L107" i="12"/>
  <c r="AE107" i="12"/>
  <c r="AR107" i="12"/>
  <c r="AS107" i="12"/>
  <c r="AT107" i="12"/>
  <c r="BG107" i="12"/>
  <c r="BH107" i="12"/>
  <c r="BI107" i="12"/>
  <c r="I108" i="12"/>
  <c r="J108" i="12"/>
  <c r="K108" i="12"/>
  <c r="L108" i="12"/>
  <c r="AE108" i="12"/>
  <c r="AR108" i="12"/>
  <c r="AS108" i="12"/>
  <c r="AT108" i="12"/>
  <c r="BG108" i="12"/>
  <c r="BH108" i="12"/>
  <c r="BI108" i="12"/>
  <c r="I109" i="12"/>
  <c r="J109" i="12"/>
  <c r="K109" i="12"/>
  <c r="L109" i="12"/>
  <c r="AE109" i="12"/>
  <c r="AR109" i="12"/>
  <c r="AS109" i="12"/>
  <c r="AT109" i="12"/>
  <c r="BG109" i="12"/>
  <c r="BH109" i="12"/>
  <c r="BI109" i="12"/>
  <c r="I110" i="12"/>
  <c r="J110" i="12"/>
  <c r="K110" i="12"/>
  <c r="L110" i="12"/>
  <c r="AE110" i="12"/>
  <c r="AR110" i="12"/>
  <c r="AS110" i="12"/>
  <c r="AT110" i="12"/>
  <c r="BG110" i="12"/>
  <c r="BH110" i="12"/>
  <c r="BI110" i="12"/>
  <c r="I111" i="12"/>
  <c r="J111" i="12"/>
  <c r="K111" i="12"/>
  <c r="L111" i="12"/>
  <c r="AE111" i="12"/>
  <c r="AR111" i="12"/>
  <c r="AS111" i="12"/>
  <c r="AT111" i="12"/>
  <c r="BG111" i="12"/>
  <c r="BH111" i="12"/>
  <c r="BI111" i="12"/>
  <c r="I112" i="12"/>
  <c r="J112" i="12"/>
  <c r="K112" i="12"/>
  <c r="L112" i="12"/>
  <c r="AE112" i="12"/>
  <c r="AR112" i="12"/>
  <c r="AS112" i="12"/>
  <c r="AT112" i="12"/>
  <c r="BG112" i="12"/>
  <c r="BH112" i="12"/>
  <c r="BI112" i="12"/>
  <c r="I113" i="12"/>
  <c r="J113" i="12"/>
  <c r="K113" i="12"/>
  <c r="L113" i="12"/>
  <c r="AE113" i="12"/>
  <c r="AR113" i="12"/>
  <c r="AS113" i="12"/>
  <c r="AT113" i="12"/>
  <c r="BG113" i="12"/>
  <c r="BH113" i="12"/>
  <c r="BI113" i="12"/>
  <c r="I114" i="12"/>
  <c r="J114" i="12"/>
  <c r="K114" i="12"/>
  <c r="L114" i="12"/>
  <c r="AE114" i="12"/>
  <c r="AR114" i="12"/>
  <c r="AS114" i="12"/>
  <c r="AT114" i="12"/>
  <c r="BG114" i="12"/>
  <c r="BH114" i="12"/>
  <c r="BI114" i="12"/>
  <c r="I115" i="12"/>
  <c r="J115" i="12"/>
  <c r="K115" i="12"/>
  <c r="L115" i="12"/>
  <c r="AE115" i="12"/>
  <c r="AR115" i="12"/>
  <c r="AS115" i="12"/>
  <c r="AT115" i="12"/>
  <c r="BG115" i="12"/>
  <c r="BH115" i="12"/>
  <c r="BI115" i="12"/>
  <c r="I116" i="12"/>
  <c r="J116" i="12"/>
  <c r="K116" i="12"/>
  <c r="L116" i="12"/>
  <c r="AE116" i="12"/>
  <c r="AR116" i="12"/>
  <c r="AS116" i="12"/>
  <c r="AT116" i="12"/>
  <c r="BG116" i="12"/>
  <c r="BH116" i="12"/>
  <c r="BI116" i="12"/>
  <c r="I117" i="12"/>
  <c r="J117" i="12"/>
  <c r="K117" i="12"/>
  <c r="L117" i="12"/>
  <c r="AE117" i="12"/>
  <c r="AR117" i="12"/>
  <c r="AS117" i="12"/>
  <c r="AT117" i="12"/>
  <c r="BG117" i="12"/>
  <c r="BH117" i="12"/>
  <c r="BI117" i="12"/>
  <c r="I118" i="12"/>
  <c r="J118" i="12"/>
  <c r="K118" i="12"/>
  <c r="L118" i="12"/>
  <c r="AE118" i="12"/>
  <c r="AR118" i="12"/>
  <c r="AS118" i="12"/>
  <c r="AT118" i="12"/>
  <c r="BG118" i="12"/>
  <c r="BH118" i="12"/>
  <c r="BI118" i="12"/>
  <c r="I119" i="12"/>
  <c r="J119" i="12"/>
  <c r="K119" i="12"/>
  <c r="L119" i="12"/>
  <c r="AE119" i="12"/>
  <c r="AR119" i="12"/>
  <c r="AS119" i="12"/>
  <c r="AT119" i="12"/>
  <c r="BG119" i="12"/>
  <c r="BH119" i="12"/>
  <c r="BI119" i="12"/>
  <c r="I120" i="12"/>
  <c r="J120" i="12"/>
  <c r="K120" i="12"/>
  <c r="L120" i="12"/>
  <c r="AE120" i="12"/>
  <c r="AR120" i="12"/>
  <c r="AS120" i="12"/>
  <c r="AT120" i="12"/>
  <c r="BG120" i="12"/>
  <c r="BH120" i="12"/>
  <c r="BI120" i="12"/>
  <c r="I121" i="12"/>
  <c r="J121" i="12"/>
  <c r="K121" i="12"/>
  <c r="L121" i="12"/>
  <c r="AE121" i="12"/>
  <c r="AR121" i="12"/>
  <c r="AS121" i="12"/>
  <c r="AT121" i="12"/>
  <c r="BG121" i="12"/>
  <c r="BH121" i="12"/>
  <c r="BI121" i="12"/>
  <c r="I122" i="12"/>
  <c r="J122" i="12"/>
  <c r="K122" i="12"/>
  <c r="L122" i="12"/>
  <c r="AE122" i="12"/>
  <c r="AR122" i="12"/>
  <c r="AS122" i="12"/>
  <c r="AT122" i="12"/>
  <c r="BG122" i="12"/>
  <c r="BH122" i="12"/>
  <c r="BI122" i="12"/>
  <c r="I123" i="12"/>
  <c r="J123" i="12"/>
  <c r="K123" i="12"/>
  <c r="L123" i="12"/>
  <c r="AE123" i="12"/>
  <c r="AR123" i="12"/>
  <c r="AS123" i="12"/>
  <c r="AT123" i="12"/>
  <c r="BG123" i="12"/>
  <c r="BH123" i="12"/>
  <c r="BI123" i="12"/>
  <c r="I124" i="12"/>
  <c r="J124" i="12"/>
  <c r="K124" i="12"/>
  <c r="L124" i="12"/>
  <c r="AE124" i="12"/>
  <c r="AR124" i="12"/>
  <c r="AS124" i="12"/>
  <c r="AT124" i="12"/>
  <c r="BG124" i="12"/>
  <c r="BH124" i="12"/>
  <c r="BI124" i="12"/>
  <c r="I125" i="12"/>
  <c r="J125" i="12"/>
  <c r="K125" i="12"/>
  <c r="L125" i="12"/>
  <c r="AE125" i="12"/>
  <c r="AR125" i="12"/>
  <c r="AS125" i="12"/>
  <c r="AT125" i="12"/>
  <c r="BG125" i="12"/>
  <c r="BH125" i="12"/>
  <c r="BI125" i="12"/>
  <c r="I126" i="12"/>
  <c r="J126" i="12"/>
  <c r="K126" i="12"/>
  <c r="L126" i="12"/>
  <c r="AE126" i="12"/>
  <c r="AR126" i="12"/>
  <c r="AS126" i="12"/>
  <c r="AT126" i="12"/>
  <c r="BG126" i="12"/>
  <c r="BH126" i="12"/>
  <c r="BI126" i="12"/>
  <c r="I127" i="12"/>
  <c r="J127" i="12"/>
  <c r="K127" i="12"/>
  <c r="L127" i="12"/>
  <c r="AE127" i="12"/>
  <c r="AR127" i="12"/>
  <c r="AS127" i="12"/>
  <c r="AT127" i="12"/>
  <c r="BG127" i="12"/>
  <c r="BH127" i="12"/>
  <c r="BI127" i="12"/>
  <c r="I128" i="12"/>
  <c r="J128" i="12"/>
  <c r="K128" i="12"/>
  <c r="L128" i="12"/>
  <c r="AE128" i="12"/>
  <c r="AR128" i="12"/>
  <c r="AS128" i="12"/>
  <c r="AT128" i="12"/>
  <c r="BG128" i="12"/>
  <c r="BH128" i="12"/>
  <c r="BI128" i="12"/>
  <c r="I129" i="12"/>
  <c r="J129" i="12"/>
  <c r="K129" i="12"/>
  <c r="L129" i="12"/>
  <c r="AE129" i="12"/>
  <c r="AR129" i="12"/>
  <c r="AS129" i="12"/>
  <c r="AT129" i="12"/>
  <c r="BG129" i="12"/>
  <c r="BH129" i="12"/>
  <c r="BI129" i="12"/>
  <c r="I130" i="12"/>
  <c r="J130" i="12"/>
  <c r="K130" i="12"/>
  <c r="L130" i="12"/>
  <c r="AE130" i="12"/>
  <c r="AR130" i="12"/>
  <c r="AS130" i="12"/>
  <c r="AT130" i="12"/>
  <c r="BG130" i="12"/>
  <c r="BH130" i="12"/>
  <c r="BI130" i="12"/>
  <c r="I131" i="12"/>
  <c r="J131" i="12"/>
  <c r="K131" i="12"/>
  <c r="L131" i="12"/>
  <c r="AE131" i="12"/>
  <c r="AR131" i="12"/>
  <c r="AS131" i="12"/>
  <c r="AT131" i="12"/>
  <c r="BG131" i="12"/>
  <c r="BH131" i="12"/>
  <c r="BI131" i="12"/>
  <c r="I132" i="12"/>
  <c r="J132" i="12"/>
  <c r="K132" i="12"/>
  <c r="L132" i="12"/>
  <c r="AE132" i="12"/>
  <c r="AR132" i="12"/>
  <c r="AS132" i="12"/>
  <c r="AT132" i="12"/>
  <c r="BG132" i="12"/>
  <c r="BH132" i="12"/>
  <c r="BI132" i="12"/>
  <c r="I133" i="12"/>
  <c r="J133" i="12"/>
  <c r="K133" i="12"/>
  <c r="L133" i="12"/>
  <c r="AE133" i="12"/>
  <c r="AR133" i="12"/>
  <c r="AS133" i="12"/>
  <c r="AT133" i="12"/>
  <c r="BG133" i="12"/>
  <c r="BH133" i="12"/>
  <c r="BI133" i="12"/>
  <c r="I134" i="12"/>
  <c r="J134" i="12"/>
  <c r="K134" i="12"/>
  <c r="L134" i="12"/>
  <c r="AE134" i="12"/>
  <c r="AR134" i="12"/>
  <c r="AS134" i="12"/>
  <c r="AT134" i="12"/>
  <c r="BG134" i="12"/>
  <c r="BH134" i="12"/>
  <c r="BI134" i="12"/>
  <c r="I135" i="12"/>
  <c r="J135" i="12"/>
  <c r="K135" i="12"/>
  <c r="L135" i="12"/>
  <c r="AE135" i="12"/>
  <c r="AR135" i="12"/>
  <c r="AS135" i="12"/>
  <c r="AT135" i="12"/>
  <c r="BG135" i="12"/>
  <c r="BH135" i="12"/>
  <c r="BI135" i="12"/>
  <c r="I136" i="12"/>
  <c r="J136" i="12"/>
  <c r="K136" i="12"/>
  <c r="L136" i="12"/>
  <c r="AE136" i="12"/>
  <c r="AR136" i="12"/>
  <c r="AS136" i="12"/>
  <c r="AT136" i="12"/>
  <c r="BG136" i="12"/>
  <c r="BH136" i="12"/>
  <c r="BI136" i="12"/>
  <c r="I137" i="12"/>
  <c r="J137" i="12"/>
  <c r="K137" i="12"/>
  <c r="L137" i="12"/>
  <c r="AE137" i="12"/>
  <c r="AR137" i="12"/>
  <c r="AS137" i="12"/>
  <c r="AT137" i="12"/>
  <c r="BG137" i="12"/>
  <c r="BH137" i="12"/>
  <c r="BI137" i="12"/>
  <c r="I138" i="12"/>
  <c r="J138" i="12"/>
  <c r="K138" i="12"/>
  <c r="L138" i="12"/>
  <c r="AE138" i="12"/>
  <c r="AR138" i="12"/>
  <c r="AS138" i="12"/>
  <c r="AT138" i="12"/>
  <c r="BG138" i="12"/>
  <c r="BH138" i="12"/>
  <c r="BI138" i="12"/>
  <c r="I139" i="12"/>
  <c r="J139" i="12"/>
  <c r="K139" i="12"/>
  <c r="L139" i="12"/>
  <c r="AE139" i="12"/>
  <c r="AR139" i="12"/>
  <c r="AS139" i="12"/>
  <c r="AT139" i="12"/>
  <c r="BG139" i="12"/>
  <c r="BH139" i="12"/>
  <c r="BI139" i="12"/>
  <c r="I140" i="12"/>
  <c r="J140" i="12"/>
  <c r="K140" i="12"/>
  <c r="L140" i="12"/>
  <c r="AE140" i="12"/>
  <c r="AR140" i="12"/>
  <c r="AS140" i="12"/>
  <c r="AT140" i="12"/>
  <c r="BG140" i="12"/>
  <c r="BH140" i="12"/>
  <c r="BI140" i="12"/>
  <c r="I142" i="12"/>
  <c r="J142" i="12"/>
  <c r="K142" i="12"/>
  <c r="L142" i="12"/>
  <c r="AE142" i="12"/>
  <c r="AR142" i="12"/>
  <c r="AS142" i="12"/>
  <c r="AT142" i="12"/>
  <c r="BG142" i="12"/>
  <c r="BH142" i="12"/>
  <c r="BI142" i="12"/>
  <c r="I143" i="12"/>
  <c r="J143" i="12"/>
  <c r="K143" i="12"/>
  <c r="L143" i="12"/>
  <c r="AE143" i="12"/>
  <c r="AR143" i="12"/>
  <c r="AS143" i="12"/>
  <c r="AT143" i="12"/>
  <c r="BG143" i="12"/>
  <c r="BH143" i="12"/>
  <c r="BI143" i="12"/>
  <c r="I144" i="12"/>
  <c r="J144" i="12"/>
  <c r="K144" i="12"/>
  <c r="L144" i="12"/>
  <c r="AE144" i="12"/>
  <c r="AR144" i="12"/>
  <c r="AS144" i="12"/>
  <c r="AT144" i="12"/>
  <c r="BG144" i="12"/>
  <c r="BH144" i="12"/>
  <c r="BI144" i="12"/>
  <c r="I145" i="12"/>
  <c r="J145" i="12"/>
  <c r="K145" i="12"/>
  <c r="L145" i="12"/>
  <c r="AE145" i="12"/>
  <c r="AR145" i="12"/>
  <c r="AS145" i="12"/>
  <c r="AT145" i="12"/>
  <c r="BG145" i="12"/>
  <c r="BH145" i="12"/>
  <c r="BI145" i="12"/>
  <c r="I146" i="12"/>
  <c r="J146" i="12"/>
  <c r="K146" i="12"/>
  <c r="L146" i="12"/>
  <c r="AE146" i="12"/>
  <c r="AR146" i="12"/>
  <c r="AS146" i="12"/>
  <c r="AT146" i="12"/>
  <c r="BG146" i="12"/>
  <c r="BH146" i="12"/>
  <c r="BI146" i="12"/>
  <c r="I147" i="12"/>
  <c r="J147" i="12"/>
  <c r="K147" i="12"/>
  <c r="L147" i="12"/>
  <c r="AE147" i="12"/>
  <c r="AR147" i="12"/>
  <c r="AS147" i="12"/>
  <c r="AT147" i="12"/>
  <c r="BG147" i="12"/>
  <c r="BH147" i="12"/>
  <c r="BI147" i="12"/>
  <c r="I148" i="12"/>
  <c r="J148" i="12"/>
  <c r="K148" i="12"/>
  <c r="L148" i="12"/>
  <c r="AE148" i="12"/>
  <c r="AR148" i="12"/>
  <c r="AS148" i="12"/>
  <c r="AT148" i="12"/>
  <c r="BG148" i="12"/>
  <c r="BH148" i="12"/>
  <c r="BI148" i="12"/>
  <c r="I149" i="12"/>
  <c r="J149" i="12"/>
  <c r="K149" i="12"/>
  <c r="L149" i="12"/>
  <c r="AE149" i="12"/>
  <c r="AR149" i="12"/>
  <c r="AS149" i="12"/>
  <c r="AT149" i="12"/>
  <c r="BG149" i="12"/>
  <c r="BH149" i="12"/>
  <c r="BI149" i="12"/>
  <c r="I150" i="12"/>
  <c r="J150" i="12"/>
  <c r="K150" i="12"/>
  <c r="L150" i="12"/>
  <c r="AE150" i="12"/>
  <c r="AR150" i="12"/>
  <c r="AS150" i="12"/>
  <c r="AT150" i="12"/>
  <c r="BG150" i="12"/>
  <c r="BH150" i="12"/>
  <c r="BI150" i="12"/>
  <c r="I151" i="12"/>
  <c r="J151" i="12"/>
  <c r="K151" i="12"/>
  <c r="L151" i="12"/>
  <c r="AE151" i="12"/>
  <c r="AR151" i="12"/>
  <c r="AS151" i="12"/>
  <c r="AT151" i="12"/>
  <c r="BG151" i="12"/>
  <c r="BH151" i="12"/>
  <c r="BI151" i="12"/>
  <c r="I152" i="12"/>
  <c r="J152" i="12"/>
  <c r="K152" i="12"/>
  <c r="L152" i="12"/>
  <c r="AE152" i="12"/>
  <c r="AR152" i="12"/>
  <c r="AS152" i="12"/>
  <c r="AT152" i="12"/>
  <c r="BG152" i="12"/>
  <c r="BH152" i="12"/>
  <c r="BI152" i="12"/>
  <c r="I153" i="12"/>
  <c r="J153" i="12"/>
  <c r="K153" i="12"/>
  <c r="L153" i="12"/>
  <c r="AE153" i="12"/>
  <c r="AR153" i="12"/>
  <c r="AS153" i="12"/>
  <c r="AT153" i="12"/>
  <c r="BG153" i="12"/>
  <c r="BH153" i="12"/>
  <c r="BI153" i="12"/>
  <c r="I154" i="12"/>
  <c r="J154" i="12"/>
  <c r="K154" i="12"/>
  <c r="L154" i="12"/>
  <c r="AE154" i="12"/>
  <c r="AR154" i="12"/>
  <c r="AS154" i="12"/>
  <c r="AT154" i="12"/>
  <c r="BG154" i="12"/>
  <c r="BH154" i="12"/>
  <c r="BI154" i="12"/>
  <c r="I155" i="12"/>
  <c r="J155" i="12"/>
  <c r="K155" i="12"/>
  <c r="L155" i="12"/>
  <c r="AE155" i="12"/>
  <c r="AR155" i="12"/>
  <c r="AS155" i="12"/>
  <c r="AT155" i="12"/>
  <c r="BG155" i="12"/>
  <c r="BH155" i="12"/>
  <c r="BI155" i="12"/>
  <c r="I156" i="12"/>
  <c r="J156" i="12"/>
  <c r="K156" i="12"/>
  <c r="L156" i="12"/>
  <c r="AE156" i="12"/>
  <c r="AR156" i="12"/>
  <c r="AS156" i="12"/>
  <c r="AT156" i="12"/>
  <c r="BG156" i="12"/>
  <c r="BH156" i="12"/>
  <c r="BI156" i="12"/>
  <c r="I157" i="12"/>
  <c r="J157" i="12"/>
  <c r="K157" i="12"/>
  <c r="L157" i="12"/>
  <c r="AE157" i="12"/>
  <c r="AR157" i="12"/>
  <c r="AS157" i="12"/>
  <c r="AT157" i="12"/>
  <c r="BG157" i="12"/>
  <c r="BH157" i="12"/>
  <c r="BI157" i="12"/>
  <c r="I158" i="12"/>
  <c r="J158" i="12"/>
  <c r="K158" i="12"/>
  <c r="L158" i="12"/>
  <c r="AE158" i="12"/>
  <c r="AR158" i="12"/>
  <c r="AS158" i="12"/>
  <c r="AT158" i="12"/>
  <c r="BG158" i="12"/>
  <c r="BH158" i="12"/>
  <c r="BI158" i="12"/>
  <c r="I159" i="12"/>
  <c r="J159" i="12"/>
  <c r="K159" i="12"/>
  <c r="L159" i="12"/>
  <c r="AE159" i="12"/>
  <c r="AR159" i="12"/>
  <c r="AS159" i="12"/>
  <c r="AT159" i="12"/>
  <c r="BG159" i="12"/>
  <c r="BH159" i="12"/>
  <c r="BI159" i="12"/>
  <c r="I160" i="12"/>
  <c r="J160" i="12"/>
  <c r="K160" i="12"/>
  <c r="L160" i="12"/>
  <c r="AE160" i="12"/>
  <c r="AR160" i="12"/>
  <c r="AS160" i="12"/>
  <c r="AT160" i="12"/>
  <c r="BG160" i="12"/>
  <c r="BH160" i="12"/>
  <c r="BI160" i="12"/>
  <c r="I161" i="12"/>
  <c r="J161" i="12"/>
  <c r="K161" i="12"/>
  <c r="L161" i="12"/>
  <c r="AE161" i="12"/>
  <c r="AR161" i="12"/>
  <c r="AS161" i="12"/>
  <c r="AT161" i="12"/>
  <c r="BG161" i="12"/>
  <c r="BH161" i="12"/>
  <c r="BI161" i="12"/>
  <c r="I162" i="12"/>
  <c r="J162" i="12"/>
  <c r="K162" i="12"/>
  <c r="L162" i="12"/>
  <c r="AE162" i="12"/>
  <c r="AR162" i="12"/>
  <c r="AS162" i="12"/>
  <c r="AT162" i="12"/>
  <c r="BG162" i="12"/>
  <c r="BH162" i="12"/>
  <c r="BI162" i="12"/>
  <c r="I163" i="12"/>
  <c r="J163" i="12"/>
  <c r="K163" i="12"/>
  <c r="L163" i="12"/>
  <c r="AE163" i="12"/>
  <c r="AR163" i="12"/>
  <c r="AS163" i="12"/>
  <c r="AT163" i="12"/>
  <c r="BG163" i="12"/>
  <c r="BH163" i="12"/>
  <c r="BI163" i="12"/>
  <c r="I164" i="12"/>
  <c r="J164" i="12"/>
  <c r="K164" i="12"/>
  <c r="L164" i="12"/>
  <c r="AE164" i="12"/>
  <c r="AR164" i="12"/>
  <c r="AS164" i="12"/>
  <c r="AT164" i="12"/>
  <c r="BG164" i="12"/>
  <c r="BH164" i="12"/>
  <c r="BI164" i="12"/>
  <c r="I165" i="12"/>
  <c r="J165" i="12"/>
  <c r="K165" i="12"/>
  <c r="L165" i="12"/>
  <c r="AE165" i="12"/>
  <c r="AR165" i="12"/>
  <c r="AS165" i="12"/>
  <c r="AT165" i="12"/>
  <c r="BG165" i="12"/>
  <c r="BH165" i="12"/>
  <c r="BI165" i="12"/>
  <c r="I166" i="12"/>
  <c r="J166" i="12"/>
  <c r="K166" i="12"/>
  <c r="L166" i="12"/>
  <c r="AE166" i="12"/>
  <c r="AR166" i="12"/>
  <c r="AS166" i="12"/>
  <c r="AT166" i="12"/>
  <c r="BG166" i="12"/>
  <c r="BH166" i="12"/>
  <c r="BI166" i="12"/>
  <c r="I167" i="12"/>
  <c r="J167" i="12"/>
  <c r="K167" i="12"/>
  <c r="L167" i="12"/>
  <c r="AE167" i="12"/>
  <c r="AR167" i="12"/>
  <c r="AS167" i="12"/>
  <c r="AT167" i="12"/>
  <c r="BG167" i="12"/>
  <c r="BH167" i="12"/>
  <c r="BI167" i="12"/>
  <c r="I168" i="12"/>
  <c r="J168" i="12"/>
  <c r="K168" i="12"/>
  <c r="L168" i="12"/>
  <c r="AE168" i="12"/>
  <c r="AR168" i="12"/>
  <c r="AS168" i="12"/>
  <c r="AT168" i="12"/>
  <c r="BG168" i="12"/>
  <c r="BH168" i="12"/>
  <c r="BI168" i="12"/>
  <c r="I169" i="12"/>
  <c r="J169" i="12"/>
  <c r="K169" i="12"/>
  <c r="L169" i="12"/>
  <c r="AE169" i="12"/>
  <c r="AR169" i="12"/>
  <c r="AS169" i="12"/>
  <c r="AT169" i="12"/>
  <c r="BG169" i="12"/>
  <c r="BH169" i="12"/>
  <c r="BI169" i="12"/>
  <c r="I170" i="12"/>
  <c r="J170" i="12"/>
  <c r="K170" i="12"/>
  <c r="L170" i="12"/>
  <c r="AE170" i="12"/>
  <c r="AR170" i="12"/>
  <c r="AS170" i="12"/>
  <c r="AT170" i="12"/>
  <c r="BG170" i="12"/>
  <c r="BH170" i="12"/>
  <c r="BI170" i="12"/>
  <c r="I171" i="12"/>
  <c r="J171" i="12"/>
  <c r="K171" i="12"/>
  <c r="L171" i="12"/>
  <c r="AE171" i="12"/>
  <c r="AR171" i="12"/>
  <c r="AS171" i="12"/>
  <c r="AT171" i="12"/>
  <c r="BG171" i="12"/>
  <c r="BH171" i="12"/>
  <c r="BI171" i="12"/>
  <c r="I172" i="12"/>
  <c r="J172" i="12"/>
  <c r="K172" i="12"/>
  <c r="L172" i="12"/>
  <c r="AE172" i="12"/>
  <c r="AR172" i="12"/>
  <c r="AS172" i="12"/>
  <c r="AT172" i="12"/>
  <c r="BG172" i="12"/>
  <c r="BH172" i="12"/>
  <c r="BI172" i="12"/>
  <c r="I173" i="12"/>
  <c r="J173" i="12"/>
  <c r="K173" i="12"/>
  <c r="L173" i="12"/>
  <c r="AE173" i="12"/>
  <c r="AR173" i="12"/>
  <c r="AS173" i="12"/>
  <c r="AT173" i="12"/>
  <c r="BG173" i="12"/>
  <c r="BH173" i="12"/>
  <c r="BI173" i="12"/>
  <c r="I174" i="12"/>
  <c r="J174" i="12"/>
  <c r="K174" i="12"/>
  <c r="L174" i="12"/>
  <c r="AE174" i="12"/>
  <c r="AR174" i="12"/>
  <c r="AS174" i="12"/>
  <c r="AT174" i="12"/>
  <c r="BG174" i="12"/>
  <c r="BH174" i="12"/>
  <c r="BI174" i="12"/>
  <c r="I175" i="12"/>
  <c r="J175" i="12"/>
  <c r="K175" i="12"/>
  <c r="L175" i="12"/>
  <c r="AE175" i="12"/>
  <c r="AR175" i="12"/>
  <c r="AS175" i="12"/>
  <c r="AT175" i="12"/>
  <c r="BG175" i="12"/>
  <c r="BH175" i="12"/>
  <c r="BI175" i="12"/>
  <c r="I176" i="12"/>
  <c r="J176" i="12"/>
  <c r="K176" i="12"/>
  <c r="L176" i="12"/>
  <c r="AE176" i="12"/>
  <c r="AR176" i="12"/>
  <c r="AS176" i="12"/>
  <c r="AT176" i="12"/>
  <c r="BG176" i="12"/>
  <c r="BH176" i="12"/>
  <c r="BI176" i="12"/>
  <c r="I177" i="12"/>
  <c r="J177" i="12"/>
  <c r="K177" i="12"/>
  <c r="L177" i="12"/>
  <c r="AE177" i="12"/>
  <c r="AR177" i="12"/>
  <c r="AS177" i="12"/>
  <c r="AT177" i="12"/>
  <c r="BG177" i="12"/>
  <c r="BH177" i="12"/>
  <c r="BI177" i="12"/>
  <c r="I178" i="12"/>
  <c r="J178" i="12"/>
  <c r="K178" i="12"/>
  <c r="L178" i="12"/>
  <c r="AE178" i="12"/>
  <c r="AR178" i="12"/>
  <c r="AS178" i="12"/>
  <c r="AT178" i="12"/>
  <c r="BG178" i="12"/>
  <c r="BH178" i="12"/>
  <c r="BI178" i="12"/>
  <c r="I179" i="12"/>
  <c r="J179" i="12"/>
  <c r="K179" i="12"/>
  <c r="L179" i="12"/>
  <c r="AE179" i="12"/>
  <c r="AR179" i="12"/>
  <c r="AS179" i="12"/>
  <c r="AT179" i="12"/>
  <c r="BG179" i="12"/>
  <c r="BH179" i="12"/>
  <c r="BI179" i="12"/>
  <c r="I180" i="12"/>
  <c r="J180" i="12"/>
  <c r="K180" i="12"/>
  <c r="L180" i="12"/>
  <c r="AE180" i="12"/>
  <c r="AR180" i="12"/>
  <c r="AS180" i="12"/>
  <c r="AT180" i="12"/>
  <c r="BG180" i="12"/>
  <c r="BH180" i="12"/>
  <c r="BI180" i="12"/>
  <c r="I181" i="12"/>
  <c r="J181" i="12"/>
  <c r="K181" i="12"/>
  <c r="L181" i="12"/>
  <c r="AE181" i="12"/>
  <c r="AR181" i="12"/>
  <c r="AS181" i="12"/>
  <c r="AT181" i="12"/>
  <c r="BG181" i="12"/>
  <c r="BH181" i="12"/>
  <c r="BI181" i="12"/>
  <c r="I182" i="12"/>
  <c r="J182" i="12"/>
  <c r="K182" i="12"/>
  <c r="L182" i="12"/>
  <c r="AE182" i="12"/>
  <c r="AR182" i="12"/>
  <c r="AS182" i="12"/>
  <c r="AT182" i="12"/>
  <c r="BG182" i="12"/>
  <c r="BH182" i="12"/>
  <c r="BI182" i="12"/>
  <c r="I183" i="12"/>
  <c r="J183" i="12"/>
  <c r="K183" i="12"/>
  <c r="L183" i="12"/>
  <c r="AE183" i="12"/>
  <c r="AR183" i="12"/>
  <c r="AS183" i="12"/>
  <c r="AT183" i="12"/>
  <c r="BG183" i="12"/>
  <c r="BH183" i="12"/>
  <c r="BI183" i="12"/>
  <c r="I184" i="12"/>
  <c r="J184" i="12"/>
  <c r="K184" i="12"/>
  <c r="L184" i="12"/>
  <c r="AE184" i="12"/>
  <c r="AR184" i="12"/>
  <c r="AS184" i="12"/>
  <c r="AT184" i="12"/>
  <c r="BG184" i="12"/>
  <c r="BH184" i="12"/>
  <c r="BI184" i="12"/>
  <c r="I185" i="12"/>
  <c r="J185" i="12"/>
  <c r="K185" i="12"/>
  <c r="L185" i="12"/>
  <c r="AE185" i="12"/>
  <c r="AR185" i="12"/>
  <c r="AS185" i="12"/>
  <c r="AT185" i="12"/>
  <c r="BG185" i="12"/>
  <c r="BH185" i="12"/>
  <c r="BI185" i="12"/>
  <c r="I186" i="12"/>
  <c r="J186" i="12"/>
  <c r="K186" i="12"/>
  <c r="L186" i="12"/>
  <c r="AE186" i="12"/>
  <c r="AR186" i="12"/>
  <c r="AS186" i="12"/>
  <c r="AT186" i="12"/>
  <c r="BG186" i="12"/>
  <c r="BH186" i="12"/>
  <c r="BI186" i="12"/>
  <c r="I187" i="12"/>
  <c r="J187" i="12"/>
  <c r="K187" i="12"/>
  <c r="L187" i="12"/>
  <c r="AE187" i="12"/>
  <c r="AR187" i="12"/>
  <c r="AS187" i="12"/>
  <c r="AT187" i="12"/>
  <c r="BG187" i="12"/>
  <c r="BH187" i="12"/>
  <c r="BI187" i="12"/>
  <c r="I188" i="12"/>
  <c r="J188" i="12"/>
  <c r="K188" i="12"/>
  <c r="L188" i="12"/>
  <c r="AE188" i="12"/>
  <c r="AR188" i="12"/>
  <c r="AS188" i="12"/>
  <c r="AT188" i="12"/>
  <c r="BG188" i="12"/>
  <c r="BH188" i="12"/>
  <c r="BI188" i="12"/>
  <c r="I189" i="12"/>
  <c r="J189" i="12"/>
  <c r="K189" i="12"/>
  <c r="L189" i="12"/>
  <c r="AE189" i="12"/>
  <c r="AR189" i="12"/>
  <c r="AS189" i="12"/>
  <c r="AT189" i="12"/>
  <c r="BG189" i="12"/>
  <c r="BH189" i="12"/>
  <c r="BI189" i="12"/>
  <c r="I190" i="12"/>
  <c r="J190" i="12"/>
  <c r="K190" i="12"/>
  <c r="L190" i="12"/>
  <c r="AE190" i="12"/>
  <c r="AR190" i="12"/>
  <c r="AS190" i="12"/>
  <c r="AT190" i="12"/>
  <c r="BG190" i="12"/>
  <c r="BH190" i="12"/>
  <c r="BI190" i="12"/>
  <c r="I191" i="12"/>
  <c r="J191" i="12"/>
  <c r="K191" i="12"/>
  <c r="L191" i="12"/>
  <c r="AE191" i="12"/>
  <c r="AR191" i="12"/>
  <c r="AS191" i="12"/>
  <c r="AT191" i="12"/>
  <c r="BG191" i="12"/>
  <c r="BH191" i="12"/>
  <c r="BI191" i="12"/>
  <c r="I192" i="12"/>
  <c r="J192" i="12"/>
  <c r="K192" i="12"/>
  <c r="L192" i="12"/>
  <c r="AE192" i="12"/>
  <c r="AR192" i="12"/>
  <c r="AS192" i="12"/>
  <c r="AT192" i="12"/>
  <c r="BG192" i="12"/>
  <c r="BH192" i="12"/>
  <c r="BI192" i="12"/>
  <c r="I193" i="12"/>
  <c r="J193" i="12"/>
  <c r="K193" i="12"/>
  <c r="L193" i="12"/>
  <c r="AE193" i="12"/>
  <c r="AR193" i="12"/>
  <c r="AS193" i="12"/>
  <c r="AT193" i="12"/>
  <c r="BG193" i="12"/>
  <c r="BH193" i="12"/>
  <c r="BI193" i="12"/>
  <c r="I194" i="12"/>
  <c r="J194" i="12"/>
  <c r="K194" i="12"/>
  <c r="L194" i="12"/>
  <c r="AE194" i="12"/>
  <c r="AR194" i="12"/>
  <c r="AS194" i="12"/>
  <c r="AT194" i="12"/>
  <c r="BG194" i="12"/>
  <c r="BH194" i="12"/>
  <c r="BI194" i="12"/>
  <c r="I195" i="12"/>
  <c r="J195" i="12"/>
  <c r="K195" i="12"/>
  <c r="L195" i="12"/>
  <c r="AE195" i="12"/>
  <c r="AR195" i="12"/>
  <c r="AS195" i="12"/>
  <c r="AT195" i="12"/>
  <c r="BG195" i="12"/>
  <c r="BH195" i="12"/>
  <c r="BI195" i="12"/>
  <c r="I196" i="12"/>
  <c r="J196" i="12"/>
  <c r="K196" i="12"/>
  <c r="L196" i="12"/>
  <c r="AE196" i="12"/>
  <c r="AR196" i="12"/>
  <c r="AS196" i="12"/>
  <c r="AT196" i="12"/>
  <c r="BG196" i="12"/>
  <c r="BH196" i="12"/>
  <c r="BI196" i="12"/>
  <c r="I197" i="12"/>
  <c r="J197" i="12"/>
  <c r="K197" i="12"/>
  <c r="L197" i="12"/>
  <c r="AE197" i="12"/>
  <c r="AR197" i="12"/>
  <c r="AS197" i="12"/>
  <c r="AT197" i="12"/>
  <c r="BG197" i="12"/>
  <c r="BH197" i="12"/>
  <c r="BI197" i="12"/>
  <c r="I198" i="12"/>
  <c r="J198" i="12"/>
  <c r="K198" i="12"/>
  <c r="L198" i="12"/>
  <c r="AE198" i="12"/>
  <c r="AR198" i="12"/>
  <c r="AS198" i="12"/>
  <c r="AT198" i="12"/>
  <c r="BG198" i="12"/>
  <c r="BH198" i="12"/>
  <c r="BI198" i="12"/>
  <c r="I199" i="12"/>
  <c r="J199" i="12"/>
  <c r="K199" i="12"/>
  <c r="L199" i="12"/>
  <c r="AE199" i="12"/>
  <c r="AR199" i="12"/>
  <c r="AS199" i="12"/>
  <c r="AT199" i="12"/>
  <c r="BG199" i="12"/>
  <c r="BH199" i="12"/>
  <c r="BI199" i="12"/>
  <c r="I200" i="12"/>
  <c r="J200" i="12"/>
  <c r="K200" i="12"/>
  <c r="L200" i="12"/>
  <c r="AE200" i="12"/>
  <c r="AR200" i="12"/>
  <c r="AS200" i="12"/>
  <c r="AT200" i="12"/>
  <c r="BG200" i="12"/>
  <c r="BH200" i="12"/>
  <c r="BI200" i="12"/>
  <c r="I201" i="12"/>
  <c r="J201" i="12"/>
  <c r="K201" i="12"/>
  <c r="L201" i="12"/>
  <c r="AE201" i="12"/>
  <c r="AR201" i="12"/>
  <c r="AS201" i="12"/>
  <c r="AT201" i="12"/>
  <c r="BG201" i="12"/>
  <c r="BH201" i="12"/>
  <c r="BI201" i="12"/>
  <c r="I202" i="12"/>
  <c r="J202" i="12"/>
  <c r="K202" i="12"/>
  <c r="L202" i="12"/>
  <c r="AE202" i="12"/>
  <c r="AR202" i="12"/>
  <c r="AS202" i="12"/>
  <c r="AT202" i="12"/>
  <c r="BG202" i="12"/>
  <c r="BH202" i="12"/>
  <c r="BI202" i="12"/>
  <c r="I203" i="12"/>
  <c r="J203" i="12"/>
  <c r="K203" i="12"/>
  <c r="L203" i="12"/>
  <c r="AE203" i="12"/>
  <c r="AR203" i="12"/>
  <c r="AS203" i="12"/>
  <c r="AT203" i="12"/>
  <c r="BG203" i="12"/>
  <c r="BH203" i="12"/>
  <c r="BI203" i="12"/>
  <c r="I204" i="12"/>
  <c r="J204" i="12"/>
  <c r="K204" i="12"/>
  <c r="L204" i="12"/>
  <c r="AE204" i="12"/>
  <c r="AR204" i="12"/>
  <c r="AS204" i="12"/>
  <c r="AT204" i="12"/>
  <c r="BG204" i="12"/>
  <c r="BH204" i="12"/>
  <c r="BI204" i="12"/>
  <c r="I205" i="12"/>
  <c r="J205" i="12"/>
  <c r="K205" i="12"/>
  <c r="L205" i="12"/>
  <c r="AE205" i="12"/>
  <c r="AR205" i="12"/>
  <c r="AS205" i="12"/>
  <c r="AT205" i="12"/>
  <c r="BG205" i="12"/>
  <c r="BH205" i="12"/>
  <c r="BI205" i="12"/>
  <c r="I206" i="12"/>
  <c r="J206" i="12"/>
  <c r="K206" i="12"/>
  <c r="L206" i="12"/>
  <c r="AE206" i="12"/>
  <c r="AR206" i="12"/>
  <c r="AS206" i="12"/>
  <c r="AT206" i="12"/>
  <c r="BG206" i="12"/>
  <c r="BH206" i="12"/>
  <c r="BI206" i="12"/>
  <c r="I207" i="12"/>
  <c r="J207" i="12"/>
  <c r="K207" i="12"/>
  <c r="L207" i="12"/>
  <c r="AE207" i="12"/>
  <c r="AR207" i="12"/>
  <c r="AS207" i="12"/>
  <c r="AT207" i="12"/>
  <c r="BG207" i="12"/>
  <c r="BH207" i="12"/>
  <c r="BI207" i="12"/>
  <c r="I208" i="12"/>
  <c r="J208" i="12"/>
  <c r="K208" i="12"/>
  <c r="L208" i="12"/>
  <c r="AE208" i="12"/>
  <c r="AR208" i="12"/>
  <c r="AS208" i="12"/>
  <c r="AT208" i="12"/>
  <c r="BG208" i="12"/>
  <c r="BH208" i="12"/>
  <c r="BI208" i="12"/>
  <c r="I209" i="12"/>
  <c r="J209" i="12"/>
  <c r="K209" i="12"/>
  <c r="L209" i="12"/>
  <c r="AE209" i="12"/>
  <c r="AR209" i="12"/>
  <c r="AS209" i="12"/>
  <c r="AT209" i="12"/>
  <c r="BG209" i="12"/>
  <c r="BH209" i="12"/>
  <c r="BI209" i="12"/>
  <c r="I210" i="12"/>
  <c r="J210" i="12"/>
  <c r="K210" i="12"/>
  <c r="L210" i="12"/>
  <c r="AE210" i="12"/>
  <c r="AR210" i="12"/>
  <c r="AS210" i="12"/>
  <c r="AT210" i="12"/>
  <c r="BG210" i="12"/>
  <c r="BH210" i="12"/>
  <c r="BI210" i="12"/>
  <c r="I211" i="12"/>
  <c r="J211" i="12"/>
  <c r="K211" i="12"/>
  <c r="L211" i="12"/>
  <c r="AE211" i="12"/>
  <c r="AR211" i="12"/>
  <c r="AS211" i="12"/>
  <c r="AT211" i="12"/>
  <c r="BG211" i="12"/>
  <c r="BH211" i="12"/>
  <c r="BI211" i="12"/>
  <c r="I212" i="12"/>
  <c r="J212" i="12"/>
  <c r="K212" i="12"/>
  <c r="L212" i="12"/>
  <c r="AE212" i="12"/>
  <c r="AR212" i="12"/>
  <c r="AS212" i="12"/>
  <c r="AT212" i="12"/>
  <c r="BG212" i="12"/>
  <c r="BH212" i="12"/>
  <c r="BI212" i="12"/>
  <c r="I213" i="12"/>
  <c r="J213" i="12"/>
  <c r="K213" i="12"/>
  <c r="L213" i="12"/>
  <c r="AE213" i="12"/>
  <c r="AR213" i="12"/>
  <c r="AS213" i="12"/>
  <c r="AT213" i="12"/>
  <c r="BG213" i="12"/>
  <c r="BH213" i="12"/>
  <c r="BI213" i="12"/>
  <c r="I214" i="12"/>
  <c r="J214" i="12"/>
  <c r="K214" i="12"/>
  <c r="L214" i="12"/>
  <c r="AE214" i="12"/>
  <c r="AR214" i="12"/>
  <c r="AS214" i="12"/>
  <c r="AT214" i="12"/>
  <c r="BG214" i="12"/>
  <c r="BH214" i="12"/>
  <c r="BI214" i="12"/>
  <c r="I215" i="12"/>
  <c r="J215" i="12"/>
  <c r="K215" i="12"/>
  <c r="L215" i="12"/>
  <c r="AE215" i="12"/>
  <c r="AR215" i="12"/>
  <c r="AS215" i="12"/>
  <c r="AT215" i="12"/>
  <c r="BG215" i="12"/>
  <c r="BH215" i="12"/>
  <c r="BI215" i="12"/>
  <c r="I216" i="12"/>
  <c r="J216" i="12"/>
  <c r="K216" i="12"/>
  <c r="L216" i="12"/>
  <c r="AE216" i="12"/>
  <c r="AR216" i="12"/>
  <c r="AS216" i="12"/>
  <c r="AT216" i="12"/>
  <c r="BG216" i="12"/>
  <c r="BH216" i="12"/>
  <c r="BI216" i="12"/>
  <c r="I217" i="12"/>
  <c r="J217" i="12"/>
  <c r="K217" i="12"/>
  <c r="L217" i="12"/>
  <c r="AE217" i="12"/>
  <c r="AR217" i="12"/>
  <c r="AS217" i="12"/>
  <c r="AT217" i="12"/>
  <c r="BG217" i="12"/>
  <c r="BH217" i="12"/>
  <c r="BI217" i="12"/>
  <c r="I218" i="12"/>
  <c r="J218" i="12"/>
  <c r="K218" i="12"/>
  <c r="L218" i="12"/>
  <c r="AE218" i="12"/>
  <c r="AR218" i="12"/>
  <c r="AS218" i="12"/>
  <c r="AT218" i="12"/>
  <c r="BG218" i="12"/>
  <c r="BH218" i="12"/>
  <c r="BI218" i="12"/>
  <c r="I219" i="12"/>
  <c r="J219" i="12"/>
  <c r="K219" i="12"/>
  <c r="L219" i="12"/>
  <c r="AE219" i="12"/>
  <c r="AR219" i="12"/>
  <c r="AS219" i="12"/>
  <c r="AT219" i="12"/>
  <c r="BG219" i="12"/>
  <c r="BH219" i="12"/>
  <c r="BI219" i="12"/>
  <c r="I220" i="12"/>
  <c r="J220" i="12"/>
  <c r="K220" i="12"/>
  <c r="L220" i="12"/>
  <c r="AE220" i="12"/>
  <c r="AR220" i="12"/>
  <c r="AS220" i="12"/>
  <c r="AT220" i="12"/>
  <c r="BG220" i="12"/>
  <c r="BH220" i="12"/>
  <c r="BI220" i="12"/>
  <c r="I221" i="12"/>
  <c r="J221" i="12"/>
  <c r="K221" i="12"/>
  <c r="L221" i="12"/>
  <c r="AE221" i="12"/>
  <c r="AR221" i="12"/>
  <c r="AS221" i="12"/>
  <c r="AT221" i="12"/>
  <c r="BG221" i="12"/>
  <c r="BH221" i="12"/>
  <c r="BI221" i="12"/>
  <c r="I222" i="12"/>
  <c r="J222" i="12"/>
  <c r="K222" i="12"/>
  <c r="L222" i="12"/>
  <c r="AE222" i="12"/>
  <c r="AR222" i="12"/>
  <c r="AS222" i="12"/>
  <c r="AT222" i="12"/>
  <c r="BG222" i="12"/>
  <c r="BH222" i="12"/>
  <c r="BI222" i="12"/>
  <c r="I223" i="12"/>
  <c r="J223" i="12"/>
  <c r="K223" i="12"/>
  <c r="L223" i="12"/>
  <c r="AE223" i="12"/>
  <c r="AR223" i="12"/>
  <c r="AS223" i="12"/>
  <c r="AT223" i="12"/>
  <c r="BG223" i="12"/>
  <c r="BH223" i="12"/>
  <c r="BI223" i="12"/>
  <c r="I224" i="12"/>
  <c r="J224" i="12"/>
  <c r="K224" i="12"/>
  <c r="L224" i="12"/>
  <c r="AE224" i="12"/>
  <c r="AR224" i="12"/>
  <c r="AS224" i="12"/>
  <c r="AT224" i="12"/>
  <c r="BG224" i="12"/>
  <c r="BH224" i="12"/>
  <c r="BI224" i="12"/>
  <c r="I225" i="12"/>
  <c r="J225" i="12"/>
  <c r="K225" i="12"/>
  <c r="L225" i="12"/>
  <c r="AE225" i="12"/>
  <c r="AR225" i="12"/>
  <c r="AS225" i="12"/>
  <c r="AT225" i="12"/>
  <c r="BG225" i="12"/>
  <c r="BH225" i="12"/>
  <c r="BI225" i="12"/>
  <c r="I226" i="12"/>
  <c r="J226" i="12"/>
  <c r="K226" i="12"/>
  <c r="L226" i="12"/>
  <c r="AE226" i="12"/>
  <c r="AR226" i="12"/>
  <c r="AS226" i="12"/>
  <c r="AT226" i="12"/>
  <c r="BG226" i="12"/>
  <c r="BH226" i="12"/>
  <c r="BI226" i="12"/>
  <c r="I227" i="12"/>
  <c r="J227" i="12"/>
  <c r="K227" i="12"/>
  <c r="L227" i="12"/>
  <c r="AE227" i="12"/>
  <c r="AR227" i="12"/>
  <c r="AS227" i="12"/>
  <c r="AT227" i="12"/>
  <c r="BG227" i="12"/>
  <c r="BH227" i="12"/>
  <c r="BI227" i="12"/>
  <c r="I228" i="12"/>
  <c r="J228" i="12"/>
  <c r="K228" i="12"/>
  <c r="L228" i="12"/>
  <c r="AE228" i="12"/>
  <c r="AR228" i="12"/>
  <c r="AS228" i="12"/>
  <c r="AT228" i="12"/>
  <c r="BG228" i="12"/>
  <c r="BH228" i="12"/>
  <c r="BI228" i="12"/>
  <c r="I229" i="12"/>
  <c r="J229" i="12"/>
  <c r="K229" i="12"/>
  <c r="L229" i="12"/>
  <c r="AE229" i="12"/>
  <c r="AR229" i="12"/>
  <c r="AS229" i="12"/>
  <c r="AT229" i="12"/>
  <c r="BG229" i="12"/>
  <c r="BH229" i="12"/>
  <c r="BI229" i="12"/>
  <c r="I230" i="12"/>
  <c r="J230" i="12"/>
  <c r="K230" i="12"/>
  <c r="L230" i="12"/>
  <c r="AE230" i="12"/>
  <c r="AR230" i="12"/>
  <c r="AS230" i="12"/>
  <c r="AT230" i="12"/>
  <c r="BG230" i="12"/>
  <c r="BH230" i="12"/>
  <c r="BI230" i="12"/>
  <c r="I231" i="12"/>
  <c r="J231" i="12"/>
  <c r="K231" i="12"/>
  <c r="L231" i="12"/>
  <c r="AE231" i="12"/>
  <c r="AR231" i="12"/>
  <c r="AS231" i="12"/>
  <c r="AT231" i="12"/>
  <c r="BG231" i="12"/>
  <c r="BH231" i="12"/>
  <c r="BI231" i="12"/>
  <c r="I232" i="12"/>
  <c r="J232" i="12"/>
  <c r="K232" i="12"/>
  <c r="L232" i="12"/>
  <c r="AE232" i="12"/>
  <c r="AR232" i="12"/>
  <c r="AS232" i="12"/>
  <c r="AT232" i="12"/>
  <c r="BG232" i="12"/>
  <c r="BH232" i="12"/>
  <c r="BI232" i="12"/>
  <c r="I233" i="12"/>
  <c r="J233" i="12"/>
  <c r="K233" i="12"/>
  <c r="L233" i="12"/>
  <c r="AE233" i="12"/>
  <c r="AR233" i="12"/>
  <c r="AS233" i="12"/>
  <c r="AT233" i="12"/>
  <c r="BG233" i="12"/>
  <c r="BH233" i="12"/>
  <c r="BI233" i="12"/>
  <c r="I234" i="12"/>
  <c r="J234" i="12"/>
  <c r="K234" i="12"/>
  <c r="L234" i="12"/>
  <c r="AE234" i="12"/>
  <c r="AR234" i="12"/>
  <c r="AS234" i="12"/>
  <c r="AT234" i="12"/>
  <c r="BG234" i="12"/>
  <c r="BH234" i="12"/>
  <c r="BI234" i="12"/>
  <c r="I235" i="12"/>
  <c r="J235" i="12"/>
  <c r="K235" i="12"/>
  <c r="L235" i="12"/>
  <c r="AE235" i="12"/>
  <c r="AR235" i="12"/>
  <c r="AS235" i="12"/>
  <c r="AT235" i="12"/>
  <c r="BG235" i="12"/>
  <c r="BH235" i="12"/>
  <c r="BI235" i="12"/>
  <c r="I236" i="12"/>
  <c r="J236" i="12"/>
  <c r="K236" i="12"/>
  <c r="L236" i="12"/>
  <c r="AE236" i="12"/>
  <c r="AR236" i="12"/>
  <c r="AS236" i="12"/>
  <c r="AT236" i="12"/>
  <c r="BG236" i="12"/>
  <c r="BH236" i="12"/>
  <c r="BI236" i="12"/>
  <c r="I237" i="12"/>
  <c r="J237" i="12"/>
  <c r="K237" i="12"/>
  <c r="L237" i="12"/>
  <c r="AE237" i="12"/>
  <c r="AR237" i="12"/>
  <c r="AS237" i="12"/>
  <c r="AT237" i="12"/>
  <c r="BG237" i="12"/>
  <c r="BH237" i="12"/>
  <c r="BI237" i="12"/>
  <c r="I238" i="12"/>
  <c r="J238" i="12"/>
  <c r="K238" i="12"/>
  <c r="L238" i="12"/>
  <c r="AE238" i="12"/>
  <c r="AR238" i="12"/>
  <c r="AS238" i="12"/>
  <c r="AT238" i="12"/>
  <c r="BG238" i="12"/>
  <c r="BH238" i="12"/>
  <c r="BI238" i="12"/>
  <c r="I239" i="12"/>
  <c r="J239" i="12"/>
  <c r="K239" i="12"/>
  <c r="L239" i="12"/>
  <c r="AE239" i="12"/>
  <c r="AR239" i="12"/>
  <c r="AS239" i="12"/>
  <c r="AT239" i="12"/>
  <c r="BG239" i="12"/>
  <c r="BH239" i="12"/>
  <c r="BI239" i="12"/>
  <c r="I240" i="12"/>
  <c r="J240" i="12"/>
  <c r="K240" i="12"/>
  <c r="L240" i="12"/>
  <c r="AE240" i="12"/>
  <c r="AR240" i="12"/>
  <c r="AS240" i="12"/>
  <c r="AT240" i="12"/>
  <c r="BG240" i="12"/>
  <c r="BH240" i="12"/>
  <c r="BI240" i="12"/>
  <c r="I241" i="12"/>
  <c r="J241" i="12"/>
  <c r="K241" i="12"/>
  <c r="L241" i="12"/>
  <c r="AE241" i="12"/>
  <c r="AR241" i="12"/>
  <c r="AS241" i="12"/>
  <c r="AT241" i="12"/>
  <c r="BG241" i="12"/>
  <c r="BH241" i="12"/>
  <c r="BI241" i="12"/>
  <c r="I242" i="12"/>
  <c r="J242" i="12"/>
  <c r="K242" i="12"/>
  <c r="L242" i="12"/>
  <c r="AE242" i="12"/>
  <c r="AR242" i="12"/>
  <c r="AS242" i="12"/>
  <c r="AT242" i="12"/>
  <c r="BG242" i="12"/>
  <c r="BH242" i="12"/>
  <c r="BI242" i="12"/>
  <c r="I243" i="12"/>
  <c r="J243" i="12"/>
  <c r="K243" i="12"/>
  <c r="L243" i="12"/>
  <c r="AE243" i="12"/>
  <c r="AR243" i="12"/>
  <c r="AS243" i="12"/>
  <c r="AT243" i="12"/>
  <c r="BG243" i="12"/>
  <c r="BH243" i="12"/>
  <c r="BI243" i="12"/>
  <c r="I244" i="12"/>
  <c r="J244" i="12"/>
  <c r="K244" i="12"/>
  <c r="L244" i="12"/>
  <c r="AE244" i="12"/>
  <c r="AR244" i="12"/>
  <c r="AS244" i="12"/>
  <c r="AT244" i="12"/>
  <c r="BG244" i="12"/>
  <c r="BH244" i="12"/>
  <c r="BI244" i="12"/>
  <c r="I245" i="12"/>
  <c r="J245" i="12"/>
  <c r="K245" i="12"/>
  <c r="L245" i="12"/>
  <c r="AE245" i="12"/>
  <c r="AR245" i="12"/>
  <c r="AS245" i="12"/>
  <c r="AT245" i="12"/>
  <c r="BG245" i="12"/>
  <c r="BH245" i="12"/>
  <c r="BI245" i="12"/>
  <c r="I246" i="12"/>
  <c r="J246" i="12"/>
  <c r="K246" i="12"/>
  <c r="L246" i="12"/>
  <c r="AE246" i="12"/>
  <c r="AR246" i="12"/>
  <c r="AS246" i="12"/>
  <c r="AT246" i="12"/>
  <c r="BG246" i="12"/>
  <c r="BH246" i="12"/>
  <c r="BI246" i="12"/>
  <c r="I247" i="12"/>
  <c r="J247" i="12"/>
  <c r="K247" i="12"/>
  <c r="L247" i="12"/>
  <c r="AE247" i="12"/>
  <c r="AR247" i="12"/>
  <c r="AS247" i="12"/>
  <c r="AT247" i="12"/>
  <c r="BG247" i="12"/>
  <c r="BH247" i="12"/>
  <c r="BI247" i="12"/>
  <c r="I248" i="12"/>
  <c r="J248" i="12"/>
  <c r="K248" i="12"/>
  <c r="L248" i="12"/>
  <c r="AE248" i="12"/>
  <c r="AR248" i="12"/>
  <c r="AS248" i="12"/>
  <c r="AT248" i="12"/>
  <c r="BG248" i="12"/>
  <c r="BH248" i="12"/>
  <c r="BI248" i="12"/>
  <c r="I249" i="12"/>
  <c r="J249" i="12"/>
  <c r="K249" i="12"/>
  <c r="L249" i="12"/>
  <c r="AE249" i="12"/>
  <c r="AR249" i="12"/>
  <c r="AS249" i="12"/>
  <c r="AT249" i="12"/>
  <c r="BG249" i="12"/>
  <c r="BH249" i="12"/>
  <c r="BI249" i="12"/>
  <c r="I250" i="12"/>
  <c r="J250" i="12"/>
  <c r="K250" i="12"/>
  <c r="L250" i="12"/>
  <c r="AE250" i="12"/>
  <c r="AR250" i="12"/>
  <c r="AS250" i="12"/>
  <c r="AT250" i="12"/>
  <c r="BG250" i="12"/>
  <c r="BH250" i="12"/>
  <c r="BI250" i="12"/>
  <c r="I251" i="12"/>
  <c r="J251" i="12"/>
  <c r="K251" i="12"/>
  <c r="L251" i="12"/>
  <c r="AE251" i="12"/>
  <c r="AR251" i="12"/>
  <c r="AS251" i="12"/>
  <c r="AT251" i="12"/>
  <c r="BG251" i="12"/>
  <c r="BH251" i="12"/>
  <c r="BI251" i="12"/>
  <c r="I252" i="12"/>
  <c r="J252" i="12"/>
  <c r="K252" i="12"/>
  <c r="L252" i="12"/>
  <c r="AE252" i="12"/>
  <c r="AR252" i="12"/>
  <c r="AS252" i="12"/>
  <c r="AT252" i="12"/>
  <c r="BG252" i="12"/>
  <c r="BH252" i="12"/>
  <c r="BI252" i="12"/>
  <c r="I253" i="12"/>
  <c r="J253" i="12"/>
  <c r="K253" i="12"/>
  <c r="L253" i="12"/>
  <c r="AE253" i="12"/>
  <c r="AR253" i="12"/>
  <c r="AS253" i="12"/>
  <c r="AT253" i="12"/>
  <c r="BG253" i="12"/>
  <c r="BH253" i="12"/>
  <c r="BI253" i="12"/>
  <c r="I254" i="12"/>
  <c r="J254" i="12"/>
  <c r="K254" i="12"/>
  <c r="L254" i="12"/>
  <c r="AE254" i="12"/>
  <c r="AR254" i="12"/>
  <c r="AS254" i="12"/>
  <c r="AT254" i="12"/>
  <c r="BG254" i="12"/>
  <c r="BH254" i="12"/>
  <c r="BI254" i="12"/>
  <c r="I255" i="12"/>
  <c r="J255" i="12"/>
  <c r="K255" i="12"/>
  <c r="L255" i="12"/>
  <c r="AE255" i="12"/>
  <c r="AR255" i="12"/>
  <c r="AS255" i="12"/>
  <c r="AT255" i="12"/>
  <c r="BG255" i="12"/>
  <c r="BH255" i="12"/>
  <c r="BI255" i="12"/>
  <c r="I256" i="12"/>
  <c r="J256" i="12"/>
  <c r="K256" i="12"/>
  <c r="L256" i="12"/>
  <c r="AE256" i="12"/>
  <c r="AR256" i="12"/>
  <c r="AS256" i="12"/>
  <c r="AT256" i="12"/>
  <c r="BG256" i="12"/>
  <c r="BH256" i="12"/>
  <c r="BI256" i="12"/>
  <c r="I257" i="12"/>
  <c r="J257" i="12"/>
  <c r="K257" i="12"/>
  <c r="L257" i="12"/>
  <c r="AE257" i="12"/>
  <c r="AR257" i="12"/>
  <c r="AS257" i="12"/>
  <c r="AT257" i="12"/>
  <c r="BG257" i="12"/>
  <c r="BH257" i="12"/>
  <c r="BI257" i="12"/>
  <c r="I258" i="12"/>
  <c r="J258" i="12"/>
  <c r="K258" i="12"/>
  <c r="L258" i="12"/>
  <c r="AE258" i="12"/>
  <c r="AR258" i="12"/>
  <c r="AS258" i="12"/>
  <c r="AT258" i="12"/>
  <c r="BG258" i="12"/>
  <c r="BH258" i="12"/>
  <c r="BI258" i="12"/>
  <c r="I259" i="12"/>
  <c r="J259" i="12"/>
  <c r="K259" i="12"/>
  <c r="L259" i="12"/>
  <c r="AE259" i="12"/>
  <c r="AR259" i="12"/>
  <c r="AS259" i="12"/>
  <c r="AT259" i="12"/>
  <c r="BG259" i="12"/>
  <c r="BH259" i="12"/>
  <c r="BI259" i="12"/>
  <c r="I260" i="12"/>
  <c r="J260" i="12"/>
  <c r="K260" i="12"/>
  <c r="L260" i="12"/>
  <c r="AE260" i="12"/>
  <c r="AR260" i="12"/>
  <c r="AS260" i="12"/>
  <c r="AT260" i="12"/>
  <c r="BG260" i="12"/>
  <c r="BH260" i="12"/>
  <c r="BI260" i="12"/>
  <c r="I261" i="12"/>
  <c r="J261" i="12"/>
  <c r="K261" i="12"/>
  <c r="L261" i="12"/>
  <c r="AE261" i="12"/>
  <c r="AR261" i="12"/>
  <c r="AS261" i="12"/>
  <c r="AT261" i="12"/>
  <c r="BG261" i="12"/>
  <c r="BH261" i="12"/>
  <c r="BI261" i="12"/>
  <c r="I262" i="12"/>
  <c r="J262" i="12"/>
  <c r="K262" i="12"/>
  <c r="L262" i="12"/>
  <c r="AE262" i="12"/>
  <c r="AR262" i="12"/>
  <c r="AS262" i="12"/>
  <c r="AT262" i="12"/>
  <c r="BG262" i="12"/>
  <c r="BH262" i="12"/>
  <c r="BI262" i="12"/>
  <c r="I263" i="12"/>
  <c r="J263" i="12"/>
  <c r="K263" i="12"/>
  <c r="L263" i="12"/>
  <c r="AE263" i="12"/>
  <c r="AR263" i="12"/>
  <c r="AS263" i="12"/>
  <c r="AT263" i="12"/>
  <c r="BG263" i="12"/>
  <c r="BH263" i="12"/>
  <c r="BI263" i="12"/>
  <c r="I264" i="12"/>
  <c r="J264" i="12"/>
  <c r="K264" i="12"/>
  <c r="L264" i="12"/>
  <c r="AE264" i="12"/>
  <c r="AR264" i="12"/>
  <c r="AS264" i="12"/>
  <c r="AT264" i="12"/>
  <c r="BG264" i="12"/>
  <c r="BH264" i="12"/>
  <c r="BI264" i="12"/>
  <c r="I265" i="12"/>
  <c r="J265" i="12"/>
  <c r="K265" i="12"/>
  <c r="L265" i="12"/>
  <c r="AE265" i="12"/>
  <c r="AR265" i="12"/>
  <c r="AS265" i="12"/>
  <c r="AT265" i="12"/>
  <c r="BG265" i="12"/>
  <c r="BH265" i="12"/>
  <c r="BI265" i="12"/>
  <c r="I266" i="12"/>
  <c r="J266" i="12"/>
  <c r="K266" i="12"/>
  <c r="L266" i="12"/>
  <c r="AE266" i="12"/>
  <c r="AR266" i="12"/>
  <c r="AS266" i="12"/>
  <c r="AT266" i="12"/>
  <c r="BG266" i="12"/>
  <c r="BH266" i="12"/>
  <c r="BI266" i="12"/>
  <c r="I267" i="12"/>
  <c r="J267" i="12"/>
  <c r="K267" i="12"/>
  <c r="L267" i="12"/>
  <c r="AE267" i="12"/>
  <c r="AR267" i="12"/>
  <c r="AS267" i="12"/>
  <c r="AT267" i="12"/>
  <c r="BG267" i="12"/>
  <c r="BH267" i="12"/>
  <c r="BI267" i="12"/>
  <c r="I268" i="12"/>
  <c r="J268" i="12"/>
  <c r="K268" i="12"/>
  <c r="L268" i="12"/>
  <c r="AE268" i="12"/>
  <c r="AR268" i="12"/>
  <c r="AS268" i="12"/>
  <c r="AT268" i="12"/>
  <c r="BG268" i="12"/>
  <c r="BH268" i="12"/>
  <c r="BI268" i="12"/>
  <c r="I269" i="12"/>
  <c r="J269" i="12"/>
  <c r="K269" i="12"/>
  <c r="L269" i="12"/>
  <c r="AE269" i="12"/>
  <c r="AR269" i="12"/>
  <c r="AS269" i="12"/>
  <c r="AT269" i="12"/>
  <c r="BG269" i="12"/>
  <c r="BH269" i="12"/>
  <c r="BI269" i="12"/>
  <c r="I270" i="12"/>
  <c r="J270" i="12"/>
  <c r="K270" i="12"/>
  <c r="L270" i="12"/>
  <c r="AE270" i="12"/>
  <c r="AR270" i="12"/>
  <c r="AS270" i="12"/>
  <c r="AT270" i="12"/>
  <c r="BG270" i="12"/>
  <c r="BH270" i="12"/>
  <c r="BI270" i="12"/>
  <c r="I271" i="12"/>
  <c r="J271" i="12"/>
  <c r="K271" i="12"/>
  <c r="L271" i="12"/>
  <c r="AE271" i="12"/>
  <c r="AR271" i="12"/>
  <c r="AS271" i="12"/>
  <c r="AT271" i="12"/>
  <c r="BG271" i="12"/>
  <c r="BH271" i="12"/>
  <c r="BI271" i="12"/>
  <c r="I272" i="12"/>
  <c r="J272" i="12"/>
  <c r="K272" i="12"/>
  <c r="L272" i="12"/>
  <c r="AE272" i="12"/>
  <c r="AR272" i="12"/>
  <c r="AS272" i="12"/>
  <c r="AT272" i="12"/>
  <c r="BG272" i="12"/>
  <c r="BH272" i="12"/>
  <c r="BI272" i="12"/>
  <c r="I273" i="12"/>
  <c r="J273" i="12"/>
  <c r="K273" i="12"/>
  <c r="L273" i="12"/>
  <c r="AE273" i="12"/>
  <c r="AR273" i="12"/>
  <c r="AS273" i="12"/>
  <c r="AT273" i="12"/>
  <c r="BG273" i="12"/>
  <c r="BH273" i="12"/>
  <c r="BI273" i="12"/>
  <c r="I274" i="12"/>
  <c r="J274" i="12"/>
  <c r="K274" i="12"/>
  <c r="L274" i="12"/>
  <c r="AE274" i="12"/>
  <c r="AR274" i="12"/>
  <c r="AS274" i="12"/>
  <c r="AT274" i="12"/>
  <c r="BG274" i="12"/>
  <c r="BH274" i="12"/>
  <c r="BI274" i="12"/>
  <c r="I275" i="12"/>
  <c r="J275" i="12"/>
  <c r="K275" i="12"/>
  <c r="L275" i="12"/>
  <c r="AE275" i="12"/>
  <c r="AR275" i="12"/>
  <c r="AS275" i="12"/>
  <c r="AT275" i="12"/>
  <c r="BG275" i="12"/>
  <c r="BH275" i="12"/>
  <c r="BI275" i="12"/>
  <c r="I276" i="12"/>
  <c r="J276" i="12"/>
  <c r="K276" i="12"/>
  <c r="L276" i="12"/>
  <c r="AE276" i="12"/>
  <c r="AR276" i="12"/>
  <c r="AS276" i="12"/>
  <c r="AT276" i="12"/>
  <c r="BG276" i="12"/>
  <c r="BH276" i="12"/>
  <c r="BI276" i="12"/>
  <c r="I277" i="12"/>
  <c r="J277" i="12"/>
  <c r="K277" i="12"/>
  <c r="L277" i="12"/>
  <c r="AE277" i="12"/>
  <c r="AR277" i="12"/>
  <c r="AS277" i="12"/>
  <c r="AT277" i="12"/>
  <c r="BG277" i="12"/>
  <c r="BH277" i="12"/>
  <c r="BI277" i="12"/>
  <c r="I278" i="12"/>
  <c r="J278" i="12"/>
  <c r="K278" i="12"/>
  <c r="L278" i="12"/>
  <c r="AE278" i="12"/>
  <c r="AR278" i="12"/>
  <c r="AS278" i="12"/>
  <c r="AT278" i="12"/>
  <c r="BG278" i="12"/>
  <c r="BH278" i="12"/>
  <c r="BI278" i="12"/>
  <c r="I279" i="12"/>
  <c r="J279" i="12"/>
  <c r="K279" i="12"/>
  <c r="L279" i="12"/>
  <c r="AE279" i="12"/>
  <c r="AR279" i="12"/>
  <c r="AS279" i="12"/>
  <c r="AT279" i="12"/>
  <c r="BG279" i="12"/>
  <c r="BH279" i="12"/>
  <c r="BI279" i="12"/>
  <c r="I280" i="12"/>
  <c r="J280" i="12"/>
  <c r="K280" i="12"/>
  <c r="L280" i="12"/>
  <c r="AE280" i="12"/>
  <c r="AR280" i="12"/>
  <c r="AS280" i="12"/>
  <c r="AT280" i="12"/>
  <c r="BG280" i="12"/>
  <c r="BH280" i="12"/>
  <c r="BI280" i="12"/>
  <c r="I281" i="12"/>
  <c r="J281" i="12"/>
  <c r="K281" i="12"/>
  <c r="L281" i="12"/>
  <c r="AE281" i="12"/>
  <c r="AR281" i="12"/>
  <c r="AS281" i="12"/>
  <c r="AT281" i="12"/>
  <c r="BG281" i="12"/>
  <c r="BH281" i="12"/>
  <c r="BI281" i="12"/>
  <c r="I282" i="12"/>
  <c r="J282" i="12"/>
  <c r="K282" i="12"/>
  <c r="L282" i="12"/>
  <c r="AE282" i="12"/>
  <c r="AR282" i="12"/>
  <c r="AS282" i="12"/>
  <c r="AT282" i="12"/>
  <c r="BG282" i="12"/>
  <c r="BH282" i="12"/>
  <c r="BI282" i="12"/>
  <c r="I283" i="12"/>
  <c r="J283" i="12"/>
  <c r="K283" i="12"/>
  <c r="L283" i="12"/>
  <c r="AE283" i="12"/>
  <c r="AR283" i="12"/>
  <c r="AS283" i="12"/>
  <c r="AT283" i="12"/>
  <c r="BG283" i="12"/>
  <c r="BH283" i="12"/>
  <c r="BI283" i="12"/>
  <c r="I284" i="12"/>
  <c r="J284" i="12"/>
  <c r="K284" i="12"/>
  <c r="L284" i="12"/>
  <c r="AE284" i="12"/>
  <c r="AR284" i="12"/>
  <c r="AS284" i="12"/>
  <c r="AT284" i="12"/>
  <c r="BG284" i="12"/>
  <c r="BH284" i="12"/>
  <c r="BI284" i="12"/>
  <c r="I285" i="12"/>
  <c r="J285" i="12"/>
  <c r="K285" i="12"/>
  <c r="L285" i="12"/>
  <c r="AE285" i="12"/>
  <c r="AR285" i="12"/>
  <c r="AS285" i="12"/>
  <c r="AT285" i="12"/>
  <c r="BG285" i="12"/>
  <c r="BH285" i="12"/>
  <c r="BI285" i="12"/>
  <c r="I286" i="12"/>
  <c r="J286" i="12"/>
  <c r="K286" i="12"/>
  <c r="L286" i="12"/>
  <c r="AE286" i="12"/>
  <c r="AR286" i="12"/>
  <c r="AS286" i="12"/>
  <c r="AT286" i="12"/>
  <c r="BG286" i="12"/>
  <c r="BH286" i="12"/>
  <c r="BI286" i="12"/>
  <c r="I287" i="12"/>
  <c r="J287" i="12"/>
  <c r="K287" i="12"/>
  <c r="L287" i="12"/>
  <c r="AE287" i="12"/>
  <c r="AR287" i="12"/>
  <c r="AS287" i="12"/>
  <c r="AT287" i="12"/>
  <c r="BG287" i="12"/>
  <c r="BH287" i="12"/>
  <c r="BI287" i="12"/>
  <c r="I288" i="12"/>
  <c r="J288" i="12"/>
  <c r="K288" i="12"/>
  <c r="L288" i="12"/>
  <c r="AE288" i="12"/>
  <c r="AR288" i="12"/>
  <c r="AS288" i="12"/>
  <c r="AT288" i="12"/>
  <c r="BG288" i="12"/>
  <c r="BH288" i="12"/>
  <c r="BI288" i="12"/>
  <c r="I289" i="12"/>
  <c r="J289" i="12"/>
  <c r="K289" i="12"/>
  <c r="L289" i="12"/>
  <c r="AE289" i="12"/>
  <c r="AR289" i="12"/>
  <c r="AS289" i="12"/>
  <c r="AT289" i="12"/>
  <c r="BG289" i="12"/>
  <c r="BH289" i="12"/>
  <c r="BI289" i="12"/>
  <c r="I290" i="12"/>
  <c r="J290" i="12"/>
  <c r="K290" i="12"/>
  <c r="L290" i="12"/>
  <c r="AE290" i="12"/>
  <c r="AR290" i="12"/>
  <c r="AS290" i="12"/>
  <c r="AT290" i="12"/>
  <c r="BG290" i="12"/>
  <c r="BH290" i="12"/>
  <c r="BI290" i="12"/>
  <c r="I291" i="12"/>
  <c r="J291" i="12"/>
  <c r="K291" i="12"/>
  <c r="L291" i="12"/>
  <c r="AE291" i="12"/>
  <c r="AR291" i="12"/>
  <c r="AS291" i="12"/>
  <c r="AT291" i="12"/>
  <c r="BG291" i="12"/>
  <c r="BH291" i="12"/>
  <c r="BI291" i="12"/>
  <c r="I292" i="12"/>
  <c r="J292" i="12"/>
  <c r="K292" i="12"/>
  <c r="L292" i="12"/>
  <c r="AE292" i="12"/>
  <c r="AR292" i="12"/>
  <c r="AS292" i="12"/>
  <c r="AT292" i="12"/>
  <c r="BG292" i="12"/>
  <c r="BH292" i="12"/>
  <c r="BI292" i="12"/>
  <c r="I293" i="12"/>
  <c r="J293" i="12"/>
  <c r="K293" i="12"/>
  <c r="L293" i="12"/>
  <c r="AE293" i="12"/>
  <c r="AR293" i="12"/>
  <c r="AS293" i="12"/>
  <c r="AT293" i="12"/>
  <c r="BG293" i="12"/>
  <c r="BH293" i="12"/>
  <c r="BI293" i="12"/>
  <c r="I294" i="12"/>
  <c r="J294" i="12"/>
  <c r="K294" i="12"/>
  <c r="L294" i="12"/>
  <c r="AE294" i="12"/>
  <c r="AR294" i="12"/>
  <c r="AS294" i="12"/>
  <c r="AT294" i="12"/>
  <c r="BG294" i="12"/>
  <c r="BH294" i="12"/>
  <c r="BI294" i="12"/>
  <c r="I295" i="12"/>
  <c r="J295" i="12"/>
  <c r="K295" i="12"/>
  <c r="L295" i="12"/>
  <c r="AE295" i="12"/>
  <c r="AR295" i="12"/>
  <c r="AS295" i="12"/>
  <c r="AT295" i="12"/>
  <c r="BG295" i="12"/>
  <c r="BH295" i="12"/>
  <c r="BI295" i="12"/>
  <c r="I296" i="12"/>
  <c r="J296" i="12"/>
  <c r="K296" i="12"/>
  <c r="L296" i="12"/>
  <c r="AE296" i="12"/>
  <c r="AR296" i="12"/>
  <c r="AS296" i="12"/>
  <c r="AT296" i="12"/>
  <c r="BG296" i="12"/>
  <c r="BH296" i="12"/>
  <c r="BI296" i="12"/>
  <c r="I297" i="12"/>
  <c r="J297" i="12"/>
  <c r="K297" i="12"/>
  <c r="L297" i="12"/>
  <c r="AE297" i="12"/>
  <c r="AR297" i="12"/>
  <c r="AS297" i="12"/>
  <c r="AT297" i="12"/>
  <c r="BG297" i="12"/>
  <c r="BH297" i="12"/>
  <c r="BI297" i="12"/>
  <c r="I298" i="12"/>
  <c r="J298" i="12"/>
  <c r="K298" i="12"/>
  <c r="L298" i="12"/>
  <c r="AE298" i="12"/>
  <c r="AR298" i="12"/>
  <c r="AS298" i="12"/>
  <c r="AT298" i="12"/>
  <c r="BG298" i="12"/>
  <c r="BH298" i="12"/>
  <c r="BI298" i="12"/>
  <c r="I299" i="12"/>
  <c r="J299" i="12"/>
  <c r="K299" i="12"/>
  <c r="L299" i="12"/>
  <c r="AE299" i="12"/>
  <c r="AR299" i="12"/>
  <c r="AS299" i="12"/>
  <c r="AT299" i="12"/>
  <c r="BG299" i="12"/>
  <c r="BH299" i="12"/>
  <c r="BI299" i="12"/>
  <c r="I300" i="12"/>
  <c r="J300" i="12"/>
  <c r="K300" i="12"/>
  <c r="L300" i="12"/>
  <c r="AE300" i="12"/>
  <c r="AR300" i="12"/>
  <c r="AS300" i="12"/>
  <c r="AT300" i="12"/>
  <c r="BG300" i="12"/>
  <c r="BH300" i="12"/>
  <c r="BI300" i="12"/>
  <c r="I301" i="12"/>
  <c r="J301" i="12"/>
  <c r="K301" i="12"/>
  <c r="L301" i="12"/>
  <c r="AE301" i="12"/>
  <c r="AR301" i="12"/>
  <c r="AS301" i="12"/>
  <c r="AT301" i="12"/>
  <c r="BG301" i="12"/>
  <c r="BH301" i="12"/>
  <c r="BI301" i="12"/>
  <c r="I302" i="12"/>
  <c r="J302" i="12"/>
  <c r="K302" i="12"/>
  <c r="L302" i="12"/>
  <c r="AE302" i="12"/>
  <c r="AR302" i="12"/>
  <c r="AS302" i="12"/>
  <c r="AT302" i="12"/>
  <c r="BG302" i="12"/>
  <c r="BH302" i="12"/>
  <c r="BI302" i="12"/>
  <c r="I303" i="12"/>
  <c r="J303" i="12"/>
  <c r="K303" i="12"/>
  <c r="L303" i="12"/>
  <c r="AE303" i="12"/>
  <c r="AR303" i="12"/>
  <c r="AS303" i="12"/>
  <c r="AT303" i="12"/>
  <c r="BG303" i="12"/>
  <c r="BH303" i="12"/>
  <c r="BI303" i="12"/>
  <c r="I304" i="12"/>
  <c r="J304" i="12"/>
  <c r="K304" i="12"/>
  <c r="L304" i="12"/>
  <c r="AE304" i="12"/>
  <c r="AR304" i="12"/>
  <c r="AS304" i="12"/>
  <c r="AT304" i="12"/>
  <c r="BG304" i="12"/>
  <c r="BH304" i="12"/>
  <c r="BI304" i="12"/>
  <c r="I305" i="12"/>
  <c r="J305" i="12"/>
  <c r="K305" i="12"/>
  <c r="L305" i="12"/>
  <c r="AE305" i="12"/>
  <c r="AR305" i="12"/>
  <c r="AS305" i="12"/>
  <c r="AT305" i="12"/>
  <c r="BG305" i="12"/>
  <c r="BH305" i="12"/>
  <c r="BI305" i="12"/>
  <c r="I306" i="12"/>
  <c r="J306" i="12"/>
  <c r="K306" i="12"/>
  <c r="L306" i="12"/>
  <c r="AE306" i="12"/>
  <c r="AR306" i="12"/>
  <c r="AS306" i="12"/>
  <c r="AT306" i="12"/>
  <c r="BG306" i="12"/>
  <c r="BH306" i="12"/>
  <c r="BI306" i="12"/>
  <c r="I307" i="12"/>
  <c r="J307" i="12"/>
  <c r="K307" i="12"/>
  <c r="L307" i="12"/>
  <c r="AE307" i="12"/>
  <c r="AR307" i="12"/>
  <c r="AS307" i="12"/>
  <c r="AT307" i="12"/>
  <c r="BG307" i="12"/>
  <c r="BH307" i="12"/>
  <c r="BI307" i="12"/>
  <c r="I308" i="12"/>
  <c r="J308" i="12"/>
  <c r="K308" i="12"/>
  <c r="L308" i="12"/>
  <c r="AE308" i="12"/>
  <c r="AR308" i="12"/>
  <c r="AS308" i="12"/>
  <c r="AT308" i="12"/>
  <c r="BG308" i="12"/>
  <c r="BH308" i="12"/>
  <c r="BI308" i="12"/>
  <c r="I309" i="12"/>
  <c r="J309" i="12"/>
  <c r="K309" i="12"/>
  <c r="L309" i="12"/>
  <c r="AE309" i="12"/>
  <c r="AR309" i="12"/>
  <c r="AS309" i="12"/>
  <c r="AT309" i="12"/>
  <c r="BG309" i="12"/>
  <c r="BH309" i="12"/>
  <c r="BI309" i="12"/>
  <c r="I310" i="12"/>
  <c r="J310" i="12"/>
  <c r="K310" i="12"/>
  <c r="L310" i="12"/>
  <c r="AE310" i="12"/>
  <c r="AR310" i="12"/>
  <c r="AS310" i="12"/>
  <c r="AT310" i="12"/>
  <c r="BG310" i="12"/>
  <c r="BH310" i="12"/>
  <c r="BI310" i="12"/>
  <c r="I311" i="12"/>
  <c r="J311" i="12"/>
  <c r="K311" i="12"/>
  <c r="L311" i="12"/>
  <c r="AE311" i="12"/>
  <c r="AR311" i="12"/>
  <c r="AS311" i="12"/>
  <c r="AT311" i="12"/>
  <c r="BG311" i="12"/>
  <c r="BH311" i="12"/>
  <c r="BI311" i="12"/>
  <c r="I312" i="12"/>
  <c r="J312" i="12"/>
  <c r="K312" i="12"/>
  <c r="L312" i="12"/>
  <c r="AE312" i="12"/>
  <c r="AR312" i="12"/>
  <c r="AS312" i="12"/>
  <c r="AT312" i="12"/>
  <c r="BG312" i="12"/>
  <c r="BH312" i="12"/>
  <c r="BI312" i="12"/>
  <c r="I313" i="12"/>
  <c r="J313" i="12"/>
  <c r="K313" i="12"/>
  <c r="L313" i="12"/>
  <c r="AE313" i="12"/>
  <c r="AR313" i="12"/>
  <c r="AS313" i="12"/>
  <c r="AT313" i="12"/>
  <c r="BG313" i="12"/>
  <c r="BH313" i="12"/>
  <c r="BI313" i="12"/>
  <c r="I314" i="12"/>
  <c r="J314" i="12"/>
  <c r="K314" i="12"/>
  <c r="L314" i="12"/>
  <c r="AE314" i="12"/>
  <c r="AR314" i="12"/>
  <c r="AS314" i="12"/>
  <c r="AT314" i="12"/>
  <c r="BG314" i="12"/>
  <c r="BH314" i="12"/>
  <c r="BI314" i="12"/>
  <c r="I315" i="12"/>
  <c r="J315" i="12"/>
  <c r="K315" i="12"/>
  <c r="L315" i="12"/>
  <c r="AE315" i="12"/>
  <c r="AR315" i="12"/>
  <c r="AS315" i="12"/>
  <c r="AT315" i="12"/>
  <c r="BG315" i="12"/>
  <c r="BH315" i="12"/>
  <c r="BI315" i="12"/>
  <c r="I316" i="12"/>
  <c r="J316" i="12"/>
  <c r="K316" i="12"/>
  <c r="L316" i="12"/>
  <c r="AE316" i="12"/>
  <c r="AR316" i="12"/>
  <c r="AS316" i="12"/>
  <c r="AT316" i="12"/>
  <c r="BG316" i="12"/>
  <c r="BH316" i="12"/>
  <c r="BI316" i="12"/>
  <c r="I317" i="12"/>
  <c r="J317" i="12"/>
  <c r="K317" i="12"/>
  <c r="L317" i="12"/>
  <c r="AE317" i="12"/>
  <c r="AR317" i="12"/>
  <c r="AS317" i="12"/>
  <c r="AT317" i="12"/>
  <c r="BG317" i="12"/>
  <c r="BH317" i="12"/>
  <c r="BI317" i="12"/>
  <c r="I318" i="12"/>
  <c r="J318" i="12"/>
  <c r="K318" i="12"/>
  <c r="L318" i="12"/>
  <c r="AE318" i="12"/>
  <c r="AR318" i="12"/>
  <c r="AS318" i="12"/>
  <c r="AT318" i="12"/>
  <c r="BG318" i="12"/>
  <c r="BH318" i="12"/>
  <c r="BI318" i="12"/>
  <c r="I319" i="12"/>
  <c r="J319" i="12"/>
  <c r="K319" i="12"/>
  <c r="L319" i="12"/>
  <c r="AE319" i="12"/>
  <c r="AR319" i="12"/>
  <c r="AS319" i="12"/>
  <c r="AT319" i="12"/>
  <c r="BG319" i="12"/>
  <c r="BH319" i="12"/>
  <c r="BI319" i="12"/>
  <c r="I320" i="12"/>
  <c r="J320" i="12"/>
  <c r="K320" i="12"/>
  <c r="L320" i="12"/>
  <c r="AE320" i="12"/>
  <c r="AR320" i="12"/>
  <c r="AS320" i="12"/>
  <c r="AT320" i="12"/>
  <c r="BG320" i="12"/>
  <c r="BH320" i="12"/>
  <c r="BI320" i="12"/>
  <c r="I321" i="12"/>
  <c r="J321" i="12"/>
  <c r="K321" i="12"/>
  <c r="L321" i="12"/>
  <c r="AE321" i="12"/>
  <c r="AR321" i="12"/>
  <c r="AS321" i="12"/>
  <c r="AT321" i="12"/>
  <c r="BG321" i="12"/>
  <c r="BH321" i="12"/>
  <c r="BI321" i="12"/>
  <c r="I322" i="12"/>
  <c r="J322" i="12"/>
  <c r="K322" i="12"/>
  <c r="L322" i="12"/>
  <c r="AE322" i="12"/>
  <c r="AR322" i="12"/>
  <c r="AS322" i="12"/>
  <c r="AT322" i="12"/>
  <c r="BG322" i="12"/>
  <c r="BH322" i="12"/>
  <c r="BI322" i="12"/>
  <c r="I323" i="12"/>
  <c r="J323" i="12"/>
  <c r="K323" i="12"/>
  <c r="L323" i="12"/>
  <c r="AE323" i="12"/>
  <c r="AR323" i="12"/>
  <c r="AS323" i="12"/>
  <c r="AT323" i="12"/>
  <c r="BG323" i="12"/>
  <c r="BH323" i="12"/>
  <c r="BI323" i="12"/>
  <c r="I324" i="12"/>
  <c r="J324" i="12"/>
  <c r="K324" i="12"/>
  <c r="L324" i="12"/>
  <c r="AE324" i="12"/>
  <c r="AR324" i="12"/>
  <c r="AS324" i="12"/>
  <c r="AT324" i="12"/>
  <c r="BG324" i="12"/>
  <c r="BH324" i="12"/>
  <c r="BI324" i="12"/>
  <c r="I325" i="12"/>
  <c r="J325" i="12"/>
  <c r="K325" i="12"/>
  <c r="L325" i="12"/>
  <c r="AE325" i="12"/>
  <c r="AR325" i="12"/>
  <c r="AS325" i="12"/>
  <c r="AT325" i="12"/>
  <c r="BG325" i="12"/>
  <c r="BH325" i="12"/>
  <c r="BI325" i="12"/>
  <c r="I326" i="12"/>
  <c r="J326" i="12"/>
  <c r="K326" i="12"/>
  <c r="L326" i="12"/>
  <c r="AE326" i="12"/>
  <c r="AR326" i="12"/>
  <c r="AS326" i="12"/>
  <c r="AT326" i="12"/>
  <c r="BG326" i="12"/>
  <c r="BH326" i="12"/>
  <c r="BI326" i="12"/>
  <c r="I327" i="12"/>
  <c r="J327" i="12"/>
  <c r="K327" i="12"/>
  <c r="L327" i="12"/>
  <c r="AE327" i="12"/>
  <c r="AR327" i="12"/>
  <c r="AS327" i="12"/>
  <c r="AT327" i="12"/>
  <c r="BG327" i="12"/>
  <c r="BH327" i="12"/>
  <c r="BI327" i="12"/>
  <c r="I328" i="12"/>
  <c r="J328" i="12"/>
  <c r="K328" i="12"/>
  <c r="L328" i="12"/>
  <c r="AE328" i="12"/>
  <c r="AR328" i="12"/>
  <c r="AS328" i="12"/>
  <c r="AT328" i="12"/>
  <c r="BG328" i="12"/>
  <c r="BH328" i="12"/>
  <c r="BI328" i="12"/>
  <c r="I329" i="12"/>
  <c r="J329" i="12"/>
  <c r="K329" i="12"/>
  <c r="L329" i="12"/>
  <c r="AE329" i="12"/>
  <c r="AR329" i="12"/>
  <c r="AS329" i="12"/>
  <c r="AT329" i="12"/>
  <c r="BG329" i="12"/>
  <c r="BH329" i="12"/>
  <c r="BI329" i="12"/>
  <c r="I330" i="12"/>
  <c r="J330" i="12"/>
  <c r="K330" i="12"/>
  <c r="L330" i="12"/>
  <c r="AE330" i="12"/>
  <c r="AR330" i="12"/>
  <c r="AS330" i="12"/>
  <c r="AT330" i="12"/>
  <c r="BG330" i="12"/>
  <c r="BH330" i="12"/>
  <c r="BI330" i="12"/>
  <c r="I331" i="12"/>
  <c r="J331" i="12"/>
  <c r="K331" i="12"/>
  <c r="L331" i="12"/>
  <c r="AE331" i="12"/>
  <c r="AR331" i="12"/>
  <c r="AS331" i="12"/>
  <c r="AT331" i="12"/>
  <c r="BG331" i="12"/>
  <c r="BH331" i="12"/>
  <c r="BI331" i="12"/>
  <c r="I332" i="12"/>
  <c r="J332" i="12"/>
  <c r="K332" i="12"/>
  <c r="L332" i="12"/>
  <c r="AE332" i="12"/>
  <c r="AR332" i="12"/>
  <c r="AS332" i="12"/>
  <c r="AT332" i="12"/>
  <c r="BG332" i="12"/>
  <c r="BH332" i="12"/>
  <c r="BI332" i="12"/>
  <c r="I333" i="12"/>
  <c r="J333" i="12"/>
  <c r="K333" i="12"/>
  <c r="L333" i="12"/>
  <c r="AE333" i="12"/>
  <c r="AR333" i="12"/>
  <c r="AS333" i="12"/>
  <c r="AT333" i="12"/>
  <c r="BG333" i="12"/>
  <c r="BH333" i="12"/>
  <c r="BI333" i="12"/>
  <c r="I334" i="12"/>
  <c r="J334" i="12"/>
  <c r="K334" i="12"/>
  <c r="L334" i="12"/>
  <c r="AE334" i="12"/>
  <c r="AR334" i="12"/>
  <c r="AS334" i="12"/>
  <c r="AT334" i="12"/>
  <c r="BG334" i="12"/>
  <c r="BH334" i="12"/>
  <c r="BI334" i="12"/>
  <c r="I335" i="12"/>
  <c r="J335" i="12"/>
  <c r="K335" i="12"/>
  <c r="L335" i="12"/>
  <c r="AE335" i="12"/>
  <c r="AR335" i="12"/>
  <c r="AS335" i="12"/>
  <c r="AT335" i="12"/>
  <c r="BG335" i="12"/>
  <c r="BH335" i="12"/>
  <c r="BI335" i="12"/>
  <c r="I336" i="12"/>
  <c r="J336" i="12"/>
  <c r="K336" i="12"/>
  <c r="L336" i="12"/>
  <c r="AE336" i="12"/>
  <c r="AR336" i="12"/>
  <c r="AS336" i="12"/>
  <c r="AT336" i="12"/>
  <c r="BG336" i="12"/>
  <c r="BH336" i="12"/>
  <c r="BI336" i="12"/>
  <c r="I337" i="12"/>
  <c r="J337" i="12"/>
  <c r="K337" i="12"/>
  <c r="L337" i="12"/>
  <c r="AE337" i="12"/>
  <c r="AR337" i="12"/>
  <c r="AS337" i="12"/>
  <c r="AT337" i="12"/>
  <c r="BG337" i="12"/>
  <c r="BH337" i="12"/>
  <c r="BI337" i="12"/>
  <c r="I338" i="12"/>
  <c r="J338" i="12"/>
  <c r="K338" i="12"/>
  <c r="L338" i="12"/>
  <c r="AE338" i="12"/>
  <c r="AR338" i="12"/>
  <c r="AS338" i="12"/>
  <c r="AT338" i="12"/>
  <c r="BG338" i="12"/>
  <c r="BH338" i="12"/>
  <c r="BI338" i="12"/>
  <c r="I339" i="12"/>
  <c r="J339" i="12"/>
  <c r="K339" i="12"/>
  <c r="L339" i="12"/>
  <c r="AE339" i="12"/>
  <c r="AR339" i="12"/>
  <c r="AS339" i="12"/>
  <c r="AT339" i="12"/>
  <c r="BG339" i="12"/>
  <c r="BH339" i="12"/>
  <c r="BI339" i="12"/>
  <c r="I340" i="12"/>
  <c r="J340" i="12"/>
  <c r="K340" i="12"/>
  <c r="L340" i="12"/>
  <c r="AE340" i="12"/>
  <c r="AR340" i="12"/>
  <c r="AS340" i="12"/>
  <c r="AT340" i="12"/>
  <c r="BG340" i="12"/>
  <c r="BH340" i="12"/>
  <c r="BI340" i="12"/>
  <c r="I341" i="12"/>
  <c r="J341" i="12"/>
  <c r="K341" i="12"/>
  <c r="L341" i="12"/>
  <c r="AE341" i="12"/>
  <c r="AR341" i="12"/>
  <c r="AS341" i="12"/>
  <c r="AT341" i="12"/>
  <c r="BG341" i="12"/>
  <c r="BH341" i="12"/>
  <c r="BI341" i="12"/>
  <c r="I342" i="12"/>
  <c r="J342" i="12"/>
  <c r="K342" i="12"/>
  <c r="L342" i="12"/>
  <c r="AE342" i="12"/>
  <c r="AR342" i="12"/>
  <c r="AS342" i="12"/>
  <c r="AT342" i="12"/>
  <c r="BG342" i="12"/>
  <c r="BH342" i="12"/>
  <c r="BI342" i="12"/>
  <c r="I343" i="12"/>
  <c r="J343" i="12"/>
  <c r="K343" i="12"/>
  <c r="L343" i="12"/>
  <c r="AE343" i="12"/>
  <c r="AR343" i="12"/>
  <c r="AS343" i="12"/>
  <c r="AT343" i="12"/>
  <c r="BG343" i="12"/>
  <c r="BH343" i="12"/>
  <c r="BI343" i="12"/>
  <c r="I344" i="12"/>
  <c r="J344" i="12"/>
  <c r="K344" i="12"/>
  <c r="L344" i="12"/>
  <c r="AE344" i="12"/>
  <c r="AR344" i="12"/>
  <c r="AS344" i="12"/>
  <c r="AT344" i="12"/>
  <c r="BG344" i="12"/>
  <c r="BH344" i="12"/>
  <c r="BI344" i="12"/>
  <c r="I345" i="12"/>
  <c r="J345" i="12"/>
  <c r="K345" i="12"/>
  <c r="L345" i="12"/>
  <c r="AE345" i="12"/>
  <c r="AR345" i="12"/>
  <c r="AS345" i="12"/>
  <c r="AT345" i="12"/>
  <c r="BG345" i="12"/>
  <c r="BH345" i="12"/>
  <c r="BI345" i="12"/>
  <c r="I346" i="12"/>
  <c r="J346" i="12"/>
  <c r="K346" i="12"/>
  <c r="L346" i="12"/>
  <c r="AE346" i="12"/>
  <c r="AR346" i="12"/>
  <c r="AS346" i="12"/>
  <c r="AT346" i="12"/>
  <c r="BG346" i="12"/>
  <c r="BH346" i="12"/>
  <c r="BI346" i="12"/>
  <c r="I347" i="12"/>
  <c r="J347" i="12"/>
  <c r="K347" i="12"/>
  <c r="L347" i="12"/>
  <c r="AE347" i="12"/>
  <c r="AR347" i="12"/>
  <c r="AS347" i="12"/>
  <c r="AT347" i="12"/>
  <c r="BG347" i="12"/>
  <c r="BH347" i="12"/>
  <c r="BI347" i="12"/>
  <c r="I348" i="12"/>
  <c r="J348" i="12"/>
  <c r="K348" i="12"/>
  <c r="L348" i="12"/>
  <c r="AE348" i="12"/>
  <c r="AR348" i="12"/>
  <c r="AS348" i="12"/>
  <c r="AT348" i="12"/>
  <c r="BG348" i="12"/>
  <c r="BH348" i="12"/>
  <c r="BI348" i="12"/>
  <c r="I349" i="12"/>
  <c r="J349" i="12"/>
  <c r="K349" i="12"/>
  <c r="L349" i="12"/>
  <c r="AE349" i="12"/>
  <c r="AR349" i="12"/>
  <c r="AS349" i="12"/>
  <c r="AT349" i="12"/>
  <c r="BG349" i="12"/>
  <c r="BH349" i="12"/>
  <c r="BI349" i="12"/>
  <c r="I350" i="12"/>
  <c r="J350" i="12"/>
  <c r="K350" i="12"/>
  <c r="L350" i="12"/>
  <c r="AE350" i="12"/>
  <c r="AR350" i="12"/>
  <c r="AS350" i="12"/>
  <c r="AT350" i="12"/>
  <c r="BG350" i="12"/>
  <c r="BH350" i="12"/>
  <c r="BI350" i="12"/>
  <c r="I351" i="12"/>
  <c r="J351" i="12"/>
  <c r="K351" i="12"/>
  <c r="L351" i="12"/>
  <c r="AE351" i="12"/>
  <c r="AR351" i="12"/>
  <c r="AS351" i="12"/>
  <c r="AT351" i="12"/>
  <c r="BG351" i="12"/>
  <c r="BH351" i="12"/>
  <c r="BI351" i="12"/>
  <c r="I352" i="12"/>
  <c r="J352" i="12"/>
  <c r="K352" i="12"/>
  <c r="L352" i="12"/>
  <c r="AE352" i="12"/>
  <c r="AR352" i="12"/>
  <c r="AS352" i="12"/>
  <c r="AT352" i="12"/>
  <c r="BG352" i="12"/>
  <c r="BH352" i="12"/>
  <c r="BI352" i="12"/>
  <c r="I353" i="12"/>
  <c r="J353" i="12"/>
  <c r="K353" i="12"/>
  <c r="L353" i="12"/>
  <c r="AE353" i="12"/>
  <c r="AR353" i="12"/>
  <c r="AS353" i="12"/>
  <c r="AT353" i="12"/>
  <c r="BG353" i="12"/>
  <c r="BH353" i="12"/>
  <c r="BI353" i="12"/>
  <c r="I354" i="12"/>
  <c r="J354" i="12"/>
  <c r="K354" i="12"/>
  <c r="L354" i="12"/>
  <c r="AE354" i="12"/>
  <c r="AR354" i="12"/>
  <c r="AS354" i="12"/>
  <c r="AT354" i="12"/>
  <c r="BG354" i="12"/>
  <c r="BH354" i="12"/>
  <c r="BI354" i="12"/>
  <c r="I355" i="12"/>
  <c r="J355" i="12"/>
  <c r="K355" i="12"/>
  <c r="L355" i="12"/>
  <c r="AE355" i="12"/>
  <c r="AR355" i="12"/>
  <c r="AS355" i="12"/>
  <c r="AT355" i="12"/>
  <c r="BG355" i="12"/>
  <c r="BH355" i="12"/>
  <c r="BI355" i="12"/>
  <c r="I356" i="12"/>
  <c r="J356" i="12"/>
  <c r="K356" i="12"/>
  <c r="L356" i="12"/>
  <c r="AE356" i="12"/>
  <c r="AR356" i="12"/>
  <c r="AS356" i="12"/>
  <c r="AT356" i="12"/>
  <c r="BG356" i="12"/>
  <c r="BH356" i="12"/>
  <c r="BI356" i="12"/>
  <c r="I357" i="12"/>
  <c r="J357" i="12"/>
  <c r="K357" i="12"/>
  <c r="L357" i="12"/>
  <c r="AE357" i="12"/>
  <c r="AR357" i="12"/>
  <c r="AS357" i="12"/>
  <c r="AT357" i="12"/>
  <c r="BG357" i="12"/>
  <c r="BH357" i="12"/>
  <c r="BI357" i="12"/>
  <c r="I358" i="12"/>
  <c r="J358" i="12"/>
  <c r="K358" i="12"/>
  <c r="L358" i="12"/>
  <c r="AE358" i="12"/>
  <c r="AR358" i="12"/>
  <c r="AS358" i="12"/>
  <c r="AT358" i="12"/>
  <c r="BG358" i="12"/>
  <c r="BH358" i="12"/>
  <c r="BI358" i="12"/>
  <c r="I359" i="12"/>
  <c r="J359" i="12"/>
  <c r="K359" i="12"/>
  <c r="L359" i="12"/>
  <c r="AE359" i="12"/>
  <c r="AR359" i="12"/>
  <c r="AS359" i="12"/>
  <c r="AT359" i="12"/>
  <c r="BG359" i="12"/>
  <c r="BH359" i="12"/>
  <c r="BI359" i="12"/>
  <c r="I360" i="12"/>
  <c r="J360" i="12"/>
  <c r="K360" i="12"/>
  <c r="L360" i="12"/>
  <c r="AE360" i="12"/>
  <c r="AR360" i="12"/>
  <c r="AS360" i="12"/>
  <c r="AT360" i="12"/>
  <c r="BG360" i="12"/>
  <c r="BH360" i="12"/>
  <c r="BI360" i="12"/>
  <c r="I361" i="12"/>
  <c r="J361" i="12"/>
  <c r="K361" i="12"/>
  <c r="L361" i="12"/>
  <c r="AE361" i="12"/>
  <c r="AR361" i="12"/>
  <c r="AS361" i="12"/>
  <c r="AT361" i="12"/>
  <c r="BG361" i="12"/>
  <c r="BH361" i="12"/>
  <c r="BI361" i="12"/>
  <c r="I362" i="12"/>
  <c r="J362" i="12"/>
  <c r="K362" i="12"/>
  <c r="L362" i="12"/>
  <c r="AE362" i="12"/>
  <c r="AR362" i="12"/>
  <c r="AS362" i="12"/>
  <c r="AT362" i="12"/>
  <c r="BG362" i="12"/>
  <c r="BH362" i="12"/>
  <c r="BI362" i="12"/>
  <c r="I363" i="12"/>
  <c r="J363" i="12"/>
  <c r="K363" i="12"/>
  <c r="L363" i="12"/>
  <c r="AE363" i="12"/>
  <c r="AR363" i="12"/>
  <c r="AS363" i="12"/>
  <c r="AT363" i="12"/>
  <c r="BG363" i="12"/>
  <c r="BH363" i="12"/>
  <c r="BI363" i="12"/>
  <c r="I364" i="12"/>
  <c r="J364" i="12"/>
  <c r="K364" i="12"/>
  <c r="L364" i="12"/>
  <c r="AE364" i="12"/>
  <c r="AR364" i="12"/>
  <c r="AS364" i="12"/>
  <c r="AT364" i="12"/>
  <c r="BG364" i="12"/>
  <c r="BH364" i="12"/>
  <c r="BI364" i="12"/>
  <c r="I365" i="12"/>
  <c r="J365" i="12"/>
  <c r="K365" i="12"/>
  <c r="L365" i="12"/>
  <c r="AE365" i="12"/>
  <c r="AR365" i="12"/>
  <c r="AS365" i="12"/>
  <c r="AT365" i="12"/>
  <c r="BG365" i="12"/>
  <c r="BH365" i="12"/>
  <c r="BI365" i="12"/>
  <c r="I366" i="12"/>
  <c r="J366" i="12"/>
  <c r="K366" i="12"/>
  <c r="L366" i="12"/>
  <c r="AE366" i="12"/>
  <c r="AR366" i="12"/>
  <c r="AS366" i="12"/>
  <c r="AT366" i="12"/>
  <c r="BG366" i="12"/>
  <c r="BH366" i="12"/>
  <c r="BI366" i="12"/>
  <c r="I367" i="12"/>
  <c r="J367" i="12"/>
  <c r="K367" i="12"/>
  <c r="L367" i="12"/>
  <c r="AE367" i="12"/>
  <c r="AR367" i="12"/>
  <c r="AS367" i="12"/>
  <c r="AT367" i="12"/>
  <c r="BG367" i="12"/>
  <c r="BH367" i="12"/>
  <c r="BI367" i="12"/>
  <c r="I368" i="12"/>
  <c r="J368" i="12"/>
  <c r="K368" i="12"/>
  <c r="L368" i="12"/>
  <c r="AE368" i="12"/>
  <c r="AR368" i="12"/>
  <c r="AS368" i="12"/>
  <c r="AT368" i="12"/>
  <c r="BG368" i="12"/>
  <c r="BH368" i="12"/>
  <c r="BI368" i="12"/>
  <c r="I369" i="12"/>
  <c r="J369" i="12"/>
  <c r="K369" i="12"/>
  <c r="L369" i="12"/>
  <c r="AE369" i="12"/>
  <c r="AR369" i="12"/>
  <c r="AS369" i="12"/>
  <c r="AT369" i="12"/>
  <c r="BG369" i="12"/>
  <c r="BH369" i="12"/>
  <c r="BI369" i="12"/>
  <c r="I370" i="12"/>
  <c r="J370" i="12"/>
  <c r="K370" i="12"/>
  <c r="L370" i="12"/>
  <c r="AE370" i="12"/>
  <c r="AR370" i="12"/>
  <c r="AS370" i="12"/>
  <c r="AT370" i="12"/>
  <c r="BG370" i="12"/>
  <c r="BH370" i="12"/>
  <c r="BI370" i="12"/>
  <c r="I371" i="12"/>
  <c r="J371" i="12"/>
  <c r="K371" i="12"/>
  <c r="L371" i="12"/>
  <c r="AE371" i="12"/>
  <c r="AR371" i="12"/>
  <c r="AS371" i="12"/>
  <c r="AT371" i="12"/>
  <c r="BG371" i="12"/>
  <c r="BH371" i="12"/>
  <c r="BI371" i="12"/>
  <c r="I372" i="12"/>
  <c r="J372" i="12"/>
  <c r="K372" i="12"/>
  <c r="L372" i="12"/>
  <c r="AE372" i="12"/>
  <c r="AR372" i="12"/>
  <c r="AS372" i="12"/>
  <c r="AT372" i="12"/>
  <c r="BG372" i="12"/>
  <c r="BH372" i="12"/>
  <c r="BI372" i="12"/>
  <c r="I373" i="12"/>
  <c r="J373" i="12"/>
  <c r="K373" i="12"/>
  <c r="L373" i="12"/>
  <c r="AE373" i="12"/>
  <c r="AR373" i="12"/>
  <c r="AS373" i="12"/>
  <c r="AT373" i="12"/>
  <c r="BG373" i="12"/>
  <c r="BH373" i="12"/>
  <c r="BI373" i="12"/>
  <c r="I374" i="12"/>
  <c r="J374" i="12"/>
  <c r="K374" i="12"/>
  <c r="L374" i="12"/>
  <c r="AE374" i="12"/>
  <c r="AR374" i="12"/>
  <c r="AS374" i="12"/>
  <c r="AT374" i="12"/>
  <c r="BG374" i="12"/>
  <c r="BH374" i="12"/>
  <c r="BI374" i="12"/>
  <c r="I375" i="12"/>
  <c r="J375" i="12"/>
  <c r="K375" i="12"/>
  <c r="L375" i="12"/>
  <c r="AE375" i="12"/>
  <c r="AR375" i="12"/>
  <c r="AS375" i="12"/>
  <c r="AT375" i="12"/>
  <c r="BG375" i="12"/>
  <c r="BH375" i="12"/>
  <c r="BI375" i="12"/>
  <c r="I376" i="12"/>
  <c r="J376" i="12"/>
  <c r="K376" i="12"/>
  <c r="L376" i="12"/>
  <c r="AE376" i="12"/>
  <c r="AR376" i="12"/>
  <c r="AS376" i="12"/>
  <c r="AT376" i="12"/>
  <c r="BG376" i="12"/>
  <c r="BH376" i="12"/>
  <c r="BI376" i="12"/>
  <c r="I377" i="12"/>
  <c r="J377" i="12"/>
  <c r="K377" i="12"/>
  <c r="L377" i="12"/>
  <c r="AE377" i="12"/>
  <c r="AR377" i="12"/>
  <c r="AS377" i="12"/>
  <c r="AT377" i="12"/>
  <c r="BG377" i="12"/>
  <c r="BH377" i="12"/>
  <c r="BI377" i="12"/>
  <c r="I378" i="12"/>
  <c r="J378" i="12"/>
  <c r="K378" i="12"/>
  <c r="L378" i="12"/>
  <c r="AE378" i="12"/>
  <c r="AR378" i="12"/>
  <c r="AS378" i="12"/>
  <c r="AT378" i="12"/>
  <c r="BG378" i="12"/>
  <c r="BH378" i="12"/>
  <c r="BI378" i="12"/>
  <c r="I379" i="12"/>
  <c r="J379" i="12"/>
  <c r="K379" i="12"/>
  <c r="L379" i="12"/>
  <c r="AE379" i="12"/>
  <c r="AR379" i="12"/>
  <c r="AS379" i="12"/>
  <c r="AT379" i="12"/>
  <c r="BG379" i="12"/>
  <c r="BH379" i="12"/>
  <c r="BI379" i="12"/>
  <c r="I380" i="12"/>
  <c r="J380" i="12"/>
  <c r="K380" i="12"/>
  <c r="L380" i="12"/>
  <c r="AE380" i="12"/>
  <c r="AR380" i="12"/>
  <c r="AS380" i="12"/>
  <c r="AT380" i="12"/>
  <c r="BG380" i="12"/>
  <c r="BH380" i="12"/>
  <c r="BI380" i="12"/>
  <c r="I381" i="12"/>
  <c r="J381" i="12"/>
  <c r="K381" i="12"/>
  <c r="L381" i="12"/>
  <c r="AE381" i="12"/>
  <c r="AR381" i="12"/>
  <c r="AS381" i="12"/>
  <c r="AT381" i="12"/>
  <c r="BG381" i="12"/>
  <c r="BH381" i="12"/>
  <c r="BI381" i="12"/>
  <c r="I382" i="12"/>
  <c r="J382" i="12"/>
  <c r="K382" i="12"/>
  <c r="L382" i="12"/>
  <c r="AE382" i="12"/>
  <c r="AR382" i="12"/>
  <c r="AS382" i="12"/>
  <c r="AT382" i="12"/>
  <c r="BG382" i="12"/>
  <c r="BH382" i="12"/>
  <c r="BI382" i="12"/>
  <c r="I383" i="12"/>
  <c r="J383" i="12"/>
  <c r="K383" i="12"/>
  <c r="L383" i="12"/>
  <c r="AE383" i="12"/>
  <c r="AR383" i="12"/>
  <c r="AS383" i="12"/>
  <c r="AT383" i="12"/>
  <c r="BG383" i="12"/>
  <c r="BH383" i="12"/>
  <c r="BI383" i="12"/>
  <c r="I384" i="12"/>
  <c r="J384" i="12"/>
  <c r="K384" i="12"/>
  <c r="L384" i="12"/>
  <c r="AE384" i="12"/>
  <c r="AR384" i="12"/>
  <c r="AS384" i="12"/>
  <c r="AT384" i="12"/>
  <c r="BG384" i="12"/>
  <c r="BH384" i="12"/>
  <c r="BI384" i="12"/>
  <c r="I385" i="12"/>
  <c r="J385" i="12"/>
  <c r="K385" i="12"/>
  <c r="L385" i="12"/>
  <c r="AE385" i="12"/>
  <c r="AR385" i="12"/>
  <c r="AS385" i="12"/>
  <c r="AT385" i="12"/>
  <c r="BG385" i="12"/>
  <c r="BH385" i="12"/>
  <c r="BI385" i="12"/>
  <c r="I386" i="12"/>
  <c r="J386" i="12"/>
  <c r="K386" i="12"/>
  <c r="L386" i="12"/>
  <c r="AE386" i="12"/>
  <c r="AR386" i="12"/>
  <c r="AS386" i="12"/>
  <c r="AT386" i="12"/>
  <c r="BG386" i="12"/>
  <c r="BH386" i="12"/>
  <c r="BI386" i="12"/>
  <c r="I387" i="12"/>
  <c r="J387" i="12"/>
  <c r="K387" i="12"/>
  <c r="L387" i="12"/>
  <c r="AE387" i="12"/>
  <c r="AR387" i="12"/>
  <c r="AS387" i="12"/>
  <c r="AT387" i="12"/>
  <c r="BG387" i="12"/>
  <c r="BH387" i="12"/>
  <c r="BI387" i="12"/>
  <c r="I388" i="12"/>
  <c r="J388" i="12"/>
  <c r="K388" i="12"/>
  <c r="L388" i="12"/>
  <c r="AE388" i="12"/>
  <c r="AR388" i="12"/>
  <c r="AS388" i="12"/>
  <c r="AT388" i="12"/>
  <c r="BG388" i="12"/>
  <c r="BH388" i="12"/>
  <c r="BI388" i="12"/>
  <c r="I389" i="12"/>
  <c r="J389" i="12"/>
  <c r="K389" i="12"/>
  <c r="L389" i="12"/>
  <c r="AE389" i="12"/>
  <c r="AR389" i="12"/>
  <c r="AS389" i="12"/>
  <c r="AT389" i="12"/>
  <c r="BG389" i="12"/>
  <c r="BH389" i="12"/>
  <c r="BI389" i="12"/>
  <c r="I390" i="12"/>
  <c r="J390" i="12"/>
  <c r="K390" i="12"/>
  <c r="L390" i="12"/>
  <c r="AE390" i="12"/>
  <c r="AR390" i="12"/>
  <c r="AS390" i="12"/>
  <c r="AT390" i="12"/>
  <c r="BG390" i="12"/>
  <c r="BH390" i="12"/>
  <c r="BI390" i="12"/>
  <c r="I391" i="12"/>
  <c r="J391" i="12"/>
  <c r="K391" i="12"/>
  <c r="L391" i="12"/>
  <c r="AE391" i="12"/>
  <c r="AR391" i="12"/>
  <c r="AS391" i="12"/>
  <c r="AT391" i="12"/>
  <c r="BG391" i="12"/>
  <c r="BH391" i="12"/>
  <c r="BI391" i="12"/>
  <c r="I392" i="12"/>
  <c r="J392" i="12"/>
  <c r="K392" i="12"/>
  <c r="L392" i="12"/>
  <c r="AE392" i="12"/>
  <c r="AR392" i="12"/>
  <c r="AS392" i="12"/>
  <c r="AT392" i="12"/>
  <c r="BG392" i="12"/>
  <c r="BH392" i="12"/>
  <c r="BI392" i="12"/>
  <c r="I393" i="12"/>
  <c r="J393" i="12"/>
  <c r="K393" i="12"/>
  <c r="L393" i="12"/>
  <c r="AE393" i="12"/>
  <c r="AR393" i="12"/>
  <c r="AS393" i="12"/>
  <c r="AT393" i="12"/>
  <c r="BG393" i="12"/>
  <c r="BH393" i="12"/>
  <c r="BI393" i="12"/>
  <c r="I394" i="12"/>
  <c r="J394" i="12"/>
  <c r="K394" i="12"/>
  <c r="L394" i="12"/>
  <c r="AE394" i="12"/>
  <c r="AR394" i="12"/>
  <c r="AS394" i="12"/>
  <c r="AT394" i="12"/>
  <c r="BG394" i="12"/>
  <c r="BH394" i="12"/>
  <c r="BI394" i="12"/>
  <c r="I395" i="12"/>
  <c r="J395" i="12"/>
  <c r="K395" i="12"/>
  <c r="L395" i="12"/>
  <c r="AE395" i="12"/>
  <c r="AR395" i="12"/>
  <c r="AS395" i="12"/>
  <c r="AT395" i="12"/>
  <c r="BG395" i="12"/>
  <c r="BH395" i="12"/>
  <c r="BI395" i="12"/>
  <c r="I396" i="12"/>
  <c r="J396" i="12"/>
  <c r="K396" i="12"/>
  <c r="L396" i="12"/>
  <c r="AE396" i="12"/>
  <c r="AR396" i="12"/>
  <c r="AS396" i="12"/>
  <c r="AT396" i="12"/>
  <c r="BG396" i="12"/>
  <c r="BH396" i="12"/>
  <c r="BI396" i="12"/>
  <c r="I397" i="12"/>
  <c r="J397" i="12"/>
  <c r="K397" i="12"/>
  <c r="L397" i="12"/>
  <c r="AE397" i="12"/>
  <c r="AR397" i="12"/>
  <c r="AS397" i="12"/>
  <c r="AT397" i="12"/>
  <c r="BG397" i="12"/>
  <c r="BH397" i="12"/>
  <c r="BI397" i="12"/>
  <c r="I398" i="12"/>
  <c r="J398" i="12"/>
  <c r="K398" i="12"/>
  <c r="L398" i="12"/>
  <c r="AE398" i="12"/>
  <c r="AR398" i="12"/>
  <c r="AS398" i="12"/>
  <c r="AT398" i="12"/>
  <c r="BG398" i="12"/>
  <c r="BH398" i="12"/>
  <c r="BI398" i="12"/>
  <c r="I399" i="12"/>
  <c r="J399" i="12"/>
  <c r="K399" i="12"/>
  <c r="L399" i="12"/>
  <c r="AE399" i="12"/>
  <c r="AR399" i="12"/>
  <c r="AS399" i="12"/>
  <c r="AT399" i="12"/>
  <c r="BG399" i="12"/>
  <c r="BH399" i="12"/>
  <c r="BI399" i="12"/>
  <c r="I400" i="12"/>
  <c r="J400" i="12"/>
  <c r="K400" i="12"/>
  <c r="L400" i="12"/>
  <c r="AE400" i="12"/>
  <c r="AR400" i="12"/>
  <c r="AS400" i="12"/>
  <c r="AT400" i="12"/>
  <c r="BG400" i="12"/>
  <c r="BH400" i="12"/>
  <c r="BI400" i="12"/>
  <c r="I401" i="12"/>
  <c r="J401" i="12"/>
  <c r="K401" i="12"/>
  <c r="L401" i="12"/>
  <c r="AE401" i="12"/>
  <c r="AR401" i="12"/>
  <c r="AS401" i="12"/>
  <c r="AT401" i="12"/>
  <c r="BG401" i="12"/>
  <c r="BH401" i="12"/>
  <c r="BI401" i="12"/>
  <c r="I402" i="12"/>
  <c r="J402" i="12"/>
  <c r="K402" i="12"/>
  <c r="L402" i="12"/>
  <c r="AE402" i="12"/>
  <c r="AR402" i="12"/>
  <c r="AS402" i="12"/>
  <c r="AT402" i="12"/>
  <c r="BG402" i="12"/>
  <c r="BH402" i="12"/>
  <c r="BI402" i="12"/>
  <c r="I404" i="12"/>
  <c r="J404" i="12"/>
  <c r="K404" i="12"/>
  <c r="L404" i="12"/>
  <c r="AE404" i="12"/>
  <c r="AR404" i="12"/>
  <c r="AS404" i="12"/>
  <c r="AT404" i="12"/>
  <c r="BG404" i="12"/>
  <c r="BH404" i="12"/>
  <c r="BI404" i="12"/>
  <c r="I405" i="12"/>
  <c r="J405" i="12"/>
  <c r="K405" i="12"/>
  <c r="L405" i="12"/>
  <c r="AE405" i="12"/>
  <c r="AR405" i="12"/>
  <c r="AS405" i="12"/>
  <c r="AT405" i="12"/>
  <c r="BG405" i="12"/>
  <c r="BH405" i="12"/>
  <c r="BI405" i="12"/>
  <c r="I406" i="12"/>
  <c r="J406" i="12"/>
  <c r="K406" i="12"/>
  <c r="L406" i="12"/>
  <c r="AE406" i="12"/>
  <c r="AR406" i="12"/>
  <c r="AS406" i="12"/>
  <c r="AT406" i="12"/>
  <c r="BG406" i="12"/>
  <c r="BH406" i="12"/>
  <c r="BI406" i="12"/>
  <c r="I407" i="12"/>
  <c r="J407" i="12"/>
  <c r="K407" i="12"/>
  <c r="L407" i="12"/>
  <c r="AE407" i="12"/>
  <c r="AR407" i="12"/>
  <c r="AS407" i="12"/>
  <c r="AT407" i="12"/>
  <c r="BG407" i="12"/>
  <c r="BH407" i="12"/>
  <c r="BI407" i="12"/>
  <c r="I408" i="12"/>
  <c r="J408" i="12"/>
  <c r="K408" i="12"/>
  <c r="L408" i="12"/>
  <c r="AE408" i="12"/>
  <c r="AR408" i="12"/>
  <c r="AS408" i="12"/>
  <c r="AT408" i="12"/>
  <c r="BG408" i="12"/>
  <c r="BH408" i="12"/>
  <c r="BI408" i="12"/>
  <c r="I409" i="12"/>
  <c r="J409" i="12"/>
  <c r="K409" i="12"/>
  <c r="L409" i="12"/>
  <c r="AE409" i="12"/>
  <c r="AR409" i="12"/>
  <c r="AS409" i="12"/>
  <c r="AT409" i="12"/>
  <c r="BG409" i="12"/>
  <c r="BH409" i="12"/>
  <c r="BI409" i="12"/>
  <c r="I410" i="12"/>
  <c r="J410" i="12"/>
  <c r="K410" i="12"/>
  <c r="L410" i="12"/>
  <c r="AE410" i="12"/>
  <c r="AR410" i="12"/>
  <c r="AS410" i="12"/>
  <c r="AT410" i="12"/>
  <c r="BG410" i="12"/>
  <c r="BH410" i="12"/>
  <c r="BI410" i="12"/>
  <c r="I411" i="12"/>
  <c r="J411" i="12"/>
  <c r="K411" i="12"/>
  <c r="L411" i="12"/>
  <c r="AE411" i="12"/>
  <c r="AR411" i="12"/>
  <c r="AS411" i="12"/>
  <c r="AT411" i="12"/>
  <c r="BG411" i="12"/>
  <c r="BH411" i="12"/>
  <c r="BI411" i="12"/>
  <c r="I412" i="12"/>
  <c r="J412" i="12"/>
  <c r="K412" i="12"/>
  <c r="L412" i="12"/>
  <c r="AE412" i="12"/>
  <c r="AR412" i="12"/>
  <c r="AS412" i="12"/>
  <c r="AT412" i="12"/>
  <c r="BG412" i="12"/>
  <c r="BH412" i="12"/>
  <c r="BI412" i="12"/>
  <c r="I413" i="12"/>
  <c r="J413" i="12"/>
  <c r="K413" i="12"/>
  <c r="L413" i="12"/>
  <c r="AE413" i="12"/>
  <c r="AR413" i="12"/>
  <c r="AS413" i="12"/>
  <c r="AT413" i="12"/>
  <c r="BG413" i="12"/>
  <c r="BH413" i="12"/>
  <c r="BI413" i="12"/>
  <c r="I414" i="12"/>
  <c r="J414" i="12"/>
  <c r="K414" i="12"/>
  <c r="L414" i="12"/>
  <c r="AE414" i="12"/>
  <c r="AR414" i="12"/>
  <c r="AS414" i="12"/>
  <c r="AT414" i="12"/>
  <c r="BG414" i="12"/>
  <c r="BH414" i="12"/>
  <c r="BI414" i="12"/>
  <c r="I415" i="12"/>
  <c r="J415" i="12"/>
  <c r="K415" i="12"/>
  <c r="L415" i="12"/>
  <c r="AE415" i="12"/>
  <c r="AR415" i="12"/>
  <c r="AS415" i="12"/>
  <c r="AT415" i="12"/>
  <c r="BG415" i="12"/>
  <c r="BH415" i="12"/>
  <c r="BI415" i="12"/>
  <c r="I416" i="12"/>
  <c r="J416" i="12"/>
  <c r="K416" i="12"/>
  <c r="L416" i="12"/>
  <c r="AE416" i="12"/>
  <c r="AR416" i="12"/>
  <c r="AS416" i="12"/>
  <c r="AT416" i="12"/>
  <c r="BG416" i="12"/>
  <c r="BH416" i="12"/>
  <c r="BI416" i="12"/>
  <c r="I417" i="12"/>
  <c r="J417" i="12"/>
  <c r="K417" i="12"/>
  <c r="L417" i="12"/>
  <c r="AE417" i="12"/>
  <c r="AR417" i="12"/>
  <c r="AS417" i="12"/>
  <c r="AT417" i="12"/>
  <c r="BG417" i="12"/>
  <c r="BH417" i="12"/>
  <c r="BI417" i="12"/>
  <c r="I418" i="12"/>
  <c r="J418" i="12"/>
  <c r="K418" i="12"/>
  <c r="L418" i="12"/>
  <c r="AE418" i="12"/>
  <c r="AR418" i="12"/>
  <c r="AS418" i="12"/>
  <c r="AT418" i="12"/>
  <c r="BG418" i="12"/>
  <c r="BH418" i="12"/>
  <c r="BI418" i="12"/>
  <c r="I419" i="12"/>
  <c r="J419" i="12"/>
  <c r="K419" i="12"/>
  <c r="L419" i="12"/>
  <c r="AE419" i="12"/>
  <c r="AR419" i="12"/>
  <c r="AS419" i="12"/>
  <c r="AT419" i="12"/>
  <c r="BG419" i="12"/>
  <c r="BH419" i="12"/>
  <c r="BI419" i="12"/>
  <c r="I420" i="12"/>
  <c r="J420" i="12"/>
  <c r="K420" i="12"/>
  <c r="L420" i="12"/>
  <c r="AE420" i="12"/>
  <c r="AR420" i="12"/>
  <c r="AS420" i="12"/>
  <c r="AT420" i="12"/>
  <c r="BG420" i="12"/>
  <c r="BH420" i="12"/>
  <c r="BI420" i="12"/>
  <c r="I421" i="12"/>
  <c r="J421" i="12"/>
  <c r="K421" i="12"/>
  <c r="L421" i="12"/>
  <c r="AE421" i="12"/>
  <c r="AR421" i="12"/>
  <c r="AS421" i="12"/>
  <c r="AT421" i="12"/>
  <c r="BG421" i="12"/>
  <c r="BH421" i="12"/>
  <c r="BI421" i="12"/>
  <c r="I422" i="12"/>
  <c r="J422" i="12"/>
  <c r="K422" i="12"/>
  <c r="L422" i="12"/>
  <c r="AE422" i="12"/>
  <c r="AR422" i="12"/>
  <c r="AS422" i="12"/>
  <c r="AT422" i="12"/>
  <c r="BG422" i="12"/>
  <c r="BH422" i="12"/>
  <c r="BI422" i="12"/>
  <c r="I423" i="12"/>
  <c r="J423" i="12"/>
  <c r="K423" i="12"/>
  <c r="L423" i="12"/>
  <c r="AE423" i="12"/>
  <c r="AR423" i="12"/>
  <c r="AS423" i="12"/>
  <c r="AT423" i="12"/>
  <c r="BG423" i="12"/>
  <c r="BH423" i="12"/>
  <c r="BI423" i="12"/>
  <c r="I424" i="12"/>
  <c r="J424" i="12"/>
  <c r="K424" i="12"/>
  <c r="L424" i="12"/>
  <c r="AE424" i="12"/>
  <c r="AR424" i="12"/>
  <c r="AS424" i="12"/>
  <c r="AT424" i="12"/>
  <c r="BG424" i="12"/>
  <c r="BH424" i="12"/>
  <c r="BI424" i="12"/>
  <c r="I425" i="12"/>
  <c r="J425" i="12"/>
  <c r="K425" i="12"/>
  <c r="L425" i="12"/>
  <c r="AE425" i="12"/>
  <c r="AR425" i="12"/>
  <c r="AS425" i="12"/>
  <c r="AT425" i="12"/>
  <c r="BG425" i="12"/>
  <c r="BH425" i="12"/>
  <c r="BI425" i="12"/>
  <c r="I426" i="12"/>
  <c r="J426" i="12"/>
  <c r="K426" i="12"/>
  <c r="L426" i="12"/>
  <c r="AE426" i="12"/>
  <c r="AR426" i="12"/>
  <c r="AS426" i="12"/>
  <c r="AT426" i="12"/>
  <c r="BG426" i="12"/>
  <c r="BH426" i="12"/>
  <c r="BI426" i="12"/>
  <c r="I427" i="12"/>
  <c r="J427" i="12"/>
  <c r="K427" i="12"/>
  <c r="L427" i="12"/>
  <c r="AE427" i="12"/>
  <c r="AR427" i="12"/>
  <c r="AS427" i="12"/>
  <c r="AT427" i="12"/>
  <c r="BG427" i="12"/>
  <c r="BH427" i="12"/>
  <c r="BI427" i="12"/>
  <c r="I428" i="12"/>
  <c r="J428" i="12"/>
  <c r="K428" i="12"/>
  <c r="L428" i="12"/>
  <c r="AE428" i="12"/>
  <c r="AR428" i="12"/>
  <c r="AS428" i="12"/>
  <c r="AT428" i="12"/>
  <c r="BG428" i="12"/>
  <c r="BH428" i="12"/>
  <c r="BI428" i="12"/>
  <c r="I429" i="12"/>
  <c r="J429" i="12"/>
  <c r="K429" i="12"/>
  <c r="L429" i="12"/>
  <c r="AE429" i="12"/>
  <c r="AR429" i="12"/>
  <c r="AS429" i="12"/>
  <c r="AT429" i="12"/>
  <c r="BG429" i="12"/>
  <c r="BH429" i="12"/>
  <c r="BI429" i="12"/>
  <c r="I430" i="12"/>
  <c r="J430" i="12"/>
  <c r="K430" i="12"/>
  <c r="L430" i="12"/>
  <c r="AE430" i="12"/>
  <c r="AR430" i="12"/>
  <c r="AS430" i="12"/>
  <c r="AT430" i="12"/>
  <c r="BG430" i="12"/>
  <c r="BH430" i="12"/>
  <c r="BI430" i="12"/>
  <c r="I432" i="12"/>
  <c r="J432" i="12"/>
  <c r="K432" i="12"/>
  <c r="L432" i="12"/>
  <c r="AE432" i="12"/>
  <c r="AR432" i="12"/>
  <c r="AS432" i="12"/>
  <c r="AT432" i="12"/>
  <c r="BG432" i="12"/>
  <c r="BH432" i="12"/>
  <c r="BI432" i="12"/>
  <c r="I433" i="12"/>
  <c r="J433" i="12"/>
  <c r="K433" i="12"/>
  <c r="L433" i="12"/>
  <c r="AE433" i="12"/>
  <c r="AR433" i="12"/>
  <c r="AS433" i="12"/>
  <c r="AT433" i="12"/>
  <c r="BG433" i="12"/>
  <c r="BH433" i="12"/>
  <c r="BI433" i="12"/>
  <c r="I435" i="12"/>
  <c r="J435" i="12"/>
  <c r="K435" i="12"/>
  <c r="L435" i="12"/>
  <c r="AE435" i="12"/>
  <c r="AR435" i="12"/>
  <c r="AS435" i="12"/>
  <c r="AT435" i="12"/>
  <c r="BG435" i="12"/>
  <c r="BH435" i="12"/>
  <c r="BI435" i="12"/>
  <c r="I436" i="12"/>
  <c r="J436" i="12"/>
  <c r="K436" i="12"/>
  <c r="L436" i="12"/>
  <c r="AE436" i="12"/>
  <c r="AR436" i="12"/>
  <c r="AS436" i="12"/>
  <c r="AT436" i="12"/>
  <c r="BG436" i="12"/>
  <c r="BH436" i="12"/>
  <c r="BI436" i="12"/>
  <c r="I437" i="12"/>
  <c r="J437" i="12"/>
  <c r="K437" i="12"/>
  <c r="L437" i="12"/>
  <c r="AE437" i="12"/>
  <c r="AR437" i="12"/>
  <c r="AS437" i="12"/>
  <c r="AT437" i="12"/>
  <c r="BG437" i="12"/>
  <c r="BH437" i="12"/>
  <c r="BI437" i="12"/>
  <c r="I440" i="12"/>
  <c r="J440" i="12"/>
  <c r="K440" i="12"/>
  <c r="L440" i="12"/>
  <c r="AE440" i="12"/>
  <c r="AR440" i="12"/>
  <c r="AS440" i="12"/>
  <c r="AT440" i="12"/>
  <c r="BG440" i="12"/>
  <c r="BH440" i="12"/>
  <c r="BI440" i="12"/>
  <c r="I441" i="12"/>
  <c r="J441" i="12"/>
  <c r="K441" i="12"/>
  <c r="L441" i="12"/>
  <c r="AE441" i="12"/>
  <c r="AR441" i="12"/>
  <c r="AS441" i="12"/>
  <c r="AT441" i="12"/>
  <c r="BG441" i="12"/>
  <c r="BH441" i="12"/>
  <c r="BI441" i="12"/>
  <c r="I442" i="12"/>
  <c r="J442" i="12"/>
  <c r="K442" i="12"/>
  <c r="L442" i="12"/>
  <c r="AE442" i="12"/>
  <c r="AR442" i="12"/>
  <c r="AS442" i="12"/>
  <c r="AT442" i="12"/>
  <c r="BG442" i="12"/>
  <c r="BH442" i="12"/>
  <c r="BI442" i="12"/>
  <c r="I443" i="12"/>
  <c r="J443" i="12"/>
  <c r="K443" i="12"/>
  <c r="L443" i="12"/>
  <c r="AE443" i="12"/>
  <c r="AR443" i="12"/>
  <c r="AS443" i="12"/>
  <c r="AT443" i="12"/>
  <c r="BG443" i="12"/>
  <c r="BH443" i="12"/>
  <c r="BI443" i="12"/>
  <c r="I444" i="12"/>
  <c r="J444" i="12"/>
  <c r="K444" i="12"/>
  <c r="L444" i="12"/>
  <c r="AE444" i="12"/>
  <c r="AR444" i="12"/>
  <c r="AS444" i="12"/>
  <c r="AT444" i="12"/>
  <c r="BG444" i="12"/>
  <c r="BH444" i="12"/>
  <c r="BI444" i="12"/>
  <c r="I445" i="12"/>
  <c r="J445" i="12"/>
  <c r="K445" i="12"/>
  <c r="L445" i="12"/>
  <c r="AE445" i="12"/>
  <c r="AR445" i="12"/>
  <c r="AS445" i="12"/>
  <c r="AT445" i="12"/>
  <c r="BG445" i="12"/>
  <c r="BH445" i="12"/>
  <c r="BI445" i="12"/>
  <c r="I446" i="12"/>
  <c r="J446" i="12"/>
  <c r="K446" i="12"/>
  <c r="L446" i="12"/>
  <c r="AE446" i="12"/>
  <c r="AR446" i="12"/>
  <c r="AS446" i="12"/>
  <c r="AT446" i="12"/>
  <c r="BG446" i="12"/>
  <c r="BH446" i="12"/>
  <c r="BI446" i="12"/>
  <c r="I449" i="12"/>
  <c r="J449" i="12"/>
  <c r="K449" i="12"/>
  <c r="L449" i="12"/>
  <c r="AE449" i="12"/>
  <c r="AR449" i="12"/>
  <c r="AS449" i="12"/>
  <c r="AT449" i="12"/>
  <c r="BG449" i="12"/>
  <c r="BH449" i="12"/>
  <c r="BI449" i="12"/>
  <c r="I450" i="12"/>
  <c r="J450" i="12"/>
  <c r="K450" i="12"/>
  <c r="L450" i="12"/>
  <c r="AE450" i="12"/>
  <c r="AR450" i="12"/>
  <c r="AS450" i="12"/>
  <c r="AT450" i="12"/>
  <c r="BG450" i="12"/>
  <c r="BH450" i="12"/>
  <c r="BI450" i="12"/>
  <c r="I451" i="12"/>
  <c r="J451" i="12"/>
  <c r="K451" i="12"/>
  <c r="L451" i="12"/>
  <c r="AE451" i="12"/>
  <c r="AR451" i="12"/>
  <c r="AS451" i="12"/>
  <c r="AT451" i="12"/>
  <c r="BG451" i="12"/>
  <c r="BH451" i="12"/>
  <c r="BI451" i="12"/>
  <c r="I452" i="12"/>
  <c r="J452" i="12"/>
  <c r="K452" i="12"/>
  <c r="L452" i="12"/>
  <c r="AE452" i="12"/>
  <c r="AR452" i="12"/>
  <c r="AS452" i="12"/>
  <c r="AT452" i="12"/>
  <c r="BG452" i="12"/>
  <c r="BH452" i="12"/>
  <c r="BI452" i="12"/>
  <c r="I453" i="12"/>
  <c r="J453" i="12"/>
  <c r="K453" i="12"/>
  <c r="L453" i="12"/>
  <c r="AE453" i="12"/>
  <c r="AR453" i="12"/>
  <c r="AS453" i="12"/>
  <c r="AT453" i="12"/>
  <c r="BG453" i="12"/>
  <c r="BH453" i="12"/>
  <c r="BI453" i="12"/>
  <c r="I454" i="12"/>
  <c r="J454" i="12"/>
  <c r="K454" i="12"/>
  <c r="L454" i="12"/>
  <c r="AE454" i="12"/>
  <c r="AR454" i="12"/>
  <c r="AS454" i="12"/>
  <c r="AT454" i="12"/>
  <c r="BG454" i="12"/>
  <c r="BH454" i="12"/>
  <c r="BI454" i="12"/>
  <c r="I455" i="12"/>
  <c r="J455" i="12"/>
  <c r="K455" i="12"/>
  <c r="L455" i="12"/>
  <c r="AE455" i="12"/>
  <c r="AR455" i="12"/>
  <c r="AS455" i="12"/>
  <c r="AT455" i="12"/>
  <c r="BG455" i="12"/>
  <c r="BH455" i="12"/>
  <c r="BI455" i="12"/>
  <c r="I456" i="12"/>
  <c r="J456" i="12"/>
  <c r="K456" i="12"/>
  <c r="L456" i="12"/>
  <c r="AE456" i="12"/>
  <c r="AR456" i="12"/>
  <c r="AS456" i="12"/>
  <c r="AT456" i="12"/>
  <c r="BG456" i="12"/>
  <c r="BH456" i="12"/>
  <c r="BI456" i="12"/>
  <c r="I457" i="12"/>
  <c r="J457" i="12"/>
  <c r="K457" i="12"/>
  <c r="L457" i="12"/>
  <c r="AE457" i="12"/>
  <c r="AR457" i="12"/>
  <c r="AS457" i="12"/>
  <c r="AT457" i="12"/>
  <c r="BG457" i="12"/>
  <c r="BH457" i="12"/>
  <c r="BI457" i="12"/>
  <c r="I458" i="12"/>
  <c r="J458" i="12"/>
  <c r="K458" i="12"/>
  <c r="L458" i="12"/>
  <c r="AE458" i="12"/>
  <c r="AR458" i="12"/>
  <c r="AS458" i="12"/>
  <c r="AT458" i="12"/>
  <c r="BG458" i="12"/>
  <c r="BH458" i="12"/>
  <c r="BI458" i="12"/>
  <c r="I459" i="12"/>
  <c r="J459" i="12"/>
  <c r="K459" i="12"/>
  <c r="L459" i="12"/>
  <c r="AE459" i="12"/>
  <c r="AR459" i="12"/>
  <c r="AS459" i="12"/>
  <c r="AT459" i="12"/>
  <c r="BG459" i="12"/>
  <c r="BH459" i="12"/>
  <c r="BI459" i="12"/>
  <c r="I460" i="12"/>
  <c r="J460" i="12"/>
  <c r="K460" i="12"/>
  <c r="L460" i="12"/>
  <c r="AE460" i="12"/>
  <c r="AR460" i="12"/>
  <c r="AS460" i="12"/>
  <c r="AT460" i="12"/>
  <c r="BG460" i="12"/>
  <c r="BH460" i="12"/>
  <c r="BI460" i="12"/>
  <c r="I461" i="12"/>
  <c r="J461" i="12"/>
  <c r="K461" i="12"/>
  <c r="L461" i="12"/>
  <c r="AE461" i="12"/>
  <c r="AR461" i="12"/>
  <c r="AS461" i="12"/>
  <c r="AT461" i="12"/>
  <c r="BG461" i="12"/>
  <c r="BH461" i="12"/>
  <c r="BI461" i="12"/>
  <c r="I462" i="12"/>
  <c r="J462" i="12"/>
  <c r="K462" i="12"/>
  <c r="L462" i="12"/>
  <c r="AE462" i="12"/>
  <c r="AR462" i="12"/>
  <c r="AS462" i="12"/>
  <c r="AT462" i="12"/>
  <c r="BG462" i="12"/>
  <c r="BH462" i="12"/>
  <c r="BI462" i="12"/>
  <c r="I463" i="12"/>
  <c r="J463" i="12"/>
  <c r="K463" i="12"/>
  <c r="L463" i="12"/>
  <c r="AE463" i="12"/>
  <c r="AR463" i="12"/>
  <c r="AS463" i="12"/>
  <c r="AT463" i="12"/>
  <c r="BG463" i="12"/>
  <c r="BH463" i="12"/>
  <c r="BI463" i="12"/>
  <c r="I464" i="12"/>
  <c r="J464" i="12"/>
  <c r="K464" i="12"/>
  <c r="L464" i="12"/>
  <c r="AE464" i="12"/>
  <c r="AR464" i="12"/>
  <c r="AS464" i="12"/>
  <c r="AT464" i="12"/>
  <c r="BG464" i="12"/>
  <c r="BH464" i="12"/>
  <c r="BI464" i="12"/>
  <c r="I465" i="12"/>
  <c r="J465" i="12"/>
  <c r="K465" i="12"/>
  <c r="L465" i="12"/>
  <c r="AE465" i="12"/>
  <c r="AR465" i="12"/>
  <c r="AS465" i="12"/>
  <c r="AT465" i="12"/>
  <c r="BG465" i="12"/>
  <c r="BH465" i="12"/>
  <c r="BI465" i="12"/>
  <c r="I466" i="12"/>
  <c r="J466" i="12"/>
  <c r="K466" i="12"/>
  <c r="L466" i="12"/>
  <c r="AE466" i="12"/>
  <c r="AR466" i="12"/>
  <c r="AS466" i="12"/>
  <c r="AT466" i="12"/>
  <c r="BG466" i="12"/>
  <c r="BH466" i="12"/>
  <c r="BI466" i="12"/>
  <c r="I468" i="12"/>
  <c r="J468" i="12"/>
  <c r="K468" i="12"/>
  <c r="L468" i="12"/>
  <c r="AE468" i="12"/>
  <c r="AR468" i="12"/>
  <c r="AS468" i="12"/>
  <c r="AT468" i="12"/>
  <c r="BG468" i="12"/>
  <c r="BH468" i="12"/>
  <c r="BI468" i="12"/>
  <c r="I469" i="12"/>
  <c r="J469" i="12"/>
  <c r="K469" i="12"/>
  <c r="L469" i="12"/>
  <c r="AE469" i="12"/>
  <c r="AR469" i="12"/>
  <c r="AS469" i="12"/>
  <c r="AT469" i="12"/>
  <c r="BG469" i="12"/>
  <c r="BH469" i="12"/>
  <c r="BI469" i="12"/>
  <c r="I470" i="12"/>
  <c r="J470" i="12"/>
  <c r="K470" i="12"/>
  <c r="L470" i="12"/>
  <c r="AE470" i="12"/>
  <c r="AR470" i="12"/>
  <c r="AS470" i="12"/>
  <c r="AT470" i="12"/>
  <c r="BG470" i="12"/>
  <c r="BH470" i="12"/>
  <c r="BI470" i="12"/>
  <c r="I471" i="12"/>
  <c r="J471" i="12"/>
  <c r="K471" i="12"/>
  <c r="L471" i="12"/>
  <c r="AE471" i="12"/>
  <c r="AR471" i="12"/>
  <c r="AS471" i="12"/>
  <c r="AT471" i="12"/>
  <c r="BG471" i="12"/>
  <c r="BH471" i="12"/>
  <c r="BI471" i="12"/>
  <c r="I472" i="12"/>
  <c r="J472" i="12"/>
  <c r="K472" i="12"/>
  <c r="L472" i="12"/>
  <c r="AE472" i="12"/>
  <c r="AR472" i="12"/>
  <c r="AS472" i="12"/>
  <c r="AT472" i="12"/>
  <c r="BG472" i="12"/>
  <c r="BH472" i="12"/>
  <c r="BI472" i="12"/>
  <c r="I473" i="12"/>
  <c r="J473" i="12"/>
  <c r="K473" i="12"/>
  <c r="L473" i="12"/>
  <c r="AE473" i="12"/>
  <c r="AR473" i="12"/>
  <c r="AS473" i="12"/>
  <c r="AT473" i="12"/>
  <c r="BG473" i="12"/>
  <c r="BH473" i="12"/>
  <c r="BI473" i="12"/>
  <c r="I474" i="12"/>
  <c r="J474" i="12"/>
  <c r="K474" i="12"/>
  <c r="L474" i="12"/>
  <c r="AE474" i="12"/>
  <c r="AR474" i="12"/>
  <c r="AS474" i="12"/>
  <c r="AT474" i="12"/>
  <c r="BG474" i="12"/>
  <c r="BH474" i="12"/>
  <c r="BI474" i="12"/>
  <c r="I475" i="12"/>
  <c r="J475" i="12"/>
  <c r="K475" i="12"/>
  <c r="L475" i="12"/>
  <c r="AE475" i="12"/>
  <c r="AR475" i="12"/>
  <c r="AS475" i="12"/>
  <c r="AT475" i="12"/>
  <c r="BG475" i="12"/>
  <c r="BH475" i="12"/>
  <c r="BI475" i="12"/>
  <c r="I476" i="12"/>
  <c r="J476" i="12"/>
  <c r="K476" i="12"/>
  <c r="L476" i="12"/>
  <c r="AE476" i="12"/>
  <c r="AR476" i="12"/>
  <c r="AS476" i="12"/>
  <c r="AT476" i="12"/>
  <c r="BG476" i="12"/>
  <c r="BH476" i="12"/>
  <c r="BI476" i="12"/>
  <c r="I477" i="12"/>
  <c r="J477" i="12"/>
  <c r="K477" i="12"/>
  <c r="L477" i="12"/>
  <c r="AE477" i="12"/>
  <c r="AR477" i="12"/>
  <c r="AS477" i="12"/>
  <c r="AT477" i="12"/>
  <c r="BG477" i="12"/>
  <c r="BH477" i="12"/>
  <c r="BI477" i="12"/>
  <c r="I478" i="12"/>
  <c r="J478" i="12"/>
  <c r="K478" i="12"/>
  <c r="L478" i="12"/>
  <c r="AE478" i="12"/>
  <c r="AR478" i="12"/>
  <c r="AS478" i="12"/>
  <c r="AT478" i="12"/>
  <c r="BG478" i="12"/>
  <c r="BH478" i="12"/>
  <c r="BI478" i="12"/>
  <c r="I479" i="12"/>
  <c r="J479" i="12"/>
  <c r="K479" i="12"/>
  <c r="L479" i="12"/>
  <c r="AE479" i="12"/>
  <c r="AR479" i="12"/>
  <c r="AS479" i="12"/>
  <c r="AT479" i="12"/>
  <c r="BG479" i="12"/>
  <c r="BH479" i="12"/>
  <c r="BI479" i="12"/>
  <c r="I480" i="12"/>
  <c r="J480" i="12"/>
  <c r="K480" i="12"/>
  <c r="L480" i="12"/>
  <c r="AE480" i="12"/>
  <c r="AR480" i="12"/>
  <c r="AS480" i="12"/>
  <c r="AT480" i="12"/>
  <c r="BG480" i="12"/>
  <c r="BH480" i="12"/>
  <c r="BI480" i="12"/>
  <c r="I481" i="12"/>
  <c r="J481" i="12"/>
  <c r="K481" i="12"/>
  <c r="L481" i="12"/>
  <c r="AE481" i="12"/>
  <c r="AR481" i="12"/>
  <c r="AS481" i="12"/>
  <c r="AT481" i="12"/>
  <c r="BG481" i="12"/>
  <c r="BH481" i="12"/>
  <c r="BI481" i="12"/>
  <c r="I482" i="12"/>
  <c r="J482" i="12"/>
  <c r="K482" i="12"/>
  <c r="L482" i="12"/>
  <c r="AE482" i="12"/>
  <c r="AR482" i="12"/>
  <c r="AS482" i="12"/>
  <c r="AT482" i="12"/>
  <c r="BG482" i="12"/>
  <c r="BH482" i="12"/>
  <c r="BI482" i="12"/>
  <c r="I483" i="12"/>
  <c r="J483" i="12"/>
  <c r="K483" i="12"/>
  <c r="L483" i="12"/>
  <c r="AE483" i="12"/>
  <c r="AR483" i="12"/>
  <c r="AS483" i="12"/>
  <c r="AT483" i="12"/>
  <c r="BG483" i="12"/>
  <c r="BH483" i="12"/>
  <c r="BI483" i="12"/>
  <c r="I484" i="12"/>
  <c r="J484" i="12"/>
  <c r="K484" i="12"/>
  <c r="L484" i="12"/>
  <c r="AE484" i="12"/>
  <c r="AR484" i="12"/>
  <c r="AS484" i="12"/>
  <c r="AT484" i="12"/>
  <c r="BG484" i="12"/>
  <c r="BH484" i="12"/>
  <c r="BI484" i="12"/>
  <c r="I485" i="12"/>
  <c r="J485" i="12"/>
  <c r="K485" i="12"/>
  <c r="L485" i="12"/>
  <c r="AE485" i="12"/>
  <c r="AR485" i="12"/>
  <c r="AS485" i="12"/>
  <c r="AT485" i="12"/>
  <c r="BG485" i="12"/>
  <c r="BH485" i="12"/>
  <c r="BI485" i="12"/>
  <c r="I486" i="12"/>
  <c r="J486" i="12"/>
  <c r="K486" i="12"/>
  <c r="L486" i="12"/>
  <c r="AE486" i="12"/>
  <c r="AR486" i="12"/>
  <c r="AS486" i="12"/>
  <c r="AT486" i="12"/>
  <c r="BG486" i="12"/>
  <c r="BH486" i="12"/>
  <c r="BI486" i="12"/>
  <c r="I487" i="12"/>
  <c r="J487" i="12"/>
  <c r="K487" i="12"/>
  <c r="L487" i="12"/>
  <c r="AE487" i="12"/>
  <c r="AR487" i="12"/>
  <c r="AS487" i="12"/>
  <c r="AT487" i="12"/>
  <c r="BG487" i="12"/>
  <c r="BH487" i="12"/>
  <c r="BI487" i="12"/>
  <c r="I488" i="12"/>
  <c r="J488" i="12"/>
  <c r="K488" i="12"/>
  <c r="L488" i="12"/>
  <c r="AE488" i="12"/>
  <c r="AR488" i="12"/>
  <c r="AS488" i="12"/>
  <c r="AT488" i="12"/>
  <c r="BG488" i="12"/>
  <c r="BH488" i="12"/>
  <c r="BI488" i="12"/>
  <c r="I489" i="12"/>
  <c r="J489" i="12"/>
  <c r="K489" i="12"/>
  <c r="L489" i="12"/>
  <c r="AE489" i="12"/>
  <c r="AR489" i="12"/>
  <c r="AS489" i="12"/>
  <c r="AT489" i="12"/>
  <c r="BG489" i="12"/>
  <c r="BH489" i="12"/>
  <c r="BI489" i="12"/>
  <c r="I492" i="12"/>
  <c r="J492" i="12"/>
  <c r="K492" i="12"/>
  <c r="L492" i="12"/>
  <c r="AE492" i="12"/>
  <c r="AR492" i="12"/>
  <c r="AS492" i="12"/>
  <c r="AT492" i="12"/>
  <c r="BG492" i="12"/>
  <c r="BH492" i="12"/>
  <c r="BI492" i="12"/>
  <c r="I493" i="12"/>
  <c r="J493" i="12"/>
  <c r="K493" i="12"/>
  <c r="L493" i="12"/>
  <c r="AE493" i="12"/>
  <c r="AR493" i="12"/>
  <c r="AS493" i="12"/>
  <c r="AT493" i="12"/>
  <c r="BG493" i="12"/>
  <c r="BH493" i="12"/>
  <c r="BI493" i="12"/>
  <c r="I494" i="12"/>
  <c r="J494" i="12"/>
  <c r="K494" i="12"/>
  <c r="L494" i="12"/>
  <c r="AE494" i="12"/>
  <c r="AR494" i="12"/>
  <c r="AS494" i="12"/>
  <c r="AT494" i="12"/>
  <c r="BG494" i="12"/>
  <c r="BH494" i="12"/>
  <c r="BI494" i="12"/>
  <c r="I495" i="12"/>
  <c r="J495" i="12"/>
  <c r="K495" i="12"/>
  <c r="L495" i="12"/>
  <c r="AE495" i="12"/>
  <c r="AR495" i="12"/>
  <c r="AS495" i="12"/>
  <c r="AT495" i="12"/>
  <c r="BG495" i="12"/>
  <c r="BH495" i="12"/>
  <c r="BI495" i="12"/>
  <c r="I496" i="12"/>
  <c r="J496" i="12"/>
  <c r="K496" i="12"/>
  <c r="L496" i="12"/>
  <c r="AE496" i="12"/>
  <c r="AR496" i="12"/>
  <c r="AS496" i="12"/>
  <c r="AT496" i="12"/>
  <c r="BG496" i="12"/>
  <c r="BH496" i="12"/>
  <c r="BI496" i="12"/>
  <c r="I497" i="12"/>
  <c r="J497" i="12"/>
  <c r="K497" i="12"/>
  <c r="L497" i="12"/>
  <c r="AE497" i="12"/>
  <c r="AR497" i="12"/>
  <c r="AS497" i="12"/>
  <c r="AT497" i="12"/>
  <c r="BG497" i="12"/>
  <c r="BH497" i="12"/>
  <c r="BI497" i="12"/>
  <c r="I498" i="12"/>
  <c r="J498" i="12"/>
  <c r="K498" i="12"/>
  <c r="L498" i="12"/>
  <c r="AE498" i="12"/>
  <c r="AR498" i="12"/>
  <c r="AS498" i="12"/>
  <c r="AT498" i="12"/>
  <c r="BG498" i="12"/>
  <c r="BH498" i="12"/>
  <c r="BI498" i="12"/>
  <c r="I499" i="12"/>
  <c r="J499" i="12"/>
  <c r="K499" i="12"/>
  <c r="L499" i="12"/>
  <c r="AE499" i="12"/>
  <c r="AR499" i="12"/>
  <c r="AS499" i="12"/>
  <c r="AT499" i="12"/>
  <c r="BG499" i="12"/>
  <c r="BH499" i="12"/>
  <c r="BI499" i="12"/>
  <c r="I500" i="12"/>
  <c r="J500" i="12"/>
  <c r="K500" i="12"/>
  <c r="L500" i="12"/>
  <c r="AE500" i="12"/>
  <c r="AR500" i="12"/>
  <c r="AS500" i="12"/>
  <c r="AT500" i="12"/>
  <c r="BG500" i="12"/>
  <c r="BH500" i="12"/>
  <c r="BI500" i="12"/>
  <c r="I501" i="12"/>
  <c r="J501" i="12"/>
  <c r="K501" i="12"/>
  <c r="L501" i="12"/>
  <c r="AE501" i="12"/>
  <c r="AR501" i="12"/>
  <c r="AS501" i="12"/>
  <c r="AT501" i="12"/>
  <c r="BG501" i="12"/>
  <c r="BH501" i="12"/>
  <c r="BI501" i="12"/>
  <c r="I502" i="12"/>
  <c r="J502" i="12"/>
  <c r="K502" i="12"/>
  <c r="L502" i="12"/>
  <c r="AE502" i="12"/>
  <c r="AR502" i="12"/>
  <c r="AS502" i="12"/>
  <c r="AT502" i="12"/>
  <c r="BG502" i="12"/>
  <c r="BH502" i="12"/>
  <c r="BI502" i="12"/>
  <c r="I503" i="12"/>
  <c r="J503" i="12"/>
  <c r="K503" i="12"/>
  <c r="L503" i="12"/>
  <c r="AE503" i="12"/>
  <c r="AR503" i="12"/>
  <c r="AS503" i="12"/>
  <c r="AT503" i="12"/>
  <c r="BG503" i="12"/>
  <c r="BH503" i="12"/>
  <c r="BI503" i="12"/>
  <c r="I504" i="12"/>
  <c r="J504" i="12"/>
  <c r="K504" i="12"/>
  <c r="L504" i="12"/>
  <c r="AE504" i="12"/>
  <c r="AR504" i="12"/>
  <c r="AS504" i="12"/>
  <c r="AT504" i="12"/>
  <c r="BG504" i="12"/>
  <c r="BH504" i="12"/>
  <c r="BI504" i="12"/>
  <c r="I505" i="12"/>
  <c r="J505" i="12"/>
  <c r="K505" i="12"/>
  <c r="L505" i="12"/>
  <c r="AE505" i="12"/>
  <c r="AR505" i="12"/>
  <c r="AS505" i="12"/>
  <c r="AT505" i="12"/>
  <c r="BG505" i="12"/>
  <c r="BH505" i="12"/>
  <c r="BI505" i="12"/>
  <c r="I506" i="12"/>
  <c r="J506" i="12"/>
  <c r="K506" i="12"/>
  <c r="L506" i="12"/>
  <c r="AE506" i="12"/>
  <c r="AR506" i="12"/>
  <c r="AS506" i="12"/>
  <c r="AT506" i="12"/>
  <c r="BG506" i="12"/>
  <c r="BH506" i="12"/>
  <c r="BI506" i="12"/>
  <c r="I507" i="12"/>
  <c r="J507" i="12"/>
  <c r="K507" i="12"/>
  <c r="L507" i="12"/>
  <c r="AE507" i="12"/>
  <c r="AR507" i="12"/>
  <c r="AS507" i="12"/>
  <c r="AT507" i="12"/>
  <c r="BG507" i="12"/>
  <c r="BH507" i="12"/>
  <c r="BI507" i="12"/>
  <c r="I508" i="12"/>
  <c r="J508" i="12"/>
  <c r="K508" i="12"/>
  <c r="L508" i="12"/>
  <c r="AE508" i="12"/>
  <c r="AR508" i="12"/>
  <c r="AS508" i="12"/>
  <c r="AT508" i="12"/>
  <c r="BG508" i="12"/>
  <c r="BH508" i="12"/>
  <c r="BI508" i="12"/>
  <c r="I509" i="12"/>
  <c r="J509" i="12"/>
  <c r="K509" i="12"/>
  <c r="L509" i="12"/>
  <c r="AE509" i="12"/>
  <c r="AR509" i="12"/>
  <c r="AS509" i="12"/>
  <c r="AT509" i="12"/>
  <c r="BG509" i="12"/>
  <c r="BH509" i="12"/>
  <c r="BI509" i="12"/>
  <c r="I510" i="12"/>
  <c r="J510" i="12"/>
  <c r="K510" i="12"/>
  <c r="L510" i="12"/>
  <c r="AE510" i="12"/>
  <c r="AR510" i="12"/>
  <c r="AS510" i="12"/>
  <c r="AT510" i="12"/>
  <c r="BG510" i="12"/>
  <c r="BH510" i="12"/>
  <c r="BI510" i="12"/>
  <c r="I511" i="12"/>
  <c r="J511" i="12"/>
  <c r="K511" i="12"/>
  <c r="L511" i="12"/>
  <c r="AE511" i="12"/>
  <c r="AR511" i="12"/>
  <c r="AS511" i="12"/>
  <c r="AT511" i="12"/>
  <c r="BG511" i="12"/>
  <c r="BH511" i="12"/>
  <c r="BI511" i="12"/>
  <c r="I512" i="12"/>
  <c r="J512" i="12"/>
  <c r="K512" i="12"/>
  <c r="L512" i="12"/>
  <c r="AE512" i="12"/>
  <c r="AR512" i="12"/>
  <c r="AS512" i="12"/>
  <c r="AT512" i="12"/>
  <c r="BG512" i="12"/>
  <c r="BH512" i="12"/>
  <c r="BI512" i="12"/>
  <c r="I513" i="12"/>
  <c r="J513" i="12"/>
  <c r="K513" i="12"/>
  <c r="L513" i="12"/>
  <c r="AE513" i="12"/>
  <c r="AR513" i="12"/>
  <c r="AS513" i="12"/>
  <c r="AT513" i="12"/>
  <c r="BG513" i="12"/>
  <c r="BH513" i="12"/>
  <c r="BI513" i="12"/>
  <c r="I514" i="12"/>
  <c r="J514" i="12"/>
  <c r="K514" i="12"/>
  <c r="L514" i="12"/>
  <c r="AE514" i="12"/>
  <c r="AR514" i="12"/>
  <c r="AS514" i="12"/>
  <c r="AT514" i="12"/>
  <c r="BG514" i="12"/>
  <c r="BH514" i="12"/>
  <c r="BI514" i="12"/>
  <c r="I515" i="12"/>
  <c r="J515" i="12"/>
  <c r="K515" i="12"/>
  <c r="L515" i="12"/>
  <c r="AE515" i="12"/>
  <c r="AR515" i="12"/>
  <c r="AS515" i="12"/>
  <c r="AT515" i="12"/>
  <c r="BG515" i="12"/>
  <c r="BH515" i="12"/>
  <c r="BI515" i="12"/>
  <c r="I516" i="12"/>
  <c r="J516" i="12"/>
  <c r="K516" i="12"/>
  <c r="L516" i="12"/>
  <c r="AE516" i="12"/>
  <c r="AR516" i="12"/>
  <c r="AS516" i="12"/>
  <c r="AT516" i="12"/>
  <c r="BG516" i="12"/>
  <c r="BH516" i="12"/>
  <c r="BI516" i="12"/>
  <c r="I517" i="12"/>
  <c r="J517" i="12"/>
  <c r="K517" i="12"/>
  <c r="L517" i="12"/>
  <c r="AE517" i="12"/>
  <c r="AR517" i="12"/>
  <c r="AS517" i="12"/>
  <c r="AT517" i="12"/>
  <c r="BG517" i="12"/>
  <c r="BH517" i="12"/>
  <c r="BI517" i="12"/>
  <c r="I518" i="12"/>
  <c r="J518" i="12"/>
  <c r="K518" i="12"/>
  <c r="L518" i="12"/>
  <c r="AE518" i="12"/>
  <c r="AR518" i="12"/>
  <c r="AS518" i="12"/>
  <c r="AT518" i="12"/>
  <c r="BG518" i="12"/>
  <c r="BH518" i="12"/>
  <c r="BI518" i="12"/>
  <c r="I519" i="12"/>
  <c r="J519" i="12"/>
  <c r="K519" i="12"/>
  <c r="L519" i="12"/>
  <c r="AE519" i="12"/>
  <c r="AR519" i="12"/>
  <c r="AS519" i="12"/>
  <c r="AT519" i="12"/>
  <c r="BG519" i="12"/>
  <c r="BH519" i="12"/>
  <c r="BI519" i="12"/>
  <c r="I520" i="12"/>
  <c r="J520" i="12"/>
  <c r="K520" i="12"/>
  <c r="L520" i="12"/>
  <c r="AE520" i="12"/>
  <c r="AR520" i="12"/>
  <c r="AS520" i="12"/>
  <c r="AT520" i="12"/>
  <c r="BG520" i="12"/>
  <c r="BH520" i="12"/>
  <c r="BI520" i="12"/>
  <c r="I521" i="12"/>
  <c r="J521" i="12"/>
  <c r="K521" i="12"/>
  <c r="L521" i="12"/>
  <c r="AE521" i="12"/>
  <c r="AR521" i="12"/>
  <c r="AS521" i="12"/>
  <c r="AT521" i="12"/>
  <c r="BG521" i="12"/>
  <c r="BH521" i="12"/>
  <c r="BI521" i="12"/>
  <c r="I522" i="12"/>
  <c r="J522" i="12"/>
  <c r="K522" i="12"/>
  <c r="L522" i="12"/>
  <c r="AE522" i="12"/>
  <c r="AR522" i="12"/>
  <c r="AS522" i="12"/>
  <c r="AT522" i="12"/>
  <c r="BG522" i="12"/>
  <c r="BH522" i="12"/>
  <c r="BI522" i="12"/>
  <c r="I523" i="12"/>
  <c r="J523" i="12"/>
  <c r="K523" i="12"/>
  <c r="L523" i="12"/>
  <c r="AE523" i="12"/>
  <c r="AR523" i="12"/>
  <c r="AS523" i="12"/>
  <c r="AT523" i="12"/>
  <c r="BG523" i="12"/>
  <c r="BH523" i="12"/>
  <c r="BI523" i="12"/>
  <c r="I524" i="12"/>
  <c r="J524" i="12"/>
  <c r="K524" i="12"/>
  <c r="L524" i="12"/>
  <c r="AE524" i="12"/>
  <c r="AR524" i="12"/>
  <c r="AS524" i="12"/>
  <c r="AT524" i="12"/>
  <c r="BG524" i="12"/>
  <c r="BH524" i="12"/>
  <c r="BI524" i="12"/>
  <c r="I525" i="12"/>
  <c r="J525" i="12"/>
  <c r="K525" i="12"/>
  <c r="L525" i="12"/>
  <c r="AE525" i="12"/>
  <c r="AR525" i="12"/>
  <c r="AS525" i="12"/>
  <c r="AT525" i="12"/>
  <c r="BG525" i="12"/>
  <c r="BH525" i="12"/>
  <c r="BI525" i="12"/>
  <c r="I526" i="12"/>
  <c r="J526" i="12"/>
  <c r="K526" i="12"/>
  <c r="L526" i="12"/>
  <c r="AE526" i="12"/>
  <c r="AR526" i="12"/>
  <c r="AS526" i="12"/>
  <c r="AT526" i="12"/>
  <c r="BG526" i="12"/>
  <c r="BH526" i="12"/>
  <c r="BI526" i="12"/>
  <c r="I527" i="12"/>
  <c r="J527" i="12"/>
  <c r="K527" i="12"/>
  <c r="L527" i="12"/>
  <c r="AE527" i="12"/>
  <c r="AR527" i="12"/>
  <c r="AS527" i="12"/>
  <c r="AT527" i="12"/>
  <c r="BG527" i="12"/>
  <c r="BH527" i="12"/>
  <c r="BI527" i="12"/>
  <c r="I528" i="12"/>
  <c r="J528" i="12"/>
  <c r="K528" i="12"/>
  <c r="L528" i="12"/>
  <c r="AE528" i="12"/>
  <c r="AR528" i="12"/>
  <c r="AS528" i="12"/>
  <c r="AT528" i="12"/>
  <c r="BG528" i="12"/>
  <c r="BH528" i="12"/>
  <c r="BI528" i="12"/>
  <c r="I529" i="12"/>
  <c r="J529" i="12"/>
  <c r="K529" i="12"/>
  <c r="L529" i="12"/>
  <c r="AE529" i="12"/>
  <c r="AR529" i="12"/>
  <c r="AS529" i="12"/>
  <c r="AT529" i="12"/>
  <c r="BG529" i="12"/>
  <c r="BH529" i="12"/>
  <c r="BI529" i="12"/>
  <c r="I530" i="12"/>
  <c r="J530" i="12"/>
  <c r="K530" i="12"/>
  <c r="L530" i="12"/>
  <c r="AE530" i="12"/>
  <c r="AR530" i="12"/>
  <c r="AS530" i="12"/>
  <c r="AT530" i="12"/>
  <c r="BG530" i="12"/>
  <c r="BH530" i="12"/>
  <c r="BI530" i="12"/>
  <c r="I531" i="12"/>
  <c r="J531" i="12"/>
  <c r="K531" i="12"/>
  <c r="L531" i="12"/>
  <c r="AE531" i="12"/>
  <c r="AR531" i="12"/>
  <c r="AS531" i="12"/>
  <c r="AT531" i="12"/>
  <c r="BG531" i="12"/>
  <c r="BH531" i="12"/>
  <c r="BI531" i="12"/>
  <c r="I532" i="12"/>
  <c r="J532" i="12"/>
  <c r="K532" i="12"/>
  <c r="L532" i="12"/>
  <c r="AE532" i="12"/>
  <c r="AR532" i="12"/>
  <c r="AS532" i="12"/>
  <c r="AT532" i="12"/>
  <c r="BG532" i="12"/>
  <c r="BH532" i="12"/>
  <c r="BI532" i="12"/>
  <c r="I533" i="12"/>
  <c r="J533" i="12"/>
  <c r="K533" i="12"/>
  <c r="L533" i="12"/>
  <c r="AE533" i="12"/>
  <c r="AR533" i="12"/>
  <c r="AS533" i="12"/>
  <c r="AT533" i="12"/>
  <c r="BG533" i="12"/>
  <c r="BH533" i="12"/>
  <c r="BI533" i="12"/>
  <c r="I534" i="12"/>
  <c r="J534" i="12"/>
  <c r="K534" i="12"/>
  <c r="L534" i="12"/>
  <c r="AE534" i="12"/>
  <c r="AR534" i="12"/>
  <c r="AS534" i="12"/>
  <c r="AT534" i="12"/>
  <c r="BG534" i="12"/>
  <c r="BH534" i="12"/>
  <c r="BI534" i="12"/>
  <c r="I535" i="12"/>
  <c r="J535" i="12"/>
  <c r="K535" i="12"/>
  <c r="L535" i="12"/>
  <c r="AE535" i="12"/>
  <c r="AR535" i="12"/>
  <c r="AS535" i="12"/>
  <c r="AT535" i="12"/>
  <c r="BG535" i="12"/>
  <c r="BH535" i="12"/>
  <c r="BI535" i="12"/>
  <c r="I536" i="12"/>
  <c r="J536" i="12"/>
  <c r="K536" i="12"/>
  <c r="L536" i="12"/>
  <c r="AE536" i="12"/>
  <c r="AR536" i="12"/>
  <c r="AS536" i="12"/>
  <c r="AT536" i="12"/>
  <c r="BG536" i="12"/>
  <c r="BH536" i="12"/>
  <c r="BI536" i="12"/>
  <c r="I537" i="12"/>
  <c r="J537" i="12"/>
  <c r="K537" i="12"/>
  <c r="L537" i="12"/>
  <c r="AE537" i="12"/>
  <c r="AR537" i="12"/>
  <c r="AS537" i="12"/>
  <c r="AT537" i="12"/>
  <c r="BG537" i="12"/>
  <c r="BH537" i="12"/>
  <c r="BI537" i="12"/>
  <c r="I538" i="12"/>
  <c r="J538" i="12"/>
  <c r="K538" i="12"/>
  <c r="L538" i="12"/>
  <c r="AE538" i="12"/>
  <c r="AR538" i="12"/>
  <c r="AS538" i="12"/>
  <c r="AT538" i="12"/>
  <c r="BG538" i="12"/>
  <c r="BH538" i="12"/>
  <c r="BI538" i="12"/>
  <c r="I539" i="12"/>
  <c r="J539" i="12"/>
  <c r="K539" i="12"/>
  <c r="L539" i="12"/>
  <c r="AE539" i="12"/>
  <c r="AR539" i="12"/>
  <c r="AS539" i="12"/>
  <c r="AT539" i="12"/>
  <c r="BG539" i="12"/>
  <c r="BH539" i="12"/>
  <c r="BI539" i="12"/>
  <c r="I540" i="12"/>
  <c r="J540" i="12"/>
  <c r="K540" i="12"/>
  <c r="L540" i="12"/>
  <c r="AE540" i="12"/>
  <c r="AR540" i="12"/>
  <c r="AS540" i="12"/>
  <c r="AT540" i="12"/>
  <c r="BG540" i="12"/>
  <c r="BH540" i="12"/>
  <c r="BI540" i="12"/>
  <c r="I541" i="12"/>
  <c r="J541" i="12"/>
  <c r="K541" i="12"/>
  <c r="L541" i="12"/>
  <c r="AE541" i="12"/>
  <c r="AR541" i="12"/>
  <c r="AS541" i="12"/>
  <c r="AT541" i="12"/>
  <c r="BG541" i="12"/>
  <c r="BH541" i="12"/>
  <c r="BI541" i="12"/>
  <c r="I542" i="12"/>
  <c r="J542" i="12"/>
  <c r="K542" i="12"/>
  <c r="L542" i="12"/>
  <c r="AE542" i="12"/>
  <c r="AR542" i="12"/>
  <c r="AS542" i="12"/>
  <c r="AT542" i="12"/>
  <c r="BG542" i="12"/>
  <c r="BH542" i="12"/>
  <c r="BI542" i="12"/>
  <c r="I543" i="12"/>
  <c r="J543" i="12"/>
  <c r="K543" i="12"/>
  <c r="L543" i="12"/>
  <c r="AE543" i="12"/>
  <c r="AR543" i="12"/>
  <c r="AS543" i="12"/>
  <c r="AT543" i="12"/>
  <c r="BG543" i="12"/>
  <c r="BH543" i="12"/>
  <c r="BI543" i="12"/>
  <c r="I544" i="12"/>
  <c r="J544" i="12"/>
  <c r="K544" i="12"/>
  <c r="L544" i="12"/>
  <c r="AE544" i="12"/>
  <c r="AR544" i="12"/>
  <c r="AS544" i="12"/>
  <c r="AT544" i="12"/>
  <c r="BG544" i="12"/>
  <c r="BH544" i="12"/>
  <c r="BI544" i="12"/>
  <c r="I545" i="12"/>
  <c r="J545" i="12"/>
  <c r="K545" i="12"/>
  <c r="L545" i="12"/>
  <c r="AE545" i="12"/>
  <c r="AR545" i="12"/>
  <c r="AS545" i="12"/>
  <c r="AT545" i="12"/>
  <c r="BG545" i="12"/>
  <c r="BH545" i="12"/>
  <c r="BI545" i="12"/>
  <c r="I546" i="12"/>
  <c r="J546" i="12"/>
  <c r="K546" i="12"/>
  <c r="L546" i="12"/>
  <c r="AE546" i="12"/>
  <c r="AR546" i="12"/>
  <c r="AS546" i="12"/>
  <c r="AT546" i="12"/>
  <c r="BG546" i="12"/>
  <c r="BH546" i="12"/>
  <c r="BI546" i="12"/>
  <c r="I547" i="12"/>
  <c r="J547" i="12"/>
  <c r="K547" i="12"/>
  <c r="L547" i="12"/>
  <c r="AE547" i="12"/>
  <c r="AR547" i="12"/>
  <c r="AS547" i="12"/>
  <c r="AT547" i="12"/>
  <c r="BG547" i="12"/>
  <c r="BH547" i="12"/>
  <c r="BI547" i="12"/>
  <c r="I548" i="12"/>
  <c r="J548" i="12"/>
  <c r="K548" i="12"/>
  <c r="L548" i="12"/>
  <c r="AE548" i="12"/>
  <c r="AR548" i="12"/>
  <c r="AS548" i="12"/>
  <c r="AT548" i="12"/>
  <c r="BG548" i="12"/>
  <c r="BH548" i="12"/>
  <c r="BI548" i="12"/>
  <c r="I549" i="12"/>
  <c r="J549" i="12"/>
  <c r="K549" i="12"/>
  <c r="L549" i="12"/>
  <c r="AE549" i="12"/>
  <c r="AR549" i="12"/>
  <c r="AS549" i="12"/>
  <c r="AT549" i="12"/>
  <c r="BG549" i="12"/>
  <c r="BH549" i="12"/>
  <c r="BI549" i="12"/>
  <c r="I550" i="12"/>
  <c r="J550" i="12"/>
  <c r="K550" i="12"/>
  <c r="L550" i="12"/>
  <c r="AE550" i="12"/>
  <c r="AR550" i="12"/>
  <c r="AS550" i="12"/>
  <c r="AT550" i="12"/>
  <c r="BG550" i="12"/>
  <c r="BH550" i="12"/>
  <c r="BI550" i="12"/>
  <c r="I551" i="12"/>
  <c r="J551" i="12"/>
  <c r="K551" i="12"/>
  <c r="L551" i="12"/>
  <c r="AE551" i="12"/>
  <c r="AR551" i="12"/>
  <c r="AS551" i="12"/>
  <c r="AT551" i="12"/>
  <c r="BG551" i="12"/>
  <c r="BH551" i="12"/>
  <c r="BI551" i="12"/>
  <c r="I552" i="12"/>
  <c r="J552" i="12"/>
  <c r="K552" i="12"/>
  <c r="L552" i="12"/>
  <c r="AE552" i="12"/>
  <c r="AR552" i="12"/>
  <c r="AS552" i="12"/>
  <c r="AT552" i="12"/>
  <c r="BG552" i="12"/>
  <c r="BH552" i="12"/>
  <c r="BI552" i="12"/>
  <c r="I553" i="12"/>
  <c r="J553" i="12"/>
  <c r="K553" i="12"/>
  <c r="L553" i="12"/>
  <c r="AE553" i="12"/>
  <c r="AR553" i="12"/>
  <c r="AS553" i="12"/>
  <c r="AT553" i="12"/>
  <c r="BG553" i="12"/>
  <c r="BH553" i="12"/>
  <c r="BI553" i="12"/>
  <c r="I554" i="12"/>
  <c r="J554" i="12"/>
  <c r="K554" i="12"/>
  <c r="L554" i="12"/>
  <c r="AE554" i="12"/>
  <c r="AR554" i="12"/>
  <c r="AS554" i="12"/>
  <c r="AT554" i="12"/>
  <c r="BG554" i="12"/>
  <c r="BH554" i="12"/>
  <c r="BI554" i="12"/>
  <c r="I555" i="12"/>
  <c r="J555" i="12"/>
  <c r="K555" i="12"/>
  <c r="L555" i="12"/>
  <c r="AE555" i="12"/>
  <c r="AR555" i="12"/>
  <c r="AS555" i="12"/>
  <c r="AT555" i="12"/>
  <c r="BG555" i="12"/>
  <c r="BH555" i="12"/>
  <c r="BI555" i="12"/>
  <c r="I556" i="12"/>
  <c r="J556" i="12"/>
  <c r="K556" i="12"/>
  <c r="L556" i="12"/>
  <c r="AE556" i="12"/>
  <c r="AR556" i="12"/>
  <c r="AS556" i="12"/>
  <c r="AT556" i="12"/>
  <c r="BG556" i="12"/>
  <c r="BH556" i="12"/>
  <c r="BI556" i="12"/>
  <c r="I557" i="12"/>
  <c r="J557" i="12"/>
  <c r="K557" i="12"/>
  <c r="L557" i="12"/>
  <c r="AE557" i="12"/>
  <c r="AR557" i="12"/>
  <c r="AS557" i="12"/>
  <c r="AT557" i="12"/>
  <c r="BG557" i="12"/>
  <c r="BH557" i="12"/>
  <c r="BI557" i="12"/>
  <c r="I558" i="12"/>
  <c r="J558" i="12"/>
  <c r="K558" i="12"/>
  <c r="L558" i="12"/>
  <c r="AE558" i="12"/>
  <c r="AR558" i="12"/>
  <c r="AS558" i="12"/>
  <c r="AT558" i="12"/>
  <c r="BG558" i="12"/>
  <c r="BH558" i="12"/>
  <c r="BI558" i="12"/>
  <c r="I559" i="12"/>
  <c r="J559" i="12"/>
  <c r="K559" i="12"/>
  <c r="L559" i="12"/>
  <c r="AE559" i="12"/>
  <c r="AR559" i="12"/>
  <c r="AS559" i="12"/>
  <c r="AT559" i="12"/>
  <c r="BG559" i="12"/>
  <c r="BH559" i="12"/>
  <c r="BI559" i="12"/>
  <c r="I560" i="12"/>
  <c r="J560" i="12"/>
  <c r="K560" i="12"/>
  <c r="L560" i="12"/>
  <c r="AE560" i="12"/>
  <c r="AR560" i="12"/>
  <c r="AS560" i="12"/>
  <c r="AT560" i="12"/>
  <c r="BG560" i="12"/>
  <c r="BH560" i="12"/>
  <c r="BI560" i="12"/>
  <c r="I561" i="12"/>
  <c r="J561" i="12"/>
  <c r="K561" i="12"/>
  <c r="L561" i="12"/>
  <c r="AE561" i="12"/>
  <c r="AR561" i="12"/>
  <c r="AS561" i="12"/>
  <c r="AT561" i="12"/>
  <c r="BG561" i="12"/>
  <c r="BH561" i="12"/>
  <c r="BI561" i="12"/>
  <c r="I562" i="12"/>
  <c r="J562" i="12"/>
  <c r="K562" i="12"/>
  <c r="L562" i="12"/>
  <c r="AE562" i="12"/>
  <c r="AR562" i="12"/>
  <c r="AS562" i="12"/>
  <c r="AT562" i="12"/>
  <c r="BG562" i="12"/>
  <c r="BH562" i="12"/>
  <c r="BI562" i="12"/>
  <c r="I563" i="12"/>
  <c r="J563" i="12"/>
  <c r="K563" i="12"/>
  <c r="L563" i="12"/>
  <c r="AE563" i="12"/>
  <c r="AR563" i="12"/>
  <c r="AS563" i="12"/>
  <c r="AT563" i="12"/>
  <c r="BG563" i="12"/>
  <c r="BH563" i="12"/>
  <c r="BI563" i="12"/>
  <c r="I564" i="12"/>
  <c r="J564" i="12"/>
  <c r="K564" i="12"/>
  <c r="L564" i="12"/>
  <c r="AE564" i="12"/>
  <c r="AR564" i="12"/>
  <c r="AS564" i="12"/>
  <c r="AT564" i="12"/>
  <c r="BG564" i="12"/>
  <c r="BH564" i="12"/>
  <c r="BI564" i="12"/>
  <c r="I565" i="12"/>
  <c r="J565" i="12"/>
  <c r="K565" i="12"/>
  <c r="L565" i="12"/>
  <c r="AE565" i="12"/>
  <c r="AR565" i="12"/>
  <c r="AS565" i="12"/>
  <c r="AT565" i="12"/>
  <c r="BG565" i="12"/>
  <c r="BH565" i="12"/>
  <c r="BI565" i="12"/>
  <c r="I566" i="12"/>
  <c r="J566" i="12"/>
  <c r="K566" i="12"/>
  <c r="L566" i="12"/>
  <c r="AE566" i="12"/>
  <c r="AR566" i="12"/>
  <c r="AS566" i="12"/>
  <c r="AT566" i="12"/>
  <c r="BG566" i="12"/>
  <c r="BH566" i="12"/>
  <c r="BI566" i="12"/>
  <c r="I567" i="12"/>
  <c r="J567" i="12"/>
  <c r="K567" i="12"/>
  <c r="L567" i="12"/>
  <c r="AE567" i="12"/>
  <c r="AR567" i="12"/>
  <c r="AS567" i="12"/>
  <c r="AT567" i="12"/>
  <c r="BG567" i="12"/>
  <c r="BH567" i="12"/>
  <c r="BI567" i="12"/>
  <c r="I568" i="12"/>
  <c r="J568" i="12"/>
  <c r="K568" i="12"/>
  <c r="L568" i="12"/>
  <c r="AE568" i="12"/>
  <c r="AR568" i="12"/>
  <c r="AS568" i="12"/>
  <c r="AT568" i="12"/>
  <c r="BG568" i="12"/>
  <c r="BH568" i="12"/>
  <c r="BI568" i="12"/>
  <c r="I569" i="12"/>
  <c r="J569" i="12"/>
  <c r="K569" i="12"/>
  <c r="L569" i="12"/>
  <c r="AE569" i="12"/>
  <c r="AR569" i="12"/>
  <c r="AS569" i="12"/>
  <c r="AT569" i="12"/>
  <c r="BG569" i="12"/>
  <c r="BH569" i="12"/>
  <c r="BI569" i="12"/>
  <c r="I570" i="12"/>
  <c r="J570" i="12"/>
  <c r="K570" i="12"/>
  <c r="L570" i="12"/>
  <c r="AE570" i="12"/>
  <c r="AR570" i="12"/>
  <c r="AS570" i="12"/>
  <c r="AT570" i="12"/>
  <c r="BG570" i="12"/>
  <c r="BH570" i="12"/>
  <c r="BI570" i="12"/>
  <c r="I571" i="12"/>
  <c r="J571" i="12"/>
  <c r="K571" i="12"/>
  <c r="L571" i="12"/>
  <c r="AE571" i="12"/>
  <c r="AR571" i="12"/>
  <c r="AS571" i="12"/>
  <c r="AT571" i="12"/>
  <c r="BG571" i="12"/>
  <c r="BH571" i="12"/>
  <c r="BI571" i="12"/>
  <c r="I572" i="12"/>
  <c r="J572" i="12"/>
  <c r="K572" i="12"/>
  <c r="L572" i="12"/>
  <c r="AE572" i="12"/>
  <c r="AR572" i="12"/>
  <c r="AS572" i="12"/>
  <c r="AT572" i="12"/>
  <c r="BG572" i="12"/>
  <c r="BH572" i="12"/>
  <c r="BI572" i="12"/>
  <c r="I573" i="12"/>
  <c r="J573" i="12"/>
  <c r="K573" i="12"/>
  <c r="L573" i="12"/>
  <c r="AE573" i="12"/>
  <c r="AR573" i="12"/>
  <c r="AS573" i="12"/>
  <c r="AT573" i="12"/>
  <c r="BG573" i="12"/>
  <c r="BH573" i="12"/>
  <c r="BI573" i="12"/>
  <c r="I574" i="12"/>
  <c r="J574" i="12"/>
  <c r="K574" i="12"/>
  <c r="L574" i="12"/>
  <c r="AE574" i="12"/>
  <c r="AR574" i="12"/>
  <c r="AS574" i="12"/>
  <c r="AT574" i="12"/>
  <c r="BG574" i="12"/>
  <c r="BH574" i="12"/>
  <c r="BI574" i="12"/>
  <c r="I575" i="12"/>
  <c r="J575" i="12"/>
  <c r="K575" i="12"/>
  <c r="L575" i="12"/>
  <c r="AE575" i="12"/>
  <c r="AR575" i="12"/>
  <c r="AS575" i="12"/>
  <c r="AT575" i="12"/>
  <c r="BG575" i="12"/>
  <c r="BH575" i="12"/>
  <c r="BI575" i="12"/>
  <c r="I576" i="12"/>
  <c r="J576" i="12"/>
  <c r="K576" i="12"/>
  <c r="L576" i="12"/>
  <c r="AE576" i="12"/>
  <c r="AR576" i="12"/>
  <c r="AS576" i="12"/>
  <c r="AT576" i="12"/>
  <c r="BG576" i="12"/>
  <c r="BH576" i="12"/>
  <c r="BI576" i="12"/>
  <c r="I577" i="12"/>
  <c r="J577" i="12"/>
  <c r="K577" i="12"/>
  <c r="L577" i="12"/>
  <c r="AE577" i="12"/>
  <c r="AR577" i="12"/>
  <c r="AS577" i="12"/>
  <c r="AT577" i="12"/>
  <c r="BG577" i="12"/>
  <c r="BH577" i="12"/>
  <c r="BI577" i="12"/>
  <c r="I578" i="12"/>
  <c r="J578" i="12"/>
  <c r="K578" i="12"/>
  <c r="L578" i="12"/>
  <c r="AE578" i="12"/>
  <c r="AR578" i="12"/>
  <c r="AS578" i="12"/>
  <c r="AT578" i="12"/>
  <c r="BG578" i="12"/>
  <c r="BH578" i="12"/>
  <c r="BI578" i="12"/>
  <c r="I579" i="12"/>
  <c r="J579" i="12"/>
  <c r="K579" i="12"/>
  <c r="L579" i="12"/>
  <c r="AE579" i="12"/>
  <c r="AR579" i="12"/>
  <c r="AS579" i="12"/>
  <c r="AT579" i="12"/>
  <c r="BG579" i="12"/>
  <c r="BH579" i="12"/>
  <c r="BI579" i="12"/>
  <c r="I580" i="12"/>
  <c r="J580" i="12"/>
  <c r="K580" i="12"/>
  <c r="L580" i="12"/>
  <c r="AE580" i="12"/>
  <c r="AR580" i="12"/>
  <c r="AS580" i="12"/>
  <c r="AT580" i="12"/>
  <c r="BG580" i="12"/>
  <c r="BH580" i="12"/>
  <c r="BI580" i="12"/>
  <c r="I581" i="12"/>
  <c r="J581" i="12"/>
  <c r="K581" i="12"/>
  <c r="L581" i="12"/>
  <c r="AE581" i="12"/>
  <c r="AR581" i="12"/>
  <c r="AS581" i="12"/>
  <c r="AT581" i="12"/>
  <c r="BG581" i="12"/>
  <c r="BH581" i="12"/>
  <c r="BI581" i="12"/>
  <c r="I582" i="12"/>
  <c r="J582" i="12"/>
  <c r="K582" i="12"/>
  <c r="L582" i="12"/>
  <c r="AE582" i="12"/>
  <c r="AR582" i="12"/>
  <c r="AS582" i="12"/>
  <c r="AT582" i="12"/>
  <c r="BG582" i="12"/>
  <c r="BH582" i="12"/>
  <c r="BI582" i="12"/>
  <c r="I583" i="12"/>
  <c r="J583" i="12"/>
  <c r="K583" i="12"/>
  <c r="L583" i="12"/>
  <c r="AE583" i="12"/>
  <c r="AR583" i="12"/>
  <c r="AS583" i="12"/>
  <c r="AT583" i="12"/>
  <c r="BG583" i="12"/>
  <c r="BH583" i="12"/>
  <c r="BI583" i="12"/>
  <c r="I584" i="12"/>
  <c r="J584" i="12"/>
  <c r="K584" i="12"/>
  <c r="L584" i="12"/>
  <c r="AE584" i="12"/>
  <c r="AR584" i="12"/>
  <c r="AS584" i="12"/>
  <c r="AT584" i="12"/>
  <c r="BG584" i="12"/>
  <c r="BH584" i="12"/>
  <c r="BI584" i="12"/>
  <c r="I585" i="12"/>
  <c r="J585" i="12"/>
  <c r="K585" i="12"/>
  <c r="L585" i="12"/>
  <c r="AE585" i="12"/>
  <c r="AR585" i="12"/>
  <c r="AS585" i="12"/>
  <c r="AT585" i="12"/>
  <c r="BG585" i="12"/>
  <c r="BH585" i="12"/>
  <c r="BI585" i="12"/>
  <c r="I586" i="12"/>
  <c r="J586" i="12"/>
  <c r="K586" i="12"/>
  <c r="L586" i="12"/>
  <c r="AE586" i="12"/>
  <c r="AR586" i="12"/>
  <c r="AS586" i="12"/>
  <c r="AT586" i="12"/>
  <c r="BG586" i="12"/>
  <c r="BH586" i="12"/>
  <c r="BI586" i="12"/>
  <c r="I587" i="12"/>
  <c r="J587" i="12"/>
  <c r="K587" i="12"/>
  <c r="L587" i="12"/>
  <c r="AE587" i="12"/>
  <c r="AR587" i="12"/>
  <c r="AS587" i="12"/>
  <c r="AT587" i="12"/>
  <c r="BG587" i="12"/>
  <c r="BH587" i="12"/>
  <c r="BI587" i="12"/>
  <c r="I588" i="12"/>
  <c r="J588" i="12"/>
  <c r="K588" i="12"/>
  <c r="L588" i="12"/>
  <c r="AE588" i="12"/>
  <c r="AR588" i="12"/>
  <c r="AS588" i="12"/>
  <c r="AT588" i="12"/>
  <c r="BG588" i="12"/>
  <c r="BH588" i="12"/>
  <c r="BI588" i="12"/>
  <c r="I589" i="12"/>
  <c r="J589" i="12"/>
  <c r="K589" i="12"/>
  <c r="L589" i="12"/>
  <c r="AE589" i="12"/>
  <c r="AR589" i="12"/>
  <c r="AS589" i="12"/>
  <c r="AT589" i="12"/>
  <c r="BG589" i="12"/>
  <c r="BH589" i="12"/>
  <c r="BI589" i="12"/>
  <c r="I590" i="12"/>
  <c r="J590" i="12"/>
  <c r="K590" i="12"/>
  <c r="L590" i="12"/>
  <c r="AE590" i="12"/>
  <c r="AR590" i="12"/>
  <c r="AS590" i="12"/>
  <c r="AT590" i="12"/>
  <c r="BG590" i="12"/>
  <c r="BH590" i="12"/>
  <c r="BI590" i="12"/>
  <c r="I591" i="12"/>
  <c r="J591" i="12"/>
  <c r="K591" i="12"/>
  <c r="L591" i="12"/>
  <c r="AE591" i="12"/>
  <c r="AR591" i="12"/>
  <c r="AS591" i="12"/>
  <c r="AT591" i="12"/>
  <c r="BG591" i="12"/>
  <c r="BH591" i="12"/>
  <c r="BI591" i="12"/>
  <c r="I592" i="12"/>
  <c r="J592" i="12"/>
  <c r="K592" i="12"/>
  <c r="L592" i="12"/>
  <c r="AE592" i="12"/>
  <c r="AR592" i="12"/>
  <c r="AS592" i="12"/>
  <c r="AT592" i="12"/>
  <c r="BG592" i="12"/>
  <c r="BH592" i="12"/>
  <c r="BI592" i="12"/>
  <c r="I593" i="12"/>
  <c r="J593" i="12"/>
  <c r="K593" i="12"/>
  <c r="L593" i="12"/>
  <c r="AE593" i="12"/>
  <c r="AR593" i="12"/>
  <c r="AS593" i="12"/>
  <c r="AT593" i="12"/>
  <c r="BG593" i="12"/>
  <c r="BH593" i="12"/>
  <c r="BI593" i="12"/>
  <c r="I594" i="12"/>
  <c r="J594" i="12"/>
  <c r="K594" i="12"/>
  <c r="L594" i="12"/>
  <c r="AE594" i="12"/>
  <c r="AR594" i="12"/>
  <c r="AS594" i="12"/>
  <c r="AT594" i="12"/>
  <c r="BG594" i="12"/>
  <c r="BH594" i="12"/>
  <c r="BI594" i="12"/>
  <c r="I595" i="12"/>
  <c r="J595" i="12"/>
  <c r="K595" i="12"/>
  <c r="L595" i="12"/>
  <c r="AE595" i="12"/>
  <c r="AR595" i="12"/>
  <c r="AS595" i="12"/>
  <c r="AT595" i="12"/>
  <c r="BG595" i="12"/>
  <c r="BH595" i="12"/>
  <c r="BI595" i="12"/>
  <c r="I596" i="12"/>
  <c r="J596" i="12"/>
  <c r="K596" i="12"/>
  <c r="L596" i="12"/>
  <c r="AE596" i="12"/>
  <c r="AR596" i="12"/>
  <c r="AS596" i="12"/>
  <c r="AT596" i="12"/>
  <c r="BG596" i="12"/>
  <c r="BH596" i="12"/>
  <c r="BI596" i="12"/>
  <c r="I597" i="12"/>
  <c r="J597" i="12"/>
  <c r="K597" i="12"/>
  <c r="L597" i="12"/>
  <c r="AE597" i="12"/>
  <c r="AR597" i="12"/>
  <c r="AS597" i="12"/>
  <c r="AT597" i="12"/>
  <c r="BG597" i="12"/>
  <c r="BH597" i="12"/>
  <c r="BI597" i="12"/>
  <c r="I598" i="12"/>
  <c r="J598" i="12"/>
  <c r="K598" i="12"/>
  <c r="L598" i="12"/>
  <c r="AE598" i="12"/>
  <c r="AR598" i="12"/>
  <c r="AS598" i="12"/>
  <c r="AT598" i="12"/>
  <c r="BG598" i="12"/>
  <c r="BH598" i="12"/>
  <c r="BI598" i="12"/>
  <c r="I599" i="12"/>
  <c r="J599" i="12"/>
  <c r="K599" i="12"/>
  <c r="L599" i="12"/>
  <c r="AE599" i="12"/>
  <c r="AR599" i="12"/>
  <c r="AS599" i="12"/>
  <c r="AT599" i="12"/>
  <c r="BG599" i="12"/>
  <c r="BH599" i="12"/>
  <c r="BI599" i="12"/>
  <c r="I600" i="12"/>
  <c r="J600" i="12"/>
  <c r="K600" i="12"/>
  <c r="L600" i="12"/>
  <c r="AE600" i="12"/>
  <c r="AR600" i="12"/>
  <c r="AS600" i="12"/>
  <c r="AT600" i="12"/>
  <c r="BG600" i="12"/>
  <c r="BH600" i="12"/>
  <c r="BI600" i="12"/>
  <c r="I601" i="12"/>
  <c r="J601" i="12"/>
  <c r="K601" i="12"/>
  <c r="L601" i="12"/>
  <c r="AE601" i="12"/>
  <c r="AR601" i="12"/>
  <c r="AS601" i="12"/>
  <c r="AT601" i="12"/>
  <c r="BG601" i="12"/>
  <c r="BH601" i="12"/>
  <c r="BI601" i="12"/>
  <c r="I602" i="12"/>
  <c r="J602" i="12"/>
  <c r="K602" i="12"/>
  <c r="L602" i="12"/>
  <c r="AE602" i="12"/>
  <c r="AR602" i="12"/>
  <c r="AS602" i="12"/>
  <c r="AT602" i="12"/>
  <c r="BG602" i="12"/>
  <c r="BH602" i="12"/>
  <c r="BI602" i="12"/>
  <c r="I603" i="12"/>
  <c r="J603" i="12"/>
  <c r="K603" i="12"/>
  <c r="L603" i="12"/>
  <c r="AE603" i="12"/>
  <c r="AR603" i="12"/>
  <c r="AS603" i="12"/>
  <c r="AT603" i="12"/>
  <c r="BG603" i="12"/>
  <c r="BH603" i="12"/>
  <c r="BI603" i="12"/>
  <c r="I604" i="12"/>
  <c r="J604" i="12"/>
  <c r="K604" i="12"/>
  <c r="L604" i="12"/>
  <c r="AE604" i="12"/>
  <c r="AR604" i="12"/>
  <c r="AS604" i="12"/>
  <c r="AT604" i="12"/>
  <c r="BG604" i="12"/>
  <c r="BH604" i="12"/>
  <c r="BI604" i="12"/>
  <c r="I605" i="12"/>
  <c r="J605" i="12"/>
  <c r="K605" i="12"/>
  <c r="L605" i="12"/>
  <c r="AE605" i="12"/>
  <c r="AR605" i="12"/>
  <c r="AS605" i="12"/>
  <c r="AT605" i="12"/>
  <c r="BG605" i="12"/>
  <c r="BH605" i="12"/>
  <c r="BI605" i="12"/>
  <c r="I606" i="12"/>
  <c r="J606" i="12"/>
  <c r="K606" i="12"/>
  <c r="L606" i="12"/>
  <c r="AE606" i="12"/>
  <c r="AR606" i="12"/>
  <c r="AS606" i="12"/>
  <c r="AT606" i="12"/>
  <c r="BG606" i="12"/>
  <c r="BH606" i="12"/>
  <c r="BI606" i="12"/>
  <c r="I607" i="12"/>
  <c r="J607" i="12"/>
  <c r="K607" i="12"/>
  <c r="L607" i="12"/>
  <c r="AE607" i="12"/>
  <c r="AR607" i="12"/>
  <c r="AS607" i="12"/>
  <c r="AT607" i="12"/>
  <c r="BG607" i="12"/>
  <c r="BH607" i="12"/>
  <c r="BI607" i="12"/>
  <c r="I608" i="12"/>
  <c r="J608" i="12"/>
  <c r="K608" i="12"/>
  <c r="L608" i="12"/>
  <c r="AE608" i="12"/>
  <c r="AR608" i="12"/>
  <c r="AS608" i="12"/>
  <c r="AT608" i="12"/>
  <c r="BG608" i="12"/>
  <c r="BH608" i="12"/>
  <c r="BI608" i="12"/>
  <c r="I609" i="12"/>
  <c r="J609" i="12"/>
  <c r="K609" i="12"/>
  <c r="L609" i="12"/>
  <c r="AE609" i="12"/>
  <c r="AR609" i="12"/>
  <c r="AS609" i="12"/>
  <c r="AT609" i="12"/>
  <c r="BG609" i="12"/>
  <c r="BH609" i="12"/>
  <c r="BI609" i="12"/>
  <c r="I610" i="12"/>
  <c r="J610" i="12"/>
  <c r="K610" i="12"/>
  <c r="L610" i="12"/>
  <c r="AE610" i="12"/>
  <c r="AR610" i="12"/>
  <c r="AS610" i="12"/>
  <c r="AT610" i="12"/>
  <c r="BG610" i="12"/>
  <c r="BH610" i="12"/>
  <c r="BI610" i="12"/>
  <c r="I611" i="12"/>
  <c r="J611" i="12"/>
  <c r="K611" i="12"/>
  <c r="L611" i="12"/>
  <c r="AE611" i="12"/>
  <c r="AR611" i="12"/>
  <c r="AS611" i="12"/>
  <c r="AT611" i="12"/>
  <c r="BG611" i="12"/>
  <c r="BH611" i="12"/>
  <c r="BI611" i="12"/>
  <c r="I612" i="12"/>
  <c r="J612" i="12"/>
  <c r="K612" i="12"/>
  <c r="L612" i="12"/>
  <c r="AE612" i="12"/>
  <c r="AR612" i="12"/>
  <c r="AS612" i="12"/>
  <c r="AT612" i="12"/>
  <c r="BG612" i="12"/>
  <c r="BH612" i="12"/>
  <c r="BI612" i="12"/>
  <c r="I613" i="12"/>
  <c r="J613" i="12"/>
  <c r="K613" i="12"/>
  <c r="L613" i="12"/>
  <c r="AE613" i="12"/>
  <c r="AR613" i="12"/>
  <c r="AS613" i="12"/>
  <c r="AT613" i="12"/>
  <c r="BG613" i="12"/>
  <c r="BH613" i="12"/>
  <c r="BI613" i="12"/>
  <c r="I614" i="12"/>
  <c r="J614" i="12"/>
  <c r="K614" i="12"/>
  <c r="L614" i="12"/>
  <c r="AE614" i="12"/>
  <c r="AR614" i="12"/>
  <c r="AS614" i="12"/>
  <c r="AT614" i="12"/>
  <c r="BG614" i="12"/>
  <c r="BH614" i="12"/>
  <c r="BI614" i="12"/>
  <c r="I615" i="12"/>
  <c r="J615" i="12"/>
  <c r="K615" i="12"/>
  <c r="L615" i="12"/>
  <c r="AE615" i="12"/>
  <c r="AR615" i="12"/>
  <c r="AS615" i="12"/>
  <c r="AT615" i="12"/>
  <c r="BG615" i="12"/>
  <c r="BH615" i="12"/>
  <c r="BI615" i="12"/>
  <c r="I616" i="12"/>
  <c r="J616" i="12"/>
  <c r="K616" i="12"/>
  <c r="L616" i="12"/>
  <c r="AE616" i="12"/>
  <c r="AR616" i="12"/>
  <c r="AS616" i="12"/>
  <c r="AT616" i="12"/>
  <c r="BG616" i="12"/>
  <c r="BH616" i="12"/>
  <c r="BI616" i="12"/>
  <c r="I617" i="12"/>
  <c r="J617" i="12"/>
  <c r="K617" i="12"/>
  <c r="L617" i="12"/>
  <c r="AE617" i="12"/>
  <c r="AR617" i="12"/>
  <c r="AS617" i="12"/>
  <c r="AT617" i="12"/>
  <c r="BG617" i="12"/>
  <c r="BH617" i="12"/>
  <c r="BI617" i="12"/>
  <c r="I618" i="12"/>
  <c r="J618" i="12"/>
  <c r="K618" i="12"/>
  <c r="L618" i="12"/>
  <c r="AE618" i="12"/>
  <c r="AR618" i="12"/>
  <c r="AS618" i="12"/>
  <c r="AT618" i="12"/>
  <c r="BG618" i="12"/>
  <c r="BH618" i="12"/>
  <c r="BI618" i="12"/>
  <c r="I619" i="12"/>
  <c r="J619" i="12"/>
  <c r="K619" i="12"/>
  <c r="L619" i="12"/>
  <c r="AE619" i="12"/>
  <c r="AR619" i="12"/>
  <c r="AS619" i="12"/>
  <c r="AT619" i="12"/>
  <c r="BG619" i="12"/>
  <c r="BH619" i="12"/>
  <c r="BI619" i="12"/>
  <c r="I620" i="12"/>
  <c r="J620" i="12"/>
  <c r="K620" i="12"/>
  <c r="L620" i="12"/>
  <c r="AE620" i="12"/>
  <c r="AR620" i="12"/>
  <c r="AS620" i="12"/>
  <c r="AT620" i="12"/>
  <c r="BG620" i="12"/>
  <c r="BH620" i="12"/>
  <c r="BI620" i="12"/>
  <c r="I621" i="12"/>
  <c r="J621" i="12"/>
  <c r="K621" i="12"/>
  <c r="L621" i="12"/>
  <c r="AE621" i="12"/>
  <c r="AR621" i="12"/>
  <c r="AS621" i="12"/>
  <c r="AT621" i="12"/>
  <c r="BG621" i="12"/>
  <c r="BH621" i="12"/>
  <c r="BI621" i="12"/>
  <c r="I622" i="12"/>
  <c r="J622" i="12"/>
  <c r="K622" i="12"/>
  <c r="L622" i="12"/>
  <c r="AE622" i="12"/>
  <c r="AR622" i="12"/>
  <c r="AS622" i="12"/>
  <c r="AT622" i="12"/>
  <c r="BG622" i="12"/>
  <c r="BH622" i="12"/>
  <c r="BI622" i="12"/>
  <c r="I623" i="12"/>
  <c r="J623" i="12"/>
  <c r="K623" i="12"/>
  <c r="L623" i="12"/>
  <c r="AE623" i="12"/>
  <c r="AR623" i="12"/>
  <c r="AS623" i="12"/>
  <c r="AT623" i="12"/>
  <c r="BG623" i="12"/>
  <c r="BH623" i="12"/>
  <c r="BI623" i="12"/>
  <c r="I624" i="12"/>
  <c r="J624" i="12"/>
  <c r="K624" i="12"/>
  <c r="L624" i="12"/>
  <c r="AE624" i="12"/>
  <c r="AR624" i="12"/>
  <c r="AS624" i="12"/>
  <c r="AT624" i="12"/>
  <c r="BG624" i="12"/>
  <c r="BH624" i="12"/>
  <c r="BI624" i="12"/>
  <c r="I625" i="12"/>
  <c r="J625" i="12"/>
  <c r="K625" i="12"/>
  <c r="L625" i="12"/>
  <c r="AE625" i="12"/>
  <c r="AR625" i="12"/>
  <c r="AS625" i="12"/>
  <c r="AT625" i="12"/>
  <c r="BG625" i="12"/>
  <c r="BH625" i="12"/>
  <c r="BI625" i="12"/>
  <c r="I626" i="12"/>
  <c r="J626" i="12"/>
  <c r="K626" i="12"/>
  <c r="L626" i="12"/>
  <c r="AE626" i="12"/>
  <c r="AR626" i="12"/>
  <c r="AS626" i="12"/>
  <c r="AT626" i="12"/>
  <c r="BG626" i="12"/>
  <c r="BH626" i="12"/>
  <c r="BI626" i="12"/>
  <c r="I627" i="12"/>
  <c r="J627" i="12"/>
  <c r="K627" i="12"/>
  <c r="L627" i="12"/>
  <c r="AE627" i="12"/>
  <c r="AR627" i="12"/>
  <c r="AS627" i="12"/>
  <c r="AT627" i="12"/>
  <c r="BG627" i="12"/>
  <c r="BH627" i="12"/>
  <c r="BI627" i="12"/>
  <c r="I628" i="12"/>
  <c r="J628" i="12"/>
  <c r="K628" i="12"/>
  <c r="L628" i="12"/>
  <c r="AE628" i="12"/>
  <c r="AR628" i="12"/>
  <c r="AS628" i="12"/>
  <c r="AT628" i="12"/>
  <c r="BG628" i="12"/>
  <c r="BH628" i="12"/>
  <c r="BI628" i="12"/>
  <c r="I629" i="12"/>
  <c r="J629" i="12"/>
  <c r="K629" i="12"/>
  <c r="L629" i="12"/>
  <c r="AE629" i="12"/>
  <c r="AR629" i="12"/>
  <c r="AS629" i="12"/>
  <c r="AT629" i="12"/>
  <c r="BG629" i="12"/>
  <c r="BH629" i="12"/>
  <c r="BI629" i="12"/>
  <c r="I630" i="12"/>
  <c r="J630" i="12"/>
  <c r="K630" i="12"/>
  <c r="L630" i="12"/>
  <c r="AE630" i="12"/>
  <c r="AR630" i="12"/>
  <c r="AS630" i="12"/>
  <c r="AT630" i="12"/>
  <c r="BG630" i="12"/>
  <c r="BH630" i="12"/>
  <c r="BI630" i="12"/>
  <c r="I631" i="12"/>
  <c r="J631" i="12"/>
  <c r="K631" i="12"/>
  <c r="L631" i="12"/>
  <c r="AE631" i="12"/>
  <c r="AR631" i="12"/>
  <c r="AS631" i="12"/>
  <c r="AT631" i="12"/>
  <c r="BG631" i="12"/>
  <c r="BH631" i="12"/>
  <c r="BI631" i="12"/>
  <c r="I632" i="12"/>
  <c r="J632" i="12"/>
  <c r="K632" i="12"/>
  <c r="L632" i="12"/>
  <c r="AE632" i="12"/>
  <c r="AR632" i="12"/>
  <c r="AS632" i="12"/>
  <c r="AT632" i="12"/>
  <c r="BG632" i="12"/>
  <c r="BH632" i="12"/>
  <c r="BI632" i="12"/>
  <c r="I633" i="12"/>
  <c r="J633" i="12"/>
  <c r="K633" i="12"/>
  <c r="L633" i="12"/>
  <c r="AE633" i="12"/>
  <c r="AR633" i="12"/>
  <c r="AS633" i="12"/>
  <c r="AT633" i="12"/>
  <c r="BG633" i="12"/>
  <c r="BH633" i="12"/>
  <c r="BI633" i="12"/>
  <c r="I634" i="12"/>
  <c r="J634" i="12"/>
  <c r="K634" i="12"/>
  <c r="L634" i="12"/>
  <c r="AE634" i="12"/>
  <c r="AR634" i="12"/>
  <c r="AS634" i="12"/>
  <c r="AT634" i="12"/>
  <c r="BG634" i="12"/>
  <c r="BH634" i="12"/>
  <c r="BI634" i="12"/>
  <c r="I635" i="12"/>
  <c r="J635" i="12"/>
  <c r="K635" i="12"/>
  <c r="L635" i="12"/>
  <c r="AE635" i="12"/>
  <c r="AR635" i="12"/>
  <c r="AS635" i="12"/>
  <c r="AT635" i="12"/>
  <c r="BG635" i="12"/>
  <c r="BH635" i="12"/>
  <c r="BI635" i="12"/>
  <c r="I636" i="12"/>
  <c r="J636" i="12"/>
  <c r="K636" i="12"/>
  <c r="L636" i="12"/>
  <c r="AE636" i="12"/>
  <c r="AR636" i="12"/>
  <c r="AS636" i="12"/>
  <c r="AT636" i="12"/>
  <c r="BG636" i="12"/>
  <c r="BH636" i="12"/>
  <c r="BI636" i="12"/>
  <c r="I637" i="12"/>
  <c r="J637" i="12"/>
  <c r="K637" i="12"/>
  <c r="L637" i="12"/>
  <c r="AE637" i="12"/>
  <c r="AR637" i="12"/>
  <c r="AS637" i="12"/>
  <c r="AT637" i="12"/>
  <c r="BG637" i="12"/>
  <c r="BH637" i="12"/>
  <c r="BI637" i="12"/>
  <c r="I638" i="12"/>
  <c r="J638" i="12"/>
  <c r="K638" i="12"/>
  <c r="L638" i="12"/>
  <c r="AE638" i="12"/>
  <c r="AR638" i="12"/>
  <c r="AS638" i="12"/>
  <c r="AT638" i="12"/>
  <c r="BG638" i="12"/>
  <c r="BH638" i="12"/>
  <c r="BI638" i="12"/>
  <c r="I639" i="12"/>
  <c r="J639" i="12"/>
  <c r="K639" i="12"/>
  <c r="L639" i="12"/>
  <c r="AE639" i="12"/>
  <c r="AR639" i="12"/>
  <c r="AS639" i="12"/>
  <c r="AT639" i="12"/>
  <c r="BG639" i="12"/>
  <c r="BH639" i="12"/>
  <c r="BI639" i="12"/>
  <c r="I640" i="12"/>
  <c r="J640" i="12"/>
  <c r="K640" i="12"/>
  <c r="L640" i="12"/>
  <c r="AE640" i="12"/>
  <c r="AR640" i="12"/>
  <c r="AS640" i="12"/>
  <c r="AT640" i="12"/>
  <c r="BG640" i="12"/>
  <c r="BH640" i="12"/>
  <c r="BI640" i="12"/>
  <c r="I641" i="12"/>
  <c r="J641" i="12"/>
  <c r="K641" i="12"/>
  <c r="L641" i="12"/>
  <c r="AE641" i="12"/>
  <c r="AR641" i="12"/>
  <c r="AS641" i="12"/>
  <c r="AT641" i="12"/>
  <c r="BG641" i="12"/>
  <c r="BH641" i="12"/>
  <c r="BI641" i="12"/>
  <c r="I642" i="12"/>
  <c r="J642" i="12"/>
  <c r="K642" i="12"/>
  <c r="L642" i="12"/>
  <c r="AE642" i="12"/>
  <c r="AR642" i="12"/>
  <c r="AS642" i="12"/>
  <c r="AT642" i="12"/>
  <c r="BG642" i="12"/>
  <c r="BH642" i="12"/>
  <c r="BI642" i="12"/>
  <c r="I643" i="12"/>
  <c r="J643" i="12"/>
  <c r="K643" i="12"/>
  <c r="L643" i="12"/>
  <c r="AE643" i="12"/>
  <c r="AR643" i="12"/>
  <c r="AS643" i="12"/>
  <c r="AT643" i="12"/>
  <c r="BG643" i="12"/>
  <c r="BH643" i="12"/>
  <c r="BI643" i="12"/>
  <c r="I644" i="12"/>
  <c r="J644" i="12"/>
  <c r="K644" i="12"/>
  <c r="L644" i="12"/>
  <c r="AE644" i="12"/>
  <c r="AR644" i="12"/>
  <c r="AS644" i="12"/>
  <c r="AT644" i="12"/>
  <c r="BG644" i="12"/>
  <c r="BH644" i="12"/>
  <c r="BI644" i="12"/>
  <c r="I646" i="12"/>
  <c r="J646" i="12"/>
  <c r="K646" i="12"/>
  <c r="L646" i="12"/>
  <c r="AE646" i="12"/>
  <c r="AR646" i="12"/>
  <c r="AS646" i="12"/>
  <c r="AT646" i="12"/>
  <c r="BG646" i="12"/>
  <c r="BH646" i="12"/>
  <c r="BI646" i="12"/>
  <c r="I647" i="12"/>
  <c r="J647" i="12"/>
  <c r="K647" i="12"/>
  <c r="L647" i="12"/>
  <c r="AE647" i="12"/>
  <c r="AR647" i="12"/>
  <c r="AS647" i="12"/>
  <c r="AT647" i="12"/>
  <c r="BG647" i="12"/>
  <c r="BH647" i="12"/>
  <c r="BI647" i="12"/>
  <c r="I648" i="12"/>
  <c r="J648" i="12"/>
  <c r="K648" i="12"/>
  <c r="L648" i="12"/>
  <c r="AE648" i="12"/>
  <c r="AR648" i="12"/>
  <c r="AS648" i="12"/>
  <c r="AT648" i="12"/>
  <c r="BG648" i="12"/>
  <c r="BH648" i="12"/>
  <c r="BI648" i="12"/>
  <c r="I649" i="12"/>
  <c r="J649" i="12"/>
  <c r="K649" i="12"/>
  <c r="L649" i="12"/>
  <c r="AE649" i="12"/>
  <c r="AR649" i="12"/>
  <c r="AS649" i="12"/>
  <c r="AT649" i="12"/>
  <c r="BG649" i="12"/>
  <c r="BH649" i="12"/>
  <c r="BI649" i="12"/>
  <c r="I650" i="12"/>
  <c r="J650" i="12"/>
  <c r="K650" i="12"/>
  <c r="L650" i="12"/>
  <c r="AE650" i="12"/>
  <c r="AR650" i="12"/>
  <c r="AS650" i="12"/>
  <c r="AT650" i="12"/>
  <c r="BG650" i="12"/>
  <c r="BH650" i="12"/>
  <c r="BI650" i="12"/>
  <c r="I651" i="12"/>
  <c r="J651" i="12"/>
  <c r="K651" i="12"/>
  <c r="L651" i="12"/>
  <c r="AE651" i="12"/>
  <c r="AR651" i="12"/>
  <c r="AS651" i="12"/>
  <c r="AT651" i="12"/>
  <c r="BG651" i="12"/>
  <c r="BH651" i="12"/>
  <c r="BI651" i="12"/>
  <c r="I652" i="12"/>
  <c r="J652" i="12"/>
  <c r="K652" i="12"/>
  <c r="L652" i="12"/>
  <c r="AE652" i="12"/>
  <c r="AR652" i="12"/>
  <c r="AS652" i="12"/>
  <c r="AT652" i="12"/>
  <c r="BG652" i="12"/>
  <c r="BH652" i="12"/>
  <c r="BI652" i="12"/>
  <c r="I653" i="12"/>
  <c r="J653" i="12"/>
  <c r="K653" i="12"/>
  <c r="L653" i="12"/>
  <c r="AE653" i="12"/>
  <c r="AR653" i="12"/>
  <c r="AS653" i="12"/>
  <c r="AT653" i="12"/>
  <c r="BG653" i="12"/>
  <c r="BH653" i="12"/>
  <c r="BI653" i="12"/>
  <c r="I654" i="12"/>
  <c r="J654" i="12"/>
  <c r="K654" i="12"/>
  <c r="L654" i="12"/>
  <c r="AE654" i="12"/>
  <c r="AR654" i="12"/>
  <c r="AS654" i="12"/>
  <c r="AT654" i="12"/>
  <c r="BG654" i="12"/>
  <c r="BH654" i="12"/>
  <c r="BI654" i="12"/>
  <c r="I655" i="12"/>
  <c r="J655" i="12"/>
  <c r="K655" i="12"/>
  <c r="L655" i="12"/>
  <c r="AE655" i="12"/>
  <c r="AR655" i="12"/>
  <c r="AS655" i="12"/>
  <c r="AT655" i="12"/>
  <c r="BG655" i="12"/>
  <c r="BH655" i="12"/>
  <c r="BI655" i="12"/>
  <c r="I656" i="12"/>
  <c r="J656" i="12"/>
  <c r="K656" i="12"/>
  <c r="L656" i="12"/>
  <c r="AE656" i="12"/>
  <c r="AR656" i="12"/>
  <c r="AS656" i="12"/>
  <c r="AT656" i="12"/>
  <c r="BG656" i="12"/>
  <c r="BH656" i="12"/>
  <c r="BI656" i="12"/>
  <c r="I657" i="12"/>
  <c r="J657" i="12"/>
  <c r="K657" i="12"/>
  <c r="L657" i="12"/>
  <c r="AE657" i="12"/>
  <c r="AR657" i="12"/>
  <c r="AS657" i="12"/>
  <c r="AT657" i="12"/>
  <c r="BG657" i="12"/>
  <c r="BH657" i="12"/>
  <c r="BI657" i="12"/>
  <c r="I658" i="12"/>
  <c r="J658" i="12"/>
  <c r="K658" i="12"/>
  <c r="L658" i="12"/>
  <c r="AE658" i="12"/>
  <c r="AR658" i="12"/>
  <c r="AS658" i="12"/>
  <c r="AT658" i="12"/>
  <c r="BG658" i="12"/>
  <c r="BH658" i="12"/>
  <c r="BI658" i="12"/>
  <c r="I659" i="12"/>
  <c r="J659" i="12"/>
  <c r="K659" i="12"/>
  <c r="L659" i="12"/>
  <c r="AE659" i="12"/>
  <c r="AR659" i="12"/>
  <c r="AS659" i="12"/>
  <c r="AT659" i="12"/>
  <c r="BG659" i="12"/>
  <c r="BH659" i="12"/>
  <c r="BI659" i="12"/>
  <c r="I660" i="12"/>
  <c r="J660" i="12"/>
  <c r="K660" i="12"/>
  <c r="L660" i="12"/>
  <c r="AE660" i="12"/>
  <c r="AR660" i="12"/>
  <c r="AS660" i="12"/>
  <c r="AT660" i="12"/>
  <c r="BG660" i="12"/>
  <c r="BH660" i="12"/>
  <c r="BI660" i="12"/>
  <c r="I661" i="12"/>
  <c r="J661" i="12"/>
  <c r="K661" i="12"/>
  <c r="L661" i="12"/>
  <c r="AE661" i="12"/>
  <c r="AR661" i="12"/>
  <c r="AS661" i="12"/>
  <c r="AT661" i="12"/>
  <c r="BG661" i="12"/>
  <c r="BH661" i="12"/>
  <c r="BI661" i="12"/>
  <c r="I662" i="12"/>
  <c r="J662" i="12"/>
  <c r="K662" i="12"/>
  <c r="L662" i="12"/>
  <c r="AE662" i="12"/>
  <c r="AR662" i="12"/>
  <c r="AS662" i="12"/>
  <c r="AT662" i="12"/>
  <c r="BG662" i="12"/>
  <c r="BH662" i="12"/>
  <c r="BI662" i="12"/>
  <c r="I663" i="12"/>
  <c r="J663" i="12"/>
  <c r="K663" i="12"/>
  <c r="L663" i="12"/>
  <c r="AE663" i="12"/>
  <c r="AR663" i="12"/>
  <c r="AS663" i="12"/>
  <c r="AT663" i="12"/>
  <c r="BG663" i="12"/>
  <c r="BH663" i="12"/>
  <c r="BI663" i="12"/>
  <c r="I664" i="12"/>
  <c r="J664" i="12"/>
  <c r="K664" i="12"/>
  <c r="L664" i="12"/>
  <c r="AE664" i="12"/>
  <c r="AR664" i="12"/>
  <c r="AS664" i="12"/>
  <c r="AT664" i="12"/>
  <c r="BG664" i="12"/>
  <c r="BH664" i="12"/>
  <c r="BI664" i="12"/>
  <c r="I665" i="12"/>
  <c r="J665" i="12"/>
  <c r="K665" i="12"/>
  <c r="L665" i="12"/>
  <c r="AE665" i="12"/>
  <c r="AR665" i="12"/>
  <c r="AS665" i="12"/>
  <c r="AT665" i="12"/>
  <c r="BG665" i="12"/>
  <c r="BH665" i="12"/>
  <c r="BI665" i="12"/>
  <c r="I666" i="12"/>
  <c r="J666" i="12"/>
  <c r="K666" i="12"/>
  <c r="L666" i="12"/>
  <c r="AE666" i="12"/>
  <c r="AR666" i="12"/>
  <c r="AS666" i="12"/>
  <c r="AT666" i="12"/>
  <c r="BG666" i="12"/>
  <c r="BH666" i="12"/>
  <c r="BI666" i="12"/>
  <c r="I667" i="12"/>
  <c r="J667" i="12"/>
  <c r="K667" i="12"/>
  <c r="L667" i="12"/>
  <c r="AE667" i="12"/>
  <c r="AR667" i="12"/>
  <c r="AS667" i="12"/>
  <c r="AT667" i="12"/>
  <c r="BG667" i="12"/>
  <c r="BH667" i="12"/>
  <c r="BI667" i="12"/>
  <c r="I668" i="12"/>
  <c r="J668" i="12"/>
  <c r="K668" i="12"/>
  <c r="L668" i="12"/>
  <c r="AE668" i="12"/>
  <c r="AR668" i="12"/>
  <c r="AS668" i="12"/>
  <c r="AT668" i="12"/>
  <c r="BG668" i="12"/>
  <c r="BH668" i="12"/>
  <c r="BI668" i="12"/>
  <c r="I669" i="12"/>
  <c r="J669" i="12"/>
  <c r="K669" i="12"/>
  <c r="L669" i="12"/>
  <c r="AE669" i="12"/>
  <c r="AR669" i="12"/>
  <c r="AS669" i="12"/>
  <c r="AT669" i="12"/>
  <c r="BG669" i="12"/>
  <c r="BH669" i="12"/>
  <c r="BI669" i="12"/>
  <c r="I670" i="12"/>
  <c r="J670" i="12"/>
  <c r="K670" i="12"/>
  <c r="L670" i="12"/>
  <c r="AE670" i="12"/>
  <c r="AR670" i="12"/>
  <c r="AS670" i="12"/>
  <c r="AT670" i="12"/>
  <c r="BG670" i="12"/>
  <c r="BH670" i="12"/>
  <c r="BI670" i="12"/>
  <c r="I671" i="12"/>
  <c r="J671" i="12"/>
  <c r="K671" i="12"/>
  <c r="L671" i="12"/>
  <c r="AE671" i="12"/>
  <c r="AR671" i="12"/>
  <c r="AS671" i="12"/>
  <c r="AT671" i="12"/>
  <c r="BG671" i="12"/>
  <c r="BH671" i="12"/>
  <c r="BI671" i="12"/>
  <c r="I672" i="12"/>
  <c r="J672" i="12"/>
  <c r="K672" i="12"/>
  <c r="L672" i="12"/>
  <c r="AE672" i="12"/>
  <c r="AR672" i="12"/>
  <c r="AS672" i="12"/>
  <c r="AT672" i="12"/>
  <c r="BG672" i="12"/>
  <c r="BH672" i="12"/>
  <c r="BI672" i="12"/>
  <c r="I673" i="12"/>
  <c r="J673" i="12"/>
  <c r="K673" i="12"/>
  <c r="L673" i="12"/>
  <c r="AE673" i="12"/>
  <c r="AR673" i="12"/>
  <c r="AS673" i="12"/>
  <c r="AT673" i="12"/>
  <c r="BG673" i="12"/>
  <c r="BH673" i="12"/>
  <c r="BI673" i="12"/>
  <c r="I682" i="12"/>
  <c r="J682" i="12"/>
  <c r="K682" i="12"/>
  <c r="L682" i="12"/>
  <c r="AE682" i="12"/>
  <c r="AR682" i="12"/>
  <c r="AS682" i="12"/>
  <c r="AT682" i="12"/>
  <c r="BG682" i="12"/>
  <c r="BH682" i="12"/>
  <c r="BI682" i="12"/>
  <c r="I683" i="12"/>
  <c r="J683" i="12"/>
  <c r="K683" i="12"/>
  <c r="L683" i="12"/>
  <c r="AE683" i="12"/>
  <c r="AR683" i="12"/>
  <c r="AS683" i="12"/>
  <c r="AT683" i="12"/>
  <c r="BG683" i="12"/>
  <c r="BH683" i="12"/>
  <c r="BI683" i="12"/>
  <c r="I684" i="12"/>
  <c r="J684" i="12"/>
  <c r="K684" i="12"/>
  <c r="L684" i="12"/>
  <c r="AE684" i="12"/>
  <c r="AR684" i="12"/>
  <c r="AS684" i="12"/>
  <c r="AT684" i="12"/>
  <c r="BG684" i="12"/>
  <c r="BH684" i="12"/>
  <c r="BI684" i="12"/>
  <c r="I685" i="12"/>
  <c r="J685" i="12"/>
  <c r="K685" i="12"/>
  <c r="L685" i="12"/>
  <c r="AE685" i="12"/>
  <c r="AR685" i="12"/>
  <c r="AS685" i="12"/>
  <c r="AT685" i="12"/>
  <c r="BG685" i="12"/>
  <c r="BH685" i="12"/>
  <c r="BI685" i="12"/>
  <c r="I686" i="12"/>
  <c r="J686" i="12"/>
  <c r="K686" i="12"/>
  <c r="L686" i="12"/>
  <c r="AE686" i="12"/>
  <c r="AR686" i="12"/>
  <c r="AS686" i="12"/>
  <c r="AT686" i="12"/>
  <c r="BG686" i="12"/>
  <c r="BH686" i="12"/>
  <c r="BI686" i="12"/>
  <c r="I687" i="12"/>
  <c r="J687" i="12"/>
  <c r="K687" i="12"/>
  <c r="L687" i="12"/>
  <c r="AE687" i="12"/>
  <c r="AR687" i="12"/>
  <c r="AS687" i="12"/>
  <c r="AT687" i="12"/>
  <c r="BG687" i="12"/>
  <c r="BH687" i="12"/>
  <c r="BI687" i="12"/>
  <c r="I688" i="12"/>
  <c r="J688" i="12"/>
  <c r="K688" i="12"/>
  <c r="L688" i="12"/>
  <c r="AE688" i="12"/>
  <c r="AR688" i="12"/>
  <c r="AS688" i="12"/>
  <c r="AT688" i="12"/>
  <c r="BG688" i="12"/>
  <c r="BH688" i="12"/>
  <c r="BI688" i="12"/>
  <c r="I689" i="12"/>
  <c r="J689" i="12"/>
  <c r="K689" i="12"/>
  <c r="L689" i="12"/>
  <c r="AE689" i="12"/>
  <c r="AR689" i="12"/>
  <c r="AS689" i="12"/>
  <c r="AT689" i="12"/>
  <c r="BG689" i="12"/>
  <c r="BH689" i="12"/>
  <c r="BI689" i="12"/>
  <c r="I690" i="12"/>
  <c r="J690" i="12"/>
  <c r="K690" i="12"/>
  <c r="L690" i="12"/>
  <c r="AE690" i="12"/>
  <c r="AR690" i="12"/>
  <c r="AS690" i="12"/>
  <c r="AT690" i="12"/>
  <c r="BG690" i="12"/>
  <c r="BH690" i="12"/>
  <c r="BI690" i="12"/>
  <c r="I691" i="12"/>
  <c r="J691" i="12"/>
  <c r="K691" i="12"/>
  <c r="L691" i="12"/>
  <c r="AE691" i="12"/>
  <c r="AR691" i="12"/>
  <c r="AS691" i="12"/>
  <c r="AT691" i="12"/>
  <c r="BG691" i="12"/>
  <c r="BH691" i="12"/>
  <c r="BI691" i="12"/>
  <c r="I692" i="12"/>
  <c r="J692" i="12"/>
  <c r="K692" i="12"/>
  <c r="L692" i="12"/>
  <c r="AE692" i="12"/>
  <c r="AR692" i="12"/>
  <c r="AS692" i="12"/>
  <c r="AT692" i="12"/>
  <c r="BG692" i="12"/>
  <c r="BH692" i="12"/>
  <c r="BI692" i="12"/>
  <c r="I693" i="12"/>
  <c r="J693" i="12"/>
  <c r="K693" i="12"/>
  <c r="L693" i="12"/>
  <c r="AE693" i="12"/>
  <c r="AR693" i="12"/>
  <c r="AS693" i="12"/>
  <c r="AT693" i="12"/>
  <c r="BG693" i="12"/>
  <c r="BH693" i="12"/>
  <c r="BI693" i="12"/>
  <c r="I694" i="12"/>
  <c r="J694" i="12"/>
  <c r="K694" i="12"/>
  <c r="L694" i="12"/>
  <c r="AE694" i="12"/>
  <c r="AR694" i="12"/>
  <c r="AS694" i="12"/>
  <c r="AT694" i="12"/>
  <c r="BG694" i="12"/>
  <c r="BH694" i="12"/>
  <c r="BI694" i="12"/>
  <c r="I695" i="12"/>
  <c r="J695" i="12"/>
  <c r="K695" i="12"/>
  <c r="L695" i="12"/>
  <c r="AE695" i="12"/>
  <c r="AR695" i="12"/>
  <c r="AS695" i="12"/>
  <c r="AT695" i="12"/>
  <c r="BG695" i="12"/>
  <c r="BH695" i="12"/>
  <c r="BI695" i="12"/>
  <c r="I696" i="12"/>
  <c r="J696" i="12"/>
  <c r="K696" i="12"/>
  <c r="L696" i="12"/>
  <c r="AE696" i="12"/>
  <c r="AR696" i="12"/>
  <c r="AS696" i="12"/>
  <c r="AT696" i="12"/>
  <c r="BG696" i="12"/>
  <c r="BH696" i="12"/>
  <c r="BI696" i="12"/>
  <c r="I697" i="12"/>
  <c r="J697" i="12"/>
  <c r="K697" i="12"/>
  <c r="L697" i="12"/>
  <c r="AE697" i="12"/>
  <c r="AR697" i="12"/>
  <c r="AS697" i="12"/>
  <c r="AT697" i="12"/>
  <c r="BG697" i="12"/>
  <c r="BH697" i="12"/>
  <c r="BI697" i="12"/>
  <c r="I698" i="12"/>
  <c r="J698" i="12"/>
  <c r="K698" i="12"/>
  <c r="L698" i="12"/>
  <c r="AE698" i="12"/>
  <c r="AR698" i="12"/>
  <c r="AS698" i="12"/>
  <c r="AT698" i="12"/>
  <c r="BG698" i="12"/>
  <c r="BH698" i="12"/>
  <c r="BI698" i="12"/>
  <c r="I699" i="12"/>
  <c r="J699" i="12"/>
  <c r="K699" i="12"/>
  <c r="L699" i="12"/>
  <c r="AE699" i="12"/>
  <c r="AR699" i="12"/>
  <c r="AS699" i="12"/>
  <c r="AT699" i="12"/>
  <c r="BG699" i="12"/>
  <c r="BH699" i="12"/>
  <c r="BI699" i="12"/>
  <c r="I700" i="12"/>
  <c r="J700" i="12"/>
  <c r="K700" i="12"/>
  <c r="L700" i="12"/>
  <c r="AE700" i="12"/>
  <c r="AR700" i="12"/>
  <c r="AS700" i="12"/>
  <c r="AT700" i="12"/>
  <c r="BG700" i="12"/>
  <c r="BH700" i="12"/>
  <c r="BI700" i="12"/>
  <c r="I701" i="12"/>
  <c r="J701" i="12"/>
  <c r="K701" i="12"/>
  <c r="L701" i="12"/>
  <c r="AE701" i="12"/>
  <c r="AR701" i="12"/>
  <c r="AS701" i="12"/>
  <c r="AT701" i="12"/>
  <c r="BG701" i="12"/>
  <c r="BH701" i="12"/>
  <c r="BI701" i="12"/>
  <c r="I702" i="12"/>
  <c r="J702" i="12"/>
  <c r="K702" i="12"/>
  <c r="L702" i="12"/>
  <c r="AE702" i="12"/>
  <c r="AR702" i="12"/>
  <c r="AS702" i="12"/>
  <c r="AT702" i="12"/>
  <c r="BG702" i="12"/>
  <c r="BH702" i="12"/>
  <c r="BI702" i="12"/>
  <c r="I703" i="12"/>
  <c r="J703" i="12"/>
  <c r="K703" i="12"/>
  <c r="L703" i="12"/>
  <c r="AE703" i="12"/>
  <c r="AR703" i="12"/>
  <c r="AS703" i="12"/>
  <c r="AT703" i="12"/>
  <c r="BG703" i="12"/>
  <c r="BH703" i="12"/>
  <c r="BI703" i="12"/>
  <c r="I704" i="12"/>
  <c r="J704" i="12"/>
  <c r="K704" i="12"/>
  <c r="L704" i="12"/>
  <c r="AE704" i="12"/>
  <c r="AR704" i="12"/>
  <c r="AS704" i="12"/>
  <c r="AT704" i="12"/>
  <c r="BG704" i="12"/>
  <c r="BH704" i="12"/>
  <c r="BI704" i="12"/>
  <c r="I705" i="12"/>
  <c r="J705" i="12"/>
  <c r="K705" i="12"/>
  <c r="L705" i="12"/>
  <c r="AE705" i="12"/>
  <c r="AR705" i="12"/>
  <c r="AS705" i="12"/>
  <c r="AT705" i="12"/>
  <c r="BG705" i="12"/>
  <c r="BH705" i="12"/>
  <c r="BI705" i="12"/>
  <c r="I706" i="12"/>
  <c r="J706" i="12"/>
  <c r="K706" i="12"/>
  <c r="L706" i="12"/>
  <c r="AE706" i="12"/>
  <c r="AR706" i="12"/>
  <c r="AS706" i="12"/>
  <c r="AT706" i="12"/>
  <c r="BG706" i="12"/>
  <c r="BH706" i="12"/>
  <c r="BI706" i="12"/>
  <c r="I707" i="12"/>
  <c r="J707" i="12"/>
  <c r="K707" i="12"/>
  <c r="L707" i="12"/>
  <c r="AE707" i="12"/>
  <c r="AR707" i="12"/>
  <c r="AS707" i="12"/>
  <c r="AT707" i="12"/>
  <c r="BG707" i="12"/>
  <c r="BH707" i="12"/>
  <c r="BI707" i="12"/>
  <c r="I708" i="12"/>
  <c r="J708" i="12"/>
  <c r="K708" i="12"/>
  <c r="L708" i="12"/>
  <c r="AE708" i="12"/>
  <c r="AR708" i="12"/>
  <c r="AS708" i="12"/>
  <c r="AT708" i="12"/>
  <c r="BG708" i="12"/>
  <c r="BH708" i="12"/>
  <c r="BI708" i="12"/>
  <c r="I709" i="12"/>
  <c r="J709" i="12"/>
  <c r="K709" i="12"/>
  <c r="L709" i="12"/>
  <c r="AE709" i="12"/>
  <c r="AR709" i="12"/>
  <c r="AS709" i="12"/>
  <c r="AT709" i="12"/>
  <c r="BG709" i="12"/>
  <c r="BH709" i="12"/>
  <c r="BI709" i="12"/>
  <c r="I710" i="12"/>
  <c r="J710" i="12"/>
  <c r="K710" i="12"/>
  <c r="L710" i="12"/>
  <c r="AE710" i="12"/>
  <c r="AR710" i="12"/>
  <c r="AS710" i="12"/>
  <c r="AT710" i="12"/>
  <c r="BG710" i="12"/>
  <c r="BH710" i="12"/>
  <c r="BI710" i="12"/>
  <c r="I711" i="12"/>
  <c r="J711" i="12"/>
  <c r="K711" i="12"/>
  <c r="L711" i="12"/>
  <c r="AE711" i="12"/>
  <c r="AR711" i="12"/>
  <c r="AS711" i="12"/>
  <c r="AT711" i="12"/>
  <c r="BG711" i="12"/>
  <c r="BH711" i="12"/>
  <c r="BI711" i="12"/>
  <c r="I712" i="12"/>
  <c r="J712" i="12"/>
  <c r="K712" i="12"/>
  <c r="L712" i="12"/>
  <c r="AE712" i="12"/>
  <c r="AR712" i="12"/>
  <c r="AS712" i="12"/>
  <c r="AT712" i="12"/>
  <c r="BG712" i="12"/>
  <c r="BH712" i="12"/>
  <c r="BI712" i="12"/>
  <c r="I713" i="12"/>
  <c r="J713" i="12"/>
  <c r="K713" i="12"/>
  <c r="L713" i="12"/>
  <c r="AE713" i="12"/>
  <c r="AR713" i="12"/>
  <c r="AS713" i="12"/>
  <c r="AT713" i="12"/>
  <c r="BG713" i="12"/>
  <c r="BH713" i="12"/>
  <c r="BI713" i="12"/>
  <c r="I715" i="12"/>
  <c r="J715" i="12"/>
  <c r="K715" i="12"/>
  <c r="L715" i="12"/>
  <c r="AE715" i="12"/>
  <c r="AR715" i="12"/>
  <c r="AS715" i="12"/>
  <c r="AT715" i="12"/>
  <c r="BG715" i="12"/>
  <c r="BH715" i="12"/>
  <c r="BI715" i="12"/>
  <c r="I716" i="12"/>
  <c r="J716" i="12"/>
  <c r="K716" i="12"/>
  <c r="L716" i="12"/>
  <c r="AE716" i="12"/>
  <c r="AR716" i="12"/>
  <c r="AS716" i="12"/>
  <c r="AT716" i="12"/>
  <c r="BG716" i="12"/>
  <c r="BH716" i="12"/>
  <c r="BI716" i="12"/>
  <c r="I717" i="12"/>
  <c r="J717" i="12"/>
  <c r="K717" i="12"/>
  <c r="L717" i="12"/>
  <c r="AE717" i="12"/>
  <c r="AR717" i="12"/>
  <c r="AS717" i="12"/>
  <c r="AT717" i="12"/>
  <c r="BG717" i="12"/>
  <c r="BH717" i="12"/>
  <c r="BI717" i="12"/>
  <c r="I718" i="12"/>
  <c r="J718" i="12"/>
  <c r="K718" i="12"/>
  <c r="L718" i="12"/>
  <c r="AE718" i="12"/>
  <c r="AR718" i="12"/>
  <c r="AS718" i="12"/>
  <c r="AT718" i="12"/>
  <c r="BG718" i="12"/>
  <c r="BH718" i="12"/>
  <c r="BI718" i="12"/>
  <c r="I735" i="12"/>
  <c r="J735" i="12"/>
  <c r="K735" i="12"/>
  <c r="L735" i="12"/>
  <c r="AE735" i="12"/>
  <c r="AR735" i="12"/>
  <c r="AS735" i="12"/>
  <c r="AT735" i="12"/>
  <c r="BG735" i="12"/>
  <c r="BH735" i="12"/>
  <c r="BI735" i="12"/>
  <c r="I736" i="12"/>
  <c r="J736" i="12"/>
  <c r="K736" i="12"/>
  <c r="L736" i="12"/>
  <c r="AE736" i="12"/>
  <c r="AR736" i="12"/>
  <c r="AS736" i="12"/>
  <c r="AT736" i="12"/>
  <c r="BG736" i="12"/>
  <c r="BH736" i="12"/>
  <c r="BI736" i="12"/>
  <c r="I737" i="12"/>
  <c r="J737" i="12"/>
  <c r="K737" i="12"/>
  <c r="L737" i="12"/>
  <c r="AE737" i="12"/>
  <c r="AR737" i="12"/>
  <c r="AS737" i="12"/>
  <c r="AT737" i="12"/>
  <c r="BG737" i="12"/>
  <c r="BH737" i="12"/>
  <c r="BI737" i="12"/>
  <c r="I738" i="12"/>
  <c r="J738" i="12"/>
  <c r="K738" i="12"/>
  <c r="L738" i="12"/>
  <c r="AE738" i="12"/>
  <c r="AR738" i="12"/>
  <c r="AS738" i="12"/>
  <c r="AT738" i="12"/>
  <c r="BG738" i="12"/>
  <c r="BH738" i="12"/>
  <c r="BI738" i="12"/>
  <c r="I739" i="12"/>
  <c r="J739" i="12"/>
  <c r="K739" i="12"/>
  <c r="L739" i="12"/>
  <c r="AE739" i="12"/>
  <c r="AR739" i="12"/>
  <c r="AS739" i="12"/>
  <c r="AT739" i="12"/>
  <c r="BG739" i="12"/>
  <c r="BH739" i="12"/>
  <c r="BI739" i="12"/>
  <c r="I740" i="12"/>
  <c r="J740" i="12"/>
  <c r="K740" i="12"/>
  <c r="L740" i="12"/>
  <c r="AE740" i="12"/>
  <c r="AR740" i="12"/>
  <c r="AS740" i="12"/>
  <c r="AT740" i="12"/>
  <c r="BG740" i="12"/>
  <c r="BH740" i="12"/>
  <c r="BI740" i="12"/>
  <c r="I741" i="12"/>
  <c r="J741" i="12"/>
  <c r="K741" i="12"/>
  <c r="L741" i="12"/>
  <c r="AE741" i="12"/>
  <c r="AR741" i="12"/>
  <c r="AS741" i="12"/>
  <c r="AT741" i="12"/>
  <c r="BG741" i="12"/>
  <c r="BH741" i="12"/>
  <c r="BI741" i="12"/>
  <c r="I742" i="12"/>
  <c r="J742" i="12"/>
  <c r="K742" i="12"/>
  <c r="L742" i="12"/>
  <c r="AE742" i="12"/>
  <c r="AR742" i="12"/>
  <c r="AS742" i="12"/>
  <c r="AT742" i="12"/>
  <c r="BG742" i="12"/>
  <c r="BH742" i="12"/>
  <c r="BI742" i="12"/>
  <c r="I743" i="12"/>
  <c r="J743" i="12"/>
  <c r="K743" i="12"/>
  <c r="L743" i="12"/>
  <c r="AE743" i="12"/>
  <c r="AR743" i="12"/>
  <c r="AS743" i="12"/>
  <c r="AT743" i="12"/>
  <c r="BG743" i="12"/>
  <c r="BH743" i="12"/>
  <c r="BI743" i="12"/>
  <c r="I744" i="12"/>
  <c r="J744" i="12"/>
  <c r="K744" i="12"/>
  <c r="L744" i="12"/>
  <c r="AE744" i="12"/>
  <c r="AR744" i="12"/>
  <c r="AS744" i="12"/>
  <c r="AT744" i="12"/>
  <c r="BG744" i="12"/>
  <c r="BH744" i="12"/>
  <c r="BI744" i="12"/>
  <c r="I745" i="12"/>
  <c r="J745" i="12"/>
  <c r="K745" i="12"/>
  <c r="L745" i="12"/>
  <c r="AE745" i="12"/>
  <c r="AR745" i="12"/>
  <c r="AS745" i="12"/>
  <c r="AT745" i="12"/>
  <c r="BG745" i="12"/>
  <c r="BH745" i="12"/>
  <c r="BI745" i="12"/>
  <c r="I746" i="12"/>
  <c r="J746" i="12"/>
  <c r="K746" i="12"/>
  <c r="L746" i="12"/>
  <c r="AE746" i="12"/>
  <c r="AR746" i="12"/>
  <c r="AS746" i="12"/>
  <c r="AT746" i="12"/>
  <c r="BG746" i="12"/>
  <c r="BH746" i="12"/>
  <c r="BI746" i="12"/>
  <c r="I747" i="12"/>
  <c r="J747" i="12"/>
  <c r="K747" i="12"/>
  <c r="L747" i="12"/>
  <c r="AE747" i="12"/>
  <c r="AR747" i="12"/>
  <c r="AS747" i="12"/>
  <c r="AT747" i="12"/>
  <c r="BG747" i="12"/>
  <c r="BH747" i="12"/>
  <c r="BI747" i="12"/>
  <c r="I748" i="12"/>
  <c r="J748" i="12"/>
  <c r="K748" i="12"/>
  <c r="L748" i="12"/>
  <c r="AE748" i="12"/>
  <c r="AR748" i="12"/>
  <c r="AS748" i="12"/>
  <c r="AT748" i="12"/>
  <c r="BG748" i="12"/>
  <c r="BH748" i="12"/>
  <c r="BI748" i="12"/>
  <c r="I749" i="12"/>
  <c r="J749" i="12"/>
  <c r="K749" i="12"/>
  <c r="L749" i="12"/>
  <c r="AE749" i="12"/>
  <c r="AR749" i="12"/>
  <c r="AS749" i="12"/>
  <c r="AT749" i="12"/>
  <c r="BG749" i="12"/>
  <c r="BH749" i="12"/>
  <c r="BI749" i="12"/>
  <c r="I750" i="12"/>
  <c r="J750" i="12"/>
  <c r="K750" i="12"/>
  <c r="L750" i="12"/>
  <c r="AE750" i="12"/>
  <c r="AR750" i="12"/>
  <c r="AS750" i="12"/>
  <c r="AT750" i="12"/>
  <c r="BG750" i="12"/>
  <c r="BH750" i="12"/>
  <c r="BI750" i="12"/>
  <c r="I751" i="12"/>
  <c r="J751" i="12"/>
  <c r="K751" i="12"/>
  <c r="L751" i="12"/>
  <c r="AE751" i="12"/>
  <c r="AR751" i="12"/>
  <c r="AS751" i="12"/>
  <c r="AT751" i="12"/>
  <c r="BG751" i="12"/>
  <c r="BH751" i="12"/>
  <c r="BI751" i="12"/>
  <c r="I752" i="12"/>
  <c r="J752" i="12"/>
  <c r="K752" i="12"/>
  <c r="L752" i="12"/>
  <c r="AE752" i="12"/>
  <c r="AR752" i="12"/>
  <c r="AS752" i="12"/>
  <c r="AT752" i="12"/>
  <c r="BG752" i="12"/>
  <c r="BH752" i="12"/>
  <c r="BI752" i="12"/>
  <c r="I753" i="12"/>
  <c r="J753" i="12"/>
  <c r="K753" i="12"/>
  <c r="L753" i="12"/>
  <c r="AE753" i="12"/>
  <c r="AR753" i="12"/>
  <c r="AS753" i="12"/>
  <c r="AT753" i="12"/>
  <c r="BG753" i="12"/>
  <c r="BH753" i="12"/>
  <c r="BI753" i="12"/>
  <c r="I754" i="12"/>
  <c r="J754" i="12"/>
  <c r="K754" i="12"/>
  <c r="L754" i="12"/>
  <c r="AE754" i="12"/>
  <c r="AR754" i="12"/>
  <c r="AS754" i="12"/>
  <c r="AT754" i="12"/>
  <c r="BG754" i="12"/>
  <c r="BH754" i="12"/>
  <c r="BI754" i="12"/>
  <c r="I760" i="12"/>
  <c r="J760" i="12"/>
  <c r="K760" i="12"/>
  <c r="L760" i="12"/>
  <c r="AE760" i="12"/>
  <c r="AR760" i="12"/>
  <c r="AS760" i="12"/>
  <c r="AT760" i="12"/>
  <c r="BG760" i="12"/>
  <c r="BH760" i="12"/>
  <c r="BI760" i="12"/>
  <c r="I761" i="12"/>
  <c r="J761" i="12"/>
  <c r="K761" i="12"/>
  <c r="L761" i="12"/>
  <c r="AE761" i="12"/>
  <c r="AR761" i="12"/>
  <c r="AS761" i="12"/>
  <c r="AT761" i="12"/>
  <c r="BG761" i="12"/>
  <c r="BH761" i="12"/>
  <c r="BI761" i="12"/>
  <c r="I762" i="12"/>
  <c r="J762" i="12"/>
  <c r="K762" i="12"/>
  <c r="L762" i="12"/>
  <c r="AE762" i="12"/>
  <c r="AR762" i="12"/>
  <c r="AS762" i="12"/>
  <c r="AT762" i="12"/>
  <c r="BG762" i="12"/>
  <c r="BH762" i="12"/>
  <c r="BI762" i="12"/>
  <c r="I763" i="12"/>
  <c r="J763" i="12"/>
  <c r="K763" i="12"/>
  <c r="L763" i="12"/>
  <c r="AE763" i="12"/>
  <c r="AR763" i="12"/>
  <c r="AS763" i="12"/>
  <c r="AT763" i="12"/>
  <c r="BG763" i="12"/>
  <c r="BH763" i="12"/>
  <c r="BI763" i="12"/>
  <c r="I764" i="12"/>
  <c r="J764" i="12"/>
  <c r="K764" i="12"/>
  <c r="L764" i="12"/>
  <c r="AE764" i="12"/>
  <c r="AR764" i="12"/>
  <c r="AS764" i="12"/>
  <c r="AT764" i="12"/>
  <c r="BG764" i="12"/>
  <c r="BH764" i="12"/>
  <c r="BI764" i="12"/>
  <c r="I765" i="12"/>
  <c r="J765" i="12"/>
  <c r="K765" i="12"/>
  <c r="L765" i="12"/>
  <c r="AE765" i="12"/>
  <c r="AR765" i="12"/>
  <c r="AS765" i="12"/>
  <c r="AT765" i="12"/>
  <c r="BG765" i="12"/>
  <c r="BH765" i="12"/>
  <c r="BI765" i="12"/>
  <c r="I766" i="12"/>
  <c r="J766" i="12"/>
  <c r="K766" i="12"/>
  <c r="L766" i="12"/>
  <c r="AE766" i="12"/>
  <c r="AR766" i="12"/>
  <c r="AS766" i="12"/>
  <c r="AT766" i="12"/>
  <c r="BG766" i="12"/>
  <c r="BH766" i="12"/>
  <c r="BI766" i="12"/>
  <c r="I767" i="12"/>
  <c r="J767" i="12"/>
  <c r="K767" i="12"/>
  <c r="L767" i="12"/>
  <c r="AE767" i="12"/>
  <c r="AR767" i="12"/>
  <c r="AS767" i="12"/>
  <c r="AT767" i="12"/>
  <c r="BG767" i="12"/>
  <c r="BH767" i="12"/>
  <c r="BI767" i="12"/>
  <c r="I768" i="12"/>
  <c r="J768" i="12"/>
  <c r="K768" i="12"/>
  <c r="L768" i="12"/>
  <c r="AE768" i="12"/>
  <c r="AR768" i="12"/>
  <c r="AS768" i="12"/>
  <c r="AT768" i="12"/>
  <c r="BG768" i="12"/>
  <c r="BH768" i="12"/>
  <c r="BI768" i="12"/>
  <c r="I769" i="12"/>
  <c r="J769" i="12"/>
  <c r="K769" i="12"/>
  <c r="L769" i="12"/>
  <c r="AE769" i="12"/>
  <c r="AR769" i="12"/>
  <c r="AS769" i="12"/>
  <c r="AT769" i="12"/>
  <c r="BG769" i="12"/>
  <c r="BH769" i="12"/>
  <c r="BI769" i="12"/>
  <c r="I770" i="12"/>
  <c r="J770" i="12"/>
  <c r="K770" i="12"/>
  <c r="L770" i="12"/>
  <c r="AE770" i="12"/>
  <c r="AR770" i="12"/>
  <c r="AS770" i="12"/>
  <c r="AT770" i="12"/>
  <c r="BG770" i="12"/>
  <c r="BH770" i="12"/>
  <c r="BI770" i="12"/>
  <c r="I771" i="12"/>
  <c r="J771" i="12"/>
  <c r="K771" i="12"/>
  <c r="L771" i="12"/>
  <c r="AE771" i="12"/>
  <c r="AR771" i="12"/>
  <c r="AS771" i="12"/>
  <c r="AT771" i="12"/>
  <c r="BG771" i="12"/>
  <c r="BH771" i="12"/>
  <c r="BI771" i="12"/>
  <c r="I772" i="12"/>
  <c r="J772" i="12"/>
  <c r="K772" i="12"/>
  <c r="L772" i="12"/>
  <c r="AE772" i="12"/>
  <c r="AR772" i="12"/>
  <c r="AS772" i="12"/>
  <c r="AT772" i="12"/>
  <c r="BG772" i="12"/>
  <c r="BH772" i="12"/>
  <c r="BI772" i="12"/>
  <c r="I773" i="12"/>
  <c r="J773" i="12"/>
  <c r="K773" i="12"/>
  <c r="L773" i="12"/>
  <c r="AE773" i="12"/>
  <c r="AR773" i="12"/>
  <c r="AS773" i="12"/>
  <c r="AT773" i="12"/>
  <c r="BG773" i="12"/>
  <c r="BH773" i="12"/>
  <c r="BI773" i="12"/>
  <c r="I774" i="12"/>
  <c r="J774" i="12"/>
  <c r="K774" i="12"/>
  <c r="L774" i="12"/>
  <c r="AE774" i="12"/>
  <c r="AR774" i="12"/>
  <c r="AS774" i="12"/>
  <c r="AT774" i="12"/>
  <c r="BG774" i="12"/>
  <c r="BH774" i="12"/>
  <c r="BI774" i="12"/>
  <c r="I775" i="12"/>
  <c r="J775" i="12"/>
  <c r="K775" i="12"/>
  <c r="L775" i="12"/>
  <c r="AE775" i="12"/>
  <c r="AR775" i="12"/>
  <c r="AS775" i="12"/>
  <c r="AT775" i="12"/>
  <c r="BG775" i="12"/>
  <c r="BH775" i="12"/>
  <c r="BI775" i="12"/>
  <c r="I776" i="12"/>
  <c r="J776" i="12"/>
  <c r="K776" i="12"/>
  <c r="L776" i="12"/>
  <c r="AE776" i="12"/>
  <c r="AR776" i="12"/>
  <c r="AS776" i="12"/>
  <c r="AT776" i="12"/>
  <c r="BG776" i="12"/>
  <c r="BH776" i="12"/>
  <c r="BI776" i="12"/>
  <c r="I777" i="12"/>
  <c r="J777" i="12"/>
  <c r="K777" i="12"/>
  <c r="L777" i="12"/>
  <c r="AE777" i="12"/>
  <c r="AR777" i="12"/>
  <c r="AS777" i="12"/>
  <c r="AT777" i="12"/>
  <c r="BG777" i="12"/>
  <c r="BH777" i="12"/>
  <c r="BI777" i="12"/>
  <c r="I778" i="12"/>
  <c r="J778" i="12"/>
  <c r="K778" i="12"/>
  <c r="L778" i="12"/>
  <c r="AE778" i="12"/>
  <c r="AR778" i="12"/>
  <c r="AS778" i="12"/>
  <c r="AT778" i="12"/>
  <c r="BG778" i="12"/>
  <c r="BH778" i="12"/>
  <c r="BI778" i="12"/>
  <c r="I779" i="12"/>
  <c r="J779" i="12"/>
  <c r="K779" i="12"/>
  <c r="L779" i="12"/>
  <c r="AE779" i="12"/>
  <c r="AR779" i="12"/>
  <c r="AS779" i="12"/>
  <c r="AT779" i="12"/>
  <c r="BG779" i="12"/>
  <c r="BH779" i="12"/>
  <c r="BI779" i="12"/>
  <c r="I780" i="12"/>
  <c r="J780" i="12"/>
  <c r="K780" i="12"/>
  <c r="L780" i="12"/>
  <c r="AE780" i="12"/>
  <c r="AR780" i="12"/>
  <c r="AS780" i="12"/>
  <c r="AT780" i="12"/>
  <c r="BG780" i="12"/>
  <c r="BH780" i="12"/>
  <c r="BI780" i="12"/>
  <c r="I781" i="12"/>
  <c r="J781" i="12"/>
  <c r="K781" i="12"/>
  <c r="L781" i="12"/>
  <c r="AE781" i="12"/>
  <c r="AR781" i="12"/>
  <c r="AS781" i="12"/>
  <c r="AT781" i="12"/>
  <c r="BG781" i="12"/>
  <c r="BH781" i="12"/>
  <c r="BI781" i="12"/>
  <c r="I782" i="12"/>
  <c r="J782" i="12"/>
  <c r="K782" i="12"/>
  <c r="L782" i="12"/>
  <c r="AE782" i="12"/>
  <c r="AR782" i="12"/>
  <c r="AS782" i="12"/>
  <c r="AT782" i="12"/>
  <c r="BG782" i="12"/>
  <c r="BH782" i="12"/>
  <c r="BI782" i="12"/>
  <c r="I783" i="12"/>
  <c r="J783" i="12"/>
  <c r="K783" i="12"/>
  <c r="L783" i="12"/>
  <c r="AE783" i="12"/>
  <c r="AR783" i="12"/>
  <c r="AS783" i="12"/>
  <c r="AT783" i="12"/>
  <c r="BG783" i="12"/>
  <c r="BH783" i="12"/>
  <c r="BI783" i="12"/>
  <c r="I784" i="12"/>
  <c r="J784" i="12"/>
  <c r="K784" i="12"/>
  <c r="L784" i="12"/>
  <c r="AE784" i="12"/>
  <c r="AR784" i="12"/>
  <c r="AS784" i="12"/>
  <c r="AT784" i="12"/>
  <c r="BG784" i="12"/>
  <c r="BH784" i="12"/>
  <c r="BI784" i="12"/>
  <c r="I785" i="12"/>
  <c r="J785" i="12"/>
  <c r="K785" i="12"/>
  <c r="L785" i="12"/>
  <c r="AE785" i="12"/>
  <c r="AR785" i="12"/>
  <c r="AS785" i="12"/>
  <c r="AT785" i="12"/>
  <c r="BG785" i="12"/>
  <c r="BH785" i="12"/>
  <c r="BI785" i="12"/>
  <c r="I786" i="12"/>
  <c r="J786" i="12"/>
  <c r="K786" i="12"/>
  <c r="L786" i="12"/>
  <c r="AE786" i="12"/>
  <c r="AR786" i="12"/>
  <c r="AS786" i="12"/>
  <c r="AT786" i="12"/>
  <c r="BG786" i="12"/>
  <c r="BH786" i="12"/>
  <c r="BI786" i="12"/>
  <c r="I787" i="12"/>
  <c r="J787" i="12"/>
  <c r="K787" i="12"/>
  <c r="L787" i="12"/>
  <c r="AE787" i="12"/>
  <c r="AR787" i="12"/>
  <c r="AS787" i="12"/>
  <c r="AT787" i="12"/>
  <c r="BG787" i="12"/>
  <c r="BH787" i="12"/>
  <c r="BI787" i="12"/>
  <c r="I788" i="12"/>
  <c r="J788" i="12"/>
  <c r="K788" i="12"/>
  <c r="L788" i="12"/>
  <c r="AE788" i="12"/>
  <c r="AR788" i="12"/>
  <c r="AS788" i="12"/>
  <c r="AT788" i="12"/>
  <c r="BG788" i="12"/>
  <c r="BH788" i="12"/>
  <c r="BI788" i="12"/>
  <c r="I789" i="12"/>
  <c r="J789" i="12"/>
  <c r="K789" i="12"/>
  <c r="L789" i="12"/>
  <c r="AE789" i="12"/>
  <c r="AR789" i="12"/>
  <c r="AS789" i="12"/>
  <c r="AT789" i="12"/>
  <c r="BG789" i="12"/>
  <c r="BH789" i="12"/>
  <c r="BI789" i="12"/>
  <c r="I790" i="12"/>
  <c r="J790" i="12"/>
  <c r="K790" i="12"/>
  <c r="L790" i="12"/>
  <c r="AE790" i="12"/>
  <c r="AR790" i="12"/>
  <c r="AS790" i="12"/>
  <c r="AT790" i="12"/>
  <c r="BG790" i="12"/>
  <c r="BH790" i="12"/>
  <c r="BI790" i="12"/>
  <c r="I791" i="12"/>
  <c r="J791" i="12"/>
  <c r="K791" i="12"/>
  <c r="L791" i="12"/>
  <c r="AE791" i="12"/>
  <c r="AR791" i="12"/>
  <c r="AS791" i="12"/>
  <c r="AT791" i="12"/>
  <c r="BG791" i="12"/>
  <c r="BH791" i="12"/>
  <c r="BI791" i="12"/>
  <c r="I792" i="12"/>
  <c r="J792" i="12"/>
  <c r="K792" i="12"/>
  <c r="L792" i="12"/>
  <c r="AE792" i="12"/>
  <c r="AR792" i="12"/>
  <c r="AS792" i="12"/>
  <c r="AT792" i="12"/>
  <c r="BG792" i="12"/>
  <c r="BH792" i="12"/>
  <c r="BI792" i="12"/>
  <c r="I793" i="12"/>
  <c r="J793" i="12"/>
  <c r="K793" i="12"/>
  <c r="L793" i="12"/>
  <c r="AE793" i="12"/>
  <c r="AR793" i="12"/>
  <c r="AS793" i="12"/>
  <c r="AT793" i="12"/>
  <c r="BG793" i="12"/>
  <c r="BH793" i="12"/>
  <c r="BI793" i="12"/>
  <c r="I794" i="12"/>
  <c r="J794" i="12"/>
  <c r="K794" i="12"/>
  <c r="L794" i="12"/>
  <c r="AE794" i="12"/>
  <c r="AR794" i="12"/>
  <c r="AS794" i="12"/>
  <c r="AT794" i="12"/>
  <c r="BG794" i="12"/>
  <c r="BH794" i="12"/>
  <c r="BI794" i="12"/>
  <c r="I795" i="12"/>
  <c r="J795" i="12"/>
  <c r="K795" i="12"/>
  <c r="L795" i="12"/>
  <c r="AE795" i="12"/>
  <c r="AR795" i="12"/>
  <c r="AS795" i="12"/>
  <c r="AT795" i="12"/>
  <c r="BG795" i="12"/>
  <c r="BH795" i="12"/>
  <c r="BI795" i="12"/>
  <c r="I796" i="12"/>
  <c r="J796" i="12"/>
  <c r="K796" i="12"/>
  <c r="L796" i="12"/>
  <c r="AE796" i="12"/>
  <c r="AR796" i="12"/>
  <c r="AS796" i="12"/>
  <c r="AT796" i="12"/>
  <c r="BG796" i="12"/>
  <c r="BH796" i="12"/>
  <c r="BI796" i="12"/>
  <c r="I797" i="12"/>
  <c r="J797" i="12"/>
  <c r="K797" i="12"/>
  <c r="L797" i="12"/>
  <c r="AE797" i="12"/>
  <c r="AR797" i="12"/>
  <c r="AS797" i="12"/>
  <c r="AT797" i="12"/>
  <c r="BG797" i="12"/>
  <c r="BH797" i="12"/>
  <c r="BI797" i="12"/>
  <c r="I798" i="12"/>
  <c r="J798" i="12"/>
  <c r="K798" i="12"/>
  <c r="L798" i="12"/>
  <c r="AE798" i="12"/>
  <c r="AR798" i="12"/>
  <c r="AS798" i="12"/>
  <c r="AT798" i="12"/>
  <c r="BG798" i="12"/>
  <c r="BH798" i="12"/>
  <c r="BI798" i="12"/>
  <c r="I799" i="12"/>
  <c r="J799" i="12"/>
  <c r="K799" i="12"/>
  <c r="L799" i="12"/>
  <c r="AE799" i="12"/>
  <c r="AR799" i="12"/>
  <c r="AS799" i="12"/>
  <c r="AT799" i="12"/>
  <c r="BG799" i="12"/>
  <c r="BH799" i="12"/>
  <c r="BI799" i="12"/>
  <c r="I800" i="12"/>
  <c r="J800" i="12"/>
  <c r="K800" i="12"/>
  <c r="L800" i="12"/>
  <c r="AE800" i="12"/>
  <c r="AR800" i="12"/>
  <c r="AS800" i="12"/>
  <c r="AT800" i="12"/>
  <c r="BG800" i="12"/>
  <c r="BH800" i="12"/>
  <c r="BI800" i="12"/>
  <c r="I801" i="12"/>
  <c r="J801" i="12"/>
  <c r="K801" i="12"/>
  <c r="L801" i="12"/>
  <c r="AE801" i="12"/>
  <c r="AR801" i="12"/>
  <c r="AS801" i="12"/>
  <c r="AT801" i="12"/>
  <c r="BG801" i="12"/>
  <c r="BH801" i="12"/>
  <c r="BI801" i="12"/>
  <c r="I802" i="12"/>
  <c r="J802" i="12"/>
  <c r="K802" i="12"/>
  <c r="L802" i="12"/>
  <c r="AE802" i="12"/>
  <c r="AR802" i="12"/>
  <c r="AS802" i="12"/>
  <c r="AT802" i="12"/>
  <c r="BG802" i="12"/>
  <c r="BH802" i="12"/>
  <c r="BI802" i="12"/>
  <c r="I803" i="12"/>
  <c r="J803" i="12"/>
  <c r="K803" i="12"/>
  <c r="L803" i="12"/>
  <c r="AE803" i="12"/>
  <c r="AR803" i="12"/>
  <c r="AS803" i="12"/>
  <c r="AT803" i="12"/>
  <c r="BG803" i="12"/>
  <c r="BH803" i="12"/>
  <c r="BI803" i="12"/>
  <c r="I804" i="12"/>
  <c r="J804" i="12"/>
  <c r="K804" i="12"/>
  <c r="L804" i="12"/>
  <c r="AE804" i="12"/>
  <c r="AR804" i="12"/>
  <c r="AS804" i="12"/>
  <c r="AT804" i="12"/>
  <c r="BG804" i="12"/>
  <c r="BH804" i="12"/>
  <c r="BI804" i="12"/>
  <c r="I805" i="12"/>
  <c r="J805" i="12"/>
  <c r="K805" i="12"/>
  <c r="L805" i="12"/>
  <c r="AE805" i="12"/>
  <c r="AR805" i="12"/>
  <c r="AS805" i="12"/>
  <c r="AT805" i="12"/>
  <c r="BG805" i="12"/>
  <c r="BH805" i="12"/>
  <c r="BI805" i="12"/>
  <c r="I806" i="12"/>
  <c r="J806" i="12"/>
  <c r="K806" i="12"/>
  <c r="L806" i="12"/>
  <c r="AE806" i="12"/>
  <c r="AR806" i="12"/>
  <c r="AS806" i="12"/>
  <c r="AT806" i="12"/>
  <c r="BG806" i="12"/>
  <c r="BH806" i="12"/>
  <c r="BI806" i="12"/>
  <c r="I807" i="12"/>
  <c r="J807" i="12"/>
  <c r="K807" i="12"/>
  <c r="L807" i="12"/>
  <c r="AE807" i="12"/>
  <c r="AR807" i="12"/>
  <c r="AS807" i="12"/>
  <c r="AT807" i="12"/>
  <c r="BG807" i="12"/>
  <c r="BH807" i="12"/>
  <c r="BI807" i="12"/>
  <c r="I808" i="12"/>
  <c r="J808" i="12"/>
  <c r="K808" i="12"/>
  <c r="L808" i="12"/>
  <c r="AE808" i="12"/>
  <c r="AR808" i="12"/>
  <c r="AS808" i="12"/>
  <c r="AT808" i="12"/>
  <c r="BG808" i="12"/>
  <c r="BH808" i="12"/>
  <c r="BI808" i="12"/>
  <c r="I809" i="12"/>
  <c r="J809" i="12"/>
  <c r="K809" i="12"/>
  <c r="L809" i="12"/>
  <c r="AE809" i="12"/>
  <c r="AR809" i="12"/>
  <c r="AS809" i="12"/>
  <c r="AT809" i="12"/>
  <c r="BG809" i="12"/>
  <c r="BH809" i="12"/>
  <c r="BI809" i="12"/>
  <c r="I810" i="12"/>
  <c r="J810" i="12"/>
  <c r="K810" i="12"/>
  <c r="L810" i="12"/>
  <c r="AE810" i="12"/>
  <c r="AR810" i="12"/>
  <c r="AS810" i="12"/>
  <c r="AT810" i="12"/>
  <c r="BG810" i="12"/>
  <c r="BH810" i="12"/>
  <c r="BI810" i="12"/>
  <c r="I811" i="12"/>
  <c r="J811" i="12"/>
  <c r="K811" i="12"/>
  <c r="L811" i="12"/>
  <c r="AE811" i="12"/>
  <c r="AR811" i="12"/>
  <c r="AS811" i="12"/>
  <c r="AT811" i="12"/>
  <c r="BG811" i="12"/>
  <c r="BH811" i="12"/>
  <c r="BI811" i="12"/>
  <c r="I812" i="12"/>
  <c r="J812" i="12"/>
  <c r="K812" i="12"/>
  <c r="L812" i="12"/>
  <c r="AE812" i="12"/>
  <c r="AR812" i="12"/>
  <c r="AS812" i="12"/>
  <c r="AT812" i="12"/>
  <c r="BG812" i="12"/>
  <c r="BH812" i="12"/>
  <c r="BI812" i="12"/>
  <c r="I813" i="12"/>
  <c r="J813" i="12"/>
  <c r="K813" i="12"/>
  <c r="L813" i="12"/>
  <c r="AE813" i="12"/>
  <c r="AR813" i="12"/>
  <c r="AS813" i="12"/>
  <c r="AT813" i="12"/>
  <c r="BG813" i="12"/>
  <c r="BH813" i="12"/>
  <c r="BI813" i="12"/>
  <c r="I814" i="12"/>
  <c r="J814" i="12"/>
  <c r="K814" i="12"/>
  <c r="L814" i="12"/>
  <c r="AE814" i="12"/>
  <c r="AR814" i="12"/>
  <c r="AS814" i="12"/>
  <c r="AT814" i="12"/>
  <c r="BG814" i="12"/>
  <c r="BH814" i="12"/>
  <c r="BI814" i="12"/>
  <c r="I815" i="12"/>
  <c r="J815" i="12"/>
  <c r="K815" i="12"/>
  <c r="L815" i="12"/>
  <c r="AE815" i="12"/>
  <c r="AR815" i="12"/>
  <c r="AS815" i="12"/>
  <c r="AT815" i="12"/>
  <c r="BG815" i="12"/>
  <c r="BH815" i="12"/>
  <c r="BI815" i="12"/>
  <c r="I816" i="12"/>
  <c r="J816" i="12"/>
  <c r="K816" i="12"/>
  <c r="L816" i="12"/>
  <c r="AE816" i="12"/>
  <c r="AR816" i="12"/>
  <c r="AS816" i="12"/>
  <c r="AT816" i="12"/>
  <c r="BG816" i="12"/>
  <c r="BH816" i="12"/>
  <c r="BI816" i="12"/>
  <c r="I817" i="12"/>
  <c r="J817" i="12"/>
  <c r="K817" i="12"/>
  <c r="L817" i="12"/>
  <c r="AE817" i="12"/>
  <c r="AR817" i="12"/>
  <c r="AS817" i="12"/>
  <c r="AT817" i="12"/>
  <c r="BG817" i="12"/>
  <c r="BH817" i="12"/>
  <c r="BI817" i="12"/>
  <c r="I818" i="12"/>
  <c r="J818" i="12"/>
  <c r="K818" i="12"/>
  <c r="L818" i="12"/>
  <c r="AE818" i="12"/>
  <c r="AR818" i="12"/>
  <c r="AS818" i="12"/>
  <c r="AT818" i="12"/>
  <c r="BG818" i="12"/>
  <c r="BH818" i="12"/>
  <c r="BI818" i="12"/>
  <c r="I819" i="12"/>
  <c r="J819" i="12"/>
  <c r="K819" i="12"/>
  <c r="L819" i="12"/>
  <c r="AE819" i="12"/>
  <c r="AR819" i="12"/>
  <c r="AS819" i="12"/>
  <c r="AT819" i="12"/>
  <c r="BG819" i="12"/>
  <c r="BH819" i="12"/>
  <c r="BI819" i="12"/>
  <c r="I820" i="12"/>
  <c r="J820" i="12"/>
  <c r="K820" i="12"/>
  <c r="L820" i="12"/>
  <c r="AE820" i="12"/>
  <c r="AR820" i="12"/>
  <c r="AS820" i="12"/>
  <c r="AT820" i="12"/>
  <c r="BG820" i="12"/>
  <c r="BH820" i="12"/>
  <c r="BI820" i="12"/>
  <c r="I821" i="12"/>
  <c r="J821" i="12"/>
  <c r="K821" i="12"/>
  <c r="L821" i="12"/>
  <c r="AE821" i="12"/>
  <c r="AR821" i="12"/>
  <c r="AS821" i="12"/>
  <c r="AT821" i="12"/>
  <c r="BG821" i="12"/>
  <c r="BH821" i="12"/>
  <c r="BI821" i="12"/>
  <c r="I822" i="12"/>
  <c r="J822" i="12"/>
  <c r="K822" i="12"/>
  <c r="L822" i="12"/>
  <c r="AE822" i="12"/>
  <c r="AR822" i="12"/>
  <c r="AS822" i="12"/>
  <c r="AT822" i="12"/>
  <c r="BG822" i="12"/>
  <c r="BH822" i="12"/>
  <c r="BI822" i="12"/>
  <c r="I823" i="12"/>
  <c r="J823" i="12"/>
  <c r="K823" i="12"/>
  <c r="L823" i="12"/>
  <c r="AE823" i="12"/>
  <c r="AR823" i="12"/>
  <c r="AS823" i="12"/>
  <c r="AT823" i="12"/>
  <c r="BG823" i="12"/>
  <c r="BH823" i="12"/>
  <c r="BI823" i="12"/>
  <c r="I824" i="12"/>
  <c r="J824" i="12"/>
  <c r="K824" i="12"/>
  <c r="L824" i="12"/>
  <c r="AE824" i="12"/>
  <c r="AR824" i="12"/>
  <c r="AS824" i="12"/>
  <c r="AT824" i="12"/>
  <c r="BG824" i="12"/>
  <c r="BH824" i="12"/>
  <c r="BI824" i="12"/>
  <c r="I825" i="12"/>
  <c r="J825" i="12"/>
  <c r="K825" i="12"/>
  <c r="L825" i="12"/>
  <c r="AE825" i="12"/>
  <c r="AR825" i="12"/>
  <c r="AS825" i="12"/>
  <c r="AT825" i="12"/>
  <c r="BG825" i="12"/>
  <c r="BH825" i="12"/>
  <c r="BI825" i="12"/>
  <c r="I826" i="12"/>
  <c r="J826" i="12"/>
  <c r="K826" i="12"/>
  <c r="L826" i="12"/>
  <c r="AE826" i="12"/>
  <c r="AR826" i="12"/>
  <c r="AS826" i="12"/>
  <c r="AT826" i="12"/>
  <c r="BG826" i="12"/>
  <c r="BH826" i="12"/>
  <c r="BI826" i="12"/>
  <c r="I827" i="12"/>
  <c r="J827" i="12"/>
  <c r="K827" i="12"/>
  <c r="L827" i="12"/>
  <c r="AE827" i="12"/>
  <c r="AR827" i="12"/>
  <c r="AS827" i="12"/>
  <c r="AT827" i="12"/>
  <c r="BG827" i="12"/>
  <c r="BH827" i="12"/>
  <c r="BI827" i="12"/>
  <c r="I828" i="12"/>
  <c r="J828" i="12"/>
  <c r="K828" i="12"/>
  <c r="L828" i="12"/>
  <c r="AE828" i="12"/>
  <c r="AR828" i="12"/>
  <c r="AS828" i="12"/>
  <c r="AT828" i="12"/>
  <c r="BG828" i="12"/>
  <c r="BH828" i="12"/>
  <c r="BI828" i="12"/>
  <c r="I829" i="12"/>
  <c r="J829" i="12"/>
  <c r="K829" i="12"/>
  <c r="L829" i="12"/>
  <c r="AE829" i="12"/>
  <c r="AR829" i="12"/>
  <c r="AS829" i="12"/>
  <c r="AT829" i="12"/>
  <c r="BG829" i="12"/>
  <c r="BH829" i="12"/>
  <c r="BI829" i="12"/>
  <c r="I830" i="12"/>
  <c r="J830" i="12"/>
  <c r="K830" i="12"/>
  <c r="L830" i="12"/>
  <c r="AE830" i="12"/>
  <c r="AR830" i="12"/>
  <c r="AS830" i="12"/>
  <c r="AT830" i="12"/>
  <c r="BG830" i="12"/>
  <c r="BH830" i="12"/>
  <c r="BI830" i="12"/>
  <c r="I831" i="12"/>
  <c r="J831" i="12"/>
  <c r="K831" i="12"/>
  <c r="L831" i="12"/>
  <c r="AE831" i="12"/>
  <c r="AR831" i="12"/>
  <c r="AS831" i="12"/>
  <c r="AT831" i="12"/>
  <c r="BG831" i="12"/>
  <c r="BH831" i="12"/>
  <c r="BI831" i="12"/>
  <c r="I832" i="12"/>
  <c r="J832" i="12"/>
  <c r="K832" i="12"/>
  <c r="L832" i="12"/>
  <c r="AE832" i="12"/>
  <c r="AR832" i="12"/>
  <c r="AS832" i="12"/>
  <c r="AT832" i="12"/>
  <c r="BG832" i="12"/>
  <c r="BH832" i="12"/>
  <c r="BI832" i="12"/>
  <c r="I833" i="12"/>
  <c r="J833" i="12"/>
  <c r="K833" i="12"/>
  <c r="L833" i="12"/>
  <c r="AE833" i="12"/>
  <c r="AR833" i="12"/>
  <c r="AS833" i="12"/>
  <c r="AT833" i="12"/>
  <c r="BG833" i="12"/>
  <c r="BH833" i="12"/>
  <c r="BI833" i="12"/>
  <c r="I834" i="12"/>
  <c r="J834" i="12"/>
  <c r="K834" i="12"/>
  <c r="L834" i="12"/>
  <c r="AE834" i="12"/>
  <c r="AR834" i="12"/>
  <c r="AS834" i="12"/>
  <c r="AT834" i="12"/>
  <c r="BG834" i="12"/>
  <c r="BH834" i="12"/>
  <c r="BI834" i="12"/>
  <c r="I835" i="12"/>
  <c r="J835" i="12"/>
  <c r="K835" i="12"/>
  <c r="L835" i="12"/>
  <c r="AE835" i="12"/>
  <c r="AR835" i="12"/>
  <c r="AS835" i="12"/>
  <c r="AT835" i="12"/>
  <c r="BG835" i="12"/>
  <c r="BH835" i="12"/>
  <c r="BI835" i="12"/>
  <c r="I836" i="12"/>
  <c r="J836" i="12"/>
  <c r="K836" i="12"/>
  <c r="L836" i="12"/>
  <c r="AE836" i="12"/>
  <c r="AR836" i="12"/>
  <c r="AS836" i="12"/>
  <c r="AT836" i="12"/>
  <c r="BG836" i="12"/>
  <c r="BH836" i="12"/>
  <c r="BI836" i="12"/>
  <c r="I837" i="12"/>
  <c r="J837" i="12"/>
  <c r="K837" i="12"/>
  <c r="L837" i="12"/>
  <c r="AE837" i="12"/>
  <c r="AR837" i="12"/>
  <c r="AS837" i="12"/>
  <c r="AT837" i="12"/>
  <c r="BG837" i="12"/>
  <c r="BH837" i="12"/>
  <c r="BI837" i="12"/>
  <c r="I838" i="12"/>
  <c r="J838" i="12"/>
  <c r="K838" i="12"/>
  <c r="L838" i="12"/>
  <c r="AE838" i="12"/>
  <c r="AR838" i="12"/>
  <c r="AS838" i="12"/>
  <c r="AT838" i="12"/>
  <c r="BG838" i="12"/>
  <c r="BH838" i="12"/>
  <c r="BI838" i="12"/>
  <c r="I839" i="12"/>
  <c r="J839" i="12"/>
  <c r="K839" i="12"/>
  <c r="L839" i="12"/>
  <c r="AE839" i="12"/>
  <c r="AR839" i="12"/>
  <c r="AS839" i="12"/>
  <c r="AT839" i="12"/>
  <c r="BG839" i="12"/>
  <c r="BH839" i="12"/>
  <c r="BI839" i="12"/>
  <c r="I840" i="12"/>
  <c r="J840" i="12"/>
  <c r="K840" i="12"/>
  <c r="L840" i="12"/>
  <c r="AE840" i="12"/>
  <c r="AR840" i="12"/>
  <c r="AS840" i="12"/>
  <c r="AT840" i="12"/>
  <c r="BG840" i="12"/>
  <c r="BH840" i="12"/>
  <c r="BI840" i="12"/>
  <c r="I841" i="12"/>
  <c r="J841" i="12"/>
  <c r="K841" i="12"/>
  <c r="L841" i="12"/>
  <c r="AE841" i="12"/>
  <c r="AR841" i="12"/>
  <c r="AS841" i="12"/>
  <c r="AT841" i="12"/>
  <c r="BG841" i="12"/>
  <c r="BH841" i="12"/>
  <c r="BI841" i="12"/>
  <c r="I842" i="12"/>
  <c r="J842" i="12"/>
  <c r="K842" i="12"/>
  <c r="L842" i="12"/>
  <c r="AE842" i="12"/>
  <c r="AR842" i="12"/>
  <c r="AS842" i="12"/>
  <c r="AT842" i="12"/>
  <c r="BG842" i="12"/>
  <c r="BH842" i="12"/>
  <c r="BI842" i="12"/>
  <c r="I843" i="12"/>
  <c r="J843" i="12"/>
  <c r="K843" i="12"/>
  <c r="L843" i="12"/>
  <c r="AE843" i="12"/>
  <c r="AR843" i="12"/>
  <c r="AS843" i="12"/>
  <c r="AT843" i="12"/>
  <c r="BG843" i="12"/>
  <c r="BH843" i="12"/>
  <c r="BI843" i="12"/>
  <c r="I844" i="12"/>
  <c r="J844" i="12"/>
  <c r="K844" i="12"/>
  <c r="L844" i="12"/>
  <c r="AE844" i="12"/>
  <c r="AR844" i="12"/>
  <c r="AS844" i="12"/>
  <c r="AT844" i="12"/>
  <c r="BG844" i="12"/>
  <c r="BH844" i="12"/>
  <c r="BI844" i="12"/>
  <c r="I845" i="12"/>
  <c r="J845" i="12"/>
  <c r="K845" i="12"/>
  <c r="L845" i="12"/>
  <c r="AE845" i="12"/>
  <c r="AR845" i="12"/>
  <c r="AS845" i="12"/>
  <c r="AT845" i="12"/>
  <c r="BG845" i="12"/>
  <c r="BH845" i="12"/>
  <c r="BI845" i="12"/>
  <c r="I846" i="12"/>
  <c r="J846" i="12"/>
  <c r="K846" i="12"/>
  <c r="L846" i="12"/>
  <c r="AE846" i="12"/>
  <c r="AR846" i="12"/>
  <c r="AS846" i="12"/>
  <c r="AT846" i="12"/>
  <c r="BG846" i="12"/>
  <c r="BH846" i="12"/>
  <c r="BI846" i="12"/>
  <c r="I847" i="12"/>
  <c r="J847" i="12"/>
  <c r="K847" i="12"/>
  <c r="L847" i="12"/>
  <c r="AE847" i="12"/>
  <c r="AR847" i="12"/>
  <c r="AS847" i="12"/>
  <c r="AT847" i="12"/>
  <c r="BG847" i="12"/>
  <c r="BH847" i="12"/>
  <c r="BI847" i="12"/>
  <c r="I848" i="12"/>
  <c r="J848" i="12"/>
  <c r="K848" i="12"/>
  <c r="L848" i="12"/>
  <c r="AE848" i="12"/>
  <c r="AR848" i="12"/>
  <c r="AS848" i="12"/>
  <c r="AT848" i="12"/>
  <c r="BG848" i="12"/>
  <c r="BH848" i="12"/>
  <c r="BI848" i="12"/>
  <c r="I849" i="12"/>
  <c r="J849" i="12"/>
  <c r="K849" i="12"/>
  <c r="L849" i="12"/>
  <c r="AE849" i="12"/>
  <c r="AR849" i="12"/>
  <c r="AS849" i="12"/>
  <c r="AT849" i="12"/>
  <c r="BG849" i="12"/>
  <c r="BH849" i="12"/>
  <c r="BI849" i="12"/>
  <c r="I850" i="12"/>
  <c r="J850" i="12"/>
  <c r="K850" i="12"/>
  <c r="L850" i="12"/>
  <c r="AE850" i="12"/>
  <c r="AR850" i="12"/>
  <c r="AS850" i="12"/>
  <c r="AT850" i="12"/>
  <c r="BG850" i="12"/>
  <c r="BH850" i="12"/>
  <c r="BI850" i="12"/>
  <c r="I851" i="12"/>
  <c r="J851" i="12"/>
  <c r="K851" i="12"/>
  <c r="L851" i="12"/>
  <c r="AE851" i="12"/>
  <c r="AR851" i="12"/>
  <c r="AS851" i="12"/>
  <c r="AT851" i="12"/>
  <c r="BG851" i="12"/>
  <c r="BH851" i="12"/>
  <c r="BI851" i="12"/>
  <c r="I852" i="12"/>
  <c r="J852" i="12"/>
  <c r="K852" i="12"/>
  <c r="L852" i="12"/>
  <c r="AE852" i="12"/>
  <c r="AR852" i="12"/>
  <c r="AS852" i="12"/>
  <c r="AT852" i="12"/>
  <c r="BG852" i="12"/>
  <c r="BH852" i="12"/>
  <c r="BI852" i="12"/>
  <c r="I853" i="12"/>
  <c r="J853" i="12"/>
  <c r="K853" i="12"/>
  <c r="L853" i="12"/>
  <c r="AE853" i="12"/>
  <c r="AR853" i="12"/>
  <c r="AS853" i="12"/>
  <c r="AT853" i="12"/>
  <c r="BG853" i="12"/>
  <c r="BH853" i="12"/>
  <c r="BI853" i="12"/>
  <c r="I854" i="12"/>
  <c r="J854" i="12"/>
  <c r="K854" i="12"/>
  <c r="L854" i="12"/>
  <c r="AE854" i="12"/>
  <c r="AR854" i="12"/>
  <c r="AS854" i="12"/>
  <c r="AT854" i="12"/>
  <c r="BG854" i="12"/>
  <c r="BH854" i="12"/>
  <c r="BI854" i="12"/>
  <c r="I855" i="12"/>
  <c r="J855" i="12"/>
  <c r="K855" i="12"/>
  <c r="L855" i="12"/>
  <c r="AE855" i="12"/>
  <c r="AR855" i="12"/>
  <c r="AS855" i="12"/>
  <c r="AT855" i="12"/>
  <c r="BG855" i="12"/>
  <c r="BH855" i="12"/>
  <c r="BI855" i="12"/>
  <c r="I856" i="12"/>
  <c r="J856" i="12"/>
  <c r="K856" i="12"/>
  <c r="L856" i="12"/>
  <c r="AE856" i="12"/>
  <c r="AR856" i="12"/>
  <c r="AS856" i="12"/>
  <c r="AT856" i="12"/>
  <c r="BG856" i="12"/>
  <c r="BH856" i="12"/>
  <c r="BI856" i="12"/>
  <c r="I857" i="12"/>
  <c r="J857" i="12"/>
  <c r="K857" i="12"/>
  <c r="L857" i="12"/>
  <c r="AE857" i="12"/>
  <c r="AR857" i="12"/>
  <c r="AS857" i="12"/>
  <c r="AT857" i="12"/>
  <c r="BG857" i="12"/>
  <c r="BH857" i="12"/>
  <c r="BI857" i="12"/>
  <c r="I858" i="12"/>
  <c r="J858" i="12"/>
  <c r="K858" i="12"/>
  <c r="L858" i="12"/>
  <c r="AE858" i="12"/>
  <c r="AR858" i="12"/>
  <c r="AS858" i="12"/>
  <c r="AT858" i="12"/>
  <c r="BG858" i="12"/>
  <c r="BH858" i="12"/>
  <c r="BI858" i="12"/>
  <c r="I860" i="12"/>
  <c r="J860" i="12"/>
  <c r="K860" i="12"/>
  <c r="L860" i="12"/>
  <c r="AE860" i="12"/>
  <c r="AR860" i="12"/>
  <c r="AS860" i="12"/>
  <c r="AT860" i="12"/>
  <c r="BG860" i="12"/>
  <c r="BH860" i="12"/>
  <c r="BI860" i="12"/>
  <c r="I861" i="12"/>
  <c r="J861" i="12"/>
  <c r="K861" i="12"/>
  <c r="L861" i="12"/>
  <c r="AE861" i="12"/>
  <c r="AR861" i="12"/>
  <c r="AS861" i="12"/>
  <c r="AT861" i="12"/>
  <c r="BG861" i="12"/>
  <c r="BH861" i="12"/>
  <c r="BI861" i="12"/>
  <c r="I862" i="12"/>
  <c r="J862" i="12"/>
  <c r="K862" i="12"/>
  <c r="L862" i="12"/>
  <c r="AE862" i="12"/>
  <c r="AR862" i="12"/>
  <c r="AS862" i="12"/>
  <c r="AT862" i="12"/>
  <c r="BG862" i="12"/>
  <c r="BH862" i="12"/>
  <c r="BI862" i="12"/>
  <c r="I863" i="12"/>
  <c r="J863" i="12"/>
  <c r="K863" i="12"/>
  <c r="L863" i="12"/>
  <c r="AE863" i="12"/>
  <c r="AR863" i="12"/>
  <c r="AS863" i="12"/>
  <c r="AT863" i="12"/>
  <c r="BG863" i="12"/>
  <c r="BH863" i="12"/>
  <c r="BI863" i="12"/>
  <c r="I864" i="12"/>
  <c r="J864" i="12"/>
  <c r="K864" i="12"/>
  <c r="L864" i="12"/>
  <c r="AE864" i="12"/>
  <c r="AR864" i="12"/>
  <c r="AS864" i="12"/>
  <c r="AT864" i="12"/>
  <c r="BG864" i="12"/>
  <c r="BH864" i="12"/>
  <c r="BI864" i="12"/>
  <c r="I865" i="12"/>
  <c r="J865" i="12"/>
  <c r="K865" i="12"/>
  <c r="L865" i="12"/>
  <c r="AE865" i="12"/>
  <c r="AR865" i="12"/>
  <c r="AS865" i="12"/>
  <c r="AT865" i="12"/>
  <c r="BG865" i="12"/>
  <c r="BH865" i="12"/>
  <c r="BI865" i="12"/>
  <c r="I866" i="12"/>
  <c r="J866" i="12"/>
  <c r="K866" i="12"/>
  <c r="L866" i="12"/>
  <c r="AE866" i="12"/>
  <c r="AR866" i="12"/>
  <c r="AS866" i="12"/>
  <c r="AT866" i="12"/>
  <c r="BG866" i="12"/>
  <c r="BH866" i="12"/>
  <c r="BI866" i="12"/>
  <c r="I868" i="12"/>
  <c r="J868" i="12"/>
  <c r="K868" i="12"/>
  <c r="L868" i="12"/>
  <c r="AE868" i="12"/>
  <c r="AR868" i="12"/>
  <c r="AS868" i="12"/>
  <c r="AT868" i="12"/>
  <c r="BG868" i="12"/>
  <c r="BH868" i="12"/>
  <c r="BI868" i="12"/>
  <c r="I869" i="12"/>
  <c r="J869" i="12"/>
  <c r="K869" i="12"/>
  <c r="L869" i="12"/>
  <c r="AE869" i="12"/>
  <c r="AR869" i="12"/>
  <c r="AS869" i="12"/>
  <c r="AT869" i="12"/>
  <c r="BG869" i="12"/>
  <c r="BH869" i="12"/>
  <c r="BI869" i="12"/>
  <c r="I870" i="12"/>
  <c r="J870" i="12"/>
  <c r="K870" i="12"/>
  <c r="L870" i="12"/>
  <c r="AE870" i="12"/>
  <c r="AR870" i="12"/>
  <c r="AS870" i="12"/>
  <c r="AT870" i="12"/>
  <c r="BG870" i="12"/>
  <c r="BH870" i="12"/>
  <c r="BI870" i="12"/>
  <c r="I871" i="12"/>
  <c r="J871" i="12"/>
  <c r="K871" i="12"/>
  <c r="L871" i="12"/>
  <c r="AE871" i="12"/>
  <c r="AR871" i="12"/>
  <c r="AS871" i="12"/>
  <c r="AT871" i="12"/>
  <c r="BG871" i="12"/>
  <c r="BH871" i="12"/>
  <c r="BI871" i="12"/>
  <c r="I872" i="12"/>
  <c r="J872" i="12"/>
  <c r="K872" i="12"/>
  <c r="L872" i="12"/>
  <c r="AE872" i="12"/>
  <c r="AR872" i="12"/>
  <c r="AS872" i="12"/>
  <c r="AT872" i="12"/>
  <c r="BG872" i="12"/>
  <c r="BH872" i="12"/>
  <c r="BI872" i="12"/>
  <c r="I873" i="12"/>
  <c r="J873" i="12"/>
  <c r="K873" i="12"/>
  <c r="L873" i="12"/>
  <c r="AE873" i="12"/>
  <c r="AR873" i="12"/>
  <c r="AS873" i="12"/>
  <c r="AT873" i="12"/>
  <c r="BG873" i="12"/>
  <c r="BH873" i="12"/>
  <c r="BI873" i="12"/>
  <c r="I874" i="12"/>
  <c r="J874" i="12"/>
  <c r="K874" i="12"/>
  <c r="L874" i="12"/>
  <c r="AE874" i="12"/>
  <c r="AR874" i="12"/>
  <c r="AS874" i="12"/>
  <c r="AT874" i="12"/>
  <c r="BG874" i="12"/>
  <c r="BH874" i="12"/>
  <c r="BI874" i="12"/>
  <c r="I875" i="12"/>
  <c r="J875" i="12"/>
  <c r="K875" i="12"/>
  <c r="L875" i="12"/>
  <c r="AE875" i="12"/>
  <c r="AR875" i="12"/>
  <c r="AS875" i="12"/>
  <c r="AT875" i="12"/>
  <c r="BG875" i="12"/>
  <c r="BH875" i="12"/>
  <c r="BI875" i="12"/>
  <c r="I876" i="12"/>
  <c r="J876" i="12"/>
  <c r="K876" i="12"/>
  <c r="L876" i="12"/>
  <c r="AE876" i="12"/>
  <c r="AR876" i="12"/>
  <c r="AS876" i="12"/>
  <c r="AT876" i="12"/>
  <c r="BG876" i="12"/>
  <c r="BH876" i="12"/>
  <c r="BI876" i="12"/>
  <c r="I877" i="12"/>
  <c r="J877" i="12"/>
  <c r="K877" i="12"/>
  <c r="L877" i="12"/>
  <c r="AE877" i="12"/>
  <c r="AR877" i="12"/>
  <c r="AS877" i="12"/>
  <c r="AT877" i="12"/>
  <c r="BG877" i="12"/>
  <c r="BH877" i="12"/>
  <c r="BI877" i="12"/>
  <c r="I878" i="12"/>
  <c r="J878" i="12"/>
  <c r="K878" i="12"/>
  <c r="L878" i="12"/>
  <c r="AE878" i="12"/>
  <c r="AR878" i="12"/>
  <c r="AS878" i="12"/>
  <c r="AT878" i="12"/>
  <c r="BG878" i="12"/>
  <c r="BH878" i="12"/>
  <c r="BI878" i="12"/>
  <c r="I879" i="12"/>
  <c r="J879" i="12"/>
  <c r="K879" i="12"/>
  <c r="L879" i="12"/>
  <c r="AE879" i="12"/>
  <c r="AR879" i="12"/>
  <c r="AS879" i="12"/>
  <c r="AT879" i="12"/>
  <c r="BG879" i="12"/>
  <c r="BH879" i="12"/>
  <c r="BI879" i="12"/>
  <c r="I880" i="12"/>
  <c r="J880" i="12"/>
  <c r="K880" i="12"/>
  <c r="L880" i="12"/>
  <c r="AE880" i="12"/>
  <c r="AR880" i="12"/>
  <c r="AS880" i="12"/>
  <c r="AT880" i="12"/>
  <c r="BG880" i="12"/>
  <c r="BH880" i="12"/>
  <c r="BI880" i="12"/>
  <c r="I881" i="12"/>
  <c r="J881" i="12"/>
  <c r="K881" i="12"/>
  <c r="L881" i="12"/>
  <c r="AE881" i="12"/>
  <c r="AR881" i="12"/>
  <c r="AS881" i="12"/>
  <c r="AT881" i="12"/>
  <c r="BG881" i="12"/>
  <c r="BH881" i="12"/>
  <c r="BI881" i="12"/>
  <c r="I882" i="12"/>
  <c r="J882" i="12"/>
  <c r="K882" i="12"/>
  <c r="L882" i="12"/>
  <c r="AE882" i="12"/>
  <c r="AR882" i="12"/>
  <c r="AS882" i="12"/>
  <c r="AT882" i="12"/>
  <c r="BG882" i="12"/>
  <c r="BH882" i="12"/>
  <c r="BI882" i="12"/>
  <c r="I883" i="12"/>
  <c r="J883" i="12"/>
  <c r="K883" i="12"/>
  <c r="L883" i="12"/>
  <c r="AE883" i="12"/>
  <c r="AR883" i="12"/>
  <c r="AS883" i="12"/>
  <c r="AT883" i="12"/>
  <c r="BG883" i="12"/>
  <c r="BH883" i="12"/>
  <c r="BI883" i="12"/>
  <c r="I884" i="12"/>
  <c r="J884" i="12"/>
  <c r="K884" i="12"/>
  <c r="L884" i="12"/>
  <c r="AE884" i="12"/>
  <c r="AR884" i="12"/>
  <c r="AS884" i="12"/>
  <c r="AT884" i="12"/>
  <c r="BG884" i="12"/>
  <c r="BH884" i="12"/>
  <c r="BI884" i="12"/>
  <c r="I885" i="12"/>
  <c r="J885" i="12"/>
  <c r="K885" i="12"/>
  <c r="L885" i="12"/>
  <c r="AE885" i="12"/>
  <c r="AR885" i="12"/>
  <c r="AS885" i="12"/>
  <c r="AT885" i="12"/>
  <c r="BG885" i="12"/>
  <c r="BH885" i="12"/>
  <c r="BI885" i="12"/>
  <c r="I886" i="12"/>
  <c r="J886" i="12"/>
  <c r="K886" i="12"/>
  <c r="L886" i="12"/>
  <c r="AE886" i="12"/>
  <c r="AR886" i="12"/>
  <c r="AS886" i="12"/>
  <c r="AT886" i="12"/>
  <c r="BG886" i="12"/>
  <c r="BH886" i="12"/>
  <c r="BI886" i="12"/>
  <c r="I887" i="12"/>
  <c r="J887" i="12"/>
  <c r="K887" i="12"/>
  <c r="L887" i="12"/>
  <c r="AE887" i="12"/>
  <c r="AR887" i="12"/>
  <c r="AS887" i="12"/>
  <c r="AT887" i="12"/>
  <c r="BG887" i="12"/>
  <c r="BH887" i="12"/>
  <c r="BI887" i="12"/>
  <c r="I888" i="12"/>
  <c r="J888" i="12"/>
  <c r="K888" i="12"/>
  <c r="L888" i="12"/>
  <c r="AE888" i="12"/>
  <c r="AR888" i="12"/>
  <c r="AS888" i="12"/>
  <c r="AT888" i="12"/>
  <c r="BG888" i="12"/>
  <c r="BH888" i="12"/>
  <c r="BI888" i="12"/>
  <c r="I889" i="12"/>
  <c r="J889" i="12"/>
  <c r="K889" i="12"/>
  <c r="L889" i="12"/>
  <c r="AE889" i="12"/>
  <c r="AR889" i="12"/>
  <c r="AS889" i="12"/>
  <c r="AT889" i="12"/>
  <c r="BG889" i="12"/>
  <c r="BH889" i="12"/>
  <c r="BI889" i="12"/>
  <c r="I890" i="12"/>
  <c r="J890" i="12"/>
  <c r="K890" i="12"/>
  <c r="L890" i="12"/>
  <c r="AE890" i="12"/>
  <c r="AR890" i="12"/>
  <c r="AS890" i="12"/>
  <c r="AT890" i="12"/>
  <c r="BG890" i="12"/>
  <c r="BH890" i="12"/>
  <c r="BI890" i="12"/>
  <c r="I891" i="12"/>
  <c r="J891" i="12"/>
  <c r="K891" i="12"/>
  <c r="L891" i="12"/>
  <c r="AE891" i="12"/>
  <c r="AR891" i="12"/>
  <c r="AS891" i="12"/>
  <c r="AT891" i="12"/>
  <c r="BG891" i="12"/>
  <c r="BH891" i="12"/>
  <c r="BI891" i="12"/>
  <c r="I892" i="12"/>
  <c r="J892" i="12"/>
  <c r="K892" i="12"/>
  <c r="L892" i="12"/>
  <c r="AE892" i="12"/>
  <c r="AR892" i="12"/>
  <c r="AS892" i="12"/>
  <c r="AT892" i="12"/>
  <c r="BG892" i="12"/>
  <c r="BH892" i="12"/>
  <c r="BI892" i="12"/>
  <c r="I893" i="12"/>
  <c r="J893" i="12"/>
  <c r="K893" i="12"/>
  <c r="L893" i="12"/>
  <c r="AE893" i="12"/>
  <c r="AR893" i="12"/>
  <c r="AS893" i="12"/>
  <c r="AT893" i="12"/>
  <c r="BG893" i="12"/>
  <c r="BH893" i="12"/>
  <c r="BI893" i="12"/>
  <c r="I894" i="12"/>
  <c r="J894" i="12"/>
  <c r="K894" i="12"/>
  <c r="L894" i="12"/>
  <c r="AE894" i="12"/>
  <c r="AR894" i="12"/>
  <c r="AS894" i="12"/>
  <c r="AT894" i="12"/>
  <c r="BG894" i="12"/>
  <c r="BH894" i="12"/>
  <c r="BI894" i="12"/>
  <c r="I895" i="12"/>
  <c r="J895" i="12"/>
  <c r="K895" i="12"/>
  <c r="L895" i="12"/>
  <c r="AE895" i="12"/>
  <c r="AR895" i="12"/>
  <c r="AS895" i="12"/>
  <c r="AT895" i="12"/>
  <c r="BG895" i="12"/>
  <c r="BH895" i="12"/>
  <c r="BI895" i="12"/>
  <c r="I896" i="12"/>
  <c r="J896" i="12"/>
  <c r="K896" i="12"/>
  <c r="L896" i="12"/>
  <c r="AE896" i="12"/>
  <c r="AR896" i="12"/>
  <c r="AS896" i="12"/>
  <c r="AT896" i="12"/>
  <c r="BG896" i="12"/>
  <c r="BH896" i="12"/>
  <c r="BI896" i="12"/>
  <c r="I897" i="12"/>
  <c r="J897" i="12"/>
  <c r="K897" i="12"/>
  <c r="L897" i="12"/>
  <c r="AE897" i="12"/>
  <c r="AR897" i="12"/>
  <c r="AS897" i="12"/>
  <c r="AT897" i="12"/>
  <c r="BG897" i="12"/>
  <c r="BH897" i="12"/>
  <c r="BI897" i="12"/>
  <c r="I898" i="12"/>
  <c r="J898" i="12"/>
  <c r="K898" i="12"/>
  <c r="L898" i="12"/>
  <c r="AE898" i="12"/>
  <c r="AR898" i="12"/>
  <c r="AS898" i="12"/>
  <c r="AT898" i="12"/>
  <c r="BG898" i="12"/>
  <c r="BH898" i="12"/>
  <c r="BI898" i="12"/>
  <c r="I899" i="12"/>
  <c r="J899" i="12"/>
  <c r="K899" i="12"/>
  <c r="L899" i="12"/>
  <c r="AE899" i="12"/>
  <c r="AR899" i="12"/>
  <c r="AS899" i="12"/>
  <c r="AT899" i="12"/>
  <c r="BG899" i="12"/>
  <c r="BH899" i="12"/>
  <c r="BI899" i="12"/>
  <c r="I900" i="12"/>
  <c r="J900" i="12"/>
  <c r="K900" i="12"/>
  <c r="L900" i="12"/>
  <c r="AE900" i="12"/>
  <c r="AR900" i="12"/>
  <c r="AS900" i="12"/>
  <c r="AT900" i="12"/>
  <c r="BG900" i="12"/>
  <c r="BH900" i="12"/>
  <c r="BI900" i="12"/>
  <c r="I901" i="12"/>
  <c r="J901" i="12"/>
  <c r="K901" i="12"/>
  <c r="L901" i="12"/>
  <c r="AE901" i="12"/>
  <c r="AR901" i="12"/>
  <c r="AS901" i="12"/>
  <c r="AT901" i="12"/>
  <c r="BG901" i="12"/>
  <c r="BH901" i="12"/>
  <c r="BI901" i="12"/>
  <c r="I902" i="12"/>
  <c r="J902" i="12"/>
  <c r="K902" i="12"/>
  <c r="L902" i="12"/>
  <c r="AE902" i="12"/>
  <c r="AR902" i="12"/>
  <c r="AS902" i="12"/>
  <c r="AT902" i="12"/>
  <c r="BG902" i="12"/>
  <c r="BH902" i="12"/>
  <c r="BI902" i="12"/>
  <c r="I903" i="12"/>
  <c r="J903" i="12"/>
  <c r="K903" i="12"/>
  <c r="L903" i="12"/>
  <c r="AE903" i="12"/>
  <c r="AR903" i="12"/>
  <c r="AS903" i="12"/>
  <c r="AT903" i="12"/>
  <c r="BG903" i="12"/>
  <c r="BH903" i="12"/>
  <c r="BI903" i="12"/>
  <c r="I904" i="12"/>
  <c r="J904" i="12"/>
  <c r="K904" i="12"/>
  <c r="L904" i="12"/>
  <c r="AE904" i="12"/>
  <c r="AR904" i="12"/>
  <c r="AS904" i="12"/>
  <c r="AT904" i="12"/>
  <c r="BG904" i="12"/>
  <c r="BH904" i="12"/>
  <c r="BI904" i="12"/>
  <c r="I905" i="12"/>
  <c r="J905" i="12"/>
  <c r="K905" i="12"/>
  <c r="L905" i="12"/>
  <c r="AE905" i="12"/>
  <c r="AR905" i="12"/>
  <c r="AS905" i="12"/>
  <c r="AT905" i="12"/>
  <c r="BG905" i="12"/>
  <c r="BH905" i="12"/>
  <c r="BI905" i="12"/>
  <c r="I906" i="12"/>
  <c r="J906" i="12"/>
  <c r="K906" i="12"/>
  <c r="L906" i="12"/>
  <c r="AE906" i="12"/>
  <c r="AR906" i="12"/>
  <c r="AS906" i="12"/>
  <c r="AT906" i="12"/>
  <c r="BG906" i="12"/>
  <c r="BH906" i="12"/>
  <c r="BI906" i="12"/>
  <c r="I907" i="12"/>
  <c r="J907" i="12"/>
  <c r="K907" i="12"/>
  <c r="L907" i="12"/>
  <c r="AE907" i="12"/>
  <c r="AR907" i="12"/>
  <c r="AS907" i="12"/>
  <c r="AT907" i="12"/>
  <c r="BG907" i="12"/>
  <c r="BH907" i="12"/>
  <c r="BI907" i="12"/>
  <c r="I908" i="12"/>
  <c r="J908" i="12"/>
  <c r="K908" i="12"/>
  <c r="L908" i="12"/>
  <c r="AE908" i="12"/>
  <c r="AR908" i="12"/>
  <c r="AS908" i="12"/>
  <c r="AT908" i="12"/>
  <c r="BG908" i="12"/>
  <c r="BH908" i="12"/>
  <c r="BI908" i="12"/>
  <c r="I909" i="12"/>
  <c r="J909" i="12"/>
  <c r="K909" i="12"/>
  <c r="L909" i="12"/>
  <c r="AE909" i="12"/>
  <c r="AR909" i="12"/>
  <c r="AS909" i="12"/>
  <c r="AT909" i="12"/>
  <c r="BG909" i="12"/>
  <c r="BH909" i="12"/>
  <c r="BI909" i="12"/>
  <c r="I910" i="12"/>
  <c r="J910" i="12"/>
  <c r="K910" i="12"/>
  <c r="L910" i="12"/>
  <c r="AE910" i="12"/>
  <c r="AR910" i="12"/>
  <c r="AS910" i="12"/>
  <c r="AT910" i="12"/>
  <c r="BG910" i="12"/>
  <c r="BH910" i="12"/>
  <c r="BI910" i="12"/>
  <c r="I911" i="12"/>
  <c r="J911" i="12"/>
  <c r="K911" i="12"/>
  <c r="L911" i="12"/>
  <c r="AE911" i="12"/>
  <c r="AR911" i="12"/>
  <c r="AS911" i="12"/>
  <c r="AT911" i="12"/>
  <c r="BG911" i="12"/>
  <c r="BH911" i="12"/>
  <c r="BI911" i="12"/>
  <c r="I912" i="12"/>
  <c r="J912" i="12"/>
  <c r="K912" i="12"/>
  <c r="L912" i="12"/>
  <c r="AE912" i="12"/>
  <c r="AR912" i="12"/>
  <c r="AS912" i="12"/>
  <c r="AT912" i="12"/>
  <c r="BG912" i="12"/>
  <c r="BH912" i="12"/>
  <c r="BI912" i="12"/>
  <c r="I913" i="12"/>
  <c r="J913" i="12"/>
  <c r="K913" i="12"/>
  <c r="L913" i="12"/>
  <c r="AE913" i="12"/>
  <c r="AR913" i="12"/>
  <c r="AS913" i="12"/>
  <c r="AT913" i="12"/>
  <c r="BG913" i="12"/>
  <c r="BH913" i="12"/>
  <c r="BI913" i="12"/>
  <c r="I914" i="12"/>
  <c r="J914" i="12"/>
  <c r="K914" i="12"/>
  <c r="L914" i="12"/>
  <c r="AE914" i="12"/>
  <c r="AR914" i="12"/>
  <c r="AS914" i="12"/>
  <c r="AT914" i="12"/>
  <c r="BG914" i="12"/>
  <c r="BH914" i="12"/>
  <c r="BI914" i="12"/>
  <c r="I915" i="12"/>
  <c r="J915" i="12"/>
  <c r="K915" i="12"/>
  <c r="L915" i="12"/>
  <c r="AE915" i="12"/>
  <c r="AR915" i="12"/>
  <c r="AS915" i="12"/>
  <c r="AT915" i="12"/>
  <c r="BG915" i="12"/>
  <c r="BH915" i="12"/>
  <c r="BI915" i="12"/>
  <c r="I916" i="12"/>
  <c r="J916" i="12"/>
  <c r="K916" i="12"/>
  <c r="L916" i="12"/>
  <c r="AE916" i="12"/>
  <c r="AR916" i="12"/>
  <c r="AS916" i="12"/>
  <c r="AT916" i="12"/>
  <c r="BG916" i="12"/>
  <c r="BH916" i="12"/>
  <c r="BI916" i="12"/>
  <c r="I917" i="12"/>
  <c r="J917" i="12"/>
  <c r="K917" i="12"/>
  <c r="L917" i="12"/>
  <c r="AE917" i="12"/>
  <c r="AR917" i="12"/>
  <c r="AS917" i="12"/>
  <c r="AT917" i="12"/>
  <c r="BG917" i="12"/>
  <c r="BH917" i="12"/>
  <c r="BI917" i="12"/>
  <c r="I918" i="12"/>
  <c r="J918" i="12"/>
  <c r="K918" i="12"/>
  <c r="L918" i="12"/>
  <c r="AE918" i="12"/>
  <c r="AR918" i="12"/>
  <c r="AS918" i="12"/>
  <c r="AT918" i="12"/>
  <c r="BG918" i="12"/>
  <c r="BH918" i="12"/>
  <c r="BI918" i="12"/>
  <c r="I919" i="12"/>
  <c r="J919" i="12"/>
  <c r="K919" i="12"/>
  <c r="L919" i="12"/>
  <c r="AE919" i="12"/>
  <c r="AR919" i="12"/>
  <c r="AS919" i="12"/>
  <c r="AT919" i="12"/>
  <c r="BG919" i="12"/>
  <c r="BH919" i="12"/>
  <c r="BI919" i="12"/>
  <c r="I920" i="12"/>
  <c r="J920" i="12"/>
  <c r="K920" i="12"/>
  <c r="L920" i="12"/>
  <c r="AE920" i="12"/>
  <c r="AR920" i="12"/>
  <c r="AS920" i="12"/>
  <c r="AT920" i="12"/>
  <c r="BG920" i="12"/>
  <c r="BH920" i="12"/>
  <c r="BI920" i="12"/>
  <c r="I921" i="12"/>
  <c r="J921" i="12"/>
  <c r="K921" i="12"/>
  <c r="L921" i="12"/>
  <c r="AE921" i="12"/>
  <c r="AR921" i="12"/>
  <c r="AS921" i="12"/>
  <c r="AT921" i="12"/>
  <c r="BG921" i="12"/>
  <c r="BH921" i="12"/>
  <c r="BI921" i="12"/>
  <c r="I922" i="12"/>
  <c r="J922" i="12"/>
  <c r="K922" i="12"/>
  <c r="L922" i="12"/>
  <c r="AE922" i="12"/>
  <c r="AR922" i="12"/>
  <c r="AS922" i="12"/>
  <c r="AT922" i="12"/>
  <c r="BG922" i="12"/>
  <c r="BH922" i="12"/>
  <c r="BI922" i="12"/>
  <c r="I923" i="12"/>
  <c r="J923" i="12"/>
  <c r="K923" i="12"/>
  <c r="L923" i="12"/>
  <c r="AE923" i="12"/>
  <c r="AR923" i="12"/>
  <c r="AS923" i="12"/>
  <c r="AT923" i="12"/>
  <c r="BG923" i="12"/>
  <c r="BH923" i="12"/>
  <c r="BI923" i="12"/>
  <c r="I924" i="12"/>
  <c r="J924" i="12"/>
  <c r="K924" i="12"/>
  <c r="L924" i="12"/>
  <c r="AE924" i="12"/>
  <c r="AR924" i="12"/>
  <c r="AS924" i="12"/>
  <c r="AT924" i="12"/>
  <c r="BG924" i="12"/>
  <c r="BH924" i="12"/>
  <c r="BI924" i="12"/>
  <c r="I925" i="12"/>
  <c r="J925" i="12"/>
  <c r="K925" i="12"/>
  <c r="L925" i="12"/>
  <c r="AE925" i="12"/>
  <c r="AR925" i="12"/>
  <c r="AS925" i="12"/>
  <c r="AT925" i="12"/>
  <c r="BG925" i="12"/>
  <c r="BH925" i="12"/>
  <c r="BI925" i="12"/>
  <c r="I926" i="12"/>
  <c r="J926" i="12"/>
  <c r="K926" i="12"/>
  <c r="L926" i="12"/>
  <c r="AE926" i="12"/>
  <c r="AR926" i="12"/>
  <c r="AS926" i="12"/>
  <c r="AT926" i="12"/>
  <c r="BG926" i="12"/>
  <c r="BH926" i="12"/>
  <c r="BI926" i="12"/>
  <c r="I929" i="12"/>
  <c r="J929" i="12"/>
  <c r="K929" i="12"/>
  <c r="L929" i="12"/>
  <c r="AE929" i="12"/>
  <c r="AR929" i="12"/>
  <c r="AS929" i="12"/>
  <c r="AT929" i="12"/>
  <c r="BG929" i="12"/>
  <c r="BH929" i="12"/>
  <c r="BI929" i="12"/>
  <c r="I930" i="12"/>
  <c r="J930" i="12"/>
  <c r="K930" i="12"/>
  <c r="L930" i="12"/>
  <c r="AE930" i="12"/>
  <c r="AR930" i="12"/>
  <c r="AS930" i="12"/>
  <c r="AT930" i="12"/>
  <c r="BG930" i="12"/>
  <c r="BH930" i="12"/>
  <c r="BI930" i="12"/>
  <c r="I932" i="12"/>
  <c r="J932" i="12"/>
  <c r="K932" i="12"/>
  <c r="L932" i="12"/>
  <c r="AE932" i="12"/>
  <c r="AR932" i="12"/>
  <c r="AS932" i="12"/>
  <c r="AT932" i="12"/>
  <c r="BG932" i="12"/>
  <c r="BH932" i="12"/>
  <c r="BI932" i="12"/>
  <c r="I933" i="12"/>
  <c r="J933" i="12"/>
  <c r="K933" i="12"/>
  <c r="L933" i="12"/>
  <c r="AE933" i="12"/>
  <c r="AR933" i="12"/>
  <c r="AS933" i="12"/>
  <c r="AT933" i="12"/>
  <c r="BG933" i="12"/>
  <c r="BH933" i="12"/>
  <c r="BI933" i="12"/>
  <c r="I934" i="12"/>
  <c r="J934" i="12"/>
  <c r="K934" i="12"/>
  <c r="L934" i="12"/>
  <c r="AE934" i="12"/>
  <c r="AR934" i="12"/>
  <c r="AS934" i="12"/>
  <c r="AT934" i="12"/>
  <c r="BG934" i="12"/>
  <c r="BH934" i="12"/>
  <c r="BI934" i="12"/>
  <c r="I935" i="12"/>
  <c r="J935" i="12"/>
  <c r="K935" i="12"/>
  <c r="L935" i="12"/>
  <c r="AE935" i="12"/>
  <c r="AR935" i="12"/>
  <c r="AS935" i="12"/>
  <c r="AT935" i="12"/>
  <c r="BG935" i="12"/>
  <c r="BH935" i="12"/>
  <c r="BI935" i="12"/>
  <c r="I936" i="12"/>
  <c r="J936" i="12"/>
  <c r="K936" i="12"/>
  <c r="L936" i="12"/>
  <c r="AE936" i="12"/>
  <c r="AR936" i="12"/>
  <c r="AS936" i="12"/>
  <c r="AT936" i="12"/>
  <c r="BG936" i="12"/>
  <c r="BH936" i="12"/>
  <c r="BI936" i="12"/>
  <c r="I937" i="12"/>
  <c r="J937" i="12"/>
  <c r="K937" i="12"/>
  <c r="L937" i="12"/>
  <c r="AE937" i="12"/>
  <c r="AR937" i="12"/>
  <c r="AS937" i="12"/>
  <c r="AT937" i="12"/>
  <c r="BG937" i="12"/>
  <c r="BH937" i="12"/>
  <c r="BI937" i="12"/>
  <c r="I938" i="12"/>
  <c r="J938" i="12"/>
  <c r="K938" i="12"/>
  <c r="L938" i="12"/>
  <c r="AE938" i="12"/>
  <c r="AR938" i="12"/>
  <c r="AS938" i="12"/>
  <c r="AT938" i="12"/>
  <c r="BG938" i="12"/>
  <c r="BH938" i="12"/>
  <c r="BI938" i="12"/>
  <c r="I939" i="12"/>
  <c r="J939" i="12"/>
  <c r="K939" i="12"/>
  <c r="L939" i="12"/>
  <c r="AE939" i="12"/>
  <c r="AR939" i="12"/>
  <c r="AS939" i="12"/>
  <c r="AT939" i="12"/>
  <c r="BG939" i="12"/>
  <c r="BH939" i="12"/>
  <c r="BI939" i="12"/>
  <c r="I940" i="12"/>
  <c r="J940" i="12"/>
  <c r="K940" i="12"/>
  <c r="L940" i="12"/>
  <c r="AE940" i="12"/>
  <c r="AR940" i="12"/>
  <c r="AS940" i="12"/>
  <c r="AT940" i="12"/>
  <c r="BG940" i="12"/>
  <c r="BH940" i="12"/>
  <c r="BI940" i="12"/>
  <c r="I943" i="12"/>
  <c r="J943" i="12"/>
  <c r="K943" i="12"/>
  <c r="L943" i="12"/>
  <c r="AE943" i="12"/>
  <c r="AR943" i="12"/>
  <c r="AS943" i="12"/>
  <c r="AT943" i="12"/>
  <c r="BG943" i="12"/>
  <c r="BH943" i="12"/>
  <c r="BI943" i="12"/>
  <c r="I944" i="12"/>
  <c r="J944" i="12"/>
  <c r="K944" i="12"/>
  <c r="L944" i="12"/>
  <c r="AE944" i="12"/>
  <c r="AR944" i="12"/>
  <c r="AS944" i="12"/>
  <c r="AT944" i="12"/>
  <c r="BG944" i="12"/>
  <c r="BH944" i="12"/>
  <c r="BI944" i="12"/>
  <c r="I945" i="12"/>
  <c r="J945" i="12"/>
  <c r="K945" i="12"/>
  <c r="L945" i="12"/>
  <c r="AE945" i="12"/>
  <c r="AR945" i="12"/>
  <c r="AS945" i="12"/>
  <c r="AT945" i="12"/>
  <c r="BG945" i="12"/>
  <c r="BH945" i="12"/>
  <c r="BI945" i="12"/>
  <c r="I946" i="12"/>
  <c r="J946" i="12"/>
  <c r="K946" i="12"/>
  <c r="L946" i="12"/>
  <c r="AE946" i="12"/>
  <c r="AR946" i="12"/>
  <c r="AS946" i="12"/>
  <c r="AT946" i="12"/>
  <c r="BG946" i="12"/>
  <c r="BH946" i="12"/>
  <c r="BI946" i="12"/>
  <c r="I947" i="12"/>
  <c r="J947" i="12"/>
  <c r="K947" i="12"/>
  <c r="L947" i="12"/>
  <c r="AE947" i="12"/>
  <c r="AR947" i="12"/>
  <c r="AS947" i="12"/>
  <c r="AT947" i="12"/>
  <c r="BG947" i="12"/>
  <c r="BH947" i="12"/>
  <c r="BI947" i="12"/>
  <c r="I948" i="12"/>
  <c r="J948" i="12"/>
  <c r="K948" i="12"/>
  <c r="L948" i="12"/>
  <c r="AE948" i="12"/>
  <c r="AR948" i="12"/>
  <c r="AS948" i="12"/>
  <c r="AT948" i="12"/>
  <c r="BG948" i="12"/>
  <c r="BH948" i="12"/>
  <c r="BI948" i="12"/>
  <c r="I949" i="12"/>
  <c r="J949" i="12"/>
  <c r="K949" i="12"/>
  <c r="L949" i="12"/>
  <c r="AE949" i="12"/>
  <c r="AR949" i="12"/>
  <c r="AS949" i="12"/>
  <c r="AT949" i="12"/>
  <c r="BG949" i="12"/>
  <c r="BH949" i="12"/>
  <c r="BI949" i="12"/>
  <c r="I950" i="12"/>
  <c r="J950" i="12"/>
  <c r="K950" i="12"/>
  <c r="L950" i="12"/>
  <c r="AE950" i="12"/>
  <c r="AR950" i="12"/>
  <c r="AS950" i="12"/>
  <c r="AT950" i="12"/>
  <c r="BG950" i="12"/>
  <c r="BH950" i="12"/>
  <c r="BI950" i="12"/>
  <c r="I951" i="12"/>
  <c r="J951" i="12"/>
  <c r="K951" i="12"/>
  <c r="L951" i="12"/>
  <c r="AE951" i="12"/>
  <c r="AR951" i="12"/>
  <c r="AS951" i="12"/>
  <c r="AT951" i="12"/>
  <c r="BG951" i="12"/>
  <c r="BH951" i="12"/>
  <c r="BI951" i="12"/>
  <c r="I952" i="12"/>
  <c r="J952" i="12"/>
  <c r="K952" i="12"/>
  <c r="L952" i="12"/>
  <c r="AE952" i="12"/>
  <c r="AR952" i="12"/>
  <c r="AS952" i="12"/>
  <c r="AT952" i="12"/>
  <c r="BG952" i="12"/>
  <c r="BH952" i="12"/>
  <c r="BI952" i="12"/>
  <c r="I953" i="12"/>
  <c r="J953" i="12"/>
  <c r="K953" i="12"/>
  <c r="L953" i="12"/>
  <c r="AE953" i="12"/>
  <c r="AR953" i="12"/>
  <c r="AS953" i="12"/>
  <c r="AT953" i="12"/>
  <c r="BG953" i="12"/>
  <c r="BH953" i="12"/>
  <c r="BI953" i="12"/>
  <c r="I954" i="12"/>
  <c r="J954" i="12"/>
  <c r="K954" i="12"/>
  <c r="L954" i="12"/>
  <c r="AE954" i="12"/>
  <c r="AR954" i="12"/>
  <c r="AS954" i="12"/>
  <c r="AT954" i="12"/>
  <c r="BG954" i="12"/>
  <c r="BH954" i="12"/>
  <c r="BI954" i="12"/>
  <c r="I955" i="12"/>
  <c r="J955" i="12"/>
  <c r="K955" i="12"/>
  <c r="L955" i="12"/>
  <c r="AE955" i="12"/>
  <c r="AR955" i="12"/>
  <c r="AS955" i="12"/>
  <c r="AT955" i="12"/>
  <c r="BG955" i="12"/>
  <c r="BH955" i="12"/>
  <c r="BI955" i="12"/>
  <c r="I956" i="12"/>
  <c r="J956" i="12"/>
  <c r="K956" i="12"/>
  <c r="L956" i="12"/>
  <c r="AE956" i="12"/>
  <c r="AR956" i="12"/>
  <c r="AS956" i="12"/>
  <c r="AT956" i="12"/>
  <c r="BG956" i="12"/>
  <c r="BH956" i="12"/>
  <c r="BI956" i="12"/>
  <c r="I957" i="12"/>
  <c r="J957" i="12"/>
  <c r="K957" i="12"/>
  <c r="L957" i="12"/>
  <c r="AE957" i="12"/>
  <c r="AR957" i="12"/>
  <c r="AS957" i="12"/>
  <c r="AT957" i="12"/>
  <c r="BG957" i="12"/>
  <c r="BH957" i="12"/>
  <c r="BI957" i="12"/>
  <c r="I958" i="12"/>
  <c r="J958" i="12"/>
  <c r="K958" i="12"/>
  <c r="L958" i="12"/>
  <c r="AE958" i="12"/>
  <c r="AR958" i="12"/>
  <c r="AS958" i="12"/>
  <c r="AT958" i="12"/>
  <c r="BG958" i="12"/>
  <c r="BH958" i="12"/>
  <c r="BI958" i="12"/>
  <c r="I959" i="12"/>
  <c r="J959" i="12"/>
  <c r="K959" i="12"/>
  <c r="L959" i="12"/>
  <c r="AE959" i="12"/>
  <c r="AR959" i="12"/>
  <c r="AS959" i="12"/>
  <c r="AT959" i="12"/>
  <c r="BG959" i="12"/>
  <c r="BH959" i="12"/>
  <c r="BI959" i="12"/>
  <c r="I960" i="12"/>
  <c r="J960" i="12"/>
  <c r="K960" i="12"/>
  <c r="L960" i="12"/>
  <c r="AE960" i="12"/>
  <c r="AR960" i="12"/>
  <c r="AS960" i="12"/>
  <c r="AT960" i="12"/>
  <c r="BG960" i="12"/>
  <c r="BH960" i="12"/>
  <c r="BI960" i="12"/>
  <c r="I961" i="12"/>
  <c r="J961" i="12"/>
  <c r="K961" i="12"/>
  <c r="L961" i="12"/>
  <c r="AE961" i="12"/>
  <c r="AR961" i="12"/>
  <c r="AS961" i="12"/>
  <c r="AT961" i="12"/>
  <c r="BG961" i="12"/>
  <c r="BH961" i="12"/>
  <c r="BI961" i="12"/>
  <c r="I962" i="12"/>
  <c r="J962" i="12"/>
  <c r="K962" i="12"/>
  <c r="L962" i="12"/>
  <c r="AE962" i="12"/>
  <c r="AR962" i="12"/>
  <c r="AS962" i="12"/>
  <c r="AT962" i="12"/>
  <c r="BG962" i="12"/>
  <c r="BH962" i="12"/>
  <c r="BI962" i="12"/>
  <c r="I963" i="12"/>
  <c r="J963" i="12"/>
  <c r="K963" i="12"/>
  <c r="L963" i="12"/>
  <c r="AE963" i="12"/>
  <c r="AR963" i="12"/>
  <c r="AS963" i="12"/>
  <c r="AT963" i="12"/>
  <c r="BG963" i="12"/>
  <c r="BH963" i="12"/>
  <c r="BI963" i="12"/>
  <c r="I964" i="12"/>
  <c r="J964" i="12"/>
  <c r="K964" i="12"/>
  <c r="L964" i="12"/>
  <c r="AE964" i="12"/>
  <c r="AR964" i="12"/>
  <c r="AS964" i="12"/>
  <c r="AT964" i="12"/>
  <c r="BG964" i="12"/>
  <c r="BH964" i="12"/>
  <c r="BI964" i="12"/>
  <c r="I965" i="12"/>
  <c r="J965" i="12"/>
  <c r="K965" i="12"/>
  <c r="L965" i="12"/>
  <c r="AE965" i="12"/>
  <c r="AR965" i="12"/>
  <c r="AS965" i="12"/>
  <c r="AT965" i="12"/>
  <c r="BG965" i="12"/>
  <c r="BH965" i="12"/>
  <c r="BI965" i="12"/>
  <c r="I966" i="12"/>
  <c r="J966" i="12"/>
  <c r="K966" i="12"/>
  <c r="L966" i="12"/>
  <c r="AE966" i="12"/>
  <c r="AR966" i="12"/>
  <c r="AS966" i="12"/>
  <c r="AT966" i="12"/>
  <c r="BG966" i="12"/>
  <c r="BH966" i="12"/>
  <c r="BI966" i="12"/>
  <c r="I967" i="12"/>
  <c r="J967" i="12"/>
  <c r="K967" i="12"/>
  <c r="L967" i="12"/>
  <c r="AE967" i="12"/>
  <c r="AR967" i="12"/>
  <c r="AS967" i="12"/>
  <c r="AT967" i="12"/>
  <c r="BG967" i="12"/>
  <c r="BH967" i="12"/>
  <c r="BI967" i="12"/>
  <c r="I968" i="12"/>
  <c r="J968" i="12"/>
  <c r="K968" i="12"/>
  <c r="L968" i="12"/>
  <c r="AE968" i="12"/>
  <c r="AR968" i="12"/>
  <c r="AS968" i="12"/>
  <c r="AT968" i="12"/>
  <c r="BG968" i="12"/>
  <c r="BH968" i="12"/>
  <c r="BI968" i="12"/>
  <c r="I969" i="12"/>
  <c r="J969" i="12"/>
  <c r="K969" i="12"/>
  <c r="L969" i="12"/>
  <c r="AE969" i="12"/>
  <c r="AR969" i="12"/>
  <c r="AS969" i="12"/>
  <c r="AT969" i="12"/>
  <c r="BG969" i="12"/>
  <c r="BH969" i="12"/>
  <c r="BI969" i="12"/>
  <c r="I970" i="12"/>
  <c r="J970" i="12"/>
  <c r="K970" i="12"/>
  <c r="L970" i="12"/>
  <c r="AE970" i="12"/>
  <c r="AR970" i="12"/>
  <c r="AS970" i="12"/>
  <c r="AT970" i="12"/>
  <c r="BG970" i="12"/>
  <c r="BH970" i="12"/>
  <c r="BI970" i="12"/>
  <c r="I971" i="12"/>
  <c r="J971" i="12"/>
  <c r="K971" i="12"/>
  <c r="L971" i="12"/>
  <c r="AE971" i="12"/>
  <c r="AR971" i="12"/>
  <c r="AS971" i="12"/>
  <c r="AT971" i="12"/>
  <c r="BG971" i="12"/>
  <c r="BH971" i="12"/>
  <c r="BI971" i="12"/>
  <c r="I972" i="12"/>
  <c r="J972" i="12"/>
  <c r="K972" i="12"/>
  <c r="L972" i="12"/>
  <c r="AE972" i="12"/>
  <c r="AR972" i="12"/>
  <c r="AS972" i="12"/>
  <c r="AT972" i="12"/>
  <c r="BG972" i="12"/>
  <c r="BH972" i="12"/>
  <c r="BI972" i="12"/>
  <c r="I973" i="12"/>
  <c r="J973" i="12"/>
  <c r="K973" i="12"/>
  <c r="L973" i="12"/>
  <c r="AE973" i="12"/>
  <c r="AR973" i="12"/>
  <c r="AS973" i="12"/>
  <c r="AT973" i="12"/>
  <c r="BG973" i="12"/>
  <c r="BH973" i="12"/>
  <c r="BI973" i="12"/>
  <c r="I974" i="12"/>
  <c r="J974" i="12"/>
  <c r="K974" i="12"/>
  <c r="L974" i="12"/>
  <c r="AE974" i="12"/>
  <c r="AR974" i="12"/>
  <c r="AS974" i="12"/>
  <c r="AT974" i="12"/>
  <c r="BG974" i="12"/>
  <c r="BH974" i="12"/>
  <c r="BI974" i="12"/>
  <c r="I975" i="12"/>
  <c r="J975" i="12"/>
  <c r="K975" i="12"/>
  <c r="L975" i="12"/>
  <c r="AE975" i="12"/>
  <c r="AR975" i="12"/>
  <c r="AS975" i="12"/>
  <c r="AT975" i="12"/>
  <c r="BG975" i="12"/>
  <c r="BH975" i="12"/>
  <c r="BI975" i="12"/>
  <c r="I976" i="12"/>
  <c r="J976" i="12"/>
  <c r="K976" i="12"/>
  <c r="L976" i="12"/>
  <c r="AE976" i="12"/>
  <c r="AR976" i="12"/>
  <c r="AS976" i="12"/>
  <c r="AT976" i="12"/>
  <c r="BG976" i="12"/>
  <c r="BH976" i="12"/>
  <c r="BI976" i="12"/>
  <c r="I977" i="12"/>
  <c r="J977" i="12"/>
  <c r="K977" i="12"/>
  <c r="L977" i="12"/>
  <c r="AE977" i="12"/>
  <c r="AR977" i="12"/>
  <c r="AS977" i="12"/>
  <c r="AT977" i="12"/>
  <c r="BG977" i="12"/>
  <c r="BH977" i="12"/>
  <c r="BI977" i="12"/>
  <c r="I978" i="12"/>
  <c r="J978" i="12"/>
  <c r="K978" i="12"/>
  <c r="L978" i="12"/>
  <c r="AE978" i="12"/>
  <c r="AR978" i="12"/>
  <c r="AS978" i="12"/>
  <c r="AT978" i="12"/>
  <c r="BG978" i="12"/>
  <c r="BH978" i="12"/>
  <c r="BI978" i="12"/>
  <c r="I979" i="12"/>
  <c r="J979" i="12"/>
  <c r="K979" i="12"/>
  <c r="L979" i="12"/>
  <c r="AE979" i="12"/>
  <c r="AR979" i="12"/>
  <c r="AS979" i="12"/>
  <c r="AT979" i="12"/>
  <c r="BG979" i="12"/>
  <c r="BH979" i="12"/>
  <c r="BI979" i="12"/>
  <c r="I980" i="12"/>
  <c r="J980" i="12"/>
  <c r="K980" i="12"/>
  <c r="L980" i="12"/>
  <c r="AE980" i="12"/>
  <c r="AR980" i="12"/>
  <c r="AS980" i="12"/>
  <c r="AT980" i="12"/>
  <c r="BG980" i="12"/>
  <c r="BH980" i="12"/>
  <c r="BI980" i="12"/>
  <c r="I981" i="12"/>
  <c r="J981" i="12"/>
  <c r="K981" i="12"/>
  <c r="L981" i="12"/>
  <c r="AE981" i="12"/>
  <c r="AR981" i="12"/>
  <c r="AS981" i="12"/>
  <c r="AT981" i="12"/>
  <c r="BG981" i="12"/>
  <c r="BH981" i="12"/>
  <c r="BI981" i="12"/>
  <c r="I982" i="12"/>
  <c r="J982" i="12"/>
  <c r="K982" i="12"/>
  <c r="L982" i="12"/>
  <c r="AE982" i="12"/>
  <c r="AR982" i="12"/>
  <c r="AS982" i="12"/>
  <c r="AT982" i="12"/>
  <c r="BG982" i="12"/>
  <c r="BH982" i="12"/>
  <c r="BI982" i="12"/>
  <c r="I983" i="12"/>
  <c r="J983" i="12"/>
  <c r="K983" i="12"/>
  <c r="L983" i="12"/>
  <c r="AE983" i="12"/>
  <c r="AR983" i="12"/>
  <c r="AS983" i="12"/>
  <c r="AT983" i="12"/>
  <c r="BG983" i="12"/>
  <c r="BH983" i="12"/>
  <c r="BI983" i="12"/>
  <c r="I984" i="12"/>
  <c r="J984" i="12"/>
  <c r="K984" i="12"/>
  <c r="L984" i="12"/>
  <c r="AE984" i="12"/>
  <c r="AR984" i="12"/>
  <c r="AS984" i="12"/>
  <c r="AT984" i="12"/>
  <c r="BG984" i="12"/>
  <c r="BH984" i="12"/>
  <c r="BI984" i="12"/>
  <c r="I985" i="12"/>
  <c r="J985" i="12"/>
  <c r="K985" i="12"/>
  <c r="L985" i="12"/>
  <c r="AE985" i="12"/>
  <c r="AR985" i="12"/>
  <c r="AS985" i="12"/>
  <c r="AT985" i="12"/>
  <c r="BG985" i="12"/>
  <c r="BH985" i="12"/>
  <c r="BI985" i="12"/>
  <c r="I986" i="12"/>
  <c r="J986" i="12"/>
  <c r="K986" i="12"/>
  <c r="L986" i="12"/>
  <c r="AE986" i="12"/>
  <c r="AR986" i="12"/>
  <c r="AS986" i="12"/>
  <c r="AT986" i="12"/>
  <c r="BG986" i="12"/>
  <c r="BH986" i="12"/>
  <c r="BI986" i="12"/>
  <c r="I987" i="12"/>
  <c r="J987" i="12"/>
  <c r="K987" i="12"/>
  <c r="L987" i="12"/>
  <c r="AE987" i="12"/>
  <c r="AR987" i="12"/>
  <c r="AS987" i="12"/>
  <c r="AT987" i="12"/>
  <c r="BG987" i="12"/>
  <c r="BH987" i="12"/>
  <c r="BI987" i="12"/>
  <c r="I988" i="12"/>
  <c r="J988" i="12"/>
  <c r="K988" i="12"/>
  <c r="L988" i="12"/>
  <c r="AE988" i="12"/>
  <c r="AR988" i="12"/>
  <c r="AS988" i="12"/>
  <c r="AT988" i="12"/>
  <c r="BG988" i="12"/>
  <c r="BH988" i="12"/>
  <c r="BI988" i="12"/>
  <c r="I989" i="12"/>
  <c r="J989" i="12"/>
  <c r="K989" i="12"/>
  <c r="L989" i="12"/>
  <c r="AE989" i="12"/>
  <c r="AR989" i="12"/>
  <c r="AS989" i="12"/>
  <c r="AT989" i="12"/>
  <c r="BG989" i="12"/>
  <c r="BH989" i="12"/>
  <c r="BI989" i="12"/>
  <c r="I990" i="12"/>
  <c r="J990" i="12"/>
  <c r="K990" i="12"/>
  <c r="L990" i="12"/>
  <c r="AE990" i="12"/>
  <c r="AR990" i="12"/>
  <c r="AS990" i="12"/>
  <c r="AT990" i="12"/>
  <c r="BG990" i="12"/>
  <c r="BH990" i="12"/>
  <c r="BI990" i="12"/>
  <c r="I991" i="12"/>
  <c r="J991" i="12"/>
  <c r="K991" i="12"/>
  <c r="L991" i="12"/>
  <c r="AE991" i="12"/>
  <c r="AR991" i="12"/>
  <c r="AS991" i="12"/>
  <c r="AT991" i="12"/>
  <c r="BG991" i="12"/>
  <c r="BH991" i="12"/>
  <c r="BI991" i="12"/>
  <c r="I992" i="12"/>
  <c r="J992" i="12"/>
  <c r="K992" i="12"/>
  <c r="L992" i="12"/>
  <c r="AE992" i="12"/>
  <c r="AR992" i="12"/>
  <c r="AS992" i="12"/>
  <c r="AT992" i="12"/>
  <c r="BG992" i="12"/>
  <c r="BH992" i="12"/>
  <c r="BI992" i="12"/>
  <c r="I993" i="12"/>
  <c r="J993" i="12"/>
  <c r="K993" i="12"/>
  <c r="L993" i="12"/>
  <c r="AE993" i="12"/>
  <c r="AR993" i="12"/>
  <c r="AS993" i="12"/>
  <c r="AT993" i="12"/>
  <c r="BG993" i="12"/>
  <c r="BH993" i="12"/>
  <c r="BI993" i="12"/>
  <c r="I994" i="12"/>
  <c r="J994" i="12"/>
  <c r="K994" i="12"/>
  <c r="L994" i="12"/>
  <c r="AE994" i="12"/>
  <c r="AR994" i="12"/>
  <c r="AS994" i="12"/>
  <c r="AT994" i="12"/>
  <c r="BG994" i="12"/>
  <c r="BH994" i="12"/>
  <c r="BI994" i="12"/>
  <c r="I995" i="12"/>
  <c r="J995" i="12"/>
  <c r="K995" i="12"/>
  <c r="L995" i="12"/>
  <c r="AE995" i="12"/>
  <c r="AR995" i="12"/>
  <c r="AS995" i="12"/>
  <c r="AT995" i="12"/>
  <c r="BG995" i="12"/>
  <c r="BH995" i="12"/>
  <c r="BI995" i="12"/>
  <c r="I996" i="12"/>
  <c r="J996" i="12"/>
  <c r="K996" i="12"/>
  <c r="L996" i="12"/>
  <c r="AE996" i="12"/>
  <c r="AR996" i="12"/>
  <c r="AS996" i="12"/>
  <c r="AT996" i="12"/>
  <c r="BG996" i="12"/>
  <c r="BH996" i="12"/>
  <c r="BI996" i="12"/>
  <c r="I997" i="12"/>
  <c r="J997" i="12"/>
  <c r="K997" i="12"/>
  <c r="L997" i="12"/>
  <c r="AE997" i="12"/>
  <c r="AR997" i="12"/>
  <c r="AS997" i="12"/>
  <c r="AT997" i="12"/>
  <c r="BG997" i="12"/>
  <c r="BH997" i="12"/>
  <c r="BI997" i="12"/>
  <c r="I998" i="12"/>
  <c r="J998" i="12"/>
  <c r="K998" i="12"/>
  <c r="L998" i="12"/>
  <c r="AE998" i="12"/>
  <c r="AR998" i="12"/>
  <c r="AS998" i="12"/>
  <c r="AT998" i="12"/>
  <c r="BG998" i="12"/>
  <c r="BH998" i="12"/>
  <c r="BI998" i="12"/>
  <c r="I999" i="12"/>
  <c r="J999" i="12"/>
  <c r="K999" i="12"/>
  <c r="L999" i="12"/>
  <c r="AE999" i="12"/>
  <c r="AR999" i="12"/>
  <c r="AS999" i="12"/>
  <c r="AT999" i="12"/>
  <c r="BG999" i="12"/>
  <c r="BH999" i="12"/>
  <c r="BI999" i="12"/>
  <c r="I1000" i="12"/>
  <c r="J1000" i="12"/>
  <c r="K1000" i="12"/>
  <c r="L1000" i="12"/>
  <c r="AE1000" i="12"/>
  <c r="AR1000" i="12"/>
  <c r="AS1000" i="12"/>
  <c r="AT1000" i="12"/>
  <c r="BG1000" i="12"/>
  <c r="BH1000" i="12"/>
  <c r="BI1000" i="12"/>
  <c r="I1001" i="12"/>
  <c r="J1001" i="12"/>
  <c r="K1001" i="12"/>
  <c r="L1001" i="12"/>
  <c r="AE1001" i="12"/>
  <c r="AR1001" i="12"/>
  <c r="AS1001" i="12"/>
  <c r="AT1001" i="12"/>
  <c r="BG1001" i="12"/>
  <c r="BH1001" i="12"/>
  <c r="BI1001" i="12"/>
  <c r="I1002" i="12"/>
  <c r="J1002" i="12"/>
  <c r="K1002" i="12"/>
  <c r="L1002" i="12"/>
  <c r="AE1002" i="12"/>
  <c r="AR1002" i="12"/>
  <c r="AS1002" i="12"/>
  <c r="AT1002" i="12"/>
  <c r="BG1002" i="12"/>
  <c r="BH1002" i="12"/>
  <c r="BI1002" i="12"/>
  <c r="I1003" i="12"/>
  <c r="J1003" i="12"/>
  <c r="K1003" i="12"/>
  <c r="L1003" i="12"/>
  <c r="AE1003" i="12"/>
  <c r="AR1003" i="12"/>
  <c r="AS1003" i="12"/>
  <c r="AT1003" i="12"/>
  <c r="BG1003" i="12"/>
  <c r="BH1003" i="12"/>
  <c r="BI1003" i="12"/>
  <c r="I1004" i="12"/>
  <c r="J1004" i="12"/>
  <c r="K1004" i="12"/>
  <c r="L1004" i="12"/>
  <c r="AE1004" i="12"/>
  <c r="AR1004" i="12"/>
  <c r="AS1004" i="12"/>
  <c r="AT1004" i="12"/>
  <c r="BG1004" i="12"/>
  <c r="BH1004" i="12"/>
  <c r="BI1004" i="12"/>
  <c r="I1005" i="12"/>
  <c r="J1005" i="12"/>
  <c r="K1005" i="12"/>
  <c r="L1005" i="12"/>
  <c r="AE1005" i="12"/>
  <c r="AR1005" i="12"/>
  <c r="AS1005" i="12"/>
  <c r="AT1005" i="12"/>
  <c r="BG1005" i="12"/>
  <c r="BH1005" i="12"/>
  <c r="BI1005" i="12"/>
  <c r="I1006" i="12"/>
  <c r="J1006" i="12"/>
  <c r="K1006" i="12"/>
  <c r="L1006" i="12"/>
  <c r="AE1006" i="12"/>
  <c r="AR1006" i="12"/>
  <c r="AS1006" i="12"/>
  <c r="AT1006" i="12"/>
  <c r="BG1006" i="12"/>
  <c r="BH1006" i="12"/>
  <c r="BI1006" i="12"/>
  <c r="I1007" i="12"/>
  <c r="J1007" i="12"/>
  <c r="K1007" i="12"/>
  <c r="L1007" i="12"/>
  <c r="AE1007" i="12"/>
  <c r="AR1007" i="12"/>
  <c r="AS1007" i="12"/>
  <c r="AT1007" i="12"/>
  <c r="BG1007" i="12"/>
  <c r="BH1007" i="12"/>
  <c r="BI1007" i="12"/>
  <c r="I1008" i="12"/>
  <c r="J1008" i="12"/>
  <c r="K1008" i="12"/>
  <c r="L1008" i="12"/>
  <c r="AE1008" i="12"/>
  <c r="AR1008" i="12"/>
  <c r="AS1008" i="12"/>
  <c r="AT1008" i="12"/>
  <c r="BG1008" i="12"/>
  <c r="BH1008" i="12"/>
  <c r="BI1008" i="12"/>
  <c r="I1009" i="12"/>
  <c r="J1009" i="12"/>
  <c r="K1009" i="12"/>
  <c r="L1009" i="12"/>
  <c r="AE1009" i="12"/>
  <c r="AR1009" i="12"/>
  <c r="AS1009" i="12"/>
  <c r="AT1009" i="12"/>
  <c r="BG1009" i="12"/>
  <c r="BH1009" i="12"/>
  <c r="BI1009" i="12"/>
  <c r="I1010" i="12"/>
  <c r="J1010" i="12"/>
  <c r="K1010" i="12"/>
  <c r="L1010" i="12"/>
  <c r="AE1010" i="12"/>
  <c r="AR1010" i="12"/>
  <c r="AS1010" i="12"/>
  <c r="AT1010" i="12"/>
  <c r="BG1010" i="12"/>
  <c r="BH1010" i="12"/>
  <c r="BI1010" i="12"/>
  <c r="I1011" i="12"/>
  <c r="J1011" i="12"/>
  <c r="K1011" i="12"/>
  <c r="L1011" i="12"/>
  <c r="AE1011" i="12"/>
  <c r="AR1011" i="12"/>
  <c r="AS1011" i="12"/>
  <c r="AT1011" i="12"/>
  <c r="BG1011" i="12"/>
  <c r="BH1011" i="12"/>
  <c r="BI1011" i="12"/>
  <c r="I1012" i="12"/>
  <c r="J1012" i="12"/>
  <c r="K1012" i="12"/>
  <c r="L1012" i="12"/>
  <c r="AE1012" i="12"/>
  <c r="AR1012" i="12"/>
  <c r="AS1012" i="12"/>
  <c r="AT1012" i="12"/>
  <c r="BG1012" i="12"/>
  <c r="BH1012" i="12"/>
  <c r="BI1012" i="12"/>
  <c r="I1013" i="12"/>
  <c r="J1013" i="12"/>
  <c r="K1013" i="12"/>
  <c r="L1013" i="12"/>
  <c r="AE1013" i="12"/>
  <c r="AR1013" i="12"/>
  <c r="AS1013" i="12"/>
  <c r="AT1013" i="12"/>
  <c r="BG1013" i="12"/>
  <c r="BH1013" i="12"/>
  <c r="BI1013" i="12"/>
  <c r="I1014" i="12"/>
  <c r="J1014" i="12"/>
  <c r="K1014" i="12"/>
  <c r="L1014" i="12"/>
  <c r="AE1014" i="12"/>
  <c r="AR1014" i="12"/>
  <c r="AS1014" i="12"/>
  <c r="AT1014" i="12"/>
  <c r="BG1014" i="12"/>
  <c r="BH1014" i="12"/>
  <c r="BI1014" i="12"/>
  <c r="I1015" i="12"/>
  <c r="J1015" i="12"/>
  <c r="K1015" i="12"/>
  <c r="L1015" i="12"/>
  <c r="AE1015" i="12"/>
  <c r="AR1015" i="12"/>
  <c r="AS1015" i="12"/>
  <c r="AT1015" i="12"/>
  <c r="BG1015" i="12"/>
  <c r="BH1015" i="12"/>
  <c r="BI1015" i="12"/>
  <c r="I1016" i="12"/>
  <c r="J1016" i="12"/>
  <c r="K1016" i="12"/>
  <c r="L1016" i="12"/>
  <c r="AE1016" i="12"/>
  <c r="AR1016" i="12"/>
  <c r="AS1016" i="12"/>
  <c r="AT1016" i="12"/>
  <c r="BG1016" i="12"/>
  <c r="BH1016" i="12"/>
  <c r="BI1016" i="12"/>
  <c r="I1017" i="12"/>
  <c r="J1017" i="12"/>
  <c r="K1017" i="12"/>
  <c r="L1017" i="12"/>
  <c r="AE1017" i="12"/>
  <c r="AR1017" i="12"/>
  <c r="AS1017" i="12"/>
  <c r="AT1017" i="12"/>
  <c r="BG1017" i="12"/>
  <c r="BH1017" i="12"/>
  <c r="BI1017" i="12"/>
  <c r="I1018" i="12"/>
  <c r="J1018" i="12"/>
  <c r="K1018" i="12"/>
  <c r="L1018" i="12"/>
  <c r="AE1018" i="12"/>
  <c r="AR1018" i="12"/>
  <c r="AS1018" i="12"/>
  <c r="AT1018" i="12"/>
  <c r="BG1018" i="12"/>
  <c r="BH1018" i="12"/>
  <c r="BI1018" i="12"/>
  <c r="I1019" i="12"/>
  <c r="J1019" i="12"/>
  <c r="K1019" i="12"/>
  <c r="L1019" i="12"/>
  <c r="AE1019" i="12"/>
  <c r="AR1019" i="12"/>
  <c r="AS1019" i="12"/>
  <c r="AT1019" i="12"/>
  <c r="BG1019" i="12"/>
  <c r="BH1019" i="12"/>
  <c r="BI1019" i="12"/>
  <c r="I1020" i="12"/>
  <c r="J1020" i="12"/>
  <c r="K1020" i="12"/>
  <c r="L1020" i="12"/>
  <c r="AE1020" i="12"/>
  <c r="AR1020" i="12"/>
  <c r="AS1020" i="12"/>
  <c r="AT1020" i="12"/>
  <c r="BG1020" i="12"/>
  <c r="BH1020" i="12"/>
  <c r="BI1020" i="12"/>
  <c r="I1021" i="12"/>
  <c r="J1021" i="12"/>
  <c r="K1021" i="12"/>
  <c r="L1021" i="12"/>
  <c r="AE1021" i="12"/>
  <c r="AR1021" i="12"/>
  <c r="AS1021" i="12"/>
  <c r="AT1021" i="12"/>
  <c r="BG1021" i="12"/>
  <c r="BH1021" i="12"/>
  <c r="BI1021" i="12"/>
  <c r="I1022" i="12"/>
  <c r="J1022" i="12"/>
  <c r="K1022" i="12"/>
  <c r="L1022" i="12"/>
  <c r="AE1022" i="12"/>
  <c r="AR1022" i="12"/>
  <c r="AS1022" i="12"/>
  <c r="AT1022" i="12"/>
  <c r="BG1022" i="12"/>
  <c r="BH1022" i="12"/>
  <c r="BI1022" i="12"/>
  <c r="I1023" i="12"/>
  <c r="J1023" i="12"/>
  <c r="K1023" i="12"/>
  <c r="L1023" i="12"/>
  <c r="AE1023" i="12"/>
  <c r="AR1023" i="12"/>
  <c r="AS1023" i="12"/>
  <c r="AT1023" i="12"/>
  <c r="BG1023" i="12"/>
  <c r="BH1023" i="12"/>
  <c r="BI1023" i="12"/>
  <c r="I1024" i="12"/>
  <c r="J1024" i="12"/>
  <c r="K1024" i="12"/>
  <c r="L1024" i="12"/>
  <c r="AE1024" i="12"/>
  <c r="AR1024" i="12"/>
  <c r="AS1024" i="12"/>
  <c r="AT1024" i="12"/>
  <c r="BG1024" i="12"/>
  <c r="BH1024" i="12"/>
  <c r="BI1024" i="12"/>
  <c r="I1025" i="12"/>
  <c r="J1025" i="12"/>
  <c r="K1025" i="12"/>
  <c r="L1025" i="12"/>
  <c r="AE1025" i="12"/>
  <c r="AR1025" i="12"/>
  <c r="AS1025" i="12"/>
  <c r="AT1025" i="12"/>
  <c r="BG1025" i="12"/>
  <c r="BH1025" i="12"/>
  <c r="BI1025" i="12"/>
  <c r="I1026" i="12"/>
  <c r="J1026" i="12"/>
  <c r="K1026" i="12"/>
  <c r="L1026" i="12"/>
  <c r="AE1026" i="12"/>
  <c r="AR1026" i="12"/>
  <c r="AS1026" i="12"/>
  <c r="AT1026" i="12"/>
  <c r="BG1026" i="12"/>
  <c r="BH1026" i="12"/>
  <c r="BI1026" i="12"/>
  <c r="I1027" i="12"/>
  <c r="J1027" i="12"/>
  <c r="K1027" i="12"/>
  <c r="L1027" i="12"/>
  <c r="AE1027" i="12"/>
  <c r="AR1027" i="12"/>
  <c r="AS1027" i="12"/>
  <c r="AT1027" i="12"/>
  <c r="BG1027" i="12"/>
  <c r="BH1027" i="12"/>
  <c r="BI1027" i="12"/>
  <c r="I1028" i="12"/>
  <c r="J1028" i="12"/>
  <c r="K1028" i="12"/>
  <c r="L1028" i="12"/>
  <c r="AE1028" i="12"/>
  <c r="AR1028" i="12"/>
  <c r="AS1028" i="12"/>
  <c r="AT1028" i="12"/>
  <c r="BG1028" i="12"/>
  <c r="BH1028" i="12"/>
  <c r="BI1028" i="12"/>
  <c r="I1029" i="12"/>
  <c r="J1029" i="12"/>
  <c r="K1029" i="12"/>
  <c r="L1029" i="12"/>
  <c r="AE1029" i="12"/>
  <c r="AR1029" i="12"/>
  <c r="AS1029" i="12"/>
  <c r="AT1029" i="12"/>
  <c r="BG1029" i="12"/>
  <c r="BH1029" i="12"/>
  <c r="BI1029" i="12"/>
  <c r="I1030" i="12"/>
  <c r="J1030" i="12"/>
  <c r="K1030" i="12"/>
  <c r="L1030" i="12"/>
  <c r="AE1030" i="12"/>
  <c r="AR1030" i="12"/>
  <c r="AS1030" i="12"/>
  <c r="AT1030" i="12"/>
  <c r="BG1030" i="12"/>
  <c r="BH1030" i="12"/>
  <c r="BI1030" i="12"/>
  <c r="I1031" i="12"/>
  <c r="J1031" i="12"/>
  <c r="K1031" i="12"/>
  <c r="L1031" i="12"/>
  <c r="AE1031" i="12"/>
  <c r="AR1031" i="12"/>
  <c r="AS1031" i="12"/>
  <c r="AT1031" i="12"/>
  <c r="BG1031" i="12"/>
  <c r="BH1031" i="12"/>
  <c r="BI1031" i="12"/>
  <c r="I1032" i="12"/>
  <c r="J1032" i="12"/>
  <c r="K1032" i="12"/>
  <c r="L1032" i="12"/>
  <c r="AE1032" i="12"/>
  <c r="AR1032" i="12"/>
  <c r="AS1032" i="12"/>
  <c r="AT1032" i="12"/>
  <c r="BG1032" i="12"/>
  <c r="BH1032" i="12"/>
  <c r="BI1032" i="12"/>
  <c r="I1033" i="12"/>
  <c r="J1033" i="12"/>
  <c r="K1033" i="12"/>
  <c r="L1033" i="12"/>
  <c r="AE1033" i="12"/>
  <c r="AR1033" i="12"/>
  <c r="AS1033" i="12"/>
  <c r="AT1033" i="12"/>
  <c r="BG1033" i="12"/>
  <c r="BH1033" i="12"/>
  <c r="BI1033" i="12"/>
  <c r="I1034" i="12"/>
  <c r="J1034" i="12"/>
  <c r="K1034" i="12"/>
  <c r="L1034" i="12"/>
  <c r="AE1034" i="12"/>
  <c r="AR1034" i="12"/>
  <c r="AS1034" i="12"/>
  <c r="AT1034" i="12"/>
  <c r="BG1034" i="12"/>
  <c r="BH1034" i="12"/>
  <c r="BI1034" i="12"/>
  <c r="I1035" i="12"/>
  <c r="J1035" i="12"/>
  <c r="K1035" i="12"/>
  <c r="L1035" i="12"/>
  <c r="AE1035" i="12"/>
  <c r="AR1035" i="12"/>
  <c r="AS1035" i="12"/>
  <c r="AT1035" i="12"/>
  <c r="BG1035" i="12"/>
  <c r="BH1035" i="12"/>
  <c r="BI1035" i="12"/>
  <c r="I1036" i="12"/>
  <c r="J1036" i="12"/>
  <c r="K1036" i="12"/>
  <c r="L1036" i="12"/>
  <c r="AE1036" i="12"/>
  <c r="AR1036" i="12"/>
  <c r="AS1036" i="12"/>
  <c r="AT1036" i="12"/>
  <c r="BG1036" i="12"/>
  <c r="BH1036" i="12"/>
  <c r="BI1036" i="12"/>
  <c r="I1037" i="12"/>
  <c r="J1037" i="12"/>
  <c r="K1037" i="12"/>
  <c r="L1037" i="12"/>
  <c r="AE1037" i="12"/>
  <c r="AR1037" i="12"/>
  <c r="AS1037" i="12"/>
  <c r="AT1037" i="12"/>
  <c r="BG1037" i="12"/>
  <c r="BH1037" i="12"/>
  <c r="BI1037" i="12"/>
  <c r="I1038" i="12"/>
  <c r="J1038" i="12"/>
  <c r="K1038" i="12"/>
  <c r="L1038" i="12"/>
  <c r="AE1038" i="12"/>
  <c r="AR1038" i="12"/>
  <c r="AS1038" i="12"/>
  <c r="AT1038" i="12"/>
  <c r="BG1038" i="12"/>
  <c r="BH1038" i="12"/>
  <c r="BI1038" i="12"/>
  <c r="I1039" i="12"/>
  <c r="J1039" i="12"/>
  <c r="K1039" i="12"/>
  <c r="L1039" i="12"/>
  <c r="AE1039" i="12"/>
  <c r="AR1039" i="12"/>
  <c r="AS1039" i="12"/>
  <c r="AT1039" i="12"/>
  <c r="BG1039" i="12"/>
  <c r="BH1039" i="12"/>
  <c r="BI1039" i="12"/>
  <c r="I1040" i="12"/>
  <c r="J1040" i="12"/>
  <c r="K1040" i="12"/>
  <c r="L1040" i="12"/>
  <c r="AE1040" i="12"/>
  <c r="AR1040" i="12"/>
  <c r="AS1040" i="12"/>
  <c r="AT1040" i="12"/>
  <c r="BG1040" i="12"/>
  <c r="BH1040" i="12"/>
  <c r="BI1040" i="12"/>
  <c r="I1041" i="12"/>
  <c r="J1041" i="12"/>
  <c r="K1041" i="12"/>
  <c r="L1041" i="12"/>
  <c r="AE1041" i="12"/>
  <c r="AR1041" i="12"/>
  <c r="AS1041" i="12"/>
  <c r="AT1041" i="12"/>
  <c r="BG1041" i="12"/>
  <c r="BH1041" i="12"/>
  <c r="BI1041" i="12"/>
  <c r="I1042" i="12"/>
  <c r="J1042" i="12"/>
  <c r="K1042" i="12"/>
  <c r="L1042" i="12"/>
  <c r="AE1042" i="12"/>
  <c r="AR1042" i="12"/>
  <c r="AS1042" i="12"/>
  <c r="AT1042" i="12"/>
  <c r="BG1042" i="12"/>
  <c r="BH1042" i="12"/>
  <c r="BI1042" i="12"/>
  <c r="I1043" i="12"/>
  <c r="J1043" i="12"/>
  <c r="K1043" i="12"/>
  <c r="L1043" i="12"/>
  <c r="AE1043" i="12"/>
  <c r="AR1043" i="12"/>
  <c r="AS1043" i="12"/>
  <c r="AT1043" i="12"/>
  <c r="BG1043" i="12"/>
  <c r="BH1043" i="12"/>
  <c r="BI1043" i="12"/>
  <c r="I1044" i="12"/>
  <c r="J1044" i="12"/>
  <c r="K1044" i="12"/>
  <c r="L1044" i="12"/>
  <c r="AE1044" i="12"/>
  <c r="AR1044" i="12"/>
  <c r="AS1044" i="12"/>
  <c r="AT1044" i="12"/>
  <c r="BG1044" i="12"/>
  <c r="BH1044" i="12"/>
  <c r="BI1044" i="12"/>
  <c r="I1045" i="12"/>
  <c r="J1045" i="12"/>
  <c r="K1045" i="12"/>
  <c r="L1045" i="12"/>
  <c r="AE1045" i="12"/>
  <c r="AR1045" i="12"/>
  <c r="AS1045" i="12"/>
  <c r="AT1045" i="12"/>
  <c r="BG1045" i="12"/>
  <c r="BH1045" i="12"/>
  <c r="BI1045" i="12"/>
  <c r="I1046" i="12"/>
  <c r="J1046" i="12"/>
  <c r="K1046" i="12"/>
  <c r="L1046" i="12"/>
  <c r="AE1046" i="12"/>
  <c r="AR1046" i="12"/>
  <c r="AS1046" i="12"/>
  <c r="AT1046" i="12"/>
  <c r="BG1046" i="12"/>
  <c r="BH1046" i="12"/>
  <c r="BI1046" i="12"/>
  <c r="I1047" i="12"/>
  <c r="J1047" i="12"/>
  <c r="K1047" i="12"/>
  <c r="L1047" i="12"/>
  <c r="AE1047" i="12"/>
  <c r="AR1047" i="12"/>
  <c r="AS1047" i="12"/>
  <c r="AT1047" i="12"/>
  <c r="BG1047" i="12"/>
  <c r="BH1047" i="12"/>
  <c r="BI1047" i="12"/>
  <c r="I1048" i="12"/>
  <c r="J1048" i="12"/>
  <c r="K1048" i="12"/>
  <c r="L1048" i="12"/>
  <c r="AE1048" i="12"/>
  <c r="AR1048" i="12"/>
  <c r="AS1048" i="12"/>
  <c r="AT1048" i="12"/>
  <c r="BG1048" i="12"/>
  <c r="BH1048" i="12"/>
  <c r="BI1048" i="12"/>
  <c r="I1049" i="12"/>
  <c r="J1049" i="12"/>
  <c r="K1049" i="12"/>
  <c r="L1049" i="12"/>
  <c r="AE1049" i="12"/>
  <c r="AR1049" i="12"/>
  <c r="AS1049" i="12"/>
  <c r="AT1049" i="12"/>
  <c r="BG1049" i="12"/>
  <c r="BH1049" i="12"/>
  <c r="BI1049" i="12"/>
  <c r="I1050" i="12"/>
  <c r="J1050" i="12"/>
  <c r="K1050" i="12"/>
  <c r="L1050" i="12"/>
  <c r="AE1050" i="12"/>
  <c r="AR1050" i="12"/>
  <c r="AS1050" i="12"/>
  <c r="AT1050" i="12"/>
  <c r="BG1050" i="12"/>
  <c r="BH1050" i="12"/>
  <c r="BI1050" i="12"/>
  <c r="I1051" i="12"/>
  <c r="J1051" i="12"/>
  <c r="K1051" i="12"/>
  <c r="L1051" i="12"/>
  <c r="AE1051" i="12"/>
  <c r="AR1051" i="12"/>
  <c r="AS1051" i="12"/>
  <c r="AT1051" i="12"/>
  <c r="BG1051" i="12"/>
  <c r="BH1051" i="12"/>
  <c r="BI1051" i="12"/>
  <c r="I1052" i="12"/>
  <c r="J1052" i="12"/>
  <c r="K1052" i="12"/>
  <c r="L1052" i="12"/>
  <c r="AE1052" i="12"/>
  <c r="AR1052" i="12"/>
  <c r="AS1052" i="12"/>
  <c r="AT1052" i="12"/>
  <c r="BG1052" i="12"/>
  <c r="BH1052" i="12"/>
  <c r="BI1052" i="12"/>
  <c r="I1053" i="12"/>
  <c r="J1053" i="12"/>
  <c r="K1053" i="12"/>
  <c r="L1053" i="12"/>
  <c r="AE1053" i="12"/>
  <c r="AR1053" i="12"/>
  <c r="AS1053" i="12"/>
  <c r="AT1053" i="12"/>
  <c r="BG1053" i="12"/>
  <c r="BH1053" i="12"/>
  <c r="BI1053" i="12"/>
  <c r="I1054" i="12"/>
  <c r="J1054" i="12"/>
  <c r="K1054" i="12"/>
  <c r="L1054" i="12"/>
  <c r="AE1054" i="12"/>
  <c r="AR1054" i="12"/>
  <c r="AS1054" i="12"/>
  <c r="AT1054" i="12"/>
  <c r="BG1054" i="12"/>
  <c r="BH1054" i="12"/>
  <c r="BI1054" i="12"/>
  <c r="I1055" i="12"/>
  <c r="J1055" i="12"/>
  <c r="K1055" i="12"/>
  <c r="L1055" i="12"/>
  <c r="AE1055" i="12"/>
  <c r="AR1055" i="12"/>
  <c r="AS1055" i="12"/>
  <c r="AT1055" i="12"/>
  <c r="BG1055" i="12"/>
  <c r="BH1055" i="12"/>
  <c r="BI1055" i="12"/>
  <c r="I1056" i="12"/>
  <c r="J1056" i="12"/>
  <c r="K1056" i="12"/>
  <c r="L1056" i="12"/>
  <c r="AE1056" i="12"/>
  <c r="AR1056" i="12"/>
  <c r="AS1056" i="12"/>
  <c r="AT1056" i="12"/>
  <c r="BG1056" i="12"/>
  <c r="BH1056" i="12"/>
  <c r="BI1056" i="12"/>
  <c r="I1057" i="12"/>
  <c r="J1057" i="12"/>
  <c r="K1057" i="12"/>
  <c r="L1057" i="12"/>
  <c r="AE1057" i="12"/>
  <c r="AR1057" i="12"/>
  <c r="AS1057" i="12"/>
  <c r="AT1057" i="12"/>
  <c r="BG1057" i="12"/>
  <c r="BH1057" i="12"/>
  <c r="BI1057" i="12"/>
  <c r="I1058" i="12"/>
  <c r="J1058" i="12"/>
  <c r="K1058" i="12"/>
  <c r="L1058" i="12"/>
  <c r="AE1058" i="12"/>
  <c r="AR1058" i="12"/>
  <c r="AS1058" i="12"/>
  <c r="AT1058" i="12"/>
  <c r="BG1058" i="12"/>
  <c r="BH1058" i="12"/>
  <c r="BI1058" i="12"/>
  <c r="I1059" i="12"/>
  <c r="J1059" i="12"/>
  <c r="K1059" i="12"/>
  <c r="L1059" i="12"/>
  <c r="AE1059" i="12"/>
  <c r="AR1059" i="12"/>
  <c r="AS1059" i="12"/>
  <c r="AT1059" i="12"/>
  <c r="BG1059" i="12"/>
  <c r="BH1059" i="12"/>
  <c r="BI1059" i="12"/>
  <c r="I1060" i="12"/>
  <c r="J1060" i="12"/>
  <c r="K1060" i="12"/>
  <c r="L1060" i="12"/>
  <c r="AE1060" i="12"/>
  <c r="AR1060" i="12"/>
  <c r="AS1060" i="12"/>
  <c r="AT1060" i="12"/>
  <c r="BG1060" i="12"/>
  <c r="BH1060" i="12"/>
  <c r="BI1060" i="12"/>
  <c r="I1061" i="12"/>
  <c r="J1061" i="12"/>
  <c r="K1061" i="12"/>
  <c r="L1061" i="12"/>
  <c r="AE1061" i="12"/>
  <c r="AR1061" i="12"/>
  <c r="AS1061" i="12"/>
  <c r="AT1061" i="12"/>
  <c r="BG1061" i="12"/>
  <c r="BH1061" i="12"/>
  <c r="BI1061" i="12"/>
  <c r="I1062" i="12"/>
  <c r="J1062" i="12"/>
  <c r="K1062" i="12"/>
  <c r="L1062" i="12"/>
  <c r="AE1062" i="12"/>
  <c r="AR1062" i="12"/>
  <c r="AS1062" i="12"/>
  <c r="AT1062" i="12"/>
  <c r="BG1062" i="12"/>
  <c r="BH1062" i="12"/>
  <c r="BI1062" i="12"/>
  <c r="I1063" i="12"/>
  <c r="J1063" i="12"/>
  <c r="K1063" i="12"/>
  <c r="L1063" i="12"/>
  <c r="AE1063" i="12"/>
  <c r="AR1063" i="12"/>
  <c r="AS1063" i="12"/>
  <c r="AT1063" i="12"/>
  <c r="BG1063" i="12"/>
  <c r="BH1063" i="12"/>
  <c r="BI1063" i="12"/>
  <c r="I1064" i="12"/>
  <c r="J1064" i="12"/>
  <c r="K1064" i="12"/>
  <c r="L1064" i="12"/>
  <c r="AE1064" i="12"/>
  <c r="AR1064" i="12"/>
  <c r="AS1064" i="12"/>
  <c r="AT1064" i="12"/>
  <c r="BG1064" i="12"/>
  <c r="BH1064" i="12"/>
  <c r="BI1064" i="12"/>
  <c r="I1065" i="12"/>
  <c r="J1065" i="12"/>
  <c r="K1065" i="12"/>
  <c r="L1065" i="12"/>
  <c r="AE1065" i="12"/>
  <c r="AR1065" i="12"/>
  <c r="AS1065" i="12"/>
  <c r="AT1065" i="12"/>
  <c r="BG1065" i="12"/>
  <c r="BH1065" i="12"/>
  <c r="BI1065" i="12"/>
  <c r="I1066" i="12"/>
  <c r="J1066" i="12"/>
  <c r="K1066" i="12"/>
  <c r="L1066" i="12"/>
  <c r="AE1066" i="12"/>
  <c r="AR1066" i="12"/>
  <c r="AS1066" i="12"/>
  <c r="AT1066" i="12"/>
  <c r="BG1066" i="12"/>
  <c r="BH1066" i="12"/>
  <c r="BI1066" i="12"/>
  <c r="I1067" i="12"/>
  <c r="J1067" i="12"/>
  <c r="K1067" i="12"/>
  <c r="L1067" i="12"/>
  <c r="AE1067" i="12"/>
  <c r="AR1067" i="12"/>
  <c r="AS1067" i="12"/>
  <c r="AT1067" i="12"/>
  <c r="BG1067" i="12"/>
  <c r="BH1067" i="12"/>
  <c r="BI1067" i="12"/>
  <c r="I1068" i="12"/>
  <c r="J1068" i="12"/>
  <c r="K1068" i="12"/>
  <c r="L1068" i="12"/>
  <c r="AE1068" i="12"/>
  <c r="AR1068" i="12"/>
  <c r="AS1068" i="12"/>
  <c r="AT1068" i="12"/>
  <c r="BG1068" i="12"/>
  <c r="BH1068" i="12"/>
  <c r="BI1068" i="12"/>
  <c r="I1069" i="12"/>
  <c r="J1069" i="12"/>
  <c r="K1069" i="12"/>
  <c r="L1069" i="12"/>
  <c r="AE1069" i="12"/>
  <c r="AR1069" i="12"/>
  <c r="AS1069" i="12"/>
  <c r="AT1069" i="12"/>
  <c r="BG1069" i="12"/>
  <c r="BH1069" i="12"/>
  <c r="BI1069" i="12"/>
  <c r="I1070" i="12"/>
  <c r="J1070" i="12"/>
  <c r="K1070" i="12"/>
  <c r="L1070" i="12"/>
  <c r="AE1070" i="12"/>
  <c r="AR1070" i="12"/>
  <c r="AS1070" i="12"/>
  <c r="AT1070" i="12"/>
  <c r="BG1070" i="12"/>
  <c r="BH1070" i="12"/>
  <c r="BI1070" i="12"/>
  <c r="I1071" i="12"/>
  <c r="J1071" i="12"/>
  <c r="K1071" i="12"/>
  <c r="L1071" i="12"/>
  <c r="AE1071" i="12"/>
  <c r="AR1071" i="12"/>
  <c r="AS1071" i="12"/>
  <c r="AT1071" i="12"/>
  <c r="BG1071" i="12"/>
  <c r="BH1071" i="12"/>
  <c r="BI1071" i="12"/>
  <c r="I1072" i="12"/>
  <c r="J1072" i="12"/>
  <c r="K1072" i="12"/>
  <c r="L1072" i="12"/>
  <c r="AE1072" i="12"/>
  <c r="AR1072" i="12"/>
  <c r="AS1072" i="12"/>
  <c r="AT1072" i="12"/>
  <c r="BG1072" i="12"/>
  <c r="BH1072" i="12"/>
  <c r="BI1072" i="12"/>
  <c r="I1073" i="12"/>
  <c r="J1073" i="12"/>
  <c r="K1073" i="12"/>
  <c r="L1073" i="12"/>
  <c r="AE1073" i="12"/>
  <c r="AR1073" i="12"/>
  <c r="AS1073" i="12"/>
  <c r="AT1073" i="12"/>
  <c r="BG1073" i="12"/>
  <c r="BH1073" i="12"/>
  <c r="BI1073" i="12"/>
  <c r="I1074" i="12"/>
  <c r="J1074" i="12"/>
  <c r="K1074" i="12"/>
  <c r="L1074" i="12"/>
  <c r="AE1074" i="12"/>
  <c r="AR1074" i="12"/>
  <c r="AS1074" i="12"/>
  <c r="AT1074" i="12"/>
  <c r="BG1074" i="12"/>
  <c r="BH1074" i="12"/>
  <c r="BI1074" i="12"/>
  <c r="I1075" i="12"/>
  <c r="J1075" i="12"/>
  <c r="K1075" i="12"/>
  <c r="L1075" i="12"/>
  <c r="AE1075" i="12"/>
  <c r="AR1075" i="12"/>
  <c r="AS1075" i="12"/>
  <c r="AT1075" i="12"/>
  <c r="BG1075" i="12"/>
  <c r="BH1075" i="12"/>
  <c r="BI1075" i="12"/>
  <c r="I1076" i="12"/>
  <c r="J1076" i="12"/>
  <c r="K1076" i="12"/>
  <c r="L1076" i="12"/>
  <c r="AE1076" i="12"/>
  <c r="AR1076" i="12"/>
  <c r="AS1076" i="12"/>
  <c r="AT1076" i="12"/>
  <c r="BG1076" i="12"/>
  <c r="BH1076" i="12"/>
  <c r="BI1076" i="12"/>
  <c r="I1077" i="12"/>
  <c r="J1077" i="12"/>
  <c r="K1077" i="12"/>
  <c r="L1077" i="12"/>
  <c r="AE1077" i="12"/>
  <c r="AR1077" i="12"/>
  <c r="AS1077" i="12"/>
  <c r="AT1077" i="12"/>
  <c r="BG1077" i="12"/>
  <c r="BH1077" i="12"/>
  <c r="BI1077" i="12"/>
  <c r="I1078" i="12"/>
  <c r="J1078" i="12"/>
  <c r="K1078" i="12"/>
  <c r="L1078" i="12"/>
  <c r="AE1078" i="12"/>
  <c r="AR1078" i="12"/>
  <c r="AS1078" i="12"/>
  <c r="AT1078" i="12"/>
  <c r="BG1078" i="12"/>
  <c r="BH1078" i="12"/>
  <c r="BI1078" i="12"/>
  <c r="I1079" i="12"/>
  <c r="J1079" i="12"/>
  <c r="K1079" i="12"/>
  <c r="L1079" i="12"/>
  <c r="AE1079" i="12"/>
  <c r="AR1079" i="12"/>
  <c r="AS1079" i="12"/>
  <c r="AT1079" i="12"/>
  <c r="BG1079" i="12"/>
  <c r="BH1079" i="12"/>
  <c r="BI1079" i="12"/>
  <c r="I1080" i="12"/>
  <c r="J1080" i="12"/>
  <c r="K1080" i="12"/>
  <c r="L1080" i="12"/>
  <c r="AE1080" i="12"/>
  <c r="AR1080" i="12"/>
  <c r="AS1080" i="12"/>
  <c r="AT1080" i="12"/>
  <c r="BG1080" i="12"/>
  <c r="BH1080" i="12"/>
  <c r="BI1080" i="12"/>
  <c r="I1081" i="12"/>
  <c r="J1081" i="12"/>
  <c r="K1081" i="12"/>
  <c r="L1081" i="12"/>
  <c r="AE1081" i="12"/>
  <c r="AR1081" i="12"/>
  <c r="AS1081" i="12"/>
  <c r="AT1081" i="12"/>
  <c r="BG1081" i="12"/>
  <c r="BH1081" i="12"/>
  <c r="BI1081" i="12"/>
  <c r="I1082" i="12"/>
  <c r="J1082" i="12"/>
  <c r="K1082" i="12"/>
  <c r="L1082" i="12"/>
  <c r="AE1082" i="12"/>
  <c r="AR1082" i="12"/>
  <c r="AS1082" i="12"/>
  <c r="AT1082" i="12"/>
  <c r="BG1082" i="12"/>
  <c r="BH1082" i="12"/>
  <c r="BI1082" i="12"/>
  <c r="I1083" i="12"/>
  <c r="J1083" i="12"/>
  <c r="K1083" i="12"/>
  <c r="L1083" i="12"/>
  <c r="AE1083" i="12"/>
  <c r="AR1083" i="12"/>
  <c r="AS1083" i="12"/>
  <c r="AT1083" i="12"/>
  <c r="BG1083" i="12"/>
  <c r="BH1083" i="12"/>
  <c r="BI1083" i="12"/>
  <c r="I1084" i="12"/>
  <c r="J1084" i="12"/>
  <c r="K1084" i="12"/>
  <c r="L1084" i="12"/>
  <c r="AE1084" i="12"/>
  <c r="AR1084" i="12"/>
  <c r="AS1084" i="12"/>
  <c r="AT1084" i="12"/>
  <c r="BG1084" i="12"/>
  <c r="BH1084" i="12"/>
  <c r="BI1084" i="12"/>
  <c r="I1085" i="12"/>
  <c r="J1085" i="12"/>
  <c r="K1085" i="12"/>
  <c r="L1085" i="12"/>
  <c r="AE1085" i="12"/>
  <c r="AR1085" i="12"/>
  <c r="AS1085" i="12"/>
  <c r="AT1085" i="12"/>
  <c r="BG1085" i="12"/>
  <c r="BH1085" i="12"/>
  <c r="BI1085" i="12"/>
  <c r="I1086" i="12"/>
  <c r="J1086" i="12"/>
  <c r="K1086" i="12"/>
  <c r="L1086" i="12"/>
  <c r="AE1086" i="12"/>
  <c r="AR1086" i="12"/>
  <c r="AS1086" i="12"/>
  <c r="AT1086" i="12"/>
  <c r="BG1086" i="12"/>
  <c r="BH1086" i="12"/>
  <c r="BI1086" i="12"/>
  <c r="I1087" i="12"/>
  <c r="J1087" i="12"/>
  <c r="K1087" i="12"/>
  <c r="L1087" i="12"/>
  <c r="AE1087" i="12"/>
  <c r="AR1087" i="12"/>
  <c r="AS1087" i="12"/>
  <c r="AT1087" i="12"/>
  <c r="BG1087" i="12"/>
  <c r="BH1087" i="12"/>
  <c r="BI1087" i="12"/>
  <c r="I1088" i="12"/>
  <c r="J1088" i="12"/>
  <c r="K1088" i="12"/>
  <c r="L1088" i="12"/>
  <c r="AE1088" i="12"/>
  <c r="AR1088" i="12"/>
  <c r="AS1088" i="12"/>
  <c r="AT1088" i="12"/>
  <c r="BG1088" i="12"/>
  <c r="BH1088" i="12"/>
  <c r="BI1088" i="12"/>
  <c r="I1089" i="12"/>
  <c r="J1089" i="12"/>
  <c r="K1089" i="12"/>
  <c r="L1089" i="12"/>
  <c r="AE1089" i="12"/>
  <c r="AR1089" i="12"/>
  <c r="AS1089" i="12"/>
  <c r="AT1089" i="12"/>
  <c r="BG1089" i="12"/>
  <c r="BH1089" i="12"/>
  <c r="BI1089" i="12"/>
  <c r="I1090" i="12"/>
  <c r="J1090" i="12"/>
  <c r="K1090" i="12"/>
  <c r="L1090" i="12"/>
  <c r="AE1090" i="12"/>
  <c r="AR1090" i="12"/>
  <c r="AS1090" i="12"/>
  <c r="AT1090" i="12"/>
  <c r="BG1090" i="12"/>
  <c r="BH1090" i="12"/>
  <c r="BI1090" i="12"/>
  <c r="I1091" i="12"/>
  <c r="J1091" i="12"/>
  <c r="K1091" i="12"/>
  <c r="L1091" i="12"/>
  <c r="AE1091" i="12"/>
  <c r="AR1091" i="12"/>
  <c r="AS1091" i="12"/>
  <c r="AT1091" i="12"/>
  <c r="BG1091" i="12"/>
  <c r="BH1091" i="12"/>
  <c r="BI1091" i="12"/>
  <c r="I1092" i="12"/>
  <c r="J1092" i="12"/>
  <c r="K1092" i="12"/>
  <c r="L1092" i="12"/>
  <c r="AE1092" i="12"/>
  <c r="AR1092" i="12"/>
  <c r="AS1092" i="12"/>
  <c r="AT1092" i="12"/>
  <c r="BG1092" i="12"/>
  <c r="BH1092" i="12"/>
  <c r="BI1092" i="12"/>
  <c r="I1093" i="12"/>
  <c r="J1093" i="12"/>
  <c r="K1093" i="12"/>
  <c r="L1093" i="12"/>
  <c r="AE1093" i="12"/>
  <c r="AR1093" i="12"/>
  <c r="AS1093" i="12"/>
  <c r="AT1093" i="12"/>
  <c r="BG1093" i="12"/>
  <c r="BH1093" i="12"/>
  <c r="BI1093" i="12"/>
  <c r="I1094" i="12"/>
  <c r="J1094" i="12"/>
  <c r="K1094" i="12"/>
  <c r="L1094" i="12"/>
  <c r="AE1094" i="12"/>
  <c r="AR1094" i="12"/>
  <c r="AS1094" i="12"/>
  <c r="AT1094" i="12"/>
  <c r="BG1094" i="12"/>
  <c r="BH1094" i="12"/>
  <c r="BI1094" i="12"/>
  <c r="I1095" i="12"/>
  <c r="J1095" i="12"/>
  <c r="K1095" i="12"/>
  <c r="L1095" i="12"/>
  <c r="AE1095" i="12"/>
  <c r="AR1095" i="12"/>
  <c r="AS1095" i="12"/>
  <c r="AT1095" i="12"/>
  <c r="BG1095" i="12"/>
  <c r="BH1095" i="12"/>
  <c r="BI1095" i="12"/>
  <c r="I1096" i="12"/>
  <c r="J1096" i="12"/>
  <c r="K1096" i="12"/>
  <c r="L1096" i="12"/>
  <c r="AE1096" i="12"/>
  <c r="AR1096" i="12"/>
  <c r="AS1096" i="12"/>
  <c r="AT1096" i="12"/>
  <c r="BG1096" i="12"/>
  <c r="BH1096" i="12"/>
  <c r="BI1096" i="12"/>
  <c r="I1097" i="12"/>
  <c r="J1097" i="12"/>
  <c r="K1097" i="12"/>
  <c r="L1097" i="12"/>
  <c r="AE1097" i="12"/>
  <c r="AR1097" i="12"/>
  <c r="AS1097" i="12"/>
  <c r="AT1097" i="12"/>
  <c r="BG1097" i="12"/>
  <c r="BH1097" i="12"/>
  <c r="BI1097" i="12"/>
  <c r="I1098" i="12"/>
  <c r="J1098" i="12"/>
  <c r="K1098" i="12"/>
  <c r="L1098" i="12"/>
  <c r="AE1098" i="12"/>
  <c r="AR1098" i="12"/>
  <c r="AS1098" i="12"/>
  <c r="AT1098" i="12"/>
  <c r="BG1098" i="12"/>
  <c r="BH1098" i="12"/>
  <c r="BI1098" i="12"/>
  <c r="I1099" i="12"/>
  <c r="J1099" i="12"/>
  <c r="K1099" i="12"/>
  <c r="L1099" i="12"/>
  <c r="AE1099" i="12"/>
  <c r="AR1099" i="12"/>
  <c r="AS1099" i="12"/>
  <c r="AT1099" i="12"/>
  <c r="BG1099" i="12"/>
  <c r="BH1099" i="12"/>
  <c r="BI1099" i="12"/>
  <c r="I1100" i="12"/>
  <c r="J1100" i="12"/>
  <c r="K1100" i="12"/>
  <c r="L1100" i="12"/>
  <c r="AE1100" i="12"/>
  <c r="AR1100" i="12"/>
  <c r="AS1100" i="12"/>
  <c r="AT1100" i="12"/>
  <c r="BG1100" i="12"/>
  <c r="BH1100" i="12"/>
  <c r="BI1100" i="12"/>
  <c r="I1101" i="12"/>
  <c r="J1101" i="12"/>
  <c r="K1101" i="12"/>
  <c r="L1101" i="12"/>
  <c r="AE1101" i="12"/>
  <c r="AR1101" i="12"/>
  <c r="AS1101" i="12"/>
  <c r="AT1101" i="12"/>
  <c r="BG1101" i="12"/>
  <c r="BH1101" i="12"/>
  <c r="BI1101" i="12"/>
  <c r="I1102" i="12"/>
  <c r="J1102" i="12"/>
  <c r="K1102" i="12"/>
  <c r="L1102" i="12"/>
  <c r="AE1102" i="12"/>
  <c r="AR1102" i="12"/>
  <c r="AS1102" i="12"/>
  <c r="AT1102" i="12"/>
  <c r="BG1102" i="12"/>
  <c r="BH1102" i="12"/>
  <c r="BI1102" i="12"/>
  <c r="I1103" i="12"/>
  <c r="J1103" i="12"/>
  <c r="K1103" i="12"/>
  <c r="L1103" i="12"/>
  <c r="AE1103" i="12"/>
  <c r="AR1103" i="12"/>
  <c r="AS1103" i="12"/>
  <c r="AT1103" i="12"/>
  <c r="BG1103" i="12"/>
  <c r="BH1103" i="12"/>
  <c r="BI1103" i="12"/>
  <c r="I1104" i="12"/>
  <c r="J1104" i="12"/>
  <c r="K1104" i="12"/>
  <c r="L1104" i="12"/>
  <c r="AE1104" i="12"/>
  <c r="AR1104" i="12"/>
  <c r="AS1104" i="12"/>
  <c r="AT1104" i="12"/>
  <c r="BG1104" i="12"/>
  <c r="BH1104" i="12"/>
  <c r="BI1104" i="12"/>
  <c r="I1105" i="12"/>
  <c r="J1105" i="12"/>
  <c r="K1105" i="12"/>
  <c r="L1105" i="12"/>
  <c r="AE1105" i="12"/>
  <c r="AR1105" i="12"/>
  <c r="AS1105" i="12"/>
  <c r="AT1105" i="12"/>
  <c r="BG1105" i="12"/>
  <c r="BH1105" i="12"/>
  <c r="BI1105" i="12"/>
  <c r="I1106" i="12"/>
  <c r="J1106" i="12"/>
  <c r="K1106" i="12"/>
  <c r="L1106" i="12"/>
  <c r="AE1106" i="12"/>
  <c r="AR1106" i="12"/>
  <c r="AS1106" i="12"/>
  <c r="AT1106" i="12"/>
  <c r="BG1106" i="12"/>
  <c r="BH1106" i="12"/>
  <c r="BI1106" i="12"/>
  <c r="I1107" i="12"/>
  <c r="J1107" i="12"/>
  <c r="K1107" i="12"/>
  <c r="L1107" i="12"/>
  <c r="AE1107" i="12"/>
  <c r="AR1107" i="12"/>
  <c r="AS1107" i="12"/>
  <c r="AT1107" i="12"/>
  <c r="BG1107" i="12"/>
  <c r="BH1107" i="12"/>
  <c r="BI1107" i="12"/>
  <c r="I1108" i="12"/>
  <c r="J1108" i="12"/>
  <c r="K1108" i="12"/>
  <c r="L1108" i="12"/>
  <c r="AE1108" i="12"/>
  <c r="AR1108" i="12"/>
  <c r="AS1108" i="12"/>
  <c r="AT1108" i="12"/>
  <c r="BG1108" i="12"/>
  <c r="BH1108" i="12"/>
  <c r="BI1108" i="12"/>
  <c r="I1109" i="12"/>
  <c r="J1109" i="12"/>
  <c r="K1109" i="12"/>
  <c r="L1109" i="12"/>
  <c r="AE1109" i="12"/>
  <c r="AR1109" i="12"/>
  <c r="AS1109" i="12"/>
  <c r="AT1109" i="12"/>
  <c r="BG1109" i="12"/>
  <c r="BH1109" i="12"/>
  <c r="BI1109" i="12"/>
  <c r="I1110" i="12"/>
  <c r="J1110" i="12"/>
  <c r="K1110" i="12"/>
  <c r="L1110" i="12"/>
  <c r="AE1110" i="12"/>
  <c r="AR1110" i="12"/>
  <c r="AS1110" i="12"/>
  <c r="AT1110" i="12"/>
  <c r="BG1110" i="12"/>
  <c r="BH1110" i="12"/>
  <c r="BI1110" i="12"/>
  <c r="I1111" i="12"/>
  <c r="J1111" i="12"/>
  <c r="K1111" i="12"/>
  <c r="L1111" i="12"/>
  <c r="AE1111" i="12"/>
  <c r="AR1111" i="12"/>
  <c r="AS1111" i="12"/>
  <c r="AT1111" i="12"/>
  <c r="BG1111" i="12"/>
  <c r="BH1111" i="12"/>
  <c r="BI1111" i="12"/>
  <c r="I1112" i="12"/>
  <c r="J1112" i="12"/>
  <c r="K1112" i="12"/>
  <c r="L1112" i="12"/>
  <c r="AE1112" i="12"/>
  <c r="AR1112" i="12"/>
  <c r="AS1112" i="12"/>
  <c r="AT1112" i="12"/>
  <c r="BG1112" i="12"/>
  <c r="BH1112" i="12"/>
  <c r="BI1112" i="12"/>
  <c r="I1113" i="12"/>
  <c r="J1113" i="12"/>
  <c r="K1113" i="12"/>
  <c r="L1113" i="12"/>
  <c r="AE1113" i="12"/>
  <c r="AR1113" i="12"/>
  <c r="AS1113" i="12"/>
  <c r="AT1113" i="12"/>
  <c r="BG1113" i="12"/>
  <c r="BH1113" i="12"/>
  <c r="BI1113" i="12"/>
  <c r="I1114" i="12"/>
  <c r="J1114" i="12"/>
  <c r="K1114" i="12"/>
  <c r="L1114" i="12"/>
  <c r="AE1114" i="12"/>
  <c r="AR1114" i="12"/>
  <c r="AS1114" i="12"/>
  <c r="AT1114" i="12"/>
  <c r="BG1114" i="12"/>
  <c r="BH1114" i="12"/>
  <c r="BI1114" i="12"/>
  <c r="I1115" i="12"/>
  <c r="J1115" i="12"/>
  <c r="K1115" i="12"/>
  <c r="L1115" i="12"/>
  <c r="AE1115" i="12"/>
  <c r="AR1115" i="12"/>
  <c r="AS1115" i="12"/>
  <c r="AT1115" i="12"/>
  <c r="BG1115" i="12"/>
  <c r="BH1115" i="12"/>
  <c r="BI1115" i="12"/>
  <c r="I1116" i="12"/>
  <c r="J1116" i="12"/>
  <c r="K1116" i="12"/>
  <c r="L1116" i="12"/>
  <c r="AE1116" i="12"/>
  <c r="AR1116" i="12"/>
  <c r="AS1116" i="12"/>
  <c r="AT1116" i="12"/>
  <c r="BG1116" i="12"/>
  <c r="BH1116" i="12"/>
  <c r="BI1116" i="12"/>
  <c r="I1117" i="12"/>
  <c r="J1117" i="12"/>
  <c r="K1117" i="12"/>
  <c r="L1117" i="12"/>
  <c r="AE1117" i="12"/>
  <c r="AR1117" i="12"/>
  <c r="AS1117" i="12"/>
  <c r="AT1117" i="12"/>
  <c r="BG1117" i="12"/>
  <c r="BH1117" i="12"/>
  <c r="BI1117" i="12"/>
  <c r="I1118" i="12"/>
  <c r="J1118" i="12"/>
  <c r="K1118" i="12"/>
  <c r="L1118" i="12"/>
  <c r="AE1118" i="12"/>
  <c r="AR1118" i="12"/>
  <c r="AS1118" i="12"/>
  <c r="AT1118" i="12"/>
  <c r="BG1118" i="12"/>
  <c r="BH1118" i="12"/>
  <c r="BI1118" i="12"/>
  <c r="I1119" i="12"/>
  <c r="J1119" i="12"/>
  <c r="K1119" i="12"/>
  <c r="L1119" i="12"/>
  <c r="AE1119" i="12"/>
  <c r="AR1119" i="12"/>
  <c r="AS1119" i="12"/>
  <c r="AT1119" i="12"/>
  <c r="BG1119" i="12"/>
  <c r="BH1119" i="12"/>
  <c r="BI1119" i="12"/>
  <c r="I1120" i="12"/>
  <c r="J1120" i="12"/>
  <c r="K1120" i="12"/>
  <c r="L1120" i="12"/>
  <c r="AE1120" i="12"/>
  <c r="AR1120" i="12"/>
  <c r="AS1120" i="12"/>
  <c r="AT1120" i="12"/>
  <c r="BG1120" i="12"/>
  <c r="BH1120" i="12"/>
  <c r="BI1120" i="12"/>
  <c r="I1121" i="12"/>
  <c r="J1121" i="12"/>
  <c r="K1121" i="12"/>
  <c r="L1121" i="12"/>
  <c r="AE1121" i="12"/>
  <c r="AR1121" i="12"/>
  <c r="AS1121" i="12"/>
  <c r="AT1121" i="12"/>
  <c r="BG1121" i="12"/>
  <c r="BH1121" i="12"/>
  <c r="BI1121" i="12"/>
  <c r="I1122" i="12"/>
  <c r="J1122" i="12"/>
  <c r="K1122" i="12"/>
  <c r="L1122" i="12"/>
  <c r="AE1122" i="12"/>
  <c r="AR1122" i="12"/>
  <c r="AS1122" i="12"/>
  <c r="AT1122" i="12"/>
  <c r="BG1122" i="12"/>
  <c r="BH1122" i="12"/>
  <c r="BI1122" i="12"/>
  <c r="I1123" i="12"/>
  <c r="J1123" i="12"/>
  <c r="K1123" i="12"/>
  <c r="L1123" i="12"/>
  <c r="AE1123" i="12"/>
  <c r="AR1123" i="12"/>
  <c r="AS1123" i="12"/>
  <c r="AT1123" i="12"/>
  <c r="BG1123" i="12"/>
  <c r="BH1123" i="12"/>
  <c r="BI1123" i="12"/>
  <c r="I1124" i="12"/>
  <c r="J1124" i="12"/>
  <c r="K1124" i="12"/>
  <c r="L1124" i="12"/>
  <c r="AE1124" i="12"/>
  <c r="AR1124" i="12"/>
  <c r="AS1124" i="12"/>
  <c r="AT1124" i="12"/>
  <c r="BG1124" i="12"/>
  <c r="BH1124" i="12"/>
  <c r="BI1124" i="12"/>
  <c r="I1125" i="12"/>
  <c r="J1125" i="12"/>
  <c r="K1125" i="12"/>
  <c r="L1125" i="12"/>
  <c r="AE1125" i="12"/>
  <c r="AR1125" i="12"/>
  <c r="AS1125" i="12"/>
  <c r="AT1125" i="12"/>
  <c r="BG1125" i="12"/>
  <c r="BH1125" i="12"/>
  <c r="BI1125" i="12"/>
  <c r="I1126" i="12"/>
  <c r="J1126" i="12"/>
  <c r="K1126" i="12"/>
  <c r="L1126" i="12"/>
  <c r="AE1126" i="12"/>
  <c r="AR1126" i="12"/>
  <c r="AS1126" i="12"/>
  <c r="AT1126" i="12"/>
  <c r="BG1126" i="12"/>
  <c r="BH1126" i="12"/>
  <c r="BI1126" i="12"/>
  <c r="I1127" i="12"/>
  <c r="J1127" i="12"/>
  <c r="K1127" i="12"/>
  <c r="L1127" i="12"/>
  <c r="AE1127" i="12"/>
  <c r="AR1127" i="12"/>
  <c r="AS1127" i="12"/>
  <c r="AT1127" i="12"/>
  <c r="BG1127" i="12"/>
  <c r="BH1127" i="12"/>
  <c r="BI1127" i="12"/>
  <c r="I1128" i="12"/>
  <c r="J1128" i="12"/>
  <c r="K1128" i="12"/>
  <c r="L1128" i="12"/>
  <c r="AE1128" i="12"/>
  <c r="AR1128" i="12"/>
  <c r="AS1128" i="12"/>
  <c r="AT1128" i="12"/>
  <c r="BG1128" i="12"/>
  <c r="BH1128" i="12"/>
  <c r="BI1128" i="12"/>
  <c r="I1129" i="12"/>
  <c r="J1129" i="12"/>
  <c r="K1129" i="12"/>
  <c r="L1129" i="12"/>
  <c r="AE1129" i="12"/>
  <c r="AR1129" i="12"/>
  <c r="AS1129" i="12"/>
  <c r="AT1129" i="12"/>
  <c r="BG1129" i="12"/>
  <c r="BH1129" i="12"/>
  <c r="BI1129" i="12"/>
  <c r="I1130" i="12"/>
  <c r="J1130" i="12"/>
  <c r="K1130" i="12"/>
  <c r="L1130" i="12"/>
  <c r="AE1130" i="12"/>
  <c r="AR1130" i="12"/>
  <c r="AS1130" i="12"/>
  <c r="AT1130" i="12"/>
  <c r="BG1130" i="12"/>
  <c r="BH1130" i="12"/>
  <c r="BI1130" i="12"/>
  <c r="I1132" i="12"/>
  <c r="J1132" i="12"/>
  <c r="K1132" i="12"/>
  <c r="L1132" i="12"/>
  <c r="AE1132" i="12"/>
  <c r="AR1132" i="12"/>
  <c r="AS1132" i="12"/>
  <c r="AT1132" i="12"/>
  <c r="BG1132" i="12"/>
  <c r="BH1132" i="12"/>
  <c r="BI1132" i="12"/>
  <c r="I1133" i="12"/>
  <c r="J1133" i="12"/>
  <c r="K1133" i="12"/>
  <c r="L1133" i="12"/>
  <c r="AE1133" i="12"/>
  <c r="AR1133" i="12"/>
  <c r="AS1133" i="12"/>
  <c r="AT1133" i="12"/>
  <c r="BG1133" i="12"/>
  <c r="BH1133" i="12"/>
  <c r="BI1133" i="12"/>
  <c r="I1136" i="12"/>
  <c r="J1136" i="12"/>
  <c r="K1136" i="12"/>
  <c r="L1136" i="12"/>
  <c r="AE1136" i="12"/>
  <c r="AR1136" i="12"/>
  <c r="AS1136" i="12"/>
  <c r="AT1136" i="12"/>
  <c r="BG1136" i="12"/>
  <c r="BH1136" i="12"/>
  <c r="BI1136" i="12"/>
  <c r="I1137" i="12"/>
  <c r="J1137" i="12"/>
  <c r="K1137" i="12"/>
  <c r="L1137" i="12"/>
  <c r="AE1137" i="12"/>
  <c r="AR1137" i="12"/>
  <c r="AS1137" i="12"/>
  <c r="AT1137" i="12"/>
  <c r="BG1137" i="12"/>
  <c r="BH1137" i="12"/>
  <c r="BI1137" i="12"/>
  <c r="I1140" i="12"/>
  <c r="J1140" i="12"/>
  <c r="K1140" i="12"/>
  <c r="L1140" i="12"/>
  <c r="AE1140" i="12"/>
  <c r="AR1140" i="12"/>
  <c r="AS1140" i="12"/>
  <c r="AT1140" i="12"/>
  <c r="BG1140" i="12"/>
  <c r="BH1140" i="12"/>
  <c r="BI1140" i="12"/>
  <c r="I1141" i="12"/>
  <c r="J1141" i="12"/>
  <c r="K1141" i="12"/>
  <c r="L1141" i="12"/>
  <c r="AE1141" i="12"/>
  <c r="AR1141" i="12"/>
  <c r="AS1141" i="12"/>
  <c r="AT1141" i="12"/>
  <c r="BG1141" i="12"/>
  <c r="BH1141" i="12"/>
  <c r="BI1141" i="12"/>
  <c r="I1142" i="12"/>
  <c r="J1142" i="12"/>
  <c r="K1142" i="12"/>
  <c r="L1142" i="12"/>
  <c r="AE1142" i="12"/>
  <c r="AR1142" i="12"/>
  <c r="AS1142" i="12"/>
  <c r="AT1142" i="12"/>
  <c r="BG1142" i="12"/>
  <c r="BH1142" i="12"/>
  <c r="BI1142" i="12"/>
  <c r="I1143" i="12"/>
  <c r="J1143" i="12"/>
  <c r="K1143" i="12"/>
  <c r="L1143" i="12"/>
  <c r="AE1143" i="12"/>
  <c r="AR1143" i="12"/>
  <c r="AS1143" i="12"/>
  <c r="AT1143" i="12"/>
  <c r="BG1143" i="12"/>
  <c r="BH1143" i="12"/>
  <c r="BI1143" i="12"/>
  <c r="I1144" i="12"/>
  <c r="J1144" i="12"/>
  <c r="K1144" i="12"/>
  <c r="L1144" i="12"/>
  <c r="AE1144" i="12"/>
  <c r="AR1144" i="12"/>
  <c r="AS1144" i="12"/>
  <c r="AT1144" i="12"/>
  <c r="BG1144" i="12"/>
  <c r="BH1144" i="12"/>
  <c r="BI1144" i="12"/>
  <c r="I1145" i="12"/>
  <c r="J1145" i="12"/>
  <c r="K1145" i="12"/>
  <c r="L1145" i="12"/>
  <c r="AE1145" i="12"/>
  <c r="AR1145" i="12"/>
  <c r="AS1145" i="12"/>
  <c r="AT1145" i="12"/>
  <c r="BG1145" i="12"/>
  <c r="BH1145" i="12"/>
  <c r="BI1145" i="12"/>
  <c r="I1146" i="12"/>
  <c r="J1146" i="12"/>
  <c r="K1146" i="12"/>
  <c r="L1146" i="12"/>
  <c r="AE1146" i="12"/>
  <c r="AR1146" i="12"/>
  <c r="AS1146" i="12"/>
  <c r="AT1146" i="12"/>
  <c r="BG1146" i="12"/>
  <c r="BH1146" i="12"/>
  <c r="BI1146" i="12"/>
  <c r="I1147" i="12"/>
  <c r="J1147" i="12"/>
  <c r="K1147" i="12"/>
  <c r="L1147" i="12"/>
  <c r="AE1147" i="12"/>
  <c r="AR1147" i="12"/>
  <c r="AS1147" i="12"/>
  <c r="AT1147" i="12"/>
  <c r="BG1147" i="12"/>
  <c r="BH1147" i="12"/>
  <c r="BI1147" i="12"/>
  <c r="I1148" i="12"/>
  <c r="J1148" i="12"/>
  <c r="K1148" i="12"/>
  <c r="L1148" i="12"/>
  <c r="AE1148" i="12"/>
  <c r="AR1148" i="12"/>
  <c r="AS1148" i="12"/>
  <c r="AT1148" i="12"/>
  <c r="BG1148" i="12"/>
  <c r="BH1148" i="12"/>
  <c r="BI1148" i="12"/>
  <c r="I1149" i="12"/>
  <c r="J1149" i="12"/>
  <c r="K1149" i="12"/>
  <c r="L1149" i="12"/>
  <c r="AE1149" i="12"/>
  <c r="AR1149" i="12"/>
  <c r="AS1149" i="12"/>
  <c r="AT1149" i="12"/>
  <c r="BG1149" i="12"/>
  <c r="BH1149" i="12"/>
  <c r="BI1149" i="12"/>
  <c r="I1150" i="12"/>
  <c r="J1150" i="12"/>
  <c r="K1150" i="12"/>
  <c r="L1150" i="12"/>
  <c r="AE1150" i="12"/>
  <c r="AR1150" i="12"/>
  <c r="AS1150" i="12"/>
  <c r="AT1150" i="12"/>
  <c r="BG1150" i="12"/>
  <c r="BH1150" i="12"/>
  <c r="BI1150" i="12"/>
  <c r="I1151" i="12"/>
  <c r="J1151" i="12"/>
  <c r="K1151" i="12"/>
  <c r="L1151" i="12"/>
  <c r="AE1151" i="12"/>
  <c r="AR1151" i="12"/>
  <c r="AS1151" i="12"/>
  <c r="AT1151" i="12"/>
  <c r="BG1151" i="12"/>
  <c r="BH1151" i="12"/>
  <c r="BI1151" i="12"/>
  <c r="J1152" i="12"/>
  <c r="K1152" i="12"/>
  <c r="L1152" i="12"/>
  <c r="AE1152" i="12"/>
  <c r="AR1152" i="12"/>
  <c r="AS1152" i="12"/>
  <c r="AT1152" i="12"/>
  <c r="BG1152" i="12"/>
  <c r="BH1152" i="12"/>
  <c r="BI1152" i="12"/>
  <c r="I1153" i="12"/>
  <c r="J1153" i="12"/>
  <c r="K1153" i="12"/>
  <c r="L1153" i="12"/>
  <c r="AE1153" i="12"/>
  <c r="AR1153" i="12"/>
  <c r="AS1153" i="12"/>
  <c r="AT1153" i="12"/>
  <c r="BG1153" i="12"/>
  <c r="BH1153" i="12"/>
  <c r="BI1153" i="12"/>
  <c r="I1154" i="12"/>
  <c r="J1154" i="12"/>
  <c r="K1154" i="12"/>
  <c r="L1154" i="12"/>
  <c r="AE1154" i="12"/>
  <c r="AR1154" i="12"/>
  <c r="AS1154" i="12"/>
  <c r="AT1154" i="12"/>
  <c r="BG1154" i="12"/>
  <c r="BH1154" i="12"/>
  <c r="BI1154" i="12"/>
  <c r="J1155" i="12"/>
  <c r="K1155" i="12"/>
  <c r="L1155" i="12"/>
  <c r="AE1155" i="12"/>
  <c r="AR1155" i="12"/>
  <c r="AS1155" i="12"/>
  <c r="AT1155" i="12"/>
  <c r="BG1155" i="12"/>
  <c r="BH1155" i="12"/>
  <c r="BI1155" i="12"/>
  <c r="AK22" i="71" l="1"/>
  <c r="AQ22" i="58"/>
  <c r="G22" i="58" s="1" a="1"/>
  <c r="G22" i="58" s="1"/>
  <c r="AR22" i="58" a="1"/>
  <c r="AR22" i="58" s="1"/>
  <c r="AC23" i="69"/>
  <c r="V22" i="69"/>
  <c r="U22" i="69"/>
  <c r="S35" i="69"/>
  <c r="T35" i="69"/>
  <c r="U35" i="69"/>
  <c r="AQ35" i="69" s="1"/>
  <c r="BS5" i="12" a="1"/>
  <c r="BS5" i="12" s="1"/>
  <c r="BI5" i="12"/>
  <c r="DS5" i="12" s="1" a="1"/>
  <c r="DS5" i="12" s="1"/>
  <c r="BH5" i="12"/>
  <c r="DR5" i="12" s="1" a="1"/>
  <c r="DR5" i="12" s="1"/>
  <c r="BG5" i="12"/>
  <c r="DQ5" i="12" s="1" a="1"/>
  <c r="DQ5" i="12" s="1"/>
  <c r="DP5" i="12" a="1"/>
  <c r="DP5" i="12" s="1"/>
  <c r="DJ5" i="12" a="1"/>
  <c r="DJ5" i="12" s="1"/>
  <c r="DH5" i="12" a="1"/>
  <c r="DH5" i="12" s="1"/>
  <c r="DG5" i="12" a="1"/>
  <c r="DG5" i="12" s="1"/>
  <c r="DF5" i="12" a="1"/>
  <c r="DF5" i="12" s="1"/>
  <c r="F22" i="58" l="1" a="1"/>
  <c r="F22" i="58" s="1"/>
  <c r="H22" i="58" s="1"/>
  <c r="D22" i="58" a="1"/>
  <c r="D22" i="58" s="1"/>
  <c r="E22" i="58" a="1"/>
  <c r="E22" i="58" s="1"/>
  <c r="AQ22" i="69"/>
  <c r="D22" i="69" s="1" a="1"/>
  <c r="AD23" i="69"/>
  <c r="AE23" i="69" s="1"/>
  <c r="AB23" i="69"/>
  <c r="H33" i="58"/>
  <c r="H37" i="58"/>
  <c r="H43" i="58"/>
  <c r="H34" i="58"/>
  <c r="H41" i="58"/>
  <c r="H38" i="58"/>
  <c r="H36" i="58"/>
  <c r="H42" i="58"/>
  <c r="H40" i="58"/>
  <c r="H35" i="58"/>
  <c r="H39" i="58"/>
  <c r="H27" i="58"/>
  <c r="H24" i="58"/>
  <c r="H28" i="58"/>
  <c r="H25" i="58"/>
  <c r="H26" i="58"/>
  <c r="H32" i="58"/>
  <c r="H29" i="58"/>
  <c r="H30" i="58"/>
  <c r="H31" i="58"/>
  <c r="H32" i="69"/>
  <c r="H24" i="69"/>
  <c r="H26" i="69"/>
  <c r="H31" i="69"/>
  <c r="H27" i="69"/>
  <c r="H28" i="69"/>
  <c r="H30" i="69"/>
  <c r="H25" i="69"/>
  <c r="H29" i="69"/>
  <c r="CY5" i="12" a="1"/>
  <c r="CY5" i="12" s="1"/>
  <c r="AT5" i="12"/>
  <c r="DD5" i="12" s="1" a="1"/>
  <c r="DD5" i="12" s="1"/>
  <c r="AS5" i="12"/>
  <c r="DC5" i="12" s="1" a="1"/>
  <c r="DC5" i="12" s="1"/>
  <c r="AR5" i="12"/>
  <c r="DB5" i="12" s="1" a="1"/>
  <c r="DB5" i="12" s="1"/>
  <c r="DA5" i="12" a="1"/>
  <c r="DA5" i="12" s="1"/>
  <c r="CZ5" i="12" a="1"/>
  <c r="CZ5" i="12" s="1"/>
  <c r="CX5" i="12" a="1"/>
  <c r="CX5" i="12" s="1"/>
  <c r="CW5" i="12" a="1"/>
  <c r="CW5" i="12" s="1"/>
  <c r="CV5" i="12" a="1"/>
  <c r="CV5" i="12" s="1"/>
  <c r="CU5" i="12" a="1"/>
  <c r="CU5" i="12" s="1"/>
  <c r="CT5" i="12" a="1"/>
  <c r="CT5" i="12" s="1"/>
  <c r="CS5" i="12" a="1"/>
  <c r="CS5" i="12" s="1"/>
  <c r="CR5" i="12" a="1"/>
  <c r="CR5" i="12" s="1"/>
  <c r="CQ5" i="12" a="1"/>
  <c r="CQ5" i="12" s="1"/>
  <c r="CP5" i="12" a="1"/>
  <c r="CP5" i="12" s="1"/>
  <c r="AE5" i="12"/>
  <c r="CO5" i="12" s="1" a="1"/>
  <c r="CO5" i="12" s="1"/>
  <c r="W5" i="12"/>
  <c r="CG5" i="12" s="1" a="1"/>
  <c r="CG5" i="12" s="1"/>
  <c r="CF5" i="12" a="1"/>
  <c r="CF5" i="12" s="1"/>
  <c r="CE5" i="12" a="1"/>
  <c r="CE5" i="12" s="1"/>
  <c r="CD5" i="12" a="1"/>
  <c r="CD5" i="12" s="1"/>
  <c r="CC5" i="12" a="1"/>
  <c r="CC5" i="12" s="1"/>
  <c r="CB5" i="12" a="1"/>
  <c r="CB5" i="12" s="1"/>
  <c r="H23" i="58" l="1"/>
  <c r="E22" i="69" a="1"/>
  <c r="E22" i="69" s="1"/>
  <c r="F22" i="69" a="1"/>
  <c r="G22" i="69" a="1"/>
  <c r="G22" i="69" s="1"/>
  <c r="D22" i="69"/>
  <c r="AC22" i="69"/>
  <c r="AB22" i="58"/>
  <c r="AA22" i="58" s="1"/>
  <c r="CA5" i="12" a="1"/>
  <c r="CA5" i="12" s="1"/>
  <c r="BZ5" i="12" a="1"/>
  <c r="BZ5" i="12" s="1"/>
  <c r="BW5" i="12" a="1"/>
  <c r="BW5" i="12" s="1"/>
  <c r="L5" i="12"/>
  <c r="BV5" i="12" s="1" a="1"/>
  <c r="BV5" i="12" s="1"/>
  <c r="K5" i="12"/>
  <c r="BU5" i="12" s="1" a="1"/>
  <c r="BU5" i="12" s="1"/>
  <c r="J5" i="12"/>
  <c r="BT5" i="12" s="1" a="1"/>
  <c r="BT5" i="12" s="1"/>
  <c r="F22" i="69" l="1"/>
  <c r="H22" i="69" s="1"/>
  <c r="H23" i="69"/>
  <c r="AB22" i="69"/>
  <c r="AD22" i="69"/>
  <c r="AE22" i="69" s="1"/>
  <c r="AC22" i="58"/>
  <c r="AD22" i="58" s="1"/>
  <c r="AI23" i="58" s="1" a="1"/>
  <c r="AI23" i="58" s="1"/>
  <c r="AK23" i="69" l="1" a="1"/>
  <c r="AK23" i="69" s="1"/>
  <c r="AM23" i="69" a="1"/>
  <c r="AM23" i="69" s="1"/>
  <c r="AL22" i="69" s="1"/>
  <c r="AI23" i="69" a="1"/>
  <c r="AI23" i="69" s="1"/>
  <c r="AJ23" i="58" a="1"/>
  <c r="AJ23" i="58" s="1"/>
  <c r="AK22" i="58" s="1"/>
  <c r="AG23" i="58" a="1"/>
  <c r="AG23" i="58" s="1"/>
  <c r="M20" i="16"/>
  <c r="H37" i="16"/>
  <c r="P20" i="16" s="1"/>
  <c r="G40" i="16" l="1"/>
  <c r="O10" i="16" s="1"/>
  <c r="O20" i="16"/>
  <c r="P10" i="16" l="1"/>
  <c r="Q63" i="66"/>
  <c r="Q58" i="66"/>
  <c r="Q67" i="66"/>
  <c r="Q61" i="66"/>
  <c r="Q57" i="66"/>
  <c r="Q53" i="66"/>
  <c r="Q64" i="66"/>
  <c r="Q71" i="66"/>
  <c r="Q66" i="66"/>
  <c r="Q60" i="66"/>
  <c r="Q56" i="66"/>
  <c r="Q73" i="66"/>
  <c r="Q69" i="66"/>
  <c r="Q65" i="66"/>
  <c r="Q54" i="66"/>
  <c r="Q70" i="66"/>
  <c r="Q62" i="66"/>
  <c r="Q59" i="66"/>
  <c r="Q55" i="66"/>
  <c r="Q72" i="66"/>
  <c r="Q52" i="66"/>
  <c r="Q68" i="66"/>
  <c r="J22" i="70"/>
  <c r="AB22" i="70" l="1"/>
  <c r="AC22" i="70" s="1"/>
  <c r="AD22" i="70" s="1"/>
  <c r="AL23" i="70" s="1" a="1"/>
  <c r="AL23" i="70" s="1"/>
  <c r="AA22" i="70" l="1"/>
  <c r="AJ23" i="70" s="1" a="1"/>
  <c r="AJ23" i="70" s="1"/>
  <c r="F22" i="70"/>
  <c r="H22" i="70" s="1"/>
  <c r="E22" i="70"/>
  <c r="AK22" i="70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71E67AE-D903-45C3-81E3-EE743D06F95A}" keepAlive="1" name="Consulta - Regcontabilizados" description="Conexión a la consulta 'Regcontabilizados' en el libro." type="5" refreshedVersion="8" background="1" saveData="1">
    <dbPr connection="Provider=Microsoft.Mashup.OleDb.1;Data Source=$Workbook$;Location=Regcontabilizados;Extended Properties=&quot;&quot;" command="SELECT * FROM [Regcontabilizados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7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  <bk>
      <extLst>
        <ext uri="{3e2802c4-a4d2-4d8b-9148-e3be6c30e623}">
          <xlrd:rvb i="5"/>
        </ext>
      </extLst>
    </bk>
    <bk>
      <extLst>
        <ext uri="{3e2802c4-a4d2-4d8b-9148-e3be6c30e623}">
          <xlrd:rvb i="6"/>
        </ext>
      </extLst>
    </bk>
  </futureMetadata>
  <cellMetadata count="1">
    <bk>
      <rc t="1" v="0"/>
    </bk>
  </cellMetadata>
  <valueMetadata count="7">
    <bk>
      <rc t="2" v="0"/>
    </bk>
    <bk>
      <rc t="2" v="1"/>
    </bk>
    <bk>
      <rc t="2" v="2"/>
    </bk>
    <bk>
      <rc t="2" v="3"/>
    </bk>
    <bk>
      <rc t="2" v="4"/>
    </bk>
    <bk>
      <rc t="2" v="5"/>
    </bk>
    <bk>
      <rc t="2" v="6"/>
    </bk>
  </valueMetadata>
</metadata>
</file>

<file path=xl/sharedStrings.xml><?xml version="1.0" encoding="utf-8"?>
<sst xmlns="http://schemas.openxmlformats.org/spreadsheetml/2006/main" count="6079" uniqueCount="1406">
  <si>
    <t>Total</t>
  </si>
  <si>
    <t>Concepto</t>
  </si>
  <si>
    <t>Vr. Unitario</t>
  </si>
  <si>
    <t>Cantidad</t>
  </si>
  <si>
    <t>Cuenta</t>
  </si>
  <si>
    <t>Subcuenta</t>
  </si>
  <si>
    <t>Debe</t>
  </si>
  <si>
    <t>Haber</t>
  </si>
  <si>
    <t>cantidad</t>
  </si>
  <si>
    <t>fecha Factura</t>
  </si>
  <si>
    <t>Fecha vencimiento</t>
  </si>
  <si>
    <t>Saldo</t>
  </si>
  <si>
    <t>Tipo de Factura</t>
  </si>
  <si>
    <t>ID-Cliente</t>
  </si>
  <si>
    <t>Nombre</t>
  </si>
  <si>
    <t>NIT/C.C.</t>
  </si>
  <si>
    <t>D.V.</t>
  </si>
  <si>
    <t>N° de Celular</t>
  </si>
  <si>
    <t>Dirección</t>
  </si>
  <si>
    <t>Municipio</t>
  </si>
  <si>
    <t>Departamento</t>
  </si>
  <si>
    <t>Cuenta Asignada</t>
  </si>
  <si>
    <t>BASE DE DATOS PROVEEDORES</t>
  </si>
  <si>
    <t>ID-Proveedor</t>
  </si>
  <si>
    <t>NIT</t>
  </si>
  <si>
    <t>Fecha factura</t>
  </si>
  <si>
    <t>Vencimiento F.</t>
  </si>
  <si>
    <t>N° Factura</t>
  </si>
  <si>
    <t>Tipo de Fact.</t>
  </si>
  <si>
    <t>Descripción</t>
  </si>
  <si>
    <t>Total a pagar</t>
  </si>
  <si>
    <r>
      <rPr>
        <sz val="10"/>
        <rFont val="Arial MT"/>
        <family val="2"/>
      </rPr>
      <t>ACTIVO</t>
    </r>
  </si>
  <si>
    <r>
      <rPr>
        <sz val="10"/>
        <rFont val="Arial MT"/>
        <family val="2"/>
      </rPr>
      <t>D</t>
    </r>
  </si>
  <si>
    <r>
      <rPr>
        <sz val="10"/>
        <rFont val="Arial MT"/>
        <family val="2"/>
      </rPr>
      <t>CAJA</t>
    </r>
  </si>
  <si>
    <r>
      <rPr>
        <sz val="10"/>
        <rFont val="Arial MT"/>
        <family val="2"/>
      </rPr>
      <t>Caja general</t>
    </r>
  </si>
  <si>
    <r>
      <rPr>
        <sz val="10"/>
        <rFont val="Arial MT"/>
        <family val="2"/>
      </rPr>
      <t>Cajas menores</t>
    </r>
  </si>
  <si>
    <r>
      <rPr>
        <sz val="10"/>
        <rFont val="Arial MT"/>
        <family val="2"/>
      </rPr>
      <t>BANCOS</t>
    </r>
  </si>
  <si>
    <r>
      <rPr>
        <sz val="10"/>
        <rFont val="Arial MT"/>
        <family val="2"/>
      </rPr>
      <t>CUENTAS DE AHORRO</t>
    </r>
  </si>
  <si>
    <r>
      <rPr>
        <sz val="10"/>
        <rFont val="Arial MT"/>
        <family val="2"/>
      </rPr>
      <t>Bancos</t>
    </r>
  </si>
  <si>
    <r>
      <rPr>
        <sz val="10"/>
        <rFont val="Arial MT"/>
        <family val="2"/>
      </rPr>
      <t>Corporaciones de ahorro y vivienda</t>
    </r>
  </si>
  <si>
    <r>
      <rPr>
        <sz val="10"/>
        <rFont val="Arial MT"/>
        <family val="2"/>
      </rPr>
      <t>Organismos cooperativos financieros</t>
    </r>
  </si>
  <si>
    <r>
      <rPr>
        <sz val="10"/>
        <rFont val="Arial MT"/>
        <family val="2"/>
      </rPr>
      <t>INVERSIONES</t>
    </r>
  </si>
  <si>
    <r>
      <rPr>
        <sz val="10"/>
        <rFont val="Arial MT"/>
        <family val="2"/>
      </rPr>
      <t>ACCIONES</t>
    </r>
  </si>
  <si>
    <r>
      <rPr>
        <sz val="10"/>
        <rFont val="Arial MT"/>
        <family val="2"/>
      </rPr>
      <t>Agricultura, ganadería, caza y silvicultura</t>
    </r>
  </si>
  <si>
    <r>
      <rPr>
        <sz val="10"/>
        <rFont val="Arial MT"/>
        <family val="2"/>
      </rPr>
      <t>Ajustes por inflación</t>
    </r>
  </si>
  <si>
    <r>
      <rPr>
        <sz val="10"/>
        <rFont val="Arial MT"/>
        <family val="2"/>
      </rPr>
      <t>Otros</t>
    </r>
  </si>
  <si>
    <r>
      <rPr>
        <sz val="10"/>
        <rFont val="Arial MT"/>
        <family val="2"/>
      </rPr>
      <t>Otras</t>
    </r>
  </si>
  <si>
    <r>
      <rPr>
        <sz val="10"/>
        <rFont val="Arial MT"/>
        <family val="2"/>
      </rPr>
      <t>Acciones</t>
    </r>
  </si>
  <si>
    <r>
      <rPr>
        <sz val="10"/>
        <rFont val="Arial MT"/>
        <family val="2"/>
      </rPr>
      <t>Cuotas o partes de interés social</t>
    </r>
  </si>
  <si>
    <r>
      <rPr>
        <sz val="10"/>
        <rFont val="Arial MT"/>
        <family val="2"/>
      </rPr>
      <t>Bonos</t>
    </r>
  </si>
  <si>
    <r>
      <rPr>
        <sz val="10"/>
        <rFont val="Arial MT"/>
        <family val="2"/>
      </rPr>
      <t>Cédulas</t>
    </r>
  </si>
  <si>
    <r>
      <rPr>
        <sz val="10"/>
        <rFont val="Arial MT"/>
        <family val="2"/>
      </rPr>
      <t>Certificados</t>
    </r>
  </si>
  <si>
    <r>
      <rPr>
        <sz val="10"/>
        <rFont val="Arial MT"/>
        <family val="2"/>
      </rPr>
      <t>Papeles comerciales</t>
    </r>
  </si>
  <si>
    <r>
      <rPr>
        <sz val="10"/>
        <rFont val="Arial MT"/>
        <family val="2"/>
      </rPr>
      <t>Títulos</t>
    </r>
  </si>
  <si>
    <r>
      <rPr>
        <sz val="10"/>
        <rFont val="Arial MT"/>
        <family val="2"/>
      </rPr>
      <t>Aceptaciones bancarias o financieras</t>
    </r>
  </si>
  <si>
    <r>
      <rPr>
        <sz val="10"/>
        <rFont val="Arial MT"/>
        <family val="2"/>
      </rPr>
      <t>PROVISIONES</t>
    </r>
  </si>
  <si>
    <r>
      <rPr>
        <sz val="10"/>
        <rFont val="Arial MT"/>
        <family val="2"/>
      </rPr>
      <t>C</t>
    </r>
  </si>
  <si>
    <r>
      <rPr>
        <sz val="10"/>
        <rFont val="Arial MT"/>
        <family val="2"/>
      </rPr>
      <t>Derechos fiduciarios</t>
    </r>
  </si>
  <si>
    <r>
      <rPr>
        <sz val="10"/>
        <rFont val="Arial MT"/>
        <family val="2"/>
      </rPr>
      <t>DEUDORES</t>
    </r>
  </si>
  <si>
    <r>
      <rPr>
        <sz val="10"/>
        <rFont val="Arial MT"/>
        <family val="2"/>
      </rPr>
      <t>CLIENTES</t>
    </r>
  </si>
  <si>
    <r>
      <rPr>
        <sz val="10"/>
        <rFont val="Arial MT"/>
        <family val="2"/>
      </rPr>
      <t>Nacionales</t>
    </r>
  </si>
  <si>
    <r>
      <rPr>
        <sz val="10"/>
        <rFont val="Arial MT"/>
        <family val="2"/>
      </rPr>
      <t>Del exterior</t>
    </r>
  </si>
  <si>
    <r>
      <rPr>
        <sz val="10"/>
        <rFont val="Arial MT"/>
        <family val="2"/>
      </rPr>
      <t>CUENTAS CORRIENTES COMERCIALES</t>
    </r>
  </si>
  <si>
    <r>
      <rPr>
        <sz val="10"/>
        <rFont val="Arial MT"/>
        <family val="2"/>
      </rPr>
      <t>ANTICIPOS Y AVANCES</t>
    </r>
  </si>
  <si>
    <r>
      <rPr>
        <sz val="10"/>
        <rFont val="Arial MT"/>
        <family val="2"/>
      </rPr>
      <t>A proveedores</t>
    </r>
  </si>
  <si>
    <r>
      <rPr>
        <sz val="10"/>
        <rFont val="Arial MT"/>
        <family val="2"/>
      </rPr>
      <t>A contratistas</t>
    </r>
  </si>
  <si>
    <r>
      <rPr>
        <sz val="10"/>
        <rFont val="Arial MT"/>
        <family val="2"/>
      </rPr>
      <t>A trabajadores</t>
    </r>
  </si>
  <si>
    <r>
      <rPr>
        <sz val="10"/>
        <rFont val="Arial MT"/>
        <family val="2"/>
      </rPr>
      <t>A agentes</t>
    </r>
  </si>
  <si>
    <r>
      <rPr>
        <sz val="10"/>
        <rFont val="Arial MT"/>
        <family val="2"/>
      </rPr>
      <t>A concesionarios</t>
    </r>
  </si>
  <si>
    <r>
      <rPr>
        <sz val="10"/>
        <rFont val="Arial MT"/>
        <family val="2"/>
      </rPr>
      <t>De adjudicaciones</t>
    </r>
  </si>
  <si>
    <r>
      <rPr>
        <sz val="10"/>
        <rFont val="Arial MT"/>
        <family val="2"/>
      </rPr>
      <t>CUENTAS DE OPERACIÓN CONJUNTA</t>
    </r>
  </si>
  <si>
    <r>
      <rPr>
        <sz val="10"/>
        <rFont val="Arial MT"/>
        <family val="2"/>
      </rPr>
      <t>INGRESOS POR COBRAR</t>
    </r>
  </si>
  <si>
    <r>
      <rPr>
        <sz val="10"/>
        <rFont val="Arial MT"/>
        <family val="2"/>
      </rPr>
      <t>Dividendos y/o participaciones</t>
    </r>
  </si>
  <si>
    <r>
      <rPr>
        <sz val="10"/>
        <rFont val="Arial MT"/>
        <family val="2"/>
      </rPr>
      <t>Intereses</t>
    </r>
  </si>
  <si>
    <r>
      <rPr>
        <sz val="10"/>
        <rFont val="Arial MT"/>
        <family val="2"/>
      </rPr>
      <t>Comisiones</t>
    </r>
  </si>
  <si>
    <r>
      <rPr>
        <sz val="10"/>
        <rFont val="Arial MT"/>
        <family val="2"/>
      </rPr>
      <t>Honorarios</t>
    </r>
  </si>
  <si>
    <r>
      <rPr>
        <sz val="10"/>
        <rFont val="Arial MT"/>
        <family val="2"/>
      </rPr>
      <t>Servicios</t>
    </r>
  </si>
  <si>
    <r>
      <rPr>
        <sz val="10"/>
        <rFont val="Arial MT"/>
        <family val="2"/>
      </rPr>
      <t>Arrendamientos</t>
    </r>
  </si>
  <si>
    <r>
      <rPr>
        <sz val="10"/>
        <rFont val="Arial MT"/>
        <family val="2"/>
      </rPr>
      <t>CERT por cobrar</t>
    </r>
  </si>
  <si>
    <r>
      <rPr>
        <sz val="10"/>
        <rFont val="Arial MT"/>
        <family val="2"/>
      </rPr>
      <t>RETENCIÓN SOBRE CONTRATOS</t>
    </r>
  </si>
  <si>
    <r>
      <rPr>
        <sz val="10"/>
        <rFont val="Arial MT"/>
        <family val="2"/>
      </rPr>
      <t>De construcción</t>
    </r>
  </si>
  <si>
    <r>
      <rPr>
        <sz val="10"/>
        <rFont val="Arial MT"/>
        <family val="2"/>
      </rPr>
      <t>De prestación de servicios</t>
    </r>
  </si>
  <si>
    <r>
      <rPr>
        <sz val="10"/>
        <rFont val="Arial MT"/>
        <family val="2"/>
      </rPr>
      <t>ANTIC DE IMPTOS Y CONTRIBUC. O SALDOS A FA</t>
    </r>
  </si>
  <si>
    <r>
      <rPr>
        <sz val="10"/>
        <rFont val="Arial MT"/>
        <family val="2"/>
      </rPr>
      <t>Anticipo de impuestos de renta y complementar</t>
    </r>
  </si>
  <si>
    <r>
      <rPr>
        <sz val="10"/>
        <rFont val="Arial MT"/>
        <family val="2"/>
      </rPr>
      <t>Anticipo de impuestos de industria y comercio</t>
    </r>
  </si>
  <si>
    <r>
      <rPr>
        <sz val="10"/>
        <rFont val="Arial MT"/>
        <family val="2"/>
      </rPr>
      <t>Retención en la fuente</t>
    </r>
  </si>
  <si>
    <r>
      <rPr>
        <sz val="10"/>
        <rFont val="Arial MT"/>
        <family val="2"/>
      </rPr>
      <t>Impuesto a las ventas retenido</t>
    </r>
  </si>
  <si>
    <r>
      <rPr>
        <sz val="10"/>
        <rFont val="Arial MT"/>
        <family val="2"/>
      </rPr>
      <t>Impuesto de industria y comercio retenido</t>
    </r>
  </si>
  <si>
    <r>
      <rPr>
        <sz val="10"/>
        <rFont val="Arial MT"/>
        <family val="2"/>
      </rPr>
      <t>Sobrantes en liquidación privada de impuestos</t>
    </r>
  </si>
  <si>
    <r>
      <rPr>
        <sz val="10"/>
        <rFont val="Arial MT"/>
        <family val="2"/>
      </rPr>
      <t>Contribuciones</t>
    </r>
  </si>
  <si>
    <r>
      <rPr>
        <sz val="10"/>
        <rFont val="Arial MT"/>
        <family val="2"/>
      </rPr>
      <t>Impuestos descontables</t>
    </r>
  </si>
  <si>
    <r>
      <rPr>
        <sz val="10"/>
        <rFont val="Arial MT"/>
        <family val="2"/>
      </rPr>
      <t>INVENTARIOS</t>
    </r>
  </si>
  <si>
    <r>
      <rPr>
        <sz val="10"/>
        <rFont val="Arial MT"/>
        <family val="2"/>
      </rPr>
      <t>MATERIAS PRIMAS</t>
    </r>
  </si>
  <si>
    <r>
      <rPr>
        <sz val="10"/>
        <rFont val="Arial MT"/>
        <family val="2"/>
      </rPr>
      <t>*Ajustes por inflación</t>
    </r>
  </si>
  <si>
    <r>
      <rPr>
        <sz val="10"/>
        <rFont val="Arial MT"/>
        <family val="2"/>
      </rPr>
      <t>PRODUCTOS EN PROCESO</t>
    </r>
  </si>
  <si>
    <r>
      <rPr>
        <sz val="10"/>
        <rFont val="Arial MT"/>
        <family val="2"/>
      </rPr>
      <t>PRODUCTOS TERMINADOS</t>
    </r>
  </si>
  <si>
    <r>
      <rPr>
        <sz val="10"/>
        <rFont val="Arial MT"/>
        <family val="2"/>
      </rPr>
      <t>Productos manufacturados</t>
    </r>
  </si>
  <si>
    <r>
      <rPr>
        <sz val="10"/>
        <rFont val="Arial MT"/>
        <family val="2"/>
      </rPr>
      <t>Productos extraídos y/o procesados</t>
    </r>
  </si>
  <si>
    <r>
      <rPr>
        <sz val="10"/>
        <rFont val="Arial MT"/>
        <family val="2"/>
      </rPr>
      <t>Productos agrícolas y forestales</t>
    </r>
  </si>
  <si>
    <r>
      <rPr>
        <sz val="10"/>
        <rFont val="Arial MT"/>
        <family val="2"/>
      </rPr>
      <t>Subproductos</t>
    </r>
  </si>
  <si>
    <r>
      <rPr>
        <sz val="10"/>
        <rFont val="Arial MT"/>
        <family val="2"/>
      </rPr>
      <t>Productos de pesca</t>
    </r>
  </si>
  <si>
    <r>
      <rPr>
        <sz val="10"/>
        <rFont val="Arial MT"/>
        <family val="2"/>
      </rPr>
      <t>MERCANCÍAS NO FABRICADAS POR LA EMPRESA</t>
    </r>
  </si>
  <si>
    <r>
      <rPr>
        <sz val="10"/>
        <rFont val="Arial MT"/>
        <family val="2"/>
      </rPr>
      <t>SEMOVIENTES</t>
    </r>
  </si>
  <si>
    <r>
      <rPr>
        <sz val="10"/>
        <rFont val="Arial MT"/>
        <family val="2"/>
      </rPr>
      <t>TERRENOS</t>
    </r>
  </si>
  <si>
    <r>
      <rPr>
        <sz val="10"/>
        <rFont val="Arial MT"/>
        <family val="2"/>
      </rPr>
      <t>Por urbanizar</t>
    </r>
  </si>
  <si>
    <r>
      <rPr>
        <sz val="10"/>
        <rFont val="Arial MT"/>
        <family val="2"/>
      </rPr>
      <t>Urbanizados por construir</t>
    </r>
  </si>
  <si>
    <r>
      <rPr>
        <sz val="10"/>
        <rFont val="Arial MT"/>
        <family val="2"/>
      </rPr>
      <t>MATERIALES, REPUESTOS Y ACCESORIOS</t>
    </r>
  </si>
  <si>
    <r>
      <rPr>
        <sz val="10"/>
        <rFont val="Arial MT"/>
        <family val="2"/>
      </rPr>
      <t>ENVASES Y EMPAQUES</t>
    </r>
  </si>
  <si>
    <r>
      <rPr>
        <sz val="10"/>
        <rFont val="Arial MT"/>
        <family val="2"/>
      </rPr>
      <t>INVENTARIOS EN TRÁNSITO</t>
    </r>
  </si>
  <si>
    <r>
      <rPr>
        <sz val="10"/>
        <rFont val="Arial MT"/>
        <family val="2"/>
      </rPr>
      <t>Para obsolescencia</t>
    </r>
  </si>
  <si>
    <r>
      <rPr>
        <sz val="10"/>
        <rFont val="Arial MT"/>
        <family val="2"/>
      </rPr>
      <t>Para diferencia de inventario físico</t>
    </r>
  </si>
  <si>
    <r>
      <rPr>
        <sz val="10"/>
        <rFont val="Arial MT"/>
        <family val="2"/>
      </rPr>
      <t>Para pérdidas de inventarios</t>
    </r>
  </si>
  <si>
    <r>
      <rPr>
        <sz val="10"/>
        <rFont val="Arial MT"/>
        <family val="2"/>
      </rPr>
      <t>Lifo</t>
    </r>
  </si>
  <si>
    <r>
      <rPr>
        <sz val="10"/>
        <rFont val="Arial MT"/>
        <family val="2"/>
      </rPr>
      <t>PROPIEDADES, PLANTA Y EQUIPO</t>
    </r>
  </si>
  <si>
    <r>
      <rPr>
        <sz val="10"/>
        <rFont val="Arial MT"/>
        <family val="2"/>
      </rPr>
      <t>Urbanos</t>
    </r>
  </si>
  <si>
    <r>
      <rPr>
        <sz val="10"/>
        <rFont val="Arial MT"/>
        <family val="2"/>
      </rPr>
      <t>Rurales</t>
    </r>
  </si>
  <si>
    <r>
      <rPr>
        <sz val="10"/>
        <rFont val="Arial MT"/>
        <family val="2"/>
      </rPr>
      <t>MATERIALES PROYECTOS PETROLEROS</t>
    </r>
  </si>
  <si>
    <r>
      <rPr>
        <sz val="10"/>
        <rFont val="Arial MT"/>
        <family val="2"/>
      </rPr>
      <t>Tuberías y equipo</t>
    </r>
  </si>
  <si>
    <r>
      <rPr>
        <sz val="10"/>
        <rFont val="Arial MT"/>
        <family val="2"/>
      </rPr>
      <t>Costos de importación materiales</t>
    </r>
  </si>
  <si>
    <r>
      <rPr>
        <sz val="10"/>
        <rFont val="Arial MT"/>
        <family val="2"/>
      </rPr>
      <t>Proyectos de construcción</t>
    </r>
  </si>
  <si>
    <r>
      <rPr>
        <sz val="10"/>
        <rFont val="Arial MT"/>
        <family val="2"/>
      </rPr>
      <t>CONSTRUCCIONES EN CURSO</t>
    </r>
  </si>
  <si>
    <r>
      <rPr>
        <sz val="10"/>
        <rFont val="Arial MT"/>
        <family val="2"/>
      </rPr>
      <t>Construcciones y edificaciones</t>
    </r>
  </si>
  <si>
    <r>
      <rPr>
        <sz val="10"/>
        <rFont val="Arial MT"/>
        <family val="2"/>
      </rPr>
      <t>Acueductos, plantas y redes</t>
    </r>
  </si>
  <si>
    <r>
      <rPr>
        <sz val="10"/>
        <rFont val="Arial MT"/>
        <family val="2"/>
      </rPr>
      <t>Vías de comunicación</t>
    </r>
  </si>
  <si>
    <r>
      <rPr>
        <sz val="10"/>
        <rFont val="Arial MT"/>
        <family val="2"/>
      </rPr>
      <t>Pozos artesianos</t>
    </r>
  </si>
  <si>
    <r>
      <rPr>
        <sz val="10"/>
        <rFont val="Arial MT"/>
        <family val="2"/>
      </rPr>
      <t>Proyectos de exploración</t>
    </r>
  </si>
  <si>
    <r>
      <rPr>
        <sz val="10"/>
        <rFont val="Arial MT"/>
        <family val="2"/>
      </rPr>
      <t>Proyectos de desarrollo</t>
    </r>
  </si>
  <si>
    <r>
      <rPr>
        <sz val="10"/>
        <rFont val="Arial MT"/>
        <family val="2"/>
      </rPr>
      <t>MAQUINARIA Y EQUIPOS EN MONTAJE</t>
    </r>
  </si>
  <si>
    <r>
      <rPr>
        <sz val="10"/>
        <rFont val="Arial MT"/>
        <family val="2"/>
      </rPr>
      <t>Maquinaria y equipo</t>
    </r>
  </si>
  <si>
    <r>
      <rPr>
        <sz val="10"/>
        <rFont val="Arial MT"/>
        <family val="2"/>
      </rPr>
      <t>Equipo de oficina</t>
    </r>
  </si>
  <si>
    <r>
      <rPr>
        <sz val="10"/>
        <rFont val="Arial MT"/>
        <family val="2"/>
      </rPr>
      <t>Equipo de computación y comunicación</t>
    </r>
  </si>
  <si>
    <r>
      <rPr>
        <sz val="10"/>
        <rFont val="Arial MT"/>
        <family val="2"/>
      </rPr>
      <t>Equipo médico-científico</t>
    </r>
  </si>
  <si>
    <r>
      <rPr>
        <sz val="10"/>
        <rFont val="Arial MT"/>
        <family val="2"/>
      </rPr>
      <t>Equipo de hoteles y restaurantes</t>
    </r>
  </si>
  <si>
    <r>
      <rPr>
        <sz val="10"/>
        <rFont val="Arial MT"/>
        <family val="2"/>
      </rPr>
      <t>Flota y equipo de transporte</t>
    </r>
  </si>
  <si>
    <r>
      <rPr>
        <sz val="10"/>
        <rFont val="Arial MT"/>
        <family val="2"/>
      </rPr>
      <t>Flota y equipo fluvial y/o marítimo</t>
    </r>
  </si>
  <si>
    <r>
      <rPr>
        <sz val="10"/>
        <rFont val="Arial MT"/>
        <family val="2"/>
      </rPr>
      <t>Flota y equipo aéreo</t>
    </r>
  </si>
  <si>
    <r>
      <rPr>
        <sz val="10"/>
        <rFont val="Arial MT"/>
        <family val="2"/>
      </rPr>
      <t>Flota y equipo férreo</t>
    </r>
  </si>
  <si>
    <r>
      <rPr>
        <sz val="10"/>
        <rFont val="Arial MT"/>
        <family val="2"/>
      </rPr>
      <t>Plantas y redes</t>
    </r>
  </si>
  <si>
    <r>
      <rPr>
        <sz val="10"/>
        <rFont val="Arial MT"/>
        <family val="2"/>
      </rPr>
      <t>CONSTRUCCIONES Y EDIFICACIONES</t>
    </r>
  </si>
  <si>
    <r>
      <rPr>
        <sz val="10"/>
        <rFont val="Arial MT"/>
        <family val="2"/>
      </rPr>
      <t>Edificios</t>
    </r>
  </si>
  <si>
    <r>
      <rPr>
        <sz val="10"/>
        <rFont val="Arial MT"/>
        <family val="2"/>
      </rPr>
      <t>Oficinas</t>
    </r>
  </si>
  <si>
    <r>
      <rPr>
        <sz val="10"/>
        <rFont val="Arial MT"/>
        <family val="2"/>
      </rPr>
      <t>Almacenes</t>
    </r>
  </si>
  <si>
    <r>
      <rPr>
        <sz val="10"/>
        <rFont val="Arial MT"/>
        <family val="2"/>
      </rPr>
      <t>Fábricas y plantas industriales</t>
    </r>
  </si>
  <si>
    <r>
      <rPr>
        <sz val="10"/>
        <rFont val="Arial MT"/>
        <family val="2"/>
      </rPr>
      <t>Salas de exhibición y ventas</t>
    </r>
  </si>
  <si>
    <r>
      <rPr>
        <sz val="10"/>
        <rFont val="Arial MT"/>
        <family val="2"/>
      </rPr>
      <t>Cafetería y casinos</t>
    </r>
  </si>
  <si>
    <r>
      <rPr>
        <sz val="10"/>
        <rFont val="Arial MT"/>
        <family val="2"/>
      </rPr>
      <t>Silos</t>
    </r>
  </si>
  <si>
    <r>
      <rPr>
        <sz val="10"/>
        <rFont val="Arial MT"/>
        <family val="2"/>
      </rPr>
      <t>Invernaderos</t>
    </r>
  </si>
  <si>
    <r>
      <rPr>
        <sz val="10"/>
        <rFont val="Arial MT"/>
        <family val="2"/>
      </rPr>
      <t>Casetas y campamentos</t>
    </r>
  </si>
  <si>
    <r>
      <rPr>
        <sz val="10"/>
        <rFont val="Arial MT"/>
        <family val="2"/>
      </rPr>
      <t>Instalaciones agropecuarias</t>
    </r>
  </si>
  <si>
    <r>
      <rPr>
        <sz val="10"/>
        <rFont val="Arial MT"/>
        <family val="2"/>
      </rPr>
      <t>Viviendas para empleados y obreros</t>
    </r>
  </si>
  <si>
    <r>
      <rPr>
        <sz val="10"/>
        <rFont val="Arial MT"/>
        <family val="2"/>
      </rPr>
      <t>Terminal de buses y taxis</t>
    </r>
  </si>
  <si>
    <r>
      <rPr>
        <sz val="10"/>
        <rFont val="Arial MT"/>
        <family val="2"/>
      </rPr>
      <t>Terminal marítimo</t>
    </r>
  </si>
  <si>
    <r>
      <rPr>
        <sz val="10"/>
        <rFont val="Arial MT"/>
        <family val="2"/>
      </rPr>
      <t>Terminal férreo</t>
    </r>
  </si>
  <si>
    <r>
      <rPr>
        <sz val="10"/>
        <rFont val="Arial MT"/>
        <family val="2"/>
      </rPr>
      <t>Parqueaderos garajes y depósitos</t>
    </r>
  </si>
  <si>
    <r>
      <rPr>
        <sz val="10"/>
        <rFont val="Arial MT"/>
        <family val="2"/>
      </rPr>
      <t>Hangares</t>
    </r>
  </si>
  <si>
    <r>
      <rPr>
        <sz val="10"/>
        <rFont val="Arial MT"/>
        <family val="2"/>
      </rPr>
      <t>Bodegas</t>
    </r>
  </si>
  <si>
    <r>
      <rPr>
        <sz val="10"/>
        <rFont val="Arial MT"/>
        <family val="2"/>
      </rPr>
      <t>MAQUINARIA Y EQUIPO</t>
    </r>
  </si>
  <si>
    <r>
      <rPr>
        <sz val="10"/>
        <rFont val="Arial MT"/>
        <family val="2"/>
      </rPr>
      <t>EQUIPO DE OFICINA</t>
    </r>
  </si>
  <si>
    <r>
      <rPr>
        <sz val="10"/>
        <rFont val="Arial MT"/>
        <family val="2"/>
      </rPr>
      <t>Muebles y enseres</t>
    </r>
  </si>
  <si>
    <r>
      <rPr>
        <sz val="10"/>
        <rFont val="Arial MT"/>
        <family val="2"/>
      </rPr>
      <t>Equipos</t>
    </r>
  </si>
  <si>
    <r>
      <rPr>
        <sz val="10"/>
        <rFont val="Arial MT"/>
        <family val="2"/>
      </rPr>
      <t>EQUIPO DE COMPUTACIÓN Y COMUNICACIÓN</t>
    </r>
  </si>
  <si>
    <r>
      <rPr>
        <sz val="10"/>
        <rFont val="Arial MT"/>
        <family val="2"/>
      </rPr>
      <t>Equipos de procesamiento de datos</t>
    </r>
  </si>
  <si>
    <r>
      <rPr>
        <sz val="10"/>
        <rFont val="Arial MT"/>
        <family val="2"/>
      </rPr>
      <t>Equipos de telecomunicaciones</t>
    </r>
  </si>
  <si>
    <r>
      <rPr>
        <sz val="10"/>
        <rFont val="Arial MT"/>
        <family val="2"/>
      </rPr>
      <t>Equipos de radio</t>
    </r>
  </si>
  <si>
    <r>
      <rPr>
        <sz val="10"/>
        <rFont val="Arial MT"/>
        <family val="2"/>
      </rPr>
      <t>Satélites y antenas</t>
    </r>
  </si>
  <si>
    <r>
      <rPr>
        <sz val="10"/>
        <rFont val="Arial MT"/>
        <family val="2"/>
      </rPr>
      <t>Líneas telefónicas</t>
    </r>
  </si>
  <si>
    <r>
      <rPr>
        <sz val="10"/>
        <rFont val="Arial MT"/>
        <family val="2"/>
      </rPr>
      <t>EQUIPO MÉDICO-CIENTÍFICO</t>
    </r>
  </si>
  <si>
    <r>
      <rPr>
        <sz val="10"/>
        <rFont val="Arial MT"/>
        <family val="2"/>
      </rPr>
      <t>Médico</t>
    </r>
  </si>
  <si>
    <r>
      <rPr>
        <sz val="10"/>
        <rFont val="Arial MT"/>
        <family val="2"/>
      </rPr>
      <t>Odontológico</t>
    </r>
  </si>
  <si>
    <r>
      <rPr>
        <sz val="10"/>
        <rFont val="Arial MT"/>
        <family val="2"/>
      </rPr>
      <t>Laboratorio</t>
    </r>
  </si>
  <si>
    <r>
      <rPr>
        <sz val="10"/>
        <rFont val="Arial MT"/>
        <family val="2"/>
      </rPr>
      <t>Instrumental</t>
    </r>
  </si>
  <si>
    <r>
      <rPr>
        <sz val="10"/>
        <rFont val="Arial MT"/>
        <family val="2"/>
      </rPr>
      <t>EQUIPO DE HOTELES Y RESTAURANTES</t>
    </r>
  </si>
  <si>
    <r>
      <rPr>
        <sz val="10"/>
        <rFont val="Arial MT"/>
        <family val="2"/>
      </rPr>
      <t>De habitaciones</t>
    </r>
  </si>
  <si>
    <r>
      <rPr>
        <sz val="10"/>
        <rFont val="Arial MT"/>
        <family val="2"/>
      </rPr>
      <t>De comestibles y bebidas</t>
    </r>
  </si>
  <si>
    <r>
      <rPr>
        <sz val="10"/>
        <rFont val="Arial MT"/>
        <family val="2"/>
      </rPr>
      <t>FLOTA Y EQUIPO DE TRANSPORTE</t>
    </r>
  </si>
  <si>
    <r>
      <rPr>
        <sz val="10"/>
        <rFont val="Arial MT"/>
        <family val="2"/>
      </rPr>
      <t>Autos, camionetas y camperos</t>
    </r>
  </si>
  <si>
    <r>
      <rPr>
        <sz val="10"/>
        <rFont val="Arial MT"/>
        <family val="2"/>
      </rPr>
      <t>Camiones, volquetas y furgones</t>
    </r>
  </si>
  <si>
    <r>
      <rPr>
        <sz val="10"/>
        <rFont val="Arial MT"/>
        <family val="2"/>
      </rPr>
      <t>Tractomulas y remolques</t>
    </r>
  </si>
  <si>
    <r>
      <rPr>
        <sz val="10"/>
        <rFont val="Arial MT"/>
        <family val="2"/>
      </rPr>
      <t>Buses y busetas</t>
    </r>
  </si>
  <si>
    <r>
      <rPr>
        <sz val="10"/>
        <rFont val="Arial MT"/>
        <family val="2"/>
      </rPr>
      <t>Recolectores y contenedores</t>
    </r>
  </si>
  <si>
    <r>
      <rPr>
        <sz val="10"/>
        <rFont val="Arial MT"/>
        <family val="2"/>
      </rPr>
      <t>Montacargas</t>
    </r>
  </si>
  <si>
    <r>
      <rPr>
        <sz val="10"/>
        <rFont val="Arial MT"/>
        <family val="2"/>
      </rPr>
      <t>Palas y grúas</t>
    </r>
  </si>
  <si>
    <r>
      <rPr>
        <sz val="10"/>
        <rFont val="Arial MT"/>
        <family val="2"/>
      </rPr>
      <t>Motocicletas</t>
    </r>
  </si>
  <si>
    <r>
      <rPr>
        <sz val="10"/>
        <rFont val="Arial MT"/>
        <family val="2"/>
      </rPr>
      <t>Bicicletas</t>
    </r>
  </si>
  <si>
    <r>
      <rPr>
        <sz val="10"/>
        <rFont val="Arial MT"/>
        <family val="2"/>
      </rPr>
      <t>Estibas y carretas</t>
    </r>
  </si>
  <si>
    <r>
      <rPr>
        <sz val="10"/>
        <rFont val="Arial MT"/>
        <family val="2"/>
      </rPr>
      <t>Bandas transportadoras</t>
    </r>
  </si>
  <si>
    <r>
      <rPr>
        <sz val="10"/>
        <rFont val="Arial MT"/>
        <family val="2"/>
      </rPr>
      <t>ACUEDUCTOS, PLANTAS Y REDES</t>
    </r>
  </si>
  <si>
    <r>
      <rPr>
        <sz val="10"/>
        <rFont val="Arial MT"/>
        <family val="2"/>
      </rPr>
      <t>Instalaciones para agua y energía</t>
    </r>
  </si>
  <si>
    <r>
      <rPr>
        <sz val="10"/>
        <rFont val="Arial MT"/>
        <family val="2"/>
      </rPr>
      <t>Acueducto, acequias y canalizaciones</t>
    </r>
  </si>
  <si>
    <r>
      <rPr>
        <sz val="10"/>
        <rFont val="Arial MT"/>
        <family val="2"/>
      </rPr>
      <t>Plantas de generación hidráulica</t>
    </r>
  </si>
  <si>
    <r>
      <rPr>
        <sz val="10"/>
        <rFont val="Arial MT"/>
        <family val="2"/>
      </rPr>
      <t>Plantas de generación térmica</t>
    </r>
  </si>
  <si>
    <r>
      <rPr>
        <sz val="10"/>
        <rFont val="Arial MT"/>
        <family val="2"/>
      </rPr>
      <t>Plantas de generación a gas</t>
    </r>
  </si>
  <si>
    <r>
      <rPr>
        <sz val="10"/>
        <rFont val="Arial MT"/>
        <family val="2"/>
      </rPr>
      <t>Plantas de generac. diesel, gasolina y petrol</t>
    </r>
  </si>
  <si>
    <r>
      <rPr>
        <sz val="10"/>
        <rFont val="Arial MT"/>
        <family val="2"/>
      </rPr>
      <t>Plantas de distribución</t>
    </r>
  </si>
  <si>
    <r>
      <rPr>
        <sz val="10"/>
        <rFont val="Arial MT"/>
        <family val="2"/>
      </rPr>
      <t>Plantas de transmisión y subestaciones</t>
    </r>
  </si>
  <si>
    <r>
      <rPr>
        <sz val="10"/>
        <rFont val="Arial MT"/>
        <family val="2"/>
      </rPr>
      <t>Oleoductos</t>
    </r>
  </si>
  <si>
    <r>
      <rPr>
        <sz val="10"/>
        <rFont val="Arial MT"/>
        <family val="2"/>
      </rPr>
      <t>Gasoductos</t>
    </r>
  </si>
  <si>
    <r>
      <rPr>
        <sz val="10"/>
        <rFont val="Arial MT"/>
        <family val="2"/>
      </rPr>
      <t>Poliductos</t>
    </r>
  </si>
  <si>
    <r>
      <rPr>
        <sz val="10"/>
        <rFont val="Arial MT"/>
        <family val="2"/>
      </rPr>
      <t>Redes de distribución</t>
    </r>
  </si>
  <si>
    <r>
      <rPr>
        <sz val="10"/>
        <rFont val="Arial MT"/>
        <family val="2"/>
      </rPr>
      <t>Plantas de tratamiento</t>
    </r>
  </si>
  <si>
    <r>
      <rPr>
        <sz val="10"/>
        <rFont val="Arial MT"/>
        <family val="2"/>
      </rPr>
      <t>Redes de recolección de aguas negras</t>
    </r>
  </si>
  <si>
    <r>
      <rPr>
        <sz val="10"/>
        <rFont val="Arial MT"/>
        <family val="2"/>
      </rPr>
      <t>Instalaciones y equipo de bombeo</t>
    </r>
  </si>
  <si>
    <r>
      <rPr>
        <sz val="10"/>
        <rFont val="Arial MT"/>
        <family val="2"/>
      </rPr>
      <t>Redes de distribución de vapor</t>
    </r>
  </si>
  <si>
    <r>
      <rPr>
        <sz val="10"/>
        <rFont val="Arial MT"/>
        <family val="2"/>
      </rPr>
      <t>Redes de aire</t>
    </r>
  </si>
  <si>
    <r>
      <rPr>
        <sz val="10"/>
        <rFont val="Arial MT"/>
        <family val="2"/>
      </rPr>
      <t>Redes alimentación de gas</t>
    </r>
  </si>
  <si>
    <r>
      <rPr>
        <sz val="10"/>
        <rFont val="Arial MT"/>
        <family val="2"/>
      </rPr>
      <t>Redes externas de telefonía</t>
    </r>
  </si>
  <si>
    <r>
      <rPr>
        <sz val="10"/>
        <rFont val="Arial MT"/>
        <family val="2"/>
      </rPr>
      <t>Plantas deshidratadoras</t>
    </r>
  </si>
  <si>
    <r>
      <rPr>
        <sz val="10"/>
        <rFont val="Arial MT"/>
        <family val="2"/>
      </rPr>
      <t>PLANTACIONES AGRÍCOLAS Y FORESTALES</t>
    </r>
  </si>
  <si>
    <r>
      <rPr>
        <sz val="10"/>
        <rFont val="Arial MT"/>
        <family val="2"/>
      </rPr>
      <t>Cultivos en desarrollo</t>
    </r>
  </si>
  <si>
    <r>
      <rPr>
        <sz val="10"/>
        <rFont val="Arial MT"/>
        <family val="2"/>
      </rPr>
      <t>Cultivos amortizables</t>
    </r>
  </si>
  <si>
    <r>
      <rPr>
        <sz val="10"/>
        <rFont val="Arial MT"/>
        <family val="2"/>
      </rPr>
      <t>PROPIEDADES, PLANTA Y EQUIPO EN TRÁNSITO</t>
    </r>
  </si>
  <si>
    <r>
      <rPr>
        <sz val="10"/>
        <rFont val="Arial MT"/>
        <family val="2"/>
      </rPr>
      <t>Armamento de vigilancia</t>
    </r>
  </si>
  <si>
    <r>
      <rPr>
        <sz val="10"/>
        <rFont val="Arial MT"/>
        <family val="2"/>
      </rPr>
      <t>Semovientes</t>
    </r>
  </si>
  <si>
    <r>
      <rPr>
        <sz val="10"/>
        <rFont val="Arial MT"/>
        <family val="2"/>
      </rPr>
      <t>Envases y empaques</t>
    </r>
  </si>
  <si>
    <r>
      <rPr>
        <sz val="10"/>
        <rFont val="Arial MT"/>
        <family val="2"/>
      </rPr>
      <t>DEPRECIACIÓN ACUMULADA</t>
    </r>
  </si>
  <si>
    <r>
      <rPr>
        <sz val="10"/>
        <rFont val="Arial MT"/>
        <family val="2"/>
      </rPr>
      <t>DEPRECIACIÓN DIFERIDA</t>
    </r>
  </si>
  <si>
    <r>
      <rPr>
        <sz val="10"/>
        <rFont val="Arial MT"/>
        <family val="2"/>
      </rPr>
      <t>Exceso fiscal sobre la contable</t>
    </r>
  </si>
  <si>
    <r>
      <rPr>
        <sz val="10"/>
        <rFont val="Arial MT"/>
        <family val="2"/>
      </rPr>
      <t>Defecto fiscal sobre la contable (CR)</t>
    </r>
  </si>
  <si>
    <r>
      <rPr>
        <sz val="10"/>
        <rFont val="Arial MT"/>
        <family val="2"/>
      </rPr>
      <t>AMORTIZACIÓN ACUMULADA</t>
    </r>
  </si>
  <si>
    <r>
      <rPr>
        <sz val="10"/>
        <rFont val="Arial MT"/>
        <family val="2"/>
      </rPr>
      <t>Plantaciones agrícolas y forestales</t>
    </r>
  </si>
  <si>
    <r>
      <rPr>
        <sz val="10"/>
        <rFont val="Arial MT"/>
        <family val="2"/>
      </rPr>
      <t>AGOTAMIENTO ACUMULADO</t>
    </r>
  </si>
  <si>
    <r>
      <rPr>
        <sz val="10"/>
        <rFont val="Arial MT"/>
        <family val="2"/>
      </rPr>
      <t>Minas y canteras</t>
    </r>
  </si>
  <si>
    <r>
      <rPr>
        <sz val="10"/>
        <rFont val="Arial MT"/>
        <family val="2"/>
      </rPr>
      <t>Yacimientos</t>
    </r>
  </si>
  <si>
    <r>
      <rPr>
        <sz val="10"/>
        <rFont val="Arial MT"/>
        <family val="2"/>
      </rPr>
      <t>Terrenos</t>
    </r>
  </si>
  <si>
    <r>
      <rPr>
        <sz val="10"/>
        <rFont val="Arial MT"/>
        <family val="2"/>
      </rPr>
      <t>Materiales proyectos petroleros</t>
    </r>
  </si>
  <si>
    <r>
      <rPr>
        <sz val="10"/>
        <rFont val="Arial MT"/>
        <family val="2"/>
      </rPr>
      <t>Construcciones en curso</t>
    </r>
  </si>
  <si>
    <r>
      <rPr>
        <sz val="10"/>
        <rFont val="Arial MT"/>
        <family val="2"/>
      </rPr>
      <t>Maquinaria en montaje</t>
    </r>
  </si>
  <si>
    <r>
      <rPr>
        <sz val="10"/>
        <rFont val="Arial MT"/>
        <family val="2"/>
      </rPr>
      <t>Propiedades, planta y equipo en tránsito</t>
    </r>
  </si>
  <si>
    <r>
      <rPr>
        <sz val="10"/>
        <rFont val="Arial MT"/>
        <family val="2"/>
      </rPr>
      <t>INTANGIBLES</t>
    </r>
  </si>
  <si>
    <r>
      <rPr>
        <sz val="10"/>
        <rFont val="Arial MT"/>
        <family val="2"/>
      </rPr>
      <t>CRÉDITO MERCANTIL</t>
    </r>
  </si>
  <si>
    <r>
      <rPr>
        <sz val="10"/>
        <rFont val="Arial MT"/>
        <family val="2"/>
      </rPr>
      <t>Formado o estimado</t>
    </r>
  </si>
  <si>
    <r>
      <rPr>
        <sz val="10"/>
        <rFont val="Arial MT"/>
        <family val="2"/>
      </rPr>
      <t>Adquirido o comprado</t>
    </r>
  </si>
  <si>
    <r>
      <rPr>
        <sz val="10"/>
        <rFont val="Arial MT"/>
        <family val="2"/>
      </rPr>
      <t>MARCAS</t>
    </r>
  </si>
  <si>
    <r>
      <rPr>
        <sz val="10"/>
        <rFont val="Arial MT"/>
        <family val="2"/>
      </rPr>
      <t>Adquiridas</t>
    </r>
  </si>
  <si>
    <r>
      <rPr>
        <sz val="10"/>
        <rFont val="Arial MT"/>
        <family val="2"/>
      </rPr>
      <t>Formadas</t>
    </r>
  </si>
  <si>
    <r>
      <rPr>
        <sz val="10"/>
        <rFont val="Arial MT"/>
        <family val="2"/>
      </rPr>
      <t>PATENTES</t>
    </r>
  </si>
  <si>
    <r>
      <rPr>
        <sz val="10"/>
        <rFont val="Arial MT"/>
        <family val="2"/>
      </rPr>
      <t>CONCESIONES Y FRANQUICIAS</t>
    </r>
  </si>
  <si>
    <r>
      <rPr>
        <sz val="10"/>
        <rFont val="Arial MT"/>
        <family val="2"/>
      </rPr>
      <t>Concesiones</t>
    </r>
  </si>
  <si>
    <r>
      <rPr>
        <sz val="10"/>
        <rFont val="Arial MT"/>
        <family val="2"/>
      </rPr>
      <t>Franquicias</t>
    </r>
  </si>
  <si>
    <r>
      <rPr>
        <sz val="10"/>
        <rFont val="Arial MT"/>
        <family val="2"/>
      </rPr>
      <t>DERECHOS</t>
    </r>
  </si>
  <si>
    <r>
      <rPr>
        <sz val="10"/>
        <rFont val="Arial MT"/>
        <family val="2"/>
      </rPr>
      <t>Derechos de autor</t>
    </r>
  </si>
  <si>
    <r>
      <rPr>
        <sz val="10"/>
        <rFont val="Arial MT"/>
        <family val="2"/>
      </rPr>
      <t>Puesto de bolsa</t>
    </r>
  </si>
  <si>
    <r>
      <rPr>
        <sz val="10"/>
        <rFont val="Arial MT"/>
        <family val="2"/>
      </rPr>
      <t>En fideicomisos inmobiliarios</t>
    </r>
  </si>
  <si>
    <r>
      <rPr>
        <sz val="10"/>
        <rFont val="Arial MT"/>
        <family val="2"/>
      </rPr>
      <t>En fideicomisos de garantía</t>
    </r>
  </si>
  <si>
    <r>
      <rPr>
        <sz val="10"/>
        <rFont val="Arial MT"/>
        <family val="2"/>
      </rPr>
      <t>En fideicomisos de administración</t>
    </r>
  </si>
  <si>
    <r>
      <rPr>
        <sz val="10"/>
        <rFont val="Arial MT"/>
        <family val="2"/>
      </rPr>
      <t>De exhibición - películas</t>
    </r>
  </si>
  <si>
    <r>
      <rPr>
        <sz val="10"/>
        <rFont val="Arial MT"/>
        <family val="2"/>
      </rPr>
      <t>En bienes recib en arrendto financ (leasing)</t>
    </r>
  </si>
  <si>
    <r>
      <rPr>
        <sz val="10"/>
        <rFont val="Arial MT"/>
        <family val="2"/>
      </rPr>
      <t>KNOW HOW</t>
    </r>
  </si>
  <si>
    <r>
      <rPr>
        <sz val="10"/>
        <rFont val="Arial MT"/>
        <family val="2"/>
      </rPr>
      <t>LICENCIAS</t>
    </r>
  </si>
  <si>
    <r>
      <rPr>
        <sz val="10"/>
        <rFont val="Arial MT"/>
        <family val="2"/>
      </rPr>
      <t>DEPRECIACIÓN Y/O AMORTIZACIÓN ACUMULADA</t>
    </r>
  </si>
  <si>
    <r>
      <rPr>
        <sz val="10"/>
        <rFont val="Arial MT"/>
        <family val="2"/>
      </rPr>
      <t>Crédito mercantil</t>
    </r>
  </si>
  <si>
    <r>
      <rPr>
        <sz val="10"/>
        <rFont val="Arial MT"/>
        <family val="2"/>
      </rPr>
      <t>Marcas</t>
    </r>
  </si>
  <si>
    <r>
      <rPr>
        <sz val="10"/>
        <rFont val="Arial MT"/>
        <family val="2"/>
      </rPr>
      <t>Patentes</t>
    </r>
  </si>
  <si>
    <r>
      <rPr>
        <sz val="10"/>
        <rFont val="Arial MT"/>
        <family val="2"/>
      </rPr>
      <t>Concesiones y franquicias</t>
    </r>
  </si>
  <si>
    <r>
      <rPr>
        <sz val="10"/>
        <rFont val="Arial MT"/>
        <family val="2"/>
      </rPr>
      <t>Derechos</t>
    </r>
  </si>
  <si>
    <r>
      <rPr>
        <sz val="10"/>
        <rFont val="Arial MT"/>
        <family val="2"/>
      </rPr>
      <t>Know how</t>
    </r>
  </si>
  <si>
    <r>
      <rPr>
        <sz val="10"/>
        <rFont val="Arial MT"/>
        <family val="2"/>
      </rPr>
      <t>Licencias</t>
    </r>
  </si>
  <si>
    <r>
      <rPr>
        <sz val="10"/>
        <rFont val="Arial MT"/>
        <family val="2"/>
      </rPr>
      <t>DIFERIDOS</t>
    </r>
  </si>
  <si>
    <r>
      <rPr>
        <sz val="10"/>
        <rFont val="Arial MT"/>
        <family val="2"/>
      </rPr>
      <t>GASTOS PAGADOS POR ANTICIPADO</t>
    </r>
  </si>
  <si>
    <r>
      <rPr>
        <sz val="10"/>
        <rFont val="Arial MT"/>
        <family val="2"/>
      </rPr>
      <t>Seguros y fianzas</t>
    </r>
  </si>
  <si>
    <r>
      <rPr>
        <sz val="10"/>
        <rFont val="Arial MT"/>
        <family val="2"/>
      </rPr>
      <t>Bodegajes</t>
    </r>
  </si>
  <si>
    <r>
      <rPr>
        <sz val="10"/>
        <rFont val="Arial MT"/>
        <family val="2"/>
      </rPr>
      <t>Mantenimiento de equipo</t>
    </r>
  </si>
  <si>
    <r>
      <rPr>
        <sz val="10"/>
        <rFont val="Arial MT"/>
        <family val="2"/>
      </rPr>
      <t>Suscripciones</t>
    </r>
  </si>
  <si>
    <r>
      <rPr>
        <sz val="10"/>
        <rFont val="Arial MT"/>
        <family val="2"/>
      </rPr>
      <t>CARGOS DIFERIDOS</t>
    </r>
  </si>
  <si>
    <r>
      <rPr>
        <sz val="10"/>
        <rFont val="Arial MT"/>
        <family val="2"/>
      </rPr>
      <t>Organización y preoperativos</t>
    </r>
  </si>
  <si>
    <r>
      <rPr>
        <sz val="10"/>
        <rFont val="Arial MT"/>
        <family val="2"/>
      </rPr>
      <t>Remodelaciones</t>
    </r>
  </si>
  <si>
    <r>
      <rPr>
        <sz val="10"/>
        <rFont val="Arial MT"/>
        <family val="2"/>
      </rPr>
      <t>Estudios, investigaciones y proyectos</t>
    </r>
  </si>
  <si>
    <r>
      <rPr>
        <sz val="10"/>
        <rFont val="Arial MT"/>
        <family val="2"/>
      </rPr>
      <t>Programas para computador (software)</t>
    </r>
  </si>
  <si>
    <r>
      <rPr>
        <sz val="10"/>
        <rFont val="Arial MT"/>
        <family val="2"/>
      </rPr>
      <t>Útiles y papelería</t>
    </r>
  </si>
  <si>
    <r>
      <rPr>
        <sz val="10"/>
        <rFont val="Arial MT"/>
        <family val="2"/>
      </rPr>
      <t>Mejoras a propiedades ajenas</t>
    </r>
  </si>
  <si>
    <r>
      <rPr>
        <sz val="10"/>
        <rFont val="Arial MT"/>
        <family val="2"/>
      </rPr>
      <t>Contribuciones y afiliaciones</t>
    </r>
  </si>
  <si>
    <r>
      <rPr>
        <sz val="10"/>
        <rFont val="Arial MT"/>
        <family val="2"/>
      </rPr>
      <t>Entrenamiento de personal</t>
    </r>
  </si>
  <si>
    <r>
      <rPr>
        <sz val="10"/>
        <rFont val="Arial MT"/>
        <family val="2"/>
      </rPr>
      <t>Ferias y exposiciones</t>
    </r>
  </si>
  <si>
    <r>
      <rPr>
        <sz val="10"/>
        <rFont val="Arial MT"/>
        <family val="2"/>
      </rPr>
      <t>Publicidad, propaganda y avisos</t>
    </r>
  </si>
  <si>
    <r>
      <rPr>
        <sz val="10"/>
        <rFont val="Arial MT"/>
        <family val="2"/>
      </rPr>
      <t>Elementos de aseo y cafetería</t>
    </r>
  </si>
  <si>
    <r>
      <rPr>
        <sz val="10"/>
        <rFont val="Arial MT"/>
        <family val="2"/>
      </rPr>
      <t>Moldes y troqueles</t>
    </r>
  </si>
  <si>
    <r>
      <rPr>
        <sz val="10"/>
        <rFont val="Arial MT"/>
        <family val="2"/>
      </rPr>
      <t>Dotación y suministro a trabajadores</t>
    </r>
  </si>
  <si>
    <r>
      <rPr>
        <sz val="10"/>
        <rFont val="Arial MT"/>
        <family val="2"/>
      </rPr>
      <t>Elementos de ropería y lencería</t>
    </r>
  </si>
  <si>
    <r>
      <rPr>
        <sz val="10"/>
        <rFont val="Arial MT"/>
        <family val="2"/>
      </rPr>
      <t>Loza y cristalería</t>
    </r>
  </si>
  <si>
    <r>
      <rPr>
        <sz val="10"/>
        <rFont val="Arial MT"/>
        <family val="2"/>
      </rPr>
      <t>Platería</t>
    </r>
  </si>
  <si>
    <r>
      <rPr>
        <sz val="10"/>
        <rFont val="Arial MT"/>
        <family val="2"/>
      </rPr>
      <t>Cubiertería</t>
    </r>
  </si>
  <si>
    <r>
      <rPr>
        <sz val="10"/>
        <rFont val="Arial MT"/>
        <family val="2"/>
      </rPr>
      <t>Impto de renta dif ''deb'' por dif temporales</t>
    </r>
  </si>
  <si>
    <r>
      <rPr>
        <sz val="10"/>
        <rFont val="Arial MT"/>
        <family val="2"/>
      </rPr>
      <t>DIVERSOS</t>
    </r>
  </si>
  <si>
    <r>
      <rPr>
        <sz val="10"/>
        <rFont val="Arial MT"/>
        <family val="2"/>
      </rPr>
      <t>Bienes entregados en comodato</t>
    </r>
  </si>
  <si>
    <r>
      <rPr>
        <sz val="10"/>
        <rFont val="Arial MT"/>
        <family val="2"/>
      </rPr>
      <t>Bienes recibidos en pago</t>
    </r>
  </si>
  <si>
    <r>
      <rPr>
        <sz val="10"/>
        <rFont val="Arial MT"/>
        <family val="2"/>
      </rPr>
      <t>Estampillas</t>
    </r>
  </si>
  <si>
    <r>
      <rPr>
        <sz val="10"/>
        <rFont val="Arial MT"/>
        <family val="2"/>
      </rPr>
      <t>Bienes de arte y cultura</t>
    </r>
  </si>
  <si>
    <r>
      <rPr>
        <sz val="10"/>
        <rFont val="Arial MT"/>
        <family val="2"/>
      </rPr>
      <t>Diversos</t>
    </r>
  </si>
  <si>
    <r>
      <rPr>
        <sz val="10"/>
        <rFont val="Arial MT"/>
        <family val="2"/>
      </rPr>
      <t>VALORIZACIONES</t>
    </r>
  </si>
  <si>
    <r>
      <rPr>
        <sz val="10"/>
        <rFont val="Arial MT"/>
        <family val="2"/>
      </rPr>
      <t>DE INVERSIONES</t>
    </r>
  </si>
  <si>
    <r>
      <rPr>
        <sz val="10"/>
        <rFont val="Arial MT"/>
        <family val="2"/>
      </rPr>
      <t>DE PROPIEDADES, PLANTA Y EQUIPO</t>
    </r>
  </si>
  <si>
    <r>
      <rPr>
        <sz val="10"/>
        <rFont val="Arial MT"/>
        <family val="2"/>
      </rPr>
      <t>DE OTROS ACTIVOS</t>
    </r>
  </si>
  <si>
    <r>
      <rPr>
        <sz val="10"/>
        <rFont val="Arial MT"/>
        <family val="2"/>
      </rPr>
      <t>Inventarios de semovientes</t>
    </r>
  </si>
  <si>
    <r>
      <rPr>
        <sz val="10"/>
        <rFont val="Arial MT"/>
        <family val="2"/>
      </rPr>
      <t>PASIVO</t>
    </r>
  </si>
  <si>
    <r>
      <rPr>
        <sz val="10"/>
        <rFont val="Arial MT"/>
        <family val="2"/>
      </rPr>
      <t>OBLIGACIONES FINANCIERAS</t>
    </r>
  </si>
  <si>
    <r>
      <rPr>
        <sz val="10"/>
        <rFont val="Arial MT"/>
        <family val="2"/>
      </rPr>
      <t>BANCOS NACIONALES</t>
    </r>
  </si>
  <si>
    <r>
      <rPr>
        <sz val="10"/>
        <rFont val="Arial MT"/>
        <family val="2"/>
      </rPr>
      <t>Sobregiros</t>
    </r>
  </si>
  <si>
    <r>
      <rPr>
        <sz val="10"/>
        <rFont val="Arial MT"/>
        <family val="2"/>
      </rPr>
      <t>Pagarés</t>
    </r>
  </si>
  <si>
    <r>
      <rPr>
        <sz val="10"/>
        <rFont val="Arial MT"/>
        <family val="2"/>
      </rPr>
      <t>Cartas de crédito</t>
    </r>
  </si>
  <si>
    <r>
      <rPr>
        <sz val="10"/>
        <rFont val="Arial MT"/>
        <family val="2"/>
      </rPr>
      <t>Aceptaciones bancarias</t>
    </r>
  </si>
  <si>
    <r>
      <rPr>
        <sz val="10"/>
        <rFont val="Arial MT"/>
        <family val="2"/>
      </rPr>
      <t>BANCOS DEL EXTERIOR</t>
    </r>
  </si>
  <si>
    <r>
      <rPr>
        <sz val="10"/>
        <rFont val="Arial MT"/>
        <family val="2"/>
      </rPr>
      <t>CORPORACIONES FINANCIERAS</t>
    </r>
  </si>
  <si>
    <r>
      <rPr>
        <sz val="10"/>
        <rFont val="Arial MT"/>
        <family val="2"/>
      </rPr>
      <t>Aceptaciones financieras</t>
    </r>
  </si>
  <si>
    <r>
      <rPr>
        <sz val="10"/>
        <rFont val="Arial MT"/>
        <family val="2"/>
      </rPr>
      <t>Contratos de arrendam/to financiero (leasing)</t>
    </r>
  </si>
  <si>
    <r>
      <rPr>
        <sz val="10"/>
        <rFont val="Arial MT"/>
        <family val="2"/>
      </rPr>
      <t>COMPAÑÍAS DE FINANCIAMIENTO COMERCIAL</t>
    </r>
  </si>
  <si>
    <r>
      <rPr>
        <sz val="10"/>
        <rFont val="Arial MT"/>
        <family val="2"/>
      </rPr>
      <t>CORPORACIONES DE AHORRO Y VIVIENDA</t>
    </r>
  </si>
  <si>
    <r>
      <rPr>
        <sz val="10"/>
        <rFont val="Arial MT"/>
        <family val="2"/>
      </rPr>
      <t>Hipotecarias</t>
    </r>
  </si>
  <si>
    <r>
      <rPr>
        <sz val="10"/>
        <rFont val="Arial MT"/>
        <family val="2"/>
      </rPr>
      <t>ENTIDADES FINANCIERAS DEL EXTERIOR</t>
    </r>
  </si>
  <si>
    <r>
      <rPr>
        <sz val="10"/>
        <rFont val="Arial MT"/>
        <family val="2"/>
      </rPr>
      <t>COMPROMISOS DE RECOMPRA DE INVERS NEG</t>
    </r>
  </si>
  <si>
    <r>
      <rPr>
        <sz val="10"/>
        <rFont val="Arial MT"/>
        <family val="2"/>
      </rPr>
      <t>PROVEEDORES</t>
    </r>
  </si>
  <si>
    <r>
      <rPr>
        <sz val="10"/>
        <rFont val="Arial MT"/>
        <family val="2"/>
      </rPr>
      <t>NACIONALES</t>
    </r>
  </si>
  <si>
    <r>
      <rPr>
        <sz val="10"/>
        <rFont val="Arial MT"/>
        <family val="2"/>
      </rPr>
      <t>DEL EXTERIOR</t>
    </r>
  </si>
  <si>
    <r>
      <rPr>
        <sz val="10"/>
        <rFont val="Arial MT"/>
        <family val="2"/>
      </rPr>
      <t>CUENTAS POR PAGAR</t>
    </r>
  </si>
  <si>
    <r>
      <rPr>
        <sz val="10"/>
        <rFont val="Arial MT"/>
        <family val="2"/>
      </rPr>
      <t>COSTOS Y GASTOS POR PAGAR</t>
    </r>
  </si>
  <si>
    <r>
      <rPr>
        <sz val="10"/>
        <rFont val="Arial MT"/>
        <family val="2"/>
      </rPr>
      <t>Gastos financieros</t>
    </r>
  </si>
  <si>
    <r>
      <rPr>
        <sz val="10"/>
        <rFont val="Arial MT"/>
        <family val="2"/>
      </rPr>
      <t>Gastos legales</t>
    </r>
  </si>
  <si>
    <r>
      <rPr>
        <sz val="10"/>
        <rFont val="Arial MT"/>
        <family val="2"/>
      </rPr>
      <t>Libros, suscripciones, periódicos y revistas</t>
    </r>
  </si>
  <si>
    <r>
      <rPr>
        <sz val="10"/>
        <rFont val="Arial MT"/>
        <family val="2"/>
      </rPr>
      <t>Servicios técnicos</t>
    </r>
  </si>
  <si>
    <r>
      <rPr>
        <sz val="10"/>
        <rFont val="Arial MT"/>
        <family val="2"/>
      </rPr>
      <t>Servicios de mantenimiento</t>
    </r>
  </si>
  <si>
    <r>
      <rPr>
        <sz val="10"/>
        <rFont val="Arial MT"/>
        <family val="2"/>
      </rPr>
      <t>Transportes, fletes y acarreos</t>
    </r>
  </si>
  <si>
    <r>
      <rPr>
        <sz val="10"/>
        <rFont val="Arial MT"/>
        <family val="2"/>
      </rPr>
      <t>Servicios públicos</t>
    </r>
  </si>
  <si>
    <r>
      <rPr>
        <sz val="10"/>
        <rFont val="Arial MT"/>
        <family val="2"/>
      </rPr>
      <t>Seguros</t>
    </r>
  </si>
  <si>
    <r>
      <rPr>
        <sz val="10"/>
        <rFont val="Arial MT"/>
        <family val="2"/>
      </rPr>
      <t>Gastos de viaje</t>
    </r>
  </si>
  <si>
    <r>
      <rPr>
        <sz val="10"/>
        <rFont val="Arial MT"/>
        <family val="2"/>
      </rPr>
      <t>Gastos de representac/n y relaciones públicas</t>
    </r>
  </si>
  <si>
    <r>
      <rPr>
        <sz val="10"/>
        <rFont val="Arial MT"/>
        <family val="2"/>
      </rPr>
      <t>Servicios aduaneros</t>
    </r>
  </si>
  <si>
    <r>
      <rPr>
        <sz val="10"/>
        <rFont val="Arial MT"/>
        <family val="2"/>
      </rPr>
      <t>DEUDAS CON ACCIONISTAS O SOCIOS</t>
    </r>
  </si>
  <si>
    <r>
      <rPr>
        <sz val="10"/>
        <rFont val="Arial MT"/>
        <family val="2"/>
      </rPr>
      <t>Accionistas</t>
    </r>
  </si>
  <si>
    <r>
      <rPr>
        <sz val="10"/>
        <rFont val="Arial MT"/>
        <family val="2"/>
      </rPr>
      <t>Socios</t>
    </r>
  </si>
  <si>
    <r>
      <rPr>
        <sz val="10"/>
        <rFont val="Arial MT"/>
        <family val="2"/>
      </rPr>
      <t>RETENCIÓN EN LA FUENTE</t>
    </r>
  </si>
  <si>
    <r>
      <rPr>
        <sz val="10"/>
        <rFont val="Arial MT"/>
        <family val="2"/>
      </rPr>
      <t>Salarios y pagos laborales</t>
    </r>
  </si>
  <si>
    <r>
      <rPr>
        <sz val="10"/>
        <rFont val="Arial MT"/>
        <family val="2"/>
      </rPr>
      <t>Rendimientos financieros</t>
    </r>
  </si>
  <si>
    <r>
      <rPr>
        <sz val="10"/>
        <rFont val="Arial MT"/>
        <family val="2"/>
      </rPr>
      <t>Compras</t>
    </r>
  </si>
  <si>
    <r>
      <rPr>
        <sz val="10"/>
        <rFont val="Arial MT"/>
        <family val="2"/>
      </rPr>
      <t>Loterías, rifas, apuestas y similares</t>
    </r>
  </si>
  <si>
    <r>
      <rPr>
        <sz val="10"/>
        <rFont val="Arial MT"/>
        <family val="2"/>
      </rPr>
      <t>Por pagos al exterior</t>
    </r>
  </si>
  <si>
    <r>
      <rPr>
        <sz val="10"/>
        <rFont val="Arial MT"/>
        <family val="2"/>
      </rPr>
      <t>Por ingresos obtenidos en el exterior</t>
    </r>
  </si>
  <si>
    <r>
      <rPr>
        <sz val="10"/>
        <rFont val="Arial MT"/>
        <family val="2"/>
      </rPr>
      <t>Enajenac. propied planta y equipo, person nat</t>
    </r>
  </si>
  <si>
    <r>
      <rPr>
        <sz val="10"/>
        <rFont val="Arial MT"/>
        <family val="2"/>
      </rPr>
      <t>Por impuesto de timbre</t>
    </r>
  </si>
  <si>
    <r>
      <rPr>
        <sz val="10"/>
        <rFont val="Arial MT"/>
        <family val="2"/>
      </rPr>
      <t>Otras retenciones y patrimonio</t>
    </r>
  </si>
  <si>
    <r>
      <rPr>
        <sz val="10"/>
        <rFont val="Arial MT"/>
        <family val="2"/>
      </rPr>
      <t>Autorretenciones</t>
    </r>
  </si>
  <si>
    <r>
      <rPr>
        <sz val="10"/>
        <rFont val="Arial MT"/>
        <family val="2"/>
      </rPr>
      <t>IMPUESTO A LAS VENTAS RETENIDO</t>
    </r>
  </si>
  <si>
    <r>
      <rPr>
        <sz val="10"/>
        <rFont val="Arial MT"/>
        <family val="2"/>
      </rPr>
      <t>IMPUESTO DE INDUSTRIA Y COMERCIO RETENID</t>
    </r>
  </si>
  <si>
    <r>
      <rPr>
        <sz val="10"/>
        <rFont val="Arial MT"/>
        <family val="2"/>
      </rPr>
      <t>RETENCIONES Y APORTES DE NÓMINA</t>
    </r>
  </si>
  <si>
    <r>
      <rPr>
        <sz val="10"/>
        <rFont val="Arial MT"/>
        <family val="2"/>
      </rPr>
      <t>Aportes a entidades promotoras de salud EPS</t>
    </r>
  </si>
  <si>
    <r>
      <rPr>
        <sz val="10"/>
        <rFont val="Arial MT"/>
        <family val="2"/>
      </rPr>
      <t>Aportes a administrador de riesgos profes ARP</t>
    </r>
  </si>
  <si>
    <r>
      <rPr>
        <sz val="10"/>
        <rFont val="Arial MT"/>
        <family val="2"/>
      </rPr>
      <t>Aportes al ICBF, SENA y cajas de compensación</t>
    </r>
  </si>
  <si>
    <r>
      <rPr>
        <sz val="10"/>
        <rFont val="Arial MT"/>
        <family val="2"/>
      </rPr>
      <t>Aportes al FIC</t>
    </r>
  </si>
  <si>
    <r>
      <rPr>
        <sz val="10"/>
        <rFont val="Arial MT"/>
        <family val="2"/>
      </rPr>
      <t>Embargos judiciales</t>
    </r>
  </si>
  <si>
    <r>
      <rPr>
        <sz val="10"/>
        <rFont val="Arial MT"/>
        <family val="2"/>
      </rPr>
      <t>Libranzas</t>
    </r>
  </si>
  <si>
    <r>
      <rPr>
        <sz val="10"/>
        <rFont val="Arial MT"/>
        <family val="2"/>
      </rPr>
      <t>Sindicatos</t>
    </r>
  </si>
  <si>
    <r>
      <rPr>
        <sz val="10"/>
        <rFont val="Arial MT"/>
        <family val="2"/>
      </rPr>
      <t>Cooperativas</t>
    </r>
  </si>
  <si>
    <r>
      <rPr>
        <sz val="10"/>
        <rFont val="Arial MT"/>
        <family val="2"/>
      </rPr>
      <t>Fondos</t>
    </r>
  </si>
  <si>
    <r>
      <rPr>
        <sz val="10"/>
        <rFont val="Arial MT"/>
        <family val="2"/>
      </rPr>
      <t>IMPUESTOS, GRAVÁMENES Y TASAS</t>
    </r>
  </si>
  <si>
    <r>
      <rPr>
        <sz val="10"/>
        <rFont val="Arial MT"/>
        <family val="2"/>
      </rPr>
      <t>DE RENTA Y COMPLEMENTARIOS</t>
    </r>
  </si>
  <si>
    <r>
      <rPr>
        <sz val="10"/>
        <rFont val="Arial MT"/>
        <family val="2"/>
      </rPr>
      <t>Vigencia fiscal corriente</t>
    </r>
  </si>
  <si>
    <r>
      <rPr>
        <sz val="10"/>
        <rFont val="Arial MT"/>
        <family val="2"/>
      </rPr>
      <t>Vigencias fiscales anteriores</t>
    </r>
  </si>
  <si>
    <r>
      <rPr>
        <sz val="10"/>
        <rFont val="Arial MT"/>
        <family val="2"/>
      </rPr>
      <t>IMPUESTO SOBRE LAS VENTAS POR PAGAR</t>
    </r>
  </si>
  <si>
    <r>
      <rPr>
        <sz val="10"/>
        <rFont val="Arial MT"/>
        <family val="2"/>
      </rPr>
      <t>DE INDUSTRIA Y COMERCIO</t>
    </r>
  </si>
  <si>
    <r>
      <rPr>
        <sz val="10"/>
        <rFont val="Arial MT"/>
        <family val="2"/>
      </rPr>
      <t>A LA PROPIEDAD RAÍZ</t>
    </r>
  </si>
  <si>
    <r>
      <rPr>
        <sz val="10"/>
        <rFont val="Arial MT"/>
        <family val="2"/>
      </rPr>
      <t>DERECHOS SOBRE INSTRUMENTOS PÚBLICOS</t>
    </r>
  </si>
  <si>
    <r>
      <rPr>
        <sz val="10"/>
        <rFont val="Arial MT"/>
        <family val="2"/>
      </rPr>
      <t>DE VALORIZACIÓN</t>
    </r>
  </si>
  <si>
    <r>
      <rPr>
        <sz val="10"/>
        <rFont val="Arial MT"/>
        <family val="2"/>
      </rPr>
      <t>DE TURISMO</t>
    </r>
  </si>
  <si>
    <r>
      <rPr>
        <sz val="10"/>
        <rFont val="Arial MT"/>
        <family val="2"/>
      </rPr>
      <t>TASA POR UTILIZACIÓN DE PUERTOS</t>
    </r>
  </si>
  <si>
    <r>
      <rPr>
        <sz val="10"/>
        <rFont val="Arial MT"/>
        <family val="2"/>
      </rPr>
      <t>DE VEHÍCULOS</t>
    </r>
  </si>
  <si>
    <r>
      <rPr>
        <sz val="10"/>
        <rFont val="Arial MT"/>
        <family val="2"/>
      </rPr>
      <t>DE ESPECTÁCULOS PÚBLICOS</t>
    </r>
  </si>
  <si>
    <r>
      <rPr>
        <sz val="10"/>
        <rFont val="Arial MT"/>
        <family val="2"/>
      </rPr>
      <t>REGALÍAS E IMPTOS A LA PEQUEÑA Y MEDIANA</t>
    </r>
  </si>
  <si>
    <r>
      <rPr>
        <sz val="10"/>
        <rFont val="Arial MT"/>
        <family val="2"/>
      </rPr>
      <t>A LAS EXPORTACIONES CAFETERAS</t>
    </r>
  </si>
  <si>
    <r>
      <rPr>
        <sz val="10"/>
        <rFont val="Arial MT"/>
        <family val="2"/>
      </rPr>
      <t>A LAS IMPORTACIONES</t>
    </r>
  </si>
  <si>
    <r>
      <rPr>
        <sz val="10"/>
        <rFont val="Arial MT"/>
        <family val="2"/>
      </rPr>
      <t>CUOTAS DE FOMENTO</t>
    </r>
  </si>
  <si>
    <r>
      <rPr>
        <sz val="10"/>
        <rFont val="Arial MT"/>
        <family val="2"/>
      </rPr>
      <t>DE LICORES CERVEZAS Y CIGARRILLOS</t>
    </r>
  </si>
  <si>
    <r>
      <rPr>
        <sz val="10"/>
        <rFont val="Arial MT"/>
        <family val="2"/>
      </rPr>
      <t>De licores</t>
    </r>
  </si>
  <si>
    <r>
      <rPr>
        <sz val="10"/>
        <rFont val="Arial MT"/>
        <family val="2"/>
      </rPr>
      <t>De cervezas</t>
    </r>
  </si>
  <si>
    <r>
      <rPr>
        <sz val="10"/>
        <rFont val="Arial MT"/>
        <family val="2"/>
      </rPr>
      <t>De cigarrillos</t>
    </r>
  </si>
  <si>
    <r>
      <rPr>
        <sz val="10"/>
        <rFont val="Arial MT"/>
        <family val="2"/>
      </rPr>
      <t>AL SACRIFICIO DE GANADO</t>
    </r>
  </si>
  <si>
    <r>
      <rPr>
        <sz val="10"/>
        <rFont val="Arial MT"/>
        <family val="2"/>
      </rPr>
      <t>AL AZAR Y JUEGOS</t>
    </r>
  </si>
  <si>
    <r>
      <rPr>
        <sz val="10"/>
        <rFont val="Arial MT"/>
        <family val="2"/>
      </rPr>
      <t>GRAVÁMENES Y REGALÍAS POR UTILIZ DEL SUEL</t>
    </r>
  </si>
  <si>
    <r>
      <rPr>
        <sz val="10"/>
        <rFont val="Arial MT"/>
        <family val="2"/>
      </rPr>
      <t>OTROS</t>
    </r>
  </si>
  <si>
    <r>
      <rPr>
        <sz val="10"/>
        <rFont val="Arial MT"/>
        <family val="2"/>
      </rPr>
      <t>OBLIGACIONES LABORALES</t>
    </r>
  </si>
  <si>
    <r>
      <rPr>
        <sz val="10"/>
        <rFont val="Arial MT"/>
        <family val="2"/>
      </rPr>
      <t>SALARIOS POR PAGAR</t>
    </r>
  </si>
  <si>
    <r>
      <rPr>
        <sz val="10"/>
        <rFont val="Arial MT"/>
        <family val="2"/>
      </rPr>
      <t>CESANTÍAS CONSOLIDADAS</t>
    </r>
  </si>
  <si>
    <r>
      <rPr>
        <sz val="10"/>
        <rFont val="Arial MT"/>
        <family val="2"/>
      </rPr>
      <t>Ley laboral anterior</t>
    </r>
  </si>
  <si>
    <r>
      <rPr>
        <sz val="10"/>
        <rFont val="Arial MT"/>
        <family val="2"/>
      </rPr>
      <t>Ley 50 de 1990 y normas posteriores</t>
    </r>
  </si>
  <si>
    <r>
      <rPr>
        <sz val="10"/>
        <rFont val="Arial MT"/>
        <family val="2"/>
      </rPr>
      <t>INTERESES SOBRE CESANTÍAS</t>
    </r>
  </si>
  <si>
    <r>
      <rPr>
        <sz val="10"/>
        <rFont val="Arial MT"/>
        <family val="2"/>
      </rPr>
      <t>PRIMA DE SERVICIOS</t>
    </r>
  </si>
  <si>
    <r>
      <rPr>
        <sz val="10"/>
        <rFont val="Arial MT"/>
        <family val="2"/>
      </rPr>
      <t>VACACIONES CONSOLIDADAS</t>
    </r>
  </si>
  <si>
    <r>
      <rPr>
        <sz val="10"/>
        <rFont val="Arial MT"/>
        <family val="2"/>
      </rPr>
      <t>PRESTACIONES EXTRALEGALES</t>
    </r>
  </si>
  <si>
    <r>
      <rPr>
        <sz val="10"/>
        <rFont val="Arial MT"/>
        <family val="2"/>
      </rPr>
      <t>Primas</t>
    </r>
  </si>
  <si>
    <r>
      <rPr>
        <sz val="10"/>
        <rFont val="Arial MT"/>
        <family val="2"/>
      </rPr>
      <t>Auxilios</t>
    </r>
  </si>
  <si>
    <r>
      <rPr>
        <sz val="10"/>
        <rFont val="Arial MT"/>
        <family val="2"/>
      </rPr>
      <t>Bonificaciones</t>
    </r>
  </si>
  <si>
    <r>
      <rPr>
        <sz val="10"/>
        <rFont val="Arial MT"/>
        <family val="2"/>
      </rPr>
      <t>PENSIONES POR PAGAR</t>
    </r>
  </si>
  <si>
    <r>
      <rPr>
        <sz val="10"/>
        <rFont val="Arial MT"/>
        <family val="2"/>
      </rPr>
      <t>CUOTAS PARTES PENSIONES DE JUBILACIÓN</t>
    </r>
  </si>
  <si>
    <r>
      <rPr>
        <sz val="10"/>
        <rFont val="Arial MT"/>
        <family val="2"/>
      </rPr>
      <t>INDEMNIZACIONES LABORALES</t>
    </r>
  </si>
  <si>
    <r>
      <rPr>
        <sz val="10"/>
        <rFont val="Arial MT"/>
        <family val="2"/>
      </rPr>
      <t>PASIVOS ESTIMADOS Y PROVISIONES</t>
    </r>
  </si>
  <si>
    <r>
      <rPr>
        <sz val="10"/>
        <rFont val="Arial MT"/>
        <family val="2"/>
      </rPr>
      <t>PARA COSTOS Y GASTOS</t>
    </r>
  </si>
  <si>
    <r>
      <rPr>
        <sz val="10"/>
        <rFont val="Arial MT"/>
        <family val="2"/>
      </rPr>
      <t>Regalías</t>
    </r>
  </si>
  <si>
    <r>
      <rPr>
        <sz val="10"/>
        <rFont val="Arial MT"/>
        <family val="2"/>
      </rPr>
      <t>Garantías</t>
    </r>
  </si>
  <si>
    <r>
      <rPr>
        <sz val="10"/>
        <rFont val="Arial MT"/>
        <family val="2"/>
      </rPr>
      <t>Materiales y repuestos</t>
    </r>
  </si>
  <si>
    <r>
      <rPr>
        <sz val="10"/>
        <rFont val="Arial MT"/>
        <family val="2"/>
      </rPr>
      <t>PARA OBLIGACIONES LABORALES</t>
    </r>
  </si>
  <si>
    <r>
      <rPr>
        <sz val="10"/>
        <rFont val="Arial MT"/>
        <family val="2"/>
      </rPr>
      <t>Cesantías</t>
    </r>
  </si>
  <si>
    <r>
      <rPr>
        <sz val="10"/>
        <rFont val="Arial MT"/>
        <family val="2"/>
      </rPr>
      <t>Intereses sobre cesantías</t>
    </r>
  </si>
  <si>
    <r>
      <rPr>
        <sz val="10"/>
        <rFont val="Arial MT"/>
        <family val="2"/>
      </rPr>
      <t>Vacaciones</t>
    </r>
  </si>
  <si>
    <r>
      <rPr>
        <sz val="10"/>
        <rFont val="Arial MT"/>
        <family val="2"/>
      </rPr>
      <t>Prima de servicios</t>
    </r>
  </si>
  <si>
    <r>
      <rPr>
        <sz val="10"/>
        <rFont val="Arial MT"/>
        <family val="2"/>
      </rPr>
      <t>Prestaciones extralegales</t>
    </r>
  </si>
  <si>
    <r>
      <rPr>
        <sz val="10"/>
        <rFont val="Arial MT"/>
        <family val="2"/>
      </rPr>
      <t>Viáticos</t>
    </r>
  </si>
  <si>
    <r>
      <rPr>
        <sz val="10"/>
        <rFont val="Arial MT"/>
        <family val="2"/>
      </rPr>
      <t>PARA OBLIGACIONES FISCALES</t>
    </r>
  </si>
  <si>
    <r>
      <rPr>
        <sz val="10"/>
        <rFont val="Arial MT"/>
        <family val="2"/>
      </rPr>
      <t>De renta y complementarios</t>
    </r>
  </si>
  <si>
    <r>
      <rPr>
        <sz val="10"/>
        <rFont val="Arial MT"/>
        <family val="2"/>
      </rPr>
      <t>De industria y comercio</t>
    </r>
  </si>
  <si>
    <r>
      <rPr>
        <sz val="10"/>
        <rFont val="Arial MT"/>
        <family val="2"/>
      </rPr>
      <t>Tasa por utilización de puertos</t>
    </r>
  </si>
  <si>
    <r>
      <rPr>
        <sz val="10"/>
        <rFont val="Arial MT"/>
        <family val="2"/>
      </rPr>
      <t>De vehículos</t>
    </r>
  </si>
  <si>
    <r>
      <rPr>
        <sz val="10"/>
        <rFont val="Arial MT"/>
        <family val="2"/>
      </rPr>
      <t>De hidrocarburos y minas</t>
    </r>
  </si>
  <si>
    <r>
      <rPr>
        <sz val="10"/>
        <rFont val="Arial MT"/>
        <family val="2"/>
      </rPr>
      <t>PENSIONES DE JUBILACIÓN</t>
    </r>
  </si>
  <si>
    <r>
      <rPr>
        <sz val="10"/>
        <rFont val="Arial MT"/>
        <family val="2"/>
      </rPr>
      <t>Cálculo actuarial pensiones de jubilación</t>
    </r>
  </si>
  <si>
    <r>
      <rPr>
        <sz val="10"/>
        <rFont val="Arial MT"/>
        <family val="2"/>
      </rPr>
      <t>Pensiones de jubilación por amortizar (DB)</t>
    </r>
  </si>
  <si>
    <r>
      <rPr>
        <sz val="10"/>
        <rFont val="Arial MT"/>
        <family val="2"/>
      </rPr>
      <t>PARA OBRAS DE URBANISMO</t>
    </r>
  </si>
  <si>
    <r>
      <rPr>
        <sz val="10"/>
        <rFont val="Arial MT"/>
        <family val="2"/>
      </rPr>
      <t>Acueducto y alcantarillado</t>
    </r>
  </si>
  <si>
    <r>
      <rPr>
        <sz val="10"/>
        <rFont val="Arial MT"/>
        <family val="2"/>
      </rPr>
      <t>Energía eléctrica</t>
    </r>
  </si>
  <si>
    <r>
      <rPr>
        <sz val="10"/>
        <rFont val="Arial MT"/>
        <family val="2"/>
      </rPr>
      <t>Teléfonos</t>
    </r>
  </si>
  <si>
    <r>
      <rPr>
        <sz val="10"/>
        <rFont val="Arial MT"/>
        <family val="2"/>
      </rPr>
      <t>PARA MANTENIMIENTO Y REPARACIONES</t>
    </r>
  </si>
  <si>
    <r>
      <rPr>
        <sz val="10"/>
        <rFont val="Arial MT"/>
        <family val="2"/>
      </rPr>
      <t>PARA CONTINGENCIAS</t>
    </r>
  </si>
  <si>
    <r>
      <rPr>
        <sz val="10"/>
        <rFont val="Arial MT"/>
        <family val="2"/>
      </rPr>
      <t>Multas y sanciones autoridades administrativa</t>
    </r>
  </si>
  <si>
    <r>
      <rPr>
        <sz val="10"/>
        <rFont val="Arial MT"/>
        <family val="2"/>
      </rPr>
      <t>Intereses por multas y sanciones</t>
    </r>
  </si>
  <si>
    <r>
      <rPr>
        <sz val="10"/>
        <rFont val="Arial MT"/>
        <family val="2"/>
      </rPr>
      <t>Reclamos</t>
    </r>
  </si>
  <si>
    <r>
      <rPr>
        <sz val="10"/>
        <rFont val="Arial MT"/>
        <family val="2"/>
      </rPr>
      <t>Laborales</t>
    </r>
  </si>
  <si>
    <r>
      <rPr>
        <sz val="10"/>
        <rFont val="Arial MT"/>
        <family val="2"/>
      </rPr>
      <t>Civiles</t>
    </r>
  </si>
  <si>
    <r>
      <rPr>
        <sz val="10"/>
        <rFont val="Arial MT"/>
        <family val="2"/>
      </rPr>
      <t>Penales</t>
    </r>
  </si>
  <si>
    <r>
      <rPr>
        <sz val="10"/>
        <rFont val="Arial MT"/>
        <family val="2"/>
      </rPr>
      <t>Administrativos</t>
    </r>
  </si>
  <si>
    <r>
      <rPr>
        <sz val="10"/>
        <rFont val="Arial MT"/>
        <family val="2"/>
      </rPr>
      <t>Comerciales</t>
    </r>
  </si>
  <si>
    <r>
      <rPr>
        <sz val="10"/>
        <rFont val="Arial MT"/>
        <family val="2"/>
      </rPr>
      <t>INGRESOS RECIBIDOS POR ANTICIPADO</t>
    </r>
  </si>
  <si>
    <r>
      <rPr>
        <sz val="10"/>
        <rFont val="Arial MT"/>
        <family val="2"/>
      </rPr>
      <t>De suscriptores</t>
    </r>
  </si>
  <si>
    <r>
      <rPr>
        <sz val="10"/>
        <rFont val="Arial MT"/>
        <family val="2"/>
      </rPr>
      <t>Mercancía en transito ya vendida</t>
    </r>
  </si>
  <si>
    <r>
      <rPr>
        <sz val="10"/>
        <rFont val="Arial MT"/>
        <family val="2"/>
      </rPr>
      <t>Matriculas y pensiones</t>
    </r>
  </si>
  <si>
    <r>
      <rPr>
        <sz val="10"/>
        <rFont val="Arial MT"/>
        <family val="2"/>
      </rPr>
      <t>Cuotas de administración</t>
    </r>
  </si>
  <si>
    <r>
      <rPr>
        <sz val="10"/>
        <rFont val="Arial MT"/>
        <family val="2"/>
      </rPr>
      <t>ABONOS DIFERIDOS</t>
    </r>
  </si>
  <si>
    <r>
      <rPr>
        <sz val="10"/>
        <rFont val="Arial MT"/>
        <family val="2"/>
      </rPr>
      <t>Reajuste del sistema</t>
    </r>
  </si>
  <si>
    <r>
      <rPr>
        <sz val="10"/>
        <rFont val="Arial MT"/>
        <family val="2"/>
      </rPr>
      <t>UTILIDAD DIFERIDA EN VENTAS A PLAZOS</t>
    </r>
  </si>
  <si>
    <r>
      <rPr>
        <sz val="10"/>
        <rFont val="Arial MT"/>
        <family val="2"/>
      </rPr>
      <t>CRÉDITO POR CORRECCIÓN MONETARIA DIFERI</t>
    </r>
  </si>
  <si>
    <r>
      <rPr>
        <sz val="10"/>
        <rFont val="Arial MT"/>
        <family val="2"/>
      </rPr>
      <t>IMPUESTOS DIFERIDOS</t>
    </r>
  </si>
  <si>
    <r>
      <rPr>
        <sz val="10"/>
        <rFont val="Arial MT"/>
        <family val="2"/>
      </rPr>
      <t>Por depreciación flexible</t>
    </r>
  </si>
  <si>
    <r>
      <rPr>
        <sz val="10"/>
        <rFont val="Arial MT"/>
        <family val="2"/>
      </rPr>
      <t>OTROS PASIVOS</t>
    </r>
  </si>
  <si>
    <r>
      <rPr>
        <sz val="10"/>
        <rFont val="Arial MT"/>
        <family val="2"/>
      </rPr>
      <t>ANTICIPOS Y AVANCES RECIBIDOS</t>
    </r>
  </si>
  <si>
    <r>
      <rPr>
        <sz val="10"/>
        <rFont val="Arial MT"/>
        <family val="2"/>
      </rPr>
      <t>De clientes</t>
    </r>
  </si>
  <si>
    <r>
      <rPr>
        <sz val="10"/>
        <rFont val="Arial MT"/>
        <family val="2"/>
      </rPr>
      <t>Sobre contratos</t>
    </r>
  </si>
  <si>
    <r>
      <rPr>
        <sz val="10"/>
        <rFont val="Arial MT"/>
        <family val="2"/>
      </rPr>
      <t>Para obras en proceso</t>
    </r>
  </si>
  <si>
    <r>
      <rPr>
        <sz val="10"/>
        <rFont val="Arial MT"/>
        <family val="2"/>
      </rPr>
      <t>DEPÓSITOS RECIBIDOS</t>
    </r>
  </si>
  <si>
    <r>
      <rPr>
        <sz val="10"/>
        <rFont val="Arial MT"/>
        <family val="2"/>
      </rPr>
      <t>Para futura suscripción de acciones</t>
    </r>
  </si>
  <si>
    <r>
      <rPr>
        <sz val="10"/>
        <rFont val="Arial MT"/>
        <family val="2"/>
      </rPr>
      <t>Para futuro pago de cuotas o derechos soc/les</t>
    </r>
  </si>
  <si>
    <r>
      <rPr>
        <sz val="10"/>
        <rFont val="Arial MT"/>
        <family val="2"/>
      </rPr>
      <t>Para garantía en la prestación de servicios</t>
    </r>
  </si>
  <si>
    <r>
      <rPr>
        <sz val="10"/>
        <rFont val="Arial MT"/>
        <family val="2"/>
      </rPr>
      <t>Para garantía de contratos</t>
    </r>
  </si>
  <si>
    <r>
      <rPr>
        <sz val="10"/>
        <rFont val="Arial MT"/>
        <family val="2"/>
      </rPr>
      <t>De licitaciones</t>
    </r>
  </si>
  <si>
    <r>
      <rPr>
        <sz val="10"/>
        <rFont val="Arial MT"/>
        <family val="2"/>
      </rPr>
      <t>De manejo de bienes</t>
    </r>
  </si>
  <si>
    <r>
      <rPr>
        <sz val="10"/>
        <rFont val="Arial MT"/>
        <family val="2"/>
      </rPr>
      <t>Fondo de reserva</t>
    </r>
  </si>
  <si>
    <r>
      <rPr>
        <sz val="10"/>
        <rFont val="Arial MT"/>
        <family val="2"/>
      </rPr>
      <t>INGRESOS RECIBIDOS PARA TERCEROS</t>
    </r>
  </si>
  <si>
    <r>
      <rPr>
        <sz val="10"/>
        <rFont val="Arial MT"/>
        <family val="2"/>
      </rPr>
      <t>Valores recibidos para terceros</t>
    </r>
  </si>
  <si>
    <r>
      <rPr>
        <sz val="10"/>
        <rFont val="Arial MT"/>
        <family val="2"/>
      </rPr>
      <t>Venta por cuenta de terceros</t>
    </r>
  </si>
  <si>
    <r>
      <rPr>
        <sz val="10"/>
        <rFont val="Arial MT"/>
        <family val="2"/>
      </rPr>
      <t>RETENCIONES A TERCEROS SOBRE CONTRATAT</t>
    </r>
  </si>
  <si>
    <r>
      <rPr>
        <sz val="10"/>
        <rFont val="Arial MT"/>
        <family val="2"/>
      </rPr>
      <t>Cumplimiento obligaciones laborales</t>
    </r>
  </si>
  <si>
    <r>
      <rPr>
        <sz val="10"/>
        <rFont val="Arial MT"/>
        <family val="2"/>
      </rPr>
      <t>Para estabilidad de obra</t>
    </r>
  </si>
  <si>
    <r>
      <rPr>
        <sz val="10"/>
        <rFont val="Arial MT"/>
        <family val="2"/>
      </rPr>
      <t>Garantía cumplimiento de contratos</t>
    </r>
  </si>
  <si>
    <r>
      <rPr>
        <sz val="10"/>
        <rFont val="Arial MT"/>
        <family val="2"/>
      </rPr>
      <t>EMBARGOS JUDICIALES</t>
    </r>
  </si>
  <si>
    <r>
      <rPr>
        <sz val="10"/>
        <rFont val="Arial MT"/>
        <family val="2"/>
      </rPr>
      <t>Indemnizaciones</t>
    </r>
  </si>
  <si>
    <r>
      <rPr>
        <sz val="10"/>
        <rFont val="Arial MT"/>
        <family val="2"/>
      </rPr>
      <t>Depósitos judiciales</t>
    </r>
  </si>
  <si>
    <r>
      <rPr>
        <sz val="10"/>
        <rFont val="Arial MT"/>
        <family val="2"/>
      </rPr>
      <t>Préstamos de productos</t>
    </r>
  </si>
  <si>
    <r>
      <rPr>
        <sz val="10"/>
        <rFont val="Arial MT"/>
        <family val="2"/>
      </rPr>
      <t>Reembolso de costos exploratorios</t>
    </r>
  </si>
  <si>
    <r>
      <rPr>
        <sz val="10"/>
        <rFont val="Arial MT"/>
        <family val="2"/>
      </rPr>
      <t>Programa de extensión agropecuaria</t>
    </r>
  </si>
  <si>
    <r>
      <rPr>
        <sz val="10"/>
        <rFont val="Arial MT"/>
        <family val="2"/>
      </rPr>
      <t>PATRIMONIO</t>
    </r>
  </si>
  <si>
    <r>
      <rPr>
        <sz val="10"/>
        <rFont val="Arial MT"/>
        <family val="2"/>
      </rPr>
      <t>CAPITAL SOCIAL</t>
    </r>
  </si>
  <si>
    <r>
      <rPr>
        <sz val="10"/>
        <rFont val="Arial MT"/>
        <family val="2"/>
      </rPr>
      <t>CAPITAL SUSCRITO Y PAGADO</t>
    </r>
  </si>
  <si>
    <r>
      <rPr>
        <sz val="10"/>
        <rFont val="Arial MT"/>
        <family val="2"/>
      </rPr>
      <t>Capital autorizado</t>
    </r>
  </si>
  <si>
    <r>
      <rPr>
        <sz val="10"/>
        <rFont val="Arial MT"/>
        <family val="2"/>
      </rPr>
      <t>Capital por suscribir (DB)</t>
    </r>
  </si>
  <si>
    <r>
      <rPr>
        <sz val="10"/>
        <rFont val="Arial MT"/>
        <family val="2"/>
      </rPr>
      <t>Capital suscrito por cobrar (DB)</t>
    </r>
  </si>
  <si>
    <r>
      <rPr>
        <sz val="10"/>
        <rFont val="Arial MT"/>
        <family val="2"/>
      </rPr>
      <t>APORTES SOCIALES</t>
    </r>
  </si>
  <si>
    <r>
      <rPr>
        <sz val="10"/>
        <rFont val="Arial MT"/>
        <family val="2"/>
      </rPr>
      <t>Aportes de socios-fondo mutuo de inversión</t>
    </r>
  </si>
  <si>
    <r>
      <rPr>
        <sz val="10"/>
        <rFont val="Arial MT"/>
        <family val="2"/>
      </rPr>
      <t>Contribuc de la empresa-fondo mutuo inversión</t>
    </r>
  </si>
  <si>
    <r>
      <rPr>
        <sz val="10"/>
        <rFont val="Arial MT"/>
        <family val="2"/>
      </rPr>
      <t>Suscripciones del público</t>
    </r>
  </si>
  <si>
    <r>
      <rPr>
        <sz val="10"/>
        <rFont val="Arial MT"/>
        <family val="2"/>
      </rPr>
      <t>CAPITAL ASIGNADO</t>
    </r>
  </si>
  <si>
    <r>
      <rPr>
        <sz val="10"/>
        <rFont val="Arial MT"/>
        <family val="2"/>
      </rPr>
      <t>INVERSIÓN SUPLEMENTARIA AL CAPITAL ASIGNA</t>
    </r>
  </si>
  <si>
    <r>
      <rPr>
        <sz val="10"/>
        <rFont val="Arial MT"/>
        <family val="2"/>
      </rPr>
      <t>CAPITAL DE PERSONAS NATURALES</t>
    </r>
  </si>
  <si>
    <r>
      <rPr>
        <sz val="10"/>
        <rFont val="Arial MT"/>
        <family val="2"/>
      </rPr>
      <t>FONDO SOCIAL</t>
    </r>
  </si>
  <si>
    <r>
      <rPr>
        <sz val="10"/>
        <rFont val="Arial MT"/>
        <family val="2"/>
      </rPr>
      <t>SUPERÁVIT DE CAPITAL</t>
    </r>
  </si>
  <si>
    <r>
      <rPr>
        <sz val="10"/>
        <rFont val="Arial MT"/>
        <family val="2"/>
      </rPr>
      <t>PRIMA EN COLOCAC DE ACCIONES,CUOTAS O P</t>
    </r>
  </si>
  <si>
    <r>
      <rPr>
        <sz val="10"/>
        <rFont val="Arial MT"/>
        <family val="2"/>
      </rPr>
      <t>Prima en colocación de acciones</t>
    </r>
  </si>
  <si>
    <r>
      <rPr>
        <sz val="10"/>
        <rFont val="Arial MT"/>
        <family val="2"/>
      </rPr>
      <t>Prima en colocac de acciones por cobrar (DB)</t>
    </r>
  </si>
  <si>
    <r>
      <rPr>
        <sz val="10"/>
        <rFont val="Arial MT"/>
        <family val="2"/>
      </rPr>
      <t>Prima en colocac de cuotas o part de ints soc</t>
    </r>
  </si>
  <si>
    <r>
      <rPr>
        <sz val="10"/>
        <rFont val="Arial MT"/>
        <family val="2"/>
      </rPr>
      <t>DONACIONES</t>
    </r>
  </si>
  <si>
    <r>
      <rPr>
        <sz val="10"/>
        <rFont val="Arial MT"/>
        <family val="2"/>
      </rPr>
      <t>En dinero</t>
    </r>
  </si>
  <si>
    <r>
      <rPr>
        <sz val="10"/>
        <rFont val="Arial MT"/>
        <family val="2"/>
      </rPr>
      <t>En valores mobiliarios</t>
    </r>
  </si>
  <si>
    <r>
      <rPr>
        <sz val="10"/>
        <rFont val="Arial MT"/>
        <family val="2"/>
      </rPr>
      <t>En bienes muebles</t>
    </r>
  </si>
  <si>
    <r>
      <rPr>
        <sz val="10"/>
        <rFont val="Arial MT"/>
        <family val="2"/>
      </rPr>
      <t>En bienes inmuebles</t>
    </r>
  </si>
  <si>
    <r>
      <rPr>
        <sz val="10"/>
        <rFont val="Arial MT"/>
        <family val="2"/>
      </rPr>
      <t>En intangibles</t>
    </r>
  </si>
  <si>
    <r>
      <rPr>
        <sz val="10"/>
        <rFont val="Arial MT"/>
        <family val="2"/>
      </rPr>
      <t>SUPERÁVIT MÉTODO DE PARTICIPACIÓN</t>
    </r>
  </si>
  <si>
    <r>
      <rPr>
        <sz val="10"/>
        <rFont val="Arial MT"/>
        <family val="2"/>
      </rPr>
      <t>De acciones</t>
    </r>
  </si>
  <si>
    <r>
      <rPr>
        <sz val="10"/>
        <rFont val="Arial MT"/>
        <family val="2"/>
      </rPr>
      <t>De cuotas o partes de interés social</t>
    </r>
  </si>
  <si>
    <r>
      <rPr>
        <sz val="10"/>
        <rFont val="Arial MT"/>
        <family val="2"/>
      </rPr>
      <t>RESERVAS</t>
    </r>
  </si>
  <si>
    <r>
      <rPr>
        <sz val="10"/>
        <rFont val="Arial MT"/>
        <family val="2"/>
      </rPr>
      <t>RESERVA OBLIGATORIAS</t>
    </r>
  </si>
  <si>
    <r>
      <rPr>
        <sz val="10"/>
        <rFont val="Arial MT"/>
        <family val="2"/>
      </rPr>
      <t>Reserva legal</t>
    </r>
  </si>
  <si>
    <r>
      <rPr>
        <sz val="10"/>
        <rFont val="Arial MT"/>
        <family val="2"/>
      </rPr>
      <t>Reserva por disposiciones fiscales</t>
    </r>
  </si>
  <si>
    <r>
      <rPr>
        <sz val="10"/>
        <rFont val="Arial MT"/>
        <family val="2"/>
      </rPr>
      <t>Reserva para readquisición de acciones</t>
    </r>
  </si>
  <si>
    <r>
      <rPr>
        <sz val="10"/>
        <rFont val="Arial MT"/>
        <family val="2"/>
      </rPr>
      <t>Acciones propias readquiridas (DB)</t>
    </r>
  </si>
  <si>
    <r>
      <rPr>
        <sz val="10"/>
        <rFont val="Arial MT"/>
        <family val="2"/>
      </rPr>
      <t>Reserva para readq cuotas partes de int/s soc</t>
    </r>
  </si>
  <si>
    <r>
      <rPr>
        <sz val="10"/>
        <rFont val="Arial MT"/>
        <family val="2"/>
      </rPr>
      <t>Cuotas o partes de int. social prop readq(DB)</t>
    </r>
  </si>
  <si>
    <r>
      <rPr>
        <sz val="10"/>
        <rFont val="Arial MT"/>
        <family val="2"/>
      </rPr>
      <t>Reserva para extensión agropecuaria</t>
    </r>
  </si>
  <si>
    <r>
      <rPr>
        <sz val="10"/>
        <rFont val="Arial MT"/>
        <family val="2"/>
      </rPr>
      <t>Reserva ley 78 de 1990</t>
    </r>
  </si>
  <si>
    <r>
      <rPr>
        <sz val="10"/>
        <rFont val="Arial MT"/>
        <family val="2"/>
      </rPr>
      <t>Reserva para reposición de semovientes</t>
    </r>
  </si>
  <si>
    <r>
      <rPr>
        <sz val="10"/>
        <rFont val="Arial MT"/>
        <family val="2"/>
      </rPr>
      <t>Reserva ley 4ta de 1980</t>
    </r>
  </si>
  <si>
    <r>
      <rPr>
        <sz val="10"/>
        <rFont val="Arial MT"/>
        <family val="2"/>
      </rPr>
      <t>SUPERÁVIT POR VALORACIONES</t>
    </r>
  </si>
  <si>
    <r>
      <rPr>
        <sz val="10"/>
        <rFont val="Arial MT"/>
        <family val="2"/>
      </rPr>
      <t>INGRESOS</t>
    </r>
  </si>
  <si>
    <r>
      <rPr>
        <sz val="10"/>
        <rFont val="Arial MT"/>
        <family val="2"/>
      </rPr>
      <t>OPERACIONALES</t>
    </r>
  </si>
  <si>
    <r>
      <rPr>
        <sz val="10"/>
        <rFont val="Arial MT"/>
        <family val="2"/>
      </rPr>
      <t>INDUSTRIAS MANUFACTURERAS</t>
    </r>
  </si>
  <si>
    <r>
      <rPr>
        <sz val="10"/>
        <rFont val="Arial MT"/>
        <family val="2"/>
      </rPr>
      <t>Elaboración de productos lácteos</t>
    </r>
  </si>
  <si>
    <r>
      <rPr>
        <sz val="10"/>
        <rFont val="Arial MT"/>
        <family val="2"/>
      </rPr>
      <t>Venta de inversiones</t>
    </r>
  </si>
  <si>
    <r>
      <rPr>
        <sz val="10"/>
        <rFont val="Arial MT"/>
        <family val="2"/>
      </rPr>
      <t>Reajuste monetario-UPAC</t>
    </r>
  </si>
  <si>
    <r>
      <rPr>
        <sz val="10"/>
        <rFont val="Arial MT"/>
        <family val="2"/>
      </rPr>
      <t>NO OPERACIONALES</t>
    </r>
  </si>
  <si>
    <r>
      <rPr>
        <sz val="10"/>
        <rFont val="Arial MT"/>
        <family val="2"/>
      </rPr>
      <t>Combustibles y lubricantes</t>
    </r>
  </si>
  <si>
    <r>
      <rPr>
        <sz val="10"/>
        <rFont val="Arial MT"/>
        <family val="2"/>
      </rPr>
      <t>FINANCIEROS</t>
    </r>
  </si>
  <si>
    <r>
      <rPr>
        <sz val="10"/>
        <rFont val="Arial MT"/>
        <family val="2"/>
      </rPr>
      <t>Descuentos amortizados</t>
    </r>
  </si>
  <si>
    <r>
      <rPr>
        <sz val="10"/>
        <rFont val="Arial MT"/>
        <family val="2"/>
      </rPr>
      <t>Diferencia en cambio</t>
    </r>
  </si>
  <si>
    <r>
      <rPr>
        <sz val="10"/>
        <rFont val="Arial MT"/>
        <family val="2"/>
      </rPr>
      <t>Financiación vehículos</t>
    </r>
  </si>
  <si>
    <r>
      <rPr>
        <sz val="10"/>
        <rFont val="Arial MT"/>
        <family val="2"/>
      </rPr>
      <t>Financiación sistemas de viajes</t>
    </r>
  </si>
  <si>
    <r>
      <rPr>
        <sz val="10"/>
        <rFont val="Arial MT"/>
        <family val="2"/>
      </rPr>
      <t>Descuentos comerciales condicionados</t>
    </r>
  </si>
  <si>
    <r>
      <rPr>
        <sz val="10"/>
        <rFont val="Arial MT"/>
        <family val="2"/>
      </rPr>
      <t>Descuentos bancarios</t>
    </r>
  </si>
  <si>
    <r>
      <rPr>
        <sz val="10"/>
        <rFont val="Arial MT"/>
        <family val="2"/>
      </rPr>
      <t>Comisiones cheques de otras plazas</t>
    </r>
  </si>
  <si>
    <r>
      <rPr>
        <sz val="10"/>
        <rFont val="Arial MT"/>
        <family val="2"/>
      </rPr>
      <t>Multas y recargos</t>
    </r>
  </si>
  <si>
    <r>
      <rPr>
        <sz val="10"/>
        <rFont val="Arial MT"/>
        <family val="2"/>
      </rPr>
      <t>Sanciones cheques devueltos</t>
    </r>
  </si>
  <si>
    <r>
      <rPr>
        <sz val="10"/>
        <rFont val="Arial MT"/>
        <family val="2"/>
      </rPr>
      <t>DIVIDENDOS Y PARTICIPACIONES</t>
    </r>
  </si>
  <si>
    <r>
      <rPr>
        <sz val="10"/>
        <rFont val="Arial MT"/>
        <family val="2"/>
      </rPr>
      <t>De sociedades anónimas y/o asimiladas</t>
    </r>
  </si>
  <si>
    <r>
      <rPr>
        <sz val="10"/>
        <rFont val="Arial MT"/>
        <family val="2"/>
      </rPr>
      <t>De sociedades limitadas y/o asimiladas</t>
    </r>
  </si>
  <si>
    <r>
      <rPr>
        <sz val="10"/>
        <rFont val="Arial MT"/>
        <family val="2"/>
      </rPr>
      <t>ARRENDAMIENTOS</t>
    </r>
  </si>
  <si>
    <r>
      <rPr>
        <sz val="10"/>
        <rFont val="Arial MT"/>
        <family val="2"/>
      </rPr>
      <t>HONORARIOS</t>
    </r>
  </si>
  <si>
    <r>
      <rPr>
        <sz val="10"/>
        <rFont val="Arial MT"/>
        <family val="2"/>
      </rPr>
      <t>Asistencia técnica</t>
    </r>
  </si>
  <si>
    <r>
      <rPr>
        <sz val="10"/>
        <rFont val="Arial MT"/>
        <family val="2"/>
      </rPr>
      <t>SERVICIOS</t>
    </r>
  </si>
  <si>
    <r>
      <rPr>
        <sz val="10"/>
        <rFont val="Arial MT"/>
        <family val="2"/>
      </rPr>
      <t>Gastos bancarios</t>
    </r>
  </si>
  <si>
    <r>
      <rPr>
        <sz val="10"/>
        <rFont val="Arial MT"/>
        <family val="2"/>
      </rPr>
      <t>Útiles, papelería y fotocopias</t>
    </r>
  </si>
  <si>
    <r>
      <rPr>
        <sz val="10"/>
        <rFont val="Arial MT"/>
        <family val="2"/>
      </rPr>
      <t>GASTOS</t>
    </r>
  </si>
  <si>
    <r>
      <rPr>
        <sz val="10"/>
        <rFont val="Arial MT"/>
        <family val="2"/>
      </rPr>
      <t>OPERACIONALES DE ADMINISTRACIÓN</t>
    </r>
  </si>
  <si>
    <r>
      <rPr>
        <sz val="10"/>
        <rFont val="Arial MT"/>
        <family val="2"/>
      </rPr>
      <t>GASTOS DE PERSONAL</t>
    </r>
  </si>
  <si>
    <r>
      <rPr>
        <sz val="10"/>
        <rFont val="Arial MT"/>
        <family val="2"/>
      </rPr>
      <t>Salario integral</t>
    </r>
  </si>
  <si>
    <r>
      <rPr>
        <sz val="10"/>
        <rFont val="Arial MT"/>
        <family val="2"/>
      </rPr>
      <t>Sueldos</t>
    </r>
  </si>
  <si>
    <r>
      <rPr>
        <sz val="10"/>
        <rFont val="Arial MT"/>
        <family val="2"/>
      </rPr>
      <t>Jornales</t>
    </r>
  </si>
  <si>
    <r>
      <rPr>
        <sz val="10"/>
        <rFont val="Arial MT"/>
        <family val="2"/>
      </rPr>
      <t>Horas extras y recargos</t>
    </r>
  </si>
  <si>
    <r>
      <rPr>
        <sz val="10"/>
        <rFont val="Arial MT"/>
        <family val="2"/>
      </rPr>
      <t>Incapacidades</t>
    </r>
  </si>
  <si>
    <r>
      <rPr>
        <sz val="10"/>
        <rFont val="Arial MT"/>
        <family val="2"/>
      </rPr>
      <t>Auxilio de transporte</t>
    </r>
  </si>
  <si>
    <r>
      <rPr>
        <sz val="10"/>
        <rFont val="Arial MT"/>
        <family val="2"/>
      </rPr>
      <t>Primas extralegales</t>
    </r>
  </si>
  <si>
    <r>
      <rPr>
        <sz val="10"/>
        <rFont val="Arial MT"/>
        <family val="2"/>
      </rPr>
      <t>Cuotas partes pensiones de jubilación</t>
    </r>
  </si>
  <si>
    <r>
      <rPr>
        <sz val="10"/>
        <rFont val="Arial MT"/>
        <family val="2"/>
      </rPr>
      <t>Amortiz cálculo actuarial pens de jubilación</t>
    </r>
  </si>
  <si>
    <r>
      <rPr>
        <sz val="10"/>
        <rFont val="Arial MT"/>
        <family val="2"/>
      </rPr>
      <t>Pensiones de jubilación</t>
    </r>
  </si>
  <si>
    <r>
      <rPr>
        <sz val="10"/>
        <rFont val="Arial MT"/>
        <family val="2"/>
      </rPr>
      <t>Indemnizaciones laborales</t>
    </r>
  </si>
  <si>
    <r>
      <rPr>
        <sz val="10"/>
        <rFont val="Arial MT"/>
        <family val="2"/>
      </rPr>
      <t>Amortización bonos pensionales</t>
    </r>
  </si>
  <si>
    <r>
      <rPr>
        <sz val="10"/>
        <rFont val="Arial MT"/>
        <family val="2"/>
      </rPr>
      <t>Amortización títulos pensionales</t>
    </r>
  </si>
  <si>
    <r>
      <rPr>
        <sz val="10"/>
        <rFont val="Arial MT"/>
        <family val="2"/>
      </rPr>
      <t>Capacitación al personal</t>
    </r>
  </si>
  <si>
    <r>
      <rPr>
        <sz val="10"/>
        <rFont val="Arial MT"/>
        <family val="2"/>
      </rPr>
      <t>Gastos deportivos y de recreación</t>
    </r>
  </si>
  <si>
    <r>
      <rPr>
        <sz val="10"/>
        <rFont val="Arial MT"/>
        <family val="2"/>
      </rPr>
      <t>Aportes a fondos de pensiones y/o cesantías</t>
    </r>
  </si>
  <si>
    <r>
      <rPr>
        <sz val="10"/>
        <rFont val="Arial MT"/>
        <family val="2"/>
      </rPr>
      <t>Aportes cajas de compensación familiar</t>
    </r>
  </si>
  <si>
    <r>
      <rPr>
        <sz val="10"/>
        <rFont val="Arial MT"/>
        <family val="2"/>
      </rPr>
      <t>Aportes ICBF</t>
    </r>
  </si>
  <si>
    <r>
      <rPr>
        <sz val="10"/>
        <rFont val="Arial MT"/>
        <family val="2"/>
      </rPr>
      <t>SENA</t>
    </r>
  </si>
  <si>
    <r>
      <rPr>
        <sz val="10"/>
        <rFont val="Arial MT"/>
        <family val="2"/>
      </rPr>
      <t>Aportes sindicales</t>
    </r>
  </si>
  <si>
    <r>
      <rPr>
        <sz val="10"/>
        <rFont val="Arial MT"/>
        <family val="2"/>
      </rPr>
      <t>Gastos médicos y drogas</t>
    </r>
  </si>
  <si>
    <r>
      <rPr>
        <sz val="10"/>
        <rFont val="Arial MT"/>
        <family val="2"/>
      </rPr>
      <t>Junta directiva</t>
    </r>
  </si>
  <si>
    <r>
      <rPr>
        <sz val="10"/>
        <rFont val="Arial MT"/>
        <family val="2"/>
      </rPr>
      <t>Revisoría fiscal</t>
    </r>
  </si>
  <si>
    <r>
      <rPr>
        <sz val="10"/>
        <rFont val="Arial MT"/>
        <family val="2"/>
      </rPr>
      <t>Auditoría externa</t>
    </r>
  </si>
  <si>
    <r>
      <rPr>
        <sz val="10"/>
        <rFont val="Arial MT"/>
        <family val="2"/>
      </rPr>
      <t>Avalúos</t>
    </r>
  </si>
  <si>
    <r>
      <rPr>
        <sz val="10"/>
        <rFont val="Arial MT"/>
        <family val="2"/>
      </rPr>
      <t>Asesoría jurídica</t>
    </r>
  </si>
  <si>
    <r>
      <rPr>
        <sz val="10"/>
        <rFont val="Arial MT"/>
        <family val="2"/>
      </rPr>
      <t>Asesoría financiera</t>
    </r>
  </si>
  <si>
    <r>
      <rPr>
        <sz val="10"/>
        <rFont val="Arial MT"/>
        <family val="2"/>
      </rPr>
      <t>Asesoría técnica</t>
    </r>
  </si>
  <si>
    <r>
      <rPr>
        <sz val="10"/>
        <rFont val="Arial MT"/>
        <family val="2"/>
      </rPr>
      <t>IMPUESTOS</t>
    </r>
  </si>
  <si>
    <r>
      <rPr>
        <sz val="10"/>
        <rFont val="Arial MT"/>
        <family val="2"/>
      </rPr>
      <t>Industria y comercio</t>
    </r>
  </si>
  <si>
    <r>
      <rPr>
        <sz val="10"/>
        <rFont val="Arial MT"/>
        <family val="2"/>
      </rPr>
      <t>De timbres</t>
    </r>
  </si>
  <si>
    <r>
      <rPr>
        <sz val="10"/>
        <rFont val="Arial MT"/>
        <family val="2"/>
      </rPr>
      <t>A la propiedad raíz</t>
    </r>
  </si>
  <si>
    <r>
      <rPr>
        <sz val="10"/>
        <rFont val="Arial MT"/>
        <family val="2"/>
      </rPr>
      <t>Derechos sobre instrumentos públicos</t>
    </r>
  </si>
  <si>
    <r>
      <rPr>
        <sz val="10"/>
        <rFont val="Arial MT"/>
        <family val="2"/>
      </rPr>
      <t>De valorización</t>
    </r>
  </si>
  <si>
    <r>
      <rPr>
        <sz val="10"/>
        <rFont val="Arial MT"/>
        <family val="2"/>
      </rPr>
      <t>De turismo</t>
    </r>
  </si>
  <si>
    <r>
      <rPr>
        <sz val="10"/>
        <rFont val="Arial MT"/>
        <family val="2"/>
      </rPr>
      <t>Espectáculos públicos</t>
    </r>
  </si>
  <si>
    <r>
      <rPr>
        <sz val="10"/>
        <rFont val="Arial MT"/>
        <family val="2"/>
      </rPr>
      <t>Cuotas de fomento</t>
    </r>
  </si>
  <si>
    <r>
      <rPr>
        <sz val="10"/>
        <rFont val="Arial MT"/>
        <family val="2"/>
      </rPr>
      <t>IVA descontable</t>
    </r>
  </si>
  <si>
    <r>
      <rPr>
        <sz val="10"/>
        <rFont val="Arial MT"/>
        <family val="2"/>
      </rPr>
      <t>SEGUROS</t>
    </r>
  </si>
  <si>
    <r>
      <rPr>
        <sz val="10"/>
        <rFont val="Arial MT"/>
        <family val="2"/>
      </rPr>
      <t>Manejo</t>
    </r>
  </si>
  <si>
    <r>
      <rPr>
        <sz val="10"/>
        <rFont val="Arial MT"/>
        <family val="2"/>
      </rPr>
      <t>Cumplimiento</t>
    </r>
  </si>
  <si>
    <r>
      <rPr>
        <sz val="10"/>
        <rFont val="Arial MT"/>
        <family val="2"/>
      </rPr>
      <t>Corriente débil</t>
    </r>
  </si>
  <si>
    <r>
      <rPr>
        <sz val="10"/>
        <rFont val="Arial MT"/>
        <family val="2"/>
      </rPr>
      <t>Vida colectiva</t>
    </r>
  </si>
  <si>
    <r>
      <rPr>
        <sz val="10"/>
        <rFont val="Arial MT"/>
        <family val="2"/>
      </rPr>
      <t>Incendio</t>
    </r>
  </si>
  <si>
    <r>
      <rPr>
        <sz val="10"/>
        <rFont val="Arial MT"/>
        <family val="2"/>
      </rPr>
      <t>Terremoto</t>
    </r>
  </si>
  <si>
    <r>
      <rPr>
        <sz val="10"/>
        <rFont val="Arial MT"/>
        <family val="2"/>
      </rPr>
      <t>Sustracción y hurto</t>
    </r>
  </si>
  <si>
    <r>
      <rPr>
        <sz val="10"/>
        <rFont val="Arial MT"/>
        <family val="2"/>
      </rPr>
      <t>Responsabilidad civil y extracontractual</t>
    </r>
  </si>
  <si>
    <r>
      <rPr>
        <sz val="10"/>
        <rFont val="Arial MT"/>
        <family val="2"/>
      </rPr>
      <t>Vuelo</t>
    </r>
  </si>
  <si>
    <r>
      <rPr>
        <sz val="10"/>
        <rFont val="Arial MT"/>
        <family val="2"/>
      </rPr>
      <t>Rotura de maquinaria</t>
    </r>
  </si>
  <si>
    <r>
      <rPr>
        <sz val="10"/>
        <rFont val="Arial MT"/>
        <family val="2"/>
      </rPr>
      <t>Obligatorio accidente de tránsito</t>
    </r>
  </si>
  <si>
    <r>
      <rPr>
        <sz val="10"/>
        <rFont val="Arial MT"/>
        <family val="2"/>
      </rPr>
      <t>Lucro cesante</t>
    </r>
  </si>
  <si>
    <r>
      <rPr>
        <sz val="10"/>
        <rFont val="Arial MT"/>
        <family val="2"/>
      </rPr>
      <t>Transporte de mercancía</t>
    </r>
  </si>
  <si>
    <r>
      <rPr>
        <sz val="10"/>
        <rFont val="Arial MT"/>
        <family val="2"/>
      </rPr>
      <t>Aseo y vigilancia</t>
    </r>
  </si>
  <si>
    <r>
      <rPr>
        <sz val="10"/>
        <rFont val="Arial MT"/>
        <family val="2"/>
      </rPr>
      <t>Temporales</t>
    </r>
  </si>
  <si>
    <r>
      <rPr>
        <sz val="10"/>
        <rFont val="Arial MT"/>
        <family val="2"/>
      </rPr>
      <t>Procesamiento electrónico de datos</t>
    </r>
  </si>
  <si>
    <r>
      <rPr>
        <sz val="10"/>
        <rFont val="Arial MT"/>
        <family val="2"/>
      </rPr>
      <t>Teléfono</t>
    </r>
  </si>
  <si>
    <r>
      <rPr>
        <sz val="10"/>
        <rFont val="Arial MT"/>
        <family val="2"/>
      </rPr>
      <t>Correo, portes y telegramas</t>
    </r>
  </si>
  <si>
    <r>
      <rPr>
        <sz val="10"/>
        <rFont val="Arial MT"/>
        <family val="2"/>
      </rPr>
      <t>Transporte, fletes y acarreos</t>
    </r>
  </si>
  <si>
    <r>
      <rPr>
        <sz val="10"/>
        <rFont val="Arial MT"/>
        <family val="2"/>
      </rPr>
      <t>Gas</t>
    </r>
  </si>
  <si>
    <r>
      <rPr>
        <sz val="10"/>
        <rFont val="Arial MT"/>
        <family val="2"/>
      </rPr>
      <t>GASTOS LEGALES</t>
    </r>
  </si>
  <si>
    <r>
      <rPr>
        <sz val="10"/>
        <rFont val="Arial MT"/>
        <family val="2"/>
      </rPr>
      <t>Notariales</t>
    </r>
  </si>
  <si>
    <r>
      <rPr>
        <sz val="10"/>
        <rFont val="Arial MT"/>
        <family val="2"/>
      </rPr>
      <t>Registro mercantil</t>
    </r>
  </si>
  <si>
    <r>
      <rPr>
        <sz val="10"/>
        <rFont val="Arial MT"/>
        <family val="2"/>
      </rPr>
      <t>Trámites y licencias</t>
    </r>
  </si>
  <si>
    <r>
      <rPr>
        <sz val="10"/>
        <rFont val="Arial MT"/>
        <family val="2"/>
      </rPr>
      <t>Aduaneros</t>
    </r>
  </si>
  <si>
    <r>
      <rPr>
        <sz val="10"/>
        <rFont val="Arial MT"/>
        <family val="2"/>
      </rPr>
      <t>Consulares</t>
    </r>
  </si>
  <si>
    <r>
      <rPr>
        <sz val="10"/>
        <rFont val="Arial MT"/>
        <family val="2"/>
      </rPr>
      <t>MANTENIMIENTO Y REPARACIONES</t>
    </r>
  </si>
  <si>
    <r>
      <rPr>
        <sz val="10"/>
        <rFont val="Arial MT"/>
        <family val="2"/>
      </rPr>
      <t>ADECUACIÓN E INSTALACIÓN</t>
    </r>
  </si>
  <si>
    <r>
      <rPr>
        <sz val="10"/>
        <rFont val="Arial MT"/>
        <family val="2"/>
      </rPr>
      <t>Instalaciones eléctricas</t>
    </r>
  </si>
  <si>
    <r>
      <rPr>
        <sz val="10"/>
        <rFont val="Arial MT"/>
        <family val="2"/>
      </rPr>
      <t>Arreglos ornamentales</t>
    </r>
  </si>
  <si>
    <r>
      <rPr>
        <sz val="10"/>
        <rFont val="Arial MT"/>
        <family val="2"/>
      </rPr>
      <t>Reparaciones locativas</t>
    </r>
  </si>
  <si>
    <r>
      <rPr>
        <sz val="10"/>
        <rFont val="Arial MT"/>
        <family val="2"/>
      </rPr>
      <t>GASTOS DE VIAJE</t>
    </r>
  </si>
  <si>
    <r>
      <rPr>
        <sz val="10"/>
        <rFont val="Arial MT"/>
        <family val="2"/>
      </rPr>
      <t>Alojamiento y manutención</t>
    </r>
  </si>
  <si>
    <r>
      <rPr>
        <sz val="10"/>
        <rFont val="Arial MT"/>
        <family val="2"/>
      </rPr>
      <t>Pasajes fluviales y/o marítimos</t>
    </r>
  </si>
  <si>
    <r>
      <rPr>
        <sz val="10"/>
        <rFont val="Arial MT"/>
        <family val="2"/>
      </rPr>
      <t>Pasajes aéreos</t>
    </r>
  </si>
  <si>
    <r>
      <rPr>
        <sz val="10"/>
        <rFont val="Arial MT"/>
        <family val="2"/>
      </rPr>
      <t>Pasajes terrestres</t>
    </r>
  </si>
  <si>
    <r>
      <rPr>
        <sz val="10"/>
        <rFont val="Arial MT"/>
        <family val="2"/>
      </rPr>
      <t>Pasajes férreos</t>
    </r>
  </si>
  <si>
    <r>
      <rPr>
        <sz val="10"/>
        <rFont val="Arial MT"/>
        <family val="2"/>
      </rPr>
      <t>DEPRECIACIONES</t>
    </r>
  </si>
  <si>
    <r>
      <rPr>
        <sz val="10"/>
        <rFont val="Arial MT"/>
        <family val="2"/>
      </rPr>
      <t>AMORTIZACIONES</t>
    </r>
  </si>
  <si>
    <r>
      <rPr>
        <sz val="10"/>
        <rFont val="Arial MT"/>
        <family val="2"/>
      </rPr>
      <t>Intangibles</t>
    </r>
  </si>
  <si>
    <r>
      <rPr>
        <sz val="10"/>
        <rFont val="Arial MT"/>
        <family val="2"/>
      </rPr>
      <t>Cargos diferidos</t>
    </r>
  </si>
  <si>
    <r>
      <rPr>
        <sz val="10"/>
        <rFont val="Arial MT"/>
        <family val="2"/>
      </rPr>
      <t>Música ambiental</t>
    </r>
  </si>
  <si>
    <r>
      <rPr>
        <sz val="10"/>
        <rFont val="Arial MT"/>
        <family val="2"/>
      </rPr>
      <t>Taxis y buses</t>
    </r>
  </si>
  <si>
    <r>
      <rPr>
        <sz val="10"/>
        <rFont val="Arial MT"/>
        <family val="2"/>
      </rPr>
      <t>Microfilmación</t>
    </r>
  </si>
  <si>
    <r>
      <rPr>
        <sz val="10"/>
        <rFont val="Arial MT"/>
        <family val="2"/>
      </rPr>
      <t>Casino y restaurante</t>
    </r>
  </si>
  <si>
    <r>
      <rPr>
        <sz val="10"/>
        <rFont val="Arial MT"/>
        <family val="2"/>
      </rPr>
      <t>Parqueaderos</t>
    </r>
  </si>
  <si>
    <r>
      <rPr>
        <sz val="10"/>
        <rFont val="Arial MT"/>
        <family val="2"/>
      </rPr>
      <t>Indemnización por daños a terceros</t>
    </r>
  </si>
  <si>
    <r>
      <rPr>
        <sz val="10"/>
        <rFont val="Arial MT"/>
        <family val="2"/>
      </rPr>
      <t>Pólvora y similares</t>
    </r>
  </si>
  <si>
    <r>
      <rPr>
        <sz val="10"/>
        <rFont val="Arial MT"/>
        <family val="2"/>
      </rPr>
      <t>OPERACIONALES DE VENTAS</t>
    </r>
  </si>
  <si>
    <r>
      <rPr>
        <sz val="10"/>
        <rFont val="Arial MT"/>
        <family val="2"/>
      </rPr>
      <t>Prima de Servicios</t>
    </r>
  </si>
  <si>
    <r>
      <rPr>
        <sz val="10"/>
        <rFont val="Arial MT"/>
        <family val="2"/>
      </rPr>
      <t>Auditoria externa</t>
    </r>
  </si>
  <si>
    <r>
      <rPr>
        <sz val="10"/>
        <rFont val="Arial MT"/>
        <family val="2"/>
      </rPr>
      <t>Avaluos</t>
    </r>
  </si>
  <si>
    <r>
      <rPr>
        <sz val="10"/>
        <rFont val="Arial MT"/>
        <family val="2"/>
      </rPr>
      <t>De espectáculos públicos</t>
    </r>
  </si>
  <si>
    <r>
      <rPr>
        <sz val="10"/>
        <rFont val="Arial MT"/>
        <family val="2"/>
      </rPr>
      <t>Licores</t>
    </r>
  </si>
  <si>
    <r>
      <rPr>
        <sz val="10"/>
        <rFont val="Arial MT"/>
        <family val="2"/>
      </rPr>
      <t>Cervezas</t>
    </r>
  </si>
  <si>
    <r>
      <rPr>
        <sz val="10"/>
        <rFont val="Arial MT"/>
        <family val="2"/>
      </rPr>
      <t>Cigarrillos</t>
    </r>
  </si>
  <si>
    <r>
      <rPr>
        <sz val="10"/>
        <rFont val="Arial MT"/>
        <family val="2"/>
      </rPr>
      <t>Publicidad, propaganda y promoción</t>
    </r>
  </si>
  <si>
    <r>
      <rPr>
        <sz val="10"/>
        <rFont val="Arial MT"/>
        <family val="2"/>
      </rPr>
      <t>FINANCIEROS-REAJUSTE DEL SISTEMA</t>
    </r>
  </si>
  <si>
    <r>
      <rPr>
        <sz val="10"/>
        <rFont val="Arial MT"/>
        <family val="2"/>
      </rPr>
      <t>PÉRDIDAS MÉTODO DE PARTICIPACIÓN</t>
    </r>
  </si>
  <si>
    <r>
      <rPr>
        <sz val="10"/>
        <rFont val="Arial MT"/>
        <family val="2"/>
      </rPr>
      <t>Gastos en negociac/n certificados de cambio</t>
    </r>
  </si>
  <si>
    <r>
      <rPr>
        <sz val="10"/>
        <rFont val="Arial MT"/>
        <family val="2"/>
      </rPr>
      <t>Gastos manejo y emisión de bonos</t>
    </r>
  </si>
  <si>
    <r>
      <rPr>
        <sz val="10"/>
        <rFont val="Arial MT"/>
        <family val="2"/>
      </rPr>
      <t>Prima amortizada</t>
    </r>
  </si>
  <si>
    <r>
      <rPr>
        <sz val="10"/>
        <rFont val="Arial MT"/>
        <family val="2"/>
      </rPr>
      <t>PÉRDIDA EN VENTA Y RETIRO DE BIENES</t>
    </r>
  </si>
  <si>
    <r>
      <rPr>
        <sz val="10"/>
        <rFont val="Arial MT"/>
        <family val="2"/>
      </rPr>
      <t>Venta de cartera</t>
    </r>
  </si>
  <si>
    <r>
      <rPr>
        <sz val="10"/>
        <rFont val="Arial MT"/>
        <family val="2"/>
      </rPr>
      <t>Venta de propiedades, planta y equipo</t>
    </r>
  </si>
  <si>
    <r>
      <rPr>
        <sz val="10"/>
        <rFont val="Arial MT"/>
        <family val="2"/>
      </rPr>
      <t>Venta de intangibles</t>
    </r>
  </si>
  <si>
    <r>
      <rPr>
        <sz val="10"/>
        <rFont val="Arial MT"/>
        <family val="2"/>
      </rPr>
      <t>Venta de otros activos</t>
    </r>
  </si>
  <si>
    <r>
      <rPr>
        <sz val="10"/>
        <rFont val="Arial MT"/>
        <family val="2"/>
      </rPr>
      <t>Retiro de propiedes, planta y equipo</t>
    </r>
  </si>
  <si>
    <r>
      <rPr>
        <sz val="10"/>
        <rFont val="Arial MT"/>
        <family val="2"/>
      </rPr>
      <t>Retiro de otros activos</t>
    </r>
  </si>
  <si>
    <r>
      <rPr>
        <sz val="10"/>
        <rFont val="Arial MT"/>
        <family val="2"/>
      </rPr>
      <t>Pérdidas por siniestros</t>
    </r>
  </si>
  <si>
    <r>
      <rPr>
        <sz val="10"/>
        <rFont val="Arial MT"/>
        <family val="2"/>
      </rPr>
      <t>GASTOS EXTRAORDINARIOS</t>
    </r>
  </si>
  <si>
    <r>
      <rPr>
        <sz val="10"/>
        <rFont val="Arial MT"/>
        <family val="2"/>
      </rPr>
      <t>Costas y procesos judiciales</t>
    </r>
  </si>
  <si>
    <r>
      <rPr>
        <sz val="10"/>
        <rFont val="Arial MT"/>
        <family val="2"/>
      </rPr>
      <t>Actividades culturales y cívicas</t>
    </r>
  </si>
  <si>
    <r>
      <rPr>
        <sz val="10"/>
        <rFont val="Arial MT"/>
        <family val="2"/>
      </rPr>
      <t>Costos y gastos de ejercicios anteriores</t>
    </r>
  </si>
  <si>
    <r>
      <rPr>
        <sz val="10"/>
        <rFont val="Arial MT"/>
        <family val="2"/>
      </rPr>
      <t>Impuestos asumidos</t>
    </r>
  </si>
  <si>
    <r>
      <rPr>
        <sz val="10"/>
        <rFont val="Arial MT"/>
        <family val="2"/>
      </rPr>
      <t>GASTOS DIVERSOS</t>
    </r>
  </si>
  <si>
    <r>
      <rPr>
        <sz val="10"/>
        <rFont val="Arial MT"/>
        <family val="2"/>
      </rPr>
      <t>Demandas laborales</t>
    </r>
  </si>
  <si>
    <r>
      <rPr>
        <sz val="10"/>
        <rFont val="Arial MT"/>
        <family val="2"/>
      </rPr>
      <t>Demandas por incumplimiento de contratos</t>
    </r>
  </si>
  <si>
    <r>
      <rPr>
        <sz val="10"/>
        <rFont val="Arial MT"/>
        <family val="2"/>
      </rPr>
      <t>Multas, sanciones y litigios</t>
    </r>
  </si>
  <si>
    <r>
      <rPr>
        <sz val="10"/>
        <rFont val="Arial MT"/>
        <family val="2"/>
      </rPr>
      <t>Donaciones</t>
    </r>
  </si>
  <si>
    <r>
      <rPr>
        <sz val="10"/>
        <rFont val="Arial MT"/>
        <family val="2"/>
      </rPr>
      <t>Constitución de garantías</t>
    </r>
  </si>
  <si>
    <r>
      <rPr>
        <sz val="10"/>
        <rFont val="Arial MT"/>
        <family val="2"/>
      </rPr>
      <t>Amortiz de bienes entregados en comodato</t>
    </r>
  </si>
  <si>
    <r>
      <rPr>
        <sz val="10"/>
        <rFont val="Arial MT"/>
        <family val="2"/>
      </rPr>
      <t>IMPUESTO DE RENTA Y COMPLEMENTARIOS</t>
    </r>
  </si>
  <si>
    <r>
      <rPr>
        <sz val="10"/>
        <rFont val="Arial MT"/>
        <family val="2"/>
      </rPr>
      <t>Impuesto de renta y complementarios</t>
    </r>
  </si>
  <si>
    <r>
      <rPr>
        <sz val="10"/>
        <rFont val="Arial MT"/>
        <family val="2"/>
      </rPr>
      <t>GANANCIAS Y PÉRDIDAS</t>
    </r>
  </si>
  <si>
    <r>
      <rPr>
        <sz val="10"/>
        <rFont val="Arial MT"/>
        <family val="2"/>
      </rPr>
      <t>Ganancias y pérdidas</t>
    </r>
  </si>
  <si>
    <r>
      <rPr>
        <sz val="10"/>
        <rFont val="Arial MT"/>
        <family val="2"/>
      </rPr>
      <t>COSTOS DE VENTAS</t>
    </r>
  </si>
  <si>
    <r>
      <rPr>
        <sz val="10"/>
        <rFont val="Arial MT"/>
        <family val="2"/>
      </rPr>
      <t>COSTO DE VENTAS Y DE PRESTACIÓN DE SERVI</t>
    </r>
  </si>
  <si>
    <r>
      <rPr>
        <sz val="10"/>
        <rFont val="Arial MT"/>
        <family val="2"/>
      </rPr>
      <t>COMPRAS</t>
    </r>
  </si>
  <si>
    <r>
      <rPr>
        <sz val="10"/>
        <rFont val="Arial MT"/>
        <family val="2"/>
      </rPr>
      <t>DE MERCANCÍAS</t>
    </r>
  </si>
  <si>
    <r>
      <rPr>
        <sz val="10"/>
        <rFont val="Arial MT"/>
        <family val="2"/>
      </rPr>
      <t>DE MATERIAS PRIMAS</t>
    </r>
  </si>
  <si>
    <r>
      <rPr>
        <sz val="10"/>
        <rFont val="Arial MT"/>
        <family val="2"/>
      </rPr>
      <t>DE MATERIALES INDIRECTOS</t>
    </r>
  </si>
  <si>
    <r>
      <rPr>
        <sz val="10"/>
        <rFont val="Arial MT"/>
        <family val="2"/>
      </rPr>
      <t>COMPRA DE ENERGÍA</t>
    </r>
  </si>
  <si>
    <r>
      <rPr>
        <sz val="10"/>
        <rFont val="Arial MT"/>
        <family val="2"/>
      </rPr>
      <t>DEVOLUCIONES EN COMPRAS (CR)</t>
    </r>
  </si>
  <si>
    <r>
      <rPr>
        <sz val="10"/>
        <rFont val="Arial MT"/>
        <family val="2"/>
      </rPr>
      <t>COSTOS DE PRODUCCIÓN O DE OPERACIÓN</t>
    </r>
  </si>
  <si>
    <r>
      <rPr>
        <sz val="10"/>
        <rFont val="Arial MT"/>
        <family val="2"/>
      </rPr>
      <t>MATERIA PRIMA</t>
    </r>
  </si>
  <si>
    <r>
      <rPr>
        <sz val="10"/>
        <rFont val="Arial MT"/>
        <family val="2"/>
      </rPr>
      <t>MANO DE OBRA DIRECTA</t>
    </r>
  </si>
  <si>
    <r>
      <rPr>
        <sz val="10"/>
        <rFont val="Arial MT"/>
        <family val="2"/>
      </rPr>
      <t>COSTOS INDIRECTOS</t>
    </r>
  </si>
  <si>
    <r>
      <rPr>
        <sz val="10"/>
        <rFont val="Arial MT"/>
        <family val="2"/>
      </rPr>
      <t>CONTRATOS DE SERVICIOS</t>
    </r>
  </si>
  <si>
    <t>Moneda extranjera</t>
  </si>
  <si>
    <t>Vacas</t>
  </si>
  <si>
    <t>AUX 2</t>
  </si>
  <si>
    <t>AUX 22</t>
  </si>
  <si>
    <t>AUX 3</t>
  </si>
  <si>
    <t>aux 1</t>
  </si>
  <si>
    <t>AUX 4</t>
  </si>
  <si>
    <t>AUX 5</t>
  </si>
  <si>
    <t>AUX 6</t>
  </si>
  <si>
    <t>AUX 7</t>
  </si>
  <si>
    <t>AUX 8</t>
  </si>
  <si>
    <t>lista desplegable 1</t>
  </si>
  <si>
    <t>lista desplegable 2</t>
  </si>
  <si>
    <t>lista desplegable 3</t>
  </si>
  <si>
    <t>lista desplegable 4</t>
  </si>
  <si>
    <t>lista desplegable 5</t>
  </si>
  <si>
    <t>lista desplegable 6</t>
  </si>
  <si>
    <t>lista desplegable 7</t>
  </si>
  <si>
    <t>lista desplegable 8</t>
  </si>
  <si>
    <t>AUX 9</t>
  </si>
  <si>
    <t>lista desplegable 9</t>
  </si>
  <si>
    <t>lista desplegable 10</t>
  </si>
  <si>
    <t>lista desplegable 11</t>
  </si>
  <si>
    <t>lista desplegable 12</t>
  </si>
  <si>
    <t>lista desplegable 13</t>
  </si>
  <si>
    <t>lista desplegable 14</t>
  </si>
  <si>
    <t>lista desplegable 15</t>
  </si>
  <si>
    <t>lista desplegable 16</t>
  </si>
  <si>
    <t>lista desplegable 17</t>
  </si>
  <si>
    <t>lista desplegable 18</t>
  </si>
  <si>
    <t>AUX 10</t>
  </si>
  <si>
    <t>AUX 11</t>
  </si>
  <si>
    <t>AUX 12</t>
  </si>
  <si>
    <t>AUX 13</t>
  </si>
  <si>
    <t>AUX 14</t>
  </si>
  <si>
    <t>AUX 15</t>
  </si>
  <si>
    <t>AUX 16</t>
  </si>
  <si>
    <t>AUX 17</t>
  </si>
  <si>
    <t>AUX 18</t>
  </si>
  <si>
    <t>AUX 19</t>
  </si>
  <si>
    <t>AUX 20</t>
  </si>
  <si>
    <t>AUX 21</t>
  </si>
  <si>
    <t>AUX 23</t>
  </si>
  <si>
    <t>AUX 24</t>
  </si>
  <si>
    <t>AUX 25</t>
  </si>
  <si>
    <t>AUX 26</t>
  </si>
  <si>
    <t>AUX 27</t>
  </si>
  <si>
    <t>AUX 28</t>
  </si>
  <si>
    <t>AUX 29</t>
  </si>
  <si>
    <t>AUX 30</t>
  </si>
  <si>
    <t>AUX 31</t>
  </si>
  <si>
    <t>F-COMPRA</t>
  </si>
  <si>
    <t>lista desplegable 19</t>
  </si>
  <si>
    <t>lista desplegable 20</t>
  </si>
  <si>
    <t>lista desplegable 21</t>
  </si>
  <si>
    <t>lista desplegable 22</t>
  </si>
  <si>
    <t>lista desplegable 23</t>
  </si>
  <si>
    <t>lista desplegable 24</t>
  </si>
  <si>
    <t>lista desplegable 25</t>
  </si>
  <si>
    <t>lista desplegable 26</t>
  </si>
  <si>
    <t>lista desplegable 27</t>
  </si>
  <si>
    <t>lista desplegable 28</t>
  </si>
  <si>
    <t>lista desplegable 29</t>
  </si>
  <si>
    <t>lista desplegable 30</t>
  </si>
  <si>
    <t>lista desplegable 31</t>
  </si>
  <si>
    <t>AUX 32</t>
  </si>
  <si>
    <t>lista desplegable 32</t>
  </si>
  <si>
    <t>F-VENTA</t>
  </si>
  <si>
    <t>PLAN UNICO DE CUENTAS.- PARA COMERCIANTES</t>
  </si>
  <si>
    <t>AUX 33</t>
  </si>
  <si>
    <t>AUX 34</t>
  </si>
  <si>
    <t>AUX 35</t>
  </si>
  <si>
    <t>AUX 36</t>
  </si>
  <si>
    <t>AUX 37</t>
  </si>
  <si>
    <t>AUX 38</t>
  </si>
  <si>
    <t>Comprobante de contabilidad</t>
  </si>
  <si>
    <t>lista desplegable 33</t>
  </si>
  <si>
    <t>lista desplegable 34</t>
  </si>
  <si>
    <t>lista desplegable 35</t>
  </si>
  <si>
    <t>lista desplegable 36</t>
  </si>
  <si>
    <t>lista desplegable 37</t>
  </si>
  <si>
    <t>lista desplegable 38</t>
  </si>
  <si>
    <t>COMPROBANTE DE CONTABILIDAD</t>
  </si>
  <si>
    <t>AUX 39</t>
  </si>
  <si>
    <t>AUX 40</t>
  </si>
  <si>
    <t>AUX 41</t>
  </si>
  <si>
    <t>AUX 42</t>
  </si>
  <si>
    <t>PAGOS</t>
  </si>
  <si>
    <t>lista desplegable 39</t>
  </si>
  <si>
    <t>lista desplegable 40</t>
  </si>
  <si>
    <t>lista desplegable 41</t>
  </si>
  <si>
    <t>lista desplegable 42</t>
  </si>
  <si>
    <t>D</t>
  </si>
  <si>
    <t>C</t>
  </si>
  <si>
    <t>F. V.</t>
  </si>
  <si>
    <t>ID Cliente</t>
  </si>
  <si>
    <t>ID Proveedor</t>
  </si>
  <si>
    <t>BASE DE DATOS CLIENTE</t>
  </si>
  <si>
    <t>CUENTA</t>
  </si>
  <si>
    <t>DESCRIPCIÓN</t>
  </si>
  <si>
    <t>CONTRAPARTIDA</t>
  </si>
  <si>
    <t>DEBE</t>
  </si>
  <si>
    <t>HABER</t>
  </si>
  <si>
    <t>AUX</t>
  </si>
  <si>
    <t>LISTA DESPLEGABLE</t>
  </si>
  <si>
    <t>aux</t>
  </si>
  <si>
    <t>CLIENTE. ID</t>
  </si>
  <si>
    <t>nombre cuenta</t>
  </si>
  <si>
    <t>ESTADO DE SITUACIÓN FINANCIERA</t>
  </si>
  <si>
    <t>Grupo</t>
  </si>
  <si>
    <t>cuenta</t>
  </si>
  <si>
    <t>subcuenta 2</t>
  </si>
  <si>
    <t>expresado en pesos colombianos</t>
  </si>
  <si>
    <t>Proveedores Nacionales</t>
  </si>
  <si>
    <t>Persona natural 10%</t>
  </si>
  <si>
    <t>NO DECLARANTES 6%</t>
  </si>
  <si>
    <t>COMPRAS 3,5% NO DECLARANTES</t>
  </si>
  <si>
    <t>COMPRAS 2,5% DECLARANTES</t>
  </si>
  <si>
    <t xml:space="preserve">EMOLUMENTOS ECLESIASTICOS </t>
  </si>
  <si>
    <t>RESULTADOS DEL EJERCICIO</t>
  </si>
  <si>
    <t>EXCEDENTES DEL EJERCICIO</t>
  </si>
  <si>
    <t>RESULTADOS DE EJERCICIOS ANTERIORES</t>
  </si>
  <si>
    <t>PERDIDAS ACUMULADAS</t>
  </si>
  <si>
    <t>SERVICIOS SOCIALES Y DE SALUD</t>
  </si>
  <si>
    <t>ACTIVIDADES DE SERVICIOS SOCIALES</t>
  </si>
  <si>
    <t>OFRENDAS GENERALES</t>
  </si>
  <si>
    <t>OFRENDAS ESPECIALES</t>
  </si>
  <si>
    <t>RECUPERACIONES</t>
  </si>
  <si>
    <t>REINTEGRO DE OTROS COSTOS Y GASTOS</t>
  </si>
  <si>
    <t>DIVERSOS</t>
  </si>
  <si>
    <t>AJUSTE AL PESO</t>
  </si>
  <si>
    <t>OTROS APROVECHAMIENTOS</t>
  </si>
  <si>
    <t>ASESORIAS CONTABLES Y FINANCIERAS</t>
  </si>
  <si>
    <t>Cafetería</t>
  </si>
  <si>
    <t>Elementos de aseo</t>
  </si>
  <si>
    <t>Retenes y Peajes</t>
  </si>
  <si>
    <t>AYUDA PUEBLO SIERVOS</t>
  </si>
  <si>
    <t>EVANGELISMO</t>
  </si>
  <si>
    <t>CUENTA PUENTE</t>
  </si>
  <si>
    <t>SALDOS INICIALES</t>
  </si>
  <si>
    <t>ORD</t>
  </si>
  <si>
    <t>Otras Ofrendas</t>
  </si>
  <si>
    <t>TOCAIMA</t>
  </si>
  <si>
    <t>CUNDINAMARCA</t>
  </si>
  <si>
    <t>Eliminado</t>
  </si>
  <si>
    <t>formatos borrados</t>
  </si>
  <si>
    <t>Identificador</t>
  </si>
  <si>
    <t>Idenficador</t>
  </si>
  <si>
    <t>TIPO</t>
  </si>
  <si>
    <t>Activo Corriente</t>
  </si>
  <si>
    <t>Activo No Corriente</t>
  </si>
  <si>
    <t>Pasivo Corriente</t>
  </si>
  <si>
    <t>Pasivo No Corriente</t>
  </si>
  <si>
    <t>tipo</t>
  </si>
  <si>
    <t>ESTADO DE RESULTADOS</t>
  </si>
  <si>
    <t>Patrimonio</t>
  </si>
  <si>
    <t>Efectivo y Equivalente al Efectivo</t>
  </si>
  <si>
    <t>Ingresos</t>
  </si>
  <si>
    <t>Gastos</t>
  </si>
  <si>
    <t>Costos</t>
  </si>
  <si>
    <t>CONCEPTO</t>
  </si>
  <si>
    <t>Tipo de Comp.</t>
  </si>
  <si>
    <t>Subcuenta3</t>
  </si>
  <si>
    <t>Grupo 2</t>
  </si>
  <si>
    <t>Cuenta2</t>
  </si>
  <si>
    <t xml:space="preserve"> DEBITO</t>
  </si>
  <si>
    <t xml:space="preserve"> CREDITO</t>
  </si>
  <si>
    <t>SUMAS IGUALES</t>
  </si>
  <si>
    <t>BALANCE DE COMPROBACIÓN</t>
  </si>
  <si>
    <t>UTILIDADES O PERDIDAS ACUMULADAS</t>
  </si>
  <si>
    <t>Comp.Cierre</t>
  </si>
  <si>
    <t>361505 EXCEDENTES DEL EJERCICIO</t>
  </si>
  <si>
    <t>59050501 Ganancias y pérdidas</t>
  </si>
  <si>
    <t>DIFERENCIA</t>
  </si>
  <si>
    <t>TOTAL</t>
  </si>
  <si>
    <t>0 0</t>
  </si>
  <si>
    <t>Banco 1</t>
  </si>
  <si>
    <t>Banco 2</t>
  </si>
  <si>
    <t>ajuste</t>
  </si>
  <si>
    <t>SALDO</t>
  </si>
  <si>
    <t>Conciliado</t>
  </si>
  <si>
    <t>saldo última conciliación</t>
  </si>
  <si>
    <t>ENTRADAS</t>
  </si>
  <si>
    <t>SALIDAS</t>
  </si>
  <si>
    <t>DESDE</t>
  </si>
  <si>
    <t>HASTA</t>
  </si>
  <si>
    <t>AÑOS A PRESENTAR</t>
  </si>
  <si>
    <t>NÚMERO</t>
  </si>
  <si>
    <t>FECHA</t>
  </si>
  <si>
    <t>PROVEEDOR</t>
  </si>
  <si>
    <t>CTA. BANCARIA</t>
  </si>
  <si>
    <t>MÉTODO DE PAGO</t>
  </si>
  <si>
    <t>FACTURAS PENDIENTES</t>
  </si>
  <si>
    <t>AUX 43</t>
  </si>
  <si>
    <t>lista desplegable 43</t>
  </si>
  <si>
    <t>MÉDOTOS DE PAGO</t>
  </si>
  <si>
    <t>TRANSFERENCIA</t>
  </si>
  <si>
    <t>EFECTIVO</t>
  </si>
  <si>
    <t>CHEQUE</t>
  </si>
  <si>
    <t>CONSIGNACIÓN</t>
  </si>
  <si>
    <t>NÚMERO DE FACT.</t>
  </si>
  <si>
    <t>VR. DE FACTURA</t>
  </si>
  <si>
    <t>VR. PAGADO</t>
  </si>
  <si>
    <t>ESTADO</t>
  </si>
  <si>
    <t>MERCANCÍAS DETAL</t>
  </si>
  <si>
    <t>CONCILIACIÓN</t>
  </si>
  <si>
    <t>SALDO EXTRACTO</t>
  </si>
  <si>
    <t>Contra partida de la factura</t>
  </si>
  <si>
    <t>57-1</t>
  </si>
  <si>
    <t>57-2</t>
  </si>
  <si>
    <t>57-3</t>
  </si>
  <si>
    <t>PROV</t>
  </si>
  <si>
    <t>PEPITO</t>
  </si>
  <si>
    <t>JUANITO</t>
  </si>
  <si>
    <t>55-134567UI@100-2362626</t>
  </si>
  <si>
    <t>NUMERO PAGO</t>
  </si>
  <si>
    <t>identificador de la última línea de la factura</t>
  </si>
  <si>
    <t>Idea:</t>
  </si>
  <si>
    <t>La idea es que primero añada las columnas de la parte derecha con título "NUMERO DE PAGO"</t>
  </si>
  <si>
    <t>y valor por pagar en la base de datos de la contabilidad, en la primera columna que nombre cuando grabe la macro</t>
  </si>
  <si>
    <t>para guardar el pago de la contabilidad lo va a hacer como en el ejemplo que resalté en verde</t>
  </si>
  <si>
    <t>y se coloca es el identificador de la última línea de los registros que termina en 5, esto es para que</t>
  </si>
  <si>
    <t>como lo ve en el ejemplo los pagos afecten la contra partida y no cualquier otra línea que aparece en el ejemplo</t>
  </si>
  <si>
    <t>La idea de la segunda columna es que con la formula que está allí muestre el saldo que falta por pagar</t>
  </si>
  <si>
    <t>de la factura que aún no se ha pagado, todo esto es con el fin de que los pagos se dirijan a facturas en especifico</t>
  </si>
  <si>
    <t>y no en general porque entonces no se va a saber de verdad si todía se debe "x" factura o no</t>
  </si>
  <si>
    <t>Las columnas en amarillo de la parte izquierda tienen que ir ocultas, en la columna "por pagar" la idea era que ahí apareciera</t>
  </si>
  <si>
    <t>la información de la columna nueva que está sombreada en azul que se llama "Valor por pagar" esto lo puede hacer</t>
  </si>
  <si>
    <t>con buscarx</t>
  </si>
  <si>
    <t>CLIENTE 1</t>
  </si>
  <si>
    <t>San jacinto</t>
  </si>
  <si>
    <t>johan</t>
  </si>
  <si>
    <t>ospina</t>
  </si>
  <si>
    <t>girardot</t>
  </si>
  <si>
    <t>cundinamarca</t>
  </si>
  <si>
    <t>Valentina</t>
  </si>
  <si>
    <t>Ramirez</t>
  </si>
  <si>
    <t>Identificador de transacción</t>
  </si>
  <si>
    <t>7888-3</t>
  </si>
  <si>
    <t>7888-2</t>
  </si>
  <si>
    <t>7888-1</t>
  </si>
  <si>
    <t>Colum Aux para Estado</t>
  </si>
  <si>
    <t>58-1</t>
  </si>
  <si>
    <t>58-2</t>
  </si>
  <si>
    <t>58-3</t>
  </si>
  <si>
    <t>59-1</t>
  </si>
  <si>
    <t>59-2</t>
  </si>
  <si>
    <t>59-3</t>
  </si>
  <si>
    <t>Estado de pago</t>
  </si>
  <si>
    <t>Colum. Aux. Estado</t>
  </si>
  <si>
    <t>Número pago</t>
  </si>
  <si>
    <t>AÑO 2025</t>
  </si>
  <si>
    <t>Dep. Año 2025</t>
  </si>
  <si>
    <t>AÑO 2026</t>
  </si>
  <si>
    <t>Dep. Año 2026</t>
  </si>
  <si>
    <t>AÑO 2027</t>
  </si>
  <si>
    <t>Dep. Año 2027</t>
  </si>
  <si>
    <t>Depreciación Acumulada</t>
  </si>
  <si>
    <t>Saldos Activos Fijos</t>
  </si>
  <si>
    <t>Fecha de Adq.</t>
  </si>
  <si>
    <t>Fecha final</t>
  </si>
  <si>
    <t>Costo</t>
  </si>
  <si>
    <t>Vida Util (Años)</t>
  </si>
  <si>
    <t>Dep. Anual</t>
  </si>
  <si>
    <t>Dep. Mensual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</si>
  <si>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</si>
  <si>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</si>
  <si>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</si>
  <si>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</si>
  <si>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</si>
  <si>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</si>
  <si>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</si>
  <si>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</si>
  <si>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</si>
  <si>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</si>
  <si>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</si>
  <si>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</si>
  <si>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29/02/2026</t>
  </si>
  <si>
    <t>TOTALES</t>
  </si>
  <si>
    <t>DEPRECIACIÓN</t>
  </si>
  <si>
    <t>Nivel</t>
  </si>
  <si>
    <t>Naturaleza</t>
  </si>
  <si>
    <t>Número de pago</t>
  </si>
  <si>
    <t>Elaborado por</t>
  </si>
  <si>
    <t>BASE DE DATOS DE REGISTROS</t>
  </si>
  <si>
    <t>NUEVA FACTURA DE COMPRA</t>
  </si>
  <si>
    <t>Notas</t>
  </si>
  <si>
    <t>NOTAS</t>
  </si>
  <si>
    <t>NOMBRE</t>
  </si>
  <si>
    <t>DIRECCIÓN</t>
  </si>
  <si>
    <t>IVA</t>
  </si>
  <si>
    <t>CÓDIGO</t>
  </si>
  <si>
    <t>PRODUCTO</t>
  </si>
  <si>
    <t>CATEGORÍA</t>
  </si>
  <si>
    <t>ALMACEN</t>
  </si>
  <si>
    <t>UND</t>
  </si>
  <si>
    <t>NÚMERO DE COMPROBANTE</t>
  </si>
  <si>
    <t>COSTO UNITARIO</t>
  </si>
  <si>
    <t>COSTO TOTAL</t>
  </si>
  <si>
    <t>TIPO DE MOVIMIENTO</t>
  </si>
  <si>
    <t>STOCK MÍNIMO</t>
  </si>
  <si>
    <t>TIPO FACTURA</t>
  </si>
  <si>
    <t>Entrada</t>
  </si>
  <si>
    <t>Salida</t>
  </si>
  <si>
    <t>AUX 152</t>
  </si>
  <si>
    <t>AUX 153</t>
  </si>
  <si>
    <t>AUX 154</t>
  </si>
  <si>
    <t>AUX 155</t>
  </si>
  <si>
    <t>AUX 156</t>
  </si>
  <si>
    <t>AUX 157</t>
  </si>
  <si>
    <t>AUX 158</t>
  </si>
  <si>
    <t>Ajuste (+)</t>
  </si>
  <si>
    <t>Ajuste (-)</t>
  </si>
  <si>
    <t>CATEGORÍAS</t>
  </si>
  <si>
    <t>MERCANCÍAS</t>
  </si>
  <si>
    <t>ALMACENES ASIGNADOS</t>
  </si>
  <si>
    <t>MOVIMIENTO EN (UND)</t>
  </si>
  <si>
    <t>MOVIMIENTO EN (VR)</t>
  </si>
  <si>
    <t>ALMACÉN</t>
  </si>
  <si>
    <t>UND. DE MEDIDA</t>
  </si>
  <si>
    <t>STOCK ACTUAL</t>
  </si>
  <si>
    <t>COSTO UND. ACTUAL</t>
  </si>
  <si>
    <t>TOTAL ACTUAL</t>
  </si>
  <si>
    <t>.</t>
  </si>
  <si>
    <t>status</t>
  </si>
  <si>
    <t>BASE DE DATOS DE INVENTARIO - PRODUCTOS</t>
  </si>
  <si>
    <t>BASE DE DATOS DE INVENTARIO - MOVIMIENTO</t>
  </si>
  <si>
    <t>Zapatos</t>
  </si>
  <si>
    <t>Caballero</t>
  </si>
  <si>
    <t>Principal</t>
  </si>
  <si>
    <t>und.</t>
  </si>
  <si>
    <t>Categoría</t>
  </si>
  <si>
    <t>Almacén</t>
  </si>
  <si>
    <t>Tipo de Mov. Inv.</t>
  </si>
  <si>
    <t>Proveedor. ID</t>
  </si>
  <si>
    <t>NUEVA FACTURA DE VENTA</t>
  </si>
  <si>
    <t>Total a cobrar</t>
  </si>
  <si>
    <t>Impuestos</t>
  </si>
  <si>
    <t>IVA-19%</t>
  </si>
  <si>
    <t>IVA-5%</t>
  </si>
  <si>
    <t>INC-8%</t>
  </si>
  <si>
    <t>INC-4%</t>
  </si>
  <si>
    <t>INC-16%</t>
  </si>
  <si>
    <t>CTA. DEL IVA</t>
  </si>
  <si>
    <t>INFORMACIÓN DE LA EMPRESA</t>
  </si>
  <si>
    <t>RESPONSABILIDADES TRIBUTARIAS</t>
  </si>
  <si>
    <t>RENTA JUR-35%</t>
  </si>
  <si>
    <t>RENTA NAT</t>
  </si>
  <si>
    <t>RESPONSABILIDAD</t>
  </si>
  <si>
    <t>RAZÓN SOCIAL</t>
  </si>
  <si>
    <t>IDENTIFICACIÓN</t>
  </si>
  <si>
    <t>DV</t>
  </si>
  <si>
    <t>Subtotal</t>
  </si>
  <si>
    <t>ESTADO DEL IVA</t>
  </si>
  <si>
    <t>INC - Restaurantes</t>
  </si>
  <si>
    <t>IMPUESTO NACIONAL AL CONSUMO</t>
  </si>
  <si>
    <t>CTA. DEL INC</t>
  </si>
  <si>
    <t>N° de factura/Pago</t>
  </si>
  <si>
    <t>Sumas iguales</t>
  </si>
  <si>
    <t>TIPO DE DOCUMENTO:</t>
  </si>
  <si>
    <t># DE  DOCUMENTO</t>
  </si>
  <si>
    <t>Razón social</t>
  </si>
  <si>
    <t>CLIENTE</t>
  </si>
  <si>
    <t>NIT CLIENTE</t>
  </si>
  <si>
    <t>Precio</t>
  </si>
  <si>
    <t>Producto</t>
  </si>
  <si>
    <t>AUX1</t>
  </si>
  <si>
    <t>AUX2</t>
  </si>
  <si>
    <t>AUX3</t>
  </si>
  <si>
    <t>AUX4</t>
  </si>
  <si>
    <t>AUX5</t>
  </si>
  <si>
    <t>AUX6</t>
  </si>
  <si>
    <t>AUX7</t>
  </si>
  <si>
    <t>AUX8</t>
  </si>
  <si>
    <t>AUX9</t>
  </si>
  <si>
    <t>AUX10</t>
  </si>
  <si>
    <t>AUX11</t>
  </si>
  <si>
    <t>AUX12</t>
  </si>
  <si>
    <t>AUX13</t>
  </si>
  <si>
    <t>AUX14</t>
  </si>
  <si>
    <t>AUX15</t>
  </si>
  <si>
    <t>AUX16</t>
  </si>
  <si>
    <t>AUX17</t>
  </si>
  <si>
    <t>AUX18</t>
  </si>
  <si>
    <t>Lista desp. 1</t>
  </si>
  <si>
    <t>Lista desp. 2</t>
  </si>
  <si>
    <t>Lista desp. 3</t>
  </si>
  <si>
    <t>Lista desp. 4</t>
  </si>
  <si>
    <t>Lista desp. 5</t>
  </si>
  <si>
    <t>Lista desp. 6</t>
  </si>
  <si>
    <t>Lista desp. 7</t>
  </si>
  <si>
    <t>Lista desp. 8</t>
  </si>
  <si>
    <t>Lista desp. 9</t>
  </si>
  <si>
    <t>Lista desp. 10</t>
  </si>
  <si>
    <t>Lista desp. 11</t>
  </si>
  <si>
    <t>Lista desp. 12</t>
  </si>
  <si>
    <t>Lista desp. 13</t>
  </si>
  <si>
    <t>Lista desp. 14</t>
  </si>
  <si>
    <t>Lista desp. 15</t>
  </si>
  <si>
    <t>Lista desp. 16</t>
  </si>
  <si>
    <t>Lista desp. 17</t>
  </si>
  <si>
    <t>Lista desp. 18</t>
  </si>
  <si>
    <t>camisas</t>
  </si>
  <si>
    <t>PERSONA RESPONSABLE DE HACER LOS REGISTROS</t>
  </si>
  <si>
    <t>Nombre completo</t>
  </si>
  <si>
    <t>Vencimiento</t>
  </si>
  <si>
    <t>Tipo fact.</t>
  </si>
  <si>
    <t>VR. A PAGAR</t>
  </si>
  <si>
    <t>NÚMERO DE PAGO</t>
  </si>
  <si>
    <t>Estado</t>
  </si>
  <si>
    <t>DATO</t>
  </si>
  <si>
    <t>DEBITO</t>
  </si>
  <si>
    <t>NUEVO PAGO  /  COMPROBANTE DE EGRESO</t>
  </si>
  <si>
    <t>CREDITO</t>
  </si>
  <si>
    <t>IDENTIFICADOR DE PAGO</t>
  </si>
  <si>
    <t>E622552</t>
  </si>
  <si>
    <t>C12345</t>
  </si>
  <si>
    <t>E622552-camisas</t>
  </si>
  <si>
    <t>Comp. Egreso</t>
  </si>
  <si>
    <t>Comp. Ingreso</t>
  </si>
  <si>
    <t>Tipo comprobante</t>
  </si>
  <si>
    <t>identificador</t>
  </si>
  <si>
    <t>FACT. DEL PROVEEDOR</t>
  </si>
  <si>
    <t>IDENTIFICADOR FACT</t>
  </si>
  <si>
    <t>NUM PAGO</t>
  </si>
  <si>
    <t>EST. FACT</t>
  </si>
  <si>
    <t>PAGADO</t>
  </si>
  <si>
    <t>NO PAGADO</t>
  </si>
  <si>
    <t>VENCIMIENTO</t>
  </si>
  <si>
    <t>VR. FACT.</t>
  </si>
  <si>
    <t>cta. X pagar</t>
  </si>
  <si>
    <t>cta. X recaudar</t>
  </si>
  <si>
    <t>C12345-Zapatos</t>
  </si>
  <si>
    <t>PRECIO VTA UND.</t>
  </si>
  <si>
    <t>NUEVO RECAUDO  /  COMPROBANTE DE INGRESO</t>
  </si>
  <si>
    <t>FACT. DEL CLIENTE</t>
  </si>
  <si>
    <t>VR. RCAUDADO</t>
  </si>
  <si>
    <t>VR. A RECAUDAR</t>
  </si>
  <si>
    <t>VR. RECAUDADO</t>
  </si>
  <si>
    <t>F.C.</t>
  </si>
  <si>
    <t>F.V.</t>
  </si>
  <si>
    <t>Comp.Cont.</t>
  </si>
  <si>
    <t>Nota.Débito</t>
  </si>
  <si>
    <t>Nota.Crédito</t>
  </si>
  <si>
    <t>Comp.Depreciación</t>
  </si>
  <si>
    <t>Comp.Egreso</t>
  </si>
  <si>
    <t>Comp.Ingreso</t>
  </si>
  <si>
    <t>CONFIRMACIÓN</t>
  </si>
  <si>
    <t>VR unitario</t>
  </si>
  <si>
    <t>VR. Unitario</t>
  </si>
  <si>
    <t>BUSCAR RECAUDO  /  COMPROBANTE DE INGRESO</t>
  </si>
  <si>
    <t>BUSCAR PAGO  /  COMPROBANTE DE EGRESO</t>
  </si>
  <si>
    <t>CATEGORÍAS DE INVENTARIO</t>
  </si>
  <si>
    <t>MENU PRINCIPAL</t>
  </si>
  <si>
    <t>COMERCIO AL POR MAYOR Y AL POR MENOR</t>
  </si>
  <si>
    <t>Mantenimiento, reparación y lavado de vehículos automotores</t>
  </si>
  <si>
    <t>Venta de lubricantes, aditivos, llantas y lujos para automotores</t>
  </si>
  <si>
    <t>Venta de productos agropecuarios</t>
  </si>
  <si>
    <t>Venta de juegos, juguetes y artículos deportivos</t>
  </si>
  <si>
    <t>Venta de herramientas y artículos de ferretería</t>
  </si>
  <si>
    <t>Venta de químicos</t>
  </si>
  <si>
    <t>Venta de instrumentos musicales</t>
  </si>
  <si>
    <t>Venta de otros productos</t>
  </si>
  <si>
    <t>Venta de productos textiles, de vestir, de cuero y calzado</t>
  </si>
  <si>
    <t>Venta de Alimentos, bebidas y almuerzos</t>
  </si>
  <si>
    <t>Numeración</t>
  </si>
  <si>
    <t>NUEVO COMPROBANTE CONTABLE</t>
  </si>
  <si>
    <t>TERCERO</t>
  </si>
  <si>
    <t>aux2</t>
  </si>
  <si>
    <t>AUX 372</t>
  </si>
  <si>
    <t>AUX 373</t>
  </si>
  <si>
    <t>AUX 374</t>
  </si>
  <si>
    <t>AUX 375</t>
  </si>
  <si>
    <t>Diferencia</t>
  </si>
  <si>
    <t>proveedor</t>
  </si>
  <si>
    <t>cliente</t>
  </si>
  <si>
    <t>INVENTARIOS</t>
  </si>
  <si>
    <t>COMPRAS</t>
  </si>
  <si>
    <t>VENTAS</t>
  </si>
  <si>
    <t>REPORTES</t>
  </si>
  <si>
    <t>AUX19</t>
  </si>
  <si>
    <t>AUX20</t>
  </si>
  <si>
    <t>Lista desp. 19</t>
  </si>
  <si>
    <t>Lista desp. 20</t>
  </si>
  <si>
    <t>CAMISAS QUE SE PAGARON EN 50%</t>
  </si>
  <si>
    <t>656565F.C.656564-1</t>
  </si>
  <si>
    <t>656565F.C.656564-2</t>
  </si>
  <si>
    <t>656565F.C.656564-3</t>
  </si>
  <si>
    <t>656565F.C.656564-4</t>
  </si>
  <si>
    <t>656565F.C.656564-5</t>
  </si>
  <si>
    <t>656565F.C.656564-6</t>
  </si>
  <si>
    <t>656565F.C.656564-7</t>
  </si>
  <si>
    <t>656565F.C.656564-8</t>
  </si>
  <si>
    <t>656565F.C.656564-9</t>
  </si>
  <si>
    <t>656565F.C.656564-10</t>
  </si>
  <si>
    <t>656565F.C.656564-11</t>
  </si>
  <si>
    <t/>
  </si>
  <si>
    <t>Responsable no especificado</t>
  </si>
  <si>
    <t>SE PAGO EL 70%</t>
  </si>
  <si>
    <t>546565F.C.895262-1</t>
  </si>
  <si>
    <t>546565F.C.895262-2</t>
  </si>
  <si>
    <t>546565F.C.895262-3</t>
  </si>
  <si>
    <t>546565F.C.895262-4</t>
  </si>
  <si>
    <t>546565F.C.895262-5</t>
  </si>
  <si>
    <t>546565F.C.895262-6</t>
  </si>
  <si>
    <t>546565F.C.895262-7</t>
  </si>
  <si>
    <t>546565F.C.895262-8</t>
  </si>
  <si>
    <t>546565F.C.895262-9</t>
  </si>
  <si>
    <t>546565F.C.895262-10</t>
  </si>
  <si>
    <t>546565F.C.895262-11</t>
  </si>
  <si>
    <t>Almacen</t>
  </si>
  <si>
    <t>Tipo de movimiento</t>
  </si>
  <si>
    <t>SE PAGÓ EL 30%</t>
  </si>
  <si>
    <t>546565F.C.9696955-1</t>
  </si>
  <si>
    <t>546565F.C.9696955-2</t>
  </si>
  <si>
    <t>546565F.C.9696955-3</t>
  </si>
  <si>
    <t>546565F.C.9696955-4</t>
  </si>
  <si>
    <t>546565F.C.9696955-5</t>
  </si>
  <si>
    <t>546565F.C.9696955-6</t>
  </si>
  <si>
    <t>546565F.C.9696955-7</t>
  </si>
  <si>
    <t>546565F.C.9696955-8</t>
  </si>
  <si>
    <t>546565F.C.9696955-9</t>
  </si>
  <si>
    <t>546565F.C.9696955-10</t>
  </si>
  <si>
    <t>546565F.C.9696955-11</t>
  </si>
  <si>
    <t>F.C.-1</t>
  </si>
  <si>
    <t>F.C.-2</t>
  </si>
  <si>
    <t>F.C.-3</t>
  </si>
  <si>
    <t>F.C.-4</t>
  </si>
  <si>
    <t>F.C.-5</t>
  </si>
  <si>
    <t>F.C.-6</t>
  </si>
  <si>
    <t>F.C.-7</t>
  </si>
  <si>
    <t>F.C.-8</t>
  </si>
  <si>
    <t>F.C.-9</t>
  </si>
  <si>
    <t>F.C.-10</t>
  </si>
  <si>
    <t>F.C.-11</t>
  </si>
  <si>
    <t>SE PAGÓ 100%</t>
  </si>
  <si>
    <t>656565F.C.763524-1</t>
  </si>
  <si>
    <t>656565F.C.763524-2</t>
  </si>
  <si>
    <t>656565F.C.763524-3</t>
  </si>
  <si>
    <t>656565F.C.763524-4</t>
  </si>
  <si>
    <t>656565F.C.763524-5</t>
  </si>
  <si>
    <t>656565F.C.763524-6</t>
  </si>
  <si>
    <t>656565F.C.763524-7</t>
  </si>
  <si>
    <t>656565F.C.763524-8</t>
  </si>
  <si>
    <t>656565F.C.763524-9</t>
  </si>
  <si>
    <t>656565F.C.763524-10</t>
  </si>
  <si>
    <t>656565F.C.763524-11</t>
  </si>
  <si>
    <t>HONORARIOR</t>
  </si>
  <si>
    <t>DE CONTADO</t>
  </si>
  <si>
    <t>656565F.C.236599-1</t>
  </si>
  <si>
    <t>656565F.C.236599-2</t>
  </si>
  <si>
    <t>656565F.C.236599-3</t>
  </si>
  <si>
    <t>656565F.C.236599-4</t>
  </si>
  <si>
    <t>656565F.C.236599-5</t>
  </si>
  <si>
    <t>656565F.C.236599-6</t>
  </si>
  <si>
    <t>656565F.C.236599-7</t>
  </si>
  <si>
    <t>656565F.C.236599-8</t>
  </si>
  <si>
    <t>656565F.C.236599-9</t>
  </si>
  <si>
    <t>656565F.C.236599-10</t>
  </si>
  <si>
    <t>656565F.C.236599-11</t>
  </si>
  <si>
    <t>cuenta contable</t>
  </si>
  <si>
    <t>vr. Unitario</t>
  </si>
  <si>
    <t>vr. Total</t>
  </si>
  <si>
    <t>subcuenta</t>
  </si>
  <si>
    <t>COSTOS DE LAS VENTAS</t>
  </si>
  <si>
    <t>Costos de las ventas</t>
  </si>
  <si>
    <t>4656566F. V.1-1</t>
  </si>
  <si>
    <t>4656566F. V.1-2</t>
  </si>
  <si>
    <t>4656566F. V.1-3</t>
  </si>
  <si>
    <t>4656566F. V.1-4</t>
  </si>
  <si>
    <t>4656566F. V.1-5</t>
  </si>
  <si>
    <t>4656566F. V.1-6</t>
  </si>
  <si>
    <t>4656566F. V.1-7</t>
  </si>
  <si>
    <t>4656566F. V.1-8</t>
  </si>
  <si>
    <t>4656566F. V.1-9</t>
  </si>
  <si>
    <t>4656566F. V.1-10</t>
  </si>
  <si>
    <t>4656566F. V.1-IVA</t>
  </si>
  <si>
    <t>4656566F. V.1-INC</t>
  </si>
  <si>
    <t>4656566F. V.1-13</t>
  </si>
  <si>
    <t>4656566F. V.1-14</t>
  </si>
  <si>
    <t>4656566F. V.1-15</t>
  </si>
  <si>
    <t>4656566F. V.1-16</t>
  </si>
  <si>
    <t>4656566F. V.1-17</t>
  </si>
  <si>
    <t>4656566F. V.1-18</t>
  </si>
  <si>
    <t>4656566F. V.1-19</t>
  </si>
  <si>
    <t>4656566F. V.1-20</t>
  </si>
  <si>
    <t>4656566F. V.1-21</t>
  </si>
  <si>
    <t>4656566F. V.1-22</t>
  </si>
  <si>
    <t>4656566F. V.2-1</t>
  </si>
  <si>
    <t>4656566F. V.2-2</t>
  </si>
  <si>
    <t>4656566F. V.2-3</t>
  </si>
  <si>
    <t>4656566F. V.2-4</t>
  </si>
  <si>
    <t>4656566F. V.2-5</t>
  </si>
  <si>
    <t>4656566F. V.2-6</t>
  </si>
  <si>
    <t>4656566F. V.2-7</t>
  </si>
  <si>
    <t>4656566F. V.2-8</t>
  </si>
  <si>
    <t>4656566F. V.2-9</t>
  </si>
  <si>
    <t>4656566F. V.2-10</t>
  </si>
  <si>
    <t>4656566F. V.2-IVA</t>
  </si>
  <si>
    <t>4656566F. V.2-INC</t>
  </si>
  <si>
    <t>NO</t>
  </si>
  <si>
    <t>oscar colmenares</t>
  </si>
  <si>
    <t>Vendi de contado</t>
  </si>
  <si>
    <t>NOTA DE ENTREGA</t>
  </si>
  <si>
    <t>4656566F. V.3-1</t>
  </si>
  <si>
    <t>4656566F. V.3-2</t>
  </si>
  <si>
    <t>4656566F. V.3-3</t>
  </si>
  <si>
    <t>4656566F. V.3-4</t>
  </si>
  <si>
    <t>4656566F. V.3-5</t>
  </si>
  <si>
    <t>4656566F. V.3-6</t>
  </si>
  <si>
    <t>4656566F. V.3-7</t>
  </si>
  <si>
    <t>4656566F. V.3-8</t>
  </si>
  <si>
    <t>4656566F. V.3-9</t>
  </si>
  <si>
    <t>4656566F. V.3-10</t>
  </si>
  <si>
    <t>4656566F. V.3-IVA</t>
  </si>
  <si>
    <t>4656566F. V.3-INC</t>
  </si>
  <si>
    <t>4656566F. V.3-13</t>
  </si>
  <si>
    <t>4656566F. V.3-14</t>
  </si>
  <si>
    <t>4656566F. V.3-15</t>
  </si>
  <si>
    <t>4656566F. V.3-16</t>
  </si>
  <si>
    <t>4656566F. V.3-17</t>
  </si>
  <si>
    <t>4656566F. V.3-18</t>
  </si>
  <si>
    <t>4656566F. V.3-19</t>
  </si>
  <si>
    <t>4656566F. V.3-20</t>
  </si>
  <si>
    <t>4656566F. V.3-21</t>
  </si>
  <si>
    <t>4656566F. V.3-22</t>
  </si>
  <si>
    <t>Se recaudó el 50% de la fact.</t>
  </si>
  <si>
    <t>4656566Comp. Ingreso232424-11</t>
  </si>
  <si>
    <t>4656566Comp. Ingreso232424-1</t>
  </si>
  <si>
    <t>4656566Comp. Ingreso232424-2</t>
  </si>
  <si>
    <t>4656566Comp. Ingreso232424-3</t>
  </si>
  <si>
    <t>4656566Comp. Ingreso232424-4</t>
  </si>
  <si>
    <t>4656566Comp. Ingreso232424-5</t>
  </si>
  <si>
    <t>4656566Comp. Ingreso232424-6</t>
  </si>
  <si>
    <t>4656566Comp. Ingreso232424-7</t>
  </si>
  <si>
    <t>4656566Comp. Ingreso232424-8</t>
  </si>
  <si>
    <t>4656566Comp. Ingreso232424-9</t>
  </si>
  <si>
    <t>4656566Comp. Ingreso232424-10</t>
  </si>
  <si>
    <t>Método de Pago</t>
  </si>
  <si>
    <t>Método de pago</t>
  </si>
  <si>
    <t>CTA Bancaria</t>
  </si>
  <si>
    <t>Cta. Bancaria</t>
  </si>
  <si>
    <t>4656566F. V.3</t>
  </si>
  <si>
    <t>VALIDACIÓN PARA FILTRAR ID DE PAGOS</t>
  </si>
  <si>
    <t>FACT. NO PAGADAS</t>
  </si>
  <si>
    <t>se pago el 50%</t>
  </si>
  <si>
    <t>Valentina455441Comp. Egreso-11</t>
  </si>
  <si>
    <t>546565Comp. Egreso455441-1</t>
  </si>
  <si>
    <t>546565Comp. Egreso455441-2</t>
  </si>
  <si>
    <t>546565Comp. Egreso455441-3</t>
  </si>
  <si>
    <t>546565Comp. Egreso455441-4</t>
  </si>
  <si>
    <t>546565Comp. Egreso455441-5</t>
  </si>
  <si>
    <t>546565Comp. Egreso455441-6</t>
  </si>
  <si>
    <t>546565Comp. Egreso455441-7</t>
  </si>
  <si>
    <t>546565Comp. Egreso455441-8</t>
  </si>
  <si>
    <t>546565Comp. Egreso455441-9</t>
  </si>
  <si>
    <t>546565Comp. Egreso455441-10</t>
  </si>
  <si>
    <t>546565F.C.9696955</t>
  </si>
  <si>
    <t>Elaborado por:</t>
  </si>
  <si>
    <t>Pago del 50%</t>
  </si>
  <si>
    <t>546565Comp. Egreso564656-11</t>
  </si>
  <si>
    <t>546565Comp. Egreso564656-1</t>
  </si>
  <si>
    <t>546565Comp. Egreso564656-2</t>
  </si>
  <si>
    <t>546565Comp. Egreso564656-3</t>
  </si>
  <si>
    <t>546565Comp. Egreso564656-4</t>
  </si>
  <si>
    <t>546565Comp. Egreso564656-5</t>
  </si>
  <si>
    <t>546565Comp. Egreso564656-6</t>
  </si>
  <si>
    <t>546565Comp. Egreso564656-7</t>
  </si>
  <si>
    <t>546565Comp. Egreso564656-8</t>
  </si>
  <si>
    <t>546565Comp. Egreso564656-9</t>
  </si>
  <si>
    <t>546565Comp. Egreso564656-10</t>
  </si>
  <si>
    <t>111005 Banco 1</t>
  </si>
  <si>
    <t>Tocaima</t>
  </si>
  <si>
    <t>Capital</t>
  </si>
  <si>
    <t>310505 Capital autorizado</t>
  </si>
  <si>
    <t>capital</t>
  </si>
  <si>
    <t>310510 Capital por suscribir (DB)</t>
  </si>
  <si>
    <t>Comp.Cont.1-1</t>
  </si>
  <si>
    <t>Comp.Cont.1-2</t>
  </si>
  <si>
    <t>Comp.Cont.1-3</t>
  </si>
  <si>
    <t>Comp.Cont.1-4</t>
  </si>
  <si>
    <t>Comp.Cont.1-5</t>
  </si>
  <si>
    <t>Comp.Cont.1-6</t>
  </si>
  <si>
    <t>Comp.Cont.1-7</t>
  </si>
  <si>
    <t>Comp.Cont.1-8</t>
  </si>
  <si>
    <t>Comp.Cont.1-9</t>
  </si>
  <si>
    <t>Comp.Cont.1-10</t>
  </si>
  <si>
    <t>Comp.Cont.2-1</t>
  </si>
  <si>
    <t>Comp.Cont.2-2</t>
  </si>
  <si>
    <t>Comp.Cont.2-3</t>
  </si>
  <si>
    <t>Comp.Cont.2-4</t>
  </si>
  <si>
    <t>Comp.Cont.2-5</t>
  </si>
  <si>
    <t>Comp.Cont.2-6</t>
  </si>
  <si>
    <t>Comp.Cont.2-7</t>
  </si>
  <si>
    <t>Comp.Cont.2-8</t>
  </si>
  <si>
    <t>Comp.Cont.2-9</t>
  </si>
  <si>
    <t>Comp.Cont.2-10</t>
  </si>
  <si>
    <t>Pago de acciones</t>
  </si>
  <si>
    <t>saldo conciliación</t>
  </si>
  <si>
    <t>Saldo inicial libro mayor</t>
  </si>
  <si>
    <t>Desembolsos en efectivo</t>
  </si>
  <si>
    <t>Entradas en efectivo</t>
  </si>
  <si>
    <t>Saldo final libro mayor</t>
  </si>
  <si>
    <t>Saldo bancario final</t>
  </si>
  <si>
    <t>(-) Depositos en tránsito</t>
  </si>
  <si>
    <t>(+) Pagos no procesados</t>
  </si>
  <si>
    <t>Total diferencias no conciliadas</t>
  </si>
  <si>
    <t>Saldo final conciliación</t>
  </si>
  <si>
    <t>Etiquetas de fila</t>
  </si>
  <si>
    <t>Total general</t>
  </si>
  <si>
    <t>Ganancias y pérdidas</t>
  </si>
  <si>
    <t>Jornales</t>
  </si>
  <si>
    <t>Capital por suscribir (DB)</t>
  </si>
  <si>
    <t>Capital autorizado</t>
  </si>
  <si>
    <t>Nacionales</t>
  </si>
  <si>
    <t>IMPUESTO SOBRE LAS VENTAS POR PAGAR</t>
  </si>
  <si>
    <t>220505 Proveedores Nacionales</t>
  </si>
  <si>
    <t xml:space="preserve"> 0</t>
  </si>
  <si>
    <t>130505 Nacionales</t>
  </si>
  <si>
    <t>413524 Venta de productos textiles, de vestir, de cuero y calzado</t>
  </si>
  <si>
    <t>240805 IMPUESTO SOBRE LAS VENTAS POR PAGAR</t>
  </si>
  <si>
    <t>246505 INC - Restaurantes</t>
  </si>
  <si>
    <t>143505 MERCANCÍAS DETAL</t>
  </si>
  <si>
    <t>510512 Jornales</t>
  </si>
  <si>
    <t>Suma de Saldo</t>
  </si>
  <si>
    <t>Estado de resultados</t>
  </si>
  <si>
    <t>Marzo</t>
  </si>
  <si>
    <t>Utilidad Neta</t>
  </si>
  <si>
    <t>Utilidad antes de impuestos</t>
  </si>
  <si>
    <t>Impuesto de Renta</t>
  </si>
  <si>
    <t>IDENTIFICADOR</t>
  </si>
  <si>
    <t>11100545688</t>
  </si>
  <si>
    <t>Costos de Ventas</t>
  </si>
  <si>
    <t>610505 Costos de Ventas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</si>
</sst>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1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.00_);_(* \(#,##0.00\);_(* &quot;-&quot;??_);_(@_)"/>
    <numFmt numFmtId="165" formatCode="_-* #,##0.00\ _$_-;\-* #,##0.00\ _$_-;_-* &quot;-&quot;??\ _$_-;_-@_-"/>
    <numFmt numFmtId="166" formatCode="dd/mm/yyyy"/>
    <numFmt numFmtId="167" formatCode="_-* #,##0_-;\-* #,##0_-;_-* &quot;-&quot;??_-;_-@_-"/>
    <numFmt numFmtId="168" formatCode="#,##0.00;\(#,##0.00\)"/>
    <numFmt numFmtId="169" formatCode="m/d/yy"/>
    <numFmt numFmtId="170" formatCode="#,##0.00;\-#,##0.00;* ??"/>
    <numFmt numFmtId="171" formatCode="#,##0;\(#,##0\)"/>
    <numFmt numFmtId="172" formatCode="_(* #,##0_);_(* \(#,##0\);_(* &quot;-&quot;??_);_(@_)"/>
  </numFmts>
  <fonts count="49">
    <font>
      <sz val="8"/>
      <color theme="1"/>
      <name val="Tahoma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Tahoma"/>
      <family val="2"/>
    </font>
    <font>
      <b/>
      <sz val="12"/>
      <color theme="1"/>
      <name val="Tahoma"/>
      <family val="2"/>
    </font>
    <font>
      <sz val="8"/>
      <name val="Tahoma"/>
      <family val="2"/>
    </font>
    <font>
      <sz val="11"/>
      <color theme="1"/>
      <name val="Tahoma"/>
      <family val="2"/>
    </font>
    <font>
      <sz val="10"/>
      <color rgb="FF000000"/>
      <name val="Times New Roman"/>
      <family val="1"/>
    </font>
    <font>
      <sz val="10"/>
      <name val="Arial MT"/>
    </font>
    <font>
      <sz val="10"/>
      <name val="Arial MT"/>
      <family val="2"/>
    </font>
    <font>
      <sz val="10"/>
      <color rgb="FF000000"/>
      <name val="Arial MT"/>
      <family val="2"/>
    </font>
    <font>
      <b/>
      <sz val="12"/>
      <name val="Arial MT"/>
    </font>
    <font>
      <u/>
      <sz val="11"/>
      <color theme="10"/>
      <name val="Calibri"/>
      <family val="2"/>
      <scheme val="minor"/>
    </font>
    <font>
      <sz val="11"/>
      <color rgb="FF000000"/>
      <name val="Tahoma"/>
      <family val="2"/>
    </font>
    <font>
      <u/>
      <sz val="8"/>
      <color theme="10"/>
      <name val="Tahoma"/>
      <family val="2"/>
    </font>
    <font>
      <sz val="8"/>
      <color theme="1"/>
      <name val="Tahoma"/>
      <family val="2"/>
    </font>
    <font>
      <sz val="10"/>
      <color theme="1"/>
      <name val="Tahoma"/>
      <family val="2"/>
    </font>
    <font>
      <b/>
      <sz val="10"/>
      <color theme="1"/>
      <name val="Tahoma"/>
      <family val="2"/>
    </font>
    <font>
      <b/>
      <sz val="8"/>
      <color theme="1"/>
      <name val="Tahoma"/>
      <family val="2"/>
    </font>
    <font>
      <b/>
      <sz val="10"/>
      <color theme="0"/>
      <name val="Tahoma"/>
      <family val="2"/>
    </font>
    <font>
      <b/>
      <sz val="10"/>
      <color theme="3" tint="-0.249977111117893"/>
      <name val="Tahoma"/>
      <family val="2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theme="0"/>
      <name val="Tahoma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Arial"/>
      <family val="2"/>
    </font>
    <font>
      <b/>
      <sz val="11"/>
      <color theme="0"/>
      <name val="Arial"/>
      <family val="2"/>
    </font>
    <font>
      <sz val="11"/>
      <color theme="1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8.5"/>
      <color rgb="FF000000"/>
      <name val="Arial"/>
      <family val="2"/>
    </font>
    <font>
      <sz val="9"/>
      <color rgb="FF000000"/>
      <name val="Arial"/>
      <family val="2"/>
    </font>
    <font>
      <b/>
      <sz val="16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0"/>
      <name val="Arial MT"/>
    </font>
    <font>
      <b/>
      <sz val="11"/>
      <color theme="3" tint="-0.249977111117893"/>
      <name val="Tahoma"/>
      <family val="2"/>
    </font>
    <font>
      <b/>
      <sz val="18"/>
      <color theme="2"/>
      <name val="Tahoma"/>
      <family val="2"/>
    </font>
    <font>
      <b/>
      <sz val="11"/>
      <color theme="0"/>
      <name val="Tahoma"/>
      <family val="2"/>
    </font>
    <font>
      <b/>
      <sz val="14"/>
      <color theme="0"/>
      <name val="Tahoma"/>
      <family val="2"/>
    </font>
    <font>
      <sz val="11"/>
      <color theme="0"/>
      <name val="Tahoma"/>
      <family val="2"/>
    </font>
    <font>
      <b/>
      <sz val="18"/>
      <color theme="1"/>
      <name val="Calibri"/>
      <family val="2"/>
      <scheme val="minor"/>
    </font>
    <font>
      <b/>
      <sz val="14"/>
      <color theme="1"/>
      <name val="Tahoma"/>
      <family val="2"/>
    </font>
    <font>
      <b/>
      <sz val="11"/>
      <color theme="6" tint="-0.499984740745262"/>
      <name val="Tahoma"/>
      <family val="2"/>
    </font>
    <font>
      <i/>
      <sz val="11"/>
      <color theme="1"/>
      <name val="Tahoma"/>
      <family val="2"/>
    </font>
    <font>
      <b/>
      <sz val="16"/>
      <color theme="1"/>
      <name val="Tahoma"/>
      <family val="2"/>
    </font>
  </fonts>
  <fills count="16">
    <fill>
      <patternFill patternType="none"/>
    </fill>
    <fill>
      <patternFill patternType="gray125"/>
    </fill>
    <fill>
      <patternFill patternType="solid">
        <fgColor theme="6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</fills>
  <borders count="4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dashed">
        <color indexed="64"/>
      </right>
      <top/>
      <bottom/>
      <diagonal/>
    </border>
    <border>
      <left style="medium">
        <color theme="6" tint="-0.249977111117893"/>
      </left>
      <right style="medium">
        <color theme="6" tint="-0.249977111117893"/>
      </right>
      <top style="medium">
        <color theme="6" tint="-0.249977111117893"/>
      </top>
      <bottom style="medium">
        <color theme="6" tint="-0.249977111117893"/>
      </bottom>
      <diagonal/>
    </border>
    <border>
      <left style="medium">
        <color theme="6" tint="-0.249977111117893"/>
      </left>
      <right/>
      <top style="medium">
        <color theme="6" tint="-0.249977111117893"/>
      </top>
      <bottom/>
      <diagonal/>
    </border>
    <border>
      <left/>
      <right/>
      <top style="medium">
        <color theme="6" tint="-0.249977111117893"/>
      </top>
      <bottom/>
      <diagonal/>
    </border>
    <border>
      <left/>
      <right style="medium">
        <color theme="6" tint="-0.249977111117893"/>
      </right>
      <top style="medium">
        <color theme="6" tint="-0.249977111117893"/>
      </top>
      <bottom/>
      <diagonal/>
    </border>
    <border>
      <left style="medium">
        <color theme="6" tint="-0.249977111117893"/>
      </left>
      <right/>
      <top/>
      <bottom/>
      <diagonal/>
    </border>
    <border>
      <left/>
      <right style="medium">
        <color theme="6" tint="-0.249977111117893"/>
      </right>
      <top/>
      <bottom/>
      <diagonal/>
    </border>
    <border>
      <left style="medium">
        <color theme="6" tint="-0.249977111117893"/>
      </left>
      <right/>
      <top/>
      <bottom style="medium">
        <color theme="6" tint="-0.249977111117893"/>
      </bottom>
      <diagonal/>
    </border>
    <border>
      <left/>
      <right/>
      <top/>
      <bottom style="medium">
        <color theme="6" tint="-0.249977111117893"/>
      </bottom>
      <diagonal/>
    </border>
    <border>
      <left/>
      <right style="medium">
        <color theme="6" tint="-0.249977111117893"/>
      </right>
      <top/>
      <bottom style="medium">
        <color theme="6" tint="-0.249977111117893"/>
      </bottom>
      <diagonal/>
    </border>
    <border>
      <left style="medium">
        <color theme="6" tint="-0.249977111117893"/>
      </left>
      <right/>
      <top style="medium">
        <color theme="6" tint="-0.249977111117893"/>
      </top>
      <bottom style="medium">
        <color theme="6" tint="-0.249977111117893"/>
      </bottom>
      <diagonal/>
    </border>
    <border>
      <left/>
      <right/>
      <top style="medium">
        <color theme="6" tint="-0.249977111117893"/>
      </top>
      <bottom style="medium">
        <color theme="6" tint="-0.249977111117893"/>
      </bottom>
      <diagonal/>
    </border>
    <border>
      <left/>
      <right style="medium">
        <color theme="6" tint="-0.249977111117893"/>
      </right>
      <top style="medium">
        <color theme="6" tint="-0.249977111117893"/>
      </top>
      <bottom style="medium">
        <color theme="6" tint="-0.249977111117893"/>
      </bottom>
      <diagonal/>
    </border>
    <border>
      <left style="medium">
        <color theme="6" tint="-0.249977111117893"/>
      </left>
      <right style="medium">
        <color theme="0" tint="-0.499984740745262"/>
      </right>
      <top style="medium">
        <color theme="6" tint="-0.249977111117893"/>
      </top>
      <bottom style="medium">
        <color theme="6" tint="-0.249977111117893"/>
      </bottom>
      <diagonal/>
    </border>
    <border>
      <left style="medium">
        <color theme="0" tint="-0.499984740745262"/>
      </left>
      <right style="medium">
        <color theme="6" tint="-0.249977111117893"/>
      </right>
      <top style="medium">
        <color theme="6" tint="-0.249977111117893"/>
      </top>
      <bottom style="medium">
        <color theme="6" tint="-0.249977111117893"/>
      </bottom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/>
      <diagonal/>
    </border>
    <border>
      <left/>
      <right/>
      <top style="thin">
        <color theme="6" tint="-0.249977111117893"/>
      </top>
      <bottom/>
      <diagonal/>
    </border>
    <border>
      <left/>
      <right style="thin">
        <color theme="6" tint="-0.249977111117893"/>
      </right>
      <top style="thin">
        <color theme="6" tint="-0.249977111117893"/>
      </top>
      <bottom/>
      <diagonal/>
    </border>
    <border>
      <left style="thin">
        <color theme="6" tint="-0.249977111117893"/>
      </left>
      <right/>
      <top/>
      <bottom/>
      <diagonal/>
    </border>
    <border>
      <left/>
      <right style="thin">
        <color theme="6" tint="-0.249977111117893"/>
      </right>
      <top/>
      <bottom/>
      <diagonal/>
    </border>
    <border>
      <left style="thin">
        <color theme="6" tint="-0.249977111117893"/>
      </left>
      <right/>
      <top style="medium">
        <color theme="6" tint="-0.249977111117893"/>
      </top>
      <bottom/>
      <diagonal/>
    </border>
    <border>
      <left style="medium">
        <color theme="6" tint="-0.249977111117893"/>
      </left>
      <right style="thin">
        <color theme="6" tint="-0.249977111117893"/>
      </right>
      <top style="medium">
        <color theme="6" tint="-0.249977111117893"/>
      </top>
      <bottom style="medium">
        <color theme="6" tint="-0.249977111117893"/>
      </bottom>
      <diagonal/>
    </border>
    <border>
      <left style="thin">
        <color theme="6" tint="-0.249977111117893"/>
      </left>
      <right/>
      <top/>
      <bottom style="medium">
        <color theme="6" tint="-0.249977111117893"/>
      </bottom>
      <diagonal/>
    </border>
    <border>
      <left/>
      <right style="thin">
        <color theme="6" tint="-0.249977111117893"/>
      </right>
      <top style="medium">
        <color theme="6" tint="-0.249977111117893"/>
      </top>
      <bottom style="medium">
        <color theme="6" tint="-0.249977111117893"/>
      </bottom>
      <diagonal/>
    </border>
    <border>
      <left/>
      <right style="thin">
        <color theme="6" tint="-0.249977111117893"/>
      </right>
      <top style="medium">
        <color theme="6" tint="-0.249977111117893"/>
      </top>
      <bottom/>
      <diagonal/>
    </border>
    <border>
      <left style="thin">
        <color theme="6" tint="-0.249977111117893"/>
      </left>
      <right style="medium">
        <color theme="6" tint="-0.249977111117893"/>
      </right>
      <top style="medium">
        <color theme="6" tint="-0.249977111117893"/>
      </top>
      <bottom style="medium">
        <color theme="6" tint="-0.249977111117893"/>
      </bottom>
      <diagonal/>
    </border>
    <border>
      <left style="thin">
        <color theme="6" tint="-0.249977111117893"/>
      </left>
      <right/>
      <top/>
      <bottom style="thin">
        <color theme="6" tint="-0.249977111117893"/>
      </bottom>
      <diagonal/>
    </border>
    <border>
      <left/>
      <right/>
      <top/>
      <bottom style="thin">
        <color theme="6" tint="-0.249977111117893"/>
      </bottom>
      <diagonal/>
    </border>
    <border>
      <left/>
      <right style="thin">
        <color theme="6" tint="-0.249977111117893"/>
      </right>
      <top/>
      <bottom style="thin">
        <color theme="6" tint="-0.249977111117893"/>
      </bottom>
      <diagonal/>
    </border>
    <border>
      <left style="medium">
        <color theme="6" tint="-0.249977111117893"/>
      </left>
      <right style="thin">
        <color indexed="64"/>
      </right>
      <top style="medium">
        <color theme="6" tint="-0.249977111117893"/>
      </top>
      <bottom style="medium">
        <color theme="6" tint="-0.249977111117893"/>
      </bottom>
      <diagonal/>
    </border>
    <border>
      <left style="thin">
        <color indexed="64"/>
      </left>
      <right style="medium">
        <color theme="6" tint="-0.249977111117893"/>
      </right>
      <top style="medium">
        <color theme="6" tint="-0.249977111117893"/>
      </top>
      <bottom style="medium">
        <color theme="6" tint="-0.249977111117893"/>
      </bottom>
      <diagonal/>
    </border>
  </borders>
  <cellStyleXfs count="17">
    <xf numFmtId="0" fontId="0" fillId="0" borderId="0"/>
    <xf numFmtId="0" fontId="4" fillId="0" borderId="0"/>
    <xf numFmtId="165" fontId="9" fillId="0" borderId="0" applyFont="0" applyFill="0" applyBorder="0" applyAlignment="0" applyProtection="0"/>
    <xf numFmtId="0" fontId="9" fillId="0" borderId="0"/>
    <xf numFmtId="9" fontId="9" fillId="0" borderId="0" applyFont="0" applyFill="0" applyBorder="0" applyAlignment="0" applyProtection="0"/>
    <xf numFmtId="0" fontId="4" fillId="0" borderId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3" fillId="0" borderId="0"/>
    <xf numFmtId="0" fontId="14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16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2" fillId="0" borderId="0"/>
    <xf numFmtId="0" fontId="24" fillId="12" borderId="0" applyNumberFormat="0" applyBorder="0" applyAlignment="0" applyProtection="0"/>
  </cellStyleXfs>
  <cellXfs count="302">
    <xf numFmtId="0" fontId="0" fillId="0" borderId="0" xfId="0"/>
    <xf numFmtId="0" fontId="8" fillId="0" borderId="0" xfId="0" applyFont="1"/>
    <xf numFmtId="0" fontId="5" fillId="0" borderId="0" xfId="0" applyFont="1"/>
    <xf numFmtId="0" fontId="8" fillId="0" borderId="0" xfId="0" applyFont="1" applyAlignment="1">
      <alignment horizontal="center"/>
    </xf>
    <xf numFmtId="0" fontId="0" fillId="0" borderId="1" xfId="0" applyBorder="1" applyAlignment="1">
      <alignment horizontal="left" wrapText="1"/>
    </xf>
    <xf numFmtId="1" fontId="12" fillId="0" borderId="1" xfId="0" applyNumberFormat="1" applyFont="1" applyBorder="1" applyAlignment="1">
      <alignment horizontal="right" vertical="top" shrinkToFit="1"/>
    </xf>
    <xf numFmtId="0" fontId="10" fillId="0" borderId="1" xfId="0" applyFont="1" applyBorder="1" applyAlignment="1">
      <alignment horizontal="left" vertical="top"/>
    </xf>
    <xf numFmtId="1" fontId="12" fillId="0" borderId="4" xfId="0" applyNumberFormat="1" applyFont="1" applyBorder="1" applyAlignment="1">
      <alignment horizontal="left" vertical="top" shrinkToFit="1"/>
    </xf>
    <xf numFmtId="0" fontId="10" fillId="0" borderId="2" xfId="0" applyFont="1" applyBorder="1" applyAlignment="1">
      <alignment horizontal="left" vertical="top"/>
    </xf>
    <xf numFmtId="1" fontId="12" fillId="0" borderId="8" xfId="0" applyNumberFormat="1" applyFont="1" applyBorder="1" applyAlignment="1">
      <alignment horizontal="left" vertical="top" shrinkToFit="1"/>
    </xf>
    <xf numFmtId="0" fontId="10" fillId="0" borderId="9" xfId="0" applyFont="1" applyBorder="1" applyAlignment="1">
      <alignment horizontal="left" vertical="top"/>
    </xf>
    <xf numFmtId="1" fontId="12" fillId="0" borderId="9" xfId="0" applyNumberFormat="1" applyFont="1" applyBorder="1" applyAlignment="1">
      <alignment horizontal="right" vertical="top" shrinkToFit="1"/>
    </xf>
    <xf numFmtId="0" fontId="10" fillId="0" borderId="10" xfId="0" applyFont="1" applyBorder="1" applyAlignment="1">
      <alignment horizontal="left" vertical="top"/>
    </xf>
    <xf numFmtId="0" fontId="11" fillId="0" borderId="1" xfId="0" applyFont="1" applyBorder="1" applyAlignment="1">
      <alignment horizontal="left" vertical="top"/>
    </xf>
    <xf numFmtId="1" fontId="8" fillId="0" borderId="0" xfId="0" applyNumberFormat="1" applyFont="1"/>
    <xf numFmtId="0" fontId="10" fillId="0" borderId="0" xfId="0" applyFont="1" applyAlignment="1">
      <alignment horizontal="left" vertical="top"/>
    </xf>
    <xf numFmtId="0" fontId="8" fillId="0" borderId="0" xfId="0" applyFont="1" applyAlignment="1">
      <alignment vertical="center"/>
    </xf>
    <xf numFmtId="14" fontId="8" fillId="0" borderId="0" xfId="0" applyNumberFormat="1" applyFont="1"/>
    <xf numFmtId="0" fontId="5" fillId="0" borderId="0" xfId="0" applyFont="1" applyAlignment="1">
      <alignment vertical="top"/>
    </xf>
    <xf numFmtId="0" fontId="8" fillId="0" borderId="0" xfId="0" applyFont="1" applyAlignment="1">
      <alignment horizontal="center" vertical="center"/>
    </xf>
    <xf numFmtId="0" fontId="8" fillId="0" borderId="0" xfId="0" quotePrefix="1" applyFont="1"/>
    <xf numFmtId="18" fontId="8" fillId="0" borderId="0" xfId="0" applyNumberFormat="1" applyFont="1"/>
    <xf numFmtId="0" fontId="15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8" fillId="0" borderId="0" xfId="0" applyFont="1" applyAlignment="1">
      <alignment horizontal="left"/>
    </xf>
    <xf numFmtId="0" fontId="11" fillId="0" borderId="2" xfId="0" applyFont="1" applyBorder="1" applyAlignment="1">
      <alignment horizontal="left" vertical="top"/>
    </xf>
    <xf numFmtId="0" fontId="15" fillId="0" borderId="0" xfId="0" applyFont="1" applyAlignment="1">
      <alignment horizontal="center"/>
    </xf>
    <xf numFmtId="166" fontId="8" fillId="0" borderId="0" xfId="0" applyNumberFormat="1" applyFont="1"/>
    <xf numFmtId="0" fontId="16" fillId="0" borderId="0" xfId="12"/>
    <xf numFmtId="164" fontId="8" fillId="0" borderId="0" xfId="0" applyNumberFormat="1" applyFont="1"/>
    <xf numFmtId="14" fontId="8" fillId="0" borderId="0" xfId="0" applyNumberFormat="1" applyFont="1" applyAlignment="1">
      <alignment horizontal="center"/>
    </xf>
    <xf numFmtId="44" fontId="0" fillId="0" borderId="0" xfId="14" applyFont="1"/>
    <xf numFmtId="0" fontId="18" fillId="0" borderId="0" xfId="0" applyFont="1"/>
    <xf numFmtId="1" fontId="12" fillId="0" borderId="2" xfId="0" applyNumberFormat="1" applyFont="1" applyBorder="1" applyAlignment="1">
      <alignment horizontal="right" vertical="top" shrinkToFit="1"/>
    </xf>
    <xf numFmtId="1" fontId="12" fillId="0" borderId="10" xfId="0" applyNumberFormat="1" applyFont="1" applyBorder="1" applyAlignment="1">
      <alignment horizontal="right" vertical="top" shrinkToFit="1"/>
    </xf>
    <xf numFmtId="0" fontId="8" fillId="0" borderId="0" xfId="0" pivotButton="1" applyFont="1"/>
    <xf numFmtId="43" fontId="0" fillId="0" borderId="0" xfId="0" applyNumberFormat="1"/>
    <xf numFmtId="44" fontId="8" fillId="0" borderId="0" xfId="0" applyNumberFormat="1" applyFont="1"/>
    <xf numFmtId="0" fontId="5" fillId="0" borderId="13" xfId="0" applyFont="1" applyBorder="1"/>
    <xf numFmtId="44" fontId="5" fillId="0" borderId="14" xfId="0" applyNumberFormat="1" applyFont="1" applyBorder="1"/>
    <xf numFmtId="0" fontId="8" fillId="0" borderId="0" xfId="0" applyFont="1" applyAlignment="1">
      <alignment horizontal="right"/>
    </xf>
    <xf numFmtId="0" fontId="19" fillId="0" borderId="12" xfId="0" applyFont="1" applyBorder="1"/>
    <xf numFmtId="44" fontId="19" fillId="0" borderId="12" xfId="0" applyNumberFormat="1" applyFont="1" applyBorder="1"/>
    <xf numFmtId="14" fontId="0" fillId="0" borderId="0" xfId="0" applyNumberFormat="1"/>
    <xf numFmtId="14" fontId="0" fillId="0" borderId="12" xfId="0" applyNumberFormat="1" applyBorder="1"/>
    <xf numFmtId="0" fontId="0" fillId="0" borderId="12" xfId="0" applyBorder="1"/>
    <xf numFmtId="2" fontId="0" fillId="0" borderId="12" xfId="0" applyNumberFormat="1" applyBorder="1"/>
    <xf numFmtId="164" fontId="0" fillId="0" borderId="0" xfId="13" applyFont="1"/>
    <xf numFmtId="164" fontId="18" fillId="0" borderId="12" xfId="13" applyFont="1" applyFill="1" applyBorder="1" applyAlignment="1">
      <alignment vertical="center"/>
    </xf>
    <xf numFmtId="0" fontId="19" fillId="0" borderId="0" xfId="0" applyFont="1"/>
    <xf numFmtId="0" fontId="18" fillId="0" borderId="0" xfId="0" applyFont="1" applyAlignment="1">
      <alignment horizontal="center"/>
    </xf>
    <xf numFmtId="0" fontId="0" fillId="6" borderId="0" xfId="0" applyFill="1"/>
    <xf numFmtId="0" fontId="20" fillId="0" borderId="0" xfId="0" applyFont="1"/>
    <xf numFmtId="0" fontId="0" fillId="5" borderId="0" xfId="0" applyFill="1"/>
    <xf numFmtId="0" fontId="18" fillId="4" borderId="0" xfId="0" applyFont="1" applyFill="1" applyAlignment="1">
      <alignment horizontal="left"/>
    </xf>
    <xf numFmtId="0" fontId="0" fillId="4" borderId="0" xfId="0" applyFill="1" applyAlignment="1">
      <alignment wrapText="1"/>
    </xf>
    <xf numFmtId="0" fontId="17" fillId="0" borderId="0" xfId="12" applyFont="1"/>
    <xf numFmtId="0" fontId="2" fillId="0" borderId="0" xfId="15"/>
    <xf numFmtId="0" fontId="26" fillId="0" borderId="0" xfId="15" applyFont="1" applyAlignment="1">
      <alignment horizontal="center" vertical="center"/>
    </xf>
    <xf numFmtId="0" fontId="27" fillId="0" borderId="0" xfId="15" applyFont="1"/>
    <xf numFmtId="0" fontId="30" fillId="0" borderId="0" xfId="15" applyFont="1"/>
    <xf numFmtId="49" fontId="28" fillId="9" borderId="0" xfId="15" applyNumberFormat="1" applyFont="1" applyFill="1" applyAlignment="1">
      <alignment horizontal="left"/>
    </xf>
    <xf numFmtId="49" fontId="31" fillId="9" borderId="0" xfId="15" applyNumberFormat="1" applyFont="1" applyFill="1" applyAlignment="1">
      <alignment horizontal="center"/>
    </xf>
    <xf numFmtId="168" fontId="31" fillId="9" borderId="0" xfId="15" applyNumberFormat="1" applyFont="1" applyFill="1" applyAlignment="1">
      <alignment horizontal="center"/>
    </xf>
    <xf numFmtId="168" fontId="31" fillId="9" borderId="16" xfId="15" applyNumberFormat="1" applyFont="1" applyFill="1" applyBorder="1" applyAlignment="1">
      <alignment horizontal="center"/>
    </xf>
    <xf numFmtId="168" fontId="32" fillId="9" borderId="0" xfId="15" applyNumberFormat="1" applyFont="1" applyFill="1" applyAlignment="1">
      <alignment horizontal="center"/>
    </xf>
    <xf numFmtId="0" fontId="30" fillId="9" borderId="0" xfId="15" applyFont="1" applyFill="1"/>
    <xf numFmtId="0" fontId="2" fillId="9" borderId="0" xfId="15" applyFill="1"/>
    <xf numFmtId="0" fontId="2" fillId="9" borderId="15" xfId="15" applyFill="1" applyBorder="1"/>
    <xf numFmtId="49" fontId="33" fillId="0" borderId="0" xfId="15" applyNumberFormat="1" applyFont="1" applyAlignment="1">
      <alignment horizontal="left"/>
    </xf>
    <xf numFmtId="169" fontId="34" fillId="0" borderId="0" xfId="15" applyNumberFormat="1" applyFont="1" applyAlignment="1">
      <alignment horizontal="center"/>
    </xf>
    <xf numFmtId="170" fontId="34" fillId="0" borderId="0" xfId="15" applyNumberFormat="1" applyFont="1" applyAlignment="1">
      <alignment horizontal="right"/>
    </xf>
    <xf numFmtId="0" fontId="31" fillId="0" borderId="0" xfId="15" applyFont="1" applyAlignment="1">
      <alignment horizontal="center"/>
    </xf>
    <xf numFmtId="168" fontId="31" fillId="0" borderId="0" xfId="15" applyNumberFormat="1" applyFont="1" applyAlignment="1">
      <alignment horizontal="center"/>
    </xf>
    <xf numFmtId="168" fontId="31" fillId="0" borderId="16" xfId="15" applyNumberFormat="1" applyFont="1" applyBorder="1" applyAlignment="1">
      <alignment horizontal="center"/>
    </xf>
    <xf numFmtId="168" fontId="32" fillId="0" borderId="0" xfId="15" applyNumberFormat="1" applyFont="1" applyAlignment="1">
      <alignment horizontal="center"/>
    </xf>
    <xf numFmtId="168" fontId="32" fillId="0" borderId="15" xfId="15" applyNumberFormat="1" applyFont="1" applyBorder="1" applyAlignment="1">
      <alignment horizontal="center"/>
    </xf>
    <xf numFmtId="168" fontId="28" fillId="9" borderId="0" xfId="15" applyNumberFormat="1" applyFont="1" applyFill="1" applyAlignment="1">
      <alignment horizontal="center"/>
    </xf>
    <xf numFmtId="0" fontId="2" fillId="0" borderId="16" xfId="15" applyBorder="1"/>
    <xf numFmtId="0" fontId="2" fillId="0" borderId="15" xfId="15" applyBorder="1"/>
    <xf numFmtId="4" fontId="23" fillId="9" borderId="0" xfId="15" applyNumberFormat="1" applyFont="1" applyFill="1"/>
    <xf numFmtId="0" fontId="24" fillId="9" borderId="0" xfId="15" applyFont="1" applyFill="1"/>
    <xf numFmtId="0" fontId="24" fillId="9" borderId="16" xfId="15" applyFont="1" applyFill="1" applyBorder="1"/>
    <xf numFmtId="4" fontId="24" fillId="9" borderId="0" xfId="15" applyNumberFormat="1" applyFont="1" applyFill="1"/>
    <xf numFmtId="169" fontId="2" fillId="0" borderId="0" xfId="15" applyNumberFormat="1"/>
    <xf numFmtId="14" fontId="2" fillId="0" borderId="0" xfId="15" applyNumberFormat="1"/>
    <xf numFmtId="2" fontId="34" fillId="0" borderId="0" xfId="15" applyNumberFormat="1" applyFont="1" applyAlignment="1">
      <alignment horizontal="center"/>
    </xf>
    <xf numFmtId="2" fontId="2" fillId="0" borderId="0" xfId="15" applyNumberFormat="1"/>
    <xf numFmtId="0" fontId="35" fillId="0" borderId="0" xfId="15" applyFont="1" applyAlignment="1">
      <alignment horizontal="center"/>
    </xf>
    <xf numFmtId="0" fontId="36" fillId="5" borderId="0" xfId="15" applyFont="1" applyFill="1" applyAlignment="1">
      <alignment horizontal="center" wrapText="1"/>
    </xf>
    <xf numFmtId="0" fontId="36" fillId="5" borderId="0" xfId="15" applyFont="1" applyFill="1" applyAlignment="1">
      <alignment horizontal="center"/>
    </xf>
    <xf numFmtId="0" fontId="36" fillId="5" borderId="16" xfId="15" applyFont="1" applyFill="1" applyBorder="1" applyAlignment="1">
      <alignment horizontal="center" wrapText="1"/>
    </xf>
    <xf numFmtId="168" fontId="37" fillId="5" borderId="0" xfId="15" applyNumberFormat="1" applyFont="1" applyFill="1" applyAlignment="1">
      <alignment horizontal="center"/>
    </xf>
    <xf numFmtId="168" fontId="37" fillId="5" borderId="0" xfId="15" applyNumberFormat="1" applyFont="1" applyFill="1" applyAlignment="1">
      <alignment horizontal="center" vertical="center"/>
    </xf>
    <xf numFmtId="14" fontId="37" fillId="5" borderId="0" xfId="15" applyNumberFormat="1" applyFont="1" applyFill="1" applyAlignment="1">
      <alignment horizontal="center" vertical="center"/>
    </xf>
    <xf numFmtId="168" fontId="36" fillId="5" borderId="0" xfId="15" applyNumberFormat="1" applyFont="1" applyFill="1" applyAlignment="1">
      <alignment horizontal="center" vertical="center" wrapText="1"/>
    </xf>
    <xf numFmtId="0" fontId="36" fillId="5" borderId="15" xfId="15" applyFont="1" applyFill="1" applyBorder="1" applyAlignment="1">
      <alignment horizontal="center" vertical="center" wrapText="1"/>
    </xf>
    <xf numFmtId="168" fontId="37" fillId="5" borderId="15" xfId="15" applyNumberFormat="1" applyFont="1" applyFill="1" applyBorder="1" applyAlignment="1">
      <alignment horizontal="center"/>
    </xf>
    <xf numFmtId="171" fontId="37" fillId="5" borderId="0" xfId="15" applyNumberFormat="1" applyFont="1" applyFill="1" applyAlignment="1">
      <alignment horizontal="center"/>
    </xf>
    <xf numFmtId="0" fontId="38" fillId="0" borderId="5" xfId="0" applyFont="1" applyBorder="1" applyAlignment="1">
      <alignment horizontal="left" vertical="top"/>
    </xf>
    <xf numFmtId="0" fontId="38" fillId="0" borderId="6" xfId="0" applyFont="1" applyBorder="1" applyAlignment="1">
      <alignment horizontal="left" vertical="top"/>
    </xf>
    <xf numFmtId="0" fontId="38" fillId="0" borderId="7" xfId="0" applyFont="1" applyBorder="1" applyAlignment="1">
      <alignment horizontal="left" vertical="top"/>
    </xf>
    <xf numFmtId="0" fontId="22" fillId="0" borderId="0" xfId="0" applyFont="1" applyAlignment="1">
      <alignment horizontal="center" vertical="center"/>
    </xf>
    <xf numFmtId="164" fontId="0" fillId="0" borderId="0" xfId="13" applyFont="1" applyFill="1"/>
    <xf numFmtId="22" fontId="18" fillId="0" borderId="0" xfId="0" applyNumberFormat="1" applyFont="1"/>
    <xf numFmtId="0" fontId="8" fillId="0" borderId="0" xfId="0" applyFont="1" applyAlignment="1">
      <alignment vertical="top"/>
    </xf>
    <xf numFmtId="0" fontId="8" fillId="0" borderId="19" xfId="0" applyFont="1" applyBorder="1"/>
    <xf numFmtId="0" fontId="8" fillId="0" borderId="20" xfId="0" applyFont="1" applyBorder="1"/>
    <xf numFmtId="14" fontId="8" fillId="0" borderId="20" xfId="0" applyNumberFormat="1" applyFont="1" applyBorder="1"/>
    <xf numFmtId="0" fontId="8" fillId="0" borderId="21" xfId="0" applyFont="1" applyBorder="1"/>
    <xf numFmtId="0" fontId="8" fillId="0" borderId="22" xfId="0" applyFont="1" applyBorder="1"/>
    <xf numFmtId="0" fontId="8" fillId="0" borderId="23" xfId="0" applyFont="1" applyBorder="1"/>
    <xf numFmtId="0" fontId="8" fillId="0" borderId="22" xfId="0" applyFont="1" applyBorder="1" applyAlignment="1">
      <alignment horizontal="center" vertical="top"/>
    </xf>
    <xf numFmtId="0" fontId="8" fillId="0" borderId="22" xfId="0" applyFont="1" applyBorder="1" applyAlignment="1">
      <alignment horizontal="center"/>
    </xf>
    <xf numFmtId="0" fontId="8" fillId="0" borderId="23" xfId="0" applyFont="1" applyBorder="1" applyAlignment="1">
      <alignment horizontal="center"/>
    </xf>
    <xf numFmtId="0" fontId="8" fillId="0" borderId="24" xfId="0" applyFont="1" applyBorder="1"/>
    <xf numFmtId="0" fontId="8" fillId="0" borderId="25" xfId="0" applyFont="1" applyBorder="1"/>
    <xf numFmtId="0" fontId="8" fillId="0" borderId="26" xfId="0" applyFont="1" applyBorder="1"/>
    <xf numFmtId="14" fontId="8" fillId="0" borderId="18" xfId="0" applyNumberFormat="1" applyFont="1" applyBorder="1" applyAlignment="1" applyProtection="1">
      <alignment vertical="center"/>
      <protection locked="0"/>
    </xf>
    <xf numFmtId="14" fontId="8" fillId="0" borderId="18" xfId="0" applyNumberFormat="1" applyFont="1" applyBorder="1" applyProtection="1">
      <protection locked="0"/>
    </xf>
    <xf numFmtId="0" fontId="8" fillId="0" borderId="18" xfId="0" applyFont="1" applyBorder="1" applyProtection="1">
      <protection locked="0"/>
    </xf>
    <xf numFmtId="0" fontId="8" fillId="5" borderId="31" xfId="0" applyFont="1" applyFill="1" applyBorder="1" applyProtection="1">
      <protection locked="0"/>
    </xf>
    <xf numFmtId="0" fontId="8" fillId="0" borderId="32" xfId="0" applyFont="1" applyBorder="1" applyProtection="1">
      <protection locked="0"/>
    </xf>
    <xf numFmtId="3" fontId="8" fillId="0" borderId="32" xfId="0" applyNumberFormat="1" applyFont="1" applyBorder="1" applyProtection="1">
      <protection locked="0"/>
    </xf>
    <xf numFmtId="0" fontId="8" fillId="0" borderId="32" xfId="0" applyFont="1" applyBorder="1" applyAlignment="1" applyProtection="1">
      <alignment horizontal="right"/>
      <protection locked="0"/>
    </xf>
    <xf numFmtId="0" fontId="8" fillId="0" borderId="32" xfId="0" applyFont="1" applyBorder="1" applyAlignment="1" applyProtection="1">
      <alignment horizontal="center"/>
      <protection locked="0"/>
    </xf>
    <xf numFmtId="1" fontId="8" fillId="10" borderId="32" xfId="0" applyNumberFormat="1" applyFont="1" applyFill="1" applyBorder="1"/>
    <xf numFmtId="167" fontId="8" fillId="5" borderId="29" xfId="13" applyNumberFormat="1" applyFont="1" applyFill="1" applyBorder="1"/>
    <xf numFmtId="0" fontId="8" fillId="0" borderId="18" xfId="0" applyFont="1" applyBorder="1" applyAlignment="1">
      <alignment vertical="center"/>
    </xf>
    <xf numFmtId="0" fontId="5" fillId="0" borderId="32" xfId="0" applyFont="1" applyBorder="1" applyAlignment="1">
      <alignment horizontal="center" vertical="center"/>
    </xf>
    <xf numFmtId="0" fontId="5" fillId="0" borderId="32" xfId="0" applyFont="1" applyBorder="1" applyAlignment="1" applyProtection="1">
      <alignment horizontal="center" vertical="center"/>
      <protection locked="0"/>
    </xf>
    <xf numFmtId="0" fontId="8" fillId="10" borderId="18" xfId="0" applyFont="1" applyFill="1" applyBorder="1" applyProtection="1">
      <protection locked="0"/>
    </xf>
    <xf numFmtId="0" fontId="8" fillId="0" borderId="29" xfId="0" applyFont="1" applyBorder="1"/>
    <xf numFmtId="0" fontId="5" fillId="10" borderId="18" xfId="0" applyFont="1" applyFill="1" applyBorder="1" applyAlignment="1">
      <alignment horizontal="center" vertical="center"/>
    </xf>
    <xf numFmtId="164" fontId="18" fillId="0" borderId="0" xfId="13" applyFont="1"/>
    <xf numFmtId="0" fontId="8" fillId="0" borderId="32" xfId="0" applyFont="1" applyBorder="1"/>
    <xf numFmtId="1" fontId="8" fillId="0" borderId="32" xfId="0" applyNumberFormat="1" applyFont="1" applyBorder="1" applyProtection="1">
      <protection locked="0"/>
    </xf>
    <xf numFmtId="0" fontId="8" fillId="10" borderId="32" xfId="0" applyFont="1" applyFill="1" applyBorder="1" applyProtection="1">
      <protection locked="0"/>
    </xf>
    <xf numFmtId="1" fontId="8" fillId="10" borderId="32" xfId="0" applyNumberFormat="1" applyFont="1" applyFill="1" applyBorder="1" applyProtection="1">
      <protection locked="0"/>
    </xf>
    <xf numFmtId="0" fontId="8" fillId="5" borderId="30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14" fontId="18" fillId="0" borderId="0" xfId="0" applyNumberFormat="1" applyFont="1"/>
    <xf numFmtId="3" fontId="8" fillId="10" borderId="32" xfId="0" applyNumberFormat="1" applyFont="1" applyFill="1" applyBorder="1" applyProtection="1">
      <protection locked="0"/>
    </xf>
    <xf numFmtId="0" fontId="24" fillId="12" borderId="0" xfId="16"/>
    <xf numFmtId="0" fontId="42" fillId="13" borderId="0" xfId="0" applyFont="1" applyFill="1" applyAlignment="1">
      <alignment horizontal="center" vertical="center"/>
    </xf>
    <xf numFmtId="0" fontId="43" fillId="13" borderId="0" xfId="0" applyFont="1" applyFill="1" applyAlignment="1">
      <alignment horizontal="center"/>
    </xf>
    <xf numFmtId="0" fontId="8" fillId="13" borderId="0" xfId="0" applyFont="1" applyFill="1" applyAlignment="1">
      <alignment horizontal="center"/>
    </xf>
    <xf numFmtId="0" fontId="8" fillId="13" borderId="0" xfId="0" applyFont="1" applyFill="1" applyAlignment="1">
      <alignment horizontal="center" vertical="center"/>
    </xf>
    <xf numFmtId="0" fontId="41" fillId="13" borderId="0" xfId="0" applyFont="1" applyFill="1" applyAlignment="1">
      <alignment horizontal="center" vertical="center"/>
    </xf>
    <xf numFmtId="0" fontId="2" fillId="5" borderId="18" xfId="15" applyFill="1" applyBorder="1" applyAlignment="1">
      <alignment horizontal="center"/>
    </xf>
    <xf numFmtId="14" fontId="8" fillId="10" borderId="18" xfId="0" applyNumberFormat="1" applyFont="1" applyFill="1" applyBorder="1" applyAlignment="1" applyProtection="1">
      <alignment vertical="center" wrapText="1"/>
      <protection locked="0"/>
    </xf>
    <xf numFmtId="0" fontId="18" fillId="0" borderId="0" xfId="0" applyFont="1" applyAlignment="1">
      <alignment horizontal="center" vertical="center"/>
    </xf>
    <xf numFmtId="0" fontId="8" fillId="0" borderId="0" xfId="0" applyFont="1" applyProtection="1">
      <protection locked="0"/>
    </xf>
    <xf numFmtId="167" fontId="8" fillId="0" borderId="0" xfId="13" applyNumberFormat="1" applyFont="1" applyFill="1" applyBorder="1"/>
    <xf numFmtId="0" fontId="8" fillId="0" borderId="18" xfId="0" applyFont="1" applyBorder="1"/>
    <xf numFmtId="0" fontId="8" fillId="10" borderId="18" xfId="0" applyFont="1" applyFill="1" applyBorder="1"/>
    <xf numFmtId="3" fontId="8" fillId="14" borderId="32" xfId="0" applyNumberFormat="1" applyFont="1" applyFill="1" applyBorder="1" applyProtection="1">
      <protection locked="0"/>
    </xf>
    <xf numFmtId="0" fontId="41" fillId="11" borderId="18" xfId="0" applyFont="1" applyFill="1" applyBorder="1"/>
    <xf numFmtId="3" fontId="8" fillId="0" borderId="0" xfId="0" applyNumberFormat="1" applyFont="1"/>
    <xf numFmtId="3" fontId="8" fillId="0" borderId="25" xfId="0" applyNumberFormat="1" applyFont="1" applyBorder="1"/>
    <xf numFmtId="0" fontId="5" fillId="14" borderId="19" xfId="0" applyFont="1" applyFill="1" applyBorder="1" applyAlignment="1">
      <alignment horizontal="center"/>
    </xf>
    <xf numFmtId="0" fontId="5" fillId="14" borderId="20" xfId="0" applyFont="1" applyFill="1" applyBorder="1" applyAlignment="1">
      <alignment horizontal="center"/>
    </xf>
    <xf numFmtId="0" fontId="5" fillId="14" borderId="21" xfId="0" applyFont="1" applyFill="1" applyBorder="1" applyAlignment="1">
      <alignment horizontal="center"/>
    </xf>
    <xf numFmtId="0" fontId="8" fillId="14" borderId="28" xfId="0" applyFont="1" applyFill="1" applyBorder="1"/>
    <xf numFmtId="0" fontId="5" fillId="14" borderId="27" xfId="0" applyFont="1" applyFill="1" applyBorder="1"/>
    <xf numFmtId="172" fontId="8" fillId="0" borderId="23" xfId="13" applyNumberFormat="1" applyFont="1" applyBorder="1"/>
    <xf numFmtId="172" fontId="8" fillId="0" borderId="26" xfId="13" applyNumberFormat="1" applyFont="1" applyBorder="1"/>
    <xf numFmtId="172" fontId="8" fillId="14" borderId="29" xfId="13" applyNumberFormat="1" applyFont="1" applyFill="1" applyBorder="1"/>
    <xf numFmtId="0" fontId="8" fillId="0" borderId="33" xfId="0" applyFont="1" applyBorder="1"/>
    <xf numFmtId="0" fontId="8" fillId="0" borderId="34" xfId="0" applyFont="1" applyBorder="1"/>
    <xf numFmtId="0" fontId="8" fillId="0" borderId="35" xfId="0" applyFont="1" applyBorder="1"/>
    <xf numFmtId="0" fontId="8" fillId="0" borderId="36" xfId="0" applyFont="1" applyBorder="1"/>
    <xf numFmtId="0" fontId="8" fillId="0" borderId="37" xfId="0" applyFont="1" applyBorder="1"/>
    <xf numFmtId="14" fontId="8" fillId="0" borderId="39" xfId="0" applyNumberFormat="1" applyFont="1" applyBorder="1"/>
    <xf numFmtId="0" fontId="5" fillId="0" borderId="37" xfId="0" applyFont="1" applyBorder="1" applyAlignment="1">
      <alignment horizontal="center"/>
    </xf>
    <xf numFmtId="0" fontId="5" fillId="10" borderId="43" xfId="0" applyFont="1" applyFill="1" applyBorder="1" applyAlignment="1">
      <alignment horizontal="center" vertical="center"/>
    </xf>
    <xf numFmtId="0" fontId="8" fillId="0" borderId="44" xfId="0" applyFont="1" applyBorder="1"/>
    <xf numFmtId="0" fontId="8" fillId="0" borderId="45" xfId="0" applyFont="1" applyBorder="1"/>
    <xf numFmtId="0" fontId="8" fillId="0" borderId="46" xfId="0" applyFont="1" applyBorder="1"/>
    <xf numFmtId="0" fontId="8" fillId="10" borderId="18" xfId="0" applyFont="1" applyFill="1" applyBorder="1" applyAlignment="1" applyProtection="1">
      <alignment vertical="center" wrapText="1"/>
      <protection locked="0"/>
    </xf>
    <xf numFmtId="0" fontId="19" fillId="10" borderId="18" xfId="0" applyFont="1" applyFill="1" applyBorder="1" applyProtection="1">
      <protection locked="0"/>
    </xf>
    <xf numFmtId="0" fontId="19" fillId="10" borderId="18" xfId="0" applyFont="1" applyFill="1" applyBorder="1" applyAlignment="1" applyProtection="1">
      <alignment horizontal="center" vertical="center"/>
      <protection locked="0"/>
    </xf>
    <xf numFmtId="164" fontId="0" fillId="0" borderId="0" xfId="13" applyFont="1" applyFill="1" applyBorder="1"/>
    <xf numFmtId="22" fontId="18" fillId="0" borderId="24" xfId="0" applyNumberFormat="1" applyFont="1" applyBorder="1"/>
    <xf numFmtId="22" fontId="18" fillId="0" borderId="25" xfId="0" applyNumberFormat="1" applyFont="1" applyBorder="1"/>
    <xf numFmtId="0" fontId="0" fillId="0" borderId="25" xfId="0" applyBorder="1"/>
    <xf numFmtId="164" fontId="0" fillId="0" borderId="25" xfId="13" applyFont="1" applyFill="1" applyBorder="1"/>
    <xf numFmtId="43" fontId="0" fillId="0" borderId="25" xfId="0" applyNumberFormat="1" applyBorder="1"/>
    <xf numFmtId="0" fontId="0" fillId="0" borderId="19" xfId="0" applyBorder="1"/>
    <xf numFmtId="0" fontId="18" fillId="0" borderId="20" xfId="0" applyFont="1" applyBorder="1"/>
    <xf numFmtId="0" fontId="0" fillId="0" borderId="20" xfId="0" applyBorder="1"/>
    <xf numFmtId="164" fontId="0" fillId="0" borderId="20" xfId="13" applyFont="1" applyBorder="1"/>
    <xf numFmtId="0" fontId="0" fillId="0" borderId="21" xfId="0" applyBorder="1"/>
    <xf numFmtId="0" fontId="0" fillId="0" borderId="22" xfId="0" applyBorder="1"/>
    <xf numFmtId="164" fontId="0" fillId="0" borderId="0" xfId="13" applyFont="1" applyBorder="1"/>
    <xf numFmtId="0" fontId="22" fillId="0" borderId="23" xfId="0" applyFont="1" applyBorder="1" applyAlignment="1">
      <alignment vertical="center"/>
    </xf>
    <xf numFmtId="0" fontId="0" fillId="0" borderId="23" xfId="0" applyBorder="1"/>
    <xf numFmtId="0" fontId="39" fillId="0" borderId="0" xfId="0" applyFont="1"/>
    <xf numFmtId="0" fontId="0" fillId="0" borderId="24" xfId="0" applyBorder="1"/>
    <xf numFmtId="0" fontId="0" fillId="0" borderId="26" xfId="0" applyBorder="1"/>
    <xf numFmtId="0" fontId="0" fillId="0" borderId="0" xfId="0" applyAlignment="1">
      <alignment wrapText="1"/>
    </xf>
    <xf numFmtId="164" fontId="0" fillId="0" borderId="25" xfId="13" applyFont="1" applyBorder="1"/>
    <xf numFmtId="0" fontId="19" fillId="10" borderId="22" xfId="0" applyFont="1" applyFill="1" applyBorder="1" applyAlignment="1" applyProtection="1">
      <alignment horizontal="center" vertical="center"/>
      <protection locked="0"/>
    </xf>
    <xf numFmtId="0" fontId="46" fillId="0" borderId="0" xfId="0" applyFont="1"/>
    <xf numFmtId="14" fontId="18" fillId="0" borderId="25" xfId="0" applyNumberFormat="1" applyFont="1" applyBorder="1"/>
    <xf numFmtId="0" fontId="18" fillId="0" borderId="22" xfId="0" applyFont="1" applyBorder="1"/>
    <xf numFmtId="0" fontId="0" fillId="15" borderId="0" xfId="0" applyFill="1"/>
    <xf numFmtId="0" fontId="8" fillId="14" borderId="32" xfId="0" applyFont="1" applyFill="1" applyBorder="1" applyAlignment="1" applyProtection="1">
      <alignment horizontal="center"/>
      <protection locked="0"/>
    </xf>
    <xf numFmtId="0" fontId="19" fillId="10" borderId="27" xfId="0" applyFont="1" applyFill="1" applyBorder="1" applyAlignment="1" applyProtection="1">
      <alignment horizontal="center" vertical="center"/>
      <protection locked="0"/>
    </xf>
    <xf numFmtId="0" fontId="0" fillId="15" borderId="23" xfId="0" applyFill="1" applyBorder="1" applyAlignment="1">
      <alignment horizontal="center" vertical="center"/>
    </xf>
    <xf numFmtId="0" fontId="0" fillId="15" borderId="26" xfId="0" applyFill="1" applyBorder="1" applyAlignment="1">
      <alignment horizontal="center" vertical="center"/>
    </xf>
    <xf numFmtId="164" fontId="18" fillId="0" borderId="0" xfId="13" applyFont="1" applyFill="1" applyBorder="1"/>
    <xf numFmtId="14" fontId="8" fillId="0" borderId="0" xfId="0" applyNumberFormat="1" applyFont="1" applyAlignment="1" applyProtection="1">
      <alignment vertical="center"/>
      <protection locked="0"/>
    </xf>
    <xf numFmtId="1" fontId="8" fillId="0" borderId="32" xfId="0" applyNumberFormat="1" applyFont="1" applyBorder="1"/>
    <xf numFmtId="167" fontId="8" fillId="0" borderId="29" xfId="13" applyNumberFormat="1" applyFont="1" applyFill="1" applyBorder="1"/>
    <xf numFmtId="0" fontId="5" fillId="10" borderId="0" xfId="0" applyFont="1" applyFill="1"/>
    <xf numFmtId="0" fontId="8" fillId="10" borderId="0" xfId="0" applyFont="1" applyFill="1"/>
    <xf numFmtId="0" fontId="8" fillId="10" borderId="32" xfId="0" applyFont="1" applyFill="1" applyBorder="1" applyAlignment="1" applyProtection="1">
      <alignment horizontal="center"/>
      <protection locked="0"/>
    </xf>
    <xf numFmtId="14" fontId="1" fillId="0" borderId="0" xfId="16" applyNumberFormat="1" applyFont="1" applyFill="1"/>
    <xf numFmtId="0" fontId="1" fillId="0" borderId="0" xfId="16" applyFont="1" applyFill="1"/>
    <xf numFmtId="14" fontId="18" fillId="0" borderId="0" xfId="16" applyNumberFormat="1" applyFont="1" applyFill="1"/>
    <xf numFmtId="0" fontId="18" fillId="0" borderId="0" xfId="16" applyFont="1" applyFill="1"/>
    <xf numFmtId="167" fontId="8" fillId="0" borderId="0" xfId="0" applyNumberFormat="1" applyFont="1"/>
    <xf numFmtId="164" fontId="8" fillId="0" borderId="0" xfId="13" applyFont="1"/>
    <xf numFmtId="0" fontId="47" fillId="0" borderId="18" xfId="0" applyFont="1" applyBorder="1" applyProtection="1">
      <protection locked="0"/>
    </xf>
    <xf numFmtId="0" fontId="8" fillId="0" borderId="32" xfId="0" applyFont="1" applyBorder="1" applyAlignment="1" applyProtection="1">
      <alignment horizontal="left"/>
      <protection locked="0"/>
    </xf>
    <xf numFmtId="164" fontId="18" fillId="14" borderId="12" xfId="13" applyFont="1" applyFill="1" applyBorder="1" applyAlignment="1">
      <alignment vertical="center"/>
    </xf>
    <xf numFmtId="172" fontId="0" fillId="14" borderId="12" xfId="13" applyNumberFormat="1" applyFont="1" applyFill="1" applyBorder="1" applyAlignment="1">
      <alignment vertical="center"/>
    </xf>
    <xf numFmtId="0" fontId="19" fillId="14" borderId="12" xfId="0" applyFont="1" applyFill="1" applyBorder="1" applyAlignment="1">
      <alignment horizontal="center" vertical="center"/>
    </xf>
    <xf numFmtId="0" fontId="21" fillId="11" borderId="12" xfId="0" applyFont="1" applyFill="1" applyBorder="1" applyAlignment="1">
      <alignment horizontal="center" wrapText="1"/>
    </xf>
    <xf numFmtId="0" fontId="25" fillId="11" borderId="12" xfId="0" applyFont="1" applyFill="1" applyBorder="1" applyAlignment="1">
      <alignment horizontal="center" vertical="center"/>
    </xf>
    <xf numFmtId="0" fontId="19" fillId="0" borderId="47" xfId="0" applyFont="1" applyBorder="1" applyAlignment="1">
      <alignment horizontal="center" vertical="center"/>
    </xf>
    <xf numFmtId="0" fontId="18" fillId="0" borderId="48" xfId="0" applyFont="1" applyBorder="1" applyAlignment="1">
      <alignment horizontal="center" vertical="center"/>
    </xf>
    <xf numFmtId="172" fontId="18" fillId="0" borderId="0" xfId="13" applyNumberFormat="1" applyFont="1"/>
    <xf numFmtId="172" fontId="18" fillId="0" borderId="20" xfId="13" applyNumberFormat="1" applyFont="1" applyBorder="1"/>
    <xf numFmtId="172" fontId="18" fillId="0" borderId="0" xfId="13" applyNumberFormat="1" applyFont="1" applyBorder="1"/>
    <xf numFmtId="0" fontId="6" fillId="0" borderId="0" xfId="0" applyFont="1"/>
    <xf numFmtId="172" fontId="19" fillId="0" borderId="0" xfId="13" applyNumberFormat="1" applyFont="1" applyBorder="1"/>
    <xf numFmtId="172" fontId="18" fillId="0" borderId="25" xfId="13" applyNumberFormat="1" applyFont="1" applyBorder="1"/>
    <xf numFmtId="0" fontId="0" fillId="0" borderId="0" xfId="0" pivotButton="1"/>
    <xf numFmtId="0" fontId="0" fillId="0" borderId="0" xfId="0" applyAlignment="1">
      <alignment horizontal="left" indent="1"/>
    </xf>
    <xf numFmtId="164" fontId="0" fillId="0" borderId="0" xfId="0" applyNumberFormat="1"/>
    <xf numFmtId="0" fontId="5" fillId="10" borderId="27" xfId="0" applyFont="1" applyFill="1" applyBorder="1" applyAlignment="1">
      <alignment horizontal="center" vertical="center"/>
    </xf>
    <xf numFmtId="0" fontId="5" fillId="10" borderId="28" xfId="0" applyFont="1" applyFill="1" applyBorder="1" applyAlignment="1">
      <alignment horizontal="center" vertical="center"/>
    </xf>
    <xf numFmtId="0" fontId="5" fillId="10" borderId="29" xfId="0" applyFont="1" applyFill="1" applyBorder="1" applyAlignment="1">
      <alignment horizontal="center" vertical="center"/>
    </xf>
    <xf numFmtId="0" fontId="8" fillId="0" borderId="27" xfId="0" applyFont="1" applyBorder="1" applyAlignment="1">
      <alignment horizontal="center"/>
    </xf>
    <xf numFmtId="0" fontId="8" fillId="0" borderId="28" xfId="0" applyFont="1" applyBorder="1" applyAlignment="1">
      <alignment horizontal="center"/>
    </xf>
    <xf numFmtId="0" fontId="8" fillId="0" borderId="29" xfId="0" applyFont="1" applyBorder="1" applyAlignment="1">
      <alignment horizontal="center"/>
    </xf>
    <xf numFmtId="0" fontId="40" fillId="11" borderId="22" xfId="0" applyFont="1" applyFill="1" applyBorder="1" applyAlignment="1">
      <alignment horizontal="center" vertical="center"/>
    </xf>
    <xf numFmtId="0" fontId="40" fillId="11" borderId="0" xfId="0" applyFont="1" applyFill="1" applyAlignment="1">
      <alignment horizontal="center" vertical="center"/>
    </xf>
    <xf numFmtId="0" fontId="42" fillId="13" borderId="0" xfId="0" applyFont="1" applyFill="1" applyAlignment="1">
      <alignment horizontal="center" vertical="center"/>
    </xf>
    <xf numFmtId="0" fontId="42" fillId="13" borderId="0" xfId="0" applyFont="1" applyFill="1" applyAlignment="1">
      <alignment horizontal="center" vertical="center" wrapText="1"/>
    </xf>
    <xf numFmtId="0" fontId="40" fillId="11" borderId="23" xfId="0" applyFont="1" applyFill="1" applyBorder="1" applyAlignment="1">
      <alignment horizontal="center" vertical="center"/>
    </xf>
    <xf numFmtId="0" fontId="6" fillId="10" borderId="0" xfId="0" applyFont="1" applyFill="1" applyAlignment="1" applyProtection="1">
      <alignment horizontal="center" vertical="center"/>
      <protection locked="0"/>
    </xf>
    <xf numFmtId="0" fontId="40" fillId="11" borderId="27" xfId="0" applyFont="1" applyFill="1" applyBorder="1" applyAlignment="1">
      <alignment horizontal="center" vertical="center"/>
    </xf>
    <xf numFmtId="0" fontId="40" fillId="11" borderId="28" xfId="0" applyFont="1" applyFill="1" applyBorder="1" applyAlignment="1">
      <alignment horizontal="center" vertical="center"/>
    </xf>
    <xf numFmtId="0" fontId="40" fillId="11" borderId="29" xfId="0" applyFont="1" applyFill="1" applyBorder="1" applyAlignment="1">
      <alignment horizontal="center" vertical="center"/>
    </xf>
    <xf numFmtId="0" fontId="18" fillId="0" borderId="36" xfId="0" applyFont="1" applyBorder="1" applyAlignment="1">
      <alignment horizontal="center"/>
    </xf>
    <xf numFmtId="0" fontId="18" fillId="0" borderId="0" xfId="0" applyFont="1" applyAlignment="1">
      <alignment horizontal="center"/>
    </xf>
    <xf numFmtId="0" fontId="18" fillId="0" borderId="37" xfId="0" applyFont="1" applyBorder="1" applyAlignment="1">
      <alignment horizontal="center"/>
    </xf>
    <xf numFmtId="0" fontId="6" fillId="0" borderId="36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37" xfId="0" applyFont="1" applyBorder="1" applyAlignment="1">
      <alignment horizontal="center"/>
    </xf>
    <xf numFmtId="0" fontId="41" fillId="11" borderId="19" xfId="0" applyFont="1" applyFill="1" applyBorder="1" applyAlignment="1">
      <alignment horizontal="center"/>
    </xf>
    <xf numFmtId="0" fontId="41" fillId="11" borderId="42" xfId="0" applyFont="1" applyFill="1" applyBorder="1" applyAlignment="1">
      <alignment horizontal="center"/>
    </xf>
    <xf numFmtId="0" fontId="8" fillId="0" borderId="41" xfId="0" applyFont="1" applyBorder="1" applyAlignment="1">
      <alignment horizontal="center"/>
    </xf>
    <xf numFmtId="0" fontId="41" fillId="11" borderId="27" xfId="0" applyFont="1" applyFill="1" applyBorder="1" applyAlignment="1">
      <alignment horizontal="center"/>
    </xf>
    <xf numFmtId="0" fontId="41" fillId="11" borderId="41" xfId="0" applyFont="1" applyFill="1" applyBorder="1" applyAlignment="1">
      <alignment horizontal="center"/>
    </xf>
    <xf numFmtId="14" fontId="8" fillId="0" borderId="27" xfId="0" applyNumberFormat="1" applyFont="1" applyBorder="1" applyAlignment="1">
      <alignment horizontal="center"/>
    </xf>
    <xf numFmtId="0" fontId="41" fillId="11" borderId="38" xfId="0" applyFont="1" applyFill="1" applyBorder="1" applyAlignment="1">
      <alignment horizontal="center"/>
    </xf>
    <xf numFmtId="0" fontId="41" fillId="11" borderId="20" xfId="0" applyFont="1" applyFill="1" applyBorder="1" applyAlignment="1">
      <alignment horizontal="center"/>
    </xf>
    <xf numFmtId="0" fontId="41" fillId="11" borderId="21" xfId="0" applyFont="1" applyFill="1" applyBorder="1" applyAlignment="1">
      <alignment horizontal="center"/>
    </xf>
    <xf numFmtId="0" fontId="8" fillId="0" borderId="40" xfId="0" applyFont="1" applyBorder="1" applyAlignment="1">
      <alignment horizontal="center"/>
    </xf>
    <xf numFmtId="0" fontId="8" fillId="0" borderId="25" xfId="0" applyFont="1" applyBorder="1" applyAlignment="1">
      <alignment horizontal="center"/>
    </xf>
    <xf numFmtId="0" fontId="8" fillId="0" borderId="26" xfId="0" applyFont="1" applyBorder="1" applyAlignment="1">
      <alignment horizontal="center"/>
    </xf>
    <xf numFmtId="0" fontId="45" fillId="0" borderId="36" xfId="0" applyFont="1" applyBorder="1" applyAlignment="1">
      <alignment horizontal="center"/>
    </xf>
    <xf numFmtId="0" fontId="45" fillId="0" borderId="0" xfId="0" applyFont="1" applyAlignment="1">
      <alignment horizontal="center"/>
    </xf>
    <xf numFmtId="0" fontId="45" fillId="0" borderId="37" xfId="0" applyFont="1" applyBorder="1" applyAlignment="1">
      <alignment horizontal="center"/>
    </xf>
    <xf numFmtId="0" fontId="6" fillId="0" borderId="0" xfId="0" applyFont="1" applyAlignment="1">
      <alignment horizontal="center" vertical="top"/>
    </xf>
    <xf numFmtId="0" fontId="48" fillId="0" borderId="0" xfId="0" applyFont="1" applyAlignment="1">
      <alignment horizontal="center" vertical="center"/>
    </xf>
    <xf numFmtId="168" fontId="28" fillId="9" borderId="0" xfId="15" applyNumberFormat="1" applyFont="1" applyFill="1" applyAlignment="1">
      <alignment horizontal="center"/>
    </xf>
    <xf numFmtId="168" fontId="28" fillId="9" borderId="17" xfId="15" applyNumberFormat="1" applyFont="1" applyFill="1" applyBorder="1" applyAlignment="1">
      <alignment horizontal="center"/>
    </xf>
    <xf numFmtId="0" fontId="44" fillId="5" borderId="27" xfId="15" applyFont="1" applyFill="1" applyBorder="1" applyAlignment="1">
      <alignment horizontal="center" vertical="center"/>
    </xf>
    <xf numFmtId="0" fontId="44" fillId="5" borderId="28" xfId="15" applyFont="1" applyFill="1" applyBorder="1" applyAlignment="1">
      <alignment horizontal="center" vertical="center"/>
    </xf>
    <xf numFmtId="0" fontId="44" fillId="5" borderId="29" xfId="15" applyFont="1" applyFill="1" applyBorder="1" applyAlignment="1">
      <alignment horizontal="center" vertical="center"/>
    </xf>
    <xf numFmtId="168" fontId="37" fillId="5" borderId="0" xfId="15" applyNumberFormat="1" applyFont="1" applyFill="1" applyAlignment="1">
      <alignment horizontal="center"/>
    </xf>
    <xf numFmtId="168" fontId="36" fillId="5" borderId="0" xfId="15" applyNumberFormat="1" applyFont="1" applyFill="1" applyAlignment="1">
      <alignment horizontal="center" vertical="center" wrapText="1"/>
    </xf>
    <xf numFmtId="0" fontId="29" fillId="9" borderId="0" xfId="15" applyFont="1" applyFill="1" applyAlignment="1">
      <alignment horizontal="center" vertical="center" wrapText="1"/>
    </xf>
    <xf numFmtId="0" fontId="36" fillId="5" borderId="15" xfId="15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8" borderId="12" xfId="0" applyFont="1" applyFill="1" applyBorder="1" applyAlignment="1">
      <alignment horizontal="center"/>
    </xf>
    <xf numFmtId="0" fontId="5" fillId="6" borderId="0" xfId="0" applyFont="1" applyFill="1" applyAlignment="1">
      <alignment horizontal="center"/>
    </xf>
    <xf numFmtId="0" fontId="5" fillId="7" borderId="0" xfId="0" applyFont="1" applyFill="1" applyAlignment="1">
      <alignment horizontal="center"/>
    </xf>
    <xf numFmtId="0" fontId="13" fillId="0" borderId="2" xfId="0" applyFont="1" applyBorder="1" applyAlignment="1">
      <alignment horizontal="left" vertical="top" wrapText="1"/>
    </xf>
    <xf numFmtId="0" fontId="13" fillId="0" borderId="3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5" fillId="5" borderId="11" xfId="0" applyFont="1" applyFill="1" applyBorder="1" applyAlignment="1">
      <alignment horizontal="center"/>
    </xf>
    <xf numFmtId="0" fontId="5" fillId="5" borderId="0" xfId="0" applyFont="1" applyFill="1" applyAlignment="1">
      <alignment horizontal="center"/>
    </xf>
    <xf numFmtId="0" fontId="5" fillId="4" borderId="0" xfId="0" applyFont="1" applyFill="1" applyAlignment="1">
      <alignment horizontal="left"/>
    </xf>
    <xf numFmtId="0" fontId="5" fillId="4" borderId="0" xfId="0" applyFont="1" applyFill="1" applyAlignment="1">
      <alignment horizontal="center"/>
    </xf>
    <xf numFmtId="44" fontId="0" fillId="0" borderId="0" xfId="0" applyNumberFormat="1" applyFill="1"/>
  </cellXfs>
  <cellStyles count="17">
    <cellStyle name="40% - Énfasis3 2" xfId="8" xr:uid="{2840FDA7-FA5C-44D2-AC05-A0B22E964FB8}"/>
    <cellStyle name="40% - Énfasis5 2" xfId="9" xr:uid="{BF0FBF7A-AF4B-4E2F-B90A-CACD3B8E5F66}"/>
    <cellStyle name="Énfasis1" xfId="16" builtinId="29"/>
    <cellStyle name="Hipervínculo" xfId="12" builtinId="8"/>
    <cellStyle name="Hipervínculo 2" xfId="11" xr:uid="{D7BA5636-AA13-49A9-9758-E26619F47ACA}"/>
    <cellStyle name="Millares" xfId="13" builtinId="3"/>
    <cellStyle name="Millares 2" xfId="2" xr:uid="{D9940C8B-9F7B-4F87-993F-C6D29C7CD127}"/>
    <cellStyle name="Millares 2 2" xfId="6" xr:uid="{C4ED4354-8946-4753-B6DF-E1C936CEFAD1}"/>
    <cellStyle name="Millares 3" xfId="7" xr:uid="{CD68FD48-C059-4BAC-BEC2-7FFE750F36A9}"/>
    <cellStyle name="Moneda" xfId="14" builtinId="4"/>
    <cellStyle name="Normal" xfId="0" builtinId="0"/>
    <cellStyle name="Normal 2" xfId="1" xr:uid="{21559325-8993-47E8-827E-9925063538EA}"/>
    <cellStyle name="Normal 2 2" xfId="5" xr:uid="{43B01343-9A69-4BC7-8AF3-43D88B450652}"/>
    <cellStyle name="Normal 3" xfId="3" xr:uid="{5CDB7114-0CB1-4A7E-AF12-4C7010E31A7A}"/>
    <cellStyle name="Normal 4" xfId="10" xr:uid="{06CBDDBB-9DEE-4E13-A199-8BA8A278C303}"/>
    <cellStyle name="Normal 5" xfId="15" xr:uid="{D887652A-9A6C-4567-B05D-757D7F4E3DDB}"/>
    <cellStyle name="Porcentaje 2" xfId="4" xr:uid="{3C76B313-5055-4C58-931F-ACA69DD1A4C2}"/>
  </cellStyles>
  <dxfs count="389"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numFmt numFmtId="34" formatCode="_-&quot;$&quot;\ * #,##0.00_-;\-&quot;$&quot;\ * #,##0.00_-;_-&quot;$&quot;\ * &quot;-&quot;??_-;_-@_-"/>
    </dxf>
    <dxf>
      <fill>
        <patternFill patternType="solid">
          <bgColor theme="0" tint="-4.9989318521683403E-2"/>
        </patternFill>
      </fill>
    </dxf>
    <dxf>
      <numFmt numFmtId="34" formatCode="_-&quot;$&quot;\ * #,##0.00_-;\-&quot;$&quot;\ * #,##0.00_-;_-&quot;$&quot;\ * &quot;-&quot;??_-;_-@_-"/>
    </dxf>
    <dxf>
      <fill>
        <patternFill patternType="none">
          <bgColor auto="1"/>
        </patternFill>
      </fill>
    </dxf>
    <dxf>
      <numFmt numFmtId="164" formatCode="_(* #,##0.00_);_(* \(#,##0.00\);_(* &quot;-&quot;??_);_(@_)"/>
    </dxf>
    <dxf>
      <fill>
        <patternFill patternType="solid">
          <bgColor theme="0" tint="-4.9989318521683403E-2"/>
        </patternFill>
      </fill>
    </dxf>
    <dxf>
      <numFmt numFmtId="34" formatCode="_-&quot;$&quot;\ * #,##0.00_-;\-&quot;$&quot;\ * #,##0.00_-;_-&quot;$&quot;\ * &quot;-&quot;??_-;_-@_-"/>
    </dxf>
    <dxf>
      <fill>
        <patternFill patternType="none">
          <bgColor auto="1"/>
        </patternFill>
      </fill>
    </dxf>
    <dxf>
      <fill>
        <patternFill patternType="solid">
          <bgColor theme="0" tint="-4.9989318521683403E-2"/>
        </patternFill>
      </fill>
    </dxf>
    <dxf>
      <numFmt numFmtId="34" formatCode="_-&quot;$&quot;\ * #,##0.00_-;\-&quot;$&quot;\ * #,##0.00_-;_-&quot;$&quot;\ * &quot;-&quot;??_-;_-@_-"/>
    </dxf>
    <dxf>
      <fill>
        <patternFill patternType="none">
          <bgColor auto="1"/>
        </patternFill>
      </fill>
    </dxf>
    <dxf>
      <fill>
        <patternFill patternType="solid">
          <bgColor theme="0" tint="-4.9989318521683403E-2"/>
        </patternFill>
      </fill>
    </dxf>
    <dxf>
      <numFmt numFmtId="34" formatCode="_-&quot;$&quot;\ * #,##0.00_-;\-&quot;$&quot;\ * #,##0.00_-;_-&quot;$&quot;\ * &quot;-&quot;??_-;_-@_-"/>
    </dxf>
    <dxf>
      <fill>
        <patternFill patternType="none">
          <bgColor auto="1"/>
        </patternFill>
      </fill>
    </dxf>
    <dxf>
      <fill>
        <patternFill patternType="solid">
          <bgColor theme="0" tint="-4.9989318521683403E-2"/>
        </patternFill>
      </fill>
    </dxf>
    <dxf>
      <numFmt numFmtId="34" formatCode="_-&quot;$&quot;\ * #,##0.00_-;\-&quot;$&quot;\ * #,##0.00_-;_-&quot;$&quot;\ * &quot;-&quot;??_-;_-@_-"/>
    </dxf>
    <dxf>
      <fill>
        <patternFill patternType="none">
          <bgColor auto="1"/>
        </patternFill>
      </fill>
    </dxf>
    <dxf>
      <fill>
        <patternFill patternType="solid">
          <bgColor theme="0" tint="-4.9989318521683403E-2"/>
        </patternFill>
      </fill>
    </dxf>
    <dxf>
      <numFmt numFmtId="34" formatCode="_-&quot;$&quot;\ * #,##0.00_-;\-&quot;$&quot;\ * #,##0.00_-;_-&quot;$&quot;\ * &quot;-&quot;??_-;_-@_-"/>
    </dxf>
    <dxf>
      <fill>
        <patternFill patternType="none">
          <bgColor auto="1"/>
        </patternFill>
      </fill>
    </dxf>
    <dxf>
      <fill>
        <patternFill patternType="solid">
          <bgColor theme="0" tint="-4.9989318521683403E-2"/>
        </patternFill>
      </fill>
    </dxf>
    <dxf>
      <numFmt numFmtId="34" formatCode="_-&quot;$&quot;\ * #,##0.00_-;\-&quot;$&quot;\ * #,##0.00_-;_-&quot;$&quot;\ * &quot;-&quot;??_-;_-@_-"/>
    </dxf>
    <dxf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MT"/>
        <scheme val="none"/>
      </font>
      <alignment horizontal="left" vertical="top" textRotation="0" wrapText="0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MT"/>
        <family val="2"/>
        <scheme val="none"/>
      </font>
      <numFmt numFmtId="1" formatCode="0"/>
      <alignment horizontal="right" vertical="top" textRotation="0" wrapText="0" indent="0" justifyLastLine="0" shrinkToFit="1" readingOrder="0"/>
      <border diagonalUp="0" diagonalDown="0">
        <left style="thin">
          <color rgb="FF000000"/>
        </left>
        <right/>
        <top style="thin">
          <color rgb="FF00000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MT"/>
        <family val="2"/>
        <scheme val="none"/>
      </font>
      <numFmt numFmtId="1" formatCode="0"/>
      <alignment horizontal="right" vertical="top" textRotation="0" wrapText="0" indent="0" justifyLastLine="0" shrinkToFit="1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MT"/>
        <scheme val="none"/>
      </font>
      <alignment horizontal="left" vertical="top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MT"/>
        <family val="2"/>
        <scheme val="none"/>
      </font>
      <numFmt numFmtId="1" formatCode="0"/>
      <alignment horizontal="left" vertical="top" textRotation="0" wrapText="0" indent="0" justifyLastLine="0" shrinkToFit="1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 MT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numFmt numFmtId="34" formatCode="_-&quot;$&quot;\ * #,##0.00_-;\-&quot;$&quot;\ * #,##0.00_-;_-&quot;$&quot;\ * &quot;-&quot;??_-;_-@_-"/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ill>
        <patternFill patternType="none">
          <bgColor auto="1"/>
        </patternFill>
      </fill>
    </dxf>
    <dxf>
      <numFmt numFmtId="34" formatCode="_-&quot;$&quot;\ * #,##0.00_-;\-&quot;$&quot;\ * #,##0.00_-;_-&quot;$&quot;\ * &quot;-&quot;??_-;_-@_-"/>
    </dxf>
    <dxf>
      <fill>
        <patternFill patternType="solid">
          <bgColor theme="0" tint="-4.9989318521683403E-2"/>
        </patternFill>
      </fill>
    </dxf>
    <dxf>
      <numFmt numFmtId="164" formatCode="_(* #,##0.00_);_(* \(#,##0.00\);_(* &quot;-&quot;??_);_(@_)"/>
    </dxf>
    <dxf>
      <numFmt numFmtId="19" formatCode="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ahoma"/>
        <family val="2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ahoma"/>
        <family val="2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  <numFmt numFmtId="19" formatCode="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  <numFmt numFmtId="19" formatCode="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numFmt numFmtId="19" formatCode="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  <numFmt numFmtId="164" formatCode="_(* #,##0.00_);_(* \(#,##0.0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  <numFmt numFmtId="19" formatCode="d/m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  <numFmt numFmtId="19" formatCode="d/m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  <numFmt numFmtId="166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  <numFmt numFmtId="19" formatCode="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  <numFmt numFmtId="164" formatCode="_(* #,##0.00_);_(* \(#,##0.0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  <numFmt numFmtId="19" formatCode="d/m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  <numFmt numFmtId="19" formatCode="d/m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  <numFmt numFmtId="166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  <numFmt numFmtId="19" formatCode="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/>
        <sz val="11"/>
        <color theme="1"/>
      </font>
      <border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theme="4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ill>
        <patternFill patternType="solid">
          <fgColor theme="9" tint="0.79998168889431442"/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fgColor theme="9" tint="0.79995117038483843"/>
          <bgColor theme="0" tint="-4.9989318521683403E-2"/>
        </patternFill>
      </fill>
    </dxf>
    <dxf>
      <font>
        <b/>
        <color theme="9" tint="-0.249977111117893"/>
      </font>
    </dxf>
    <dxf>
      <font>
        <b/>
        <color theme="9" tint="-0.249977111117893"/>
      </font>
    </dxf>
    <dxf>
      <font>
        <b/>
        <color theme="9" tint="-0.249977111117893"/>
      </font>
      <border>
        <top style="thin">
          <color theme="9"/>
        </top>
      </border>
    </dxf>
    <dxf>
      <font>
        <color auto="1"/>
      </font>
      <fill>
        <patternFill patternType="none">
          <bgColor auto="1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 tint="0.14996795556505021"/>
      </font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ill>
        <patternFill>
          <fgColor theme="0" tint="-4.9989318521683403E-2"/>
          <bgColor theme="0" tint="-4.9989318521683403E-2"/>
        </patternFill>
      </fill>
    </dxf>
    <dxf>
      <font>
        <b/>
        <sz val="11"/>
        <color theme="1"/>
      </font>
    </dxf>
    <dxf>
      <fill>
        <patternFill patternType="solid">
          <fgColor theme="0"/>
          <bgColor theme="0"/>
        </patternFill>
      </fill>
      <border diagonalUp="0" diagonalDown="0">
        <left/>
        <right/>
        <top/>
        <bottom/>
        <vertical/>
        <horizontal/>
      </border>
    </dxf>
    <dxf>
      <font>
        <b/>
        <sz val="11"/>
        <color theme="1"/>
      </font>
    </dxf>
    <dxf>
      <font>
        <color theme="0"/>
      </font>
      <fill>
        <patternFill patternType="none">
          <fgColor indexed="64"/>
          <bgColor auto="1"/>
        </patternFill>
      </fill>
      <border diagonalUp="0" diagonalDown="0">
        <left/>
        <right/>
        <top/>
        <bottom/>
        <vertical/>
        <horizontal/>
      </border>
    </dxf>
    <dxf>
      <font>
        <b/>
        <sz val="11"/>
        <color theme="1"/>
      </font>
    </dxf>
    <dxf>
      <font>
        <color theme="0"/>
      </font>
      <fill>
        <patternFill patternType="none">
          <fgColor indexed="64"/>
          <bgColor auto="1"/>
        </patternFill>
      </fill>
      <border diagonalUp="0" diagonalDown="0">
        <left/>
        <right/>
        <top/>
        <bottom/>
        <vertical/>
        <horizontal/>
      </border>
    </dxf>
    <dxf>
      <font>
        <b/>
        <sz val="11"/>
        <color theme="1"/>
      </font>
    </dxf>
    <dxf>
      <fill>
        <patternFill patternType="solid">
          <fgColor theme="0"/>
          <bgColor theme="0"/>
        </patternFill>
      </fill>
      <border>
        <left style="thin">
          <color theme="1" tint="-0.499984740745262"/>
        </left>
        <right style="thin">
          <color theme="1" tint="-0.499984740745262"/>
        </right>
        <top style="thin">
          <color theme="1" tint="-0.499984740745262"/>
        </top>
        <bottom style="thin">
          <color theme="1" tint="-0.499984740745262"/>
        </bottom>
      </border>
    </dxf>
  </dxfs>
  <tableStyles count="8" defaultTableStyle="TableStyleMedium2" defaultPivotStyle="PivotStyleLight16">
    <tableStyle name="Estilo de escala de tiempo 1" pivot="0" table="0" count="8" xr9:uid="{5FB745FE-7F0F-4841-82DB-58553D8760DB}">
      <tableStyleElement type="wholeTable" dxfId="388"/>
      <tableStyleElement type="headerRow" dxfId="387"/>
    </tableStyle>
    <tableStyle name="Estilo de escala de tiempo 2" pivot="0" table="0" count="8" xr9:uid="{98535AEA-26B6-4CA0-95B6-65766F5390A3}">
      <tableStyleElement type="wholeTable" dxfId="386"/>
      <tableStyleElement type="headerRow" dxfId="385"/>
    </tableStyle>
    <tableStyle name="Estilo de escala de tiempo 3" pivot="0" table="0" count="8" xr9:uid="{533DE349-6982-4DAC-8C6A-62BC1C125C86}">
      <tableStyleElement type="wholeTable" dxfId="384"/>
      <tableStyleElement type="headerRow" dxfId="383"/>
    </tableStyle>
    <tableStyle name="Estilo de escala de tiempo 4" pivot="0" table="0" count="8" xr9:uid="{4BF80329-40C4-47FC-A8B2-B703959F8FF5}">
      <tableStyleElement type="wholeTable" dxfId="382"/>
      <tableStyleElement type="headerRow" dxfId="381"/>
    </tableStyle>
    <tableStyle name="Estilo de tabla 1" pivot="0" count="1" xr9:uid="{A78B7BA9-E6D4-4FB1-9E45-B37274899C40}">
      <tableStyleElement type="firstRowStripe" dxfId="380"/>
    </tableStyle>
    <tableStyle name="Plantilla de facturación" pivot="0" count="8" xr9:uid="{C2887E2F-358C-4548-B558-38FD30F421A2}">
      <tableStyleElement type="wholeTable" dxfId="379"/>
      <tableStyleElement type="headerRow" dxfId="378"/>
      <tableStyleElement type="totalRow" dxfId="377"/>
      <tableStyleElement type="firstColumn" dxfId="376"/>
      <tableStyleElement type="lastColumn" dxfId="375"/>
      <tableStyleElement type="firstRowStripe" dxfId="374"/>
      <tableStyleElement type="secondRowStripe" dxfId="373"/>
      <tableStyleElement type="firstColumnStripe" dxfId="372"/>
    </tableStyle>
    <tableStyle name="SlicerStyleLight1 2" pivot="0" table="0" count="10" xr9:uid="{F9C9F02F-07E3-4C15-B19F-63EC38002213}">
      <tableStyleElement type="wholeTable" dxfId="371"/>
      <tableStyleElement type="headerRow" dxfId="370"/>
    </tableStyle>
    <tableStyle name="TimeSlicerStyleLight1 2" pivot="0" table="0" count="9" xr9:uid="{DA0AFB3B-EBD6-4C61-8298-2FA90E0DF666}">
      <tableStyleElement type="wholeTable" dxfId="369"/>
      <tableStyleElement type="headerRow" dxfId="368"/>
    </tableStyle>
  </tableStyles>
  <extLst>
    <ext xmlns:x14="http://schemas.microsoft.com/office/spreadsheetml/2009/9/main" uri="{46F421CA-312F-682f-3DD2-61675219B42D}">
      <x14:dxfs count="8"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theme="4" tint="0.79998168889431442"/>
              <bgColor theme="4" tint="0.79998168889431442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theme="4" tint="0.59999389629810485"/>
              <bgColor theme="4" tint="0.59999389629810485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E0E0E0"/>
            </left>
            <right style="thin">
              <color rgb="FFE0E0E0"/>
            </right>
            <top style="thin">
              <color rgb="FFE0E0E0"/>
            </top>
            <bottom style="thin">
              <color rgb="FFE0E0E0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</x14:dxfs>
    </ext>
    <ext xmlns:x14="http://schemas.microsoft.com/office/spreadsheetml/2009/9/main" uri="{EB79DEF2-80B8-43e5-95BD-54CBDDF9020C}">
      <x14:slicerStyles defaultSlicerStyle="SlicerStyleLight1">
        <x14:slicerStyle name="SlicerStyleLight1 2">
          <x14:slicerStyleElements>
            <x14:slicerStyleElement type="unselectedItemWithData" dxfId="7"/>
            <x14:slicerStyleElement type="unselectedItemWithNoData" dxfId="6"/>
            <x14:slicerStyleElement type="selectedItemWithData" dxfId="5"/>
            <x14:slicerStyleElement type="selectedItemWithNoData" dxfId="4"/>
            <x14:slicerStyleElement type="hoveredUnselectedItemWithData" dxfId="3"/>
            <x14:slicerStyleElement type="hoveredSelectedItemWithData" dxfId="2"/>
            <x14:slicerStyleElement type="hoveredUnselectedItemWithNoData" dxfId="1"/>
            <x14:slicerStyleElement type="hoveredSelectedItemWithNoData" dxfId="0"/>
          </x14:slicerStyleElements>
        </x14:slicerStyle>
      </x14:slicerStyles>
    </ext>
    <ext xmlns:x15="http://schemas.microsoft.com/office/spreadsheetml/2010/11/main" uri="{A0A4C193-F2C1-4fcb-8827-314CF55A85BB}">
      <x15:dxfs count="31">
        <dxf>
          <fill>
            <patternFill patternType="solid">
              <fgColor theme="4" tint="0.39997558519241921"/>
              <bgColor theme="4" tint="0.39997558519241921"/>
            </patternFill>
          </fill>
          <border>
            <vertical/>
            <horizontal/>
          </border>
        </dxf>
        <dxf>
          <fill>
            <gradientFill degree="90">
              <stop position="0">
                <color theme="0" tint="-0.14999847407452621"/>
              </stop>
              <stop position="1">
                <color theme="0" tint="-0.14999847407452621"/>
              </stop>
            </gradientFill>
          </fill>
          <border>
            <vertical/>
            <horizontal/>
          </border>
        </dxf>
        <dxf>
          <fill>
            <gradientFill degree="90">
              <stop position="0">
                <color theme="4" tint="0.59999389629810485"/>
              </stop>
              <stop position="1">
                <color theme="4"/>
              </stop>
            </gradientFill>
          </fill>
          <border>
            <vertical/>
            <horizontal/>
          </border>
        </dxf>
        <dxf>
          <font>
            <sz val="9"/>
            <color theme="1" tint="0.499984740745262"/>
          </font>
          <border>
            <left/>
            <right/>
            <top/>
            <bottom/>
            <vertical/>
            <horizontal/>
          </border>
        </dxf>
        <dxf>
          <font>
            <sz val="9"/>
            <color theme="1" tint="0.499984740745262"/>
          </font>
          <border>
            <left/>
            <right/>
            <top/>
            <bottom/>
            <vertical/>
            <horizontal/>
          </border>
        </dxf>
        <dxf>
          <font>
            <sz val="9"/>
            <color theme="1" tint="0.499984740745262"/>
          </font>
          <border>
            <left/>
            <right/>
            <top/>
            <bottom/>
            <vertical/>
            <horizontal/>
          </border>
        </dxf>
        <dxf>
          <font>
            <sz val="10"/>
            <color theme="4" tint="-0.249977111117893"/>
          </font>
          <border>
            <left/>
            <right/>
            <top/>
            <bottom/>
            <vertical/>
            <horizontal/>
          </border>
        </dxf>
        <dxf>
          <fill>
            <patternFill patternType="solid">
              <fgColor theme="0" tint="-0.14999847407452621"/>
              <bgColor theme="0" tint="-0.14999847407452621"/>
            </patternFill>
          </fill>
        </dxf>
        <dxf>
          <fill>
            <patternFill patternType="solid">
              <fgColor theme="0"/>
              <bgColor theme="0"/>
            </patternFill>
          </fill>
        </dxf>
        <dxf>
          <font>
            <sz val="9"/>
            <color theme="1" tint="0.499984740745262"/>
          </font>
        </dxf>
        <dxf>
          <font>
            <sz val="9"/>
            <color theme="1" tint="0.499984740745262"/>
          </font>
        </dxf>
        <dxf>
          <font>
            <sz val="9"/>
            <color theme="1" tint="0.499984740745262"/>
          </font>
        </dxf>
        <dxf>
          <font>
            <sz val="10"/>
            <color theme="1" tint="0.499984740745262"/>
          </font>
        </dxf>
        <dxf>
          <fill>
            <patternFill patternType="solid">
              <fgColor theme="0" tint="-0.14999847407452621"/>
              <bgColor theme="0" tint="-0.14999847407452621"/>
            </patternFill>
          </fill>
        </dxf>
        <dxf>
          <fill>
            <patternFill patternType="solid">
              <fgColor theme="0"/>
              <bgColor theme="0"/>
            </patternFill>
          </fill>
        </dxf>
        <dxf>
          <font>
            <sz val="9"/>
            <color theme="1" tint="0.499984740745262"/>
          </font>
        </dxf>
        <dxf>
          <font>
            <sz val="9"/>
            <color theme="1" tint="0.499984740745262"/>
          </font>
        </dxf>
        <dxf>
          <font>
            <sz val="9"/>
            <color theme="1" tint="0.499984740745262"/>
          </font>
        </dxf>
        <dxf>
          <font>
            <sz val="10"/>
            <color theme="1" tint="0.499984740745262"/>
          </font>
        </dxf>
        <dxf>
          <fill>
            <patternFill patternType="solid">
              <fgColor theme="0" tint="-0.14999847407452621"/>
              <bgColor theme="0" tint="-0.14999847407452621"/>
            </patternFill>
          </fill>
        </dxf>
        <dxf>
          <fill>
            <patternFill patternType="solid">
              <fgColor theme="0"/>
              <bgColor theme="0"/>
            </patternFill>
          </fill>
        </dxf>
        <dxf>
          <font>
            <sz val="9"/>
            <color theme="1" tint="0.499984740745262"/>
          </font>
        </dxf>
        <dxf>
          <font>
            <sz val="9"/>
            <color theme="1" tint="0.499984740745262"/>
          </font>
        </dxf>
        <dxf>
          <font>
            <sz val="9"/>
            <color theme="1" tint="0.499984740745262"/>
          </font>
        </dxf>
        <dxf>
          <font>
            <sz val="10"/>
            <color theme="1" tint="0.499984740745262"/>
          </font>
        </dxf>
        <dxf>
          <fill>
            <patternFill patternType="solid">
              <fgColor theme="0" tint="-0.14999847407452621"/>
              <bgColor theme="0" tint="-0.14999847407452621"/>
            </patternFill>
          </fill>
        </dxf>
        <dxf>
          <fill>
            <patternFill patternType="solid">
              <fgColor theme="0"/>
              <bgColor theme="0"/>
            </patternFill>
          </fill>
        </dxf>
        <dxf>
          <font>
            <sz val="9"/>
            <color theme="1" tint="0.499984740745262"/>
          </font>
        </dxf>
        <dxf>
          <font>
            <sz val="9"/>
            <color theme="1" tint="0.499984740745262"/>
          </font>
        </dxf>
        <dxf>
          <font>
            <sz val="9"/>
            <color theme="1" tint="0.499984740745262"/>
          </font>
        </dxf>
        <dxf>
          <font>
            <sz val="10"/>
            <color theme="1" tint="0.499984740745262"/>
          </font>
        </dxf>
      </x15:dxfs>
    </ext>
    <ext xmlns:x15="http://schemas.microsoft.com/office/spreadsheetml/2010/11/main" uri="{9260A510-F301-46a8-8635-F512D64BE5F5}">
      <x15:timelineStyles defaultTimelineStyle="TimeSlicerStyleLight1">
        <x15:timelineStyle name="Estilo de escala de tiempo 1">
          <x15:timelineStyleElements>
            <x15:timelineStyleElement type="selectionLabel" dxfId="30"/>
            <x15:timelineStyleElement type="timeLevel" dxfId="29"/>
            <x15:timelineStyleElement type="periodLabel1" dxfId="28"/>
            <x15:timelineStyleElement type="periodLabel2" dxfId="27"/>
            <x15:timelineStyleElement type="selectedTimeBlock" dxfId="26"/>
            <x15:timelineStyleElement type="unselectedTimeBlock" dxfId="25"/>
          </x15:timelineStyleElements>
        </x15:timelineStyle>
        <x15:timelineStyle name="Estilo de escala de tiempo 2">
          <x15:timelineStyleElements>
            <x15:timelineStyleElement type="selectionLabel" dxfId="24"/>
            <x15:timelineStyleElement type="timeLevel" dxfId="23"/>
            <x15:timelineStyleElement type="periodLabel1" dxfId="22"/>
            <x15:timelineStyleElement type="periodLabel2" dxfId="21"/>
            <x15:timelineStyleElement type="selectedTimeBlock" dxfId="20"/>
            <x15:timelineStyleElement type="unselectedTimeBlock" dxfId="19"/>
          </x15:timelineStyleElements>
        </x15:timelineStyle>
        <x15:timelineStyle name="Estilo de escala de tiempo 3">
          <x15:timelineStyleElements>
            <x15:timelineStyleElement type="selectionLabel" dxfId="18"/>
            <x15:timelineStyleElement type="timeLevel" dxfId="17"/>
            <x15:timelineStyleElement type="periodLabel1" dxfId="16"/>
            <x15:timelineStyleElement type="periodLabel2" dxfId="15"/>
            <x15:timelineStyleElement type="selectedTimeBlock" dxfId="14"/>
            <x15:timelineStyleElement type="unselectedTimeBlock" dxfId="13"/>
          </x15:timelineStyleElements>
        </x15:timelineStyle>
        <x15:timelineStyle name="Estilo de escala de tiempo 4">
          <x15:timelineStyleElements>
            <x15:timelineStyleElement type="selectionLabel" dxfId="12"/>
            <x15:timelineStyleElement type="timeLevel" dxfId="11"/>
            <x15:timelineStyleElement type="periodLabel1" dxfId="10"/>
            <x15:timelineStyleElement type="periodLabel2" dxfId="9"/>
            <x15:timelineStyleElement type="selectedTimeBlock" dxfId="8"/>
            <x15:timelineStyleElement type="unselectedTimeBlock" dxfId="7"/>
          </x15:timelineStyleElements>
        </x15:timelineStyle>
        <x15:timelineStyle name="TimeSlicerStyleLight1 2">
          <x15:timelineStyleElements>
            <x15:timelineStyleElement type="selectionLabel" dxfId="6"/>
            <x15:timelineStyleElement type="timeLevel" dxfId="5"/>
            <x15:timelineStyleElement type="periodLabel1" dxfId="4"/>
            <x15:timelineStyleElement type="periodLabel2" dxfId="3"/>
            <x15:timelineStyleElement type="selectedTimeBlock" dxfId="2"/>
            <x15:timelineStyleElement type="unselectedTimeBlock" dxfId="1"/>
            <x15:timelineStyleElement type="selectedTimeBlockSpace" dxfId="0"/>
          </x15:timelineStyleElements>
        </x15:timelineStyle>
      </x15:timelineStyles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microsoft.com/office/2007/relationships/slicerCache" Target="slicerCaches/slicerCache1.xml"/><Relationship Id="rId21" Type="http://schemas.openxmlformats.org/officeDocument/2006/relationships/worksheet" Target="worksheets/sheet21.xml"/><Relationship Id="rId34" Type="http://schemas.microsoft.com/office/2017/06/relationships/rdRichValueStructure" Target="richData/rdrichvaluestructure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pivotCacheDefinition" Target="pivotCache/pivotCacheDefinition1.xml"/><Relationship Id="rId33" Type="http://schemas.microsoft.com/office/2017/06/relationships/rdRichValue" Target="richData/rdrichvalue.xml"/><Relationship Id="rId38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microsoft.com/office/2022/10/relationships/richValueRel" Target="richData/richValueRel.xml"/><Relationship Id="rId37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onnections" Target="connections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sharedStrings" Target="sharedStrings.xml"/><Relationship Id="rId35" Type="http://schemas.microsoft.com/office/2017/06/relationships/rdRichValueTypes" Target="richData/rdRichValueType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PAGO Ventas'!A1"/><Relationship Id="rId13" Type="http://schemas.openxmlformats.org/officeDocument/2006/relationships/hyperlink" Target="#'Reporte Conciliaci&#243;n'!A1"/><Relationship Id="rId18" Type="http://schemas.openxmlformats.org/officeDocument/2006/relationships/hyperlink" Target="#'Estado de Resultados'!A1"/><Relationship Id="rId3" Type="http://schemas.openxmlformats.org/officeDocument/2006/relationships/hyperlink" Target="#'F-COMPRA'!A1"/><Relationship Id="rId21" Type="http://schemas.openxmlformats.org/officeDocument/2006/relationships/hyperlink" Target="#'Plantilla-vta'!A1"/><Relationship Id="rId7" Type="http://schemas.openxmlformats.org/officeDocument/2006/relationships/hyperlink" Target="#'F-VTA'!A1"/><Relationship Id="rId12" Type="http://schemas.openxmlformats.org/officeDocument/2006/relationships/hyperlink" Target="#'Conc. Ban.1'!A1"/><Relationship Id="rId17" Type="http://schemas.openxmlformats.org/officeDocument/2006/relationships/hyperlink" Target="#'Estado Situaci&#243;n'!A1"/><Relationship Id="rId2" Type="http://schemas.openxmlformats.org/officeDocument/2006/relationships/hyperlink" Target="#'Inventario Mov BD-1'!A1"/><Relationship Id="rId16" Type="http://schemas.openxmlformats.org/officeDocument/2006/relationships/hyperlink" Target="#BDContabilizaci&#243;n!A1"/><Relationship Id="rId20" Type="http://schemas.openxmlformats.org/officeDocument/2006/relationships/hyperlink" Target="#'Categor&#237;as inventario'!A1"/><Relationship Id="rId1" Type="http://schemas.openxmlformats.org/officeDocument/2006/relationships/hyperlink" Target="#'Inventario Prod. BD-2'!A1"/><Relationship Id="rId6" Type="http://schemas.openxmlformats.org/officeDocument/2006/relationships/hyperlink" Target="#'BD-Tercero Proveedores'!A1"/><Relationship Id="rId11" Type="http://schemas.openxmlformats.org/officeDocument/2006/relationships/hyperlink" Target="#CompConta!A1"/><Relationship Id="rId5" Type="http://schemas.openxmlformats.org/officeDocument/2006/relationships/hyperlink" Target="#PAGOCompbusc!A1"/><Relationship Id="rId15" Type="http://schemas.openxmlformats.org/officeDocument/2006/relationships/hyperlink" Target="#'Balance de Comprobaci&#243;n'!A1"/><Relationship Id="rId10" Type="http://schemas.openxmlformats.org/officeDocument/2006/relationships/hyperlink" Target="#'BD-Tercero Clientes'!A1"/><Relationship Id="rId19" Type="http://schemas.openxmlformats.org/officeDocument/2006/relationships/hyperlink" Target="#PUC!A1"/><Relationship Id="rId4" Type="http://schemas.openxmlformats.org/officeDocument/2006/relationships/hyperlink" Target="#'PAGO Compras'!A1"/><Relationship Id="rId9" Type="http://schemas.openxmlformats.org/officeDocument/2006/relationships/hyperlink" Target="#Pagovtasbusc!A1"/><Relationship Id="rId14" Type="http://schemas.openxmlformats.org/officeDocument/2006/relationships/hyperlink" Target="#Depreciaci&#243;n!A1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'BD-Tercero Clientes'!A1"/><Relationship Id="rId2" Type="http://schemas.openxmlformats.org/officeDocument/2006/relationships/hyperlink" Target="#'F-VTA'!A1"/><Relationship Id="rId1" Type="http://schemas.openxmlformats.org/officeDocument/2006/relationships/hyperlink" Target="#INICIO!A1"/><Relationship Id="rId6" Type="http://schemas.openxmlformats.org/officeDocument/2006/relationships/hyperlink" Target="#'Conc. Ban.1'!A1"/><Relationship Id="rId5" Type="http://schemas.openxmlformats.org/officeDocument/2006/relationships/hyperlink" Target="#'PAGO Ventas'!A1"/><Relationship Id="rId4" Type="http://schemas.openxmlformats.org/officeDocument/2006/relationships/hyperlink" Target="#'Plantilla-vta'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'F-COMPRA'!A1"/><Relationship Id="rId2" Type="http://schemas.openxmlformats.org/officeDocument/2006/relationships/hyperlink" Target="#INICIO!A1"/><Relationship Id="rId1" Type="http://schemas.openxmlformats.org/officeDocument/2006/relationships/hyperlink" Target="#'BD-Tercero Proveedores'!A1"/><Relationship Id="rId5" Type="http://schemas.openxmlformats.org/officeDocument/2006/relationships/hyperlink" Target="#'Conc. Ban.1'!A1"/><Relationship Id="rId4" Type="http://schemas.openxmlformats.org/officeDocument/2006/relationships/hyperlink" Target="#'PAGO Compras'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'F-VTA'!A1"/><Relationship Id="rId2" Type="http://schemas.openxmlformats.org/officeDocument/2006/relationships/hyperlink" Target="#Pagovtasbusc!A1"/><Relationship Id="rId1" Type="http://schemas.openxmlformats.org/officeDocument/2006/relationships/hyperlink" Target="#INICIO!A1"/><Relationship Id="rId6" Type="http://schemas.openxmlformats.org/officeDocument/2006/relationships/hyperlink" Target="#'Conc. Ban.1'!A1"/><Relationship Id="rId5" Type="http://schemas.openxmlformats.org/officeDocument/2006/relationships/hyperlink" Target="#'Plantilla-vta'!A1"/><Relationship Id="rId4" Type="http://schemas.openxmlformats.org/officeDocument/2006/relationships/hyperlink" Target="#'BD-Tercero Clientes'!A1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#INICIO!A1"/><Relationship Id="rId2" Type="http://schemas.openxmlformats.org/officeDocument/2006/relationships/hyperlink" Target="#'BD-Tercero Proveedores'!A1"/><Relationship Id="rId1" Type="http://schemas.openxmlformats.org/officeDocument/2006/relationships/hyperlink" Target="#PAGOCompbusc!A1"/><Relationship Id="rId5" Type="http://schemas.openxmlformats.org/officeDocument/2006/relationships/hyperlink" Target="#'Conc. Ban.1'!A1"/><Relationship Id="rId4" Type="http://schemas.openxmlformats.org/officeDocument/2006/relationships/hyperlink" Target="#'F-COMPRA'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INICIO!A1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hyperlink" Target="#'Inventario Mov BD-1'!A1"/><Relationship Id="rId2" Type="http://schemas.openxmlformats.org/officeDocument/2006/relationships/hyperlink" Target="#'Inventario Prod. BD-2'!A1"/><Relationship Id="rId1" Type="http://schemas.openxmlformats.org/officeDocument/2006/relationships/hyperlink" Target="#INICIO!A1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hyperlink" Target="#'Inventario Prod. BD-2'!A1"/><Relationship Id="rId2" Type="http://schemas.openxmlformats.org/officeDocument/2006/relationships/hyperlink" Target="#INICIO!A1"/><Relationship Id="rId1" Type="http://schemas.openxmlformats.org/officeDocument/2006/relationships/hyperlink" Target="#'Categor&#237;as inventario'!A1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hyperlink" Target="#'Categor&#237;as inventario'!A1"/><Relationship Id="rId2" Type="http://schemas.openxmlformats.org/officeDocument/2006/relationships/hyperlink" Target="#INICIO!A1"/><Relationship Id="rId1" Type="http://schemas.openxmlformats.org/officeDocument/2006/relationships/hyperlink" Target="#'Inventario Mov BD-1'!A1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hyperlink" Target="#INICIO!A1"/><Relationship Id="rId1" Type="http://schemas.openxmlformats.org/officeDocument/2006/relationships/hyperlink" Target="#'Conc. Ban.1'!A1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hyperlink" Target="#'BD-Tercero Proveedores'!A1"/><Relationship Id="rId2" Type="http://schemas.openxmlformats.org/officeDocument/2006/relationships/hyperlink" Target="#PAGOCompbusc!A1"/><Relationship Id="rId1" Type="http://schemas.openxmlformats.org/officeDocument/2006/relationships/hyperlink" Target="#'PAGO Compras'!A1"/><Relationship Id="rId4" Type="http://schemas.openxmlformats.org/officeDocument/2006/relationships/hyperlink" Target="#INICIO!A1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hyperlink" Target="#Pagovtasbusc!A1"/><Relationship Id="rId2" Type="http://schemas.openxmlformats.org/officeDocument/2006/relationships/hyperlink" Target="#'PAGO Ventas'!A1"/><Relationship Id="rId1" Type="http://schemas.openxmlformats.org/officeDocument/2006/relationships/hyperlink" Target="#INICIO!A1"/><Relationship Id="rId5" Type="http://schemas.openxmlformats.org/officeDocument/2006/relationships/hyperlink" Target="#'Plantilla-vta'!A1"/><Relationship Id="rId4" Type="http://schemas.openxmlformats.org/officeDocument/2006/relationships/hyperlink" Target="#'BD-Tercero Clientes'!A1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hyperlink" Target="#Pagovtasbusc!A1"/><Relationship Id="rId2" Type="http://schemas.openxmlformats.org/officeDocument/2006/relationships/hyperlink" Target="#'PAGO Ventas'!A1"/><Relationship Id="rId1" Type="http://schemas.openxmlformats.org/officeDocument/2006/relationships/hyperlink" Target="#INICIO!A1"/><Relationship Id="rId5" Type="http://schemas.openxmlformats.org/officeDocument/2006/relationships/hyperlink" Target="#'BD-Tercero Clientes'!A1"/><Relationship Id="rId4" Type="http://schemas.openxmlformats.org/officeDocument/2006/relationships/hyperlink" Target="#'F-VTA'!A1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hyperlink" Target="#'Plantilla-vta'!A1"/><Relationship Id="rId2" Type="http://schemas.openxmlformats.org/officeDocument/2006/relationships/hyperlink" Target="#'F-VTA'!A1"/><Relationship Id="rId1" Type="http://schemas.openxmlformats.org/officeDocument/2006/relationships/hyperlink" Target="#INICIO!A1"/><Relationship Id="rId5" Type="http://schemas.openxmlformats.org/officeDocument/2006/relationships/hyperlink" Target="#Pagovtasbusc!A1"/><Relationship Id="rId4" Type="http://schemas.openxmlformats.org/officeDocument/2006/relationships/hyperlink" Target="#'PAGO Ventas'!A1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hyperlink" Target="#'PAGO Compras'!A1"/><Relationship Id="rId2" Type="http://schemas.openxmlformats.org/officeDocument/2006/relationships/hyperlink" Target="#'F-COMPRA'!A1"/><Relationship Id="rId1" Type="http://schemas.openxmlformats.org/officeDocument/2006/relationships/hyperlink" Target="#INICIO!A1"/><Relationship Id="rId4" Type="http://schemas.openxmlformats.org/officeDocument/2006/relationships/hyperlink" Target="#PAGOCompbusc!A1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hyperlink" Target="#CompConta!A1"/><Relationship Id="rId2" Type="http://schemas.openxmlformats.org/officeDocument/2006/relationships/hyperlink" Target="#INICIO!A1"/><Relationship Id="rId1" Type="http://schemas.openxmlformats.org/officeDocument/2006/relationships/hyperlink" Target="#PAGOCompbusc!A1"/><Relationship Id="rId5" Type="http://schemas.openxmlformats.org/officeDocument/2006/relationships/hyperlink" Target="#'Reporte Conciliaci&#243;n'!A1"/><Relationship Id="rId4" Type="http://schemas.openxmlformats.org/officeDocument/2006/relationships/hyperlink" Target="#Pagovtasbusc!A1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hyperlink" Target="#CompConta!A1"/><Relationship Id="rId2" Type="http://schemas.openxmlformats.org/officeDocument/2006/relationships/hyperlink" Target="#INICIO!A1"/><Relationship Id="rId1" Type="http://schemas.openxmlformats.org/officeDocument/2006/relationships/hyperlink" Target="#PAGOCompbusc!A1"/><Relationship Id="rId5" Type="http://schemas.openxmlformats.org/officeDocument/2006/relationships/hyperlink" Target="#'Conc. Ban.1'!A1"/><Relationship Id="rId4" Type="http://schemas.openxmlformats.org/officeDocument/2006/relationships/hyperlink" Target="#Pagovtasbusc!A1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hyperlink" Target="#CompConta!A1"/><Relationship Id="rId1" Type="http://schemas.openxmlformats.org/officeDocument/2006/relationships/hyperlink" Target="#INICIO!A1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hyperlink" Target="#INICIO!A1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hyperlink" Target="#INICIO!A1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hyperlink" Target="#INICIO!A1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hyperlink" Target="#INICIO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24</xdr:row>
      <xdr:rowOff>0</xdr:rowOff>
    </xdr:from>
    <xdr:to>
      <xdr:col>2</xdr:col>
      <xdr:colOff>447675</xdr:colOff>
      <xdr:row>26</xdr:row>
      <xdr:rowOff>9525</xdr:rowOff>
    </xdr:to>
    <xdr:sp macro="" textlink="">
      <xdr:nvSpPr>
        <xdr:cNvPr id="2" name="Rectángulo: esquinas redondeada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ACC51B5-9383-F949-3A07-11947C8EA008}"/>
            </a:ext>
          </a:extLst>
        </xdr:cNvPr>
        <xdr:cNvSpPr/>
      </xdr:nvSpPr>
      <xdr:spPr>
        <a:xfrm>
          <a:off x="723900" y="4791075"/>
          <a:ext cx="1809750" cy="371475"/>
        </a:xfrm>
        <a:prstGeom prst="roundRect">
          <a:avLst/>
        </a:prstGeom>
        <a:solidFill>
          <a:schemeClr val="bg1"/>
        </a:solidFill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400" b="1">
              <a:solidFill>
                <a:schemeClr val="tx1"/>
              </a:solidFill>
            </a:rPr>
            <a:t>INVENTARIO </a:t>
          </a:r>
          <a:endParaRPr lang="es-CO" sz="1100" b="1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857249</xdr:colOff>
      <xdr:row>23</xdr:row>
      <xdr:rowOff>171450</xdr:rowOff>
    </xdr:from>
    <xdr:to>
      <xdr:col>5</xdr:col>
      <xdr:colOff>66675</xdr:colOff>
      <xdr:row>26</xdr:row>
      <xdr:rowOff>0</xdr:rowOff>
    </xdr:to>
    <xdr:sp macro="" textlink="">
      <xdr:nvSpPr>
        <xdr:cNvPr id="5" name="Rectángulo: esquinas redondeadas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FA7C31FD-4D8C-4E2C-BE90-3F239245A973}"/>
            </a:ext>
          </a:extLst>
        </xdr:cNvPr>
        <xdr:cNvSpPr/>
      </xdr:nvSpPr>
      <xdr:spPr>
        <a:xfrm>
          <a:off x="2943224" y="4781550"/>
          <a:ext cx="2209801" cy="371475"/>
        </a:xfrm>
        <a:prstGeom prst="roundRect">
          <a:avLst/>
        </a:prstGeom>
        <a:solidFill>
          <a:schemeClr val="bg1"/>
        </a:solidFill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400" b="1">
              <a:solidFill>
                <a:schemeClr val="tx1"/>
              </a:solidFill>
            </a:rPr>
            <a:t>BASE DATOS INVENTARIO </a:t>
          </a:r>
          <a:endParaRPr lang="es-CO" sz="11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0</xdr:colOff>
      <xdr:row>29</xdr:row>
      <xdr:rowOff>66675</xdr:rowOff>
    </xdr:from>
    <xdr:to>
      <xdr:col>2</xdr:col>
      <xdr:colOff>409575</xdr:colOff>
      <xdr:row>31</xdr:row>
      <xdr:rowOff>76200</xdr:rowOff>
    </xdr:to>
    <xdr:sp macro="" textlink="">
      <xdr:nvSpPr>
        <xdr:cNvPr id="6" name="Rectángulo: esquinas redondeadas 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8CD6DF52-6BAA-4C65-BDF8-E7FAC6419650}"/>
            </a:ext>
          </a:extLst>
        </xdr:cNvPr>
        <xdr:cNvSpPr/>
      </xdr:nvSpPr>
      <xdr:spPr>
        <a:xfrm>
          <a:off x="685800" y="5581650"/>
          <a:ext cx="1809750" cy="371475"/>
        </a:xfrm>
        <a:prstGeom prst="roundRect">
          <a:avLst/>
        </a:prstGeom>
        <a:solidFill>
          <a:schemeClr val="bg1"/>
        </a:solidFill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400" b="1">
              <a:solidFill>
                <a:schemeClr val="tx1"/>
              </a:solidFill>
            </a:rPr>
            <a:t>NUEVA</a:t>
          </a:r>
          <a:r>
            <a:rPr lang="es-CO" sz="1400" b="1" baseline="0">
              <a:solidFill>
                <a:schemeClr val="tx1"/>
              </a:solidFill>
            </a:rPr>
            <a:t> COMPRA</a:t>
          </a:r>
          <a:r>
            <a:rPr lang="es-CO" sz="1400" b="1">
              <a:solidFill>
                <a:schemeClr val="tx1"/>
              </a:solidFill>
            </a:rPr>
            <a:t> </a:t>
          </a:r>
          <a:endParaRPr lang="es-CO" sz="1100" b="1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809625</xdr:colOff>
      <xdr:row>29</xdr:row>
      <xdr:rowOff>38100</xdr:rowOff>
    </xdr:from>
    <xdr:to>
      <xdr:col>4</xdr:col>
      <xdr:colOff>923925</xdr:colOff>
      <xdr:row>31</xdr:row>
      <xdr:rowOff>47625</xdr:rowOff>
    </xdr:to>
    <xdr:sp macro="" textlink="">
      <xdr:nvSpPr>
        <xdr:cNvPr id="7" name="Rectángulo: esquinas redondeadas 6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9C13BCA1-8EA5-4A5D-8D6B-15B1D9A05926}"/>
            </a:ext>
          </a:extLst>
        </xdr:cNvPr>
        <xdr:cNvSpPr/>
      </xdr:nvSpPr>
      <xdr:spPr>
        <a:xfrm>
          <a:off x="2895600" y="5553075"/>
          <a:ext cx="1809750" cy="371475"/>
        </a:xfrm>
        <a:prstGeom prst="roundRect">
          <a:avLst/>
        </a:prstGeom>
        <a:solidFill>
          <a:schemeClr val="bg1"/>
        </a:solidFill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400" b="1">
              <a:solidFill>
                <a:schemeClr val="tx1"/>
              </a:solidFill>
            </a:rPr>
            <a:t>PAGO</a:t>
          </a:r>
          <a:r>
            <a:rPr lang="es-CO" sz="1400" b="1" baseline="0">
              <a:solidFill>
                <a:schemeClr val="tx1"/>
              </a:solidFill>
            </a:rPr>
            <a:t> COMPRA</a:t>
          </a:r>
          <a:r>
            <a:rPr lang="es-CO" sz="1400" b="1">
              <a:solidFill>
                <a:schemeClr val="tx1"/>
              </a:solidFill>
            </a:rPr>
            <a:t> </a:t>
          </a:r>
          <a:endParaRPr lang="es-CO" sz="1100" b="1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1219200</xdr:colOff>
      <xdr:row>29</xdr:row>
      <xdr:rowOff>38100</xdr:rowOff>
    </xdr:from>
    <xdr:to>
      <xdr:col>7</xdr:col>
      <xdr:colOff>485775</xdr:colOff>
      <xdr:row>31</xdr:row>
      <xdr:rowOff>47625</xdr:rowOff>
    </xdr:to>
    <xdr:sp macro="" textlink="">
      <xdr:nvSpPr>
        <xdr:cNvPr id="8" name="Rectángulo: esquinas redondeadas 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BC555C24-9E28-4EEA-923E-9856AE7827D1}"/>
            </a:ext>
          </a:extLst>
        </xdr:cNvPr>
        <xdr:cNvSpPr/>
      </xdr:nvSpPr>
      <xdr:spPr>
        <a:xfrm>
          <a:off x="5000625" y="5553075"/>
          <a:ext cx="2247900" cy="371475"/>
        </a:xfrm>
        <a:prstGeom prst="roundRect">
          <a:avLst/>
        </a:prstGeom>
        <a:solidFill>
          <a:schemeClr val="bg1"/>
        </a:solidFill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400" b="1">
              <a:solidFill>
                <a:schemeClr val="tx1"/>
              </a:solidFill>
            </a:rPr>
            <a:t>BUSCAR</a:t>
          </a:r>
          <a:r>
            <a:rPr lang="es-CO" sz="1400" b="1" baseline="0">
              <a:solidFill>
                <a:schemeClr val="tx1"/>
              </a:solidFill>
            </a:rPr>
            <a:t> </a:t>
          </a:r>
          <a:r>
            <a:rPr lang="es-CO" sz="1400" b="1">
              <a:solidFill>
                <a:schemeClr val="tx1"/>
              </a:solidFill>
            </a:rPr>
            <a:t>PAGO</a:t>
          </a:r>
          <a:r>
            <a:rPr lang="es-CO" sz="1400" b="1" baseline="0">
              <a:solidFill>
                <a:schemeClr val="tx1"/>
              </a:solidFill>
            </a:rPr>
            <a:t> COMPRA</a:t>
          </a:r>
          <a:r>
            <a:rPr lang="es-CO" sz="1400" b="1">
              <a:solidFill>
                <a:schemeClr val="tx1"/>
              </a:solidFill>
            </a:rPr>
            <a:t> </a:t>
          </a:r>
          <a:endParaRPr lang="es-CO" sz="1100" b="1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638175</xdr:colOff>
      <xdr:row>29</xdr:row>
      <xdr:rowOff>28575</xdr:rowOff>
    </xdr:from>
    <xdr:to>
      <xdr:col>8</xdr:col>
      <xdr:colOff>1276350</xdr:colOff>
      <xdr:row>31</xdr:row>
      <xdr:rowOff>38100</xdr:rowOff>
    </xdr:to>
    <xdr:sp macro="" textlink="">
      <xdr:nvSpPr>
        <xdr:cNvPr id="9" name="Rectángulo: esquinas redondeadas 8">
          <a:extLst>
            <a:ext uri="{FF2B5EF4-FFF2-40B4-BE49-F238E27FC236}">
              <a16:creationId xmlns:a16="http://schemas.microsoft.com/office/drawing/2014/main" id="{9F05726E-0CAA-483A-80DA-AB98C59E8239}"/>
            </a:ext>
          </a:extLst>
        </xdr:cNvPr>
        <xdr:cNvSpPr/>
      </xdr:nvSpPr>
      <xdr:spPr>
        <a:xfrm>
          <a:off x="7400925" y="5543550"/>
          <a:ext cx="1781175" cy="371475"/>
        </a:xfrm>
        <a:prstGeom prst="roundRect">
          <a:avLst/>
        </a:prstGeom>
        <a:solidFill>
          <a:schemeClr val="bg1"/>
        </a:solidFill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400" b="1">
              <a:solidFill>
                <a:schemeClr val="tx1"/>
              </a:solidFill>
            </a:rPr>
            <a:t>CREAR PROVEEDOR</a:t>
          </a:r>
          <a:endParaRPr lang="es-CO" sz="1100" b="1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1428750</xdr:colOff>
      <xdr:row>29</xdr:row>
      <xdr:rowOff>38100</xdr:rowOff>
    </xdr:from>
    <xdr:to>
      <xdr:col>11</xdr:col>
      <xdr:colOff>171450</xdr:colOff>
      <xdr:row>31</xdr:row>
      <xdr:rowOff>47625</xdr:rowOff>
    </xdr:to>
    <xdr:sp macro="" textlink="">
      <xdr:nvSpPr>
        <xdr:cNvPr id="10" name="Rectángulo: esquinas redondeadas 9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BF643F75-0931-4103-993D-6877AA87355F}"/>
            </a:ext>
          </a:extLst>
        </xdr:cNvPr>
        <xdr:cNvSpPr/>
      </xdr:nvSpPr>
      <xdr:spPr>
        <a:xfrm>
          <a:off x="9334500" y="5553075"/>
          <a:ext cx="1781175" cy="371475"/>
        </a:xfrm>
        <a:prstGeom prst="roundRect">
          <a:avLst/>
        </a:prstGeom>
        <a:solidFill>
          <a:schemeClr val="bg1"/>
        </a:solidFill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400" b="1">
              <a:solidFill>
                <a:schemeClr val="tx1"/>
              </a:solidFill>
            </a:rPr>
            <a:t>BASE DATOS PROV.</a:t>
          </a:r>
          <a:endParaRPr lang="es-CO" sz="11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0</xdr:colOff>
      <xdr:row>34</xdr:row>
      <xdr:rowOff>38100</xdr:rowOff>
    </xdr:from>
    <xdr:to>
      <xdr:col>2</xdr:col>
      <xdr:colOff>409575</xdr:colOff>
      <xdr:row>36</xdr:row>
      <xdr:rowOff>47625</xdr:rowOff>
    </xdr:to>
    <xdr:sp macro="" textlink="">
      <xdr:nvSpPr>
        <xdr:cNvPr id="11" name="Rectángulo: esquinas redondeadas 10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3B2C9D5A-E1E1-4D6D-84CE-372BB54ADA2C}"/>
            </a:ext>
          </a:extLst>
        </xdr:cNvPr>
        <xdr:cNvSpPr/>
      </xdr:nvSpPr>
      <xdr:spPr>
        <a:xfrm>
          <a:off x="685800" y="6276975"/>
          <a:ext cx="1809750" cy="371475"/>
        </a:xfrm>
        <a:prstGeom prst="roundRect">
          <a:avLst/>
        </a:prstGeom>
        <a:solidFill>
          <a:schemeClr val="bg1"/>
        </a:solidFill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400" b="1">
              <a:solidFill>
                <a:schemeClr val="tx1"/>
              </a:solidFill>
            </a:rPr>
            <a:t>NUEVA</a:t>
          </a:r>
          <a:r>
            <a:rPr lang="es-CO" sz="1400" b="1" baseline="0">
              <a:solidFill>
                <a:schemeClr val="tx1"/>
              </a:solidFill>
            </a:rPr>
            <a:t> VENTA</a:t>
          </a:r>
          <a:r>
            <a:rPr lang="es-CO" sz="1400" b="1">
              <a:solidFill>
                <a:schemeClr val="tx1"/>
              </a:solidFill>
            </a:rPr>
            <a:t> </a:t>
          </a:r>
          <a:endParaRPr lang="es-CO" sz="1100" b="1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809625</xdr:colOff>
      <xdr:row>34</xdr:row>
      <xdr:rowOff>9525</xdr:rowOff>
    </xdr:from>
    <xdr:to>
      <xdr:col>4</xdr:col>
      <xdr:colOff>923925</xdr:colOff>
      <xdr:row>36</xdr:row>
      <xdr:rowOff>19050</xdr:rowOff>
    </xdr:to>
    <xdr:sp macro="" textlink="">
      <xdr:nvSpPr>
        <xdr:cNvPr id="12" name="Rectángulo: esquinas redondeadas 11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B83922E5-5D1F-446A-A827-3FC8D8E16641}"/>
            </a:ext>
          </a:extLst>
        </xdr:cNvPr>
        <xdr:cNvSpPr/>
      </xdr:nvSpPr>
      <xdr:spPr>
        <a:xfrm>
          <a:off x="2895600" y="6248400"/>
          <a:ext cx="1809750" cy="371475"/>
        </a:xfrm>
        <a:prstGeom prst="roundRect">
          <a:avLst/>
        </a:prstGeom>
        <a:solidFill>
          <a:schemeClr val="bg1"/>
        </a:solidFill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400" b="1">
              <a:solidFill>
                <a:schemeClr val="tx1"/>
              </a:solidFill>
            </a:rPr>
            <a:t>RECAUDO</a:t>
          </a:r>
          <a:r>
            <a:rPr lang="es-CO" sz="1400" b="1" baseline="0">
              <a:solidFill>
                <a:schemeClr val="tx1"/>
              </a:solidFill>
            </a:rPr>
            <a:t> VENTA</a:t>
          </a:r>
          <a:r>
            <a:rPr lang="es-CO" sz="1400" b="1">
              <a:solidFill>
                <a:schemeClr val="tx1"/>
              </a:solidFill>
            </a:rPr>
            <a:t> </a:t>
          </a:r>
          <a:endParaRPr lang="es-CO" sz="1100" b="1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1219200</xdr:colOff>
      <xdr:row>34</xdr:row>
      <xdr:rowOff>9525</xdr:rowOff>
    </xdr:from>
    <xdr:to>
      <xdr:col>7</xdr:col>
      <xdr:colOff>485775</xdr:colOff>
      <xdr:row>36</xdr:row>
      <xdr:rowOff>19050</xdr:rowOff>
    </xdr:to>
    <xdr:sp macro="" textlink="">
      <xdr:nvSpPr>
        <xdr:cNvPr id="13" name="Rectángulo: esquinas redondeadas 12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4D55CFBA-4A37-4851-9079-96853A4BCDA7}"/>
            </a:ext>
          </a:extLst>
        </xdr:cNvPr>
        <xdr:cNvSpPr/>
      </xdr:nvSpPr>
      <xdr:spPr>
        <a:xfrm>
          <a:off x="5000625" y="6248400"/>
          <a:ext cx="2247900" cy="371475"/>
        </a:xfrm>
        <a:prstGeom prst="roundRect">
          <a:avLst/>
        </a:prstGeom>
        <a:solidFill>
          <a:schemeClr val="bg1"/>
        </a:solidFill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400" b="1">
              <a:solidFill>
                <a:schemeClr val="tx1"/>
              </a:solidFill>
            </a:rPr>
            <a:t>BUSCAR</a:t>
          </a:r>
          <a:r>
            <a:rPr lang="es-CO" sz="1400" b="1" baseline="0">
              <a:solidFill>
                <a:schemeClr val="tx1"/>
              </a:solidFill>
            </a:rPr>
            <a:t> </a:t>
          </a:r>
          <a:r>
            <a:rPr lang="es-CO" sz="1400" b="1">
              <a:solidFill>
                <a:schemeClr val="tx1"/>
              </a:solidFill>
            </a:rPr>
            <a:t>RECAUDO VTA</a:t>
          </a:r>
          <a:endParaRPr lang="es-CO" sz="1100" b="1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638175</xdr:colOff>
      <xdr:row>34</xdr:row>
      <xdr:rowOff>0</xdr:rowOff>
    </xdr:from>
    <xdr:to>
      <xdr:col>8</xdr:col>
      <xdr:colOff>1276350</xdr:colOff>
      <xdr:row>36</xdr:row>
      <xdr:rowOff>9525</xdr:rowOff>
    </xdr:to>
    <xdr:sp macro="" textlink="">
      <xdr:nvSpPr>
        <xdr:cNvPr id="14" name="Rectángulo: esquinas redondeadas 13">
          <a:extLst>
            <a:ext uri="{FF2B5EF4-FFF2-40B4-BE49-F238E27FC236}">
              <a16:creationId xmlns:a16="http://schemas.microsoft.com/office/drawing/2014/main" id="{9531C6DB-EA00-4F56-9454-951E46BC900C}"/>
            </a:ext>
          </a:extLst>
        </xdr:cNvPr>
        <xdr:cNvSpPr/>
      </xdr:nvSpPr>
      <xdr:spPr>
        <a:xfrm>
          <a:off x="7400925" y="6238875"/>
          <a:ext cx="1781175" cy="371475"/>
        </a:xfrm>
        <a:prstGeom prst="roundRect">
          <a:avLst/>
        </a:prstGeom>
        <a:solidFill>
          <a:schemeClr val="bg1"/>
        </a:solidFill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400" b="1">
              <a:solidFill>
                <a:schemeClr val="tx1"/>
              </a:solidFill>
            </a:rPr>
            <a:t>CREAR</a:t>
          </a:r>
          <a:r>
            <a:rPr lang="es-CO" sz="1400" b="1" baseline="0">
              <a:solidFill>
                <a:schemeClr val="tx1"/>
              </a:solidFill>
            </a:rPr>
            <a:t> CLIENTE</a:t>
          </a:r>
          <a:endParaRPr lang="es-CO" sz="1100" b="1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1428750</xdr:colOff>
      <xdr:row>34</xdr:row>
      <xdr:rowOff>9525</xdr:rowOff>
    </xdr:from>
    <xdr:to>
      <xdr:col>11</xdr:col>
      <xdr:colOff>171450</xdr:colOff>
      <xdr:row>36</xdr:row>
      <xdr:rowOff>19050</xdr:rowOff>
    </xdr:to>
    <xdr:sp macro="" textlink="">
      <xdr:nvSpPr>
        <xdr:cNvPr id="15" name="Rectángulo: esquinas redondeadas 14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9EF07CA7-BB28-4A17-A951-9B91AFBCD53C}"/>
            </a:ext>
          </a:extLst>
        </xdr:cNvPr>
        <xdr:cNvSpPr/>
      </xdr:nvSpPr>
      <xdr:spPr>
        <a:xfrm>
          <a:off x="9334500" y="6248400"/>
          <a:ext cx="1781175" cy="371475"/>
        </a:xfrm>
        <a:prstGeom prst="roundRect">
          <a:avLst/>
        </a:prstGeom>
        <a:solidFill>
          <a:schemeClr val="bg1"/>
        </a:solidFill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400" b="1">
              <a:solidFill>
                <a:schemeClr val="tx1"/>
              </a:solidFill>
            </a:rPr>
            <a:t>BASE DATOS CLIENT.</a:t>
          </a:r>
          <a:endParaRPr lang="es-CO" sz="11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0</xdr:colOff>
      <xdr:row>39</xdr:row>
      <xdr:rowOff>66675</xdr:rowOff>
    </xdr:from>
    <xdr:to>
      <xdr:col>2</xdr:col>
      <xdr:colOff>619125</xdr:colOff>
      <xdr:row>41</xdr:row>
      <xdr:rowOff>76200</xdr:rowOff>
    </xdr:to>
    <xdr:sp macro="" textlink="">
      <xdr:nvSpPr>
        <xdr:cNvPr id="16" name="Rectángulo: esquinas redondeadas 15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C4E30EA8-AB63-4DC4-A695-7B0EB8FB15CE}"/>
            </a:ext>
          </a:extLst>
        </xdr:cNvPr>
        <xdr:cNvSpPr/>
      </xdr:nvSpPr>
      <xdr:spPr>
        <a:xfrm>
          <a:off x="685800" y="7029450"/>
          <a:ext cx="2019300" cy="371475"/>
        </a:xfrm>
        <a:prstGeom prst="roundRect">
          <a:avLst/>
        </a:prstGeom>
        <a:solidFill>
          <a:schemeClr val="bg1"/>
        </a:solidFill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400" b="1">
              <a:solidFill>
                <a:schemeClr val="tx1"/>
              </a:solidFill>
            </a:rPr>
            <a:t>NUEVO</a:t>
          </a:r>
          <a:r>
            <a:rPr lang="es-CO" sz="1400" b="1" baseline="0">
              <a:solidFill>
                <a:schemeClr val="tx1"/>
              </a:solidFill>
            </a:rPr>
            <a:t> COMPROBANTE</a:t>
          </a:r>
          <a:r>
            <a:rPr lang="es-CO" sz="1400" b="1">
              <a:solidFill>
                <a:schemeClr val="tx1"/>
              </a:solidFill>
            </a:rPr>
            <a:t> </a:t>
          </a:r>
          <a:endParaRPr lang="es-CO" sz="11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9525</xdr:colOff>
      <xdr:row>44</xdr:row>
      <xdr:rowOff>9525</xdr:rowOff>
    </xdr:from>
    <xdr:to>
      <xdr:col>2</xdr:col>
      <xdr:colOff>762000</xdr:colOff>
      <xdr:row>46</xdr:row>
      <xdr:rowOff>19050</xdr:rowOff>
    </xdr:to>
    <xdr:sp macro="" textlink="">
      <xdr:nvSpPr>
        <xdr:cNvPr id="17" name="Rectángulo: esquinas redondeadas 16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B6052118-CBF8-4FD4-B1C1-0947405F4B99}"/>
            </a:ext>
          </a:extLst>
        </xdr:cNvPr>
        <xdr:cNvSpPr/>
      </xdr:nvSpPr>
      <xdr:spPr>
        <a:xfrm>
          <a:off x="695325" y="8420100"/>
          <a:ext cx="2152650" cy="371475"/>
        </a:xfrm>
        <a:prstGeom prst="roundRect">
          <a:avLst/>
        </a:prstGeom>
        <a:solidFill>
          <a:schemeClr val="bg1"/>
        </a:solidFill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400" b="1">
              <a:solidFill>
                <a:schemeClr val="tx1"/>
              </a:solidFill>
            </a:rPr>
            <a:t>CONCILIACIÓN BANCARIA</a:t>
          </a:r>
          <a:endParaRPr lang="es-CO" sz="1100" b="1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914400</xdr:colOff>
      <xdr:row>44</xdr:row>
      <xdr:rowOff>9525</xdr:rowOff>
    </xdr:from>
    <xdr:to>
      <xdr:col>5</xdr:col>
      <xdr:colOff>66675</xdr:colOff>
      <xdr:row>46</xdr:row>
      <xdr:rowOff>19050</xdr:rowOff>
    </xdr:to>
    <xdr:sp macro="" textlink="">
      <xdr:nvSpPr>
        <xdr:cNvPr id="18" name="Rectángulo: esquinas redondeadas 17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39B523A4-65C8-424D-8719-09A38D8EE171}"/>
            </a:ext>
          </a:extLst>
        </xdr:cNvPr>
        <xdr:cNvSpPr/>
      </xdr:nvSpPr>
      <xdr:spPr>
        <a:xfrm>
          <a:off x="3000375" y="8420100"/>
          <a:ext cx="2152650" cy="371475"/>
        </a:xfrm>
        <a:prstGeom prst="roundRect">
          <a:avLst/>
        </a:prstGeom>
        <a:solidFill>
          <a:schemeClr val="bg1"/>
        </a:solidFill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400" b="1">
              <a:solidFill>
                <a:schemeClr val="tx1"/>
              </a:solidFill>
            </a:rPr>
            <a:t>REPORTE CONCILIACIÓN</a:t>
          </a:r>
          <a:endParaRPr lang="es-CO" sz="1100" b="1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209550</xdr:colOff>
      <xdr:row>44</xdr:row>
      <xdr:rowOff>9525</xdr:rowOff>
    </xdr:from>
    <xdr:to>
      <xdr:col>6</xdr:col>
      <xdr:colOff>666750</xdr:colOff>
      <xdr:row>46</xdr:row>
      <xdr:rowOff>19050</xdr:rowOff>
    </xdr:to>
    <xdr:sp macro="" textlink="">
      <xdr:nvSpPr>
        <xdr:cNvPr id="19" name="Rectángulo: esquinas redondeadas 18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829F6630-FA4E-430A-93E0-D651C0322A4B}"/>
            </a:ext>
          </a:extLst>
        </xdr:cNvPr>
        <xdr:cNvSpPr/>
      </xdr:nvSpPr>
      <xdr:spPr>
        <a:xfrm>
          <a:off x="5295900" y="8420100"/>
          <a:ext cx="1447800" cy="371475"/>
        </a:xfrm>
        <a:prstGeom prst="roundRect">
          <a:avLst/>
        </a:prstGeom>
        <a:solidFill>
          <a:schemeClr val="bg1"/>
        </a:solidFill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400" b="1">
              <a:solidFill>
                <a:schemeClr val="tx1"/>
              </a:solidFill>
            </a:rPr>
            <a:t>DEPRECIACIÓN</a:t>
          </a:r>
          <a:endParaRPr lang="es-CO" sz="1100" b="1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152400</xdr:colOff>
      <xdr:row>44</xdr:row>
      <xdr:rowOff>19050</xdr:rowOff>
    </xdr:from>
    <xdr:to>
      <xdr:col>8</xdr:col>
      <xdr:colOff>1409700</xdr:colOff>
      <xdr:row>46</xdr:row>
      <xdr:rowOff>28575</xdr:rowOff>
    </xdr:to>
    <xdr:sp macro="" textlink="">
      <xdr:nvSpPr>
        <xdr:cNvPr id="20" name="Rectángulo: esquinas redondeadas 19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D79D9767-5487-44F9-A5F6-CEB7577FE720}"/>
            </a:ext>
          </a:extLst>
        </xdr:cNvPr>
        <xdr:cNvSpPr/>
      </xdr:nvSpPr>
      <xdr:spPr>
        <a:xfrm>
          <a:off x="6915150" y="8429625"/>
          <a:ext cx="2400300" cy="371475"/>
        </a:xfrm>
        <a:prstGeom prst="roundRect">
          <a:avLst/>
        </a:prstGeom>
        <a:solidFill>
          <a:schemeClr val="bg1"/>
        </a:solidFill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400" b="1">
              <a:solidFill>
                <a:schemeClr val="tx1"/>
              </a:solidFill>
            </a:rPr>
            <a:t>BALANCE</a:t>
          </a:r>
          <a:r>
            <a:rPr lang="es-CO" sz="1400" b="1" baseline="0">
              <a:solidFill>
                <a:schemeClr val="tx1"/>
              </a:solidFill>
            </a:rPr>
            <a:t> COMPROBACIÓN</a:t>
          </a:r>
          <a:endParaRPr lang="es-CO" sz="1100" b="1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1562100</xdr:colOff>
      <xdr:row>44</xdr:row>
      <xdr:rowOff>19050</xdr:rowOff>
    </xdr:from>
    <xdr:to>
      <xdr:col>12</xdr:col>
      <xdr:colOff>238125</xdr:colOff>
      <xdr:row>46</xdr:row>
      <xdr:rowOff>28575</xdr:rowOff>
    </xdr:to>
    <xdr:sp macro="" textlink="">
      <xdr:nvSpPr>
        <xdr:cNvPr id="21" name="Rectángulo: esquinas redondeadas 20">
          <a:hlinkClick xmlns:r="http://schemas.openxmlformats.org/officeDocument/2006/relationships" r:id="rId16"/>
          <a:extLst>
            <a:ext uri="{FF2B5EF4-FFF2-40B4-BE49-F238E27FC236}">
              <a16:creationId xmlns:a16="http://schemas.microsoft.com/office/drawing/2014/main" id="{67FED9D4-3586-480B-A25C-58059753D6EC}"/>
            </a:ext>
          </a:extLst>
        </xdr:cNvPr>
        <xdr:cNvSpPr/>
      </xdr:nvSpPr>
      <xdr:spPr>
        <a:xfrm>
          <a:off x="9467850" y="8429625"/>
          <a:ext cx="2400300" cy="371475"/>
        </a:xfrm>
        <a:prstGeom prst="roundRect">
          <a:avLst/>
        </a:prstGeom>
        <a:solidFill>
          <a:schemeClr val="bg1"/>
        </a:solidFill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400" b="1">
              <a:solidFill>
                <a:schemeClr val="tx1"/>
              </a:solidFill>
            </a:rPr>
            <a:t>MAYOR</a:t>
          </a:r>
          <a:r>
            <a:rPr lang="es-CO" sz="1400" b="1" baseline="0">
              <a:solidFill>
                <a:schemeClr val="tx1"/>
              </a:solidFill>
            </a:rPr>
            <a:t> Y BALANCES</a:t>
          </a:r>
          <a:endParaRPr lang="es-CO" sz="11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0</xdr:colOff>
      <xdr:row>46</xdr:row>
      <xdr:rowOff>171450</xdr:rowOff>
    </xdr:from>
    <xdr:to>
      <xdr:col>2</xdr:col>
      <xdr:colOff>752475</xdr:colOff>
      <xdr:row>49</xdr:row>
      <xdr:rowOff>0</xdr:rowOff>
    </xdr:to>
    <xdr:sp macro="" textlink="">
      <xdr:nvSpPr>
        <xdr:cNvPr id="22" name="Rectángulo: esquinas redondeadas 21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34F6DB21-D209-427E-8A07-4BF6A407796B}"/>
            </a:ext>
          </a:extLst>
        </xdr:cNvPr>
        <xdr:cNvSpPr/>
      </xdr:nvSpPr>
      <xdr:spPr>
        <a:xfrm>
          <a:off x="685800" y="8943975"/>
          <a:ext cx="2152650" cy="371475"/>
        </a:xfrm>
        <a:prstGeom prst="roundRect">
          <a:avLst/>
        </a:prstGeom>
        <a:solidFill>
          <a:schemeClr val="bg1"/>
        </a:solidFill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400" b="1">
              <a:solidFill>
                <a:schemeClr val="tx1"/>
              </a:solidFill>
            </a:rPr>
            <a:t>ESTADO DE SITUACIÓN</a:t>
          </a:r>
          <a:endParaRPr lang="es-CO" sz="1100" b="1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933450</xdr:colOff>
      <xdr:row>47</xdr:row>
      <xdr:rowOff>9525</xdr:rowOff>
    </xdr:from>
    <xdr:to>
      <xdr:col>5</xdr:col>
      <xdr:colOff>38100</xdr:colOff>
      <xdr:row>49</xdr:row>
      <xdr:rowOff>19050</xdr:rowOff>
    </xdr:to>
    <xdr:sp macro="" textlink="">
      <xdr:nvSpPr>
        <xdr:cNvPr id="23" name="Rectángulo: esquinas redondeadas 22">
          <a:hlinkClick xmlns:r="http://schemas.openxmlformats.org/officeDocument/2006/relationships" r:id="rId18"/>
          <a:extLst>
            <a:ext uri="{FF2B5EF4-FFF2-40B4-BE49-F238E27FC236}">
              <a16:creationId xmlns:a16="http://schemas.microsoft.com/office/drawing/2014/main" id="{D62A7375-3605-4E86-93C1-9271A8CE0738}"/>
            </a:ext>
          </a:extLst>
        </xdr:cNvPr>
        <xdr:cNvSpPr/>
      </xdr:nvSpPr>
      <xdr:spPr>
        <a:xfrm>
          <a:off x="3019425" y="8963025"/>
          <a:ext cx="2105025" cy="371475"/>
        </a:xfrm>
        <a:prstGeom prst="roundRect">
          <a:avLst/>
        </a:prstGeom>
        <a:solidFill>
          <a:schemeClr val="bg1"/>
        </a:solidFill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400" b="1">
              <a:solidFill>
                <a:schemeClr val="tx1"/>
              </a:solidFill>
            </a:rPr>
            <a:t>ESTADO DE RESULTADOS</a:t>
          </a:r>
          <a:endParaRPr lang="es-CO" sz="1100" b="1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161926</xdr:colOff>
      <xdr:row>47</xdr:row>
      <xdr:rowOff>28575</xdr:rowOff>
    </xdr:from>
    <xdr:to>
      <xdr:col>6</xdr:col>
      <xdr:colOff>676276</xdr:colOff>
      <xdr:row>49</xdr:row>
      <xdr:rowOff>38100</xdr:rowOff>
    </xdr:to>
    <xdr:sp macro="" textlink="">
      <xdr:nvSpPr>
        <xdr:cNvPr id="24" name="Rectángulo: esquinas redondeadas 23">
          <a:hlinkClick xmlns:r="http://schemas.openxmlformats.org/officeDocument/2006/relationships" r:id="rId19"/>
          <a:extLst>
            <a:ext uri="{FF2B5EF4-FFF2-40B4-BE49-F238E27FC236}">
              <a16:creationId xmlns:a16="http://schemas.microsoft.com/office/drawing/2014/main" id="{34E0A6A0-29D0-496C-B2F7-F4D6C67A8DFE}"/>
            </a:ext>
          </a:extLst>
        </xdr:cNvPr>
        <xdr:cNvSpPr/>
      </xdr:nvSpPr>
      <xdr:spPr>
        <a:xfrm>
          <a:off x="5248276" y="8982075"/>
          <a:ext cx="1504950" cy="371475"/>
        </a:xfrm>
        <a:prstGeom prst="roundRect">
          <a:avLst/>
        </a:prstGeom>
        <a:solidFill>
          <a:schemeClr val="bg1"/>
        </a:solidFill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400" b="1">
              <a:solidFill>
                <a:schemeClr val="tx1"/>
              </a:solidFill>
            </a:rPr>
            <a:t>PUC</a:t>
          </a:r>
          <a:endParaRPr lang="es-CO" sz="1100" b="1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219074</xdr:colOff>
      <xdr:row>23</xdr:row>
      <xdr:rowOff>171450</xdr:rowOff>
    </xdr:from>
    <xdr:to>
      <xdr:col>7</xdr:col>
      <xdr:colOff>104775</xdr:colOff>
      <xdr:row>26</xdr:row>
      <xdr:rowOff>0</xdr:rowOff>
    </xdr:to>
    <xdr:sp macro="" textlink="">
      <xdr:nvSpPr>
        <xdr:cNvPr id="25" name="Rectángulo: esquinas redondeadas 24">
          <a:hlinkClick xmlns:r="http://schemas.openxmlformats.org/officeDocument/2006/relationships" r:id="rId20"/>
          <a:extLst>
            <a:ext uri="{FF2B5EF4-FFF2-40B4-BE49-F238E27FC236}">
              <a16:creationId xmlns:a16="http://schemas.microsoft.com/office/drawing/2014/main" id="{7FE6364D-35AB-4510-B442-B7C734EEB7FC}"/>
            </a:ext>
          </a:extLst>
        </xdr:cNvPr>
        <xdr:cNvSpPr/>
      </xdr:nvSpPr>
      <xdr:spPr>
        <a:xfrm>
          <a:off x="5305424" y="4781550"/>
          <a:ext cx="1562101" cy="371475"/>
        </a:xfrm>
        <a:prstGeom prst="roundRect">
          <a:avLst/>
        </a:prstGeom>
        <a:solidFill>
          <a:schemeClr val="bg1"/>
        </a:solidFill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400" b="1">
              <a:solidFill>
                <a:schemeClr val="tx1"/>
              </a:solidFill>
            </a:rPr>
            <a:t>CATEGORÍAS </a:t>
          </a:r>
          <a:endParaRPr lang="es-CO" sz="1100" b="1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323850</xdr:colOff>
      <xdr:row>34</xdr:row>
      <xdr:rowOff>28575</xdr:rowOff>
    </xdr:from>
    <xdr:to>
      <xdr:col>14</xdr:col>
      <xdr:colOff>247650</xdr:colOff>
      <xdr:row>36</xdr:row>
      <xdr:rowOff>38100</xdr:rowOff>
    </xdr:to>
    <xdr:sp macro="" textlink="">
      <xdr:nvSpPr>
        <xdr:cNvPr id="26" name="Rectángulo: esquinas redondeadas 25">
          <a:hlinkClick xmlns:r="http://schemas.openxmlformats.org/officeDocument/2006/relationships" r:id="rId21"/>
          <a:extLst>
            <a:ext uri="{FF2B5EF4-FFF2-40B4-BE49-F238E27FC236}">
              <a16:creationId xmlns:a16="http://schemas.microsoft.com/office/drawing/2014/main" id="{D8F69A68-735D-43BC-A44E-E288E65868A2}"/>
            </a:ext>
          </a:extLst>
        </xdr:cNvPr>
        <xdr:cNvSpPr/>
      </xdr:nvSpPr>
      <xdr:spPr>
        <a:xfrm>
          <a:off x="11268075" y="6629400"/>
          <a:ext cx="1981200" cy="371475"/>
        </a:xfrm>
        <a:prstGeom prst="roundRect">
          <a:avLst/>
        </a:prstGeom>
        <a:solidFill>
          <a:schemeClr val="bg1"/>
        </a:solidFill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400" b="1">
              <a:solidFill>
                <a:schemeClr val="tx1"/>
              </a:solidFill>
            </a:rPr>
            <a:t>EXPORTAR</a:t>
          </a:r>
          <a:r>
            <a:rPr lang="es-CO" sz="1400" b="1" baseline="0">
              <a:solidFill>
                <a:schemeClr val="tx1"/>
              </a:solidFill>
            </a:rPr>
            <a:t> FACT. VTA.</a:t>
          </a:r>
          <a:endParaRPr lang="es-CO" sz="1100" b="1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295275</xdr:colOff>
      <xdr:row>23</xdr:row>
      <xdr:rowOff>171450</xdr:rowOff>
    </xdr:from>
    <xdr:to>
      <xdr:col>8</xdr:col>
      <xdr:colOff>933450</xdr:colOff>
      <xdr:row>26</xdr:row>
      <xdr:rowOff>0</xdr:rowOff>
    </xdr:to>
    <xdr:sp macro="" textlink="">
      <xdr:nvSpPr>
        <xdr:cNvPr id="27" name="Rectángulo: esquinas redondeadas 26">
          <a:extLst>
            <a:ext uri="{FF2B5EF4-FFF2-40B4-BE49-F238E27FC236}">
              <a16:creationId xmlns:a16="http://schemas.microsoft.com/office/drawing/2014/main" id="{7117C257-1F1D-49F1-B61B-83E8A6FDBFDE}"/>
            </a:ext>
          </a:extLst>
        </xdr:cNvPr>
        <xdr:cNvSpPr/>
      </xdr:nvSpPr>
      <xdr:spPr>
        <a:xfrm>
          <a:off x="7058025" y="4781550"/>
          <a:ext cx="1781175" cy="371475"/>
        </a:xfrm>
        <a:prstGeom prst="roundRect">
          <a:avLst/>
        </a:prstGeom>
        <a:solidFill>
          <a:schemeClr val="bg1"/>
        </a:solidFill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400" b="1">
              <a:solidFill>
                <a:schemeClr val="tx1"/>
              </a:solidFill>
            </a:rPr>
            <a:t>CREAR PRODUCTO</a:t>
          </a:r>
          <a:endParaRPr lang="es-CO" sz="1100" b="1">
            <a:solidFill>
              <a:schemeClr val="tx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428625</xdr:colOff>
      <xdr:row>0</xdr:row>
      <xdr:rowOff>88476</xdr:rowOff>
    </xdr:from>
    <xdr:to>
      <xdr:col>2</xdr:col>
      <xdr:colOff>652240</xdr:colOff>
      <xdr:row>4</xdr:row>
      <xdr:rowOff>43038</xdr:rowOff>
    </xdr:to>
    <xdr:grpSp>
      <xdr:nvGrpSpPr>
        <xdr:cNvPr id="2" name="Grupo 1">
          <a:extLst>
            <a:ext uri="{FF2B5EF4-FFF2-40B4-BE49-F238E27FC236}">
              <a16:creationId xmlns:a16="http://schemas.microsoft.com/office/drawing/2014/main" id="{4882404C-5B2D-49BB-90F3-3FF40807855D}"/>
            </a:ext>
          </a:extLst>
        </xdr:cNvPr>
        <xdr:cNvGrpSpPr/>
      </xdr:nvGrpSpPr>
      <xdr:grpSpPr>
        <a:xfrm rot="21355950" flipH="1">
          <a:off x="1533525" y="88476"/>
          <a:ext cx="909415" cy="735612"/>
          <a:chOff x="2059201" y="735680"/>
          <a:chExt cx="909415" cy="692317"/>
        </a:xfrm>
      </xdr:grpSpPr>
      <xdr:sp macro="" textlink="">
        <xdr:nvSpPr>
          <xdr:cNvPr id="3" name="Triángulo isósceles 2">
            <a:extLst>
              <a:ext uri="{FF2B5EF4-FFF2-40B4-BE49-F238E27FC236}">
                <a16:creationId xmlns:a16="http://schemas.microsoft.com/office/drawing/2014/main" id="{C6BA6E83-AED2-B845-28AB-CF62183AD5F8}"/>
              </a:ext>
            </a:extLst>
          </xdr:cNvPr>
          <xdr:cNvSpPr/>
        </xdr:nvSpPr>
        <xdr:spPr>
          <a:xfrm rot="2770512" flipH="1">
            <a:off x="2419179" y="737997"/>
            <a:ext cx="551753" cy="547120"/>
          </a:xfrm>
          <a:prstGeom prst="triangle">
            <a:avLst/>
          </a:prstGeom>
          <a:solidFill>
            <a:schemeClr val="bg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  <xdr:sp macro="" textlink="">
        <xdr:nvSpPr>
          <xdr:cNvPr id="4" name="Triángulo isósceles 3">
            <a:extLst>
              <a:ext uri="{FF2B5EF4-FFF2-40B4-BE49-F238E27FC236}">
                <a16:creationId xmlns:a16="http://schemas.microsoft.com/office/drawing/2014/main" id="{1BB9DB93-5D56-6238-2664-ED7BE1B23367}"/>
              </a:ext>
            </a:extLst>
          </xdr:cNvPr>
          <xdr:cNvSpPr/>
        </xdr:nvSpPr>
        <xdr:spPr>
          <a:xfrm rot="20813880">
            <a:off x="2059201" y="952348"/>
            <a:ext cx="634659" cy="475649"/>
          </a:xfrm>
          <a:prstGeom prst="triangle">
            <a:avLst/>
          </a:prstGeom>
          <a:solidFill>
            <a:schemeClr val="accent3">
              <a:lumMod val="75000"/>
            </a:schemeClr>
          </a:solidFill>
          <a:ln>
            <a:solidFill>
              <a:schemeClr val="accent3">
                <a:lumMod val="75000"/>
              </a:schemeClr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</xdr:grpSp>
    <xdr:clientData/>
  </xdr:twoCellAnchor>
  <xdr:twoCellAnchor>
    <xdr:from>
      <xdr:col>10</xdr:col>
      <xdr:colOff>523875</xdr:colOff>
      <xdr:row>0</xdr:row>
      <xdr:rowOff>47625</xdr:rowOff>
    </xdr:from>
    <xdr:to>
      <xdr:col>11</xdr:col>
      <xdr:colOff>217560</xdr:colOff>
      <xdr:row>4</xdr:row>
      <xdr:rowOff>17536</xdr:rowOff>
    </xdr:to>
    <xdr:grpSp>
      <xdr:nvGrpSpPr>
        <xdr:cNvPr id="5" name="Grupo 4">
          <a:extLst>
            <a:ext uri="{FF2B5EF4-FFF2-40B4-BE49-F238E27FC236}">
              <a16:creationId xmlns:a16="http://schemas.microsoft.com/office/drawing/2014/main" id="{79742F17-10C8-40BC-B6EA-66DB4B9949E9}"/>
            </a:ext>
          </a:extLst>
        </xdr:cNvPr>
        <xdr:cNvGrpSpPr/>
      </xdr:nvGrpSpPr>
      <xdr:grpSpPr>
        <a:xfrm>
          <a:off x="12601575" y="47625"/>
          <a:ext cx="817635" cy="750961"/>
          <a:chOff x="12596014" y="342059"/>
          <a:chExt cx="817635" cy="750960"/>
        </a:xfrm>
      </xdr:grpSpPr>
      <xdr:sp macro="" textlink="">
        <xdr:nvSpPr>
          <xdr:cNvPr id="6" name="Triángulo isósceles 5">
            <a:extLst>
              <a:ext uri="{FF2B5EF4-FFF2-40B4-BE49-F238E27FC236}">
                <a16:creationId xmlns:a16="http://schemas.microsoft.com/office/drawing/2014/main" id="{01800666-17D2-9375-7E61-0B8B9B479FE3}"/>
              </a:ext>
            </a:extLst>
          </xdr:cNvPr>
          <xdr:cNvSpPr/>
        </xdr:nvSpPr>
        <xdr:spPr>
          <a:xfrm rot="2770512" flipH="1">
            <a:off x="12878299" y="401759"/>
            <a:ext cx="595049" cy="475650"/>
          </a:xfrm>
          <a:prstGeom prst="triangle">
            <a:avLst/>
          </a:prstGeom>
          <a:solidFill>
            <a:schemeClr val="bg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  <xdr:sp macro="" textlink="">
        <xdr:nvSpPr>
          <xdr:cNvPr id="7" name="Triángulo isósceles 6">
            <a:extLst>
              <a:ext uri="{FF2B5EF4-FFF2-40B4-BE49-F238E27FC236}">
                <a16:creationId xmlns:a16="http://schemas.microsoft.com/office/drawing/2014/main" id="{01D54E7C-ABE6-6FCD-50D0-76E055FF7D40}"/>
              </a:ext>
            </a:extLst>
          </xdr:cNvPr>
          <xdr:cNvSpPr/>
        </xdr:nvSpPr>
        <xdr:spPr>
          <a:xfrm rot="20813880">
            <a:off x="12596014" y="617370"/>
            <a:ext cx="551753" cy="475649"/>
          </a:xfrm>
          <a:prstGeom prst="triangle">
            <a:avLst/>
          </a:prstGeom>
          <a:solidFill>
            <a:schemeClr val="accent3">
              <a:lumMod val="75000"/>
            </a:schemeClr>
          </a:solidFill>
          <a:ln>
            <a:solidFill>
              <a:schemeClr val="accent3">
                <a:lumMod val="75000"/>
              </a:schemeClr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</xdr:grpSp>
    <xdr:clientData/>
  </xdr:twoCellAnchor>
  <xdr:twoCellAnchor>
    <xdr:from>
      <xdr:col>0</xdr:col>
      <xdr:colOff>21646</xdr:colOff>
      <xdr:row>1</xdr:row>
      <xdr:rowOff>142875</xdr:rowOff>
    </xdr:from>
    <xdr:to>
      <xdr:col>1</xdr:col>
      <xdr:colOff>280553</xdr:colOff>
      <xdr:row>4</xdr:row>
      <xdr:rowOff>21648</xdr:rowOff>
    </xdr:to>
    <xdr:sp macro="" textlink="">
      <xdr:nvSpPr>
        <xdr:cNvPr id="8" name="Flecha: pentágono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8F3D7D9-5DA6-40DE-BD84-E1C6D3B547CA}"/>
            </a:ext>
          </a:extLst>
        </xdr:cNvPr>
        <xdr:cNvSpPr/>
      </xdr:nvSpPr>
      <xdr:spPr>
        <a:xfrm>
          <a:off x="21646" y="304800"/>
          <a:ext cx="1363807" cy="497898"/>
        </a:xfrm>
        <a:prstGeom prst="homePlate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3">
              <a:lumMod val="60000"/>
              <a:lumOff val="4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600" b="1"/>
            <a:t>MENU</a:t>
          </a:r>
        </a:p>
      </xdr:txBody>
    </xdr:sp>
    <xdr:clientData/>
  </xdr:twoCellAnchor>
  <xdr:twoCellAnchor>
    <xdr:from>
      <xdr:col>0</xdr:col>
      <xdr:colOff>0</xdr:colOff>
      <xdr:row>3</xdr:row>
      <xdr:rowOff>275790</xdr:rowOff>
    </xdr:from>
    <xdr:to>
      <xdr:col>1</xdr:col>
      <xdr:colOff>258907</xdr:colOff>
      <xdr:row>7</xdr:row>
      <xdr:rowOff>9088</xdr:rowOff>
    </xdr:to>
    <xdr:sp macro="" textlink="">
      <xdr:nvSpPr>
        <xdr:cNvPr id="10" name="Flecha: pentágono 9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58A401AB-B2F3-4593-B3AA-067A7FCE7AB9}"/>
            </a:ext>
          </a:extLst>
        </xdr:cNvPr>
        <xdr:cNvSpPr/>
      </xdr:nvSpPr>
      <xdr:spPr>
        <a:xfrm>
          <a:off x="0" y="771090"/>
          <a:ext cx="1363807" cy="561973"/>
        </a:xfrm>
        <a:prstGeom prst="homePlate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3">
              <a:lumMod val="60000"/>
              <a:lumOff val="4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400" b="1"/>
            <a:t>NUEVA</a:t>
          </a:r>
          <a:r>
            <a:rPr lang="es-CO" sz="1400" b="1" baseline="0"/>
            <a:t> VENTA</a:t>
          </a:r>
          <a:endParaRPr lang="es-CO" sz="1400" b="1"/>
        </a:p>
      </xdr:txBody>
    </xdr:sp>
    <xdr:clientData/>
  </xdr:twoCellAnchor>
  <xdr:twoCellAnchor>
    <xdr:from>
      <xdr:col>0</xdr:col>
      <xdr:colOff>0</xdr:colOff>
      <xdr:row>12</xdr:row>
      <xdr:rowOff>167118</xdr:rowOff>
    </xdr:from>
    <xdr:to>
      <xdr:col>1</xdr:col>
      <xdr:colOff>258907</xdr:colOff>
      <xdr:row>16</xdr:row>
      <xdr:rowOff>52816</xdr:rowOff>
    </xdr:to>
    <xdr:sp macro="" textlink="">
      <xdr:nvSpPr>
        <xdr:cNvPr id="11" name="Flecha: pentágono 10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885185AF-4FFF-4E9B-9C99-8DFAB1AAC776}"/>
            </a:ext>
          </a:extLst>
        </xdr:cNvPr>
        <xdr:cNvSpPr/>
      </xdr:nvSpPr>
      <xdr:spPr>
        <a:xfrm>
          <a:off x="0" y="2386443"/>
          <a:ext cx="1363807" cy="561973"/>
        </a:xfrm>
        <a:prstGeom prst="homePlate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3">
              <a:lumMod val="60000"/>
              <a:lumOff val="4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400" b="1"/>
            <a:t>BASE</a:t>
          </a:r>
          <a:r>
            <a:rPr lang="es-CO" sz="1400" b="1" baseline="0"/>
            <a:t> DATOS CLIENTE.</a:t>
          </a:r>
          <a:endParaRPr lang="es-CO" sz="1400" b="1"/>
        </a:p>
      </xdr:txBody>
    </xdr:sp>
    <xdr:clientData/>
  </xdr:twoCellAnchor>
  <xdr:twoCellAnchor>
    <xdr:from>
      <xdr:col>0</xdr:col>
      <xdr:colOff>0</xdr:colOff>
      <xdr:row>16</xdr:row>
      <xdr:rowOff>45411</xdr:rowOff>
    </xdr:from>
    <xdr:to>
      <xdr:col>1</xdr:col>
      <xdr:colOff>258907</xdr:colOff>
      <xdr:row>19</xdr:row>
      <xdr:rowOff>102559</xdr:rowOff>
    </xdr:to>
    <xdr:sp macro="" textlink="">
      <xdr:nvSpPr>
        <xdr:cNvPr id="12" name="Flecha: pentágono 11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5F8C5CEF-3C41-42BA-B625-2F9A1D9818B8}"/>
            </a:ext>
          </a:extLst>
        </xdr:cNvPr>
        <xdr:cNvSpPr/>
      </xdr:nvSpPr>
      <xdr:spPr>
        <a:xfrm>
          <a:off x="0" y="2941011"/>
          <a:ext cx="1363807" cy="561973"/>
        </a:xfrm>
        <a:prstGeom prst="homePlate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3">
              <a:lumMod val="60000"/>
              <a:lumOff val="4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400" b="1"/>
            <a:t>PLANTILLA</a:t>
          </a:r>
        </a:p>
      </xdr:txBody>
    </xdr:sp>
    <xdr:clientData/>
  </xdr:twoCellAnchor>
  <xdr:twoCellAnchor>
    <xdr:from>
      <xdr:col>0</xdr:col>
      <xdr:colOff>0</xdr:colOff>
      <xdr:row>6</xdr:row>
      <xdr:rowOff>158027</xdr:rowOff>
    </xdr:from>
    <xdr:to>
      <xdr:col>1</xdr:col>
      <xdr:colOff>258907</xdr:colOff>
      <xdr:row>9</xdr:row>
      <xdr:rowOff>167550</xdr:rowOff>
    </xdr:to>
    <xdr:sp macro="" textlink="">
      <xdr:nvSpPr>
        <xdr:cNvPr id="13" name="Flecha: pentágono 12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8C0E3244-ABBE-43C6-92DE-3F14B3A17076}"/>
            </a:ext>
          </a:extLst>
        </xdr:cNvPr>
        <xdr:cNvSpPr/>
      </xdr:nvSpPr>
      <xdr:spPr>
        <a:xfrm>
          <a:off x="0" y="1291502"/>
          <a:ext cx="1363807" cy="561973"/>
        </a:xfrm>
        <a:prstGeom prst="homePlate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3">
              <a:lumMod val="60000"/>
              <a:lumOff val="4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400" b="1"/>
            <a:t>RECAUDO FACTURA</a:t>
          </a:r>
        </a:p>
      </xdr:txBody>
    </xdr:sp>
    <xdr:clientData/>
  </xdr:twoCellAnchor>
  <xdr:twoCellAnchor>
    <xdr:from>
      <xdr:col>0</xdr:col>
      <xdr:colOff>0</xdr:colOff>
      <xdr:row>9</xdr:row>
      <xdr:rowOff>136812</xdr:rowOff>
    </xdr:from>
    <xdr:to>
      <xdr:col>1</xdr:col>
      <xdr:colOff>258907</xdr:colOff>
      <xdr:row>12</xdr:row>
      <xdr:rowOff>165385</xdr:rowOff>
    </xdr:to>
    <xdr:sp macro="" textlink="">
      <xdr:nvSpPr>
        <xdr:cNvPr id="9" name="Flecha: pentágono 8">
          <a:extLst>
            <a:ext uri="{FF2B5EF4-FFF2-40B4-BE49-F238E27FC236}">
              <a16:creationId xmlns:a16="http://schemas.microsoft.com/office/drawing/2014/main" id="{4593C706-7C33-4C9A-BA05-0D33FE4A674C}"/>
            </a:ext>
          </a:extLst>
        </xdr:cNvPr>
        <xdr:cNvSpPr/>
      </xdr:nvSpPr>
      <xdr:spPr>
        <a:xfrm>
          <a:off x="0" y="1822737"/>
          <a:ext cx="1363807" cy="561973"/>
        </a:xfrm>
        <a:prstGeom prst="homePlate">
          <a:avLst/>
        </a:prstGeom>
        <a:solidFill>
          <a:schemeClr val="accent3">
            <a:lumMod val="75000"/>
          </a:schemeClr>
        </a:solidFill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400" b="1"/>
            <a:t>BUSCAR</a:t>
          </a:r>
          <a:r>
            <a:rPr lang="es-CO" sz="1400" b="1" baseline="0"/>
            <a:t> RECAUDO</a:t>
          </a:r>
          <a:endParaRPr lang="es-CO" sz="1400" b="1"/>
        </a:p>
      </xdr:txBody>
    </xdr:sp>
    <xdr:clientData/>
  </xdr:twoCellAnchor>
  <xdr:twoCellAnchor>
    <xdr:from>
      <xdr:col>11</xdr:col>
      <xdr:colOff>466725</xdr:colOff>
      <xdr:row>5</xdr:row>
      <xdr:rowOff>0</xdr:rowOff>
    </xdr:from>
    <xdr:to>
      <xdr:col>12</xdr:col>
      <xdr:colOff>706582</xdr:colOff>
      <xdr:row>7</xdr:row>
      <xdr:rowOff>116898</xdr:rowOff>
    </xdr:to>
    <xdr:sp macro="[0]!BuscRecvta" textlink="">
      <xdr:nvSpPr>
        <xdr:cNvPr id="14" name="Flecha: pentágono 13">
          <a:extLst>
            <a:ext uri="{FF2B5EF4-FFF2-40B4-BE49-F238E27FC236}">
              <a16:creationId xmlns:a16="http://schemas.microsoft.com/office/drawing/2014/main" id="{BE13F3C2-390B-4B6A-869D-DE1272257AE3}"/>
            </a:ext>
          </a:extLst>
        </xdr:cNvPr>
        <xdr:cNvSpPr/>
      </xdr:nvSpPr>
      <xdr:spPr>
        <a:xfrm flipH="1">
          <a:off x="14935200" y="942975"/>
          <a:ext cx="1363807" cy="497898"/>
        </a:xfrm>
        <a:prstGeom prst="homePlate">
          <a:avLst/>
        </a:prstGeom>
        <a:solidFill>
          <a:schemeClr val="accent3">
            <a:lumMod val="75000"/>
          </a:schemeClr>
        </a:solidFill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200" b="1"/>
            <a:t>BUSCAR</a:t>
          </a:r>
          <a:r>
            <a:rPr lang="es-CO" sz="1200" b="1" baseline="0"/>
            <a:t> REGISTRO</a:t>
          </a:r>
          <a:endParaRPr lang="es-CO" sz="1200" b="1"/>
        </a:p>
      </xdr:txBody>
    </xdr:sp>
    <xdr:clientData/>
  </xdr:twoCellAnchor>
  <xdr:twoCellAnchor>
    <xdr:from>
      <xdr:col>11</xdr:col>
      <xdr:colOff>466725</xdr:colOff>
      <xdr:row>8</xdr:row>
      <xdr:rowOff>66675</xdr:rowOff>
    </xdr:from>
    <xdr:to>
      <xdr:col>12</xdr:col>
      <xdr:colOff>706582</xdr:colOff>
      <xdr:row>11</xdr:row>
      <xdr:rowOff>12123</xdr:rowOff>
    </xdr:to>
    <xdr:sp macro="[0]!BorrarRegReca2" textlink="">
      <xdr:nvSpPr>
        <xdr:cNvPr id="15" name="Flecha: pentágono 14">
          <a:extLst>
            <a:ext uri="{FF2B5EF4-FFF2-40B4-BE49-F238E27FC236}">
              <a16:creationId xmlns:a16="http://schemas.microsoft.com/office/drawing/2014/main" id="{20C3834D-71EA-47E6-B090-46092E39AB7C}"/>
            </a:ext>
          </a:extLst>
        </xdr:cNvPr>
        <xdr:cNvSpPr/>
      </xdr:nvSpPr>
      <xdr:spPr>
        <a:xfrm flipH="1">
          <a:off x="14935200" y="1562100"/>
          <a:ext cx="1363807" cy="497898"/>
        </a:xfrm>
        <a:prstGeom prst="homePlate">
          <a:avLst/>
        </a:prstGeom>
        <a:solidFill>
          <a:schemeClr val="accent3">
            <a:lumMod val="75000"/>
          </a:schemeClr>
        </a:solidFill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200" b="1"/>
            <a:t>BORRAR</a:t>
          </a:r>
          <a:r>
            <a:rPr lang="es-CO" sz="1200" b="1" baseline="0"/>
            <a:t> REGISTRO</a:t>
          </a:r>
          <a:endParaRPr lang="es-CO" sz="1200" b="1"/>
        </a:p>
      </xdr:txBody>
    </xdr:sp>
    <xdr:clientData/>
  </xdr:twoCellAnchor>
  <xdr:twoCellAnchor>
    <xdr:from>
      <xdr:col>11</xdr:col>
      <xdr:colOff>457199</xdr:colOff>
      <xdr:row>11</xdr:row>
      <xdr:rowOff>161925</xdr:rowOff>
    </xdr:from>
    <xdr:to>
      <xdr:col>12</xdr:col>
      <xdr:colOff>697056</xdr:colOff>
      <xdr:row>13</xdr:row>
      <xdr:rowOff>123825</xdr:rowOff>
    </xdr:to>
    <xdr:sp macro="[0]!LIMPIAR3" textlink="">
      <xdr:nvSpPr>
        <xdr:cNvPr id="16" name="Flecha: pentágono 15">
          <a:extLst>
            <a:ext uri="{FF2B5EF4-FFF2-40B4-BE49-F238E27FC236}">
              <a16:creationId xmlns:a16="http://schemas.microsoft.com/office/drawing/2014/main" id="{101D2B6C-2297-4BCD-BB12-84E1070D27EB}"/>
            </a:ext>
          </a:extLst>
        </xdr:cNvPr>
        <xdr:cNvSpPr/>
      </xdr:nvSpPr>
      <xdr:spPr>
        <a:xfrm flipH="1">
          <a:off x="13658849" y="2209800"/>
          <a:ext cx="1363807" cy="323850"/>
        </a:xfrm>
        <a:prstGeom prst="homePlate">
          <a:avLst/>
        </a:prstGeom>
        <a:solidFill>
          <a:schemeClr val="accent3">
            <a:lumMod val="75000"/>
          </a:schemeClr>
        </a:solidFill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200" b="1"/>
            <a:t>LIMPIAR</a:t>
          </a:r>
        </a:p>
      </xdr:txBody>
    </xdr:sp>
    <xdr:clientData/>
  </xdr:twoCellAnchor>
  <xdr:twoCellAnchor>
    <xdr:from>
      <xdr:col>0</xdr:col>
      <xdr:colOff>0</xdr:colOff>
      <xdr:row>19</xdr:row>
      <xdr:rowOff>66675</xdr:rowOff>
    </xdr:from>
    <xdr:to>
      <xdr:col>1</xdr:col>
      <xdr:colOff>258907</xdr:colOff>
      <xdr:row>21</xdr:row>
      <xdr:rowOff>107373</xdr:rowOff>
    </xdr:to>
    <xdr:sp macro="" textlink="">
      <xdr:nvSpPr>
        <xdr:cNvPr id="17" name="Flecha: pentágono 16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C0EAB319-0077-492D-B524-2E32190357D8}"/>
            </a:ext>
          </a:extLst>
        </xdr:cNvPr>
        <xdr:cNvSpPr/>
      </xdr:nvSpPr>
      <xdr:spPr>
        <a:xfrm>
          <a:off x="0" y="3505200"/>
          <a:ext cx="1363807" cy="497898"/>
        </a:xfrm>
        <a:prstGeom prst="homePlate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3">
              <a:lumMod val="60000"/>
              <a:lumOff val="4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200" b="1"/>
            <a:t>CONCILIACIÓN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428625</xdr:colOff>
      <xdr:row>0</xdr:row>
      <xdr:rowOff>88476</xdr:rowOff>
    </xdr:from>
    <xdr:to>
      <xdr:col>2</xdr:col>
      <xdr:colOff>652240</xdr:colOff>
      <xdr:row>4</xdr:row>
      <xdr:rowOff>43038</xdr:rowOff>
    </xdr:to>
    <xdr:grpSp>
      <xdr:nvGrpSpPr>
        <xdr:cNvPr id="2" name="Grupo 1">
          <a:extLst>
            <a:ext uri="{FF2B5EF4-FFF2-40B4-BE49-F238E27FC236}">
              <a16:creationId xmlns:a16="http://schemas.microsoft.com/office/drawing/2014/main" id="{A2F574BC-4C84-48B5-8EE4-65BEA883961A}"/>
            </a:ext>
          </a:extLst>
        </xdr:cNvPr>
        <xdr:cNvGrpSpPr/>
      </xdr:nvGrpSpPr>
      <xdr:grpSpPr>
        <a:xfrm rot="21355950" flipH="1">
          <a:off x="1590675" y="88476"/>
          <a:ext cx="909415" cy="735612"/>
          <a:chOff x="2059201" y="735680"/>
          <a:chExt cx="909415" cy="692317"/>
        </a:xfrm>
      </xdr:grpSpPr>
      <xdr:sp macro="" textlink="">
        <xdr:nvSpPr>
          <xdr:cNvPr id="3" name="Triángulo isósceles 2">
            <a:extLst>
              <a:ext uri="{FF2B5EF4-FFF2-40B4-BE49-F238E27FC236}">
                <a16:creationId xmlns:a16="http://schemas.microsoft.com/office/drawing/2014/main" id="{DD18244F-E1AB-F1B1-0691-50ADAD3F7D31}"/>
              </a:ext>
            </a:extLst>
          </xdr:cNvPr>
          <xdr:cNvSpPr/>
        </xdr:nvSpPr>
        <xdr:spPr>
          <a:xfrm rot="2770512" flipH="1">
            <a:off x="2419179" y="737997"/>
            <a:ext cx="551753" cy="547120"/>
          </a:xfrm>
          <a:prstGeom prst="triangle">
            <a:avLst/>
          </a:prstGeom>
          <a:solidFill>
            <a:schemeClr val="bg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  <xdr:sp macro="" textlink="">
        <xdr:nvSpPr>
          <xdr:cNvPr id="4" name="Triángulo isósceles 3">
            <a:extLst>
              <a:ext uri="{FF2B5EF4-FFF2-40B4-BE49-F238E27FC236}">
                <a16:creationId xmlns:a16="http://schemas.microsoft.com/office/drawing/2014/main" id="{100A8951-2EC7-E3FA-076F-44DF8D08AE9E}"/>
              </a:ext>
            </a:extLst>
          </xdr:cNvPr>
          <xdr:cNvSpPr/>
        </xdr:nvSpPr>
        <xdr:spPr>
          <a:xfrm rot="20813880">
            <a:off x="2059201" y="952348"/>
            <a:ext cx="634659" cy="475649"/>
          </a:xfrm>
          <a:prstGeom prst="triangle">
            <a:avLst/>
          </a:prstGeom>
          <a:solidFill>
            <a:schemeClr val="accent3">
              <a:lumMod val="75000"/>
            </a:schemeClr>
          </a:solidFill>
          <a:ln>
            <a:solidFill>
              <a:schemeClr val="accent3">
                <a:lumMod val="75000"/>
              </a:schemeClr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</xdr:grpSp>
    <xdr:clientData/>
  </xdr:twoCellAnchor>
  <xdr:twoCellAnchor>
    <xdr:from>
      <xdr:col>10</xdr:col>
      <xdr:colOff>523875</xdr:colOff>
      <xdr:row>0</xdr:row>
      <xdr:rowOff>47625</xdr:rowOff>
    </xdr:from>
    <xdr:to>
      <xdr:col>11</xdr:col>
      <xdr:colOff>217560</xdr:colOff>
      <xdr:row>4</xdr:row>
      <xdr:rowOff>17536</xdr:rowOff>
    </xdr:to>
    <xdr:grpSp>
      <xdr:nvGrpSpPr>
        <xdr:cNvPr id="5" name="Grupo 4">
          <a:extLst>
            <a:ext uri="{FF2B5EF4-FFF2-40B4-BE49-F238E27FC236}">
              <a16:creationId xmlns:a16="http://schemas.microsoft.com/office/drawing/2014/main" id="{A564F530-1561-4493-8B05-5B3D424E8BF4}"/>
            </a:ext>
          </a:extLst>
        </xdr:cNvPr>
        <xdr:cNvGrpSpPr/>
      </xdr:nvGrpSpPr>
      <xdr:grpSpPr>
        <a:xfrm>
          <a:off x="12382500" y="47625"/>
          <a:ext cx="817635" cy="750961"/>
          <a:chOff x="12596014" y="342059"/>
          <a:chExt cx="817635" cy="750960"/>
        </a:xfrm>
      </xdr:grpSpPr>
      <xdr:sp macro="" textlink="">
        <xdr:nvSpPr>
          <xdr:cNvPr id="6" name="Triángulo isósceles 5">
            <a:extLst>
              <a:ext uri="{FF2B5EF4-FFF2-40B4-BE49-F238E27FC236}">
                <a16:creationId xmlns:a16="http://schemas.microsoft.com/office/drawing/2014/main" id="{10AEFCDB-F20C-DCB8-9FB2-B0F26D07D515}"/>
              </a:ext>
            </a:extLst>
          </xdr:cNvPr>
          <xdr:cNvSpPr/>
        </xdr:nvSpPr>
        <xdr:spPr>
          <a:xfrm rot="2770512" flipH="1">
            <a:off x="12878299" y="401759"/>
            <a:ext cx="595049" cy="475650"/>
          </a:xfrm>
          <a:prstGeom prst="triangle">
            <a:avLst/>
          </a:prstGeom>
          <a:solidFill>
            <a:schemeClr val="bg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  <xdr:sp macro="" textlink="">
        <xdr:nvSpPr>
          <xdr:cNvPr id="7" name="Triángulo isósceles 6">
            <a:extLst>
              <a:ext uri="{FF2B5EF4-FFF2-40B4-BE49-F238E27FC236}">
                <a16:creationId xmlns:a16="http://schemas.microsoft.com/office/drawing/2014/main" id="{6C406E0E-EF48-52C9-B524-061402B2E3D9}"/>
              </a:ext>
            </a:extLst>
          </xdr:cNvPr>
          <xdr:cNvSpPr/>
        </xdr:nvSpPr>
        <xdr:spPr>
          <a:xfrm rot="20813880">
            <a:off x="12596014" y="617370"/>
            <a:ext cx="551753" cy="475649"/>
          </a:xfrm>
          <a:prstGeom prst="triangle">
            <a:avLst/>
          </a:prstGeom>
          <a:solidFill>
            <a:schemeClr val="accent3">
              <a:lumMod val="75000"/>
            </a:schemeClr>
          </a:solidFill>
          <a:ln>
            <a:solidFill>
              <a:schemeClr val="accent3">
                <a:lumMod val="75000"/>
              </a:schemeClr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</xdr:grpSp>
    <xdr:clientData/>
  </xdr:twoCellAnchor>
  <xdr:twoCellAnchor>
    <xdr:from>
      <xdr:col>0</xdr:col>
      <xdr:colOff>0</xdr:colOff>
      <xdr:row>13</xdr:row>
      <xdr:rowOff>16017</xdr:rowOff>
    </xdr:from>
    <xdr:to>
      <xdr:col>1</xdr:col>
      <xdr:colOff>133350</xdr:colOff>
      <xdr:row>16</xdr:row>
      <xdr:rowOff>92215</xdr:rowOff>
    </xdr:to>
    <xdr:sp macro="" textlink="">
      <xdr:nvSpPr>
        <xdr:cNvPr id="9" name="Flecha: pentágono 8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656523E-1149-48B1-BC72-7B9E958797D3}"/>
            </a:ext>
          </a:extLst>
        </xdr:cNvPr>
        <xdr:cNvSpPr/>
      </xdr:nvSpPr>
      <xdr:spPr>
        <a:xfrm>
          <a:off x="0" y="2425842"/>
          <a:ext cx="1295400" cy="561973"/>
        </a:xfrm>
        <a:prstGeom prst="homePlate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3">
              <a:lumMod val="60000"/>
              <a:lumOff val="4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400" b="1"/>
            <a:t>BASE</a:t>
          </a:r>
          <a:r>
            <a:rPr lang="es-CO" sz="1400" b="1" baseline="0"/>
            <a:t> DATOS PROV.</a:t>
          </a:r>
          <a:endParaRPr lang="es-CO" sz="1400" b="1"/>
        </a:p>
      </xdr:txBody>
    </xdr:sp>
    <xdr:clientData/>
  </xdr:twoCellAnchor>
  <xdr:twoCellAnchor>
    <xdr:from>
      <xdr:col>0</xdr:col>
      <xdr:colOff>21646</xdr:colOff>
      <xdr:row>2</xdr:row>
      <xdr:rowOff>0</xdr:rowOff>
    </xdr:from>
    <xdr:to>
      <xdr:col>1</xdr:col>
      <xdr:colOff>154996</xdr:colOff>
      <xdr:row>4</xdr:row>
      <xdr:rowOff>50223</xdr:rowOff>
    </xdr:to>
    <xdr:sp macro="" textlink="">
      <xdr:nvSpPr>
        <xdr:cNvPr id="10" name="Flecha: pentágono 9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E9AAACD4-0071-48D7-9DAE-11F364DDD999}"/>
            </a:ext>
          </a:extLst>
        </xdr:cNvPr>
        <xdr:cNvSpPr/>
      </xdr:nvSpPr>
      <xdr:spPr>
        <a:xfrm>
          <a:off x="21646" y="333375"/>
          <a:ext cx="1295400" cy="497898"/>
        </a:xfrm>
        <a:prstGeom prst="homePlate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3">
              <a:lumMod val="60000"/>
              <a:lumOff val="4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600" b="1"/>
            <a:t>MENU</a:t>
          </a:r>
        </a:p>
      </xdr:txBody>
    </xdr:sp>
    <xdr:clientData/>
  </xdr:twoCellAnchor>
  <xdr:twoCellAnchor>
    <xdr:from>
      <xdr:col>0</xdr:col>
      <xdr:colOff>0</xdr:colOff>
      <xdr:row>4</xdr:row>
      <xdr:rowOff>18615</xdr:rowOff>
    </xdr:from>
    <xdr:to>
      <xdr:col>1</xdr:col>
      <xdr:colOff>133350</xdr:colOff>
      <xdr:row>7</xdr:row>
      <xdr:rowOff>37663</xdr:rowOff>
    </xdr:to>
    <xdr:sp macro="" textlink="">
      <xdr:nvSpPr>
        <xdr:cNvPr id="11" name="Flecha: pentágono 10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47F5A83F-49DD-4BC7-AEFE-AE9C766FF9E2}"/>
            </a:ext>
          </a:extLst>
        </xdr:cNvPr>
        <xdr:cNvSpPr/>
      </xdr:nvSpPr>
      <xdr:spPr>
        <a:xfrm>
          <a:off x="0" y="799665"/>
          <a:ext cx="1295400" cy="561973"/>
        </a:xfrm>
        <a:prstGeom prst="homePlate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3">
              <a:lumMod val="60000"/>
              <a:lumOff val="4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400" b="1"/>
            <a:t>NUEVA</a:t>
          </a:r>
          <a:r>
            <a:rPr lang="es-CO" sz="1400" b="1" baseline="0"/>
            <a:t> COMPRA</a:t>
          </a:r>
          <a:endParaRPr lang="es-CO" sz="1400" b="1"/>
        </a:p>
      </xdr:txBody>
    </xdr:sp>
    <xdr:clientData/>
  </xdr:twoCellAnchor>
  <xdr:twoCellAnchor>
    <xdr:from>
      <xdr:col>0</xdr:col>
      <xdr:colOff>0</xdr:colOff>
      <xdr:row>7</xdr:row>
      <xdr:rowOff>6926</xdr:rowOff>
    </xdr:from>
    <xdr:to>
      <xdr:col>1</xdr:col>
      <xdr:colOff>133350</xdr:colOff>
      <xdr:row>10</xdr:row>
      <xdr:rowOff>35499</xdr:rowOff>
    </xdr:to>
    <xdr:sp macro="" textlink="">
      <xdr:nvSpPr>
        <xdr:cNvPr id="12" name="Flecha: pentágono 11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DA033923-4EE3-4CAE-87DF-B0B2631BD59A}"/>
            </a:ext>
          </a:extLst>
        </xdr:cNvPr>
        <xdr:cNvSpPr/>
      </xdr:nvSpPr>
      <xdr:spPr>
        <a:xfrm>
          <a:off x="0" y="1330901"/>
          <a:ext cx="1295400" cy="561973"/>
        </a:xfrm>
        <a:prstGeom prst="homePlate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3">
              <a:lumMod val="60000"/>
              <a:lumOff val="4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400" b="1"/>
            <a:t>PAGO FACTURA</a:t>
          </a:r>
        </a:p>
      </xdr:txBody>
    </xdr:sp>
    <xdr:clientData/>
  </xdr:twoCellAnchor>
  <xdr:twoCellAnchor>
    <xdr:from>
      <xdr:col>0</xdr:col>
      <xdr:colOff>0</xdr:colOff>
      <xdr:row>10</xdr:row>
      <xdr:rowOff>4761</xdr:rowOff>
    </xdr:from>
    <xdr:to>
      <xdr:col>1</xdr:col>
      <xdr:colOff>133350</xdr:colOff>
      <xdr:row>13</xdr:row>
      <xdr:rowOff>14284</xdr:rowOff>
    </xdr:to>
    <xdr:sp macro="" textlink="">
      <xdr:nvSpPr>
        <xdr:cNvPr id="8" name="Flecha: pentágono 7">
          <a:extLst>
            <a:ext uri="{FF2B5EF4-FFF2-40B4-BE49-F238E27FC236}">
              <a16:creationId xmlns:a16="http://schemas.microsoft.com/office/drawing/2014/main" id="{CE767B63-98B1-4669-A9D8-E31C048E5BE6}"/>
            </a:ext>
          </a:extLst>
        </xdr:cNvPr>
        <xdr:cNvSpPr/>
      </xdr:nvSpPr>
      <xdr:spPr>
        <a:xfrm>
          <a:off x="0" y="1862136"/>
          <a:ext cx="1295400" cy="561973"/>
        </a:xfrm>
        <a:prstGeom prst="homePlate">
          <a:avLst/>
        </a:prstGeom>
        <a:solidFill>
          <a:schemeClr val="accent3">
            <a:lumMod val="75000"/>
          </a:schemeClr>
        </a:solidFill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400" b="1"/>
            <a:t>BUSCAR PAGO FACT.</a:t>
          </a:r>
        </a:p>
      </xdr:txBody>
    </xdr:sp>
    <xdr:clientData/>
  </xdr:twoCellAnchor>
  <xdr:twoCellAnchor>
    <xdr:from>
      <xdr:col>11</xdr:col>
      <xdr:colOff>542925</xdr:colOff>
      <xdr:row>4</xdr:row>
      <xdr:rowOff>142875</xdr:rowOff>
    </xdr:from>
    <xdr:to>
      <xdr:col>12</xdr:col>
      <xdr:colOff>782782</xdr:colOff>
      <xdr:row>7</xdr:row>
      <xdr:rowOff>97848</xdr:rowOff>
    </xdr:to>
    <xdr:sp macro="[0]!BuscPagoCompra" textlink="">
      <xdr:nvSpPr>
        <xdr:cNvPr id="13" name="Flecha: pentágono 12">
          <a:extLst>
            <a:ext uri="{FF2B5EF4-FFF2-40B4-BE49-F238E27FC236}">
              <a16:creationId xmlns:a16="http://schemas.microsoft.com/office/drawing/2014/main" id="{35761661-43E3-4B1A-A52A-323743961561}"/>
            </a:ext>
          </a:extLst>
        </xdr:cNvPr>
        <xdr:cNvSpPr/>
      </xdr:nvSpPr>
      <xdr:spPr>
        <a:xfrm flipH="1">
          <a:off x="14792325" y="923925"/>
          <a:ext cx="1363807" cy="497898"/>
        </a:xfrm>
        <a:prstGeom prst="homePlate">
          <a:avLst/>
        </a:prstGeom>
        <a:solidFill>
          <a:schemeClr val="accent3">
            <a:lumMod val="75000"/>
          </a:schemeClr>
        </a:solidFill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200" b="1" baseline="0"/>
            <a:t>BUSCAR REGISTRO</a:t>
          </a:r>
          <a:endParaRPr lang="es-CO" sz="1200" b="1"/>
        </a:p>
      </xdr:txBody>
    </xdr:sp>
    <xdr:clientData/>
  </xdr:twoCellAnchor>
  <xdr:twoCellAnchor>
    <xdr:from>
      <xdr:col>11</xdr:col>
      <xdr:colOff>533400</xdr:colOff>
      <xdr:row>8</xdr:row>
      <xdr:rowOff>57150</xdr:rowOff>
    </xdr:from>
    <xdr:to>
      <xdr:col>12</xdr:col>
      <xdr:colOff>773257</xdr:colOff>
      <xdr:row>11</xdr:row>
      <xdr:rowOff>2598</xdr:rowOff>
    </xdr:to>
    <xdr:sp macro="[0]!BorrarRegBuscPagoComp" textlink="">
      <xdr:nvSpPr>
        <xdr:cNvPr id="14" name="Flecha: pentágono 13">
          <a:extLst>
            <a:ext uri="{FF2B5EF4-FFF2-40B4-BE49-F238E27FC236}">
              <a16:creationId xmlns:a16="http://schemas.microsoft.com/office/drawing/2014/main" id="{4911FDAB-9EE1-4442-875F-A665AA36CBFE}"/>
            </a:ext>
          </a:extLst>
        </xdr:cNvPr>
        <xdr:cNvSpPr/>
      </xdr:nvSpPr>
      <xdr:spPr>
        <a:xfrm flipH="1">
          <a:off x="14782800" y="1552575"/>
          <a:ext cx="1363807" cy="497898"/>
        </a:xfrm>
        <a:prstGeom prst="homePlate">
          <a:avLst/>
        </a:prstGeom>
        <a:solidFill>
          <a:schemeClr val="accent3">
            <a:lumMod val="75000"/>
          </a:schemeClr>
        </a:solidFill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200" b="1"/>
            <a:t>BORRAR</a:t>
          </a:r>
          <a:r>
            <a:rPr lang="es-CO" sz="1200" b="1" baseline="0"/>
            <a:t> REGISTRO</a:t>
          </a:r>
          <a:endParaRPr lang="es-CO" sz="1200" b="1"/>
        </a:p>
      </xdr:txBody>
    </xdr:sp>
    <xdr:clientData/>
  </xdr:twoCellAnchor>
  <xdr:twoCellAnchor>
    <xdr:from>
      <xdr:col>11</xdr:col>
      <xdr:colOff>533399</xdr:colOff>
      <xdr:row>11</xdr:row>
      <xdr:rowOff>133350</xdr:rowOff>
    </xdr:from>
    <xdr:to>
      <xdr:col>12</xdr:col>
      <xdr:colOff>773256</xdr:colOff>
      <xdr:row>13</xdr:row>
      <xdr:rowOff>114300</xdr:rowOff>
    </xdr:to>
    <xdr:sp macro="[0]!Limpiar2" textlink="">
      <xdr:nvSpPr>
        <xdr:cNvPr id="15" name="Flecha: pentágono 14">
          <a:extLst>
            <a:ext uri="{FF2B5EF4-FFF2-40B4-BE49-F238E27FC236}">
              <a16:creationId xmlns:a16="http://schemas.microsoft.com/office/drawing/2014/main" id="{8205AA2C-0282-4A1C-8C61-61032820F682}"/>
            </a:ext>
          </a:extLst>
        </xdr:cNvPr>
        <xdr:cNvSpPr/>
      </xdr:nvSpPr>
      <xdr:spPr>
        <a:xfrm flipH="1">
          <a:off x="13515974" y="2181225"/>
          <a:ext cx="1363807" cy="342900"/>
        </a:xfrm>
        <a:prstGeom prst="homePlate">
          <a:avLst/>
        </a:prstGeom>
        <a:solidFill>
          <a:schemeClr val="accent3">
            <a:lumMod val="75000"/>
          </a:schemeClr>
        </a:solidFill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200" b="1"/>
            <a:t>LIMPIAR</a:t>
          </a:r>
        </a:p>
      </xdr:txBody>
    </xdr:sp>
    <xdr:clientData/>
  </xdr:twoCellAnchor>
  <xdr:twoCellAnchor>
    <xdr:from>
      <xdr:col>0</xdr:col>
      <xdr:colOff>0</xdr:colOff>
      <xdr:row>16</xdr:row>
      <xdr:rowOff>28575</xdr:rowOff>
    </xdr:from>
    <xdr:to>
      <xdr:col>1</xdr:col>
      <xdr:colOff>201757</xdr:colOff>
      <xdr:row>19</xdr:row>
      <xdr:rowOff>21648</xdr:rowOff>
    </xdr:to>
    <xdr:sp macro="" textlink="">
      <xdr:nvSpPr>
        <xdr:cNvPr id="16" name="Flecha: pentágono 1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3F10B2BA-EAE4-4FD9-B1AB-8CBD9240DCFE}"/>
            </a:ext>
          </a:extLst>
        </xdr:cNvPr>
        <xdr:cNvSpPr/>
      </xdr:nvSpPr>
      <xdr:spPr>
        <a:xfrm>
          <a:off x="0" y="2962275"/>
          <a:ext cx="1363807" cy="497898"/>
        </a:xfrm>
        <a:prstGeom prst="homePlate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3">
              <a:lumMod val="60000"/>
              <a:lumOff val="4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200" b="1"/>
            <a:t>CONCILIACIÓN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428625</xdr:colOff>
      <xdr:row>0</xdr:row>
      <xdr:rowOff>88476</xdr:rowOff>
    </xdr:from>
    <xdr:to>
      <xdr:col>2</xdr:col>
      <xdr:colOff>652240</xdr:colOff>
      <xdr:row>4</xdr:row>
      <xdr:rowOff>43038</xdr:rowOff>
    </xdr:to>
    <xdr:grpSp>
      <xdr:nvGrpSpPr>
        <xdr:cNvPr id="2" name="Grupo 1">
          <a:extLst>
            <a:ext uri="{FF2B5EF4-FFF2-40B4-BE49-F238E27FC236}">
              <a16:creationId xmlns:a16="http://schemas.microsoft.com/office/drawing/2014/main" id="{358608DD-C14A-4CBB-8BD3-E2CD8F59DBEE}"/>
            </a:ext>
          </a:extLst>
        </xdr:cNvPr>
        <xdr:cNvGrpSpPr/>
      </xdr:nvGrpSpPr>
      <xdr:grpSpPr>
        <a:xfrm rot="21355950" flipH="1">
          <a:off x="1457325" y="88476"/>
          <a:ext cx="909415" cy="735612"/>
          <a:chOff x="2059201" y="735680"/>
          <a:chExt cx="909415" cy="692317"/>
        </a:xfrm>
      </xdr:grpSpPr>
      <xdr:sp macro="" textlink="">
        <xdr:nvSpPr>
          <xdr:cNvPr id="3" name="Triángulo isósceles 2">
            <a:extLst>
              <a:ext uri="{FF2B5EF4-FFF2-40B4-BE49-F238E27FC236}">
                <a16:creationId xmlns:a16="http://schemas.microsoft.com/office/drawing/2014/main" id="{C89AB77D-3C76-44E0-6262-179912D61A74}"/>
              </a:ext>
            </a:extLst>
          </xdr:cNvPr>
          <xdr:cNvSpPr/>
        </xdr:nvSpPr>
        <xdr:spPr>
          <a:xfrm rot="2770512" flipH="1">
            <a:off x="2419179" y="737997"/>
            <a:ext cx="551753" cy="547120"/>
          </a:xfrm>
          <a:prstGeom prst="triangle">
            <a:avLst/>
          </a:prstGeom>
          <a:solidFill>
            <a:schemeClr val="bg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  <xdr:sp macro="" textlink="">
        <xdr:nvSpPr>
          <xdr:cNvPr id="4" name="Triángulo isósceles 3">
            <a:extLst>
              <a:ext uri="{FF2B5EF4-FFF2-40B4-BE49-F238E27FC236}">
                <a16:creationId xmlns:a16="http://schemas.microsoft.com/office/drawing/2014/main" id="{4522E8C8-F5F3-124E-FCF9-EF7BC6360106}"/>
              </a:ext>
            </a:extLst>
          </xdr:cNvPr>
          <xdr:cNvSpPr/>
        </xdr:nvSpPr>
        <xdr:spPr>
          <a:xfrm rot="20813880">
            <a:off x="2059201" y="952348"/>
            <a:ext cx="634659" cy="475649"/>
          </a:xfrm>
          <a:prstGeom prst="triangle">
            <a:avLst/>
          </a:prstGeom>
          <a:solidFill>
            <a:schemeClr val="accent3">
              <a:lumMod val="75000"/>
            </a:schemeClr>
          </a:solidFill>
          <a:ln>
            <a:solidFill>
              <a:schemeClr val="accent3">
                <a:lumMod val="75000"/>
              </a:schemeClr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</xdr:grpSp>
    <xdr:clientData/>
  </xdr:twoCellAnchor>
  <xdr:twoCellAnchor>
    <xdr:from>
      <xdr:col>10</xdr:col>
      <xdr:colOff>523875</xdr:colOff>
      <xdr:row>0</xdr:row>
      <xdr:rowOff>47625</xdr:rowOff>
    </xdr:from>
    <xdr:to>
      <xdr:col>11</xdr:col>
      <xdr:colOff>217560</xdr:colOff>
      <xdr:row>4</xdr:row>
      <xdr:rowOff>17536</xdr:rowOff>
    </xdr:to>
    <xdr:grpSp>
      <xdr:nvGrpSpPr>
        <xdr:cNvPr id="5" name="Grupo 4">
          <a:extLst>
            <a:ext uri="{FF2B5EF4-FFF2-40B4-BE49-F238E27FC236}">
              <a16:creationId xmlns:a16="http://schemas.microsoft.com/office/drawing/2014/main" id="{735B49E3-CB47-481B-BB68-2083A0D1BB49}"/>
            </a:ext>
          </a:extLst>
        </xdr:cNvPr>
        <xdr:cNvGrpSpPr/>
      </xdr:nvGrpSpPr>
      <xdr:grpSpPr>
        <a:xfrm>
          <a:off x="13792200" y="47625"/>
          <a:ext cx="817635" cy="750961"/>
          <a:chOff x="12596014" y="342059"/>
          <a:chExt cx="817635" cy="750960"/>
        </a:xfrm>
      </xdr:grpSpPr>
      <xdr:sp macro="" textlink="">
        <xdr:nvSpPr>
          <xdr:cNvPr id="6" name="Triángulo isósceles 5">
            <a:extLst>
              <a:ext uri="{FF2B5EF4-FFF2-40B4-BE49-F238E27FC236}">
                <a16:creationId xmlns:a16="http://schemas.microsoft.com/office/drawing/2014/main" id="{6E577875-B561-67AF-935B-ACC6523C8126}"/>
              </a:ext>
            </a:extLst>
          </xdr:cNvPr>
          <xdr:cNvSpPr/>
        </xdr:nvSpPr>
        <xdr:spPr>
          <a:xfrm rot="2770512" flipH="1">
            <a:off x="12878299" y="401759"/>
            <a:ext cx="595049" cy="475650"/>
          </a:xfrm>
          <a:prstGeom prst="triangle">
            <a:avLst/>
          </a:prstGeom>
          <a:solidFill>
            <a:schemeClr val="bg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  <xdr:sp macro="" textlink="">
        <xdr:nvSpPr>
          <xdr:cNvPr id="7" name="Triángulo isósceles 6">
            <a:extLst>
              <a:ext uri="{FF2B5EF4-FFF2-40B4-BE49-F238E27FC236}">
                <a16:creationId xmlns:a16="http://schemas.microsoft.com/office/drawing/2014/main" id="{D7BBE6B8-0CF0-187A-1E3C-8A2F7500EF22}"/>
              </a:ext>
            </a:extLst>
          </xdr:cNvPr>
          <xdr:cNvSpPr/>
        </xdr:nvSpPr>
        <xdr:spPr>
          <a:xfrm rot="20813880">
            <a:off x="12596014" y="617370"/>
            <a:ext cx="551753" cy="475649"/>
          </a:xfrm>
          <a:prstGeom prst="triangle">
            <a:avLst/>
          </a:prstGeom>
          <a:solidFill>
            <a:schemeClr val="accent3">
              <a:lumMod val="75000"/>
            </a:schemeClr>
          </a:solidFill>
          <a:ln>
            <a:solidFill>
              <a:schemeClr val="accent3">
                <a:lumMod val="75000"/>
              </a:schemeClr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</xdr:grpSp>
    <xdr:clientData/>
  </xdr:twoCellAnchor>
  <xdr:twoCellAnchor>
    <xdr:from>
      <xdr:col>0</xdr:col>
      <xdr:colOff>21646</xdr:colOff>
      <xdr:row>2</xdr:row>
      <xdr:rowOff>57150</xdr:rowOff>
    </xdr:from>
    <xdr:to>
      <xdr:col>1</xdr:col>
      <xdr:colOff>356753</xdr:colOff>
      <xdr:row>4</xdr:row>
      <xdr:rowOff>107373</xdr:rowOff>
    </xdr:to>
    <xdr:sp macro="" textlink="">
      <xdr:nvSpPr>
        <xdr:cNvPr id="8" name="Flecha: pentágono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F600BF0-4F77-42C1-AB5C-3957721D3B08}"/>
            </a:ext>
          </a:extLst>
        </xdr:cNvPr>
        <xdr:cNvSpPr/>
      </xdr:nvSpPr>
      <xdr:spPr>
        <a:xfrm>
          <a:off x="21646" y="390525"/>
          <a:ext cx="1363807" cy="497898"/>
        </a:xfrm>
        <a:prstGeom prst="homePlate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3">
              <a:lumMod val="60000"/>
              <a:lumOff val="4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600" b="1"/>
            <a:t>MENU</a:t>
          </a:r>
        </a:p>
      </xdr:txBody>
    </xdr:sp>
    <xdr:clientData/>
  </xdr:twoCellAnchor>
  <xdr:twoCellAnchor>
    <xdr:from>
      <xdr:col>0</xdr:col>
      <xdr:colOff>0</xdr:colOff>
      <xdr:row>10</xdr:row>
      <xdr:rowOff>51087</xdr:rowOff>
    </xdr:from>
    <xdr:to>
      <xdr:col>1</xdr:col>
      <xdr:colOff>335107</xdr:colOff>
      <xdr:row>13</xdr:row>
      <xdr:rowOff>60610</xdr:rowOff>
    </xdr:to>
    <xdr:sp macro="" textlink="">
      <xdr:nvSpPr>
        <xdr:cNvPr id="10" name="Flecha: pentágono 9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37C53D3-3EF9-4A45-A225-CA9DF9677841}"/>
            </a:ext>
          </a:extLst>
        </xdr:cNvPr>
        <xdr:cNvSpPr/>
      </xdr:nvSpPr>
      <xdr:spPr>
        <a:xfrm>
          <a:off x="0" y="1908462"/>
          <a:ext cx="1363807" cy="561973"/>
        </a:xfrm>
        <a:prstGeom prst="homePlate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3">
              <a:lumMod val="60000"/>
              <a:lumOff val="4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400" b="1"/>
            <a:t>BUSCAR</a:t>
          </a:r>
          <a:r>
            <a:rPr lang="es-CO" sz="1400" b="1" baseline="0"/>
            <a:t> RECAUDO</a:t>
          </a:r>
          <a:endParaRPr lang="es-CO" sz="1400" b="1"/>
        </a:p>
      </xdr:txBody>
    </xdr:sp>
    <xdr:clientData/>
  </xdr:twoCellAnchor>
  <xdr:twoCellAnchor>
    <xdr:from>
      <xdr:col>0</xdr:col>
      <xdr:colOff>0</xdr:colOff>
      <xdr:row>4</xdr:row>
      <xdr:rowOff>75765</xdr:rowOff>
    </xdr:from>
    <xdr:to>
      <xdr:col>1</xdr:col>
      <xdr:colOff>335107</xdr:colOff>
      <xdr:row>7</xdr:row>
      <xdr:rowOff>94813</xdr:rowOff>
    </xdr:to>
    <xdr:sp macro="" textlink="">
      <xdr:nvSpPr>
        <xdr:cNvPr id="11" name="Flecha: pentágono 10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F78E3DE6-F952-478E-B7CA-CF786C7C4FFA}"/>
            </a:ext>
          </a:extLst>
        </xdr:cNvPr>
        <xdr:cNvSpPr/>
      </xdr:nvSpPr>
      <xdr:spPr>
        <a:xfrm>
          <a:off x="0" y="856815"/>
          <a:ext cx="1363807" cy="561973"/>
        </a:xfrm>
        <a:prstGeom prst="homePlate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3">
              <a:lumMod val="60000"/>
              <a:lumOff val="4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400" b="1"/>
            <a:t>NUEVA</a:t>
          </a:r>
          <a:r>
            <a:rPr lang="es-CO" sz="1400" b="1" baseline="0"/>
            <a:t> VENTA</a:t>
          </a:r>
          <a:endParaRPr lang="es-CO" sz="1400" b="1"/>
        </a:p>
      </xdr:txBody>
    </xdr:sp>
    <xdr:clientData/>
  </xdr:twoCellAnchor>
  <xdr:twoCellAnchor>
    <xdr:from>
      <xdr:col>0</xdr:col>
      <xdr:colOff>0</xdr:colOff>
      <xdr:row>13</xdr:row>
      <xdr:rowOff>62343</xdr:rowOff>
    </xdr:from>
    <xdr:to>
      <xdr:col>1</xdr:col>
      <xdr:colOff>335107</xdr:colOff>
      <xdr:row>16</xdr:row>
      <xdr:rowOff>138541</xdr:rowOff>
    </xdr:to>
    <xdr:sp macro="" textlink="">
      <xdr:nvSpPr>
        <xdr:cNvPr id="12" name="Flecha: pentágono 11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BDEC88D-8370-43D7-9619-E2E6C1C4D460}"/>
            </a:ext>
          </a:extLst>
        </xdr:cNvPr>
        <xdr:cNvSpPr/>
      </xdr:nvSpPr>
      <xdr:spPr>
        <a:xfrm>
          <a:off x="0" y="2472168"/>
          <a:ext cx="1363807" cy="561973"/>
        </a:xfrm>
        <a:prstGeom prst="homePlate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3">
              <a:lumMod val="60000"/>
              <a:lumOff val="4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400" b="1"/>
            <a:t>BASE</a:t>
          </a:r>
          <a:r>
            <a:rPr lang="es-CO" sz="1400" b="1" baseline="0"/>
            <a:t> DATOS CLIENTE.</a:t>
          </a:r>
          <a:endParaRPr lang="es-CO" sz="1400" b="1"/>
        </a:p>
      </xdr:txBody>
    </xdr:sp>
    <xdr:clientData/>
  </xdr:twoCellAnchor>
  <xdr:twoCellAnchor>
    <xdr:from>
      <xdr:col>0</xdr:col>
      <xdr:colOff>0</xdr:colOff>
      <xdr:row>16</xdr:row>
      <xdr:rowOff>131136</xdr:rowOff>
    </xdr:from>
    <xdr:to>
      <xdr:col>1</xdr:col>
      <xdr:colOff>335107</xdr:colOff>
      <xdr:row>20</xdr:row>
      <xdr:rowOff>16834</xdr:rowOff>
    </xdr:to>
    <xdr:sp macro="" textlink="">
      <xdr:nvSpPr>
        <xdr:cNvPr id="13" name="Flecha: pentágono 12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C55BEBC4-7125-4F60-8AC4-CC91B1E5495C}"/>
            </a:ext>
          </a:extLst>
        </xdr:cNvPr>
        <xdr:cNvSpPr/>
      </xdr:nvSpPr>
      <xdr:spPr>
        <a:xfrm>
          <a:off x="0" y="3026736"/>
          <a:ext cx="1363807" cy="561973"/>
        </a:xfrm>
        <a:prstGeom prst="homePlate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3">
              <a:lumMod val="60000"/>
              <a:lumOff val="4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400" b="1"/>
            <a:t>PLANTILLA</a:t>
          </a:r>
        </a:p>
      </xdr:txBody>
    </xdr:sp>
    <xdr:clientData/>
  </xdr:twoCellAnchor>
  <xdr:twoCellAnchor>
    <xdr:from>
      <xdr:col>0</xdr:col>
      <xdr:colOff>0</xdr:colOff>
      <xdr:row>7</xdr:row>
      <xdr:rowOff>53252</xdr:rowOff>
    </xdr:from>
    <xdr:to>
      <xdr:col>1</xdr:col>
      <xdr:colOff>335107</xdr:colOff>
      <xdr:row>10</xdr:row>
      <xdr:rowOff>81825</xdr:rowOff>
    </xdr:to>
    <xdr:sp macro="" textlink="">
      <xdr:nvSpPr>
        <xdr:cNvPr id="9" name="Flecha: pentágono 8">
          <a:extLst>
            <a:ext uri="{FF2B5EF4-FFF2-40B4-BE49-F238E27FC236}">
              <a16:creationId xmlns:a16="http://schemas.microsoft.com/office/drawing/2014/main" id="{2DB2ABF5-A705-4A1C-98D3-8289D3FE70D7}"/>
            </a:ext>
          </a:extLst>
        </xdr:cNvPr>
        <xdr:cNvSpPr/>
      </xdr:nvSpPr>
      <xdr:spPr>
        <a:xfrm>
          <a:off x="0" y="1377227"/>
          <a:ext cx="1363807" cy="561973"/>
        </a:xfrm>
        <a:prstGeom prst="homePlate">
          <a:avLst/>
        </a:prstGeom>
        <a:solidFill>
          <a:schemeClr val="accent3">
            <a:lumMod val="75000"/>
          </a:schemeClr>
        </a:solidFill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400" b="1"/>
            <a:t>RECAUDO FACTURA</a:t>
          </a:r>
        </a:p>
      </xdr:txBody>
    </xdr:sp>
    <xdr:clientData/>
  </xdr:twoCellAnchor>
  <xdr:twoCellAnchor>
    <xdr:from>
      <xdr:col>12</xdr:col>
      <xdr:colOff>0</xdr:colOff>
      <xdr:row>1</xdr:row>
      <xdr:rowOff>152400</xdr:rowOff>
    </xdr:from>
    <xdr:to>
      <xdr:col>13</xdr:col>
      <xdr:colOff>239857</xdr:colOff>
      <xdr:row>4</xdr:row>
      <xdr:rowOff>31173</xdr:rowOff>
    </xdr:to>
    <xdr:sp macro="[0]!GDRECAUDOVTA" textlink="">
      <xdr:nvSpPr>
        <xdr:cNvPr id="14" name="Flecha: pentágono 13">
          <a:extLst>
            <a:ext uri="{FF2B5EF4-FFF2-40B4-BE49-F238E27FC236}">
              <a16:creationId xmlns:a16="http://schemas.microsoft.com/office/drawing/2014/main" id="{AF386DF5-2DBC-4E16-94DF-A9322A6F6A07}"/>
            </a:ext>
          </a:extLst>
        </xdr:cNvPr>
        <xdr:cNvSpPr/>
      </xdr:nvSpPr>
      <xdr:spPr>
        <a:xfrm flipH="1">
          <a:off x="15516225" y="314325"/>
          <a:ext cx="1363807" cy="497898"/>
        </a:xfrm>
        <a:prstGeom prst="homePlate">
          <a:avLst/>
        </a:prstGeom>
        <a:solidFill>
          <a:schemeClr val="accent3">
            <a:lumMod val="75000"/>
          </a:schemeClr>
        </a:solidFill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400" b="1"/>
            <a:t>GUARDAR</a:t>
          </a:r>
        </a:p>
      </xdr:txBody>
    </xdr:sp>
    <xdr:clientData/>
  </xdr:twoCellAnchor>
  <xdr:twoCellAnchor>
    <xdr:from>
      <xdr:col>12</xdr:col>
      <xdr:colOff>11690</xdr:colOff>
      <xdr:row>5</xdr:row>
      <xdr:rowOff>64943</xdr:rowOff>
    </xdr:from>
    <xdr:to>
      <xdr:col>13</xdr:col>
      <xdr:colOff>251547</xdr:colOff>
      <xdr:row>8</xdr:row>
      <xdr:rowOff>10391</xdr:rowOff>
    </xdr:to>
    <xdr:sp macro="[0]!BorrarPagoVta" textlink="">
      <xdr:nvSpPr>
        <xdr:cNvPr id="15" name="Flecha: pentágono 14">
          <a:extLst>
            <a:ext uri="{FF2B5EF4-FFF2-40B4-BE49-F238E27FC236}">
              <a16:creationId xmlns:a16="http://schemas.microsoft.com/office/drawing/2014/main" id="{BF8C3F0C-4A24-4C89-95D4-7CA072A8275D}"/>
            </a:ext>
          </a:extLst>
        </xdr:cNvPr>
        <xdr:cNvSpPr/>
      </xdr:nvSpPr>
      <xdr:spPr>
        <a:xfrm flipH="1">
          <a:off x="15527915" y="1007918"/>
          <a:ext cx="1363807" cy="497898"/>
        </a:xfrm>
        <a:prstGeom prst="homePlate">
          <a:avLst/>
        </a:prstGeom>
        <a:solidFill>
          <a:schemeClr val="accent3">
            <a:lumMod val="75000"/>
          </a:schemeClr>
        </a:solidFill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200" b="1"/>
            <a:t>BORRAR</a:t>
          </a:r>
          <a:r>
            <a:rPr lang="es-CO" sz="1200" b="1" baseline="0"/>
            <a:t> REGISTRO</a:t>
          </a:r>
          <a:endParaRPr lang="es-CO" sz="1200" b="1"/>
        </a:p>
      </xdr:txBody>
    </xdr:sp>
    <xdr:clientData/>
  </xdr:twoCellAnchor>
  <xdr:twoCellAnchor>
    <xdr:from>
      <xdr:col>12</xdr:col>
      <xdr:colOff>15488</xdr:colOff>
      <xdr:row>9</xdr:row>
      <xdr:rowOff>37283</xdr:rowOff>
    </xdr:from>
    <xdr:to>
      <xdr:col>13</xdr:col>
      <xdr:colOff>255345</xdr:colOff>
      <xdr:row>11</xdr:row>
      <xdr:rowOff>64557</xdr:rowOff>
    </xdr:to>
    <xdr:sp macro="[0]!LimpiarPagoVtas" textlink="">
      <xdr:nvSpPr>
        <xdr:cNvPr id="17" name="Flecha: pentágono 16">
          <a:extLst>
            <a:ext uri="{FF2B5EF4-FFF2-40B4-BE49-F238E27FC236}">
              <a16:creationId xmlns:a16="http://schemas.microsoft.com/office/drawing/2014/main" id="{7EE6B7A0-0C2E-49D5-B6BD-76487834883C}"/>
            </a:ext>
          </a:extLst>
        </xdr:cNvPr>
        <xdr:cNvSpPr/>
      </xdr:nvSpPr>
      <xdr:spPr>
        <a:xfrm flipH="1">
          <a:off x="15531713" y="1723208"/>
          <a:ext cx="1363807" cy="389224"/>
        </a:xfrm>
        <a:prstGeom prst="homePlate">
          <a:avLst/>
        </a:prstGeom>
        <a:solidFill>
          <a:schemeClr val="accent3">
            <a:lumMod val="75000"/>
          </a:schemeClr>
        </a:solidFill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200" b="1"/>
            <a:t>LIMPIAR</a:t>
          </a:r>
        </a:p>
      </xdr:txBody>
    </xdr:sp>
    <xdr:clientData/>
  </xdr:twoCellAnchor>
  <xdr:twoCellAnchor>
    <xdr:from>
      <xdr:col>0</xdr:col>
      <xdr:colOff>0</xdr:colOff>
      <xdr:row>19</xdr:row>
      <xdr:rowOff>142875</xdr:rowOff>
    </xdr:from>
    <xdr:to>
      <xdr:col>1</xdr:col>
      <xdr:colOff>335107</xdr:colOff>
      <xdr:row>22</xdr:row>
      <xdr:rowOff>21648</xdr:rowOff>
    </xdr:to>
    <xdr:sp macro="" textlink="">
      <xdr:nvSpPr>
        <xdr:cNvPr id="16" name="Flecha: pentágono 15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43AA3FF9-65E0-4AD6-86CA-704AA630ED3C}"/>
            </a:ext>
          </a:extLst>
        </xdr:cNvPr>
        <xdr:cNvSpPr/>
      </xdr:nvSpPr>
      <xdr:spPr>
        <a:xfrm>
          <a:off x="0" y="3543300"/>
          <a:ext cx="1363807" cy="497898"/>
        </a:xfrm>
        <a:prstGeom prst="homePlate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3">
              <a:lumMod val="60000"/>
              <a:lumOff val="4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200" b="1"/>
            <a:t>CONCILIACIÓN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428625</xdr:colOff>
      <xdr:row>0</xdr:row>
      <xdr:rowOff>88476</xdr:rowOff>
    </xdr:from>
    <xdr:to>
      <xdr:col>2</xdr:col>
      <xdr:colOff>652240</xdr:colOff>
      <xdr:row>4</xdr:row>
      <xdr:rowOff>43038</xdr:rowOff>
    </xdr:to>
    <xdr:grpSp>
      <xdr:nvGrpSpPr>
        <xdr:cNvPr id="2" name="Grupo 1">
          <a:extLst>
            <a:ext uri="{FF2B5EF4-FFF2-40B4-BE49-F238E27FC236}">
              <a16:creationId xmlns:a16="http://schemas.microsoft.com/office/drawing/2014/main" id="{DE2DD641-183D-4E29-B3DC-93A73F97ADDB}"/>
            </a:ext>
          </a:extLst>
        </xdr:cNvPr>
        <xdr:cNvGrpSpPr/>
      </xdr:nvGrpSpPr>
      <xdr:grpSpPr>
        <a:xfrm rot="21355950" flipH="1">
          <a:off x="1352550" y="88476"/>
          <a:ext cx="909415" cy="735612"/>
          <a:chOff x="2059201" y="735680"/>
          <a:chExt cx="909415" cy="692317"/>
        </a:xfrm>
      </xdr:grpSpPr>
      <xdr:sp macro="" textlink="">
        <xdr:nvSpPr>
          <xdr:cNvPr id="3" name="Triángulo isósceles 2">
            <a:extLst>
              <a:ext uri="{FF2B5EF4-FFF2-40B4-BE49-F238E27FC236}">
                <a16:creationId xmlns:a16="http://schemas.microsoft.com/office/drawing/2014/main" id="{2B6AD1E8-5534-9B4D-B158-713A22D45765}"/>
              </a:ext>
            </a:extLst>
          </xdr:cNvPr>
          <xdr:cNvSpPr/>
        </xdr:nvSpPr>
        <xdr:spPr>
          <a:xfrm rot="2770512" flipH="1">
            <a:off x="2419179" y="737997"/>
            <a:ext cx="551753" cy="547120"/>
          </a:xfrm>
          <a:prstGeom prst="triangle">
            <a:avLst/>
          </a:prstGeom>
          <a:solidFill>
            <a:schemeClr val="bg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  <xdr:sp macro="" textlink="">
        <xdr:nvSpPr>
          <xdr:cNvPr id="4" name="Triángulo isósceles 3">
            <a:extLst>
              <a:ext uri="{FF2B5EF4-FFF2-40B4-BE49-F238E27FC236}">
                <a16:creationId xmlns:a16="http://schemas.microsoft.com/office/drawing/2014/main" id="{D98E82C3-BA53-AD99-2995-8A7C87246EEC}"/>
              </a:ext>
            </a:extLst>
          </xdr:cNvPr>
          <xdr:cNvSpPr/>
        </xdr:nvSpPr>
        <xdr:spPr>
          <a:xfrm rot="20813880">
            <a:off x="2059201" y="952348"/>
            <a:ext cx="634659" cy="475649"/>
          </a:xfrm>
          <a:prstGeom prst="triangle">
            <a:avLst/>
          </a:prstGeom>
          <a:solidFill>
            <a:schemeClr val="accent3">
              <a:lumMod val="75000"/>
            </a:schemeClr>
          </a:solidFill>
          <a:ln>
            <a:solidFill>
              <a:schemeClr val="accent3">
                <a:lumMod val="75000"/>
              </a:schemeClr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</xdr:grpSp>
    <xdr:clientData/>
  </xdr:twoCellAnchor>
  <xdr:twoCellAnchor>
    <xdr:from>
      <xdr:col>10</xdr:col>
      <xdr:colOff>523875</xdr:colOff>
      <xdr:row>0</xdr:row>
      <xdr:rowOff>47625</xdr:rowOff>
    </xdr:from>
    <xdr:to>
      <xdr:col>11</xdr:col>
      <xdr:colOff>217560</xdr:colOff>
      <xdr:row>4</xdr:row>
      <xdr:rowOff>17536</xdr:rowOff>
    </xdr:to>
    <xdr:grpSp>
      <xdr:nvGrpSpPr>
        <xdr:cNvPr id="5" name="Grupo 4">
          <a:extLst>
            <a:ext uri="{FF2B5EF4-FFF2-40B4-BE49-F238E27FC236}">
              <a16:creationId xmlns:a16="http://schemas.microsoft.com/office/drawing/2014/main" id="{5FE19165-7DD8-44D9-85CC-4998BBCE0E78}"/>
            </a:ext>
          </a:extLst>
        </xdr:cNvPr>
        <xdr:cNvGrpSpPr/>
      </xdr:nvGrpSpPr>
      <xdr:grpSpPr>
        <a:xfrm>
          <a:off x="13411200" y="47625"/>
          <a:ext cx="817635" cy="750961"/>
          <a:chOff x="12596014" y="342059"/>
          <a:chExt cx="817635" cy="750960"/>
        </a:xfrm>
      </xdr:grpSpPr>
      <xdr:sp macro="" textlink="">
        <xdr:nvSpPr>
          <xdr:cNvPr id="6" name="Triángulo isósceles 5">
            <a:extLst>
              <a:ext uri="{FF2B5EF4-FFF2-40B4-BE49-F238E27FC236}">
                <a16:creationId xmlns:a16="http://schemas.microsoft.com/office/drawing/2014/main" id="{5E6D0795-7F9C-70C9-7670-1C23C8523700}"/>
              </a:ext>
            </a:extLst>
          </xdr:cNvPr>
          <xdr:cNvSpPr/>
        </xdr:nvSpPr>
        <xdr:spPr>
          <a:xfrm rot="2770512" flipH="1">
            <a:off x="12878299" y="401759"/>
            <a:ext cx="595049" cy="475650"/>
          </a:xfrm>
          <a:prstGeom prst="triangle">
            <a:avLst/>
          </a:prstGeom>
          <a:solidFill>
            <a:schemeClr val="bg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  <xdr:sp macro="" textlink="">
        <xdr:nvSpPr>
          <xdr:cNvPr id="7" name="Triángulo isósceles 6">
            <a:extLst>
              <a:ext uri="{FF2B5EF4-FFF2-40B4-BE49-F238E27FC236}">
                <a16:creationId xmlns:a16="http://schemas.microsoft.com/office/drawing/2014/main" id="{91B095E8-C0DF-713E-6F39-9324F46FD11A}"/>
              </a:ext>
            </a:extLst>
          </xdr:cNvPr>
          <xdr:cNvSpPr/>
        </xdr:nvSpPr>
        <xdr:spPr>
          <a:xfrm rot="20813880">
            <a:off x="12596014" y="617370"/>
            <a:ext cx="551753" cy="475649"/>
          </a:xfrm>
          <a:prstGeom prst="triangle">
            <a:avLst/>
          </a:prstGeom>
          <a:solidFill>
            <a:schemeClr val="accent3">
              <a:lumMod val="75000"/>
            </a:schemeClr>
          </a:solidFill>
          <a:ln>
            <a:solidFill>
              <a:schemeClr val="accent3">
                <a:lumMod val="75000"/>
              </a:schemeClr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</xdr:grpSp>
    <xdr:clientData/>
  </xdr:twoCellAnchor>
  <xdr:twoCellAnchor>
    <xdr:from>
      <xdr:col>0</xdr:col>
      <xdr:colOff>1</xdr:colOff>
      <xdr:row>10</xdr:row>
      <xdr:rowOff>4761</xdr:rowOff>
    </xdr:from>
    <xdr:to>
      <xdr:col>1</xdr:col>
      <xdr:colOff>371476</xdr:colOff>
      <xdr:row>13</xdr:row>
      <xdr:rowOff>14284</xdr:rowOff>
    </xdr:to>
    <xdr:sp macro="" textlink="">
      <xdr:nvSpPr>
        <xdr:cNvPr id="9" name="Flecha: pentágono 8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6F488BE-B2C0-4891-A3CD-8B9DCD2C7F1D}"/>
            </a:ext>
          </a:extLst>
        </xdr:cNvPr>
        <xdr:cNvSpPr/>
      </xdr:nvSpPr>
      <xdr:spPr>
        <a:xfrm>
          <a:off x="1" y="1862136"/>
          <a:ext cx="1295400" cy="561973"/>
        </a:xfrm>
        <a:prstGeom prst="homePlate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3">
              <a:lumMod val="60000"/>
              <a:lumOff val="4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400" b="1"/>
            <a:t>BUSCAR PAGO FACT.</a:t>
          </a:r>
        </a:p>
      </xdr:txBody>
    </xdr:sp>
    <xdr:clientData/>
  </xdr:twoCellAnchor>
  <xdr:twoCellAnchor>
    <xdr:from>
      <xdr:col>0</xdr:col>
      <xdr:colOff>1</xdr:colOff>
      <xdr:row>13</xdr:row>
      <xdr:rowOff>16017</xdr:rowOff>
    </xdr:from>
    <xdr:to>
      <xdr:col>1</xdr:col>
      <xdr:colOff>371476</xdr:colOff>
      <xdr:row>16</xdr:row>
      <xdr:rowOff>92215</xdr:rowOff>
    </xdr:to>
    <xdr:sp macro="" textlink="">
      <xdr:nvSpPr>
        <xdr:cNvPr id="10" name="Flecha: pentágono 9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CE9D018D-DE0D-43D3-A531-4515AD602BD1}"/>
            </a:ext>
          </a:extLst>
        </xdr:cNvPr>
        <xdr:cNvSpPr/>
      </xdr:nvSpPr>
      <xdr:spPr>
        <a:xfrm>
          <a:off x="1" y="2425842"/>
          <a:ext cx="1295400" cy="561973"/>
        </a:xfrm>
        <a:prstGeom prst="homePlate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3">
              <a:lumMod val="60000"/>
              <a:lumOff val="4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400" b="1"/>
            <a:t>BASE</a:t>
          </a:r>
          <a:r>
            <a:rPr lang="es-CO" sz="1400" b="1" baseline="0"/>
            <a:t> DATOS PROV.</a:t>
          </a:r>
          <a:endParaRPr lang="es-CO" sz="1400" b="1"/>
        </a:p>
      </xdr:txBody>
    </xdr:sp>
    <xdr:clientData/>
  </xdr:twoCellAnchor>
  <xdr:twoCellAnchor>
    <xdr:from>
      <xdr:col>0</xdr:col>
      <xdr:colOff>21647</xdr:colOff>
      <xdr:row>2</xdr:row>
      <xdr:rowOff>0</xdr:rowOff>
    </xdr:from>
    <xdr:to>
      <xdr:col>1</xdr:col>
      <xdr:colOff>393122</xdr:colOff>
      <xdr:row>4</xdr:row>
      <xdr:rowOff>50223</xdr:rowOff>
    </xdr:to>
    <xdr:sp macro="" textlink="">
      <xdr:nvSpPr>
        <xdr:cNvPr id="11" name="Flecha: pentágono 10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5777D20A-50C2-4324-A548-F221F1880286}"/>
            </a:ext>
          </a:extLst>
        </xdr:cNvPr>
        <xdr:cNvSpPr/>
      </xdr:nvSpPr>
      <xdr:spPr>
        <a:xfrm>
          <a:off x="21647" y="333375"/>
          <a:ext cx="1295400" cy="497898"/>
        </a:xfrm>
        <a:prstGeom prst="homePlate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3">
              <a:lumMod val="60000"/>
              <a:lumOff val="4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600" b="1"/>
            <a:t>MENU</a:t>
          </a:r>
        </a:p>
      </xdr:txBody>
    </xdr:sp>
    <xdr:clientData/>
  </xdr:twoCellAnchor>
  <xdr:twoCellAnchor>
    <xdr:from>
      <xdr:col>0</xdr:col>
      <xdr:colOff>1</xdr:colOff>
      <xdr:row>4</xdr:row>
      <xdr:rowOff>18615</xdr:rowOff>
    </xdr:from>
    <xdr:to>
      <xdr:col>1</xdr:col>
      <xdr:colOff>371476</xdr:colOff>
      <xdr:row>7</xdr:row>
      <xdr:rowOff>37663</xdr:rowOff>
    </xdr:to>
    <xdr:sp macro="" textlink="">
      <xdr:nvSpPr>
        <xdr:cNvPr id="12" name="Flecha: pentágono 11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1412D9DD-3BE6-4310-905E-6B0F158210A4}"/>
            </a:ext>
          </a:extLst>
        </xdr:cNvPr>
        <xdr:cNvSpPr/>
      </xdr:nvSpPr>
      <xdr:spPr>
        <a:xfrm>
          <a:off x="1" y="799665"/>
          <a:ext cx="1295400" cy="561973"/>
        </a:xfrm>
        <a:prstGeom prst="homePlate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3">
              <a:lumMod val="60000"/>
              <a:lumOff val="4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400" b="1"/>
            <a:t>NUEVA</a:t>
          </a:r>
          <a:r>
            <a:rPr lang="es-CO" sz="1400" b="1" baseline="0"/>
            <a:t> COMPRA</a:t>
          </a:r>
          <a:endParaRPr lang="es-CO" sz="1400" b="1"/>
        </a:p>
      </xdr:txBody>
    </xdr:sp>
    <xdr:clientData/>
  </xdr:twoCellAnchor>
  <xdr:twoCellAnchor>
    <xdr:from>
      <xdr:col>0</xdr:col>
      <xdr:colOff>1</xdr:colOff>
      <xdr:row>7</xdr:row>
      <xdr:rowOff>6926</xdr:rowOff>
    </xdr:from>
    <xdr:to>
      <xdr:col>1</xdr:col>
      <xdr:colOff>371476</xdr:colOff>
      <xdr:row>10</xdr:row>
      <xdr:rowOff>35499</xdr:rowOff>
    </xdr:to>
    <xdr:sp macro="" textlink="">
      <xdr:nvSpPr>
        <xdr:cNvPr id="8" name="Flecha: pentágono 7">
          <a:extLst>
            <a:ext uri="{FF2B5EF4-FFF2-40B4-BE49-F238E27FC236}">
              <a16:creationId xmlns:a16="http://schemas.microsoft.com/office/drawing/2014/main" id="{F9D5C2B5-8749-44AD-8E8A-C033AC6C74BB}"/>
            </a:ext>
          </a:extLst>
        </xdr:cNvPr>
        <xdr:cNvSpPr/>
      </xdr:nvSpPr>
      <xdr:spPr>
        <a:xfrm>
          <a:off x="1" y="1330901"/>
          <a:ext cx="1295400" cy="561973"/>
        </a:xfrm>
        <a:prstGeom prst="homePlate">
          <a:avLst/>
        </a:prstGeom>
        <a:solidFill>
          <a:schemeClr val="accent3">
            <a:lumMod val="75000"/>
          </a:schemeClr>
        </a:solidFill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400" b="1"/>
            <a:t>PAGO FACTURA</a:t>
          </a:r>
        </a:p>
      </xdr:txBody>
    </xdr:sp>
    <xdr:clientData/>
  </xdr:twoCellAnchor>
  <xdr:twoCellAnchor>
    <xdr:from>
      <xdr:col>11</xdr:col>
      <xdr:colOff>771525</xdr:colOff>
      <xdr:row>2</xdr:row>
      <xdr:rowOff>47625</xdr:rowOff>
    </xdr:from>
    <xdr:to>
      <xdr:col>12</xdr:col>
      <xdr:colOff>1011382</xdr:colOff>
      <xdr:row>4</xdr:row>
      <xdr:rowOff>97848</xdr:rowOff>
    </xdr:to>
    <xdr:sp macro="[0]!GDPagoCompras" textlink="">
      <xdr:nvSpPr>
        <xdr:cNvPr id="13" name="Flecha: pentágono 12">
          <a:extLst>
            <a:ext uri="{FF2B5EF4-FFF2-40B4-BE49-F238E27FC236}">
              <a16:creationId xmlns:a16="http://schemas.microsoft.com/office/drawing/2014/main" id="{D170A8DC-48E2-49B6-9139-56A9E3448B3B}"/>
            </a:ext>
          </a:extLst>
        </xdr:cNvPr>
        <xdr:cNvSpPr/>
      </xdr:nvSpPr>
      <xdr:spPr>
        <a:xfrm flipH="1">
          <a:off x="14782800" y="381000"/>
          <a:ext cx="1363807" cy="497898"/>
        </a:xfrm>
        <a:prstGeom prst="homePlate">
          <a:avLst/>
        </a:prstGeom>
        <a:solidFill>
          <a:schemeClr val="accent3">
            <a:lumMod val="75000"/>
          </a:schemeClr>
        </a:solidFill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400" b="1"/>
            <a:t>GUARDAR</a:t>
          </a:r>
        </a:p>
      </xdr:txBody>
    </xdr:sp>
    <xdr:clientData/>
  </xdr:twoCellAnchor>
  <xdr:twoCellAnchor>
    <xdr:from>
      <xdr:col>11</xdr:col>
      <xdr:colOff>783215</xdr:colOff>
      <xdr:row>5</xdr:row>
      <xdr:rowOff>131618</xdr:rowOff>
    </xdr:from>
    <xdr:to>
      <xdr:col>12</xdr:col>
      <xdr:colOff>1023072</xdr:colOff>
      <xdr:row>8</xdr:row>
      <xdr:rowOff>77066</xdr:rowOff>
    </xdr:to>
    <xdr:sp macro="[0]!BorrarPagoCompras" textlink="">
      <xdr:nvSpPr>
        <xdr:cNvPr id="14" name="Flecha: pentágono 13">
          <a:extLst>
            <a:ext uri="{FF2B5EF4-FFF2-40B4-BE49-F238E27FC236}">
              <a16:creationId xmlns:a16="http://schemas.microsoft.com/office/drawing/2014/main" id="{B31D13B1-97B2-4F9E-8A1D-895169DDF83B}"/>
            </a:ext>
          </a:extLst>
        </xdr:cNvPr>
        <xdr:cNvSpPr/>
      </xdr:nvSpPr>
      <xdr:spPr>
        <a:xfrm flipH="1">
          <a:off x="14794490" y="1074593"/>
          <a:ext cx="1363807" cy="497898"/>
        </a:xfrm>
        <a:prstGeom prst="homePlate">
          <a:avLst/>
        </a:prstGeom>
        <a:solidFill>
          <a:schemeClr val="accent3">
            <a:lumMod val="75000"/>
          </a:schemeClr>
        </a:solidFill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200" b="1"/>
            <a:t>BORRAR</a:t>
          </a:r>
          <a:r>
            <a:rPr lang="es-CO" sz="1200" b="1" baseline="0"/>
            <a:t> REGISTRO</a:t>
          </a:r>
          <a:endParaRPr lang="es-CO" sz="1200" b="1"/>
        </a:p>
      </xdr:txBody>
    </xdr:sp>
    <xdr:clientData/>
  </xdr:twoCellAnchor>
  <xdr:twoCellAnchor>
    <xdr:from>
      <xdr:col>11</xdr:col>
      <xdr:colOff>787013</xdr:colOff>
      <xdr:row>9</xdr:row>
      <xdr:rowOff>103958</xdr:rowOff>
    </xdr:from>
    <xdr:to>
      <xdr:col>12</xdr:col>
      <xdr:colOff>1026870</xdr:colOff>
      <xdr:row>11</xdr:row>
      <xdr:rowOff>131232</xdr:rowOff>
    </xdr:to>
    <xdr:sp macro="[0]!LimpiarPagosCompras" textlink="">
      <xdr:nvSpPr>
        <xdr:cNvPr id="15" name="Flecha: pentágono 14">
          <a:extLst>
            <a:ext uri="{FF2B5EF4-FFF2-40B4-BE49-F238E27FC236}">
              <a16:creationId xmlns:a16="http://schemas.microsoft.com/office/drawing/2014/main" id="{38693D90-9625-4126-8189-306B8FCF0382}"/>
            </a:ext>
          </a:extLst>
        </xdr:cNvPr>
        <xdr:cNvSpPr/>
      </xdr:nvSpPr>
      <xdr:spPr>
        <a:xfrm flipH="1">
          <a:off x="14798288" y="1789883"/>
          <a:ext cx="1363807" cy="389224"/>
        </a:xfrm>
        <a:prstGeom prst="homePlate">
          <a:avLst/>
        </a:prstGeom>
        <a:solidFill>
          <a:schemeClr val="accent3">
            <a:lumMod val="75000"/>
          </a:schemeClr>
        </a:solidFill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200" b="1"/>
            <a:t>LIMPIAR</a:t>
          </a:r>
        </a:p>
      </xdr:txBody>
    </xdr:sp>
    <xdr:clientData/>
  </xdr:twoCellAnchor>
  <xdr:twoCellAnchor>
    <xdr:from>
      <xdr:col>0</xdr:col>
      <xdr:colOff>0</xdr:colOff>
      <xdr:row>16</xdr:row>
      <xdr:rowOff>28575</xdr:rowOff>
    </xdr:from>
    <xdr:to>
      <xdr:col>1</xdr:col>
      <xdr:colOff>439882</xdr:colOff>
      <xdr:row>19</xdr:row>
      <xdr:rowOff>21648</xdr:rowOff>
    </xdr:to>
    <xdr:sp macro="" textlink="">
      <xdr:nvSpPr>
        <xdr:cNvPr id="16" name="Flecha: pentágono 1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B2D24B77-4575-4346-9746-3F24D79BB58C}"/>
            </a:ext>
          </a:extLst>
        </xdr:cNvPr>
        <xdr:cNvSpPr/>
      </xdr:nvSpPr>
      <xdr:spPr>
        <a:xfrm>
          <a:off x="0" y="2962275"/>
          <a:ext cx="1363807" cy="497898"/>
        </a:xfrm>
        <a:prstGeom prst="homePlate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3">
              <a:lumMod val="60000"/>
              <a:lumOff val="4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200" b="1"/>
            <a:t>CONCILIACIÓN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609600</xdr:colOff>
      <xdr:row>2</xdr:row>
      <xdr:rowOff>316923</xdr:rowOff>
    </xdr:to>
    <xdr:sp macro="" textlink="">
      <xdr:nvSpPr>
        <xdr:cNvPr id="2" name="Flecha: pentágono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DB045EB-673B-4BAE-A039-B188CE01C8A9}"/>
            </a:ext>
          </a:extLst>
        </xdr:cNvPr>
        <xdr:cNvSpPr/>
      </xdr:nvSpPr>
      <xdr:spPr>
        <a:xfrm>
          <a:off x="0" y="180975"/>
          <a:ext cx="1295400" cy="497898"/>
        </a:xfrm>
        <a:prstGeom prst="homePlate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3">
              <a:lumMod val="60000"/>
              <a:lumOff val="4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600" b="1"/>
            <a:t>MENU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219075</xdr:rowOff>
    </xdr:from>
    <xdr:to>
      <xdr:col>1</xdr:col>
      <xdr:colOff>1057275</xdr:colOff>
      <xdr:row>2</xdr:row>
      <xdr:rowOff>104775</xdr:rowOff>
    </xdr:to>
    <xdr:sp macro="" textlink="">
      <xdr:nvSpPr>
        <xdr:cNvPr id="7" name="Flecha: pentágono 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1E977D5-ED66-4C69-9F92-57AA5C2D7411}"/>
            </a:ext>
          </a:extLst>
        </xdr:cNvPr>
        <xdr:cNvSpPr/>
      </xdr:nvSpPr>
      <xdr:spPr>
        <a:xfrm>
          <a:off x="0" y="352425"/>
          <a:ext cx="1238250" cy="438150"/>
        </a:xfrm>
        <a:prstGeom prst="homePlate">
          <a:avLst/>
        </a:prstGeom>
        <a:solidFill>
          <a:schemeClr val="accent1">
            <a:lumMod val="60000"/>
            <a:lumOff val="40000"/>
          </a:schemeClr>
        </a:solidFill>
        <a:ln>
          <a:solidFill>
            <a:schemeClr val="accent1">
              <a:lumMod val="60000"/>
              <a:lumOff val="4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>
              <a:solidFill>
                <a:schemeClr val="bg1">
                  <a:lumMod val="95000"/>
                </a:schemeClr>
              </a:solidFill>
            </a:rPr>
            <a:t>MENU</a:t>
          </a:r>
          <a:r>
            <a:rPr lang="es-CO" sz="1100" b="1" baseline="0">
              <a:solidFill>
                <a:schemeClr val="bg1">
                  <a:lumMod val="95000"/>
                </a:schemeClr>
              </a:solidFill>
            </a:rPr>
            <a:t> PRIN</a:t>
          </a:r>
          <a:endParaRPr lang="es-CO" sz="1100" b="1">
            <a:solidFill>
              <a:schemeClr val="bg1">
                <a:lumMod val="95000"/>
              </a:schemeClr>
            </a:solidFill>
          </a:endParaRPr>
        </a:p>
      </xdr:txBody>
    </xdr:sp>
    <xdr:clientData/>
  </xdr:twoCellAnchor>
  <xdr:twoCellAnchor>
    <xdr:from>
      <xdr:col>0</xdr:col>
      <xdr:colOff>0</xdr:colOff>
      <xdr:row>2</xdr:row>
      <xdr:rowOff>28575</xdr:rowOff>
    </xdr:from>
    <xdr:to>
      <xdr:col>1</xdr:col>
      <xdr:colOff>1057275</xdr:colOff>
      <xdr:row>5</xdr:row>
      <xdr:rowOff>66675</xdr:rowOff>
    </xdr:to>
    <xdr:sp macro="" textlink="">
      <xdr:nvSpPr>
        <xdr:cNvPr id="8" name="Flecha: pentágono 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D0303B63-5358-4DF5-B6D1-B5D8732FC283}"/>
            </a:ext>
          </a:extLst>
        </xdr:cNvPr>
        <xdr:cNvSpPr/>
      </xdr:nvSpPr>
      <xdr:spPr>
        <a:xfrm>
          <a:off x="0" y="714375"/>
          <a:ext cx="1238250" cy="438150"/>
        </a:xfrm>
        <a:prstGeom prst="homePlate">
          <a:avLst/>
        </a:prstGeom>
        <a:solidFill>
          <a:schemeClr val="accent1">
            <a:lumMod val="60000"/>
            <a:lumOff val="40000"/>
          </a:schemeClr>
        </a:solidFill>
        <a:ln>
          <a:solidFill>
            <a:schemeClr val="accent1">
              <a:lumMod val="60000"/>
              <a:lumOff val="4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200" b="1">
              <a:solidFill>
                <a:schemeClr val="bg1">
                  <a:lumMod val="95000"/>
                </a:schemeClr>
              </a:solidFill>
            </a:rPr>
            <a:t>INVENTARIO</a:t>
          </a:r>
        </a:p>
      </xdr:txBody>
    </xdr:sp>
    <xdr:clientData/>
  </xdr:twoCellAnchor>
  <xdr:twoCellAnchor>
    <xdr:from>
      <xdr:col>0</xdr:col>
      <xdr:colOff>0</xdr:colOff>
      <xdr:row>4</xdr:row>
      <xdr:rowOff>123825</xdr:rowOff>
    </xdr:from>
    <xdr:to>
      <xdr:col>1</xdr:col>
      <xdr:colOff>1057275</xdr:colOff>
      <xdr:row>8</xdr:row>
      <xdr:rowOff>104774</xdr:rowOff>
    </xdr:to>
    <xdr:sp macro="" textlink="">
      <xdr:nvSpPr>
        <xdr:cNvPr id="9" name="Flecha: pentágono 8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27215A72-39A8-4E47-8A32-EF7EB62C08EE}"/>
            </a:ext>
          </a:extLst>
        </xdr:cNvPr>
        <xdr:cNvSpPr/>
      </xdr:nvSpPr>
      <xdr:spPr>
        <a:xfrm>
          <a:off x="0" y="1076325"/>
          <a:ext cx="1238250" cy="600074"/>
        </a:xfrm>
        <a:prstGeom prst="homePlate">
          <a:avLst/>
        </a:prstGeom>
        <a:solidFill>
          <a:schemeClr val="accent1">
            <a:lumMod val="60000"/>
            <a:lumOff val="40000"/>
          </a:schemeClr>
        </a:solidFill>
        <a:ln>
          <a:solidFill>
            <a:schemeClr val="accent1">
              <a:lumMod val="60000"/>
              <a:lumOff val="4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>
              <a:solidFill>
                <a:schemeClr val="bg1">
                  <a:lumMod val="95000"/>
                </a:schemeClr>
              </a:solidFill>
            </a:rPr>
            <a:t>BASE</a:t>
          </a:r>
          <a:r>
            <a:rPr lang="es-CO" sz="1100" b="1" baseline="0">
              <a:solidFill>
                <a:schemeClr val="bg1">
                  <a:lumMod val="95000"/>
                </a:schemeClr>
              </a:solidFill>
            </a:rPr>
            <a:t> DATOS INVENTARIO</a:t>
          </a:r>
          <a:endParaRPr lang="es-CO" sz="1100" b="1">
            <a:solidFill>
              <a:schemeClr val="bg1">
                <a:lumMod val="95000"/>
              </a:schemeClr>
            </a:solidFill>
          </a:endParaRPr>
        </a:p>
      </xdr:txBody>
    </xdr:sp>
    <xdr:clientData/>
  </xdr:twoCellAnchor>
  <xdr:twoCellAnchor>
    <xdr:from>
      <xdr:col>0</xdr:col>
      <xdr:colOff>0</xdr:colOff>
      <xdr:row>8</xdr:row>
      <xdr:rowOff>47625</xdr:rowOff>
    </xdr:from>
    <xdr:to>
      <xdr:col>1</xdr:col>
      <xdr:colOff>1057275</xdr:colOff>
      <xdr:row>11</xdr:row>
      <xdr:rowOff>28575</xdr:rowOff>
    </xdr:to>
    <xdr:sp macro="" textlink="">
      <xdr:nvSpPr>
        <xdr:cNvPr id="6" name="Flecha: pentágono 5">
          <a:extLst>
            <a:ext uri="{FF2B5EF4-FFF2-40B4-BE49-F238E27FC236}">
              <a16:creationId xmlns:a16="http://schemas.microsoft.com/office/drawing/2014/main" id="{24FE7F2B-12C9-49EE-A785-7EE1DF131461}"/>
            </a:ext>
          </a:extLst>
        </xdr:cNvPr>
        <xdr:cNvSpPr/>
      </xdr:nvSpPr>
      <xdr:spPr>
        <a:xfrm>
          <a:off x="0" y="1619250"/>
          <a:ext cx="1238250" cy="438150"/>
        </a:xfrm>
        <a:prstGeom prst="homePlate">
          <a:avLst/>
        </a:prstGeom>
        <a:solidFill>
          <a:srgbClr val="0070C0"/>
        </a:solidFill>
        <a:ln>
          <a:solidFill>
            <a:srgbClr val="0070C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200" b="1">
              <a:solidFill>
                <a:schemeClr val="bg1">
                  <a:lumMod val="95000"/>
                </a:schemeClr>
              </a:solidFill>
            </a:rPr>
            <a:t>CATEGORÍAS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</xdr:row>
      <xdr:rowOff>95250</xdr:rowOff>
    </xdr:from>
    <xdr:to>
      <xdr:col>0</xdr:col>
      <xdr:colOff>1238250</xdr:colOff>
      <xdr:row>9</xdr:row>
      <xdr:rowOff>19050</xdr:rowOff>
    </xdr:to>
    <xdr:sp macro="" textlink="">
      <xdr:nvSpPr>
        <xdr:cNvPr id="5" name="Flecha: pentágono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0466771-9D49-4934-9350-422FABEB6B00}"/>
            </a:ext>
          </a:extLst>
        </xdr:cNvPr>
        <xdr:cNvSpPr/>
      </xdr:nvSpPr>
      <xdr:spPr>
        <a:xfrm>
          <a:off x="0" y="1543050"/>
          <a:ext cx="1238250" cy="438150"/>
        </a:xfrm>
        <a:prstGeom prst="homePlate">
          <a:avLst/>
        </a:prstGeom>
        <a:solidFill>
          <a:schemeClr val="accent1">
            <a:lumMod val="60000"/>
            <a:lumOff val="40000"/>
          </a:schemeClr>
        </a:solidFill>
        <a:ln>
          <a:solidFill>
            <a:schemeClr val="accent1">
              <a:lumMod val="60000"/>
              <a:lumOff val="4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200" b="1">
              <a:solidFill>
                <a:schemeClr val="bg1">
                  <a:lumMod val="95000"/>
                </a:schemeClr>
              </a:solidFill>
            </a:rPr>
            <a:t>CATEGORÍAS</a:t>
          </a:r>
        </a:p>
      </xdr:txBody>
    </xdr:sp>
    <xdr:clientData/>
  </xdr:twoCellAnchor>
  <xdr:twoCellAnchor>
    <xdr:from>
      <xdr:col>0</xdr:col>
      <xdr:colOff>0</xdr:colOff>
      <xdr:row>1</xdr:row>
      <xdr:rowOff>114300</xdr:rowOff>
    </xdr:from>
    <xdr:to>
      <xdr:col>0</xdr:col>
      <xdr:colOff>1238250</xdr:colOff>
      <xdr:row>1</xdr:row>
      <xdr:rowOff>552450</xdr:rowOff>
    </xdr:to>
    <xdr:sp macro="" textlink="">
      <xdr:nvSpPr>
        <xdr:cNvPr id="3" name="Flecha: pentágono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1E649507-D53D-47C0-A7D8-5DA9B4ACD9D1}"/>
            </a:ext>
          </a:extLst>
        </xdr:cNvPr>
        <xdr:cNvSpPr/>
      </xdr:nvSpPr>
      <xdr:spPr>
        <a:xfrm>
          <a:off x="0" y="276225"/>
          <a:ext cx="1238250" cy="438150"/>
        </a:xfrm>
        <a:prstGeom prst="homePlate">
          <a:avLst/>
        </a:prstGeom>
        <a:solidFill>
          <a:schemeClr val="accent1">
            <a:lumMod val="60000"/>
            <a:lumOff val="40000"/>
          </a:schemeClr>
        </a:solidFill>
        <a:ln>
          <a:solidFill>
            <a:schemeClr val="accent1">
              <a:lumMod val="60000"/>
              <a:lumOff val="4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>
              <a:solidFill>
                <a:schemeClr val="bg1">
                  <a:lumMod val="95000"/>
                </a:schemeClr>
              </a:solidFill>
            </a:rPr>
            <a:t>MENU</a:t>
          </a:r>
          <a:r>
            <a:rPr lang="es-CO" sz="1100" b="1" baseline="0">
              <a:solidFill>
                <a:schemeClr val="bg1">
                  <a:lumMod val="95000"/>
                </a:schemeClr>
              </a:solidFill>
            </a:rPr>
            <a:t> PRIN</a:t>
          </a:r>
          <a:endParaRPr lang="es-CO" sz="1100" b="1">
            <a:solidFill>
              <a:schemeClr val="bg1">
                <a:lumMod val="95000"/>
              </a:schemeClr>
            </a:solidFill>
          </a:endParaRPr>
        </a:p>
      </xdr:txBody>
    </xdr:sp>
    <xdr:clientData/>
  </xdr:twoCellAnchor>
  <xdr:twoCellAnchor>
    <xdr:from>
      <xdr:col>0</xdr:col>
      <xdr:colOff>0</xdr:colOff>
      <xdr:row>1</xdr:row>
      <xdr:rowOff>476250</xdr:rowOff>
    </xdr:from>
    <xdr:to>
      <xdr:col>0</xdr:col>
      <xdr:colOff>1238250</xdr:colOff>
      <xdr:row>3</xdr:row>
      <xdr:rowOff>114300</xdr:rowOff>
    </xdr:to>
    <xdr:sp macro="" textlink="">
      <xdr:nvSpPr>
        <xdr:cNvPr id="4" name="Flecha: pentágono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4A203539-7754-4FBA-AC96-CD1587AA0404}"/>
            </a:ext>
          </a:extLst>
        </xdr:cNvPr>
        <xdr:cNvSpPr/>
      </xdr:nvSpPr>
      <xdr:spPr>
        <a:xfrm>
          <a:off x="0" y="638175"/>
          <a:ext cx="1238250" cy="438150"/>
        </a:xfrm>
        <a:prstGeom prst="homePlate">
          <a:avLst/>
        </a:prstGeom>
        <a:solidFill>
          <a:schemeClr val="accent1">
            <a:lumMod val="60000"/>
            <a:lumOff val="40000"/>
          </a:schemeClr>
        </a:solidFill>
        <a:ln>
          <a:solidFill>
            <a:schemeClr val="accent1">
              <a:lumMod val="60000"/>
              <a:lumOff val="4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200" b="1">
              <a:solidFill>
                <a:schemeClr val="bg1">
                  <a:lumMod val="95000"/>
                </a:schemeClr>
              </a:solidFill>
            </a:rPr>
            <a:t>INVENTARIO</a:t>
          </a:r>
        </a:p>
      </xdr:txBody>
    </xdr:sp>
    <xdr:clientData/>
  </xdr:twoCellAnchor>
  <xdr:twoCellAnchor>
    <xdr:from>
      <xdr:col>0</xdr:col>
      <xdr:colOff>0</xdr:colOff>
      <xdr:row>3</xdr:row>
      <xdr:rowOff>38100</xdr:rowOff>
    </xdr:from>
    <xdr:to>
      <xdr:col>0</xdr:col>
      <xdr:colOff>1238250</xdr:colOff>
      <xdr:row>6</xdr:row>
      <xdr:rowOff>152399</xdr:rowOff>
    </xdr:to>
    <xdr:sp macro="" textlink="">
      <xdr:nvSpPr>
        <xdr:cNvPr id="2" name="Flecha: pentágono 1">
          <a:extLst>
            <a:ext uri="{FF2B5EF4-FFF2-40B4-BE49-F238E27FC236}">
              <a16:creationId xmlns:a16="http://schemas.microsoft.com/office/drawing/2014/main" id="{860AC8BE-AE6F-4B16-8C53-F6855F601BF7}"/>
            </a:ext>
          </a:extLst>
        </xdr:cNvPr>
        <xdr:cNvSpPr/>
      </xdr:nvSpPr>
      <xdr:spPr>
        <a:xfrm>
          <a:off x="0" y="1000125"/>
          <a:ext cx="1238250" cy="600074"/>
        </a:xfrm>
        <a:prstGeom prst="homePlate">
          <a:avLst/>
        </a:prstGeom>
        <a:solidFill>
          <a:srgbClr val="0070C0"/>
        </a:solidFill>
        <a:ln>
          <a:solidFill>
            <a:srgbClr val="0070C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>
              <a:solidFill>
                <a:schemeClr val="bg1">
                  <a:lumMod val="95000"/>
                </a:schemeClr>
              </a:solidFill>
            </a:rPr>
            <a:t>BASE</a:t>
          </a:r>
          <a:r>
            <a:rPr lang="es-CO" sz="1100" b="1" baseline="0">
              <a:solidFill>
                <a:schemeClr val="bg1">
                  <a:lumMod val="95000"/>
                </a:schemeClr>
              </a:solidFill>
            </a:rPr>
            <a:t> DATOS INVENTARIO</a:t>
          </a:r>
          <a:endParaRPr lang="es-CO" sz="1100" b="1">
            <a:solidFill>
              <a:schemeClr val="bg1">
                <a:lumMod val="95000"/>
              </a:schemeClr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85726</xdr:rowOff>
    </xdr:from>
    <xdr:to>
      <xdr:col>0</xdr:col>
      <xdr:colOff>1238250</xdr:colOff>
      <xdr:row>6</xdr:row>
      <xdr:rowOff>38100</xdr:rowOff>
    </xdr:to>
    <xdr:sp macro="" textlink="">
      <xdr:nvSpPr>
        <xdr:cNvPr id="7" name="Flecha: pentágono 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E648811-B235-4C17-B43E-A96E4C04B6D8}"/>
            </a:ext>
          </a:extLst>
        </xdr:cNvPr>
        <xdr:cNvSpPr/>
      </xdr:nvSpPr>
      <xdr:spPr>
        <a:xfrm>
          <a:off x="0" y="933451"/>
          <a:ext cx="1238250" cy="600074"/>
        </a:xfrm>
        <a:prstGeom prst="homePlate">
          <a:avLst/>
        </a:prstGeom>
        <a:solidFill>
          <a:schemeClr val="accent1">
            <a:lumMod val="60000"/>
            <a:lumOff val="40000"/>
          </a:schemeClr>
        </a:solidFill>
        <a:ln>
          <a:solidFill>
            <a:schemeClr val="accent1">
              <a:lumMod val="60000"/>
              <a:lumOff val="4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>
              <a:solidFill>
                <a:schemeClr val="bg1">
                  <a:lumMod val="95000"/>
                </a:schemeClr>
              </a:solidFill>
            </a:rPr>
            <a:t>BASE</a:t>
          </a:r>
          <a:r>
            <a:rPr lang="es-CO" sz="1100" b="1" baseline="0">
              <a:solidFill>
                <a:schemeClr val="bg1">
                  <a:lumMod val="95000"/>
                </a:schemeClr>
              </a:solidFill>
            </a:rPr>
            <a:t> DATOS INVENTARIO</a:t>
          </a:r>
          <a:endParaRPr lang="es-CO" sz="1100" b="1">
            <a:solidFill>
              <a:schemeClr val="bg1">
                <a:lumMod val="95000"/>
              </a:schemeClr>
            </a:solidFill>
          </a:endParaRPr>
        </a:p>
      </xdr:txBody>
    </xdr:sp>
    <xdr:clientData/>
  </xdr:twoCellAnchor>
  <xdr:twoCellAnchor editAs="absolute">
    <xdr:from>
      <xdr:col>4</xdr:col>
      <xdr:colOff>190499</xdr:colOff>
      <xdr:row>1</xdr:row>
      <xdr:rowOff>133351</xdr:rowOff>
    </xdr:from>
    <xdr:to>
      <xdr:col>9</xdr:col>
      <xdr:colOff>523875</xdr:colOff>
      <xdr:row>1</xdr:row>
      <xdr:rowOff>590551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status">
              <a:extLst>
                <a:ext uri="{FF2B5EF4-FFF2-40B4-BE49-F238E27FC236}">
                  <a16:creationId xmlns:a16="http://schemas.microsoft.com/office/drawing/2014/main" id="{CF8ACC78-3EE8-124F-42BC-7D85793F1C3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tatu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343649" y="295276"/>
              <a:ext cx="5676901" cy="457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s-CO" sz="1100"/>
                <a:t>Esta forma representa una segmentación de tabla. Las segmentaciones de tabla no se admiten en esta versión de Excel.
Si la forma se modificó en una versión anterior de Excel o si el libro se guardó en Excel 2007 o en una versión anterior, no se podrá usar la segmentación.</a:t>
              </a:r>
            </a:p>
          </xdr:txBody>
        </xdr:sp>
      </mc:Fallback>
    </mc:AlternateContent>
    <xdr:clientData/>
  </xdr:twoCellAnchor>
  <xdr:twoCellAnchor>
    <xdr:from>
      <xdr:col>0</xdr:col>
      <xdr:colOff>0</xdr:colOff>
      <xdr:row>1</xdr:row>
      <xdr:rowOff>47626</xdr:rowOff>
    </xdr:from>
    <xdr:to>
      <xdr:col>0</xdr:col>
      <xdr:colOff>1238250</xdr:colOff>
      <xdr:row>1</xdr:row>
      <xdr:rowOff>485776</xdr:rowOff>
    </xdr:to>
    <xdr:sp macro="" textlink="">
      <xdr:nvSpPr>
        <xdr:cNvPr id="5" name="Flecha: pentágono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41E5D64A-0A5D-55D7-852C-6E4FAC21EC62}"/>
            </a:ext>
          </a:extLst>
        </xdr:cNvPr>
        <xdr:cNvSpPr/>
      </xdr:nvSpPr>
      <xdr:spPr>
        <a:xfrm>
          <a:off x="0" y="209551"/>
          <a:ext cx="1238250" cy="438150"/>
        </a:xfrm>
        <a:prstGeom prst="homePlate">
          <a:avLst/>
        </a:prstGeom>
        <a:solidFill>
          <a:schemeClr val="accent1">
            <a:lumMod val="60000"/>
            <a:lumOff val="40000"/>
          </a:schemeClr>
        </a:solidFill>
        <a:ln>
          <a:solidFill>
            <a:schemeClr val="accent1">
              <a:lumMod val="60000"/>
              <a:lumOff val="4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>
              <a:solidFill>
                <a:schemeClr val="bg1">
                  <a:lumMod val="95000"/>
                </a:schemeClr>
              </a:solidFill>
            </a:rPr>
            <a:t>MENU</a:t>
          </a:r>
          <a:r>
            <a:rPr lang="es-CO" sz="1100" b="1" baseline="0">
              <a:solidFill>
                <a:schemeClr val="bg1">
                  <a:lumMod val="95000"/>
                </a:schemeClr>
              </a:solidFill>
            </a:rPr>
            <a:t> PRIN</a:t>
          </a:r>
          <a:endParaRPr lang="es-CO" sz="1100" b="1">
            <a:solidFill>
              <a:schemeClr val="bg1">
                <a:lumMod val="95000"/>
              </a:schemeClr>
            </a:solidFill>
          </a:endParaRPr>
        </a:p>
      </xdr:txBody>
    </xdr:sp>
    <xdr:clientData/>
  </xdr:twoCellAnchor>
  <xdr:twoCellAnchor>
    <xdr:from>
      <xdr:col>0</xdr:col>
      <xdr:colOff>0</xdr:colOff>
      <xdr:row>1</xdr:row>
      <xdr:rowOff>409576</xdr:rowOff>
    </xdr:from>
    <xdr:to>
      <xdr:col>0</xdr:col>
      <xdr:colOff>1238250</xdr:colOff>
      <xdr:row>3</xdr:row>
      <xdr:rowOff>1</xdr:rowOff>
    </xdr:to>
    <xdr:sp macro="" textlink="">
      <xdr:nvSpPr>
        <xdr:cNvPr id="6" name="Flecha: pentágono 5">
          <a:extLst>
            <a:ext uri="{FF2B5EF4-FFF2-40B4-BE49-F238E27FC236}">
              <a16:creationId xmlns:a16="http://schemas.microsoft.com/office/drawing/2014/main" id="{24B58837-22BE-44DF-BF08-A118C45B26B4}"/>
            </a:ext>
          </a:extLst>
        </xdr:cNvPr>
        <xdr:cNvSpPr/>
      </xdr:nvSpPr>
      <xdr:spPr>
        <a:xfrm>
          <a:off x="0" y="571501"/>
          <a:ext cx="1238250" cy="438150"/>
        </a:xfrm>
        <a:prstGeom prst="homePlate">
          <a:avLst/>
        </a:prstGeom>
        <a:solidFill>
          <a:srgbClr val="0070C0"/>
        </a:solidFill>
        <a:ln>
          <a:solidFill>
            <a:srgbClr val="0070C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200" b="1">
              <a:solidFill>
                <a:schemeClr val="bg1"/>
              </a:solidFill>
            </a:rPr>
            <a:t>INVENTARIO</a:t>
          </a:r>
        </a:p>
      </xdr:txBody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1238250</xdr:colOff>
      <xdr:row>8</xdr:row>
      <xdr:rowOff>114300</xdr:rowOff>
    </xdr:to>
    <xdr:sp macro="" textlink="">
      <xdr:nvSpPr>
        <xdr:cNvPr id="9" name="Flecha: pentágono 8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EACF66DA-03B0-4734-A2A1-CA997573B7B2}"/>
            </a:ext>
          </a:extLst>
        </xdr:cNvPr>
        <xdr:cNvSpPr/>
      </xdr:nvSpPr>
      <xdr:spPr>
        <a:xfrm>
          <a:off x="0" y="1495425"/>
          <a:ext cx="1238250" cy="438150"/>
        </a:xfrm>
        <a:prstGeom prst="homePlate">
          <a:avLst/>
        </a:prstGeom>
        <a:solidFill>
          <a:schemeClr val="accent1">
            <a:lumMod val="60000"/>
            <a:lumOff val="40000"/>
          </a:schemeClr>
        </a:solidFill>
        <a:ln>
          <a:solidFill>
            <a:schemeClr val="accent1">
              <a:lumMod val="60000"/>
              <a:lumOff val="4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200" b="1">
              <a:solidFill>
                <a:schemeClr val="bg1">
                  <a:lumMod val="95000"/>
                </a:schemeClr>
              </a:solidFill>
            </a:rPr>
            <a:t>CATEGORÍAS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271463</xdr:rowOff>
    </xdr:from>
    <xdr:to>
      <xdr:col>1</xdr:col>
      <xdr:colOff>552017</xdr:colOff>
      <xdr:row>6</xdr:row>
      <xdr:rowOff>206520</xdr:rowOff>
    </xdr:to>
    <xdr:sp macro="" textlink="">
      <xdr:nvSpPr>
        <xdr:cNvPr id="39" name="Flecha: pentágono 38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E369FC2-2FF7-45A5-A144-80288CF6D291}"/>
            </a:ext>
          </a:extLst>
        </xdr:cNvPr>
        <xdr:cNvSpPr/>
      </xdr:nvSpPr>
      <xdr:spPr>
        <a:xfrm>
          <a:off x="0" y="1429616"/>
          <a:ext cx="1363807" cy="497898"/>
        </a:xfrm>
        <a:prstGeom prst="homePlate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3">
              <a:lumMod val="60000"/>
              <a:lumOff val="4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200" b="1"/>
            <a:t>CONCILIACIÓN</a:t>
          </a:r>
        </a:p>
      </xdr:txBody>
    </xdr:sp>
    <xdr:clientData/>
  </xdr:twoCellAnchor>
  <xdr:twoCellAnchor>
    <xdr:from>
      <xdr:col>8</xdr:col>
      <xdr:colOff>94451</xdr:colOff>
      <xdr:row>1</xdr:row>
      <xdr:rowOff>417826</xdr:rowOff>
    </xdr:from>
    <xdr:to>
      <xdr:col>9</xdr:col>
      <xdr:colOff>208534</xdr:colOff>
      <xdr:row>4</xdr:row>
      <xdr:rowOff>194640</xdr:rowOff>
    </xdr:to>
    <xdr:grpSp>
      <xdr:nvGrpSpPr>
        <xdr:cNvPr id="16" name="Grupo 15">
          <a:extLst>
            <a:ext uri="{FF2B5EF4-FFF2-40B4-BE49-F238E27FC236}">
              <a16:creationId xmlns:a16="http://schemas.microsoft.com/office/drawing/2014/main" id="{A3F53647-FD6E-4BC8-A84C-7AFC1EBB2C52}"/>
            </a:ext>
          </a:extLst>
        </xdr:cNvPr>
        <xdr:cNvGrpSpPr/>
      </xdr:nvGrpSpPr>
      <xdr:grpSpPr>
        <a:xfrm>
          <a:off x="10766781" y="601832"/>
          <a:ext cx="817634" cy="750961"/>
          <a:chOff x="12596014" y="342059"/>
          <a:chExt cx="817635" cy="750960"/>
        </a:xfrm>
      </xdr:grpSpPr>
      <xdr:sp macro="" textlink="">
        <xdr:nvSpPr>
          <xdr:cNvPr id="17" name="Triángulo isósceles 16">
            <a:extLst>
              <a:ext uri="{FF2B5EF4-FFF2-40B4-BE49-F238E27FC236}">
                <a16:creationId xmlns:a16="http://schemas.microsoft.com/office/drawing/2014/main" id="{3DB11272-2E27-D56A-6330-86BD64D1B1F3}"/>
              </a:ext>
            </a:extLst>
          </xdr:cNvPr>
          <xdr:cNvSpPr/>
        </xdr:nvSpPr>
        <xdr:spPr>
          <a:xfrm rot="2770512" flipH="1">
            <a:off x="12878299" y="401759"/>
            <a:ext cx="595049" cy="475650"/>
          </a:xfrm>
          <a:prstGeom prst="triangle">
            <a:avLst/>
          </a:prstGeom>
          <a:solidFill>
            <a:schemeClr val="bg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  <xdr:sp macro="" textlink="">
        <xdr:nvSpPr>
          <xdr:cNvPr id="18" name="Triángulo isósceles 17">
            <a:extLst>
              <a:ext uri="{FF2B5EF4-FFF2-40B4-BE49-F238E27FC236}">
                <a16:creationId xmlns:a16="http://schemas.microsoft.com/office/drawing/2014/main" id="{F8674203-F932-EE55-30CC-679037C38428}"/>
              </a:ext>
            </a:extLst>
          </xdr:cNvPr>
          <xdr:cNvSpPr/>
        </xdr:nvSpPr>
        <xdr:spPr>
          <a:xfrm rot="20813880">
            <a:off x="12596014" y="617370"/>
            <a:ext cx="551753" cy="475649"/>
          </a:xfrm>
          <a:prstGeom prst="triangle">
            <a:avLst/>
          </a:prstGeom>
          <a:solidFill>
            <a:schemeClr val="accent3">
              <a:lumMod val="75000"/>
            </a:schemeClr>
          </a:solidFill>
          <a:ln>
            <a:solidFill>
              <a:schemeClr val="accent3">
                <a:lumMod val="75000"/>
              </a:schemeClr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</xdr:grpSp>
    <xdr:clientData/>
  </xdr:twoCellAnchor>
  <xdr:twoCellAnchor>
    <xdr:from>
      <xdr:col>1</xdr:col>
      <xdr:colOff>529667</xdr:colOff>
      <xdr:row>2</xdr:row>
      <xdr:rowOff>3525</xdr:rowOff>
    </xdr:from>
    <xdr:to>
      <xdr:col>2</xdr:col>
      <xdr:colOff>464659</xdr:colOff>
      <xdr:row>4</xdr:row>
      <xdr:rowOff>164206</xdr:rowOff>
    </xdr:to>
    <xdr:grpSp>
      <xdr:nvGrpSpPr>
        <xdr:cNvPr id="19" name="Grupo 18">
          <a:extLst>
            <a:ext uri="{FF2B5EF4-FFF2-40B4-BE49-F238E27FC236}">
              <a16:creationId xmlns:a16="http://schemas.microsoft.com/office/drawing/2014/main" id="{2EAFE535-A983-4383-9766-11BF439C5DF0}"/>
            </a:ext>
          </a:extLst>
        </xdr:cNvPr>
        <xdr:cNvGrpSpPr/>
      </xdr:nvGrpSpPr>
      <xdr:grpSpPr>
        <a:xfrm rot="21355950" flipH="1">
          <a:off x="1341457" y="685428"/>
          <a:ext cx="681838" cy="636931"/>
          <a:chOff x="2059201" y="735680"/>
          <a:chExt cx="909415" cy="692317"/>
        </a:xfrm>
      </xdr:grpSpPr>
      <xdr:sp macro="" textlink="">
        <xdr:nvSpPr>
          <xdr:cNvPr id="20" name="Triángulo isósceles 19">
            <a:extLst>
              <a:ext uri="{FF2B5EF4-FFF2-40B4-BE49-F238E27FC236}">
                <a16:creationId xmlns:a16="http://schemas.microsoft.com/office/drawing/2014/main" id="{5236B737-3496-F2B1-940C-52134B3280FB}"/>
              </a:ext>
            </a:extLst>
          </xdr:cNvPr>
          <xdr:cNvSpPr/>
        </xdr:nvSpPr>
        <xdr:spPr>
          <a:xfrm rot="2770512" flipH="1">
            <a:off x="2419179" y="737997"/>
            <a:ext cx="551753" cy="547120"/>
          </a:xfrm>
          <a:prstGeom prst="triangle">
            <a:avLst/>
          </a:prstGeom>
          <a:solidFill>
            <a:schemeClr val="bg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  <xdr:sp macro="" textlink="">
        <xdr:nvSpPr>
          <xdr:cNvPr id="21" name="Triángulo isósceles 20">
            <a:extLst>
              <a:ext uri="{FF2B5EF4-FFF2-40B4-BE49-F238E27FC236}">
                <a16:creationId xmlns:a16="http://schemas.microsoft.com/office/drawing/2014/main" id="{ADDBE74D-5610-3E01-D624-D968203419A9}"/>
              </a:ext>
            </a:extLst>
          </xdr:cNvPr>
          <xdr:cNvSpPr/>
        </xdr:nvSpPr>
        <xdr:spPr>
          <a:xfrm rot="20813880">
            <a:off x="2059201" y="952348"/>
            <a:ext cx="634659" cy="475649"/>
          </a:xfrm>
          <a:prstGeom prst="triangle">
            <a:avLst/>
          </a:prstGeom>
          <a:solidFill>
            <a:schemeClr val="accent3">
              <a:lumMod val="75000"/>
            </a:schemeClr>
          </a:solidFill>
          <a:ln>
            <a:solidFill>
              <a:schemeClr val="accent3">
                <a:lumMod val="75000"/>
              </a:schemeClr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</xdr:grpSp>
    <xdr:clientData/>
  </xdr:twoCellAnchor>
  <xdr:twoCellAnchor>
    <xdr:from>
      <xdr:col>0</xdr:col>
      <xdr:colOff>21646</xdr:colOff>
      <xdr:row>1</xdr:row>
      <xdr:rowOff>238125</xdr:rowOff>
    </xdr:from>
    <xdr:to>
      <xdr:col>1</xdr:col>
      <xdr:colOff>573663</xdr:colOff>
      <xdr:row>3</xdr:row>
      <xdr:rowOff>43296</xdr:rowOff>
    </xdr:to>
    <xdr:sp macro="" textlink="">
      <xdr:nvSpPr>
        <xdr:cNvPr id="24" name="Flecha: pentágono 2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2EC2DDD2-62AE-451C-8AAE-BBA6F3EC3605}"/>
            </a:ext>
          </a:extLst>
        </xdr:cNvPr>
        <xdr:cNvSpPr/>
      </xdr:nvSpPr>
      <xdr:spPr>
        <a:xfrm>
          <a:off x="21646" y="422131"/>
          <a:ext cx="1363807" cy="497898"/>
        </a:xfrm>
        <a:prstGeom prst="homePlate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3">
              <a:lumMod val="60000"/>
              <a:lumOff val="4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600" b="1"/>
            <a:t>MENU</a:t>
          </a:r>
        </a:p>
      </xdr:txBody>
    </xdr:sp>
    <xdr:clientData/>
  </xdr:twoCellAnchor>
  <xdr:twoCellAnchor>
    <xdr:from>
      <xdr:col>0</xdr:col>
      <xdr:colOff>0</xdr:colOff>
      <xdr:row>3</xdr:row>
      <xdr:rowOff>11688</xdr:rowOff>
    </xdr:from>
    <xdr:to>
      <xdr:col>1</xdr:col>
      <xdr:colOff>552017</xdr:colOff>
      <xdr:row>5</xdr:row>
      <xdr:rowOff>10820</xdr:rowOff>
    </xdr:to>
    <xdr:sp macro="" textlink="">
      <xdr:nvSpPr>
        <xdr:cNvPr id="25" name="Flecha: pentágono 24">
          <a:extLst>
            <a:ext uri="{FF2B5EF4-FFF2-40B4-BE49-F238E27FC236}">
              <a16:creationId xmlns:a16="http://schemas.microsoft.com/office/drawing/2014/main" id="{E21BC200-9B55-4257-B9A8-A1BD5E2B09EE}"/>
            </a:ext>
          </a:extLst>
        </xdr:cNvPr>
        <xdr:cNvSpPr/>
      </xdr:nvSpPr>
      <xdr:spPr>
        <a:xfrm>
          <a:off x="0" y="888421"/>
          <a:ext cx="1363807" cy="561973"/>
        </a:xfrm>
        <a:prstGeom prst="homePlate">
          <a:avLst/>
        </a:prstGeom>
        <a:solidFill>
          <a:schemeClr val="accent3">
            <a:lumMod val="75000"/>
          </a:schemeClr>
        </a:solidFill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200" b="1"/>
            <a:t>NUEVO</a:t>
          </a:r>
          <a:r>
            <a:rPr lang="es-CO" sz="1200" b="1" baseline="0"/>
            <a:t> COMPROBANTE</a:t>
          </a:r>
          <a:endParaRPr lang="es-CO" sz="1200" b="1"/>
        </a:p>
      </xdr:txBody>
    </xdr:sp>
    <xdr:clientData/>
  </xdr:twoCellAnchor>
  <xdr:twoCellAnchor>
    <xdr:from>
      <xdr:col>9</xdr:col>
      <xdr:colOff>378836</xdr:colOff>
      <xdr:row>1</xdr:row>
      <xdr:rowOff>281420</xdr:rowOff>
    </xdr:from>
    <xdr:to>
      <xdr:col>10</xdr:col>
      <xdr:colOff>411308</xdr:colOff>
      <xdr:row>3</xdr:row>
      <xdr:rowOff>86591</xdr:rowOff>
    </xdr:to>
    <xdr:sp macro="[0]!GDCompCont2" textlink="">
      <xdr:nvSpPr>
        <xdr:cNvPr id="36" name="Flecha: pentágono 35">
          <a:extLst>
            <a:ext uri="{FF2B5EF4-FFF2-40B4-BE49-F238E27FC236}">
              <a16:creationId xmlns:a16="http://schemas.microsoft.com/office/drawing/2014/main" id="{B405BBFC-D85B-413F-BFE7-E9334ED5681F}"/>
            </a:ext>
          </a:extLst>
        </xdr:cNvPr>
        <xdr:cNvSpPr/>
      </xdr:nvSpPr>
      <xdr:spPr>
        <a:xfrm flipH="1">
          <a:off x="11754717" y="465426"/>
          <a:ext cx="1363807" cy="497898"/>
        </a:xfrm>
        <a:prstGeom prst="homePlate">
          <a:avLst/>
        </a:prstGeom>
        <a:solidFill>
          <a:schemeClr val="accent3">
            <a:lumMod val="75000"/>
          </a:schemeClr>
        </a:solidFill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400" b="1"/>
            <a:t>GUARDAR</a:t>
          </a:r>
        </a:p>
      </xdr:txBody>
    </xdr:sp>
    <xdr:clientData/>
  </xdr:twoCellAnchor>
  <xdr:twoCellAnchor>
    <xdr:from>
      <xdr:col>9</xdr:col>
      <xdr:colOff>390526</xdr:colOff>
      <xdr:row>4</xdr:row>
      <xdr:rowOff>866</xdr:rowOff>
    </xdr:from>
    <xdr:to>
      <xdr:col>10</xdr:col>
      <xdr:colOff>422998</xdr:colOff>
      <xdr:row>5</xdr:row>
      <xdr:rowOff>217343</xdr:rowOff>
    </xdr:to>
    <xdr:sp macro="[0]!BorrCompCont" textlink="">
      <xdr:nvSpPr>
        <xdr:cNvPr id="37" name="Flecha: pentágono 36">
          <a:extLst>
            <a:ext uri="{FF2B5EF4-FFF2-40B4-BE49-F238E27FC236}">
              <a16:creationId xmlns:a16="http://schemas.microsoft.com/office/drawing/2014/main" id="{7C58C5BE-7903-48BD-9D94-971C43B883A8}"/>
            </a:ext>
          </a:extLst>
        </xdr:cNvPr>
        <xdr:cNvSpPr/>
      </xdr:nvSpPr>
      <xdr:spPr>
        <a:xfrm flipH="1">
          <a:off x="11766407" y="1159019"/>
          <a:ext cx="1363807" cy="497898"/>
        </a:xfrm>
        <a:prstGeom prst="homePlate">
          <a:avLst/>
        </a:prstGeom>
        <a:solidFill>
          <a:schemeClr val="accent3">
            <a:lumMod val="75000"/>
          </a:schemeClr>
        </a:solidFill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200" b="1"/>
            <a:t>BORRAR</a:t>
          </a:r>
          <a:r>
            <a:rPr lang="es-CO" sz="1200" b="1" baseline="0"/>
            <a:t> REGISTRO</a:t>
          </a:r>
          <a:endParaRPr lang="es-CO" sz="1200" b="1"/>
        </a:p>
      </xdr:txBody>
    </xdr:sp>
    <xdr:clientData/>
  </xdr:twoCellAnchor>
  <xdr:twoCellAnchor>
    <xdr:from>
      <xdr:col>9</xdr:col>
      <xdr:colOff>413040</xdr:colOff>
      <xdr:row>6</xdr:row>
      <xdr:rowOff>120795</xdr:rowOff>
    </xdr:from>
    <xdr:to>
      <xdr:col>10</xdr:col>
      <xdr:colOff>445512</xdr:colOff>
      <xdr:row>7</xdr:row>
      <xdr:rowOff>337272</xdr:rowOff>
    </xdr:to>
    <xdr:sp macro="[0]!buscCompCont3" textlink="">
      <xdr:nvSpPr>
        <xdr:cNvPr id="38" name="Flecha: pentágono 37">
          <a:extLst>
            <a:ext uri="{FF2B5EF4-FFF2-40B4-BE49-F238E27FC236}">
              <a16:creationId xmlns:a16="http://schemas.microsoft.com/office/drawing/2014/main" id="{ED9D791A-3F4A-47B5-991F-D44736B4B542}"/>
            </a:ext>
          </a:extLst>
        </xdr:cNvPr>
        <xdr:cNvSpPr/>
      </xdr:nvSpPr>
      <xdr:spPr>
        <a:xfrm flipH="1">
          <a:off x="11788921" y="1841789"/>
          <a:ext cx="1363807" cy="497898"/>
        </a:xfrm>
        <a:prstGeom prst="homePlate">
          <a:avLst/>
        </a:prstGeom>
        <a:solidFill>
          <a:schemeClr val="accent3">
            <a:lumMod val="75000"/>
          </a:schemeClr>
        </a:solidFill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200" b="1"/>
            <a:t>BUSCAR COMPROBANTE</a:t>
          </a:r>
        </a:p>
      </xdr:txBody>
    </xdr:sp>
    <xdr:clientData/>
  </xdr:twoCellAnchor>
  <xdr:twoCellAnchor>
    <xdr:from>
      <xdr:col>9</xdr:col>
      <xdr:colOff>403079</xdr:colOff>
      <xdr:row>8</xdr:row>
      <xdr:rowOff>78365</xdr:rowOff>
    </xdr:from>
    <xdr:to>
      <xdr:col>10</xdr:col>
      <xdr:colOff>435551</xdr:colOff>
      <xdr:row>10</xdr:row>
      <xdr:rowOff>21647</xdr:rowOff>
    </xdr:to>
    <xdr:sp macro="[0]!LimpiarCompCont" textlink="">
      <xdr:nvSpPr>
        <xdr:cNvPr id="2" name="Flecha: pentágono 1">
          <a:extLst>
            <a:ext uri="{FF2B5EF4-FFF2-40B4-BE49-F238E27FC236}">
              <a16:creationId xmlns:a16="http://schemas.microsoft.com/office/drawing/2014/main" id="{45528ADA-48D2-44AA-99CD-B53FD4CCEAC2}"/>
            </a:ext>
          </a:extLst>
        </xdr:cNvPr>
        <xdr:cNvSpPr/>
      </xdr:nvSpPr>
      <xdr:spPr>
        <a:xfrm flipH="1">
          <a:off x="11778960" y="2524558"/>
          <a:ext cx="1363807" cy="387061"/>
        </a:xfrm>
        <a:prstGeom prst="homePlate">
          <a:avLst/>
        </a:prstGeom>
        <a:solidFill>
          <a:schemeClr val="accent3">
            <a:lumMod val="75000"/>
          </a:schemeClr>
        </a:solidFill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200" b="1"/>
            <a:t>LIMPIAR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46422</xdr:colOff>
      <xdr:row>10</xdr:row>
      <xdr:rowOff>193580</xdr:rowOff>
    </xdr:from>
    <xdr:to>
      <xdr:col>4</xdr:col>
      <xdr:colOff>943986</xdr:colOff>
      <xdr:row>12</xdr:row>
      <xdr:rowOff>84236</xdr:rowOff>
    </xdr:to>
    <xdr:sp macro="" textlink="">
      <xdr:nvSpPr>
        <xdr:cNvPr id="3" name="Rectángulo: esquinas redondeadas 2">
          <a:extLst>
            <a:ext uri="{FF2B5EF4-FFF2-40B4-BE49-F238E27FC236}">
              <a16:creationId xmlns:a16="http://schemas.microsoft.com/office/drawing/2014/main" id="{0DCD062D-FE17-C160-89AF-E2C80DA5F443}"/>
            </a:ext>
          </a:extLst>
        </xdr:cNvPr>
        <xdr:cNvSpPr/>
      </xdr:nvSpPr>
      <xdr:spPr>
        <a:xfrm>
          <a:off x="3380172" y="3094375"/>
          <a:ext cx="897564" cy="301963"/>
        </a:xfrm>
        <a:prstGeom prst="roundRect">
          <a:avLst/>
        </a:prstGeom>
        <a:solidFill>
          <a:srgbClr val="92D050"/>
        </a:solidFill>
        <a:ln>
          <a:solidFill>
            <a:schemeClr val="accent3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>
              <a:solidFill>
                <a:schemeClr val="tx1"/>
              </a:solidFill>
            </a:rPr>
            <a:t>CREAR</a:t>
          </a:r>
        </a:p>
      </xdr:txBody>
    </xdr:sp>
    <xdr:clientData/>
  </xdr:twoCellAnchor>
  <xdr:twoCellAnchor>
    <xdr:from>
      <xdr:col>4</xdr:col>
      <xdr:colOff>1125201</xdr:colOff>
      <xdr:row>10</xdr:row>
      <xdr:rowOff>191703</xdr:rowOff>
    </xdr:from>
    <xdr:to>
      <xdr:col>4</xdr:col>
      <xdr:colOff>1961284</xdr:colOff>
      <xdr:row>12</xdr:row>
      <xdr:rowOff>97176</xdr:rowOff>
    </xdr:to>
    <xdr:sp macro="[0]!BUSCARPROV" textlink="">
      <xdr:nvSpPr>
        <xdr:cNvPr id="8" name="Rectángulo: esquinas redondeadas 7">
          <a:extLst>
            <a:ext uri="{FF2B5EF4-FFF2-40B4-BE49-F238E27FC236}">
              <a16:creationId xmlns:a16="http://schemas.microsoft.com/office/drawing/2014/main" id="{55015AFB-2532-0B5D-D1D5-F90C947E2357}"/>
            </a:ext>
          </a:extLst>
        </xdr:cNvPr>
        <xdr:cNvSpPr/>
      </xdr:nvSpPr>
      <xdr:spPr>
        <a:xfrm>
          <a:off x="4458951" y="3092498"/>
          <a:ext cx="836083" cy="316780"/>
        </a:xfrm>
        <a:prstGeom prst="roundRect">
          <a:avLst/>
        </a:prstGeom>
        <a:solidFill>
          <a:srgbClr val="92D050"/>
        </a:solidFill>
        <a:ln>
          <a:solidFill>
            <a:schemeClr val="accent3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CO" sz="1100" b="1">
              <a:solidFill>
                <a:schemeClr val="tx1"/>
              </a:solidFill>
            </a:rPr>
            <a:t>BUSCAR</a:t>
          </a:r>
        </a:p>
      </xdr:txBody>
    </xdr:sp>
    <xdr:clientData/>
  </xdr:twoCellAnchor>
  <xdr:twoCellAnchor>
    <xdr:from>
      <xdr:col>8</xdr:col>
      <xdr:colOff>94451</xdr:colOff>
      <xdr:row>1</xdr:row>
      <xdr:rowOff>417826</xdr:rowOff>
    </xdr:from>
    <xdr:to>
      <xdr:col>9</xdr:col>
      <xdr:colOff>208534</xdr:colOff>
      <xdr:row>4</xdr:row>
      <xdr:rowOff>194640</xdr:rowOff>
    </xdr:to>
    <xdr:grpSp>
      <xdr:nvGrpSpPr>
        <xdr:cNvPr id="25" name="Grupo 24">
          <a:extLst>
            <a:ext uri="{FF2B5EF4-FFF2-40B4-BE49-F238E27FC236}">
              <a16:creationId xmlns:a16="http://schemas.microsoft.com/office/drawing/2014/main" id="{14CD4AAF-371D-3CFF-6450-542816D3DA6B}"/>
            </a:ext>
          </a:extLst>
        </xdr:cNvPr>
        <xdr:cNvGrpSpPr/>
      </xdr:nvGrpSpPr>
      <xdr:grpSpPr>
        <a:xfrm>
          <a:off x="12043996" y="612656"/>
          <a:ext cx="817635" cy="750961"/>
          <a:chOff x="12596014" y="342059"/>
          <a:chExt cx="817635" cy="750960"/>
        </a:xfrm>
      </xdr:grpSpPr>
      <xdr:sp macro="" textlink="">
        <xdr:nvSpPr>
          <xdr:cNvPr id="14" name="Triángulo isósceles 13">
            <a:extLst>
              <a:ext uri="{FF2B5EF4-FFF2-40B4-BE49-F238E27FC236}">
                <a16:creationId xmlns:a16="http://schemas.microsoft.com/office/drawing/2014/main" id="{97CE53F8-4B86-4CCF-B39D-3FD26E595191}"/>
              </a:ext>
            </a:extLst>
          </xdr:cNvPr>
          <xdr:cNvSpPr/>
        </xdr:nvSpPr>
        <xdr:spPr>
          <a:xfrm rot="2770512" flipH="1">
            <a:off x="12878299" y="401759"/>
            <a:ext cx="595049" cy="475650"/>
          </a:xfrm>
          <a:prstGeom prst="triangle">
            <a:avLst/>
          </a:prstGeom>
          <a:solidFill>
            <a:schemeClr val="bg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  <xdr:sp macro="" textlink="">
        <xdr:nvSpPr>
          <xdr:cNvPr id="7" name="Triángulo isósceles 6">
            <a:extLst>
              <a:ext uri="{FF2B5EF4-FFF2-40B4-BE49-F238E27FC236}">
                <a16:creationId xmlns:a16="http://schemas.microsoft.com/office/drawing/2014/main" id="{50885FCC-6883-4E4F-39F4-746338394EF4}"/>
              </a:ext>
            </a:extLst>
          </xdr:cNvPr>
          <xdr:cNvSpPr/>
        </xdr:nvSpPr>
        <xdr:spPr>
          <a:xfrm rot="20813880">
            <a:off x="12596014" y="617370"/>
            <a:ext cx="551753" cy="475649"/>
          </a:xfrm>
          <a:prstGeom prst="triangle">
            <a:avLst/>
          </a:prstGeom>
          <a:solidFill>
            <a:schemeClr val="accent3">
              <a:lumMod val="75000"/>
            </a:schemeClr>
          </a:solidFill>
          <a:ln>
            <a:solidFill>
              <a:schemeClr val="accent3">
                <a:lumMod val="75000"/>
              </a:schemeClr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</xdr:grpSp>
    <xdr:clientData/>
  </xdr:twoCellAnchor>
  <xdr:twoCellAnchor>
    <xdr:from>
      <xdr:col>1</xdr:col>
      <xdr:colOff>489739</xdr:colOff>
      <xdr:row>1</xdr:row>
      <xdr:rowOff>454256</xdr:rowOff>
    </xdr:from>
    <xdr:to>
      <xdr:col>3</xdr:col>
      <xdr:colOff>121939</xdr:colOff>
      <xdr:row>4</xdr:row>
      <xdr:rowOff>215721</xdr:rowOff>
    </xdr:to>
    <xdr:grpSp>
      <xdr:nvGrpSpPr>
        <xdr:cNvPr id="24" name="Grupo 23">
          <a:extLst>
            <a:ext uri="{FF2B5EF4-FFF2-40B4-BE49-F238E27FC236}">
              <a16:creationId xmlns:a16="http://schemas.microsoft.com/office/drawing/2014/main" id="{870768ED-1BBE-E0D1-B162-FA2F882028E6}"/>
            </a:ext>
          </a:extLst>
        </xdr:cNvPr>
        <xdr:cNvGrpSpPr/>
      </xdr:nvGrpSpPr>
      <xdr:grpSpPr>
        <a:xfrm rot="21355950" flipH="1">
          <a:off x="1637069" y="649086"/>
          <a:ext cx="909415" cy="735612"/>
          <a:chOff x="2059201" y="735680"/>
          <a:chExt cx="909415" cy="692317"/>
        </a:xfrm>
      </xdr:grpSpPr>
      <xdr:sp macro="" textlink="">
        <xdr:nvSpPr>
          <xdr:cNvPr id="21" name="Triángulo isósceles 20">
            <a:extLst>
              <a:ext uri="{FF2B5EF4-FFF2-40B4-BE49-F238E27FC236}">
                <a16:creationId xmlns:a16="http://schemas.microsoft.com/office/drawing/2014/main" id="{4572DD65-3417-427B-B03D-D7863C623500}"/>
              </a:ext>
            </a:extLst>
          </xdr:cNvPr>
          <xdr:cNvSpPr/>
        </xdr:nvSpPr>
        <xdr:spPr>
          <a:xfrm rot="2770512" flipH="1">
            <a:off x="2419179" y="737997"/>
            <a:ext cx="551753" cy="547120"/>
          </a:xfrm>
          <a:prstGeom prst="triangle">
            <a:avLst/>
          </a:prstGeom>
          <a:solidFill>
            <a:schemeClr val="bg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  <xdr:sp macro="" textlink="">
        <xdr:nvSpPr>
          <xdr:cNvPr id="23" name="Triángulo isósceles 22">
            <a:extLst>
              <a:ext uri="{FF2B5EF4-FFF2-40B4-BE49-F238E27FC236}">
                <a16:creationId xmlns:a16="http://schemas.microsoft.com/office/drawing/2014/main" id="{14E540BA-65CC-4CF4-8362-487BA40D1336}"/>
              </a:ext>
            </a:extLst>
          </xdr:cNvPr>
          <xdr:cNvSpPr/>
        </xdr:nvSpPr>
        <xdr:spPr>
          <a:xfrm rot="20813880">
            <a:off x="2059201" y="952348"/>
            <a:ext cx="634659" cy="475649"/>
          </a:xfrm>
          <a:prstGeom prst="triangle">
            <a:avLst/>
          </a:prstGeom>
          <a:solidFill>
            <a:schemeClr val="accent3">
              <a:lumMod val="75000"/>
            </a:schemeClr>
          </a:solidFill>
          <a:ln>
            <a:solidFill>
              <a:schemeClr val="accent3">
                <a:lumMod val="75000"/>
              </a:schemeClr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</xdr:grpSp>
    <xdr:clientData/>
  </xdr:twoCellAnchor>
  <xdr:twoCellAnchor>
    <xdr:from>
      <xdr:col>9</xdr:col>
      <xdr:colOff>313025</xdr:colOff>
      <xdr:row>1</xdr:row>
      <xdr:rowOff>486208</xdr:rowOff>
    </xdr:from>
    <xdr:to>
      <xdr:col>10</xdr:col>
      <xdr:colOff>345497</xdr:colOff>
      <xdr:row>4</xdr:row>
      <xdr:rowOff>9959</xdr:rowOff>
    </xdr:to>
    <xdr:sp macro="[0]!GUARDARGASTO" textlink="">
      <xdr:nvSpPr>
        <xdr:cNvPr id="2" name="Flecha: pentágono 1">
          <a:extLst>
            <a:ext uri="{FF2B5EF4-FFF2-40B4-BE49-F238E27FC236}">
              <a16:creationId xmlns:a16="http://schemas.microsoft.com/office/drawing/2014/main" id="{A937A3E7-4C7D-45AB-923E-E97CC07F6323}"/>
            </a:ext>
          </a:extLst>
        </xdr:cNvPr>
        <xdr:cNvSpPr/>
      </xdr:nvSpPr>
      <xdr:spPr>
        <a:xfrm flipH="1">
          <a:off x="12966122" y="681038"/>
          <a:ext cx="1363807" cy="497898"/>
        </a:xfrm>
        <a:prstGeom prst="homePlate">
          <a:avLst/>
        </a:prstGeom>
        <a:solidFill>
          <a:schemeClr val="accent3">
            <a:lumMod val="75000"/>
          </a:schemeClr>
        </a:solidFill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400" b="1"/>
            <a:t>GUARDAR</a:t>
          </a:r>
        </a:p>
      </xdr:txBody>
    </xdr:sp>
    <xdr:clientData/>
  </xdr:twoCellAnchor>
  <xdr:twoCellAnchor>
    <xdr:from>
      <xdr:col>0</xdr:col>
      <xdr:colOff>21646</xdr:colOff>
      <xdr:row>1</xdr:row>
      <xdr:rowOff>270598</xdr:rowOff>
    </xdr:from>
    <xdr:to>
      <xdr:col>1</xdr:col>
      <xdr:colOff>238123</xdr:colOff>
      <xdr:row>3</xdr:row>
      <xdr:rowOff>75769</xdr:rowOff>
    </xdr:to>
    <xdr:sp macro="" textlink="">
      <xdr:nvSpPr>
        <xdr:cNvPr id="4" name="Flecha: pentágono 3">
          <a:extLst>
            <a:ext uri="{FF2B5EF4-FFF2-40B4-BE49-F238E27FC236}">
              <a16:creationId xmlns:a16="http://schemas.microsoft.com/office/drawing/2014/main" id="{5BE8141C-A45D-4C64-A71F-3F7B2618A052}"/>
            </a:ext>
          </a:extLst>
        </xdr:cNvPr>
        <xdr:cNvSpPr/>
      </xdr:nvSpPr>
      <xdr:spPr>
        <a:xfrm>
          <a:off x="21646" y="465428"/>
          <a:ext cx="1363807" cy="497898"/>
        </a:xfrm>
        <a:prstGeom prst="homePlate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3">
              <a:lumMod val="60000"/>
              <a:lumOff val="4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600" b="1"/>
            <a:t>MENU</a:t>
          </a:r>
        </a:p>
      </xdr:txBody>
    </xdr:sp>
    <xdr:clientData/>
  </xdr:twoCellAnchor>
  <xdr:twoCellAnchor>
    <xdr:from>
      <xdr:col>9</xdr:col>
      <xdr:colOff>324715</xdr:colOff>
      <xdr:row>4</xdr:row>
      <xdr:rowOff>205654</xdr:rowOff>
    </xdr:from>
    <xdr:to>
      <xdr:col>10</xdr:col>
      <xdr:colOff>357187</xdr:colOff>
      <xdr:row>6</xdr:row>
      <xdr:rowOff>140711</xdr:rowOff>
    </xdr:to>
    <xdr:sp macro="[0]!BORRARCOMPRA" textlink="">
      <xdr:nvSpPr>
        <xdr:cNvPr id="6" name="Flecha: pentágono 5">
          <a:extLst>
            <a:ext uri="{FF2B5EF4-FFF2-40B4-BE49-F238E27FC236}">
              <a16:creationId xmlns:a16="http://schemas.microsoft.com/office/drawing/2014/main" id="{EB3B8BED-21AB-457E-8B70-C646AF3FFF22}"/>
            </a:ext>
          </a:extLst>
        </xdr:cNvPr>
        <xdr:cNvSpPr/>
      </xdr:nvSpPr>
      <xdr:spPr>
        <a:xfrm flipH="1">
          <a:off x="12977812" y="1374631"/>
          <a:ext cx="1363807" cy="497898"/>
        </a:xfrm>
        <a:prstGeom prst="homePlate">
          <a:avLst/>
        </a:prstGeom>
        <a:solidFill>
          <a:schemeClr val="accent3">
            <a:lumMod val="75000"/>
          </a:schemeClr>
        </a:solidFill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200" b="1"/>
            <a:t>BORRAR</a:t>
          </a:r>
          <a:r>
            <a:rPr lang="es-CO" sz="1200" b="1" baseline="0"/>
            <a:t> REGISTRO</a:t>
          </a:r>
          <a:endParaRPr lang="es-CO" sz="1200" b="1"/>
        </a:p>
      </xdr:txBody>
    </xdr:sp>
    <xdr:clientData/>
  </xdr:twoCellAnchor>
  <xdr:twoCellAnchor>
    <xdr:from>
      <xdr:col>9</xdr:col>
      <xdr:colOff>347229</xdr:colOff>
      <xdr:row>7</xdr:row>
      <xdr:rowOff>44162</xdr:rowOff>
    </xdr:from>
    <xdr:to>
      <xdr:col>10</xdr:col>
      <xdr:colOff>379701</xdr:colOff>
      <xdr:row>8</xdr:row>
      <xdr:rowOff>98282</xdr:rowOff>
    </xdr:to>
    <xdr:sp macro="[0]!BUSCARFACTCOMPRA" textlink="">
      <xdr:nvSpPr>
        <xdr:cNvPr id="22" name="Flecha: pentágono 21">
          <a:extLst>
            <a:ext uri="{FF2B5EF4-FFF2-40B4-BE49-F238E27FC236}">
              <a16:creationId xmlns:a16="http://schemas.microsoft.com/office/drawing/2014/main" id="{26D93405-85BF-4AA6-8615-615AC83BD7B8}"/>
            </a:ext>
          </a:extLst>
        </xdr:cNvPr>
        <xdr:cNvSpPr/>
      </xdr:nvSpPr>
      <xdr:spPr>
        <a:xfrm flipH="1">
          <a:off x="13000326" y="2057401"/>
          <a:ext cx="1363807" cy="497898"/>
        </a:xfrm>
        <a:prstGeom prst="homePlate">
          <a:avLst/>
        </a:prstGeom>
        <a:solidFill>
          <a:schemeClr val="accent3">
            <a:lumMod val="75000"/>
          </a:schemeClr>
        </a:solidFill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200" b="1"/>
            <a:t>BUSCAR FACTURA</a:t>
          </a:r>
        </a:p>
      </xdr:txBody>
    </xdr:sp>
    <xdr:clientData/>
  </xdr:twoCellAnchor>
  <xdr:twoCellAnchor>
    <xdr:from>
      <xdr:col>9</xdr:col>
      <xdr:colOff>324715</xdr:colOff>
      <xdr:row>9</xdr:row>
      <xdr:rowOff>75767</xdr:rowOff>
    </xdr:from>
    <xdr:to>
      <xdr:col>10</xdr:col>
      <xdr:colOff>357187</xdr:colOff>
      <xdr:row>11</xdr:row>
      <xdr:rowOff>129887</xdr:rowOff>
    </xdr:to>
    <xdr:sp macro="[0]!GDCOMPRAINV" textlink="">
      <xdr:nvSpPr>
        <xdr:cNvPr id="26" name="Flecha: pentágono 25">
          <a:extLst>
            <a:ext uri="{FF2B5EF4-FFF2-40B4-BE49-F238E27FC236}">
              <a16:creationId xmlns:a16="http://schemas.microsoft.com/office/drawing/2014/main" id="{A82AB061-2076-4E50-9531-3827F608F34E}"/>
            </a:ext>
          </a:extLst>
        </xdr:cNvPr>
        <xdr:cNvSpPr/>
      </xdr:nvSpPr>
      <xdr:spPr>
        <a:xfrm flipH="1">
          <a:off x="12977812" y="2727614"/>
          <a:ext cx="1363807" cy="497898"/>
        </a:xfrm>
        <a:prstGeom prst="homePlate">
          <a:avLst/>
        </a:prstGeom>
        <a:solidFill>
          <a:schemeClr val="accent3">
            <a:lumMod val="75000"/>
          </a:schemeClr>
        </a:solidFill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200" b="1"/>
            <a:t>GUARDAR</a:t>
          </a:r>
          <a:r>
            <a:rPr lang="es-CO" sz="1200" b="1" baseline="0"/>
            <a:t> INVENTARIO</a:t>
          </a:r>
          <a:endParaRPr lang="es-CO" sz="1200" b="1"/>
        </a:p>
      </xdr:txBody>
    </xdr:sp>
    <xdr:clientData/>
  </xdr:twoCellAnchor>
  <xdr:twoCellAnchor>
    <xdr:from>
      <xdr:col>9</xdr:col>
      <xdr:colOff>314756</xdr:colOff>
      <xdr:row>12</xdr:row>
      <xdr:rowOff>65810</xdr:rowOff>
    </xdr:from>
    <xdr:to>
      <xdr:col>10</xdr:col>
      <xdr:colOff>347228</xdr:colOff>
      <xdr:row>16</xdr:row>
      <xdr:rowOff>10824</xdr:rowOff>
    </xdr:to>
    <xdr:sp macro="[0]!BORRARCOMPRAINV" textlink="">
      <xdr:nvSpPr>
        <xdr:cNvPr id="27" name="Flecha: pentágono 26">
          <a:extLst>
            <a:ext uri="{FF2B5EF4-FFF2-40B4-BE49-F238E27FC236}">
              <a16:creationId xmlns:a16="http://schemas.microsoft.com/office/drawing/2014/main" id="{5C6EA123-335C-48D6-ACAA-0AA0CF960A34}"/>
            </a:ext>
          </a:extLst>
        </xdr:cNvPr>
        <xdr:cNvSpPr/>
      </xdr:nvSpPr>
      <xdr:spPr>
        <a:xfrm flipH="1">
          <a:off x="12967853" y="3377912"/>
          <a:ext cx="1363807" cy="767628"/>
        </a:xfrm>
        <a:prstGeom prst="homePlate">
          <a:avLst/>
        </a:prstGeom>
        <a:solidFill>
          <a:schemeClr val="accent3">
            <a:lumMod val="75000"/>
          </a:schemeClr>
        </a:solidFill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200" b="1"/>
            <a:t>BORRAR</a:t>
          </a:r>
          <a:r>
            <a:rPr lang="es-CO" sz="1200" b="1" baseline="0"/>
            <a:t> REGISTRO INV ANTERIOR</a:t>
          </a:r>
          <a:endParaRPr lang="es-CO" sz="1200" b="1"/>
        </a:p>
      </xdr:txBody>
    </xdr:sp>
    <xdr:clientData/>
  </xdr:twoCellAnchor>
  <xdr:twoCellAnchor>
    <xdr:from>
      <xdr:col>0</xdr:col>
      <xdr:colOff>0</xdr:colOff>
      <xdr:row>5</xdr:row>
      <xdr:rowOff>1732</xdr:rowOff>
    </xdr:from>
    <xdr:to>
      <xdr:col>1</xdr:col>
      <xdr:colOff>216477</xdr:colOff>
      <xdr:row>7</xdr:row>
      <xdr:rowOff>864</xdr:rowOff>
    </xdr:to>
    <xdr:sp macro="" textlink="">
      <xdr:nvSpPr>
        <xdr:cNvPr id="29" name="Flecha: pentágono 28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15154E3-4715-4DB0-A00A-AE2173DD4FA6}"/>
            </a:ext>
          </a:extLst>
        </xdr:cNvPr>
        <xdr:cNvSpPr/>
      </xdr:nvSpPr>
      <xdr:spPr>
        <a:xfrm>
          <a:off x="0" y="1452130"/>
          <a:ext cx="1363807" cy="561973"/>
        </a:xfrm>
        <a:prstGeom prst="homePlate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3">
              <a:lumMod val="60000"/>
              <a:lumOff val="4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400" b="1"/>
            <a:t>PAGO FACTURA</a:t>
          </a:r>
        </a:p>
      </xdr:txBody>
    </xdr:sp>
    <xdr:clientData/>
  </xdr:twoCellAnchor>
  <xdr:twoCellAnchor>
    <xdr:from>
      <xdr:col>0</xdr:col>
      <xdr:colOff>0</xdr:colOff>
      <xdr:row>6</xdr:row>
      <xdr:rowOff>251547</xdr:rowOff>
    </xdr:from>
    <xdr:to>
      <xdr:col>1</xdr:col>
      <xdr:colOff>216477</xdr:colOff>
      <xdr:row>8</xdr:row>
      <xdr:rowOff>88321</xdr:rowOff>
    </xdr:to>
    <xdr:sp macro="" textlink="">
      <xdr:nvSpPr>
        <xdr:cNvPr id="30" name="Flecha: pentágono 29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D368AF5-D367-4E90-97B0-F663F2131FFA}"/>
            </a:ext>
          </a:extLst>
        </xdr:cNvPr>
        <xdr:cNvSpPr/>
      </xdr:nvSpPr>
      <xdr:spPr>
        <a:xfrm>
          <a:off x="0" y="1983365"/>
          <a:ext cx="1363807" cy="561973"/>
        </a:xfrm>
        <a:prstGeom prst="homePlate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3">
              <a:lumMod val="60000"/>
              <a:lumOff val="4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400" b="1"/>
            <a:t>BUSCAR PAGO FACT.</a:t>
          </a:r>
        </a:p>
      </xdr:txBody>
    </xdr:sp>
    <xdr:clientData/>
  </xdr:twoCellAnchor>
  <xdr:twoCellAnchor>
    <xdr:from>
      <xdr:col>0</xdr:col>
      <xdr:colOff>0</xdr:colOff>
      <xdr:row>3</xdr:row>
      <xdr:rowOff>44161</xdr:rowOff>
    </xdr:from>
    <xdr:to>
      <xdr:col>1</xdr:col>
      <xdr:colOff>216477</xdr:colOff>
      <xdr:row>5</xdr:row>
      <xdr:rowOff>43293</xdr:rowOff>
    </xdr:to>
    <xdr:sp macro="" textlink="">
      <xdr:nvSpPr>
        <xdr:cNvPr id="28" name="Flecha: pentágono 27">
          <a:extLst>
            <a:ext uri="{FF2B5EF4-FFF2-40B4-BE49-F238E27FC236}">
              <a16:creationId xmlns:a16="http://schemas.microsoft.com/office/drawing/2014/main" id="{4A790B79-C023-4AF3-92F7-83D8D639527B}"/>
            </a:ext>
          </a:extLst>
        </xdr:cNvPr>
        <xdr:cNvSpPr/>
      </xdr:nvSpPr>
      <xdr:spPr>
        <a:xfrm>
          <a:off x="0" y="931718"/>
          <a:ext cx="1363807" cy="561973"/>
        </a:xfrm>
        <a:prstGeom prst="homePlate">
          <a:avLst/>
        </a:prstGeom>
        <a:solidFill>
          <a:schemeClr val="accent3">
            <a:lumMod val="75000"/>
          </a:schemeClr>
        </a:solidFill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400" b="1"/>
            <a:t>NUEVA</a:t>
          </a:r>
          <a:r>
            <a:rPr lang="es-CO" sz="1400" b="1" baseline="0"/>
            <a:t> COMPRA</a:t>
          </a:r>
          <a:endParaRPr lang="es-CO" sz="1400" b="1"/>
        </a:p>
      </xdr:txBody>
    </xdr:sp>
    <xdr:clientData/>
  </xdr:twoCellAnchor>
  <xdr:twoCellAnchor>
    <xdr:from>
      <xdr:col>0</xdr:col>
      <xdr:colOff>0</xdr:colOff>
      <xdr:row>8</xdr:row>
      <xdr:rowOff>90054</xdr:rowOff>
    </xdr:from>
    <xdr:to>
      <xdr:col>1</xdr:col>
      <xdr:colOff>216477</xdr:colOff>
      <xdr:row>11</xdr:row>
      <xdr:rowOff>13419</xdr:rowOff>
    </xdr:to>
    <xdr:sp macro="" textlink="">
      <xdr:nvSpPr>
        <xdr:cNvPr id="31" name="Flecha: pentágono 30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921B07F3-4C52-4B77-BE44-5861EBCBC103}"/>
            </a:ext>
          </a:extLst>
        </xdr:cNvPr>
        <xdr:cNvSpPr/>
      </xdr:nvSpPr>
      <xdr:spPr>
        <a:xfrm>
          <a:off x="0" y="2547071"/>
          <a:ext cx="1363807" cy="561973"/>
        </a:xfrm>
        <a:prstGeom prst="homePlate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3">
              <a:lumMod val="60000"/>
              <a:lumOff val="4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400" b="1"/>
            <a:t>BASE</a:t>
          </a:r>
          <a:r>
            <a:rPr lang="es-CO" sz="1400" b="1" baseline="0"/>
            <a:t> DATOS PROV.</a:t>
          </a:r>
          <a:endParaRPr lang="es-CO" sz="1400" b="1"/>
        </a:p>
      </xdr:txBody>
    </xdr:sp>
    <xdr:clientData/>
  </xdr:twoCellAnchor>
  <xdr:twoCellAnchor>
    <xdr:from>
      <xdr:col>0</xdr:col>
      <xdr:colOff>21646</xdr:colOff>
      <xdr:row>1</xdr:row>
      <xdr:rowOff>259774</xdr:rowOff>
    </xdr:from>
    <xdr:to>
      <xdr:col>1</xdr:col>
      <xdr:colOff>238123</xdr:colOff>
      <xdr:row>3</xdr:row>
      <xdr:rowOff>64945</xdr:rowOff>
    </xdr:to>
    <xdr:sp macro="" textlink="">
      <xdr:nvSpPr>
        <xdr:cNvPr id="32" name="Flecha: pentágono 31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1F4ABC6D-3CF9-4E02-540F-9DFB96F2895B}"/>
            </a:ext>
          </a:extLst>
        </xdr:cNvPr>
        <xdr:cNvSpPr/>
      </xdr:nvSpPr>
      <xdr:spPr>
        <a:xfrm>
          <a:off x="21646" y="454604"/>
          <a:ext cx="1363807" cy="497898"/>
        </a:xfrm>
        <a:prstGeom prst="homePlate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3">
              <a:lumMod val="60000"/>
              <a:lumOff val="4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600" b="1"/>
            <a:t>MENU</a:t>
          </a:r>
        </a:p>
      </xdr:txBody>
    </xdr:sp>
    <xdr:clientData/>
  </xdr:twoCellAnchor>
  <xdr:twoCellAnchor>
    <xdr:from>
      <xdr:col>0</xdr:col>
      <xdr:colOff>0</xdr:colOff>
      <xdr:row>3</xdr:row>
      <xdr:rowOff>33337</xdr:rowOff>
    </xdr:from>
    <xdr:to>
      <xdr:col>1</xdr:col>
      <xdr:colOff>216477</xdr:colOff>
      <xdr:row>5</xdr:row>
      <xdr:rowOff>32469</xdr:rowOff>
    </xdr:to>
    <xdr:sp macro="" textlink="">
      <xdr:nvSpPr>
        <xdr:cNvPr id="33" name="Flecha: pentágono 32">
          <a:extLst>
            <a:ext uri="{FF2B5EF4-FFF2-40B4-BE49-F238E27FC236}">
              <a16:creationId xmlns:a16="http://schemas.microsoft.com/office/drawing/2014/main" id="{F3C2BF02-F228-3E7A-5253-5A4D079307A8}"/>
            </a:ext>
          </a:extLst>
        </xdr:cNvPr>
        <xdr:cNvSpPr/>
      </xdr:nvSpPr>
      <xdr:spPr>
        <a:xfrm>
          <a:off x="0" y="920894"/>
          <a:ext cx="1363807" cy="561973"/>
        </a:xfrm>
        <a:prstGeom prst="homePlate">
          <a:avLst/>
        </a:prstGeom>
        <a:solidFill>
          <a:schemeClr val="accent3">
            <a:lumMod val="75000"/>
          </a:schemeClr>
        </a:solidFill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400" b="1"/>
            <a:t>NUEVA</a:t>
          </a:r>
          <a:r>
            <a:rPr lang="es-CO" sz="1400" b="1" baseline="0"/>
            <a:t> COMPRA</a:t>
          </a:r>
          <a:endParaRPr lang="es-CO" sz="1400" b="1"/>
        </a:p>
      </xdr:txBody>
    </xdr:sp>
    <xdr:clientData/>
  </xdr:twoCellAnchor>
  <xdr:twoCellAnchor>
    <xdr:from>
      <xdr:col>9</xdr:col>
      <xdr:colOff>313892</xdr:colOff>
      <xdr:row>17</xdr:row>
      <xdr:rowOff>1</xdr:rowOff>
    </xdr:from>
    <xdr:to>
      <xdr:col>10</xdr:col>
      <xdr:colOff>346364</xdr:colOff>
      <xdr:row>18</xdr:row>
      <xdr:rowOff>194395</xdr:rowOff>
    </xdr:to>
    <xdr:sp macro="[0]!LIMPIARCOMPRAS" textlink="">
      <xdr:nvSpPr>
        <xdr:cNvPr id="5" name="Flecha: pentágono 4">
          <a:extLst>
            <a:ext uri="{FF2B5EF4-FFF2-40B4-BE49-F238E27FC236}">
              <a16:creationId xmlns:a16="http://schemas.microsoft.com/office/drawing/2014/main" id="{38A7563C-3758-4D9B-A332-ACB984CA5D55}"/>
            </a:ext>
          </a:extLst>
        </xdr:cNvPr>
        <xdr:cNvSpPr/>
      </xdr:nvSpPr>
      <xdr:spPr>
        <a:xfrm flipH="1">
          <a:off x="12966989" y="4329546"/>
          <a:ext cx="1363807" cy="389224"/>
        </a:xfrm>
        <a:prstGeom prst="homePlate">
          <a:avLst/>
        </a:prstGeom>
        <a:solidFill>
          <a:schemeClr val="accent3">
            <a:lumMod val="75000"/>
          </a:schemeClr>
        </a:solidFill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200" b="1"/>
            <a:t>LIMPIAR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10582</xdr:colOff>
      <xdr:row>10</xdr:row>
      <xdr:rowOff>171450</xdr:rowOff>
    </xdr:from>
    <xdr:to>
      <xdr:col>4</xdr:col>
      <xdr:colOff>909108</xdr:colOff>
      <xdr:row>12</xdr:row>
      <xdr:rowOff>50801</xdr:rowOff>
    </xdr:to>
    <xdr:sp macro="" textlink="">
      <xdr:nvSpPr>
        <xdr:cNvPr id="2" name="Rectángulo: esquinas redondeadas 1">
          <a:extLst>
            <a:ext uri="{FF2B5EF4-FFF2-40B4-BE49-F238E27FC236}">
              <a16:creationId xmlns:a16="http://schemas.microsoft.com/office/drawing/2014/main" id="{0780E263-155A-42BB-ADA5-34820D6219DB}"/>
            </a:ext>
          </a:extLst>
        </xdr:cNvPr>
        <xdr:cNvSpPr/>
      </xdr:nvSpPr>
      <xdr:spPr>
        <a:xfrm>
          <a:off x="3333749" y="3018367"/>
          <a:ext cx="898526" cy="292101"/>
        </a:xfrm>
        <a:prstGeom prst="roundRect">
          <a:avLst/>
        </a:prstGeom>
        <a:solidFill>
          <a:srgbClr val="92D050"/>
        </a:solidFill>
        <a:ln>
          <a:solidFill>
            <a:schemeClr val="accent3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>
              <a:solidFill>
                <a:schemeClr val="tx1"/>
              </a:solidFill>
            </a:rPr>
            <a:t>CREAR</a:t>
          </a:r>
        </a:p>
      </xdr:txBody>
    </xdr:sp>
    <xdr:clientData/>
  </xdr:twoCellAnchor>
  <xdr:twoCellAnchor>
    <xdr:from>
      <xdr:col>4</xdr:col>
      <xdr:colOff>1026582</xdr:colOff>
      <xdr:row>10</xdr:row>
      <xdr:rowOff>158991</xdr:rowOff>
    </xdr:from>
    <xdr:to>
      <xdr:col>4</xdr:col>
      <xdr:colOff>1862665</xdr:colOff>
      <xdr:row>12</xdr:row>
      <xdr:rowOff>53159</xdr:rowOff>
    </xdr:to>
    <xdr:sp macro="[0]!BUSCARCLIENTE" textlink="">
      <xdr:nvSpPr>
        <xdr:cNvPr id="8" name="Rectángulo: esquinas redondeadas 7">
          <a:extLst>
            <a:ext uri="{FF2B5EF4-FFF2-40B4-BE49-F238E27FC236}">
              <a16:creationId xmlns:a16="http://schemas.microsoft.com/office/drawing/2014/main" id="{65E630F7-78B0-400C-ABD2-D19BB5432E3E}"/>
            </a:ext>
          </a:extLst>
        </xdr:cNvPr>
        <xdr:cNvSpPr/>
      </xdr:nvSpPr>
      <xdr:spPr>
        <a:xfrm>
          <a:off x="4349749" y="3005908"/>
          <a:ext cx="836083" cy="306918"/>
        </a:xfrm>
        <a:prstGeom prst="roundRect">
          <a:avLst/>
        </a:prstGeom>
        <a:solidFill>
          <a:srgbClr val="92D050"/>
        </a:solidFill>
        <a:ln>
          <a:solidFill>
            <a:schemeClr val="accent3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CO" sz="1100" b="1">
              <a:solidFill>
                <a:schemeClr val="tx1"/>
              </a:solidFill>
            </a:rPr>
            <a:t>BUSCAR</a:t>
          </a:r>
        </a:p>
      </xdr:txBody>
    </xdr:sp>
    <xdr:clientData/>
  </xdr:twoCellAnchor>
  <xdr:twoCellAnchor>
    <xdr:from>
      <xdr:col>10</xdr:col>
      <xdr:colOff>94451</xdr:colOff>
      <xdr:row>1</xdr:row>
      <xdr:rowOff>417826</xdr:rowOff>
    </xdr:from>
    <xdr:to>
      <xdr:col>11</xdr:col>
      <xdr:colOff>208534</xdr:colOff>
      <xdr:row>4</xdr:row>
      <xdr:rowOff>194640</xdr:rowOff>
    </xdr:to>
    <xdr:grpSp>
      <xdr:nvGrpSpPr>
        <xdr:cNvPr id="16" name="Grupo 15">
          <a:extLst>
            <a:ext uri="{FF2B5EF4-FFF2-40B4-BE49-F238E27FC236}">
              <a16:creationId xmlns:a16="http://schemas.microsoft.com/office/drawing/2014/main" id="{9D7AD35D-A265-4602-96DB-38C4EEBB8CAA}"/>
            </a:ext>
          </a:extLst>
        </xdr:cNvPr>
        <xdr:cNvGrpSpPr/>
      </xdr:nvGrpSpPr>
      <xdr:grpSpPr>
        <a:xfrm>
          <a:off x="14583034" y="597743"/>
          <a:ext cx="823167" cy="739897"/>
          <a:chOff x="12596014" y="342059"/>
          <a:chExt cx="817635" cy="750960"/>
        </a:xfrm>
      </xdr:grpSpPr>
      <xdr:sp macro="" textlink="">
        <xdr:nvSpPr>
          <xdr:cNvPr id="17" name="Triángulo isósceles 16">
            <a:extLst>
              <a:ext uri="{FF2B5EF4-FFF2-40B4-BE49-F238E27FC236}">
                <a16:creationId xmlns:a16="http://schemas.microsoft.com/office/drawing/2014/main" id="{00BAAA67-6C8F-EF51-5E01-8FF2038795E7}"/>
              </a:ext>
            </a:extLst>
          </xdr:cNvPr>
          <xdr:cNvSpPr/>
        </xdr:nvSpPr>
        <xdr:spPr>
          <a:xfrm rot="2770512" flipH="1">
            <a:off x="12878299" y="401759"/>
            <a:ext cx="595049" cy="475650"/>
          </a:xfrm>
          <a:prstGeom prst="triangle">
            <a:avLst/>
          </a:prstGeom>
          <a:solidFill>
            <a:schemeClr val="bg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  <xdr:sp macro="" textlink="">
        <xdr:nvSpPr>
          <xdr:cNvPr id="18" name="Triángulo isósceles 17">
            <a:extLst>
              <a:ext uri="{FF2B5EF4-FFF2-40B4-BE49-F238E27FC236}">
                <a16:creationId xmlns:a16="http://schemas.microsoft.com/office/drawing/2014/main" id="{3D3C0131-EB0D-6F55-93C7-08808A932F30}"/>
              </a:ext>
            </a:extLst>
          </xdr:cNvPr>
          <xdr:cNvSpPr/>
        </xdr:nvSpPr>
        <xdr:spPr>
          <a:xfrm rot="20813880">
            <a:off x="12596014" y="617370"/>
            <a:ext cx="551753" cy="475649"/>
          </a:xfrm>
          <a:prstGeom prst="triangle">
            <a:avLst/>
          </a:prstGeom>
          <a:solidFill>
            <a:schemeClr val="accent3">
              <a:lumMod val="75000"/>
            </a:schemeClr>
          </a:solidFill>
          <a:ln>
            <a:solidFill>
              <a:schemeClr val="accent3">
                <a:lumMod val="75000"/>
              </a:schemeClr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</xdr:grpSp>
    <xdr:clientData/>
  </xdr:twoCellAnchor>
  <xdr:twoCellAnchor>
    <xdr:from>
      <xdr:col>1</xdr:col>
      <xdr:colOff>489739</xdr:colOff>
      <xdr:row>1</xdr:row>
      <xdr:rowOff>454256</xdr:rowOff>
    </xdr:from>
    <xdr:to>
      <xdr:col>3</xdr:col>
      <xdr:colOff>121939</xdr:colOff>
      <xdr:row>4</xdr:row>
      <xdr:rowOff>215721</xdr:rowOff>
    </xdr:to>
    <xdr:grpSp>
      <xdr:nvGrpSpPr>
        <xdr:cNvPr id="19" name="Grupo 18">
          <a:extLst>
            <a:ext uri="{FF2B5EF4-FFF2-40B4-BE49-F238E27FC236}">
              <a16:creationId xmlns:a16="http://schemas.microsoft.com/office/drawing/2014/main" id="{72958D6B-3164-45E8-826E-3BCCB8986678}"/>
            </a:ext>
          </a:extLst>
        </xdr:cNvPr>
        <xdr:cNvGrpSpPr/>
      </xdr:nvGrpSpPr>
      <xdr:grpSpPr>
        <a:xfrm rot="21355950" flipH="1">
          <a:off x="1632739" y="634173"/>
          <a:ext cx="902200" cy="724548"/>
          <a:chOff x="2059201" y="735680"/>
          <a:chExt cx="909415" cy="692317"/>
        </a:xfrm>
      </xdr:grpSpPr>
      <xdr:sp macro="" textlink="">
        <xdr:nvSpPr>
          <xdr:cNvPr id="20" name="Triángulo isósceles 19">
            <a:extLst>
              <a:ext uri="{FF2B5EF4-FFF2-40B4-BE49-F238E27FC236}">
                <a16:creationId xmlns:a16="http://schemas.microsoft.com/office/drawing/2014/main" id="{4F1FBFF9-5A5D-CE08-9718-7075E87DAAD8}"/>
              </a:ext>
            </a:extLst>
          </xdr:cNvPr>
          <xdr:cNvSpPr/>
        </xdr:nvSpPr>
        <xdr:spPr>
          <a:xfrm rot="2770512" flipH="1">
            <a:off x="2419179" y="737997"/>
            <a:ext cx="551753" cy="547120"/>
          </a:xfrm>
          <a:prstGeom prst="triangle">
            <a:avLst/>
          </a:prstGeom>
          <a:solidFill>
            <a:schemeClr val="bg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  <xdr:sp macro="" textlink="">
        <xdr:nvSpPr>
          <xdr:cNvPr id="21" name="Triángulo isósceles 20">
            <a:extLst>
              <a:ext uri="{FF2B5EF4-FFF2-40B4-BE49-F238E27FC236}">
                <a16:creationId xmlns:a16="http://schemas.microsoft.com/office/drawing/2014/main" id="{CBE0BDBD-681C-BEBC-B32E-AE02CE6DD9C1}"/>
              </a:ext>
            </a:extLst>
          </xdr:cNvPr>
          <xdr:cNvSpPr/>
        </xdr:nvSpPr>
        <xdr:spPr>
          <a:xfrm rot="20813880">
            <a:off x="2059201" y="952348"/>
            <a:ext cx="634659" cy="475649"/>
          </a:xfrm>
          <a:prstGeom prst="triangle">
            <a:avLst/>
          </a:prstGeom>
          <a:solidFill>
            <a:schemeClr val="accent3">
              <a:lumMod val="75000"/>
            </a:schemeClr>
          </a:solidFill>
          <a:ln>
            <a:solidFill>
              <a:schemeClr val="accent3">
                <a:lumMod val="75000"/>
              </a:schemeClr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</xdr:grpSp>
    <xdr:clientData/>
  </xdr:twoCellAnchor>
  <xdr:twoCellAnchor>
    <xdr:from>
      <xdr:col>0</xdr:col>
      <xdr:colOff>21646</xdr:colOff>
      <xdr:row>1</xdr:row>
      <xdr:rowOff>306917</xdr:rowOff>
    </xdr:from>
    <xdr:to>
      <xdr:col>1</xdr:col>
      <xdr:colOff>242453</xdr:colOff>
      <xdr:row>3</xdr:row>
      <xdr:rowOff>116899</xdr:rowOff>
    </xdr:to>
    <xdr:sp macro="" textlink="">
      <xdr:nvSpPr>
        <xdr:cNvPr id="22" name="Flecha: pentágono 2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AB03B2B-840E-455E-9763-73718B9AC673}"/>
            </a:ext>
          </a:extLst>
        </xdr:cNvPr>
        <xdr:cNvSpPr/>
      </xdr:nvSpPr>
      <xdr:spPr>
        <a:xfrm>
          <a:off x="21646" y="486834"/>
          <a:ext cx="1363807" cy="497898"/>
        </a:xfrm>
        <a:prstGeom prst="homePlate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3">
              <a:lumMod val="60000"/>
              <a:lumOff val="4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600" b="1"/>
            <a:t>MENU</a:t>
          </a:r>
        </a:p>
      </xdr:txBody>
    </xdr:sp>
    <xdr:clientData/>
  </xdr:twoCellAnchor>
  <xdr:twoCellAnchor>
    <xdr:from>
      <xdr:col>0</xdr:col>
      <xdr:colOff>0</xdr:colOff>
      <xdr:row>5</xdr:row>
      <xdr:rowOff>44786</xdr:rowOff>
    </xdr:from>
    <xdr:to>
      <xdr:col>1</xdr:col>
      <xdr:colOff>220807</xdr:colOff>
      <xdr:row>7</xdr:row>
      <xdr:rowOff>35259</xdr:rowOff>
    </xdr:to>
    <xdr:sp macro="" textlink="">
      <xdr:nvSpPr>
        <xdr:cNvPr id="23" name="Flecha: pentágono 2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FD0DD6B6-A7DC-40A3-B182-B7717B833275}"/>
            </a:ext>
          </a:extLst>
        </xdr:cNvPr>
        <xdr:cNvSpPr/>
      </xdr:nvSpPr>
      <xdr:spPr>
        <a:xfrm>
          <a:off x="0" y="1473536"/>
          <a:ext cx="1363807" cy="561973"/>
        </a:xfrm>
        <a:prstGeom prst="homePlate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3">
              <a:lumMod val="60000"/>
              <a:lumOff val="4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400" b="1"/>
            <a:t>RECAUDO FACTURA</a:t>
          </a:r>
        </a:p>
      </xdr:txBody>
    </xdr:sp>
    <xdr:clientData/>
  </xdr:twoCellAnchor>
  <xdr:twoCellAnchor>
    <xdr:from>
      <xdr:col>0</xdr:col>
      <xdr:colOff>0</xdr:colOff>
      <xdr:row>7</xdr:row>
      <xdr:rowOff>4521</xdr:rowOff>
    </xdr:from>
    <xdr:to>
      <xdr:col>1</xdr:col>
      <xdr:colOff>220807</xdr:colOff>
      <xdr:row>8</xdr:row>
      <xdr:rowOff>153744</xdr:rowOff>
    </xdr:to>
    <xdr:sp macro="" textlink="">
      <xdr:nvSpPr>
        <xdr:cNvPr id="24" name="Flecha: pentágono 2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3957BA52-B9A1-428B-B1BB-CB716D9242C2}"/>
            </a:ext>
          </a:extLst>
        </xdr:cNvPr>
        <xdr:cNvSpPr/>
      </xdr:nvSpPr>
      <xdr:spPr>
        <a:xfrm>
          <a:off x="0" y="2004771"/>
          <a:ext cx="1363807" cy="561973"/>
        </a:xfrm>
        <a:prstGeom prst="homePlate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3">
              <a:lumMod val="60000"/>
              <a:lumOff val="4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400" b="1"/>
            <a:t>BUSCAR</a:t>
          </a:r>
          <a:r>
            <a:rPr lang="es-CO" sz="1400" b="1" baseline="0"/>
            <a:t> RECAUDO</a:t>
          </a:r>
          <a:endParaRPr lang="es-CO" sz="1400" b="1"/>
        </a:p>
      </xdr:txBody>
    </xdr:sp>
    <xdr:clientData/>
  </xdr:twoCellAnchor>
  <xdr:twoCellAnchor>
    <xdr:from>
      <xdr:col>0</xdr:col>
      <xdr:colOff>0</xdr:colOff>
      <xdr:row>3</xdr:row>
      <xdr:rowOff>85291</xdr:rowOff>
    </xdr:from>
    <xdr:to>
      <xdr:col>1</xdr:col>
      <xdr:colOff>220807</xdr:colOff>
      <xdr:row>5</xdr:row>
      <xdr:rowOff>86347</xdr:rowOff>
    </xdr:to>
    <xdr:sp macro="" textlink="">
      <xdr:nvSpPr>
        <xdr:cNvPr id="25" name="Flecha: pentágono 24">
          <a:extLst>
            <a:ext uri="{FF2B5EF4-FFF2-40B4-BE49-F238E27FC236}">
              <a16:creationId xmlns:a16="http://schemas.microsoft.com/office/drawing/2014/main" id="{F5161F10-9A4E-4564-9D5C-F500AC8C74E1}"/>
            </a:ext>
          </a:extLst>
        </xdr:cNvPr>
        <xdr:cNvSpPr/>
      </xdr:nvSpPr>
      <xdr:spPr>
        <a:xfrm>
          <a:off x="0" y="953124"/>
          <a:ext cx="1363807" cy="561973"/>
        </a:xfrm>
        <a:prstGeom prst="homePlate">
          <a:avLst/>
        </a:prstGeom>
        <a:solidFill>
          <a:schemeClr val="accent3">
            <a:lumMod val="75000"/>
          </a:schemeClr>
        </a:solidFill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400" b="1"/>
            <a:t>NUEVA</a:t>
          </a:r>
          <a:r>
            <a:rPr lang="es-CO" sz="1400" b="1" baseline="0"/>
            <a:t> VENTA</a:t>
          </a:r>
          <a:endParaRPr lang="es-CO" sz="1400" b="1"/>
        </a:p>
      </xdr:txBody>
    </xdr:sp>
    <xdr:clientData/>
  </xdr:twoCellAnchor>
  <xdr:twoCellAnchor>
    <xdr:from>
      <xdr:col>0</xdr:col>
      <xdr:colOff>0</xdr:colOff>
      <xdr:row>8</xdr:row>
      <xdr:rowOff>155477</xdr:rowOff>
    </xdr:from>
    <xdr:to>
      <xdr:col>1</xdr:col>
      <xdr:colOff>220807</xdr:colOff>
      <xdr:row>11</xdr:row>
      <xdr:rowOff>93033</xdr:rowOff>
    </xdr:to>
    <xdr:sp macro="" textlink="">
      <xdr:nvSpPr>
        <xdr:cNvPr id="26" name="Flecha: pentágono 2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C728C8D3-6EB5-4C04-8968-736150A4B22E}"/>
            </a:ext>
          </a:extLst>
        </xdr:cNvPr>
        <xdr:cNvSpPr/>
      </xdr:nvSpPr>
      <xdr:spPr>
        <a:xfrm>
          <a:off x="0" y="2568477"/>
          <a:ext cx="1363807" cy="561973"/>
        </a:xfrm>
        <a:prstGeom prst="homePlate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3">
              <a:lumMod val="60000"/>
              <a:lumOff val="4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400" b="1"/>
            <a:t>BASE</a:t>
          </a:r>
          <a:r>
            <a:rPr lang="es-CO" sz="1400" b="1" baseline="0"/>
            <a:t> DATOS CLIENTE.</a:t>
          </a:r>
          <a:endParaRPr lang="es-CO" sz="1400" b="1"/>
        </a:p>
      </xdr:txBody>
    </xdr:sp>
    <xdr:clientData/>
  </xdr:twoCellAnchor>
  <xdr:twoCellAnchor>
    <xdr:from>
      <xdr:col>0</xdr:col>
      <xdr:colOff>0</xdr:colOff>
      <xdr:row>11</xdr:row>
      <xdr:rowOff>85628</xdr:rowOff>
    </xdr:from>
    <xdr:to>
      <xdr:col>1</xdr:col>
      <xdr:colOff>220807</xdr:colOff>
      <xdr:row>13</xdr:row>
      <xdr:rowOff>213685</xdr:rowOff>
    </xdr:to>
    <xdr:sp macro="" textlink="">
      <xdr:nvSpPr>
        <xdr:cNvPr id="27" name="Flecha: pentágono 2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D74155-8321-4236-B2D2-383555891CEE}"/>
            </a:ext>
          </a:extLst>
        </xdr:cNvPr>
        <xdr:cNvSpPr/>
      </xdr:nvSpPr>
      <xdr:spPr>
        <a:xfrm>
          <a:off x="0" y="3123045"/>
          <a:ext cx="1363807" cy="561973"/>
        </a:xfrm>
        <a:prstGeom prst="homePlate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3">
              <a:lumMod val="60000"/>
              <a:lumOff val="4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400" b="1"/>
            <a:t>PLANTILLA</a:t>
          </a:r>
        </a:p>
      </xdr:txBody>
    </xdr:sp>
    <xdr:clientData/>
  </xdr:twoCellAnchor>
  <xdr:twoCellAnchor>
    <xdr:from>
      <xdr:col>11</xdr:col>
      <xdr:colOff>349253</xdr:colOff>
      <xdr:row>1</xdr:row>
      <xdr:rowOff>455085</xdr:rowOff>
    </xdr:from>
    <xdr:to>
      <xdr:col>12</xdr:col>
      <xdr:colOff>379560</xdr:colOff>
      <xdr:row>3</xdr:row>
      <xdr:rowOff>265067</xdr:rowOff>
    </xdr:to>
    <xdr:sp macro="[0]!GUARDARFACTVTAN" textlink="">
      <xdr:nvSpPr>
        <xdr:cNvPr id="28" name="Flecha: pentágono 27">
          <a:extLst>
            <a:ext uri="{FF2B5EF4-FFF2-40B4-BE49-F238E27FC236}">
              <a16:creationId xmlns:a16="http://schemas.microsoft.com/office/drawing/2014/main" id="{F2B415A3-1279-40A2-94DB-F51DE0762912}"/>
            </a:ext>
          </a:extLst>
        </xdr:cNvPr>
        <xdr:cNvSpPr/>
      </xdr:nvSpPr>
      <xdr:spPr>
        <a:xfrm flipH="1">
          <a:off x="15546920" y="635002"/>
          <a:ext cx="1363807" cy="497898"/>
        </a:xfrm>
        <a:prstGeom prst="homePlate">
          <a:avLst/>
        </a:prstGeom>
        <a:solidFill>
          <a:schemeClr val="accent3">
            <a:lumMod val="75000"/>
          </a:schemeClr>
        </a:solidFill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400" b="1"/>
            <a:t>GUARDAR</a:t>
          </a:r>
        </a:p>
      </xdr:txBody>
    </xdr:sp>
    <xdr:clientData/>
  </xdr:twoCellAnchor>
  <xdr:twoCellAnchor>
    <xdr:from>
      <xdr:col>11</xdr:col>
      <xdr:colOff>360943</xdr:colOff>
      <xdr:row>4</xdr:row>
      <xdr:rowOff>185595</xdr:rowOff>
    </xdr:from>
    <xdr:to>
      <xdr:col>12</xdr:col>
      <xdr:colOff>391250</xdr:colOff>
      <xdr:row>6</xdr:row>
      <xdr:rowOff>111993</xdr:rowOff>
    </xdr:to>
    <xdr:sp macro="[0]!BORRARFACTVTA" textlink="">
      <xdr:nvSpPr>
        <xdr:cNvPr id="29" name="Flecha: pentágono 28">
          <a:extLst>
            <a:ext uri="{FF2B5EF4-FFF2-40B4-BE49-F238E27FC236}">
              <a16:creationId xmlns:a16="http://schemas.microsoft.com/office/drawing/2014/main" id="{E2583360-C1C7-407D-9BE1-5E37FF33DFE6}"/>
            </a:ext>
          </a:extLst>
        </xdr:cNvPr>
        <xdr:cNvSpPr/>
      </xdr:nvSpPr>
      <xdr:spPr>
        <a:xfrm flipH="1">
          <a:off x="15558610" y="1328595"/>
          <a:ext cx="1363807" cy="497898"/>
        </a:xfrm>
        <a:prstGeom prst="homePlate">
          <a:avLst/>
        </a:prstGeom>
        <a:solidFill>
          <a:schemeClr val="accent3">
            <a:lumMod val="75000"/>
          </a:schemeClr>
        </a:solidFill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200" b="1"/>
            <a:t>BORRAR</a:t>
          </a:r>
          <a:r>
            <a:rPr lang="es-CO" sz="1200" b="1" baseline="0"/>
            <a:t> REGISTRO</a:t>
          </a:r>
          <a:endParaRPr lang="es-CO" sz="1200" b="1"/>
        </a:p>
      </xdr:txBody>
    </xdr:sp>
    <xdr:clientData/>
  </xdr:twoCellAnchor>
  <xdr:twoCellAnchor>
    <xdr:from>
      <xdr:col>11</xdr:col>
      <xdr:colOff>383457</xdr:colOff>
      <xdr:row>7</xdr:row>
      <xdr:rowOff>11115</xdr:rowOff>
    </xdr:from>
    <xdr:to>
      <xdr:col>12</xdr:col>
      <xdr:colOff>413764</xdr:colOff>
      <xdr:row>8</xdr:row>
      <xdr:rowOff>96263</xdr:rowOff>
    </xdr:to>
    <xdr:sp macro="[0]!BUSCARFACTVTA" textlink="">
      <xdr:nvSpPr>
        <xdr:cNvPr id="30" name="Flecha: pentágono 29">
          <a:extLst>
            <a:ext uri="{FF2B5EF4-FFF2-40B4-BE49-F238E27FC236}">
              <a16:creationId xmlns:a16="http://schemas.microsoft.com/office/drawing/2014/main" id="{7E8871DC-1677-4D12-8E52-7BAF08077FA7}"/>
            </a:ext>
          </a:extLst>
        </xdr:cNvPr>
        <xdr:cNvSpPr/>
      </xdr:nvSpPr>
      <xdr:spPr>
        <a:xfrm flipH="1">
          <a:off x="15581124" y="2011365"/>
          <a:ext cx="1363807" cy="497898"/>
        </a:xfrm>
        <a:prstGeom prst="homePlate">
          <a:avLst/>
        </a:prstGeom>
        <a:solidFill>
          <a:schemeClr val="accent3">
            <a:lumMod val="75000"/>
          </a:schemeClr>
        </a:solidFill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200" b="1"/>
            <a:t>BUSCAR FACTURA</a:t>
          </a:r>
        </a:p>
      </xdr:txBody>
    </xdr:sp>
    <xdr:clientData/>
  </xdr:twoCellAnchor>
  <xdr:twoCellAnchor>
    <xdr:from>
      <xdr:col>11</xdr:col>
      <xdr:colOff>360943</xdr:colOff>
      <xdr:row>9</xdr:row>
      <xdr:rowOff>78078</xdr:rowOff>
    </xdr:from>
    <xdr:to>
      <xdr:col>12</xdr:col>
      <xdr:colOff>391250</xdr:colOff>
      <xdr:row>11</xdr:row>
      <xdr:rowOff>142059</xdr:rowOff>
    </xdr:to>
    <xdr:sp macro="[0]!GDFACTVENTA" textlink="">
      <xdr:nvSpPr>
        <xdr:cNvPr id="31" name="Flecha: pentágono 30">
          <a:extLst>
            <a:ext uri="{FF2B5EF4-FFF2-40B4-BE49-F238E27FC236}">
              <a16:creationId xmlns:a16="http://schemas.microsoft.com/office/drawing/2014/main" id="{BBE2C5E1-6069-4031-B4AD-A93224E45203}"/>
            </a:ext>
          </a:extLst>
        </xdr:cNvPr>
        <xdr:cNvSpPr/>
      </xdr:nvSpPr>
      <xdr:spPr>
        <a:xfrm flipH="1">
          <a:off x="15558610" y="2681578"/>
          <a:ext cx="1363807" cy="497898"/>
        </a:xfrm>
        <a:prstGeom prst="homePlate">
          <a:avLst/>
        </a:prstGeom>
        <a:solidFill>
          <a:schemeClr val="accent3">
            <a:lumMod val="75000"/>
          </a:schemeClr>
        </a:solidFill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200" b="1"/>
            <a:t>GUARDAR</a:t>
          </a:r>
          <a:r>
            <a:rPr lang="es-CO" sz="1200" b="1" baseline="0"/>
            <a:t> INVENTARIO</a:t>
          </a:r>
          <a:endParaRPr lang="es-CO" sz="1200" b="1"/>
        </a:p>
      </xdr:txBody>
    </xdr:sp>
    <xdr:clientData/>
  </xdr:twoCellAnchor>
  <xdr:twoCellAnchor>
    <xdr:from>
      <xdr:col>11</xdr:col>
      <xdr:colOff>350984</xdr:colOff>
      <xdr:row>12</xdr:row>
      <xdr:rowOff>72208</xdr:rowOff>
    </xdr:from>
    <xdr:to>
      <xdr:col>12</xdr:col>
      <xdr:colOff>381291</xdr:colOff>
      <xdr:row>16</xdr:row>
      <xdr:rowOff>52915</xdr:rowOff>
    </xdr:to>
    <xdr:sp macro="[0]!BORRARVTAINV" textlink="">
      <xdr:nvSpPr>
        <xdr:cNvPr id="32" name="Flecha: pentágono 31">
          <a:extLst>
            <a:ext uri="{FF2B5EF4-FFF2-40B4-BE49-F238E27FC236}">
              <a16:creationId xmlns:a16="http://schemas.microsoft.com/office/drawing/2014/main" id="{B2A6A6F6-7C11-49EB-9389-A9558988736A}"/>
            </a:ext>
          </a:extLst>
        </xdr:cNvPr>
        <xdr:cNvSpPr/>
      </xdr:nvSpPr>
      <xdr:spPr>
        <a:xfrm flipH="1">
          <a:off x="15548651" y="3331875"/>
          <a:ext cx="1363807" cy="806207"/>
        </a:xfrm>
        <a:prstGeom prst="homePlate">
          <a:avLst/>
        </a:prstGeom>
        <a:solidFill>
          <a:schemeClr val="accent3">
            <a:lumMod val="75000"/>
          </a:schemeClr>
        </a:solidFill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200" b="1"/>
            <a:t>BORRAR</a:t>
          </a:r>
          <a:r>
            <a:rPr lang="es-CO" sz="1200" b="1" baseline="0"/>
            <a:t> REGISTRO INV ANTERIOR</a:t>
          </a:r>
          <a:endParaRPr lang="es-CO" sz="1200" b="1"/>
        </a:p>
      </xdr:txBody>
    </xdr:sp>
    <xdr:clientData/>
  </xdr:twoCellAnchor>
  <xdr:twoCellAnchor>
    <xdr:from>
      <xdr:col>11</xdr:col>
      <xdr:colOff>355216</xdr:colOff>
      <xdr:row>17</xdr:row>
      <xdr:rowOff>44693</xdr:rowOff>
    </xdr:from>
    <xdr:to>
      <xdr:col>12</xdr:col>
      <xdr:colOff>385523</xdr:colOff>
      <xdr:row>19</xdr:row>
      <xdr:rowOff>52917</xdr:rowOff>
    </xdr:to>
    <xdr:sp macro="[0]!LIMPIARVTA" textlink="">
      <xdr:nvSpPr>
        <xdr:cNvPr id="3" name="Flecha: pentágono 2">
          <a:extLst>
            <a:ext uri="{FF2B5EF4-FFF2-40B4-BE49-F238E27FC236}">
              <a16:creationId xmlns:a16="http://schemas.microsoft.com/office/drawing/2014/main" id="{85DACB7E-0B0A-4269-986C-0164A7EBCAF5}"/>
            </a:ext>
          </a:extLst>
        </xdr:cNvPr>
        <xdr:cNvSpPr/>
      </xdr:nvSpPr>
      <xdr:spPr>
        <a:xfrm flipH="1">
          <a:off x="15552883" y="4320360"/>
          <a:ext cx="1363807" cy="389224"/>
        </a:xfrm>
        <a:prstGeom prst="homePlate">
          <a:avLst/>
        </a:prstGeom>
        <a:solidFill>
          <a:schemeClr val="accent3">
            <a:lumMod val="75000"/>
          </a:schemeClr>
        </a:solidFill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200" b="1"/>
            <a:t>LIMPIAR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21646</xdr:colOff>
      <xdr:row>1</xdr:row>
      <xdr:rowOff>89856</xdr:rowOff>
    </xdr:from>
    <xdr:to>
      <xdr:col>1</xdr:col>
      <xdr:colOff>381079</xdr:colOff>
      <xdr:row>4</xdr:row>
      <xdr:rowOff>3674</xdr:rowOff>
    </xdr:to>
    <xdr:sp macro="" textlink="">
      <xdr:nvSpPr>
        <xdr:cNvPr id="3" name="Flecha: pentágon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247F5AF-B44B-4039-93E3-67E16C5FA138}"/>
            </a:ext>
          </a:extLst>
        </xdr:cNvPr>
        <xdr:cNvSpPr/>
      </xdr:nvSpPr>
      <xdr:spPr>
        <a:xfrm>
          <a:off x="21646" y="269573"/>
          <a:ext cx="1042358" cy="497898"/>
        </a:xfrm>
        <a:prstGeom prst="homePlate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3">
              <a:lumMod val="60000"/>
              <a:lumOff val="4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050" b="1"/>
            <a:t>MENU</a:t>
          </a:r>
        </a:p>
      </xdr:txBody>
    </xdr:sp>
    <xdr:clientData/>
  </xdr:twoCellAnchor>
  <xdr:twoCellAnchor>
    <xdr:from>
      <xdr:col>0</xdr:col>
      <xdr:colOff>0</xdr:colOff>
      <xdr:row>6</xdr:row>
      <xdr:rowOff>124058</xdr:rowOff>
    </xdr:from>
    <xdr:to>
      <xdr:col>1</xdr:col>
      <xdr:colOff>359433</xdr:colOff>
      <xdr:row>9</xdr:row>
      <xdr:rowOff>137894</xdr:rowOff>
    </xdr:to>
    <xdr:sp macro="" textlink="">
      <xdr:nvSpPr>
        <xdr:cNvPr id="4" name="Flecha: pentágono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700B62EB-3FBE-470A-903D-D0586FF07BC6}"/>
            </a:ext>
          </a:extLst>
        </xdr:cNvPr>
        <xdr:cNvSpPr/>
      </xdr:nvSpPr>
      <xdr:spPr>
        <a:xfrm>
          <a:off x="0" y="1256275"/>
          <a:ext cx="1042358" cy="561973"/>
        </a:xfrm>
        <a:prstGeom prst="homePlate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3">
              <a:lumMod val="60000"/>
              <a:lumOff val="4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000" b="1"/>
            <a:t>RECAUDO FACTURA</a:t>
          </a:r>
        </a:p>
      </xdr:txBody>
    </xdr:sp>
    <xdr:clientData/>
  </xdr:twoCellAnchor>
  <xdr:twoCellAnchor>
    <xdr:from>
      <xdr:col>0</xdr:col>
      <xdr:colOff>0</xdr:colOff>
      <xdr:row>9</xdr:row>
      <xdr:rowOff>107156</xdr:rowOff>
    </xdr:from>
    <xdr:to>
      <xdr:col>1</xdr:col>
      <xdr:colOff>359433</xdr:colOff>
      <xdr:row>12</xdr:row>
      <xdr:rowOff>103021</xdr:rowOff>
    </xdr:to>
    <xdr:sp macro="" textlink="">
      <xdr:nvSpPr>
        <xdr:cNvPr id="5" name="Flecha: pentágono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90390BDF-4C1F-4766-B28E-EE16AD4619B9}"/>
            </a:ext>
          </a:extLst>
        </xdr:cNvPr>
        <xdr:cNvSpPr/>
      </xdr:nvSpPr>
      <xdr:spPr>
        <a:xfrm>
          <a:off x="0" y="1787510"/>
          <a:ext cx="1042358" cy="561973"/>
        </a:xfrm>
        <a:prstGeom prst="homePlate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3">
              <a:lumMod val="60000"/>
              <a:lumOff val="4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000" b="1"/>
            <a:t>BUSCAR</a:t>
          </a:r>
          <a:r>
            <a:rPr lang="es-CO" sz="1000" b="1" baseline="0"/>
            <a:t> RECAUDO</a:t>
          </a:r>
          <a:endParaRPr lang="es-CO" sz="1000" b="1"/>
        </a:p>
      </xdr:txBody>
    </xdr:sp>
    <xdr:clientData/>
  </xdr:twoCellAnchor>
  <xdr:twoCellAnchor>
    <xdr:from>
      <xdr:col>0</xdr:col>
      <xdr:colOff>0</xdr:colOff>
      <xdr:row>3</xdr:row>
      <xdr:rowOff>196712</xdr:rowOff>
    </xdr:from>
    <xdr:to>
      <xdr:col>1</xdr:col>
      <xdr:colOff>359433</xdr:colOff>
      <xdr:row>6</xdr:row>
      <xdr:rowOff>165619</xdr:rowOff>
    </xdr:to>
    <xdr:sp macro="" textlink="">
      <xdr:nvSpPr>
        <xdr:cNvPr id="6" name="Flecha: pentágono 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8EFD79EA-EA37-4776-B6F1-BA96C0934909}"/>
            </a:ext>
          </a:extLst>
        </xdr:cNvPr>
        <xdr:cNvSpPr/>
      </xdr:nvSpPr>
      <xdr:spPr>
        <a:xfrm>
          <a:off x="0" y="735863"/>
          <a:ext cx="1042358" cy="561973"/>
        </a:xfrm>
        <a:prstGeom prst="homePlate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3">
              <a:lumMod val="60000"/>
              <a:lumOff val="4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000" b="1"/>
            <a:t>NUEVA</a:t>
          </a:r>
          <a:r>
            <a:rPr lang="es-CO" sz="1000" b="1" baseline="0"/>
            <a:t> VENTA</a:t>
          </a:r>
          <a:endParaRPr lang="es-CO" sz="1000" b="1"/>
        </a:p>
      </xdr:txBody>
    </xdr:sp>
    <xdr:clientData/>
  </xdr:twoCellAnchor>
  <xdr:twoCellAnchor>
    <xdr:from>
      <xdr:col>0</xdr:col>
      <xdr:colOff>0</xdr:colOff>
      <xdr:row>12</xdr:row>
      <xdr:rowOff>104754</xdr:rowOff>
    </xdr:from>
    <xdr:to>
      <xdr:col>1</xdr:col>
      <xdr:colOff>359433</xdr:colOff>
      <xdr:row>15</xdr:row>
      <xdr:rowOff>100618</xdr:rowOff>
    </xdr:to>
    <xdr:sp macro="" textlink="">
      <xdr:nvSpPr>
        <xdr:cNvPr id="7" name="Flecha: pentágono 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43414399-6F64-44D9-90EC-083494578384}"/>
            </a:ext>
          </a:extLst>
        </xdr:cNvPr>
        <xdr:cNvSpPr/>
      </xdr:nvSpPr>
      <xdr:spPr>
        <a:xfrm>
          <a:off x="0" y="2351216"/>
          <a:ext cx="1042358" cy="561973"/>
        </a:xfrm>
        <a:prstGeom prst="homePlate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3">
              <a:lumMod val="60000"/>
              <a:lumOff val="4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000" b="1"/>
            <a:t>BASE</a:t>
          </a:r>
          <a:r>
            <a:rPr lang="es-CO" sz="1000" b="1" baseline="0"/>
            <a:t> DATOS CLIENTE.</a:t>
          </a:r>
          <a:endParaRPr lang="es-CO" sz="1000" b="1"/>
        </a:p>
      </xdr:txBody>
    </xdr:sp>
    <xdr:clientData/>
  </xdr:twoCellAnchor>
  <xdr:twoCellAnchor>
    <xdr:from>
      <xdr:col>0</xdr:col>
      <xdr:colOff>0</xdr:colOff>
      <xdr:row>15</xdr:row>
      <xdr:rowOff>93213</xdr:rowOff>
    </xdr:from>
    <xdr:to>
      <xdr:col>1</xdr:col>
      <xdr:colOff>359433</xdr:colOff>
      <xdr:row>18</xdr:row>
      <xdr:rowOff>89078</xdr:rowOff>
    </xdr:to>
    <xdr:sp macro="" textlink="">
      <xdr:nvSpPr>
        <xdr:cNvPr id="8" name="Flecha: pentágono 7">
          <a:extLst>
            <a:ext uri="{FF2B5EF4-FFF2-40B4-BE49-F238E27FC236}">
              <a16:creationId xmlns:a16="http://schemas.microsoft.com/office/drawing/2014/main" id="{8D091002-52AA-4D8D-BA6C-0CD9C5408AB1}"/>
            </a:ext>
          </a:extLst>
        </xdr:cNvPr>
        <xdr:cNvSpPr/>
      </xdr:nvSpPr>
      <xdr:spPr>
        <a:xfrm>
          <a:off x="0" y="2905784"/>
          <a:ext cx="1042358" cy="561973"/>
        </a:xfrm>
        <a:prstGeom prst="homePlate">
          <a:avLst/>
        </a:prstGeom>
        <a:solidFill>
          <a:schemeClr val="accent3">
            <a:lumMod val="75000"/>
          </a:schemeClr>
        </a:solidFill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000" b="1"/>
            <a:t>PLANTILLA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21646</xdr:colOff>
      <xdr:row>2</xdr:row>
      <xdr:rowOff>19050</xdr:rowOff>
    </xdr:from>
    <xdr:to>
      <xdr:col>0</xdr:col>
      <xdr:colOff>1385453</xdr:colOff>
      <xdr:row>2</xdr:row>
      <xdr:rowOff>516948</xdr:rowOff>
    </xdr:to>
    <xdr:sp macro="" textlink="">
      <xdr:nvSpPr>
        <xdr:cNvPr id="8" name="Flecha: pentágono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38EF365-4793-4B48-817F-612B00E03CED}"/>
            </a:ext>
          </a:extLst>
        </xdr:cNvPr>
        <xdr:cNvSpPr/>
      </xdr:nvSpPr>
      <xdr:spPr>
        <a:xfrm>
          <a:off x="21646" y="381000"/>
          <a:ext cx="1363807" cy="497898"/>
        </a:xfrm>
        <a:prstGeom prst="homePlate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3">
              <a:lumMod val="60000"/>
              <a:lumOff val="4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600" b="1"/>
            <a:t>MENU</a:t>
          </a:r>
        </a:p>
      </xdr:txBody>
    </xdr:sp>
    <xdr:clientData/>
  </xdr:twoCellAnchor>
  <xdr:twoCellAnchor>
    <xdr:from>
      <xdr:col>0</xdr:col>
      <xdr:colOff>0</xdr:colOff>
      <xdr:row>2</xdr:row>
      <xdr:rowOff>485340</xdr:rowOff>
    </xdr:from>
    <xdr:to>
      <xdr:col>0</xdr:col>
      <xdr:colOff>1363807</xdr:colOff>
      <xdr:row>5</xdr:row>
      <xdr:rowOff>123388</xdr:rowOff>
    </xdr:to>
    <xdr:sp macro="" textlink="">
      <xdr:nvSpPr>
        <xdr:cNvPr id="9" name="Flecha: pentágono 8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6CC17999-DBEA-4148-B63C-4FB34073194A}"/>
            </a:ext>
          </a:extLst>
        </xdr:cNvPr>
        <xdr:cNvSpPr/>
      </xdr:nvSpPr>
      <xdr:spPr>
        <a:xfrm>
          <a:off x="0" y="847290"/>
          <a:ext cx="1363807" cy="561973"/>
        </a:xfrm>
        <a:prstGeom prst="homePlate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3">
              <a:lumMod val="60000"/>
              <a:lumOff val="4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400" b="1"/>
            <a:t>NUEVA</a:t>
          </a:r>
          <a:r>
            <a:rPr lang="es-CO" sz="1400" b="1" baseline="0"/>
            <a:t> VENTA</a:t>
          </a:r>
          <a:endParaRPr lang="es-CO" sz="1400" b="1"/>
        </a:p>
      </xdr:txBody>
    </xdr:sp>
    <xdr:clientData/>
  </xdr:twoCellAnchor>
  <xdr:twoCellAnchor>
    <xdr:from>
      <xdr:col>0</xdr:col>
      <xdr:colOff>0</xdr:colOff>
      <xdr:row>14</xdr:row>
      <xdr:rowOff>102561</xdr:rowOff>
    </xdr:from>
    <xdr:to>
      <xdr:col>0</xdr:col>
      <xdr:colOff>1363807</xdr:colOff>
      <xdr:row>17</xdr:row>
      <xdr:rowOff>121609</xdr:rowOff>
    </xdr:to>
    <xdr:sp macro="" textlink="">
      <xdr:nvSpPr>
        <xdr:cNvPr id="11" name="Flecha: pentágono 10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F96D543D-A30E-4B1A-9290-2FA1E4925CCF}"/>
            </a:ext>
          </a:extLst>
        </xdr:cNvPr>
        <xdr:cNvSpPr/>
      </xdr:nvSpPr>
      <xdr:spPr>
        <a:xfrm>
          <a:off x="0" y="3017211"/>
          <a:ext cx="1363807" cy="561973"/>
        </a:xfrm>
        <a:prstGeom prst="homePlate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3">
              <a:lumMod val="60000"/>
              <a:lumOff val="4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400" b="1"/>
            <a:t>PLANTILLA</a:t>
          </a:r>
        </a:p>
      </xdr:txBody>
    </xdr:sp>
    <xdr:clientData/>
  </xdr:twoCellAnchor>
  <xdr:twoCellAnchor>
    <xdr:from>
      <xdr:col>0</xdr:col>
      <xdr:colOff>0</xdr:colOff>
      <xdr:row>5</xdr:row>
      <xdr:rowOff>81827</xdr:rowOff>
    </xdr:from>
    <xdr:to>
      <xdr:col>0</xdr:col>
      <xdr:colOff>1363807</xdr:colOff>
      <xdr:row>8</xdr:row>
      <xdr:rowOff>100875</xdr:rowOff>
    </xdr:to>
    <xdr:sp macro="" textlink="">
      <xdr:nvSpPr>
        <xdr:cNvPr id="12" name="Flecha: pentágono 11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E94EFECC-43DA-43C2-8035-C23F7E66E737}"/>
            </a:ext>
          </a:extLst>
        </xdr:cNvPr>
        <xdr:cNvSpPr/>
      </xdr:nvSpPr>
      <xdr:spPr>
        <a:xfrm>
          <a:off x="0" y="1367702"/>
          <a:ext cx="1363807" cy="561973"/>
        </a:xfrm>
        <a:prstGeom prst="homePlate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3">
              <a:lumMod val="60000"/>
              <a:lumOff val="4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400" b="1"/>
            <a:t>RECAUDO FACTURA</a:t>
          </a:r>
        </a:p>
      </xdr:txBody>
    </xdr:sp>
    <xdr:clientData/>
  </xdr:twoCellAnchor>
  <xdr:twoCellAnchor>
    <xdr:from>
      <xdr:col>0</xdr:col>
      <xdr:colOff>0</xdr:colOff>
      <xdr:row>8</xdr:row>
      <xdr:rowOff>70137</xdr:rowOff>
    </xdr:from>
    <xdr:to>
      <xdr:col>0</xdr:col>
      <xdr:colOff>1363807</xdr:colOff>
      <xdr:row>11</xdr:row>
      <xdr:rowOff>89185</xdr:rowOff>
    </xdr:to>
    <xdr:sp macro="" textlink="">
      <xdr:nvSpPr>
        <xdr:cNvPr id="13" name="Flecha: pentágono 12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DAF9E810-E84A-40A6-AEBA-E9800122AC8B}"/>
            </a:ext>
          </a:extLst>
        </xdr:cNvPr>
        <xdr:cNvSpPr/>
      </xdr:nvSpPr>
      <xdr:spPr>
        <a:xfrm>
          <a:off x="0" y="1898937"/>
          <a:ext cx="1363807" cy="561973"/>
        </a:xfrm>
        <a:prstGeom prst="homePlate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3">
              <a:lumMod val="60000"/>
              <a:lumOff val="4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400" b="1"/>
            <a:t>BUSCAR</a:t>
          </a:r>
          <a:r>
            <a:rPr lang="es-CO" sz="1400" b="1" baseline="0"/>
            <a:t> RECAUDO</a:t>
          </a:r>
          <a:endParaRPr lang="es-CO" sz="1400" b="1"/>
        </a:p>
      </xdr:txBody>
    </xdr:sp>
    <xdr:clientData/>
  </xdr:twoCellAnchor>
  <xdr:twoCellAnchor>
    <xdr:from>
      <xdr:col>0</xdr:col>
      <xdr:colOff>0</xdr:colOff>
      <xdr:row>11</xdr:row>
      <xdr:rowOff>90918</xdr:rowOff>
    </xdr:from>
    <xdr:to>
      <xdr:col>0</xdr:col>
      <xdr:colOff>1363807</xdr:colOff>
      <xdr:row>14</xdr:row>
      <xdr:rowOff>109966</xdr:rowOff>
    </xdr:to>
    <xdr:sp macro="" textlink="">
      <xdr:nvSpPr>
        <xdr:cNvPr id="10" name="Flecha: pentágono 9">
          <a:extLst>
            <a:ext uri="{FF2B5EF4-FFF2-40B4-BE49-F238E27FC236}">
              <a16:creationId xmlns:a16="http://schemas.microsoft.com/office/drawing/2014/main" id="{21DB31B3-FA74-4524-9ECD-E382CBE6EB0B}"/>
            </a:ext>
          </a:extLst>
        </xdr:cNvPr>
        <xdr:cNvSpPr/>
      </xdr:nvSpPr>
      <xdr:spPr>
        <a:xfrm>
          <a:off x="0" y="2462643"/>
          <a:ext cx="1363807" cy="561973"/>
        </a:xfrm>
        <a:prstGeom prst="homePlate">
          <a:avLst/>
        </a:prstGeom>
        <a:solidFill>
          <a:schemeClr val="accent3">
            <a:lumMod val="75000"/>
          </a:schemeClr>
        </a:solidFill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400" b="1"/>
            <a:t>BASE</a:t>
          </a:r>
          <a:r>
            <a:rPr lang="es-CO" sz="1400" b="1" baseline="0"/>
            <a:t> DATOS CLIENTE.</a:t>
          </a:r>
          <a:endParaRPr lang="es-CO" sz="1400" b="1"/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21646</xdr:colOff>
      <xdr:row>2</xdr:row>
      <xdr:rowOff>9525</xdr:rowOff>
    </xdr:from>
    <xdr:to>
      <xdr:col>0</xdr:col>
      <xdr:colOff>1317046</xdr:colOff>
      <xdr:row>2</xdr:row>
      <xdr:rowOff>507423</xdr:rowOff>
    </xdr:to>
    <xdr:sp macro="" textlink="">
      <xdr:nvSpPr>
        <xdr:cNvPr id="8" name="Flecha: pentágono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74FFB0B-9A8E-462B-8F42-C17DA83FD2A2}"/>
            </a:ext>
          </a:extLst>
        </xdr:cNvPr>
        <xdr:cNvSpPr/>
      </xdr:nvSpPr>
      <xdr:spPr>
        <a:xfrm>
          <a:off x="21646" y="371475"/>
          <a:ext cx="1295400" cy="497898"/>
        </a:xfrm>
        <a:prstGeom prst="homePlate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3">
              <a:lumMod val="60000"/>
              <a:lumOff val="4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600" b="1"/>
            <a:t>MENU</a:t>
          </a:r>
        </a:p>
      </xdr:txBody>
    </xdr:sp>
    <xdr:clientData/>
  </xdr:twoCellAnchor>
  <xdr:twoCellAnchor>
    <xdr:from>
      <xdr:col>0</xdr:col>
      <xdr:colOff>0</xdr:colOff>
      <xdr:row>2</xdr:row>
      <xdr:rowOff>475815</xdr:rowOff>
    </xdr:from>
    <xdr:to>
      <xdr:col>0</xdr:col>
      <xdr:colOff>1295400</xdr:colOff>
      <xdr:row>5</xdr:row>
      <xdr:rowOff>132913</xdr:rowOff>
    </xdr:to>
    <xdr:sp macro="" textlink="">
      <xdr:nvSpPr>
        <xdr:cNvPr id="9" name="Flecha: pentágono 8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AA20BEEA-F7B7-44FF-9336-D00DE12878B2}"/>
            </a:ext>
          </a:extLst>
        </xdr:cNvPr>
        <xdr:cNvSpPr/>
      </xdr:nvSpPr>
      <xdr:spPr>
        <a:xfrm>
          <a:off x="0" y="837765"/>
          <a:ext cx="1295400" cy="561973"/>
        </a:xfrm>
        <a:prstGeom prst="homePlate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3">
              <a:lumMod val="60000"/>
              <a:lumOff val="4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400" b="1"/>
            <a:t>NUEVA</a:t>
          </a:r>
          <a:r>
            <a:rPr lang="es-CO" sz="1400" b="1" baseline="0"/>
            <a:t> COMPRA</a:t>
          </a:r>
          <a:endParaRPr lang="es-CO" sz="1400" b="1"/>
        </a:p>
      </xdr:txBody>
    </xdr:sp>
    <xdr:clientData/>
  </xdr:twoCellAnchor>
  <xdr:twoCellAnchor>
    <xdr:from>
      <xdr:col>0</xdr:col>
      <xdr:colOff>0</xdr:colOff>
      <xdr:row>5</xdr:row>
      <xdr:rowOff>102176</xdr:rowOff>
    </xdr:from>
    <xdr:to>
      <xdr:col>0</xdr:col>
      <xdr:colOff>1295400</xdr:colOff>
      <xdr:row>8</xdr:row>
      <xdr:rowOff>121224</xdr:rowOff>
    </xdr:to>
    <xdr:sp macro="" textlink="">
      <xdr:nvSpPr>
        <xdr:cNvPr id="10" name="Flecha: pentágono 9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9A4BD827-4FA7-4B6A-8AEB-F19DC272A67C}"/>
            </a:ext>
          </a:extLst>
        </xdr:cNvPr>
        <xdr:cNvSpPr/>
      </xdr:nvSpPr>
      <xdr:spPr>
        <a:xfrm>
          <a:off x="0" y="1369001"/>
          <a:ext cx="1295400" cy="561973"/>
        </a:xfrm>
        <a:prstGeom prst="homePlate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3">
              <a:lumMod val="60000"/>
              <a:lumOff val="4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400" b="1"/>
            <a:t>PAGO FACTURA</a:t>
          </a:r>
        </a:p>
      </xdr:txBody>
    </xdr:sp>
    <xdr:clientData/>
  </xdr:twoCellAnchor>
  <xdr:twoCellAnchor>
    <xdr:from>
      <xdr:col>0</xdr:col>
      <xdr:colOff>0</xdr:colOff>
      <xdr:row>8</xdr:row>
      <xdr:rowOff>90486</xdr:rowOff>
    </xdr:from>
    <xdr:to>
      <xdr:col>0</xdr:col>
      <xdr:colOff>1295400</xdr:colOff>
      <xdr:row>11</xdr:row>
      <xdr:rowOff>109534</xdr:rowOff>
    </xdr:to>
    <xdr:sp macro="" textlink="">
      <xdr:nvSpPr>
        <xdr:cNvPr id="11" name="Flecha: pentágono 10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2342E80-12ED-46BB-BF7B-66B4889335D5}"/>
            </a:ext>
          </a:extLst>
        </xdr:cNvPr>
        <xdr:cNvSpPr/>
      </xdr:nvSpPr>
      <xdr:spPr>
        <a:xfrm>
          <a:off x="0" y="1900236"/>
          <a:ext cx="1295400" cy="561973"/>
        </a:xfrm>
        <a:prstGeom prst="homePlate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3">
              <a:lumMod val="60000"/>
              <a:lumOff val="4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400" b="1"/>
            <a:t>BUSCAR PAGO FACT.</a:t>
          </a:r>
        </a:p>
      </xdr:txBody>
    </xdr:sp>
    <xdr:clientData/>
  </xdr:twoCellAnchor>
  <xdr:twoCellAnchor>
    <xdr:from>
      <xdr:col>0</xdr:col>
      <xdr:colOff>0</xdr:colOff>
      <xdr:row>11</xdr:row>
      <xdr:rowOff>111267</xdr:rowOff>
    </xdr:from>
    <xdr:to>
      <xdr:col>0</xdr:col>
      <xdr:colOff>1295400</xdr:colOff>
      <xdr:row>14</xdr:row>
      <xdr:rowOff>130315</xdr:rowOff>
    </xdr:to>
    <xdr:sp macro="" textlink="">
      <xdr:nvSpPr>
        <xdr:cNvPr id="7" name="Flecha: pentágono 6">
          <a:extLst>
            <a:ext uri="{FF2B5EF4-FFF2-40B4-BE49-F238E27FC236}">
              <a16:creationId xmlns:a16="http://schemas.microsoft.com/office/drawing/2014/main" id="{E3E06899-2840-4070-A175-37495A540348}"/>
            </a:ext>
          </a:extLst>
        </xdr:cNvPr>
        <xdr:cNvSpPr/>
      </xdr:nvSpPr>
      <xdr:spPr>
        <a:xfrm>
          <a:off x="0" y="2463942"/>
          <a:ext cx="1295400" cy="561973"/>
        </a:xfrm>
        <a:prstGeom prst="homePlate">
          <a:avLst/>
        </a:prstGeom>
        <a:solidFill>
          <a:schemeClr val="accent3">
            <a:lumMod val="75000"/>
          </a:schemeClr>
        </a:solidFill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400" b="1"/>
            <a:t>BASE</a:t>
          </a:r>
          <a:r>
            <a:rPr lang="es-CO" sz="1400" b="1" baseline="0"/>
            <a:t> DATOS PROV.</a:t>
          </a:r>
          <a:endParaRPr lang="es-CO" sz="1400" b="1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35935</xdr:rowOff>
    </xdr:from>
    <xdr:to>
      <xdr:col>1</xdr:col>
      <xdr:colOff>400050</xdr:colOff>
      <xdr:row>15</xdr:row>
      <xdr:rowOff>105208</xdr:rowOff>
    </xdr:to>
    <xdr:sp macro="" textlink="">
      <xdr:nvSpPr>
        <xdr:cNvPr id="5" name="Flecha: pentágono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8064D4D-5CF6-4C26-972D-F93C9C6C92AC}"/>
            </a:ext>
          </a:extLst>
        </xdr:cNvPr>
        <xdr:cNvSpPr/>
      </xdr:nvSpPr>
      <xdr:spPr>
        <a:xfrm>
          <a:off x="0" y="1864735"/>
          <a:ext cx="1457325" cy="497898"/>
        </a:xfrm>
        <a:prstGeom prst="homePlate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3">
              <a:lumMod val="60000"/>
              <a:lumOff val="4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200" b="1"/>
            <a:t>BUSCAR</a:t>
          </a:r>
          <a:r>
            <a:rPr lang="es-CO" sz="1200" b="1" baseline="0"/>
            <a:t> PAGO COMPRA</a:t>
          </a:r>
          <a:endParaRPr lang="es-CO" sz="1200" b="1"/>
        </a:p>
      </xdr:txBody>
    </xdr:sp>
    <xdr:clientData/>
  </xdr:twoCellAnchor>
  <xdr:twoCellAnchor>
    <xdr:from>
      <xdr:col>0</xdr:col>
      <xdr:colOff>21646</xdr:colOff>
      <xdr:row>2</xdr:row>
      <xdr:rowOff>104775</xdr:rowOff>
    </xdr:from>
    <xdr:to>
      <xdr:col>1</xdr:col>
      <xdr:colOff>421696</xdr:colOff>
      <xdr:row>5</xdr:row>
      <xdr:rowOff>183573</xdr:rowOff>
    </xdr:to>
    <xdr:sp macro="" textlink="">
      <xdr:nvSpPr>
        <xdr:cNvPr id="6" name="Flecha: pentágono 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D87DB8AD-555A-4E28-8E0D-8839DFC4998F}"/>
            </a:ext>
          </a:extLst>
        </xdr:cNvPr>
        <xdr:cNvSpPr/>
      </xdr:nvSpPr>
      <xdr:spPr>
        <a:xfrm>
          <a:off x="21646" y="371475"/>
          <a:ext cx="1457325" cy="488373"/>
        </a:xfrm>
        <a:prstGeom prst="homePlate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3">
              <a:lumMod val="60000"/>
              <a:lumOff val="4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600" b="1"/>
            <a:t>MENU</a:t>
          </a:r>
        </a:p>
      </xdr:txBody>
    </xdr:sp>
    <xdr:clientData/>
  </xdr:twoCellAnchor>
  <xdr:twoCellAnchor>
    <xdr:from>
      <xdr:col>0</xdr:col>
      <xdr:colOff>0</xdr:colOff>
      <xdr:row>5</xdr:row>
      <xdr:rowOff>151965</xdr:rowOff>
    </xdr:from>
    <xdr:to>
      <xdr:col>1</xdr:col>
      <xdr:colOff>400050</xdr:colOff>
      <xdr:row>9</xdr:row>
      <xdr:rowOff>9088</xdr:rowOff>
    </xdr:to>
    <xdr:sp macro="" textlink="">
      <xdr:nvSpPr>
        <xdr:cNvPr id="10" name="Flecha: pentágono 9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A84AD2F9-26F5-4846-9A29-FC213200276E}"/>
            </a:ext>
          </a:extLst>
        </xdr:cNvPr>
        <xdr:cNvSpPr/>
      </xdr:nvSpPr>
      <xdr:spPr>
        <a:xfrm>
          <a:off x="0" y="828240"/>
          <a:ext cx="1457325" cy="609598"/>
        </a:xfrm>
        <a:prstGeom prst="homePlate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3">
              <a:lumMod val="60000"/>
              <a:lumOff val="4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200" b="1"/>
            <a:t>NUEVO</a:t>
          </a:r>
          <a:r>
            <a:rPr lang="es-CO" sz="1200" b="1" baseline="0"/>
            <a:t> COMPROBANTE</a:t>
          </a:r>
          <a:endParaRPr lang="es-CO" sz="1200" b="1"/>
        </a:p>
      </xdr:txBody>
    </xdr:sp>
    <xdr:clientData/>
  </xdr:twoCellAnchor>
  <xdr:twoCellAnchor>
    <xdr:from>
      <xdr:col>0</xdr:col>
      <xdr:colOff>0</xdr:colOff>
      <xdr:row>15</xdr:row>
      <xdr:rowOff>83560</xdr:rowOff>
    </xdr:from>
    <xdr:to>
      <xdr:col>1</xdr:col>
      <xdr:colOff>400050</xdr:colOff>
      <xdr:row>17</xdr:row>
      <xdr:rowOff>314758</xdr:rowOff>
    </xdr:to>
    <xdr:sp macro="" textlink="">
      <xdr:nvSpPr>
        <xdr:cNvPr id="12" name="Flecha: pentágono 11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E95C1DEA-F639-4891-9F9A-CE9E00EFACBC}"/>
            </a:ext>
          </a:extLst>
        </xdr:cNvPr>
        <xdr:cNvSpPr/>
      </xdr:nvSpPr>
      <xdr:spPr>
        <a:xfrm>
          <a:off x="0" y="2340985"/>
          <a:ext cx="1457325" cy="497898"/>
        </a:xfrm>
        <a:prstGeom prst="homePlate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3">
              <a:lumMod val="60000"/>
              <a:lumOff val="4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200" b="1"/>
            <a:t>BUSCAR</a:t>
          </a:r>
          <a:r>
            <a:rPr lang="es-CO" sz="1200" b="1" baseline="0"/>
            <a:t> RECAUDOS</a:t>
          </a:r>
          <a:endParaRPr lang="es-CO" sz="1200" b="1"/>
        </a:p>
      </xdr:txBody>
    </xdr:sp>
    <xdr:clientData/>
  </xdr:twoCellAnchor>
  <xdr:twoCellAnchor>
    <xdr:from>
      <xdr:col>0</xdr:col>
      <xdr:colOff>0</xdr:colOff>
      <xdr:row>17</xdr:row>
      <xdr:rowOff>264535</xdr:rowOff>
    </xdr:from>
    <xdr:to>
      <xdr:col>1</xdr:col>
      <xdr:colOff>400050</xdr:colOff>
      <xdr:row>19</xdr:row>
      <xdr:rowOff>105208</xdr:rowOff>
    </xdr:to>
    <xdr:sp macro="" textlink="">
      <xdr:nvSpPr>
        <xdr:cNvPr id="14" name="Flecha: pentágono 13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EA17ADFC-CFA6-4876-9C7F-3430E5DB035D}"/>
            </a:ext>
          </a:extLst>
        </xdr:cNvPr>
        <xdr:cNvSpPr/>
      </xdr:nvSpPr>
      <xdr:spPr>
        <a:xfrm>
          <a:off x="0" y="2788660"/>
          <a:ext cx="1457325" cy="497898"/>
        </a:xfrm>
        <a:prstGeom prst="homePlate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3">
              <a:lumMod val="60000"/>
              <a:lumOff val="4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200" b="1"/>
            <a:t>REPORTE</a:t>
          </a:r>
          <a:r>
            <a:rPr lang="es-CO" sz="1200" b="1" baseline="0"/>
            <a:t> CONCILIACIÓN</a:t>
          </a:r>
          <a:endParaRPr lang="es-CO" sz="1200" b="1"/>
        </a:p>
      </xdr:txBody>
    </xdr:sp>
    <xdr:clientData/>
  </xdr:twoCellAnchor>
  <xdr:twoCellAnchor>
    <xdr:from>
      <xdr:col>0</xdr:col>
      <xdr:colOff>0</xdr:colOff>
      <xdr:row>8</xdr:row>
      <xdr:rowOff>112135</xdr:rowOff>
    </xdr:from>
    <xdr:to>
      <xdr:col>1</xdr:col>
      <xdr:colOff>400050</xdr:colOff>
      <xdr:row>12</xdr:row>
      <xdr:rowOff>38533</xdr:rowOff>
    </xdr:to>
    <xdr:sp macro="" textlink="">
      <xdr:nvSpPr>
        <xdr:cNvPr id="11" name="Flecha: pentágono 10">
          <a:extLst>
            <a:ext uri="{FF2B5EF4-FFF2-40B4-BE49-F238E27FC236}">
              <a16:creationId xmlns:a16="http://schemas.microsoft.com/office/drawing/2014/main" id="{682F0913-4385-4A52-8576-FE0ABABE9D2F}"/>
            </a:ext>
          </a:extLst>
        </xdr:cNvPr>
        <xdr:cNvSpPr/>
      </xdr:nvSpPr>
      <xdr:spPr>
        <a:xfrm>
          <a:off x="0" y="1369435"/>
          <a:ext cx="1457325" cy="497898"/>
        </a:xfrm>
        <a:prstGeom prst="homePlate">
          <a:avLst/>
        </a:prstGeom>
        <a:solidFill>
          <a:schemeClr val="accent3">
            <a:lumMod val="75000"/>
          </a:schemeClr>
        </a:solidFill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200" b="1"/>
            <a:t>CONCILIACIÓN</a:t>
          </a:r>
        </a:p>
      </xdr:txBody>
    </xdr:sp>
    <xdr:clientData/>
  </xdr:twoCellAnchor>
  <xdr:twoCellAnchor>
    <xdr:from>
      <xdr:col>12</xdr:col>
      <xdr:colOff>752475</xdr:colOff>
      <xdr:row>5</xdr:row>
      <xdr:rowOff>112135</xdr:rowOff>
    </xdr:from>
    <xdr:to>
      <xdr:col>14</xdr:col>
      <xdr:colOff>352425</xdr:colOff>
      <xdr:row>8</xdr:row>
      <xdr:rowOff>29008</xdr:rowOff>
    </xdr:to>
    <xdr:sp macro="[0]!GDConciliación" textlink="">
      <xdr:nvSpPr>
        <xdr:cNvPr id="16" name="Flecha: pentágono 15">
          <a:extLst>
            <a:ext uri="{FF2B5EF4-FFF2-40B4-BE49-F238E27FC236}">
              <a16:creationId xmlns:a16="http://schemas.microsoft.com/office/drawing/2014/main" id="{BC80A061-9E52-411B-A11E-39C25941A0BB}"/>
            </a:ext>
          </a:extLst>
        </xdr:cNvPr>
        <xdr:cNvSpPr/>
      </xdr:nvSpPr>
      <xdr:spPr>
        <a:xfrm flipH="1">
          <a:off x="11525250" y="788410"/>
          <a:ext cx="1457325" cy="497898"/>
        </a:xfrm>
        <a:prstGeom prst="homePlate">
          <a:avLst/>
        </a:prstGeom>
        <a:solidFill>
          <a:schemeClr val="accent3">
            <a:lumMod val="75000"/>
          </a:schemeClr>
        </a:solidFill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200" b="1"/>
            <a:t>GUARDAR</a:t>
          </a:r>
        </a:p>
      </xdr:txBody>
    </xdr:sp>
    <xdr:clientData/>
  </xdr:twoCellAnchor>
  <xdr:twoCellAnchor>
    <xdr:from>
      <xdr:col>12</xdr:col>
      <xdr:colOff>742950</xdr:colOff>
      <xdr:row>9</xdr:row>
      <xdr:rowOff>7360</xdr:rowOff>
    </xdr:from>
    <xdr:to>
      <xdr:col>14</xdr:col>
      <xdr:colOff>342900</xdr:colOff>
      <xdr:row>12</xdr:row>
      <xdr:rowOff>105208</xdr:rowOff>
    </xdr:to>
    <xdr:sp macro="[0]!BuscConciliacion" textlink="">
      <xdr:nvSpPr>
        <xdr:cNvPr id="17" name="Flecha: pentágono 16">
          <a:extLst>
            <a:ext uri="{FF2B5EF4-FFF2-40B4-BE49-F238E27FC236}">
              <a16:creationId xmlns:a16="http://schemas.microsoft.com/office/drawing/2014/main" id="{00034A4D-968F-4AEC-8F7F-7F213F0C2EE2}"/>
            </a:ext>
          </a:extLst>
        </xdr:cNvPr>
        <xdr:cNvSpPr/>
      </xdr:nvSpPr>
      <xdr:spPr>
        <a:xfrm flipH="1">
          <a:off x="11515725" y="1436110"/>
          <a:ext cx="1457325" cy="497898"/>
        </a:xfrm>
        <a:prstGeom prst="homePlate">
          <a:avLst/>
        </a:prstGeom>
        <a:solidFill>
          <a:schemeClr val="accent3">
            <a:lumMod val="75000"/>
          </a:schemeClr>
        </a:solidFill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200" b="1"/>
            <a:t>BUSCAR</a:t>
          </a: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83560</xdr:rowOff>
    </xdr:from>
    <xdr:to>
      <xdr:col>2</xdr:col>
      <xdr:colOff>66675</xdr:colOff>
      <xdr:row>15</xdr:row>
      <xdr:rowOff>152833</xdr:rowOff>
    </xdr:to>
    <xdr:sp macro="" textlink="">
      <xdr:nvSpPr>
        <xdr:cNvPr id="2" name="Flecha: pentágono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450F2F8-9B7D-4EAD-915E-D8E517227360}"/>
            </a:ext>
          </a:extLst>
        </xdr:cNvPr>
        <xdr:cNvSpPr/>
      </xdr:nvSpPr>
      <xdr:spPr>
        <a:xfrm>
          <a:off x="0" y="2321935"/>
          <a:ext cx="1438275" cy="612198"/>
        </a:xfrm>
        <a:prstGeom prst="homePlate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3">
              <a:lumMod val="60000"/>
              <a:lumOff val="4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200" b="1"/>
            <a:t>BUSCAR</a:t>
          </a:r>
          <a:r>
            <a:rPr lang="es-CO" sz="1200" b="1" baseline="0"/>
            <a:t> PAGO COMPRA</a:t>
          </a:r>
          <a:endParaRPr lang="es-CO" sz="1200" b="1"/>
        </a:p>
      </xdr:txBody>
    </xdr:sp>
    <xdr:clientData/>
  </xdr:twoCellAnchor>
  <xdr:twoCellAnchor>
    <xdr:from>
      <xdr:col>0</xdr:col>
      <xdr:colOff>21646</xdr:colOff>
      <xdr:row>3</xdr:row>
      <xdr:rowOff>19050</xdr:rowOff>
    </xdr:from>
    <xdr:to>
      <xdr:col>2</xdr:col>
      <xdr:colOff>88321</xdr:colOff>
      <xdr:row>5</xdr:row>
      <xdr:rowOff>107373</xdr:rowOff>
    </xdr:to>
    <xdr:sp macro="" textlink="">
      <xdr:nvSpPr>
        <xdr:cNvPr id="3" name="Flecha: pentágono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10191734-73C7-4FFC-8263-38662BF26DCF}"/>
            </a:ext>
          </a:extLst>
        </xdr:cNvPr>
        <xdr:cNvSpPr/>
      </xdr:nvSpPr>
      <xdr:spPr>
        <a:xfrm>
          <a:off x="21646" y="514350"/>
          <a:ext cx="1438275" cy="602673"/>
        </a:xfrm>
        <a:prstGeom prst="homePlate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3">
              <a:lumMod val="60000"/>
              <a:lumOff val="4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600" b="1"/>
            <a:t>MENU</a:t>
          </a:r>
        </a:p>
      </xdr:txBody>
    </xdr:sp>
    <xdr:clientData/>
  </xdr:twoCellAnchor>
  <xdr:twoCellAnchor>
    <xdr:from>
      <xdr:col>0</xdr:col>
      <xdr:colOff>0</xdr:colOff>
      <xdr:row>5</xdr:row>
      <xdr:rowOff>47190</xdr:rowOff>
    </xdr:from>
    <xdr:to>
      <xdr:col>2</xdr:col>
      <xdr:colOff>66675</xdr:colOff>
      <xdr:row>9</xdr:row>
      <xdr:rowOff>56713</xdr:rowOff>
    </xdr:to>
    <xdr:sp macro="" textlink="">
      <xdr:nvSpPr>
        <xdr:cNvPr id="4" name="Flecha: pentágono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9D299B51-627E-49CE-A186-2D40CA25D957}"/>
            </a:ext>
          </a:extLst>
        </xdr:cNvPr>
        <xdr:cNvSpPr/>
      </xdr:nvSpPr>
      <xdr:spPr>
        <a:xfrm>
          <a:off x="0" y="1056840"/>
          <a:ext cx="1438275" cy="752473"/>
        </a:xfrm>
        <a:prstGeom prst="homePlate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3">
              <a:lumMod val="60000"/>
              <a:lumOff val="4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200" b="1"/>
            <a:t>NUEVO</a:t>
          </a:r>
          <a:r>
            <a:rPr lang="es-CO" sz="1200" b="1" baseline="0"/>
            <a:t> COMPROBANTE</a:t>
          </a:r>
          <a:endParaRPr lang="es-CO" sz="1200" b="1"/>
        </a:p>
      </xdr:txBody>
    </xdr:sp>
    <xdr:clientData/>
  </xdr:twoCellAnchor>
  <xdr:twoCellAnchor>
    <xdr:from>
      <xdr:col>0</xdr:col>
      <xdr:colOff>0</xdr:colOff>
      <xdr:row>15</xdr:row>
      <xdr:rowOff>131185</xdr:rowOff>
    </xdr:from>
    <xdr:to>
      <xdr:col>2</xdr:col>
      <xdr:colOff>66675</xdr:colOff>
      <xdr:row>19</xdr:row>
      <xdr:rowOff>95683</xdr:rowOff>
    </xdr:to>
    <xdr:sp macro="" textlink="">
      <xdr:nvSpPr>
        <xdr:cNvPr id="5" name="Flecha: pentágono 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AB0E05B7-2FB3-40E0-85A5-5DCA244E1212}"/>
            </a:ext>
          </a:extLst>
        </xdr:cNvPr>
        <xdr:cNvSpPr/>
      </xdr:nvSpPr>
      <xdr:spPr>
        <a:xfrm>
          <a:off x="0" y="2912485"/>
          <a:ext cx="1438275" cy="612198"/>
        </a:xfrm>
        <a:prstGeom prst="homePlate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3">
              <a:lumMod val="60000"/>
              <a:lumOff val="4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200" b="1"/>
            <a:t>BUSCAR</a:t>
          </a:r>
          <a:r>
            <a:rPr lang="es-CO" sz="1200" b="1" baseline="0"/>
            <a:t> RECAUDOS</a:t>
          </a:r>
          <a:endParaRPr lang="es-CO" sz="1200" b="1"/>
        </a:p>
      </xdr:txBody>
    </xdr:sp>
    <xdr:clientData/>
  </xdr:twoCellAnchor>
  <xdr:twoCellAnchor>
    <xdr:from>
      <xdr:col>0</xdr:col>
      <xdr:colOff>0</xdr:colOff>
      <xdr:row>19</xdr:row>
      <xdr:rowOff>16885</xdr:rowOff>
    </xdr:from>
    <xdr:to>
      <xdr:col>2</xdr:col>
      <xdr:colOff>66675</xdr:colOff>
      <xdr:row>22</xdr:row>
      <xdr:rowOff>86158</xdr:rowOff>
    </xdr:to>
    <xdr:sp macro="" textlink="">
      <xdr:nvSpPr>
        <xdr:cNvPr id="6" name="Flecha: pentágono 5">
          <a:extLst>
            <a:ext uri="{FF2B5EF4-FFF2-40B4-BE49-F238E27FC236}">
              <a16:creationId xmlns:a16="http://schemas.microsoft.com/office/drawing/2014/main" id="{2D7F938D-A3F9-40C2-B17F-99B8EF56DA30}"/>
            </a:ext>
          </a:extLst>
        </xdr:cNvPr>
        <xdr:cNvSpPr/>
      </xdr:nvSpPr>
      <xdr:spPr>
        <a:xfrm>
          <a:off x="0" y="3445885"/>
          <a:ext cx="1438275" cy="612198"/>
        </a:xfrm>
        <a:prstGeom prst="homePlate">
          <a:avLst/>
        </a:prstGeom>
        <a:solidFill>
          <a:schemeClr val="accent3">
            <a:lumMod val="75000"/>
          </a:schemeClr>
        </a:solidFill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200" b="1"/>
            <a:t>REPORTE</a:t>
          </a:r>
          <a:r>
            <a:rPr lang="es-CO" sz="1200" b="1" baseline="0"/>
            <a:t> CONCILIACIÓN</a:t>
          </a:r>
          <a:endParaRPr lang="es-CO" sz="1200" b="1"/>
        </a:p>
      </xdr:txBody>
    </xdr:sp>
    <xdr:clientData/>
  </xdr:twoCellAnchor>
  <xdr:twoCellAnchor>
    <xdr:from>
      <xdr:col>0</xdr:col>
      <xdr:colOff>0</xdr:colOff>
      <xdr:row>8</xdr:row>
      <xdr:rowOff>150235</xdr:rowOff>
    </xdr:from>
    <xdr:to>
      <xdr:col>2</xdr:col>
      <xdr:colOff>66675</xdr:colOff>
      <xdr:row>12</xdr:row>
      <xdr:rowOff>86158</xdr:rowOff>
    </xdr:to>
    <xdr:sp macro="" textlink="">
      <xdr:nvSpPr>
        <xdr:cNvPr id="7" name="Flecha: pentágono 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75E5687F-0118-4580-8122-794B63984D93}"/>
            </a:ext>
          </a:extLst>
        </xdr:cNvPr>
        <xdr:cNvSpPr/>
      </xdr:nvSpPr>
      <xdr:spPr>
        <a:xfrm>
          <a:off x="0" y="1712335"/>
          <a:ext cx="1438275" cy="612198"/>
        </a:xfrm>
        <a:prstGeom prst="homePlate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3">
              <a:lumMod val="60000"/>
              <a:lumOff val="4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200" b="1"/>
            <a:t>CONCILIACIÓN</a:t>
          </a: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21646</xdr:colOff>
      <xdr:row>2</xdr:row>
      <xdr:rowOff>243417</xdr:rowOff>
    </xdr:from>
    <xdr:to>
      <xdr:col>0</xdr:col>
      <xdr:colOff>1478971</xdr:colOff>
      <xdr:row>3</xdr:row>
      <xdr:rowOff>1540</xdr:rowOff>
    </xdr:to>
    <xdr:sp macro="" textlink="">
      <xdr:nvSpPr>
        <xdr:cNvPr id="2" name="Flecha: pentágono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F610FF8-BC95-4F16-B57D-26A20E0C4729}"/>
            </a:ext>
          </a:extLst>
        </xdr:cNvPr>
        <xdr:cNvSpPr/>
      </xdr:nvSpPr>
      <xdr:spPr>
        <a:xfrm>
          <a:off x="21646" y="635000"/>
          <a:ext cx="1457325" cy="488373"/>
        </a:xfrm>
        <a:prstGeom prst="homePlate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3">
              <a:lumMod val="60000"/>
              <a:lumOff val="4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600" b="1"/>
            <a:t>MENU</a:t>
          </a:r>
        </a:p>
      </xdr:txBody>
    </xdr:sp>
    <xdr:clientData/>
  </xdr:twoCellAnchor>
  <xdr:twoCellAnchor>
    <xdr:from>
      <xdr:col>0</xdr:col>
      <xdr:colOff>0</xdr:colOff>
      <xdr:row>2</xdr:row>
      <xdr:rowOff>700182</xdr:rowOff>
    </xdr:from>
    <xdr:to>
      <xdr:col>0</xdr:col>
      <xdr:colOff>1457325</xdr:colOff>
      <xdr:row>5</xdr:row>
      <xdr:rowOff>156196</xdr:rowOff>
    </xdr:to>
    <xdr:sp macro="" textlink="">
      <xdr:nvSpPr>
        <xdr:cNvPr id="3" name="Flecha: pentágono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13637B48-AB77-46B4-8B17-AEAA1A033F91}"/>
            </a:ext>
          </a:extLst>
        </xdr:cNvPr>
        <xdr:cNvSpPr/>
      </xdr:nvSpPr>
      <xdr:spPr>
        <a:xfrm>
          <a:off x="0" y="1091765"/>
          <a:ext cx="1457325" cy="609598"/>
        </a:xfrm>
        <a:prstGeom prst="homePlate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3">
              <a:lumMod val="60000"/>
              <a:lumOff val="4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200" b="1"/>
            <a:t>NUEVO</a:t>
          </a:r>
          <a:r>
            <a:rPr lang="es-CO" sz="1200" b="1" baseline="0"/>
            <a:t> COMPROBANTE</a:t>
          </a:r>
          <a:endParaRPr lang="es-CO" sz="1200" b="1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85725</xdr:colOff>
      <xdr:row>5</xdr:row>
      <xdr:rowOff>126423</xdr:rowOff>
    </xdr:to>
    <xdr:sp macro="" textlink="">
      <xdr:nvSpPr>
        <xdr:cNvPr id="2" name="Flecha: pentágono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D7948E9-E3E2-4576-9E43-40F38B6ACAE7}"/>
            </a:ext>
          </a:extLst>
        </xdr:cNvPr>
        <xdr:cNvSpPr/>
      </xdr:nvSpPr>
      <xdr:spPr>
        <a:xfrm>
          <a:off x="0" y="400050"/>
          <a:ext cx="1457325" cy="488373"/>
        </a:xfrm>
        <a:prstGeom prst="homePlate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3">
              <a:lumMod val="60000"/>
              <a:lumOff val="4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600" b="1"/>
            <a:t>MENU</a:t>
          </a: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85725</xdr:colOff>
      <xdr:row>5</xdr:row>
      <xdr:rowOff>126423</xdr:rowOff>
    </xdr:to>
    <xdr:sp macro="" textlink="">
      <xdr:nvSpPr>
        <xdr:cNvPr id="2" name="Flecha: pentágono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1717C40-DD92-445E-9515-2CE011AFF46B}"/>
            </a:ext>
          </a:extLst>
        </xdr:cNvPr>
        <xdr:cNvSpPr/>
      </xdr:nvSpPr>
      <xdr:spPr>
        <a:xfrm>
          <a:off x="0" y="400050"/>
          <a:ext cx="1457325" cy="488373"/>
        </a:xfrm>
        <a:prstGeom prst="homePlate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3">
              <a:lumMod val="60000"/>
              <a:lumOff val="4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600" b="1"/>
            <a:t>MENU</a:t>
          </a: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38100</xdr:rowOff>
    </xdr:from>
    <xdr:to>
      <xdr:col>1</xdr:col>
      <xdr:colOff>333375</xdr:colOff>
      <xdr:row>6</xdr:row>
      <xdr:rowOff>31173</xdr:rowOff>
    </xdr:to>
    <xdr:sp macro="" textlink="">
      <xdr:nvSpPr>
        <xdr:cNvPr id="2" name="Flecha: pentágono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AA156A6-B975-4F03-84EE-C89A6D013CF3}"/>
            </a:ext>
          </a:extLst>
        </xdr:cNvPr>
        <xdr:cNvSpPr/>
      </xdr:nvSpPr>
      <xdr:spPr>
        <a:xfrm>
          <a:off x="0" y="438150"/>
          <a:ext cx="1457325" cy="488373"/>
        </a:xfrm>
        <a:prstGeom prst="homePlate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3">
              <a:lumMod val="60000"/>
              <a:lumOff val="4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600" b="1"/>
            <a:t>MENU</a:t>
          </a:r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2</xdr:col>
      <xdr:colOff>85725</xdr:colOff>
      <xdr:row>4</xdr:row>
      <xdr:rowOff>126423</xdr:rowOff>
    </xdr:to>
    <xdr:sp macro="" textlink="">
      <xdr:nvSpPr>
        <xdr:cNvPr id="2" name="Flecha: pentágono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9BC960A-1314-4E7D-995D-6AB8ECF5059A}"/>
            </a:ext>
          </a:extLst>
        </xdr:cNvPr>
        <xdr:cNvSpPr/>
      </xdr:nvSpPr>
      <xdr:spPr>
        <a:xfrm>
          <a:off x="0" y="266700"/>
          <a:ext cx="1457325" cy="488373"/>
        </a:xfrm>
        <a:prstGeom prst="homePlate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3">
              <a:lumMod val="60000"/>
              <a:lumOff val="4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600" b="1"/>
            <a:t>MENU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Oscar Colmenares" refreshedDate="46006.011810763892" createdVersion="8" refreshedVersion="8" minRefreshableVersion="3" recordCount="183" xr:uid="{3A79EA1C-FB8C-466D-981B-FE4E02AE37C6}">
  <cacheSource type="worksheet">
    <worksheetSource name="Regcontabilizados"/>
  </cacheSource>
  <cacheFields count="39">
    <cacheField name="fecha Factura" numFmtId="14">
      <sharedItems containsDate="1" containsMixedTypes="1" minDate="1899-12-30T00:00:00" maxDate="2029-01-01T00:00:00" count="25">
        <d v="2025-01-01T00:00:00"/>
        <d v="2025-12-12T00:00:00"/>
        <s v=""/>
        <d v="2025-12-04T00:00:00"/>
        <d v="2025-12-02T00:00:00"/>
        <d v="1899-12-30T00:00:00"/>
        <d v="2023-12-31T00:00:00"/>
        <d v="2024-12-31T00:00:00"/>
        <d v="2025-02-04T00:00:00" u="1"/>
        <d v="2024-08-14T00:00:00" u="1"/>
        <d v="2023-05-18T00:00:00" u="1"/>
        <d v="2023-04-22T00:00:00" u="1"/>
        <d v="2023-09-21T00:00:00" u="1"/>
        <d v="2023-04-28T00:00:00" u="1"/>
        <d v="2023-04-10T00:00:00" u="1"/>
        <d v="2023-02-24T00:00:00" u="1"/>
        <d v="2023-01-29T00:00:00" u="1"/>
        <d v="2023-01-22T00:00:00" u="1"/>
        <d v="2023-01-01T00:00:00" u="1"/>
        <d v="2023-08-19T00:00:00" u="1"/>
        <d v="2028-12-31T00:00:00" u="1"/>
        <d v="2027-12-31T00:00:00" u="1"/>
        <d v="2026-12-31T00:00:00" u="1"/>
        <d v="2025-12-31T00:00:00" u="1"/>
        <d v="2024-08-07T00:00:00" u="1"/>
      </sharedItems>
      <fieldGroup par="38"/>
    </cacheField>
    <cacheField name="Fecha vencimiento" numFmtId="14">
      <sharedItems containsDate="1" containsMixedTypes="1" minDate="1899-12-30T00:00:00" maxDate="2025-12-13T00:00:00"/>
    </cacheField>
    <cacheField name="Identificador" numFmtId="0">
      <sharedItems containsMixedTypes="1" containsNumber="1" containsInteger="1" minValue="0" maxValue="0"/>
    </cacheField>
    <cacheField name="N° de factura/Pago" numFmtId="0">
      <sharedItems containsMixedTypes="1" containsNumber="1" containsInteger="1" minValue="0" maxValue="9696955"/>
    </cacheField>
    <cacheField name="Tipo de Factura" numFmtId="0">
      <sharedItems containsMixedTypes="1" containsNumber="1" containsInteger="1" minValue="0" maxValue="0"/>
    </cacheField>
    <cacheField name="ID Cliente" numFmtId="0">
      <sharedItems containsMixedTypes="1" containsNumber="1" containsInteger="1" minValue="0" maxValue="333333"/>
    </cacheField>
    <cacheField name="ESTADO DEL IVA" numFmtId="0">
      <sharedItems containsMixedTypes="1" containsNumber="1" containsInteger="1" minValue="0" maxValue="0"/>
    </cacheField>
    <cacheField name="ID Proveedor" numFmtId="0">
      <sharedItems containsMixedTypes="1" containsNumber="1" containsInteger="1" minValue="0" maxValue="333333"/>
    </cacheField>
    <cacheField name="Concepto" numFmtId="0">
      <sharedItems containsMixedTypes="1" containsNumber="1" containsInteger="1" minValue="0" maxValue="0"/>
    </cacheField>
    <cacheField name="Categoría" numFmtId="0">
      <sharedItems containsMixedTypes="1" containsNumber="1" containsInteger="1" minValue="0" maxValue="0"/>
    </cacheField>
    <cacheField name="Almacen" numFmtId="0">
      <sharedItems containsMixedTypes="1" containsNumber="1" containsInteger="1" minValue="0" maxValue="0"/>
    </cacheField>
    <cacheField name="Tipo de movimiento" numFmtId="0">
      <sharedItems containsMixedTypes="1" containsNumber="1" containsInteger="1" minValue="0" maxValue="0"/>
    </cacheField>
    <cacheField name="cantidad" numFmtId="0">
      <sharedItems containsMixedTypes="1" containsNumber="1" containsInteger="1" minValue="0" maxValue="18"/>
    </cacheField>
    <cacheField name="VR. Unitario" numFmtId="0">
      <sharedItems containsMixedTypes="1" containsNumber="1" minValue="0" maxValue="132050"/>
    </cacheField>
    <cacheField name="Subcuenta" numFmtId="0">
      <sharedItems containsMixedTypes="1" containsNumber="1" containsInteger="1" minValue="0" maxValue="59050501"/>
    </cacheField>
    <cacheField name="Debe" numFmtId="0">
      <sharedItems containsMixedTypes="1" containsNumber="1" minValue="0" maxValue="15000000"/>
    </cacheField>
    <cacheField name="Haber" numFmtId="0">
      <sharedItems containsMixedTypes="1" containsNumber="1" minValue="0" maxValue="15000000"/>
    </cacheField>
    <cacheField name="Saldo" numFmtId="0">
      <sharedItems containsSemiMixedTypes="0" containsString="0" containsNumber="1" minValue="-15000000" maxValue="15000000"/>
    </cacheField>
    <cacheField name="nombre cuenta" numFmtId="0">
      <sharedItems containsMixedTypes="1" containsNumber="1" containsInteger="1" minValue="0" maxValue="0"/>
    </cacheField>
    <cacheField name="cuenta" numFmtId="0">
      <sharedItems containsMixedTypes="1" containsNumber="1" containsInteger="1" minValue="0" maxValue="0"/>
    </cacheField>
    <cacheField name="subcuenta 2" numFmtId="0">
      <sharedItems containsMixedTypes="1" containsNumber="1" containsInteger="1" minValue="0" maxValue="0" count="14">
        <s v="Capital por suscribir (DB)"/>
        <s v="Banco 1"/>
        <n v="0"/>
        <s v="Capital autorizado"/>
        <s v="Proveedores Nacionales"/>
        <s v="Nacionales"/>
        <s v="Venta de productos textiles, de vestir, de cuero y calzado"/>
        <s v="IMPUESTO SOBRE LAS VENTAS POR PAGAR"/>
        <s v="INC - Restaurantes"/>
        <s v="MERCANCÍAS DETAL"/>
        <s v="Costos de Ventas"/>
        <s v="Jornales"/>
        <s v="Ganancias y pérdidas"/>
        <s v="EXCEDENTES DEL EJERCICIO"/>
      </sharedItems>
    </cacheField>
    <cacheField name="Eliminado" numFmtId="0">
      <sharedItems/>
    </cacheField>
    <cacheField name="tipo" numFmtId="0">
      <sharedItems count="10">
        <s v="Patrimonio"/>
        <s v="Activo Corriente"/>
        <s v=""/>
        <s v="Pasivo Corriente"/>
        <s v="Ingresos"/>
        <s v="Costos"/>
        <s v="Gastos"/>
        <s v="Utilidad antes de impuestos" f="1"/>
        <s v="Impuesto de Renta" f="1"/>
        <s v="Utilidad Neta" f="1"/>
      </sharedItems>
    </cacheField>
    <cacheField name="Subcuenta3" numFmtId="0">
      <sharedItems containsMixedTypes="1" containsNumber="1" containsInteger="1" minValue="0" maxValue="0" count="16">
        <s v="310510 Capital por suscribir (DB)"/>
        <s v="111005 Banco 1"/>
        <s v="0 0"/>
        <s v="310505 Capital autorizado"/>
        <s v="220505 Proveedores Nacionales"/>
        <s v=" 0"/>
        <s v="130505 Nacionales"/>
        <s v="413524 Venta de productos textiles, de vestir, de cuero y calzado"/>
        <s v="240805 IMPUESTO SOBRE LAS VENTAS POR PAGAR"/>
        <s v="246505 INC - Restaurantes"/>
        <s v="143505 MERCANCÍAS DETAL"/>
        <s v="610505 Costos de Ventas"/>
        <s v="510512 Jornales"/>
        <s v="59050501 Ganancias y pérdidas"/>
        <s v="361505 EXCEDENTES DEL EJERCICIO"/>
        <n v="0" u="1"/>
      </sharedItems>
    </cacheField>
    <cacheField name="Grupo 2" numFmtId="0">
      <sharedItems containsMixedTypes="1" containsNumber="1" containsInteger="1" minValue="0" maxValue="0"/>
    </cacheField>
    <cacheField name="Cuenta2" numFmtId="0">
      <sharedItems containsMixedTypes="1" containsNumber="1" containsInteger="1" minValue="0" maxValue="0"/>
    </cacheField>
    <cacheField name="Estado de pago" numFmtId="0">
      <sharedItems/>
    </cacheField>
    <cacheField name="Colum. Aux. Estado" numFmtId="0">
      <sharedItems containsMixedTypes="1" containsNumber="1" containsInteger="1" minValue="0" maxValue="0"/>
    </cacheField>
    <cacheField name="Número pago" numFmtId="0">
      <sharedItems containsMixedTypes="1" containsNumber="1" containsInteger="1" minValue="0" maxValue="564656"/>
    </cacheField>
    <cacheField name="Elaborado por" numFmtId="0">
      <sharedItems containsMixedTypes="1" containsNumber="1" containsInteger="1" minValue="0" maxValue="0"/>
    </cacheField>
    <cacheField name="Notas" numFmtId="0">
      <sharedItems containsMixedTypes="1" containsNumber="1" containsInteger="1" minValue="0" maxValue="0"/>
    </cacheField>
    <cacheField name="Método de Pago" numFmtId="0">
      <sharedItems containsMixedTypes="1" containsNumber="1" containsInteger="1" minValue="0" maxValue="0"/>
    </cacheField>
    <cacheField name="CTA Bancaria" numFmtId="0">
      <sharedItems containsMixedTypes="1" containsNumber="1" containsInteger="1" minValue="0" maxValue="111005"/>
    </cacheField>
    <cacheField name="Total" numFmtId="0" formula="Debe-Haber" databaseField="0"/>
    <cacheField name="Campo1" numFmtId="0" formula="Debe-Haber" databaseField="0"/>
    <cacheField name="Campo2" numFmtId="0" formula="'nombre cuenta'" databaseField="0"/>
    <cacheField name="DEBITO" numFmtId="0" formula="IF(Saldo&gt;0,Saldo, 0)" databaseField="0"/>
    <cacheField name="CREDITO" numFmtId="0" formula="IF(Saldo&lt;0, (Saldo*-1), 0)" databaseField="0"/>
    <cacheField name="fecha Factura2" numFmtId="0" databaseField="0">
      <fieldGroup base="0">
        <discretePr count="25">
          <x v="9"/>
          <x v="10"/>
          <x v="11"/>
          <x v="12"/>
          <x v="13"/>
          <x v="7"/>
          <x v="4"/>
          <x v="5"/>
          <x v="8"/>
          <x v="5"/>
          <x v="4"/>
          <x v="4"/>
          <x v="4"/>
          <x v="4"/>
          <x v="4"/>
          <x v="4"/>
          <x v="4"/>
          <x v="4"/>
          <x v="4"/>
          <x v="4"/>
          <x v="0"/>
          <x v="1"/>
          <x v="2"/>
          <x v="3"/>
          <x v="6"/>
        </discretePr>
        <groupItems count="14">
          <d v="2028-12-31T00:00:00"/>
          <d v="2027-12-31T00:00:00"/>
          <d v="2026-12-31T00:00:00"/>
          <d v="2025-12-31T00:00:00"/>
          <s v="Grupo1"/>
          <s v="Grupo2"/>
          <d v="2024-08-07T00:00:00"/>
          <d v="1899-12-30T00:00:00"/>
          <d v="2025-02-04T00:00:00"/>
          <d v="2025-01-01T00:00:00"/>
          <d v="2025-12-12T00:00:00"/>
          <s v=""/>
          <d v="2025-12-04T00:00:00"/>
          <d v="2025-12-02T00:00:00"/>
        </groupItems>
      </fieldGroup>
    </cacheField>
  </cacheFields>
  <calculatedItems count="3">
    <calculatedItem formula="tipo[Ingresos]+tipo[Gastos]+tipo[Costos]">
      <pivotArea cacheIndex="1" outline="0" fieldPosition="0">
        <references count="1">
          <reference field="22" count="1">
            <x v="7"/>
          </reference>
        </references>
      </pivotArea>
    </calculatedItem>
    <calculatedItem formula="tipo['Utilidad antes de impuestos']*35%">
      <pivotArea cacheIndex="1" outline="0" fieldPosition="0">
        <references count="1">
          <reference field="22" count="1">
            <x v="8"/>
          </reference>
        </references>
      </pivotArea>
    </calculatedItem>
    <calculatedItem formula="tipo['Utilidad antes de impuestos']-tipo['Impuesto de Renta']">
      <pivotArea cacheIndex="1" outline="0" fieldPosition="0">
        <references count="1">
          <reference field="22" count="1">
            <x v="9"/>
          </reference>
        </references>
      </pivotArea>
    </calculatedItem>
  </calculatedItems>
  <extLst>
    <ext xmlns:x14="http://schemas.microsoft.com/office/spreadsheetml/2009/9/main" uri="{725AE2AE-9491-48be-B2B4-4EB974FC3084}">
      <x14:pivotCacheDefinition pivotCacheId="1991195607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3">
  <r>
    <x v="0"/>
    <d v="2025-01-01T00:00:00"/>
    <s v="Comp.Cont.2-1"/>
    <n v="2"/>
    <s v="Comp.Cont."/>
    <n v="333333"/>
    <n v="0"/>
    <s v="Banco 1"/>
    <s v="Capital"/>
    <n v="0"/>
    <n v="0"/>
    <n v="0"/>
    <n v="0"/>
    <n v="0"/>
    <n v="310510"/>
    <n v="0"/>
    <n v="10000000"/>
    <n v="-10000000"/>
    <s v="Capital por suscribir (DB)"/>
    <s v="CAPITAL SUSCRITO Y PAGADO"/>
    <x v="0"/>
    <s v="no"/>
    <x v="0"/>
    <x v="0"/>
    <s v="31 CAPITAL SOCIAL"/>
    <s v="3105 CAPITAL SUSCRITO Y PAGADO"/>
    <s v="NO PAGADO"/>
    <s v="Comp.Cont.2"/>
    <n v="0"/>
    <s v="Responsable no especificado"/>
    <s v="Pago de acciones"/>
    <n v="0"/>
    <n v="0"/>
  </r>
  <r>
    <x v="0"/>
    <d v="2025-01-01T00:00:00"/>
    <s v="Comp.Cont.2-2"/>
    <n v="2"/>
    <s v="Comp.Cont."/>
    <n v="333333"/>
    <n v="0"/>
    <s v="Banco 1"/>
    <s v="Capital"/>
    <n v="0"/>
    <n v="0"/>
    <n v="0"/>
    <n v="0"/>
    <n v="0"/>
    <n v="111005"/>
    <n v="10000000"/>
    <n v="0"/>
    <n v="10000000"/>
    <s v="Banco 1"/>
    <s v="BANCOS"/>
    <x v="1"/>
    <s v="no"/>
    <x v="1"/>
    <x v="1"/>
    <s v="11 Efectivo y Equivalente al Efectivo"/>
    <s v="1110 BANCOS"/>
    <s v="NO PAGADO"/>
    <s v="Comp.Cont.2"/>
    <n v="0"/>
    <s v="Responsable no especificado"/>
    <s v="Pago de acciones"/>
    <n v="0"/>
    <n v="0"/>
  </r>
  <r>
    <x v="0"/>
    <d v="2025-01-01T00:00:00"/>
    <s v="Comp.Cont.2-3"/>
    <n v="2"/>
    <s v="Comp.Cont."/>
    <n v="0"/>
    <n v="0"/>
    <n v="0"/>
    <n v="0"/>
    <n v="0"/>
    <n v="0"/>
    <n v="0"/>
    <n v="0"/>
    <n v="0"/>
    <n v="0"/>
    <n v="0"/>
    <n v="0"/>
    <n v="0"/>
    <n v="0"/>
    <n v="0"/>
    <x v="2"/>
    <s v="no"/>
    <x v="2"/>
    <x v="2"/>
    <s v="0 0"/>
    <s v="0 0"/>
    <s v="PAGADO"/>
    <s v="Comp.Cont.2"/>
    <n v="0"/>
    <s v="Responsable no especificado"/>
    <s v="Pago de acciones"/>
    <n v="0"/>
    <n v="0"/>
  </r>
  <r>
    <x v="0"/>
    <d v="2025-01-01T00:00:00"/>
    <s v="Comp.Cont.2-4"/>
    <n v="2"/>
    <s v="Comp.Cont."/>
    <n v="0"/>
    <n v="0"/>
    <n v="0"/>
    <n v="0"/>
    <n v="0"/>
    <n v="0"/>
    <n v="0"/>
    <n v="0"/>
    <n v="0"/>
    <n v="0"/>
    <n v="0"/>
    <n v="0"/>
    <n v="0"/>
    <n v="0"/>
    <n v="0"/>
    <x v="2"/>
    <s v="no"/>
    <x v="2"/>
    <x v="2"/>
    <s v="0 0"/>
    <s v="0 0"/>
    <s v="PAGADO"/>
    <s v="Comp.Cont.2"/>
    <n v="0"/>
    <s v="Responsable no especificado"/>
    <s v="Pago de acciones"/>
    <n v="0"/>
    <n v="0"/>
  </r>
  <r>
    <x v="0"/>
    <d v="2025-01-01T00:00:00"/>
    <s v="Comp.Cont.2-5"/>
    <n v="2"/>
    <s v="Comp.Cont."/>
    <n v="0"/>
    <n v="0"/>
    <n v="0"/>
    <n v="0"/>
    <n v="0"/>
    <n v="0"/>
    <n v="0"/>
    <n v="0"/>
    <n v="0"/>
    <n v="0"/>
    <n v="0"/>
    <n v="0"/>
    <n v="0"/>
    <n v="0"/>
    <n v="0"/>
    <x v="2"/>
    <s v="no"/>
    <x v="2"/>
    <x v="2"/>
    <s v="0 0"/>
    <s v="0 0"/>
    <s v="PAGADO"/>
    <s v="Comp.Cont.2"/>
    <n v="0"/>
    <s v="Responsable no especificado"/>
    <s v="Pago de acciones"/>
    <n v="0"/>
    <n v="0"/>
  </r>
  <r>
    <x v="0"/>
    <d v="2025-01-01T00:00:00"/>
    <s v="Comp.Cont.2-6"/>
    <n v="2"/>
    <s v="Comp.Cont."/>
    <n v="0"/>
    <n v="0"/>
    <n v="0"/>
    <n v="0"/>
    <n v="0"/>
    <n v="0"/>
    <n v="0"/>
    <n v="0"/>
    <n v="0"/>
    <n v="0"/>
    <n v="0"/>
    <n v="0"/>
    <n v="0"/>
    <n v="0"/>
    <n v="0"/>
    <x v="2"/>
    <s v="no"/>
    <x v="2"/>
    <x v="2"/>
    <s v="0 0"/>
    <s v="0 0"/>
    <s v="PAGADO"/>
    <s v="Comp.Cont.2"/>
    <n v="0"/>
    <s v="Responsable no especificado"/>
    <s v="Pago de acciones"/>
    <n v="0"/>
    <n v="0"/>
  </r>
  <r>
    <x v="0"/>
    <d v="2025-01-01T00:00:00"/>
    <s v="Comp.Cont.2-7"/>
    <n v="2"/>
    <s v="Comp.Cont."/>
    <n v="0"/>
    <n v="0"/>
    <n v="0"/>
    <n v="0"/>
    <n v="0"/>
    <n v="0"/>
    <n v="0"/>
    <n v="0"/>
    <n v="0"/>
    <n v="0"/>
    <n v="0"/>
    <n v="0"/>
    <n v="0"/>
    <n v="0"/>
    <n v="0"/>
    <x v="2"/>
    <s v="no"/>
    <x v="2"/>
    <x v="2"/>
    <s v="0 0"/>
    <s v="0 0"/>
    <s v="PAGADO"/>
    <s v="Comp.Cont.2"/>
    <n v="0"/>
    <s v="Responsable no especificado"/>
    <s v="Pago de acciones"/>
    <n v="0"/>
    <n v="0"/>
  </r>
  <r>
    <x v="0"/>
    <d v="2025-01-01T00:00:00"/>
    <s v="Comp.Cont.2-8"/>
    <n v="2"/>
    <s v="Comp.Cont."/>
    <n v="0"/>
    <n v="0"/>
    <n v="0"/>
    <n v="0"/>
    <n v="0"/>
    <n v="0"/>
    <n v="0"/>
    <n v="0"/>
    <n v="0"/>
    <n v="0"/>
    <n v="0"/>
    <n v="0"/>
    <n v="0"/>
    <n v="0"/>
    <n v="0"/>
    <x v="2"/>
    <s v="no"/>
    <x v="2"/>
    <x v="2"/>
    <s v="0 0"/>
    <s v="0 0"/>
    <s v="PAGADO"/>
    <s v="Comp.Cont.2"/>
    <n v="0"/>
    <s v="Responsable no especificado"/>
    <s v="Pago de acciones"/>
    <n v="0"/>
    <n v="0"/>
  </r>
  <r>
    <x v="0"/>
    <d v="2025-01-01T00:00:00"/>
    <s v="Comp.Cont.2-9"/>
    <n v="2"/>
    <s v="Comp.Cont."/>
    <n v="0"/>
    <n v="0"/>
    <n v="0"/>
    <n v="0"/>
    <n v="0"/>
    <n v="0"/>
    <n v="0"/>
    <n v="0"/>
    <n v="0"/>
    <n v="0"/>
    <n v="0"/>
    <n v="0"/>
    <n v="0"/>
    <n v="0"/>
    <n v="0"/>
    <x v="2"/>
    <s v="no"/>
    <x v="2"/>
    <x v="2"/>
    <s v="0 0"/>
    <s v="0 0"/>
    <s v="PAGADO"/>
    <s v="Comp.Cont.2"/>
    <n v="0"/>
    <s v="Responsable no especificado"/>
    <s v="Pago de acciones"/>
    <n v="0"/>
    <n v="0"/>
  </r>
  <r>
    <x v="0"/>
    <d v="2025-01-01T00:00:00"/>
    <s v="Comp.Cont.2-10"/>
    <n v="2"/>
    <s v="Comp.Cont."/>
    <n v="0"/>
    <n v="0"/>
    <n v="0"/>
    <n v="0"/>
    <n v="0"/>
    <n v="0"/>
    <n v="0"/>
    <n v="0"/>
    <n v="0"/>
    <n v="0"/>
    <n v="0"/>
    <n v="0"/>
    <n v="0"/>
    <n v="0"/>
    <n v="0"/>
    <x v="2"/>
    <s v="no"/>
    <x v="2"/>
    <x v="2"/>
    <s v="0 0"/>
    <s v="0 0"/>
    <s v="PAGADO"/>
    <s v="Comp.Cont.2"/>
    <n v="0"/>
    <s v="Responsable no especificado"/>
    <s v="Pago de acciones"/>
    <n v="0"/>
    <n v="0"/>
  </r>
  <r>
    <x v="0"/>
    <d v="2025-01-01T00:00:00"/>
    <s v="Comp.Cont.1-1"/>
    <n v="1"/>
    <s v="Comp.Cont."/>
    <n v="333333"/>
    <n v="0"/>
    <s v="Banco 1"/>
    <s v="Capital"/>
    <n v="0"/>
    <n v="0"/>
    <n v="0"/>
    <n v="0"/>
    <n v="0"/>
    <n v="310505"/>
    <n v="0"/>
    <n v="15000000"/>
    <n v="-15000000"/>
    <s v="Capital autorizado"/>
    <s v="CAPITAL SUSCRITO Y PAGADO"/>
    <x v="3"/>
    <s v="no"/>
    <x v="0"/>
    <x v="3"/>
    <s v="31 CAPITAL SOCIAL"/>
    <s v="3105 CAPITAL SUSCRITO Y PAGADO"/>
    <s v="NO PAGADO"/>
    <s v="Comp.Cont.1"/>
    <n v="0"/>
    <s v="Responsable no especificado"/>
    <n v="0"/>
    <n v="0"/>
    <n v="0"/>
  </r>
  <r>
    <x v="0"/>
    <d v="2025-01-01T00:00:00"/>
    <s v="Comp.Cont.1-2"/>
    <n v="1"/>
    <s v="Comp.Cont."/>
    <n v="333333"/>
    <n v="0"/>
    <s v="Banco 1"/>
    <s v="Capital"/>
    <n v="0"/>
    <n v="0"/>
    <n v="0"/>
    <n v="0"/>
    <n v="0"/>
    <n v="310510"/>
    <n v="15000000"/>
    <n v="0"/>
    <n v="15000000"/>
    <s v="Capital por suscribir (DB)"/>
    <s v="CAPITAL SUSCRITO Y PAGADO"/>
    <x v="0"/>
    <s v="no"/>
    <x v="0"/>
    <x v="0"/>
    <s v="31 CAPITAL SOCIAL"/>
    <s v="3105 CAPITAL SUSCRITO Y PAGADO"/>
    <s v="NO PAGADO"/>
    <s v="Comp.Cont.1"/>
    <n v="0"/>
    <s v="Responsable no especificado"/>
    <n v="0"/>
    <n v="0"/>
    <n v="0"/>
  </r>
  <r>
    <x v="0"/>
    <d v="2025-01-01T00:00:00"/>
    <s v="Comp.Cont.1-3"/>
    <n v="1"/>
    <s v="Comp.Cont."/>
    <n v="0"/>
    <n v="0"/>
    <n v="0"/>
    <n v="0"/>
    <n v="0"/>
    <n v="0"/>
    <n v="0"/>
    <n v="0"/>
    <n v="0"/>
    <n v="0"/>
    <n v="0"/>
    <n v="0"/>
    <n v="0"/>
    <n v="0"/>
    <n v="0"/>
    <x v="2"/>
    <s v="no"/>
    <x v="2"/>
    <x v="2"/>
    <s v="0 0"/>
    <s v="0 0"/>
    <s v="PAGADO"/>
    <s v="Comp.Cont.1"/>
    <n v="0"/>
    <s v="Responsable no especificado"/>
    <n v="0"/>
    <n v="0"/>
    <n v="0"/>
  </r>
  <r>
    <x v="0"/>
    <d v="2025-01-01T00:00:00"/>
    <s v="Comp.Cont.1-4"/>
    <n v="1"/>
    <s v="Comp.Cont."/>
    <n v="0"/>
    <n v="0"/>
    <n v="0"/>
    <n v="0"/>
    <n v="0"/>
    <n v="0"/>
    <n v="0"/>
    <n v="0"/>
    <n v="0"/>
    <n v="0"/>
    <n v="0"/>
    <n v="0"/>
    <n v="0"/>
    <n v="0"/>
    <n v="0"/>
    <x v="2"/>
    <s v="no"/>
    <x v="2"/>
    <x v="2"/>
    <s v="0 0"/>
    <s v="0 0"/>
    <s v="PAGADO"/>
    <s v="Comp.Cont.1"/>
    <n v="0"/>
    <s v="Responsable no especificado"/>
    <n v="0"/>
    <n v="0"/>
    <n v="0"/>
  </r>
  <r>
    <x v="0"/>
    <d v="2025-01-01T00:00:00"/>
    <s v="Comp.Cont.1-5"/>
    <n v="1"/>
    <s v="Comp.Cont."/>
    <n v="0"/>
    <n v="0"/>
    <n v="0"/>
    <n v="0"/>
    <n v="0"/>
    <n v="0"/>
    <n v="0"/>
    <n v="0"/>
    <n v="0"/>
    <n v="0"/>
    <n v="0"/>
    <n v="0"/>
    <n v="0"/>
    <n v="0"/>
    <n v="0"/>
    <x v="2"/>
    <s v="no"/>
    <x v="2"/>
    <x v="2"/>
    <s v="0 0"/>
    <s v="0 0"/>
    <s v="PAGADO"/>
    <s v="Comp.Cont.1"/>
    <n v="0"/>
    <s v="Responsable no especificado"/>
    <n v="0"/>
    <n v="0"/>
    <n v="0"/>
  </r>
  <r>
    <x v="0"/>
    <d v="2025-01-01T00:00:00"/>
    <s v="Comp.Cont.1-6"/>
    <n v="1"/>
    <s v="Comp.Cont."/>
    <n v="0"/>
    <n v="0"/>
    <n v="0"/>
    <n v="0"/>
    <n v="0"/>
    <n v="0"/>
    <n v="0"/>
    <n v="0"/>
    <n v="0"/>
    <n v="0"/>
    <n v="0"/>
    <n v="0"/>
    <n v="0"/>
    <n v="0"/>
    <n v="0"/>
    <x v="2"/>
    <s v="no"/>
    <x v="2"/>
    <x v="2"/>
    <s v="0 0"/>
    <s v="0 0"/>
    <s v="PAGADO"/>
    <s v="Comp.Cont.1"/>
    <n v="0"/>
    <s v="Responsable no especificado"/>
    <n v="0"/>
    <n v="0"/>
    <n v="0"/>
  </r>
  <r>
    <x v="0"/>
    <d v="2025-01-01T00:00:00"/>
    <s v="Comp.Cont.1-7"/>
    <n v="1"/>
    <s v="Comp.Cont."/>
    <n v="0"/>
    <n v="0"/>
    <n v="0"/>
    <n v="0"/>
    <n v="0"/>
    <n v="0"/>
    <n v="0"/>
    <n v="0"/>
    <n v="0"/>
    <n v="0"/>
    <n v="0"/>
    <n v="0"/>
    <n v="0"/>
    <n v="0"/>
    <n v="0"/>
    <x v="2"/>
    <s v="no"/>
    <x v="2"/>
    <x v="2"/>
    <s v="0 0"/>
    <s v="0 0"/>
    <s v="PAGADO"/>
    <s v="Comp.Cont.1"/>
    <n v="0"/>
    <s v="Responsable no especificado"/>
    <n v="0"/>
    <n v="0"/>
    <n v="0"/>
  </r>
  <r>
    <x v="0"/>
    <d v="2025-01-01T00:00:00"/>
    <s v="Comp.Cont.1-8"/>
    <n v="1"/>
    <s v="Comp.Cont."/>
    <n v="0"/>
    <n v="0"/>
    <n v="0"/>
    <n v="0"/>
    <n v="0"/>
    <n v="0"/>
    <n v="0"/>
    <n v="0"/>
    <n v="0"/>
    <n v="0"/>
    <n v="0"/>
    <n v="0"/>
    <n v="0"/>
    <n v="0"/>
    <n v="0"/>
    <x v="2"/>
    <s v="no"/>
    <x v="2"/>
    <x v="2"/>
    <s v="0 0"/>
    <s v="0 0"/>
    <s v="PAGADO"/>
    <s v="Comp.Cont.1"/>
    <n v="0"/>
    <s v="Responsable no especificado"/>
    <n v="0"/>
    <n v="0"/>
    <n v="0"/>
  </r>
  <r>
    <x v="0"/>
    <d v="2025-01-01T00:00:00"/>
    <s v="Comp.Cont.1-9"/>
    <n v="1"/>
    <s v="Comp.Cont."/>
    <n v="0"/>
    <n v="0"/>
    <n v="0"/>
    <n v="0"/>
    <n v="0"/>
    <n v="0"/>
    <n v="0"/>
    <n v="0"/>
    <n v="0"/>
    <n v="0"/>
    <n v="0"/>
    <n v="0"/>
    <n v="0"/>
    <n v="0"/>
    <n v="0"/>
    <x v="2"/>
    <s v="no"/>
    <x v="2"/>
    <x v="2"/>
    <s v="0 0"/>
    <s v="0 0"/>
    <s v="PAGADO"/>
    <s v="Comp.Cont.1"/>
    <n v="0"/>
    <s v="Responsable no especificado"/>
    <n v="0"/>
    <n v="0"/>
    <n v="0"/>
  </r>
  <r>
    <x v="0"/>
    <d v="2025-01-01T00:00:00"/>
    <s v="Comp.Cont.1-10"/>
    <n v="1"/>
    <s v="Comp.Cont."/>
    <n v="0"/>
    <n v="0"/>
    <n v="0"/>
    <n v="0"/>
    <n v="0"/>
    <n v="0"/>
    <n v="0"/>
    <n v="0"/>
    <n v="0"/>
    <n v="0"/>
    <n v="0"/>
    <n v="0"/>
    <n v="0"/>
    <n v="0"/>
    <n v="0"/>
    <x v="2"/>
    <s v="no"/>
    <x v="2"/>
    <x v="2"/>
    <s v="0 0"/>
    <s v="0 0"/>
    <s v="PAGADO"/>
    <s v="Comp.Cont.1"/>
    <n v="0"/>
    <s v="Responsable no especificado"/>
    <n v="0"/>
    <n v="0"/>
    <n v="0"/>
  </r>
  <r>
    <x v="1"/>
    <d v="2025-12-12T00:00:00"/>
    <s v="546565Comp. Egreso564656-11"/>
    <n v="564656"/>
    <s v="Comp. Egreso"/>
    <n v="333333"/>
    <n v="0"/>
    <s v="Valentina"/>
    <n v="0"/>
    <n v="0"/>
    <n v="0"/>
    <n v="0"/>
    <n v="0"/>
    <n v="0"/>
    <n v="111005"/>
    <n v="0"/>
    <n v="413525"/>
    <n v="-413525"/>
    <s v="Banco 1"/>
    <s v="BANCOS"/>
    <x v="1"/>
    <s v="no"/>
    <x v="1"/>
    <x v="1"/>
    <s v="11 Efectivo y Equivalente al Efectivo"/>
    <s v="1110 BANCOS"/>
    <s v="NO PAGADO"/>
    <s v="546565Comp. Egreso564656"/>
    <n v="564656"/>
    <s v="Responsable no especificado"/>
    <s v="Pago del 50%"/>
    <s v="TRANSFERENCIA"/>
    <n v="111005"/>
  </r>
  <r>
    <x v="1"/>
    <d v="2025-12-12T00:00:00"/>
    <s v="546565Comp. Egreso564656-1"/>
    <n v="564656"/>
    <s v="Comp. Egreso"/>
    <n v="333333"/>
    <n v="0"/>
    <s v="Valentina"/>
    <n v="0"/>
    <n v="0"/>
    <n v="0"/>
    <n v="0"/>
    <n v="0"/>
    <n v="0"/>
    <n v="220505"/>
    <n v="413525"/>
    <n v="0"/>
    <n v="413525"/>
    <s v="Proveedores Nacionales"/>
    <s v="NACIONALES"/>
    <x v="4"/>
    <s v="no"/>
    <x v="3"/>
    <x v="4"/>
    <s v="22 PROVEEDORES"/>
    <s v="2205 NACIONALES"/>
    <s v="NO PAGADO"/>
    <s v="546565Comp. Egreso564656"/>
    <s v="546565F.C.9696955"/>
    <s v="Responsable no especificado"/>
    <s v="Pago del 50%"/>
    <s v="TRANSFERENCIA"/>
    <n v="111005"/>
  </r>
  <r>
    <x v="1"/>
    <d v="2025-12-12T00:00:00"/>
    <s v="546565Comp. Egreso564656-2"/>
    <n v="564656"/>
    <s v="Comp. Egreso"/>
    <n v="333333"/>
    <n v="0"/>
    <s v="Valentina"/>
    <n v="0"/>
    <n v="0"/>
    <n v="0"/>
    <n v="0"/>
    <n v="0"/>
    <n v="0"/>
    <n v="0"/>
    <n v="0"/>
    <n v="0"/>
    <n v="0"/>
    <n v="0"/>
    <n v="0"/>
    <x v="2"/>
    <s v="no"/>
    <x v="2"/>
    <x v="2"/>
    <s v="0 0"/>
    <s v="0 0"/>
    <s v="NO PAGADO"/>
    <s v="546565Comp. Egreso564656"/>
    <n v="0"/>
    <s v="Responsable no especificado"/>
    <s v="Pago del 50%"/>
    <s v="TRANSFERENCIA"/>
    <n v="111005"/>
  </r>
  <r>
    <x v="1"/>
    <d v="2025-12-12T00:00:00"/>
    <s v="546565Comp. Egreso564656-3"/>
    <n v="564656"/>
    <s v="Comp. Egreso"/>
    <n v="333333"/>
    <n v="0"/>
    <s v="Valentina"/>
    <n v="0"/>
    <n v="0"/>
    <n v="0"/>
    <n v="0"/>
    <n v="0"/>
    <n v="0"/>
    <n v="0"/>
    <n v="0"/>
    <n v="0"/>
    <n v="0"/>
    <n v="0"/>
    <n v="0"/>
    <x v="2"/>
    <s v="no"/>
    <x v="2"/>
    <x v="2"/>
    <s v="0 0"/>
    <s v="0 0"/>
    <s v="NO PAGADO"/>
    <s v="546565Comp. Egreso564656"/>
    <n v="0"/>
    <s v="Responsable no especificado"/>
    <s v="Pago del 50%"/>
    <s v="TRANSFERENCIA"/>
    <n v="111005"/>
  </r>
  <r>
    <x v="1"/>
    <d v="2025-12-12T00:00:00"/>
    <s v="546565Comp. Egreso564656-4"/>
    <n v="564656"/>
    <s v="Comp. Egreso"/>
    <n v="333333"/>
    <n v="0"/>
    <s v="Valentina"/>
    <n v="0"/>
    <n v="0"/>
    <n v="0"/>
    <n v="0"/>
    <n v="0"/>
    <n v="0"/>
    <n v="0"/>
    <n v="0"/>
    <n v="0"/>
    <n v="0"/>
    <n v="0"/>
    <n v="0"/>
    <x v="2"/>
    <s v="no"/>
    <x v="2"/>
    <x v="2"/>
    <s v="0 0"/>
    <s v="0 0"/>
    <s v="NO PAGADO"/>
    <s v="546565Comp. Egreso564656"/>
    <n v="0"/>
    <s v="Responsable no especificado"/>
    <s v="Pago del 50%"/>
    <s v="TRANSFERENCIA"/>
    <n v="111005"/>
  </r>
  <r>
    <x v="1"/>
    <d v="2025-12-12T00:00:00"/>
    <s v="546565Comp. Egreso564656-5"/>
    <n v="564656"/>
    <s v="Comp. Egreso"/>
    <n v="333333"/>
    <n v="0"/>
    <s v="Valentina"/>
    <n v="0"/>
    <n v="0"/>
    <n v="0"/>
    <n v="0"/>
    <n v="0"/>
    <n v="0"/>
    <n v="0"/>
    <n v="0"/>
    <n v="0"/>
    <n v="0"/>
    <n v="0"/>
    <n v="0"/>
    <x v="2"/>
    <s v="no"/>
    <x v="2"/>
    <x v="2"/>
    <s v="0 0"/>
    <s v="0 0"/>
    <s v="NO PAGADO"/>
    <s v="546565Comp. Egreso564656"/>
    <n v="0"/>
    <s v="Responsable no especificado"/>
    <s v="Pago del 50%"/>
    <s v="TRANSFERENCIA"/>
    <n v="111005"/>
  </r>
  <r>
    <x v="1"/>
    <d v="2025-12-12T00:00:00"/>
    <s v="546565Comp. Egreso564656-6"/>
    <n v="564656"/>
    <s v="Comp. Egreso"/>
    <n v="333333"/>
    <n v="0"/>
    <s v="Valentina"/>
    <n v="0"/>
    <n v="0"/>
    <n v="0"/>
    <n v="0"/>
    <n v="0"/>
    <n v="0"/>
    <n v="0"/>
    <n v="0"/>
    <n v="0"/>
    <n v="0"/>
    <n v="0"/>
    <n v="0"/>
    <x v="2"/>
    <s v="no"/>
    <x v="2"/>
    <x v="2"/>
    <s v="0 0"/>
    <s v="0 0"/>
    <s v="NO PAGADO"/>
    <s v="546565Comp. Egreso564656"/>
    <n v="0"/>
    <s v="Responsable no especificado"/>
    <s v="Pago del 50%"/>
    <s v="TRANSFERENCIA"/>
    <n v="111005"/>
  </r>
  <r>
    <x v="1"/>
    <d v="2025-12-12T00:00:00"/>
    <s v="546565Comp. Egreso564656-7"/>
    <n v="564656"/>
    <s v="Comp. Egreso"/>
    <n v="333333"/>
    <n v="0"/>
    <s v="Valentina"/>
    <n v="0"/>
    <n v="0"/>
    <n v="0"/>
    <n v="0"/>
    <n v="0"/>
    <n v="0"/>
    <n v="0"/>
    <n v="0"/>
    <n v="0"/>
    <n v="0"/>
    <n v="0"/>
    <n v="0"/>
    <x v="2"/>
    <s v="no"/>
    <x v="2"/>
    <x v="2"/>
    <s v="0 0"/>
    <s v="0 0"/>
    <s v="NO PAGADO"/>
    <s v="546565Comp. Egreso564656"/>
    <n v="0"/>
    <s v="Responsable no especificado"/>
    <s v="Pago del 50%"/>
    <s v="TRANSFERENCIA"/>
    <n v="111005"/>
  </r>
  <r>
    <x v="1"/>
    <d v="2025-12-12T00:00:00"/>
    <s v="546565Comp. Egreso564656-8"/>
    <n v="564656"/>
    <s v="Comp. Egreso"/>
    <n v="333333"/>
    <n v="0"/>
    <s v="Valentina"/>
    <n v="0"/>
    <n v="0"/>
    <n v="0"/>
    <n v="0"/>
    <n v="0"/>
    <n v="0"/>
    <n v="0"/>
    <n v="0"/>
    <n v="0"/>
    <n v="0"/>
    <n v="0"/>
    <n v="0"/>
    <x v="2"/>
    <s v="no"/>
    <x v="2"/>
    <x v="2"/>
    <s v="0 0"/>
    <s v="0 0"/>
    <s v="NO PAGADO"/>
    <s v="546565Comp. Egreso564656"/>
    <n v="0"/>
    <s v="Responsable no especificado"/>
    <s v="Pago del 50%"/>
    <s v="TRANSFERENCIA"/>
    <n v="111005"/>
  </r>
  <r>
    <x v="1"/>
    <d v="2025-12-12T00:00:00"/>
    <s v="546565Comp. Egreso564656-9"/>
    <n v="564656"/>
    <s v="Comp. Egreso"/>
    <n v="333333"/>
    <n v="0"/>
    <s v="Valentina"/>
    <n v="0"/>
    <n v="0"/>
    <n v="0"/>
    <n v="0"/>
    <n v="0"/>
    <n v="0"/>
    <n v="0"/>
    <n v="0"/>
    <n v="0"/>
    <n v="0"/>
    <n v="0"/>
    <n v="0"/>
    <x v="2"/>
    <s v="no"/>
    <x v="2"/>
    <x v="2"/>
    <s v="0 0"/>
    <s v="0 0"/>
    <s v="NO PAGADO"/>
    <s v="546565Comp. Egreso564656"/>
    <n v="0"/>
    <s v="Responsable no especificado"/>
    <s v="Pago del 50%"/>
    <s v="TRANSFERENCIA"/>
    <n v="111005"/>
  </r>
  <r>
    <x v="1"/>
    <d v="2025-12-12T00:00:00"/>
    <s v="546565Comp. Egreso564656-10"/>
    <n v="564656"/>
    <s v="Comp. Egreso"/>
    <n v="333333"/>
    <n v="0"/>
    <s v="Valentina"/>
    <n v="0"/>
    <n v="0"/>
    <n v="0"/>
    <n v="0"/>
    <n v="0"/>
    <n v="0"/>
    <n v="0"/>
    <n v="0"/>
    <n v="0"/>
    <n v="0"/>
    <n v="0"/>
    <n v="0"/>
    <x v="2"/>
    <s v="no"/>
    <x v="2"/>
    <x v="2"/>
    <s v="0 0"/>
    <s v="0 0"/>
    <s v="NO PAGADO"/>
    <s v="546565Comp. Egreso564656"/>
    <n v="0"/>
    <s v="Responsable no especificado"/>
    <s v="Pago del 50%"/>
    <s v="TRANSFERENCIA"/>
    <n v="111005"/>
  </r>
  <r>
    <x v="2"/>
    <s v=""/>
    <s v=""/>
    <s v=""/>
    <s v=""/>
    <s v=""/>
    <s v=""/>
    <s v=""/>
    <s v=""/>
    <s v=""/>
    <s v=""/>
    <s v=""/>
    <s v=""/>
    <s v=""/>
    <s v=""/>
    <s v=""/>
    <s v=""/>
    <n v="0"/>
    <n v="0"/>
    <n v="0"/>
    <x v="2"/>
    <s v="si"/>
    <x v="2"/>
    <x v="5"/>
    <n v="0"/>
    <n v="0"/>
    <s v=""/>
    <s v=""/>
    <s v=""/>
    <s v=""/>
    <s v=""/>
    <s v=""/>
    <s v=""/>
  </r>
  <r>
    <x v="2"/>
    <s v=""/>
    <s v=""/>
    <s v=""/>
    <s v=""/>
    <s v=""/>
    <s v=""/>
    <s v=""/>
    <s v=""/>
    <s v=""/>
    <s v=""/>
    <s v=""/>
    <s v=""/>
    <s v=""/>
    <s v=""/>
    <s v=""/>
    <s v=""/>
    <n v="0"/>
    <n v="0"/>
    <n v="0"/>
    <x v="2"/>
    <s v="si"/>
    <x v="2"/>
    <x v="5"/>
    <n v="0"/>
    <n v="0"/>
    <s v=""/>
    <s v=""/>
    <s v=""/>
    <s v=""/>
    <s v=""/>
    <s v=""/>
    <s v=""/>
  </r>
  <r>
    <x v="2"/>
    <s v=""/>
    <s v=""/>
    <s v=""/>
    <s v=""/>
    <s v=""/>
    <s v=""/>
    <s v=""/>
    <s v=""/>
    <s v=""/>
    <s v=""/>
    <s v=""/>
    <s v=""/>
    <s v=""/>
    <s v=""/>
    <s v=""/>
    <s v=""/>
    <n v="0"/>
    <n v="0"/>
    <n v="0"/>
    <x v="2"/>
    <s v="si"/>
    <x v="2"/>
    <x v="5"/>
    <n v="0"/>
    <n v="0"/>
    <s v=""/>
    <s v=""/>
    <s v=""/>
    <s v=""/>
    <s v=""/>
    <s v=""/>
    <s v=""/>
  </r>
  <r>
    <x v="2"/>
    <s v=""/>
    <s v=""/>
    <s v=""/>
    <s v=""/>
    <s v=""/>
    <s v=""/>
    <s v=""/>
    <s v=""/>
    <s v=""/>
    <s v=""/>
    <s v=""/>
    <s v=""/>
    <s v=""/>
    <s v=""/>
    <s v=""/>
    <s v=""/>
    <n v="0"/>
    <n v="0"/>
    <n v="0"/>
    <x v="2"/>
    <s v="si"/>
    <x v="2"/>
    <x v="5"/>
    <n v="0"/>
    <n v="0"/>
    <s v=""/>
    <s v=""/>
    <s v=""/>
    <s v=""/>
    <s v=""/>
    <s v=""/>
    <s v=""/>
  </r>
  <r>
    <x v="2"/>
    <s v=""/>
    <s v=""/>
    <s v=""/>
    <s v=""/>
    <s v=""/>
    <s v=""/>
    <s v=""/>
    <s v=""/>
    <s v=""/>
    <s v=""/>
    <s v=""/>
    <s v=""/>
    <s v=""/>
    <s v=""/>
    <s v=""/>
    <s v=""/>
    <n v="0"/>
    <n v="0"/>
    <n v="0"/>
    <x v="2"/>
    <s v="si"/>
    <x v="2"/>
    <x v="5"/>
    <n v="0"/>
    <n v="0"/>
    <s v=""/>
    <s v=""/>
    <s v=""/>
    <s v=""/>
    <s v=""/>
    <s v=""/>
    <s v=""/>
  </r>
  <r>
    <x v="2"/>
    <s v=""/>
    <s v=""/>
    <s v=""/>
    <s v=""/>
    <s v=""/>
    <s v=""/>
    <s v=""/>
    <s v=""/>
    <s v=""/>
    <s v=""/>
    <s v=""/>
    <s v=""/>
    <s v=""/>
    <s v=""/>
    <s v=""/>
    <s v=""/>
    <n v="0"/>
    <n v="0"/>
    <n v="0"/>
    <x v="2"/>
    <s v="si"/>
    <x v="2"/>
    <x v="5"/>
    <n v="0"/>
    <n v="0"/>
    <s v=""/>
    <s v=""/>
    <s v=""/>
    <s v=""/>
    <s v=""/>
    <s v=""/>
    <s v=""/>
  </r>
  <r>
    <x v="2"/>
    <s v=""/>
    <s v=""/>
    <s v=""/>
    <s v=""/>
    <s v=""/>
    <s v=""/>
    <s v=""/>
    <s v=""/>
    <s v=""/>
    <s v=""/>
    <s v=""/>
    <s v=""/>
    <s v=""/>
    <s v=""/>
    <s v=""/>
    <s v=""/>
    <n v="0"/>
    <n v="0"/>
    <n v="0"/>
    <x v="2"/>
    <s v="si"/>
    <x v="2"/>
    <x v="5"/>
    <n v="0"/>
    <n v="0"/>
    <s v=""/>
    <s v=""/>
    <s v=""/>
    <s v=""/>
    <s v=""/>
    <s v=""/>
    <s v=""/>
  </r>
  <r>
    <x v="2"/>
    <s v=""/>
    <s v=""/>
    <s v=""/>
    <s v=""/>
    <s v=""/>
    <s v=""/>
    <s v=""/>
    <s v=""/>
    <s v=""/>
    <s v=""/>
    <s v=""/>
    <s v=""/>
    <s v=""/>
    <s v=""/>
    <s v=""/>
    <s v=""/>
    <n v="0"/>
    <n v="0"/>
    <n v="0"/>
    <x v="2"/>
    <s v="si"/>
    <x v="2"/>
    <x v="5"/>
    <n v="0"/>
    <n v="0"/>
    <s v=""/>
    <s v=""/>
    <s v=""/>
    <s v=""/>
    <s v=""/>
    <s v=""/>
    <s v=""/>
  </r>
  <r>
    <x v="2"/>
    <s v=""/>
    <s v=""/>
    <s v=""/>
    <s v=""/>
    <s v=""/>
    <s v=""/>
    <s v=""/>
    <s v=""/>
    <s v=""/>
    <s v=""/>
    <s v=""/>
    <s v=""/>
    <s v=""/>
    <s v=""/>
    <s v=""/>
    <s v=""/>
    <n v="0"/>
    <n v="0"/>
    <n v="0"/>
    <x v="2"/>
    <s v="si"/>
    <x v="2"/>
    <x v="5"/>
    <n v="0"/>
    <n v="0"/>
    <s v=""/>
    <s v=""/>
    <s v=""/>
    <s v=""/>
    <s v=""/>
    <s v=""/>
    <s v=""/>
  </r>
  <r>
    <x v="2"/>
    <s v=""/>
    <s v=""/>
    <s v=""/>
    <s v=""/>
    <s v=""/>
    <s v=""/>
    <s v=""/>
    <s v=""/>
    <s v=""/>
    <s v=""/>
    <s v=""/>
    <s v=""/>
    <s v=""/>
    <s v=""/>
    <s v=""/>
    <s v=""/>
    <n v="0"/>
    <n v="0"/>
    <n v="0"/>
    <x v="2"/>
    <s v="si"/>
    <x v="2"/>
    <x v="5"/>
    <n v="0"/>
    <n v="0"/>
    <s v=""/>
    <s v=""/>
    <s v=""/>
    <s v=""/>
    <s v=""/>
    <s v=""/>
    <s v=""/>
  </r>
  <r>
    <x v="2"/>
    <s v=""/>
    <s v=""/>
    <s v=""/>
    <s v=""/>
    <s v=""/>
    <s v=""/>
    <s v=""/>
    <s v=""/>
    <s v=""/>
    <s v=""/>
    <s v=""/>
    <s v=""/>
    <s v=""/>
    <s v=""/>
    <s v=""/>
    <s v=""/>
    <n v="0"/>
    <n v="0"/>
    <n v="0"/>
    <x v="2"/>
    <s v="si"/>
    <x v="2"/>
    <x v="5"/>
    <n v="0"/>
    <n v="0"/>
    <s v=""/>
    <s v=""/>
    <s v=""/>
    <s v=""/>
    <s v=""/>
    <s v=""/>
    <s v=""/>
  </r>
  <r>
    <x v="3"/>
    <d v="2025-12-04T00:00:00"/>
    <s v="4656566Comp. Ingreso232424-11"/>
    <n v="232424"/>
    <s v="Comp. Ingreso"/>
    <s v="CLIENTE 1"/>
    <n v="0"/>
    <n v="333333"/>
    <n v="0"/>
    <n v="0"/>
    <n v="0"/>
    <n v="0"/>
    <n v="0"/>
    <n v="0"/>
    <n v="111005"/>
    <n v="50000"/>
    <n v="0"/>
    <n v="50000"/>
    <s v="Banco 1"/>
    <s v="BANCOS"/>
    <x v="1"/>
    <s v="no"/>
    <x v="1"/>
    <x v="1"/>
    <s v="11 Efectivo y Equivalente al Efectivo"/>
    <s v="1110 BANCOS"/>
    <s v="NO PAGADO"/>
    <s v="4656566Comp. Ingreso232424"/>
    <n v="232424"/>
    <n v="0"/>
    <s v="Se recaudó el 50% de la fact."/>
    <s v="TRANSFERENCIA"/>
    <n v="111005"/>
  </r>
  <r>
    <x v="3"/>
    <d v="2025-12-04T00:00:00"/>
    <s v="4656566Comp. Ingreso232424-1"/>
    <n v="232424"/>
    <s v="Comp. Ingreso"/>
    <s v="CLIENTE 1"/>
    <n v="0"/>
    <n v="333333"/>
    <n v="0"/>
    <n v="0"/>
    <n v="0"/>
    <n v="0"/>
    <n v="0"/>
    <n v="0"/>
    <n v="130505"/>
    <n v="0"/>
    <n v="50000"/>
    <n v="-50000"/>
    <s v="Nacionales"/>
    <s v="CLIENTES"/>
    <x v="5"/>
    <s v="no"/>
    <x v="1"/>
    <x v="6"/>
    <s v="13 DEUDORES"/>
    <s v="1305 CLIENTES"/>
    <s v="NO PAGADO"/>
    <s v="4656566Comp. Ingreso232424"/>
    <s v="4656566F. V.3"/>
    <n v="0"/>
    <s v="Se recaudó el 50% de la fact."/>
    <s v="TRANSFERENCIA"/>
    <n v="111005"/>
  </r>
  <r>
    <x v="3"/>
    <d v="2025-12-04T00:00:00"/>
    <s v="4656566Comp. Ingreso232424-2"/>
    <n v="232424"/>
    <s v="Comp. Ingreso"/>
    <s v="CLIENTE 1"/>
    <n v="0"/>
    <n v="333333"/>
    <n v="0"/>
    <n v="0"/>
    <n v="0"/>
    <n v="0"/>
    <n v="0"/>
    <n v="0"/>
    <n v="0"/>
    <n v="0"/>
    <n v="0"/>
    <n v="0"/>
    <n v="0"/>
    <n v="0"/>
    <x v="2"/>
    <s v="no"/>
    <x v="2"/>
    <x v="2"/>
    <s v="0 0"/>
    <s v="0 0"/>
    <s v="NO PAGADO"/>
    <s v="4656566Comp. Ingreso232424"/>
    <n v="0"/>
    <n v="0"/>
    <s v="Se recaudó el 50% de la fact."/>
    <s v="TRANSFERENCIA"/>
    <n v="111005"/>
  </r>
  <r>
    <x v="3"/>
    <d v="2025-12-04T00:00:00"/>
    <s v="4656566Comp. Ingreso232424-3"/>
    <n v="232424"/>
    <s v="Comp. Ingreso"/>
    <s v="CLIENTE 1"/>
    <n v="0"/>
    <n v="333333"/>
    <n v="0"/>
    <n v="0"/>
    <n v="0"/>
    <n v="0"/>
    <n v="0"/>
    <n v="0"/>
    <n v="0"/>
    <n v="0"/>
    <n v="0"/>
    <n v="0"/>
    <n v="0"/>
    <n v="0"/>
    <x v="2"/>
    <s v="no"/>
    <x v="2"/>
    <x v="2"/>
    <s v="0 0"/>
    <s v="0 0"/>
    <s v="NO PAGADO"/>
    <s v="4656566Comp. Ingreso232424"/>
    <n v="0"/>
    <n v="0"/>
    <s v="Se recaudó el 50% de la fact."/>
    <s v="TRANSFERENCIA"/>
    <n v="111005"/>
  </r>
  <r>
    <x v="3"/>
    <d v="2025-12-04T00:00:00"/>
    <s v="4656566Comp. Ingreso232424-4"/>
    <n v="232424"/>
    <s v="Comp. Ingreso"/>
    <s v="CLIENTE 1"/>
    <n v="0"/>
    <n v="333333"/>
    <n v="0"/>
    <n v="0"/>
    <n v="0"/>
    <n v="0"/>
    <n v="0"/>
    <n v="0"/>
    <n v="0"/>
    <n v="0"/>
    <n v="0"/>
    <n v="0"/>
    <n v="0"/>
    <n v="0"/>
    <x v="2"/>
    <s v="no"/>
    <x v="2"/>
    <x v="2"/>
    <s v="0 0"/>
    <s v="0 0"/>
    <s v="NO PAGADO"/>
    <s v="4656566Comp. Ingreso232424"/>
    <n v="0"/>
    <n v="0"/>
    <s v="Se recaudó el 50% de la fact."/>
    <s v="TRANSFERENCIA"/>
    <n v="111005"/>
  </r>
  <r>
    <x v="3"/>
    <d v="2025-12-04T00:00:00"/>
    <s v="4656566Comp. Ingreso232424-5"/>
    <n v="232424"/>
    <s v="Comp. Ingreso"/>
    <s v="CLIENTE 1"/>
    <n v="0"/>
    <n v="333333"/>
    <n v="0"/>
    <n v="0"/>
    <n v="0"/>
    <n v="0"/>
    <n v="0"/>
    <n v="0"/>
    <n v="0"/>
    <n v="0"/>
    <n v="0"/>
    <n v="0"/>
    <n v="0"/>
    <n v="0"/>
    <x v="2"/>
    <s v="no"/>
    <x v="2"/>
    <x v="2"/>
    <s v="0 0"/>
    <s v="0 0"/>
    <s v="NO PAGADO"/>
    <s v="4656566Comp. Ingreso232424"/>
    <n v="0"/>
    <n v="0"/>
    <s v="Se recaudó el 50% de la fact."/>
    <s v="TRANSFERENCIA"/>
    <n v="111005"/>
  </r>
  <r>
    <x v="3"/>
    <d v="2025-12-04T00:00:00"/>
    <s v="4656566Comp. Ingreso232424-6"/>
    <n v="232424"/>
    <s v="Comp. Ingreso"/>
    <s v="CLIENTE 1"/>
    <n v="0"/>
    <n v="333333"/>
    <n v="0"/>
    <n v="0"/>
    <n v="0"/>
    <n v="0"/>
    <n v="0"/>
    <n v="0"/>
    <n v="0"/>
    <n v="0"/>
    <n v="0"/>
    <n v="0"/>
    <n v="0"/>
    <n v="0"/>
    <x v="2"/>
    <s v="no"/>
    <x v="2"/>
    <x v="2"/>
    <s v="0 0"/>
    <s v="0 0"/>
    <s v="NO PAGADO"/>
    <s v="4656566Comp. Ingreso232424"/>
    <n v="0"/>
    <n v="0"/>
    <s v="Se recaudó el 50% de la fact."/>
    <s v="TRANSFERENCIA"/>
    <n v="111005"/>
  </r>
  <r>
    <x v="3"/>
    <d v="2025-12-04T00:00:00"/>
    <s v="4656566Comp. Ingreso232424-7"/>
    <n v="232424"/>
    <s v="Comp. Ingreso"/>
    <s v="CLIENTE 1"/>
    <n v="0"/>
    <n v="333333"/>
    <n v="0"/>
    <n v="0"/>
    <n v="0"/>
    <n v="0"/>
    <n v="0"/>
    <n v="0"/>
    <n v="0"/>
    <n v="0"/>
    <n v="0"/>
    <n v="0"/>
    <n v="0"/>
    <n v="0"/>
    <x v="2"/>
    <s v="no"/>
    <x v="2"/>
    <x v="2"/>
    <s v="0 0"/>
    <s v="0 0"/>
    <s v="NO PAGADO"/>
    <s v="4656566Comp. Ingreso232424"/>
    <n v="0"/>
    <n v="0"/>
    <s v="Se recaudó el 50% de la fact."/>
    <s v="TRANSFERENCIA"/>
    <n v="111005"/>
  </r>
  <r>
    <x v="3"/>
    <d v="2025-12-04T00:00:00"/>
    <s v="4656566Comp. Ingreso232424-8"/>
    <n v="232424"/>
    <s v="Comp. Ingreso"/>
    <s v="CLIENTE 1"/>
    <n v="0"/>
    <n v="333333"/>
    <n v="0"/>
    <n v="0"/>
    <n v="0"/>
    <n v="0"/>
    <n v="0"/>
    <n v="0"/>
    <n v="0"/>
    <n v="0"/>
    <n v="0"/>
    <n v="0"/>
    <n v="0"/>
    <n v="0"/>
    <x v="2"/>
    <s v="no"/>
    <x v="2"/>
    <x v="2"/>
    <s v="0 0"/>
    <s v="0 0"/>
    <s v="NO PAGADO"/>
    <s v="4656566Comp. Ingreso232424"/>
    <n v="0"/>
    <n v="0"/>
    <s v="Se recaudó el 50% de la fact."/>
    <s v="TRANSFERENCIA"/>
    <n v="111005"/>
  </r>
  <r>
    <x v="3"/>
    <d v="2025-12-04T00:00:00"/>
    <s v="4656566Comp. Ingreso232424-9"/>
    <n v="232424"/>
    <s v="Comp. Ingreso"/>
    <s v="CLIENTE 1"/>
    <n v="0"/>
    <n v="333333"/>
    <n v="0"/>
    <n v="0"/>
    <n v="0"/>
    <n v="0"/>
    <n v="0"/>
    <n v="0"/>
    <n v="0"/>
    <n v="0"/>
    <n v="0"/>
    <n v="0"/>
    <n v="0"/>
    <n v="0"/>
    <x v="2"/>
    <s v="no"/>
    <x v="2"/>
    <x v="2"/>
    <s v="0 0"/>
    <s v="0 0"/>
    <s v="NO PAGADO"/>
    <s v="4656566Comp. Ingreso232424"/>
    <n v="0"/>
    <n v="0"/>
    <s v="Se recaudó el 50% de la fact."/>
    <s v="TRANSFERENCIA"/>
    <n v="111005"/>
  </r>
  <r>
    <x v="3"/>
    <d v="2025-12-04T00:00:00"/>
    <s v="4656566Comp. Ingreso232424-10"/>
    <n v="232424"/>
    <s v="Comp. Ingreso"/>
    <s v="CLIENTE 1"/>
    <n v="0"/>
    <n v="333333"/>
    <n v="0"/>
    <n v="0"/>
    <n v="0"/>
    <n v="0"/>
    <n v="0"/>
    <n v="0"/>
    <n v="0"/>
    <n v="0"/>
    <n v="0"/>
    <n v="0"/>
    <n v="0"/>
    <n v="0"/>
    <x v="2"/>
    <s v="no"/>
    <x v="2"/>
    <x v="2"/>
    <s v="0 0"/>
    <s v="0 0"/>
    <s v="NO PAGADO"/>
    <s v="4656566Comp. Ingreso232424"/>
    <n v="0"/>
    <n v="0"/>
    <s v="Se recaudó el 50% de la fact."/>
    <s v="TRANSFERENCIA"/>
    <n v="111005"/>
  </r>
  <r>
    <x v="4"/>
    <d v="2025-12-02T00:00:00"/>
    <s v="4656566F. V.3-1"/>
    <n v="3"/>
    <s v="F. V."/>
    <s v="CLIENTE 1"/>
    <n v="0"/>
    <n v="333333"/>
    <s v="C12345-Zapatos"/>
    <s v="Caballero"/>
    <s v="Principal"/>
    <s v="Salida"/>
    <n v="2"/>
    <n v="100000"/>
    <n v="130505"/>
    <n v="200000"/>
    <n v="0"/>
    <n v="200000"/>
    <s v="Nacionales"/>
    <s v="CLIENTES"/>
    <x v="5"/>
    <s v="no"/>
    <x v="1"/>
    <x v="6"/>
    <s v="13 DEUDORES"/>
    <s v="1305 CLIENTES"/>
    <s v="NO PAGADO"/>
    <s v="4656566F. V.3"/>
    <n v="0"/>
    <s v="oscar colmenares"/>
    <s v="Vendi de contado"/>
    <n v="0"/>
    <n v="0"/>
  </r>
  <r>
    <x v="4"/>
    <d v="2025-12-02T00:00:00"/>
    <s v="4656566F. V.3-2"/>
    <n v="3"/>
    <s v="F. V."/>
    <s v="CLIENTE 1"/>
    <n v="0"/>
    <n v="333333"/>
    <n v="0"/>
    <n v="0"/>
    <s v="Principal"/>
    <s v="Salida"/>
    <n v="0"/>
    <n v="0"/>
    <s v=""/>
    <n v="0"/>
    <n v="0"/>
    <n v="0"/>
    <n v="0"/>
    <n v="0"/>
    <x v="2"/>
    <s v="no"/>
    <x v="2"/>
    <x v="5"/>
    <n v="0"/>
    <n v="0"/>
    <s v="NO PAGADO"/>
    <s v="4656566F. V.3"/>
    <n v="0"/>
    <s v="oscar colmenares"/>
    <s v="Vendi de contado"/>
    <n v="0"/>
    <n v="0"/>
  </r>
  <r>
    <x v="4"/>
    <d v="2025-12-02T00:00:00"/>
    <s v="4656566F. V.3-3"/>
    <n v="3"/>
    <s v="F. V."/>
    <s v="CLIENTE 1"/>
    <n v="0"/>
    <n v="333333"/>
    <n v="0"/>
    <n v="0"/>
    <s v="Principal"/>
    <s v="Salida"/>
    <n v="0"/>
    <n v="0"/>
    <s v=""/>
    <n v="0"/>
    <n v="0"/>
    <n v="0"/>
    <n v="0"/>
    <n v="0"/>
    <x v="2"/>
    <s v="no"/>
    <x v="2"/>
    <x v="5"/>
    <n v="0"/>
    <n v="0"/>
    <s v="NO PAGADO"/>
    <s v="4656566F. V.3"/>
    <n v="0"/>
    <s v="oscar colmenares"/>
    <s v="Vendi de contado"/>
    <n v="0"/>
    <n v="0"/>
  </r>
  <r>
    <x v="4"/>
    <d v="2025-12-02T00:00:00"/>
    <s v="4656566F. V.3-4"/>
    <n v="3"/>
    <s v="F. V."/>
    <s v="CLIENTE 1"/>
    <n v="0"/>
    <n v="333333"/>
    <n v="0"/>
    <n v="0"/>
    <s v="Principal"/>
    <s v="Salida"/>
    <n v="0"/>
    <n v="0"/>
    <s v=""/>
    <n v="0"/>
    <n v="0"/>
    <n v="0"/>
    <n v="0"/>
    <n v="0"/>
    <x v="2"/>
    <s v="no"/>
    <x v="2"/>
    <x v="5"/>
    <n v="0"/>
    <n v="0"/>
    <s v="NO PAGADO"/>
    <s v="4656566F. V.3"/>
    <n v="0"/>
    <s v="oscar colmenares"/>
    <s v="Vendi de contado"/>
    <n v="0"/>
    <n v="0"/>
  </r>
  <r>
    <x v="4"/>
    <d v="2025-12-02T00:00:00"/>
    <s v="4656566F. V.3-5"/>
    <n v="3"/>
    <s v="F. V."/>
    <s v="CLIENTE 1"/>
    <n v="0"/>
    <n v="333333"/>
    <n v="0"/>
    <n v="0"/>
    <s v="Principal"/>
    <s v="Salida"/>
    <n v="0"/>
    <n v="0"/>
    <s v=""/>
    <n v="0"/>
    <n v="0"/>
    <n v="0"/>
    <n v="0"/>
    <n v="0"/>
    <x v="2"/>
    <s v="no"/>
    <x v="2"/>
    <x v="5"/>
    <n v="0"/>
    <n v="0"/>
    <s v="NO PAGADO"/>
    <s v="4656566F. V.3"/>
    <n v="0"/>
    <s v="oscar colmenares"/>
    <s v="Vendi de contado"/>
    <n v="0"/>
    <n v="0"/>
  </r>
  <r>
    <x v="4"/>
    <d v="2025-12-02T00:00:00"/>
    <s v="4656566F. V.3-6"/>
    <n v="3"/>
    <s v="F. V."/>
    <s v="CLIENTE 1"/>
    <n v="0"/>
    <n v="333333"/>
    <n v="0"/>
    <n v="0"/>
    <s v="Principal"/>
    <s v="Salida"/>
    <n v="0"/>
    <n v="0"/>
    <s v=""/>
    <n v="0"/>
    <n v="0"/>
    <n v="0"/>
    <n v="0"/>
    <n v="0"/>
    <x v="2"/>
    <s v="no"/>
    <x v="2"/>
    <x v="5"/>
    <n v="0"/>
    <n v="0"/>
    <s v="NO PAGADO"/>
    <s v="4656566F. V.3"/>
    <n v="0"/>
    <s v="oscar colmenares"/>
    <s v="Vendi de contado"/>
    <n v="0"/>
    <n v="0"/>
  </r>
  <r>
    <x v="4"/>
    <d v="2025-12-02T00:00:00"/>
    <s v="4656566F. V.3-7"/>
    <n v="3"/>
    <s v="F. V."/>
    <s v="CLIENTE 1"/>
    <n v="0"/>
    <n v="333333"/>
    <n v="0"/>
    <n v="0"/>
    <s v="Principal"/>
    <s v="Salida"/>
    <n v="0"/>
    <n v="0"/>
    <s v=""/>
    <n v="0"/>
    <n v="0"/>
    <n v="0"/>
    <n v="0"/>
    <n v="0"/>
    <x v="2"/>
    <s v="no"/>
    <x v="2"/>
    <x v="5"/>
    <n v="0"/>
    <n v="0"/>
    <s v="NO PAGADO"/>
    <s v="4656566F. V.3"/>
    <n v="0"/>
    <s v="oscar colmenares"/>
    <s v="Vendi de contado"/>
    <n v="0"/>
    <n v="0"/>
  </r>
  <r>
    <x v="4"/>
    <d v="2025-12-02T00:00:00"/>
    <s v="4656566F. V.3-8"/>
    <n v="3"/>
    <s v="F. V."/>
    <s v="CLIENTE 1"/>
    <n v="0"/>
    <n v="333333"/>
    <n v="0"/>
    <n v="0"/>
    <s v="Principal"/>
    <s v="Salida"/>
    <n v="0"/>
    <n v="0"/>
    <s v=""/>
    <n v="0"/>
    <n v="0"/>
    <n v="0"/>
    <n v="0"/>
    <n v="0"/>
    <x v="2"/>
    <s v="no"/>
    <x v="2"/>
    <x v="5"/>
    <n v="0"/>
    <n v="0"/>
    <s v="NO PAGADO"/>
    <s v="4656566F. V.3"/>
    <n v="0"/>
    <s v="oscar colmenares"/>
    <s v="Vendi de contado"/>
    <n v="0"/>
    <n v="0"/>
  </r>
  <r>
    <x v="4"/>
    <d v="2025-12-02T00:00:00"/>
    <s v="4656566F. V.3-9"/>
    <n v="3"/>
    <s v="F. V."/>
    <s v="CLIENTE 1"/>
    <n v="0"/>
    <n v="333333"/>
    <n v="0"/>
    <n v="0"/>
    <s v="Principal"/>
    <s v="Salida"/>
    <n v="0"/>
    <n v="0"/>
    <s v=""/>
    <n v="0"/>
    <n v="0"/>
    <n v="0"/>
    <n v="0"/>
    <n v="0"/>
    <x v="2"/>
    <s v="no"/>
    <x v="2"/>
    <x v="5"/>
    <n v="0"/>
    <n v="0"/>
    <s v="NO PAGADO"/>
    <s v="4656566F. V.3"/>
    <n v="0"/>
    <s v="oscar colmenares"/>
    <s v="Vendi de contado"/>
    <n v="0"/>
    <n v="0"/>
  </r>
  <r>
    <x v="4"/>
    <d v="2025-12-02T00:00:00"/>
    <s v="4656566F. V.3-10"/>
    <n v="3"/>
    <s v="F. V."/>
    <s v="CLIENTE 1"/>
    <n v="0"/>
    <n v="333333"/>
    <n v="0"/>
    <n v="0"/>
    <s v="Principal"/>
    <s v="Salida"/>
    <n v="1"/>
    <n v="0"/>
    <n v="413524"/>
    <n v="0"/>
    <n v="200000"/>
    <n v="-200000"/>
    <s v="Venta de productos textiles, de vestir, de cuero y calzado"/>
    <s v="COMERCIO AL POR MAYOR Y AL POR MENOR"/>
    <x v="6"/>
    <s v="no"/>
    <x v="4"/>
    <x v="7"/>
    <s v="41 OPERACIONALES"/>
    <s v="4135 COMERCIO AL POR MAYOR Y AL POR MENOR"/>
    <s v="NO PAGADO"/>
    <s v="4656566F. V.3"/>
    <n v="0"/>
    <s v="oscar colmenares"/>
    <s v="Vendi de contado"/>
    <n v="0"/>
    <n v="0"/>
  </r>
  <r>
    <x v="4"/>
    <d v="2025-12-02T00:00:00"/>
    <s v="4656566F. V.3-IVA"/>
    <n v="3"/>
    <s v="F. V."/>
    <s v="CLIENTE 1"/>
    <n v="0"/>
    <n v="333333"/>
    <n v="0"/>
    <n v="0"/>
    <s v="Principal"/>
    <s v="Salida"/>
    <n v="1"/>
    <n v="0"/>
    <n v="240805"/>
    <n v="0"/>
    <n v="0"/>
    <n v="0"/>
    <s v="IMPUESTO SOBRE LAS VENTAS POR PAGAR"/>
    <s v="IMPUESTO SOBRE LAS VENTAS POR PAGAR"/>
    <x v="7"/>
    <s v="no"/>
    <x v="3"/>
    <x v="8"/>
    <s v="24 IMPUESTOS, GRAVÁMENES Y TASAS"/>
    <s v="2408 IMPUESTO SOBRE LAS VENTAS POR PAGAR"/>
    <s v="NO PAGADO"/>
    <s v="4656566F. V.3"/>
    <n v="0"/>
    <s v="oscar colmenares"/>
    <s v="Vendi de contado"/>
    <n v="0"/>
    <n v="0"/>
  </r>
  <r>
    <x v="4"/>
    <d v="2025-12-02T00:00:00"/>
    <s v="4656566F. V.3-INC"/>
    <n v="3"/>
    <s v="F. V."/>
    <s v="CLIENTE 1"/>
    <n v="0"/>
    <n v="333333"/>
    <n v="0"/>
    <n v="0"/>
    <s v="Principal"/>
    <s v="Salida"/>
    <n v="1"/>
    <n v="0"/>
    <n v="246505"/>
    <n v="0"/>
    <n v="0"/>
    <n v="0"/>
    <s v="INC - Restaurantes"/>
    <s v="IMPUESTO NACIONAL AL CONSUMO"/>
    <x v="8"/>
    <s v="no"/>
    <x v="3"/>
    <x v="9"/>
    <s v="24 IMPUESTOS, GRAVÁMENES Y TASAS"/>
    <s v="2465 IMPUESTO NACIONAL AL CONSUMO"/>
    <s v="NO PAGADO"/>
    <s v="4656566F. V.3"/>
    <n v="0"/>
    <s v="oscar colmenares"/>
    <s v="Vendi de contado"/>
    <n v="0"/>
    <n v="0"/>
  </r>
  <r>
    <x v="4"/>
    <d v="2025-12-02T00:00:00"/>
    <s v="4656566F. V.3-13"/>
    <n v="3"/>
    <s v="F. V."/>
    <s v="CLIENTE 1"/>
    <n v="0"/>
    <n v="333333"/>
    <n v="0"/>
    <n v="0"/>
    <s v="Principal"/>
    <s v="Salida"/>
    <n v="1"/>
    <n v="26538.461538461539"/>
    <n v="143505"/>
    <n v="0"/>
    <n v="53076.923076923078"/>
    <n v="-53076.923076923078"/>
    <s v="MERCANCÍAS DETAL"/>
    <s v="MERCANCÍAS NO FABRICADAS POR LA EMPRESA"/>
    <x v="9"/>
    <s v="no"/>
    <x v="1"/>
    <x v="10"/>
    <s v="14 INVENTARIOS"/>
    <s v="1435 MERCANCÍAS NO FABRICADAS POR LA EMPRESA"/>
    <s v="NO PAGADO"/>
    <s v="4656566F. V.3"/>
    <n v="0"/>
    <s v="oscar colmenares"/>
    <s v="Vendi de contado"/>
    <n v="0"/>
    <n v="0"/>
  </r>
  <r>
    <x v="4"/>
    <d v="2025-12-02T00:00:00"/>
    <s v="4656566F. V.3-14"/>
    <n v="3"/>
    <s v="F. V."/>
    <s v="CLIENTE 1"/>
    <n v="0"/>
    <n v="333333"/>
    <n v="0"/>
    <n v="0"/>
    <s v="Principal"/>
    <s v="Salida"/>
    <n v="1"/>
    <n v="0"/>
    <s v=""/>
    <n v="0"/>
    <n v="0"/>
    <n v="0"/>
    <n v="0"/>
    <n v="0"/>
    <x v="2"/>
    <s v="no"/>
    <x v="2"/>
    <x v="5"/>
    <n v="0"/>
    <n v="0"/>
    <s v="NO PAGADO"/>
    <s v="4656566F. V.3"/>
    <n v="0"/>
    <s v="oscar colmenares"/>
    <s v="Vendi de contado"/>
    <n v="0"/>
    <n v="0"/>
  </r>
  <r>
    <x v="4"/>
    <d v="2025-12-02T00:00:00"/>
    <s v="4656566F. V.3-15"/>
    <n v="3"/>
    <s v="F. V."/>
    <s v="CLIENTE 1"/>
    <n v="0"/>
    <n v="333333"/>
    <n v="0"/>
    <n v="0"/>
    <s v="Principal"/>
    <s v="Salida"/>
    <n v="1"/>
    <n v="0"/>
    <s v=""/>
    <n v="0"/>
    <n v="0"/>
    <n v="0"/>
    <n v="0"/>
    <n v="0"/>
    <x v="2"/>
    <s v="no"/>
    <x v="2"/>
    <x v="5"/>
    <n v="0"/>
    <n v="0"/>
    <s v="NO PAGADO"/>
    <s v="4656566F. V.3"/>
    <n v="0"/>
    <s v="oscar colmenares"/>
    <s v="Vendi de contado"/>
    <n v="0"/>
    <n v="0"/>
  </r>
  <r>
    <x v="4"/>
    <d v="2025-12-02T00:00:00"/>
    <s v="4656566F. V.3-16"/>
    <n v="3"/>
    <s v="F. V."/>
    <s v="CLIENTE 1"/>
    <n v="0"/>
    <n v="333333"/>
    <n v="0"/>
    <n v="0"/>
    <s v="Principal"/>
    <s v="Salida"/>
    <n v="1"/>
    <n v="0"/>
    <s v=""/>
    <n v="0"/>
    <n v="0"/>
    <n v="0"/>
    <n v="0"/>
    <n v="0"/>
    <x v="2"/>
    <s v="no"/>
    <x v="2"/>
    <x v="5"/>
    <n v="0"/>
    <n v="0"/>
    <s v="NO PAGADO"/>
    <s v="4656566F. V.3"/>
    <n v="0"/>
    <s v="oscar colmenares"/>
    <s v="Vendi de contado"/>
    <n v="0"/>
    <n v="0"/>
  </r>
  <r>
    <x v="4"/>
    <d v="2025-12-02T00:00:00"/>
    <s v="4656566F. V.3-17"/>
    <n v="3"/>
    <s v="F. V."/>
    <s v="CLIENTE 1"/>
    <n v="0"/>
    <n v="333333"/>
    <n v="0"/>
    <n v="0"/>
    <s v="Principal"/>
    <s v="Salida"/>
    <n v="1"/>
    <n v="0"/>
    <s v=""/>
    <n v="0"/>
    <n v="0"/>
    <n v="0"/>
    <n v="0"/>
    <n v="0"/>
    <x v="2"/>
    <s v="no"/>
    <x v="2"/>
    <x v="5"/>
    <n v="0"/>
    <n v="0"/>
    <s v="NO PAGADO"/>
    <s v="4656566F. V.3"/>
    <n v="0"/>
    <s v="oscar colmenares"/>
    <s v="Vendi de contado"/>
    <n v="0"/>
    <n v="0"/>
  </r>
  <r>
    <x v="4"/>
    <d v="2025-12-02T00:00:00"/>
    <s v="4656566F. V.3-18"/>
    <n v="3"/>
    <s v="F. V."/>
    <s v="CLIENTE 1"/>
    <n v="0"/>
    <n v="333333"/>
    <n v="0"/>
    <n v="0"/>
    <s v="Principal"/>
    <s v="Salida"/>
    <n v="1"/>
    <n v="0"/>
    <s v=""/>
    <n v="0"/>
    <n v="0"/>
    <n v="0"/>
    <n v="0"/>
    <n v="0"/>
    <x v="2"/>
    <s v="no"/>
    <x v="2"/>
    <x v="5"/>
    <n v="0"/>
    <n v="0"/>
    <s v="NO PAGADO"/>
    <s v="4656566F. V.3"/>
    <n v="0"/>
    <s v="oscar colmenares"/>
    <s v="Vendi de contado"/>
    <n v="0"/>
    <n v="0"/>
  </r>
  <r>
    <x v="4"/>
    <d v="2025-12-02T00:00:00"/>
    <s v="4656566F. V.3-19"/>
    <n v="3"/>
    <s v="F. V."/>
    <s v="CLIENTE 1"/>
    <n v="0"/>
    <n v="333333"/>
    <n v="0"/>
    <n v="0"/>
    <s v="Principal"/>
    <s v="Salida"/>
    <n v="1"/>
    <n v="0"/>
    <s v=""/>
    <n v="0"/>
    <n v="0"/>
    <n v="0"/>
    <n v="0"/>
    <n v="0"/>
    <x v="2"/>
    <s v="no"/>
    <x v="2"/>
    <x v="5"/>
    <n v="0"/>
    <n v="0"/>
    <s v="NO PAGADO"/>
    <s v="4656566F. V.3"/>
    <n v="0"/>
    <s v="oscar colmenares"/>
    <s v="Vendi de contado"/>
    <n v="0"/>
    <n v="0"/>
  </r>
  <r>
    <x v="4"/>
    <d v="2025-12-02T00:00:00"/>
    <s v="4656566F. V.3-20"/>
    <n v="3"/>
    <s v="F. V."/>
    <s v="CLIENTE 1"/>
    <n v="0"/>
    <n v="333333"/>
    <n v="0"/>
    <n v="0"/>
    <s v="Principal"/>
    <s v="Salida"/>
    <n v="1"/>
    <n v="0"/>
    <s v=""/>
    <n v="0"/>
    <n v="0"/>
    <n v="0"/>
    <n v="0"/>
    <n v="0"/>
    <x v="2"/>
    <s v="no"/>
    <x v="2"/>
    <x v="5"/>
    <n v="0"/>
    <n v="0"/>
    <s v="NO PAGADO"/>
    <s v="4656566F. V.3"/>
    <n v="0"/>
    <s v="oscar colmenares"/>
    <s v="Vendi de contado"/>
    <n v="0"/>
    <n v="0"/>
  </r>
  <r>
    <x v="4"/>
    <d v="2025-12-02T00:00:00"/>
    <s v="4656566F. V.3-21"/>
    <n v="3"/>
    <s v="F. V."/>
    <s v="CLIENTE 1"/>
    <n v="0"/>
    <n v="333333"/>
    <n v="0"/>
    <n v="0"/>
    <s v="Principal"/>
    <s v="Salida"/>
    <n v="1"/>
    <n v="0"/>
    <s v=""/>
    <n v="0"/>
    <n v="0"/>
    <n v="0"/>
    <n v="0"/>
    <n v="0"/>
    <x v="2"/>
    <s v="no"/>
    <x v="2"/>
    <x v="5"/>
    <n v="0"/>
    <n v="0"/>
    <s v="NO PAGADO"/>
    <s v="4656566F. V.3"/>
    <n v="0"/>
    <s v="oscar colmenares"/>
    <s v="Vendi de contado"/>
    <n v="0"/>
    <n v="0"/>
  </r>
  <r>
    <x v="4"/>
    <d v="2025-12-02T00:00:00"/>
    <s v="4656566F. V.3-22"/>
    <n v="3"/>
    <s v="F. V."/>
    <s v="CLIENTE 1"/>
    <n v="0"/>
    <n v="333333"/>
    <n v="0"/>
    <n v="0"/>
    <s v="Principal"/>
    <s v="Salida"/>
    <n v="0"/>
    <n v="53076.923076923078"/>
    <n v="610505"/>
    <n v="53076.923076923078"/>
    <n v="0"/>
    <n v="53076.923076923078"/>
    <s v="Costos de Ventas"/>
    <s v="Costos de Ventas"/>
    <x v="10"/>
    <s v="no"/>
    <x v="5"/>
    <x v="11"/>
    <s v="61 COSTO DE VENTAS Y DE PRESTACIÓN DE SERVI"/>
    <s v="6105 Costos de Ventas"/>
    <s v="NO PAGADO"/>
    <s v="4656566F. V.3"/>
    <n v="0"/>
    <s v="oscar colmenares"/>
    <s v="Vendi de contado"/>
    <n v="0"/>
    <n v="0"/>
  </r>
  <r>
    <x v="4"/>
    <d v="2025-12-02T00:00:00"/>
    <s v="4656566F. V.2-1"/>
    <n v="2"/>
    <s v="F. V."/>
    <s v="CLIENTE 1"/>
    <s v="IVA-19%"/>
    <n v="333333"/>
    <s v="E622552-camisas"/>
    <s v="Caballero"/>
    <s v="Principal"/>
    <s v="Salida"/>
    <n v="1"/>
    <n v="50000"/>
    <n v="130505"/>
    <n v="59500"/>
    <n v="0"/>
    <n v="59500"/>
    <s v="Nacionales"/>
    <s v="CLIENTES"/>
    <x v="5"/>
    <s v="no"/>
    <x v="1"/>
    <x v="6"/>
    <s v="13 DEUDORES"/>
    <s v="1305 CLIENTES"/>
    <s v="NO PAGADO"/>
    <s v="4656566F. V.2"/>
    <n v="0"/>
    <s v="Responsable no especificado"/>
    <s v="DE CONTADO"/>
    <n v="0"/>
    <n v="0"/>
  </r>
  <r>
    <x v="4"/>
    <d v="2025-12-02T00:00:00"/>
    <s v="4656566F. V.2-2"/>
    <n v="2"/>
    <s v="F. V."/>
    <s v="CLIENTE 1"/>
    <n v="0"/>
    <n v="333333"/>
    <n v="0"/>
    <n v="0"/>
    <s v="Principal"/>
    <s v="Salida"/>
    <n v="0"/>
    <n v="0"/>
    <s v=""/>
    <n v="0"/>
    <n v="0"/>
    <n v="0"/>
    <n v="0"/>
    <n v="0"/>
    <x v="2"/>
    <s v="no"/>
    <x v="2"/>
    <x v="5"/>
    <n v="0"/>
    <n v="0"/>
    <s v="NO PAGADO"/>
    <s v="4656566F. V.2"/>
    <n v="0"/>
    <s v="Responsable no especificado"/>
    <s v="DE CONTADO"/>
    <n v="0"/>
    <n v="0"/>
  </r>
  <r>
    <x v="4"/>
    <d v="2025-12-02T00:00:00"/>
    <s v="4656566F. V.2-3"/>
    <n v="2"/>
    <s v="F. V."/>
    <s v="CLIENTE 1"/>
    <n v="0"/>
    <n v="333333"/>
    <n v="0"/>
    <n v="0"/>
    <s v="Principal"/>
    <s v="Salida"/>
    <n v="0"/>
    <n v="0"/>
    <s v=""/>
    <n v="0"/>
    <n v="0"/>
    <n v="0"/>
    <n v="0"/>
    <n v="0"/>
    <x v="2"/>
    <s v="no"/>
    <x v="2"/>
    <x v="5"/>
    <n v="0"/>
    <n v="0"/>
    <s v="NO PAGADO"/>
    <s v="4656566F. V.2"/>
    <n v="0"/>
    <s v="Responsable no especificado"/>
    <s v="DE CONTADO"/>
    <n v="0"/>
    <n v="0"/>
  </r>
  <r>
    <x v="4"/>
    <d v="2025-12-02T00:00:00"/>
    <s v="4656566F. V.2-4"/>
    <n v="2"/>
    <s v="F. V."/>
    <s v="CLIENTE 1"/>
    <n v="0"/>
    <n v="333333"/>
    <n v="0"/>
    <n v="0"/>
    <s v="Principal"/>
    <s v="Salida"/>
    <n v="0"/>
    <n v="0"/>
    <s v=""/>
    <n v="0"/>
    <n v="0"/>
    <n v="0"/>
    <n v="0"/>
    <n v="0"/>
    <x v="2"/>
    <s v="no"/>
    <x v="2"/>
    <x v="5"/>
    <n v="0"/>
    <n v="0"/>
    <s v="NO PAGADO"/>
    <s v="4656566F. V.2"/>
    <n v="0"/>
    <s v="Responsable no especificado"/>
    <s v="DE CONTADO"/>
    <n v="0"/>
    <n v="0"/>
  </r>
  <r>
    <x v="4"/>
    <d v="2025-12-02T00:00:00"/>
    <s v="4656566F. V.2-5"/>
    <n v="2"/>
    <s v="F. V."/>
    <s v="CLIENTE 1"/>
    <n v="0"/>
    <n v="333333"/>
    <n v="0"/>
    <n v="0"/>
    <s v="Principal"/>
    <s v="Salida"/>
    <n v="0"/>
    <n v="0"/>
    <s v=""/>
    <n v="0"/>
    <n v="0"/>
    <n v="0"/>
    <n v="0"/>
    <n v="0"/>
    <x v="2"/>
    <s v="no"/>
    <x v="2"/>
    <x v="5"/>
    <n v="0"/>
    <n v="0"/>
    <s v="NO PAGADO"/>
    <s v="4656566F. V.2"/>
    <n v="0"/>
    <s v="Responsable no especificado"/>
    <s v="DE CONTADO"/>
    <n v="0"/>
    <n v="0"/>
  </r>
  <r>
    <x v="4"/>
    <d v="2025-12-02T00:00:00"/>
    <s v="4656566F. V.2-6"/>
    <n v="2"/>
    <s v="F. V."/>
    <s v="CLIENTE 1"/>
    <n v="0"/>
    <n v="333333"/>
    <n v="0"/>
    <n v="0"/>
    <s v="Principal"/>
    <s v="Salida"/>
    <n v="0"/>
    <n v="0"/>
    <s v=""/>
    <n v="0"/>
    <n v="0"/>
    <n v="0"/>
    <n v="0"/>
    <n v="0"/>
    <x v="2"/>
    <s v="no"/>
    <x v="2"/>
    <x v="5"/>
    <n v="0"/>
    <n v="0"/>
    <s v="NO PAGADO"/>
    <s v="4656566F. V.2"/>
    <n v="0"/>
    <s v="Responsable no especificado"/>
    <s v="DE CONTADO"/>
    <n v="0"/>
    <n v="0"/>
  </r>
  <r>
    <x v="4"/>
    <d v="2025-12-02T00:00:00"/>
    <s v="4656566F. V.2-7"/>
    <n v="2"/>
    <s v="F. V."/>
    <s v="CLIENTE 1"/>
    <n v="0"/>
    <n v="333333"/>
    <n v="0"/>
    <n v="0"/>
    <s v="Principal"/>
    <s v="Salida"/>
    <n v="0"/>
    <n v="0"/>
    <s v=""/>
    <n v="0"/>
    <n v="0"/>
    <n v="0"/>
    <n v="0"/>
    <n v="0"/>
    <x v="2"/>
    <s v="no"/>
    <x v="2"/>
    <x v="5"/>
    <n v="0"/>
    <n v="0"/>
    <s v="NO PAGADO"/>
    <s v="4656566F. V.2"/>
    <n v="0"/>
    <s v="Responsable no especificado"/>
    <s v="DE CONTADO"/>
    <n v="0"/>
    <n v="0"/>
  </r>
  <r>
    <x v="4"/>
    <d v="2025-12-02T00:00:00"/>
    <s v="4656566F. V.2-8"/>
    <n v="2"/>
    <s v="F. V."/>
    <s v="CLIENTE 1"/>
    <n v="0"/>
    <n v="333333"/>
    <n v="0"/>
    <n v="0"/>
    <s v="Principal"/>
    <s v="Salida"/>
    <n v="0"/>
    <n v="0"/>
    <s v=""/>
    <n v="0"/>
    <n v="0"/>
    <n v="0"/>
    <n v="0"/>
    <n v="0"/>
    <x v="2"/>
    <s v="no"/>
    <x v="2"/>
    <x v="5"/>
    <n v="0"/>
    <n v="0"/>
    <s v="NO PAGADO"/>
    <s v="4656566F. V.2"/>
    <n v="0"/>
    <s v="Responsable no especificado"/>
    <s v="DE CONTADO"/>
    <n v="0"/>
    <n v="0"/>
  </r>
  <r>
    <x v="4"/>
    <d v="2025-12-02T00:00:00"/>
    <s v="4656566F. V.2-9"/>
    <n v="2"/>
    <s v="F. V."/>
    <s v="CLIENTE 1"/>
    <n v="0"/>
    <n v="333333"/>
    <n v="0"/>
    <n v="0"/>
    <s v="Principal"/>
    <s v="Salida"/>
    <n v="0"/>
    <n v="0"/>
    <s v=""/>
    <n v="0"/>
    <n v="0"/>
    <n v="0"/>
    <n v="0"/>
    <n v="0"/>
    <x v="2"/>
    <s v="no"/>
    <x v="2"/>
    <x v="5"/>
    <n v="0"/>
    <n v="0"/>
    <s v="NO PAGADO"/>
    <s v="4656566F. V.2"/>
    <n v="0"/>
    <s v="Responsable no especificado"/>
    <s v="DE CONTADO"/>
    <n v="0"/>
    <n v="0"/>
  </r>
  <r>
    <x v="4"/>
    <d v="2025-12-02T00:00:00"/>
    <s v="4656566F. V.2-10"/>
    <n v="2"/>
    <s v="F. V."/>
    <s v="CLIENTE 1"/>
    <n v="0"/>
    <n v="333333"/>
    <n v="0"/>
    <n v="0"/>
    <s v="Principal"/>
    <s v="Salida"/>
    <n v="1"/>
    <n v="0"/>
    <n v="413524"/>
    <n v="0"/>
    <n v="50000"/>
    <n v="-50000"/>
    <s v="Venta de productos textiles, de vestir, de cuero y calzado"/>
    <s v="COMERCIO AL POR MAYOR Y AL POR MENOR"/>
    <x v="6"/>
    <s v="no"/>
    <x v="4"/>
    <x v="7"/>
    <s v="41 OPERACIONALES"/>
    <s v="4135 COMERCIO AL POR MAYOR Y AL POR MENOR"/>
    <s v="NO PAGADO"/>
    <s v="4656566F. V.2"/>
    <n v="0"/>
    <s v="Responsable no especificado"/>
    <s v="DE CONTADO"/>
    <n v="0"/>
    <n v="0"/>
  </r>
  <r>
    <x v="4"/>
    <d v="2025-12-02T00:00:00"/>
    <s v="4656566F. V.2-IVA"/>
    <n v="2"/>
    <s v="F. V."/>
    <s v="CLIENTE 1"/>
    <n v="0"/>
    <n v="333333"/>
    <n v="0"/>
    <n v="0"/>
    <s v="Principal"/>
    <s v="Salida"/>
    <n v="1"/>
    <n v="9500"/>
    <n v="240805"/>
    <n v="0"/>
    <n v="9500"/>
    <n v="-9500"/>
    <s v="IMPUESTO SOBRE LAS VENTAS POR PAGAR"/>
    <s v="IMPUESTO SOBRE LAS VENTAS POR PAGAR"/>
    <x v="7"/>
    <s v="no"/>
    <x v="3"/>
    <x v="8"/>
    <s v="24 IMPUESTOS, GRAVÁMENES Y TASAS"/>
    <s v="2408 IMPUESTO SOBRE LAS VENTAS POR PAGAR"/>
    <s v="NO PAGADO"/>
    <s v="4656566F. V.2"/>
    <n v="0"/>
    <s v="Responsable no especificado"/>
    <s v="DE CONTADO"/>
    <n v="0"/>
    <n v="0"/>
  </r>
  <r>
    <x v="4"/>
    <d v="2025-12-02T00:00:00"/>
    <s v="4656566F. V.2-INC"/>
    <n v="2"/>
    <s v="F. V."/>
    <s v="CLIENTE 1"/>
    <n v="0"/>
    <n v="333333"/>
    <n v="0"/>
    <n v="0"/>
    <s v="Principal"/>
    <s v="Salida"/>
    <n v="1"/>
    <n v="0"/>
    <n v="246505"/>
    <n v="0"/>
    <n v="0"/>
    <n v="0"/>
    <s v="INC - Restaurantes"/>
    <s v="IMPUESTO NACIONAL AL CONSUMO"/>
    <x v="8"/>
    <s v="no"/>
    <x v="3"/>
    <x v="9"/>
    <s v="24 IMPUESTOS, GRAVÁMENES Y TASAS"/>
    <s v="2465 IMPUESTO NACIONAL AL CONSUMO"/>
    <s v="NO PAGADO"/>
    <s v="4656566F. V.2"/>
    <n v="0"/>
    <s v="Responsable no especificado"/>
    <s v="DE CONTADO"/>
    <n v="0"/>
    <n v="0"/>
  </r>
  <r>
    <x v="2"/>
    <s v=""/>
    <s v=""/>
    <s v=""/>
    <s v=""/>
    <s v=""/>
    <s v=""/>
    <s v=""/>
    <s v=""/>
    <s v=""/>
    <s v=""/>
    <s v=""/>
    <s v=""/>
    <s v=""/>
    <s v=""/>
    <s v=""/>
    <s v=""/>
    <n v="0"/>
    <n v="0"/>
    <n v="0"/>
    <x v="2"/>
    <s v="si"/>
    <x v="2"/>
    <x v="5"/>
    <n v="0"/>
    <n v="0"/>
    <s v=""/>
    <s v=""/>
    <s v=""/>
    <s v=""/>
    <s v=""/>
    <s v=""/>
    <s v=""/>
  </r>
  <r>
    <x v="2"/>
    <s v=""/>
    <s v=""/>
    <s v=""/>
    <s v=""/>
    <s v=""/>
    <s v=""/>
    <s v=""/>
    <s v=""/>
    <s v=""/>
    <s v=""/>
    <s v=""/>
    <s v=""/>
    <s v=""/>
    <s v=""/>
    <s v=""/>
    <s v=""/>
    <n v="0"/>
    <n v="0"/>
    <n v="0"/>
    <x v="2"/>
    <s v="si"/>
    <x v="2"/>
    <x v="5"/>
    <n v="0"/>
    <n v="0"/>
    <s v=""/>
    <s v=""/>
    <s v=""/>
    <s v=""/>
    <s v=""/>
    <s v=""/>
    <s v=""/>
  </r>
  <r>
    <x v="2"/>
    <s v=""/>
    <s v=""/>
    <s v=""/>
    <s v=""/>
    <s v=""/>
    <s v=""/>
    <s v=""/>
    <s v=""/>
    <s v=""/>
    <s v=""/>
    <s v=""/>
    <s v=""/>
    <s v=""/>
    <s v=""/>
    <s v=""/>
    <s v=""/>
    <n v="0"/>
    <n v="0"/>
    <n v="0"/>
    <x v="2"/>
    <s v="si"/>
    <x v="2"/>
    <x v="5"/>
    <n v="0"/>
    <n v="0"/>
    <s v=""/>
    <s v=""/>
    <s v=""/>
    <s v=""/>
    <s v=""/>
    <s v=""/>
    <s v=""/>
  </r>
  <r>
    <x v="2"/>
    <s v=""/>
    <s v=""/>
    <s v=""/>
    <s v=""/>
    <s v=""/>
    <s v=""/>
    <s v=""/>
    <s v=""/>
    <s v=""/>
    <s v=""/>
    <s v=""/>
    <s v=""/>
    <s v=""/>
    <s v=""/>
    <s v=""/>
    <s v=""/>
    <n v="0"/>
    <n v="0"/>
    <n v="0"/>
    <x v="2"/>
    <s v="si"/>
    <x v="2"/>
    <x v="5"/>
    <n v="0"/>
    <n v="0"/>
    <s v=""/>
    <s v=""/>
    <s v=""/>
    <s v=""/>
    <s v=""/>
    <s v=""/>
    <s v=""/>
  </r>
  <r>
    <x v="2"/>
    <s v=""/>
    <s v=""/>
    <s v=""/>
    <s v=""/>
    <s v=""/>
    <s v=""/>
    <s v=""/>
    <s v=""/>
    <s v=""/>
    <s v=""/>
    <s v=""/>
    <s v=""/>
    <s v=""/>
    <s v=""/>
    <s v=""/>
    <s v=""/>
    <n v="0"/>
    <n v="0"/>
    <n v="0"/>
    <x v="2"/>
    <s v="si"/>
    <x v="2"/>
    <x v="5"/>
    <n v="0"/>
    <n v="0"/>
    <s v=""/>
    <s v=""/>
    <s v=""/>
    <s v=""/>
    <s v=""/>
    <s v=""/>
    <s v=""/>
  </r>
  <r>
    <x v="2"/>
    <s v=""/>
    <s v=""/>
    <s v=""/>
    <s v=""/>
    <s v=""/>
    <s v=""/>
    <s v=""/>
    <s v=""/>
    <s v=""/>
    <s v=""/>
    <s v=""/>
    <s v=""/>
    <s v=""/>
    <s v=""/>
    <s v=""/>
    <s v=""/>
    <n v="0"/>
    <n v="0"/>
    <n v="0"/>
    <x v="2"/>
    <s v="si"/>
    <x v="2"/>
    <x v="5"/>
    <n v="0"/>
    <n v="0"/>
    <s v=""/>
    <s v=""/>
    <s v=""/>
    <s v=""/>
    <s v=""/>
    <s v=""/>
    <s v=""/>
  </r>
  <r>
    <x v="2"/>
    <s v=""/>
    <s v=""/>
    <s v=""/>
    <s v=""/>
    <s v=""/>
    <s v=""/>
    <s v=""/>
    <s v=""/>
    <s v=""/>
    <s v=""/>
    <s v=""/>
    <s v=""/>
    <s v=""/>
    <s v=""/>
    <s v=""/>
    <s v=""/>
    <n v="0"/>
    <n v="0"/>
    <n v="0"/>
    <x v="2"/>
    <s v="si"/>
    <x v="2"/>
    <x v="5"/>
    <n v="0"/>
    <n v="0"/>
    <s v=""/>
    <s v=""/>
    <s v=""/>
    <s v=""/>
    <s v=""/>
    <s v=""/>
    <s v=""/>
  </r>
  <r>
    <x v="2"/>
    <s v=""/>
    <s v=""/>
    <s v=""/>
    <s v=""/>
    <s v=""/>
    <s v=""/>
    <s v=""/>
    <s v=""/>
    <s v=""/>
    <s v=""/>
    <s v=""/>
    <s v=""/>
    <s v=""/>
    <s v=""/>
    <s v=""/>
    <s v=""/>
    <n v="0"/>
    <n v="0"/>
    <n v="0"/>
    <x v="2"/>
    <s v="si"/>
    <x v="2"/>
    <x v="5"/>
    <n v="0"/>
    <n v="0"/>
    <s v=""/>
    <s v=""/>
    <s v=""/>
    <s v=""/>
    <s v=""/>
    <s v=""/>
    <s v=""/>
  </r>
  <r>
    <x v="2"/>
    <s v=""/>
    <s v=""/>
    <s v=""/>
    <s v=""/>
    <s v=""/>
    <s v=""/>
    <s v=""/>
    <s v=""/>
    <s v=""/>
    <s v=""/>
    <s v=""/>
    <s v=""/>
    <s v=""/>
    <s v=""/>
    <s v=""/>
    <s v=""/>
    <n v="0"/>
    <n v="0"/>
    <n v="0"/>
    <x v="2"/>
    <s v="si"/>
    <x v="2"/>
    <x v="5"/>
    <n v="0"/>
    <n v="0"/>
    <s v=""/>
    <s v=""/>
    <s v=""/>
    <s v=""/>
    <s v=""/>
    <s v=""/>
    <s v=""/>
  </r>
  <r>
    <x v="2"/>
    <s v=""/>
    <s v=""/>
    <s v=""/>
    <s v=""/>
    <s v=""/>
    <s v=""/>
    <s v=""/>
    <s v=""/>
    <s v=""/>
    <s v=""/>
    <s v=""/>
    <s v=""/>
    <s v=""/>
    <s v=""/>
    <s v=""/>
    <s v=""/>
    <n v="0"/>
    <n v="0"/>
    <n v="0"/>
    <x v="2"/>
    <s v="si"/>
    <x v="2"/>
    <x v="5"/>
    <n v="0"/>
    <n v="0"/>
    <s v=""/>
    <s v=""/>
    <s v=""/>
    <s v=""/>
    <s v=""/>
    <s v=""/>
    <s v=""/>
  </r>
  <r>
    <x v="2"/>
    <s v=""/>
    <s v=""/>
    <s v=""/>
    <s v=""/>
    <s v=""/>
    <s v=""/>
    <s v=""/>
    <s v=""/>
    <s v=""/>
    <s v=""/>
    <s v=""/>
    <s v=""/>
    <s v=""/>
    <s v=""/>
    <s v=""/>
    <s v=""/>
    <n v="0"/>
    <n v="0"/>
    <n v="0"/>
    <x v="2"/>
    <s v="si"/>
    <x v="2"/>
    <x v="5"/>
    <n v="0"/>
    <n v="0"/>
    <s v=""/>
    <s v=""/>
    <s v=""/>
    <s v=""/>
    <s v=""/>
    <s v=""/>
    <s v=""/>
  </r>
  <r>
    <x v="2"/>
    <s v=""/>
    <s v=""/>
    <s v=""/>
    <s v=""/>
    <s v=""/>
    <s v=""/>
    <s v=""/>
    <s v=""/>
    <s v=""/>
    <s v=""/>
    <s v=""/>
    <s v=""/>
    <s v=""/>
    <s v=""/>
    <s v=""/>
    <s v=""/>
    <n v="0"/>
    <n v="0"/>
    <n v="0"/>
    <x v="2"/>
    <s v="si"/>
    <x v="2"/>
    <x v="5"/>
    <n v="0"/>
    <n v="0"/>
    <s v=""/>
    <s v=""/>
    <s v=""/>
    <s v=""/>
    <s v=""/>
    <s v=""/>
    <s v=""/>
  </r>
  <r>
    <x v="2"/>
    <s v=""/>
    <s v=""/>
    <s v=""/>
    <s v=""/>
    <s v=""/>
    <s v=""/>
    <s v=""/>
    <s v=""/>
    <s v=""/>
    <s v=""/>
    <s v=""/>
    <s v=""/>
    <s v=""/>
    <s v=""/>
    <s v=""/>
    <s v=""/>
    <n v="0"/>
    <n v="0"/>
    <n v="0"/>
    <x v="2"/>
    <s v="si"/>
    <x v="2"/>
    <x v="5"/>
    <n v="0"/>
    <n v="0"/>
    <s v=""/>
    <s v=""/>
    <s v=""/>
    <s v=""/>
    <s v=""/>
    <s v=""/>
    <s v=""/>
  </r>
  <r>
    <x v="2"/>
    <s v=""/>
    <s v=""/>
    <s v=""/>
    <s v=""/>
    <s v=""/>
    <s v=""/>
    <s v=""/>
    <s v=""/>
    <s v=""/>
    <s v=""/>
    <s v=""/>
    <s v=""/>
    <s v=""/>
    <s v=""/>
    <s v=""/>
    <s v=""/>
    <n v="0"/>
    <n v="0"/>
    <n v="0"/>
    <x v="2"/>
    <s v="si"/>
    <x v="2"/>
    <x v="5"/>
    <n v="0"/>
    <n v="0"/>
    <s v=""/>
    <s v=""/>
    <s v=""/>
    <s v=""/>
    <s v=""/>
    <s v=""/>
    <s v=""/>
  </r>
  <r>
    <x v="2"/>
    <s v=""/>
    <s v=""/>
    <s v=""/>
    <s v=""/>
    <s v=""/>
    <s v=""/>
    <s v=""/>
    <s v=""/>
    <s v=""/>
    <s v=""/>
    <s v=""/>
    <s v=""/>
    <s v=""/>
    <s v=""/>
    <s v=""/>
    <s v=""/>
    <n v="0"/>
    <n v="0"/>
    <n v="0"/>
    <x v="2"/>
    <s v="si"/>
    <x v="2"/>
    <x v="5"/>
    <n v="0"/>
    <n v="0"/>
    <s v=""/>
    <s v=""/>
    <s v=""/>
    <s v=""/>
    <s v=""/>
    <s v=""/>
    <s v=""/>
  </r>
  <r>
    <x v="2"/>
    <s v=""/>
    <s v=""/>
    <s v=""/>
    <s v=""/>
    <s v=""/>
    <s v=""/>
    <s v=""/>
    <s v=""/>
    <s v=""/>
    <s v=""/>
    <s v=""/>
    <s v=""/>
    <s v=""/>
    <s v=""/>
    <s v=""/>
    <s v=""/>
    <n v="0"/>
    <n v="0"/>
    <n v="0"/>
    <x v="2"/>
    <s v="si"/>
    <x v="2"/>
    <x v="5"/>
    <n v="0"/>
    <n v="0"/>
    <s v=""/>
    <s v=""/>
    <s v=""/>
    <s v=""/>
    <s v=""/>
    <s v=""/>
    <s v=""/>
  </r>
  <r>
    <x v="2"/>
    <s v=""/>
    <s v=""/>
    <s v=""/>
    <s v=""/>
    <s v=""/>
    <s v=""/>
    <s v=""/>
    <s v=""/>
    <s v=""/>
    <s v=""/>
    <s v=""/>
    <s v=""/>
    <s v=""/>
    <s v=""/>
    <s v=""/>
    <s v=""/>
    <n v="0"/>
    <n v="0"/>
    <n v="0"/>
    <x v="2"/>
    <s v="si"/>
    <x v="2"/>
    <x v="5"/>
    <n v="0"/>
    <n v="0"/>
    <s v=""/>
    <s v=""/>
    <s v=""/>
    <s v=""/>
    <s v=""/>
    <s v=""/>
    <s v=""/>
  </r>
  <r>
    <x v="2"/>
    <s v=""/>
    <s v=""/>
    <s v=""/>
    <s v=""/>
    <s v=""/>
    <s v=""/>
    <s v=""/>
    <s v=""/>
    <s v=""/>
    <s v=""/>
    <s v=""/>
    <s v=""/>
    <s v=""/>
    <s v=""/>
    <s v=""/>
    <s v=""/>
    <n v="0"/>
    <n v="0"/>
    <n v="0"/>
    <x v="2"/>
    <s v="si"/>
    <x v="2"/>
    <x v="5"/>
    <n v="0"/>
    <n v="0"/>
    <s v=""/>
    <s v=""/>
    <s v=""/>
    <s v=""/>
    <s v=""/>
    <s v=""/>
    <s v=""/>
  </r>
  <r>
    <x v="2"/>
    <s v=""/>
    <s v=""/>
    <s v=""/>
    <s v=""/>
    <s v=""/>
    <s v=""/>
    <s v=""/>
    <s v=""/>
    <s v=""/>
    <s v=""/>
    <s v=""/>
    <s v=""/>
    <s v=""/>
    <s v=""/>
    <s v=""/>
    <s v=""/>
    <n v="0"/>
    <n v="0"/>
    <n v="0"/>
    <x v="2"/>
    <s v="si"/>
    <x v="2"/>
    <x v="5"/>
    <n v="0"/>
    <n v="0"/>
    <s v=""/>
    <s v=""/>
    <s v=""/>
    <s v=""/>
    <s v=""/>
    <s v=""/>
    <s v=""/>
  </r>
  <r>
    <x v="2"/>
    <s v=""/>
    <s v=""/>
    <s v=""/>
    <s v=""/>
    <s v=""/>
    <s v=""/>
    <s v=""/>
    <s v=""/>
    <s v=""/>
    <s v=""/>
    <s v=""/>
    <s v=""/>
    <s v=""/>
    <s v=""/>
    <s v=""/>
    <s v=""/>
    <n v="0"/>
    <n v="0"/>
    <n v="0"/>
    <x v="2"/>
    <s v="si"/>
    <x v="2"/>
    <x v="5"/>
    <n v="0"/>
    <n v="0"/>
    <s v=""/>
    <s v=""/>
    <s v=""/>
    <s v=""/>
    <s v=""/>
    <s v=""/>
    <s v=""/>
  </r>
  <r>
    <x v="2"/>
    <s v=""/>
    <s v=""/>
    <s v=""/>
    <s v=""/>
    <s v=""/>
    <s v=""/>
    <s v=""/>
    <s v=""/>
    <s v=""/>
    <s v=""/>
    <s v=""/>
    <s v=""/>
    <s v=""/>
    <s v=""/>
    <s v=""/>
    <s v=""/>
    <n v="0"/>
    <n v="0"/>
    <n v="0"/>
    <x v="2"/>
    <s v="si"/>
    <x v="2"/>
    <x v="5"/>
    <n v="0"/>
    <n v="0"/>
    <s v=""/>
    <s v=""/>
    <s v=""/>
    <s v=""/>
    <s v=""/>
    <s v=""/>
    <s v=""/>
  </r>
  <r>
    <x v="2"/>
    <s v=""/>
    <s v=""/>
    <s v=""/>
    <s v=""/>
    <s v=""/>
    <s v=""/>
    <s v=""/>
    <s v=""/>
    <s v=""/>
    <s v=""/>
    <s v=""/>
    <s v=""/>
    <s v=""/>
    <s v=""/>
    <s v=""/>
    <s v=""/>
    <n v="0"/>
    <n v="0"/>
    <n v="0"/>
    <x v="2"/>
    <s v="si"/>
    <x v="2"/>
    <x v="5"/>
    <n v="0"/>
    <n v="0"/>
    <s v=""/>
    <s v=""/>
    <s v=""/>
    <s v=""/>
    <s v=""/>
    <s v=""/>
    <s v=""/>
  </r>
  <r>
    <x v="4"/>
    <d v="2025-12-02T00:00:00"/>
    <s v="656565F.C.236599-1"/>
    <n v="236599"/>
    <s v="F.C."/>
    <n v="333333"/>
    <n v="0"/>
    <s v="johan"/>
    <s v="HONORARIOR"/>
    <s v="Caballero"/>
    <s v="Principal"/>
    <s v="Entrada"/>
    <n v="1"/>
    <n v="80000"/>
    <n v="510512"/>
    <n v="80000"/>
    <n v="0"/>
    <n v="80000"/>
    <s v="Jornales"/>
    <s v="GASTOS DE PERSONAL"/>
    <x v="11"/>
    <s v="no"/>
    <x v="6"/>
    <x v="12"/>
    <s v="51 OPERACIONALES DE ADMINISTRACIÓN"/>
    <s v="5105 GASTOS DE PERSONAL"/>
    <s v="NO PAGADO"/>
    <s v="656565F.C.236599"/>
    <n v="0"/>
    <s v="Responsable no especificado"/>
    <s v="DE CONTADO"/>
    <n v="0"/>
    <n v="0"/>
  </r>
  <r>
    <x v="4"/>
    <d v="2025-12-02T00:00:00"/>
    <s v="656565F.C.236599-2"/>
    <n v="236599"/>
    <s v="F.C."/>
    <n v="333333"/>
    <n v="0"/>
    <s v="johan"/>
    <n v="0"/>
    <s v="Caballero"/>
    <s v="Principal"/>
    <s v="Entrada"/>
    <n v="0"/>
    <n v="0"/>
    <s v=""/>
    <n v="0"/>
    <n v="0"/>
    <n v="0"/>
    <n v="0"/>
    <n v="0"/>
    <x v="2"/>
    <s v="no"/>
    <x v="2"/>
    <x v="5"/>
    <n v="0"/>
    <n v="0"/>
    <s v="NO PAGADO"/>
    <s v="656565F.C.236599"/>
    <n v="0"/>
    <s v="Responsable no especificado"/>
    <s v="DE CONTADO"/>
    <n v="0"/>
    <n v="0"/>
  </r>
  <r>
    <x v="4"/>
    <d v="2025-12-02T00:00:00"/>
    <s v="656565F.C.236599-3"/>
    <n v="236599"/>
    <s v="F.C."/>
    <n v="333333"/>
    <n v="0"/>
    <s v="johan"/>
    <n v="0"/>
    <s v="Caballero"/>
    <s v="Principal"/>
    <s v="Entrada"/>
    <n v="0"/>
    <n v="0"/>
    <s v=""/>
    <n v="0"/>
    <n v="0"/>
    <n v="0"/>
    <n v="0"/>
    <n v="0"/>
    <x v="2"/>
    <s v="no"/>
    <x v="2"/>
    <x v="5"/>
    <n v="0"/>
    <n v="0"/>
    <s v="NO PAGADO"/>
    <s v="656565F.C.236599"/>
    <n v="0"/>
    <s v="Responsable no especificado"/>
    <s v="DE CONTADO"/>
    <n v="0"/>
    <n v="0"/>
  </r>
  <r>
    <x v="4"/>
    <d v="2025-12-02T00:00:00"/>
    <s v="656565F.C.236599-4"/>
    <n v="236599"/>
    <s v="F.C."/>
    <n v="333333"/>
    <n v="0"/>
    <s v="johan"/>
    <n v="0"/>
    <s v="Caballero"/>
    <s v="Principal"/>
    <s v="Entrada"/>
    <n v="0"/>
    <n v="0"/>
    <s v=""/>
    <n v="0"/>
    <n v="0"/>
    <n v="0"/>
    <n v="0"/>
    <n v="0"/>
    <x v="2"/>
    <s v="no"/>
    <x v="2"/>
    <x v="5"/>
    <n v="0"/>
    <n v="0"/>
    <s v="NO PAGADO"/>
    <s v="656565F.C.236599"/>
    <n v="0"/>
    <s v="Responsable no especificado"/>
    <s v="DE CONTADO"/>
    <n v="0"/>
    <n v="0"/>
  </r>
  <r>
    <x v="4"/>
    <d v="2025-12-02T00:00:00"/>
    <s v="656565F.C.236599-5"/>
    <n v="236599"/>
    <s v="F.C."/>
    <n v="333333"/>
    <n v="0"/>
    <s v="johan"/>
    <n v="0"/>
    <s v="Caballero"/>
    <s v="Principal"/>
    <s v="Entrada"/>
    <n v="0"/>
    <n v="0"/>
    <s v=""/>
    <n v="0"/>
    <n v="0"/>
    <n v="0"/>
    <n v="0"/>
    <n v="0"/>
    <x v="2"/>
    <s v="no"/>
    <x v="2"/>
    <x v="5"/>
    <n v="0"/>
    <n v="0"/>
    <s v="NO PAGADO"/>
    <s v="656565F.C.236599"/>
    <n v="0"/>
    <s v="Responsable no especificado"/>
    <s v="DE CONTADO"/>
    <n v="0"/>
    <n v="0"/>
  </r>
  <r>
    <x v="4"/>
    <d v="2025-12-02T00:00:00"/>
    <s v="656565F.C.236599-6"/>
    <n v="236599"/>
    <s v="F.C."/>
    <n v="333333"/>
    <n v="0"/>
    <s v="johan"/>
    <n v="0"/>
    <s v="Caballero"/>
    <s v="Principal"/>
    <s v="Entrada"/>
    <n v="0"/>
    <n v="0"/>
    <s v=""/>
    <n v="0"/>
    <n v="0"/>
    <n v="0"/>
    <n v="0"/>
    <n v="0"/>
    <x v="2"/>
    <s v="no"/>
    <x v="2"/>
    <x v="5"/>
    <n v="0"/>
    <n v="0"/>
    <s v="NO PAGADO"/>
    <s v="656565F.C.236599"/>
    <n v="0"/>
    <s v="Responsable no especificado"/>
    <s v="DE CONTADO"/>
    <n v="0"/>
    <n v="0"/>
  </r>
  <r>
    <x v="4"/>
    <d v="2025-12-02T00:00:00"/>
    <s v="656565F.C.236599-7"/>
    <n v="236599"/>
    <s v="F.C."/>
    <n v="333333"/>
    <n v="0"/>
    <s v="johan"/>
    <n v="0"/>
    <s v="Caballero"/>
    <s v="Principal"/>
    <s v="Entrada"/>
    <n v="0"/>
    <n v="0"/>
    <s v=""/>
    <n v="0"/>
    <n v="0"/>
    <n v="0"/>
    <n v="0"/>
    <n v="0"/>
    <x v="2"/>
    <s v="no"/>
    <x v="2"/>
    <x v="5"/>
    <n v="0"/>
    <n v="0"/>
    <s v="NO PAGADO"/>
    <s v="656565F.C.236599"/>
    <n v="0"/>
    <s v="Responsable no especificado"/>
    <s v="DE CONTADO"/>
    <n v="0"/>
    <n v="0"/>
  </r>
  <r>
    <x v="4"/>
    <d v="2025-12-02T00:00:00"/>
    <s v="656565F.C.236599-8"/>
    <n v="236599"/>
    <s v="F.C."/>
    <n v="333333"/>
    <n v="0"/>
    <s v="johan"/>
    <n v="0"/>
    <s v="Caballero"/>
    <s v="Principal"/>
    <s v="Entrada"/>
    <n v="0"/>
    <n v="0"/>
    <s v=""/>
    <n v="0"/>
    <n v="0"/>
    <n v="0"/>
    <n v="0"/>
    <n v="0"/>
    <x v="2"/>
    <s v="no"/>
    <x v="2"/>
    <x v="5"/>
    <n v="0"/>
    <n v="0"/>
    <s v="NO PAGADO"/>
    <s v="656565F.C.236599"/>
    <n v="0"/>
    <s v="Responsable no especificado"/>
    <s v="DE CONTADO"/>
    <n v="0"/>
    <n v="0"/>
  </r>
  <r>
    <x v="4"/>
    <d v="2025-12-02T00:00:00"/>
    <s v="656565F.C.236599-9"/>
    <n v="236599"/>
    <s v="F.C."/>
    <n v="333333"/>
    <n v="0"/>
    <s v="johan"/>
    <n v="0"/>
    <s v="Caballero"/>
    <s v="Principal"/>
    <s v="Entrada"/>
    <n v="0"/>
    <n v="0"/>
    <s v=""/>
    <n v="0"/>
    <n v="0"/>
    <n v="0"/>
    <n v="0"/>
    <n v="0"/>
    <x v="2"/>
    <s v="no"/>
    <x v="2"/>
    <x v="5"/>
    <n v="0"/>
    <n v="0"/>
    <s v="NO PAGADO"/>
    <s v="656565F.C.236599"/>
    <n v="0"/>
    <s v="Responsable no especificado"/>
    <s v="DE CONTADO"/>
    <n v="0"/>
    <n v="0"/>
  </r>
  <r>
    <x v="4"/>
    <d v="2025-12-02T00:00:00"/>
    <s v="656565F.C.236599-10"/>
    <n v="236599"/>
    <s v="F.C."/>
    <n v="333333"/>
    <n v="0"/>
    <s v="johan"/>
    <n v="0"/>
    <s v="Caballero"/>
    <s v="Principal"/>
    <s v="Entrada"/>
    <n v="0"/>
    <n v="0"/>
    <s v=""/>
    <n v="0"/>
    <n v="0"/>
    <n v="0"/>
    <n v="0"/>
    <n v="0"/>
    <x v="2"/>
    <s v="no"/>
    <x v="2"/>
    <x v="5"/>
    <n v="0"/>
    <n v="0"/>
    <s v="NO PAGADO"/>
    <s v="656565F.C.236599"/>
    <n v="0"/>
    <s v="Responsable no especificado"/>
    <s v="DE CONTADO"/>
    <n v="0"/>
    <n v="0"/>
  </r>
  <r>
    <x v="4"/>
    <d v="2025-12-02T00:00:00"/>
    <s v="656565F.C.236599-11"/>
    <n v="236599"/>
    <s v="F.C."/>
    <n v="333333"/>
    <n v="0"/>
    <s v="johan"/>
    <s v="CONTRAPARTIDA"/>
    <s v="Caballero"/>
    <s v="Principal"/>
    <s v="Entrada"/>
    <n v="1"/>
    <n v="0"/>
    <n v="220505"/>
    <n v="0"/>
    <n v="80000"/>
    <n v="-80000"/>
    <s v="Proveedores Nacionales"/>
    <s v="NACIONALES"/>
    <x v="4"/>
    <s v="no"/>
    <x v="3"/>
    <x v="4"/>
    <s v="22 PROVEEDORES"/>
    <s v="2205 NACIONALES"/>
    <s v="NO PAGADO"/>
    <s v="656565F.C.236599"/>
    <n v="0"/>
    <s v="Responsable no especificado"/>
    <s v="DE CONTADO"/>
    <n v="0"/>
    <n v="0"/>
  </r>
  <r>
    <x v="2"/>
    <s v=""/>
    <s v=""/>
    <s v=""/>
    <s v=""/>
    <s v=""/>
    <s v=""/>
    <s v=""/>
    <s v=""/>
    <s v=""/>
    <s v=""/>
    <s v=""/>
    <s v=""/>
    <s v=""/>
    <s v=""/>
    <s v=""/>
    <s v=""/>
    <n v="0"/>
    <n v="0"/>
    <n v="0"/>
    <x v="2"/>
    <s v="si"/>
    <x v="2"/>
    <x v="5"/>
    <n v="0"/>
    <n v="0"/>
    <s v=""/>
    <s v=""/>
    <s v=""/>
    <s v=""/>
    <s v=""/>
    <s v=""/>
    <s v=""/>
  </r>
  <r>
    <x v="2"/>
    <s v=""/>
    <s v=""/>
    <s v=""/>
    <s v=""/>
    <s v=""/>
    <s v=""/>
    <s v=""/>
    <s v=""/>
    <s v=""/>
    <s v=""/>
    <s v=""/>
    <s v=""/>
    <s v=""/>
    <s v=""/>
    <s v=""/>
    <s v=""/>
    <n v="0"/>
    <n v="0"/>
    <n v="0"/>
    <x v="2"/>
    <s v="si"/>
    <x v="2"/>
    <x v="5"/>
    <n v="0"/>
    <n v="0"/>
    <s v=""/>
    <s v=""/>
    <s v=""/>
    <s v=""/>
    <s v=""/>
    <s v=""/>
    <s v=""/>
  </r>
  <r>
    <x v="2"/>
    <s v=""/>
    <s v=""/>
    <s v=""/>
    <s v=""/>
    <s v=""/>
    <s v=""/>
    <s v=""/>
    <s v=""/>
    <s v=""/>
    <s v=""/>
    <s v=""/>
    <s v=""/>
    <s v=""/>
    <s v=""/>
    <s v=""/>
    <s v=""/>
    <n v="0"/>
    <n v="0"/>
    <n v="0"/>
    <x v="2"/>
    <s v="si"/>
    <x v="2"/>
    <x v="5"/>
    <n v="0"/>
    <n v="0"/>
    <s v=""/>
    <s v=""/>
    <s v=""/>
    <s v=""/>
    <s v=""/>
    <s v=""/>
    <s v=""/>
  </r>
  <r>
    <x v="2"/>
    <s v=""/>
    <s v=""/>
    <s v=""/>
    <s v=""/>
    <s v=""/>
    <s v=""/>
    <s v=""/>
    <s v=""/>
    <s v=""/>
    <s v=""/>
    <s v=""/>
    <s v=""/>
    <s v=""/>
    <s v=""/>
    <s v=""/>
    <s v=""/>
    <n v="0"/>
    <n v="0"/>
    <n v="0"/>
    <x v="2"/>
    <s v="si"/>
    <x v="2"/>
    <x v="5"/>
    <n v="0"/>
    <n v="0"/>
    <s v=""/>
    <s v=""/>
    <s v=""/>
    <s v=""/>
    <s v=""/>
    <s v=""/>
    <s v=""/>
  </r>
  <r>
    <x v="2"/>
    <s v=""/>
    <s v=""/>
    <s v=""/>
    <s v=""/>
    <s v=""/>
    <s v=""/>
    <s v=""/>
    <s v=""/>
    <s v=""/>
    <s v=""/>
    <s v=""/>
    <s v=""/>
    <s v=""/>
    <s v=""/>
    <s v=""/>
    <s v=""/>
    <n v="0"/>
    <n v="0"/>
    <n v="0"/>
    <x v="2"/>
    <s v="si"/>
    <x v="2"/>
    <x v="5"/>
    <n v="0"/>
    <n v="0"/>
    <s v=""/>
    <s v=""/>
    <s v=""/>
    <s v=""/>
    <s v=""/>
    <s v=""/>
    <s v=""/>
  </r>
  <r>
    <x v="2"/>
    <s v=""/>
    <s v=""/>
    <s v=""/>
    <s v=""/>
    <s v=""/>
    <s v=""/>
    <s v=""/>
    <s v=""/>
    <s v=""/>
    <s v=""/>
    <s v=""/>
    <s v=""/>
    <s v=""/>
    <s v=""/>
    <s v=""/>
    <s v=""/>
    <n v="0"/>
    <n v="0"/>
    <n v="0"/>
    <x v="2"/>
    <s v="si"/>
    <x v="2"/>
    <x v="5"/>
    <n v="0"/>
    <n v="0"/>
    <s v=""/>
    <s v=""/>
    <s v=""/>
    <s v=""/>
    <s v=""/>
    <s v=""/>
    <s v=""/>
  </r>
  <r>
    <x v="2"/>
    <s v=""/>
    <s v=""/>
    <s v=""/>
    <s v=""/>
    <s v=""/>
    <s v=""/>
    <s v=""/>
    <s v=""/>
    <s v=""/>
    <s v=""/>
    <s v=""/>
    <s v=""/>
    <s v=""/>
    <s v=""/>
    <s v=""/>
    <s v=""/>
    <n v="0"/>
    <n v="0"/>
    <n v="0"/>
    <x v="2"/>
    <s v="si"/>
    <x v="2"/>
    <x v="5"/>
    <n v="0"/>
    <n v="0"/>
    <s v=""/>
    <s v=""/>
    <s v=""/>
    <s v=""/>
    <s v=""/>
    <s v=""/>
    <s v=""/>
  </r>
  <r>
    <x v="2"/>
    <s v=""/>
    <s v=""/>
    <s v=""/>
    <s v=""/>
    <s v=""/>
    <s v=""/>
    <s v=""/>
    <s v=""/>
    <s v=""/>
    <s v=""/>
    <s v=""/>
    <s v=""/>
    <s v=""/>
    <s v=""/>
    <s v=""/>
    <s v=""/>
    <n v="0"/>
    <n v="0"/>
    <n v="0"/>
    <x v="2"/>
    <s v="si"/>
    <x v="2"/>
    <x v="5"/>
    <n v="0"/>
    <n v="0"/>
    <s v=""/>
    <s v=""/>
    <s v=""/>
    <s v=""/>
    <s v=""/>
    <s v=""/>
    <s v=""/>
  </r>
  <r>
    <x v="2"/>
    <s v=""/>
    <s v=""/>
    <s v=""/>
    <s v=""/>
    <s v=""/>
    <s v=""/>
    <s v=""/>
    <s v=""/>
    <s v=""/>
    <s v=""/>
    <s v=""/>
    <s v=""/>
    <s v=""/>
    <s v=""/>
    <s v=""/>
    <s v=""/>
    <n v="0"/>
    <n v="0"/>
    <n v="0"/>
    <x v="2"/>
    <s v="si"/>
    <x v="2"/>
    <x v="5"/>
    <n v="0"/>
    <n v="0"/>
    <s v=""/>
    <s v=""/>
    <s v=""/>
    <s v=""/>
    <s v=""/>
    <s v=""/>
    <s v=""/>
  </r>
  <r>
    <x v="2"/>
    <s v=""/>
    <s v=""/>
    <s v=""/>
    <s v=""/>
    <s v=""/>
    <s v=""/>
    <s v=""/>
    <s v=""/>
    <s v=""/>
    <s v=""/>
    <s v=""/>
    <s v=""/>
    <s v=""/>
    <s v=""/>
    <s v=""/>
    <s v=""/>
    <n v="0"/>
    <n v="0"/>
    <n v="0"/>
    <x v="2"/>
    <s v="si"/>
    <x v="2"/>
    <x v="5"/>
    <n v="0"/>
    <n v="0"/>
    <s v=""/>
    <s v=""/>
    <s v=""/>
    <s v=""/>
    <s v=""/>
    <s v=""/>
    <s v=""/>
  </r>
  <r>
    <x v="2"/>
    <s v=""/>
    <s v=""/>
    <s v=""/>
    <s v=""/>
    <s v=""/>
    <s v=""/>
    <s v=""/>
    <s v=""/>
    <s v=""/>
    <s v=""/>
    <s v=""/>
    <s v=""/>
    <s v=""/>
    <s v=""/>
    <s v=""/>
    <s v=""/>
    <n v="0"/>
    <n v="0"/>
    <n v="0"/>
    <x v="2"/>
    <s v="si"/>
    <x v="2"/>
    <x v="5"/>
    <n v="0"/>
    <n v="0"/>
    <s v=""/>
    <s v=""/>
    <s v=""/>
    <s v=""/>
    <s v=""/>
    <s v=""/>
    <s v=""/>
  </r>
  <r>
    <x v="2"/>
    <s v=""/>
    <s v=""/>
    <s v=""/>
    <s v=""/>
    <s v=""/>
    <s v=""/>
    <s v=""/>
    <s v=""/>
    <s v=""/>
    <s v=""/>
    <s v=""/>
    <s v=""/>
    <s v=""/>
    <s v=""/>
    <s v=""/>
    <s v=""/>
    <n v="0"/>
    <n v="0"/>
    <n v="0"/>
    <x v="2"/>
    <s v="si"/>
    <x v="2"/>
    <x v="5"/>
    <n v="0"/>
    <n v="0"/>
    <s v=""/>
    <s v=""/>
    <s v=""/>
    <s v=""/>
    <s v=""/>
    <s v=""/>
    <s v=""/>
  </r>
  <r>
    <x v="2"/>
    <s v=""/>
    <s v=""/>
    <s v=""/>
    <s v=""/>
    <s v=""/>
    <s v=""/>
    <s v=""/>
    <s v=""/>
    <s v=""/>
    <s v=""/>
    <s v=""/>
    <s v=""/>
    <s v=""/>
    <s v=""/>
    <s v=""/>
    <s v=""/>
    <n v="0"/>
    <n v="0"/>
    <n v="0"/>
    <x v="2"/>
    <s v="si"/>
    <x v="2"/>
    <x v="5"/>
    <n v="0"/>
    <n v="0"/>
    <s v=""/>
    <s v=""/>
    <s v=""/>
    <s v=""/>
    <s v=""/>
    <s v=""/>
    <s v=""/>
  </r>
  <r>
    <x v="2"/>
    <s v=""/>
    <s v=""/>
    <s v=""/>
    <s v=""/>
    <s v=""/>
    <s v=""/>
    <s v=""/>
    <s v=""/>
    <s v=""/>
    <s v=""/>
    <s v=""/>
    <s v=""/>
    <s v=""/>
    <s v=""/>
    <s v=""/>
    <s v=""/>
    <n v="0"/>
    <n v="0"/>
    <n v="0"/>
    <x v="2"/>
    <s v="si"/>
    <x v="2"/>
    <x v="5"/>
    <n v="0"/>
    <n v="0"/>
    <s v=""/>
    <s v=""/>
    <s v=""/>
    <s v=""/>
    <s v=""/>
    <s v=""/>
    <s v=""/>
  </r>
  <r>
    <x v="2"/>
    <s v=""/>
    <s v=""/>
    <s v=""/>
    <s v=""/>
    <s v=""/>
    <s v=""/>
    <s v=""/>
    <s v=""/>
    <s v=""/>
    <s v=""/>
    <s v=""/>
    <s v=""/>
    <s v=""/>
    <s v=""/>
    <s v=""/>
    <s v=""/>
    <n v="0"/>
    <n v="0"/>
    <n v="0"/>
    <x v="2"/>
    <s v="si"/>
    <x v="2"/>
    <x v="5"/>
    <n v="0"/>
    <n v="0"/>
    <s v=""/>
    <s v=""/>
    <s v=""/>
    <s v=""/>
    <s v=""/>
    <s v=""/>
    <s v=""/>
  </r>
  <r>
    <x v="2"/>
    <s v=""/>
    <s v=""/>
    <s v=""/>
    <s v=""/>
    <s v=""/>
    <s v=""/>
    <s v=""/>
    <s v=""/>
    <s v=""/>
    <s v=""/>
    <s v=""/>
    <s v=""/>
    <s v=""/>
    <s v=""/>
    <s v=""/>
    <s v=""/>
    <n v="0"/>
    <n v="0"/>
    <n v="0"/>
    <x v="2"/>
    <s v="si"/>
    <x v="2"/>
    <x v="5"/>
    <n v="0"/>
    <n v="0"/>
    <s v=""/>
    <s v=""/>
    <s v=""/>
    <s v=""/>
    <s v=""/>
    <s v=""/>
    <s v=""/>
  </r>
  <r>
    <x v="2"/>
    <s v=""/>
    <s v=""/>
    <s v=""/>
    <s v=""/>
    <s v=""/>
    <s v=""/>
    <s v=""/>
    <s v=""/>
    <s v=""/>
    <s v=""/>
    <s v=""/>
    <s v=""/>
    <s v=""/>
    <s v=""/>
    <s v=""/>
    <s v=""/>
    <n v="0"/>
    <n v="0"/>
    <n v="0"/>
    <x v="2"/>
    <s v="si"/>
    <x v="2"/>
    <x v="5"/>
    <n v="0"/>
    <n v="0"/>
    <s v=""/>
    <s v=""/>
    <s v=""/>
    <s v=""/>
    <s v=""/>
    <s v=""/>
    <s v=""/>
  </r>
  <r>
    <x v="2"/>
    <s v=""/>
    <s v=""/>
    <s v=""/>
    <s v=""/>
    <s v=""/>
    <s v=""/>
    <s v=""/>
    <s v=""/>
    <s v=""/>
    <s v=""/>
    <s v=""/>
    <s v=""/>
    <s v=""/>
    <s v=""/>
    <s v=""/>
    <s v=""/>
    <n v="0"/>
    <n v="0"/>
    <n v="0"/>
    <x v="2"/>
    <s v="si"/>
    <x v="2"/>
    <x v="5"/>
    <n v="0"/>
    <n v="0"/>
    <s v=""/>
    <s v=""/>
    <s v=""/>
    <s v=""/>
    <s v=""/>
    <s v=""/>
    <s v=""/>
  </r>
  <r>
    <x v="2"/>
    <s v=""/>
    <s v=""/>
    <s v=""/>
    <s v=""/>
    <s v=""/>
    <s v=""/>
    <s v=""/>
    <s v=""/>
    <s v=""/>
    <s v=""/>
    <s v=""/>
    <s v=""/>
    <s v=""/>
    <s v=""/>
    <s v=""/>
    <s v=""/>
    <n v="0"/>
    <n v="0"/>
    <n v="0"/>
    <x v="2"/>
    <s v="si"/>
    <x v="2"/>
    <x v="5"/>
    <n v="0"/>
    <n v="0"/>
    <s v=""/>
    <s v=""/>
    <s v=""/>
    <s v=""/>
    <s v=""/>
    <s v=""/>
    <s v=""/>
  </r>
  <r>
    <x v="2"/>
    <s v=""/>
    <s v=""/>
    <s v=""/>
    <s v=""/>
    <s v=""/>
    <s v=""/>
    <s v=""/>
    <s v=""/>
    <s v=""/>
    <s v=""/>
    <s v=""/>
    <s v=""/>
    <s v=""/>
    <s v=""/>
    <s v=""/>
    <s v=""/>
    <n v="0"/>
    <n v="0"/>
    <n v="0"/>
    <x v="2"/>
    <s v="si"/>
    <x v="2"/>
    <x v="5"/>
    <n v="0"/>
    <n v="0"/>
    <s v=""/>
    <s v=""/>
    <s v=""/>
    <s v=""/>
    <s v=""/>
    <s v=""/>
    <s v=""/>
  </r>
  <r>
    <x v="2"/>
    <s v=""/>
    <s v=""/>
    <s v=""/>
    <s v=""/>
    <s v=""/>
    <s v=""/>
    <s v=""/>
    <s v=""/>
    <s v=""/>
    <s v=""/>
    <s v=""/>
    <s v=""/>
    <s v=""/>
    <s v=""/>
    <s v=""/>
    <s v=""/>
    <n v="0"/>
    <n v="0"/>
    <n v="0"/>
    <x v="2"/>
    <s v="si"/>
    <x v="2"/>
    <x v="5"/>
    <n v="0"/>
    <n v="0"/>
    <s v=""/>
    <s v=""/>
    <s v=""/>
    <s v=""/>
    <s v=""/>
    <s v=""/>
    <s v=""/>
  </r>
  <r>
    <x v="2"/>
    <s v=""/>
    <s v=""/>
    <s v=""/>
    <s v=""/>
    <s v=""/>
    <s v=""/>
    <s v=""/>
    <s v=""/>
    <s v=""/>
    <s v=""/>
    <s v=""/>
    <s v=""/>
    <s v=""/>
    <s v=""/>
    <s v=""/>
    <s v=""/>
    <n v="0"/>
    <n v="0"/>
    <n v="0"/>
    <x v="2"/>
    <s v="si"/>
    <x v="2"/>
    <x v="5"/>
    <n v="0"/>
    <n v="0"/>
    <s v=""/>
    <s v=""/>
    <s v=""/>
    <s v=""/>
    <s v=""/>
    <s v=""/>
    <s v=""/>
  </r>
  <r>
    <x v="4"/>
    <d v="2025-12-02T00:00:00"/>
    <s v="546565F.C.9696955-1"/>
    <n v="9696955"/>
    <s v="F.C."/>
    <n v="333333"/>
    <n v="0"/>
    <s v="Valentina"/>
    <s v="C12345-Zapatos"/>
    <s v="Caballero"/>
    <s v="Principal"/>
    <s v="Entrada"/>
    <n v="18"/>
    <n v="25000"/>
    <n v="143505"/>
    <n v="450000"/>
    <n v="0"/>
    <n v="450000"/>
    <s v="MERCANCÍAS DETAL"/>
    <s v="MERCANCÍAS NO FABRICADAS POR LA EMPRESA"/>
    <x v="9"/>
    <s v="no"/>
    <x v="1"/>
    <x v="10"/>
    <s v="14 INVENTARIOS"/>
    <s v="1435 MERCANCÍAS NO FABRICADAS POR LA EMPRESA"/>
    <s v="PAGADO"/>
    <s v="546565F.C.9696955"/>
    <n v="0"/>
    <s v="Responsable no especificado"/>
    <s v="SE PAGÓ EL 30%"/>
    <n v="0"/>
    <n v="0"/>
  </r>
  <r>
    <x v="4"/>
    <d v="2025-12-02T00:00:00"/>
    <s v="546565F.C.9696955-2"/>
    <n v="9696955"/>
    <s v="F.C."/>
    <n v="333333"/>
    <n v="0"/>
    <s v="Valentina"/>
    <s v="E622552-camisas"/>
    <s v="Caballero"/>
    <s v="Principal"/>
    <s v="Entrada"/>
    <n v="7"/>
    <n v="35000"/>
    <n v="143505"/>
    <n v="245000"/>
    <n v="0"/>
    <n v="245000"/>
    <s v="MERCANCÍAS DETAL"/>
    <s v="MERCANCÍAS NO FABRICADAS POR LA EMPRESA"/>
    <x v="9"/>
    <s v="no"/>
    <x v="1"/>
    <x v="10"/>
    <s v="14 INVENTARIOS"/>
    <s v="1435 MERCANCÍAS NO FABRICADAS POR LA EMPRESA"/>
    <s v="PAGADO"/>
    <s v="546565F.C.9696955"/>
    <n v="0"/>
    <s v="Responsable no especificado"/>
    <s v="SE PAGÓ EL 30%"/>
    <n v="0"/>
    <n v="0"/>
  </r>
  <r>
    <x v="4"/>
    <d v="2025-12-02T00:00:00"/>
    <s v="546565F.C.9696955-3"/>
    <n v="9696955"/>
    <s v="F.C."/>
    <n v="333333"/>
    <n v="0"/>
    <s v="Valentina"/>
    <n v="0"/>
    <n v="0"/>
    <s v="Principal"/>
    <s v="Entrada"/>
    <n v="0"/>
    <n v="0"/>
    <s v=""/>
    <n v="0"/>
    <n v="0"/>
    <n v="0"/>
    <n v="0"/>
    <n v="0"/>
    <x v="2"/>
    <s v="no"/>
    <x v="2"/>
    <x v="5"/>
    <n v="0"/>
    <n v="0"/>
    <s v="PAGADO"/>
    <s v="546565F.C.9696955"/>
    <n v="0"/>
    <s v="Responsable no especificado"/>
    <s v="SE PAGÓ EL 30%"/>
    <n v="0"/>
    <n v="0"/>
  </r>
  <r>
    <x v="4"/>
    <d v="2025-12-02T00:00:00"/>
    <s v="546565F.C.9696955-4"/>
    <n v="9696955"/>
    <s v="F.C."/>
    <n v="333333"/>
    <n v="0"/>
    <s v="Valentina"/>
    <n v="0"/>
    <n v="0"/>
    <s v="Principal"/>
    <s v="Entrada"/>
    <n v="0"/>
    <n v="0"/>
    <s v=""/>
    <n v="0"/>
    <n v="0"/>
    <n v="0"/>
    <n v="0"/>
    <n v="0"/>
    <x v="2"/>
    <s v="no"/>
    <x v="2"/>
    <x v="5"/>
    <n v="0"/>
    <n v="0"/>
    <s v="PAGADO"/>
    <s v="546565F.C.9696955"/>
    <n v="0"/>
    <s v="Responsable no especificado"/>
    <s v="SE PAGÓ EL 30%"/>
    <n v="0"/>
    <n v="0"/>
  </r>
  <r>
    <x v="4"/>
    <d v="2025-12-02T00:00:00"/>
    <s v="546565F.C.9696955-5"/>
    <n v="9696955"/>
    <s v="F.C."/>
    <n v="333333"/>
    <n v="0"/>
    <s v="Valentina"/>
    <n v="0"/>
    <n v="0"/>
    <s v="Principal"/>
    <s v="Entrada"/>
    <n v="0"/>
    <n v="0"/>
    <s v=""/>
    <n v="0"/>
    <n v="0"/>
    <n v="0"/>
    <n v="0"/>
    <n v="0"/>
    <x v="2"/>
    <s v="no"/>
    <x v="2"/>
    <x v="5"/>
    <n v="0"/>
    <n v="0"/>
    <s v="PAGADO"/>
    <s v="546565F.C.9696955"/>
    <n v="0"/>
    <s v="Responsable no especificado"/>
    <s v="SE PAGÓ EL 30%"/>
    <n v="0"/>
    <n v="0"/>
  </r>
  <r>
    <x v="4"/>
    <d v="2025-12-02T00:00:00"/>
    <s v="546565F.C.9696955-6"/>
    <n v="9696955"/>
    <s v="F.C."/>
    <n v="333333"/>
    <n v="0"/>
    <s v="Valentina"/>
    <n v="0"/>
    <n v="0"/>
    <s v="Principal"/>
    <s v="Entrada"/>
    <n v="0"/>
    <n v="0"/>
    <s v=""/>
    <n v="0"/>
    <n v="0"/>
    <n v="0"/>
    <n v="0"/>
    <n v="0"/>
    <x v="2"/>
    <s v="no"/>
    <x v="2"/>
    <x v="5"/>
    <n v="0"/>
    <n v="0"/>
    <s v="PAGADO"/>
    <s v="546565F.C.9696955"/>
    <n v="0"/>
    <s v="Responsable no especificado"/>
    <s v="SE PAGÓ EL 30%"/>
    <n v="0"/>
    <n v="0"/>
  </r>
  <r>
    <x v="4"/>
    <d v="2025-12-02T00:00:00"/>
    <s v="546565F.C.9696955-7"/>
    <n v="9696955"/>
    <s v="F.C."/>
    <n v="333333"/>
    <n v="0"/>
    <s v="Valentina"/>
    <n v="0"/>
    <n v="0"/>
    <s v="Principal"/>
    <s v="Entrada"/>
    <n v="0"/>
    <n v="0"/>
    <s v=""/>
    <n v="0"/>
    <n v="0"/>
    <n v="0"/>
    <n v="0"/>
    <n v="0"/>
    <x v="2"/>
    <s v="no"/>
    <x v="2"/>
    <x v="5"/>
    <n v="0"/>
    <n v="0"/>
    <s v="PAGADO"/>
    <s v="546565F.C.9696955"/>
    <n v="0"/>
    <s v="Responsable no especificado"/>
    <s v="SE PAGÓ EL 30%"/>
    <n v="0"/>
    <n v="0"/>
  </r>
  <r>
    <x v="4"/>
    <d v="2025-12-02T00:00:00"/>
    <s v="546565F.C.9696955-8"/>
    <n v="9696955"/>
    <s v="F.C."/>
    <n v="333333"/>
    <n v="0"/>
    <s v="Valentina"/>
    <n v="0"/>
    <n v="0"/>
    <s v="Principal"/>
    <s v="Entrada"/>
    <n v="0"/>
    <n v="0"/>
    <s v=""/>
    <n v="0"/>
    <n v="0"/>
    <n v="0"/>
    <n v="0"/>
    <n v="0"/>
    <x v="2"/>
    <s v="no"/>
    <x v="2"/>
    <x v="5"/>
    <n v="0"/>
    <n v="0"/>
    <s v="PAGADO"/>
    <s v="546565F.C.9696955"/>
    <n v="0"/>
    <s v="Responsable no especificado"/>
    <s v="SE PAGÓ EL 30%"/>
    <n v="0"/>
    <n v="0"/>
  </r>
  <r>
    <x v="4"/>
    <d v="2025-12-02T00:00:00"/>
    <s v="546565F.C.9696955-9"/>
    <n v="9696955"/>
    <s v="F.C."/>
    <n v="333333"/>
    <n v="0"/>
    <s v="Valentina"/>
    <n v="0"/>
    <n v="0"/>
    <s v="Principal"/>
    <s v="Entrada"/>
    <n v="0"/>
    <n v="0"/>
    <s v=""/>
    <n v="0"/>
    <n v="0"/>
    <n v="0"/>
    <n v="0"/>
    <n v="0"/>
    <x v="2"/>
    <s v="no"/>
    <x v="2"/>
    <x v="5"/>
    <n v="0"/>
    <n v="0"/>
    <s v="PAGADO"/>
    <s v="546565F.C.9696955"/>
    <n v="0"/>
    <s v="Responsable no especificado"/>
    <s v="SE PAGÓ EL 30%"/>
    <n v="0"/>
    <n v="0"/>
  </r>
  <r>
    <x v="4"/>
    <d v="2025-12-02T00:00:00"/>
    <s v="546565F.C.9696955-10"/>
    <n v="9696955"/>
    <s v="F.C."/>
    <n v="333333"/>
    <n v="0"/>
    <s v="Valentina"/>
    <s v="IVA"/>
    <n v="0"/>
    <s v="Principal"/>
    <s v="Entrada"/>
    <n v="1"/>
    <n v="132050"/>
    <n v="240805"/>
    <n v="132050"/>
    <n v="0"/>
    <n v="132050"/>
    <s v="IMPUESTO SOBRE LAS VENTAS POR PAGAR"/>
    <s v="IMPUESTO SOBRE LAS VENTAS POR PAGAR"/>
    <x v="7"/>
    <s v="no"/>
    <x v="3"/>
    <x v="8"/>
    <s v="24 IMPUESTOS, GRAVÁMENES Y TASAS"/>
    <s v="2408 IMPUESTO SOBRE LAS VENTAS POR PAGAR"/>
    <s v="PAGADO"/>
    <s v="546565F.C.9696955"/>
    <n v="0"/>
    <s v="Responsable no especificado"/>
    <s v="SE PAGÓ EL 30%"/>
    <n v="0"/>
    <n v="0"/>
  </r>
  <r>
    <x v="4"/>
    <d v="2025-12-02T00:00:00"/>
    <s v="546565F.C.9696955-11"/>
    <n v="9696955"/>
    <s v="F.C."/>
    <n v="333333"/>
    <n v="0"/>
    <s v="Valentina"/>
    <s v="CONTRAPARTIDA"/>
    <n v="0"/>
    <s v="Principal"/>
    <s v="Entrada"/>
    <n v="1"/>
    <n v="0"/>
    <n v="220505"/>
    <n v="0"/>
    <n v="827050"/>
    <n v="-827050"/>
    <s v="Proveedores Nacionales"/>
    <s v="NACIONALES"/>
    <x v="4"/>
    <s v="no"/>
    <x v="3"/>
    <x v="4"/>
    <s v="22 PROVEEDORES"/>
    <s v="2205 NACIONALES"/>
    <s v="PAGADO"/>
    <s v="546565F.C.9696955"/>
    <n v="0"/>
    <s v="Responsable no especificado"/>
    <s v="SE PAGÓ EL 30%"/>
    <n v="0"/>
    <n v="0"/>
  </r>
  <r>
    <x v="4"/>
    <d v="2025-12-02T00:00:00"/>
    <s v="546565F.C.895262-1"/>
    <n v="895262"/>
    <s v="F.C."/>
    <n v="333333"/>
    <n v="0"/>
    <s v="Valentina"/>
    <s v="C12345-Zapatos"/>
    <n v="0"/>
    <n v="0"/>
    <n v="0"/>
    <n v="8"/>
    <n v="30000"/>
    <n v="143505"/>
    <n v="240000"/>
    <n v="0"/>
    <n v="240000"/>
    <s v="MERCANCÍAS DETAL"/>
    <s v="MERCANCÍAS NO FABRICADAS POR LA EMPRESA"/>
    <x v="9"/>
    <s v="no"/>
    <x v="1"/>
    <x v="10"/>
    <s v="14 INVENTARIOS"/>
    <s v="1435 MERCANCÍAS NO FABRICADAS POR LA EMPRESA"/>
    <s v="NO PAGADO"/>
    <s v="546565F.C.895262"/>
    <n v="0"/>
    <s v="Responsable no especificado"/>
    <s v="SE PAGO EL 70%"/>
    <n v="0"/>
    <n v="0"/>
  </r>
  <r>
    <x v="4"/>
    <d v="2025-12-02T00:00:00"/>
    <s v="546565F.C.895262-2"/>
    <n v="895262"/>
    <s v="F.C."/>
    <n v="333333"/>
    <n v="0"/>
    <s v="Valentina"/>
    <n v="0"/>
    <n v="0"/>
    <n v="0"/>
    <n v="0"/>
    <n v="0"/>
    <n v="0"/>
    <s v=""/>
    <n v="0"/>
    <n v="0"/>
    <n v="0"/>
    <n v="0"/>
    <n v="0"/>
    <x v="2"/>
    <s v="no"/>
    <x v="2"/>
    <x v="5"/>
    <n v="0"/>
    <n v="0"/>
    <s v="NO PAGADO"/>
    <s v="546565F.C.895262"/>
    <n v="0"/>
    <s v="Responsable no especificado"/>
    <s v="SE PAGO EL 70%"/>
    <n v="0"/>
    <n v="0"/>
  </r>
  <r>
    <x v="4"/>
    <d v="2025-12-02T00:00:00"/>
    <s v="546565F.C.895262-3"/>
    <n v="895262"/>
    <s v="F.C."/>
    <n v="333333"/>
    <n v="0"/>
    <s v="Valentina"/>
    <n v="0"/>
    <n v="0"/>
    <n v="0"/>
    <n v="0"/>
    <n v="0"/>
    <n v="0"/>
    <s v=""/>
    <n v="0"/>
    <n v="0"/>
    <n v="0"/>
    <n v="0"/>
    <n v="0"/>
    <x v="2"/>
    <s v="no"/>
    <x v="2"/>
    <x v="5"/>
    <n v="0"/>
    <n v="0"/>
    <s v="NO PAGADO"/>
    <s v="546565F.C.895262"/>
    <n v="0"/>
    <s v="Responsable no especificado"/>
    <s v="SE PAGO EL 70%"/>
    <n v="0"/>
    <n v="0"/>
  </r>
  <r>
    <x v="4"/>
    <d v="2025-12-02T00:00:00"/>
    <s v="546565F.C.895262-4"/>
    <n v="895262"/>
    <s v="F.C."/>
    <n v="333333"/>
    <n v="0"/>
    <s v="Valentina"/>
    <n v="0"/>
    <n v="0"/>
    <n v="0"/>
    <n v="0"/>
    <n v="0"/>
    <n v="0"/>
    <s v=""/>
    <n v="0"/>
    <n v="0"/>
    <n v="0"/>
    <n v="0"/>
    <n v="0"/>
    <x v="2"/>
    <s v="no"/>
    <x v="2"/>
    <x v="5"/>
    <n v="0"/>
    <n v="0"/>
    <s v="NO PAGADO"/>
    <s v="546565F.C.895262"/>
    <n v="0"/>
    <s v="Responsable no especificado"/>
    <s v="SE PAGO EL 70%"/>
    <n v="0"/>
    <n v="0"/>
  </r>
  <r>
    <x v="4"/>
    <d v="2025-12-02T00:00:00"/>
    <s v="546565F.C.895262-5"/>
    <n v="895262"/>
    <s v="F.C."/>
    <n v="333333"/>
    <n v="0"/>
    <s v="Valentina"/>
    <n v="0"/>
    <n v="0"/>
    <n v="0"/>
    <n v="0"/>
    <n v="0"/>
    <n v="0"/>
    <s v=""/>
    <n v="0"/>
    <n v="0"/>
    <n v="0"/>
    <n v="0"/>
    <n v="0"/>
    <x v="2"/>
    <s v="no"/>
    <x v="2"/>
    <x v="5"/>
    <n v="0"/>
    <n v="0"/>
    <s v="NO PAGADO"/>
    <s v="546565F.C.895262"/>
    <n v="0"/>
    <s v="Responsable no especificado"/>
    <s v="SE PAGO EL 70%"/>
    <n v="0"/>
    <n v="0"/>
  </r>
  <r>
    <x v="4"/>
    <d v="2025-12-02T00:00:00"/>
    <s v="546565F.C.895262-6"/>
    <n v="895262"/>
    <s v="F.C."/>
    <n v="333333"/>
    <n v="0"/>
    <s v="Valentina"/>
    <n v="0"/>
    <n v="0"/>
    <n v="0"/>
    <n v="0"/>
    <n v="0"/>
    <n v="0"/>
    <s v=""/>
    <n v="0"/>
    <n v="0"/>
    <n v="0"/>
    <n v="0"/>
    <n v="0"/>
    <x v="2"/>
    <s v="no"/>
    <x v="2"/>
    <x v="5"/>
    <n v="0"/>
    <n v="0"/>
    <s v="NO PAGADO"/>
    <s v="546565F.C.895262"/>
    <n v="0"/>
    <s v="Responsable no especificado"/>
    <s v="SE PAGO EL 70%"/>
    <n v="0"/>
    <n v="0"/>
  </r>
  <r>
    <x v="4"/>
    <d v="2025-12-02T00:00:00"/>
    <s v="546565F.C.895262-7"/>
    <n v="895262"/>
    <s v="F.C."/>
    <n v="333333"/>
    <n v="0"/>
    <s v="Valentina"/>
    <n v="0"/>
    <n v="0"/>
    <n v="0"/>
    <n v="0"/>
    <n v="0"/>
    <n v="0"/>
    <s v=""/>
    <n v="0"/>
    <n v="0"/>
    <n v="0"/>
    <n v="0"/>
    <n v="0"/>
    <x v="2"/>
    <s v="no"/>
    <x v="2"/>
    <x v="5"/>
    <n v="0"/>
    <n v="0"/>
    <s v="NO PAGADO"/>
    <s v="546565F.C.895262"/>
    <n v="0"/>
    <s v="Responsable no especificado"/>
    <s v="SE PAGO EL 70%"/>
    <n v="0"/>
    <n v="0"/>
  </r>
  <r>
    <x v="4"/>
    <d v="2025-12-02T00:00:00"/>
    <s v="546565F.C.895262-8"/>
    <n v="895262"/>
    <s v="F.C."/>
    <n v="333333"/>
    <n v="0"/>
    <s v="Valentina"/>
    <n v="0"/>
    <n v="0"/>
    <n v="0"/>
    <n v="0"/>
    <n v="0"/>
    <n v="0"/>
    <s v=""/>
    <n v="0"/>
    <n v="0"/>
    <n v="0"/>
    <n v="0"/>
    <n v="0"/>
    <x v="2"/>
    <s v="no"/>
    <x v="2"/>
    <x v="5"/>
    <n v="0"/>
    <n v="0"/>
    <s v="NO PAGADO"/>
    <s v="546565F.C.895262"/>
    <n v="0"/>
    <s v="Responsable no especificado"/>
    <s v="SE PAGO EL 70%"/>
    <n v="0"/>
    <n v="0"/>
  </r>
  <r>
    <x v="4"/>
    <d v="2025-12-02T00:00:00"/>
    <s v="546565F.C.895262-9"/>
    <n v="895262"/>
    <s v="F.C."/>
    <n v="333333"/>
    <n v="0"/>
    <s v="Valentina"/>
    <n v="0"/>
    <n v="0"/>
    <n v="0"/>
    <n v="0"/>
    <n v="0"/>
    <n v="0"/>
    <s v=""/>
    <n v="0"/>
    <n v="0"/>
    <n v="0"/>
    <n v="0"/>
    <n v="0"/>
    <x v="2"/>
    <s v="no"/>
    <x v="2"/>
    <x v="5"/>
    <n v="0"/>
    <n v="0"/>
    <s v="NO PAGADO"/>
    <s v="546565F.C.895262"/>
    <n v="0"/>
    <s v="Responsable no especificado"/>
    <s v="SE PAGO EL 70%"/>
    <n v="0"/>
    <n v="0"/>
  </r>
  <r>
    <x v="4"/>
    <d v="2025-12-02T00:00:00"/>
    <s v="546565F.C.895262-10"/>
    <n v="895262"/>
    <s v="F.C."/>
    <n v="333333"/>
    <n v="0"/>
    <s v="Valentina"/>
    <s v="IVA"/>
    <n v="0"/>
    <n v="0"/>
    <n v="0"/>
    <n v="1"/>
    <n v="45600"/>
    <n v="240805"/>
    <n v="45600"/>
    <n v="0"/>
    <n v="45600"/>
    <s v="IMPUESTO SOBRE LAS VENTAS POR PAGAR"/>
    <s v="IMPUESTO SOBRE LAS VENTAS POR PAGAR"/>
    <x v="7"/>
    <s v="no"/>
    <x v="3"/>
    <x v="8"/>
    <s v="24 IMPUESTOS, GRAVÁMENES Y TASAS"/>
    <s v="2408 IMPUESTO SOBRE LAS VENTAS POR PAGAR"/>
    <s v="NO PAGADO"/>
    <s v="546565F.C.895262"/>
    <n v="0"/>
    <s v="Responsable no especificado"/>
    <s v="SE PAGO EL 70%"/>
    <n v="0"/>
    <n v="0"/>
  </r>
  <r>
    <x v="4"/>
    <d v="2025-12-02T00:00:00"/>
    <s v="546565F.C.895262-11"/>
    <n v="895262"/>
    <s v="F.C."/>
    <n v="333333"/>
    <n v="0"/>
    <s v="Valentina"/>
    <n v="0"/>
    <n v="0"/>
    <n v="0"/>
    <n v="0"/>
    <n v="0"/>
    <n v="0"/>
    <n v="220505"/>
    <n v="0"/>
    <n v="285600"/>
    <n v="-285600"/>
    <s v="Proveedores Nacionales"/>
    <s v="NACIONALES"/>
    <x v="4"/>
    <s v="no"/>
    <x v="3"/>
    <x v="4"/>
    <s v="22 PROVEEDORES"/>
    <s v="2205 NACIONALES"/>
    <s v="NO PAGADO"/>
    <s v="546565F.C.895262"/>
    <n v="0"/>
    <s v="Responsable no especificado"/>
    <s v="SE PAGO EL 70%"/>
    <n v="0"/>
    <n v="0"/>
  </r>
  <r>
    <x v="4"/>
    <d v="2025-12-02T00:00:00"/>
    <s v="656565F.C.656564-1"/>
    <n v="656564"/>
    <s v="F.C."/>
    <n v="333333"/>
    <n v="0"/>
    <s v="johan"/>
    <s v="E622552-camisas"/>
    <n v="0"/>
    <n v="0"/>
    <n v="0"/>
    <n v="9"/>
    <n v="20000"/>
    <n v="143505"/>
    <n v="180000"/>
    <n v="0"/>
    <n v="180000"/>
    <s v="MERCANCÍAS DETAL"/>
    <s v="MERCANCÍAS NO FABRICADAS POR LA EMPRESA"/>
    <x v="9"/>
    <s v="no"/>
    <x v="1"/>
    <x v="10"/>
    <s v="14 INVENTARIOS"/>
    <s v="1435 MERCANCÍAS NO FABRICADAS POR LA EMPRESA"/>
    <s v="NO PAGADO"/>
    <s v="656565F.C.656564"/>
    <n v="0"/>
    <s v="Responsable no especificado"/>
    <s v="CAMISAS QUE SE PAGARON EN 50%"/>
    <n v="0"/>
    <n v="0"/>
  </r>
  <r>
    <x v="4"/>
    <d v="2025-12-02T00:00:00"/>
    <s v="656565F.C.656564-2"/>
    <n v="656564"/>
    <s v="F.C."/>
    <n v="333333"/>
    <n v="0"/>
    <s v="johan"/>
    <n v="0"/>
    <n v="0"/>
    <n v="0"/>
    <n v="0"/>
    <n v="0"/>
    <n v="0"/>
    <s v=""/>
    <n v="0"/>
    <n v="0"/>
    <n v="0"/>
    <n v="0"/>
    <n v="0"/>
    <x v="2"/>
    <s v="no"/>
    <x v="2"/>
    <x v="5"/>
    <n v="0"/>
    <n v="0"/>
    <s v="NO PAGADO"/>
    <s v="656565F.C.656564"/>
    <n v="0"/>
    <s v="Responsable no especificado"/>
    <s v="CAMISAS QUE SE PAGARON EN 50%"/>
    <n v="0"/>
    <n v="0"/>
  </r>
  <r>
    <x v="4"/>
    <d v="2025-12-02T00:00:00"/>
    <s v="656565F.C.656564-3"/>
    <n v="656564"/>
    <s v="F.C."/>
    <n v="333333"/>
    <n v="0"/>
    <s v="johan"/>
    <n v="0"/>
    <n v="0"/>
    <n v="0"/>
    <n v="0"/>
    <n v="0"/>
    <n v="0"/>
    <s v=""/>
    <n v="0"/>
    <n v="0"/>
    <n v="0"/>
    <n v="0"/>
    <n v="0"/>
    <x v="2"/>
    <s v="no"/>
    <x v="2"/>
    <x v="5"/>
    <n v="0"/>
    <n v="0"/>
    <s v="NO PAGADO"/>
    <s v="656565F.C.656564"/>
    <n v="0"/>
    <s v="Responsable no especificado"/>
    <s v="CAMISAS QUE SE PAGARON EN 50%"/>
    <n v="0"/>
    <n v="0"/>
  </r>
  <r>
    <x v="4"/>
    <d v="2025-12-02T00:00:00"/>
    <s v="656565F.C.656564-4"/>
    <n v="656564"/>
    <s v="F.C."/>
    <n v="333333"/>
    <n v="0"/>
    <s v="johan"/>
    <n v="0"/>
    <n v="0"/>
    <n v="0"/>
    <n v="0"/>
    <n v="0"/>
    <n v="0"/>
    <s v=""/>
    <n v="0"/>
    <n v="0"/>
    <n v="0"/>
    <n v="0"/>
    <n v="0"/>
    <x v="2"/>
    <s v="no"/>
    <x v="2"/>
    <x v="5"/>
    <n v="0"/>
    <n v="0"/>
    <s v="NO PAGADO"/>
    <s v="656565F.C.656564"/>
    <n v="0"/>
    <s v="Responsable no especificado"/>
    <s v="CAMISAS QUE SE PAGARON EN 50%"/>
    <n v="0"/>
    <n v="0"/>
  </r>
  <r>
    <x v="4"/>
    <d v="2025-12-02T00:00:00"/>
    <s v="656565F.C.656564-5"/>
    <n v="656564"/>
    <s v="F.C."/>
    <n v="333333"/>
    <n v="0"/>
    <s v="johan"/>
    <n v="0"/>
    <n v="0"/>
    <n v="0"/>
    <n v="0"/>
    <n v="0"/>
    <n v="0"/>
    <s v=""/>
    <n v="0"/>
    <n v="0"/>
    <n v="0"/>
    <n v="0"/>
    <n v="0"/>
    <x v="2"/>
    <s v="no"/>
    <x v="2"/>
    <x v="5"/>
    <n v="0"/>
    <n v="0"/>
    <s v="NO PAGADO"/>
    <s v="656565F.C.656564"/>
    <n v="0"/>
    <s v="Responsable no especificado"/>
    <s v="CAMISAS QUE SE PAGARON EN 50%"/>
    <n v="0"/>
    <n v="0"/>
  </r>
  <r>
    <x v="4"/>
    <d v="2025-12-02T00:00:00"/>
    <s v="656565F.C.656564-6"/>
    <n v="656564"/>
    <s v="F.C."/>
    <n v="333333"/>
    <n v="0"/>
    <s v="johan"/>
    <n v="0"/>
    <n v="0"/>
    <n v="0"/>
    <n v="0"/>
    <n v="0"/>
    <n v="0"/>
    <s v=""/>
    <n v="0"/>
    <n v="0"/>
    <n v="0"/>
    <n v="0"/>
    <n v="0"/>
    <x v="2"/>
    <s v="no"/>
    <x v="2"/>
    <x v="5"/>
    <n v="0"/>
    <n v="0"/>
    <s v="NO PAGADO"/>
    <s v="656565F.C.656564"/>
    <n v="0"/>
    <s v="Responsable no especificado"/>
    <s v="CAMISAS QUE SE PAGARON EN 50%"/>
    <n v="0"/>
    <n v="0"/>
  </r>
  <r>
    <x v="4"/>
    <d v="2025-12-02T00:00:00"/>
    <s v="656565F.C.656564-7"/>
    <n v="656564"/>
    <s v="F.C."/>
    <n v="333333"/>
    <n v="0"/>
    <s v="johan"/>
    <n v="0"/>
    <n v="0"/>
    <n v="0"/>
    <n v="0"/>
    <n v="0"/>
    <n v="0"/>
    <s v=""/>
    <n v="0"/>
    <n v="0"/>
    <n v="0"/>
    <n v="0"/>
    <n v="0"/>
    <x v="2"/>
    <s v="no"/>
    <x v="2"/>
    <x v="5"/>
    <n v="0"/>
    <n v="0"/>
    <s v="NO PAGADO"/>
    <s v="656565F.C.656564"/>
    <n v="0"/>
    <s v="Responsable no especificado"/>
    <s v="CAMISAS QUE SE PAGARON EN 50%"/>
    <n v="0"/>
    <n v="0"/>
  </r>
  <r>
    <x v="4"/>
    <d v="2025-12-02T00:00:00"/>
    <s v="656565F.C.656564-8"/>
    <n v="656564"/>
    <s v="F.C."/>
    <n v="333333"/>
    <n v="0"/>
    <s v="johan"/>
    <n v="0"/>
    <n v="0"/>
    <n v="0"/>
    <n v="0"/>
    <n v="0"/>
    <n v="0"/>
    <s v=""/>
    <n v="0"/>
    <n v="0"/>
    <n v="0"/>
    <n v="0"/>
    <n v="0"/>
    <x v="2"/>
    <s v="no"/>
    <x v="2"/>
    <x v="5"/>
    <n v="0"/>
    <n v="0"/>
    <s v="NO PAGADO"/>
    <s v="656565F.C.656564"/>
    <n v="0"/>
    <s v="Responsable no especificado"/>
    <s v="CAMISAS QUE SE PAGARON EN 50%"/>
    <n v="0"/>
    <n v="0"/>
  </r>
  <r>
    <x v="4"/>
    <d v="2025-12-02T00:00:00"/>
    <s v="656565F.C.656564-9"/>
    <n v="656564"/>
    <s v="F.C."/>
    <n v="333333"/>
    <n v="0"/>
    <s v="johan"/>
    <n v="0"/>
    <n v="0"/>
    <n v="0"/>
    <n v="0"/>
    <n v="0"/>
    <n v="0"/>
    <s v=""/>
    <n v="0"/>
    <n v="0"/>
    <n v="0"/>
    <n v="0"/>
    <n v="0"/>
    <x v="2"/>
    <s v="no"/>
    <x v="2"/>
    <x v="5"/>
    <n v="0"/>
    <n v="0"/>
    <s v="NO PAGADO"/>
    <s v="656565F.C.656564"/>
    <n v="0"/>
    <s v="Responsable no especificado"/>
    <s v="CAMISAS QUE SE PAGARON EN 50%"/>
    <n v="0"/>
    <n v="0"/>
  </r>
  <r>
    <x v="4"/>
    <d v="2025-12-02T00:00:00"/>
    <s v="656565F.C.656564-10"/>
    <n v="656564"/>
    <s v="F.C."/>
    <n v="333333"/>
    <n v="0"/>
    <s v="johan"/>
    <s v="IVA"/>
    <n v="0"/>
    <n v="0"/>
    <n v="0"/>
    <n v="1"/>
    <n v="34200"/>
    <n v="240805"/>
    <n v="34200"/>
    <n v="0"/>
    <n v="34200"/>
    <s v="IMPUESTO SOBRE LAS VENTAS POR PAGAR"/>
    <s v="IMPUESTO SOBRE LAS VENTAS POR PAGAR"/>
    <x v="7"/>
    <s v="no"/>
    <x v="3"/>
    <x v="8"/>
    <s v="24 IMPUESTOS, GRAVÁMENES Y TASAS"/>
    <s v="2408 IMPUESTO SOBRE LAS VENTAS POR PAGAR"/>
    <s v="NO PAGADO"/>
    <s v="656565F.C.656564"/>
    <n v="0"/>
    <s v="Responsable no especificado"/>
    <s v="CAMISAS QUE SE PAGARON EN 50%"/>
    <n v="0"/>
    <n v="0"/>
  </r>
  <r>
    <x v="4"/>
    <d v="2025-12-02T00:00:00"/>
    <s v="656565F.C.656564-11"/>
    <n v="656564"/>
    <s v="F.C."/>
    <n v="333333"/>
    <n v="0"/>
    <s v="johan"/>
    <n v="0"/>
    <n v="0"/>
    <n v="0"/>
    <n v="0"/>
    <n v="0"/>
    <n v="0"/>
    <n v="220505"/>
    <n v="0"/>
    <n v="214200"/>
    <n v="-214200"/>
    <s v="Proveedores Nacionales"/>
    <s v="NACIONALES"/>
    <x v="4"/>
    <s v="no"/>
    <x v="3"/>
    <x v="4"/>
    <s v="22 PROVEEDORES"/>
    <s v="2205 NACIONALES"/>
    <s v="NO PAGADO"/>
    <s v="656565F.C.656564"/>
    <n v="0"/>
    <s v="Responsable no especificado"/>
    <s v="CAMISAS QUE SE PAGARON EN 50%"/>
    <n v="0"/>
    <n v="0"/>
  </r>
  <r>
    <x v="5"/>
    <d v="1899-12-30T00:00:00"/>
    <n v="0"/>
    <n v="0"/>
    <n v="0"/>
    <n v="333333"/>
    <n v="0"/>
    <n v="333333"/>
    <n v="0"/>
    <n v="0"/>
    <n v="0"/>
    <n v="0"/>
    <n v="0"/>
    <n v="0"/>
    <n v="0"/>
    <n v="0"/>
    <n v="0"/>
    <n v="0"/>
    <n v="0"/>
    <n v="0"/>
    <x v="2"/>
    <s v="no"/>
    <x v="2"/>
    <x v="2"/>
    <s v="0 0"/>
    <s v="0 0"/>
    <s v="PAGADO"/>
    <n v="0"/>
    <n v="0"/>
    <n v="0"/>
    <n v="0"/>
    <n v="0"/>
    <n v="0"/>
  </r>
  <r>
    <x v="5"/>
    <d v="1899-12-30T00:00:00"/>
    <n v="0"/>
    <n v="0"/>
    <n v="0"/>
    <n v="333333"/>
    <n v="0"/>
    <n v="333333"/>
    <n v="0"/>
    <n v="0"/>
    <n v="0"/>
    <n v="0"/>
    <n v="0"/>
    <n v="0"/>
    <n v="0"/>
    <n v="0"/>
    <n v="0"/>
    <n v="0"/>
    <n v="0"/>
    <n v="0"/>
    <x v="2"/>
    <s v="no"/>
    <x v="2"/>
    <x v="2"/>
    <s v="0 0"/>
    <s v="0 0"/>
    <s v="PAGADO"/>
    <n v="0"/>
    <n v="0"/>
    <n v="0"/>
    <n v="0"/>
    <n v="0"/>
    <n v="0"/>
  </r>
  <r>
    <x v="5"/>
    <d v="1899-12-30T00:00:00"/>
    <n v="0"/>
    <n v="0"/>
    <n v="0"/>
    <n v="333333"/>
    <n v="0"/>
    <n v="333333"/>
    <n v="0"/>
    <n v="0"/>
    <n v="0"/>
    <n v="0"/>
    <n v="0"/>
    <n v="0"/>
    <n v="0"/>
    <n v="0"/>
    <n v="0"/>
    <n v="0"/>
    <n v="0"/>
    <n v="0"/>
    <x v="2"/>
    <s v="no"/>
    <x v="2"/>
    <x v="2"/>
    <s v="0 0"/>
    <s v="0 0"/>
    <s v="PAGADO"/>
    <n v="0"/>
    <n v="0"/>
    <n v="0"/>
    <n v="0"/>
    <n v="0"/>
    <n v="0"/>
  </r>
  <r>
    <x v="5"/>
    <d v="1899-12-30T00:00:00"/>
    <n v="0"/>
    <n v="0"/>
    <n v="0"/>
    <n v="333333"/>
    <n v="0"/>
    <n v="333333"/>
    <n v="0"/>
    <n v="0"/>
    <n v="0"/>
    <n v="0"/>
    <n v="0"/>
    <n v="0"/>
    <n v="0"/>
    <n v="0"/>
    <n v="0"/>
    <n v="0"/>
    <n v="0"/>
    <n v="0"/>
    <x v="2"/>
    <s v="no"/>
    <x v="2"/>
    <x v="2"/>
    <s v="0 0"/>
    <s v="0 0"/>
    <s v="PAGADO"/>
    <n v="0"/>
    <n v="0"/>
    <n v="0"/>
    <n v="0"/>
    <n v="0"/>
    <n v="0"/>
  </r>
  <r>
    <x v="6"/>
    <d v="2023-12-31T00:00:00"/>
    <n v="0"/>
    <n v="0"/>
    <n v="0"/>
    <n v="333333"/>
    <n v="0"/>
    <n v="333333"/>
    <n v="0"/>
    <n v="0"/>
    <n v="0"/>
    <n v="0"/>
    <n v="0"/>
    <n v="0"/>
    <n v="59050501"/>
    <n v="0"/>
    <n v="0"/>
    <n v="0"/>
    <s v="Ganancias y pérdidas"/>
    <s v="GANANCIAS Y PÉRDIDAS"/>
    <x v="12"/>
    <s v="no"/>
    <x v="6"/>
    <x v="13"/>
    <s v="59 GANANCIAS Y PÉRDIDAS"/>
    <s v="5905 GANANCIAS Y PÉRDIDAS"/>
    <s v="PAGADO"/>
    <n v="0"/>
    <n v="0"/>
    <n v="0"/>
    <n v="0"/>
    <n v="0"/>
    <n v="0"/>
  </r>
  <r>
    <x v="6"/>
    <d v="2023-12-31T00:00:00"/>
    <n v="0"/>
    <n v="0"/>
    <n v="0"/>
    <n v="333333"/>
    <n v="0"/>
    <n v="333333"/>
    <n v="0"/>
    <n v="0"/>
    <n v="0"/>
    <n v="0"/>
    <n v="0"/>
    <n v="0"/>
    <n v="361505"/>
    <n v="0"/>
    <n v="0"/>
    <n v="0"/>
    <s v="EXCEDENTES DEL EJERCICIO"/>
    <s v="EXCEDENTES DEL EJERCICIO"/>
    <x v="13"/>
    <s v="no"/>
    <x v="0"/>
    <x v="14"/>
    <s v="36 RESULTADOS DEL EJERCICIO"/>
    <s v="3615 EXCEDENTES DEL EJERCICIO"/>
    <s v="PAGADO"/>
    <n v="0"/>
    <n v="0"/>
    <n v="0"/>
    <n v="0"/>
    <n v="0"/>
    <n v="0"/>
  </r>
  <r>
    <x v="7"/>
    <d v="2024-12-31T00:00:00"/>
    <n v="0"/>
    <n v="0"/>
    <n v="0"/>
    <n v="333333"/>
    <n v="0"/>
    <n v="333333"/>
    <n v="0"/>
    <n v="0"/>
    <n v="0"/>
    <n v="0"/>
    <n v="0"/>
    <n v="0"/>
    <n v="0"/>
    <n v="0"/>
    <n v="0"/>
    <n v="0"/>
    <n v="0"/>
    <n v="0"/>
    <x v="2"/>
    <s v="no"/>
    <x v="2"/>
    <x v="2"/>
    <s v="0 0"/>
    <s v="0 0"/>
    <s v="PAGADO"/>
    <n v="0"/>
    <n v="0"/>
    <n v="0"/>
    <n v="0"/>
    <n v="0"/>
    <n v="0"/>
  </r>
  <r>
    <x v="7"/>
    <d v="2024-12-31T00:00:00"/>
    <n v="0"/>
    <n v="0"/>
    <n v="0"/>
    <n v="333333"/>
    <n v="0"/>
    <n v="333333"/>
    <n v="0"/>
    <n v="0"/>
    <n v="0"/>
    <n v="0"/>
    <n v="0"/>
    <n v="0"/>
    <n v="0"/>
    <n v="0"/>
    <n v="0"/>
    <n v="0"/>
    <n v="0"/>
    <n v="0"/>
    <x v="2"/>
    <s v="no"/>
    <x v="2"/>
    <x v="2"/>
    <s v="0 0"/>
    <s v="0 0"/>
    <s v="PAGADO"/>
    <n v="0"/>
    <n v="0"/>
    <n v="0"/>
    <n v="0"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32668C2-5E74-4816-B750-2A2AE78FD382}" name="TablaDinámica1" cacheId="16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outline="1" outlineData="1" multipleFieldFilters="0">
  <location ref="D9:E22" firstHeaderRow="1" firstDataRow="1" firstDataCol="1"/>
  <pivotFields count="39">
    <pivotField showAll="0">
      <items count="26">
        <item x="5"/>
        <item m="1" x="18"/>
        <item m="1" x="17"/>
        <item m="1" x="16"/>
        <item m="1" x="15"/>
        <item m="1" x="14"/>
        <item m="1" x="11"/>
        <item m="1" x="13"/>
        <item m="1" x="10"/>
        <item m="1" x="19"/>
        <item m="1" x="12"/>
        <item x="6"/>
        <item m="1" x="24"/>
        <item m="1" x="9"/>
        <item x="7"/>
        <item m="1" x="8"/>
        <item m="1" x="23"/>
        <item m="1" x="22"/>
        <item m="1" x="21"/>
        <item m="1" x="20"/>
        <item x="0"/>
        <item x="1"/>
        <item x="2"/>
        <item x="3"/>
        <item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axis="axisRow" showAll="0">
      <items count="15">
        <item x="2"/>
        <item x="13"/>
        <item x="12"/>
        <item x="0"/>
        <item x="1"/>
        <item x="3"/>
        <item x="4"/>
        <item x="5"/>
        <item x="6"/>
        <item x="7"/>
        <item x="8"/>
        <item x="9"/>
        <item x="11"/>
        <item x="10"/>
        <item t="default"/>
      </items>
    </pivotField>
    <pivotField showAll="0"/>
    <pivotField axis="axisRow" showAll="0">
      <items count="11">
        <item h="1" x="2"/>
        <item h="1" x="6"/>
        <item x="1"/>
        <item x="3"/>
        <item x="0"/>
        <item h="1" x="4"/>
        <item h="1" f="1" x="7"/>
        <item h="1" f="1" x="8"/>
        <item h="1" f="1" x="9"/>
        <item h="1" x="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</pivotFields>
  <rowFields count="2">
    <field x="22"/>
    <field x="20"/>
  </rowFields>
  <rowItems count="13">
    <i>
      <x v="2"/>
    </i>
    <i r="1">
      <x v="4"/>
    </i>
    <i r="1">
      <x v="7"/>
    </i>
    <i r="1">
      <x v="11"/>
    </i>
    <i>
      <x v="3"/>
    </i>
    <i r="1">
      <x v="6"/>
    </i>
    <i r="1">
      <x v="9"/>
    </i>
    <i r="1">
      <x v="10"/>
    </i>
    <i>
      <x v="4"/>
    </i>
    <i r="1">
      <x v="1"/>
    </i>
    <i r="1">
      <x v="3"/>
    </i>
    <i r="1">
      <x v="5"/>
    </i>
    <i t="grand">
      <x/>
    </i>
  </rowItems>
  <colItems count="1">
    <i/>
  </colItems>
  <dataFields count="1">
    <dataField name="Suma de Saldo" fld="17" baseField="0" baseItem="0" numFmtId="164"/>
  </dataFields>
  <formats count="1">
    <format dxfId="86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C7EE5C8-342C-43AF-A63D-E92FDFE26102}" name="TablaDinámica2" cacheId="16" applyNumberFormats="0" applyBorderFormats="0" applyFontFormats="0" applyPatternFormats="0" applyAlignmentFormats="0" applyWidthHeightFormats="1" dataCaption="Valores" grandTotalCaption="Utilidad del ejercicio" updatedVersion="8" minRefreshableVersion="3" rowGrandTotals="0" colGrandTotals="0" itemPrintTitles="1" createdVersion="8" indent="0" outline="1" outlineData="1" multipleFieldFilters="0" rowHeaderCaption="Estado de resultados">
  <location ref="C9:D19" firstHeaderRow="1" firstDataRow="1" firstDataCol="1"/>
  <pivotFields count="39">
    <pivotField subtotalTop="0" showAll="0" defaultSubtotal="0">
      <items count="25">
        <item x="2"/>
        <item x="5"/>
        <item m="1" x="18"/>
        <item m="1" x="17"/>
        <item m="1" x="16"/>
        <item m="1" x="15"/>
        <item m="1" x="14"/>
        <item m="1" x="11"/>
        <item m="1" x="13"/>
        <item m="1" x="10"/>
        <item m="1" x="19"/>
        <item m="1" x="12"/>
        <item x="6"/>
        <item m="1" x="24"/>
        <item m="1" x="9"/>
        <item x="7"/>
        <item x="0"/>
        <item m="1" x="8"/>
        <item x="4"/>
        <item x="3"/>
        <item x="1"/>
        <item m="1" x="23"/>
        <item m="1" x="22"/>
        <item m="1" x="21"/>
        <item m="1" x="20"/>
      </items>
    </pivotField>
    <pivotField subtotalTop="0" showAll="0" defaultSubtotal="0"/>
    <pivotField subtotalTop="0" showAll="0" defaultSubtotal="0"/>
    <pivotField subtotalTop="0" showAll="0" defaultSubtotal="0"/>
    <pivotField subtotalTop="0" showAll="0" defaultSubtotal="0"/>
    <pivotField subtotalTop="0" showAll="0" defaultSubtotal="0"/>
    <pivotField subtotalTop="0" showAll="0" defaultSubtotal="0"/>
    <pivotField subtotalTop="0" showAll="0" defaultSubtotal="0"/>
    <pivotField showAll="0" defaultSubtotal="0"/>
    <pivotField subtotalTop="0" showAll="0" defaultSubtotal="0"/>
    <pivotField subtotalTop="0" showAll="0" defaultSubtotal="0"/>
    <pivotField subtotalTop="0" showAll="0" defaultSubtotal="0"/>
    <pivotField subtotalTop="0" showAll="0" defaultSubtotal="0"/>
    <pivotField subtotalTop="0" showAll="0" defaultSubtotal="0"/>
    <pivotField subtotalTop="0" showAll="0" defaultSubtotal="0"/>
    <pivotField subtotalTop="0" showAll="0" defaultSubtotal="0"/>
    <pivotField subtotalTop="0" showAll="0" defaultSubtotal="0"/>
    <pivotField dataField="1" numFmtId="167" showAll="0" defaultSubtotal="0"/>
    <pivotField subtotalTop="0" showAll="0" defaultSubtotal="0"/>
    <pivotField showAll="0" defaultSubtotal="0"/>
    <pivotField axis="axisRow" subtotalTop="0" showAll="0" defaultSubtotal="0">
      <items count="14">
        <item x="2"/>
        <item x="1"/>
        <item x="3"/>
        <item x="0"/>
        <item x="13"/>
        <item x="12"/>
        <item x="7"/>
        <item x="8"/>
        <item x="11"/>
        <item x="9"/>
        <item x="5"/>
        <item x="4"/>
        <item x="6"/>
        <item x="10"/>
      </items>
    </pivotField>
    <pivotField subtotalTop="0" showAll="0" defaultSubtotal="0"/>
    <pivotField axis="axisRow" subtotalTop="0" showAll="0" defaultSubtotal="0">
      <items count="10">
        <item h="1" x="2"/>
        <item h="1" x="1"/>
        <item x="4"/>
        <item x="5"/>
        <item x="6"/>
        <item h="1" x="3"/>
        <item h="1" x="0"/>
        <item sd="0" f="1" x="7"/>
        <item sd="0" f="1" x="8"/>
        <item sd="0" f="1" x="9"/>
      </items>
    </pivotField>
    <pivotField subtotalTop="0" showAll="0" defaultSubtotal="0"/>
    <pivotField subtotalTop="0" showAll="0" defaultSubtotal="0"/>
    <pivotField subtotalTop="0" showAll="0" defaultSubtotal="0"/>
    <pivotField subtotalTop="0" showAll="0" defaultSubtotal="0"/>
    <pivotField subtotalTop="0" showAll="0" defaultSubtotal="0"/>
    <pivotField subtotalTop="0" showAll="0" defaultSubtotal="0"/>
    <pivotField subtotalTop="0" showAll="0" defaultSubtotal="0"/>
    <pivotField subtotalTop="0" showAll="0" defaultSubtotal="0"/>
    <pivotField subtotalTop="0" showAll="0" defaultSubtotal="0"/>
    <pivotField subtotalTop="0" showAll="0" defaultSubtotal="0"/>
    <pivotField subtotalTop="0" dragToRow="0" dragToCol="0" dragToPage="0" showAll="0" defaultSubtotal="0"/>
    <pivotField subtotalTop="0" dragToRow="0" dragToCol="0" dragToPage="0" showAll="0" defaultSubtotal="0"/>
    <pivotField subtotalTop="0" dragToRow="0" dragToCol="0" dragToPage="0" showAll="0" defaultSubtotal="0"/>
    <pivotField subtotalTop="0" dragToRow="0" dragToCol="0" dragToPage="0" showAll="0" defaultSubtotal="0"/>
    <pivotField subtotalTop="0" dragToRow="0" dragToCol="0" dragToPage="0" showAll="0" defaultSubtotal="0"/>
    <pivotField subtotalTop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</pivotFields>
  <rowFields count="2">
    <field x="22"/>
    <field x="20"/>
  </rowFields>
  <rowItems count="10">
    <i>
      <x v="2"/>
    </i>
    <i r="1">
      <x v="12"/>
    </i>
    <i>
      <x v="3"/>
    </i>
    <i r="1">
      <x v="13"/>
    </i>
    <i>
      <x v="4"/>
    </i>
    <i r="1">
      <x v="5"/>
    </i>
    <i r="1">
      <x v="8"/>
    </i>
    <i>
      <x v="7"/>
    </i>
    <i>
      <x v="8"/>
    </i>
    <i>
      <x v="9"/>
    </i>
  </rowItems>
  <colItems count="1">
    <i/>
  </colItems>
  <dataFields count="1">
    <dataField name="Marzo" fld="17" baseField="0" baseItem="0" numFmtId="44"/>
  </dataFields>
  <formats count="3">
    <format dxfId="85">
      <pivotArea outline="0" collapsedLevelsAreSubtotals="1" fieldPosition="0"/>
    </format>
    <format dxfId="84">
      <pivotArea outline="0" collapsedLevelsAreSubtotals="1" fieldPosition="0"/>
    </format>
    <format dxfId="83">
      <pivotArea outline="0" collapsedLevelsAreSubtotals="1" fieldPosition="0"/>
    </format>
  </formats>
  <pivotTableStyleInfo name="PivotStyleMedium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71A67FC-F502-4184-899C-AE4062252D31}" name="Comprobación" cacheId="16" applyNumberFormats="0" applyBorderFormats="0" applyFontFormats="0" applyPatternFormats="0" applyAlignmentFormats="0" applyWidthHeightFormats="1" dataCaption="Valores" updatedVersion="8" minRefreshableVersion="3" rowGrandTotals="0" colGrandTotals="0" itemPrintTitles="1" createdVersion="8" indent="0" outline="1" outlineData="1" multipleFieldFilters="0" rowHeaderCaption="CONCEPTO">
  <location ref="B16:D31" firstHeaderRow="0" firstDataRow="1" firstDataCol="1"/>
  <pivotFields count="39">
    <pivotField showAll="0">
      <items count="26">
        <item m="1" x="18"/>
        <item m="1" x="17"/>
        <item m="1" x="16"/>
        <item m="1" x="15"/>
        <item m="1" x="14"/>
        <item m="1" x="11"/>
        <item m="1" x="13"/>
        <item m="1" x="10"/>
        <item m="1" x="19"/>
        <item m="1" x="12"/>
        <item x="6"/>
        <item m="1" x="9"/>
        <item x="7"/>
        <item m="1" x="23"/>
        <item m="1" x="22"/>
        <item m="1" x="21"/>
        <item m="1" x="20"/>
        <item m="1" x="24"/>
        <item x="5"/>
        <item m="1" x="8"/>
        <item x="0"/>
        <item x="1"/>
        <item x="2"/>
        <item x="3"/>
        <item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>
      <items count="11">
        <item x="2"/>
        <item x="1"/>
        <item x="6"/>
        <item x="4"/>
        <item x="3"/>
        <item x="0"/>
        <item f="1" x="7"/>
        <item f="1" x="8"/>
        <item f="1" x="9"/>
        <item x="5"/>
        <item t="default"/>
      </items>
    </pivotField>
    <pivotField axis="axisRow" showAll="0">
      <items count="17">
        <item x="2"/>
        <item m="1" x="15"/>
        <item x="13"/>
        <item x="14"/>
        <item x="0"/>
        <item x="1"/>
        <item x="3"/>
        <item x="4"/>
        <item x="5"/>
        <item x="6"/>
        <item x="7"/>
        <item x="8"/>
        <item x="9"/>
        <item x="10"/>
        <item x="12"/>
        <item x="1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ataField="1" dragToRow="0" dragToCol="0" dragToPage="0" showAll="0" defaultSubtotal="0"/>
    <pivotField dataField="1" dragToRow="0" dragToCol="0" dragToPage="0" showAll="0" defaultSubtotal="0"/>
    <pivotField showAll="0">
      <items count="15">
        <item x="4"/>
        <item x="5"/>
        <item x="3"/>
        <item x="2"/>
        <item x="1"/>
        <item x="0"/>
        <item x="6"/>
        <item x="7"/>
        <item x="8"/>
        <item x="9"/>
        <item x="10"/>
        <item x="11"/>
        <item x="12"/>
        <item x="13"/>
        <item t="default"/>
      </items>
    </pivotField>
  </pivotFields>
  <rowFields count="1">
    <field x="23"/>
  </rowFields>
  <rowItems count="15">
    <i>
      <x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</rowItems>
  <colFields count="1">
    <field x="-2"/>
  </colFields>
  <colItems count="2">
    <i>
      <x/>
    </i>
    <i i="1">
      <x v="1"/>
    </i>
  </colItems>
  <dataFields count="2">
    <dataField name=" DEBITO" fld="36" baseField="0" baseItem="0"/>
    <dataField name=" CREDITO" fld="37" baseField="0" baseItem="0"/>
  </dataFields>
  <formats count="7">
    <format dxfId="82">
      <pivotArea type="all" dataOnly="0" outline="0" fieldPosition="0"/>
    </format>
    <format dxfId="81">
      <pivotArea outline="0" collapsedLevelsAreSubtotals="1" fieldPosition="0"/>
    </format>
    <format dxfId="80">
      <pivotArea field="23" type="button" dataOnly="0" labelOnly="1" outline="0" axis="axisRow" fieldPosition="0"/>
    </format>
    <format dxfId="79">
      <pivotArea dataOnly="0" labelOnly="1" fieldPosition="0">
        <references count="1">
          <reference field="23" count="0"/>
        </references>
      </pivotArea>
    </format>
    <format dxfId="78">
      <pivotArea dataOnly="0" labelOnly="1" grandRow="1" outline="0" fieldPosition="0"/>
    </format>
    <format dxfId="77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76">
      <pivotArea outline="0" collapsedLevelsAreSubtotals="1" fieldPosition="0"/>
    </format>
  </formats>
  <pivotTableStyleInfo name="PivotStyleLight9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osExternos_1" connectionId="1" xr16:uid="{B134AF14-9C2A-4FCF-B9DD-31DA98FCA473}" autoFormatId="16" applyNumberFormats="0" applyBorderFormats="0" applyFontFormats="0" applyPatternFormats="0" applyAlignmentFormats="0" applyWidthHeightFormats="0">
  <queryTableRefresh nextId="12" unboundColumnsRight="1">
    <queryTableFields count="11">
      <queryTableField id="1" name="fecha Factura" tableColumnId="1"/>
      <queryTableField id="2" name="N° de factura/Pago" tableColumnId="2"/>
      <queryTableField id="3" name="Tipo de Factura" tableColumnId="3"/>
      <queryTableField id="4" name="ID Cliente" tableColumnId="4"/>
      <queryTableField id="5" name="ID Proveedor" tableColumnId="5"/>
      <queryTableField id="6" name="Subcuenta" tableColumnId="6"/>
      <queryTableField id="7" name="Debe" tableColumnId="7"/>
      <queryTableField id="8" name="Haber" tableColumnId="8"/>
      <queryTableField id="9" name="Saldo" tableColumnId="9"/>
      <queryTableField id="10" name="CTA Bancaria" tableColumnId="10"/>
      <queryTableField id="11" dataBound="0" tableColumnId="11"/>
    </queryTableFields>
  </queryTableRefresh>
</queryTable>
</file>

<file path=xl/richData/_rels/richValueRel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7">
  <rv s="0">
    <v>13</v>
    <v>1</v>
  </rv>
  <rv s="1">
    <v>13</v>
    <v>3</v>
  </rv>
  <rv s="2">
    <v>0</v>
    <v>5</v>
    <v>Documento con relleno sólido</v>
  </rv>
  <rv s="2">
    <v>1</v>
    <v>5</v>
    <v>Inventario con relleno sólido</v>
  </rv>
  <rv s="2">
    <v>2</v>
    <v>5</v>
    <v>Perfil de hombre con relleno sólido</v>
  </rv>
  <rv s="2">
    <v>3</v>
    <v>5</v>
    <v>Trabajador de oficina con relleno sólido</v>
  </rv>
  <rv s="2">
    <v>4</v>
    <v>5</v>
    <v>Trabajo remoto con relleno sólido</v>
  </rv>
</rvData>
</file>

<file path=xl/richData/rdrichvaluestructure.xml><?xml version="1.0" encoding="utf-8"?>
<rvStructures xmlns="http://schemas.microsoft.com/office/spreadsheetml/2017/richdata" count="3">
  <s t="_error">
    <k n="errorType" t="i"/>
    <k n="propagated" t="b"/>
  </s>
  <s t="_error">
    <k n="errorType" t="i"/>
    <k n="subType" t="i"/>
  </s>
  <s t="_localImage">
    <k n="_rvRel:LocalImageIdentifier" t="i"/>
    <k n="CalcOrigin" t="i"/>
    <k n="Text" t="s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  <rel r:id="rId5"/>
</richValueRels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aciónDeDatos_status" xr10:uid="{137C9184-74A2-49D0-BEDD-B43994C62A4E}" sourceName="status">
  <extLst>
    <x:ext xmlns:x15="http://schemas.microsoft.com/office/spreadsheetml/2010/11/main" uri="{2F2917AC-EB37-4324-AD4E-5DD8C200BD13}">
      <x15:tableSlicerCache tableId="15" column="12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status" xr10:uid="{D5747DFD-2753-40B1-8DCE-451737FA9173}" cache="SegmentaciónDeDatos_status" caption="status" columnCount="3" showCaption="0" rowHeight="288000"/>
</slicers>
</file>

<file path=xl/tables/_rels/table1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7ED7603-27F1-47EF-80DB-BE43F8E5AF9A}" name="Regcontabilizados" displayName="Regcontabilizados" ref="D6:AJ190" totalsRowCount="1" headerRowDxfId="367" dataDxfId="366">
  <autoFilter ref="D6:AJ189" xr:uid="{07ED7603-27F1-47EF-80DB-BE43F8E5AF9A}"/>
  <tableColumns count="33">
    <tableColumn id="1" xr3:uid="{19D1DBD1-CE9F-4AB3-AA11-37D0B450801B}" name="fecha Factura" totalsRowLabel="Total" dataDxfId="365" totalsRowDxfId="364">
      <calculatedColumnFormula>IF(Regcontabilizados[[#This Row],[Eliminado]]="si","",RegContabilizados2[[#This Row],[fecha Factura]])</calculatedColumnFormula>
    </tableColumn>
    <tableColumn id="2" xr3:uid="{FB1E022F-F3FA-4E9C-A2AC-155248DBE97A}" name="Fecha vencimiento" dataDxfId="363" totalsRowDxfId="362">
      <calculatedColumnFormula>IF(Regcontabilizados[[#This Row],[Eliminado]]="si","",RegContabilizados2[[#This Row],[Fecha vencimiento]])</calculatedColumnFormula>
    </tableColumn>
    <tableColumn id="18" xr3:uid="{0DC6421A-29BC-4B61-B10B-9ED5B1B632F9}" name="Identificador" dataDxfId="361" totalsRowDxfId="360">
      <calculatedColumnFormula>IF(Regcontabilizados[[#This Row],[Eliminado]]="si","",RegContabilizados2[[#This Row],[Idenficador]])</calculatedColumnFormula>
    </tableColumn>
    <tableColumn id="3" xr3:uid="{28555E92-4329-4DA4-942D-92BAAF39CAC5}" name="N° de factura/Pago" dataDxfId="359" totalsRowDxfId="358">
      <calculatedColumnFormula>IF(Regcontabilizados[[#This Row],[Eliminado]]="si","",RegContabilizados2[[#This Row],[N° de factura/Pago]])</calculatedColumnFormula>
    </tableColumn>
    <tableColumn id="12" xr3:uid="{F7737BA8-F806-4770-BDFA-9E1B97645BD9}" name="Tipo de Factura" dataDxfId="357" totalsRowDxfId="356">
      <calculatedColumnFormula>IF(Regcontabilizados[[#This Row],[Eliminado]]="si","",RegContabilizados2[[#This Row],[Tipo de Factura]])</calculatedColumnFormula>
    </tableColumn>
    <tableColumn id="13" xr3:uid="{BFA25AAA-D1CD-45FB-86DC-9B729E2ACC6B}" name="ID Cliente" dataDxfId="355" totalsRowDxfId="354">
      <calculatedColumnFormula>IF(Regcontabilizados[[#This Row],[Eliminado]]="si","",RegContabilizados2[[#This Row],[ID Cliente]])</calculatedColumnFormula>
    </tableColumn>
    <tableColumn id="27" xr3:uid="{BC9C7E75-EDCD-4F6B-87A4-C9930812BEB3}" name="ESTADO DEL IVA" dataDxfId="353" totalsRowDxfId="352">
      <calculatedColumnFormula>IF(Regcontabilizados[[#This Row],[Eliminado]]="si","",RegContabilizados2[[#This Row],[ESTADO DEL IVA]])</calculatedColumnFormula>
    </tableColumn>
    <tableColumn id="4" xr3:uid="{55CF1ED1-5ECD-4F19-953F-6F97E809D974}" name="ID Proveedor" dataDxfId="351" totalsRowDxfId="350">
      <calculatedColumnFormula>IF(Regcontabilizados[[#This Row],[Eliminado]]="si","",RegContabilizados2[[#This Row],[ID Proveedor]])</calculatedColumnFormula>
    </tableColumn>
    <tableColumn id="5" xr3:uid="{4352AB0B-CCE4-4419-9016-A9E93A4C3527}" name="Concepto" dataDxfId="349" totalsRowDxfId="348">
      <calculatedColumnFormula>IF(Regcontabilizados[[#This Row],[Eliminado]]="si","",RegContabilizados2[[#This Row],[Concepto]])</calculatedColumnFormula>
    </tableColumn>
    <tableColumn id="31" xr3:uid="{36158628-170A-4AE0-8D28-1C5C52C54965}" name="Categoría" dataDxfId="347" totalsRowDxfId="346">
      <calculatedColumnFormula>IF(Regcontabilizados[[#This Row],[Eliminado]]="si","",RegContabilizados2[[#This Row],[Categoría]])</calculatedColumnFormula>
    </tableColumn>
    <tableColumn id="30" xr3:uid="{C18089F9-5BC6-48BC-9939-90010898EA67}" name="Almacen" dataDxfId="345" totalsRowDxfId="344">
      <calculatedColumnFormula>IF(Regcontabilizados[[#This Row],[Eliminado]]="si","",RegContabilizados2[[#This Row],[Almacen]])</calculatedColumnFormula>
    </tableColumn>
    <tableColumn id="29" xr3:uid="{3CF244D2-F73C-4AE6-B83B-1EA80A650709}" name="Tipo de movimiento" dataDxfId="343" totalsRowDxfId="342">
      <calculatedColumnFormula>IF(Regcontabilizados[[#This Row],[Eliminado]]="si","",RegContabilizados2[[#This Row],[Tipo de movimiento]])</calculatedColumnFormula>
    </tableColumn>
    <tableColumn id="6" xr3:uid="{8976155A-4285-4039-B3E7-DA5E4B97D71D}" name="cantidad" dataDxfId="341" totalsRowDxfId="340">
      <calculatedColumnFormula>IF(Regcontabilizados[[#This Row],[Eliminado]]="si","",RegContabilizados2[[#This Row],[cantidad]])</calculatedColumnFormula>
    </tableColumn>
    <tableColumn id="28" xr3:uid="{22D02D62-DB71-4F54-8349-C7631B165D72}" name="VR. Unitario" dataDxfId="339" totalsRowDxfId="338">
      <calculatedColumnFormula>IF(Regcontabilizados[[#This Row],[Eliminado]]="si","",RegContabilizados2[[#This Row],[VR unitario]])</calculatedColumnFormula>
    </tableColumn>
    <tableColumn id="8" xr3:uid="{DEC8178E-7637-4716-AE3D-15639B72D1B4}" name="Subcuenta" dataDxfId="337" totalsRowDxfId="336">
      <calculatedColumnFormula>IF(Regcontabilizados[[#This Row],[Eliminado]]="si","",RegContabilizados2[[#This Row],[Subcuenta]])</calculatedColumnFormula>
    </tableColumn>
    <tableColumn id="9" xr3:uid="{D0A7670B-827A-4F5B-A9D6-7C02874B3E16}" name="Debe" dataDxfId="335" totalsRowDxfId="334">
      <calculatedColumnFormula>IF(Regcontabilizados[[#This Row],[Eliminado]]="si","",RegContabilizados2[[#This Row],[Debe]])</calculatedColumnFormula>
    </tableColumn>
    <tableColumn id="10" xr3:uid="{147AC964-5380-47CE-A816-34F9F79A71E8}" name="Haber" dataDxfId="333" totalsRowDxfId="332">
      <calculatedColumnFormula>IF(Regcontabilizados[[#This Row],[Eliminado]]="si","",RegContabilizados2[[#This Row],[Haber]])</calculatedColumnFormula>
    </tableColumn>
    <tableColumn id="11" xr3:uid="{AA4AC5F4-FAF7-43E1-A63C-C6203EB16884}" name="Saldo" totalsRowFunction="sum" dataDxfId="331" totalsRowDxfId="330">
      <calculatedColumnFormula>IFERROR((Regcontabilizados[[#This Row],[Debe]]-Regcontabilizados[[#This Row],[Haber]]),0)</calculatedColumnFormula>
    </tableColumn>
    <tableColumn id="7" xr3:uid="{3F6C9C05-F585-4F66-A4E4-B16E80186BEB}" name="nombre cuenta" dataDxfId="329" totalsRowDxfId="328">
      <calculatedColumnFormula>IFERROR((+_xlfn.XLOOKUP(Regcontabilizados[[#This Row],[Subcuenta]],Tabla11[Cuenta],Tabla11[Descripción],0)),0)</calculatedColumnFormula>
    </tableColumn>
    <tableColumn id="15" xr3:uid="{AD9B43B2-6819-4A08-802A-D6F364BE59B1}" name="cuenta" dataDxfId="327" totalsRowDxfId="326">
      <calculatedColumnFormula>IFERROR((_xlfn.XLOOKUP((VALUE(LEFT(Regcontabilizados[[#This Row],[Subcuenta]],4))),Tabla11[Cuenta],Tabla11[Descripción],0)),0)</calculatedColumnFormula>
    </tableColumn>
    <tableColumn id="16" xr3:uid="{097414AA-687C-4464-ABEF-8755CA783BFD}" name="subcuenta 2" dataDxfId="325" totalsRowDxfId="324">
      <calculatedColumnFormula>IFERROR((_xlfn.XLOOKUP(Regcontabilizados[[#This Row],[Subcuenta]],Tabla11[Cuenta],Tabla11[Descripción],0)),0)</calculatedColumnFormula>
    </tableColumn>
    <tableColumn id="17" xr3:uid="{13F456F2-572C-408D-AC98-1B9AEF2345FD}" name="Eliminado" dataDxfId="323" totalsRowDxfId="322">
      <calculatedColumnFormula>IF((IFERROR((FIND((_xlfn.XLOOKUP(RegContabilizados2[[#This Row],[Idenficador]],FormtBorrados[formatos borrados],FormtBorrados[formatos borrados],0)),RegContabilizados2[[#This Row],[Idenficador]])),0))=1,"si","no")</calculatedColumnFormula>
    </tableColumn>
    <tableColumn id="19" xr3:uid="{0F15E0ED-E73C-4319-9543-7F4123399B09}" name="tipo" dataDxfId="321" totalsRowDxfId="320">
      <calculatedColumnFormula>_xlfn.XLOOKUP(Regcontabilizados[[#This Row],[Subcuenta]],Tabla11[Cuenta],Tabla11[TIPO],"")</calculatedColumnFormula>
    </tableColumn>
    <tableColumn id="20" xr3:uid="{F6258E80-1CFB-4218-B586-F6AD7F556D34}" name="Subcuenta3" dataDxfId="319" totalsRowDxfId="318">
      <calculatedColumnFormula>IFERROR((Regcontabilizados[[#This Row],[Subcuenta]]&amp;" "&amp;_xlfn.XLOOKUP(Regcontabilizados[[#This Row],[Subcuenta]],Tabla11[Cuenta],Tabla11[Descripción],0)),0)</calculatedColumnFormula>
    </tableColumn>
    <tableColumn id="21" xr3:uid="{09AC785E-B8F3-4F25-AD28-3082D1230950}" name="Grupo 2" dataDxfId="317" totalsRowDxfId="316">
      <calculatedColumnFormula>IFERROR((VALUE(LEFT(Regcontabilizados[[#This Row],[Subcuenta]],2))&amp;" "&amp;_xlfn.XLOOKUP((VALUE(LEFT(Regcontabilizados[[#This Row],[Subcuenta]],2))),Tabla11[Cuenta],Tabla11[Descripción],0)),0)</calculatedColumnFormula>
    </tableColumn>
    <tableColumn id="22" xr3:uid="{DD4688CF-1126-48C7-8BEB-CAA1B5480AD9}" name="Cuenta2" dataDxfId="315" totalsRowDxfId="314">
      <calculatedColumnFormula>IFERROR((VALUE(LEFT(Regcontabilizados[[#This Row],[Subcuenta]],4))&amp;" "&amp;_xlfn.XLOOKUP((VALUE(LEFT(Regcontabilizados[[#This Row],[Subcuenta]],4))),Tabla11[Cuenta],Tabla11[Descripción],0)),0)</calculatedColumnFormula>
    </tableColumn>
    <tableColumn id="14" xr3:uid="{1A5F715E-9CA7-462B-AE35-D5D3A696FBEA}" name="Estado de pago" dataDxfId="313" totalsRowDxfId="312">
      <calculatedColumnFormula>IF(Regcontabilizados[[#This Row],[Eliminado]]="si","",RegContabilizados2[[#This Row],[Estado de pago]])</calculatedColumnFormula>
    </tableColumn>
    <tableColumn id="23" xr3:uid="{E8AF4CF4-3317-4AC9-9BC3-EB0977EB469D}" name="Colum. Aux. Estado" dataDxfId="311" totalsRowDxfId="310">
      <calculatedColumnFormula>IF(Regcontabilizados[[#This Row],[Eliminado]]="si","",RegContabilizados2[[#This Row],[Colum. Aux. Estado]])</calculatedColumnFormula>
    </tableColumn>
    <tableColumn id="24" xr3:uid="{129950E8-FB9B-43C2-A0CA-E936A4F536CA}" name="Número pago" dataDxfId="309" totalsRowDxfId="308">
      <calculatedColumnFormula>IF(Regcontabilizados[[#This Row],[Eliminado]]="si","",RegContabilizados2[[#This Row],[Número de pago]])</calculatedColumnFormula>
    </tableColumn>
    <tableColumn id="25" xr3:uid="{1A63BE32-F805-47F6-B5D0-6895A90808AC}" name="Elaborado por" dataDxfId="307" totalsRowDxfId="306">
      <calculatedColumnFormula>IF(Regcontabilizados[[#This Row],[Eliminado]]="si","",RegContabilizados2[[#This Row],[Elaborado por]])</calculatedColumnFormula>
    </tableColumn>
    <tableColumn id="26" xr3:uid="{3A31994F-885F-44B8-8349-EE7592FB175D}" name="Notas" dataDxfId="305" totalsRowDxfId="304">
      <calculatedColumnFormula>IF(Regcontabilizados[[#This Row],[Eliminado]]="si","",RegContabilizados2[[#This Row],[Notas]])</calculatedColumnFormula>
    </tableColumn>
    <tableColumn id="32" xr3:uid="{F70FD3DE-DA48-43D5-A6DC-74AAD967F5BD}" name="Método de Pago" dataDxfId="303" totalsRowDxfId="302">
      <calculatedColumnFormula>IF(Regcontabilizados[[#This Row],[Eliminado]]="si","",RegContabilizados2[[#This Row],[Método de pago]])</calculatedColumnFormula>
    </tableColumn>
    <tableColumn id="33" xr3:uid="{F5EA5C4C-707D-4B56-B22D-AE47AEF7B969}" name="CTA Bancaria" dataDxfId="301" totalsRowDxfId="300">
      <calculatedColumnFormula>IF(Regcontabilizados[[#This Row],[Eliminado]]="si","",RegContabilizados2[[#This Row],[Cta. Bancaria]])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6233FDF-7663-4A94-A0C9-521DA10A2EB3}" name="RegContabilizados2" displayName="RegContabilizados2" ref="AO6:BQ190" totalsRowCount="1" headerRowDxfId="299" dataDxfId="298">
  <autoFilter ref="AO6:BQ189" xr:uid="{76233FDF-7663-4A94-A0C9-521DA10A2EB3}"/>
  <tableColumns count="29">
    <tableColumn id="1" xr3:uid="{3880B780-DBD2-4972-8A2F-502DF6AC71BA}" name="fecha Factura" totalsRowLabel="Total" dataDxfId="297" totalsRowDxfId="296"/>
    <tableColumn id="2" xr3:uid="{CA241954-EA70-46B0-A56B-0E1780594765}" name="Fecha vencimiento" dataDxfId="295" totalsRowDxfId="294"/>
    <tableColumn id="17" xr3:uid="{AD35365F-FB71-434A-809B-3EEE7D0175E0}" name="Idenficador" dataDxfId="293" totalsRowDxfId="292"/>
    <tableColumn id="3" xr3:uid="{1263A289-0DAD-4049-9D41-F8DF570758F7}" name="N° de factura/Pago" dataDxfId="291" totalsRowDxfId="290"/>
    <tableColumn id="12" xr3:uid="{03C59AA3-E635-4510-9991-FAFE37CAE912}" name="Tipo de Factura" dataDxfId="289" totalsRowDxfId="288"/>
    <tableColumn id="13" xr3:uid="{FB7DC88D-EBDA-4A6F-8F4F-F36401C7725C}" name="ID Cliente" dataDxfId="287" totalsRowDxfId="286"/>
    <tableColumn id="24" xr3:uid="{F5657A0F-08B6-4283-B792-A16BD752EE7E}" name="ESTADO DEL IVA" dataDxfId="285" totalsRowDxfId="284"/>
    <tableColumn id="4" xr3:uid="{C732959A-DD86-4F77-85DC-6C6A37FFA399}" name="ID Proveedor" dataDxfId="283" totalsRowDxfId="282"/>
    <tableColumn id="5" xr3:uid="{AC928BA8-FCA3-46AD-B4EB-CE83A7E0D646}" name="Concepto" dataDxfId="281" totalsRowDxfId="280"/>
    <tableColumn id="27" xr3:uid="{062F9F30-AA79-4847-A49C-AF8793040C7F}" name="Categoría" dataDxfId="279" totalsRowDxfId="278"/>
    <tableColumn id="26" xr3:uid="{1686D58E-14BB-4221-84FB-8B45BD0F77E8}" name="Almacen" dataDxfId="277" totalsRowDxfId="276"/>
    <tableColumn id="25" xr3:uid="{226A780C-91A1-42CD-BBB1-EF528139254A}" name="Tipo de movimiento" dataDxfId="275" totalsRowDxfId="274"/>
    <tableColumn id="6" xr3:uid="{BBDF7B1A-6814-4A29-A092-2F61C1970450}" name="cantidad" dataDxfId="273" totalsRowDxfId="272"/>
    <tableColumn id="23" xr3:uid="{346630EF-B115-45E6-A62A-103B54379B61}" name="VR unitario" dataDxfId="271" totalsRowDxfId="270"/>
    <tableColumn id="8" xr3:uid="{65399183-0CBA-40FD-842F-FB1BADF74989}" name="Subcuenta" dataDxfId="269" totalsRowDxfId="268"/>
    <tableColumn id="9" xr3:uid="{C9642A1E-C19F-4E81-8AC3-650B1111FF84}" name="Debe" dataDxfId="267" totalsRowDxfId="266"/>
    <tableColumn id="10" xr3:uid="{26EE720A-D265-455E-AAEB-AFC9AFA7B1FE}" name="Haber" dataDxfId="265" totalsRowDxfId="264"/>
    <tableColumn id="11" xr3:uid="{9DE7BD8E-761B-4773-97AA-808E872BD396}" name="Saldo" totalsRowFunction="sum" dataDxfId="263" totalsRowDxfId="262">
      <calculatedColumnFormula>IFERROR((RegContabilizados2[[#This Row],[Debe]]-RegContabilizados2[[#This Row],[Haber]]),0)</calculatedColumnFormula>
    </tableColumn>
    <tableColumn id="7" xr3:uid="{FA11B25F-8590-465F-80E4-0ADA7DE3077C}" name="nombre cuenta" dataDxfId="261" totalsRowDxfId="260">
      <calculatedColumnFormula>IFERROR((+_xlfn.XLOOKUP(RegContabilizados2[[#This Row],[Subcuenta]],Tabla11[Cuenta],Tabla11[Descripción],0)),0)</calculatedColumnFormula>
    </tableColumn>
    <tableColumn id="14" xr3:uid="{C893D1A8-72B2-45C6-8173-CAA931005C61}" name="Grupo" dataDxfId="259" totalsRowDxfId="258">
      <calculatedColumnFormula>IFERROR((VALUE(LEFT(RegContabilizados2[[#This Row],[Subcuenta]],2))&amp;" "&amp;_xlfn.XLOOKUP((VALUE(LEFT(RegContabilizados2[[#This Row],[Subcuenta]],2))),Tabla11[Cuenta],Tabla11[Descripción],0)),0)</calculatedColumnFormula>
    </tableColumn>
    <tableColumn id="15" xr3:uid="{72CED4EC-5739-4FB4-8C83-0807AF456777}" name="cuenta" dataDxfId="257" totalsRowDxfId="256">
      <calculatedColumnFormula>IFERROR((VALUE(LEFT(RegContabilizados2[[#This Row],[Subcuenta]],4))&amp;" "&amp;_xlfn.XLOOKUP((VALUE(LEFT(RegContabilizados2[[#This Row],[Subcuenta]],4))),Tabla11[Cuenta],Tabla11[Descripción],0)),0)</calculatedColumnFormula>
    </tableColumn>
    <tableColumn id="16" xr3:uid="{200E795B-CF01-468B-A7C8-52B5FFD4E861}" name="subcuenta 2" dataDxfId="255" totalsRowDxfId="254">
      <calculatedColumnFormula>IFERROR((RegContabilizados2[[#This Row],[Subcuenta]]&amp;" "&amp;_xlfn.XLOOKUP(RegContabilizados2[[#This Row],[Subcuenta]],Tabla11[Cuenta],Tabla11[Descripción],0)),0)</calculatedColumnFormula>
    </tableColumn>
    <tableColumn id="20" xr3:uid="{4BBBE37D-4AE4-427C-8479-813D49601377}" name="Estado de pago" dataDxfId="253" totalsRowDxfId="252">
      <calculatedColumnFormula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calculatedColumnFormula>
    </tableColumn>
    <tableColumn id="21" xr3:uid="{93C20303-7889-4E57-906C-86A30EEAAAF0}" name="Colum. Aux. Estado" dataDxfId="251" totalsRowDxfId="250">
      <calculatedColumnFormula>IFERROR(LEFT(RegContabilizados2[[#This Row],[Idenficador]],SEARCH("-",RegContabilizados2[[#This Row],[Idenficador]])-1),0)</calculatedColumnFormula>
    </tableColumn>
    <tableColumn id="18" xr3:uid="{63D8C09D-44B2-4E2D-956D-1FA54952CCB9}" name="Número de pago" dataDxfId="249" totalsRowDxfId="248"/>
    <tableColumn id="19" xr3:uid="{2691399A-067E-4D8C-BDE6-30D4B1FA1114}" name="Elaborado por" dataDxfId="247" totalsRowDxfId="246"/>
    <tableColumn id="22" xr3:uid="{163537F7-DC89-4F30-97E1-877E7F6CA1A0}" name="Notas" dataDxfId="245" totalsRowDxfId="244"/>
    <tableColumn id="28" xr3:uid="{BB71A1E4-91C0-4BFA-9E2D-C1F445A2E927}" name="Método de pago" dataDxfId="243" totalsRowDxfId="242"/>
    <tableColumn id="29" xr3:uid="{3AD4AF55-624E-40F4-AC2E-A593C8FBAED8}" name="Cta. Bancaria" dataDxfId="241" totalsRowDxfId="240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72012DEA-F8E7-45D5-80AE-C83C7AC9653B}" name="Tabla13" displayName="Tabla13" ref="C6:C10" totalsRowShown="0" headerRowDxfId="239" dataDxfId="238">
  <autoFilter ref="C6:C10" xr:uid="{72012DEA-F8E7-45D5-80AE-C83C7AC9653B}"/>
  <tableColumns count="1">
    <tableColumn id="1" xr3:uid="{0866BE00-DFE8-4249-A0CB-C2E05C3A2B99}" name="CATEGORÍAS" dataDxfId="237"/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C637B9FE-D938-4D78-901D-C309F9C62838}" name="Tabla12" displayName="Tabla12" ref="E6:E10" totalsRowShown="0" headerRowDxfId="236" dataDxfId="235">
  <autoFilter ref="E6:E10" xr:uid="{C637B9FE-D938-4D78-901D-C309F9C62838}"/>
  <tableColumns count="1">
    <tableColumn id="1" xr3:uid="{1655E17B-EA19-4652-9830-99592FAC44F4}" name="TIPO DE MOVIMIENTO" dataDxfId="234"/>
  </tableColumns>
  <tableStyleInfo name="TableStyleLight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D46921DA-4313-46AC-AB3D-6D502CFEE6A2}" name="Tabla14" displayName="Tabla14" ref="G6:G8" totalsRowShown="0" headerRowDxfId="233" dataDxfId="232">
  <autoFilter ref="G6:G8" xr:uid="{D46921DA-4313-46AC-AB3D-6D502CFEE6A2}"/>
  <tableColumns count="1">
    <tableColumn id="1" xr3:uid="{3D7A9848-9618-4C83-A970-E7C018302AEF}" name="ALMACENES ASIGNADOS" dataDxfId="231"/>
  </tableColumns>
  <tableStyleInfo name="TableStyleLight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27C1CDC5-64EF-43BF-A72D-6A77AE0FE43F}" name="Tabla9" displayName="Tabla9" ref="B7:O58" totalsRowCount="1" headerRowDxfId="230" dataDxfId="229">
  <autoFilter ref="B7:O57" xr:uid="{27C1CDC5-64EF-43BF-A72D-6A77AE0FE43F}"/>
  <tableColumns count="14">
    <tableColumn id="1" xr3:uid="{1000F151-E61D-47C6-B1C5-5B6C2815AB71}" name="FECHA" totalsRowLabel="Total" dataDxfId="228" totalsRowDxfId="227"/>
    <tableColumn id="17" xr3:uid="{D62E295E-7077-4B9D-9947-1ABD9FCA6249}" name="PROVEEDOR" dataDxfId="226" totalsRowDxfId="225"/>
    <tableColumn id="2" xr3:uid="{0D5C548D-D5A9-4C21-A98B-9A1865070B4C}" name="NÚMERO DE COMPROBANTE" dataDxfId="224" totalsRowDxfId="223"/>
    <tableColumn id="16" xr3:uid="{2E9BFB1E-622E-41AF-A22F-717C6F9A3E20}" name="TIPO FACTURA" dataDxfId="222" totalsRowDxfId="221"/>
    <tableColumn id="3" xr3:uid="{328EF20E-3F2C-4C26-BF6F-C489EEE9EC73}" name="CÓDIGO" dataDxfId="220" totalsRowDxfId="219"/>
    <tableColumn id="4" xr3:uid="{369638F7-E33E-4F54-97E7-3C2A10EC1B92}" name="TIPO DE MOVIMIENTO" dataDxfId="218" totalsRowDxfId="217"/>
    <tableColumn id="5" xr3:uid="{7E8FF620-9333-4BEC-9B7A-9F7C7CFAAECD}" name="PRODUCTO" dataDxfId="216" totalsRowDxfId="215"/>
    <tableColumn id="6" xr3:uid="{0C333A70-63CD-4053-9CFD-C52D8B2F1052}" name="CATEGORÍA" dataDxfId="214" totalsRowDxfId="213"/>
    <tableColumn id="7" xr3:uid="{5C2F1C53-28E7-46E3-AACA-9F4F7B62E4D4}" name="ALMACEN" dataDxfId="212" totalsRowDxfId="211"/>
    <tableColumn id="8" xr3:uid="{2CA540FE-A0C5-4049-AC5E-FC13E41F6CAF}" name="UND" dataDxfId="210" totalsRowDxfId="209"/>
    <tableColumn id="9" xr3:uid="{41657CC6-77BA-4999-AFD2-CAC9E4367694}" name="COSTO UNITARIO" dataDxfId="208" totalsRowDxfId="207"/>
    <tableColumn id="10" xr3:uid="{EFADDB7A-6AD5-43EC-BEE5-BE4B59311DB7}" name="COSTO TOTAL" dataDxfId="206" totalsRowDxfId="205">
      <calculatedColumnFormula>Tabla9[[#This Row],[UND]]*Tabla9[[#This Row],[COSTO UNITARIO]]</calculatedColumnFormula>
    </tableColumn>
    <tableColumn id="11" xr3:uid="{DB3A163F-4CD1-4B3B-A097-AEA748ABAC6C}" name="MOVIMIENTO EN (UND)" totalsRowFunction="sum" dataDxfId="204" totalsRowDxfId="203">
      <calculatedColumnFormula>IF(OR(Tabla9[[#This Row],[TIPO DE MOVIMIENTO]]="Entrada",Tabla9[[#This Row],[TIPO DE MOVIMIENTO]]="Ajuste (+)"),Tabla9[[#This Row],[UND]], IF(  OR(Tabla9[[#This Row],[TIPO DE MOVIMIENTO]]="Salida",Tabla9[[#This Row],[TIPO DE MOVIMIENTO]]="Ajuste (-)"),-Tabla9[[#This Row],[UND]], 0 ))</calculatedColumnFormula>
    </tableColumn>
    <tableColumn id="12" xr3:uid="{794B5196-2B07-447C-9599-AEEE54BD6A57}" name="MOVIMIENTO EN (VR)" totalsRowFunction="sum" dataDxfId="202" totalsRowDxfId="201">
      <calculatedColumnFormula>IF(OR(Tabla9[[#This Row],[TIPO DE MOVIMIENTO]]="Entrada",Tabla9[[#This Row],[TIPO DE MOVIMIENTO]]="Ajuste (+)"),Tabla9[[#This Row],[COSTO TOTAL]], IF(  OR(Tabla9[[#This Row],[TIPO DE MOVIMIENTO]]="Salida",Tabla9[[#This Row],[TIPO DE MOVIMIENTO]]="Ajuste (-)"),-Tabla9[[#This Row],[COSTO TOTAL]], 0 ))</calculatedColumnFormula>
    </tableColumn>
  </tableColumns>
  <tableStyleInfo name="TableStyleLight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4DF36F04-0D58-459F-A9C0-7AEC4FDD4C9A}" name="Tabla15" displayName="Tabla15" ref="B5:AH10" totalsRowCount="1" headerRowDxfId="200" dataDxfId="199">
  <autoFilter ref="B5:AH9" xr:uid="{4DF36F04-0D58-459F-A9C0-7AEC4FDD4C9A}"/>
  <tableColumns count="33">
    <tableColumn id="1" xr3:uid="{B72246E8-3D1B-420C-9112-8DD8FD25FFF9}" name="CÓDIGO" totalsRowLabel="Total" dataDxfId="198" totalsRowDxfId="197"/>
    <tableColumn id="2" xr3:uid="{119C5918-5BB4-4586-A19D-6F6B0F282C0B}" name="PRODUCTO" dataDxfId="196" totalsRowDxfId="195"/>
    <tableColumn id="33" xr3:uid="{00F5ECD4-3687-43A7-9B34-0F1E99B67B58}" name="cuenta contable" dataDxfId="194" totalsRowDxfId="193"/>
    <tableColumn id="3" xr3:uid="{A4545958-57D1-4E05-A9F5-F87F00208BD5}" name="CATEGORÍA" dataDxfId="192" totalsRowDxfId="191"/>
    <tableColumn id="4" xr3:uid="{93794FFD-5AB2-432F-A7B3-E7B250D50717}" name="ALMACÉN" dataDxfId="190" totalsRowDxfId="189"/>
    <tableColumn id="5" xr3:uid="{86658763-13B8-4D94-8B07-603748C099C3}" name="UND. DE MEDIDA" dataDxfId="188" totalsRowDxfId="187"/>
    <tableColumn id="30" xr3:uid="{E9B4C9A7-9C73-4C6A-8087-24CA2821B06B}" name="PRECIO VTA UND." dataDxfId="186" totalsRowDxfId="185"/>
    <tableColumn id="6" xr3:uid="{799087F4-8BC5-40A0-BEB1-3AEDD64C1087}" name="STOCK MÍNIMO" dataDxfId="184" totalsRowDxfId="183"/>
    <tableColumn id="12" xr3:uid="{9997181F-A098-4326-9A2B-F3FF10DE2DAD}" name="status" dataDxfId="182" totalsRowDxfId="181">
      <calculatedColumnFormula>IF(Tabla15[[#This Row],[STOCK ACTUAL]]=0,  "Agotado",  IF(Tabla15[[#This Row],[STOCK ACTUAL]]&lt;=Tabla15[[#This Row],[STOCK MÍNIMO]],  "Menor o igual al mínimo", "Ok" ))</calculatedColumnFormula>
    </tableColumn>
    <tableColumn id="11" xr3:uid="{73DD3A50-3742-4094-9032-0CAC30F5345E}" name="." dataDxfId="180" totalsRowDxfId="179">
      <calculatedColumnFormula>IF(Tabla15[[#This Row],[STOCK ACTUAL]]=0,   0,  IF(Tabla15[[#This Row],[STOCK ACTUAL]]&lt;=Tabla15[[#This Row],[STOCK MÍNIMO]],   1, 2  ))</calculatedColumnFormula>
    </tableColumn>
    <tableColumn id="7" xr3:uid="{0E33DE34-62E3-455E-9243-2FA27DF2A391}" name="STOCK ACTUAL" totalsRowFunction="sum" dataDxfId="178" totalsRowDxfId="177">
      <calculatedColumnFormula>SUMIFS(Tabla9[MOVIMIENTO EN (UND)],Tabla9[CÓDIGO],Tabla15[[#This Row],[CÓDIGO]])</calculatedColumnFormula>
    </tableColumn>
    <tableColumn id="8" xr3:uid="{FE308C6F-9FD0-476F-8F89-0E8E081A9C72}" name="COSTO UND. ACTUAL" dataDxfId="176" totalsRowDxfId="175" dataCellStyle="Millares">
      <calculatedColumnFormula>IFERROR(Tabla15[[#This Row],[TOTAL ACTUAL]]/Tabla15[[#This Row],[STOCK ACTUAL]],0)</calculatedColumnFormula>
    </tableColumn>
    <tableColumn id="9" xr3:uid="{16E4CE14-F585-4C6C-98BB-95E8072625A2}" name="TOTAL ACTUAL" totalsRowFunction="sum" dataDxfId="174" totalsRowDxfId="173" dataCellStyle="Millares">
      <calculatedColumnFormula>SUMIFS( Tabla9[MOVIMIENTO EN (VR)],Tabla9[CÓDIGO],Tabla15[[#This Row],[CÓDIGO]])</calculatedColumnFormula>
    </tableColumn>
    <tableColumn id="10" xr3:uid="{88EF13FE-024C-45F8-A185-182C7F9B3B64}" name="AUX1" dataDxfId="172" totalsRowDxfId="171">
      <calculatedColumnFormula>+ISNUMBER((SEARCH('F-VTA'!$E$28,Tabla15[[#This Row],[PRODUCTO]],1)))</calculatedColumnFormula>
    </tableColumn>
    <tableColumn id="13" xr3:uid="{3B4E4CC9-3728-4D14-BB9E-A8E379179315}" name="AUX2" dataDxfId="170" totalsRowDxfId="169">
      <calculatedColumnFormula>ISNUMBER((SEARCH('F-VTA'!$E$29,Tabla15[[#This Row],[PRODUCTO]],1)))</calculatedColumnFormula>
    </tableColumn>
    <tableColumn id="14" xr3:uid="{68C2B75F-34E1-4642-8E8D-7C5E7E2A073E}" name="AUX3" dataDxfId="168" totalsRowDxfId="167">
      <calculatedColumnFormula>ISNUMBER((SEARCH('F-VTA'!$E$30,Tabla15[[#This Row],[PRODUCTO]],1)))</calculatedColumnFormula>
    </tableColumn>
    <tableColumn id="15" xr3:uid="{C92334FB-E860-44DB-86E6-8BC2F3FF2E8F}" name="AUX4" dataDxfId="166" totalsRowDxfId="165">
      <calculatedColumnFormula>ISNUMBER((SEARCH('F-VTA'!$E$31,Tabla15[[#This Row],[PRODUCTO]],1)))</calculatedColumnFormula>
    </tableColumn>
    <tableColumn id="16" xr3:uid="{89C79655-2F90-4127-94A6-7513B7FF3C69}" name="AUX5" dataDxfId="164" totalsRowDxfId="163">
      <calculatedColumnFormula>ISNUMBER((SEARCH('F-VTA'!$E$32,Tabla15[[#This Row],[PRODUCTO]],1)))</calculatedColumnFormula>
    </tableColumn>
    <tableColumn id="17" xr3:uid="{C4F49461-D167-456D-BE33-521C1EA690E5}" name="AUX6" dataDxfId="162" totalsRowDxfId="161">
      <calculatedColumnFormula>ISNUMBER((SEARCH('F-VTA'!$E$33,Tabla15[[#This Row],[PRODUCTO]],1)))</calculatedColumnFormula>
    </tableColumn>
    <tableColumn id="18" xr3:uid="{59A7A086-CD84-4991-BF7C-7D3320BD81C3}" name="AUX7" dataDxfId="160" totalsRowDxfId="159">
      <calculatedColumnFormula>ISNUMBER((SEARCH('F-VTA'!$E$34,Tabla15[[#This Row],[PRODUCTO]],1)))</calculatedColumnFormula>
    </tableColumn>
    <tableColumn id="19" xr3:uid="{772E61A1-6015-4FAD-ACFA-A84B6CD7F057}" name="AUX8" dataDxfId="158" totalsRowDxfId="157">
      <calculatedColumnFormula>ISNUMBER((SEARCH('F-VTA'!$E$35,Tabla15[[#This Row],[PRODUCTO]],1)))</calculatedColumnFormula>
    </tableColumn>
    <tableColumn id="20" xr3:uid="{07B777D8-2F8B-49C2-B93F-647C6D1624FF}" name="AUX9" dataDxfId="156" totalsRowDxfId="155">
      <calculatedColumnFormula>ISNUMBER((SEARCH('F-VTA'!$E$36,Tabla15[[#This Row],[PRODUCTO]],1)))</calculatedColumnFormula>
    </tableColumn>
    <tableColumn id="21" xr3:uid="{F2F8A929-A02E-4DA5-8240-3156496E2D92}" name="AUX10" dataDxfId="154" totalsRowDxfId="153">
      <calculatedColumnFormula>ISNUMBER((SEARCH(#REF!,Tabla15[[#This Row],[PRODUCTO]],1)))</calculatedColumnFormula>
    </tableColumn>
    <tableColumn id="22" xr3:uid="{D8602F6C-53FD-4905-BEBE-2EF46448BDF2}" name="AUX11" dataDxfId="152" totalsRowDxfId="151">
      <calculatedColumnFormula>ISNUMBER((SEARCH('F-COMPRA'!$E$28,Tabla15[[#This Row],[PRODUCTO]],1)))</calculatedColumnFormula>
    </tableColumn>
    <tableColumn id="23" xr3:uid="{CC291917-49BB-4AA5-8B72-77203AB0D973}" name="AUX12" dataDxfId="150" totalsRowDxfId="149">
      <calculatedColumnFormula>ISNUMBER((SEARCH('F-COMPRA'!$E$29,Tabla15[[#This Row],[PRODUCTO]],1)))</calculatedColumnFormula>
    </tableColumn>
    <tableColumn id="24" xr3:uid="{453BF20B-6D78-470C-A68F-731DA55864E0}" name="AUX13" dataDxfId="148" totalsRowDxfId="147">
      <calculatedColumnFormula>ISNUMBER((SEARCH('F-COMPRA'!$E$30,Tabla15[[#This Row],[PRODUCTO]],1)))</calculatedColumnFormula>
    </tableColumn>
    <tableColumn id="25" xr3:uid="{BF1F9622-1CDA-44CC-8DCE-1B5A7D6EC74E}" name="AUX14" dataDxfId="146" totalsRowDxfId="145">
      <calculatedColumnFormula>ISNUMBER((SEARCH('F-COMPRA'!$E$31,Tabla15[[#This Row],[PRODUCTO]],1)))</calculatedColumnFormula>
    </tableColumn>
    <tableColumn id="26" xr3:uid="{31797371-B6AB-48F5-A071-D652CC6CAF79}" name="AUX15" dataDxfId="144" totalsRowDxfId="143">
      <calculatedColumnFormula>ISNUMBER((SEARCH('F-COMPRA'!$E$32,Tabla15[[#This Row],[PRODUCTO]],1)))</calculatedColumnFormula>
    </tableColumn>
    <tableColumn id="27" xr3:uid="{507FE763-CA57-42B8-8DD8-050964A45B63}" name="AUX16" dataDxfId="142" totalsRowDxfId="141">
      <calculatedColumnFormula>ISNUMBER((SEARCH('F-COMPRA'!$E$33,Tabla15[[#This Row],[PRODUCTO]],1)))</calculatedColumnFormula>
    </tableColumn>
    <tableColumn id="28" xr3:uid="{72FD2A4F-1314-438D-AE4C-20E77528AF82}" name="AUX17" dataDxfId="140" totalsRowDxfId="139">
      <calculatedColumnFormula>ISNUMBER((SEARCH('F-COMPRA'!$E$34,Tabla15[[#This Row],[PRODUCTO]],1)))</calculatedColumnFormula>
    </tableColumn>
    <tableColumn id="29" xr3:uid="{E4B671DB-15E3-4C7B-A542-8C8B1C00BD0F}" name="AUX18" dataDxfId="138" totalsRowDxfId="137">
      <calculatedColumnFormula>ISNUMBER((SEARCH('F-COMPRA'!$E$35,Tabla15[[#This Row],[PRODUCTO]],1)))</calculatedColumnFormula>
    </tableColumn>
    <tableColumn id="31" xr3:uid="{FB5EEA60-2F6F-4702-8599-7DFAD29A28C6}" name="AUX19" dataDxfId="136" totalsRowDxfId="135">
      <calculatedColumnFormula>ISNUMBER((SEARCH('F-COMPRA'!$E$36,Tabla15[[#This Row],[PRODUCTO]],1)))</calculatedColumnFormula>
    </tableColumn>
    <tableColumn id="32" xr3:uid="{3FE0908A-1CCC-4AA7-8081-984E7F30E8B6}" name="AUX20" dataDxfId="134" totalsRowDxfId="133">
      <calculatedColumnFormula>ISNUMBER((SEARCH('F-COMPRA'!$E$37,Tabla15[[#This Row],[PRODUCTO]],1)))</calculatedColumnFormula>
    </tableColumn>
  </tableColumns>
  <tableStyleInfo name="TableStyleLight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9" xr:uid="{D8FB9387-8747-407B-8DFE-1926B2ECF69F}" name="Tabla49" displayName="Tabla49" ref="C3:C12" totalsRowShown="0" headerRowDxfId="132" dataDxfId="131">
  <autoFilter ref="C3:C12" xr:uid="{D8FB9387-8747-407B-8DFE-1926B2ECF69F}"/>
  <tableColumns count="1">
    <tableColumn id="1" xr3:uid="{306AF75A-E8D7-4C2B-9AAF-1180CD94971C}" name="Tipo de Factura" dataDxfId="130"/>
  </tableColumns>
  <tableStyleInfo name="TableStyleLight4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91BCE8B-9197-45D3-BCCE-8AC48B5B385F}" name="FormtBorrados" displayName="FormtBorrados" ref="I5:I62" totalsRowShown="0" headerRowDxfId="129" dataDxfId="128">
  <autoFilter ref="I5:I62" xr:uid="{391BCE8B-9197-45D3-BCCE-8AC48B5B385F}"/>
  <tableColumns count="1">
    <tableColumn id="1" xr3:uid="{7BF43AF0-D2D3-4E48-8C1A-845A16003E4D}" name="formatos borrados" dataDxfId="127"/>
  </tableColumns>
  <tableStyleInfo name="TableStyleLight6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6A11CFD-901E-4FC4-95DC-29C2BE2D944F}" name="Tabla5" displayName="Tabla5" ref="G5:G9" totalsRowShown="0" headerRowDxfId="126" dataDxfId="125">
  <autoFilter ref="G5:G9" xr:uid="{76A11CFD-901E-4FC4-95DC-29C2BE2D944F}"/>
  <tableColumns count="1">
    <tableColumn id="1" xr3:uid="{F530F4D3-9B3B-41F3-A44D-667AFF1305A0}" name="MÉDOTOS DE PAGO" dataDxfId="124"/>
  </tableColumns>
  <tableStyleInfo name="TableStyleLight6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7E602313-D890-4291-A05B-742C8FDB256C}" name="Tabla68" displayName="Tabla68" ref="L5:P9" totalsRowShown="0" headerRowDxfId="123" dataDxfId="122">
  <autoFilter ref="L5:P9" xr:uid="{7E602313-D890-4291-A05B-742C8FDB256C}"/>
  <tableColumns count="5">
    <tableColumn id="2" xr3:uid="{FA9A525B-3C32-47A1-9F2D-068AE68AF0FB}" name="saldo conciliación" dataDxfId="121"/>
    <tableColumn id="3" xr3:uid="{FB9A05C2-394A-4D36-A4A8-D94AA6F8F478}" name="Cuenta" dataDxfId="120"/>
    <tableColumn id="4" xr3:uid="{7068F50B-F358-43CA-836E-6CF6CF7C0836}" name="IDENTIFICADOR" dataDxfId="119"/>
    <tableColumn id="5" xr3:uid="{A00379A3-629D-479B-BB3B-A85C3B78952C}" name="DESDE" dataDxfId="118"/>
    <tableColumn id="6" xr3:uid="{76E69741-4397-4E01-B8E8-90E9D0D793AC}" name="HASTA" dataDxfId="117"/>
  </tableColumns>
  <tableStyleInfo name="TableStyleLight6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32183E90-8E32-458D-B540-4703F4DE104D}" name="Tabla18" displayName="Tabla18" ref="E5:E12" totalsRowShown="0" headerRowDxfId="116" dataDxfId="115">
  <autoFilter ref="E5:E12" xr:uid="{32183E90-8E32-458D-B540-4703F4DE104D}"/>
  <tableColumns count="1">
    <tableColumn id="1" xr3:uid="{77A84FFF-77FC-41B8-87AD-8F535B3FDAED}" name="Impuestos" dataDxfId="114"/>
  </tableColumns>
  <tableStyleInfo name="TableStyleLight4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8396608-067E-4454-A011-5B02091C0614}" name="BDclient" displayName="BDclient" ref="B5:L11" totalsRowShown="0" headerRowDxfId="113" dataDxfId="112">
  <autoFilter ref="B5:L11" xr:uid="{5C67A1A3-EF49-406C-9C4E-16D83BEBF300}"/>
  <tableColumns count="11">
    <tableColumn id="1" xr3:uid="{77DE3845-6903-4212-A036-FCFA80ADF3C0}" name="ID-Cliente" dataDxfId="111"/>
    <tableColumn id="2" xr3:uid="{6C8A98FF-6CF0-4E37-B275-13FEACE432CE}" name="Nombre" dataDxfId="110"/>
    <tableColumn id="3" xr3:uid="{71A8A649-E1F2-462A-A169-7AF30D5E13E7}" name="NIT/C.C." dataDxfId="109"/>
    <tableColumn id="4" xr3:uid="{1B86C8EE-7BB0-4065-B858-CFD59E2C86F3}" name="D.V." dataDxfId="108"/>
    <tableColumn id="5" xr3:uid="{EFB10ACA-C896-4BF9-9196-03F8F2D2361B}" name="N° de Celular" dataDxfId="107"/>
    <tableColumn id="6" xr3:uid="{A2265DA1-8485-4F1C-92CB-45262000240F}" name="Dirección" dataDxfId="106"/>
    <tableColumn id="7" xr3:uid="{8CBACF6D-EB2E-453D-9480-179F4BA62C04}" name="Municipio" dataDxfId="105"/>
    <tableColumn id="8" xr3:uid="{A48C9F33-F1E1-461F-ADA2-BAA9C812A05A}" name="Departamento" dataDxfId="104"/>
    <tableColumn id="9" xr3:uid="{1F404A9A-252C-4EFC-9AEF-F34B41CA8A51}" name="Cuenta Asignada" dataDxfId="103"/>
    <tableColumn id="10" xr3:uid="{4F137FC8-3FBF-4F37-B0FA-9601F17A2389}" name="aux" dataDxfId="102">
      <calculatedColumnFormula>+ISNUMBER((SEARCH('F-VTA'!E10,BDclient[[#This Row],[ID-Cliente]],1)))</calculatedColumnFormula>
    </tableColumn>
    <tableColumn id="11" xr3:uid="{7AA8F403-B941-44CC-8207-010C23A5656E}" name="aux2" dataDxfId="101">
      <calculatedColumnFormula>+ISNUMBER((SEARCH(CompConta!$D$22,BDclient[[#This Row],[ID-Cliente]],1)))</calculatedColumnFormula>
    </tableColumn>
  </tableColumns>
  <tableStyleInfo name="TableStyleLight9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5C67A1A3-EF49-406C-9C4E-16D83BEBF300}" name="BDPROV" displayName="BDPROV" ref="B5:L11" totalsRowShown="0" headerRowDxfId="100" dataDxfId="99">
  <autoFilter ref="B5:L11" xr:uid="{5C67A1A3-EF49-406C-9C4E-16D83BEBF300}"/>
  <tableColumns count="11">
    <tableColumn id="1" xr3:uid="{F680BE8E-9C06-45F3-8690-E42F2AEB25AB}" name="ID-Proveedor" dataDxfId="98"/>
    <tableColumn id="2" xr3:uid="{FA53578C-1910-4982-9D70-E3BFD84787AA}" name="Nombre" dataDxfId="97"/>
    <tableColumn id="3" xr3:uid="{0659F3EB-1F9E-4600-A22C-5A22DBE05211}" name="NIT/C.C." dataDxfId="96"/>
    <tableColumn id="4" xr3:uid="{0123BB8F-E623-444C-B35A-225D502E5A9B}" name="D.V." dataDxfId="95"/>
    <tableColumn id="5" xr3:uid="{D5EA6613-74E9-4870-9E04-8F7D4ABC102A}" name="N° de Celular" dataDxfId="94"/>
    <tableColumn id="6" xr3:uid="{A5CBB8E4-0877-4273-8F89-C1A869A02AAD}" name="Dirección" dataDxfId="93"/>
    <tableColumn id="7" xr3:uid="{EBA6E536-B427-444C-9BE6-67A340D5F262}" name="Municipio" dataDxfId="92"/>
    <tableColumn id="8" xr3:uid="{2472F7F6-1167-4471-9F4B-13EF60F4B79E}" name="Departamento" dataDxfId="91"/>
    <tableColumn id="9" xr3:uid="{6E6832AB-D7E6-4610-9DAD-B3A966EDA249}" name="Cuenta Asignada" dataDxfId="90"/>
    <tableColumn id="10" xr3:uid="{5C715427-D74B-404F-B499-2EEBFB29253A}" name="AUX" dataDxfId="89">
      <calculatedColumnFormula>ISNUMBER(SEARCH('F-COMPRA'!$E$10,BDPROV[[#This Row],[ID-Proveedor]],1))</calculatedColumnFormula>
    </tableColumn>
    <tableColumn id="11" xr3:uid="{F4B6D95F-BCB2-46E9-B276-40B819F0F593}" name="AUX2" dataDxfId="88">
      <calculatedColumnFormula>ISNUMBER(SEARCH(CompConta!$D$21,BDPROV[[#This Row],[ID-Proveedor]],1))</calculatedColumnFormula>
    </tableColumn>
  </tableColumns>
  <tableStyleInfo name="TableStyleLight9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9E8BBC5C-474F-4F42-B01F-3C4832A457D0}" name="_Regcontabilizados" displayName="_Regcontabilizados" ref="D23:N152" tableType="queryTable" totalsRowShown="0">
  <autoFilter ref="D23:N152" xr:uid="{9E8BBC5C-474F-4F42-B01F-3C4832A457D0}">
    <filterColumn colId="5">
      <filters>
        <filter val="111005"/>
      </filters>
    </filterColumn>
  </autoFilter>
  <tableColumns count="11">
    <tableColumn id="1" xr3:uid="{D32EC927-C806-4A82-B795-E262CA51033D}" uniqueName="1" name="fecha Factura" queryTableFieldId="1" dataDxfId="87"/>
    <tableColumn id="2" xr3:uid="{66BEA4C1-6E3C-44AB-B138-A2B53988BCC5}" uniqueName="2" name="N° de factura/Pago" queryTableFieldId="2"/>
    <tableColumn id="3" xr3:uid="{4EA668C8-67F8-4449-B46A-1EB67BAFBCCD}" uniqueName="3" name="Tipo de Factura" queryTableFieldId="3"/>
    <tableColumn id="4" xr3:uid="{A78CF2A1-7896-4BB5-99C4-63D9793E34CA}" uniqueName="4" name="ID Cliente" queryTableFieldId="4"/>
    <tableColumn id="5" xr3:uid="{85EB2AF4-7FF8-4519-A113-6E0E9CD04B1A}" uniqueName="5" name="ID Proveedor" queryTableFieldId="5"/>
    <tableColumn id="6" xr3:uid="{D8BBDF4F-152D-4E6B-9258-16538CE0223E}" uniqueName="6" name="Subcuenta" queryTableFieldId="6"/>
    <tableColumn id="7" xr3:uid="{3BC4C16B-AE83-4921-8F8A-AEC7062A2194}" uniqueName="7" name="Debe" queryTableFieldId="7"/>
    <tableColumn id="8" xr3:uid="{615795F4-DE3A-403C-AB28-39B8E9E34CAC}" uniqueName="8" name="Haber" queryTableFieldId="8"/>
    <tableColumn id="9" xr3:uid="{9DADC0DC-35B9-45A1-9B60-C5CB947698BA}" uniqueName="9" name="Saldo" queryTableFieldId="9"/>
    <tableColumn id="10" xr3:uid="{2E4D17EC-B3FB-4A23-A6F5-ADC0F9574EE4}" uniqueName="10" name="CTA Bancaria" queryTableFieldId="10"/>
    <tableColumn id="11" xr3:uid="{89B01815-A736-45F0-9BA6-6D6ACF9A650C}" uniqueName="11" name="Conciliado" queryTableFieldId="11"/>
  </tableColumns>
  <tableStyleInfo name="TableStyleLight11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76547AE3-DD05-474E-81F8-934225AF5A50}" name="Tabla11" displayName="Tabla11" ref="D4:BJ1159" totalsRowShown="0" headerRowDxfId="75" headerRowBorderDxfId="74" tableBorderDxfId="73" totalsRowBorderDxfId="72">
  <autoFilter ref="D4:BJ1159" xr:uid="{76547AE3-DD05-474E-81F8-934225AF5A50}"/>
  <tableColumns count="59">
    <tableColumn id="1" xr3:uid="{FF45ED85-118E-4C87-89AB-941ADBA60B4B}" name="Cuenta" dataDxfId="71"/>
    <tableColumn id="2" xr3:uid="{09CAF40C-DD06-47F5-8930-0CC7FE4CB323}" name="Descripción" dataDxfId="70"/>
    <tableColumn id="3" xr3:uid="{20BD890D-2C65-42AE-91B9-976D2FE42F8E}" name="Nivel" dataDxfId="69"/>
    <tableColumn id="47" xr3:uid="{0EDB7B1E-1B7C-4E06-9C7F-8EC6FEFE855A}" name="TIPO" dataDxfId="68"/>
    <tableColumn id="4" xr3:uid="{A59A5364-363A-436E-85C3-1A4BFFA710F5}" name="Naturaleza" dataDxfId="67"/>
    <tableColumn id="5" xr3:uid="{6BE3469B-5470-4ED9-8B54-9632247AC321}" name="aux 1" dataDxfId="66">
      <calculatedColumnFormula>+ISNUMBER(SEARCH('F-COMPRA'!$F$28,Tabla11[[#This Row],[Cuenta]],1))</calculatedColumnFormula>
    </tableColumn>
    <tableColumn id="6" xr3:uid="{8E5BED64-F74E-417E-BBA3-170C7D4DB871}" name="AUX 2">
      <calculatedColumnFormula>+ISNUMBER(SEARCH('F-COMPRA'!$F$29,Tabla11[[#This Row],[Cuenta]],1))</calculatedColumnFormula>
    </tableColumn>
    <tableColumn id="7" xr3:uid="{B7291E7E-55F0-4C01-A3AB-31DE9CC49006}" name="AUX 3">
      <calculatedColumnFormula>+ISNUMBER(SEARCH('F-COMPRA'!$F$30,Tabla11[[#This Row],[Cuenta]],1))</calculatedColumnFormula>
    </tableColumn>
    <tableColumn id="8" xr3:uid="{F5A9260F-D1B0-4DEA-9BA5-17D24E8808D5}" name="AUX 4">
      <calculatedColumnFormula>+ISNUMBER(SEARCH('F-COMPRA'!$F$31,Tabla11[[#This Row],[Cuenta]],1))</calculatedColumnFormula>
    </tableColumn>
    <tableColumn id="9" xr3:uid="{6C676D36-E41D-4673-B13C-09D146EA8FAB}" name="AUX 5" dataDxfId="65">
      <calculatedColumnFormula>+ISNUMBER(SEARCH('F-COMPRA'!$G$25,Tabla11[[#This Row],[Cuenta]],1))</calculatedColumnFormula>
    </tableColumn>
    <tableColumn id="10" xr3:uid="{BC134F04-B1C5-49C1-8FEA-F27A6A8F1BC9}" name="AUX 6">
      <calculatedColumnFormula>+ISNUMBER(SEARCH(#REF!,Tabla11[[#This Row],[Cuenta]],1))</calculatedColumnFormula>
    </tableColumn>
    <tableColumn id="11" xr3:uid="{B76193C1-825A-49AE-90D8-C6DD35CC0383}" name="AUX 7">
      <calculatedColumnFormula>+ISNUMBER(SEARCH(#REF!,Tabla11[[#This Row],[Cuenta]],1))</calculatedColumnFormula>
    </tableColumn>
    <tableColumn id="12" xr3:uid="{892889F3-FA09-47C1-B5C0-D88F5354CD75}" name="AUX 8" dataDxfId="64">
      <calculatedColumnFormula>+ISNUMBER(SEARCH('F-COMPRA'!$F$32,Tabla11[[#This Row],[Cuenta]],1))</calculatedColumnFormula>
    </tableColumn>
    <tableColumn id="13" xr3:uid="{2C586F5C-B34B-47F6-A9E8-668857762C4B}" name="AUX 9" dataDxfId="63">
      <calculatedColumnFormula>+ISNUMBER(SEARCH('F-COMPRA'!$F$33,Tabla11[[#This Row],[Cuenta]],1))</calculatedColumnFormula>
    </tableColumn>
    <tableColumn id="14" xr3:uid="{E2C94DFA-99F9-4C5A-ADA1-9F86B5BA00AE}" name="AUX 10" dataDxfId="62">
      <calculatedColumnFormula>+ISNUMBER(SEARCH('F-COMPRA'!$F$34,Tabla11[[#This Row],[Cuenta]],1))</calculatedColumnFormula>
    </tableColumn>
    <tableColumn id="15" xr3:uid="{14BD3DC6-5DB7-4DD6-9219-78044E972BD0}" name="AUX 11" dataDxfId="61">
      <calculatedColumnFormula>+ISNUMBER(SEARCH('F-COMPRA'!$F$35,Tabla11[[#This Row],[Cuenta]],1))</calculatedColumnFormula>
    </tableColumn>
    <tableColumn id="16" xr3:uid="{6F60CB9D-10B2-4F57-B474-046BD66C5575}" name="AUX 12" dataDxfId="60">
      <calculatedColumnFormula>+ISNUMBER(SEARCH('F-COMPRA'!$F$36,Tabla11[[#This Row],[Cuenta]],1))</calculatedColumnFormula>
    </tableColumn>
    <tableColumn id="17" xr3:uid="{682727E8-B944-4091-AC10-9E6F0FFC9568}" name="AUX 13" dataDxfId="59">
      <calculatedColumnFormula>+ISNUMBER(SEARCH('F-COMPRA'!$F$37,Tabla11[[#This Row],[Cuenta]],1))</calculatedColumnFormula>
    </tableColumn>
    <tableColumn id="18" xr3:uid="{1EC6FB96-E1C3-4621-94B2-04AE6E25AA81}" name="AUX 14" dataDxfId="58">
      <calculatedColumnFormula>+ISNUMBER(SEARCH(#REF!,Tabla11[[#This Row],[Cuenta]],1))</calculatedColumnFormula>
    </tableColumn>
    <tableColumn id="19" xr3:uid="{4DE91E1B-E545-43A8-BF5D-C57E83EF6790}" name="AUX 15">
      <calculatedColumnFormula>+ISNUMBER(SEARCH('F-COMPRA'!#REF!,Tabla11[[#This Row],[Cuenta]],1))</calculatedColumnFormula>
    </tableColumn>
    <tableColumn id="55" xr3:uid="{1BEA6A68-FFAA-479F-AB41-90F28A922EFA}" name="AUX 158">
      <calculatedColumnFormula>+ISNUMBER(SEARCH('F-COMPRA'!#REF!,Tabla11[[#This Row],[Cuenta]],1))</calculatedColumnFormula>
    </tableColumn>
    <tableColumn id="54" xr3:uid="{8A87EC9F-A455-4209-A968-BF9204412099}" name="AUX 157">
      <calculatedColumnFormula>+ISNUMBER(SEARCH('F-COMPRA'!#REF!,Tabla11[[#This Row],[Cuenta]],1))</calculatedColumnFormula>
    </tableColumn>
    <tableColumn id="53" xr3:uid="{C241A048-6EF1-40C6-B5EE-B5D551EA97FF}" name="AUX 156">
      <calculatedColumnFormula>+ISNUMBER(SEARCH('F-COMPRA'!#REF!,Tabla11[[#This Row],[Cuenta]],1))</calculatedColumnFormula>
    </tableColumn>
    <tableColumn id="52" xr3:uid="{801256B4-2BF8-4799-9D91-95F48D03AF33}" name="AUX 155">
      <calculatedColumnFormula>+ISNUMBER(SEARCH('F-COMPRA'!#REF!,Tabla11[[#This Row],[Cuenta]],1))</calculatedColumnFormula>
    </tableColumn>
    <tableColumn id="51" xr3:uid="{735A7FB4-32A8-4582-9CE2-20B19AD4A9E9}" name="AUX 154">
      <calculatedColumnFormula>+ISNUMBER(SEARCH('F-COMPRA'!#REF!,Tabla11[[#This Row],[Cuenta]],1))</calculatedColumnFormula>
    </tableColumn>
    <tableColumn id="50" xr3:uid="{3736609A-3770-40F0-BE63-AB31E6EC3F7F}" name="AUX 153">
      <calculatedColumnFormula>+ISNUMBER(SEARCH('F-COMPRA'!#REF!,Tabla11[[#This Row],[Cuenta]],1))</calculatedColumnFormula>
    </tableColumn>
    <tableColumn id="49" xr3:uid="{F7E77568-4CC6-43A7-9314-48DB2BA167B5}" name="AUX 152">
      <calculatedColumnFormula>+ISNUMBER(SEARCH('F-COMPRA'!#REF!,Tabla11[[#This Row],[Cuenta]],1))</calculatedColumnFormula>
    </tableColumn>
    <tableColumn id="20" xr3:uid="{A62D1167-D845-4CAD-AD5C-D75E0C97C4A3}" name="AUX 16">
      <calculatedColumnFormula>+ISNUMBER(SEARCH('F-COMPRA'!#REF!,Tabla11[[#This Row],[Cuenta]],1))</calculatedColumnFormula>
    </tableColumn>
    <tableColumn id="21" xr3:uid="{AC79B7E8-294E-4269-BD7D-78216DC8C2B3}" name="AUX 17" dataDxfId="57">
      <calculatedColumnFormula>+ISNUMBER(SEARCH('F-VTA'!$G$23,Tabla11[[#This Row],[Cuenta]],1))</calculatedColumnFormula>
    </tableColumn>
    <tableColumn id="22" xr3:uid="{ECD9D44B-CBF2-46F9-9A89-DB2DCAC79638}" name="AUX 18" dataDxfId="56">
      <calculatedColumnFormula>+ISNUMBER(SEARCH('F-VTA'!$G$24,Tabla11[[#This Row],[Cuenta]],1))</calculatedColumnFormula>
    </tableColumn>
    <tableColumn id="23" xr3:uid="{C21AB18D-269B-4329-8905-9CDFBBBD19F0}" name="AUX 19" dataDxfId="55">
      <calculatedColumnFormula>+ISNUMBER(SEARCH('F-VTA'!$G$25,Tabla11[[#This Row],[Cuenta]],1))</calculatedColumnFormula>
    </tableColumn>
    <tableColumn id="24" xr3:uid="{4E786F1F-4C43-4010-952D-5A0F68942D42}" name="AUX 20" dataDxfId="54">
      <calculatedColumnFormula>+ISNUMBER(SEARCH('F-VTA'!$F$28,Tabla11[[#This Row],[Cuenta]],1))</calculatedColumnFormula>
    </tableColumn>
    <tableColumn id="25" xr3:uid="{9E8195CC-FE27-4151-98F7-AB91AC8CD248}" name="AUX 21" dataDxfId="53">
      <calculatedColumnFormula>+ISNUMBER(SEARCH('F-VTA'!$F$29,Tabla11[[#This Row],[Cuenta]],1))</calculatedColumnFormula>
    </tableColumn>
    <tableColumn id="26" xr3:uid="{F8540A9F-300C-4958-8056-426C95AB3A03}" name="AUX 22" dataDxfId="52">
      <calculatedColumnFormula>+ISNUMBER(SEARCH('F-VTA'!$F$30,Tabla11[[#This Row],[Cuenta]],1))</calculatedColumnFormula>
    </tableColumn>
    <tableColumn id="27" xr3:uid="{89821ADF-FD8A-4FDC-A1AF-1580AF3F29CF}" name="AUX 23" dataDxfId="51">
      <calculatedColumnFormula>+ISNUMBER(SEARCH('F-VTA'!$F$31,Tabla11[[#This Row],[Cuenta]],1))</calculatedColumnFormula>
    </tableColumn>
    <tableColumn id="28" xr3:uid="{31B638CE-5804-400D-A51F-8945AF402371}" name="AUX 24" dataDxfId="50">
      <calculatedColumnFormula>+ISNUMBER(SEARCH('F-VTA'!$F$32,Tabla11[[#This Row],[Cuenta]],1))</calculatedColumnFormula>
    </tableColumn>
    <tableColumn id="29" xr3:uid="{702C0E30-5EB0-46BC-99A6-4396B38C31D4}" name="AUX 25" dataDxfId="49">
      <calculatedColumnFormula>+ISNUMBER(SEARCH('F-VTA'!$F$33,Tabla11[[#This Row],[Cuenta]],1))</calculatedColumnFormula>
    </tableColumn>
    <tableColumn id="30" xr3:uid="{899E0CF0-DF69-4BDA-A73F-6495A9DBD2D7}" name="AUX 26" dataDxfId="48">
      <calculatedColumnFormula>+ISNUMBER(SEARCH('F-VTA'!$F$34,Tabla11[[#This Row],[Cuenta]],1))</calculatedColumnFormula>
    </tableColumn>
    <tableColumn id="31" xr3:uid="{57C21D25-698E-424D-9EA6-95A6350C9803}" name="AUX 27" dataDxfId="47">
      <calculatedColumnFormula>+ISNUMBER(SEARCH('F-VTA'!$F$35,Tabla11[[#This Row],[Cuenta]],1))</calculatedColumnFormula>
    </tableColumn>
    <tableColumn id="32" xr3:uid="{C4290166-5190-404F-8E57-927874BAFB4F}" name="AUX 28" dataDxfId="46">
      <calculatedColumnFormula>+ISNUMBER(SEARCH('F-VTA'!$F$36,Tabla11[[#This Row],[Cuenta]],1))</calculatedColumnFormula>
    </tableColumn>
    <tableColumn id="33" xr3:uid="{715B1976-1476-4ACA-B45D-E2D62EF9A7A3}" name="AUX 29">
      <calculatedColumnFormula>+ISNUMBER(SEARCH(#REF!,Tabla11[[#This Row],[Cuenta]],1))</calculatedColumnFormula>
    </tableColumn>
    <tableColumn id="34" xr3:uid="{2E358C14-EF99-43ED-BE60-B1C57C25A5B7}" name="AUX 30">
      <calculatedColumnFormula>+ISNUMBER(SEARCH(#REF!,Tabla11[[#This Row],[Cuenta]],1))</calculatedColumnFormula>
    </tableColumn>
    <tableColumn id="35" xr3:uid="{061CA415-D23B-4CBD-BF03-D03585BC207C}" name="AUX 31">
      <calculatedColumnFormula>+ISNUMBER(SEARCH(#REF!,Tabla11[[#This Row],[Cuenta]],1))</calculatedColumnFormula>
    </tableColumn>
    <tableColumn id="36" xr3:uid="{64E6F9FD-A296-41FB-A361-CD7954F5DE15}" name="AUX 32" dataDxfId="45">
      <calculatedColumnFormula>+ISNUMBER(SEARCH('Conc. Ban.1'!$I$9,Tabla11[[#This Row],[Cuenta]],1))</calculatedColumnFormula>
    </tableColumn>
    <tableColumn id="37" xr3:uid="{0173B20E-361B-414B-8C49-7B93ACDCBDD7}" name="AUX 33" dataDxfId="44">
      <calculatedColumnFormula>+ISNUMBER(SEARCH(CompConta!$F$21,Tabla11[[#This Row],[Cuenta]],1))</calculatedColumnFormula>
    </tableColumn>
    <tableColumn id="38" xr3:uid="{98FB8633-5B60-4371-9E58-A091BA7E69D3}" name="AUX 34" dataDxfId="43">
      <calculatedColumnFormula>+ISNUMBER(SEARCH(CompConta!$F$22,Tabla11[[#This Row],[Cuenta]],1))</calculatedColumnFormula>
    </tableColumn>
    <tableColumn id="39" xr3:uid="{D32AE9CB-1FB9-4669-A10E-37AC8D647701}" name="AUX 35" dataDxfId="42">
      <calculatedColumnFormula>+ISNUMBER(SEARCH(CompConta!$F$23,Tabla11[[#This Row],[Cuenta]],1))</calculatedColumnFormula>
    </tableColumn>
    <tableColumn id="40" xr3:uid="{34F4A737-1931-493D-B3F3-548B063510C2}" name="AUX 36" dataDxfId="41">
      <calculatedColumnFormula>+ISNUMBER(SEARCH(CompConta!$F$24,Tabla11[[#This Row],[Cuenta]],1))</calculatedColumnFormula>
    </tableColumn>
    <tableColumn id="41" xr3:uid="{5EBCB2AC-BCE0-4AF9-B57A-D18BCB701887}" name="AUX 37" dataDxfId="40">
      <calculatedColumnFormula>+ISNUMBER(SEARCH(CompConta!$F$25,Tabla11[[#This Row],[Cuenta]],1))</calculatedColumnFormula>
    </tableColumn>
    <tableColumn id="59" xr3:uid="{8A14DED5-B3C5-4889-8383-048FD16EB512}" name="AUX 375" dataDxfId="39">
      <calculatedColumnFormula>+ISNUMBER(SEARCH(CompConta!$F$26,Tabla11[[#This Row],[Cuenta]],1))</calculatedColumnFormula>
    </tableColumn>
    <tableColumn id="58" xr3:uid="{2DAF25A2-B437-4EDB-8696-E8F93B9880FE}" name="AUX 374" dataDxfId="38">
      <calculatedColumnFormula>+ISNUMBER(SEARCH(CompConta!$F$27,Tabla11[[#This Row],[Cuenta]],1))</calculatedColumnFormula>
    </tableColumn>
    <tableColumn id="57" xr3:uid="{37D4E687-AC74-4D67-B709-A2A7ABD27A96}" name="AUX 373" dataDxfId="37">
      <calculatedColumnFormula>+ISNUMBER(SEARCH(CompConta!$F$28,Tabla11[[#This Row],[Cuenta]],1))</calculatedColumnFormula>
    </tableColumn>
    <tableColumn id="56" xr3:uid="{43D1993A-6BA5-4569-805F-A1415AA2322E}" name="AUX 372" dataDxfId="36">
      <calculatedColumnFormula>+ISNUMBER(SEARCH(CompConta!$F$29,Tabla11[[#This Row],[Cuenta]],1))</calculatedColumnFormula>
    </tableColumn>
    <tableColumn id="42" xr3:uid="{C34A6508-9C01-499E-9306-F2BE44945A55}" name="AUX 38" dataDxfId="35">
      <calculatedColumnFormula>+ISNUMBER(SEARCH(CompConta!$F$30,Tabla11[[#This Row],[Cuenta]],1))</calculatedColumnFormula>
    </tableColumn>
    <tableColumn id="43" xr3:uid="{507E5C5B-116F-4E0F-8F3F-F301FAA13873}" name="AUX 39" dataDxfId="34">
      <calculatedColumnFormula>+ISNUMBER(SEARCH('PAGO Compras'!$E$11,Tabla11[[#This Row],[Cuenta]],1))</calculatedColumnFormula>
    </tableColumn>
    <tableColumn id="44" xr3:uid="{5C3D87E4-3639-46EA-8F11-E966CFD690DA}" name="AUX 40">
      <calculatedColumnFormula>+ISNUMBER(SEARCH(#REF!,Tabla11[[#This Row],[Cuenta]],1))</calculatedColumnFormula>
    </tableColumn>
    <tableColumn id="45" xr3:uid="{1AD97F87-0CCC-4075-82B7-C1B791977944}" name="AUX 41">
      <calculatedColumnFormula>+ISNUMBER(SEARCH(#REF!,Tabla11[[#This Row],[Cuenta]],1))</calculatedColumnFormula>
    </tableColumn>
    <tableColumn id="46" xr3:uid="{E92DCA90-6E1A-4327-861C-518298502519}" name="AUX 42">
      <calculatedColumnFormula>+ISNUMBER(SEARCH(#REF!,Tabla11[[#This Row],[Cuenta]],1))</calculatedColumnFormula>
    </tableColumn>
    <tableColumn id="48" xr3:uid="{23D7CDC2-6C83-4C5B-9A85-614D3931F4BE}" name="AUX 43">
      <calculatedColumnFormula>+ISNUMBER(SEARCH(#REF!,Tabla11[[#This Row],[Cuenta]],1))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hyperlink" Target="mailto:55-134567UI@100-2362626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hyperlink" Target="mailto:55-134567UI@100-2362626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hyperlink" Target="mailto:55-134567UI@100-2362626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hyperlink" Target="mailto:55-134567UI@100-2362626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drawing" Target="../drawings/drawing7.xml"/><Relationship Id="rId4" Type="http://schemas.openxmlformats.org/officeDocument/2006/relationships/table" Target="../tables/table5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7.xml"/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4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5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6.bin"/><Relationship Id="rId6" Type="http://schemas.openxmlformats.org/officeDocument/2006/relationships/table" Target="../tables/table12.xml"/><Relationship Id="rId5" Type="http://schemas.openxmlformats.org/officeDocument/2006/relationships/table" Target="../tables/table11.xml"/><Relationship Id="rId4" Type="http://schemas.openxmlformats.org/officeDocument/2006/relationships/table" Target="../tables/table10.x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3.xml"/><Relationship Id="rId1" Type="http://schemas.openxmlformats.org/officeDocument/2006/relationships/drawing" Target="../drawings/drawing14.xm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4.xml"/><Relationship Id="rId1" Type="http://schemas.openxmlformats.org/officeDocument/2006/relationships/drawing" Target="../drawings/drawing15.xm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5.xml"/><Relationship Id="rId1" Type="http://schemas.openxmlformats.org/officeDocument/2006/relationships/drawing" Target="../drawings/drawing16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7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8.bin"/><Relationship Id="rId1" Type="http://schemas.openxmlformats.org/officeDocument/2006/relationships/pivotTable" Target="../pivotTables/pivotTable1.xml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ivotTable" Target="../pivotTables/pivotTable2.xml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ivotTable" Target="../pivotTables/pivotTable3.xm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6.xml"/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2C8AB5-7626-47D0-A70E-C3EDAC427847}">
  <sheetPr codeName="Hoja2"/>
  <dimension ref="B1:M43"/>
  <sheetViews>
    <sheetView showGridLines="0" showRowColHeaders="0" tabSelected="1" workbookViewId="0"/>
  </sheetViews>
  <sheetFormatPr baseColWidth="10" defaultRowHeight="14.25"/>
  <cols>
    <col min="1" max="1" width="12" style="1"/>
    <col min="2" max="2" width="24.5" style="1" customWidth="1"/>
    <col min="3" max="3" width="16.6640625" style="1" customWidth="1"/>
    <col min="4" max="4" width="13" style="1" customWidth="1"/>
    <col min="5" max="5" width="22.83203125" style="1" bestFit="1" customWidth="1"/>
    <col min="6" max="6" width="17.33203125" style="1" customWidth="1"/>
    <col min="7" max="7" width="12" style="1"/>
    <col min="8" max="8" width="20" style="1" customWidth="1"/>
    <col min="9" max="9" width="29.1640625" style="1" customWidth="1"/>
    <col min="10" max="16384" width="12" style="1"/>
  </cols>
  <sheetData>
    <row r="1" spans="2:13" ht="15" thickBot="1"/>
    <row r="2" spans="2:13" ht="30" customHeight="1" thickBot="1">
      <c r="B2" s="243" t="s">
        <v>1016</v>
      </c>
      <c r="C2" s="244"/>
      <c r="D2" s="244"/>
      <c r="E2" s="244"/>
      <c r="F2" s="244"/>
      <c r="G2" s="244"/>
      <c r="H2" s="244"/>
      <c r="I2" s="244"/>
      <c r="J2" s="244"/>
      <c r="K2" s="244"/>
      <c r="L2" s="244"/>
      <c r="M2" s="245"/>
    </row>
    <row r="5" spans="2:13" ht="15" thickBot="1"/>
    <row r="6" spans="2:13" ht="15" thickBot="1">
      <c r="B6" s="2" t="s">
        <v>1017</v>
      </c>
      <c r="E6" s="155" t="s">
        <v>1272</v>
      </c>
      <c r="H6" s="2" t="s">
        <v>1022</v>
      </c>
    </row>
    <row r="7" spans="2:13" ht="15" thickBot="1"/>
    <row r="8" spans="2:13" ht="15" thickBot="1">
      <c r="B8" s="156" t="s">
        <v>1020</v>
      </c>
      <c r="C8" s="155"/>
      <c r="E8" s="156" t="s">
        <v>1020</v>
      </c>
      <c r="F8" s="155"/>
      <c r="H8" s="156" t="s">
        <v>1021</v>
      </c>
      <c r="I8" s="155"/>
    </row>
    <row r="9" spans="2:13" ht="15" thickBot="1"/>
    <row r="10" spans="2:13" ht="15" thickBot="1">
      <c r="B10" s="156" t="s">
        <v>1020</v>
      </c>
      <c r="C10" s="155"/>
      <c r="E10" s="156" t="s">
        <v>1020</v>
      </c>
      <c r="F10" s="155"/>
      <c r="H10" s="156" t="s">
        <v>960</v>
      </c>
      <c r="I10" s="155"/>
    </row>
    <row r="11" spans="2:13" ht="15" thickBot="1"/>
    <row r="12" spans="2:13" ht="15" thickBot="1">
      <c r="B12" s="156" t="s">
        <v>1020</v>
      </c>
      <c r="C12" s="155"/>
      <c r="E12" s="156" t="s">
        <v>1020</v>
      </c>
      <c r="F12" s="155"/>
      <c r="H12" s="156" t="s">
        <v>24</v>
      </c>
      <c r="I12" s="155"/>
      <c r="K12" s="156" t="s">
        <v>1023</v>
      </c>
      <c r="L12" s="156" t="str">
        <f>IF(I12&lt;&gt;"",IF(MOD((VALUE(MID(TEXT(I12,"000000000000000"),15,1))*3+VALUE(MID(TEXT(I12,"000000000000000"),14,1))*7+VALUE(MID(TEXT(I12,"000000000000000"),13,1))*13+VALUE(MID(TEXT(I12,"000000000000000"),12,1))*17+VALUE(MID(TEXT(I12,"000000000000000"),11,1))*19+VALUE(MID(TEXT(I12,"000000000000000"),10,1))*23+VALUE(MID(TEXT(I12,"000000000000000"),9,1))*29+VALUE(MID(TEXT(I12,"000000000000000"),8,1))*37+VALUE(MID(TEXT(I12,"000000000000000"),7,1))*41+VALUE(MID(TEXT(I12,"000000000000000"),6,1))*43+VALUE(MID(TEXT(I12,"000000000000000"),5,1))*47+VALUE(MID(TEXT(I12,"000000000000000"),4,1))*53+VALUE(MID(TEXT(I12,"000000000000000"),3,1))*59+VALUE(MID(TEXT(I12,"000000000000000"),2,1))*67+VALUE(MID(TEXT(I12,"000000000000000"),1,1))*71),11)=0,0,IF(MOD((VALUE(MID(TEXT(I12,"000000000000000"),15,1))*3+VALUE(MID(TEXT(I12,"000000000000000"),14,1))*7+VALUE(MID(TEXT(I12,"000000000000000"),13,1))*13+VALUE(MID(TEXT(I12,"000000000000000"),12,1))*17+VALUE(MID(TEXT(I12,"000000000000000"),11,1))*19+VALUE(MID(TEXT(I12,"000000000000000"),10,1))*23+VALUE(MID(TEXT(I12,"000000000000000"),9,1))*29+VALUE(MID(TEXT(I12,"000000000000000"),8,1))*37+VALUE(MID(TEXT(I12,"000000000000000"),7,1))*41+VALUE(MID(TEXT(I12,"000000000000000"),6,1))*43+VALUE(MID(TEXT(I12,"000000000000000"),5,1))*47+VALUE(MID(TEXT(I12,"000000000000000"),4,1))*53+VALUE(MID(TEXT(I12,"000000000000000"),3,1))*59+VALUE(MID(TEXT(I12,"000000000000000"),2,1))*67+VALUE(MID(TEXT(I12,"000000000000000"),1,1))*71),11)=1,1,11-MOD((VALUE(MID(TEXT(I12,"000000000000000"),15,1))*3+VALUE(MID(TEXT(I12,"000000000000000"),14,1))*7+VALUE(MID(TEXT(I12,"000000000000000"),13,1))*13+VALUE(MID(TEXT(I12,"000000000000000"),12,1))*17+VALUE(MID(TEXT(I12,"000000000000000"),11,1))*19+VALUE(MID(TEXT(I12,"000000000000000"),10,1))*23+VALUE(MID(TEXT(I12,"000000000000000"),9,1))*29+VALUE(MID(TEXT(I12,"000000000000000"),8,1))*37+VALUE(MID(TEXT(I12,"000000000000000"),7,1))*41+VALUE(MID(TEXT(I12,"000000000000000"),6,1))*43+VALUE(MID(TEXT(I12,"000000000000000"),5,1))*47+VALUE(MID(TEXT(I12,"000000000000000"),4,1))*53+VALUE(MID(TEXT(I12,"000000000000000"),3,1))*59+VALUE(MID(TEXT(I12,"000000000000000"),2,1))*67+VALUE(MID(TEXT(I12,"000000000000000"),1,1))*71),11))),"")</f>
        <v/>
      </c>
    </row>
    <row r="13" spans="2:13" ht="15" thickBot="1"/>
    <row r="14" spans="2:13" ht="15" thickBot="1">
      <c r="H14" s="156" t="s">
        <v>961</v>
      </c>
      <c r="I14" s="155" t="s">
        <v>814</v>
      </c>
    </row>
    <row r="15" spans="2:13">
      <c r="B15" s="2" t="s">
        <v>1075</v>
      </c>
    </row>
    <row r="16" spans="2:13">
      <c r="B16" s="2"/>
    </row>
    <row r="17" spans="2:13" ht="15" thickBot="1">
      <c r="B17" s="2" t="s">
        <v>1076</v>
      </c>
    </row>
    <row r="18" spans="2:13" ht="15" thickBot="1">
      <c r="B18" s="246"/>
      <c r="C18" s="247"/>
      <c r="D18" s="248"/>
    </row>
    <row r="20" spans="2:13" ht="15" thickBot="1"/>
    <row r="21" spans="2:13" ht="23.25" customHeight="1" thickBot="1">
      <c r="B21" s="243" t="s">
        <v>1125</v>
      </c>
      <c r="C21" s="244"/>
      <c r="D21" s="244"/>
      <c r="E21" s="244"/>
      <c r="F21" s="244"/>
      <c r="G21" s="244"/>
      <c r="H21" s="244"/>
      <c r="I21" s="244"/>
      <c r="J21" s="244"/>
      <c r="K21" s="244"/>
      <c r="L21" s="244"/>
      <c r="M21" s="245"/>
    </row>
    <row r="23" spans="2:13">
      <c r="B23" s="216" t="s">
        <v>1148</v>
      </c>
      <c r="C23" s="217"/>
      <c r="D23" s="217"/>
      <c r="E23" s="217"/>
      <c r="F23" s="217"/>
      <c r="G23" s="217"/>
      <c r="H23" s="217"/>
      <c r="I23" s="217"/>
      <c r="J23" s="217"/>
      <c r="K23" s="217"/>
      <c r="L23" s="217"/>
      <c r="M23" s="217"/>
    </row>
    <row r="28" spans="2:13">
      <c r="B28" s="216" t="s">
        <v>1149</v>
      </c>
      <c r="C28" s="217"/>
      <c r="D28" s="217"/>
      <c r="E28" s="217"/>
      <c r="F28" s="217"/>
      <c r="G28" s="217"/>
      <c r="H28" s="217"/>
      <c r="I28" s="217"/>
      <c r="J28" s="217"/>
      <c r="K28" s="217"/>
      <c r="L28" s="217"/>
      <c r="M28" s="217"/>
    </row>
    <row r="29" spans="2:13">
      <c r="B29" s="2"/>
    </row>
    <row r="33" spans="2:13">
      <c r="B33" s="216" t="s">
        <v>1150</v>
      </c>
      <c r="C33" s="217"/>
      <c r="D33" s="217"/>
      <c r="E33" s="217"/>
      <c r="F33" s="217"/>
      <c r="G33" s="217"/>
      <c r="H33" s="217"/>
      <c r="I33" s="217"/>
      <c r="J33" s="217"/>
      <c r="K33" s="217"/>
      <c r="L33" s="217"/>
      <c r="M33" s="217"/>
    </row>
    <row r="34" spans="2:13">
      <c r="B34" s="2"/>
    </row>
    <row r="38" spans="2:13">
      <c r="B38" s="216" t="s">
        <v>754</v>
      </c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</row>
    <row r="39" spans="2:13">
      <c r="B39" s="2"/>
    </row>
    <row r="43" spans="2:13">
      <c r="B43" s="216" t="s">
        <v>1151</v>
      </c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</row>
  </sheetData>
  <mergeCells count="3">
    <mergeCell ref="B2:M2"/>
    <mergeCell ref="B18:D18"/>
    <mergeCell ref="B21:M21"/>
  </mergeCells>
  <dataValidations count="1">
    <dataValidation type="list" allowBlank="1" showInputMessage="1" showErrorMessage="1" sqref="E6" xr:uid="{F6FE0720-0ABB-49FC-BA86-85F1E222DDAF}">
      <formula1>"SI,NO"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AC93C6D-95C6-4D50-A609-223321AFEF8B}">
          <x14:formula1>
            <xm:f>'Otras BD'!$E$6:$E$12</xm:f>
          </x14:formula1>
          <xm:sqref>C8 C10 C12 F8 F10 F12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395577-0ACB-4809-BF59-D1D1F75ACF97}">
  <sheetPr codeName="Hoja8"/>
  <dimension ref="B3"/>
  <sheetViews>
    <sheetView showGridLines="0" workbookViewId="0"/>
  </sheetViews>
  <sheetFormatPr baseColWidth="10" defaultRowHeight="10.5"/>
  <cols>
    <col min="2" max="2" width="19.6640625" customWidth="1"/>
    <col min="3" max="3" width="20.6640625" bestFit="1" customWidth="1"/>
  </cols>
  <sheetData>
    <row r="3" spans="2:2" ht="14.25">
      <c r="B3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2BE805-43FC-46E2-A39C-5AE4B8E3EDA2}">
  <sheetPr codeName="Hoja24"/>
  <dimension ref="C1:BJ583"/>
  <sheetViews>
    <sheetView showGridLines="0" showRowColHeaders="0" workbookViewId="0"/>
  </sheetViews>
  <sheetFormatPr baseColWidth="10" defaultRowHeight="12.75"/>
  <cols>
    <col min="1" max="1" width="19.33203125" customWidth="1"/>
    <col min="4" max="4" width="20.83203125" style="33" customWidth="1"/>
    <col min="5" max="5" width="20.6640625" style="33" bestFit="1" customWidth="1"/>
    <col min="6" max="6" width="44.1640625" customWidth="1"/>
    <col min="7" max="7" width="20.6640625" style="104" bestFit="1" customWidth="1"/>
    <col min="8" max="8" width="39.5" customWidth="1"/>
    <col min="9" max="9" width="22.1640625" hidden="1" customWidth="1"/>
    <col min="10" max="10" width="22.1640625" customWidth="1"/>
    <col min="11" max="11" width="19.6640625" bestFit="1" customWidth="1"/>
    <col min="12" max="13" width="19.6640625" customWidth="1"/>
    <col min="14" max="14" width="25.1640625" hidden="1" customWidth="1"/>
    <col min="15" max="15" width="23.5" hidden="1" customWidth="1"/>
    <col min="16" max="25" width="19.6640625" hidden="1" customWidth="1"/>
    <col min="26" max="26" width="9.1640625" hidden="1" customWidth="1"/>
    <col min="27" max="41" width="28" hidden="1" customWidth="1"/>
    <col min="42" max="42" width="21.6640625" hidden="1" customWidth="1"/>
    <col min="43" max="51" width="0" hidden="1" customWidth="1"/>
    <col min="52" max="52" width="13.5" hidden="1" customWidth="1"/>
    <col min="53" max="53" width="23.83203125" hidden="1" customWidth="1"/>
    <col min="54" max="58" width="0" hidden="1" customWidth="1"/>
    <col min="59" max="60" width="11.1640625" hidden="1" customWidth="1"/>
    <col min="61" max="61" width="20" hidden="1" customWidth="1"/>
    <col min="62" max="62" width="0" hidden="1" customWidth="1"/>
  </cols>
  <sheetData>
    <row r="1" spans="3:62">
      <c r="G1" s="48"/>
    </row>
    <row r="2" spans="3:62" ht="13.5" thickBot="1">
      <c r="G2" s="48"/>
      <c r="BC2" s="29" t="s">
        <v>886</v>
      </c>
      <c r="BE2" t="str">
        <f>LEFT(BC2, (LEN(BC2)-(LEN($BC2)-LEN(RIGHT($BC2,SEARCH("@",$BC2)))))-1)</f>
        <v>55-134567UI</v>
      </c>
      <c r="BF2" t="str">
        <f>RIGHT($BC2,(LEN($BC2)-LEN(RIGHT($BC2,SEARCH("@",$BC2)))))</f>
        <v>100-2362626</v>
      </c>
    </row>
    <row r="3" spans="3:62">
      <c r="C3" s="189"/>
      <c r="D3" s="190"/>
      <c r="E3" s="190"/>
      <c r="F3" s="191"/>
      <c r="G3" s="192"/>
      <c r="H3" s="191"/>
      <c r="I3" s="191"/>
      <c r="J3" s="191"/>
      <c r="K3" s="193"/>
    </row>
    <row r="4" spans="3:62" ht="22.5">
      <c r="C4" s="194"/>
      <c r="E4" s="249" t="s">
        <v>1122</v>
      </c>
      <c r="F4" s="250"/>
      <c r="G4" s="250"/>
      <c r="H4" s="250"/>
      <c r="K4" s="196"/>
      <c r="L4" s="103"/>
      <c r="M4" s="103"/>
      <c r="N4" s="103"/>
      <c r="O4" s="103"/>
      <c r="P4" s="103"/>
      <c r="Q4" s="103"/>
      <c r="R4" s="103"/>
      <c r="S4" s="103"/>
      <c r="T4" s="103"/>
      <c r="U4" s="103"/>
      <c r="V4" s="103"/>
      <c r="W4" s="103"/>
      <c r="X4" s="103"/>
      <c r="Y4" s="103"/>
    </row>
    <row r="5" spans="3:62">
      <c r="C5" s="194"/>
      <c r="G5" s="195"/>
      <c r="K5" s="197"/>
    </row>
    <row r="6" spans="3:62" ht="15" thickBot="1">
      <c r="C6" s="194"/>
      <c r="G6" s="195"/>
      <c r="K6" s="197"/>
      <c r="AT6" s="1"/>
      <c r="AU6" s="1"/>
      <c r="AV6" s="1"/>
      <c r="AZ6" s="52" t="s">
        <v>887</v>
      </c>
      <c r="BA6" t="s">
        <v>909</v>
      </c>
      <c r="BB6" t="s">
        <v>883</v>
      </c>
      <c r="BC6" t="s">
        <v>770</v>
      </c>
      <c r="BD6" t="s">
        <v>773</v>
      </c>
      <c r="BE6" t="s">
        <v>774</v>
      </c>
      <c r="BF6" t="s">
        <v>851</v>
      </c>
      <c r="BG6" t="s">
        <v>875</v>
      </c>
      <c r="BH6" t="s">
        <v>913</v>
      </c>
    </row>
    <row r="7" spans="3:62" ht="15" thickBot="1">
      <c r="C7" s="194"/>
      <c r="D7" s="181" t="s">
        <v>859</v>
      </c>
      <c r="E7" s="121"/>
      <c r="G7" s="181" t="s">
        <v>1034</v>
      </c>
      <c r="H7" s="121"/>
      <c r="K7" s="197"/>
      <c r="AT7" s="1"/>
      <c r="AU7" s="1"/>
      <c r="AV7" s="1"/>
      <c r="AZ7" s="29"/>
      <c r="BA7" s="57" t="s">
        <v>912</v>
      </c>
      <c r="BB7" t="s">
        <v>884</v>
      </c>
      <c r="BC7">
        <v>5105</v>
      </c>
      <c r="BD7">
        <v>70000</v>
      </c>
      <c r="BE7">
        <v>0</v>
      </c>
      <c r="BF7">
        <f>BD7-BE7</f>
        <v>70000</v>
      </c>
      <c r="BG7" t="str">
        <f t="shared" ref="BG7:BG28" si="0">IF(( SUMIFS($BE$7:$BE$32,$BC$7:$BC$32,2205,$BB$7:$BB$32,"="&amp;BB7,$BH$7:$BH$32, (LEFT(BA7,SEARCH("-",BA7)-1)) ) - SUMIFS($BD$7:$BD$32,$BB$7:$BB$32,"="&amp;BB7,$AZ$7:$AZ$32,(LEFT(BA7,SEARCH("-",BA7)-1))) )=0,"PAGADO","NO PAGADO")</f>
        <v>PAGADO</v>
      </c>
      <c r="BH7" t="str">
        <f t="shared" ref="BH7:BH28" si="1">IFERROR(LEFT(BA7,SEARCH("-",BA7)-1),0)</f>
        <v>7888</v>
      </c>
    </row>
    <row r="8" spans="3:62" ht="13.5" thickBot="1">
      <c r="C8" s="194"/>
      <c r="F8" s="50"/>
      <c r="G8"/>
      <c r="K8" s="197"/>
      <c r="AZ8" s="29"/>
      <c r="BA8" s="57" t="s">
        <v>911</v>
      </c>
      <c r="BB8" t="s">
        <v>884</v>
      </c>
      <c r="BC8">
        <v>0</v>
      </c>
      <c r="BD8">
        <v>0</v>
      </c>
      <c r="BE8">
        <v>0</v>
      </c>
      <c r="BF8">
        <f t="shared" ref="BF8:BF28" si="2">BD8-BE8</f>
        <v>0</v>
      </c>
      <c r="BG8" t="str">
        <f t="shared" si="0"/>
        <v>PAGADO</v>
      </c>
      <c r="BH8" t="str">
        <f t="shared" si="1"/>
        <v>7888</v>
      </c>
      <c r="BJ8" t="str">
        <f>IF(BA7=0, "PAGADO", IF((SUMIFS($BF$7:$BF$19,$BC$7:$BC$19,2205,$BB$7:$BB$19,"="&amp;BB7,$AZ$7:$AZ$19,BA7) + SUMIFS($BD$7:$BD$19,$BC$7:$BC$19,2205,$BB$7:$BB$19,"="&amp;BB7,$BA$7:$BA$19,BA7) )=0,"PAGADO","NO PAGADO"))</f>
        <v>PAGADO</v>
      </c>
    </row>
    <row r="9" spans="3:62" ht="15" thickBot="1">
      <c r="C9" s="194"/>
      <c r="D9" s="181" t="s">
        <v>860</v>
      </c>
      <c r="E9" s="120"/>
      <c r="G9" s="181" t="s">
        <v>1078</v>
      </c>
      <c r="H9" s="132" t="s">
        <v>766</v>
      </c>
      <c r="K9" s="197"/>
      <c r="AZ9" s="29"/>
      <c r="BA9" s="57" t="s">
        <v>910</v>
      </c>
      <c r="BB9" t="s">
        <v>884</v>
      </c>
      <c r="BC9">
        <v>2205</v>
      </c>
      <c r="BE9">
        <v>70000</v>
      </c>
      <c r="BF9">
        <f t="shared" si="2"/>
        <v>-70000</v>
      </c>
      <c r="BG9" t="str">
        <f t="shared" si="0"/>
        <v>PAGADO</v>
      </c>
      <c r="BH9" t="str">
        <f t="shared" si="1"/>
        <v>7888</v>
      </c>
    </row>
    <row r="10" spans="3:62" ht="13.5" thickBot="1">
      <c r="C10" s="194"/>
      <c r="F10" s="33"/>
      <c r="G10"/>
      <c r="K10" s="197"/>
      <c r="AZ10" s="29"/>
      <c r="BA10" t="s">
        <v>880</v>
      </c>
      <c r="BB10" t="s">
        <v>885</v>
      </c>
      <c r="BC10">
        <v>5107</v>
      </c>
      <c r="BD10">
        <v>10000</v>
      </c>
      <c r="BE10">
        <v>0</v>
      </c>
      <c r="BF10">
        <f t="shared" si="2"/>
        <v>10000</v>
      </c>
      <c r="BG10" t="str">
        <f t="shared" si="0"/>
        <v>PAGADO</v>
      </c>
      <c r="BH10" t="str">
        <f t="shared" si="1"/>
        <v>57</v>
      </c>
    </row>
    <row r="11" spans="3:62" ht="15" thickBot="1">
      <c r="C11" s="194"/>
      <c r="D11" s="181" t="s">
        <v>862</v>
      </c>
      <c r="E11" s="121"/>
      <c r="G11" s="181" t="s">
        <v>958</v>
      </c>
      <c r="H11" s="121"/>
      <c r="K11" s="197"/>
      <c r="AZ11" s="29"/>
      <c r="BA11" t="s">
        <v>881</v>
      </c>
      <c r="BB11" t="s">
        <v>885</v>
      </c>
      <c r="BC11">
        <v>0</v>
      </c>
      <c r="BD11">
        <v>0</v>
      </c>
      <c r="BE11">
        <v>0</v>
      </c>
      <c r="BF11">
        <f t="shared" si="2"/>
        <v>0</v>
      </c>
      <c r="BG11" t="str">
        <f t="shared" si="0"/>
        <v>PAGADO</v>
      </c>
      <c r="BH11" t="str">
        <f t="shared" si="1"/>
        <v>57</v>
      </c>
    </row>
    <row r="12" spans="3:62" ht="13.5" thickBot="1">
      <c r="C12" s="194"/>
      <c r="F12" s="33"/>
      <c r="G12"/>
      <c r="K12" s="197"/>
      <c r="AZ12" s="29"/>
      <c r="BA12" t="s">
        <v>882</v>
      </c>
      <c r="BB12" t="s">
        <v>885</v>
      </c>
      <c r="BC12">
        <v>2205</v>
      </c>
      <c r="BD12">
        <v>0</v>
      </c>
      <c r="BE12">
        <v>10000</v>
      </c>
      <c r="BF12">
        <f t="shared" si="2"/>
        <v>-10000</v>
      </c>
      <c r="BG12" t="str">
        <f t="shared" si="0"/>
        <v>PAGADO</v>
      </c>
      <c r="BH12" t="str">
        <f t="shared" si="1"/>
        <v>57</v>
      </c>
    </row>
    <row r="13" spans="3:62" ht="15" thickBot="1">
      <c r="C13" s="194"/>
      <c r="D13" s="181" t="s">
        <v>863</v>
      </c>
      <c r="E13" s="121"/>
      <c r="G13" s="181" t="s">
        <v>1092</v>
      </c>
      <c r="H13" s="132" t="s">
        <v>1091</v>
      </c>
      <c r="K13" s="197"/>
      <c r="AQ13" s="53" t="s">
        <v>889</v>
      </c>
      <c r="AZ13" s="57">
        <v>7888</v>
      </c>
      <c r="BA13" s="54">
        <v>0</v>
      </c>
      <c r="BB13" s="54" t="s">
        <v>884</v>
      </c>
      <c r="BC13" s="54">
        <v>2205</v>
      </c>
      <c r="BD13" s="54">
        <v>70000</v>
      </c>
      <c r="BE13" s="54"/>
      <c r="BF13" s="54">
        <f t="shared" si="2"/>
        <v>70000</v>
      </c>
      <c r="BG13" t="str">
        <f t="shared" si="0"/>
        <v>PAGADO</v>
      </c>
      <c r="BH13">
        <f t="shared" si="1"/>
        <v>0</v>
      </c>
    </row>
    <row r="14" spans="3:62" ht="13.5" thickBot="1">
      <c r="C14" s="194"/>
      <c r="F14" s="33"/>
      <c r="G14"/>
      <c r="K14" s="197"/>
      <c r="AQ14" t="s">
        <v>890</v>
      </c>
      <c r="AZ14" s="57">
        <v>7888</v>
      </c>
      <c r="BA14" s="54">
        <v>0</v>
      </c>
      <c r="BB14" s="54" t="s">
        <v>884</v>
      </c>
      <c r="BC14" s="54">
        <v>1105</v>
      </c>
      <c r="BD14" s="54"/>
      <c r="BE14" s="54">
        <v>70000</v>
      </c>
      <c r="BF14" s="54">
        <f t="shared" si="2"/>
        <v>-70000</v>
      </c>
      <c r="BG14" t="str">
        <f t="shared" si="0"/>
        <v>PAGADO</v>
      </c>
      <c r="BH14">
        <f t="shared" si="1"/>
        <v>0</v>
      </c>
    </row>
    <row r="15" spans="3:62" ht="15" thickBot="1">
      <c r="C15" s="194"/>
      <c r="G15" s="181" t="s">
        <v>1330</v>
      </c>
      <c r="H15" s="132"/>
      <c r="K15" s="197"/>
      <c r="AQ15" t="s">
        <v>891</v>
      </c>
      <c r="AZ15" s="29"/>
      <c r="BA15" t="s">
        <v>914</v>
      </c>
      <c r="BB15" t="s">
        <v>884</v>
      </c>
      <c r="BC15">
        <v>5105</v>
      </c>
      <c r="BD15">
        <v>50000</v>
      </c>
      <c r="BE15">
        <v>0</v>
      </c>
      <c r="BF15">
        <f t="shared" si="2"/>
        <v>50000</v>
      </c>
      <c r="BG15" t="str">
        <f t="shared" si="0"/>
        <v>NO PAGADO</v>
      </c>
      <c r="BH15" t="str">
        <f t="shared" si="1"/>
        <v>58</v>
      </c>
    </row>
    <row r="16" spans="3:62">
      <c r="C16" s="194"/>
      <c r="G16" s="195"/>
      <c r="K16" s="197"/>
      <c r="AQ16" t="s">
        <v>892</v>
      </c>
      <c r="AZ16" s="29"/>
      <c r="BA16" t="s">
        <v>915</v>
      </c>
      <c r="BB16" t="s">
        <v>884</v>
      </c>
      <c r="BC16">
        <v>0</v>
      </c>
      <c r="BD16">
        <v>0</v>
      </c>
      <c r="BE16">
        <v>0</v>
      </c>
      <c r="BF16">
        <f t="shared" si="2"/>
        <v>0</v>
      </c>
      <c r="BG16" t="str">
        <f t="shared" si="0"/>
        <v>NO PAGADO</v>
      </c>
      <c r="BH16" t="str">
        <f t="shared" si="1"/>
        <v>58</v>
      </c>
    </row>
    <row r="17" spans="3:60">
      <c r="C17" s="194"/>
      <c r="G17" s="195"/>
      <c r="K17" s="197"/>
      <c r="AQ17" t="s">
        <v>893</v>
      </c>
      <c r="AZ17" s="29"/>
      <c r="BA17" t="s">
        <v>916</v>
      </c>
      <c r="BB17" t="s">
        <v>884</v>
      </c>
      <c r="BC17">
        <v>2205</v>
      </c>
      <c r="BE17">
        <v>50000</v>
      </c>
      <c r="BF17">
        <f t="shared" si="2"/>
        <v>-50000</v>
      </c>
      <c r="BG17" t="str">
        <f t="shared" si="0"/>
        <v>NO PAGADO</v>
      </c>
      <c r="BH17" t="str">
        <f t="shared" si="1"/>
        <v>58</v>
      </c>
    </row>
    <row r="18" spans="3:60">
      <c r="C18" s="194"/>
      <c r="G18" s="195"/>
      <c r="K18" s="197"/>
      <c r="AQ18" t="s">
        <v>894</v>
      </c>
      <c r="AZ18">
        <v>57</v>
      </c>
      <c r="BA18" s="54">
        <v>0</v>
      </c>
      <c r="BB18" s="54" t="s">
        <v>885</v>
      </c>
      <c r="BC18" s="54">
        <v>2205</v>
      </c>
      <c r="BD18" s="54">
        <v>10000</v>
      </c>
      <c r="BE18" s="54"/>
      <c r="BF18" s="54">
        <f t="shared" si="2"/>
        <v>10000</v>
      </c>
      <c r="BG18" t="str">
        <f t="shared" si="0"/>
        <v>PAGADO</v>
      </c>
      <c r="BH18">
        <f t="shared" si="1"/>
        <v>0</v>
      </c>
    </row>
    <row r="19" spans="3:60" ht="14.25">
      <c r="C19" s="194"/>
      <c r="D19" s="204" t="s">
        <v>864</v>
      </c>
      <c r="E19" s="198"/>
      <c r="G19" s="195"/>
      <c r="K19" s="197"/>
      <c r="AQ19" t="s">
        <v>895</v>
      </c>
      <c r="AZ19">
        <v>57</v>
      </c>
      <c r="BA19" s="54">
        <v>0</v>
      </c>
      <c r="BB19" s="54" t="s">
        <v>885</v>
      </c>
      <c r="BC19" s="54">
        <v>1105</v>
      </c>
      <c r="BD19" s="54"/>
      <c r="BE19" s="54">
        <v>10000</v>
      </c>
      <c r="BF19" s="54">
        <f t="shared" si="2"/>
        <v>-10000</v>
      </c>
      <c r="BG19" t="str">
        <f t="shared" si="0"/>
        <v>PAGADO</v>
      </c>
      <c r="BH19">
        <f t="shared" si="1"/>
        <v>0</v>
      </c>
    </row>
    <row r="20" spans="3:60" ht="13.5" thickBot="1">
      <c r="C20" s="194"/>
      <c r="G20" s="195"/>
      <c r="K20" s="197"/>
      <c r="AH20" t="s">
        <v>1082</v>
      </c>
      <c r="AQ20" t="s">
        <v>896</v>
      </c>
      <c r="BA20" t="s">
        <v>914</v>
      </c>
      <c r="BB20" t="s">
        <v>885</v>
      </c>
      <c r="BC20">
        <v>5107</v>
      </c>
      <c r="BD20">
        <v>85000</v>
      </c>
      <c r="BF20">
        <f t="shared" si="2"/>
        <v>85000</v>
      </c>
      <c r="BG20" t="str">
        <f t="shared" si="0"/>
        <v>PAGADO</v>
      </c>
      <c r="BH20" t="str">
        <f t="shared" si="1"/>
        <v>58</v>
      </c>
    </row>
    <row r="21" spans="3:60" ht="22.5" thickBot="1">
      <c r="C21" s="194"/>
      <c r="D21" s="182" t="s">
        <v>872</v>
      </c>
      <c r="E21" s="182" t="s">
        <v>1077</v>
      </c>
      <c r="F21" s="182" t="s">
        <v>873</v>
      </c>
      <c r="G21" s="182" t="s">
        <v>1108</v>
      </c>
      <c r="H21" s="182" t="s">
        <v>851</v>
      </c>
      <c r="I21" s="209" t="s">
        <v>1109</v>
      </c>
      <c r="J21" s="182" t="s">
        <v>1119</v>
      </c>
      <c r="K21" s="197"/>
      <c r="L21" s="51"/>
      <c r="M21" s="51"/>
      <c r="N21" s="203" t="s">
        <v>1107</v>
      </c>
      <c r="O21" s="203" t="s">
        <v>1095</v>
      </c>
      <c r="P21" s="203" t="s">
        <v>1096</v>
      </c>
      <c r="Q21" s="203" t="s">
        <v>1097</v>
      </c>
      <c r="R21" s="203" t="s">
        <v>1100</v>
      </c>
      <c r="S21" s="203" t="s">
        <v>1103</v>
      </c>
      <c r="T21" s="203" t="s">
        <v>1101</v>
      </c>
      <c r="U21" s="203" t="s">
        <v>1110</v>
      </c>
      <c r="V21" s="51"/>
      <c r="W21" s="51"/>
      <c r="X21" s="51"/>
      <c r="Y21" s="51"/>
      <c r="Z21" s="51"/>
      <c r="AA21" s="55" t="s">
        <v>879</v>
      </c>
      <c r="AB21" s="56" t="s">
        <v>888</v>
      </c>
      <c r="AC21" s="56" t="s">
        <v>1080</v>
      </c>
      <c r="AD21" s="56" t="s">
        <v>1081</v>
      </c>
      <c r="AE21" s="56" t="s">
        <v>1086</v>
      </c>
      <c r="AF21" s="201"/>
      <c r="AG21" s="201"/>
      <c r="AH21" s="56" t="s">
        <v>1080</v>
      </c>
      <c r="AI21" s="56" t="s">
        <v>1093</v>
      </c>
      <c r="AJ21" s="56" t="s">
        <v>770</v>
      </c>
      <c r="AK21" s="56" t="s">
        <v>1083</v>
      </c>
      <c r="AL21" s="56" t="s">
        <v>1085</v>
      </c>
      <c r="AM21" s="201"/>
      <c r="AN21" s="201"/>
      <c r="AO21" s="201"/>
      <c r="AQ21" t="s">
        <v>897</v>
      </c>
      <c r="AR21" s="51"/>
      <c r="AS21" s="51"/>
      <c r="AT21" s="51"/>
      <c r="AU21" s="51"/>
      <c r="AV21" s="51"/>
      <c r="AW21" s="51"/>
      <c r="AX21" s="51"/>
      <c r="BA21" t="s">
        <v>915</v>
      </c>
      <c r="BB21" t="s">
        <v>885</v>
      </c>
      <c r="BC21">
        <v>2205</v>
      </c>
      <c r="BE21">
        <v>85000</v>
      </c>
      <c r="BF21">
        <f t="shared" si="2"/>
        <v>-85000</v>
      </c>
      <c r="BG21" t="str">
        <f t="shared" si="0"/>
        <v>PAGADO</v>
      </c>
      <c r="BH21" t="str">
        <f t="shared" si="1"/>
        <v>58</v>
      </c>
    </row>
    <row r="22" spans="3:60">
      <c r="C22" s="194"/>
      <c r="D22" s="206" t="str">
        <f>IFERROR(RIGHT(AH23,LEN(AH23)-SEARCH("F. V.",AH23)-4),"")</f>
        <v/>
      </c>
      <c r="E22" s="142" t="str">
        <f>_xlfn.XLOOKUP(AB22,Regcontabilizados[Identificador],Regcontabilizados[Fecha vencimiento],0)</f>
        <v/>
      </c>
      <c r="F22" s="183" t="str">
        <f>_xlfn.XLOOKUP(AB22,Regcontabilizados[Identificador],Regcontabilizados[Debe],0)</f>
        <v/>
      </c>
      <c r="G22" s="183">
        <f>_xlfn.XLOOKUP(AI23,Regcontabilizados[Identificador],Regcontabilizados[Haber],0)</f>
        <v>0</v>
      </c>
      <c r="H22" s="37">
        <f>IFERROR(F22-G22,0)</f>
        <v>0</v>
      </c>
      <c r="I22" s="37"/>
      <c r="J22" s="210">
        <f>IF(G22&lt;&gt;0,1,0)</f>
        <v>0</v>
      </c>
      <c r="K22" s="197"/>
      <c r="N22" s="33" t="str">
        <f>D22</f>
        <v/>
      </c>
      <c r="O22" t="str">
        <f>_xlfn.XLOOKUP($H$7,BDclient[ID-Cliente],BDclient[NIT/C.C.],0)&amp;$H$9&amp;$D22&amp;"-"&amp;1</f>
        <v>F. V.-1</v>
      </c>
      <c r="P22" t="str">
        <f>IF(N22&lt;&gt;"",IFERROR(LEFT(O22,SEARCH("-",O22)-1),0),"")</f>
        <v/>
      </c>
      <c r="Q22" t="str">
        <f>IF(N22="","",    _xlfn.XLOOKUP(P22,Regcontabilizados[Número pago],Regcontabilizados[Estado de pago],"NO PAGADO"))</f>
        <v/>
      </c>
      <c r="R22" s="44">
        <f>_xlfn.XLOOKUP(O22,Regcontabilizados[Identificador],Regcontabilizados[Fecha vencimiento],0)</f>
        <v>0</v>
      </c>
      <c r="S22">
        <f>_xlfn.XLOOKUP(O22,Regcontabilizados[Identificador],Regcontabilizados[Subcuenta],0)</f>
        <v>0</v>
      </c>
      <c r="T22">
        <f>_xlfn.XLOOKUP(O22,Regcontabilizados[Identificador],Regcontabilizados[Debe],0)+_xlfn.XLOOKUP(P22&amp;"-"&amp;2,Regcontabilizados[Identificador],Regcontabilizados[Debe],0)+_xlfn.XLOOKUP(P22&amp;"-"&amp;3,Regcontabilizados[Identificador],Regcontabilizados[Debe],0)+_xlfn.XLOOKUP(P22&amp;"-"&amp;4,Regcontabilizados[Identificador],Regcontabilizados[Debe],0)+_xlfn.XLOOKUP(P22&amp;"-"&amp;5,Regcontabilizados[Identificador],Regcontabilizados[Debe],0)+_xlfn.XLOOKUP(P22&amp;"-"&amp;6,Regcontabilizados[Identificador],Regcontabilizados[Debe],0)+_xlfn.XLOOKUP(P22&amp;"-"&amp;7,Regcontabilizados[Identificador],Regcontabilizados[Debe],0)+_xlfn.XLOOKUP(P22&amp;"-"&amp;8,Regcontabilizados[Identificador],Regcontabilizados[Debe],0)+_xlfn.XLOOKUP(P22&amp;"-"&amp;9,Regcontabilizados[Identificador],Regcontabilizados[Debe],0)</f>
        <v>0</v>
      </c>
      <c r="U22">
        <f>SUMIF(Regcontabilizados[Número pago],Pagovtasbusc!P22,Regcontabilizados[Haber])</f>
        <v>0</v>
      </c>
      <c r="AA22" s="33" t="str">
        <f>IF(J22=0,"",   _xlfn.XLOOKUP(AB22,Regcontabilizados[Identificador],Regcontabilizados[Subcuenta],0))</f>
        <v/>
      </c>
      <c r="AB22" t="str">
        <f>IF(J22=0,"",   _xlfn.XLOOKUP($H$7,BDclient[ID-Cliente],BDclient[NIT/C.C.],0)&amp;H9&amp;$D$22&amp;"-"&amp;1)</f>
        <v/>
      </c>
      <c r="AC22" t="str">
        <f>IF(J22=0,"",   IF(AB22&lt;&gt;($H$7&amp;$H$9&amp;"-"&amp;11),IFERROR(LEFT(AB22,SEARCH("-",AB22)-1),0),""))</f>
        <v/>
      </c>
      <c r="AD22" t="str">
        <f>IF(AND(AC22="",J22=0),"En Blanco","DATO")</f>
        <v>En Blanco</v>
      </c>
      <c r="AE22" t="str">
        <f>_xlfn.XLOOKUP($H$7,BDclient[ID-Cliente],BDclient[NIT/C.C.],0)&amp;$H$13&amp;$E$7&amp;"-"&amp;ROW(Z22)-21</f>
        <v>Comp. Ingreso-1</v>
      </c>
      <c r="AH22" s="207">
        <f>E7</f>
        <v>0</v>
      </c>
      <c r="AI22" s="207" t="str">
        <f>$H$7&amp;$E$7&amp;$H$13&amp;"-"&amp;11</f>
        <v>Comp. Ingreso-11</v>
      </c>
      <c r="AJ22" s="207">
        <f>E11</f>
        <v>0</v>
      </c>
      <c r="AK22" s="207" t="e" vm="1">
        <f>SUM(_xlfn.ANCHORARRAY(AL23))</f>
        <v>#VALUE!</v>
      </c>
      <c r="AL22" s="207"/>
      <c r="BA22" t="s">
        <v>917</v>
      </c>
      <c r="BB22" t="s">
        <v>884</v>
      </c>
      <c r="BC22">
        <v>5105</v>
      </c>
      <c r="BD22">
        <v>50000</v>
      </c>
      <c r="BE22">
        <v>0</v>
      </c>
      <c r="BF22">
        <f t="shared" si="2"/>
        <v>50000</v>
      </c>
      <c r="BG22" t="str">
        <f t="shared" si="0"/>
        <v>PAGADO</v>
      </c>
      <c r="BH22" t="str">
        <f t="shared" si="1"/>
        <v>59</v>
      </c>
    </row>
    <row r="23" spans="3:60">
      <c r="C23" s="194"/>
      <c r="D23" s="206" t="str">
        <f t="shared" ref="D23:D31" si="3">IFERROR(RIGHT(AH24,LEN(AH24)-SEARCH("F. V.",AH24)-4),"")</f>
        <v/>
      </c>
      <c r="E23" s="142" t="str">
        <f>_xlfn.XLOOKUP(AB23,Regcontabilizados[Identificador],Regcontabilizados[Fecha vencimiento],0)</f>
        <v/>
      </c>
      <c r="F23" s="183" t="str">
        <f>_xlfn.XLOOKUP(AB23,Regcontabilizados[Identificador],Regcontabilizados[Debe],0)</f>
        <v/>
      </c>
      <c r="G23" s="183">
        <f>_xlfn.XLOOKUP(AI24,Regcontabilizados[Identificador],Regcontabilizados[Haber],0)</f>
        <v>0</v>
      </c>
      <c r="H23" s="37">
        <f t="shared" ref="H23:H86" si="4">IFERROR(F23-G23,0)</f>
        <v>0</v>
      </c>
      <c r="I23" s="37"/>
      <c r="J23" s="210">
        <f t="shared" ref="J23:J86" si="5">IF(G23&lt;&gt;0,1,0)</f>
        <v>0</v>
      </c>
      <c r="K23" s="197"/>
      <c r="N23" s="33" t="str">
        <f t="shared" ref="N23:N86" si="6">D23</f>
        <v/>
      </c>
      <c r="O23" t="str">
        <f>_xlfn.XLOOKUP($H$7,BDclient[ID-Cliente],BDclient[NIT/C.C.],0)&amp;$H$9&amp;$D23&amp;"-"&amp;1</f>
        <v>F. V.-1</v>
      </c>
      <c r="P23" t="str">
        <f>IF(N23&lt;&gt;"",IFERROR(LEFT(O23,SEARCH("-",O23)-1),0),"")</f>
        <v/>
      </c>
      <c r="Q23" t="str">
        <f>IF(N23="","",    _xlfn.XLOOKUP(P23,Regcontabilizados[Número pago],Regcontabilizados[Estado de pago],"NO PAGADO"))</f>
        <v/>
      </c>
      <c r="R23" s="44">
        <f>_xlfn.XLOOKUP(O23,Regcontabilizados[Identificador],Regcontabilizados[Fecha vencimiento],0)</f>
        <v>0</v>
      </c>
      <c r="S23">
        <f>_xlfn.XLOOKUP(O23,Regcontabilizados[Identificador],Regcontabilizados[Subcuenta],0)</f>
        <v>0</v>
      </c>
      <c r="T23">
        <f>_xlfn.XLOOKUP(O23,Regcontabilizados[Identificador],Regcontabilizados[Debe],0)+_xlfn.XLOOKUP(P23&amp;"-"&amp;2,Regcontabilizados[Identificador],Regcontabilizados[Debe],0)+_xlfn.XLOOKUP(P23&amp;"-"&amp;3,Regcontabilizados[Identificador],Regcontabilizados[Debe],0)+_xlfn.XLOOKUP(P23&amp;"-"&amp;4,Regcontabilizados[Identificador],Regcontabilizados[Debe],0)+_xlfn.XLOOKUP(P23&amp;"-"&amp;5,Regcontabilizados[Identificador],Regcontabilizados[Debe],0)+_xlfn.XLOOKUP(P23&amp;"-"&amp;6,Regcontabilizados[Identificador],Regcontabilizados[Debe],0)+_xlfn.XLOOKUP(P23&amp;"-"&amp;7,Regcontabilizados[Identificador],Regcontabilizados[Debe],0)+_xlfn.XLOOKUP(P23&amp;"-"&amp;8,Regcontabilizados[Identificador],Regcontabilizados[Debe],0)+_xlfn.XLOOKUP(P23&amp;"-"&amp;9,Regcontabilizados[Identificador],Regcontabilizados[Debe],0)</f>
        <v>0</v>
      </c>
      <c r="U23">
        <f>SUMIF(Regcontabilizados[Número pago],Pagovtasbusc!P23,Regcontabilizados[Haber])</f>
        <v>0</v>
      </c>
      <c r="AA23" s="33" t="str">
        <f>IF(J23=0,"",   _xlfn.XLOOKUP(AB23,Regcontabilizados[Identificador],Regcontabilizados[Subcuenta],0))</f>
        <v/>
      </c>
      <c r="AB23" t="str">
        <f>IF(J23=0,"",   _xlfn.XLOOKUP($H$7,BDclient[ID-Cliente],BDclient[NIT/C.C.],0)&amp;D23&amp;$H$9&amp;"-"&amp;1)</f>
        <v/>
      </c>
      <c r="AC23" t="str">
        <f t="shared" ref="AC23:AC86" si="7">IF(J23=0,"",   IF(AB23&lt;&gt;($H$7&amp;$H$9&amp;"-"&amp;11),IFERROR(LEFT(AB23,SEARCH("-",AB23)-1),0),""))</f>
        <v/>
      </c>
      <c r="AD23" t="str">
        <f t="shared" ref="AD23:AD86" si="8">IF(AND(AC23="",J23=0),"En Blanco","DATO")</f>
        <v>En Blanco</v>
      </c>
      <c r="AE23" t="str">
        <f>_xlfn.XLOOKUP($H$7,BDclient[ID-Cliente],BDclient[NIT/C.C.],0)&amp;$H$13&amp;$E$7&amp;"-"&amp;ROW(Z23)-21</f>
        <v>Comp. Ingreso-2</v>
      </c>
      <c r="AH23" s="207">
        <f>_xlfn.XLOOKUP(AI23,Regcontabilizados[Identificador],Regcontabilizados[Número pago],0)</f>
        <v>0</v>
      </c>
      <c r="AI23" s="207" t="str">
        <f>AE22</f>
        <v>Comp. Ingreso-1</v>
      </c>
      <c r="AJ23" s="207" t="e" cm="1" vm="2">
        <f t="array" ref="AJ23">_xlfn._xlws.FILTER(AA22:AA140,AD22:AD140=AH20)</f>
        <v>#VALUE!</v>
      </c>
      <c r="AK23" s="207"/>
      <c r="AL23" s="207" t="e" cm="1" vm="2">
        <f t="array" ref="AL23">_xlfn._xlws.FILTER(G22:G140,AD22:AD140=AH20)</f>
        <v>#VALUE!</v>
      </c>
      <c r="AQ23" t="s">
        <v>898</v>
      </c>
      <c r="BA23" t="s">
        <v>918</v>
      </c>
      <c r="BB23" t="s">
        <v>884</v>
      </c>
      <c r="BC23">
        <v>0</v>
      </c>
      <c r="BD23">
        <v>0</v>
      </c>
      <c r="BE23">
        <v>0</v>
      </c>
      <c r="BF23">
        <f t="shared" si="2"/>
        <v>0</v>
      </c>
      <c r="BG23" t="str">
        <f t="shared" si="0"/>
        <v>PAGADO</v>
      </c>
      <c r="BH23" t="str">
        <f t="shared" si="1"/>
        <v>59</v>
      </c>
    </row>
    <row r="24" spans="3:60">
      <c r="C24" s="194"/>
      <c r="D24" s="206" t="str">
        <f t="shared" si="3"/>
        <v/>
      </c>
      <c r="E24" s="142" t="str">
        <f>_xlfn.XLOOKUP(AB24,Regcontabilizados[Identificador],Regcontabilizados[Fecha vencimiento],0)</f>
        <v/>
      </c>
      <c r="F24" s="183" t="str">
        <f>_xlfn.XLOOKUP(AB24,Regcontabilizados[Identificador],Regcontabilizados[Debe],0)</f>
        <v/>
      </c>
      <c r="G24" s="183">
        <f>_xlfn.XLOOKUP(AI25,Regcontabilizados[Identificador],Regcontabilizados[Haber],0)</f>
        <v>0</v>
      </c>
      <c r="H24" s="37">
        <f t="shared" si="4"/>
        <v>0</v>
      </c>
      <c r="I24" s="37"/>
      <c r="J24" s="210">
        <f t="shared" si="5"/>
        <v>0</v>
      </c>
      <c r="K24" s="197"/>
      <c r="N24" s="33" t="str">
        <f t="shared" si="6"/>
        <v/>
      </c>
      <c r="O24" t="str">
        <f>_xlfn.XLOOKUP($H$7,BDclient[ID-Cliente],BDclient[NIT/C.C.],0)&amp;$H$9&amp;$D24&amp;"-"&amp;1</f>
        <v>F. V.-1</v>
      </c>
      <c r="P24" t="str">
        <f t="shared" ref="P24:P87" si="9">IF(N24&lt;&gt;"",IFERROR(LEFT(O24,SEARCH("-",O24)-1),0),"")</f>
        <v/>
      </c>
      <c r="Q24" t="str">
        <f>IF(N24="","",    _xlfn.XLOOKUP(P24,Regcontabilizados[Número pago],Regcontabilizados[Estado de pago],"NO PAGADO"))</f>
        <v/>
      </c>
      <c r="R24" s="44">
        <f>_xlfn.XLOOKUP(O24,Regcontabilizados[Identificador],Regcontabilizados[Fecha vencimiento],0)</f>
        <v>0</v>
      </c>
      <c r="S24">
        <f>_xlfn.XLOOKUP(O24,Regcontabilizados[Identificador],Regcontabilizados[Subcuenta],0)</f>
        <v>0</v>
      </c>
      <c r="T24">
        <f>_xlfn.XLOOKUP(O24,Regcontabilizados[Identificador],Regcontabilizados[Debe],0)+_xlfn.XLOOKUP(P24&amp;"-"&amp;2,Regcontabilizados[Identificador],Regcontabilizados[Debe],0)+_xlfn.XLOOKUP(P24&amp;"-"&amp;3,Regcontabilizados[Identificador],Regcontabilizados[Debe],0)+_xlfn.XLOOKUP(P24&amp;"-"&amp;4,Regcontabilizados[Identificador],Regcontabilizados[Debe],0)+_xlfn.XLOOKUP(P24&amp;"-"&amp;5,Regcontabilizados[Identificador],Regcontabilizados[Debe],0)+_xlfn.XLOOKUP(P24&amp;"-"&amp;6,Regcontabilizados[Identificador],Regcontabilizados[Debe],0)+_xlfn.XLOOKUP(P24&amp;"-"&amp;7,Regcontabilizados[Identificador],Regcontabilizados[Debe],0)+_xlfn.XLOOKUP(P24&amp;"-"&amp;8,Regcontabilizados[Identificador],Regcontabilizados[Debe],0)+_xlfn.XLOOKUP(P24&amp;"-"&amp;9,Regcontabilizados[Identificador],Regcontabilizados[Debe],0)</f>
        <v>0</v>
      </c>
      <c r="U24">
        <f>SUMIF(Regcontabilizados[Número pago],Pagovtasbusc!P24,Regcontabilizados[Haber])</f>
        <v>0</v>
      </c>
      <c r="AA24" s="33" t="str">
        <f>IF(J24=0,"",   _xlfn.XLOOKUP(AB24,Regcontabilizados[Identificador],Regcontabilizados[Subcuenta],0))</f>
        <v/>
      </c>
      <c r="AB24" t="str">
        <f>IF(J24=0,"",   _xlfn.XLOOKUP($H$7,BDclient[ID-Cliente],BDclient[NIT/C.C.],0)&amp;D24&amp;$H$9&amp;"-"&amp;1)</f>
        <v/>
      </c>
      <c r="AC24" t="str">
        <f t="shared" si="7"/>
        <v/>
      </c>
      <c r="AD24" t="str">
        <f t="shared" si="8"/>
        <v>En Blanco</v>
      </c>
      <c r="AE24" t="str">
        <f>_xlfn.XLOOKUP($H$7,BDclient[ID-Cliente],BDclient[NIT/C.C.],0)&amp;$H$13&amp;$E$7&amp;"-"&amp;ROW(Z24)-21</f>
        <v>Comp. Ingreso-3</v>
      </c>
      <c r="AH24" s="207">
        <f>_xlfn.XLOOKUP(AI24,Regcontabilizados[Identificador],Regcontabilizados[Número pago],0)</f>
        <v>0</v>
      </c>
      <c r="AI24" s="207" t="str">
        <f t="shared" ref="AI24:AI32" si="10">AE23</f>
        <v>Comp. Ingreso-2</v>
      </c>
      <c r="AJ24" s="207"/>
      <c r="AK24" s="207"/>
      <c r="AL24" s="207"/>
      <c r="AQ24" t="s">
        <v>899</v>
      </c>
      <c r="BA24" t="s">
        <v>919</v>
      </c>
      <c r="BB24" t="s">
        <v>884</v>
      </c>
      <c r="BC24">
        <v>2205</v>
      </c>
      <c r="BE24">
        <v>50000</v>
      </c>
      <c r="BF24">
        <f t="shared" si="2"/>
        <v>-50000</v>
      </c>
      <c r="BG24" t="str">
        <f t="shared" si="0"/>
        <v>PAGADO</v>
      </c>
      <c r="BH24" t="str">
        <f t="shared" si="1"/>
        <v>59</v>
      </c>
    </row>
    <row r="25" spans="3:60">
      <c r="C25" s="194"/>
      <c r="D25" s="206" t="str">
        <f t="shared" si="3"/>
        <v/>
      </c>
      <c r="E25" s="142" t="str">
        <f>_xlfn.XLOOKUP(AB25,Regcontabilizados[Identificador],Regcontabilizados[Fecha vencimiento],0)</f>
        <v/>
      </c>
      <c r="F25" s="183" t="str">
        <f>_xlfn.XLOOKUP(AB25,Regcontabilizados[Identificador],Regcontabilizados[Debe],0)</f>
        <v/>
      </c>
      <c r="G25" s="183">
        <f>_xlfn.XLOOKUP(AI26,Regcontabilizados[Identificador],Regcontabilizados[Haber],0)</f>
        <v>0</v>
      </c>
      <c r="H25" s="37">
        <f t="shared" si="4"/>
        <v>0</v>
      </c>
      <c r="I25" s="37"/>
      <c r="J25" s="210">
        <f t="shared" si="5"/>
        <v>0</v>
      </c>
      <c r="K25" s="197"/>
      <c r="N25" s="33" t="str">
        <f t="shared" si="6"/>
        <v/>
      </c>
      <c r="O25" t="str">
        <f>_xlfn.XLOOKUP($H$7,BDclient[ID-Cliente],BDclient[NIT/C.C.],0)&amp;$H$9&amp;$D25&amp;"-"&amp;1</f>
        <v>F. V.-1</v>
      </c>
      <c r="P25" t="str">
        <f t="shared" si="9"/>
        <v/>
      </c>
      <c r="Q25" t="str">
        <f>IF(N25="","",    _xlfn.XLOOKUP(P25,Regcontabilizados[Número pago],Regcontabilizados[Estado de pago],"NO PAGADO"))</f>
        <v/>
      </c>
      <c r="R25" s="44">
        <f>_xlfn.XLOOKUP(O25,Regcontabilizados[Identificador],Regcontabilizados[Fecha vencimiento],0)</f>
        <v>0</v>
      </c>
      <c r="S25">
        <f>_xlfn.XLOOKUP(O25,Regcontabilizados[Identificador],Regcontabilizados[Subcuenta],0)</f>
        <v>0</v>
      </c>
      <c r="T25">
        <f>_xlfn.XLOOKUP(O25,Regcontabilizados[Identificador],Regcontabilizados[Debe],0)+_xlfn.XLOOKUP(P25&amp;"-"&amp;2,Regcontabilizados[Identificador],Regcontabilizados[Debe],0)+_xlfn.XLOOKUP(P25&amp;"-"&amp;3,Regcontabilizados[Identificador],Regcontabilizados[Debe],0)+_xlfn.XLOOKUP(P25&amp;"-"&amp;4,Regcontabilizados[Identificador],Regcontabilizados[Debe],0)+_xlfn.XLOOKUP(P25&amp;"-"&amp;5,Regcontabilizados[Identificador],Regcontabilizados[Debe],0)+_xlfn.XLOOKUP(P25&amp;"-"&amp;6,Regcontabilizados[Identificador],Regcontabilizados[Debe],0)+_xlfn.XLOOKUP(P25&amp;"-"&amp;7,Regcontabilizados[Identificador],Regcontabilizados[Debe],0)+_xlfn.XLOOKUP(P25&amp;"-"&amp;8,Regcontabilizados[Identificador],Regcontabilizados[Debe],0)+_xlfn.XLOOKUP(P25&amp;"-"&amp;9,Regcontabilizados[Identificador],Regcontabilizados[Debe],0)</f>
        <v>0</v>
      </c>
      <c r="U25">
        <f>SUMIF(Regcontabilizados[Número pago],Pagovtasbusc!P25,Regcontabilizados[Haber])</f>
        <v>0</v>
      </c>
      <c r="AA25" s="33" t="str">
        <f>IF(J25=0,"",   _xlfn.XLOOKUP(AB25,Regcontabilizados[Identificador],Regcontabilizados[Subcuenta],0))</f>
        <v/>
      </c>
      <c r="AB25" t="str">
        <f>IF(J25=0,"",   _xlfn.XLOOKUP($H$7,BDclient[ID-Cliente],BDclient[NIT/C.C.],0)&amp;D25&amp;$H$9&amp;"-"&amp;1)</f>
        <v/>
      </c>
      <c r="AC25" t="str">
        <f t="shared" si="7"/>
        <v/>
      </c>
      <c r="AD25" t="str">
        <f t="shared" si="8"/>
        <v>En Blanco</v>
      </c>
      <c r="AE25" t="str">
        <f>_xlfn.XLOOKUP($H$7,BDclient[ID-Cliente],BDclient[NIT/C.C.],0)&amp;$H$13&amp;$E$7&amp;"-"&amp;ROW(Z25)-21</f>
        <v>Comp. Ingreso-4</v>
      </c>
      <c r="AH25" s="207">
        <f>_xlfn.XLOOKUP(AI25,Regcontabilizados[Identificador],Regcontabilizados[Número pago],0)</f>
        <v>0</v>
      </c>
      <c r="AI25" s="207" t="str">
        <f t="shared" si="10"/>
        <v>Comp. Ingreso-3</v>
      </c>
      <c r="AJ25" s="207"/>
      <c r="AK25" s="207"/>
      <c r="AL25" s="207"/>
      <c r="AQ25" t="s">
        <v>900</v>
      </c>
      <c r="AZ25">
        <v>58</v>
      </c>
      <c r="BA25" s="54">
        <v>0</v>
      </c>
      <c r="BB25" s="54" t="s">
        <v>885</v>
      </c>
      <c r="BC25" s="54">
        <v>2205</v>
      </c>
      <c r="BD25" s="54">
        <v>85000</v>
      </c>
      <c r="BE25" s="54"/>
      <c r="BF25" s="54">
        <f t="shared" si="2"/>
        <v>85000</v>
      </c>
      <c r="BG25" t="str">
        <f t="shared" si="0"/>
        <v>PAGADO</v>
      </c>
      <c r="BH25">
        <f t="shared" si="1"/>
        <v>0</v>
      </c>
    </row>
    <row r="26" spans="3:60">
      <c r="C26" s="194"/>
      <c r="D26" s="206" t="str">
        <f t="shared" si="3"/>
        <v/>
      </c>
      <c r="E26" s="142" t="str">
        <f>_xlfn.XLOOKUP(AB26,Regcontabilizados[Identificador],Regcontabilizados[Fecha vencimiento],0)</f>
        <v/>
      </c>
      <c r="F26" s="183" t="str">
        <f>_xlfn.XLOOKUP(AB26,Regcontabilizados[Identificador],Regcontabilizados[Debe],0)</f>
        <v/>
      </c>
      <c r="G26" s="183">
        <f>_xlfn.XLOOKUP(AI27,Regcontabilizados[Identificador],Regcontabilizados[Haber],0)</f>
        <v>0</v>
      </c>
      <c r="H26" s="37">
        <f t="shared" si="4"/>
        <v>0</v>
      </c>
      <c r="I26" s="37"/>
      <c r="J26" s="210">
        <f t="shared" si="5"/>
        <v>0</v>
      </c>
      <c r="K26" s="197"/>
      <c r="N26" s="33" t="str">
        <f t="shared" si="6"/>
        <v/>
      </c>
      <c r="O26" t="str">
        <f>_xlfn.XLOOKUP($H$7,BDclient[ID-Cliente],BDclient[NIT/C.C.],0)&amp;$H$9&amp;$D26&amp;"-"&amp;1</f>
        <v>F. V.-1</v>
      </c>
      <c r="P26" t="str">
        <f t="shared" si="9"/>
        <v/>
      </c>
      <c r="Q26" t="str">
        <f>IF(N26="","",    _xlfn.XLOOKUP(P26,Regcontabilizados[Número pago],Regcontabilizados[Estado de pago],"NO PAGADO"))</f>
        <v/>
      </c>
      <c r="R26" s="44">
        <f>_xlfn.XLOOKUP(O26,Regcontabilizados[Identificador],Regcontabilizados[Fecha vencimiento],0)</f>
        <v>0</v>
      </c>
      <c r="S26">
        <f>_xlfn.XLOOKUP(O26,Regcontabilizados[Identificador],Regcontabilizados[Subcuenta],0)</f>
        <v>0</v>
      </c>
      <c r="T26">
        <f>_xlfn.XLOOKUP(O26,Regcontabilizados[Identificador],Regcontabilizados[Debe],0)+_xlfn.XLOOKUP(P26&amp;"-"&amp;2,Regcontabilizados[Identificador],Regcontabilizados[Debe],0)+_xlfn.XLOOKUP(P26&amp;"-"&amp;3,Regcontabilizados[Identificador],Regcontabilizados[Debe],0)+_xlfn.XLOOKUP(P26&amp;"-"&amp;4,Regcontabilizados[Identificador],Regcontabilizados[Debe],0)+_xlfn.XLOOKUP(P26&amp;"-"&amp;5,Regcontabilizados[Identificador],Regcontabilizados[Debe],0)+_xlfn.XLOOKUP(P26&amp;"-"&amp;6,Regcontabilizados[Identificador],Regcontabilizados[Debe],0)+_xlfn.XLOOKUP(P26&amp;"-"&amp;7,Regcontabilizados[Identificador],Regcontabilizados[Debe],0)+_xlfn.XLOOKUP(P26&amp;"-"&amp;8,Regcontabilizados[Identificador],Regcontabilizados[Debe],0)+_xlfn.XLOOKUP(P26&amp;"-"&amp;9,Regcontabilizados[Identificador],Regcontabilizados[Debe],0)</f>
        <v>0</v>
      </c>
      <c r="U26">
        <f>SUMIF(Regcontabilizados[Número pago],Pagovtasbusc!P26,Regcontabilizados[Haber])</f>
        <v>0</v>
      </c>
      <c r="AA26" s="33" t="str">
        <f>IF(J26=0,"",   _xlfn.XLOOKUP(AB26,Regcontabilizados[Identificador],Regcontabilizados[Subcuenta],0))</f>
        <v/>
      </c>
      <c r="AB26" t="str">
        <f>IF(J26=0,"",   _xlfn.XLOOKUP($H$7,BDclient[ID-Cliente],BDclient[NIT/C.C.],0)&amp;D26&amp;$H$9&amp;"-"&amp;1)</f>
        <v/>
      </c>
      <c r="AC26" t="str">
        <f t="shared" si="7"/>
        <v/>
      </c>
      <c r="AD26" t="str">
        <f t="shared" si="8"/>
        <v>En Blanco</v>
      </c>
      <c r="AE26" t="str">
        <f>_xlfn.XLOOKUP($H$7,BDclient[ID-Cliente],BDclient[NIT/C.C.],0)&amp;$H$13&amp;$E$7&amp;"-"&amp;ROW(Z26)-21</f>
        <v>Comp. Ingreso-5</v>
      </c>
      <c r="AH26" s="207">
        <f>_xlfn.XLOOKUP(AI26,Regcontabilizados[Identificador],Regcontabilizados[Número pago],0)</f>
        <v>0</v>
      </c>
      <c r="AI26" s="207" t="str">
        <f t="shared" si="10"/>
        <v>Comp. Ingreso-4</v>
      </c>
      <c r="AJ26" s="207"/>
      <c r="AK26" s="207"/>
      <c r="AL26" s="207"/>
      <c r="AZ26">
        <v>58</v>
      </c>
      <c r="BA26" s="54">
        <v>0</v>
      </c>
      <c r="BB26" s="54" t="s">
        <v>885</v>
      </c>
      <c r="BC26" s="54">
        <v>1105</v>
      </c>
      <c r="BD26" s="54"/>
      <c r="BE26" s="54">
        <v>85000</v>
      </c>
      <c r="BF26" s="54">
        <f t="shared" si="2"/>
        <v>-85000</v>
      </c>
      <c r="BG26" t="str">
        <f t="shared" si="0"/>
        <v>PAGADO</v>
      </c>
      <c r="BH26">
        <f t="shared" si="1"/>
        <v>0</v>
      </c>
    </row>
    <row r="27" spans="3:60">
      <c r="C27" s="194"/>
      <c r="D27" s="206" t="str">
        <f t="shared" si="3"/>
        <v/>
      </c>
      <c r="E27" s="142" t="str">
        <f>_xlfn.XLOOKUP(AB27,Regcontabilizados[Identificador],Regcontabilizados[Fecha vencimiento],0)</f>
        <v/>
      </c>
      <c r="F27" s="183" t="str">
        <f>_xlfn.XLOOKUP(AB27,Regcontabilizados[Identificador],Regcontabilizados[Debe],0)</f>
        <v/>
      </c>
      <c r="G27" s="183">
        <f>_xlfn.XLOOKUP(AI28,Regcontabilizados[Identificador],Regcontabilizados[Haber],0)</f>
        <v>0</v>
      </c>
      <c r="H27" s="37">
        <f t="shared" si="4"/>
        <v>0</v>
      </c>
      <c r="I27" s="37"/>
      <c r="J27" s="210">
        <f t="shared" si="5"/>
        <v>0</v>
      </c>
      <c r="K27" s="197"/>
      <c r="N27" s="33" t="str">
        <f t="shared" si="6"/>
        <v/>
      </c>
      <c r="O27" t="str">
        <f>_xlfn.XLOOKUP($H$7,BDclient[ID-Cliente],BDclient[NIT/C.C.],0)&amp;$H$9&amp;$D27&amp;"-"&amp;1</f>
        <v>F. V.-1</v>
      </c>
      <c r="P27" t="str">
        <f t="shared" si="9"/>
        <v/>
      </c>
      <c r="Q27" t="str">
        <f>IF(N27="","",    _xlfn.XLOOKUP(P27,Regcontabilizados[Número pago],Regcontabilizados[Estado de pago],"NO PAGADO"))</f>
        <v/>
      </c>
      <c r="R27" s="44">
        <f>_xlfn.XLOOKUP(O27,Regcontabilizados[Identificador],Regcontabilizados[Fecha vencimiento],0)</f>
        <v>0</v>
      </c>
      <c r="S27">
        <f>_xlfn.XLOOKUP(O27,Regcontabilizados[Identificador],Regcontabilizados[Subcuenta],0)</f>
        <v>0</v>
      </c>
      <c r="T27">
        <f>_xlfn.XLOOKUP(O27,Regcontabilizados[Identificador],Regcontabilizados[Debe],0)+_xlfn.XLOOKUP(P27&amp;"-"&amp;2,Regcontabilizados[Identificador],Regcontabilizados[Debe],0)+_xlfn.XLOOKUP(P27&amp;"-"&amp;3,Regcontabilizados[Identificador],Regcontabilizados[Debe],0)+_xlfn.XLOOKUP(P27&amp;"-"&amp;4,Regcontabilizados[Identificador],Regcontabilizados[Debe],0)+_xlfn.XLOOKUP(P27&amp;"-"&amp;5,Regcontabilizados[Identificador],Regcontabilizados[Debe],0)+_xlfn.XLOOKUP(P27&amp;"-"&amp;6,Regcontabilizados[Identificador],Regcontabilizados[Debe],0)+_xlfn.XLOOKUP(P27&amp;"-"&amp;7,Regcontabilizados[Identificador],Regcontabilizados[Debe],0)+_xlfn.XLOOKUP(P27&amp;"-"&amp;8,Regcontabilizados[Identificador],Regcontabilizados[Debe],0)+_xlfn.XLOOKUP(P27&amp;"-"&amp;9,Regcontabilizados[Identificador],Regcontabilizados[Debe],0)</f>
        <v>0</v>
      </c>
      <c r="U27">
        <f>SUMIF(Regcontabilizados[Número pago],Pagovtasbusc!P27,Regcontabilizados[Haber])</f>
        <v>0</v>
      </c>
      <c r="AA27" s="33" t="str">
        <f>IF(J27=0,"",   _xlfn.XLOOKUP(AB27,Regcontabilizados[Identificador],Regcontabilizados[Subcuenta],0))</f>
        <v/>
      </c>
      <c r="AB27" t="str">
        <f>IF(J27=0,"",   _xlfn.XLOOKUP($H$7,BDclient[ID-Cliente],BDclient[NIT/C.C.],0)&amp;D27&amp;$H$9&amp;"-"&amp;1)</f>
        <v/>
      </c>
      <c r="AC27" t="str">
        <f t="shared" si="7"/>
        <v/>
      </c>
      <c r="AD27" t="str">
        <f t="shared" si="8"/>
        <v>En Blanco</v>
      </c>
      <c r="AE27" t="str">
        <f>_xlfn.XLOOKUP($H$7,BDclient[ID-Cliente],BDclient[NIT/C.C.],0)&amp;$H$13&amp;$E$7&amp;"-"&amp;ROW(Z27)-21</f>
        <v>Comp. Ingreso-6</v>
      </c>
      <c r="AH27" s="207">
        <f>_xlfn.XLOOKUP(AI27,Regcontabilizados[Identificador],Regcontabilizados[Número pago],0)</f>
        <v>0</v>
      </c>
      <c r="AI27" s="207" t="str">
        <f t="shared" si="10"/>
        <v>Comp. Ingreso-5</v>
      </c>
      <c r="AJ27" s="207"/>
      <c r="AK27" s="207"/>
      <c r="AL27" s="207"/>
      <c r="AZ27">
        <v>59</v>
      </c>
      <c r="BA27" s="54">
        <v>0</v>
      </c>
      <c r="BB27" t="s">
        <v>884</v>
      </c>
      <c r="BC27" s="54">
        <v>2205</v>
      </c>
      <c r="BD27" s="54">
        <v>50000</v>
      </c>
      <c r="BE27" s="54"/>
      <c r="BF27">
        <f t="shared" si="2"/>
        <v>50000</v>
      </c>
      <c r="BG27" t="str">
        <f t="shared" si="0"/>
        <v>PAGADO</v>
      </c>
      <c r="BH27">
        <f t="shared" si="1"/>
        <v>0</v>
      </c>
    </row>
    <row r="28" spans="3:60">
      <c r="C28" s="194"/>
      <c r="D28" s="206" t="str">
        <f t="shared" si="3"/>
        <v/>
      </c>
      <c r="E28" s="142" t="str">
        <f>_xlfn.XLOOKUP(AB28,Regcontabilizados[Identificador],Regcontabilizados[Fecha vencimiento],0)</f>
        <v/>
      </c>
      <c r="F28" s="183" t="str">
        <f>_xlfn.XLOOKUP(AB28,Regcontabilizados[Identificador],Regcontabilizados[Debe],0)</f>
        <v/>
      </c>
      <c r="G28" s="183">
        <f>_xlfn.XLOOKUP(AI29,Regcontabilizados[Identificador],Regcontabilizados[Haber],0)</f>
        <v>0</v>
      </c>
      <c r="H28" s="37">
        <f t="shared" si="4"/>
        <v>0</v>
      </c>
      <c r="I28" s="37"/>
      <c r="J28" s="210">
        <f t="shared" si="5"/>
        <v>0</v>
      </c>
      <c r="K28" s="197"/>
      <c r="N28" s="33" t="str">
        <f t="shared" si="6"/>
        <v/>
      </c>
      <c r="O28" t="str">
        <f>_xlfn.XLOOKUP($H$7,BDclient[ID-Cliente],BDclient[NIT/C.C.],0)&amp;$H$9&amp;$D28&amp;"-"&amp;1</f>
        <v>F. V.-1</v>
      </c>
      <c r="P28" t="str">
        <f t="shared" si="9"/>
        <v/>
      </c>
      <c r="Q28" t="str">
        <f>IF(N28="","",    _xlfn.XLOOKUP(P28,Regcontabilizados[Número pago],Regcontabilizados[Estado de pago],"NO PAGADO"))</f>
        <v/>
      </c>
      <c r="R28" s="44">
        <f>_xlfn.XLOOKUP(O28,Regcontabilizados[Identificador],Regcontabilizados[Fecha vencimiento],0)</f>
        <v>0</v>
      </c>
      <c r="S28">
        <f>_xlfn.XLOOKUP(O28,Regcontabilizados[Identificador],Regcontabilizados[Subcuenta],0)</f>
        <v>0</v>
      </c>
      <c r="T28">
        <f>_xlfn.XLOOKUP(O28,Regcontabilizados[Identificador],Regcontabilizados[Debe],0)+_xlfn.XLOOKUP(P28&amp;"-"&amp;2,Regcontabilizados[Identificador],Regcontabilizados[Debe],0)+_xlfn.XLOOKUP(P28&amp;"-"&amp;3,Regcontabilizados[Identificador],Regcontabilizados[Debe],0)+_xlfn.XLOOKUP(P28&amp;"-"&amp;4,Regcontabilizados[Identificador],Regcontabilizados[Debe],0)+_xlfn.XLOOKUP(P28&amp;"-"&amp;5,Regcontabilizados[Identificador],Regcontabilizados[Debe],0)+_xlfn.XLOOKUP(P28&amp;"-"&amp;6,Regcontabilizados[Identificador],Regcontabilizados[Debe],0)+_xlfn.XLOOKUP(P28&amp;"-"&amp;7,Regcontabilizados[Identificador],Regcontabilizados[Debe],0)+_xlfn.XLOOKUP(P28&amp;"-"&amp;8,Regcontabilizados[Identificador],Regcontabilizados[Debe],0)+_xlfn.XLOOKUP(P28&amp;"-"&amp;9,Regcontabilizados[Identificador],Regcontabilizados[Debe],0)</f>
        <v>0</v>
      </c>
      <c r="U28">
        <f>SUMIF(Regcontabilizados[Número pago],Pagovtasbusc!P28,Regcontabilizados[Haber])</f>
        <v>0</v>
      </c>
      <c r="AA28" s="33" t="str">
        <f>IF(J28=0,"",   _xlfn.XLOOKUP(AB28,Regcontabilizados[Identificador],Regcontabilizados[Subcuenta],0))</f>
        <v/>
      </c>
      <c r="AB28" t="str">
        <f>IF(J28=0,"",   _xlfn.XLOOKUP($H$7,BDclient[ID-Cliente],BDclient[NIT/C.C.],0)&amp;D28&amp;$H$9&amp;"-"&amp;1)</f>
        <v/>
      </c>
      <c r="AC28" t="str">
        <f t="shared" si="7"/>
        <v/>
      </c>
      <c r="AD28" t="str">
        <f t="shared" si="8"/>
        <v>En Blanco</v>
      </c>
      <c r="AE28" t="str">
        <f>_xlfn.XLOOKUP($H$7,BDclient[ID-Cliente],BDclient[NIT/C.C.],0)&amp;$H$13&amp;$E$7&amp;"-"&amp;ROW(Z28)-21</f>
        <v>Comp. Ingreso-7</v>
      </c>
      <c r="AH28" s="207">
        <f>_xlfn.XLOOKUP(AI28,Regcontabilizados[Identificador],Regcontabilizados[Número pago],0)</f>
        <v>0</v>
      </c>
      <c r="AI28" s="207" t="str">
        <f t="shared" si="10"/>
        <v>Comp. Ingreso-6</v>
      </c>
      <c r="AJ28" s="207"/>
      <c r="AK28" s="207"/>
      <c r="AL28" s="207"/>
      <c r="AZ28">
        <v>59</v>
      </c>
      <c r="BA28" s="54">
        <v>0</v>
      </c>
      <c r="BB28" t="s">
        <v>884</v>
      </c>
      <c r="BC28" s="54">
        <v>1105</v>
      </c>
      <c r="BD28" s="54"/>
      <c r="BE28" s="54">
        <v>50000</v>
      </c>
      <c r="BF28">
        <f t="shared" si="2"/>
        <v>-50000</v>
      </c>
      <c r="BG28" t="str">
        <f t="shared" si="0"/>
        <v>PAGADO</v>
      </c>
      <c r="BH28">
        <f t="shared" si="1"/>
        <v>0</v>
      </c>
    </row>
    <row r="29" spans="3:60">
      <c r="C29" s="194"/>
      <c r="D29" s="206" t="str">
        <f t="shared" si="3"/>
        <v/>
      </c>
      <c r="E29" s="142" t="str">
        <f>_xlfn.XLOOKUP(AB29,Regcontabilizados[Identificador],Regcontabilizados[Fecha vencimiento],0)</f>
        <v/>
      </c>
      <c r="F29" s="183" t="str">
        <f>_xlfn.XLOOKUP(AB29,Regcontabilizados[Identificador],Regcontabilizados[Debe],0)</f>
        <v/>
      </c>
      <c r="G29" s="183">
        <f>_xlfn.XLOOKUP(AI30,Regcontabilizados[Identificador],Regcontabilizados[Haber],0)</f>
        <v>0</v>
      </c>
      <c r="H29" s="37">
        <f t="shared" si="4"/>
        <v>0</v>
      </c>
      <c r="I29" s="37"/>
      <c r="J29" s="210">
        <f t="shared" si="5"/>
        <v>0</v>
      </c>
      <c r="K29" s="197"/>
      <c r="N29" s="33" t="str">
        <f t="shared" si="6"/>
        <v/>
      </c>
      <c r="O29" t="str">
        <f>_xlfn.XLOOKUP($H$7,BDclient[ID-Cliente],BDclient[NIT/C.C.],0)&amp;$H$9&amp;$D29&amp;"-"&amp;1</f>
        <v>F. V.-1</v>
      </c>
      <c r="P29" t="str">
        <f t="shared" si="9"/>
        <v/>
      </c>
      <c r="Q29" t="str">
        <f>IF(N29="","",    _xlfn.XLOOKUP(P29,Regcontabilizados[Número pago],Regcontabilizados[Estado de pago],"NO PAGADO"))</f>
        <v/>
      </c>
      <c r="R29" s="44">
        <f>_xlfn.XLOOKUP(O29,Regcontabilizados[Identificador],Regcontabilizados[Fecha vencimiento],0)</f>
        <v>0</v>
      </c>
      <c r="S29">
        <f>_xlfn.XLOOKUP(O29,Regcontabilizados[Identificador],Regcontabilizados[Subcuenta],0)</f>
        <v>0</v>
      </c>
      <c r="T29">
        <f>_xlfn.XLOOKUP(O29,Regcontabilizados[Identificador],Regcontabilizados[Debe],0)+_xlfn.XLOOKUP(P29&amp;"-"&amp;2,Regcontabilizados[Identificador],Regcontabilizados[Debe],0)+_xlfn.XLOOKUP(P29&amp;"-"&amp;3,Regcontabilizados[Identificador],Regcontabilizados[Debe],0)+_xlfn.XLOOKUP(P29&amp;"-"&amp;4,Regcontabilizados[Identificador],Regcontabilizados[Debe],0)+_xlfn.XLOOKUP(P29&amp;"-"&amp;5,Regcontabilizados[Identificador],Regcontabilizados[Debe],0)+_xlfn.XLOOKUP(P29&amp;"-"&amp;6,Regcontabilizados[Identificador],Regcontabilizados[Debe],0)+_xlfn.XLOOKUP(P29&amp;"-"&amp;7,Regcontabilizados[Identificador],Regcontabilizados[Debe],0)+_xlfn.XLOOKUP(P29&amp;"-"&amp;8,Regcontabilizados[Identificador],Regcontabilizados[Debe],0)+_xlfn.XLOOKUP(P29&amp;"-"&amp;9,Regcontabilizados[Identificador],Regcontabilizados[Debe],0)</f>
        <v>0</v>
      </c>
      <c r="U29">
        <f>SUMIF(Regcontabilizados[Número pago],Pagovtasbusc!P29,Regcontabilizados[Haber])</f>
        <v>0</v>
      </c>
      <c r="AA29" s="33" t="str">
        <f>IF(J29=0,"",   _xlfn.XLOOKUP(AB29,Regcontabilizados[Identificador],Regcontabilizados[Subcuenta],0))</f>
        <v/>
      </c>
      <c r="AB29" t="str">
        <f>IF(J29=0,"",   _xlfn.XLOOKUP($H$7,BDclient[ID-Cliente],BDclient[NIT/C.C.],0)&amp;D29&amp;$H$9&amp;"-"&amp;1)</f>
        <v/>
      </c>
      <c r="AC29" t="str">
        <f t="shared" si="7"/>
        <v/>
      </c>
      <c r="AD29" t="str">
        <f t="shared" si="8"/>
        <v>En Blanco</v>
      </c>
      <c r="AE29" t="str">
        <f>_xlfn.XLOOKUP($H$7,BDclient[ID-Cliente],BDclient[NIT/C.C.],0)&amp;$H$13&amp;$E$7&amp;"-"&amp;ROW(Z29)-21</f>
        <v>Comp. Ingreso-8</v>
      </c>
      <c r="AH29" s="207">
        <f>_xlfn.XLOOKUP(AI29,Regcontabilizados[Identificador],Regcontabilizados[Número pago],0)</f>
        <v>0</v>
      </c>
      <c r="AI29" s="207" t="str">
        <f t="shared" si="10"/>
        <v>Comp. Ingreso-7</v>
      </c>
      <c r="AJ29" s="207"/>
      <c r="AK29" s="207"/>
      <c r="AL29" s="207"/>
    </row>
    <row r="30" spans="3:60">
      <c r="C30" s="194"/>
      <c r="D30" s="206" t="str">
        <f t="shared" si="3"/>
        <v/>
      </c>
      <c r="E30" s="142" t="str">
        <f>_xlfn.XLOOKUP(AB30,Regcontabilizados[Identificador],Regcontabilizados[Fecha vencimiento],0)</f>
        <v/>
      </c>
      <c r="F30" s="183" t="str">
        <f>_xlfn.XLOOKUP(AB30,Regcontabilizados[Identificador],Regcontabilizados[Debe],0)</f>
        <v/>
      </c>
      <c r="G30" s="183">
        <f>_xlfn.XLOOKUP(AI31,Regcontabilizados[Identificador],Regcontabilizados[Haber],0)</f>
        <v>0</v>
      </c>
      <c r="H30" s="37">
        <f t="shared" si="4"/>
        <v>0</v>
      </c>
      <c r="I30" s="37"/>
      <c r="J30" s="210">
        <f t="shared" si="5"/>
        <v>0</v>
      </c>
      <c r="K30" s="197"/>
      <c r="N30" s="33" t="str">
        <f t="shared" si="6"/>
        <v/>
      </c>
      <c r="O30" t="str">
        <f>_xlfn.XLOOKUP($H$7,BDclient[ID-Cliente],BDclient[NIT/C.C.],0)&amp;$H$9&amp;$D30&amp;"-"&amp;1</f>
        <v>F. V.-1</v>
      </c>
      <c r="P30" t="str">
        <f t="shared" si="9"/>
        <v/>
      </c>
      <c r="Q30" t="str">
        <f>IF(N30="","",    _xlfn.XLOOKUP(P30,Regcontabilizados[Número pago],Regcontabilizados[Estado de pago],"NO PAGADO"))</f>
        <v/>
      </c>
      <c r="R30" s="44">
        <f>_xlfn.XLOOKUP(O30,Regcontabilizados[Identificador],Regcontabilizados[Fecha vencimiento],0)</f>
        <v>0</v>
      </c>
      <c r="S30">
        <f>_xlfn.XLOOKUP(O30,Regcontabilizados[Identificador],Regcontabilizados[Subcuenta],0)</f>
        <v>0</v>
      </c>
      <c r="T30">
        <f>_xlfn.XLOOKUP(O30,Regcontabilizados[Identificador],Regcontabilizados[Debe],0)+_xlfn.XLOOKUP(P30&amp;"-"&amp;2,Regcontabilizados[Identificador],Regcontabilizados[Debe],0)+_xlfn.XLOOKUP(P30&amp;"-"&amp;3,Regcontabilizados[Identificador],Regcontabilizados[Debe],0)+_xlfn.XLOOKUP(P30&amp;"-"&amp;4,Regcontabilizados[Identificador],Regcontabilizados[Debe],0)+_xlfn.XLOOKUP(P30&amp;"-"&amp;5,Regcontabilizados[Identificador],Regcontabilizados[Debe],0)+_xlfn.XLOOKUP(P30&amp;"-"&amp;6,Regcontabilizados[Identificador],Regcontabilizados[Debe],0)+_xlfn.XLOOKUP(P30&amp;"-"&amp;7,Regcontabilizados[Identificador],Regcontabilizados[Debe],0)+_xlfn.XLOOKUP(P30&amp;"-"&amp;8,Regcontabilizados[Identificador],Regcontabilizados[Debe],0)+_xlfn.XLOOKUP(P30&amp;"-"&amp;9,Regcontabilizados[Identificador],Regcontabilizados[Debe],0)</f>
        <v>0</v>
      </c>
      <c r="U30">
        <f>SUMIF(Regcontabilizados[Número pago],Pagovtasbusc!P30,Regcontabilizados[Haber])</f>
        <v>0</v>
      </c>
      <c r="AA30" s="33" t="str">
        <f>IF(J30=0,"",   _xlfn.XLOOKUP(AB30,Regcontabilizados[Identificador],Regcontabilizados[Subcuenta],0))</f>
        <v/>
      </c>
      <c r="AB30" t="str">
        <f>IF(J30=0,"",   _xlfn.XLOOKUP($H$7,BDclient[ID-Cliente],BDclient[NIT/C.C.],0)&amp;D30&amp;$H$9&amp;"-"&amp;1)</f>
        <v/>
      </c>
      <c r="AC30" t="str">
        <f t="shared" si="7"/>
        <v/>
      </c>
      <c r="AD30" t="str">
        <f t="shared" si="8"/>
        <v>En Blanco</v>
      </c>
      <c r="AE30" t="str">
        <f>_xlfn.XLOOKUP($H$7,BDclient[ID-Cliente],BDclient[NIT/C.C.],0)&amp;$H$13&amp;$E$7&amp;"-"&amp;ROW(Z30)-21</f>
        <v>Comp. Ingreso-9</v>
      </c>
      <c r="AH30" s="207">
        <f>_xlfn.XLOOKUP(AI30,Regcontabilizados[Identificador],Regcontabilizados[Número pago],0)</f>
        <v>0</v>
      </c>
      <c r="AI30" s="207" t="str">
        <f t="shared" si="10"/>
        <v>Comp. Ingreso-8</v>
      </c>
      <c r="AJ30" s="207"/>
      <c r="AK30" s="207"/>
      <c r="AL30" s="207"/>
    </row>
    <row r="31" spans="3:60">
      <c r="C31" s="194"/>
      <c r="D31" s="206" t="str">
        <f t="shared" si="3"/>
        <v/>
      </c>
      <c r="E31" s="142" t="str">
        <f>_xlfn.XLOOKUP(AB31,Regcontabilizados[Identificador],Regcontabilizados[Fecha vencimiento],0)</f>
        <v/>
      </c>
      <c r="F31" s="183" t="str">
        <f>_xlfn.XLOOKUP(AB31,Regcontabilizados[Identificador],Regcontabilizados[Debe],0)</f>
        <v/>
      </c>
      <c r="G31" s="183">
        <f>_xlfn.XLOOKUP(AI32,Regcontabilizados[Identificador],Regcontabilizados[Haber],0)</f>
        <v>0</v>
      </c>
      <c r="H31" s="37">
        <f t="shared" si="4"/>
        <v>0</v>
      </c>
      <c r="I31" s="37"/>
      <c r="J31" s="210">
        <f t="shared" si="5"/>
        <v>0</v>
      </c>
      <c r="K31" s="197"/>
      <c r="N31" s="33" t="str">
        <f t="shared" si="6"/>
        <v/>
      </c>
      <c r="O31" t="str">
        <f>_xlfn.XLOOKUP($H$7,BDclient[ID-Cliente],BDclient[NIT/C.C.],0)&amp;$H$9&amp;$D31&amp;"-"&amp;1</f>
        <v>F. V.-1</v>
      </c>
      <c r="P31" t="str">
        <f t="shared" si="9"/>
        <v/>
      </c>
      <c r="Q31" t="str">
        <f>IF(N31="","",    _xlfn.XLOOKUP(P31,Regcontabilizados[Número pago],Regcontabilizados[Estado de pago],"NO PAGADO"))</f>
        <v/>
      </c>
      <c r="R31" s="44">
        <f>_xlfn.XLOOKUP(O31,Regcontabilizados[Identificador],Regcontabilizados[Fecha vencimiento],0)</f>
        <v>0</v>
      </c>
      <c r="S31">
        <f>_xlfn.XLOOKUP(O31,Regcontabilizados[Identificador],Regcontabilizados[Subcuenta],0)</f>
        <v>0</v>
      </c>
      <c r="T31">
        <f>_xlfn.XLOOKUP(O31,Regcontabilizados[Identificador],Regcontabilizados[Debe],0)+_xlfn.XLOOKUP(P31&amp;"-"&amp;2,Regcontabilizados[Identificador],Regcontabilizados[Debe],0)+_xlfn.XLOOKUP(P31&amp;"-"&amp;3,Regcontabilizados[Identificador],Regcontabilizados[Debe],0)+_xlfn.XLOOKUP(P31&amp;"-"&amp;4,Regcontabilizados[Identificador],Regcontabilizados[Debe],0)+_xlfn.XLOOKUP(P31&amp;"-"&amp;5,Regcontabilizados[Identificador],Regcontabilizados[Debe],0)+_xlfn.XLOOKUP(P31&amp;"-"&amp;6,Regcontabilizados[Identificador],Regcontabilizados[Debe],0)+_xlfn.XLOOKUP(P31&amp;"-"&amp;7,Regcontabilizados[Identificador],Regcontabilizados[Debe],0)+_xlfn.XLOOKUP(P31&amp;"-"&amp;8,Regcontabilizados[Identificador],Regcontabilizados[Debe],0)+_xlfn.XLOOKUP(P31&amp;"-"&amp;9,Regcontabilizados[Identificador],Regcontabilizados[Debe],0)</f>
        <v>0</v>
      </c>
      <c r="U31">
        <f>SUMIF(Regcontabilizados[Número pago],Pagovtasbusc!P31,Regcontabilizados[Haber])</f>
        <v>0</v>
      </c>
      <c r="AA31" s="33" t="str">
        <f>IF(J31=0,"",   _xlfn.XLOOKUP(AB31,Regcontabilizados[Identificador],Regcontabilizados[Subcuenta],0))</f>
        <v/>
      </c>
      <c r="AB31" t="str">
        <f>IF(J31=0,"",   _xlfn.XLOOKUP($H$7,BDclient[ID-Cliente],BDclient[NIT/C.C.],0)&amp;D31&amp;$H$9&amp;"-"&amp;1)</f>
        <v/>
      </c>
      <c r="AC31" t="str">
        <f t="shared" si="7"/>
        <v/>
      </c>
      <c r="AD31" t="str">
        <f t="shared" si="8"/>
        <v>En Blanco</v>
      </c>
      <c r="AE31" t="str">
        <f>_xlfn.XLOOKUP($H$7,BDclient[ID-Cliente],BDclient[NIT/C.C.],0)&amp;$H$13&amp;$E$7&amp;"-"&amp;ROW(Z31)-21</f>
        <v>Comp. Ingreso-10</v>
      </c>
      <c r="AH31" s="207">
        <f>_xlfn.XLOOKUP(AI31,Regcontabilizados[Identificador],Regcontabilizados[Número pago],0)</f>
        <v>0</v>
      </c>
      <c r="AI31" s="207" t="str">
        <f t="shared" si="10"/>
        <v>Comp. Ingreso-9</v>
      </c>
      <c r="AJ31" s="207"/>
      <c r="AK31" s="207"/>
      <c r="AL31" s="207"/>
    </row>
    <row r="32" spans="3:60">
      <c r="C32" s="194"/>
      <c r="D32" s="206"/>
      <c r="E32" s="142"/>
      <c r="F32" s="195"/>
      <c r="G32" s="183"/>
      <c r="H32" s="37">
        <f t="shared" si="4"/>
        <v>0</v>
      </c>
      <c r="I32" s="37"/>
      <c r="J32" s="210">
        <f t="shared" si="5"/>
        <v>0</v>
      </c>
      <c r="K32" s="197"/>
      <c r="N32" s="33">
        <f t="shared" si="6"/>
        <v>0</v>
      </c>
      <c r="O32" t="str">
        <f>_xlfn.XLOOKUP($H$7,BDclient[ID-Cliente],BDclient[NIT/C.C.],0)&amp;$H$9&amp;$D32&amp;"-"&amp;1</f>
        <v>F. V.-1</v>
      </c>
      <c r="P32" t="str">
        <f t="shared" si="9"/>
        <v>F. V.</v>
      </c>
      <c r="Q32" t="str">
        <f>IF(N32="","",    _xlfn.XLOOKUP(P32,Regcontabilizados[Número pago],Regcontabilizados[Estado de pago],"NO PAGADO"))</f>
        <v>NO PAGADO</v>
      </c>
      <c r="R32" s="44">
        <f>_xlfn.XLOOKUP(O32,Regcontabilizados[Identificador],Regcontabilizados[Fecha vencimiento],0)</f>
        <v>0</v>
      </c>
      <c r="S32">
        <f>_xlfn.XLOOKUP(O32,Regcontabilizados[Identificador],Regcontabilizados[Subcuenta],0)</f>
        <v>0</v>
      </c>
      <c r="T32">
        <f>_xlfn.XLOOKUP(O32,Regcontabilizados[Identificador],Regcontabilizados[Debe],0)+_xlfn.XLOOKUP(P32&amp;"-"&amp;2,Regcontabilizados[Identificador],Regcontabilizados[Debe],0)+_xlfn.XLOOKUP(P32&amp;"-"&amp;3,Regcontabilizados[Identificador],Regcontabilizados[Debe],0)+_xlfn.XLOOKUP(P32&amp;"-"&amp;4,Regcontabilizados[Identificador],Regcontabilizados[Debe],0)+_xlfn.XLOOKUP(P32&amp;"-"&amp;5,Regcontabilizados[Identificador],Regcontabilizados[Debe],0)+_xlfn.XLOOKUP(P32&amp;"-"&amp;6,Regcontabilizados[Identificador],Regcontabilizados[Debe],0)+_xlfn.XLOOKUP(P32&amp;"-"&amp;7,Regcontabilizados[Identificador],Regcontabilizados[Debe],0)+_xlfn.XLOOKUP(P32&amp;"-"&amp;8,Regcontabilizados[Identificador],Regcontabilizados[Debe],0)+_xlfn.XLOOKUP(P32&amp;"-"&amp;9,Regcontabilizados[Identificador],Regcontabilizados[Debe],0)</f>
        <v>0</v>
      </c>
      <c r="U32">
        <f>SUMIF(Regcontabilizados[Número pago],Pagovtasbusc!P32,Regcontabilizados[Haber])</f>
        <v>0</v>
      </c>
      <c r="AA32" s="33" t="str">
        <f>IF(J32=0,"",   _xlfn.XLOOKUP(AB32,Regcontabilizados[Identificador],Regcontabilizados[Subcuenta],0))</f>
        <v/>
      </c>
      <c r="AB32" t="str">
        <f>IF(J32=0,"",   _xlfn.XLOOKUP($H$7,BDclient[ID-Cliente],BDclient[NIT/C.C.],0)&amp;D32&amp;$H$9&amp;"-"&amp;1)</f>
        <v/>
      </c>
      <c r="AC32" t="str">
        <f t="shared" si="7"/>
        <v/>
      </c>
      <c r="AD32" t="str">
        <f t="shared" si="8"/>
        <v>En Blanco</v>
      </c>
      <c r="AE32" t="str">
        <f>_xlfn.XLOOKUP($H$7,BDclient[ID-Cliente],BDclient[NIT/C.C.],0)&amp;$H$13&amp;$E$7&amp;"-"&amp;ROW(Z32)-21</f>
        <v>Comp. Ingreso-11</v>
      </c>
      <c r="AH32" s="207">
        <f>_xlfn.XLOOKUP(AI32,Regcontabilizados[Identificador],Regcontabilizados[Número pago],0)</f>
        <v>0</v>
      </c>
      <c r="AI32" s="207" t="str">
        <f t="shared" si="10"/>
        <v>Comp. Ingreso-10</v>
      </c>
      <c r="AJ32" s="207"/>
      <c r="AK32" s="207"/>
      <c r="AL32" s="207"/>
    </row>
    <row r="33" spans="3:31">
      <c r="C33" s="194"/>
      <c r="D33" s="206"/>
      <c r="E33" s="142"/>
      <c r="F33" s="195"/>
      <c r="G33" s="183"/>
      <c r="H33" s="37">
        <f t="shared" si="4"/>
        <v>0</v>
      </c>
      <c r="I33" s="37"/>
      <c r="J33" s="210">
        <f t="shared" si="5"/>
        <v>0</v>
      </c>
      <c r="K33" s="197"/>
      <c r="N33" s="33">
        <f t="shared" si="6"/>
        <v>0</v>
      </c>
      <c r="O33" t="str">
        <f>_xlfn.XLOOKUP($H$7,BDclient[ID-Cliente],BDclient[NIT/C.C.],0)&amp;$H$9&amp;$D33&amp;"-"&amp;1</f>
        <v>F. V.-1</v>
      </c>
      <c r="P33" t="str">
        <f t="shared" si="9"/>
        <v>F. V.</v>
      </c>
      <c r="Q33" t="str">
        <f>IF(N33="","",    _xlfn.XLOOKUP(P33,Regcontabilizados[Número pago],Regcontabilizados[Estado de pago],"NO PAGADO"))</f>
        <v>NO PAGADO</v>
      </c>
      <c r="R33" s="44">
        <f>_xlfn.XLOOKUP(O33,Regcontabilizados[Identificador],Regcontabilizados[Fecha vencimiento],0)</f>
        <v>0</v>
      </c>
      <c r="S33">
        <f>_xlfn.XLOOKUP(O33,Regcontabilizados[Identificador],Regcontabilizados[Subcuenta],0)</f>
        <v>0</v>
      </c>
      <c r="T33">
        <f>_xlfn.XLOOKUP(O33,Regcontabilizados[Identificador],Regcontabilizados[Debe],0)+_xlfn.XLOOKUP(P33&amp;"-"&amp;2,Regcontabilizados[Identificador],Regcontabilizados[Debe],0)+_xlfn.XLOOKUP(P33&amp;"-"&amp;3,Regcontabilizados[Identificador],Regcontabilizados[Debe],0)+_xlfn.XLOOKUP(P33&amp;"-"&amp;4,Regcontabilizados[Identificador],Regcontabilizados[Debe],0)+_xlfn.XLOOKUP(P33&amp;"-"&amp;5,Regcontabilizados[Identificador],Regcontabilizados[Debe],0)+_xlfn.XLOOKUP(P33&amp;"-"&amp;6,Regcontabilizados[Identificador],Regcontabilizados[Debe],0)+_xlfn.XLOOKUP(P33&amp;"-"&amp;7,Regcontabilizados[Identificador],Regcontabilizados[Debe],0)+_xlfn.XLOOKUP(P33&amp;"-"&amp;8,Regcontabilizados[Identificador],Regcontabilizados[Debe],0)+_xlfn.XLOOKUP(P33&amp;"-"&amp;9,Regcontabilizados[Identificador],Regcontabilizados[Debe],0)</f>
        <v>0</v>
      </c>
      <c r="U33">
        <f>SUMIF(Regcontabilizados[Número pago],Pagovtasbusc!P33,Regcontabilizados[Haber])</f>
        <v>0</v>
      </c>
      <c r="AA33" s="33" t="str">
        <f>IF(J33=0,"",   _xlfn.XLOOKUP(AB33,Regcontabilizados[Identificador],Regcontabilizados[Subcuenta],0))</f>
        <v/>
      </c>
      <c r="AB33" t="str">
        <f>IF(J33=0,"",   _xlfn.XLOOKUP($H$7,BDclient[ID-Cliente],BDclient[NIT/C.C.],0)&amp;D33&amp;$H$9&amp;"-"&amp;1)</f>
        <v/>
      </c>
      <c r="AC33" t="str">
        <f t="shared" si="7"/>
        <v/>
      </c>
      <c r="AD33" t="str">
        <f t="shared" si="8"/>
        <v>En Blanco</v>
      </c>
      <c r="AE33" t="str">
        <f>_xlfn.XLOOKUP($H$7,BDclient[ID-Cliente],BDclient[NIT/C.C.],0)&amp;$H$13&amp;$E$7&amp;"-"&amp;ROW(Z33)-21</f>
        <v>Comp. Ingreso-12</v>
      </c>
    </row>
    <row r="34" spans="3:31">
      <c r="C34" s="194"/>
      <c r="D34" s="206"/>
      <c r="E34" s="142"/>
      <c r="F34" s="195"/>
      <c r="G34" s="183"/>
      <c r="H34" s="37">
        <f t="shared" si="4"/>
        <v>0</v>
      </c>
      <c r="I34" s="37"/>
      <c r="J34" s="210">
        <f t="shared" si="5"/>
        <v>0</v>
      </c>
      <c r="K34" s="197"/>
      <c r="N34" s="33">
        <f t="shared" si="6"/>
        <v>0</v>
      </c>
      <c r="O34" t="str">
        <f>_xlfn.XLOOKUP($H$7,BDclient[ID-Cliente],BDclient[NIT/C.C.],0)&amp;$H$9&amp;$D34&amp;"-"&amp;1</f>
        <v>F. V.-1</v>
      </c>
      <c r="P34" t="str">
        <f t="shared" si="9"/>
        <v>F. V.</v>
      </c>
      <c r="Q34" t="str">
        <f>IF(N34="","",    _xlfn.XLOOKUP(P34,Regcontabilizados[Número pago],Regcontabilizados[Estado de pago],"NO PAGADO"))</f>
        <v>NO PAGADO</v>
      </c>
      <c r="R34" s="44">
        <f>_xlfn.XLOOKUP(O34,Regcontabilizados[Identificador],Regcontabilizados[Fecha vencimiento],0)</f>
        <v>0</v>
      </c>
      <c r="S34">
        <f>_xlfn.XLOOKUP(O34,Regcontabilizados[Identificador],Regcontabilizados[Subcuenta],0)</f>
        <v>0</v>
      </c>
      <c r="T34">
        <f>_xlfn.XLOOKUP(O34,Regcontabilizados[Identificador],Regcontabilizados[Debe],0)+_xlfn.XLOOKUP(P34&amp;"-"&amp;2,Regcontabilizados[Identificador],Regcontabilizados[Debe],0)+_xlfn.XLOOKUP(P34&amp;"-"&amp;3,Regcontabilizados[Identificador],Regcontabilizados[Debe],0)+_xlfn.XLOOKUP(P34&amp;"-"&amp;4,Regcontabilizados[Identificador],Regcontabilizados[Debe],0)+_xlfn.XLOOKUP(P34&amp;"-"&amp;5,Regcontabilizados[Identificador],Regcontabilizados[Debe],0)+_xlfn.XLOOKUP(P34&amp;"-"&amp;6,Regcontabilizados[Identificador],Regcontabilizados[Debe],0)+_xlfn.XLOOKUP(P34&amp;"-"&amp;7,Regcontabilizados[Identificador],Regcontabilizados[Debe],0)+_xlfn.XLOOKUP(P34&amp;"-"&amp;8,Regcontabilizados[Identificador],Regcontabilizados[Debe],0)+_xlfn.XLOOKUP(P34&amp;"-"&amp;9,Regcontabilizados[Identificador],Regcontabilizados[Debe],0)</f>
        <v>0</v>
      </c>
      <c r="U34">
        <f>SUMIF(Regcontabilizados[Número pago],Pagovtasbusc!P34,Regcontabilizados[Haber])</f>
        <v>0</v>
      </c>
      <c r="AA34" s="33" t="str">
        <f>IF(J34=0,"",   _xlfn.XLOOKUP(AB34,Regcontabilizados[Identificador],Regcontabilizados[Subcuenta],0))</f>
        <v/>
      </c>
      <c r="AB34" t="str">
        <f>IF(J34=0,"",   _xlfn.XLOOKUP($H$7,BDclient[ID-Cliente],BDclient[NIT/C.C.],0)&amp;D34&amp;$H$9&amp;"-"&amp;1)</f>
        <v/>
      </c>
      <c r="AC34" t="str">
        <f t="shared" si="7"/>
        <v/>
      </c>
      <c r="AD34" t="str">
        <f t="shared" si="8"/>
        <v>En Blanco</v>
      </c>
      <c r="AE34" t="str">
        <f>_xlfn.XLOOKUP($H$7,BDclient[ID-Cliente],BDclient[NIT/C.C.],0)&amp;$H$13&amp;$E$7&amp;"-"&amp;ROW(Z34)-21</f>
        <v>Comp. Ingreso-13</v>
      </c>
    </row>
    <row r="35" spans="3:31">
      <c r="C35" s="194"/>
      <c r="D35" s="206"/>
      <c r="E35" s="142"/>
      <c r="F35" s="195"/>
      <c r="G35" s="183"/>
      <c r="H35" s="37">
        <f t="shared" si="4"/>
        <v>0</v>
      </c>
      <c r="I35" s="37"/>
      <c r="J35" s="210">
        <f t="shared" si="5"/>
        <v>0</v>
      </c>
      <c r="K35" s="197"/>
      <c r="N35" s="33">
        <f t="shared" si="6"/>
        <v>0</v>
      </c>
      <c r="O35" t="str">
        <f>_xlfn.XLOOKUP($H$7,BDclient[ID-Cliente],BDclient[NIT/C.C.],0)&amp;$H$9&amp;$D35&amp;"-"&amp;1</f>
        <v>F. V.-1</v>
      </c>
      <c r="P35" t="str">
        <f t="shared" si="9"/>
        <v>F. V.</v>
      </c>
      <c r="Q35" t="str">
        <f>IF(N35="","",    _xlfn.XLOOKUP(P35,Regcontabilizados[Número pago],Regcontabilizados[Estado de pago],"NO PAGADO"))</f>
        <v>NO PAGADO</v>
      </c>
      <c r="R35" s="44">
        <f>_xlfn.XLOOKUP(O35,Regcontabilizados[Identificador],Regcontabilizados[Fecha vencimiento],0)</f>
        <v>0</v>
      </c>
      <c r="S35">
        <f>_xlfn.XLOOKUP(O35,Regcontabilizados[Identificador],Regcontabilizados[Subcuenta],0)</f>
        <v>0</v>
      </c>
      <c r="T35">
        <f>_xlfn.XLOOKUP(O35,Regcontabilizados[Identificador],Regcontabilizados[Debe],0)+_xlfn.XLOOKUP(P35&amp;"-"&amp;2,Regcontabilizados[Identificador],Regcontabilizados[Debe],0)+_xlfn.XLOOKUP(P35&amp;"-"&amp;3,Regcontabilizados[Identificador],Regcontabilizados[Debe],0)+_xlfn.XLOOKUP(P35&amp;"-"&amp;4,Regcontabilizados[Identificador],Regcontabilizados[Debe],0)+_xlfn.XLOOKUP(P35&amp;"-"&amp;5,Regcontabilizados[Identificador],Regcontabilizados[Debe],0)+_xlfn.XLOOKUP(P35&amp;"-"&amp;6,Regcontabilizados[Identificador],Regcontabilizados[Debe],0)+_xlfn.XLOOKUP(P35&amp;"-"&amp;7,Regcontabilizados[Identificador],Regcontabilizados[Debe],0)+_xlfn.XLOOKUP(P35&amp;"-"&amp;8,Regcontabilizados[Identificador],Regcontabilizados[Debe],0)+_xlfn.XLOOKUP(P35&amp;"-"&amp;9,Regcontabilizados[Identificador],Regcontabilizados[Debe],0)</f>
        <v>0</v>
      </c>
      <c r="U35">
        <f>SUMIF(Regcontabilizados[Número pago],Pagovtasbusc!P35,Regcontabilizados[Haber])</f>
        <v>0</v>
      </c>
      <c r="AA35" s="33" t="str">
        <f>IF(J35=0,"",   _xlfn.XLOOKUP(AB35,Regcontabilizados[Identificador],Regcontabilizados[Subcuenta],0))</f>
        <v/>
      </c>
      <c r="AB35" t="str">
        <f>IF(J35=0,"",   _xlfn.XLOOKUP($H$7,BDclient[ID-Cliente],BDclient[NIT/C.C.],0)&amp;D35&amp;$H$9&amp;"-"&amp;1)</f>
        <v/>
      </c>
      <c r="AC35" t="str">
        <f t="shared" si="7"/>
        <v/>
      </c>
      <c r="AD35" t="str">
        <f t="shared" si="8"/>
        <v>En Blanco</v>
      </c>
      <c r="AE35" t="str">
        <f>_xlfn.XLOOKUP($H$7,BDclient[ID-Cliente],BDclient[NIT/C.C.],0)&amp;$H$13&amp;$E$7&amp;"-"&amp;ROW(Z35)-21</f>
        <v>Comp. Ingreso-14</v>
      </c>
    </row>
    <row r="36" spans="3:31">
      <c r="C36" s="194"/>
      <c r="D36" s="206"/>
      <c r="E36" s="142"/>
      <c r="F36" s="195"/>
      <c r="G36" s="183"/>
      <c r="H36" s="37">
        <f t="shared" si="4"/>
        <v>0</v>
      </c>
      <c r="I36" s="37"/>
      <c r="J36" s="210">
        <f t="shared" si="5"/>
        <v>0</v>
      </c>
      <c r="K36" s="197"/>
      <c r="N36" s="33">
        <f t="shared" si="6"/>
        <v>0</v>
      </c>
      <c r="O36" t="str">
        <f>_xlfn.XLOOKUP($H$7,BDclient[ID-Cliente],BDclient[NIT/C.C.],0)&amp;$H$9&amp;$D36&amp;"-"&amp;1</f>
        <v>F. V.-1</v>
      </c>
      <c r="P36" t="str">
        <f t="shared" si="9"/>
        <v>F. V.</v>
      </c>
      <c r="Q36" t="str">
        <f>IF(N36="","",    _xlfn.XLOOKUP(P36,Regcontabilizados[Número pago],Regcontabilizados[Estado de pago],"NO PAGADO"))</f>
        <v>NO PAGADO</v>
      </c>
      <c r="R36" s="44">
        <f>_xlfn.XLOOKUP(O36,Regcontabilizados[Identificador],Regcontabilizados[Fecha vencimiento],0)</f>
        <v>0</v>
      </c>
      <c r="S36">
        <f>_xlfn.XLOOKUP(O36,Regcontabilizados[Identificador],Regcontabilizados[Subcuenta],0)</f>
        <v>0</v>
      </c>
      <c r="T36">
        <f>_xlfn.XLOOKUP(O36,Regcontabilizados[Identificador],Regcontabilizados[Debe],0)+_xlfn.XLOOKUP(P36&amp;"-"&amp;2,Regcontabilizados[Identificador],Regcontabilizados[Debe],0)+_xlfn.XLOOKUP(P36&amp;"-"&amp;3,Regcontabilizados[Identificador],Regcontabilizados[Debe],0)+_xlfn.XLOOKUP(P36&amp;"-"&amp;4,Regcontabilizados[Identificador],Regcontabilizados[Debe],0)+_xlfn.XLOOKUP(P36&amp;"-"&amp;5,Regcontabilizados[Identificador],Regcontabilizados[Debe],0)+_xlfn.XLOOKUP(P36&amp;"-"&amp;6,Regcontabilizados[Identificador],Regcontabilizados[Debe],0)+_xlfn.XLOOKUP(P36&amp;"-"&amp;7,Regcontabilizados[Identificador],Regcontabilizados[Debe],0)+_xlfn.XLOOKUP(P36&amp;"-"&amp;8,Regcontabilizados[Identificador],Regcontabilizados[Debe],0)+_xlfn.XLOOKUP(P36&amp;"-"&amp;9,Regcontabilizados[Identificador],Regcontabilizados[Debe],0)</f>
        <v>0</v>
      </c>
      <c r="U36">
        <f>SUMIF(Regcontabilizados[Número pago],Pagovtasbusc!P36,Regcontabilizados[Haber])</f>
        <v>0</v>
      </c>
      <c r="AA36" s="33" t="str">
        <f>IF(J36=0,"",   _xlfn.XLOOKUP(AB36,Regcontabilizados[Identificador],Regcontabilizados[Subcuenta],0))</f>
        <v/>
      </c>
      <c r="AB36" t="str">
        <f>IF(J36=0,"",   _xlfn.XLOOKUP($H$7,BDclient[ID-Cliente],BDclient[NIT/C.C.],0)&amp;D36&amp;$H$9&amp;"-"&amp;1)</f>
        <v/>
      </c>
      <c r="AC36" t="str">
        <f t="shared" si="7"/>
        <v/>
      </c>
      <c r="AD36" t="str">
        <f t="shared" si="8"/>
        <v>En Blanco</v>
      </c>
      <c r="AE36" t="str">
        <f>_xlfn.XLOOKUP($H$7,BDclient[ID-Cliente],BDclient[NIT/C.C.],0)&amp;$H$13&amp;$E$7&amp;"-"&amp;ROW(Z36)-21</f>
        <v>Comp. Ingreso-15</v>
      </c>
    </row>
    <row r="37" spans="3:31">
      <c r="C37" s="194"/>
      <c r="D37" s="206"/>
      <c r="E37" s="142"/>
      <c r="F37" s="195"/>
      <c r="G37" s="183"/>
      <c r="H37" s="37">
        <f t="shared" si="4"/>
        <v>0</v>
      </c>
      <c r="I37" s="37"/>
      <c r="J37" s="210">
        <f t="shared" si="5"/>
        <v>0</v>
      </c>
      <c r="K37" s="197"/>
      <c r="N37" s="33">
        <f t="shared" si="6"/>
        <v>0</v>
      </c>
      <c r="O37" t="str">
        <f>_xlfn.XLOOKUP($H$7,BDclient[ID-Cliente],BDclient[NIT/C.C.],0)&amp;$H$9&amp;$D37&amp;"-"&amp;1</f>
        <v>F. V.-1</v>
      </c>
      <c r="P37" t="str">
        <f t="shared" si="9"/>
        <v>F. V.</v>
      </c>
      <c r="Q37" t="str">
        <f>IF(N37="","",    _xlfn.XLOOKUP(P37,Regcontabilizados[Número pago],Regcontabilizados[Estado de pago],"NO PAGADO"))</f>
        <v>NO PAGADO</v>
      </c>
      <c r="R37" s="44">
        <f>_xlfn.XLOOKUP(O37,Regcontabilizados[Identificador],Regcontabilizados[Fecha vencimiento],0)</f>
        <v>0</v>
      </c>
      <c r="S37">
        <f>_xlfn.XLOOKUP(O37,Regcontabilizados[Identificador],Regcontabilizados[Subcuenta],0)</f>
        <v>0</v>
      </c>
      <c r="T37">
        <f>_xlfn.XLOOKUP(O37,Regcontabilizados[Identificador],Regcontabilizados[Debe],0)+_xlfn.XLOOKUP(P37&amp;"-"&amp;2,Regcontabilizados[Identificador],Regcontabilizados[Debe],0)+_xlfn.XLOOKUP(P37&amp;"-"&amp;3,Regcontabilizados[Identificador],Regcontabilizados[Debe],0)+_xlfn.XLOOKUP(P37&amp;"-"&amp;4,Regcontabilizados[Identificador],Regcontabilizados[Debe],0)+_xlfn.XLOOKUP(P37&amp;"-"&amp;5,Regcontabilizados[Identificador],Regcontabilizados[Debe],0)+_xlfn.XLOOKUP(P37&amp;"-"&amp;6,Regcontabilizados[Identificador],Regcontabilizados[Debe],0)+_xlfn.XLOOKUP(P37&amp;"-"&amp;7,Regcontabilizados[Identificador],Regcontabilizados[Debe],0)+_xlfn.XLOOKUP(P37&amp;"-"&amp;8,Regcontabilizados[Identificador],Regcontabilizados[Debe],0)+_xlfn.XLOOKUP(P37&amp;"-"&amp;9,Regcontabilizados[Identificador],Regcontabilizados[Debe],0)</f>
        <v>0</v>
      </c>
      <c r="U37">
        <f>SUMIF(Regcontabilizados[Número pago],Pagovtasbusc!P37,Regcontabilizados[Haber])</f>
        <v>0</v>
      </c>
      <c r="AA37" s="33" t="str">
        <f>IF(J37=0,"",   _xlfn.XLOOKUP(AB37,Regcontabilizados[Identificador],Regcontabilizados[Subcuenta],0))</f>
        <v/>
      </c>
      <c r="AB37" t="str">
        <f>IF(J37=0,"",   _xlfn.XLOOKUP($H$7,BDclient[ID-Cliente],BDclient[NIT/C.C.],0)&amp;D37&amp;$H$9&amp;"-"&amp;1)</f>
        <v/>
      </c>
      <c r="AC37" t="str">
        <f t="shared" si="7"/>
        <v/>
      </c>
      <c r="AD37" t="str">
        <f t="shared" si="8"/>
        <v>En Blanco</v>
      </c>
      <c r="AE37" t="str">
        <f>_xlfn.XLOOKUP($H$7,BDclient[ID-Cliente],BDclient[NIT/C.C.],0)&amp;$H$13&amp;$E$7&amp;"-"&amp;ROW(Z37)-21</f>
        <v>Comp. Ingreso-16</v>
      </c>
    </row>
    <row r="38" spans="3:31">
      <c r="C38" s="194"/>
      <c r="D38" s="206"/>
      <c r="E38" s="142"/>
      <c r="F38" s="195"/>
      <c r="G38" s="183"/>
      <c r="H38" s="37">
        <f t="shared" si="4"/>
        <v>0</v>
      </c>
      <c r="I38" s="37"/>
      <c r="J38" s="210">
        <f t="shared" si="5"/>
        <v>0</v>
      </c>
      <c r="K38" s="197"/>
      <c r="N38" s="33">
        <f t="shared" si="6"/>
        <v>0</v>
      </c>
      <c r="O38" t="str">
        <f>_xlfn.XLOOKUP($H$7,BDclient[ID-Cliente],BDclient[NIT/C.C.],0)&amp;$H$9&amp;$D38&amp;"-"&amp;1</f>
        <v>F. V.-1</v>
      </c>
      <c r="P38" t="str">
        <f t="shared" si="9"/>
        <v>F. V.</v>
      </c>
      <c r="Q38" t="str">
        <f>IF(N38="","",    _xlfn.XLOOKUP(P38,Regcontabilizados[Número pago],Regcontabilizados[Estado de pago],"NO PAGADO"))</f>
        <v>NO PAGADO</v>
      </c>
      <c r="R38" s="44">
        <f>_xlfn.XLOOKUP(O38,Regcontabilizados[Identificador],Regcontabilizados[Fecha vencimiento],0)</f>
        <v>0</v>
      </c>
      <c r="S38">
        <f>_xlfn.XLOOKUP(O38,Regcontabilizados[Identificador],Regcontabilizados[Subcuenta],0)</f>
        <v>0</v>
      </c>
      <c r="T38">
        <f>_xlfn.XLOOKUP(O38,Regcontabilizados[Identificador],Regcontabilizados[Debe],0)+_xlfn.XLOOKUP(P38&amp;"-"&amp;2,Regcontabilizados[Identificador],Regcontabilizados[Debe],0)+_xlfn.XLOOKUP(P38&amp;"-"&amp;3,Regcontabilizados[Identificador],Regcontabilizados[Debe],0)+_xlfn.XLOOKUP(P38&amp;"-"&amp;4,Regcontabilizados[Identificador],Regcontabilizados[Debe],0)+_xlfn.XLOOKUP(P38&amp;"-"&amp;5,Regcontabilizados[Identificador],Regcontabilizados[Debe],0)+_xlfn.XLOOKUP(P38&amp;"-"&amp;6,Regcontabilizados[Identificador],Regcontabilizados[Debe],0)+_xlfn.XLOOKUP(P38&amp;"-"&amp;7,Regcontabilizados[Identificador],Regcontabilizados[Debe],0)+_xlfn.XLOOKUP(P38&amp;"-"&amp;8,Regcontabilizados[Identificador],Regcontabilizados[Debe],0)+_xlfn.XLOOKUP(P38&amp;"-"&amp;9,Regcontabilizados[Identificador],Regcontabilizados[Debe],0)</f>
        <v>0</v>
      </c>
      <c r="U38">
        <f>SUMIF(Regcontabilizados[Número pago],Pagovtasbusc!P38,Regcontabilizados[Haber])</f>
        <v>0</v>
      </c>
      <c r="AA38" s="33" t="str">
        <f>IF(J38=0,"",   _xlfn.XLOOKUP(AB38,Regcontabilizados[Identificador],Regcontabilizados[Subcuenta],0))</f>
        <v/>
      </c>
      <c r="AB38" t="str">
        <f>IF(J38=0,"",   _xlfn.XLOOKUP($H$7,BDclient[ID-Cliente],BDclient[NIT/C.C.],0)&amp;D38&amp;$H$9&amp;"-"&amp;1)</f>
        <v/>
      </c>
      <c r="AC38" t="str">
        <f t="shared" si="7"/>
        <v/>
      </c>
      <c r="AD38" t="str">
        <f t="shared" si="8"/>
        <v>En Blanco</v>
      </c>
      <c r="AE38" t="str">
        <f>_xlfn.XLOOKUP($H$7,BDclient[ID-Cliente],BDclient[NIT/C.C.],0)&amp;$H$13&amp;$E$7&amp;"-"&amp;ROW(Z38)-21</f>
        <v>Comp. Ingreso-17</v>
      </c>
    </row>
    <row r="39" spans="3:31">
      <c r="C39" s="194"/>
      <c r="D39" s="206"/>
      <c r="E39" s="142"/>
      <c r="F39" s="195"/>
      <c r="G39" s="183"/>
      <c r="H39" s="37">
        <f t="shared" si="4"/>
        <v>0</v>
      </c>
      <c r="I39" s="37"/>
      <c r="J39" s="210">
        <f t="shared" si="5"/>
        <v>0</v>
      </c>
      <c r="K39" s="197"/>
      <c r="N39" s="33">
        <f t="shared" si="6"/>
        <v>0</v>
      </c>
      <c r="O39" t="str">
        <f>_xlfn.XLOOKUP($H$7,BDclient[ID-Cliente],BDclient[NIT/C.C.],0)&amp;$H$9&amp;$D39&amp;"-"&amp;1</f>
        <v>F. V.-1</v>
      </c>
      <c r="P39" t="str">
        <f t="shared" si="9"/>
        <v>F. V.</v>
      </c>
      <c r="Q39" t="str">
        <f>IF(N39="","",    _xlfn.XLOOKUP(P39,Regcontabilizados[Número pago],Regcontabilizados[Estado de pago],"NO PAGADO"))</f>
        <v>NO PAGADO</v>
      </c>
      <c r="R39" s="44">
        <f>_xlfn.XLOOKUP(O39,Regcontabilizados[Identificador],Regcontabilizados[Fecha vencimiento],0)</f>
        <v>0</v>
      </c>
      <c r="S39">
        <f>_xlfn.XLOOKUP(O39,Regcontabilizados[Identificador],Regcontabilizados[Subcuenta],0)</f>
        <v>0</v>
      </c>
      <c r="T39">
        <f>_xlfn.XLOOKUP(O39,Regcontabilizados[Identificador],Regcontabilizados[Debe],0)+_xlfn.XLOOKUP(P39&amp;"-"&amp;2,Regcontabilizados[Identificador],Regcontabilizados[Debe],0)+_xlfn.XLOOKUP(P39&amp;"-"&amp;3,Regcontabilizados[Identificador],Regcontabilizados[Debe],0)+_xlfn.XLOOKUP(P39&amp;"-"&amp;4,Regcontabilizados[Identificador],Regcontabilizados[Debe],0)+_xlfn.XLOOKUP(P39&amp;"-"&amp;5,Regcontabilizados[Identificador],Regcontabilizados[Debe],0)+_xlfn.XLOOKUP(P39&amp;"-"&amp;6,Regcontabilizados[Identificador],Regcontabilizados[Debe],0)+_xlfn.XLOOKUP(P39&amp;"-"&amp;7,Regcontabilizados[Identificador],Regcontabilizados[Debe],0)+_xlfn.XLOOKUP(P39&amp;"-"&amp;8,Regcontabilizados[Identificador],Regcontabilizados[Debe],0)+_xlfn.XLOOKUP(P39&amp;"-"&amp;9,Regcontabilizados[Identificador],Regcontabilizados[Debe],0)</f>
        <v>0</v>
      </c>
      <c r="U39">
        <f>SUMIF(Regcontabilizados[Número pago],Pagovtasbusc!P39,Regcontabilizados[Haber])</f>
        <v>0</v>
      </c>
      <c r="AA39" s="33" t="str">
        <f>IF(J39=0,"",   _xlfn.XLOOKUP(AB39,Regcontabilizados[Identificador],Regcontabilizados[Subcuenta],0))</f>
        <v/>
      </c>
      <c r="AB39" t="str">
        <f>IF(J39=0,"",   _xlfn.XLOOKUP($H$7,BDclient[ID-Cliente],BDclient[NIT/C.C.],0)&amp;D39&amp;$H$9&amp;"-"&amp;1)</f>
        <v/>
      </c>
      <c r="AC39" t="str">
        <f t="shared" si="7"/>
        <v/>
      </c>
      <c r="AD39" t="str">
        <f t="shared" si="8"/>
        <v>En Blanco</v>
      </c>
      <c r="AE39" t="str">
        <f>_xlfn.XLOOKUP($H$7,BDclient[ID-Cliente],BDclient[NIT/C.C.],0)&amp;$H$13&amp;$E$7&amp;"-"&amp;ROW(Z39)-21</f>
        <v>Comp. Ingreso-18</v>
      </c>
    </row>
    <row r="40" spans="3:31">
      <c r="C40" s="194"/>
      <c r="D40" s="206"/>
      <c r="E40" s="142"/>
      <c r="F40" s="195"/>
      <c r="G40" s="183"/>
      <c r="H40" s="37">
        <f t="shared" si="4"/>
        <v>0</v>
      </c>
      <c r="I40" s="37"/>
      <c r="J40" s="210">
        <f t="shared" si="5"/>
        <v>0</v>
      </c>
      <c r="K40" s="197"/>
      <c r="N40" s="33">
        <f t="shared" si="6"/>
        <v>0</v>
      </c>
      <c r="O40" t="str">
        <f>_xlfn.XLOOKUP($H$7,BDclient[ID-Cliente],BDclient[NIT/C.C.],0)&amp;$H$9&amp;$D40&amp;"-"&amp;1</f>
        <v>F. V.-1</v>
      </c>
      <c r="P40" t="str">
        <f t="shared" si="9"/>
        <v>F. V.</v>
      </c>
      <c r="Q40" t="str">
        <f>IF(N40="","",    _xlfn.XLOOKUP(P40,Regcontabilizados[Número pago],Regcontabilizados[Estado de pago],"NO PAGADO"))</f>
        <v>NO PAGADO</v>
      </c>
      <c r="R40" s="44">
        <f>_xlfn.XLOOKUP(O40,Regcontabilizados[Identificador],Regcontabilizados[Fecha vencimiento],0)</f>
        <v>0</v>
      </c>
      <c r="S40">
        <f>_xlfn.XLOOKUP(O40,Regcontabilizados[Identificador],Regcontabilizados[Subcuenta],0)</f>
        <v>0</v>
      </c>
      <c r="T40">
        <f>_xlfn.XLOOKUP(O40,Regcontabilizados[Identificador],Regcontabilizados[Debe],0)+_xlfn.XLOOKUP(P40&amp;"-"&amp;2,Regcontabilizados[Identificador],Regcontabilizados[Debe],0)+_xlfn.XLOOKUP(P40&amp;"-"&amp;3,Regcontabilizados[Identificador],Regcontabilizados[Debe],0)+_xlfn.XLOOKUP(P40&amp;"-"&amp;4,Regcontabilizados[Identificador],Regcontabilizados[Debe],0)+_xlfn.XLOOKUP(P40&amp;"-"&amp;5,Regcontabilizados[Identificador],Regcontabilizados[Debe],0)+_xlfn.XLOOKUP(P40&amp;"-"&amp;6,Regcontabilizados[Identificador],Regcontabilizados[Debe],0)+_xlfn.XLOOKUP(P40&amp;"-"&amp;7,Regcontabilizados[Identificador],Regcontabilizados[Debe],0)+_xlfn.XLOOKUP(P40&amp;"-"&amp;8,Regcontabilizados[Identificador],Regcontabilizados[Debe],0)+_xlfn.XLOOKUP(P40&amp;"-"&amp;9,Regcontabilizados[Identificador],Regcontabilizados[Debe],0)</f>
        <v>0</v>
      </c>
      <c r="U40">
        <f>SUMIF(Regcontabilizados[Número pago],Pagovtasbusc!P40,Regcontabilizados[Haber])</f>
        <v>0</v>
      </c>
      <c r="AA40" s="33" t="str">
        <f>IF(J40=0,"",   _xlfn.XLOOKUP(AB40,Regcontabilizados[Identificador],Regcontabilizados[Subcuenta],0))</f>
        <v/>
      </c>
      <c r="AB40" t="str">
        <f>IF(J40=0,"",   _xlfn.XLOOKUP($H$7,BDclient[ID-Cliente],BDclient[NIT/C.C.],0)&amp;D40&amp;$H$9&amp;"-"&amp;1)</f>
        <v/>
      </c>
      <c r="AC40" t="str">
        <f t="shared" si="7"/>
        <v/>
      </c>
      <c r="AD40" t="str">
        <f t="shared" si="8"/>
        <v>En Blanco</v>
      </c>
      <c r="AE40" t="str">
        <f>_xlfn.XLOOKUP($H$7,BDclient[ID-Cliente],BDclient[NIT/C.C.],0)&amp;$H$13&amp;$E$7&amp;"-"&amp;ROW(Z40)-21</f>
        <v>Comp. Ingreso-19</v>
      </c>
    </row>
    <row r="41" spans="3:31">
      <c r="C41" s="194"/>
      <c r="D41" s="206"/>
      <c r="E41" s="142"/>
      <c r="F41" s="195"/>
      <c r="G41" s="183"/>
      <c r="H41" s="37">
        <f t="shared" si="4"/>
        <v>0</v>
      </c>
      <c r="I41" s="37"/>
      <c r="J41" s="210">
        <f t="shared" si="5"/>
        <v>0</v>
      </c>
      <c r="K41" s="197"/>
      <c r="N41" s="33">
        <f t="shared" si="6"/>
        <v>0</v>
      </c>
      <c r="O41" t="str">
        <f>_xlfn.XLOOKUP($H$7,BDclient[ID-Cliente],BDclient[NIT/C.C.],0)&amp;$H$9&amp;$D41&amp;"-"&amp;1</f>
        <v>F. V.-1</v>
      </c>
      <c r="P41" t="str">
        <f t="shared" si="9"/>
        <v>F. V.</v>
      </c>
      <c r="Q41" t="str">
        <f>IF(N41="","",    _xlfn.XLOOKUP(P41,Regcontabilizados[Número pago],Regcontabilizados[Estado de pago],"NO PAGADO"))</f>
        <v>NO PAGADO</v>
      </c>
      <c r="R41" s="44">
        <f>_xlfn.XLOOKUP(O41,Regcontabilizados[Identificador],Regcontabilizados[Fecha vencimiento],0)</f>
        <v>0</v>
      </c>
      <c r="S41">
        <f>_xlfn.XLOOKUP(O41,Regcontabilizados[Identificador],Regcontabilizados[Subcuenta],0)</f>
        <v>0</v>
      </c>
      <c r="T41">
        <f>_xlfn.XLOOKUP(O41,Regcontabilizados[Identificador],Regcontabilizados[Debe],0)+_xlfn.XLOOKUP(P41&amp;"-"&amp;2,Regcontabilizados[Identificador],Regcontabilizados[Debe],0)+_xlfn.XLOOKUP(P41&amp;"-"&amp;3,Regcontabilizados[Identificador],Regcontabilizados[Debe],0)+_xlfn.XLOOKUP(P41&amp;"-"&amp;4,Regcontabilizados[Identificador],Regcontabilizados[Debe],0)+_xlfn.XLOOKUP(P41&amp;"-"&amp;5,Regcontabilizados[Identificador],Regcontabilizados[Debe],0)+_xlfn.XLOOKUP(P41&amp;"-"&amp;6,Regcontabilizados[Identificador],Regcontabilizados[Debe],0)+_xlfn.XLOOKUP(P41&amp;"-"&amp;7,Regcontabilizados[Identificador],Regcontabilizados[Debe],0)+_xlfn.XLOOKUP(P41&amp;"-"&amp;8,Regcontabilizados[Identificador],Regcontabilizados[Debe],0)+_xlfn.XLOOKUP(P41&amp;"-"&amp;9,Regcontabilizados[Identificador],Regcontabilizados[Debe],0)</f>
        <v>0</v>
      </c>
      <c r="U41">
        <f>SUMIF(Regcontabilizados[Número pago],Pagovtasbusc!P41,Regcontabilizados[Haber])</f>
        <v>0</v>
      </c>
      <c r="AA41" s="33" t="str">
        <f>IF(J41=0,"",   _xlfn.XLOOKUP(AB41,Regcontabilizados[Identificador],Regcontabilizados[Subcuenta],0))</f>
        <v/>
      </c>
      <c r="AB41" t="str">
        <f>IF(J41=0,"",   _xlfn.XLOOKUP($H$7,BDclient[ID-Cliente],BDclient[NIT/C.C.],0)&amp;D41&amp;$H$9&amp;"-"&amp;1)</f>
        <v/>
      </c>
      <c r="AC41" t="str">
        <f t="shared" si="7"/>
        <v/>
      </c>
      <c r="AD41" t="str">
        <f t="shared" si="8"/>
        <v>En Blanco</v>
      </c>
      <c r="AE41" t="str">
        <f>_xlfn.XLOOKUP($H$7,BDclient[ID-Cliente],BDclient[NIT/C.C.],0)&amp;$H$13&amp;$E$7&amp;"-"&amp;ROW(Z41)-21</f>
        <v>Comp. Ingreso-20</v>
      </c>
    </row>
    <row r="42" spans="3:31">
      <c r="C42" s="194"/>
      <c r="D42" s="206"/>
      <c r="E42" s="142"/>
      <c r="F42" s="195"/>
      <c r="G42" s="183"/>
      <c r="H42" s="37">
        <f t="shared" si="4"/>
        <v>0</v>
      </c>
      <c r="I42" s="37"/>
      <c r="J42" s="210">
        <f t="shared" si="5"/>
        <v>0</v>
      </c>
      <c r="K42" s="197"/>
      <c r="N42" s="33">
        <f t="shared" si="6"/>
        <v>0</v>
      </c>
      <c r="O42" t="str">
        <f>_xlfn.XLOOKUP($H$7,BDclient[ID-Cliente],BDclient[NIT/C.C.],0)&amp;$H$9&amp;$D42&amp;"-"&amp;1</f>
        <v>F. V.-1</v>
      </c>
      <c r="P42" t="str">
        <f t="shared" si="9"/>
        <v>F. V.</v>
      </c>
      <c r="Q42" t="str">
        <f>IF(N42="","",    _xlfn.XLOOKUP(P42,Regcontabilizados[Número pago],Regcontabilizados[Estado de pago],"NO PAGADO"))</f>
        <v>NO PAGADO</v>
      </c>
      <c r="R42" s="44">
        <f>_xlfn.XLOOKUP(O42,Regcontabilizados[Identificador],Regcontabilizados[Fecha vencimiento],0)</f>
        <v>0</v>
      </c>
      <c r="S42">
        <f>_xlfn.XLOOKUP(O42,Regcontabilizados[Identificador],Regcontabilizados[Subcuenta],0)</f>
        <v>0</v>
      </c>
      <c r="T42">
        <f>_xlfn.XLOOKUP(O42,Regcontabilizados[Identificador],Regcontabilizados[Debe],0)+_xlfn.XLOOKUP(P42&amp;"-"&amp;2,Regcontabilizados[Identificador],Regcontabilizados[Debe],0)+_xlfn.XLOOKUP(P42&amp;"-"&amp;3,Regcontabilizados[Identificador],Regcontabilizados[Debe],0)+_xlfn.XLOOKUP(P42&amp;"-"&amp;4,Regcontabilizados[Identificador],Regcontabilizados[Debe],0)+_xlfn.XLOOKUP(P42&amp;"-"&amp;5,Regcontabilizados[Identificador],Regcontabilizados[Debe],0)+_xlfn.XLOOKUP(P42&amp;"-"&amp;6,Regcontabilizados[Identificador],Regcontabilizados[Debe],0)+_xlfn.XLOOKUP(P42&amp;"-"&amp;7,Regcontabilizados[Identificador],Regcontabilizados[Debe],0)+_xlfn.XLOOKUP(P42&amp;"-"&amp;8,Regcontabilizados[Identificador],Regcontabilizados[Debe],0)+_xlfn.XLOOKUP(P42&amp;"-"&amp;9,Regcontabilizados[Identificador],Regcontabilizados[Debe],0)</f>
        <v>0</v>
      </c>
      <c r="U42">
        <f>SUMIF(Regcontabilizados[Número pago],Pagovtasbusc!P42,Regcontabilizados[Haber])</f>
        <v>0</v>
      </c>
      <c r="AA42" s="33" t="str">
        <f>IF(J42=0,"",   _xlfn.XLOOKUP(AB42,Regcontabilizados[Identificador],Regcontabilizados[Subcuenta],0))</f>
        <v/>
      </c>
      <c r="AB42" t="str">
        <f>IF(J42=0,"",   _xlfn.XLOOKUP($H$7,BDclient[ID-Cliente],BDclient[NIT/C.C.],0)&amp;D42&amp;$H$9&amp;"-"&amp;1)</f>
        <v/>
      </c>
      <c r="AC42" t="str">
        <f t="shared" si="7"/>
        <v/>
      </c>
      <c r="AD42" t="str">
        <f t="shared" si="8"/>
        <v>En Blanco</v>
      </c>
      <c r="AE42" t="str">
        <f>_xlfn.XLOOKUP($H$7,BDclient[ID-Cliente],BDclient[NIT/C.C.],0)&amp;$H$13&amp;$E$7&amp;"-"&amp;ROW(Z42)-21</f>
        <v>Comp. Ingreso-21</v>
      </c>
    </row>
    <row r="43" spans="3:31">
      <c r="C43" s="194"/>
      <c r="D43" s="206"/>
      <c r="E43" s="142"/>
      <c r="F43" s="195"/>
      <c r="G43" s="183"/>
      <c r="H43" s="37">
        <f t="shared" si="4"/>
        <v>0</v>
      </c>
      <c r="I43" s="37"/>
      <c r="J43" s="210">
        <f t="shared" si="5"/>
        <v>0</v>
      </c>
      <c r="K43" s="197"/>
      <c r="N43" s="33">
        <f t="shared" si="6"/>
        <v>0</v>
      </c>
      <c r="O43" t="str">
        <f>_xlfn.XLOOKUP($H$7,BDclient[ID-Cliente],BDclient[NIT/C.C.],0)&amp;$H$9&amp;$D43&amp;"-"&amp;1</f>
        <v>F. V.-1</v>
      </c>
      <c r="P43" t="str">
        <f t="shared" si="9"/>
        <v>F. V.</v>
      </c>
      <c r="Q43" t="str">
        <f>IF(N43="","",    _xlfn.XLOOKUP(P43,Regcontabilizados[Número pago],Regcontabilizados[Estado de pago],"NO PAGADO"))</f>
        <v>NO PAGADO</v>
      </c>
      <c r="R43" s="44">
        <f>_xlfn.XLOOKUP(O43,Regcontabilizados[Identificador],Regcontabilizados[Fecha vencimiento],0)</f>
        <v>0</v>
      </c>
      <c r="S43">
        <f>_xlfn.XLOOKUP(O43,Regcontabilizados[Identificador],Regcontabilizados[Subcuenta],0)</f>
        <v>0</v>
      </c>
      <c r="T43">
        <f>_xlfn.XLOOKUP(O43,Regcontabilizados[Identificador],Regcontabilizados[Debe],0)+_xlfn.XLOOKUP(P43&amp;"-"&amp;2,Regcontabilizados[Identificador],Regcontabilizados[Debe],0)+_xlfn.XLOOKUP(P43&amp;"-"&amp;3,Regcontabilizados[Identificador],Regcontabilizados[Debe],0)+_xlfn.XLOOKUP(P43&amp;"-"&amp;4,Regcontabilizados[Identificador],Regcontabilizados[Debe],0)+_xlfn.XLOOKUP(P43&amp;"-"&amp;5,Regcontabilizados[Identificador],Regcontabilizados[Debe],0)+_xlfn.XLOOKUP(P43&amp;"-"&amp;6,Regcontabilizados[Identificador],Regcontabilizados[Debe],0)+_xlfn.XLOOKUP(P43&amp;"-"&amp;7,Regcontabilizados[Identificador],Regcontabilizados[Debe],0)+_xlfn.XLOOKUP(P43&amp;"-"&amp;8,Regcontabilizados[Identificador],Regcontabilizados[Debe],0)+_xlfn.XLOOKUP(P43&amp;"-"&amp;9,Regcontabilizados[Identificador],Regcontabilizados[Debe],0)</f>
        <v>0</v>
      </c>
      <c r="U43">
        <f>SUMIF(Regcontabilizados[Número pago],Pagovtasbusc!P43,Regcontabilizados[Haber])</f>
        <v>0</v>
      </c>
      <c r="AA43" s="33" t="str">
        <f>IF(J43=0,"",   _xlfn.XLOOKUP(AB43,Regcontabilizados[Identificador],Regcontabilizados[Subcuenta],0))</f>
        <v/>
      </c>
      <c r="AB43" t="str">
        <f>IF(J43=0,"",   _xlfn.XLOOKUP($H$7,BDclient[ID-Cliente],BDclient[NIT/C.C.],0)&amp;D43&amp;$H$9&amp;"-"&amp;1)</f>
        <v/>
      </c>
      <c r="AC43" t="str">
        <f t="shared" si="7"/>
        <v/>
      </c>
      <c r="AD43" t="str">
        <f t="shared" si="8"/>
        <v>En Blanco</v>
      </c>
      <c r="AE43" t="str">
        <f>_xlfn.XLOOKUP($H$7,BDclient[ID-Cliente],BDclient[NIT/C.C.],0)&amp;$H$13&amp;$E$7&amp;"-"&amp;ROW(Z43)-21</f>
        <v>Comp. Ingreso-22</v>
      </c>
    </row>
    <row r="44" spans="3:31">
      <c r="C44" s="194"/>
      <c r="D44" s="206"/>
      <c r="E44" s="142"/>
      <c r="F44" s="195"/>
      <c r="G44" s="183"/>
      <c r="H44" s="37">
        <f t="shared" si="4"/>
        <v>0</v>
      </c>
      <c r="I44" s="37"/>
      <c r="J44" s="210">
        <f t="shared" si="5"/>
        <v>0</v>
      </c>
      <c r="K44" s="197"/>
      <c r="N44" s="33">
        <f t="shared" si="6"/>
        <v>0</v>
      </c>
      <c r="O44" t="str">
        <f>_xlfn.XLOOKUP($H$7,BDclient[ID-Cliente],BDclient[NIT/C.C.],0)&amp;$H$9&amp;$D44&amp;"-"&amp;1</f>
        <v>F. V.-1</v>
      </c>
      <c r="P44" t="str">
        <f t="shared" si="9"/>
        <v>F. V.</v>
      </c>
      <c r="Q44" t="str">
        <f>IF(N44="","",    _xlfn.XLOOKUP(P44,Regcontabilizados[Número pago],Regcontabilizados[Estado de pago],"NO PAGADO"))</f>
        <v>NO PAGADO</v>
      </c>
      <c r="R44" s="44">
        <f>_xlfn.XLOOKUP(O44,Regcontabilizados[Identificador],Regcontabilizados[Fecha vencimiento],0)</f>
        <v>0</v>
      </c>
      <c r="S44">
        <f>_xlfn.XLOOKUP(O44,Regcontabilizados[Identificador],Regcontabilizados[Subcuenta],0)</f>
        <v>0</v>
      </c>
      <c r="T44">
        <f>_xlfn.XLOOKUP(O44,Regcontabilizados[Identificador],Regcontabilizados[Debe],0)+_xlfn.XLOOKUP(P44&amp;"-"&amp;2,Regcontabilizados[Identificador],Regcontabilizados[Debe],0)+_xlfn.XLOOKUP(P44&amp;"-"&amp;3,Regcontabilizados[Identificador],Regcontabilizados[Debe],0)+_xlfn.XLOOKUP(P44&amp;"-"&amp;4,Regcontabilizados[Identificador],Regcontabilizados[Debe],0)+_xlfn.XLOOKUP(P44&amp;"-"&amp;5,Regcontabilizados[Identificador],Regcontabilizados[Debe],0)+_xlfn.XLOOKUP(P44&amp;"-"&amp;6,Regcontabilizados[Identificador],Regcontabilizados[Debe],0)+_xlfn.XLOOKUP(P44&amp;"-"&amp;7,Regcontabilizados[Identificador],Regcontabilizados[Debe],0)+_xlfn.XLOOKUP(P44&amp;"-"&amp;8,Regcontabilizados[Identificador],Regcontabilizados[Debe],0)+_xlfn.XLOOKUP(P44&amp;"-"&amp;9,Regcontabilizados[Identificador],Regcontabilizados[Debe],0)</f>
        <v>0</v>
      </c>
      <c r="U44">
        <f>SUMIF(Regcontabilizados[Número pago],Pagovtasbusc!P44,Regcontabilizados[Haber])</f>
        <v>0</v>
      </c>
      <c r="AA44" s="33" t="str">
        <f>IF(J44=0,"",   _xlfn.XLOOKUP(AB44,Regcontabilizados[Identificador],Regcontabilizados[Subcuenta],0))</f>
        <v/>
      </c>
      <c r="AB44" t="str">
        <f>IF(J44=0,"",   _xlfn.XLOOKUP($H$7,BDclient[ID-Cliente],BDclient[NIT/C.C.],0)&amp;D44&amp;$H$9&amp;"-"&amp;1)</f>
        <v/>
      </c>
      <c r="AC44" t="str">
        <f t="shared" si="7"/>
        <v/>
      </c>
      <c r="AD44" t="str">
        <f t="shared" si="8"/>
        <v>En Blanco</v>
      </c>
      <c r="AE44" t="str">
        <f>_xlfn.XLOOKUP($H$7,BDclient[ID-Cliente],BDclient[NIT/C.C.],0)&amp;$H$13&amp;$E$7&amp;"-"&amp;ROW(Z44)-21</f>
        <v>Comp. Ingreso-23</v>
      </c>
    </row>
    <row r="45" spans="3:31">
      <c r="C45" s="194"/>
      <c r="D45" s="206"/>
      <c r="E45" s="142"/>
      <c r="F45" s="195"/>
      <c r="G45" s="183"/>
      <c r="H45" s="37">
        <f t="shared" si="4"/>
        <v>0</v>
      </c>
      <c r="I45" s="37"/>
      <c r="J45" s="210">
        <f t="shared" si="5"/>
        <v>0</v>
      </c>
      <c r="K45" s="197"/>
      <c r="N45" s="33">
        <f t="shared" si="6"/>
        <v>0</v>
      </c>
      <c r="O45" t="str">
        <f>_xlfn.XLOOKUP($H$7,BDclient[ID-Cliente],BDclient[NIT/C.C.],0)&amp;$H$9&amp;$D45&amp;"-"&amp;1</f>
        <v>F. V.-1</v>
      </c>
      <c r="P45" t="str">
        <f t="shared" si="9"/>
        <v>F. V.</v>
      </c>
      <c r="Q45" t="str">
        <f>IF(N45="","",    _xlfn.XLOOKUP(P45,Regcontabilizados[Número pago],Regcontabilizados[Estado de pago],"NO PAGADO"))</f>
        <v>NO PAGADO</v>
      </c>
      <c r="R45" s="44">
        <f>_xlfn.XLOOKUP(O45,Regcontabilizados[Identificador],Regcontabilizados[Fecha vencimiento],0)</f>
        <v>0</v>
      </c>
      <c r="S45">
        <f>_xlfn.XLOOKUP(O45,Regcontabilizados[Identificador],Regcontabilizados[Subcuenta],0)</f>
        <v>0</v>
      </c>
      <c r="T45">
        <f>_xlfn.XLOOKUP(O45,Regcontabilizados[Identificador],Regcontabilizados[Debe],0)+_xlfn.XLOOKUP(P45&amp;"-"&amp;2,Regcontabilizados[Identificador],Regcontabilizados[Debe],0)+_xlfn.XLOOKUP(P45&amp;"-"&amp;3,Regcontabilizados[Identificador],Regcontabilizados[Debe],0)+_xlfn.XLOOKUP(P45&amp;"-"&amp;4,Regcontabilizados[Identificador],Regcontabilizados[Debe],0)+_xlfn.XLOOKUP(P45&amp;"-"&amp;5,Regcontabilizados[Identificador],Regcontabilizados[Debe],0)+_xlfn.XLOOKUP(P45&amp;"-"&amp;6,Regcontabilizados[Identificador],Regcontabilizados[Debe],0)+_xlfn.XLOOKUP(P45&amp;"-"&amp;7,Regcontabilizados[Identificador],Regcontabilizados[Debe],0)+_xlfn.XLOOKUP(P45&amp;"-"&amp;8,Regcontabilizados[Identificador],Regcontabilizados[Debe],0)+_xlfn.XLOOKUP(P45&amp;"-"&amp;9,Regcontabilizados[Identificador],Regcontabilizados[Debe],0)</f>
        <v>0</v>
      </c>
      <c r="U45">
        <f>SUMIF(Regcontabilizados[Número pago],Pagovtasbusc!P45,Regcontabilizados[Haber])</f>
        <v>0</v>
      </c>
      <c r="AA45" s="33" t="str">
        <f>IF(J45=0,"",   _xlfn.XLOOKUP(AB45,Regcontabilizados[Identificador],Regcontabilizados[Subcuenta],0))</f>
        <v/>
      </c>
      <c r="AB45" t="str">
        <f>IF(J45=0,"",   _xlfn.XLOOKUP($H$7,BDclient[ID-Cliente],BDclient[NIT/C.C.],0)&amp;D45&amp;$H$9&amp;"-"&amp;1)</f>
        <v/>
      </c>
      <c r="AC45" t="str">
        <f t="shared" si="7"/>
        <v/>
      </c>
      <c r="AD45" t="str">
        <f t="shared" si="8"/>
        <v>En Blanco</v>
      </c>
      <c r="AE45" t="str">
        <f>_xlfn.XLOOKUP($H$7,BDclient[ID-Cliente],BDclient[NIT/C.C.],0)&amp;$H$13&amp;$E$7&amp;"-"&amp;ROW(Z45)-21</f>
        <v>Comp. Ingreso-24</v>
      </c>
    </row>
    <row r="46" spans="3:31">
      <c r="C46" s="194"/>
      <c r="D46" s="206"/>
      <c r="E46" s="142"/>
      <c r="F46" s="195"/>
      <c r="G46" s="183"/>
      <c r="H46" s="37">
        <f t="shared" si="4"/>
        <v>0</v>
      </c>
      <c r="I46" s="37"/>
      <c r="J46" s="210">
        <f t="shared" si="5"/>
        <v>0</v>
      </c>
      <c r="K46" s="197"/>
      <c r="N46" s="33">
        <f t="shared" si="6"/>
        <v>0</v>
      </c>
      <c r="O46" t="str">
        <f>_xlfn.XLOOKUP($H$7,BDclient[ID-Cliente],BDclient[NIT/C.C.],0)&amp;$H$9&amp;$D46&amp;"-"&amp;1</f>
        <v>F. V.-1</v>
      </c>
      <c r="P46" t="str">
        <f t="shared" si="9"/>
        <v>F. V.</v>
      </c>
      <c r="Q46" t="str">
        <f>IF(N46="","",    _xlfn.XLOOKUP(P46,Regcontabilizados[Número pago],Regcontabilizados[Estado de pago],"NO PAGADO"))</f>
        <v>NO PAGADO</v>
      </c>
      <c r="R46" s="44">
        <f>_xlfn.XLOOKUP(O46,Regcontabilizados[Identificador],Regcontabilizados[Fecha vencimiento],0)</f>
        <v>0</v>
      </c>
      <c r="S46">
        <f>_xlfn.XLOOKUP(O46,Regcontabilizados[Identificador],Regcontabilizados[Subcuenta],0)</f>
        <v>0</v>
      </c>
      <c r="T46">
        <f>_xlfn.XLOOKUP(O46,Regcontabilizados[Identificador],Regcontabilizados[Debe],0)+_xlfn.XLOOKUP(P46&amp;"-"&amp;2,Regcontabilizados[Identificador],Regcontabilizados[Debe],0)+_xlfn.XLOOKUP(P46&amp;"-"&amp;3,Regcontabilizados[Identificador],Regcontabilizados[Debe],0)+_xlfn.XLOOKUP(P46&amp;"-"&amp;4,Regcontabilizados[Identificador],Regcontabilizados[Debe],0)+_xlfn.XLOOKUP(P46&amp;"-"&amp;5,Regcontabilizados[Identificador],Regcontabilizados[Debe],0)+_xlfn.XLOOKUP(P46&amp;"-"&amp;6,Regcontabilizados[Identificador],Regcontabilizados[Debe],0)+_xlfn.XLOOKUP(P46&amp;"-"&amp;7,Regcontabilizados[Identificador],Regcontabilizados[Debe],0)+_xlfn.XLOOKUP(P46&amp;"-"&amp;8,Regcontabilizados[Identificador],Regcontabilizados[Debe],0)+_xlfn.XLOOKUP(P46&amp;"-"&amp;9,Regcontabilizados[Identificador],Regcontabilizados[Debe],0)</f>
        <v>0</v>
      </c>
      <c r="U46">
        <f>SUMIF(Regcontabilizados[Número pago],Pagovtasbusc!P46,Regcontabilizados[Haber])</f>
        <v>0</v>
      </c>
      <c r="AA46" s="33" t="str">
        <f>IF(J46=0,"",   _xlfn.XLOOKUP(AB46,Regcontabilizados[Identificador],Regcontabilizados[Subcuenta],0))</f>
        <v/>
      </c>
      <c r="AB46" t="str">
        <f>IF(J46=0,"",   _xlfn.XLOOKUP($H$7,BDclient[ID-Cliente],BDclient[NIT/C.C.],0)&amp;D46&amp;$H$9&amp;"-"&amp;1)</f>
        <v/>
      </c>
      <c r="AC46" t="str">
        <f t="shared" si="7"/>
        <v/>
      </c>
      <c r="AD46" t="str">
        <f t="shared" si="8"/>
        <v>En Blanco</v>
      </c>
      <c r="AE46" t="str">
        <f>_xlfn.XLOOKUP($H$7,BDclient[ID-Cliente],BDclient[NIT/C.C.],0)&amp;$H$13&amp;$E$7&amp;"-"&amp;ROW(Z46)-21</f>
        <v>Comp. Ingreso-25</v>
      </c>
    </row>
    <row r="47" spans="3:31">
      <c r="C47" s="194"/>
      <c r="D47" s="206"/>
      <c r="E47" s="142"/>
      <c r="F47" s="195"/>
      <c r="G47" s="183"/>
      <c r="H47" s="37">
        <f t="shared" si="4"/>
        <v>0</v>
      </c>
      <c r="I47" s="37"/>
      <c r="J47" s="210">
        <f t="shared" si="5"/>
        <v>0</v>
      </c>
      <c r="K47" s="197"/>
      <c r="N47" s="33">
        <f t="shared" si="6"/>
        <v>0</v>
      </c>
      <c r="O47" t="str">
        <f>_xlfn.XLOOKUP($H$7,BDclient[ID-Cliente],BDclient[NIT/C.C.],0)&amp;$H$9&amp;$D47&amp;"-"&amp;1</f>
        <v>F. V.-1</v>
      </c>
      <c r="P47" t="str">
        <f t="shared" si="9"/>
        <v>F. V.</v>
      </c>
      <c r="Q47" t="str">
        <f>IF(N47="","",    _xlfn.XLOOKUP(P47,Regcontabilizados[Número pago],Regcontabilizados[Estado de pago],"NO PAGADO"))</f>
        <v>NO PAGADO</v>
      </c>
      <c r="R47" s="44">
        <f>_xlfn.XLOOKUP(O47,Regcontabilizados[Identificador],Regcontabilizados[Fecha vencimiento],0)</f>
        <v>0</v>
      </c>
      <c r="S47">
        <f>_xlfn.XLOOKUP(O47,Regcontabilizados[Identificador],Regcontabilizados[Subcuenta],0)</f>
        <v>0</v>
      </c>
      <c r="T47">
        <f>_xlfn.XLOOKUP(O47,Regcontabilizados[Identificador],Regcontabilizados[Debe],0)+_xlfn.XLOOKUP(P47&amp;"-"&amp;2,Regcontabilizados[Identificador],Regcontabilizados[Debe],0)+_xlfn.XLOOKUP(P47&amp;"-"&amp;3,Regcontabilizados[Identificador],Regcontabilizados[Debe],0)+_xlfn.XLOOKUP(P47&amp;"-"&amp;4,Regcontabilizados[Identificador],Regcontabilizados[Debe],0)+_xlfn.XLOOKUP(P47&amp;"-"&amp;5,Regcontabilizados[Identificador],Regcontabilizados[Debe],0)+_xlfn.XLOOKUP(P47&amp;"-"&amp;6,Regcontabilizados[Identificador],Regcontabilizados[Debe],0)+_xlfn.XLOOKUP(P47&amp;"-"&amp;7,Regcontabilizados[Identificador],Regcontabilizados[Debe],0)+_xlfn.XLOOKUP(P47&amp;"-"&amp;8,Regcontabilizados[Identificador],Regcontabilizados[Debe],0)+_xlfn.XLOOKUP(P47&amp;"-"&amp;9,Regcontabilizados[Identificador],Regcontabilizados[Debe],0)</f>
        <v>0</v>
      </c>
      <c r="U47">
        <f>SUMIF(Regcontabilizados[Número pago],Pagovtasbusc!P47,Regcontabilizados[Haber])</f>
        <v>0</v>
      </c>
      <c r="AA47" s="33" t="str">
        <f>IF(J47=0,"",   _xlfn.XLOOKUP(AB47,Regcontabilizados[Identificador],Regcontabilizados[Subcuenta],0))</f>
        <v/>
      </c>
      <c r="AB47" t="str">
        <f>IF(J47=0,"",   _xlfn.XLOOKUP($H$7,BDclient[ID-Cliente],BDclient[NIT/C.C.],0)&amp;D47&amp;$H$9&amp;"-"&amp;1)</f>
        <v/>
      </c>
      <c r="AC47" t="str">
        <f t="shared" si="7"/>
        <v/>
      </c>
      <c r="AD47" t="str">
        <f t="shared" si="8"/>
        <v>En Blanco</v>
      </c>
      <c r="AE47" t="str">
        <f>_xlfn.XLOOKUP($H$7,BDclient[ID-Cliente],BDclient[NIT/C.C.],0)&amp;$H$13&amp;$E$7&amp;"-"&amp;ROW(Z47)-21</f>
        <v>Comp. Ingreso-26</v>
      </c>
    </row>
    <row r="48" spans="3:31">
      <c r="C48" s="194"/>
      <c r="D48" s="206"/>
      <c r="E48" s="142"/>
      <c r="F48" s="195"/>
      <c r="G48" s="183"/>
      <c r="H48" s="37">
        <f t="shared" si="4"/>
        <v>0</v>
      </c>
      <c r="I48" s="37"/>
      <c r="J48" s="210">
        <f t="shared" si="5"/>
        <v>0</v>
      </c>
      <c r="K48" s="197"/>
      <c r="N48" s="33">
        <f t="shared" si="6"/>
        <v>0</v>
      </c>
      <c r="O48" t="str">
        <f>_xlfn.XLOOKUP($H$7,BDclient[ID-Cliente],BDclient[NIT/C.C.],0)&amp;$H$9&amp;$D48&amp;"-"&amp;1</f>
        <v>F. V.-1</v>
      </c>
      <c r="P48" t="str">
        <f t="shared" si="9"/>
        <v>F. V.</v>
      </c>
      <c r="Q48" t="str">
        <f>IF(N48="","",    _xlfn.XLOOKUP(P48,Regcontabilizados[Número pago],Regcontabilizados[Estado de pago],"NO PAGADO"))</f>
        <v>NO PAGADO</v>
      </c>
      <c r="R48" s="44">
        <f>_xlfn.XLOOKUP(O48,Regcontabilizados[Identificador],Regcontabilizados[Fecha vencimiento],0)</f>
        <v>0</v>
      </c>
      <c r="S48">
        <f>_xlfn.XLOOKUP(O48,Regcontabilizados[Identificador],Regcontabilizados[Subcuenta],0)</f>
        <v>0</v>
      </c>
      <c r="T48">
        <f>_xlfn.XLOOKUP(O48,Regcontabilizados[Identificador],Regcontabilizados[Debe],0)+_xlfn.XLOOKUP(P48&amp;"-"&amp;2,Regcontabilizados[Identificador],Regcontabilizados[Debe],0)+_xlfn.XLOOKUP(P48&amp;"-"&amp;3,Regcontabilizados[Identificador],Regcontabilizados[Debe],0)+_xlfn.XLOOKUP(P48&amp;"-"&amp;4,Regcontabilizados[Identificador],Regcontabilizados[Debe],0)+_xlfn.XLOOKUP(P48&amp;"-"&amp;5,Regcontabilizados[Identificador],Regcontabilizados[Debe],0)+_xlfn.XLOOKUP(P48&amp;"-"&amp;6,Regcontabilizados[Identificador],Regcontabilizados[Debe],0)+_xlfn.XLOOKUP(P48&amp;"-"&amp;7,Regcontabilizados[Identificador],Regcontabilizados[Debe],0)+_xlfn.XLOOKUP(P48&amp;"-"&amp;8,Regcontabilizados[Identificador],Regcontabilizados[Debe],0)+_xlfn.XLOOKUP(P48&amp;"-"&amp;9,Regcontabilizados[Identificador],Regcontabilizados[Debe],0)</f>
        <v>0</v>
      </c>
      <c r="U48">
        <f>SUMIF(Regcontabilizados[Número pago],Pagovtasbusc!P48,Regcontabilizados[Haber])</f>
        <v>0</v>
      </c>
      <c r="AA48" s="33" t="str">
        <f>IF(J48=0,"",   _xlfn.XLOOKUP(AB48,Regcontabilizados[Identificador],Regcontabilizados[Subcuenta],0))</f>
        <v/>
      </c>
      <c r="AB48" t="str">
        <f>IF(J48=0,"",   _xlfn.XLOOKUP($H$7,BDclient[ID-Cliente],BDclient[NIT/C.C.],0)&amp;D48&amp;$H$9&amp;"-"&amp;1)</f>
        <v/>
      </c>
      <c r="AC48" t="str">
        <f t="shared" si="7"/>
        <v/>
      </c>
      <c r="AD48" t="str">
        <f t="shared" si="8"/>
        <v>En Blanco</v>
      </c>
      <c r="AE48" t="str">
        <f>_xlfn.XLOOKUP($H$7,BDclient[ID-Cliente],BDclient[NIT/C.C.],0)&amp;$H$13&amp;$E$7&amp;"-"&amp;ROW(Z48)-21</f>
        <v>Comp. Ingreso-27</v>
      </c>
    </row>
    <row r="49" spans="3:31">
      <c r="C49" s="194"/>
      <c r="D49" s="206"/>
      <c r="E49" s="142"/>
      <c r="F49" s="195"/>
      <c r="G49" s="183"/>
      <c r="H49" s="37">
        <f t="shared" si="4"/>
        <v>0</v>
      </c>
      <c r="I49" s="37"/>
      <c r="J49" s="210">
        <f t="shared" si="5"/>
        <v>0</v>
      </c>
      <c r="K49" s="197"/>
      <c r="N49" s="33">
        <f t="shared" si="6"/>
        <v>0</v>
      </c>
      <c r="O49" t="str">
        <f>_xlfn.XLOOKUP($H$7,BDclient[ID-Cliente],BDclient[NIT/C.C.],0)&amp;$H$9&amp;$D49&amp;"-"&amp;1</f>
        <v>F. V.-1</v>
      </c>
      <c r="P49" t="str">
        <f t="shared" si="9"/>
        <v>F. V.</v>
      </c>
      <c r="Q49" t="str">
        <f>IF(N49="","",    _xlfn.XLOOKUP(P49,Regcontabilizados[Número pago],Regcontabilizados[Estado de pago],"NO PAGADO"))</f>
        <v>NO PAGADO</v>
      </c>
      <c r="R49" s="44">
        <f>_xlfn.XLOOKUP(O49,Regcontabilizados[Identificador],Regcontabilizados[Fecha vencimiento],0)</f>
        <v>0</v>
      </c>
      <c r="S49">
        <f>_xlfn.XLOOKUP(O49,Regcontabilizados[Identificador],Regcontabilizados[Subcuenta],0)</f>
        <v>0</v>
      </c>
      <c r="T49">
        <f>_xlfn.XLOOKUP(O49,Regcontabilizados[Identificador],Regcontabilizados[Debe],0)+_xlfn.XLOOKUP(P49&amp;"-"&amp;2,Regcontabilizados[Identificador],Regcontabilizados[Debe],0)+_xlfn.XLOOKUP(P49&amp;"-"&amp;3,Regcontabilizados[Identificador],Regcontabilizados[Debe],0)+_xlfn.XLOOKUP(P49&amp;"-"&amp;4,Regcontabilizados[Identificador],Regcontabilizados[Debe],0)+_xlfn.XLOOKUP(P49&amp;"-"&amp;5,Regcontabilizados[Identificador],Regcontabilizados[Debe],0)+_xlfn.XLOOKUP(P49&amp;"-"&amp;6,Regcontabilizados[Identificador],Regcontabilizados[Debe],0)+_xlfn.XLOOKUP(P49&amp;"-"&amp;7,Regcontabilizados[Identificador],Regcontabilizados[Debe],0)+_xlfn.XLOOKUP(P49&amp;"-"&amp;8,Regcontabilizados[Identificador],Regcontabilizados[Debe],0)+_xlfn.XLOOKUP(P49&amp;"-"&amp;9,Regcontabilizados[Identificador],Regcontabilizados[Debe],0)</f>
        <v>0</v>
      </c>
      <c r="U49">
        <f>SUMIF(Regcontabilizados[Número pago],Pagovtasbusc!P49,Regcontabilizados[Haber])</f>
        <v>0</v>
      </c>
      <c r="AA49" s="33" t="str">
        <f>IF(J49=0,"",   _xlfn.XLOOKUP(AB49,Regcontabilizados[Identificador],Regcontabilizados[Subcuenta],0))</f>
        <v/>
      </c>
      <c r="AB49" t="str">
        <f>IF(J49=0,"",   _xlfn.XLOOKUP($H$7,BDclient[ID-Cliente],BDclient[NIT/C.C.],0)&amp;D49&amp;$H$9&amp;"-"&amp;1)</f>
        <v/>
      </c>
      <c r="AC49" t="str">
        <f t="shared" si="7"/>
        <v/>
      </c>
      <c r="AD49" t="str">
        <f t="shared" si="8"/>
        <v>En Blanco</v>
      </c>
      <c r="AE49" t="str">
        <f>_xlfn.XLOOKUP($H$7,BDclient[ID-Cliente],BDclient[NIT/C.C.],0)&amp;$H$13&amp;$E$7&amp;"-"&amp;ROW(Z49)-21</f>
        <v>Comp. Ingreso-28</v>
      </c>
    </row>
    <row r="50" spans="3:31">
      <c r="C50" s="194"/>
      <c r="D50" s="206"/>
      <c r="E50" s="142"/>
      <c r="F50" s="195"/>
      <c r="G50" s="183"/>
      <c r="H50" s="37">
        <f t="shared" si="4"/>
        <v>0</v>
      </c>
      <c r="I50" s="37"/>
      <c r="J50" s="210">
        <f t="shared" si="5"/>
        <v>0</v>
      </c>
      <c r="K50" s="197"/>
      <c r="N50" s="33">
        <f t="shared" si="6"/>
        <v>0</v>
      </c>
      <c r="O50" t="str">
        <f>_xlfn.XLOOKUP($H$7,BDclient[ID-Cliente],BDclient[NIT/C.C.],0)&amp;$H$9&amp;$D50&amp;"-"&amp;1</f>
        <v>F. V.-1</v>
      </c>
      <c r="P50" t="str">
        <f t="shared" si="9"/>
        <v>F. V.</v>
      </c>
      <c r="Q50" t="str">
        <f>IF(N50="","",    _xlfn.XLOOKUP(P50,Regcontabilizados[Número pago],Regcontabilizados[Estado de pago],"NO PAGADO"))</f>
        <v>NO PAGADO</v>
      </c>
      <c r="R50" s="44">
        <f>_xlfn.XLOOKUP(O50,Regcontabilizados[Identificador],Regcontabilizados[Fecha vencimiento],0)</f>
        <v>0</v>
      </c>
      <c r="S50">
        <f>_xlfn.XLOOKUP(O50,Regcontabilizados[Identificador],Regcontabilizados[Subcuenta],0)</f>
        <v>0</v>
      </c>
      <c r="T50">
        <f>_xlfn.XLOOKUP(O50,Regcontabilizados[Identificador],Regcontabilizados[Debe],0)+_xlfn.XLOOKUP(P50&amp;"-"&amp;2,Regcontabilizados[Identificador],Regcontabilizados[Debe],0)+_xlfn.XLOOKUP(P50&amp;"-"&amp;3,Regcontabilizados[Identificador],Regcontabilizados[Debe],0)+_xlfn.XLOOKUP(P50&amp;"-"&amp;4,Regcontabilizados[Identificador],Regcontabilizados[Debe],0)+_xlfn.XLOOKUP(P50&amp;"-"&amp;5,Regcontabilizados[Identificador],Regcontabilizados[Debe],0)+_xlfn.XLOOKUP(P50&amp;"-"&amp;6,Regcontabilizados[Identificador],Regcontabilizados[Debe],0)+_xlfn.XLOOKUP(P50&amp;"-"&amp;7,Regcontabilizados[Identificador],Regcontabilizados[Debe],0)+_xlfn.XLOOKUP(P50&amp;"-"&amp;8,Regcontabilizados[Identificador],Regcontabilizados[Debe],0)+_xlfn.XLOOKUP(P50&amp;"-"&amp;9,Regcontabilizados[Identificador],Regcontabilizados[Debe],0)</f>
        <v>0</v>
      </c>
      <c r="U50">
        <f>SUMIF(Regcontabilizados[Número pago],Pagovtasbusc!P50,Regcontabilizados[Haber])</f>
        <v>0</v>
      </c>
      <c r="AA50" s="33" t="str">
        <f>IF(J50=0,"",   _xlfn.XLOOKUP(AB50,Regcontabilizados[Identificador],Regcontabilizados[Subcuenta],0))</f>
        <v/>
      </c>
      <c r="AB50" t="str">
        <f>IF(J50=0,"",   _xlfn.XLOOKUP($H$7,BDclient[ID-Cliente],BDclient[NIT/C.C.],0)&amp;D50&amp;$H$9&amp;"-"&amp;1)</f>
        <v/>
      </c>
      <c r="AC50" t="str">
        <f t="shared" si="7"/>
        <v/>
      </c>
      <c r="AD50" t="str">
        <f t="shared" si="8"/>
        <v>En Blanco</v>
      </c>
      <c r="AE50" t="str">
        <f>_xlfn.XLOOKUP($H$7,BDclient[ID-Cliente],BDclient[NIT/C.C.],0)&amp;$H$13&amp;$E$7&amp;"-"&amp;ROW(Z50)-21</f>
        <v>Comp. Ingreso-29</v>
      </c>
    </row>
    <row r="51" spans="3:31">
      <c r="C51" s="194"/>
      <c r="D51" s="206"/>
      <c r="E51" s="142"/>
      <c r="F51" s="195"/>
      <c r="G51" s="183"/>
      <c r="H51" s="37">
        <f t="shared" si="4"/>
        <v>0</v>
      </c>
      <c r="I51" s="37"/>
      <c r="J51" s="210">
        <f t="shared" si="5"/>
        <v>0</v>
      </c>
      <c r="K51" s="197"/>
      <c r="N51" s="33">
        <f t="shared" si="6"/>
        <v>0</v>
      </c>
      <c r="O51" t="str">
        <f>_xlfn.XLOOKUP($H$7,BDclient[ID-Cliente],BDclient[NIT/C.C.],0)&amp;$H$9&amp;$D51&amp;"-"&amp;1</f>
        <v>F. V.-1</v>
      </c>
      <c r="P51" t="str">
        <f t="shared" si="9"/>
        <v>F. V.</v>
      </c>
      <c r="Q51" t="str">
        <f>IF(N51="","",    _xlfn.XLOOKUP(P51,Regcontabilizados[Número pago],Regcontabilizados[Estado de pago],"NO PAGADO"))</f>
        <v>NO PAGADO</v>
      </c>
      <c r="R51" s="44">
        <f>_xlfn.XLOOKUP(O51,Regcontabilizados[Identificador],Regcontabilizados[Fecha vencimiento],0)</f>
        <v>0</v>
      </c>
      <c r="S51">
        <f>_xlfn.XLOOKUP(O51,Regcontabilizados[Identificador],Regcontabilizados[Subcuenta],0)</f>
        <v>0</v>
      </c>
      <c r="T51">
        <f>_xlfn.XLOOKUP(O51,Regcontabilizados[Identificador],Regcontabilizados[Debe],0)+_xlfn.XLOOKUP(P51&amp;"-"&amp;2,Regcontabilizados[Identificador],Regcontabilizados[Debe],0)+_xlfn.XLOOKUP(P51&amp;"-"&amp;3,Regcontabilizados[Identificador],Regcontabilizados[Debe],0)+_xlfn.XLOOKUP(P51&amp;"-"&amp;4,Regcontabilizados[Identificador],Regcontabilizados[Debe],0)+_xlfn.XLOOKUP(P51&amp;"-"&amp;5,Regcontabilizados[Identificador],Regcontabilizados[Debe],0)+_xlfn.XLOOKUP(P51&amp;"-"&amp;6,Regcontabilizados[Identificador],Regcontabilizados[Debe],0)+_xlfn.XLOOKUP(P51&amp;"-"&amp;7,Regcontabilizados[Identificador],Regcontabilizados[Debe],0)+_xlfn.XLOOKUP(P51&amp;"-"&amp;8,Regcontabilizados[Identificador],Regcontabilizados[Debe],0)+_xlfn.XLOOKUP(P51&amp;"-"&amp;9,Regcontabilizados[Identificador],Regcontabilizados[Debe],0)</f>
        <v>0</v>
      </c>
      <c r="U51">
        <f>SUMIF(Regcontabilizados[Número pago],Pagovtasbusc!P51,Regcontabilizados[Haber])</f>
        <v>0</v>
      </c>
      <c r="AA51" s="33" t="str">
        <f>IF(J51=0,"",   _xlfn.XLOOKUP(AB51,Regcontabilizados[Identificador],Regcontabilizados[Subcuenta],0))</f>
        <v/>
      </c>
      <c r="AB51" t="str">
        <f>IF(J51=0,"",   _xlfn.XLOOKUP($H$7,BDclient[ID-Cliente],BDclient[NIT/C.C.],0)&amp;D51&amp;$H$9&amp;"-"&amp;1)</f>
        <v/>
      </c>
      <c r="AC51" t="str">
        <f t="shared" si="7"/>
        <v/>
      </c>
      <c r="AD51" t="str">
        <f t="shared" si="8"/>
        <v>En Blanco</v>
      </c>
      <c r="AE51" t="str">
        <f>_xlfn.XLOOKUP($H$7,BDclient[ID-Cliente],BDclient[NIT/C.C.],0)&amp;$H$13&amp;$E$7&amp;"-"&amp;ROW(Z51)-21</f>
        <v>Comp. Ingreso-30</v>
      </c>
    </row>
    <row r="52" spans="3:31">
      <c r="C52" s="194"/>
      <c r="D52" s="206"/>
      <c r="E52" s="142"/>
      <c r="F52" s="195"/>
      <c r="G52" s="183"/>
      <c r="H52" s="37">
        <f t="shared" si="4"/>
        <v>0</v>
      </c>
      <c r="I52" s="37"/>
      <c r="J52" s="210">
        <f t="shared" si="5"/>
        <v>0</v>
      </c>
      <c r="K52" s="197"/>
      <c r="N52" s="33">
        <f t="shared" si="6"/>
        <v>0</v>
      </c>
      <c r="O52" t="str">
        <f>_xlfn.XLOOKUP($H$7,BDclient[ID-Cliente],BDclient[NIT/C.C.],0)&amp;$H$9&amp;$D52&amp;"-"&amp;1</f>
        <v>F. V.-1</v>
      </c>
      <c r="P52" t="str">
        <f t="shared" si="9"/>
        <v>F. V.</v>
      </c>
      <c r="Q52" t="str">
        <f>IF(N52="","",    _xlfn.XLOOKUP(P52,Regcontabilizados[Número pago],Regcontabilizados[Estado de pago],"NO PAGADO"))</f>
        <v>NO PAGADO</v>
      </c>
      <c r="R52" s="44">
        <f>_xlfn.XLOOKUP(O52,Regcontabilizados[Identificador],Regcontabilizados[Fecha vencimiento],0)</f>
        <v>0</v>
      </c>
      <c r="S52">
        <f>_xlfn.XLOOKUP(O52,Regcontabilizados[Identificador],Regcontabilizados[Subcuenta],0)</f>
        <v>0</v>
      </c>
      <c r="T52">
        <f>_xlfn.XLOOKUP(O52,Regcontabilizados[Identificador],Regcontabilizados[Debe],0)+_xlfn.XLOOKUP(P52&amp;"-"&amp;2,Regcontabilizados[Identificador],Regcontabilizados[Debe],0)+_xlfn.XLOOKUP(P52&amp;"-"&amp;3,Regcontabilizados[Identificador],Regcontabilizados[Debe],0)+_xlfn.XLOOKUP(P52&amp;"-"&amp;4,Regcontabilizados[Identificador],Regcontabilizados[Debe],0)+_xlfn.XLOOKUP(P52&amp;"-"&amp;5,Regcontabilizados[Identificador],Regcontabilizados[Debe],0)+_xlfn.XLOOKUP(P52&amp;"-"&amp;6,Regcontabilizados[Identificador],Regcontabilizados[Debe],0)+_xlfn.XLOOKUP(P52&amp;"-"&amp;7,Regcontabilizados[Identificador],Regcontabilizados[Debe],0)+_xlfn.XLOOKUP(P52&amp;"-"&amp;8,Regcontabilizados[Identificador],Regcontabilizados[Debe],0)+_xlfn.XLOOKUP(P52&amp;"-"&amp;9,Regcontabilizados[Identificador],Regcontabilizados[Debe],0)</f>
        <v>0</v>
      </c>
      <c r="U52">
        <f>SUMIF(Regcontabilizados[Número pago],Pagovtasbusc!P52,Regcontabilizados[Haber])</f>
        <v>0</v>
      </c>
      <c r="AA52" s="33" t="str">
        <f>IF(J52=0,"",   _xlfn.XLOOKUP(AB52,Regcontabilizados[Identificador],Regcontabilizados[Subcuenta],0))</f>
        <v/>
      </c>
      <c r="AB52" t="str">
        <f>IF(J52=0,"",   _xlfn.XLOOKUP($H$7,BDclient[ID-Cliente],BDclient[NIT/C.C.],0)&amp;D52&amp;$H$9&amp;"-"&amp;1)</f>
        <v/>
      </c>
      <c r="AC52" t="str">
        <f t="shared" si="7"/>
        <v/>
      </c>
      <c r="AD52" t="str">
        <f t="shared" si="8"/>
        <v>En Blanco</v>
      </c>
      <c r="AE52" t="str">
        <f>_xlfn.XLOOKUP($H$7,BDclient[ID-Cliente],BDclient[NIT/C.C.],0)&amp;$H$13&amp;$E$7&amp;"-"&amp;ROW(Z52)-21</f>
        <v>Comp. Ingreso-31</v>
      </c>
    </row>
    <row r="53" spans="3:31">
      <c r="C53" s="194"/>
      <c r="D53" s="206"/>
      <c r="E53" s="142"/>
      <c r="F53" s="195"/>
      <c r="G53" s="183"/>
      <c r="H53" s="37">
        <f t="shared" si="4"/>
        <v>0</v>
      </c>
      <c r="I53" s="37"/>
      <c r="J53" s="210">
        <f t="shared" si="5"/>
        <v>0</v>
      </c>
      <c r="K53" s="197"/>
      <c r="N53" s="33">
        <f t="shared" si="6"/>
        <v>0</v>
      </c>
      <c r="O53" t="str">
        <f>_xlfn.XLOOKUP($H$7,BDclient[ID-Cliente],BDclient[NIT/C.C.],0)&amp;$H$9&amp;$D53&amp;"-"&amp;1</f>
        <v>F. V.-1</v>
      </c>
      <c r="P53" t="str">
        <f t="shared" si="9"/>
        <v>F. V.</v>
      </c>
      <c r="Q53" t="str">
        <f>IF(N53="","",    _xlfn.XLOOKUP(P53,Regcontabilizados[Número pago],Regcontabilizados[Estado de pago],"NO PAGADO"))</f>
        <v>NO PAGADO</v>
      </c>
      <c r="R53" s="44">
        <f>_xlfn.XLOOKUP(O53,Regcontabilizados[Identificador],Regcontabilizados[Fecha vencimiento],0)</f>
        <v>0</v>
      </c>
      <c r="S53">
        <f>_xlfn.XLOOKUP(O53,Regcontabilizados[Identificador],Regcontabilizados[Subcuenta],0)</f>
        <v>0</v>
      </c>
      <c r="T53">
        <f>_xlfn.XLOOKUP(O53,Regcontabilizados[Identificador],Regcontabilizados[Debe],0)+_xlfn.XLOOKUP(P53&amp;"-"&amp;2,Regcontabilizados[Identificador],Regcontabilizados[Debe],0)+_xlfn.XLOOKUP(P53&amp;"-"&amp;3,Regcontabilizados[Identificador],Regcontabilizados[Debe],0)+_xlfn.XLOOKUP(P53&amp;"-"&amp;4,Regcontabilizados[Identificador],Regcontabilizados[Debe],0)+_xlfn.XLOOKUP(P53&amp;"-"&amp;5,Regcontabilizados[Identificador],Regcontabilizados[Debe],0)+_xlfn.XLOOKUP(P53&amp;"-"&amp;6,Regcontabilizados[Identificador],Regcontabilizados[Debe],0)+_xlfn.XLOOKUP(P53&amp;"-"&amp;7,Regcontabilizados[Identificador],Regcontabilizados[Debe],0)+_xlfn.XLOOKUP(P53&amp;"-"&amp;8,Regcontabilizados[Identificador],Regcontabilizados[Debe],0)+_xlfn.XLOOKUP(P53&amp;"-"&amp;9,Regcontabilizados[Identificador],Regcontabilizados[Debe],0)</f>
        <v>0</v>
      </c>
      <c r="U53">
        <f>SUMIF(Regcontabilizados[Número pago],Pagovtasbusc!P53,Regcontabilizados[Haber])</f>
        <v>0</v>
      </c>
      <c r="AA53" s="33" t="str">
        <f>IF(J53=0,"",   _xlfn.XLOOKUP(AB53,Regcontabilizados[Identificador],Regcontabilizados[Subcuenta],0))</f>
        <v/>
      </c>
      <c r="AB53" t="str">
        <f>IF(J53=0,"",   _xlfn.XLOOKUP($H$7,BDclient[ID-Cliente],BDclient[NIT/C.C.],0)&amp;D53&amp;$H$9&amp;"-"&amp;1)</f>
        <v/>
      </c>
      <c r="AC53" t="str">
        <f t="shared" si="7"/>
        <v/>
      </c>
      <c r="AD53" t="str">
        <f t="shared" si="8"/>
        <v>En Blanco</v>
      </c>
      <c r="AE53" t="str">
        <f>_xlfn.XLOOKUP($H$7,BDclient[ID-Cliente],BDclient[NIT/C.C.],0)&amp;$H$13&amp;$E$7&amp;"-"&amp;ROW(Z53)-21</f>
        <v>Comp. Ingreso-32</v>
      </c>
    </row>
    <row r="54" spans="3:31">
      <c r="C54" s="194"/>
      <c r="D54" s="206"/>
      <c r="E54" s="142"/>
      <c r="F54" s="195"/>
      <c r="G54" s="183"/>
      <c r="H54" s="37">
        <f t="shared" si="4"/>
        <v>0</v>
      </c>
      <c r="I54" s="37"/>
      <c r="J54" s="210">
        <f t="shared" si="5"/>
        <v>0</v>
      </c>
      <c r="K54" s="197"/>
      <c r="N54" s="33">
        <f t="shared" si="6"/>
        <v>0</v>
      </c>
      <c r="O54" t="str">
        <f>_xlfn.XLOOKUP($H$7,BDclient[ID-Cliente],BDclient[NIT/C.C.],0)&amp;$H$9&amp;$D54&amp;"-"&amp;1</f>
        <v>F. V.-1</v>
      </c>
      <c r="P54" t="str">
        <f t="shared" si="9"/>
        <v>F. V.</v>
      </c>
      <c r="Q54" t="str">
        <f>IF(N54="","",    _xlfn.XLOOKUP(P54,Regcontabilizados[Número pago],Regcontabilizados[Estado de pago],"NO PAGADO"))</f>
        <v>NO PAGADO</v>
      </c>
      <c r="R54" s="44">
        <f>_xlfn.XLOOKUP(O54,Regcontabilizados[Identificador],Regcontabilizados[Fecha vencimiento],0)</f>
        <v>0</v>
      </c>
      <c r="S54">
        <f>_xlfn.XLOOKUP(O54,Regcontabilizados[Identificador],Regcontabilizados[Subcuenta],0)</f>
        <v>0</v>
      </c>
      <c r="T54">
        <f>_xlfn.XLOOKUP(O54,Regcontabilizados[Identificador],Regcontabilizados[Debe],0)+_xlfn.XLOOKUP(P54&amp;"-"&amp;2,Regcontabilizados[Identificador],Regcontabilizados[Debe],0)+_xlfn.XLOOKUP(P54&amp;"-"&amp;3,Regcontabilizados[Identificador],Regcontabilizados[Debe],0)+_xlfn.XLOOKUP(P54&amp;"-"&amp;4,Regcontabilizados[Identificador],Regcontabilizados[Debe],0)+_xlfn.XLOOKUP(P54&amp;"-"&amp;5,Regcontabilizados[Identificador],Regcontabilizados[Debe],0)+_xlfn.XLOOKUP(P54&amp;"-"&amp;6,Regcontabilizados[Identificador],Regcontabilizados[Debe],0)+_xlfn.XLOOKUP(P54&amp;"-"&amp;7,Regcontabilizados[Identificador],Regcontabilizados[Debe],0)+_xlfn.XLOOKUP(P54&amp;"-"&amp;8,Regcontabilizados[Identificador],Regcontabilizados[Debe],0)+_xlfn.XLOOKUP(P54&amp;"-"&amp;9,Regcontabilizados[Identificador],Regcontabilizados[Debe],0)</f>
        <v>0</v>
      </c>
      <c r="U54">
        <f>SUMIF(Regcontabilizados[Número pago],Pagovtasbusc!P54,Regcontabilizados[Haber])</f>
        <v>0</v>
      </c>
      <c r="AA54" s="33" t="str">
        <f>IF(J54=0,"",   _xlfn.XLOOKUP(AB54,Regcontabilizados[Identificador],Regcontabilizados[Subcuenta],0))</f>
        <v/>
      </c>
      <c r="AB54" t="str">
        <f>IF(J54=0,"",   _xlfn.XLOOKUP($H$7,BDclient[ID-Cliente],BDclient[NIT/C.C.],0)&amp;D54&amp;$H$9&amp;"-"&amp;1)</f>
        <v/>
      </c>
      <c r="AC54" t="str">
        <f t="shared" si="7"/>
        <v/>
      </c>
      <c r="AD54" t="str">
        <f t="shared" si="8"/>
        <v>En Blanco</v>
      </c>
      <c r="AE54" t="str">
        <f>_xlfn.XLOOKUP($H$7,BDclient[ID-Cliente],BDclient[NIT/C.C.],0)&amp;$H$13&amp;$E$7&amp;"-"&amp;ROW(Z54)-21</f>
        <v>Comp. Ingreso-33</v>
      </c>
    </row>
    <row r="55" spans="3:31">
      <c r="C55" s="194"/>
      <c r="D55" s="206"/>
      <c r="E55" s="142"/>
      <c r="F55" s="195"/>
      <c r="G55" s="183"/>
      <c r="H55" s="37">
        <f t="shared" si="4"/>
        <v>0</v>
      </c>
      <c r="I55" s="37"/>
      <c r="J55" s="210">
        <f t="shared" si="5"/>
        <v>0</v>
      </c>
      <c r="K55" s="197"/>
      <c r="N55" s="33">
        <f t="shared" si="6"/>
        <v>0</v>
      </c>
      <c r="O55" t="str">
        <f>_xlfn.XLOOKUP($H$7,BDclient[ID-Cliente],BDclient[NIT/C.C.],0)&amp;$H$9&amp;$D55&amp;"-"&amp;1</f>
        <v>F. V.-1</v>
      </c>
      <c r="P55" t="str">
        <f t="shared" si="9"/>
        <v>F. V.</v>
      </c>
      <c r="Q55" t="str">
        <f>IF(N55="","",    _xlfn.XLOOKUP(P55,Regcontabilizados[Número pago],Regcontabilizados[Estado de pago],"NO PAGADO"))</f>
        <v>NO PAGADO</v>
      </c>
      <c r="R55" s="44">
        <f>_xlfn.XLOOKUP(O55,Regcontabilizados[Identificador],Regcontabilizados[Fecha vencimiento],0)</f>
        <v>0</v>
      </c>
      <c r="S55">
        <f>_xlfn.XLOOKUP(O55,Regcontabilizados[Identificador],Regcontabilizados[Subcuenta],0)</f>
        <v>0</v>
      </c>
      <c r="T55">
        <f>_xlfn.XLOOKUP(O55,Regcontabilizados[Identificador],Regcontabilizados[Debe],0)+_xlfn.XLOOKUP(P55&amp;"-"&amp;2,Regcontabilizados[Identificador],Regcontabilizados[Debe],0)+_xlfn.XLOOKUP(P55&amp;"-"&amp;3,Regcontabilizados[Identificador],Regcontabilizados[Debe],0)+_xlfn.XLOOKUP(P55&amp;"-"&amp;4,Regcontabilizados[Identificador],Regcontabilizados[Debe],0)+_xlfn.XLOOKUP(P55&amp;"-"&amp;5,Regcontabilizados[Identificador],Regcontabilizados[Debe],0)+_xlfn.XLOOKUP(P55&amp;"-"&amp;6,Regcontabilizados[Identificador],Regcontabilizados[Debe],0)+_xlfn.XLOOKUP(P55&amp;"-"&amp;7,Regcontabilizados[Identificador],Regcontabilizados[Debe],0)+_xlfn.XLOOKUP(P55&amp;"-"&amp;8,Regcontabilizados[Identificador],Regcontabilizados[Debe],0)+_xlfn.XLOOKUP(P55&amp;"-"&amp;9,Regcontabilizados[Identificador],Regcontabilizados[Debe],0)</f>
        <v>0</v>
      </c>
      <c r="U55">
        <f>SUMIF(Regcontabilizados[Número pago],Pagovtasbusc!P55,Regcontabilizados[Haber])</f>
        <v>0</v>
      </c>
      <c r="AA55" s="33" t="str">
        <f>IF(J55=0,"",   _xlfn.XLOOKUP(AB55,Regcontabilizados[Identificador],Regcontabilizados[Subcuenta],0))</f>
        <v/>
      </c>
      <c r="AB55" t="str">
        <f>IF(J55=0,"",   _xlfn.XLOOKUP($H$7,BDclient[ID-Cliente],BDclient[NIT/C.C.],0)&amp;D55&amp;$H$9&amp;"-"&amp;1)</f>
        <v/>
      </c>
      <c r="AC55" t="str">
        <f t="shared" si="7"/>
        <v/>
      </c>
      <c r="AD55" t="str">
        <f t="shared" si="8"/>
        <v>En Blanco</v>
      </c>
      <c r="AE55" t="str">
        <f>_xlfn.XLOOKUP($H$7,BDclient[ID-Cliente],BDclient[NIT/C.C.],0)&amp;$H$13&amp;$E$7&amp;"-"&amp;ROW(Z55)-21</f>
        <v>Comp. Ingreso-34</v>
      </c>
    </row>
    <row r="56" spans="3:31">
      <c r="C56" s="194"/>
      <c r="D56" s="206"/>
      <c r="E56" s="142"/>
      <c r="F56" s="195"/>
      <c r="G56" s="183"/>
      <c r="H56" s="37">
        <f t="shared" si="4"/>
        <v>0</v>
      </c>
      <c r="I56" s="37"/>
      <c r="J56" s="210">
        <f t="shared" si="5"/>
        <v>0</v>
      </c>
      <c r="K56" s="197"/>
      <c r="N56" s="33">
        <f t="shared" si="6"/>
        <v>0</v>
      </c>
      <c r="O56" t="str">
        <f>_xlfn.XLOOKUP($H$7,BDclient[ID-Cliente],BDclient[NIT/C.C.],0)&amp;$H$9&amp;$D56&amp;"-"&amp;1</f>
        <v>F. V.-1</v>
      </c>
      <c r="P56" t="str">
        <f t="shared" si="9"/>
        <v>F. V.</v>
      </c>
      <c r="Q56" t="str">
        <f>IF(N56="","",    _xlfn.XLOOKUP(P56,Regcontabilizados[Número pago],Regcontabilizados[Estado de pago],"NO PAGADO"))</f>
        <v>NO PAGADO</v>
      </c>
      <c r="R56" s="44">
        <f>_xlfn.XLOOKUP(O56,Regcontabilizados[Identificador],Regcontabilizados[Fecha vencimiento],0)</f>
        <v>0</v>
      </c>
      <c r="S56">
        <f>_xlfn.XLOOKUP(O56,Regcontabilizados[Identificador],Regcontabilizados[Subcuenta],0)</f>
        <v>0</v>
      </c>
      <c r="T56">
        <f>_xlfn.XLOOKUP(O56,Regcontabilizados[Identificador],Regcontabilizados[Debe],0)+_xlfn.XLOOKUP(P56&amp;"-"&amp;2,Regcontabilizados[Identificador],Regcontabilizados[Debe],0)+_xlfn.XLOOKUP(P56&amp;"-"&amp;3,Regcontabilizados[Identificador],Regcontabilizados[Debe],0)+_xlfn.XLOOKUP(P56&amp;"-"&amp;4,Regcontabilizados[Identificador],Regcontabilizados[Debe],0)+_xlfn.XLOOKUP(P56&amp;"-"&amp;5,Regcontabilizados[Identificador],Regcontabilizados[Debe],0)+_xlfn.XLOOKUP(P56&amp;"-"&amp;6,Regcontabilizados[Identificador],Regcontabilizados[Debe],0)+_xlfn.XLOOKUP(P56&amp;"-"&amp;7,Regcontabilizados[Identificador],Regcontabilizados[Debe],0)+_xlfn.XLOOKUP(P56&amp;"-"&amp;8,Regcontabilizados[Identificador],Regcontabilizados[Debe],0)+_xlfn.XLOOKUP(P56&amp;"-"&amp;9,Regcontabilizados[Identificador],Regcontabilizados[Debe],0)</f>
        <v>0</v>
      </c>
      <c r="U56">
        <f>SUMIF(Regcontabilizados[Número pago],Pagovtasbusc!P56,Regcontabilizados[Haber])</f>
        <v>0</v>
      </c>
      <c r="AA56" s="33" t="str">
        <f>IF(J56=0,"",   _xlfn.XLOOKUP(AB56,Regcontabilizados[Identificador],Regcontabilizados[Subcuenta],0))</f>
        <v/>
      </c>
      <c r="AB56" t="str">
        <f>IF(J56=0,"",   _xlfn.XLOOKUP($H$7,BDclient[ID-Cliente],BDclient[NIT/C.C.],0)&amp;D56&amp;$H$9&amp;"-"&amp;1)</f>
        <v/>
      </c>
      <c r="AC56" t="str">
        <f t="shared" si="7"/>
        <v/>
      </c>
      <c r="AD56" t="str">
        <f t="shared" si="8"/>
        <v>En Blanco</v>
      </c>
      <c r="AE56" t="str">
        <f>_xlfn.XLOOKUP($H$7,BDclient[ID-Cliente],BDclient[NIT/C.C.],0)&amp;$H$13&amp;$E$7&amp;"-"&amp;ROW(Z56)-21</f>
        <v>Comp. Ingreso-35</v>
      </c>
    </row>
    <row r="57" spans="3:31">
      <c r="C57" s="194"/>
      <c r="D57" s="206"/>
      <c r="E57" s="142"/>
      <c r="F57" s="195"/>
      <c r="G57" s="183"/>
      <c r="H57" s="37">
        <f t="shared" si="4"/>
        <v>0</v>
      </c>
      <c r="I57" s="37"/>
      <c r="J57" s="210">
        <f t="shared" si="5"/>
        <v>0</v>
      </c>
      <c r="K57" s="197"/>
      <c r="N57" s="33">
        <f t="shared" si="6"/>
        <v>0</v>
      </c>
      <c r="O57" t="str">
        <f>_xlfn.XLOOKUP($H$7,BDclient[ID-Cliente],BDclient[NIT/C.C.],0)&amp;$H$9&amp;$D57&amp;"-"&amp;1</f>
        <v>F. V.-1</v>
      </c>
      <c r="P57" t="str">
        <f t="shared" si="9"/>
        <v>F. V.</v>
      </c>
      <c r="Q57" t="str">
        <f>IF(N57="","",    _xlfn.XLOOKUP(P57,Regcontabilizados[Número pago],Regcontabilizados[Estado de pago],"NO PAGADO"))</f>
        <v>NO PAGADO</v>
      </c>
      <c r="R57" s="44">
        <f>_xlfn.XLOOKUP(O57,Regcontabilizados[Identificador],Regcontabilizados[Fecha vencimiento],0)</f>
        <v>0</v>
      </c>
      <c r="S57">
        <f>_xlfn.XLOOKUP(O57,Regcontabilizados[Identificador],Regcontabilizados[Subcuenta],0)</f>
        <v>0</v>
      </c>
      <c r="T57">
        <f>_xlfn.XLOOKUP(O57,Regcontabilizados[Identificador],Regcontabilizados[Debe],0)+_xlfn.XLOOKUP(P57&amp;"-"&amp;2,Regcontabilizados[Identificador],Regcontabilizados[Debe],0)+_xlfn.XLOOKUP(P57&amp;"-"&amp;3,Regcontabilizados[Identificador],Regcontabilizados[Debe],0)+_xlfn.XLOOKUP(P57&amp;"-"&amp;4,Regcontabilizados[Identificador],Regcontabilizados[Debe],0)+_xlfn.XLOOKUP(P57&amp;"-"&amp;5,Regcontabilizados[Identificador],Regcontabilizados[Debe],0)+_xlfn.XLOOKUP(P57&amp;"-"&amp;6,Regcontabilizados[Identificador],Regcontabilizados[Debe],0)+_xlfn.XLOOKUP(P57&amp;"-"&amp;7,Regcontabilizados[Identificador],Regcontabilizados[Debe],0)+_xlfn.XLOOKUP(P57&amp;"-"&amp;8,Regcontabilizados[Identificador],Regcontabilizados[Debe],0)+_xlfn.XLOOKUP(P57&amp;"-"&amp;9,Regcontabilizados[Identificador],Regcontabilizados[Debe],0)</f>
        <v>0</v>
      </c>
      <c r="U57">
        <f>SUMIF(Regcontabilizados[Número pago],Pagovtasbusc!P57,Regcontabilizados[Haber])</f>
        <v>0</v>
      </c>
      <c r="AA57" s="33" t="str">
        <f>IF(J57=0,"",   _xlfn.XLOOKUP(AB57,Regcontabilizados[Identificador],Regcontabilizados[Subcuenta],0))</f>
        <v/>
      </c>
      <c r="AB57" t="str">
        <f>IF(J57=0,"",   _xlfn.XLOOKUP($H$7,BDclient[ID-Cliente],BDclient[NIT/C.C.],0)&amp;D57&amp;$H$9&amp;"-"&amp;1)</f>
        <v/>
      </c>
      <c r="AC57" t="str">
        <f t="shared" si="7"/>
        <v/>
      </c>
      <c r="AD57" t="str">
        <f t="shared" si="8"/>
        <v>En Blanco</v>
      </c>
      <c r="AE57" t="str">
        <f>_xlfn.XLOOKUP($H$7,BDclient[ID-Cliente],BDclient[NIT/C.C.],0)&amp;$H$13&amp;$E$7&amp;"-"&amp;ROW(Z57)-21</f>
        <v>Comp. Ingreso-36</v>
      </c>
    </row>
    <row r="58" spans="3:31">
      <c r="C58" s="194"/>
      <c r="D58" s="206"/>
      <c r="E58" s="142"/>
      <c r="F58" s="195"/>
      <c r="G58" s="183"/>
      <c r="H58" s="37">
        <f t="shared" si="4"/>
        <v>0</v>
      </c>
      <c r="I58" s="37"/>
      <c r="J58" s="210">
        <f t="shared" si="5"/>
        <v>0</v>
      </c>
      <c r="K58" s="197"/>
      <c r="N58" s="33">
        <f t="shared" si="6"/>
        <v>0</v>
      </c>
      <c r="O58" t="str">
        <f>_xlfn.XLOOKUP($H$7,BDclient[ID-Cliente],BDclient[NIT/C.C.],0)&amp;$H$9&amp;$D58&amp;"-"&amp;1</f>
        <v>F. V.-1</v>
      </c>
      <c r="P58" t="str">
        <f t="shared" si="9"/>
        <v>F. V.</v>
      </c>
      <c r="Q58" t="str">
        <f>IF(N58="","",    _xlfn.XLOOKUP(P58,Regcontabilizados[Número pago],Regcontabilizados[Estado de pago],"NO PAGADO"))</f>
        <v>NO PAGADO</v>
      </c>
      <c r="R58" s="44">
        <f>_xlfn.XLOOKUP(O58,Regcontabilizados[Identificador],Regcontabilizados[Fecha vencimiento],0)</f>
        <v>0</v>
      </c>
      <c r="S58">
        <f>_xlfn.XLOOKUP(O58,Regcontabilizados[Identificador],Regcontabilizados[Subcuenta],0)</f>
        <v>0</v>
      </c>
      <c r="T58">
        <f>_xlfn.XLOOKUP(O58,Regcontabilizados[Identificador],Regcontabilizados[Debe],0)+_xlfn.XLOOKUP(P58&amp;"-"&amp;2,Regcontabilizados[Identificador],Regcontabilizados[Debe],0)+_xlfn.XLOOKUP(P58&amp;"-"&amp;3,Regcontabilizados[Identificador],Regcontabilizados[Debe],0)+_xlfn.XLOOKUP(P58&amp;"-"&amp;4,Regcontabilizados[Identificador],Regcontabilizados[Debe],0)+_xlfn.XLOOKUP(P58&amp;"-"&amp;5,Regcontabilizados[Identificador],Regcontabilizados[Debe],0)+_xlfn.XLOOKUP(P58&amp;"-"&amp;6,Regcontabilizados[Identificador],Regcontabilizados[Debe],0)+_xlfn.XLOOKUP(P58&amp;"-"&amp;7,Regcontabilizados[Identificador],Regcontabilizados[Debe],0)+_xlfn.XLOOKUP(P58&amp;"-"&amp;8,Regcontabilizados[Identificador],Regcontabilizados[Debe],0)+_xlfn.XLOOKUP(P58&amp;"-"&amp;9,Regcontabilizados[Identificador],Regcontabilizados[Debe],0)</f>
        <v>0</v>
      </c>
      <c r="U58">
        <f>SUMIF(Regcontabilizados[Número pago],Pagovtasbusc!P58,Regcontabilizados[Haber])</f>
        <v>0</v>
      </c>
      <c r="AA58" s="33" t="str">
        <f>IF(J58=0,"",   _xlfn.XLOOKUP(AB58,Regcontabilizados[Identificador],Regcontabilizados[Subcuenta],0))</f>
        <v/>
      </c>
      <c r="AB58" t="str">
        <f>IF(J58=0,"",   _xlfn.XLOOKUP($H$7,BDclient[ID-Cliente],BDclient[NIT/C.C.],0)&amp;D58&amp;$H$9&amp;"-"&amp;1)</f>
        <v/>
      </c>
      <c r="AC58" t="str">
        <f t="shared" si="7"/>
        <v/>
      </c>
      <c r="AD58" t="str">
        <f t="shared" si="8"/>
        <v>En Blanco</v>
      </c>
      <c r="AE58" t="str">
        <f>_xlfn.XLOOKUP($H$7,BDclient[ID-Cliente],BDclient[NIT/C.C.],0)&amp;$H$13&amp;$E$7&amp;"-"&amp;ROW(Z58)-21</f>
        <v>Comp. Ingreso-37</v>
      </c>
    </row>
    <row r="59" spans="3:31">
      <c r="C59" s="194"/>
      <c r="D59" s="206"/>
      <c r="E59" s="142"/>
      <c r="F59" s="195"/>
      <c r="G59" s="183"/>
      <c r="H59" s="37">
        <f t="shared" si="4"/>
        <v>0</v>
      </c>
      <c r="I59" s="37"/>
      <c r="J59" s="210">
        <f t="shared" si="5"/>
        <v>0</v>
      </c>
      <c r="K59" s="197"/>
      <c r="N59" s="33">
        <f t="shared" si="6"/>
        <v>0</v>
      </c>
      <c r="O59" t="str">
        <f>_xlfn.XLOOKUP($H$7,BDclient[ID-Cliente],BDclient[NIT/C.C.],0)&amp;$H$9&amp;$D59&amp;"-"&amp;1</f>
        <v>F. V.-1</v>
      </c>
      <c r="P59" t="str">
        <f t="shared" si="9"/>
        <v>F. V.</v>
      </c>
      <c r="Q59" t="str">
        <f>IF(N59="","",    _xlfn.XLOOKUP(P59,Regcontabilizados[Número pago],Regcontabilizados[Estado de pago],"NO PAGADO"))</f>
        <v>NO PAGADO</v>
      </c>
      <c r="R59" s="44">
        <f>_xlfn.XLOOKUP(O59,Regcontabilizados[Identificador],Regcontabilizados[Fecha vencimiento],0)</f>
        <v>0</v>
      </c>
      <c r="S59">
        <f>_xlfn.XLOOKUP(O59,Regcontabilizados[Identificador],Regcontabilizados[Subcuenta],0)</f>
        <v>0</v>
      </c>
      <c r="T59">
        <f>_xlfn.XLOOKUP(O59,Regcontabilizados[Identificador],Regcontabilizados[Debe],0)+_xlfn.XLOOKUP(P59&amp;"-"&amp;2,Regcontabilizados[Identificador],Regcontabilizados[Debe],0)+_xlfn.XLOOKUP(P59&amp;"-"&amp;3,Regcontabilizados[Identificador],Regcontabilizados[Debe],0)+_xlfn.XLOOKUP(P59&amp;"-"&amp;4,Regcontabilizados[Identificador],Regcontabilizados[Debe],0)+_xlfn.XLOOKUP(P59&amp;"-"&amp;5,Regcontabilizados[Identificador],Regcontabilizados[Debe],0)+_xlfn.XLOOKUP(P59&amp;"-"&amp;6,Regcontabilizados[Identificador],Regcontabilizados[Debe],0)+_xlfn.XLOOKUP(P59&amp;"-"&amp;7,Regcontabilizados[Identificador],Regcontabilizados[Debe],0)+_xlfn.XLOOKUP(P59&amp;"-"&amp;8,Regcontabilizados[Identificador],Regcontabilizados[Debe],0)+_xlfn.XLOOKUP(P59&amp;"-"&amp;9,Regcontabilizados[Identificador],Regcontabilizados[Debe],0)</f>
        <v>0</v>
      </c>
      <c r="U59">
        <f>SUMIF(Regcontabilizados[Número pago],Pagovtasbusc!P59,Regcontabilizados[Haber])</f>
        <v>0</v>
      </c>
      <c r="AA59" s="33" t="str">
        <f>IF(J59=0,"",   _xlfn.XLOOKUP(AB59,Regcontabilizados[Identificador],Regcontabilizados[Subcuenta],0))</f>
        <v/>
      </c>
      <c r="AB59" t="str">
        <f>IF(J59=0,"",   _xlfn.XLOOKUP($H$7,BDclient[ID-Cliente],BDclient[NIT/C.C.],0)&amp;D59&amp;$H$9&amp;"-"&amp;1)</f>
        <v/>
      </c>
      <c r="AC59" t="str">
        <f t="shared" si="7"/>
        <v/>
      </c>
      <c r="AD59" t="str">
        <f t="shared" si="8"/>
        <v>En Blanco</v>
      </c>
      <c r="AE59" t="str">
        <f>_xlfn.XLOOKUP($H$7,BDclient[ID-Cliente],BDclient[NIT/C.C.],0)&amp;$H$13&amp;$E$7&amp;"-"&amp;ROW(Z59)-21</f>
        <v>Comp. Ingreso-38</v>
      </c>
    </row>
    <row r="60" spans="3:31">
      <c r="C60" s="194"/>
      <c r="D60" s="206"/>
      <c r="E60" s="142"/>
      <c r="F60" s="195"/>
      <c r="G60" s="183"/>
      <c r="H60" s="37">
        <f t="shared" si="4"/>
        <v>0</v>
      </c>
      <c r="I60" s="37"/>
      <c r="J60" s="210">
        <f t="shared" si="5"/>
        <v>0</v>
      </c>
      <c r="K60" s="197"/>
      <c r="N60" s="33">
        <f t="shared" si="6"/>
        <v>0</v>
      </c>
      <c r="O60" t="str">
        <f>_xlfn.XLOOKUP($H$7,BDclient[ID-Cliente],BDclient[NIT/C.C.],0)&amp;$H$9&amp;$D60&amp;"-"&amp;1</f>
        <v>F. V.-1</v>
      </c>
      <c r="P60" t="str">
        <f t="shared" si="9"/>
        <v>F. V.</v>
      </c>
      <c r="Q60" t="str">
        <f>IF(N60="","",    _xlfn.XLOOKUP(P60,Regcontabilizados[Número pago],Regcontabilizados[Estado de pago],"NO PAGADO"))</f>
        <v>NO PAGADO</v>
      </c>
      <c r="R60" s="44">
        <f>_xlfn.XLOOKUP(O60,Regcontabilizados[Identificador],Regcontabilizados[Fecha vencimiento],0)</f>
        <v>0</v>
      </c>
      <c r="S60">
        <f>_xlfn.XLOOKUP(O60,Regcontabilizados[Identificador],Regcontabilizados[Subcuenta],0)</f>
        <v>0</v>
      </c>
      <c r="T60">
        <f>_xlfn.XLOOKUP(O60,Regcontabilizados[Identificador],Regcontabilizados[Debe],0)+_xlfn.XLOOKUP(P60&amp;"-"&amp;2,Regcontabilizados[Identificador],Regcontabilizados[Debe],0)+_xlfn.XLOOKUP(P60&amp;"-"&amp;3,Regcontabilizados[Identificador],Regcontabilizados[Debe],0)+_xlfn.XLOOKUP(P60&amp;"-"&amp;4,Regcontabilizados[Identificador],Regcontabilizados[Debe],0)+_xlfn.XLOOKUP(P60&amp;"-"&amp;5,Regcontabilizados[Identificador],Regcontabilizados[Debe],0)+_xlfn.XLOOKUP(P60&amp;"-"&amp;6,Regcontabilizados[Identificador],Regcontabilizados[Debe],0)+_xlfn.XLOOKUP(P60&amp;"-"&amp;7,Regcontabilizados[Identificador],Regcontabilizados[Debe],0)+_xlfn.XLOOKUP(P60&amp;"-"&amp;8,Regcontabilizados[Identificador],Regcontabilizados[Debe],0)+_xlfn.XLOOKUP(P60&amp;"-"&amp;9,Regcontabilizados[Identificador],Regcontabilizados[Debe],0)</f>
        <v>0</v>
      </c>
      <c r="U60">
        <f>SUMIF(Regcontabilizados[Número pago],Pagovtasbusc!P60,Regcontabilizados[Haber])</f>
        <v>0</v>
      </c>
      <c r="AA60" s="33" t="str">
        <f>IF(J60=0,"",   _xlfn.XLOOKUP(AB60,Regcontabilizados[Identificador],Regcontabilizados[Subcuenta],0))</f>
        <v/>
      </c>
      <c r="AB60" t="str">
        <f>IF(J60=0,"",   _xlfn.XLOOKUP($H$7,BDclient[ID-Cliente],BDclient[NIT/C.C.],0)&amp;D60&amp;$H$9&amp;"-"&amp;1)</f>
        <v/>
      </c>
      <c r="AC60" t="str">
        <f t="shared" si="7"/>
        <v/>
      </c>
      <c r="AD60" t="str">
        <f t="shared" si="8"/>
        <v>En Blanco</v>
      </c>
      <c r="AE60" t="str">
        <f>_xlfn.XLOOKUP($H$7,BDclient[ID-Cliente],BDclient[NIT/C.C.],0)&amp;$H$13&amp;$E$7&amp;"-"&amp;ROW(Z60)-21</f>
        <v>Comp. Ingreso-39</v>
      </c>
    </row>
    <row r="61" spans="3:31">
      <c r="C61" s="194"/>
      <c r="D61" s="206"/>
      <c r="E61" s="142"/>
      <c r="F61" s="195"/>
      <c r="G61" s="183"/>
      <c r="H61" s="37">
        <f t="shared" si="4"/>
        <v>0</v>
      </c>
      <c r="I61" s="37"/>
      <c r="J61" s="210">
        <f t="shared" si="5"/>
        <v>0</v>
      </c>
      <c r="K61" s="197"/>
      <c r="N61" s="33">
        <f t="shared" si="6"/>
        <v>0</v>
      </c>
      <c r="O61" t="str">
        <f>_xlfn.XLOOKUP($H$7,BDclient[ID-Cliente],BDclient[NIT/C.C.],0)&amp;$H$9&amp;$D61&amp;"-"&amp;1</f>
        <v>F. V.-1</v>
      </c>
      <c r="P61" t="str">
        <f t="shared" si="9"/>
        <v>F. V.</v>
      </c>
      <c r="Q61" t="str">
        <f>IF(N61="","",    _xlfn.XLOOKUP(P61,Regcontabilizados[Número pago],Regcontabilizados[Estado de pago],"NO PAGADO"))</f>
        <v>NO PAGADO</v>
      </c>
      <c r="R61" s="44">
        <f>_xlfn.XLOOKUP(O61,Regcontabilizados[Identificador],Regcontabilizados[Fecha vencimiento],0)</f>
        <v>0</v>
      </c>
      <c r="S61">
        <f>_xlfn.XLOOKUP(O61,Regcontabilizados[Identificador],Regcontabilizados[Subcuenta],0)</f>
        <v>0</v>
      </c>
      <c r="T61">
        <f>_xlfn.XLOOKUP(O61,Regcontabilizados[Identificador],Regcontabilizados[Debe],0)+_xlfn.XLOOKUP(P61&amp;"-"&amp;2,Regcontabilizados[Identificador],Regcontabilizados[Debe],0)+_xlfn.XLOOKUP(P61&amp;"-"&amp;3,Regcontabilizados[Identificador],Regcontabilizados[Debe],0)+_xlfn.XLOOKUP(P61&amp;"-"&amp;4,Regcontabilizados[Identificador],Regcontabilizados[Debe],0)+_xlfn.XLOOKUP(P61&amp;"-"&amp;5,Regcontabilizados[Identificador],Regcontabilizados[Debe],0)+_xlfn.XLOOKUP(P61&amp;"-"&amp;6,Regcontabilizados[Identificador],Regcontabilizados[Debe],0)+_xlfn.XLOOKUP(P61&amp;"-"&amp;7,Regcontabilizados[Identificador],Regcontabilizados[Debe],0)+_xlfn.XLOOKUP(P61&amp;"-"&amp;8,Regcontabilizados[Identificador],Regcontabilizados[Debe],0)+_xlfn.XLOOKUP(P61&amp;"-"&amp;9,Regcontabilizados[Identificador],Regcontabilizados[Debe],0)</f>
        <v>0</v>
      </c>
      <c r="U61">
        <f>SUMIF(Regcontabilizados[Número pago],Pagovtasbusc!P61,Regcontabilizados[Haber])</f>
        <v>0</v>
      </c>
      <c r="AA61" s="33" t="str">
        <f>IF(J61=0,"",   _xlfn.XLOOKUP(AB61,Regcontabilizados[Identificador],Regcontabilizados[Subcuenta],0))</f>
        <v/>
      </c>
      <c r="AB61" t="str">
        <f>IF(J61=0,"",   _xlfn.XLOOKUP($H$7,BDclient[ID-Cliente],BDclient[NIT/C.C.],0)&amp;D61&amp;$H$9&amp;"-"&amp;1)</f>
        <v/>
      </c>
      <c r="AC61" t="str">
        <f t="shared" si="7"/>
        <v/>
      </c>
      <c r="AD61" t="str">
        <f t="shared" si="8"/>
        <v>En Blanco</v>
      </c>
      <c r="AE61" t="str">
        <f>_xlfn.XLOOKUP($H$7,BDclient[ID-Cliente],BDclient[NIT/C.C.],0)&amp;$H$13&amp;$E$7&amp;"-"&amp;ROW(Z61)-21</f>
        <v>Comp. Ingreso-40</v>
      </c>
    </row>
    <row r="62" spans="3:31">
      <c r="C62" s="194"/>
      <c r="D62" s="206"/>
      <c r="E62" s="142"/>
      <c r="F62" s="195"/>
      <c r="G62" s="183"/>
      <c r="H62" s="37">
        <f t="shared" si="4"/>
        <v>0</v>
      </c>
      <c r="I62" s="37"/>
      <c r="J62" s="210">
        <f t="shared" si="5"/>
        <v>0</v>
      </c>
      <c r="K62" s="197"/>
      <c r="N62" s="33">
        <f t="shared" si="6"/>
        <v>0</v>
      </c>
      <c r="O62" t="str">
        <f>_xlfn.XLOOKUP($H$7,BDclient[ID-Cliente],BDclient[NIT/C.C.],0)&amp;$H$9&amp;$D62&amp;"-"&amp;1</f>
        <v>F. V.-1</v>
      </c>
      <c r="P62" t="str">
        <f t="shared" si="9"/>
        <v>F. V.</v>
      </c>
      <c r="Q62" t="str">
        <f>IF(N62="","",    _xlfn.XLOOKUP(P62,Regcontabilizados[Número pago],Regcontabilizados[Estado de pago],"NO PAGADO"))</f>
        <v>NO PAGADO</v>
      </c>
      <c r="R62" s="44">
        <f>_xlfn.XLOOKUP(O62,Regcontabilizados[Identificador],Regcontabilizados[Fecha vencimiento],0)</f>
        <v>0</v>
      </c>
      <c r="S62">
        <f>_xlfn.XLOOKUP(O62,Regcontabilizados[Identificador],Regcontabilizados[Subcuenta],0)</f>
        <v>0</v>
      </c>
      <c r="T62">
        <f>_xlfn.XLOOKUP(O62,Regcontabilizados[Identificador],Regcontabilizados[Debe],0)+_xlfn.XLOOKUP(P62&amp;"-"&amp;2,Regcontabilizados[Identificador],Regcontabilizados[Debe],0)+_xlfn.XLOOKUP(P62&amp;"-"&amp;3,Regcontabilizados[Identificador],Regcontabilizados[Debe],0)+_xlfn.XLOOKUP(P62&amp;"-"&amp;4,Regcontabilizados[Identificador],Regcontabilizados[Debe],0)+_xlfn.XLOOKUP(P62&amp;"-"&amp;5,Regcontabilizados[Identificador],Regcontabilizados[Debe],0)+_xlfn.XLOOKUP(P62&amp;"-"&amp;6,Regcontabilizados[Identificador],Regcontabilizados[Debe],0)+_xlfn.XLOOKUP(P62&amp;"-"&amp;7,Regcontabilizados[Identificador],Regcontabilizados[Debe],0)+_xlfn.XLOOKUP(P62&amp;"-"&amp;8,Regcontabilizados[Identificador],Regcontabilizados[Debe],0)+_xlfn.XLOOKUP(P62&amp;"-"&amp;9,Regcontabilizados[Identificador],Regcontabilizados[Debe],0)</f>
        <v>0</v>
      </c>
      <c r="U62">
        <f>SUMIF(Regcontabilizados[Número pago],Pagovtasbusc!P62,Regcontabilizados[Haber])</f>
        <v>0</v>
      </c>
      <c r="AA62" s="33" t="str">
        <f>IF(J62=0,"",   _xlfn.XLOOKUP(AB62,Regcontabilizados[Identificador],Regcontabilizados[Subcuenta],0))</f>
        <v/>
      </c>
      <c r="AB62" t="str">
        <f>IF(J62=0,"",   _xlfn.XLOOKUP($H$7,BDclient[ID-Cliente],BDclient[NIT/C.C.],0)&amp;D62&amp;$H$9&amp;"-"&amp;1)</f>
        <v/>
      </c>
      <c r="AC62" t="str">
        <f t="shared" si="7"/>
        <v/>
      </c>
      <c r="AD62" t="str">
        <f t="shared" si="8"/>
        <v>En Blanco</v>
      </c>
      <c r="AE62" t="str">
        <f>_xlfn.XLOOKUP($H$7,BDclient[ID-Cliente],BDclient[NIT/C.C.],0)&amp;$H$13&amp;$E$7&amp;"-"&amp;ROW(Z62)-21</f>
        <v>Comp. Ingreso-41</v>
      </c>
    </row>
    <row r="63" spans="3:31">
      <c r="C63" s="194"/>
      <c r="D63" s="206"/>
      <c r="E63" s="142"/>
      <c r="F63" s="195"/>
      <c r="G63" s="183"/>
      <c r="H63" s="37">
        <f t="shared" si="4"/>
        <v>0</v>
      </c>
      <c r="I63" s="37"/>
      <c r="J63" s="210">
        <f t="shared" si="5"/>
        <v>0</v>
      </c>
      <c r="K63" s="197"/>
      <c r="N63" s="33">
        <f t="shared" si="6"/>
        <v>0</v>
      </c>
      <c r="O63" t="str">
        <f>_xlfn.XLOOKUP($H$7,BDclient[ID-Cliente],BDclient[NIT/C.C.],0)&amp;$H$9&amp;$D63&amp;"-"&amp;1</f>
        <v>F. V.-1</v>
      </c>
      <c r="P63" t="str">
        <f t="shared" si="9"/>
        <v>F. V.</v>
      </c>
      <c r="Q63" t="str">
        <f>IF(N63="","",    _xlfn.XLOOKUP(P63,Regcontabilizados[Número pago],Regcontabilizados[Estado de pago],"NO PAGADO"))</f>
        <v>NO PAGADO</v>
      </c>
      <c r="R63" s="44">
        <f>_xlfn.XLOOKUP(O63,Regcontabilizados[Identificador],Regcontabilizados[Fecha vencimiento],0)</f>
        <v>0</v>
      </c>
      <c r="S63">
        <f>_xlfn.XLOOKUP(O63,Regcontabilizados[Identificador],Regcontabilizados[Subcuenta],0)</f>
        <v>0</v>
      </c>
      <c r="T63">
        <f>_xlfn.XLOOKUP(O63,Regcontabilizados[Identificador],Regcontabilizados[Debe],0)+_xlfn.XLOOKUP(P63&amp;"-"&amp;2,Regcontabilizados[Identificador],Regcontabilizados[Debe],0)+_xlfn.XLOOKUP(P63&amp;"-"&amp;3,Regcontabilizados[Identificador],Regcontabilizados[Debe],0)+_xlfn.XLOOKUP(P63&amp;"-"&amp;4,Regcontabilizados[Identificador],Regcontabilizados[Debe],0)+_xlfn.XLOOKUP(P63&amp;"-"&amp;5,Regcontabilizados[Identificador],Regcontabilizados[Debe],0)+_xlfn.XLOOKUP(P63&amp;"-"&amp;6,Regcontabilizados[Identificador],Regcontabilizados[Debe],0)+_xlfn.XLOOKUP(P63&amp;"-"&amp;7,Regcontabilizados[Identificador],Regcontabilizados[Debe],0)+_xlfn.XLOOKUP(P63&amp;"-"&amp;8,Regcontabilizados[Identificador],Regcontabilizados[Debe],0)+_xlfn.XLOOKUP(P63&amp;"-"&amp;9,Regcontabilizados[Identificador],Regcontabilizados[Debe],0)</f>
        <v>0</v>
      </c>
      <c r="U63">
        <f>SUMIF(Regcontabilizados[Número pago],Pagovtasbusc!P63,Regcontabilizados[Haber])</f>
        <v>0</v>
      </c>
      <c r="AA63" s="33" t="str">
        <f>IF(J63=0,"",   _xlfn.XLOOKUP(AB63,Regcontabilizados[Identificador],Regcontabilizados[Subcuenta],0))</f>
        <v/>
      </c>
      <c r="AB63" t="str">
        <f>IF(J63=0,"",   _xlfn.XLOOKUP($H$7,BDclient[ID-Cliente],BDclient[NIT/C.C.],0)&amp;D63&amp;$H$9&amp;"-"&amp;1)</f>
        <v/>
      </c>
      <c r="AC63" t="str">
        <f t="shared" si="7"/>
        <v/>
      </c>
      <c r="AD63" t="str">
        <f t="shared" si="8"/>
        <v>En Blanco</v>
      </c>
      <c r="AE63" t="str">
        <f>_xlfn.XLOOKUP($H$7,BDclient[ID-Cliente],BDclient[NIT/C.C.],0)&amp;$H$13&amp;$E$7&amp;"-"&amp;ROW(Z63)-21</f>
        <v>Comp. Ingreso-42</v>
      </c>
    </row>
    <row r="64" spans="3:31">
      <c r="C64" s="194"/>
      <c r="D64" s="206"/>
      <c r="E64" s="142"/>
      <c r="F64" s="195"/>
      <c r="G64" s="183"/>
      <c r="H64" s="37">
        <f t="shared" si="4"/>
        <v>0</v>
      </c>
      <c r="I64" s="37"/>
      <c r="J64" s="210">
        <f t="shared" si="5"/>
        <v>0</v>
      </c>
      <c r="K64" s="197"/>
      <c r="N64" s="33">
        <f t="shared" si="6"/>
        <v>0</v>
      </c>
      <c r="O64" t="str">
        <f>_xlfn.XLOOKUP($H$7,BDclient[ID-Cliente],BDclient[NIT/C.C.],0)&amp;$H$9&amp;$D64&amp;"-"&amp;1</f>
        <v>F. V.-1</v>
      </c>
      <c r="P64" t="str">
        <f t="shared" si="9"/>
        <v>F. V.</v>
      </c>
      <c r="Q64" t="str">
        <f>IF(N64="","",    _xlfn.XLOOKUP(P64,Regcontabilizados[Número pago],Regcontabilizados[Estado de pago],"NO PAGADO"))</f>
        <v>NO PAGADO</v>
      </c>
      <c r="R64" s="44">
        <f>_xlfn.XLOOKUP(O64,Regcontabilizados[Identificador],Regcontabilizados[Fecha vencimiento],0)</f>
        <v>0</v>
      </c>
      <c r="S64">
        <f>_xlfn.XLOOKUP(O64,Regcontabilizados[Identificador],Regcontabilizados[Subcuenta],0)</f>
        <v>0</v>
      </c>
      <c r="T64">
        <f>_xlfn.XLOOKUP(O64,Regcontabilizados[Identificador],Regcontabilizados[Debe],0)+_xlfn.XLOOKUP(P64&amp;"-"&amp;2,Regcontabilizados[Identificador],Regcontabilizados[Debe],0)+_xlfn.XLOOKUP(P64&amp;"-"&amp;3,Regcontabilizados[Identificador],Regcontabilizados[Debe],0)+_xlfn.XLOOKUP(P64&amp;"-"&amp;4,Regcontabilizados[Identificador],Regcontabilizados[Debe],0)+_xlfn.XLOOKUP(P64&amp;"-"&amp;5,Regcontabilizados[Identificador],Regcontabilizados[Debe],0)+_xlfn.XLOOKUP(P64&amp;"-"&amp;6,Regcontabilizados[Identificador],Regcontabilizados[Debe],0)+_xlfn.XLOOKUP(P64&amp;"-"&amp;7,Regcontabilizados[Identificador],Regcontabilizados[Debe],0)+_xlfn.XLOOKUP(P64&amp;"-"&amp;8,Regcontabilizados[Identificador],Regcontabilizados[Debe],0)+_xlfn.XLOOKUP(P64&amp;"-"&amp;9,Regcontabilizados[Identificador],Regcontabilizados[Debe],0)</f>
        <v>0</v>
      </c>
      <c r="U64">
        <f>SUMIF(Regcontabilizados[Número pago],Pagovtasbusc!P64,Regcontabilizados[Haber])</f>
        <v>0</v>
      </c>
      <c r="AA64" s="33" t="str">
        <f>IF(J64=0,"",   _xlfn.XLOOKUP(AB64,Regcontabilizados[Identificador],Regcontabilizados[Subcuenta],0))</f>
        <v/>
      </c>
      <c r="AB64" t="str">
        <f>IF(J64=0,"",   _xlfn.XLOOKUP($H$7,BDclient[ID-Cliente],BDclient[NIT/C.C.],0)&amp;D64&amp;$H$9&amp;"-"&amp;1)</f>
        <v/>
      </c>
      <c r="AC64" t="str">
        <f t="shared" si="7"/>
        <v/>
      </c>
      <c r="AD64" t="str">
        <f t="shared" si="8"/>
        <v>En Blanco</v>
      </c>
      <c r="AE64" t="str">
        <f>_xlfn.XLOOKUP($H$7,BDclient[ID-Cliente],BDclient[NIT/C.C.],0)&amp;$H$13&amp;$E$7&amp;"-"&amp;ROW(Z64)-21</f>
        <v>Comp. Ingreso-43</v>
      </c>
    </row>
    <row r="65" spans="3:31">
      <c r="C65" s="194"/>
      <c r="D65" s="206"/>
      <c r="E65" s="142"/>
      <c r="F65" s="195"/>
      <c r="G65" s="183"/>
      <c r="H65" s="37">
        <f t="shared" si="4"/>
        <v>0</v>
      </c>
      <c r="I65" s="37"/>
      <c r="J65" s="210">
        <f t="shared" si="5"/>
        <v>0</v>
      </c>
      <c r="K65" s="197"/>
      <c r="N65" s="33">
        <f t="shared" si="6"/>
        <v>0</v>
      </c>
      <c r="O65" t="str">
        <f>_xlfn.XLOOKUP($H$7,BDclient[ID-Cliente],BDclient[NIT/C.C.],0)&amp;$H$9&amp;$D65&amp;"-"&amp;1</f>
        <v>F. V.-1</v>
      </c>
      <c r="P65" t="str">
        <f t="shared" si="9"/>
        <v>F. V.</v>
      </c>
      <c r="Q65" t="str">
        <f>IF(N65="","",    _xlfn.XLOOKUP(P65,Regcontabilizados[Número pago],Regcontabilizados[Estado de pago],"NO PAGADO"))</f>
        <v>NO PAGADO</v>
      </c>
      <c r="R65" s="44">
        <f>_xlfn.XLOOKUP(O65,Regcontabilizados[Identificador],Regcontabilizados[Fecha vencimiento],0)</f>
        <v>0</v>
      </c>
      <c r="S65">
        <f>_xlfn.XLOOKUP(O65,Regcontabilizados[Identificador],Regcontabilizados[Subcuenta],0)</f>
        <v>0</v>
      </c>
      <c r="T65">
        <f>_xlfn.XLOOKUP(O65,Regcontabilizados[Identificador],Regcontabilizados[Debe],0)+_xlfn.XLOOKUP(P65&amp;"-"&amp;2,Regcontabilizados[Identificador],Regcontabilizados[Debe],0)+_xlfn.XLOOKUP(P65&amp;"-"&amp;3,Regcontabilizados[Identificador],Regcontabilizados[Debe],0)+_xlfn.XLOOKUP(P65&amp;"-"&amp;4,Regcontabilizados[Identificador],Regcontabilizados[Debe],0)+_xlfn.XLOOKUP(P65&amp;"-"&amp;5,Regcontabilizados[Identificador],Regcontabilizados[Debe],0)+_xlfn.XLOOKUP(P65&amp;"-"&amp;6,Regcontabilizados[Identificador],Regcontabilizados[Debe],0)+_xlfn.XLOOKUP(P65&amp;"-"&amp;7,Regcontabilizados[Identificador],Regcontabilizados[Debe],0)+_xlfn.XLOOKUP(P65&amp;"-"&amp;8,Regcontabilizados[Identificador],Regcontabilizados[Debe],0)+_xlfn.XLOOKUP(P65&amp;"-"&amp;9,Regcontabilizados[Identificador],Regcontabilizados[Debe],0)</f>
        <v>0</v>
      </c>
      <c r="U65">
        <f>SUMIF(Regcontabilizados[Número pago],Pagovtasbusc!P65,Regcontabilizados[Haber])</f>
        <v>0</v>
      </c>
      <c r="AA65" s="33" t="str">
        <f>IF(J65=0,"",   _xlfn.XLOOKUP(AB65,Regcontabilizados[Identificador],Regcontabilizados[Subcuenta],0))</f>
        <v/>
      </c>
      <c r="AB65" t="str">
        <f>IF(J65=0,"",   _xlfn.XLOOKUP($H$7,BDclient[ID-Cliente],BDclient[NIT/C.C.],0)&amp;D65&amp;$H$9&amp;"-"&amp;1)</f>
        <v/>
      </c>
      <c r="AC65" t="str">
        <f t="shared" si="7"/>
        <v/>
      </c>
      <c r="AD65" t="str">
        <f t="shared" si="8"/>
        <v>En Blanco</v>
      </c>
      <c r="AE65" t="str">
        <f>_xlfn.XLOOKUP($H$7,BDclient[ID-Cliente],BDclient[NIT/C.C.],0)&amp;$H$13&amp;$E$7&amp;"-"&amp;ROW(Z65)-21</f>
        <v>Comp. Ingreso-44</v>
      </c>
    </row>
    <row r="66" spans="3:31">
      <c r="C66" s="194"/>
      <c r="D66" s="206"/>
      <c r="E66" s="142"/>
      <c r="F66" s="195"/>
      <c r="G66" s="183"/>
      <c r="H66" s="37">
        <f t="shared" si="4"/>
        <v>0</v>
      </c>
      <c r="I66" s="37"/>
      <c r="J66" s="210">
        <f t="shared" si="5"/>
        <v>0</v>
      </c>
      <c r="K66" s="197"/>
      <c r="N66" s="33">
        <f t="shared" si="6"/>
        <v>0</v>
      </c>
      <c r="O66" t="str">
        <f>_xlfn.XLOOKUP($H$7,BDclient[ID-Cliente],BDclient[NIT/C.C.],0)&amp;$H$9&amp;$D66&amp;"-"&amp;1</f>
        <v>F. V.-1</v>
      </c>
      <c r="P66" t="str">
        <f t="shared" si="9"/>
        <v>F. V.</v>
      </c>
      <c r="Q66" t="str">
        <f>IF(N66="","",    _xlfn.XLOOKUP(P66,Regcontabilizados[Número pago],Regcontabilizados[Estado de pago],"NO PAGADO"))</f>
        <v>NO PAGADO</v>
      </c>
      <c r="R66" s="44">
        <f>_xlfn.XLOOKUP(O66,Regcontabilizados[Identificador],Regcontabilizados[Fecha vencimiento],0)</f>
        <v>0</v>
      </c>
      <c r="S66">
        <f>_xlfn.XLOOKUP(O66,Regcontabilizados[Identificador],Regcontabilizados[Subcuenta],0)</f>
        <v>0</v>
      </c>
      <c r="T66">
        <f>_xlfn.XLOOKUP(O66,Regcontabilizados[Identificador],Regcontabilizados[Debe],0)+_xlfn.XLOOKUP(P66&amp;"-"&amp;2,Regcontabilizados[Identificador],Regcontabilizados[Debe],0)+_xlfn.XLOOKUP(P66&amp;"-"&amp;3,Regcontabilizados[Identificador],Regcontabilizados[Debe],0)+_xlfn.XLOOKUP(P66&amp;"-"&amp;4,Regcontabilizados[Identificador],Regcontabilizados[Debe],0)+_xlfn.XLOOKUP(P66&amp;"-"&amp;5,Regcontabilizados[Identificador],Regcontabilizados[Debe],0)+_xlfn.XLOOKUP(P66&amp;"-"&amp;6,Regcontabilizados[Identificador],Regcontabilizados[Debe],0)+_xlfn.XLOOKUP(P66&amp;"-"&amp;7,Regcontabilizados[Identificador],Regcontabilizados[Debe],0)+_xlfn.XLOOKUP(P66&amp;"-"&amp;8,Regcontabilizados[Identificador],Regcontabilizados[Debe],0)+_xlfn.XLOOKUP(P66&amp;"-"&amp;9,Regcontabilizados[Identificador],Regcontabilizados[Debe],0)</f>
        <v>0</v>
      </c>
      <c r="U66">
        <f>SUMIF(Regcontabilizados[Número pago],Pagovtasbusc!P66,Regcontabilizados[Haber])</f>
        <v>0</v>
      </c>
      <c r="AA66" s="33" t="str">
        <f>IF(J66=0,"",   _xlfn.XLOOKUP(AB66,Regcontabilizados[Identificador],Regcontabilizados[Subcuenta],0))</f>
        <v/>
      </c>
      <c r="AB66" t="str">
        <f>IF(J66=0,"",   _xlfn.XLOOKUP($H$7,BDclient[ID-Cliente],BDclient[NIT/C.C.],0)&amp;D66&amp;$H$9&amp;"-"&amp;1)</f>
        <v/>
      </c>
      <c r="AC66" t="str">
        <f t="shared" si="7"/>
        <v/>
      </c>
      <c r="AD66" t="str">
        <f t="shared" si="8"/>
        <v>En Blanco</v>
      </c>
      <c r="AE66" t="str">
        <f>_xlfn.XLOOKUP($H$7,BDclient[ID-Cliente],BDclient[NIT/C.C.],0)&amp;$H$13&amp;$E$7&amp;"-"&amp;ROW(Z66)-21</f>
        <v>Comp. Ingreso-45</v>
      </c>
    </row>
    <row r="67" spans="3:31">
      <c r="C67" s="194"/>
      <c r="D67" s="206"/>
      <c r="E67" s="142"/>
      <c r="F67" s="195"/>
      <c r="G67" s="183"/>
      <c r="H67" s="37">
        <f t="shared" si="4"/>
        <v>0</v>
      </c>
      <c r="I67" s="37"/>
      <c r="J67" s="210">
        <f t="shared" si="5"/>
        <v>0</v>
      </c>
      <c r="K67" s="197"/>
      <c r="N67" s="33">
        <f t="shared" si="6"/>
        <v>0</v>
      </c>
      <c r="O67" t="str">
        <f>_xlfn.XLOOKUP($H$7,BDclient[ID-Cliente],BDclient[NIT/C.C.],0)&amp;$H$9&amp;$D67&amp;"-"&amp;1</f>
        <v>F. V.-1</v>
      </c>
      <c r="P67" t="str">
        <f t="shared" si="9"/>
        <v>F. V.</v>
      </c>
      <c r="Q67" t="str">
        <f>IF(N67="","",    _xlfn.XLOOKUP(P67,Regcontabilizados[Número pago],Regcontabilizados[Estado de pago],"NO PAGADO"))</f>
        <v>NO PAGADO</v>
      </c>
      <c r="R67" s="44">
        <f>_xlfn.XLOOKUP(O67,Regcontabilizados[Identificador],Regcontabilizados[Fecha vencimiento],0)</f>
        <v>0</v>
      </c>
      <c r="S67">
        <f>_xlfn.XLOOKUP(O67,Regcontabilizados[Identificador],Regcontabilizados[Subcuenta],0)</f>
        <v>0</v>
      </c>
      <c r="T67">
        <f>_xlfn.XLOOKUP(O67,Regcontabilizados[Identificador],Regcontabilizados[Debe],0)+_xlfn.XLOOKUP(P67&amp;"-"&amp;2,Regcontabilizados[Identificador],Regcontabilizados[Debe],0)+_xlfn.XLOOKUP(P67&amp;"-"&amp;3,Regcontabilizados[Identificador],Regcontabilizados[Debe],0)+_xlfn.XLOOKUP(P67&amp;"-"&amp;4,Regcontabilizados[Identificador],Regcontabilizados[Debe],0)+_xlfn.XLOOKUP(P67&amp;"-"&amp;5,Regcontabilizados[Identificador],Regcontabilizados[Debe],0)+_xlfn.XLOOKUP(P67&amp;"-"&amp;6,Regcontabilizados[Identificador],Regcontabilizados[Debe],0)+_xlfn.XLOOKUP(P67&amp;"-"&amp;7,Regcontabilizados[Identificador],Regcontabilizados[Debe],0)+_xlfn.XLOOKUP(P67&amp;"-"&amp;8,Regcontabilizados[Identificador],Regcontabilizados[Debe],0)+_xlfn.XLOOKUP(P67&amp;"-"&amp;9,Regcontabilizados[Identificador],Regcontabilizados[Debe],0)</f>
        <v>0</v>
      </c>
      <c r="U67">
        <f>SUMIF(Regcontabilizados[Número pago],Pagovtasbusc!P67,Regcontabilizados[Haber])</f>
        <v>0</v>
      </c>
      <c r="AA67" s="33" t="str">
        <f>IF(J67=0,"",   _xlfn.XLOOKUP(AB67,Regcontabilizados[Identificador],Regcontabilizados[Subcuenta],0))</f>
        <v/>
      </c>
      <c r="AB67" t="str">
        <f>IF(J67=0,"",   _xlfn.XLOOKUP($H$7,BDclient[ID-Cliente],BDclient[NIT/C.C.],0)&amp;D67&amp;$H$9&amp;"-"&amp;1)</f>
        <v/>
      </c>
      <c r="AC67" t="str">
        <f t="shared" si="7"/>
        <v/>
      </c>
      <c r="AD67" t="str">
        <f t="shared" si="8"/>
        <v>En Blanco</v>
      </c>
      <c r="AE67" t="str">
        <f>_xlfn.XLOOKUP($H$7,BDclient[ID-Cliente],BDclient[NIT/C.C.],0)&amp;$H$13&amp;$E$7&amp;"-"&amp;ROW(Z67)-21</f>
        <v>Comp. Ingreso-46</v>
      </c>
    </row>
    <row r="68" spans="3:31">
      <c r="C68" s="194"/>
      <c r="D68" s="206"/>
      <c r="E68" s="142"/>
      <c r="F68" s="195"/>
      <c r="G68" s="183"/>
      <c r="H68" s="37">
        <f t="shared" si="4"/>
        <v>0</v>
      </c>
      <c r="I68" s="37"/>
      <c r="J68" s="210">
        <f t="shared" si="5"/>
        <v>0</v>
      </c>
      <c r="K68" s="197"/>
      <c r="N68" s="33">
        <f t="shared" si="6"/>
        <v>0</v>
      </c>
      <c r="O68" t="str">
        <f>_xlfn.XLOOKUP($H$7,BDclient[ID-Cliente],BDclient[NIT/C.C.],0)&amp;$H$9&amp;$D68&amp;"-"&amp;1</f>
        <v>F. V.-1</v>
      </c>
      <c r="P68" t="str">
        <f t="shared" si="9"/>
        <v>F. V.</v>
      </c>
      <c r="Q68" t="str">
        <f>IF(N68="","",    _xlfn.XLOOKUP(P68,Regcontabilizados[Número pago],Regcontabilizados[Estado de pago],"NO PAGADO"))</f>
        <v>NO PAGADO</v>
      </c>
      <c r="R68" s="44">
        <f>_xlfn.XLOOKUP(O68,Regcontabilizados[Identificador],Regcontabilizados[Fecha vencimiento],0)</f>
        <v>0</v>
      </c>
      <c r="S68">
        <f>_xlfn.XLOOKUP(O68,Regcontabilizados[Identificador],Regcontabilizados[Subcuenta],0)</f>
        <v>0</v>
      </c>
      <c r="T68">
        <f>_xlfn.XLOOKUP(O68,Regcontabilizados[Identificador],Regcontabilizados[Debe],0)+_xlfn.XLOOKUP(P68&amp;"-"&amp;2,Regcontabilizados[Identificador],Regcontabilizados[Debe],0)+_xlfn.XLOOKUP(P68&amp;"-"&amp;3,Regcontabilizados[Identificador],Regcontabilizados[Debe],0)+_xlfn.XLOOKUP(P68&amp;"-"&amp;4,Regcontabilizados[Identificador],Regcontabilizados[Debe],0)+_xlfn.XLOOKUP(P68&amp;"-"&amp;5,Regcontabilizados[Identificador],Regcontabilizados[Debe],0)+_xlfn.XLOOKUP(P68&amp;"-"&amp;6,Regcontabilizados[Identificador],Regcontabilizados[Debe],0)+_xlfn.XLOOKUP(P68&amp;"-"&amp;7,Regcontabilizados[Identificador],Regcontabilizados[Debe],0)+_xlfn.XLOOKUP(P68&amp;"-"&amp;8,Regcontabilizados[Identificador],Regcontabilizados[Debe],0)+_xlfn.XLOOKUP(P68&amp;"-"&amp;9,Regcontabilizados[Identificador],Regcontabilizados[Debe],0)</f>
        <v>0</v>
      </c>
      <c r="U68">
        <f>SUMIF(Regcontabilizados[Número pago],Pagovtasbusc!P68,Regcontabilizados[Haber])</f>
        <v>0</v>
      </c>
      <c r="AA68" s="33" t="str">
        <f>IF(J68=0,"",   _xlfn.XLOOKUP(AB68,Regcontabilizados[Identificador],Regcontabilizados[Subcuenta],0))</f>
        <v/>
      </c>
      <c r="AB68" t="str">
        <f>IF(J68=0,"",   _xlfn.XLOOKUP($H$7,BDclient[ID-Cliente],BDclient[NIT/C.C.],0)&amp;D68&amp;$H$9&amp;"-"&amp;1)</f>
        <v/>
      </c>
      <c r="AC68" t="str">
        <f t="shared" si="7"/>
        <v/>
      </c>
      <c r="AD68" t="str">
        <f t="shared" si="8"/>
        <v>En Blanco</v>
      </c>
      <c r="AE68" t="str">
        <f>_xlfn.XLOOKUP($H$7,BDclient[ID-Cliente],BDclient[NIT/C.C.],0)&amp;$H$13&amp;$E$7&amp;"-"&amp;ROW(Z68)-21</f>
        <v>Comp. Ingreso-47</v>
      </c>
    </row>
    <row r="69" spans="3:31">
      <c r="C69" s="194"/>
      <c r="D69" s="206"/>
      <c r="E69" s="142"/>
      <c r="F69" s="195"/>
      <c r="G69" s="183"/>
      <c r="H69" s="37">
        <f t="shared" si="4"/>
        <v>0</v>
      </c>
      <c r="I69" s="37"/>
      <c r="J69" s="210">
        <f t="shared" si="5"/>
        <v>0</v>
      </c>
      <c r="K69" s="197"/>
      <c r="N69" s="33">
        <f t="shared" si="6"/>
        <v>0</v>
      </c>
      <c r="O69" t="str">
        <f>_xlfn.XLOOKUP($H$7,BDclient[ID-Cliente],BDclient[NIT/C.C.],0)&amp;$H$9&amp;$D69&amp;"-"&amp;1</f>
        <v>F. V.-1</v>
      </c>
      <c r="P69" t="str">
        <f t="shared" si="9"/>
        <v>F. V.</v>
      </c>
      <c r="Q69" t="str">
        <f>IF(N69="","",    _xlfn.XLOOKUP(P69,Regcontabilizados[Número pago],Regcontabilizados[Estado de pago],"NO PAGADO"))</f>
        <v>NO PAGADO</v>
      </c>
      <c r="R69" s="44">
        <f>_xlfn.XLOOKUP(O69,Regcontabilizados[Identificador],Regcontabilizados[Fecha vencimiento],0)</f>
        <v>0</v>
      </c>
      <c r="S69">
        <f>_xlfn.XLOOKUP(O69,Regcontabilizados[Identificador],Regcontabilizados[Subcuenta],0)</f>
        <v>0</v>
      </c>
      <c r="T69">
        <f>_xlfn.XLOOKUP(O69,Regcontabilizados[Identificador],Regcontabilizados[Debe],0)+_xlfn.XLOOKUP(P69&amp;"-"&amp;2,Regcontabilizados[Identificador],Regcontabilizados[Debe],0)+_xlfn.XLOOKUP(P69&amp;"-"&amp;3,Regcontabilizados[Identificador],Regcontabilizados[Debe],0)+_xlfn.XLOOKUP(P69&amp;"-"&amp;4,Regcontabilizados[Identificador],Regcontabilizados[Debe],0)+_xlfn.XLOOKUP(P69&amp;"-"&amp;5,Regcontabilizados[Identificador],Regcontabilizados[Debe],0)+_xlfn.XLOOKUP(P69&amp;"-"&amp;6,Regcontabilizados[Identificador],Regcontabilizados[Debe],0)+_xlfn.XLOOKUP(P69&amp;"-"&amp;7,Regcontabilizados[Identificador],Regcontabilizados[Debe],0)+_xlfn.XLOOKUP(P69&amp;"-"&amp;8,Regcontabilizados[Identificador],Regcontabilizados[Debe],0)+_xlfn.XLOOKUP(P69&amp;"-"&amp;9,Regcontabilizados[Identificador],Regcontabilizados[Debe],0)</f>
        <v>0</v>
      </c>
      <c r="U69">
        <f>SUMIF(Regcontabilizados[Número pago],Pagovtasbusc!P69,Regcontabilizados[Haber])</f>
        <v>0</v>
      </c>
      <c r="AA69" s="33" t="str">
        <f>IF(J69=0,"",   _xlfn.XLOOKUP(AB69,Regcontabilizados[Identificador],Regcontabilizados[Subcuenta],0))</f>
        <v/>
      </c>
      <c r="AB69" t="str">
        <f>IF(J69=0,"",   _xlfn.XLOOKUP($H$7,BDclient[ID-Cliente],BDclient[NIT/C.C.],0)&amp;D69&amp;$H$9&amp;"-"&amp;1)</f>
        <v/>
      </c>
      <c r="AC69" t="str">
        <f t="shared" si="7"/>
        <v/>
      </c>
      <c r="AD69" t="str">
        <f t="shared" si="8"/>
        <v>En Blanco</v>
      </c>
      <c r="AE69" t="str">
        <f>_xlfn.XLOOKUP($H$7,BDclient[ID-Cliente],BDclient[NIT/C.C.],0)&amp;$H$13&amp;$E$7&amp;"-"&amp;ROW(Z69)-21</f>
        <v>Comp. Ingreso-48</v>
      </c>
    </row>
    <row r="70" spans="3:31">
      <c r="C70" s="194"/>
      <c r="D70" s="206"/>
      <c r="E70" s="142"/>
      <c r="F70" s="195"/>
      <c r="G70" s="183"/>
      <c r="H70" s="37">
        <f t="shared" si="4"/>
        <v>0</v>
      </c>
      <c r="I70" s="37"/>
      <c r="J70" s="210">
        <f t="shared" si="5"/>
        <v>0</v>
      </c>
      <c r="K70" s="197"/>
      <c r="N70" s="33">
        <f t="shared" si="6"/>
        <v>0</v>
      </c>
      <c r="O70" t="str">
        <f>_xlfn.XLOOKUP($H$7,BDclient[ID-Cliente],BDclient[NIT/C.C.],0)&amp;$H$9&amp;$D70&amp;"-"&amp;1</f>
        <v>F. V.-1</v>
      </c>
      <c r="P70" t="str">
        <f t="shared" si="9"/>
        <v>F. V.</v>
      </c>
      <c r="Q70" t="str">
        <f>IF(N70="","",    _xlfn.XLOOKUP(P70,Regcontabilizados[Número pago],Regcontabilizados[Estado de pago],"NO PAGADO"))</f>
        <v>NO PAGADO</v>
      </c>
      <c r="R70" s="44">
        <f>_xlfn.XLOOKUP(O70,Regcontabilizados[Identificador],Regcontabilizados[Fecha vencimiento],0)</f>
        <v>0</v>
      </c>
      <c r="S70">
        <f>_xlfn.XLOOKUP(O70,Regcontabilizados[Identificador],Regcontabilizados[Subcuenta],0)</f>
        <v>0</v>
      </c>
      <c r="T70">
        <f>_xlfn.XLOOKUP(O70,Regcontabilizados[Identificador],Regcontabilizados[Debe],0)+_xlfn.XLOOKUP(P70&amp;"-"&amp;2,Regcontabilizados[Identificador],Regcontabilizados[Debe],0)+_xlfn.XLOOKUP(P70&amp;"-"&amp;3,Regcontabilizados[Identificador],Regcontabilizados[Debe],0)+_xlfn.XLOOKUP(P70&amp;"-"&amp;4,Regcontabilizados[Identificador],Regcontabilizados[Debe],0)+_xlfn.XLOOKUP(P70&amp;"-"&amp;5,Regcontabilizados[Identificador],Regcontabilizados[Debe],0)+_xlfn.XLOOKUP(P70&amp;"-"&amp;6,Regcontabilizados[Identificador],Regcontabilizados[Debe],0)+_xlfn.XLOOKUP(P70&amp;"-"&amp;7,Regcontabilizados[Identificador],Regcontabilizados[Debe],0)+_xlfn.XLOOKUP(P70&amp;"-"&amp;8,Regcontabilizados[Identificador],Regcontabilizados[Debe],0)+_xlfn.XLOOKUP(P70&amp;"-"&amp;9,Regcontabilizados[Identificador],Regcontabilizados[Debe],0)</f>
        <v>0</v>
      </c>
      <c r="U70">
        <f>SUMIF(Regcontabilizados[Número pago],Pagovtasbusc!P70,Regcontabilizados[Haber])</f>
        <v>0</v>
      </c>
      <c r="AA70" s="33" t="str">
        <f>IF(J70=0,"",   _xlfn.XLOOKUP(AB70,Regcontabilizados[Identificador],Regcontabilizados[Subcuenta],0))</f>
        <v/>
      </c>
      <c r="AB70" t="str">
        <f>IF(J70=0,"",   _xlfn.XLOOKUP($H$7,BDclient[ID-Cliente],BDclient[NIT/C.C.],0)&amp;D70&amp;$H$9&amp;"-"&amp;1)</f>
        <v/>
      </c>
      <c r="AC70" t="str">
        <f t="shared" si="7"/>
        <v/>
      </c>
      <c r="AD70" t="str">
        <f t="shared" si="8"/>
        <v>En Blanco</v>
      </c>
      <c r="AE70" t="str">
        <f>_xlfn.XLOOKUP($H$7,BDclient[ID-Cliente],BDclient[NIT/C.C.],0)&amp;$H$13&amp;$E$7&amp;"-"&amp;ROW(Z70)-21</f>
        <v>Comp. Ingreso-49</v>
      </c>
    </row>
    <row r="71" spans="3:31">
      <c r="C71" s="194"/>
      <c r="D71" s="206"/>
      <c r="E71" s="142"/>
      <c r="F71" s="195"/>
      <c r="G71" s="183"/>
      <c r="H71" s="37">
        <f t="shared" si="4"/>
        <v>0</v>
      </c>
      <c r="I71" s="37"/>
      <c r="J71" s="210">
        <f t="shared" si="5"/>
        <v>0</v>
      </c>
      <c r="K71" s="197"/>
      <c r="N71" s="33">
        <f t="shared" si="6"/>
        <v>0</v>
      </c>
      <c r="O71" t="str">
        <f>_xlfn.XLOOKUP($H$7,BDclient[ID-Cliente],BDclient[NIT/C.C.],0)&amp;$H$9&amp;$D71&amp;"-"&amp;1</f>
        <v>F. V.-1</v>
      </c>
      <c r="P71" t="str">
        <f t="shared" si="9"/>
        <v>F. V.</v>
      </c>
      <c r="Q71" t="str">
        <f>IF(N71="","",    _xlfn.XLOOKUP(P71,Regcontabilizados[Número pago],Regcontabilizados[Estado de pago],"NO PAGADO"))</f>
        <v>NO PAGADO</v>
      </c>
      <c r="R71" s="44">
        <f>_xlfn.XLOOKUP(O71,Regcontabilizados[Identificador],Regcontabilizados[Fecha vencimiento],0)</f>
        <v>0</v>
      </c>
      <c r="S71">
        <f>_xlfn.XLOOKUP(O71,Regcontabilizados[Identificador],Regcontabilizados[Subcuenta],0)</f>
        <v>0</v>
      </c>
      <c r="T71">
        <f>_xlfn.XLOOKUP(O71,Regcontabilizados[Identificador],Regcontabilizados[Debe],0)+_xlfn.XLOOKUP(P71&amp;"-"&amp;2,Regcontabilizados[Identificador],Regcontabilizados[Debe],0)+_xlfn.XLOOKUP(P71&amp;"-"&amp;3,Regcontabilizados[Identificador],Regcontabilizados[Debe],0)+_xlfn.XLOOKUP(P71&amp;"-"&amp;4,Regcontabilizados[Identificador],Regcontabilizados[Debe],0)+_xlfn.XLOOKUP(P71&amp;"-"&amp;5,Regcontabilizados[Identificador],Regcontabilizados[Debe],0)+_xlfn.XLOOKUP(P71&amp;"-"&amp;6,Regcontabilizados[Identificador],Regcontabilizados[Debe],0)+_xlfn.XLOOKUP(P71&amp;"-"&amp;7,Regcontabilizados[Identificador],Regcontabilizados[Debe],0)+_xlfn.XLOOKUP(P71&amp;"-"&amp;8,Regcontabilizados[Identificador],Regcontabilizados[Debe],0)+_xlfn.XLOOKUP(P71&amp;"-"&amp;9,Regcontabilizados[Identificador],Regcontabilizados[Debe],0)</f>
        <v>0</v>
      </c>
      <c r="U71">
        <f>SUMIF(Regcontabilizados[Número pago],Pagovtasbusc!P71,Regcontabilizados[Haber])</f>
        <v>0</v>
      </c>
      <c r="AA71" s="33" t="str">
        <f>IF(J71=0,"",   _xlfn.XLOOKUP(AB71,Regcontabilizados[Identificador],Regcontabilizados[Subcuenta],0))</f>
        <v/>
      </c>
      <c r="AB71" t="str">
        <f>IF(J71=0,"",   _xlfn.XLOOKUP($H$7,BDclient[ID-Cliente],BDclient[NIT/C.C.],0)&amp;D71&amp;$H$9&amp;"-"&amp;1)</f>
        <v/>
      </c>
      <c r="AC71" t="str">
        <f t="shared" si="7"/>
        <v/>
      </c>
      <c r="AD71" t="str">
        <f t="shared" si="8"/>
        <v>En Blanco</v>
      </c>
      <c r="AE71" t="str">
        <f>_xlfn.XLOOKUP($H$7,BDclient[ID-Cliente],BDclient[NIT/C.C.],0)&amp;$H$13&amp;$E$7&amp;"-"&amp;ROW(Z71)-21</f>
        <v>Comp. Ingreso-50</v>
      </c>
    </row>
    <row r="72" spans="3:31">
      <c r="C72" s="194"/>
      <c r="D72" s="206"/>
      <c r="E72" s="142"/>
      <c r="F72" s="195"/>
      <c r="G72" s="183"/>
      <c r="H72" s="37">
        <f t="shared" si="4"/>
        <v>0</v>
      </c>
      <c r="I72" s="37"/>
      <c r="J72" s="210">
        <f t="shared" si="5"/>
        <v>0</v>
      </c>
      <c r="K72" s="197"/>
      <c r="N72" s="33">
        <f t="shared" si="6"/>
        <v>0</v>
      </c>
      <c r="O72" t="str">
        <f>_xlfn.XLOOKUP($H$7,BDclient[ID-Cliente],BDclient[NIT/C.C.],0)&amp;$H$9&amp;$D72&amp;"-"&amp;1</f>
        <v>F. V.-1</v>
      </c>
      <c r="P72" t="str">
        <f t="shared" si="9"/>
        <v>F. V.</v>
      </c>
      <c r="Q72" t="str">
        <f>IF(N72="","",    _xlfn.XLOOKUP(P72,Regcontabilizados[Número pago],Regcontabilizados[Estado de pago],"NO PAGADO"))</f>
        <v>NO PAGADO</v>
      </c>
      <c r="R72" s="44">
        <f>_xlfn.XLOOKUP(O72,Regcontabilizados[Identificador],Regcontabilizados[Fecha vencimiento],0)</f>
        <v>0</v>
      </c>
      <c r="S72">
        <f>_xlfn.XLOOKUP(O72,Regcontabilizados[Identificador],Regcontabilizados[Subcuenta],0)</f>
        <v>0</v>
      </c>
      <c r="T72">
        <f>_xlfn.XLOOKUP(O72,Regcontabilizados[Identificador],Regcontabilizados[Debe],0)+_xlfn.XLOOKUP(P72&amp;"-"&amp;2,Regcontabilizados[Identificador],Regcontabilizados[Debe],0)+_xlfn.XLOOKUP(P72&amp;"-"&amp;3,Regcontabilizados[Identificador],Regcontabilizados[Debe],0)+_xlfn.XLOOKUP(P72&amp;"-"&amp;4,Regcontabilizados[Identificador],Regcontabilizados[Debe],0)+_xlfn.XLOOKUP(P72&amp;"-"&amp;5,Regcontabilizados[Identificador],Regcontabilizados[Debe],0)+_xlfn.XLOOKUP(P72&amp;"-"&amp;6,Regcontabilizados[Identificador],Regcontabilizados[Debe],0)+_xlfn.XLOOKUP(P72&amp;"-"&amp;7,Regcontabilizados[Identificador],Regcontabilizados[Debe],0)+_xlfn.XLOOKUP(P72&amp;"-"&amp;8,Regcontabilizados[Identificador],Regcontabilizados[Debe],0)+_xlfn.XLOOKUP(P72&amp;"-"&amp;9,Regcontabilizados[Identificador],Regcontabilizados[Debe],0)</f>
        <v>0</v>
      </c>
      <c r="U72">
        <f>SUMIF(Regcontabilizados[Número pago],Pagovtasbusc!P72,Regcontabilizados[Haber])</f>
        <v>0</v>
      </c>
      <c r="AA72" s="33" t="str">
        <f>IF(J72=0,"",   _xlfn.XLOOKUP(AB72,Regcontabilizados[Identificador],Regcontabilizados[Subcuenta],0))</f>
        <v/>
      </c>
      <c r="AB72" t="str">
        <f>IF(J72=0,"",   _xlfn.XLOOKUP($H$7,BDclient[ID-Cliente],BDclient[NIT/C.C.],0)&amp;D72&amp;$H$9&amp;"-"&amp;1)</f>
        <v/>
      </c>
      <c r="AC72" t="str">
        <f t="shared" si="7"/>
        <v/>
      </c>
      <c r="AD72" t="str">
        <f t="shared" si="8"/>
        <v>En Blanco</v>
      </c>
      <c r="AE72" t="str">
        <f>_xlfn.XLOOKUP($H$7,BDclient[ID-Cliente],BDclient[NIT/C.C.],0)&amp;$H$13&amp;$E$7&amp;"-"&amp;ROW(Z72)-21</f>
        <v>Comp. Ingreso-51</v>
      </c>
    </row>
    <row r="73" spans="3:31">
      <c r="C73" s="194"/>
      <c r="D73" s="206"/>
      <c r="E73" s="142"/>
      <c r="F73" s="195"/>
      <c r="G73" s="183"/>
      <c r="H73" s="37">
        <f t="shared" si="4"/>
        <v>0</v>
      </c>
      <c r="I73" s="37"/>
      <c r="J73" s="210">
        <f t="shared" si="5"/>
        <v>0</v>
      </c>
      <c r="K73" s="197"/>
      <c r="N73" s="33">
        <f t="shared" si="6"/>
        <v>0</v>
      </c>
      <c r="O73" t="str">
        <f>_xlfn.XLOOKUP($H$7,BDclient[ID-Cliente],BDclient[NIT/C.C.],0)&amp;$H$9&amp;$D73&amp;"-"&amp;1</f>
        <v>F. V.-1</v>
      </c>
      <c r="P73" t="str">
        <f t="shared" si="9"/>
        <v>F. V.</v>
      </c>
      <c r="Q73" t="str">
        <f>IF(N73="","",    _xlfn.XLOOKUP(P73,Regcontabilizados[Número pago],Regcontabilizados[Estado de pago],"NO PAGADO"))</f>
        <v>NO PAGADO</v>
      </c>
      <c r="R73" s="44">
        <f>_xlfn.XLOOKUP(O73,Regcontabilizados[Identificador],Regcontabilizados[Fecha vencimiento],0)</f>
        <v>0</v>
      </c>
      <c r="S73">
        <f>_xlfn.XLOOKUP(O73,Regcontabilizados[Identificador],Regcontabilizados[Subcuenta],0)</f>
        <v>0</v>
      </c>
      <c r="T73">
        <f>_xlfn.XLOOKUP(O73,Regcontabilizados[Identificador],Regcontabilizados[Debe],0)+_xlfn.XLOOKUP(P73&amp;"-"&amp;2,Regcontabilizados[Identificador],Regcontabilizados[Debe],0)+_xlfn.XLOOKUP(P73&amp;"-"&amp;3,Regcontabilizados[Identificador],Regcontabilizados[Debe],0)+_xlfn.XLOOKUP(P73&amp;"-"&amp;4,Regcontabilizados[Identificador],Regcontabilizados[Debe],0)+_xlfn.XLOOKUP(P73&amp;"-"&amp;5,Regcontabilizados[Identificador],Regcontabilizados[Debe],0)+_xlfn.XLOOKUP(P73&amp;"-"&amp;6,Regcontabilizados[Identificador],Regcontabilizados[Debe],0)+_xlfn.XLOOKUP(P73&amp;"-"&amp;7,Regcontabilizados[Identificador],Regcontabilizados[Debe],0)+_xlfn.XLOOKUP(P73&amp;"-"&amp;8,Regcontabilizados[Identificador],Regcontabilizados[Debe],0)+_xlfn.XLOOKUP(P73&amp;"-"&amp;9,Regcontabilizados[Identificador],Regcontabilizados[Debe],0)</f>
        <v>0</v>
      </c>
      <c r="U73">
        <f>SUMIF(Regcontabilizados[Número pago],Pagovtasbusc!P73,Regcontabilizados[Haber])</f>
        <v>0</v>
      </c>
      <c r="AA73" s="33" t="str">
        <f>IF(J73=0,"",   _xlfn.XLOOKUP(AB73,Regcontabilizados[Identificador],Regcontabilizados[Subcuenta],0))</f>
        <v/>
      </c>
      <c r="AB73" t="str">
        <f>IF(J73=0,"",   _xlfn.XLOOKUP($H$7,BDclient[ID-Cliente],BDclient[NIT/C.C.],0)&amp;D73&amp;$H$9&amp;"-"&amp;1)</f>
        <v/>
      </c>
      <c r="AC73" t="str">
        <f t="shared" si="7"/>
        <v/>
      </c>
      <c r="AD73" t="str">
        <f t="shared" si="8"/>
        <v>En Blanco</v>
      </c>
      <c r="AE73" t="str">
        <f>_xlfn.XLOOKUP($H$7,BDclient[ID-Cliente],BDclient[NIT/C.C.],0)&amp;$H$13&amp;$E$7&amp;"-"&amp;ROW(Z73)-21</f>
        <v>Comp. Ingreso-52</v>
      </c>
    </row>
    <row r="74" spans="3:31">
      <c r="C74" s="194"/>
      <c r="D74" s="206"/>
      <c r="E74" s="142"/>
      <c r="F74" s="195"/>
      <c r="G74" s="183"/>
      <c r="H74" s="37">
        <f t="shared" si="4"/>
        <v>0</v>
      </c>
      <c r="I74" s="37"/>
      <c r="J74" s="210">
        <f t="shared" si="5"/>
        <v>0</v>
      </c>
      <c r="K74" s="197"/>
      <c r="N74" s="33">
        <f t="shared" si="6"/>
        <v>0</v>
      </c>
      <c r="O74" t="str">
        <f>_xlfn.XLOOKUP($H$7,BDclient[ID-Cliente],BDclient[NIT/C.C.],0)&amp;$H$9&amp;$D74&amp;"-"&amp;1</f>
        <v>F. V.-1</v>
      </c>
      <c r="P74" t="str">
        <f t="shared" si="9"/>
        <v>F. V.</v>
      </c>
      <c r="Q74" t="str">
        <f>IF(N74="","",    _xlfn.XLOOKUP(P74,Regcontabilizados[Número pago],Regcontabilizados[Estado de pago],"NO PAGADO"))</f>
        <v>NO PAGADO</v>
      </c>
      <c r="R74" s="44">
        <f>_xlfn.XLOOKUP(O74,Regcontabilizados[Identificador],Regcontabilizados[Fecha vencimiento],0)</f>
        <v>0</v>
      </c>
      <c r="S74">
        <f>_xlfn.XLOOKUP(O74,Regcontabilizados[Identificador],Regcontabilizados[Subcuenta],0)</f>
        <v>0</v>
      </c>
      <c r="T74">
        <f>_xlfn.XLOOKUP(O74,Regcontabilizados[Identificador],Regcontabilizados[Debe],0)+_xlfn.XLOOKUP(P74&amp;"-"&amp;2,Regcontabilizados[Identificador],Regcontabilizados[Debe],0)+_xlfn.XLOOKUP(P74&amp;"-"&amp;3,Regcontabilizados[Identificador],Regcontabilizados[Debe],0)+_xlfn.XLOOKUP(P74&amp;"-"&amp;4,Regcontabilizados[Identificador],Regcontabilizados[Debe],0)+_xlfn.XLOOKUP(P74&amp;"-"&amp;5,Regcontabilizados[Identificador],Regcontabilizados[Debe],0)+_xlfn.XLOOKUP(P74&amp;"-"&amp;6,Regcontabilizados[Identificador],Regcontabilizados[Debe],0)+_xlfn.XLOOKUP(P74&amp;"-"&amp;7,Regcontabilizados[Identificador],Regcontabilizados[Debe],0)+_xlfn.XLOOKUP(P74&amp;"-"&amp;8,Regcontabilizados[Identificador],Regcontabilizados[Debe],0)+_xlfn.XLOOKUP(P74&amp;"-"&amp;9,Regcontabilizados[Identificador],Regcontabilizados[Debe],0)</f>
        <v>0</v>
      </c>
      <c r="U74">
        <f>SUMIF(Regcontabilizados[Número pago],Pagovtasbusc!P74,Regcontabilizados[Haber])</f>
        <v>0</v>
      </c>
      <c r="AA74" s="33" t="str">
        <f>IF(J74=0,"",   _xlfn.XLOOKUP(AB74,Regcontabilizados[Identificador],Regcontabilizados[Subcuenta],0))</f>
        <v/>
      </c>
      <c r="AB74" t="str">
        <f>IF(J74=0,"",   _xlfn.XLOOKUP($H$7,BDclient[ID-Cliente],BDclient[NIT/C.C.],0)&amp;D74&amp;$H$9&amp;"-"&amp;1)</f>
        <v/>
      </c>
      <c r="AC74" t="str">
        <f t="shared" si="7"/>
        <v/>
      </c>
      <c r="AD74" t="str">
        <f t="shared" si="8"/>
        <v>En Blanco</v>
      </c>
      <c r="AE74" t="str">
        <f>_xlfn.XLOOKUP($H$7,BDclient[ID-Cliente],BDclient[NIT/C.C.],0)&amp;$H$13&amp;$E$7&amp;"-"&amp;ROW(Z74)-21</f>
        <v>Comp. Ingreso-53</v>
      </c>
    </row>
    <row r="75" spans="3:31">
      <c r="C75" s="194"/>
      <c r="D75" s="206"/>
      <c r="E75" s="142"/>
      <c r="F75" s="195"/>
      <c r="G75" s="183"/>
      <c r="H75" s="37">
        <f t="shared" si="4"/>
        <v>0</v>
      </c>
      <c r="I75" s="37"/>
      <c r="J75" s="210">
        <f t="shared" si="5"/>
        <v>0</v>
      </c>
      <c r="K75" s="197"/>
      <c r="N75" s="33">
        <f t="shared" si="6"/>
        <v>0</v>
      </c>
      <c r="O75" t="str">
        <f>_xlfn.XLOOKUP($H$7,BDclient[ID-Cliente],BDclient[NIT/C.C.],0)&amp;$H$9&amp;$D75&amp;"-"&amp;1</f>
        <v>F. V.-1</v>
      </c>
      <c r="P75" t="str">
        <f t="shared" si="9"/>
        <v>F. V.</v>
      </c>
      <c r="Q75" t="str">
        <f>IF(N75="","",    _xlfn.XLOOKUP(P75,Regcontabilizados[Número pago],Regcontabilizados[Estado de pago],"NO PAGADO"))</f>
        <v>NO PAGADO</v>
      </c>
      <c r="R75" s="44">
        <f>_xlfn.XLOOKUP(O75,Regcontabilizados[Identificador],Regcontabilizados[Fecha vencimiento],0)</f>
        <v>0</v>
      </c>
      <c r="S75">
        <f>_xlfn.XLOOKUP(O75,Regcontabilizados[Identificador],Regcontabilizados[Subcuenta],0)</f>
        <v>0</v>
      </c>
      <c r="T75">
        <f>_xlfn.XLOOKUP(O75,Regcontabilizados[Identificador],Regcontabilizados[Debe],0)+_xlfn.XLOOKUP(P75&amp;"-"&amp;2,Regcontabilizados[Identificador],Regcontabilizados[Debe],0)+_xlfn.XLOOKUP(P75&amp;"-"&amp;3,Regcontabilizados[Identificador],Regcontabilizados[Debe],0)+_xlfn.XLOOKUP(P75&amp;"-"&amp;4,Regcontabilizados[Identificador],Regcontabilizados[Debe],0)+_xlfn.XLOOKUP(P75&amp;"-"&amp;5,Regcontabilizados[Identificador],Regcontabilizados[Debe],0)+_xlfn.XLOOKUP(P75&amp;"-"&amp;6,Regcontabilizados[Identificador],Regcontabilizados[Debe],0)+_xlfn.XLOOKUP(P75&amp;"-"&amp;7,Regcontabilizados[Identificador],Regcontabilizados[Debe],0)+_xlfn.XLOOKUP(P75&amp;"-"&amp;8,Regcontabilizados[Identificador],Regcontabilizados[Debe],0)+_xlfn.XLOOKUP(P75&amp;"-"&amp;9,Regcontabilizados[Identificador],Regcontabilizados[Debe],0)</f>
        <v>0</v>
      </c>
      <c r="U75">
        <f>SUMIF(Regcontabilizados[Número pago],Pagovtasbusc!P75,Regcontabilizados[Haber])</f>
        <v>0</v>
      </c>
      <c r="AA75" s="33" t="str">
        <f>IF(J75=0,"",   _xlfn.XLOOKUP(AB75,Regcontabilizados[Identificador],Regcontabilizados[Subcuenta],0))</f>
        <v/>
      </c>
      <c r="AB75" t="str">
        <f>IF(J75=0,"",   _xlfn.XLOOKUP($H$7,BDclient[ID-Cliente],BDclient[NIT/C.C.],0)&amp;D75&amp;$H$9&amp;"-"&amp;1)</f>
        <v/>
      </c>
      <c r="AC75" t="str">
        <f t="shared" si="7"/>
        <v/>
      </c>
      <c r="AD75" t="str">
        <f t="shared" si="8"/>
        <v>En Blanco</v>
      </c>
      <c r="AE75" t="str">
        <f>_xlfn.XLOOKUP($H$7,BDclient[ID-Cliente],BDclient[NIT/C.C.],0)&amp;$H$13&amp;$E$7&amp;"-"&amp;ROW(Z75)-21</f>
        <v>Comp. Ingreso-54</v>
      </c>
    </row>
    <row r="76" spans="3:31">
      <c r="C76" s="194"/>
      <c r="D76" s="206"/>
      <c r="E76" s="142"/>
      <c r="F76" s="195"/>
      <c r="G76" s="183"/>
      <c r="H76" s="37">
        <f t="shared" si="4"/>
        <v>0</v>
      </c>
      <c r="I76" s="37"/>
      <c r="J76" s="210">
        <f t="shared" si="5"/>
        <v>0</v>
      </c>
      <c r="K76" s="197"/>
      <c r="N76" s="33">
        <f t="shared" si="6"/>
        <v>0</v>
      </c>
      <c r="O76" t="str">
        <f>_xlfn.XLOOKUP($H$7,BDclient[ID-Cliente],BDclient[NIT/C.C.],0)&amp;$H$9&amp;$D76&amp;"-"&amp;1</f>
        <v>F. V.-1</v>
      </c>
      <c r="P76" t="str">
        <f t="shared" si="9"/>
        <v>F. V.</v>
      </c>
      <c r="Q76" t="str">
        <f>IF(N76="","",    _xlfn.XLOOKUP(P76,Regcontabilizados[Número pago],Regcontabilizados[Estado de pago],"NO PAGADO"))</f>
        <v>NO PAGADO</v>
      </c>
      <c r="R76" s="44">
        <f>_xlfn.XLOOKUP(O76,Regcontabilizados[Identificador],Regcontabilizados[Fecha vencimiento],0)</f>
        <v>0</v>
      </c>
      <c r="S76">
        <f>_xlfn.XLOOKUP(O76,Regcontabilizados[Identificador],Regcontabilizados[Subcuenta],0)</f>
        <v>0</v>
      </c>
      <c r="T76">
        <f>_xlfn.XLOOKUP(O76,Regcontabilizados[Identificador],Regcontabilizados[Debe],0)+_xlfn.XLOOKUP(P76&amp;"-"&amp;2,Regcontabilizados[Identificador],Regcontabilizados[Debe],0)+_xlfn.XLOOKUP(P76&amp;"-"&amp;3,Regcontabilizados[Identificador],Regcontabilizados[Debe],0)+_xlfn.XLOOKUP(P76&amp;"-"&amp;4,Regcontabilizados[Identificador],Regcontabilizados[Debe],0)+_xlfn.XLOOKUP(P76&amp;"-"&amp;5,Regcontabilizados[Identificador],Regcontabilizados[Debe],0)+_xlfn.XLOOKUP(P76&amp;"-"&amp;6,Regcontabilizados[Identificador],Regcontabilizados[Debe],0)+_xlfn.XLOOKUP(P76&amp;"-"&amp;7,Regcontabilizados[Identificador],Regcontabilizados[Debe],0)+_xlfn.XLOOKUP(P76&amp;"-"&amp;8,Regcontabilizados[Identificador],Regcontabilizados[Debe],0)+_xlfn.XLOOKUP(P76&amp;"-"&amp;9,Regcontabilizados[Identificador],Regcontabilizados[Debe],0)</f>
        <v>0</v>
      </c>
      <c r="U76">
        <f>SUMIF(Regcontabilizados[Número pago],Pagovtasbusc!P76,Regcontabilizados[Haber])</f>
        <v>0</v>
      </c>
      <c r="AA76" s="33" t="str">
        <f>IF(J76=0,"",   _xlfn.XLOOKUP(AB76,Regcontabilizados[Identificador],Regcontabilizados[Subcuenta],0))</f>
        <v/>
      </c>
      <c r="AB76" t="str">
        <f>IF(J76=0,"",   _xlfn.XLOOKUP($H$7,BDclient[ID-Cliente],BDclient[NIT/C.C.],0)&amp;D76&amp;$H$9&amp;"-"&amp;1)</f>
        <v/>
      </c>
      <c r="AC76" t="str">
        <f t="shared" si="7"/>
        <v/>
      </c>
      <c r="AD76" t="str">
        <f t="shared" si="8"/>
        <v>En Blanco</v>
      </c>
      <c r="AE76" t="str">
        <f>_xlfn.XLOOKUP($H$7,BDclient[ID-Cliente],BDclient[NIT/C.C.],0)&amp;$H$13&amp;$E$7&amp;"-"&amp;ROW(Z76)-21</f>
        <v>Comp. Ingreso-55</v>
      </c>
    </row>
    <row r="77" spans="3:31">
      <c r="C77" s="194"/>
      <c r="D77" s="206"/>
      <c r="E77" s="142"/>
      <c r="F77" s="195"/>
      <c r="G77" s="183"/>
      <c r="H77" s="37">
        <f t="shared" si="4"/>
        <v>0</v>
      </c>
      <c r="I77" s="37"/>
      <c r="J77" s="210">
        <f t="shared" si="5"/>
        <v>0</v>
      </c>
      <c r="K77" s="197"/>
      <c r="N77" s="33">
        <f t="shared" si="6"/>
        <v>0</v>
      </c>
      <c r="O77" t="str">
        <f>_xlfn.XLOOKUP($H$7,BDclient[ID-Cliente],BDclient[NIT/C.C.],0)&amp;$H$9&amp;$D77&amp;"-"&amp;1</f>
        <v>F. V.-1</v>
      </c>
      <c r="P77" t="str">
        <f t="shared" si="9"/>
        <v>F. V.</v>
      </c>
      <c r="Q77" t="str">
        <f>IF(N77="","",    _xlfn.XLOOKUP(P77,Regcontabilizados[Número pago],Regcontabilizados[Estado de pago],"NO PAGADO"))</f>
        <v>NO PAGADO</v>
      </c>
      <c r="R77" s="44">
        <f>_xlfn.XLOOKUP(O77,Regcontabilizados[Identificador],Regcontabilizados[Fecha vencimiento],0)</f>
        <v>0</v>
      </c>
      <c r="S77">
        <f>_xlfn.XLOOKUP(O77,Regcontabilizados[Identificador],Regcontabilizados[Subcuenta],0)</f>
        <v>0</v>
      </c>
      <c r="T77">
        <f>_xlfn.XLOOKUP(O77,Regcontabilizados[Identificador],Regcontabilizados[Debe],0)+_xlfn.XLOOKUP(P77&amp;"-"&amp;2,Regcontabilizados[Identificador],Regcontabilizados[Debe],0)+_xlfn.XLOOKUP(P77&amp;"-"&amp;3,Regcontabilizados[Identificador],Regcontabilizados[Debe],0)+_xlfn.XLOOKUP(P77&amp;"-"&amp;4,Regcontabilizados[Identificador],Regcontabilizados[Debe],0)+_xlfn.XLOOKUP(P77&amp;"-"&amp;5,Regcontabilizados[Identificador],Regcontabilizados[Debe],0)+_xlfn.XLOOKUP(P77&amp;"-"&amp;6,Regcontabilizados[Identificador],Regcontabilizados[Debe],0)+_xlfn.XLOOKUP(P77&amp;"-"&amp;7,Regcontabilizados[Identificador],Regcontabilizados[Debe],0)+_xlfn.XLOOKUP(P77&amp;"-"&amp;8,Regcontabilizados[Identificador],Regcontabilizados[Debe],0)+_xlfn.XLOOKUP(P77&amp;"-"&amp;9,Regcontabilizados[Identificador],Regcontabilizados[Debe],0)</f>
        <v>0</v>
      </c>
      <c r="U77">
        <f>SUMIF(Regcontabilizados[Número pago],Pagovtasbusc!P77,Regcontabilizados[Haber])</f>
        <v>0</v>
      </c>
      <c r="AA77" s="33" t="str">
        <f>IF(J77=0,"",   _xlfn.XLOOKUP(AB77,Regcontabilizados[Identificador],Regcontabilizados[Subcuenta],0))</f>
        <v/>
      </c>
      <c r="AB77" t="str">
        <f>IF(J77=0,"",   _xlfn.XLOOKUP($H$7,BDclient[ID-Cliente],BDclient[NIT/C.C.],0)&amp;D77&amp;$H$9&amp;"-"&amp;1)</f>
        <v/>
      </c>
      <c r="AC77" t="str">
        <f t="shared" si="7"/>
        <v/>
      </c>
      <c r="AD77" t="str">
        <f t="shared" si="8"/>
        <v>En Blanco</v>
      </c>
      <c r="AE77" t="str">
        <f>_xlfn.XLOOKUP($H$7,BDclient[ID-Cliente],BDclient[NIT/C.C.],0)&amp;$H$13&amp;$E$7&amp;"-"&amp;ROW(Z77)-21</f>
        <v>Comp. Ingreso-56</v>
      </c>
    </row>
    <row r="78" spans="3:31">
      <c r="C78" s="194"/>
      <c r="D78" s="206"/>
      <c r="E78" s="142"/>
      <c r="F78" s="195"/>
      <c r="G78" s="183"/>
      <c r="H78" s="37">
        <f t="shared" si="4"/>
        <v>0</v>
      </c>
      <c r="I78" s="37"/>
      <c r="J78" s="210">
        <f t="shared" si="5"/>
        <v>0</v>
      </c>
      <c r="K78" s="197"/>
      <c r="N78" s="33">
        <f t="shared" si="6"/>
        <v>0</v>
      </c>
      <c r="O78" t="str">
        <f>_xlfn.XLOOKUP($H$7,BDclient[ID-Cliente],BDclient[NIT/C.C.],0)&amp;$H$9&amp;$D78&amp;"-"&amp;1</f>
        <v>F. V.-1</v>
      </c>
      <c r="P78" t="str">
        <f t="shared" si="9"/>
        <v>F. V.</v>
      </c>
      <c r="Q78" t="str">
        <f>IF(N78="","",    _xlfn.XLOOKUP(P78,Regcontabilizados[Número pago],Regcontabilizados[Estado de pago],"NO PAGADO"))</f>
        <v>NO PAGADO</v>
      </c>
      <c r="R78" s="44">
        <f>_xlfn.XLOOKUP(O78,Regcontabilizados[Identificador],Regcontabilizados[Fecha vencimiento],0)</f>
        <v>0</v>
      </c>
      <c r="S78">
        <f>_xlfn.XLOOKUP(O78,Regcontabilizados[Identificador],Regcontabilizados[Subcuenta],0)</f>
        <v>0</v>
      </c>
      <c r="T78">
        <f>_xlfn.XLOOKUP(O78,Regcontabilizados[Identificador],Regcontabilizados[Debe],0)+_xlfn.XLOOKUP(P78&amp;"-"&amp;2,Regcontabilizados[Identificador],Regcontabilizados[Debe],0)+_xlfn.XLOOKUP(P78&amp;"-"&amp;3,Regcontabilizados[Identificador],Regcontabilizados[Debe],0)+_xlfn.XLOOKUP(P78&amp;"-"&amp;4,Regcontabilizados[Identificador],Regcontabilizados[Debe],0)+_xlfn.XLOOKUP(P78&amp;"-"&amp;5,Regcontabilizados[Identificador],Regcontabilizados[Debe],0)+_xlfn.XLOOKUP(P78&amp;"-"&amp;6,Regcontabilizados[Identificador],Regcontabilizados[Debe],0)+_xlfn.XLOOKUP(P78&amp;"-"&amp;7,Regcontabilizados[Identificador],Regcontabilizados[Debe],0)+_xlfn.XLOOKUP(P78&amp;"-"&amp;8,Regcontabilizados[Identificador],Regcontabilizados[Debe],0)+_xlfn.XLOOKUP(P78&amp;"-"&amp;9,Regcontabilizados[Identificador],Regcontabilizados[Debe],0)</f>
        <v>0</v>
      </c>
      <c r="U78">
        <f>SUMIF(Regcontabilizados[Número pago],Pagovtasbusc!P78,Regcontabilizados[Haber])</f>
        <v>0</v>
      </c>
      <c r="AA78" s="33" t="str">
        <f>IF(J78=0,"",   _xlfn.XLOOKUP(AB78,Regcontabilizados[Identificador],Regcontabilizados[Subcuenta],0))</f>
        <v/>
      </c>
      <c r="AB78" t="str">
        <f>IF(J78=0,"",   _xlfn.XLOOKUP($H$7,BDclient[ID-Cliente],BDclient[NIT/C.C.],0)&amp;D78&amp;$H$9&amp;"-"&amp;1)</f>
        <v/>
      </c>
      <c r="AC78" t="str">
        <f t="shared" si="7"/>
        <v/>
      </c>
      <c r="AD78" t="str">
        <f t="shared" si="8"/>
        <v>En Blanco</v>
      </c>
      <c r="AE78" t="str">
        <f>_xlfn.XLOOKUP($H$7,BDclient[ID-Cliente],BDclient[NIT/C.C.],0)&amp;$H$13&amp;$E$7&amp;"-"&amp;ROW(Z78)-21</f>
        <v>Comp. Ingreso-57</v>
      </c>
    </row>
    <row r="79" spans="3:31">
      <c r="C79" s="194"/>
      <c r="D79" s="206"/>
      <c r="E79" s="142"/>
      <c r="F79" s="195"/>
      <c r="G79" s="183"/>
      <c r="H79" s="37">
        <f t="shared" si="4"/>
        <v>0</v>
      </c>
      <c r="I79" s="37"/>
      <c r="J79" s="210">
        <f t="shared" si="5"/>
        <v>0</v>
      </c>
      <c r="K79" s="197"/>
      <c r="N79" s="33">
        <f t="shared" si="6"/>
        <v>0</v>
      </c>
      <c r="O79" t="str">
        <f>_xlfn.XLOOKUP($H$7,BDclient[ID-Cliente],BDclient[NIT/C.C.],0)&amp;$H$9&amp;$D79&amp;"-"&amp;1</f>
        <v>F. V.-1</v>
      </c>
      <c r="P79" t="str">
        <f t="shared" si="9"/>
        <v>F. V.</v>
      </c>
      <c r="Q79" t="str">
        <f>IF(N79="","",    _xlfn.XLOOKUP(P79,Regcontabilizados[Número pago],Regcontabilizados[Estado de pago],"NO PAGADO"))</f>
        <v>NO PAGADO</v>
      </c>
      <c r="R79" s="44">
        <f>_xlfn.XLOOKUP(O79,Regcontabilizados[Identificador],Regcontabilizados[Fecha vencimiento],0)</f>
        <v>0</v>
      </c>
      <c r="S79">
        <f>_xlfn.XLOOKUP(O79,Regcontabilizados[Identificador],Regcontabilizados[Subcuenta],0)</f>
        <v>0</v>
      </c>
      <c r="T79">
        <f>_xlfn.XLOOKUP(O79,Regcontabilizados[Identificador],Regcontabilizados[Debe],0)+_xlfn.XLOOKUP(P79&amp;"-"&amp;2,Regcontabilizados[Identificador],Regcontabilizados[Debe],0)+_xlfn.XLOOKUP(P79&amp;"-"&amp;3,Regcontabilizados[Identificador],Regcontabilizados[Debe],0)+_xlfn.XLOOKUP(P79&amp;"-"&amp;4,Regcontabilizados[Identificador],Regcontabilizados[Debe],0)+_xlfn.XLOOKUP(P79&amp;"-"&amp;5,Regcontabilizados[Identificador],Regcontabilizados[Debe],0)+_xlfn.XLOOKUP(P79&amp;"-"&amp;6,Regcontabilizados[Identificador],Regcontabilizados[Debe],0)+_xlfn.XLOOKUP(P79&amp;"-"&amp;7,Regcontabilizados[Identificador],Regcontabilizados[Debe],0)+_xlfn.XLOOKUP(P79&amp;"-"&amp;8,Regcontabilizados[Identificador],Regcontabilizados[Debe],0)+_xlfn.XLOOKUP(P79&amp;"-"&amp;9,Regcontabilizados[Identificador],Regcontabilizados[Debe],0)</f>
        <v>0</v>
      </c>
      <c r="U79">
        <f>SUMIF(Regcontabilizados[Número pago],Pagovtasbusc!P79,Regcontabilizados[Haber])</f>
        <v>0</v>
      </c>
      <c r="AA79" s="33" t="str">
        <f>IF(J79=0,"",   _xlfn.XLOOKUP(AB79,Regcontabilizados[Identificador],Regcontabilizados[Subcuenta],0))</f>
        <v/>
      </c>
      <c r="AB79" t="str">
        <f>IF(J79=0,"",   _xlfn.XLOOKUP($H$7,BDclient[ID-Cliente],BDclient[NIT/C.C.],0)&amp;D79&amp;$H$9&amp;"-"&amp;1)</f>
        <v/>
      </c>
      <c r="AC79" t="str">
        <f t="shared" si="7"/>
        <v/>
      </c>
      <c r="AD79" t="str">
        <f t="shared" si="8"/>
        <v>En Blanco</v>
      </c>
      <c r="AE79" t="str">
        <f>_xlfn.XLOOKUP($H$7,BDclient[ID-Cliente],BDclient[NIT/C.C.],0)&amp;$H$13&amp;$E$7&amp;"-"&amp;ROW(Z79)-21</f>
        <v>Comp. Ingreso-58</v>
      </c>
    </row>
    <row r="80" spans="3:31">
      <c r="C80" s="194"/>
      <c r="D80" s="206"/>
      <c r="E80" s="142"/>
      <c r="F80" s="195"/>
      <c r="G80" s="183"/>
      <c r="H80" s="37">
        <f t="shared" si="4"/>
        <v>0</v>
      </c>
      <c r="I80" s="37"/>
      <c r="J80" s="210">
        <f t="shared" si="5"/>
        <v>0</v>
      </c>
      <c r="K80" s="197"/>
      <c r="N80" s="33">
        <f t="shared" si="6"/>
        <v>0</v>
      </c>
      <c r="O80" t="str">
        <f>_xlfn.XLOOKUP($H$7,BDclient[ID-Cliente],BDclient[NIT/C.C.],0)&amp;$H$9&amp;$D80&amp;"-"&amp;1</f>
        <v>F. V.-1</v>
      </c>
      <c r="P80" t="str">
        <f t="shared" si="9"/>
        <v>F. V.</v>
      </c>
      <c r="Q80" t="str">
        <f>IF(N80="","",    _xlfn.XLOOKUP(P80,Regcontabilizados[Número pago],Regcontabilizados[Estado de pago],"NO PAGADO"))</f>
        <v>NO PAGADO</v>
      </c>
      <c r="R80" s="44">
        <f>_xlfn.XLOOKUP(O80,Regcontabilizados[Identificador],Regcontabilizados[Fecha vencimiento],0)</f>
        <v>0</v>
      </c>
      <c r="S80">
        <f>_xlfn.XLOOKUP(O80,Regcontabilizados[Identificador],Regcontabilizados[Subcuenta],0)</f>
        <v>0</v>
      </c>
      <c r="T80">
        <f>_xlfn.XLOOKUP(O80,Regcontabilizados[Identificador],Regcontabilizados[Debe],0)+_xlfn.XLOOKUP(P80&amp;"-"&amp;2,Regcontabilizados[Identificador],Regcontabilizados[Debe],0)+_xlfn.XLOOKUP(P80&amp;"-"&amp;3,Regcontabilizados[Identificador],Regcontabilizados[Debe],0)+_xlfn.XLOOKUP(P80&amp;"-"&amp;4,Regcontabilizados[Identificador],Regcontabilizados[Debe],0)+_xlfn.XLOOKUP(P80&amp;"-"&amp;5,Regcontabilizados[Identificador],Regcontabilizados[Debe],0)+_xlfn.XLOOKUP(P80&amp;"-"&amp;6,Regcontabilizados[Identificador],Regcontabilizados[Debe],0)+_xlfn.XLOOKUP(P80&amp;"-"&amp;7,Regcontabilizados[Identificador],Regcontabilizados[Debe],0)+_xlfn.XLOOKUP(P80&amp;"-"&amp;8,Regcontabilizados[Identificador],Regcontabilizados[Debe],0)+_xlfn.XLOOKUP(P80&amp;"-"&amp;9,Regcontabilizados[Identificador],Regcontabilizados[Debe],0)</f>
        <v>0</v>
      </c>
      <c r="U80">
        <f>SUMIF(Regcontabilizados[Número pago],Pagovtasbusc!P80,Regcontabilizados[Haber])</f>
        <v>0</v>
      </c>
      <c r="AA80" s="33" t="str">
        <f>IF(J80=0,"",   _xlfn.XLOOKUP(AB80,Regcontabilizados[Identificador],Regcontabilizados[Subcuenta],0))</f>
        <v/>
      </c>
      <c r="AB80" t="str">
        <f>IF(J80=0,"",   _xlfn.XLOOKUP($H$7,BDclient[ID-Cliente],BDclient[NIT/C.C.],0)&amp;D80&amp;$H$9&amp;"-"&amp;1)</f>
        <v/>
      </c>
      <c r="AC80" t="str">
        <f t="shared" si="7"/>
        <v/>
      </c>
      <c r="AD80" t="str">
        <f t="shared" si="8"/>
        <v>En Blanco</v>
      </c>
      <c r="AE80" t="str">
        <f>_xlfn.XLOOKUP($H$7,BDclient[ID-Cliente],BDclient[NIT/C.C.],0)&amp;$H$13&amp;$E$7&amp;"-"&amp;ROW(Z80)-21</f>
        <v>Comp. Ingreso-59</v>
      </c>
    </row>
    <row r="81" spans="3:31">
      <c r="C81" s="194"/>
      <c r="D81" s="206"/>
      <c r="E81" s="142"/>
      <c r="F81" s="195"/>
      <c r="G81" s="183"/>
      <c r="H81" s="37">
        <f t="shared" si="4"/>
        <v>0</v>
      </c>
      <c r="I81" s="37"/>
      <c r="J81" s="210">
        <f t="shared" si="5"/>
        <v>0</v>
      </c>
      <c r="K81" s="197"/>
      <c r="N81" s="33">
        <f t="shared" si="6"/>
        <v>0</v>
      </c>
      <c r="O81" t="str">
        <f>_xlfn.XLOOKUP($H$7,BDclient[ID-Cliente],BDclient[NIT/C.C.],0)&amp;$H$9&amp;$D81&amp;"-"&amp;1</f>
        <v>F. V.-1</v>
      </c>
      <c r="P81" t="str">
        <f t="shared" si="9"/>
        <v>F. V.</v>
      </c>
      <c r="Q81" t="str">
        <f>IF(N81="","",    _xlfn.XLOOKUP(P81,Regcontabilizados[Número pago],Regcontabilizados[Estado de pago],"NO PAGADO"))</f>
        <v>NO PAGADO</v>
      </c>
      <c r="R81" s="44">
        <f>_xlfn.XLOOKUP(O81,Regcontabilizados[Identificador],Regcontabilizados[Fecha vencimiento],0)</f>
        <v>0</v>
      </c>
      <c r="S81">
        <f>_xlfn.XLOOKUP(O81,Regcontabilizados[Identificador],Regcontabilizados[Subcuenta],0)</f>
        <v>0</v>
      </c>
      <c r="T81">
        <f>_xlfn.XLOOKUP(O81,Regcontabilizados[Identificador],Regcontabilizados[Debe],0)+_xlfn.XLOOKUP(P81&amp;"-"&amp;2,Regcontabilizados[Identificador],Regcontabilizados[Debe],0)+_xlfn.XLOOKUP(P81&amp;"-"&amp;3,Regcontabilizados[Identificador],Regcontabilizados[Debe],0)+_xlfn.XLOOKUP(P81&amp;"-"&amp;4,Regcontabilizados[Identificador],Regcontabilizados[Debe],0)+_xlfn.XLOOKUP(P81&amp;"-"&amp;5,Regcontabilizados[Identificador],Regcontabilizados[Debe],0)+_xlfn.XLOOKUP(P81&amp;"-"&amp;6,Regcontabilizados[Identificador],Regcontabilizados[Debe],0)+_xlfn.XLOOKUP(P81&amp;"-"&amp;7,Regcontabilizados[Identificador],Regcontabilizados[Debe],0)+_xlfn.XLOOKUP(P81&amp;"-"&amp;8,Regcontabilizados[Identificador],Regcontabilizados[Debe],0)+_xlfn.XLOOKUP(P81&amp;"-"&amp;9,Regcontabilizados[Identificador],Regcontabilizados[Debe],0)</f>
        <v>0</v>
      </c>
      <c r="U81">
        <f>SUMIF(Regcontabilizados[Número pago],Pagovtasbusc!P81,Regcontabilizados[Haber])</f>
        <v>0</v>
      </c>
      <c r="AA81" s="33" t="str">
        <f>IF(J81=0,"",   _xlfn.XLOOKUP(AB81,Regcontabilizados[Identificador],Regcontabilizados[Subcuenta],0))</f>
        <v/>
      </c>
      <c r="AB81" t="str">
        <f>IF(J81=0,"",   _xlfn.XLOOKUP($H$7,BDclient[ID-Cliente],BDclient[NIT/C.C.],0)&amp;D81&amp;$H$9&amp;"-"&amp;1)</f>
        <v/>
      </c>
      <c r="AC81" t="str">
        <f t="shared" si="7"/>
        <v/>
      </c>
      <c r="AD81" t="str">
        <f t="shared" si="8"/>
        <v>En Blanco</v>
      </c>
      <c r="AE81" t="str">
        <f>_xlfn.XLOOKUP($H$7,BDclient[ID-Cliente],BDclient[NIT/C.C.],0)&amp;$H$13&amp;$E$7&amp;"-"&amp;ROW(Z81)-21</f>
        <v>Comp. Ingreso-60</v>
      </c>
    </row>
    <row r="82" spans="3:31">
      <c r="C82" s="194"/>
      <c r="D82" s="206"/>
      <c r="E82" s="142"/>
      <c r="F82" s="195"/>
      <c r="G82" s="183"/>
      <c r="H82" s="37">
        <f t="shared" si="4"/>
        <v>0</v>
      </c>
      <c r="I82" s="37"/>
      <c r="J82" s="210">
        <f t="shared" si="5"/>
        <v>0</v>
      </c>
      <c r="K82" s="197"/>
      <c r="N82" s="33">
        <f t="shared" si="6"/>
        <v>0</v>
      </c>
      <c r="O82" t="str">
        <f>_xlfn.XLOOKUP($H$7,BDclient[ID-Cliente],BDclient[NIT/C.C.],0)&amp;$H$9&amp;$D82&amp;"-"&amp;1</f>
        <v>F. V.-1</v>
      </c>
      <c r="P82" t="str">
        <f t="shared" si="9"/>
        <v>F. V.</v>
      </c>
      <c r="Q82" t="str">
        <f>IF(N82="","",    _xlfn.XLOOKUP(P82,Regcontabilizados[Número pago],Regcontabilizados[Estado de pago],"NO PAGADO"))</f>
        <v>NO PAGADO</v>
      </c>
      <c r="R82" s="44">
        <f>_xlfn.XLOOKUP(O82,Regcontabilizados[Identificador],Regcontabilizados[Fecha vencimiento],0)</f>
        <v>0</v>
      </c>
      <c r="S82">
        <f>_xlfn.XLOOKUP(O82,Regcontabilizados[Identificador],Regcontabilizados[Subcuenta],0)</f>
        <v>0</v>
      </c>
      <c r="T82">
        <f>_xlfn.XLOOKUP(O82,Regcontabilizados[Identificador],Regcontabilizados[Debe],0)+_xlfn.XLOOKUP(P82&amp;"-"&amp;2,Regcontabilizados[Identificador],Regcontabilizados[Debe],0)+_xlfn.XLOOKUP(P82&amp;"-"&amp;3,Regcontabilizados[Identificador],Regcontabilizados[Debe],0)+_xlfn.XLOOKUP(P82&amp;"-"&amp;4,Regcontabilizados[Identificador],Regcontabilizados[Debe],0)+_xlfn.XLOOKUP(P82&amp;"-"&amp;5,Regcontabilizados[Identificador],Regcontabilizados[Debe],0)+_xlfn.XLOOKUP(P82&amp;"-"&amp;6,Regcontabilizados[Identificador],Regcontabilizados[Debe],0)+_xlfn.XLOOKUP(P82&amp;"-"&amp;7,Regcontabilizados[Identificador],Regcontabilizados[Debe],0)+_xlfn.XLOOKUP(P82&amp;"-"&amp;8,Regcontabilizados[Identificador],Regcontabilizados[Debe],0)+_xlfn.XLOOKUP(P82&amp;"-"&amp;9,Regcontabilizados[Identificador],Regcontabilizados[Debe],0)</f>
        <v>0</v>
      </c>
      <c r="U82">
        <f>SUMIF(Regcontabilizados[Número pago],Pagovtasbusc!P82,Regcontabilizados[Haber])</f>
        <v>0</v>
      </c>
      <c r="AA82" s="33" t="str">
        <f>IF(J82=0,"",   _xlfn.XLOOKUP(AB82,Regcontabilizados[Identificador],Regcontabilizados[Subcuenta],0))</f>
        <v/>
      </c>
      <c r="AB82" t="str">
        <f>IF(J82=0,"",   _xlfn.XLOOKUP($H$7,BDclient[ID-Cliente],BDclient[NIT/C.C.],0)&amp;D82&amp;$H$9&amp;"-"&amp;1)</f>
        <v/>
      </c>
      <c r="AC82" t="str">
        <f t="shared" si="7"/>
        <v/>
      </c>
      <c r="AD82" t="str">
        <f t="shared" si="8"/>
        <v>En Blanco</v>
      </c>
      <c r="AE82" t="str">
        <f>_xlfn.XLOOKUP($H$7,BDclient[ID-Cliente],BDclient[NIT/C.C.],0)&amp;$H$13&amp;$E$7&amp;"-"&amp;ROW(Z82)-21</f>
        <v>Comp. Ingreso-61</v>
      </c>
    </row>
    <row r="83" spans="3:31">
      <c r="C83" s="194"/>
      <c r="D83" s="206"/>
      <c r="E83" s="142"/>
      <c r="F83" s="195"/>
      <c r="G83" s="183"/>
      <c r="H83" s="37">
        <f t="shared" si="4"/>
        <v>0</v>
      </c>
      <c r="I83" s="37"/>
      <c r="J83" s="210">
        <f t="shared" si="5"/>
        <v>0</v>
      </c>
      <c r="K83" s="197"/>
      <c r="N83" s="33">
        <f t="shared" si="6"/>
        <v>0</v>
      </c>
      <c r="O83" t="str">
        <f>_xlfn.XLOOKUP($H$7,BDclient[ID-Cliente],BDclient[NIT/C.C.],0)&amp;$H$9&amp;$D83&amp;"-"&amp;1</f>
        <v>F. V.-1</v>
      </c>
      <c r="P83" t="str">
        <f t="shared" si="9"/>
        <v>F. V.</v>
      </c>
      <c r="Q83" t="str">
        <f>IF(N83="","",    _xlfn.XLOOKUP(P83,Regcontabilizados[Número pago],Regcontabilizados[Estado de pago],"NO PAGADO"))</f>
        <v>NO PAGADO</v>
      </c>
      <c r="R83" s="44">
        <f>_xlfn.XLOOKUP(O83,Regcontabilizados[Identificador],Regcontabilizados[Fecha vencimiento],0)</f>
        <v>0</v>
      </c>
      <c r="S83">
        <f>_xlfn.XLOOKUP(O83,Regcontabilizados[Identificador],Regcontabilizados[Subcuenta],0)</f>
        <v>0</v>
      </c>
      <c r="T83">
        <f>_xlfn.XLOOKUP(O83,Regcontabilizados[Identificador],Regcontabilizados[Debe],0)+_xlfn.XLOOKUP(P83&amp;"-"&amp;2,Regcontabilizados[Identificador],Regcontabilizados[Debe],0)+_xlfn.XLOOKUP(P83&amp;"-"&amp;3,Regcontabilizados[Identificador],Regcontabilizados[Debe],0)+_xlfn.XLOOKUP(P83&amp;"-"&amp;4,Regcontabilizados[Identificador],Regcontabilizados[Debe],0)+_xlfn.XLOOKUP(P83&amp;"-"&amp;5,Regcontabilizados[Identificador],Regcontabilizados[Debe],0)+_xlfn.XLOOKUP(P83&amp;"-"&amp;6,Regcontabilizados[Identificador],Regcontabilizados[Debe],0)+_xlfn.XLOOKUP(P83&amp;"-"&amp;7,Regcontabilizados[Identificador],Regcontabilizados[Debe],0)+_xlfn.XLOOKUP(P83&amp;"-"&amp;8,Regcontabilizados[Identificador],Regcontabilizados[Debe],0)+_xlfn.XLOOKUP(P83&amp;"-"&amp;9,Regcontabilizados[Identificador],Regcontabilizados[Debe],0)</f>
        <v>0</v>
      </c>
      <c r="U83">
        <f>SUMIF(Regcontabilizados[Número pago],Pagovtasbusc!P83,Regcontabilizados[Haber])</f>
        <v>0</v>
      </c>
      <c r="AA83" s="33" t="str">
        <f>IF(J83=0,"",   _xlfn.XLOOKUP(AB83,Regcontabilizados[Identificador],Regcontabilizados[Subcuenta],0))</f>
        <v/>
      </c>
      <c r="AB83" t="str">
        <f>IF(J83=0,"",   _xlfn.XLOOKUP($H$7,BDclient[ID-Cliente],BDclient[NIT/C.C.],0)&amp;D83&amp;$H$9&amp;"-"&amp;1)</f>
        <v/>
      </c>
      <c r="AC83" t="str">
        <f t="shared" si="7"/>
        <v/>
      </c>
      <c r="AD83" t="str">
        <f t="shared" si="8"/>
        <v>En Blanco</v>
      </c>
      <c r="AE83" t="str">
        <f>_xlfn.XLOOKUP($H$7,BDclient[ID-Cliente],BDclient[NIT/C.C.],0)&amp;$H$13&amp;$E$7&amp;"-"&amp;ROW(Z83)-21</f>
        <v>Comp. Ingreso-62</v>
      </c>
    </row>
    <row r="84" spans="3:31">
      <c r="C84" s="194"/>
      <c r="D84" s="206"/>
      <c r="E84" s="142"/>
      <c r="F84" s="195"/>
      <c r="G84" s="183"/>
      <c r="H84" s="37">
        <f t="shared" si="4"/>
        <v>0</v>
      </c>
      <c r="I84" s="37"/>
      <c r="J84" s="210">
        <f t="shared" si="5"/>
        <v>0</v>
      </c>
      <c r="K84" s="197"/>
      <c r="N84" s="33">
        <f t="shared" si="6"/>
        <v>0</v>
      </c>
      <c r="O84" t="str">
        <f>_xlfn.XLOOKUP($H$7,BDclient[ID-Cliente],BDclient[NIT/C.C.],0)&amp;$H$9&amp;$D84&amp;"-"&amp;1</f>
        <v>F. V.-1</v>
      </c>
      <c r="P84" t="str">
        <f t="shared" si="9"/>
        <v>F. V.</v>
      </c>
      <c r="Q84" t="str">
        <f>IF(N84="","",    _xlfn.XLOOKUP(P84,Regcontabilizados[Número pago],Regcontabilizados[Estado de pago],"NO PAGADO"))</f>
        <v>NO PAGADO</v>
      </c>
      <c r="R84" s="44">
        <f>_xlfn.XLOOKUP(O84,Regcontabilizados[Identificador],Regcontabilizados[Fecha vencimiento],0)</f>
        <v>0</v>
      </c>
      <c r="S84">
        <f>_xlfn.XLOOKUP(O84,Regcontabilizados[Identificador],Regcontabilizados[Subcuenta],0)</f>
        <v>0</v>
      </c>
      <c r="T84">
        <f>_xlfn.XLOOKUP(O84,Regcontabilizados[Identificador],Regcontabilizados[Debe],0)+_xlfn.XLOOKUP(P84&amp;"-"&amp;2,Regcontabilizados[Identificador],Regcontabilizados[Debe],0)+_xlfn.XLOOKUP(P84&amp;"-"&amp;3,Regcontabilizados[Identificador],Regcontabilizados[Debe],0)+_xlfn.XLOOKUP(P84&amp;"-"&amp;4,Regcontabilizados[Identificador],Regcontabilizados[Debe],0)+_xlfn.XLOOKUP(P84&amp;"-"&amp;5,Regcontabilizados[Identificador],Regcontabilizados[Debe],0)+_xlfn.XLOOKUP(P84&amp;"-"&amp;6,Regcontabilizados[Identificador],Regcontabilizados[Debe],0)+_xlfn.XLOOKUP(P84&amp;"-"&amp;7,Regcontabilizados[Identificador],Regcontabilizados[Debe],0)+_xlfn.XLOOKUP(P84&amp;"-"&amp;8,Regcontabilizados[Identificador],Regcontabilizados[Debe],0)+_xlfn.XLOOKUP(P84&amp;"-"&amp;9,Regcontabilizados[Identificador],Regcontabilizados[Debe],0)</f>
        <v>0</v>
      </c>
      <c r="U84">
        <f>SUMIF(Regcontabilizados[Número pago],Pagovtasbusc!P84,Regcontabilizados[Haber])</f>
        <v>0</v>
      </c>
      <c r="AA84" s="33" t="str">
        <f>IF(J84=0,"",   _xlfn.XLOOKUP(AB84,Regcontabilizados[Identificador],Regcontabilizados[Subcuenta],0))</f>
        <v/>
      </c>
      <c r="AB84" t="str">
        <f>IF(J84=0,"",   _xlfn.XLOOKUP($H$7,BDclient[ID-Cliente],BDclient[NIT/C.C.],0)&amp;D84&amp;$H$9&amp;"-"&amp;1)</f>
        <v/>
      </c>
      <c r="AC84" t="str">
        <f t="shared" si="7"/>
        <v/>
      </c>
      <c r="AD84" t="str">
        <f t="shared" si="8"/>
        <v>En Blanco</v>
      </c>
      <c r="AE84" t="str">
        <f>_xlfn.XLOOKUP($H$7,BDclient[ID-Cliente],BDclient[NIT/C.C.],0)&amp;$H$13&amp;$E$7&amp;"-"&amp;ROW(Z84)-21</f>
        <v>Comp. Ingreso-63</v>
      </c>
    </row>
    <row r="85" spans="3:31">
      <c r="C85" s="194"/>
      <c r="D85" s="206"/>
      <c r="E85" s="142"/>
      <c r="F85" s="195"/>
      <c r="G85" s="183"/>
      <c r="H85" s="37">
        <f t="shared" si="4"/>
        <v>0</v>
      </c>
      <c r="I85" s="37"/>
      <c r="J85" s="210">
        <f t="shared" si="5"/>
        <v>0</v>
      </c>
      <c r="K85" s="197"/>
      <c r="N85" s="33">
        <f t="shared" si="6"/>
        <v>0</v>
      </c>
      <c r="O85" t="str">
        <f>_xlfn.XLOOKUP($H$7,BDclient[ID-Cliente],BDclient[NIT/C.C.],0)&amp;$H$9&amp;$D85&amp;"-"&amp;1</f>
        <v>F. V.-1</v>
      </c>
      <c r="P85" t="str">
        <f t="shared" si="9"/>
        <v>F. V.</v>
      </c>
      <c r="Q85" t="str">
        <f>IF(N85="","",    _xlfn.XLOOKUP(P85,Regcontabilizados[Número pago],Regcontabilizados[Estado de pago],"NO PAGADO"))</f>
        <v>NO PAGADO</v>
      </c>
      <c r="R85" s="44">
        <f>_xlfn.XLOOKUP(O85,Regcontabilizados[Identificador],Regcontabilizados[Fecha vencimiento],0)</f>
        <v>0</v>
      </c>
      <c r="S85">
        <f>_xlfn.XLOOKUP(O85,Regcontabilizados[Identificador],Regcontabilizados[Subcuenta],0)</f>
        <v>0</v>
      </c>
      <c r="T85">
        <f>_xlfn.XLOOKUP(O85,Regcontabilizados[Identificador],Regcontabilizados[Debe],0)+_xlfn.XLOOKUP(P85&amp;"-"&amp;2,Regcontabilizados[Identificador],Regcontabilizados[Debe],0)+_xlfn.XLOOKUP(P85&amp;"-"&amp;3,Regcontabilizados[Identificador],Regcontabilizados[Debe],0)+_xlfn.XLOOKUP(P85&amp;"-"&amp;4,Regcontabilizados[Identificador],Regcontabilizados[Debe],0)+_xlfn.XLOOKUP(P85&amp;"-"&amp;5,Regcontabilizados[Identificador],Regcontabilizados[Debe],0)+_xlfn.XLOOKUP(P85&amp;"-"&amp;6,Regcontabilizados[Identificador],Regcontabilizados[Debe],0)+_xlfn.XLOOKUP(P85&amp;"-"&amp;7,Regcontabilizados[Identificador],Regcontabilizados[Debe],0)+_xlfn.XLOOKUP(P85&amp;"-"&amp;8,Regcontabilizados[Identificador],Regcontabilizados[Debe],0)+_xlfn.XLOOKUP(P85&amp;"-"&amp;9,Regcontabilizados[Identificador],Regcontabilizados[Debe],0)</f>
        <v>0</v>
      </c>
      <c r="U85">
        <f>SUMIF(Regcontabilizados[Número pago],Pagovtasbusc!P85,Regcontabilizados[Haber])</f>
        <v>0</v>
      </c>
      <c r="AA85" s="33" t="str">
        <f>IF(J85=0,"",   _xlfn.XLOOKUP(AB85,Regcontabilizados[Identificador],Regcontabilizados[Subcuenta],0))</f>
        <v/>
      </c>
      <c r="AB85" t="str">
        <f>IF(J85=0,"",   _xlfn.XLOOKUP($H$7,BDclient[ID-Cliente],BDclient[NIT/C.C.],0)&amp;D85&amp;$H$9&amp;"-"&amp;1)</f>
        <v/>
      </c>
      <c r="AC85" t="str">
        <f t="shared" si="7"/>
        <v/>
      </c>
      <c r="AD85" t="str">
        <f t="shared" si="8"/>
        <v>En Blanco</v>
      </c>
      <c r="AE85" t="str">
        <f>_xlfn.XLOOKUP($H$7,BDclient[ID-Cliente],BDclient[NIT/C.C.],0)&amp;$H$13&amp;$E$7&amp;"-"&amp;ROW(Z85)-21</f>
        <v>Comp. Ingreso-64</v>
      </c>
    </row>
    <row r="86" spans="3:31">
      <c r="C86" s="194"/>
      <c r="D86" s="206"/>
      <c r="E86" s="142"/>
      <c r="F86" s="195"/>
      <c r="G86" s="183"/>
      <c r="H86" s="37">
        <f t="shared" si="4"/>
        <v>0</v>
      </c>
      <c r="I86" s="37"/>
      <c r="J86" s="210">
        <f t="shared" si="5"/>
        <v>0</v>
      </c>
      <c r="K86" s="197"/>
      <c r="N86" s="33">
        <f t="shared" si="6"/>
        <v>0</v>
      </c>
      <c r="O86" t="str">
        <f>_xlfn.XLOOKUP($H$7,BDclient[ID-Cliente],BDclient[NIT/C.C.],0)&amp;$H$9&amp;$D86&amp;"-"&amp;1</f>
        <v>F. V.-1</v>
      </c>
      <c r="P86" t="str">
        <f t="shared" si="9"/>
        <v>F. V.</v>
      </c>
      <c r="Q86" t="str">
        <f>IF(N86="","",    _xlfn.XLOOKUP(P86,Regcontabilizados[Número pago],Regcontabilizados[Estado de pago],"NO PAGADO"))</f>
        <v>NO PAGADO</v>
      </c>
      <c r="R86" s="44">
        <f>_xlfn.XLOOKUP(O86,Regcontabilizados[Identificador],Regcontabilizados[Fecha vencimiento],0)</f>
        <v>0</v>
      </c>
      <c r="S86">
        <f>_xlfn.XLOOKUP(O86,Regcontabilizados[Identificador],Regcontabilizados[Subcuenta],0)</f>
        <v>0</v>
      </c>
      <c r="T86">
        <f>_xlfn.XLOOKUP(O86,Regcontabilizados[Identificador],Regcontabilizados[Debe],0)+_xlfn.XLOOKUP(P86&amp;"-"&amp;2,Regcontabilizados[Identificador],Regcontabilizados[Debe],0)+_xlfn.XLOOKUP(P86&amp;"-"&amp;3,Regcontabilizados[Identificador],Regcontabilizados[Debe],0)+_xlfn.XLOOKUP(P86&amp;"-"&amp;4,Regcontabilizados[Identificador],Regcontabilizados[Debe],0)+_xlfn.XLOOKUP(P86&amp;"-"&amp;5,Regcontabilizados[Identificador],Regcontabilizados[Debe],0)+_xlfn.XLOOKUP(P86&amp;"-"&amp;6,Regcontabilizados[Identificador],Regcontabilizados[Debe],0)+_xlfn.XLOOKUP(P86&amp;"-"&amp;7,Regcontabilizados[Identificador],Regcontabilizados[Debe],0)+_xlfn.XLOOKUP(P86&amp;"-"&amp;8,Regcontabilizados[Identificador],Regcontabilizados[Debe],0)+_xlfn.XLOOKUP(P86&amp;"-"&amp;9,Regcontabilizados[Identificador],Regcontabilizados[Debe],0)</f>
        <v>0</v>
      </c>
      <c r="U86">
        <f>SUMIF(Regcontabilizados[Número pago],Pagovtasbusc!P86,Regcontabilizados[Haber])</f>
        <v>0</v>
      </c>
      <c r="AA86" s="33" t="str">
        <f>IF(J86=0,"",   _xlfn.XLOOKUP(AB86,Regcontabilizados[Identificador],Regcontabilizados[Subcuenta],0))</f>
        <v/>
      </c>
      <c r="AB86" t="str">
        <f>IF(J86=0,"",   _xlfn.XLOOKUP($H$7,BDclient[ID-Cliente],BDclient[NIT/C.C.],0)&amp;D86&amp;$H$9&amp;"-"&amp;1)</f>
        <v/>
      </c>
      <c r="AC86" t="str">
        <f t="shared" si="7"/>
        <v/>
      </c>
      <c r="AD86" t="str">
        <f t="shared" si="8"/>
        <v>En Blanco</v>
      </c>
      <c r="AE86" t="str">
        <f>_xlfn.XLOOKUP($H$7,BDclient[ID-Cliente],BDclient[NIT/C.C.],0)&amp;$H$13&amp;$E$7&amp;"-"&amp;ROW(Z86)-21</f>
        <v>Comp. Ingreso-65</v>
      </c>
    </row>
    <row r="87" spans="3:31">
      <c r="C87" s="194"/>
      <c r="D87" s="206"/>
      <c r="E87" s="142"/>
      <c r="F87" s="195"/>
      <c r="G87" s="183"/>
      <c r="H87" s="37">
        <f t="shared" ref="H87:H142" si="11">IFERROR(F87-G87,0)</f>
        <v>0</v>
      </c>
      <c r="I87" s="37"/>
      <c r="J87" s="210">
        <f t="shared" ref="J87:J142" si="12">IF(G87&lt;&gt;0,1,0)</f>
        <v>0</v>
      </c>
      <c r="K87" s="197"/>
      <c r="N87" s="33">
        <f t="shared" ref="N87:N142" si="13">D87</f>
        <v>0</v>
      </c>
      <c r="O87" t="str">
        <f>_xlfn.XLOOKUP($H$7,BDclient[ID-Cliente],BDclient[NIT/C.C.],0)&amp;$H$9&amp;$D87&amp;"-"&amp;1</f>
        <v>F. V.-1</v>
      </c>
      <c r="P87" t="str">
        <f t="shared" si="9"/>
        <v>F. V.</v>
      </c>
      <c r="Q87" t="str">
        <f>IF(N87="","",    _xlfn.XLOOKUP(P87,Regcontabilizados[Número pago],Regcontabilizados[Estado de pago],"NO PAGADO"))</f>
        <v>NO PAGADO</v>
      </c>
      <c r="R87" s="44">
        <f>_xlfn.XLOOKUP(O87,Regcontabilizados[Identificador],Regcontabilizados[Fecha vencimiento],0)</f>
        <v>0</v>
      </c>
      <c r="S87">
        <f>_xlfn.XLOOKUP(O87,Regcontabilizados[Identificador],Regcontabilizados[Subcuenta],0)</f>
        <v>0</v>
      </c>
      <c r="T87">
        <f>_xlfn.XLOOKUP(O87,Regcontabilizados[Identificador],Regcontabilizados[Debe],0)+_xlfn.XLOOKUP(P87&amp;"-"&amp;2,Regcontabilizados[Identificador],Regcontabilizados[Debe],0)+_xlfn.XLOOKUP(P87&amp;"-"&amp;3,Regcontabilizados[Identificador],Regcontabilizados[Debe],0)+_xlfn.XLOOKUP(P87&amp;"-"&amp;4,Regcontabilizados[Identificador],Regcontabilizados[Debe],0)+_xlfn.XLOOKUP(P87&amp;"-"&amp;5,Regcontabilizados[Identificador],Regcontabilizados[Debe],0)+_xlfn.XLOOKUP(P87&amp;"-"&amp;6,Regcontabilizados[Identificador],Regcontabilizados[Debe],0)+_xlfn.XLOOKUP(P87&amp;"-"&amp;7,Regcontabilizados[Identificador],Regcontabilizados[Debe],0)+_xlfn.XLOOKUP(P87&amp;"-"&amp;8,Regcontabilizados[Identificador],Regcontabilizados[Debe],0)+_xlfn.XLOOKUP(P87&amp;"-"&amp;9,Regcontabilizados[Identificador],Regcontabilizados[Debe],0)</f>
        <v>0</v>
      </c>
      <c r="U87">
        <f>SUMIF(Regcontabilizados[Número pago],Pagovtasbusc!P87,Regcontabilizados[Haber])</f>
        <v>0</v>
      </c>
      <c r="AA87" s="33" t="str">
        <f>IF(J87=0,"",   _xlfn.XLOOKUP(AB87,Regcontabilizados[Identificador],Regcontabilizados[Subcuenta],0))</f>
        <v/>
      </c>
      <c r="AB87" t="str">
        <f>IF(J87=0,"",   _xlfn.XLOOKUP($H$7,BDclient[ID-Cliente],BDclient[NIT/C.C.],0)&amp;D87&amp;$H$9&amp;"-"&amp;1)</f>
        <v/>
      </c>
      <c r="AC87" t="str">
        <f t="shared" ref="AC87:AC140" si="14">IF(J87=0,"",   IF(AB87&lt;&gt;($H$7&amp;$H$9&amp;"-"&amp;11),IFERROR(LEFT(AB87,SEARCH("-",AB87)-1),0),""))</f>
        <v/>
      </c>
      <c r="AD87" t="str">
        <f t="shared" ref="AD87:AD140" si="15">IF(AND(AC87="",J87=0),"En Blanco","DATO")</f>
        <v>En Blanco</v>
      </c>
      <c r="AE87" t="str">
        <f>_xlfn.XLOOKUP($H$7,BDclient[ID-Cliente],BDclient[NIT/C.C.],0)&amp;$H$13&amp;$E$7&amp;"-"&amp;ROW(Z87)-21</f>
        <v>Comp. Ingreso-66</v>
      </c>
    </row>
    <row r="88" spans="3:31">
      <c r="C88" s="194"/>
      <c r="D88" s="206"/>
      <c r="E88" s="142"/>
      <c r="F88" s="195"/>
      <c r="G88" s="183"/>
      <c r="H88" s="37">
        <f t="shared" si="11"/>
        <v>0</v>
      </c>
      <c r="I88" s="37"/>
      <c r="J88" s="210">
        <f t="shared" si="12"/>
        <v>0</v>
      </c>
      <c r="K88" s="197"/>
      <c r="N88" s="33">
        <f t="shared" si="13"/>
        <v>0</v>
      </c>
      <c r="O88" t="str">
        <f>_xlfn.XLOOKUP($H$7,BDclient[ID-Cliente],BDclient[NIT/C.C.],0)&amp;$H$9&amp;$D88&amp;"-"&amp;1</f>
        <v>F. V.-1</v>
      </c>
      <c r="P88" t="str">
        <f t="shared" ref="P88:P142" si="16">IF(N88&lt;&gt;"",IFERROR(LEFT(O88,SEARCH("-",O88)-1),0),"")</f>
        <v>F. V.</v>
      </c>
      <c r="Q88" t="str">
        <f>IF(N88="","",    _xlfn.XLOOKUP(P88,Regcontabilizados[Número pago],Regcontabilizados[Estado de pago],"NO PAGADO"))</f>
        <v>NO PAGADO</v>
      </c>
      <c r="R88" s="44">
        <f>_xlfn.XLOOKUP(O88,Regcontabilizados[Identificador],Regcontabilizados[Fecha vencimiento],0)</f>
        <v>0</v>
      </c>
      <c r="S88">
        <f>_xlfn.XLOOKUP(O88,Regcontabilizados[Identificador],Regcontabilizados[Subcuenta],0)</f>
        <v>0</v>
      </c>
      <c r="T88">
        <f>_xlfn.XLOOKUP(O88,Regcontabilizados[Identificador],Regcontabilizados[Debe],0)+_xlfn.XLOOKUP(P88&amp;"-"&amp;2,Regcontabilizados[Identificador],Regcontabilizados[Debe],0)+_xlfn.XLOOKUP(P88&amp;"-"&amp;3,Regcontabilizados[Identificador],Regcontabilizados[Debe],0)+_xlfn.XLOOKUP(P88&amp;"-"&amp;4,Regcontabilizados[Identificador],Regcontabilizados[Debe],0)+_xlfn.XLOOKUP(P88&amp;"-"&amp;5,Regcontabilizados[Identificador],Regcontabilizados[Debe],0)+_xlfn.XLOOKUP(P88&amp;"-"&amp;6,Regcontabilizados[Identificador],Regcontabilizados[Debe],0)+_xlfn.XLOOKUP(P88&amp;"-"&amp;7,Regcontabilizados[Identificador],Regcontabilizados[Debe],0)+_xlfn.XLOOKUP(P88&amp;"-"&amp;8,Regcontabilizados[Identificador],Regcontabilizados[Debe],0)+_xlfn.XLOOKUP(P88&amp;"-"&amp;9,Regcontabilizados[Identificador],Regcontabilizados[Debe],0)</f>
        <v>0</v>
      </c>
      <c r="U88">
        <f>SUMIF(Regcontabilizados[Número pago],Pagovtasbusc!P88,Regcontabilizados[Haber])</f>
        <v>0</v>
      </c>
      <c r="AA88" s="33" t="str">
        <f>IF(J88=0,"",   _xlfn.XLOOKUP(AB88,Regcontabilizados[Identificador],Regcontabilizados[Subcuenta],0))</f>
        <v/>
      </c>
      <c r="AB88" t="str">
        <f>IF(J88=0,"",   _xlfn.XLOOKUP($H$7,BDclient[ID-Cliente],BDclient[NIT/C.C.],0)&amp;D88&amp;$H$9&amp;"-"&amp;1)</f>
        <v/>
      </c>
      <c r="AC88" t="str">
        <f t="shared" si="14"/>
        <v/>
      </c>
      <c r="AD88" t="str">
        <f t="shared" si="15"/>
        <v>En Blanco</v>
      </c>
      <c r="AE88" t="str">
        <f>_xlfn.XLOOKUP($H$7,BDclient[ID-Cliente],BDclient[NIT/C.C.],0)&amp;$H$13&amp;$E$7&amp;"-"&amp;ROW(Z88)-21</f>
        <v>Comp. Ingreso-67</v>
      </c>
    </row>
    <row r="89" spans="3:31">
      <c r="C89" s="194"/>
      <c r="D89" s="206"/>
      <c r="E89" s="142"/>
      <c r="F89" s="195"/>
      <c r="G89" s="183"/>
      <c r="H89" s="37">
        <f t="shared" si="11"/>
        <v>0</v>
      </c>
      <c r="I89" s="37"/>
      <c r="J89" s="210">
        <f t="shared" si="12"/>
        <v>0</v>
      </c>
      <c r="K89" s="197"/>
      <c r="N89" s="33">
        <f t="shared" si="13"/>
        <v>0</v>
      </c>
      <c r="O89" t="str">
        <f>_xlfn.XLOOKUP($H$7,BDclient[ID-Cliente],BDclient[NIT/C.C.],0)&amp;$H$9&amp;$D89&amp;"-"&amp;1</f>
        <v>F. V.-1</v>
      </c>
      <c r="P89" t="str">
        <f t="shared" si="16"/>
        <v>F. V.</v>
      </c>
      <c r="Q89" t="str">
        <f>IF(N89="","",    _xlfn.XLOOKUP(P89,Regcontabilizados[Número pago],Regcontabilizados[Estado de pago],"NO PAGADO"))</f>
        <v>NO PAGADO</v>
      </c>
      <c r="R89" s="44">
        <f>_xlfn.XLOOKUP(O89,Regcontabilizados[Identificador],Regcontabilizados[Fecha vencimiento],0)</f>
        <v>0</v>
      </c>
      <c r="S89">
        <f>_xlfn.XLOOKUP(O89,Regcontabilizados[Identificador],Regcontabilizados[Subcuenta],0)</f>
        <v>0</v>
      </c>
      <c r="T89">
        <f>_xlfn.XLOOKUP(O89,Regcontabilizados[Identificador],Regcontabilizados[Debe],0)+_xlfn.XLOOKUP(P89&amp;"-"&amp;2,Regcontabilizados[Identificador],Regcontabilizados[Debe],0)+_xlfn.XLOOKUP(P89&amp;"-"&amp;3,Regcontabilizados[Identificador],Regcontabilizados[Debe],0)+_xlfn.XLOOKUP(P89&amp;"-"&amp;4,Regcontabilizados[Identificador],Regcontabilizados[Debe],0)+_xlfn.XLOOKUP(P89&amp;"-"&amp;5,Regcontabilizados[Identificador],Regcontabilizados[Debe],0)+_xlfn.XLOOKUP(P89&amp;"-"&amp;6,Regcontabilizados[Identificador],Regcontabilizados[Debe],0)+_xlfn.XLOOKUP(P89&amp;"-"&amp;7,Regcontabilizados[Identificador],Regcontabilizados[Debe],0)+_xlfn.XLOOKUP(P89&amp;"-"&amp;8,Regcontabilizados[Identificador],Regcontabilizados[Debe],0)+_xlfn.XLOOKUP(P89&amp;"-"&amp;9,Regcontabilizados[Identificador],Regcontabilizados[Debe],0)</f>
        <v>0</v>
      </c>
      <c r="U89">
        <f>SUMIF(Regcontabilizados[Número pago],Pagovtasbusc!P89,Regcontabilizados[Haber])</f>
        <v>0</v>
      </c>
      <c r="AA89" s="33" t="str">
        <f>IF(J89=0,"",   _xlfn.XLOOKUP(AB89,Regcontabilizados[Identificador],Regcontabilizados[Subcuenta],0))</f>
        <v/>
      </c>
      <c r="AB89" t="str">
        <f>IF(J89=0,"",   _xlfn.XLOOKUP($H$7,BDclient[ID-Cliente],BDclient[NIT/C.C.],0)&amp;D89&amp;$H$9&amp;"-"&amp;1)</f>
        <v/>
      </c>
      <c r="AC89" t="str">
        <f t="shared" si="14"/>
        <v/>
      </c>
      <c r="AD89" t="str">
        <f t="shared" si="15"/>
        <v>En Blanco</v>
      </c>
      <c r="AE89" t="str">
        <f>_xlfn.XLOOKUP($H$7,BDclient[ID-Cliente],BDclient[NIT/C.C.],0)&amp;$H$13&amp;$E$7&amp;"-"&amp;ROW(Z89)-21</f>
        <v>Comp. Ingreso-68</v>
      </c>
    </row>
    <row r="90" spans="3:31">
      <c r="C90" s="194"/>
      <c r="D90" s="206"/>
      <c r="E90" s="142"/>
      <c r="F90" s="195"/>
      <c r="G90" s="183"/>
      <c r="H90" s="37">
        <f t="shared" si="11"/>
        <v>0</v>
      </c>
      <c r="I90" s="37"/>
      <c r="J90" s="210">
        <f t="shared" si="12"/>
        <v>0</v>
      </c>
      <c r="K90" s="197"/>
      <c r="N90" s="33">
        <f t="shared" si="13"/>
        <v>0</v>
      </c>
      <c r="O90" t="str">
        <f>_xlfn.XLOOKUP($H$7,BDclient[ID-Cliente],BDclient[NIT/C.C.],0)&amp;$H$9&amp;$D90&amp;"-"&amp;1</f>
        <v>F. V.-1</v>
      </c>
      <c r="P90" t="str">
        <f t="shared" si="16"/>
        <v>F. V.</v>
      </c>
      <c r="Q90" t="str">
        <f>IF(N90="","",    _xlfn.XLOOKUP(P90,Regcontabilizados[Número pago],Regcontabilizados[Estado de pago],"NO PAGADO"))</f>
        <v>NO PAGADO</v>
      </c>
      <c r="R90" s="44">
        <f>_xlfn.XLOOKUP(O90,Regcontabilizados[Identificador],Regcontabilizados[Fecha vencimiento],0)</f>
        <v>0</v>
      </c>
      <c r="S90">
        <f>_xlfn.XLOOKUP(O90,Regcontabilizados[Identificador],Regcontabilizados[Subcuenta],0)</f>
        <v>0</v>
      </c>
      <c r="T90">
        <f>_xlfn.XLOOKUP(O90,Regcontabilizados[Identificador],Regcontabilizados[Debe],0)+_xlfn.XLOOKUP(P90&amp;"-"&amp;2,Regcontabilizados[Identificador],Regcontabilizados[Debe],0)+_xlfn.XLOOKUP(P90&amp;"-"&amp;3,Regcontabilizados[Identificador],Regcontabilizados[Debe],0)+_xlfn.XLOOKUP(P90&amp;"-"&amp;4,Regcontabilizados[Identificador],Regcontabilizados[Debe],0)+_xlfn.XLOOKUP(P90&amp;"-"&amp;5,Regcontabilizados[Identificador],Regcontabilizados[Debe],0)+_xlfn.XLOOKUP(P90&amp;"-"&amp;6,Regcontabilizados[Identificador],Regcontabilizados[Debe],0)+_xlfn.XLOOKUP(P90&amp;"-"&amp;7,Regcontabilizados[Identificador],Regcontabilizados[Debe],0)+_xlfn.XLOOKUP(P90&amp;"-"&amp;8,Regcontabilizados[Identificador],Regcontabilizados[Debe],0)+_xlfn.XLOOKUP(P90&amp;"-"&amp;9,Regcontabilizados[Identificador],Regcontabilizados[Debe],0)</f>
        <v>0</v>
      </c>
      <c r="U90">
        <f>SUMIF(Regcontabilizados[Número pago],Pagovtasbusc!P90,Regcontabilizados[Haber])</f>
        <v>0</v>
      </c>
      <c r="AA90" s="33" t="str">
        <f>IF(J90=0,"",   _xlfn.XLOOKUP(AB90,Regcontabilizados[Identificador],Regcontabilizados[Subcuenta],0))</f>
        <v/>
      </c>
      <c r="AB90" t="str">
        <f>IF(J90=0,"",   _xlfn.XLOOKUP($H$7,BDclient[ID-Cliente],BDclient[NIT/C.C.],0)&amp;D90&amp;$H$9&amp;"-"&amp;1)</f>
        <v/>
      </c>
      <c r="AC90" t="str">
        <f t="shared" si="14"/>
        <v/>
      </c>
      <c r="AD90" t="str">
        <f t="shared" si="15"/>
        <v>En Blanco</v>
      </c>
      <c r="AE90" t="str">
        <f>_xlfn.XLOOKUP($H$7,BDclient[ID-Cliente],BDclient[NIT/C.C.],0)&amp;$H$13&amp;$E$7&amp;"-"&amp;ROW(Z90)-21</f>
        <v>Comp. Ingreso-69</v>
      </c>
    </row>
    <row r="91" spans="3:31">
      <c r="C91" s="194"/>
      <c r="D91" s="206"/>
      <c r="E91" s="142"/>
      <c r="F91" s="195"/>
      <c r="G91" s="183"/>
      <c r="H91" s="37">
        <f t="shared" si="11"/>
        <v>0</v>
      </c>
      <c r="I91" s="37"/>
      <c r="J91" s="210">
        <f t="shared" si="12"/>
        <v>0</v>
      </c>
      <c r="K91" s="197"/>
      <c r="N91" s="33">
        <f t="shared" si="13"/>
        <v>0</v>
      </c>
      <c r="O91" t="str">
        <f>_xlfn.XLOOKUP($H$7,BDclient[ID-Cliente],BDclient[NIT/C.C.],0)&amp;$H$9&amp;$D91&amp;"-"&amp;1</f>
        <v>F. V.-1</v>
      </c>
      <c r="P91" t="str">
        <f t="shared" si="16"/>
        <v>F. V.</v>
      </c>
      <c r="Q91" t="str">
        <f>IF(N91="","",    _xlfn.XLOOKUP(P91,Regcontabilizados[Número pago],Regcontabilizados[Estado de pago],"NO PAGADO"))</f>
        <v>NO PAGADO</v>
      </c>
      <c r="R91" s="44">
        <f>_xlfn.XLOOKUP(O91,Regcontabilizados[Identificador],Regcontabilizados[Fecha vencimiento],0)</f>
        <v>0</v>
      </c>
      <c r="S91">
        <f>_xlfn.XLOOKUP(O91,Regcontabilizados[Identificador],Regcontabilizados[Subcuenta],0)</f>
        <v>0</v>
      </c>
      <c r="T91">
        <f>_xlfn.XLOOKUP(O91,Regcontabilizados[Identificador],Regcontabilizados[Debe],0)+_xlfn.XLOOKUP(P91&amp;"-"&amp;2,Regcontabilizados[Identificador],Regcontabilizados[Debe],0)+_xlfn.XLOOKUP(P91&amp;"-"&amp;3,Regcontabilizados[Identificador],Regcontabilizados[Debe],0)+_xlfn.XLOOKUP(P91&amp;"-"&amp;4,Regcontabilizados[Identificador],Regcontabilizados[Debe],0)+_xlfn.XLOOKUP(P91&amp;"-"&amp;5,Regcontabilizados[Identificador],Regcontabilizados[Debe],0)+_xlfn.XLOOKUP(P91&amp;"-"&amp;6,Regcontabilizados[Identificador],Regcontabilizados[Debe],0)+_xlfn.XLOOKUP(P91&amp;"-"&amp;7,Regcontabilizados[Identificador],Regcontabilizados[Debe],0)+_xlfn.XLOOKUP(P91&amp;"-"&amp;8,Regcontabilizados[Identificador],Regcontabilizados[Debe],0)+_xlfn.XLOOKUP(P91&amp;"-"&amp;9,Regcontabilizados[Identificador],Regcontabilizados[Debe],0)</f>
        <v>0</v>
      </c>
      <c r="U91">
        <f>SUMIF(Regcontabilizados[Número pago],Pagovtasbusc!P91,Regcontabilizados[Haber])</f>
        <v>0</v>
      </c>
      <c r="AA91" s="33" t="str">
        <f>IF(J91=0,"",   _xlfn.XLOOKUP(AB91,Regcontabilizados[Identificador],Regcontabilizados[Subcuenta],0))</f>
        <v/>
      </c>
      <c r="AB91" t="str">
        <f>IF(J91=0,"",   _xlfn.XLOOKUP($H$7,BDclient[ID-Cliente],BDclient[NIT/C.C.],0)&amp;D91&amp;$H$9&amp;"-"&amp;1)</f>
        <v/>
      </c>
      <c r="AC91" t="str">
        <f t="shared" si="14"/>
        <v/>
      </c>
      <c r="AD91" t="str">
        <f t="shared" si="15"/>
        <v>En Blanco</v>
      </c>
      <c r="AE91" t="str">
        <f>_xlfn.XLOOKUP($H$7,BDclient[ID-Cliente],BDclient[NIT/C.C.],0)&amp;$H$13&amp;$E$7&amp;"-"&amp;ROW(Z91)-21</f>
        <v>Comp. Ingreso-70</v>
      </c>
    </row>
    <row r="92" spans="3:31">
      <c r="C92" s="194"/>
      <c r="D92" s="206"/>
      <c r="E92" s="142"/>
      <c r="F92" s="195"/>
      <c r="G92" s="183"/>
      <c r="H92" s="37">
        <f t="shared" si="11"/>
        <v>0</v>
      </c>
      <c r="I92" s="37"/>
      <c r="J92" s="210">
        <f t="shared" si="12"/>
        <v>0</v>
      </c>
      <c r="K92" s="197"/>
      <c r="N92" s="33">
        <f t="shared" si="13"/>
        <v>0</v>
      </c>
      <c r="O92" t="str">
        <f>_xlfn.XLOOKUP($H$7,BDclient[ID-Cliente],BDclient[NIT/C.C.],0)&amp;$H$9&amp;$D92&amp;"-"&amp;1</f>
        <v>F. V.-1</v>
      </c>
      <c r="P92" t="str">
        <f t="shared" si="16"/>
        <v>F. V.</v>
      </c>
      <c r="Q92" t="str">
        <f>IF(N92="","",    _xlfn.XLOOKUP(P92,Regcontabilizados[Número pago],Regcontabilizados[Estado de pago],"NO PAGADO"))</f>
        <v>NO PAGADO</v>
      </c>
      <c r="R92" s="44">
        <f>_xlfn.XLOOKUP(O92,Regcontabilizados[Identificador],Regcontabilizados[Fecha vencimiento],0)</f>
        <v>0</v>
      </c>
      <c r="S92">
        <f>_xlfn.XLOOKUP(O92,Regcontabilizados[Identificador],Regcontabilizados[Subcuenta],0)</f>
        <v>0</v>
      </c>
      <c r="T92">
        <f>_xlfn.XLOOKUP(O92,Regcontabilizados[Identificador],Regcontabilizados[Debe],0)+_xlfn.XLOOKUP(P92&amp;"-"&amp;2,Regcontabilizados[Identificador],Regcontabilizados[Debe],0)+_xlfn.XLOOKUP(P92&amp;"-"&amp;3,Regcontabilizados[Identificador],Regcontabilizados[Debe],0)+_xlfn.XLOOKUP(P92&amp;"-"&amp;4,Regcontabilizados[Identificador],Regcontabilizados[Debe],0)+_xlfn.XLOOKUP(P92&amp;"-"&amp;5,Regcontabilizados[Identificador],Regcontabilizados[Debe],0)+_xlfn.XLOOKUP(P92&amp;"-"&amp;6,Regcontabilizados[Identificador],Regcontabilizados[Debe],0)+_xlfn.XLOOKUP(P92&amp;"-"&amp;7,Regcontabilizados[Identificador],Regcontabilizados[Debe],0)+_xlfn.XLOOKUP(P92&amp;"-"&amp;8,Regcontabilizados[Identificador],Regcontabilizados[Debe],0)+_xlfn.XLOOKUP(P92&amp;"-"&amp;9,Regcontabilizados[Identificador],Regcontabilizados[Debe],0)</f>
        <v>0</v>
      </c>
      <c r="U92">
        <f>SUMIF(Regcontabilizados[Número pago],Pagovtasbusc!P92,Regcontabilizados[Haber])</f>
        <v>0</v>
      </c>
      <c r="AA92" s="33" t="str">
        <f>IF(J92=0,"",   _xlfn.XLOOKUP(AB92,Regcontabilizados[Identificador],Regcontabilizados[Subcuenta],0))</f>
        <v/>
      </c>
      <c r="AB92" t="str">
        <f>IF(J92=0,"",   _xlfn.XLOOKUP($H$7,BDclient[ID-Cliente],BDclient[NIT/C.C.],0)&amp;D92&amp;$H$9&amp;"-"&amp;1)</f>
        <v/>
      </c>
      <c r="AC92" t="str">
        <f t="shared" si="14"/>
        <v/>
      </c>
      <c r="AD92" t="str">
        <f t="shared" si="15"/>
        <v>En Blanco</v>
      </c>
      <c r="AE92" t="str">
        <f>_xlfn.XLOOKUP($H$7,BDclient[ID-Cliente],BDclient[NIT/C.C.],0)&amp;$H$13&amp;$E$7&amp;"-"&amp;ROW(Z92)-21</f>
        <v>Comp. Ingreso-71</v>
      </c>
    </row>
    <row r="93" spans="3:31">
      <c r="C93" s="194"/>
      <c r="D93" s="206"/>
      <c r="E93" s="142"/>
      <c r="F93" s="195"/>
      <c r="G93" s="183"/>
      <c r="H93" s="37">
        <f t="shared" si="11"/>
        <v>0</v>
      </c>
      <c r="I93" s="37"/>
      <c r="J93" s="210">
        <f t="shared" si="12"/>
        <v>0</v>
      </c>
      <c r="K93" s="197"/>
      <c r="N93" s="33">
        <f t="shared" si="13"/>
        <v>0</v>
      </c>
      <c r="O93" t="str">
        <f>_xlfn.XLOOKUP($H$7,BDclient[ID-Cliente],BDclient[NIT/C.C.],0)&amp;$H$9&amp;$D93&amp;"-"&amp;1</f>
        <v>F. V.-1</v>
      </c>
      <c r="P93" t="str">
        <f t="shared" si="16"/>
        <v>F. V.</v>
      </c>
      <c r="Q93" t="str">
        <f>IF(N93="","",    _xlfn.XLOOKUP(P93,Regcontabilizados[Número pago],Regcontabilizados[Estado de pago],"NO PAGADO"))</f>
        <v>NO PAGADO</v>
      </c>
      <c r="R93" s="44">
        <f>_xlfn.XLOOKUP(O93,Regcontabilizados[Identificador],Regcontabilizados[Fecha vencimiento],0)</f>
        <v>0</v>
      </c>
      <c r="S93">
        <f>_xlfn.XLOOKUP(O93,Regcontabilizados[Identificador],Regcontabilizados[Subcuenta],0)</f>
        <v>0</v>
      </c>
      <c r="T93">
        <f>_xlfn.XLOOKUP(O93,Regcontabilizados[Identificador],Regcontabilizados[Debe],0)+_xlfn.XLOOKUP(P93&amp;"-"&amp;2,Regcontabilizados[Identificador],Regcontabilizados[Debe],0)+_xlfn.XLOOKUP(P93&amp;"-"&amp;3,Regcontabilizados[Identificador],Regcontabilizados[Debe],0)+_xlfn.XLOOKUP(P93&amp;"-"&amp;4,Regcontabilizados[Identificador],Regcontabilizados[Debe],0)+_xlfn.XLOOKUP(P93&amp;"-"&amp;5,Regcontabilizados[Identificador],Regcontabilizados[Debe],0)+_xlfn.XLOOKUP(P93&amp;"-"&amp;6,Regcontabilizados[Identificador],Regcontabilizados[Debe],0)+_xlfn.XLOOKUP(P93&amp;"-"&amp;7,Regcontabilizados[Identificador],Regcontabilizados[Debe],0)+_xlfn.XLOOKUP(P93&amp;"-"&amp;8,Regcontabilizados[Identificador],Regcontabilizados[Debe],0)+_xlfn.XLOOKUP(P93&amp;"-"&amp;9,Regcontabilizados[Identificador],Regcontabilizados[Debe],0)</f>
        <v>0</v>
      </c>
      <c r="U93">
        <f>SUMIF(Regcontabilizados[Número pago],Pagovtasbusc!P93,Regcontabilizados[Haber])</f>
        <v>0</v>
      </c>
      <c r="AA93" s="33" t="str">
        <f>IF(J93=0,"",   _xlfn.XLOOKUP(AB93,Regcontabilizados[Identificador],Regcontabilizados[Subcuenta],0))</f>
        <v/>
      </c>
      <c r="AB93" t="str">
        <f>IF(J93=0,"",   _xlfn.XLOOKUP($H$7,BDclient[ID-Cliente],BDclient[NIT/C.C.],0)&amp;D93&amp;$H$9&amp;"-"&amp;1)</f>
        <v/>
      </c>
      <c r="AC93" t="str">
        <f t="shared" si="14"/>
        <v/>
      </c>
      <c r="AD93" t="str">
        <f t="shared" si="15"/>
        <v>En Blanco</v>
      </c>
      <c r="AE93" t="str">
        <f>_xlfn.XLOOKUP($H$7,BDclient[ID-Cliente],BDclient[NIT/C.C.],0)&amp;$H$13&amp;$E$7&amp;"-"&amp;ROW(Z93)-21</f>
        <v>Comp. Ingreso-72</v>
      </c>
    </row>
    <row r="94" spans="3:31">
      <c r="C94" s="194"/>
      <c r="D94" s="206"/>
      <c r="E94" s="142"/>
      <c r="F94" s="195"/>
      <c r="G94" s="183"/>
      <c r="H94" s="37">
        <f t="shared" si="11"/>
        <v>0</v>
      </c>
      <c r="I94" s="37"/>
      <c r="J94" s="210">
        <f t="shared" si="12"/>
        <v>0</v>
      </c>
      <c r="K94" s="197"/>
      <c r="N94" s="33">
        <f t="shared" si="13"/>
        <v>0</v>
      </c>
      <c r="O94" t="str">
        <f>_xlfn.XLOOKUP($H$7,BDclient[ID-Cliente],BDclient[NIT/C.C.],0)&amp;$H$9&amp;$D94&amp;"-"&amp;1</f>
        <v>F. V.-1</v>
      </c>
      <c r="P94" t="str">
        <f t="shared" si="16"/>
        <v>F. V.</v>
      </c>
      <c r="Q94" t="str">
        <f>IF(N94="","",    _xlfn.XLOOKUP(P94,Regcontabilizados[Número pago],Regcontabilizados[Estado de pago],"NO PAGADO"))</f>
        <v>NO PAGADO</v>
      </c>
      <c r="R94" s="44">
        <f>_xlfn.XLOOKUP(O94,Regcontabilizados[Identificador],Regcontabilizados[Fecha vencimiento],0)</f>
        <v>0</v>
      </c>
      <c r="S94">
        <f>_xlfn.XLOOKUP(O94,Regcontabilizados[Identificador],Regcontabilizados[Subcuenta],0)</f>
        <v>0</v>
      </c>
      <c r="T94">
        <f>_xlfn.XLOOKUP(O94,Regcontabilizados[Identificador],Regcontabilizados[Debe],0)+_xlfn.XLOOKUP(P94&amp;"-"&amp;2,Regcontabilizados[Identificador],Regcontabilizados[Debe],0)+_xlfn.XLOOKUP(P94&amp;"-"&amp;3,Regcontabilizados[Identificador],Regcontabilizados[Debe],0)+_xlfn.XLOOKUP(P94&amp;"-"&amp;4,Regcontabilizados[Identificador],Regcontabilizados[Debe],0)+_xlfn.XLOOKUP(P94&amp;"-"&amp;5,Regcontabilizados[Identificador],Regcontabilizados[Debe],0)+_xlfn.XLOOKUP(P94&amp;"-"&amp;6,Regcontabilizados[Identificador],Regcontabilizados[Debe],0)+_xlfn.XLOOKUP(P94&amp;"-"&amp;7,Regcontabilizados[Identificador],Regcontabilizados[Debe],0)+_xlfn.XLOOKUP(P94&amp;"-"&amp;8,Regcontabilizados[Identificador],Regcontabilizados[Debe],0)+_xlfn.XLOOKUP(P94&amp;"-"&amp;9,Regcontabilizados[Identificador],Regcontabilizados[Debe],0)</f>
        <v>0</v>
      </c>
      <c r="U94">
        <f>SUMIF(Regcontabilizados[Número pago],Pagovtasbusc!P94,Regcontabilizados[Haber])</f>
        <v>0</v>
      </c>
      <c r="AA94" s="33" t="str">
        <f>IF(J94=0,"",   _xlfn.XLOOKUP(AB94,Regcontabilizados[Identificador],Regcontabilizados[Subcuenta],0))</f>
        <v/>
      </c>
      <c r="AB94" t="str">
        <f>IF(J94=0,"",   _xlfn.XLOOKUP($H$7,BDclient[ID-Cliente],BDclient[NIT/C.C.],0)&amp;D94&amp;$H$9&amp;"-"&amp;1)</f>
        <v/>
      </c>
      <c r="AC94" t="str">
        <f t="shared" si="14"/>
        <v/>
      </c>
      <c r="AD94" t="str">
        <f t="shared" si="15"/>
        <v>En Blanco</v>
      </c>
      <c r="AE94" t="str">
        <f>_xlfn.XLOOKUP($H$7,BDclient[ID-Cliente],BDclient[NIT/C.C.],0)&amp;$H$13&amp;$E$7&amp;"-"&amp;ROW(Z94)-21</f>
        <v>Comp. Ingreso-73</v>
      </c>
    </row>
    <row r="95" spans="3:31">
      <c r="C95" s="194"/>
      <c r="D95" s="206"/>
      <c r="E95" s="142"/>
      <c r="F95" s="195"/>
      <c r="G95" s="183"/>
      <c r="H95" s="37">
        <f t="shared" si="11"/>
        <v>0</v>
      </c>
      <c r="I95" s="37"/>
      <c r="J95" s="210">
        <f t="shared" si="12"/>
        <v>0</v>
      </c>
      <c r="K95" s="197"/>
      <c r="N95" s="33">
        <f t="shared" si="13"/>
        <v>0</v>
      </c>
      <c r="O95" t="str">
        <f>_xlfn.XLOOKUP($H$7,BDclient[ID-Cliente],BDclient[NIT/C.C.],0)&amp;$H$9&amp;$D95&amp;"-"&amp;1</f>
        <v>F. V.-1</v>
      </c>
      <c r="P95" t="str">
        <f t="shared" si="16"/>
        <v>F. V.</v>
      </c>
      <c r="Q95" t="str">
        <f>IF(N95="","",    _xlfn.XLOOKUP(P95,Regcontabilizados[Número pago],Regcontabilizados[Estado de pago],"NO PAGADO"))</f>
        <v>NO PAGADO</v>
      </c>
      <c r="R95" s="44">
        <f>_xlfn.XLOOKUP(O95,Regcontabilizados[Identificador],Regcontabilizados[Fecha vencimiento],0)</f>
        <v>0</v>
      </c>
      <c r="S95">
        <f>_xlfn.XLOOKUP(O95,Regcontabilizados[Identificador],Regcontabilizados[Subcuenta],0)</f>
        <v>0</v>
      </c>
      <c r="T95">
        <f>_xlfn.XLOOKUP(O95,Regcontabilizados[Identificador],Regcontabilizados[Debe],0)+_xlfn.XLOOKUP(P95&amp;"-"&amp;2,Regcontabilizados[Identificador],Regcontabilizados[Debe],0)+_xlfn.XLOOKUP(P95&amp;"-"&amp;3,Regcontabilizados[Identificador],Regcontabilizados[Debe],0)+_xlfn.XLOOKUP(P95&amp;"-"&amp;4,Regcontabilizados[Identificador],Regcontabilizados[Debe],0)+_xlfn.XLOOKUP(P95&amp;"-"&amp;5,Regcontabilizados[Identificador],Regcontabilizados[Debe],0)+_xlfn.XLOOKUP(P95&amp;"-"&amp;6,Regcontabilizados[Identificador],Regcontabilizados[Debe],0)+_xlfn.XLOOKUP(P95&amp;"-"&amp;7,Regcontabilizados[Identificador],Regcontabilizados[Debe],0)+_xlfn.XLOOKUP(P95&amp;"-"&amp;8,Regcontabilizados[Identificador],Regcontabilizados[Debe],0)+_xlfn.XLOOKUP(P95&amp;"-"&amp;9,Regcontabilizados[Identificador],Regcontabilizados[Debe],0)</f>
        <v>0</v>
      </c>
      <c r="U95">
        <f>SUMIF(Regcontabilizados[Número pago],Pagovtasbusc!P95,Regcontabilizados[Haber])</f>
        <v>0</v>
      </c>
      <c r="AA95" s="33" t="str">
        <f>IF(J95=0,"",   _xlfn.XLOOKUP(AB95,Regcontabilizados[Identificador],Regcontabilizados[Subcuenta],0))</f>
        <v/>
      </c>
      <c r="AB95" t="str">
        <f>IF(J95=0,"",   _xlfn.XLOOKUP($H$7,BDclient[ID-Cliente],BDclient[NIT/C.C.],0)&amp;D95&amp;$H$9&amp;"-"&amp;1)</f>
        <v/>
      </c>
      <c r="AC95" t="str">
        <f t="shared" si="14"/>
        <v/>
      </c>
      <c r="AD95" t="str">
        <f t="shared" si="15"/>
        <v>En Blanco</v>
      </c>
      <c r="AE95" t="str">
        <f>_xlfn.XLOOKUP($H$7,BDclient[ID-Cliente],BDclient[NIT/C.C.],0)&amp;$H$13&amp;$E$7&amp;"-"&amp;ROW(Z95)-21</f>
        <v>Comp. Ingreso-74</v>
      </c>
    </row>
    <row r="96" spans="3:31">
      <c r="C96" s="194"/>
      <c r="D96" s="206"/>
      <c r="E96" s="142"/>
      <c r="F96" s="195"/>
      <c r="G96" s="183"/>
      <c r="H96" s="37">
        <f t="shared" si="11"/>
        <v>0</v>
      </c>
      <c r="I96" s="37"/>
      <c r="J96" s="210">
        <f t="shared" si="12"/>
        <v>0</v>
      </c>
      <c r="K96" s="197"/>
      <c r="N96" s="33">
        <f t="shared" si="13"/>
        <v>0</v>
      </c>
      <c r="O96" t="str">
        <f>_xlfn.XLOOKUP($H$7,BDclient[ID-Cliente],BDclient[NIT/C.C.],0)&amp;$H$9&amp;$D96&amp;"-"&amp;1</f>
        <v>F. V.-1</v>
      </c>
      <c r="P96" t="str">
        <f t="shared" si="16"/>
        <v>F. V.</v>
      </c>
      <c r="Q96" t="str">
        <f>IF(N96="","",    _xlfn.XLOOKUP(P96,Regcontabilizados[Número pago],Regcontabilizados[Estado de pago],"NO PAGADO"))</f>
        <v>NO PAGADO</v>
      </c>
      <c r="R96" s="44">
        <f>_xlfn.XLOOKUP(O96,Regcontabilizados[Identificador],Regcontabilizados[Fecha vencimiento],0)</f>
        <v>0</v>
      </c>
      <c r="S96">
        <f>_xlfn.XLOOKUP(O96,Regcontabilizados[Identificador],Regcontabilizados[Subcuenta],0)</f>
        <v>0</v>
      </c>
      <c r="T96">
        <f>_xlfn.XLOOKUP(O96,Regcontabilizados[Identificador],Regcontabilizados[Debe],0)+_xlfn.XLOOKUP(P96&amp;"-"&amp;2,Regcontabilizados[Identificador],Regcontabilizados[Debe],0)+_xlfn.XLOOKUP(P96&amp;"-"&amp;3,Regcontabilizados[Identificador],Regcontabilizados[Debe],0)+_xlfn.XLOOKUP(P96&amp;"-"&amp;4,Regcontabilizados[Identificador],Regcontabilizados[Debe],0)+_xlfn.XLOOKUP(P96&amp;"-"&amp;5,Regcontabilizados[Identificador],Regcontabilizados[Debe],0)+_xlfn.XLOOKUP(P96&amp;"-"&amp;6,Regcontabilizados[Identificador],Regcontabilizados[Debe],0)+_xlfn.XLOOKUP(P96&amp;"-"&amp;7,Regcontabilizados[Identificador],Regcontabilizados[Debe],0)+_xlfn.XLOOKUP(P96&amp;"-"&amp;8,Regcontabilizados[Identificador],Regcontabilizados[Debe],0)+_xlfn.XLOOKUP(P96&amp;"-"&amp;9,Regcontabilizados[Identificador],Regcontabilizados[Debe],0)</f>
        <v>0</v>
      </c>
      <c r="U96">
        <f>SUMIF(Regcontabilizados[Número pago],Pagovtasbusc!P96,Regcontabilizados[Haber])</f>
        <v>0</v>
      </c>
      <c r="AA96" s="33" t="str">
        <f>IF(J96=0,"",   _xlfn.XLOOKUP(AB96,Regcontabilizados[Identificador],Regcontabilizados[Subcuenta],0))</f>
        <v/>
      </c>
      <c r="AB96" t="str">
        <f>IF(J96=0,"",   _xlfn.XLOOKUP($H$7,BDclient[ID-Cliente],BDclient[NIT/C.C.],0)&amp;D96&amp;$H$9&amp;"-"&amp;1)</f>
        <v/>
      </c>
      <c r="AC96" t="str">
        <f t="shared" si="14"/>
        <v/>
      </c>
      <c r="AD96" t="str">
        <f t="shared" si="15"/>
        <v>En Blanco</v>
      </c>
      <c r="AE96" t="str">
        <f>_xlfn.XLOOKUP($H$7,BDclient[ID-Cliente],BDclient[NIT/C.C.],0)&amp;$H$13&amp;$E$7&amp;"-"&amp;ROW(Z96)-21</f>
        <v>Comp. Ingreso-75</v>
      </c>
    </row>
    <row r="97" spans="3:31">
      <c r="C97" s="194"/>
      <c r="D97" s="206"/>
      <c r="E97" s="142"/>
      <c r="F97" s="195"/>
      <c r="G97" s="183"/>
      <c r="H97" s="37">
        <f t="shared" si="11"/>
        <v>0</v>
      </c>
      <c r="I97" s="37"/>
      <c r="J97" s="210">
        <f t="shared" si="12"/>
        <v>0</v>
      </c>
      <c r="K97" s="197"/>
      <c r="N97" s="33">
        <f t="shared" si="13"/>
        <v>0</v>
      </c>
      <c r="O97" t="str">
        <f>_xlfn.XLOOKUP($H$7,BDclient[ID-Cliente],BDclient[NIT/C.C.],0)&amp;$H$9&amp;$D97&amp;"-"&amp;1</f>
        <v>F. V.-1</v>
      </c>
      <c r="P97" t="str">
        <f t="shared" si="16"/>
        <v>F. V.</v>
      </c>
      <c r="Q97" t="str">
        <f>IF(N97="","",    _xlfn.XLOOKUP(P97,Regcontabilizados[Número pago],Regcontabilizados[Estado de pago],"NO PAGADO"))</f>
        <v>NO PAGADO</v>
      </c>
      <c r="R97" s="44">
        <f>_xlfn.XLOOKUP(O97,Regcontabilizados[Identificador],Regcontabilizados[Fecha vencimiento],0)</f>
        <v>0</v>
      </c>
      <c r="S97">
        <f>_xlfn.XLOOKUP(O97,Regcontabilizados[Identificador],Regcontabilizados[Subcuenta],0)</f>
        <v>0</v>
      </c>
      <c r="T97">
        <f>_xlfn.XLOOKUP(O97,Regcontabilizados[Identificador],Regcontabilizados[Debe],0)+_xlfn.XLOOKUP(P97&amp;"-"&amp;2,Regcontabilizados[Identificador],Regcontabilizados[Debe],0)+_xlfn.XLOOKUP(P97&amp;"-"&amp;3,Regcontabilizados[Identificador],Regcontabilizados[Debe],0)+_xlfn.XLOOKUP(P97&amp;"-"&amp;4,Regcontabilizados[Identificador],Regcontabilizados[Debe],0)+_xlfn.XLOOKUP(P97&amp;"-"&amp;5,Regcontabilizados[Identificador],Regcontabilizados[Debe],0)+_xlfn.XLOOKUP(P97&amp;"-"&amp;6,Regcontabilizados[Identificador],Regcontabilizados[Debe],0)+_xlfn.XLOOKUP(P97&amp;"-"&amp;7,Regcontabilizados[Identificador],Regcontabilizados[Debe],0)+_xlfn.XLOOKUP(P97&amp;"-"&amp;8,Regcontabilizados[Identificador],Regcontabilizados[Debe],0)+_xlfn.XLOOKUP(P97&amp;"-"&amp;9,Regcontabilizados[Identificador],Regcontabilizados[Debe],0)</f>
        <v>0</v>
      </c>
      <c r="U97">
        <f>SUMIF(Regcontabilizados[Número pago],Pagovtasbusc!P97,Regcontabilizados[Haber])</f>
        <v>0</v>
      </c>
      <c r="AA97" s="33" t="str">
        <f>IF(J97=0,"",   _xlfn.XLOOKUP(AB97,Regcontabilizados[Identificador],Regcontabilizados[Subcuenta],0))</f>
        <v/>
      </c>
      <c r="AB97" t="str">
        <f>IF(J97=0,"",   _xlfn.XLOOKUP($H$7,BDclient[ID-Cliente],BDclient[NIT/C.C.],0)&amp;D97&amp;$H$9&amp;"-"&amp;1)</f>
        <v/>
      </c>
      <c r="AC97" t="str">
        <f t="shared" si="14"/>
        <v/>
      </c>
      <c r="AD97" t="str">
        <f t="shared" si="15"/>
        <v>En Blanco</v>
      </c>
      <c r="AE97" t="str">
        <f>_xlfn.XLOOKUP($H$7,BDclient[ID-Cliente],BDclient[NIT/C.C.],0)&amp;$H$13&amp;$E$7&amp;"-"&amp;ROW(Z97)-21</f>
        <v>Comp. Ingreso-76</v>
      </c>
    </row>
    <row r="98" spans="3:31">
      <c r="C98" s="194"/>
      <c r="D98" s="206"/>
      <c r="E98" s="142"/>
      <c r="F98" s="195"/>
      <c r="G98" s="183"/>
      <c r="H98" s="37">
        <f t="shared" si="11"/>
        <v>0</v>
      </c>
      <c r="I98" s="37"/>
      <c r="J98" s="210">
        <f t="shared" si="12"/>
        <v>0</v>
      </c>
      <c r="K98" s="197"/>
      <c r="N98" s="33">
        <f t="shared" si="13"/>
        <v>0</v>
      </c>
      <c r="O98" t="str">
        <f>_xlfn.XLOOKUP($H$7,BDclient[ID-Cliente],BDclient[NIT/C.C.],0)&amp;$H$9&amp;$D98&amp;"-"&amp;1</f>
        <v>F. V.-1</v>
      </c>
      <c r="P98" t="str">
        <f t="shared" si="16"/>
        <v>F. V.</v>
      </c>
      <c r="Q98" t="str">
        <f>IF(N98="","",    _xlfn.XLOOKUP(P98,Regcontabilizados[Número pago],Regcontabilizados[Estado de pago],"NO PAGADO"))</f>
        <v>NO PAGADO</v>
      </c>
      <c r="R98" s="44">
        <f>_xlfn.XLOOKUP(O98,Regcontabilizados[Identificador],Regcontabilizados[Fecha vencimiento],0)</f>
        <v>0</v>
      </c>
      <c r="S98">
        <f>_xlfn.XLOOKUP(O98,Regcontabilizados[Identificador],Regcontabilizados[Subcuenta],0)</f>
        <v>0</v>
      </c>
      <c r="T98">
        <f>_xlfn.XLOOKUP(O98,Regcontabilizados[Identificador],Regcontabilizados[Debe],0)+_xlfn.XLOOKUP(P98&amp;"-"&amp;2,Regcontabilizados[Identificador],Regcontabilizados[Debe],0)+_xlfn.XLOOKUP(P98&amp;"-"&amp;3,Regcontabilizados[Identificador],Regcontabilizados[Debe],0)+_xlfn.XLOOKUP(P98&amp;"-"&amp;4,Regcontabilizados[Identificador],Regcontabilizados[Debe],0)+_xlfn.XLOOKUP(P98&amp;"-"&amp;5,Regcontabilizados[Identificador],Regcontabilizados[Debe],0)+_xlfn.XLOOKUP(P98&amp;"-"&amp;6,Regcontabilizados[Identificador],Regcontabilizados[Debe],0)+_xlfn.XLOOKUP(P98&amp;"-"&amp;7,Regcontabilizados[Identificador],Regcontabilizados[Debe],0)+_xlfn.XLOOKUP(P98&amp;"-"&amp;8,Regcontabilizados[Identificador],Regcontabilizados[Debe],0)+_xlfn.XLOOKUP(P98&amp;"-"&amp;9,Regcontabilizados[Identificador],Regcontabilizados[Debe],0)</f>
        <v>0</v>
      </c>
      <c r="U98">
        <f>SUMIF(Regcontabilizados[Número pago],Pagovtasbusc!P98,Regcontabilizados[Haber])</f>
        <v>0</v>
      </c>
      <c r="AA98" s="33" t="str">
        <f>IF(J98=0,"",   _xlfn.XLOOKUP(AB98,Regcontabilizados[Identificador],Regcontabilizados[Subcuenta],0))</f>
        <v/>
      </c>
      <c r="AB98" t="str">
        <f>IF(J98=0,"",   _xlfn.XLOOKUP($H$7,BDclient[ID-Cliente],BDclient[NIT/C.C.],0)&amp;D98&amp;$H$9&amp;"-"&amp;1)</f>
        <v/>
      </c>
      <c r="AC98" t="str">
        <f t="shared" si="14"/>
        <v/>
      </c>
      <c r="AD98" t="str">
        <f t="shared" si="15"/>
        <v>En Blanco</v>
      </c>
      <c r="AE98" t="str">
        <f>_xlfn.XLOOKUP($H$7,BDclient[ID-Cliente],BDclient[NIT/C.C.],0)&amp;$H$13&amp;$E$7&amp;"-"&amp;ROW(Z98)-21</f>
        <v>Comp. Ingreso-77</v>
      </c>
    </row>
    <row r="99" spans="3:31">
      <c r="C99" s="194"/>
      <c r="D99" s="206"/>
      <c r="E99" s="142"/>
      <c r="F99" s="195"/>
      <c r="G99" s="183"/>
      <c r="H99" s="37">
        <f t="shared" si="11"/>
        <v>0</v>
      </c>
      <c r="I99" s="37"/>
      <c r="J99" s="210">
        <f t="shared" si="12"/>
        <v>0</v>
      </c>
      <c r="K99" s="197"/>
      <c r="N99" s="33">
        <f t="shared" si="13"/>
        <v>0</v>
      </c>
      <c r="O99" t="str">
        <f>_xlfn.XLOOKUP($H$7,BDclient[ID-Cliente],BDclient[NIT/C.C.],0)&amp;$H$9&amp;$D99&amp;"-"&amp;1</f>
        <v>F. V.-1</v>
      </c>
      <c r="P99" t="str">
        <f t="shared" si="16"/>
        <v>F. V.</v>
      </c>
      <c r="Q99" t="str">
        <f>IF(N99="","",    _xlfn.XLOOKUP(P99,Regcontabilizados[Número pago],Regcontabilizados[Estado de pago],"NO PAGADO"))</f>
        <v>NO PAGADO</v>
      </c>
      <c r="R99" s="44">
        <f>_xlfn.XLOOKUP(O99,Regcontabilizados[Identificador],Regcontabilizados[Fecha vencimiento],0)</f>
        <v>0</v>
      </c>
      <c r="S99">
        <f>_xlfn.XLOOKUP(O99,Regcontabilizados[Identificador],Regcontabilizados[Subcuenta],0)</f>
        <v>0</v>
      </c>
      <c r="T99">
        <f>_xlfn.XLOOKUP(O99,Regcontabilizados[Identificador],Regcontabilizados[Debe],0)+_xlfn.XLOOKUP(P99&amp;"-"&amp;2,Regcontabilizados[Identificador],Regcontabilizados[Debe],0)+_xlfn.XLOOKUP(P99&amp;"-"&amp;3,Regcontabilizados[Identificador],Regcontabilizados[Debe],0)+_xlfn.XLOOKUP(P99&amp;"-"&amp;4,Regcontabilizados[Identificador],Regcontabilizados[Debe],0)+_xlfn.XLOOKUP(P99&amp;"-"&amp;5,Regcontabilizados[Identificador],Regcontabilizados[Debe],0)+_xlfn.XLOOKUP(P99&amp;"-"&amp;6,Regcontabilizados[Identificador],Regcontabilizados[Debe],0)+_xlfn.XLOOKUP(P99&amp;"-"&amp;7,Regcontabilizados[Identificador],Regcontabilizados[Debe],0)+_xlfn.XLOOKUP(P99&amp;"-"&amp;8,Regcontabilizados[Identificador],Regcontabilizados[Debe],0)+_xlfn.XLOOKUP(P99&amp;"-"&amp;9,Regcontabilizados[Identificador],Regcontabilizados[Debe],0)</f>
        <v>0</v>
      </c>
      <c r="U99">
        <f>SUMIF(Regcontabilizados[Número pago],Pagovtasbusc!P99,Regcontabilizados[Haber])</f>
        <v>0</v>
      </c>
      <c r="AA99" s="33" t="str">
        <f>IF(J99=0,"",   _xlfn.XLOOKUP(AB99,Regcontabilizados[Identificador],Regcontabilizados[Subcuenta],0))</f>
        <v/>
      </c>
      <c r="AB99" t="str">
        <f>IF(J99=0,"",   _xlfn.XLOOKUP($H$7,BDclient[ID-Cliente],BDclient[NIT/C.C.],0)&amp;D99&amp;$H$9&amp;"-"&amp;1)</f>
        <v/>
      </c>
      <c r="AC99" t="str">
        <f t="shared" si="14"/>
        <v/>
      </c>
      <c r="AD99" t="str">
        <f t="shared" si="15"/>
        <v>En Blanco</v>
      </c>
      <c r="AE99" t="str">
        <f>_xlfn.XLOOKUP($H$7,BDclient[ID-Cliente],BDclient[NIT/C.C.],0)&amp;$H$13&amp;$E$7&amp;"-"&amp;ROW(Z99)-21</f>
        <v>Comp. Ingreso-78</v>
      </c>
    </row>
    <row r="100" spans="3:31">
      <c r="C100" s="194"/>
      <c r="D100" s="206"/>
      <c r="E100" s="142"/>
      <c r="F100" s="195"/>
      <c r="G100" s="183"/>
      <c r="H100" s="37">
        <f t="shared" si="11"/>
        <v>0</v>
      </c>
      <c r="I100" s="37"/>
      <c r="J100" s="210">
        <f t="shared" si="12"/>
        <v>0</v>
      </c>
      <c r="K100" s="197"/>
      <c r="N100" s="33">
        <f t="shared" si="13"/>
        <v>0</v>
      </c>
      <c r="O100" t="str">
        <f>_xlfn.XLOOKUP($H$7,BDclient[ID-Cliente],BDclient[NIT/C.C.],0)&amp;$H$9&amp;$D100&amp;"-"&amp;1</f>
        <v>F. V.-1</v>
      </c>
      <c r="P100" t="str">
        <f t="shared" si="16"/>
        <v>F. V.</v>
      </c>
      <c r="Q100" t="str">
        <f>IF(N100="","",    _xlfn.XLOOKUP(P100,Regcontabilizados[Número pago],Regcontabilizados[Estado de pago],"NO PAGADO"))</f>
        <v>NO PAGADO</v>
      </c>
      <c r="R100" s="44">
        <f>_xlfn.XLOOKUP(O100,Regcontabilizados[Identificador],Regcontabilizados[Fecha vencimiento],0)</f>
        <v>0</v>
      </c>
      <c r="S100">
        <f>_xlfn.XLOOKUP(O100,Regcontabilizados[Identificador],Regcontabilizados[Subcuenta],0)</f>
        <v>0</v>
      </c>
      <c r="T100">
        <f>_xlfn.XLOOKUP(O100,Regcontabilizados[Identificador],Regcontabilizados[Debe],0)+_xlfn.XLOOKUP(P100&amp;"-"&amp;2,Regcontabilizados[Identificador],Regcontabilizados[Debe],0)+_xlfn.XLOOKUP(P100&amp;"-"&amp;3,Regcontabilizados[Identificador],Regcontabilizados[Debe],0)+_xlfn.XLOOKUP(P100&amp;"-"&amp;4,Regcontabilizados[Identificador],Regcontabilizados[Debe],0)+_xlfn.XLOOKUP(P100&amp;"-"&amp;5,Regcontabilizados[Identificador],Regcontabilizados[Debe],0)+_xlfn.XLOOKUP(P100&amp;"-"&amp;6,Regcontabilizados[Identificador],Regcontabilizados[Debe],0)+_xlfn.XLOOKUP(P100&amp;"-"&amp;7,Regcontabilizados[Identificador],Regcontabilizados[Debe],0)+_xlfn.XLOOKUP(P100&amp;"-"&amp;8,Regcontabilizados[Identificador],Regcontabilizados[Debe],0)+_xlfn.XLOOKUP(P100&amp;"-"&amp;9,Regcontabilizados[Identificador],Regcontabilizados[Debe],0)</f>
        <v>0</v>
      </c>
      <c r="U100">
        <f>SUMIF(Regcontabilizados[Número pago],Pagovtasbusc!P100,Regcontabilizados[Haber])</f>
        <v>0</v>
      </c>
      <c r="AA100" s="33" t="str">
        <f>IF(J100=0,"",   _xlfn.XLOOKUP(AB100,Regcontabilizados[Identificador],Regcontabilizados[Subcuenta],0))</f>
        <v/>
      </c>
      <c r="AB100" t="str">
        <f>IF(J100=0,"",   _xlfn.XLOOKUP($H$7,BDclient[ID-Cliente],BDclient[NIT/C.C.],0)&amp;D100&amp;$H$9&amp;"-"&amp;1)</f>
        <v/>
      </c>
      <c r="AC100" t="str">
        <f t="shared" si="14"/>
        <v/>
      </c>
      <c r="AD100" t="str">
        <f t="shared" si="15"/>
        <v>En Blanco</v>
      </c>
      <c r="AE100" t="str">
        <f>_xlfn.XLOOKUP($H$7,BDclient[ID-Cliente],BDclient[NIT/C.C.],0)&amp;$H$13&amp;$E$7&amp;"-"&amp;ROW(Z100)-21</f>
        <v>Comp. Ingreso-79</v>
      </c>
    </row>
    <row r="101" spans="3:31">
      <c r="C101" s="194"/>
      <c r="D101" s="206"/>
      <c r="E101" s="142"/>
      <c r="F101" s="195"/>
      <c r="G101" s="183"/>
      <c r="H101" s="37">
        <f t="shared" si="11"/>
        <v>0</v>
      </c>
      <c r="I101" s="37"/>
      <c r="J101" s="210">
        <f t="shared" si="12"/>
        <v>0</v>
      </c>
      <c r="K101" s="197"/>
      <c r="N101" s="33">
        <f t="shared" si="13"/>
        <v>0</v>
      </c>
      <c r="O101" t="str">
        <f>_xlfn.XLOOKUP($H$7,BDclient[ID-Cliente],BDclient[NIT/C.C.],0)&amp;$H$9&amp;$D101&amp;"-"&amp;1</f>
        <v>F. V.-1</v>
      </c>
      <c r="P101" t="str">
        <f t="shared" si="16"/>
        <v>F. V.</v>
      </c>
      <c r="Q101" t="str">
        <f>IF(N101="","",    _xlfn.XLOOKUP(P101,Regcontabilizados[Número pago],Regcontabilizados[Estado de pago],"NO PAGADO"))</f>
        <v>NO PAGADO</v>
      </c>
      <c r="R101" s="44">
        <f>_xlfn.XLOOKUP(O101,Regcontabilizados[Identificador],Regcontabilizados[Fecha vencimiento],0)</f>
        <v>0</v>
      </c>
      <c r="S101">
        <f>_xlfn.XLOOKUP(O101,Regcontabilizados[Identificador],Regcontabilizados[Subcuenta],0)</f>
        <v>0</v>
      </c>
      <c r="T101">
        <f>_xlfn.XLOOKUP(O101,Regcontabilizados[Identificador],Regcontabilizados[Debe],0)+_xlfn.XLOOKUP(P101&amp;"-"&amp;2,Regcontabilizados[Identificador],Regcontabilizados[Debe],0)+_xlfn.XLOOKUP(P101&amp;"-"&amp;3,Regcontabilizados[Identificador],Regcontabilizados[Debe],0)+_xlfn.XLOOKUP(P101&amp;"-"&amp;4,Regcontabilizados[Identificador],Regcontabilizados[Debe],0)+_xlfn.XLOOKUP(P101&amp;"-"&amp;5,Regcontabilizados[Identificador],Regcontabilizados[Debe],0)+_xlfn.XLOOKUP(P101&amp;"-"&amp;6,Regcontabilizados[Identificador],Regcontabilizados[Debe],0)+_xlfn.XLOOKUP(P101&amp;"-"&amp;7,Regcontabilizados[Identificador],Regcontabilizados[Debe],0)+_xlfn.XLOOKUP(P101&amp;"-"&amp;8,Regcontabilizados[Identificador],Regcontabilizados[Debe],0)+_xlfn.XLOOKUP(P101&amp;"-"&amp;9,Regcontabilizados[Identificador],Regcontabilizados[Debe],0)</f>
        <v>0</v>
      </c>
      <c r="U101">
        <f>SUMIF(Regcontabilizados[Número pago],Pagovtasbusc!P101,Regcontabilizados[Haber])</f>
        <v>0</v>
      </c>
      <c r="AA101" s="33" t="str">
        <f>IF(J101=0,"",   _xlfn.XLOOKUP(AB101,Regcontabilizados[Identificador],Regcontabilizados[Subcuenta],0))</f>
        <v/>
      </c>
      <c r="AB101" t="str">
        <f>IF(J101=0,"",   _xlfn.XLOOKUP($H$7,BDclient[ID-Cliente],BDclient[NIT/C.C.],0)&amp;D101&amp;$H$9&amp;"-"&amp;1)</f>
        <v/>
      </c>
      <c r="AC101" t="str">
        <f t="shared" si="14"/>
        <v/>
      </c>
      <c r="AD101" t="str">
        <f t="shared" si="15"/>
        <v>En Blanco</v>
      </c>
      <c r="AE101" t="str">
        <f>_xlfn.XLOOKUP($H$7,BDclient[ID-Cliente],BDclient[NIT/C.C.],0)&amp;$H$13&amp;$E$7&amp;"-"&amp;ROW(Z101)-21</f>
        <v>Comp. Ingreso-80</v>
      </c>
    </row>
    <row r="102" spans="3:31">
      <c r="C102" s="194"/>
      <c r="D102" s="206"/>
      <c r="E102" s="142"/>
      <c r="F102" s="195"/>
      <c r="G102" s="183"/>
      <c r="H102" s="37">
        <f t="shared" si="11"/>
        <v>0</v>
      </c>
      <c r="I102" s="37"/>
      <c r="J102" s="210">
        <f t="shared" si="12"/>
        <v>0</v>
      </c>
      <c r="K102" s="197"/>
      <c r="N102" s="33">
        <f t="shared" si="13"/>
        <v>0</v>
      </c>
      <c r="O102" t="str">
        <f>_xlfn.XLOOKUP($H$7,BDclient[ID-Cliente],BDclient[NIT/C.C.],0)&amp;$H$9&amp;$D102&amp;"-"&amp;1</f>
        <v>F. V.-1</v>
      </c>
      <c r="P102" t="str">
        <f t="shared" si="16"/>
        <v>F. V.</v>
      </c>
      <c r="Q102" t="str">
        <f>IF(N102="","",    _xlfn.XLOOKUP(P102,Regcontabilizados[Número pago],Regcontabilizados[Estado de pago],"NO PAGADO"))</f>
        <v>NO PAGADO</v>
      </c>
      <c r="R102" s="44">
        <f>_xlfn.XLOOKUP(O102,Regcontabilizados[Identificador],Regcontabilizados[Fecha vencimiento],0)</f>
        <v>0</v>
      </c>
      <c r="S102">
        <f>_xlfn.XLOOKUP(O102,Regcontabilizados[Identificador],Regcontabilizados[Subcuenta],0)</f>
        <v>0</v>
      </c>
      <c r="T102">
        <f>_xlfn.XLOOKUP(O102,Regcontabilizados[Identificador],Regcontabilizados[Debe],0)+_xlfn.XLOOKUP(P102&amp;"-"&amp;2,Regcontabilizados[Identificador],Regcontabilizados[Debe],0)+_xlfn.XLOOKUP(P102&amp;"-"&amp;3,Regcontabilizados[Identificador],Regcontabilizados[Debe],0)+_xlfn.XLOOKUP(P102&amp;"-"&amp;4,Regcontabilizados[Identificador],Regcontabilizados[Debe],0)+_xlfn.XLOOKUP(P102&amp;"-"&amp;5,Regcontabilizados[Identificador],Regcontabilizados[Debe],0)+_xlfn.XLOOKUP(P102&amp;"-"&amp;6,Regcontabilizados[Identificador],Regcontabilizados[Debe],0)+_xlfn.XLOOKUP(P102&amp;"-"&amp;7,Regcontabilizados[Identificador],Regcontabilizados[Debe],0)+_xlfn.XLOOKUP(P102&amp;"-"&amp;8,Regcontabilizados[Identificador],Regcontabilizados[Debe],0)+_xlfn.XLOOKUP(P102&amp;"-"&amp;9,Regcontabilizados[Identificador],Regcontabilizados[Debe],0)</f>
        <v>0</v>
      </c>
      <c r="U102">
        <f>SUMIF(Regcontabilizados[Número pago],Pagovtasbusc!P102,Regcontabilizados[Haber])</f>
        <v>0</v>
      </c>
      <c r="AA102" s="33" t="str">
        <f>IF(J102=0,"",   _xlfn.XLOOKUP(AB102,Regcontabilizados[Identificador],Regcontabilizados[Subcuenta],0))</f>
        <v/>
      </c>
      <c r="AB102" t="str">
        <f>IF(J102=0,"",   _xlfn.XLOOKUP($H$7,BDclient[ID-Cliente],BDclient[NIT/C.C.],0)&amp;D102&amp;$H$9&amp;"-"&amp;1)</f>
        <v/>
      </c>
      <c r="AC102" t="str">
        <f t="shared" si="14"/>
        <v/>
      </c>
      <c r="AD102" t="str">
        <f t="shared" si="15"/>
        <v>En Blanco</v>
      </c>
      <c r="AE102" t="str">
        <f>_xlfn.XLOOKUP($H$7,BDclient[ID-Cliente],BDclient[NIT/C.C.],0)&amp;$H$13&amp;$E$7&amp;"-"&amp;ROW(Z102)-21</f>
        <v>Comp. Ingreso-81</v>
      </c>
    </row>
    <row r="103" spans="3:31">
      <c r="C103" s="194"/>
      <c r="D103" s="206"/>
      <c r="E103" s="142"/>
      <c r="F103" s="195"/>
      <c r="G103" s="183"/>
      <c r="H103" s="37">
        <f t="shared" si="11"/>
        <v>0</v>
      </c>
      <c r="I103" s="37"/>
      <c r="J103" s="210">
        <f t="shared" si="12"/>
        <v>0</v>
      </c>
      <c r="K103" s="197"/>
      <c r="N103" s="33">
        <f t="shared" si="13"/>
        <v>0</v>
      </c>
      <c r="O103" t="str">
        <f>_xlfn.XLOOKUP($H$7,BDclient[ID-Cliente],BDclient[NIT/C.C.],0)&amp;$H$9&amp;$D103&amp;"-"&amp;1</f>
        <v>F. V.-1</v>
      </c>
      <c r="P103" t="str">
        <f t="shared" si="16"/>
        <v>F. V.</v>
      </c>
      <c r="Q103" t="str">
        <f>IF(N103="","",    _xlfn.XLOOKUP(P103,Regcontabilizados[Número pago],Regcontabilizados[Estado de pago],"NO PAGADO"))</f>
        <v>NO PAGADO</v>
      </c>
      <c r="R103" s="44">
        <f>_xlfn.XLOOKUP(O103,Regcontabilizados[Identificador],Regcontabilizados[Fecha vencimiento],0)</f>
        <v>0</v>
      </c>
      <c r="S103">
        <f>_xlfn.XLOOKUP(O103,Regcontabilizados[Identificador],Regcontabilizados[Subcuenta],0)</f>
        <v>0</v>
      </c>
      <c r="T103">
        <f>_xlfn.XLOOKUP(O103,Regcontabilizados[Identificador],Regcontabilizados[Debe],0)+_xlfn.XLOOKUP(P103&amp;"-"&amp;2,Regcontabilizados[Identificador],Regcontabilizados[Debe],0)+_xlfn.XLOOKUP(P103&amp;"-"&amp;3,Regcontabilizados[Identificador],Regcontabilizados[Debe],0)+_xlfn.XLOOKUP(P103&amp;"-"&amp;4,Regcontabilizados[Identificador],Regcontabilizados[Debe],0)+_xlfn.XLOOKUP(P103&amp;"-"&amp;5,Regcontabilizados[Identificador],Regcontabilizados[Debe],0)+_xlfn.XLOOKUP(P103&amp;"-"&amp;6,Regcontabilizados[Identificador],Regcontabilizados[Debe],0)+_xlfn.XLOOKUP(P103&amp;"-"&amp;7,Regcontabilizados[Identificador],Regcontabilizados[Debe],0)+_xlfn.XLOOKUP(P103&amp;"-"&amp;8,Regcontabilizados[Identificador],Regcontabilizados[Debe],0)+_xlfn.XLOOKUP(P103&amp;"-"&amp;9,Regcontabilizados[Identificador],Regcontabilizados[Debe],0)</f>
        <v>0</v>
      </c>
      <c r="U103">
        <f>SUMIF(Regcontabilizados[Número pago],Pagovtasbusc!P103,Regcontabilizados[Haber])</f>
        <v>0</v>
      </c>
      <c r="AA103" s="33" t="str">
        <f>IF(J103=0,"",   _xlfn.XLOOKUP(AB103,Regcontabilizados[Identificador],Regcontabilizados[Subcuenta],0))</f>
        <v/>
      </c>
      <c r="AB103" t="str">
        <f>IF(J103=0,"",   _xlfn.XLOOKUP($H$7,BDclient[ID-Cliente],BDclient[NIT/C.C.],0)&amp;D103&amp;$H$9&amp;"-"&amp;1)</f>
        <v/>
      </c>
      <c r="AC103" t="str">
        <f t="shared" si="14"/>
        <v/>
      </c>
      <c r="AD103" t="str">
        <f t="shared" si="15"/>
        <v>En Blanco</v>
      </c>
      <c r="AE103" t="str">
        <f>_xlfn.XLOOKUP($H$7,BDclient[ID-Cliente],BDclient[NIT/C.C.],0)&amp;$H$13&amp;$E$7&amp;"-"&amp;ROW(Z103)-21</f>
        <v>Comp. Ingreso-82</v>
      </c>
    </row>
    <row r="104" spans="3:31">
      <c r="C104" s="194"/>
      <c r="D104" s="206"/>
      <c r="E104" s="142"/>
      <c r="F104" s="195"/>
      <c r="G104" s="183"/>
      <c r="H104" s="37">
        <f t="shared" si="11"/>
        <v>0</v>
      </c>
      <c r="I104" s="37"/>
      <c r="J104" s="210">
        <f t="shared" si="12"/>
        <v>0</v>
      </c>
      <c r="K104" s="197"/>
      <c r="N104" s="33">
        <f t="shared" si="13"/>
        <v>0</v>
      </c>
      <c r="O104" t="str">
        <f>_xlfn.XLOOKUP($H$7,BDclient[ID-Cliente],BDclient[NIT/C.C.],0)&amp;$H$9&amp;$D104&amp;"-"&amp;1</f>
        <v>F. V.-1</v>
      </c>
      <c r="P104" t="str">
        <f t="shared" si="16"/>
        <v>F. V.</v>
      </c>
      <c r="Q104" t="str">
        <f>IF(N104="","",    _xlfn.XLOOKUP(P104,Regcontabilizados[Número pago],Regcontabilizados[Estado de pago],"NO PAGADO"))</f>
        <v>NO PAGADO</v>
      </c>
      <c r="R104" s="44">
        <f>_xlfn.XLOOKUP(O104,Regcontabilizados[Identificador],Regcontabilizados[Fecha vencimiento],0)</f>
        <v>0</v>
      </c>
      <c r="S104">
        <f>_xlfn.XLOOKUP(O104,Regcontabilizados[Identificador],Regcontabilizados[Subcuenta],0)</f>
        <v>0</v>
      </c>
      <c r="T104">
        <f>_xlfn.XLOOKUP(O104,Regcontabilizados[Identificador],Regcontabilizados[Debe],0)+_xlfn.XLOOKUP(P104&amp;"-"&amp;2,Regcontabilizados[Identificador],Regcontabilizados[Debe],0)+_xlfn.XLOOKUP(P104&amp;"-"&amp;3,Regcontabilizados[Identificador],Regcontabilizados[Debe],0)+_xlfn.XLOOKUP(P104&amp;"-"&amp;4,Regcontabilizados[Identificador],Regcontabilizados[Debe],0)+_xlfn.XLOOKUP(P104&amp;"-"&amp;5,Regcontabilizados[Identificador],Regcontabilizados[Debe],0)+_xlfn.XLOOKUP(P104&amp;"-"&amp;6,Regcontabilizados[Identificador],Regcontabilizados[Debe],0)+_xlfn.XLOOKUP(P104&amp;"-"&amp;7,Regcontabilizados[Identificador],Regcontabilizados[Debe],0)+_xlfn.XLOOKUP(P104&amp;"-"&amp;8,Regcontabilizados[Identificador],Regcontabilizados[Debe],0)+_xlfn.XLOOKUP(P104&amp;"-"&amp;9,Regcontabilizados[Identificador],Regcontabilizados[Debe],0)</f>
        <v>0</v>
      </c>
      <c r="U104">
        <f>SUMIF(Regcontabilizados[Número pago],Pagovtasbusc!P104,Regcontabilizados[Haber])</f>
        <v>0</v>
      </c>
      <c r="AA104" s="33" t="str">
        <f>IF(J104=0,"",   _xlfn.XLOOKUP(AB104,Regcontabilizados[Identificador],Regcontabilizados[Subcuenta],0))</f>
        <v/>
      </c>
      <c r="AB104" t="str">
        <f>IF(J104=0,"",   _xlfn.XLOOKUP($H$7,BDclient[ID-Cliente],BDclient[NIT/C.C.],0)&amp;D104&amp;$H$9&amp;"-"&amp;1)</f>
        <v/>
      </c>
      <c r="AC104" t="str">
        <f t="shared" si="14"/>
        <v/>
      </c>
      <c r="AD104" t="str">
        <f t="shared" si="15"/>
        <v>En Blanco</v>
      </c>
      <c r="AE104" t="str">
        <f>_xlfn.XLOOKUP($H$7,BDclient[ID-Cliente],BDclient[NIT/C.C.],0)&amp;$H$13&amp;$E$7&amp;"-"&amp;ROW(Z104)-21</f>
        <v>Comp. Ingreso-83</v>
      </c>
    </row>
    <row r="105" spans="3:31">
      <c r="C105" s="194"/>
      <c r="D105" s="206"/>
      <c r="E105" s="142"/>
      <c r="F105" s="195"/>
      <c r="G105" s="183"/>
      <c r="H105" s="37">
        <f t="shared" si="11"/>
        <v>0</v>
      </c>
      <c r="I105" s="37"/>
      <c r="J105" s="210">
        <f t="shared" si="12"/>
        <v>0</v>
      </c>
      <c r="K105" s="197"/>
      <c r="N105" s="33">
        <f t="shared" si="13"/>
        <v>0</v>
      </c>
      <c r="O105" t="str">
        <f>_xlfn.XLOOKUP($H$7,BDclient[ID-Cliente],BDclient[NIT/C.C.],0)&amp;$H$9&amp;$D105&amp;"-"&amp;1</f>
        <v>F. V.-1</v>
      </c>
      <c r="P105" t="str">
        <f t="shared" si="16"/>
        <v>F. V.</v>
      </c>
      <c r="Q105" t="str">
        <f>IF(N105="","",    _xlfn.XLOOKUP(P105,Regcontabilizados[Número pago],Regcontabilizados[Estado de pago],"NO PAGADO"))</f>
        <v>NO PAGADO</v>
      </c>
      <c r="R105" s="44">
        <f>_xlfn.XLOOKUP(O105,Regcontabilizados[Identificador],Regcontabilizados[Fecha vencimiento],0)</f>
        <v>0</v>
      </c>
      <c r="S105">
        <f>_xlfn.XLOOKUP(O105,Regcontabilizados[Identificador],Regcontabilizados[Subcuenta],0)</f>
        <v>0</v>
      </c>
      <c r="T105">
        <f>_xlfn.XLOOKUP(O105,Regcontabilizados[Identificador],Regcontabilizados[Debe],0)+_xlfn.XLOOKUP(P105&amp;"-"&amp;2,Regcontabilizados[Identificador],Regcontabilizados[Debe],0)+_xlfn.XLOOKUP(P105&amp;"-"&amp;3,Regcontabilizados[Identificador],Regcontabilizados[Debe],0)+_xlfn.XLOOKUP(P105&amp;"-"&amp;4,Regcontabilizados[Identificador],Regcontabilizados[Debe],0)+_xlfn.XLOOKUP(P105&amp;"-"&amp;5,Regcontabilizados[Identificador],Regcontabilizados[Debe],0)+_xlfn.XLOOKUP(P105&amp;"-"&amp;6,Regcontabilizados[Identificador],Regcontabilizados[Debe],0)+_xlfn.XLOOKUP(P105&amp;"-"&amp;7,Regcontabilizados[Identificador],Regcontabilizados[Debe],0)+_xlfn.XLOOKUP(P105&amp;"-"&amp;8,Regcontabilizados[Identificador],Regcontabilizados[Debe],0)+_xlfn.XLOOKUP(P105&amp;"-"&amp;9,Regcontabilizados[Identificador],Regcontabilizados[Debe],0)</f>
        <v>0</v>
      </c>
      <c r="U105">
        <f>SUMIF(Regcontabilizados[Número pago],Pagovtasbusc!P105,Regcontabilizados[Haber])</f>
        <v>0</v>
      </c>
      <c r="AA105" s="33" t="str">
        <f>IF(J105=0,"",   _xlfn.XLOOKUP(AB105,Regcontabilizados[Identificador],Regcontabilizados[Subcuenta],0))</f>
        <v/>
      </c>
      <c r="AB105" t="str">
        <f>IF(J105=0,"",   _xlfn.XLOOKUP($H$7,BDclient[ID-Cliente],BDclient[NIT/C.C.],0)&amp;D105&amp;$H$9&amp;"-"&amp;1)</f>
        <v/>
      </c>
      <c r="AC105" t="str">
        <f t="shared" si="14"/>
        <v/>
      </c>
      <c r="AD105" t="str">
        <f t="shared" si="15"/>
        <v>En Blanco</v>
      </c>
      <c r="AE105" t="str">
        <f>_xlfn.XLOOKUP($H$7,BDclient[ID-Cliente],BDclient[NIT/C.C.],0)&amp;$H$13&amp;$E$7&amp;"-"&amp;ROW(Z105)-21</f>
        <v>Comp. Ingreso-84</v>
      </c>
    </row>
    <row r="106" spans="3:31">
      <c r="C106" s="194"/>
      <c r="D106" s="206"/>
      <c r="E106" s="142"/>
      <c r="F106" s="195"/>
      <c r="G106" s="183"/>
      <c r="H106" s="37">
        <f t="shared" si="11"/>
        <v>0</v>
      </c>
      <c r="I106" s="37"/>
      <c r="J106" s="210">
        <f t="shared" si="12"/>
        <v>0</v>
      </c>
      <c r="K106" s="197"/>
      <c r="N106" s="33">
        <f t="shared" si="13"/>
        <v>0</v>
      </c>
      <c r="O106" t="str">
        <f>_xlfn.XLOOKUP($H$7,BDclient[ID-Cliente],BDclient[NIT/C.C.],0)&amp;$H$9&amp;$D106&amp;"-"&amp;1</f>
        <v>F. V.-1</v>
      </c>
      <c r="P106" t="str">
        <f t="shared" si="16"/>
        <v>F. V.</v>
      </c>
      <c r="Q106" t="str">
        <f>IF(N106="","",    _xlfn.XLOOKUP(P106,Regcontabilizados[Número pago],Regcontabilizados[Estado de pago],"NO PAGADO"))</f>
        <v>NO PAGADO</v>
      </c>
      <c r="R106" s="44">
        <f>_xlfn.XLOOKUP(O106,Regcontabilizados[Identificador],Regcontabilizados[Fecha vencimiento],0)</f>
        <v>0</v>
      </c>
      <c r="S106">
        <f>_xlfn.XLOOKUP(O106,Regcontabilizados[Identificador],Regcontabilizados[Subcuenta],0)</f>
        <v>0</v>
      </c>
      <c r="T106">
        <f>_xlfn.XLOOKUP(O106,Regcontabilizados[Identificador],Regcontabilizados[Debe],0)+_xlfn.XLOOKUP(P106&amp;"-"&amp;2,Regcontabilizados[Identificador],Regcontabilizados[Debe],0)+_xlfn.XLOOKUP(P106&amp;"-"&amp;3,Regcontabilizados[Identificador],Regcontabilizados[Debe],0)+_xlfn.XLOOKUP(P106&amp;"-"&amp;4,Regcontabilizados[Identificador],Regcontabilizados[Debe],0)+_xlfn.XLOOKUP(P106&amp;"-"&amp;5,Regcontabilizados[Identificador],Regcontabilizados[Debe],0)+_xlfn.XLOOKUP(P106&amp;"-"&amp;6,Regcontabilizados[Identificador],Regcontabilizados[Debe],0)+_xlfn.XLOOKUP(P106&amp;"-"&amp;7,Regcontabilizados[Identificador],Regcontabilizados[Debe],0)+_xlfn.XLOOKUP(P106&amp;"-"&amp;8,Regcontabilizados[Identificador],Regcontabilizados[Debe],0)+_xlfn.XLOOKUP(P106&amp;"-"&amp;9,Regcontabilizados[Identificador],Regcontabilizados[Debe],0)</f>
        <v>0</v>
      </c>
      <c r="U106">
        <f>SUMIF(Regcontabilizados[Número pago],Pagovtasbusc!P106,Regcontabilizados[Haber])</f>
        <v>0</v>
      </c>
      <c r="AA106" s="33" t="str">
        <f>IF(J106=0,"",   _xlfn.XLOOKUP(AB106,Regcontabilizados[Identificador],Regcontabilizados[Subcuenta],0))</f>
        <v/>
      </c>
      <c r="AB106" t="str">
        <f>IF(J106=0,"",   _xlfn.XLOOKUP($H$7,BDclient[ID-Cliente],BDclient[NIT/C.C.],0)&amp;D106&amp;$H$9&amp;"-"&amp;1)</f>
        <v/>
      </c>
      <c r="AC106" t="str">
        <f t="shared" si="14"/>
        <v/>
      </c>
      <c r="AD106" t="str">
        <f t="shared" si="15"/>
        <v>En Blanco</v>
      </c>
      <c r="AE106" t="str">
        <f>_xlfn.XLOOKUP($H$7,BDclient[ID-Cliente],BDclient[NIT/C.C.],0)&amp;$H$13&amp;$E$7&amp;"-"&amp;ROW(Z106)-21</f>
        <v>Comp. Ingreso-85</v>
      </c>
    </row>
    <row r="107" spans="3:31">
      <c r="C107" s="194"/>
      <c r="D107" s="206"/>
      <c r="E107" s="142"/>
      <c r="F107" s="195"/>
      <c r="G107" s="183"/>
      <c r="H107" s="37">
        <f t="shared" si="11"/>
        <v>0</v>
      </c>
      <c r="I107" s="37"/>
      <c r="J107" s="210">
        <f t="shared" si="12"/>
        <v>0</v>
      </c>
      <c r="K107" s="197"/>
      <c r="N107" s="33">
        <f t="shared" si="13"/>
        <v>0</v>
      </c>
      <c r="O107" t="str">
        <f>_xlfn.XLOOKUP($H$7,BDclient[ID-Cliente],BDclient[NIT/C.C.],0)&amp;$H$9&amp;$D107&amp;"-"&amp;1</f>
        <v>F. V.-1</v>
      </c>
      <c r="P107" t="str">
        <f t="shared" si="16"/>
        <v>F. V.</v>
      </c>
      <c r="Q107" t="str">
        <f>IF(N107="","",    _xlfn.XLOOKUP(P107,Regcontabilizados[Número pago],Regcontabilizados[Estado de pago],"NO PAGADO"))</f>
        <v>NO PAGADO</v>
      </c>
      <c r="R107" s="44">
        <f>_xlfn.XLOOKUP(O107,Regcontabilizados[Identificador],Regcontabilizados[Fecha vencimiento],0)</f>
        <v>0</v>
      </c>
      <c r="S107">
        <f>_xlfn.XLOOKUP(O107,Regcontabilizados[Identificador],Regcontabilizados[Subcuenta],0)</f>
        <v>0</v>
      </c>
      <c r="T107">
        <f>_xlfn.XLOOKUP(O107,Regcontabilizados[Identificador],Regcontabilizados[Debe],0)+_xlfn.XLOOKUP(P107&amp;"-"&amp;2,Regcontabilizados[Identificador],Regcontabilizados[Debe],0)+_xlfn.XLOOKUP(P107&amp;"-"&amp;3,Regcontabilizados[Identificador],Regcontabilizados[Debe],0)+_xlfn.XLOOKUP(P107&amp;"-"&amp;4,Regcontabilizados[Identificador],Regcontabilizados[Debe],0)+_xlfn.XLOOKUP(P107&amp;"-"&amp;5,Regcontabilizados[Identificador],Regcontabilizados[Debe],0)+_xlfn.XLOOKUP(P107&amp;"-"&amp;6,Regcontabilizados[Identificador],Regcontabilizados[Debe],0)+_xlfn.XLOOKUP(P107&amp;"-"&amp;7,Regcontabilizados[Identificador],Regcontabilizados[Debe],0)+_xlfn.XLOOKUP(P107&amp;"-"&amp;8,Regcontabilizados[Identificador],Regcontabilizados[Debe],0)+_xlfn.XLOOKUP(P107&amp;"-"&amp;9,Regcontabilizados[Identificador],Regcontabilizados[Debe],0)</f>
        <v>0</v>
      </c>
      <c r="U107">
        <f>SUMIF(Regcontabilizados[Número pago],Pagovtasbusc!P107,Regcontabilizados[Haber])</f>
        <v>0</v>
      </c>
      <c r="AA107" s="33" t="str">
        <f>IF(J107=0,"",   _xlfn.XLOOKUP(AB107,Regcontabilizados[Identificador],Regcontabilizados[Subcuenta],0))</f>
        <v/>
      </c>
      <c r="AB107" t="str">
        <f>IF(J107=0,"",   _xlfn.XLOOKUP($H$7,BDclient[ID-Cliente],BDclient[NIT/C.C.],0)&amp;D107&amp;$H$9&amp;"-"&amp;1)</f>
        <v/>
      </c>
      <c r="AC107" t="str">
        <f t="shared" si="14"/>
        <v/>
      </c>
      <c r="AD107" t="str">
        <f t="shared" si="15"/>
        <v>En Blanco</v>
      </c>
      <c r="AE107" t="str">
        <f>_xlfn.XLOOKUP($H$7,BDclient[ID-Cliente],BDclient[NIT/C.C.],0)&amp;$H$13&amp;$E$7&amp;"-"&amp;ROW(Z107)-21</f>
        <v>Comp. Ingreso-86</v>
      </c>
    </row>
    <row r="108" spans="3:31">
      <c r="C108" s="194"/>
      <c r="D108" s="206"/>
      <c r="E108" s="142"/>
      <c r="F108" s="195"/>
      <c r="G108" s="183"/>
      <c r="H108" s="37">
        <f t="shared" si="11"/>
        <v>0</v>
      </c>
      <c r="I108" s="37"/>
      <c r="J108" s="210">
        <f t="shared" si="12"/>
        <v>0</v>
      </c>
      <c r="K108" s="197"/>
      <c r="N108" s="33">
        <f t="shared" si="13"/>
        <v>0</v>
      </c>
      <c r="O108" t="str">
        <f>_xlfn.XLOOKUP($H$7,BDclient[ID-Cliente],BDclient[NIT/C.C.],0)&amp;$H$9&amp;$D108&amp;"-"&amp;1</f>
        <v>F. V.-1</v>
      </c>
      <c r="P108" t="str">
        <f t="shared" si="16"/>
        <v>F. V.</v>
      </c>
      <c r="Q108" t="str">
        <f>IF(N108="","",    _xlfn.XLOOKUP(P108,Regcontabilizados[Número pago],Regcontabilizados[Estado de pago],"NO PAGADO"))</f>
        <v>NO PAGADO</v>
      </c>
      <c r="R108" s="44">
        <f>_xlfn.XLOOKUP(O108,Regcontabilizados[Identificador],Regcontabilizados[Fecha vencimiento],0)</f>
        <v>0</v>
      </c>
      <c r="S108">
        <f>_xlfn.XLOOKUP(O108,Regcontabilizados[Identificador],Regcontabilizados[Subcuenta],0)</f>
        <v>0</v>
      </c>
      <c r="T108">
        <f>_xlfn.XLOOKUP(O108,Regcontabilizados[Identificador],Regcontabilizados[Debe],0)+_xlfn.XLOOKUP(P108&amp;"-"&amp;2,Regcontabilizados[Identificador],Regcontabilizados[Debe],0)+_xlfn.XLOOKUP(P108&amp;"-"&amp;3,Regcontabilizados[Identificador],Regcontabilizados[Debe],0)+_xlfn.XLOOKUP(P108&amp;"-"&amp;4,Regcontabilizados[Identificador],Regcontabilizados[Debe],0)+_xlfn.XLOOKUP(P108&amp;"-"&amp;5,Regcontabilizados[Identificador],Regcontabilizados[Debe],0)+_xlfn.XLOOKUP(P108&amp;"-"&amp;6,Regcontabilizados[Identificador],Regcontabilizados[Debe],0)+_xlfn.XLOOKUP(P108&amp;"-"&amp;7,Regcontabilizados[Identificador],Regcontabilizados[Debe],0)+_xlfn.XLOOKUP(P108&amp;"-"&amp;8,Regcontabilizados[Identificador],Regcontabilizados[Debe],0)+_xlfn.XLOOKUP(P108&amp;"-"&amp;9,Regcontabilizados[Identificador],Regcontabilizados[Debe],0)</f>
        <v>0</v>
      </c>
      <c r="U108">
        <f>SUMIF(Regcontabilizados[Número pago],Pagovtasbusc!P108,Regcontabilizados[Haber])</f>
        <v>0</v>
      </c>
      <c r="AA108" s="33" t="str">
        <f>IF(J108=0,"",   _xlfn.XLOOKUP(AB108,Regcontabilizados[Identificador],Regcontabilizados[Subcuenta],0))</f>
        <v/>
      </c>
      <c r="AB108" t="str">
        <f>IF(J108=0,"",   _xlfn.XLOOKUP($H$7,BDclient[ID-Cliente],BDclient[NIT/C.C.],0)&amp;D108&amp;$H$9&amp;"-"&amp;1)</f>
        <v/>
      </c>
      <c r="AC108" t="str">
        <f t="shared" si="14"/>
        <v/>
      </c>
      <c r="AD108" t="str">
        <f t="shared" si="15"/>
        <v>En Blanco</v>
      </c>
      <c r="AE108" t="str">
        <f>_xlfn.XLOOKUP($H$7,BDclient[ID-Cliente],BDclient[NIT/C.C.],0)&amp;$H$13&amp;$E$7&amp;"-"&amp;ROW(Z108)-21</f>
        <v>Comp. Ingreso-87</v>
      </c>
    </row>
    <row r="109" spans="3:31">
      <c r="C109" s="194"/>
      <c r="D109" s="206"/>
      <c r="E109" s="142"/>
      <c r="F109" s="195"/>
      <c r="G109" s="183"/>
      <c r="H109" s="37">
        <f t="shared" si="11"/>
        <v>0</v>
      </c>
      <c r="I109" s="37"/>
      <c r="J109" s="210">
        <f t="shared" si="12"/>
        <v>0</v>
      </c>
      <c r="K109" s="197"/>
      <c r="N109" s="33">
        <f t="shared" si="13"/>
        <v>0</v>
      </c>
      <c r="O109" t="str">
        <f>_xlfn.XLOOKUP($H$7,BDclient[ID-Cliente],BDclient[NIT/C.C.],0)&amp;$H$9&amp;$D109&amp;"-"&amp;1</f>
        <v>F. V.-1</v>
      </c>
      <c r="P109" t="str">
        <f t="shared" si="16"/>
        <v>F. V.</v>
      </c>
      <c r="Q109" t="str">
        <f>IF(N109="","",    _xlfn.XLOOKUP(P109,Regcontabilizados[Número pago],Regcontabilizados[Estado de pago],"NO PAGADO"))</f>
        <v>NO PAGADO</v>
      </c>
      <c r="R109" s="44">
        <f>_xlfn.XLOOKUP(O109,Regcontabilizados[Identificador],Regcontabilizados[Fecha vencimiento],0)</f>
        <v>0</v>
      </c>
      <c r="S109">
        <f>_xlfn.XLOOKUP(O109,Regcontabilizados[Identificador],Regcontabilizados[Subcuenta],0)</f>
        <v>0</v>
      </c>
      <c r="T109">
        <f>_xlfn.XLOOKUP(O109,Regcontabilizados[Identificador],Regcontabilizados[Debe],0)+_xlfn.XLOOKUP(P109&amp;"-"&amp;2,Regcontabilizados[Identificador],Regcontabilizados[Debe],0)+_xlfn.XLOOKUP(P109&amp;"-"&amp;3,Regcontabilizados[Identificador],Regcontabilizados[Debe],0)+_xlfn.XLOOKUP(P109&amp;"-"&amp;4,Regcontabilizados[Identificador],Regcontabilizados[Debe],0)+_xlfn.XLOOKUP(P109&amp;"-"&amp;5,Regcontabilizados[Identificador],Regcontabilizados[Debe],0)+_xlfn.XLOOKUP(P109&amp;"-"&amp;6,Regcontabilizados[Identificador],Regcontabilizados[Debe],0)+_xlfn.XLOOKUP(P109&amp;"-"&amp;7,Regcontabilizados[Identificador],Regcontabilizados[Debe],0)+_xlfn.XLOOKUP(P109&amp;"-"&amp;8,Regcontabilizados[Identificador],Regcontabilizados[Debe],0)+_xlfn.XLOOKUP(P109&amp;"-"&amp;9,Regcontabilizados[Identificador],Regcontabilizados[Debe],0)</f>
        <v>0</v>
      </c>
      <c r="U109">
        <f>SUMIF(Regcontabilizados[Número pago],Pagovtasbusc!P109,Regcontabilizados[Haber])</f>
        <v>0</v>
      </c>
      <c r="AA109" s="33" t="str">
        <f>IF(J109=0,"",   _xlfn.XLOOKUP(AB109,Regcontabilizados[Identificador],Regcontabilizados[Subcuenta],0))</f>
        <v/>
      </c>
      <c r="AB109" t="str">
        <f>IF(J109=0,"",   _xlfn.XLOOKUP($H$7,BDclient[ID-Cliente],BDclient[NIT/C.C.],0)&amp;D109&amp;$H$9&amp;"-"&amp;1)</f>
        <v/>
      </c>
      <c r="AC109" t="str">
        <f t="shared" si="14"/>
        <v/>
      </c>
      <c r="AD109" t="str">
        <f t="shared" si="15"/>
        <v>En Blanco</v>
      </c>
      <c r="AE109" t="str">
        <f>_xlfn.XLOOKUP($H$7,BDclient[ID-Cliente],BDclient[NIT/C.C.],0)&amp;$H$13&amp;$E$7&amp;"-"&amp;ROW(Z109)-21</f>
        <v>Comp. Ingreso-88</v>
      </c>
    </row>
    <row r="110" spans="3:31">
      <c r="C110" s="194"/>
      <c r="D110" s="206"/>
      <c r="E110" s="142"/>
      <c r="F110" s="195"/>
      <c r="G110" s="183"/>
      <c r="H110" s="37">
        <f t="shared" si="11"/>
        <v>0</v>
      </c>
      <c r="I110" s="37"/>
      <c r="J110" s="210">
        <f t="shared" si="12"/>
        <v>0</v>
      </c>
      <c r="K110" s="197"/>
      <c r="N110" s="33">
        <f t="shared" si="13"/>
        <v>0</v>
      </c>
      <c r="O110" t="str">
        <f>_xlfn.XLOOKUP($H$7,BDclient[ID-Cliente],BDclient[NIT/C.C.],0)&amp;$H$9&amp;$D110&amp;"-"&amp;1</f>
        <v>F. V.-1</v>
      </c>
      <c r="P110" t="str">
        <f t="shared" si="16"/>
        <v>F. V.</v>
      </c>
      <c r="Q110" t="str">
        <f>IF(N110="","",    _xlfn.XLOOKUP(P110,Regcontabilizados[Número pago],Regcontabilizados[Estado de pago],"NO PAGADO"))</f>
        <v>NO PAGADO</v>
      </c>
      <c r="R110" s="44">
        <f>_xlfn.XLOOKUP(O110,Regcontabilizados[Identificador],Regcontabilizados[Fecha vencimiento],0)</f>
        <v>0</v>
      </c>
      <c r="S110">
        <f>_xlfn.XLOOKUP(O110,Regcontabilizados[Identificador],Regcontabilizados[Subcuenta],0)</f>
        <v>0</v>
      </c>
      <c r="T110">
        <f>_xlfn.XLOOKUP(O110,Regcontabilizados[Identificador],Regcontabilizados[Debe],0)+_xlfn.XLOOKUP(P110&amp;"-"&amp;2,Regcontabilizados[Identificador],Regcontabilizados[Debe],0)+_xlfn.XLOOKUP(P110&amp;"-"&amp;3,Regcontabilizados[Identificador],Regcontabilizados[Debe],0)+_xlfn.XLOOKUP(P110&amp;"-"&amp;4,Regcontabilizados[Identificador],Regcontabilizados[Debe],0)+_xlfn.XLOOKUP(P110&amp;"-"&amp;5,Regcontabilizados[Identificador],Regcontabilizados[Debe],0)+_xlfn.XLOOKUP(P110&amp;"-"&amp;6,Regcontabilizados[Identificador],Regcontabilizados[Debe],0)+_xlfn.XLOOKUP(P110&amp;"-"&amp;7,Regcontabilizados[Identificador],Regcontabilizados[Debe],0)+_xlfn.XLOOKUP(P110&amp;"-"&amp;8,Regcontabilizados[Identificador],Regcontabilizados[Debe],0)+_xlfn.XLOOKUP(P110&amp;"-"&amp;9,Regcontabilizados[Identificador],Regcontabilizados[Debe],0)</f>
        <v>0</v>
      </c>
      <c r="U110">
        <f>SUMIF(Regcontabilizados[Número pago],Pagovtasbusc!P110,Regcontabilizados[Haber])</f>
        <v>0</v>
      </c>
      <c r="AA110" s="33" t="str">
        <f>IF(J110=0,"",   _xlfn.XLOOKUP(AB110,Regcontabilizados[Identificador],Regcontabilizados[Subcuenta],0))</f>
        <v/>
      </c>
      <c r="AB110" t="str">
        <f>IF(J110=0,"",   _xlfn.XLOOKUP($H$7,BDclient[ID-Cliente],BDclient[NIT/C.C.],0)&amp;D110&amp;$H$9&amp;"-"&amp;1)</f>
        <v/>
      </c>
      <c r="AC110" t="str">
        <f t="shared" si="14"/>
        <v/>
      </c>
      <c r="AD110" t="str">
        <f t="shared" si="15"/>
        <v>En Blanco</v>
      </c>
      <c r="AE110" t="str">
        <f>_xlfn.XLOOKUP($H$7,BDclient[ID-Cliente],BDclient[NIT/C.C.],0)&amp;$H$13&amp;$E$7&amp;"-"&amp;ROW(Z110)-21</f>
        <v>Comp. Ingreso-89</v>
      </c>
    </row>
    <row r="111" spans="3:31">
      <c r="C111" s="194"/>
      <c r="D111" s="206"/>
      <c r="E111" s="142"/>
      <c r="F111" s="195"/>
      <c r="G111" s="183"/>
      <c r="H111" s="37">
        <f t="shared" si="11"/>
        <v>0</v>
      </c>
      <c r="I111" s="37"/>
      <c r="J111" s="210">
        <f t="shared" si="12"/>
        <v>0</v>
      </c>
      <c r="K111" s="197"/>
      <c r="N111" s="33">
        <f t="shared" si="13"/>
        <v>0</v>
      </c>
      <c r="O111" t="str">
        <f>_xlfn.XLOOKUP($H$7,BDclient[ID-Cliente],BDclient[NIT/C.C.],0)&amp;$H$9&amp;$D111&amp;"-"&amp;1</f>
        <v>F. V.-1</v>
      </c>
      <c r="P111" t="str">
        <f t="shared" si="16"/>
        <v>F. V.</v>
      </c>
      <c r="Q111" t="str">
        <f>IF(N111="","",    _xlfn.XLOOKUP(P111,Regcontabilizados[Número pago],Regcontabilizados[Estado de pago],"NO PAGADO"))</f>
        <v>NO PAGADO</v>
      </c>
      <c r="R111" s="44">
        <f>_xlfn.XLOOKUP(O111,Regcontabilizados[Identificador],Regcontabilizados[Fecha vencimiento],0)</f>
        <v>0</v>
      </c>
      <c r="S111">
        <f>_xlfn.XLOOKUP(O111,Regcontabilizados[Identificador],Regcontabilizados[Subcuenta],0)</f>
        <v>0</v>
      </c>
      <c r="T111">
        <f>_xlfn.XLOOKUP(O111,Regcontabilizados[Identificador],Regcontabilizados[Debe],0)+_xlfn.XLOOKUP(P111&amp;"-"&amp;2,Regcontabilizados[Identificador],Regcontabilizados[Debe],0)+_xlfn.XLOOKUP(P111&amp;"-"&amp;3,Regcontabilizados[Identificador],Regcontabilizados[Debe],0)+_xlfn.XLOOKUP(P111&amp;"-"&amp;4,Regcontabilizados[Identificador],Regcontabilizados[Debe],0)+_xlfn.XLOOKUP(P111&amp;"-"&amp;5,Regcontabilizados[Identificador],Regcontabilizados[Debe],0)+_xlfn.XLOOKUP(P111&amp;"-"&amp;6,Regcontabilizados[Identificador],Regcontabilizados[Debe],0)+_xlfn.XLOOKUP(P111&amp;"-"&amp;7,Regcontabilizados[Identificador],Regcontabilizados[Debe],0)+_xlfn.XLOOKUP(P111&amp;"-"&amp;8,Regcontabilizados[Identificador],Regcontabilizados[Debe],0)+_xlfn.XLOOKUP(P111&amp;"-"&amp;9,Regcontabilizados[Identificador],Regcontabilizados[Debe],0)</f>
        <v>0</v>
      </c>
      <c r="U111">
        <f>SUMIF(Regcontabilizados[Número pago],Pagovtasbusc!P111,Regcontabilizados[Haber])</f>
        <v>0</v>
      </c>
      <c r="AA111" s="33" t="str">
        <f>IF(J111=0,"",   _xlfn.XLOOKUP(AB111,Regcontabilizados[Identificador],Regcontabilizados[Subcuenta],0))</f>
        <v/>
      </c>
      <c r="AB111" t="str">
        <f>IF(J111=0,"",   _xlfn.XLOOKUP($H$7,BDclient[ID-Cliente],BDclient[NIT/C.C.],0)&amp;D111&amp;$H$9&amp;"-"&amp;1)</f>
        <v/>
      </c>
      <c r="AC111" t="str">
        <f t="shared" si="14"/>
        <v/>
      </c>
      <c r="AD111" t="str">
        <f t="shared" si="15"/>
        <v>En Blanco</v>
      </c>
      <c r="AE111" t="str">
        <f>_xlfn.XLOOKUP($H$7,BDclient[ID-Cliente],BDclient[NIT/C.C.],0)&amp;$H$13&amp;$E$7&amp;"-"&amp;ROW(Z111)-21</f>
        <v>Comp. Ingreso-90</v>
      </c>
    </row>
    <row r="112" spans="3:31">
      <c r="C112" s="194"/>
      <c r="D112" s="206"/>
      <c r="E112" s="142"/>
      <c r="F112" s="195"/>
      <c r="G112" s="183"/>
      <c r="H112" s="37">
        <f t="shared" si="11"/>
        <v>0</v>
      </c>
      <c r="I112" s="37"/>
      <c r="J112" s="210">
        <f t="shared" si="12"/>
        <v>0</v>
      </c>
      <c r="K112" s="197"/>
      <c r="N112" s="33">
        <f t="shared" si="13"/>
        <v>0</v>
      </c>
      <c r="O112" t="str">
        <f>_xlfn.XLOOKUP($H$7,BDclient[ID-Cliente],BDclient[NIT/C.C.],0)&amp;$H$9&amp;$D112&amp;"-"&amp;1</f>
        <v>F. V.-1</v>
      </c>
      <c r="P112" t="str">
        <f t="shared" si="16"/>
        <v>F. V.</v>
      </c>
      <c r="Q112" t="str">
        <f>IF(N112="","",    _xlfn.XLOOKUP(P112,Regcontabilizados[Número pago],Regcontabilizados[Estado de pago],"NO PAGADO"))</f>
        <v>NO PAGADO</v>
      </c>
      <c r="R112" s="44">
        <f>_xlfn.XLOOKUP(O112,Regcontabilizados[Identificador],Regcontabilizados[Fecha vencimiento],0)</f>
        <v>0</v>
      </c>
      <c r="S112">
        <f>_xlfn.XLOOKUP(O112,Regcontabilizados[Identificador],Regcontabilizados[Subcuenta],0)</f>
        <v>0</v>
      </c>
      <c r="T112">
        <f>_xlfn.XLOOKUP(O112,Regcontabilizados[Identificador],Regcontabilizados[Debe],0)+_xlfn.XLOOKUP(P112&amp;"-"&amp;2,Regcontabilizados[Identificador],Regcontabilizados[Debe],0)+_xlfn.XLOOKUP(P112&amp;"-"&amp;3,Regcontabilizados[Identificador],Regcontabilizados[Debe],0)+_xlfn.XLOOKUP(P112&amp;"-"&amp;4,Regcontabilizados[Identificador],Regcontabilizados[Debe],0)+_xlfn.XLOOKUP(P112&amp;"-"&amp;5,Regcontabilizados[Identificador],Regcontabilizados[Debe],0)+_xlfn.XLOOKUP(P112&amp;"-"&amp;6,Regcontabilizados[Identificador],Regcontabilizados[Debe],0)+_xlfn.XLOOKUP(P112&amp;"-"&amp;7,Regcontabilizados[Identificador],Regcontabilizados[Debe],0)+_xlfn.XLOOKUP(P112&amp;"-"&amp;8,Regcontabilizados[Identificador],Regcontabilizados[Debe],0)+_xlfn.XLOOKUP(P112&amp;"-"&amp;9,Regcontabilizados[Identificador],Regcontabilizados[Debe],0)</f>
        <v>0</v>
      </c>
      <c r="U112">
        <f>SUMIF(Regcontabilizados[Número pago],Pagovtasbusc!P112,Regcontabilizados[Haber])</f>
        <v>0</v>
      </c>
      <c r="AA112" s="33" t="str">
        <f>IF(J112=0,"",   _xlfn.XLOOKUP(AB112,Regcontabilizados[Identificador],Regcontabilizados[Subcuenta],0))</f>
        <v/>
      </c>
      <c r="AB112" t="str">
        <f>IF(J112=0,"",   _xlfn.XLOOKUP($H$7,BDclient[ID-Cliente],BDclient[NIT/C.C.],0)&amp;D112&amp;$H$9&amp;"-"&amp;1)</f>
        <v/>
      </c>
      <c r="AC112" t="str">
        <f t="shared" si="14"/>
        <v/>
      </c>
      <c r="AD112" t="str">
        <f t="shared" si="15"/>
        <v>En Blanco</v>
      </c>
      <c r="AE112" t="str">
        <f>_xlfn.XLOOKUP($H$7,BDclient[ID-Cliente],BDclient[NIT/C.C.],0)&amp;$H$13&amp;$E$7&amp;"-"&amp;ROW(Z112)-21</f>
        <v>Comp. Ingreso-91</v>
      </c>
    </row>
    <row r="113" spans="3:31">
      <c r="C113" s="194"/>
      <c r="D113" s="206"/>
      <c r="E113" s="142"/>
      <c r="F113" s="195"/>
      <c r="G113" s="183"/>
      <c r="H113" s="37">
        <f t="shared" si="11"/>
        <v>0</v>
      </c>
      <c r="I113" s="37"/>
      <c r="J113" s="210">
        <f t="shared" si="12"/>
        <v>0</v>
      </c>
      <c r="K113" s="197"/>
      <c r="N113" s="33">
        <f t="shared" si="13"/>
        <v>0</v>
      </c>
      <c r="O113" t="str">
        <f>_xlfn.XLOOKUP($H$7,BDclient[ID-Cliente],BDclient[NIT/C.C.],0)&amp;$H$9&amp;$D113&amp;"-"&amp;1</f>
        <v>F. V.-1</v>
      </c>
      <c r="P113" t="str">
        <f t="shared" si="16"/>
        <v>F. V.</v>
      </c>
      <c r="Q113" t="str">
        <f>IF(N113="","",    _xlfn.XLOOKUP(P113,Regcontabilizados[Número pago],Regcontabilizados[Estado de pago],"NO PAGADO"))</f>
        <v>NO PAGADO</v>
      </c>
      <c r="R113" s="44">
        <f>_xlfn.XLOOKUP(O113,Regcontabilizados[Identificador],Regcontabilizados[Fecha vencimiento],0)</f>
        <v>0</v>
      </c>
      <c r="S113">
        <f>_xlfn.XLOOKUP(O113,Regcontabilizados[Identificador],Regcontabilizados[Subcuenta],0)</f>
        <v>0</v>
      </c>
      <c r="T113">
        <f>_xlfn.XLOOKUP(O113,Regcontabilizados[Identificador],Regcontabilizados[Debe],0)+_xlfn.XLOOKUP(P113&amp;"-"&amp;2,Regcontabilizados[Identificador],Regcontabilizados[Debe],0)+_xlfn.XLOOKUP(P113&amp;"-"&amp;3,Regcontabilizados[Identificador],Regcontabilizados[Debe],0)+_xlfn.XLOOKUP(P113&amp;"-"&amp;4,Regcontabilizados[Identificador],Regcontabilizados[Debe],0)+_xlfn.XLOOKUP(P113&amp;"-"&amp;5,Regcontabilizados[Identificador],Regcontabilizados[Debe],0)+_xlfn.XLOOKUP(P113&amp;"-"&amp;6,Regcontabilizados[Identificador],Regcontabilizados[Debe],0)+_xlfn.XLOOKUP(P113&amp;"-"&amp;7,Regcontabilizados[Identificador],Regcontabilizados[Debe],0)+_xlfn.XLOOKUP(P113&amp;"-"&amp;8,Regcontabilizados[Identificador],Regcontabilizados[Debe],0)+_xlfn.XLOOKUP(P113&amp;"-"&amp;9,Regcontabilizados[Identificador],Regcontabilizados[Debe],0)</f>
        <v>0</v>
      </c>
      <c r="U113">
        <f>SUMIF(Regcontabilizados[Número pago],Pagovtasbusc!P113,Regcontabilizados[Haber])</f>
        <v>0</v>
      </c>
      <c r="AA113" s="33" t="str">
        <f>IF(J113=0,"",   _xlfn.XLOOKUP(AB113,Regcontabilizados[Identificador],Regcontabilizados[Subcuenta],0))</f>
        <v/>
      </c>
      <c r="AB113" t="str">
        <f>IF(J113=0,"",   _xlfn.XLOOKUP($H$7,BDclient[ID-Cliente],BDclient[NIT/C.C.],0)&amp;D113&amp;$H$9&amp;"-"&amp;1)</f>
        <v/>
      </c>
      <c r="AC113" t="str">
        <f t="shared" si="14"/>
        <v/>
      </c>
      <c r="AD113" t="str">
        <f t="shared" si="15"/>
        <v>En Blanco</v>
      </c>
      <c r="AE113" t="str">
        <f>_xlfn.XLOOKUP($H$7,BDclient[ID-Cliente],BDclient[NIT/C.C.],0)&amp;$H$13&amp;$E$7&amp;"-"&amp;ROW(Z113)-21</f>
        <v>Comp. Ingreso-92</v>
      </c>
    </row>
    <row r="114" spans="3:31">
      <c r="C114" s="194"/>
      <c r="D114" s="206"/>
      <c r="E114" s="142"/>
      <c r="F114" s="195"/>
      <c r="G114" s="183"/>
      <c r="H114" s="37">
        <f t="shared" si="11"/>
        <v>0</v>
      </c>
      <c r="I114" s="37"/>
      <c r="J114" s="210">
        <f t="shared" si="12"/>
        <v>0</v>
      </c>
      <c r="K114" s="197"/>
      <c r="N114" s="33">
        <f t="shared" si="13"/>
        <v>0</v>
      </c>
      <c r="O114" t="str">
        <f>_xlfn.XLOOKUP($H$7,BDclient[ID-Cliente],BDclient[NIT/C.C.],0)&amp;$H$9&amp;$D114&amp;"-"&amp;1</f>
        <v>F. V.-1</v>
      </c>
      <c r="P114" t="str">
        <f t="shared" si="16"/>
        <v>F. V.</v>
      </c>
      <c r="Q114" t="str">
        <f>IF(N114="","",    _xlfn.XLOOKUP(P114,Regcontabilizados[Número pago],Regcontabilizados[Estado de pago],"NO PAGADO"))</f>
        <v>NO PAGADO</v>
      </c>
      <c r="R114" s="44">
        <f>_xlfn.XLOOKUP(O114,Regcontabilizados[Identificador],Regcontabilizados[Fecha vencimiento],0)</f>
        <v>0</v>
      </c>
      <c r="S114">
        <f>_xlfn.XLOOKUP(O114,Regcontabilizados[Identificador],Regcontabilizados[Subcuenta],0)</f>
        <v>0</v>
      </c>
      <c r="T114">
        <f>_xlfn.XLOOKUP(O114,Regcontabilizados[Identificador],Regcontabilizados[Debe],0)+_xlfn.XLOOKUP(P114&amp;"-"&amp;2,Regcontabilizados[Identificador],Regcontabilizados[Debe],0)+_xlfn.XLOOKUP(P114&amp;"-"&amp;3,Regcontabilizados[Identificador],Regcontabilizados[Debe],0)+_xlfn.XLOOKUP(P114&amp;"-"&amp;4,Regcontabilizados[Identificador],Regcontabilizados[Debe],0)+_xlfn.XLOOKUP(P114&amp;"-"&amp;5,Regcontabilizados[Identificador],Regcontabilizados[Debe],0)+_xlfn.XLOOKUP(P114&amp;"-"&amp;6,Regcontabilizados[Identificador],Regcontabilizados[Debe],0)+_xlfn.XLOOKUP(P114&amp;"-"&amp;7,Regcontabilizados[Identificador],Regcontabilizados[Debe],0)+_xlfn.XLOOKUP(P114&amp;"-"&amp;8,Regcontabilizados[Identificador],Regcontabilizados[Debe],0)+_xlfn.XLOOKUP(P114&amp;"-"&amp;9,Regcontabilizados[Identificador],Regcontabilizados[Debe],0)</f>
        <v>0</v>
      </c>
      <c r="U114">
        <f>SUMIF(Regcontabilizados[Número pago],Pagovtasbusc!P114,Regcontabilizados[Haber])</f>
        <v>0</v>
      </c>
      <c r="AA114" s="33" t="str">
        <f>IF(J114=0,"",   _xlfn.XLOOKUP(AB114,Regcontabilizados[Identificador],Regcontabilizados[Subcuenta],0))</f>
        <v/>
      </c>
      <c r="AB114" t="str">
        <f>IF(J114=0,"",   _xlfn.XLOOKUP($H$7,BDclient[ID-Cliente],BDclient[NIT/C.C.],0)&amp;D114&amp;$H$9&amp;"-"&amp;1)</f>
        <v/>
      </c>
      <c r="AC114" t="str">
        <f t="shared" si="14"/>
        <v/>
      </c>
      <c r="AD114" t="str">
        <f t="shared" si="15"/>
        <v>En Blanco</v>
      </c>
      <c r="AE114" t="str">
        <f>_xlfn.XLOOKUP($H$7,BDclient[ID-Cliente],BDclient[NIT/C.C.],0)&amp;$H$13&amp;$E$7&amp;"-"&amp;ROW(Z114)-21</f>
        <v>Comp. Ingreso-93</v>
      </c>
    </row>
    <row r="115" spans="3:31">
      <c r="C115" s="194"/>
      <c r="D115" s="206"/>
      <c r="E115" s="142"/>
      <c r="F115" s="195"/>
      <c r="G115" s="183"/>
      <c r="H115" s="37">
        <f t="shared" si="11"/>
        <v>0</v>
      </c>
      <c r="I115" s="37"/>
      <c r="J115" s="210">
        <f t="shared" si="12"/>
        <v>0</v>
      </c>
      <c r="K115" s="197"/>
      <c r="N115" s="33">
        <f t="shared" si="13"/>
        <v>0</v>
      </c>
      <c r="O115" t="str">
        <f>_xlfn.XLOOKUP($H$7,BDclient[ID-Cliente],BDclient[NIT/C.C.],0)&amp;$H$9&amp;$D115&amp;"-"&amp;1</f>
        <v>F. V.-1</v>
      </c>
      <c r="P115" t="str">
        <f t="shared" si="16"/>
        <v>F. V.</v>
      </c>
      <c r="Q115" t="str">
        <f>IF(N115="","",    _xlfn.XLOOKUP(P115,Regcontabilizados[Número pago],Regcontabilizados[Estado de pago],"NO PAGADO"))</f>
        <v>NO PAGADO</v>
      </c>
      <c r="R115" s="44">
        <f>_xlfn.XLOOKUP(O115,Regcontabilizados[Identificador],Regcontabilizados[Fecha vencimiento],0)</f>
        <v>0</v>
      </c>
      <c r="S115">
        <f>_xlfn.XLOOKUP(O115,Regcontabilizados[Identificador],Regcontabilizados[Subcuenta],0)</f>
        <v>0</v>
      </c>
      <c r="T115">
        <f>_xlfn.XLOOKUP(O115,Regcontabilizados[Identificador],Regcontabilizados[Debe],0)+_xlfn.XLOOKUP(P115&amp;"-"&amp;2,Regcontabilizados[Identificador],Regcontabilizados[Debe],0)+_xlfn.XLOOKUP(P115&amp;"-"&amp;3,Regcontabilizados[Identificador],Regcontabilizados[Debe],0)+_xlfn.XLOOKUP(P115&amp;"-"&amp;4,Regcontabilizados[Identificador],Regcontabilizados[Debe],0)+_xlfn.XLOOKUP(P115&amp;"-"&amp;5,Regcontabilizados[Identificador],Regcontabilizados[Debe],0)+_xlfn.XLOOKUP(P115&amp;"-"&amp;6,Regcontabilizados[Identificador],Regcontabilizados[Debe],0)+_xlfn.XLOOKUP(P115&amp;"-"&amp;7,Regcontabilizados[Identificador],Regcontabilizados[Debe],0)+_xlfn.XLOOKUP(P115&amp;"-"&amp;8,Regcontabilizados[Identificador],Regcontabilizados[Debe],0)+_xlfn.XLOOKUP(P115&amp;"-"&amp;9,Regcontabilizados[Identificador],Regcontabilizados[Debe],0)</f>
        <v>0</v>
      </c>
      <c r="U115">
        <f>SUMIF(Regcontabilizados[Número pago],Pagovtasbusc!P115,Regcontabilizados[Haber])</f>
        <v>0</v>
      </c>
      <c r="AA115" s="33" t="str">
        <f>IF(J115=0,"",   _xlfn.XLOOKUP(AB115,Regcontabilizados[Identificador],Regcontabilizados[Subcuenta],0))</f>
        <v/>
      </c>
      <c r="AB115" t="str">
        <f>IF(J115=0,"",   _xlfn.XLOOKUP($H$7,BDclient[ID-Cliente],BDclient[NIT/C.C.],0)&amp;D115&amp;$H$9&amp;"-"&amp;1)</f>
        <v/>
      </c>
      <c r="AC115" t="str">
        <f t="shared" si="14"/>
        <v/>
      </c>
      <c r="AD115" t="str">
        <f t="shared" si="15"/>
        <v>En Blanco</v>
      </c>
      <c r="AE115" t="str">
        <f>_xlfn.XLOOKUP($H$7,BDclient[ID-Cliente],BDclient[NIT/C.C.],0)&amp;$H$13&amp;$E$7&amp;"-"&amp;ROW(Z115)-21</f>
        <v>Comp. Ingreso-94</v>
      </c>
    </row>
    <row r="116" spans="3:31">
      <c r="C116" s="194"/>
      <c r="D116" s="206"/>
      <c r="E116" s="142"/>
      <c r="F116" s="195"/>
      <c r="G116" s="183"/>
      <c r="H116" s="37">
        <f t="shared" si="11"/>
        <v>0</v>
      </c>
      <c r="I116" s="37"/>
      <c r="J116" s="210">
        <f t="shared" si="12"/>
        <v>0</v>
      </c>
      <c r="K116" s="197"/>
      <c r="N116" s="33">
        <f t="shared" si="13"/>
        <v>0</v>
      </c>
      <c r="O116" t="str">
        <f>_xlfn.XLOOKUP($H$7,BDclient[ID-Cliente],BDclient[NIT/C.C.],0)&amp;$H$9&amp;$D116&amp;"-"&amp;1</f>
        <v>F. V.-1</v>
      </c>
      <c r="P116" t="str">
        <f t="shared" si="16"/>
        <v>F. V.</v>
      </c>
      <c r="Q116" t="str">
        <f>IF(N116="","",    _xlfn.XLOOKUP(P116,Regcontabilizados[Número pago],Regcontabilizados[Estado de pago],"NO PAGADO"))</f>
        <v>NO PAGADO</v>
      </c>
      <c r="R116" s="44">
        <f>_xlfn.XLOOKUP(O116,Regcontabilizados[Identificador],Regcontabilizados[Fecha vencimiento],0)</f>
        <v>0</v>
      </c>
      <c r="S116">
        <f>_xlfn.XLOOKUP(O116,Regcontabilizados[Identificador],Regcontabilizados[Subcuenta],0)</f>
        <v>0</v>
      </c>
      <c r="T116">
        <f>_xlfn.XLOOKUP(O116,Regcontabilizados[Identificador],Regcontabilizados[Debe],0)+_xlfn.XLOOKUP(P116&amp;"-"&amp;2,Regcontabilizados[Identificador],Regcontabilizados[Debe],0)+_xlfn.XLOOKUP(P116&amp;"-"&amp;3,Regcontabilizados[Identificador],Regcontabilizados[Debe],0)+_xlfn.XLOOKUP(P116&amp;"-"&amp;4,Regcontabilizados[Identificador],Regcontabilizados[Debe],0)+_xlfn.XLOOKUP(P116&amp;"-"&amp;5,Regcontabilizados[Identificador],Regcontabilizados[Debe],0)+_xlfn.XLOOKUP(P116&amp;"-"&amp;6,Regcontabilizados[Identificador],Regcontabilizados[Debe],0)+_xlfn.XLOOKUP(P116&amp;"-"&amp;7,Regcontabilizados[Identificador],Regcontabilizados[Debe],0)+_xlfn.XLOOKUP(P116&amp;"-"&amp;8,Regcontabilizados[Identificador],Regcontabilizados[Debe],0)+_xlfn.XLOOKUP(P116&amp;"-"&amp;9,Regcontabilizados[Identificador],Regcontabilizados[Debe],0)</f>
        <v>0</v>
      </c>
      <c r="U116">
        <f>SUMIF(Regcontabilizados[Número pago],Pagovtasbusc!P116,Regcontabilizados[Haber])</f>
        <v>0</v>
      </c>
      <c r="AA116" s="33" t="str">
        <f>IF(J116=0,"",   _xlfn.XLOOKUP(AB116,Regcontabilizados[Identificador],Regcontabilizados[Subcuenta],0))</f>
        <v/>
      </c>
      <c r="AB116" t="str">
        <f>IF(J116=0,"",   _xlfn.XLOOKUP($H$7,BDclient[ID-Cliente],BDclient[NIT/C.C.],0)&amp;D116&amp;$H$9&amp;"-"&amp;1)</f>
        <v/>
      </c>
      <c r="AC116" t="str">
        <f t="shared" si="14"/>
        <v/>
      </c>
      <c r="AD116" t="str">
        <f t="shared" si="15"/>
        <v>En Blanco</v>
      </c>
      <c r="AE116" t="str">
        <f>_xlfn.XLOOKUP($H$7,BDclient[ID-Cliente],BDclient[NIT/C.C.],0)&amp;$H$13&amp;$E$7&amp;"-"&amp;ROW(Z116)-21</f>
        <v>Comp. Ingreso-95</v>
      </c>
    </row>
    <row r="117" spans="3:31">
      <c r="C117" s="194"/>
      <c r="D117" s="206"/>
      <c r="E117" s="142"/>
      <c r="F117" s="195"/>
      <c r="G117" s="183"/>
      <c r="H117" s="37">
        <f t="shared" si="11"/>
        <v>0</v>
      </c>
      <c r="I117" s="37"/>
      <c r="J117" s="210">
        <f t="shared" si="12"/>
        <v>0</v>
      </c>
      <c r="K117" s="197"/>
      <c r="N117" s="33">
        <f t="shared" si="13"/>
        <v>0</v>
      </c>
      <c r="O117" t="str">
        <f>_xlfn.XLOOKUP($H$7,BDclient[ID-Cliente],BDclient[NIT/C.C.],0)&amp;$H$9&amp;$D117&amp;"-"&amp;1</f>
        <v>F. V.-1</v>
      </c>
      <c r="P117" t="str">
        <f t="shared" si="16"/>
        <v>F. V.</v>
      </c>
      <c r="Q117" t="str">
        <f>IF(N117="","",    _xlfn.XLOOKUP(P117,Regcontabilizados[Número pago],Regcontabilizados[Estado de pago],"NO PAGADO"))</f>
        <v>NO PAGADO</v>
      </c>
      <c r="R117" s="44">
        <f>_xlfn.XLOOKUP(O117,Regcontabilizados[Identificador],Regcontabilizados[Fecha vencimiento],0)</f>
        <v>0</v>
      </c>
      <c r="S117">
        <f>_xlfn.XLOOKUP(O117,Regcontabilizados[Identificador],Regcontabilizados[Subcuenta],0)</f>
        <v>0</v>
      </c>
      <c r="T117">
        <f>_xlfn.XLOOKUP(O117,Regcontabilizados[Identificador],Regcontabilizados[Debe],0)+_xlfn.XLOOKUP(P117&amp;"-"&amp;2,Regcontabilizados[Identificador],Regcontabilizados[Debe],0)+_xlfn.XLOOKUP(P117&amp;"-"&amp;3,Regcontabilizados[Identificador],Regcontabilizados[Debe],0)+_xlfn.XLOOKUP(P117&amp;"-"&amp;4,Regcontabilizados[Identificador],Regcontabilizados[Debe],0)+_xlfn.XLOOKUP(P117&amp;"-"&amp;5,Regcontabilizados[Identificador],Regcontabilizados[Debe],0)+_xlfn.XLOOKUP(P117&amp;"-"&amp;6,Regcontabilizados[Identificador],Regcontabilizados[Debe],0)+_xlfn.XLOOKUP(P117&amp;"-"&amp;7,Regcontabilizados[Identificador],Regcontabilizados[Debe],0)+_xlfn.XLOOKUP(P117&amp;"-"&amp;8,Regcontabilizados[Identificador],Regcontabilizados[Debe],0)+_xlfn.XLOOKUP(P117&amp;"-"&amp;9,Regcontabilizados[Identificador],Regcontabilizados[Debe],0)</f>
        <v>0</v>
      </c>
      <c r="U117">
        <f>SUMIF(Regcontabilizados[Número pago],Pagovtasbusc!P117,Regcontabilizados[Haber])</f>
        <v>0</v>
      </c>
      <c r="AA117" s="33" t="str">
        <f>IF(J117=0,"",   _xlfn.XLOOKUP(AB117,Regcontabilizados[Identificador],Regcontabilizados[Subcuenta],0))</f>
        <v/>
      </c>
      <c r="AB117" t="str">
        <f>IF(J117=0,"",   _xlfn.XLOOKUP($H$7,BDclient[ID-Cliente],BDclient[NIT/C.C.],0)&amp;D117&amp;$H$9&amp;"-"&amp;1)</f>
        <v/>
      </c>
      <c r="AC117" t="str">
        <f t="shared" si="14"/>
        <v/>
      </c>
      <c r="AD117" t="str">
        <f t="shared" si="15"/>
        <v>En Blanco</v>
      </c>
      <c r="AE117" t="str">
        <f>_xlfn.XLOOKUP($H$7,BDclient[ID-Cliente],BDclient[NIT/C.C.],0)&amp;$H$13&amp;$E$7&amp;"-"&amp;ROW(Z117)-21</f>
        <v>Comp. Ingreso-96</v>
      </c>
    </row>
    <row r="118" spans="3:31">
      <c r="C118" s="194"/>
      <c r="D118" s="206"/>
      <c r="E118" s="142"/>
      <c r="F118" s="195"/>
      <c r="G118" s="183"/>
      <c r="H118" s="37">
        <f t="shared" si="11"/>
        <v>0</v>
      </c>
      <c r="I118" s="37"/>
      <c r="J118" s="210">
        <f t="shared" si="12"/>
        <v>0</v>
      </c>
      <c r="K118" s="197"/>
      <c r="N118" s="33">
        <f t="shared" si="13"/>
        <v>0</v>
      </c>
      <c r="O118" t="str">
        <f>_xlfn.XLOOKUP($H$7,BDclient[ID-Cliente],BDclient[NIT/C.C.],0)&amp;$H$9&amp;$D118&amp;"-"&amp;1</f>
        <v>F. V.-1</v>
      </c>
      <c r="P118" t="str">
        <f t="shared" si="16"/>
        <v>F. V.</v>
      </c>
      <c r="Q118" t="str">
        <f>IF(N118="","",    _xlfn.XLOOKUP(P118,Regcontabilizados[Número pago],Regcontabilizados[Estado de pago],"NO PAGADO"))</f>
        <v>NO PAGADO</v>
      </c>
      <c r="R118" s="44">
        <f>_xlfn.XLOOKUP(O118,Regcontabilizados[Identificador],Regcontabilizados[Fecha vencimiento],0)</f>
        <v>0</v>
      </c>
      <c r="S118">
        <f>_xlfn.XLOOKUP(O118,Regcontabilizados[Identificador],Regcontabilizados[Subcuenta],0)</f>
        <v>0</v>
      </c>
      <c r="T118">
        <f>_xlfn.XLOOKUP(O118,Regcontabilizados[Identificador],Regcontabilizados[Debe],0)+_xlfn.XLOOKUP(P118&amp;"-"&amp;2,Regcontabilizados[Identificador],Regcontabilizados[Debe],0)+_xlfn.XLOOKUP(P118&amp;"-"&amp;3,Regcontabilizados[Identificador],Regcontabilizados[Debe],0)+_xlfn.XLOOKUP(P118&amp;"-"&amp;4,Regcontabilizados[Identificador],Regcontabilizados[Debe],0)+_xlfn.XLOOKUP(P118&amp;"-"&amp;5,Regcontabilizados[Identificador],Regcontabilizados[Debe],0)+_xlfn.XLOOKUP(P118&amp;"-"&amp;6,Regcontabilizados[Identificador],Regcontabilizados[Debe],0)+_xlfn.XLOOKUP(P118&amp;"-"&amp;7,Regcontabilizados[Identificador],Regcontabilizados[Debe],0)+_xlfn.XLOOKUP(P118&amp;"-"&amp;8,Regcontabilizados[Identificador],Regcontabilizados[Debe],0)+_xlfn.XLOOKUP(P118&amp;"-"&amp;9,Regcontabilizados[Identificador],Regcontabilizados[Debe],0)</f>
        <v>0</v>
      </c>
      <c r="U118">
        <f>SUMIF(Regcontabilizados[Número pago],Pagovtasbusc!P118,Regcontabilizados[Haber])</f>
        <v>0</v>
      </c>
      <c r="AA118" s="33" t="str">
        <f>IF(J118=0,"",   _xlfn.XLOOKUP(AB118,Regcontabilizados[Identificador],Regcontabilizados[Subcuenta],0))</f>
        <v/>
      </c>
      <c r="AB118" t="str">
        <f>IF(J118=0,"",   _xlfn.XLOOKUP($H$7,BDclient[ID-Cliente],BDclient[NIT/C.C.],0)&amp;D118&amp;$H$9&amp;"-"&amp;1)</f>
        <v/>
      </c>
      <c r="AC118" t="str">
        <f t="shared" si="14"/>
        <v/>
      </c>
      <c r="AD118" t="str">
        <f t="shared" si="15"/>
        <v>En Blanco</v>
      </c>
      <c r="AE118" t="str">
        <f>_xlfn.XLOOKUP($H$7,BDclient[ID-Cliente],BDclient[NIT/C.C.],0)&amp;$H$13&amp;$E$7&amp;"-"&amp;ROW(Z118)-21</f>
        <v>Comp. Ingreso-97</v>
      </c>
    </row>
    <row r="119" spans="3:31">
      <c r="C119" s="194"/>
      <c r="D119" s="206"/>
      <c r="E119" s="142"/>
      <c r="F119" s="195"/>
      <c r="G119" s="183"/>
      <c r="H119" s="37">
        <f t="shared" si="11"/>
        <v>0</v>
      </c>
      <c r="I119" s="37"/>
      <c r="J119" s="210">
        <f t="shared" si="12"/>
        <v>0</v>
      </c>
      <c r="K119" s="197"/>
      <c r="N119" s="33">
        <f t="shared" si="13"/>
        <v>0</v>
      </c>
      <c r="O119" t="str">
        <f>_xlfn.XLOOKUP($H$7,BDclient[ID-Cliente],BDclient[NIT/C.C.],0)&amp;$H$9&amp;$D119&amp;"-"&amp;1</f>
        <v>F. V.-1</v>
      </c>
      <c r="P119" t="str">
        <f t="shared" si="16"/>
        <v>F. V.</v>
      </c>
      <c r="Q119" t="str">
        <f>IF(N119="","",    _xlfn.XLOOKUP(P119,Regcontabilizados[Número pago],Regcontabilizados[Estado de pago],"NO PAGADO"))</f>
        <v>NO PAGADO</v>
      </c>
      <c r="R119" s="44">
        <f>_xlfn.XLOOKUP(O119,Regcontabilizados[Identificador],Regcontabilizados[Fecha vencimiento],0)</f>
        <v>0</v>
      </c>
      <c r="S119">
        <f>_xlfn.XLOOKUP(O119,Regcontabilizados[Identificador],Regcontabilizados[Subcuenta],0)</f>
        <v>0</v>
      </c>
      <c r="T119">
        <f>_xlfn.XLOOKUP(O119,Regcontabilizados[Identificador],Regcontabilizados[Debe],0)+_xlfn.XLOOKUP(P119&amp;"-"&amp;2,Regcontabilizados[Identificador],Regcontabilizados[Debe],0)+_xlfn.XLOOKUP(P119&amp;"-"&amp;3,Regcontabilizados[Identificador],Regcontabilizados[Debe],0)+_xlfn.XLOOKUP(P119&amp;"-"&amp;4,Regcontabilizados[Identificador],Regcontabilizados[Debe],0)+_xlfn.XLOOKUP(P119&amp;"-"&amp;5,Regcontabilizados[Identificador],Regcontabilizados[Debe],0)+_xlfn.XLOOKUP(P119&amp;"-"&amp;6,Regcontabilizados[Identificador],Regcontabilizados[Debe],0)+_xlfn.XLOOKUP(P119&amp;"-"&amp;7,Regcontabilizados[Identificador],Regcontabilizados[Debe],0)+_xlfn.XLOOKUP(P119&amp;"-"&amp;8,Regcontabilizados[Identificador],Regcontabilizados[Debe],0)+_xlfn.XLOOKUP(P119&amp;"-"&amp;9,Regcontabilizados[Identificador],Regcontabilizados[Debe],0)</f>
        <v>0</v>
      </c>
      <c r="U119">
        <f>SUMIF(Regcontabilizados[Número pago],Pagovtasbusc!P119,Regcontabilizados[Haber])</f>
        <v>0</v>
      </c>
      <c r="AA119" s="33" t="str">
        <f>IF(J119=0,"",   _xlfn.XLOOKUP(AB119,Regcontabilizados[Identificador],Regcontabilizados[Subcuenta],0))</f>
        <v/>
      </c>
      <c r="AB119" t="str">
        <f>IF(J119=0,"",   _xlfn.XLOOKUP($H$7,BDclient[ID-Cliente],BDclient[NIT/C.C.],0)&amp;D119&amp;$H$9&amp;"-"&amp;1)</f>
        <v/>
      </c>
      <c r="AC119" t="str">
        <f t="shared" si="14"/>
        <v/>
      </c>
      <c r="AD119" t="str">
        <f t="shared" si="15"/>
        <v>En Blanco</v>
      </c>
      <c r="AE119" t="str">
        <f>_xlfn.XLOOKUP($H$7,BDclient[ID-Cliente],BDclient[NIT/C.C.],0)&amp;$H$13&amp;$E$7&amp;"-"&amp;ROW(Z119)-21</f>
        <v>Comp. Ingreso-98</v>
      </c>
    </row>
    <row r="120" spans="3:31">
      <c r="C120" s="194"/>
      <c r="D120" s="206"/>
      <c r="E120" s="142"/>
      <c r="F120" s="195"/>
      <c r="G120" s="183"/>
      <c r="H120" s="37">
        <f t="shared" si="11"/>
        <v>0</v>
      </c>
      <c r="I120" s="37"/>
      <c r="J120" s="210">
        <f t="shared" si="12"/>
        <v>0</v>
      </c>
      <c r="K120" s="197"/>
      <c r="N120" s="33">
        <f t="shared" si="13"/>
        <v>0</v>
      </c>
      <c r="O120" t="str">
        <f>_xlfn.XLOOKUP($H$7,BDclient[ID-Cliente],BDclient[NIT/C.C.],0)&amp;$H$9&amp;$D120&amp;"-"&amp;1</f>
        <v>F. V.-1</v>
      </c>
      <c r="P120" t="str">
        <f t="shared" si="16"/>
        <v>F. V.</v>
      </c>
      <c r="Q120" t="str">
        <f>IF(N120="","",    _xlfn.XLOOKUP(P120,Regcontabilizados[Número pago],Regcontabilizados[Estado de pago],"NO PAGADO"))</f>
        <v>NO PAGADO</v>
      </c>
      <c r="R120" s="44">
        <f>_xlfn.XLOOKUP(O120,Regcontabilizados[Identificador],Regcontabilizados[Fecha vencimiento],0)</f>
        <v>0</v>
      </c>
      <c r="S120">
        <f>_xlfn.XLOOKUP(O120,Regcontabilizados[Identificador],Regcontabilizados[Subcuenta],0)</f>
        <v>0</v>
      </c>
      <c r="T120">
        <f>_xlfn.XLOOKUP(O120,Regcontabilizados[Identificador],Regcontabilizados[Debe],0)+_xlfn.XLOOKUP(P120&amp;"-"&amp;2,Regcontabilizados[Identificador],Regcontabilizados[Debe],0)+_xlfn.XLOOKUP(P120&amp;"-"&amp;3,Regcontabilizados[Identificador],Regcontabilizados[Debe],0)+_xlfn.XLOOKUP(P120&amp;"-"&amp;4,Regcontabilizados[Identificador],Regcontabilizados[Debe],0)+_xlfn.XLOOKUP(P120&amp;"-"&amp;5,Regcontabilizados[Identificador],Regcontabilizados[Debe],0)+_xlfn.XLOOKUP(P120&amp;"-"&amp;6,Regcontabilizados[Identificador],Regcontabilizados[Debe],0)+_xlfn.XLOOKUP(P120&amp;"-"&amp;7,Regcontabilizados[Identificador],Regcontabilizados[Debe],0)+_xlfn.XLOOKUP(P120&amp;"-"&amp;8,Regcontabilizados[Identificador],Regcontabilizados[Debe],0)+_xlfn.XLOOKUP(P120&amp;"-"&amp;9,Regcontabilizados[Identificador],Regcontabilizados[Debe],0)</f>
        <v>0</v>
      </c>
      <c r="U120">
        <f>SUMIF(Regcontabilizados[Número pago],Pagovtasbusc!P120,Regcontabilizados[Haber])</f>
        <v>0</v>
      </c>
      <c r="AA120" s="33" t="str">
        <f>IF(J120=0,"",   _xlfn.XLOOKUP(AB120,Regcontabilizados[Identificador],Regcontabilizados[Subcuenta],0))</f>
        <v/>
      </c>
      <c r="AB120" t="str">
        <f>IF(J120=0,"",   _xlfn.XLOOKUP($H$7,BDclient[ID-Cliente],BDclient[NIT/C.C.],0)&amp;D120&amp;$H$9&amp;"-"&amp;1)</f>
        <v/>
      </c>
      <c r="AC120" t="str">
        <f t="shared" si="14"/>
        <v/>
      </c>
      <c r="AD120" t="str">
        <f t="shared" si="15"/>
        <v>En Blanco</v>
      </c>
      <c r="AE120" t="str">
        <f>_xlfn.XLOOKUP($H$7,BDclient[ID-Cliente],BDclient[NIT/C.C.],0)&amp;$H$13&amp;$E$7&amp;"-"&amp;ROW(Z120)-21</f>
        <v>Comp. Ingreso-99</v>
      </c>
    </row>
    <row r="121" spans="3:31">
      <c r="C121" s="194"/>
      <c r="D121" s="206"/>
      <c r="E121" s="142"/>
      <c r="F121" s="195"/>
      <c r="G121" s="183"/>
      <c r="H121" s="37">
        <f t="shared" si="11"/>
        <v>0</v>
      </c>
      <c r="I121" s="37"/>
      <c r="J121" s="210">
        <f t="shared" si="12"/>
        <v>0</v>
      </c>
      <c r="K121" s="197"/>
      <c r="N121" s="33">
        <f t="shared" si="13"/>
        <v>0</v>
      </c>
      <c r="O121" t="str">
        <f>_xlfn.XLOOKUP($H$7,BDclient[ID-Cliente],BDclient[NIT/C.C.],0)&amp;$H$9&amp;$D121&amp;"-"&amp;1</f>
        <v>F. V.-1</v>
      </c>
      <c r="P121" t="str">
        <f t="shared" si="16"/>
        <v>F. V.</v>
      </c>
      <c r="Q121" t="str">
        <f>IF(N121="","",    _xlfn.XLOOKUP(P121,Regcontabilizados[Número pago],Regcontabilizados[Estado de pago],"NO PAGADO"))</f>
        <v>NO PAGADO</v>
      </c>
      <c r="R121" s="44">
        <f>_xlfn.XLOOKUP(O121,Regcontabilizados[Identificador],Regcontabilizados[Fecha vencimiento],0)</f>
        <v>0</v>
      </c>
      <c r="S121">
        <f>_xlfn.XLOOKUP(O121,Regcontabilizados[Identificador],Regcontabilizados[Subcuenta],0)</f>
        <v>0</v>
      </c>
      <c r="T121">
        <f>_xlfn.XLOOKUP(O121,Regcontabilizados[Identificador],Regcontabilizados[Debe],0)+_xlfn.XLOOKUP(P121&amp;"-"&amp;2,Regcontabilizados[Identificador],Regcontabilizados[Debe],0)+_xlfn.XLOOKUP(P121&amp;"-"&amp;3,Regcontabilizados[Identificador],Regcontabilizados[Debe],0)+_xlfn.XLOOKUP(P121&amp;"-"&amp;4,Regcontabilizados[Identificador],Regcontabilizados[Debe],0)+_xlfn.XLOOKUP(P121&amp;"-"&amp;5,Regcontabilizados[Identificador],Regcontabilizados[Debe],0)+_xlfn.XLOOKUP(P121&amp;"-"&amp;6,Regcontabilizados[Identificador],Regcontabilizados[Debe],0)+_xlfn.XLOOKUP(P121&amp;"-"&amp;7,Regcontabilizados[Identificador],Regcontabilizados[Debe],0)+_xlfn.XLOOKUP(P121&amp;"-"&amp;8,Regcontabilizados[Identificador],Regcontabilizados[Debe],0)+_xlfn.XLOOKUP(P121&amp;"-"&amp;9,Regcontabilizados[Identificador],Regcontabilizados[Debe],0)</f>
        <v>0</v>
      </c>
      <c r="U121">
        <f>SUMIF(Regcontabilizados[Número pago],Pagovtasbusc!P121,Regcontabilizados[Haber])</f>
        <v>0</v>
      </c>
      <c r="AA121" s="33" t="str">
        <f>IF(J121=0,"",   _xlfn.XLOOKUP(AB121,Regcontabilizados[Identificador],Regcontabilizados[Subcuenta],0))</f>
        <v/>
      </c>
      <c r="AB121" t="str">
        <f>IF(J121=0,"",   _xlfn.XLOOKUP($H$7,BDclient[ID-Cliente],BDclient[NIT/C.C.],0)&amp;D121&amp;$H$9&amp;"-"&amp;1)</f>
        <v/>
      </c>
      <c r="AC121" t="str">
        <f t="shared" si="14"/>
        <v/>
      </c>
      <c r="AD121" t="str">
        <f t="shared" si="15"/>
        <v>En Blanco</v>
      </c>
      <c r="AE121" t="str">
        <f>_xlfn.XLOOKUP($H$7,BDclient[ID-Cliente],BDclient[NIT/C.C.],0)&amp;$H$13&amp;$E$7&amp;"-"&amp;ROW(Z121)-21</f>
        <v>Comp. Ingreso-100</v>
      </c>
    </row>
    <row r="122" spans="3:31">
      <c r="C122" s="194"/>
      <c r="D122" s="206"/>
      <c r="E122" s="142"/>
      <c r="F122" s="195"/>
      <c r="G122" s="183"/>
      <c r="H122" s="37">
        <f t="shared" si="11"/>
        <v>0</v>
      </c>
      <c r="I122" s="37"/>
      <c r="J122" s="210">
        <f t="shared" si="12"/>
        <v>0</v>
      </c>
      <c r="K122" s="197"/>
      <c r="N122" s="33">
        <f t="shared" si="13"/>
        <v>0</v>
      </c>
      <c r="O122" t="str">
        <f>_xlfn.XLOOKUP($H$7,BDclient[ID-Cliente],BDclient[NIT/C.C.],0)&amp;$H$9&amp;$D122&amp;"-"&amp;1</f>
        <v>F. V.-1</v>
      </c>
      <c r="P122" t="str">
        <f t="shared" si="16"/>
        <v>F. V.</v>
      </c>
      <c r="Q122" t="str">
        <f>IF(N122="","",    _xlfn.XLOOKUP(P122,Regcontabilizados[Número pago],Regcontabilizados[Estado de pago],"NO PAGADO"))</f>
        <v>NO PAGADO</v>
      </c>
      <c r="R122" s="44">
        <f>_xlfn.XLOOKUP(O122,Regcontabilizados[Identificador],Regcontabilizados[Fecha vencimiento],0)</f>
        <v>0</v>
      </c>
      <c r="S122">
        <f>_xlfn.XLOOKUP(O122,Regcontabilizados[Identificador],Regcontabilizados[Subcuenta],0)</f>
        <v>0</v>
      </c>
      <c r="T122">
        <f>_xlfn.XLOOKUP(O122,Regcontabilizados[Identificador],Regcontabilizados[Debe],0)+_xlfn.XLOOKUP(P122&amp;"-"&amp;2,Regcontabilizados[Identificador],Regcontabilizados[Debe],0)+_xlfn.XLOOKUP(P122&amp;"-"&amp;3,Regcontabilizados[Identificador],Regcontabilizados[Debe],0)+_xlfn.XLOOKUP(P122&amp;"-"&amp;4,Regcontabilizados[Identificador],Regcontabilizados[Debe],0)+_xlfn.XLOOKUP(P122&amp;"-"&amp;5,Regcontabilizados[Identificador],Regcontabilizados[Debe],0)+_xlfn.XLOOKUP(P122&amp;"-"&amp;6,Regcontabilizados[Identificador],Regcontabilizados[Debe],0)+_xlfn.XLOOKUP(P122&amp;"-"&amp;7,Regcontabilizados[Identificador],Regcontabilizados[Debe],0)+_xlfn.XLOOKUP(P122&amp;"-"&amp;8,Regcontabilizados[Identificador],Regcontabilizados[Debe],0)+_xlfn.XLOOKUP(P122&amp;"-"&amp;9,Regcontabilizados[Identificador],Regcontabilizados[Debe],0)</f>
        <v>0</v>
      </c>
      <c r="U122">
        <f>SUMIF(Regcontabilizados[Número pago],Pagovtasbusc!P122,Regcontabilizados[Haber])</f>
        <v>0</v>
      </c>
      <c r="AA122" s="33" t="str">
        <f>IF(J122=0,"",   _xlfn.XLOOKUP(AB122,Regcontabilizados[Identificador],Regcontabilizados[Subcuenta],0))</f>
        <v/>
      </c>
      <c r="AB122" t="str">
        <f>IF(J122=0,"",   _xlfn.XLOOKUP($H$7,BDclient[ID-Cliente],BDclient[NIT/C.C.],0)&amp;D122&amp;$H$9&amp;"-"&amp;1)</f>
        <v/>
      </c>
      <c r="AC122" t="str">
        <f t="shared" si="14"/>
        <v/>
      </c>
      <c r="AD122" t="str">
        <f t="shared" si="15"/>
        <v>En Blanco</v>
      </c>
      <c r="AE122" t="str">
        <f>_xlfn.XLOOKUP($H$7,BDclient[ID-Cliente],BDclient[NIT/C.C.],0)&amp;$H$13&amp;$E$7&amp;"-"&amp;ROW(Z122)-21</f>
        <v>Comp. Ingreso-101</v>
      </c>
    </row>
    <row r="123" spans="3:31">
      <c r="C123" s="194"/>
      <c r="D123" s="206"/>
      <c r="E123" s="142"/>
      <c r="F123" s="195"/>
      <c r="G123" s="183"/>
      <c r="H123" s="37">
        <f t="shared" si="11"/>
        <v>0</v>
      </c>
      <c r="I123" s="37"/>
      <c r="J123" s="210">
        <f t="shared" si="12"/>
        <v>0</v>
      </c>
      <c r="K123" s="197"/>
      <c r="N123" s="33">
        <f t="shared" si="13"/>
        <v>0</v>
      </c>
      <c r="O123" t="str">
        <f>_xlfn.XLOOKUP($H$7,BDclient[ID-Cliente],BDclient[NIT/C.C.],0)&amp;$H$9&amp;$D123&amp;"-"&amp;1</f>
        <v>F. V.-1</v>
      </c>
      <c r="P123" t="str">
        <f t="shared" si="16"/>
        <v>F. V.</v>
      </c>
      <c r="Q123" t="str">
        <f>IF(N123="","",    _xlfn.XLOOKUP(P123,Regcontabilizados[Número pago],Regcontabilizados[Estado de pago],"NO PAGADO"))</f>
        <v>NO PAGADO</v>
      </c>
      <c r="R123" s="44">
        <f>_xlfn.XLOOKUP(O123,Regcontabilizados[Identificador],Regcontabilizados[Fecha vencimiento],0)</f>
        <v>0</v>
      </c>
      <c r="S123">
        <f>_xlfn.XLOOKUP(O123,Regcontabilizados[Identificador],Regcontabilizados[Subcuenta],0)</f>
        <v>0</v>
      </c>
      <c r="T123">
        <f>_xlfn.XLOOKUP(O123,Regcontabilizados[Identificador],Regcontabilizados[Debe],0)+_xlfn.XLOOKUP(P123&amp;"-"&amp;2,Regcontabilizados[Identificador],Regcontabilizados[Debe],0)+_xlfn.XLOOKUP(P123&amp;"-"&amp;3,Regcontabilizados[Identificador],Regcontabilizados[Debe],0)+_xlfn.XLOOKUP(P123&amp;"-"&amp;4,Regcontabilizados[Identificador],Regcontabilizados[Debe],0)+_xlfn.XLOOKUP(P123&amp;"-"&amp;5,Regcontabilizados[Identificador],Regcontabilizados[Debe],0)+_xlfn.XLOOKUP(P123&amp;"-"&amp;6,Regcontabilizados[Identificador],Regcontabilizados[Debe],0)+_xlfn.XLOOKUP(P123&amp;"-"&amp;7,Regcontabilizados[Identificador],Regcontabilizados[Debe],0)+_xlfn.XLOOKUP(P123&amp;"-"&amp;8,Regcontabilizados[Identificador],Regcontabilizados[Debe],0)+_xlfn.XLOOKUP(P123&amp;"-"&amp;9,Regcontabilizados[Identificador],Regcontabilizados[Debe],0)</f>
        <v>0</v>
      </c>
      <c r="U123">
        <f>SUMIF(Regcontabilizados[Número pago],Pagovtasbusc!P123,Regcontabilizados[Haber])</f>
        <v>0</v>
      </c>
      <c r="AA123" s="33" t="str">
        <f>IF(J123=0,"",   _xlfn.XLOOKUP(AB123,Regcontabilizados[Identificador],Regcontabilizados[Subcuenta],0))</f>
        <v/>
      </c>
      <c r="AB123" t="str">
        <f>IF(J123=0,"",   _xlfn.XLOOKUP($H$7,BDclient[ID-Cliente],BDclient[NIT/C.C.],0)&amp;D123&amp;$H$9&amp;"-"&amp;1)</f>
        <v/>
      </c>
      <c r="AC123" t="str">
        <f t="shared" si="14"/>
        <v/>
      </c>
      <c r="AD123" t="str">
        <f t="shared" si="15"/>
        <v>En Blanco</v>
      </c>
      <c r="AE123" t="str">
        <f>_xlfn.XLOOKUP($H$7,BDclient[ID-Cliente],BDclient[NIT/C.C.],0)&amp;$H$13&amp;$E$7&amp;"-"&amp;ROW(Z123)-21</f>
        <v>Comp. Ingreso-102</v>
      </c>
    </row>
    <row r="124" spans="3:31">
      <c r="C124" s="194"/>
      <c r="D124" s="206"/>
      <c r="E124" s="142"/>
      <c r="F124" s="195"/>
      <c r="G124" s="183"/>
      <c r="H124" s="37">
        <f t="shared" si="11"/>
        <v>0</v>
      </c>
      <c r="I124" s="37"/>
      <c r="J124" s="210">
        <f t="shared" si="12"/>
        <v>0</v>
      </c>
      <c r="K124" s="197"/>
      <c r="N124" s="33">
        <f t="shared" si="13"/>
        <v>0</v>
      </c>
      <c r="O124" t="str">
        <f>_xlfn.XLOOKUP($H$7,BDclient[ID-Cliente],BDclient[NIT/C.C.],0)&amp;$H$9&amp;$D124&amp;"-"&amp;1</f>
        <v>F. V.-1</v>
      </c>
      <c r="P124" t="str">
        <f t="shared" si="16"/>
        <v>F. V.</v>
      </c>
      <c r="Q124" t="str">
        <f>IF(N124="","",    _xlfn.XLOOKUP(P124,Regcontabilizados[Número pago],Regcontabilizados[Estado de pago],"NO PAGADO"))</f>
        <v>NO PAGADO</v>
      </c>
      <c r="R124" s="44">
        <f>_xlfn.XLOOKUP(O124,Regcontabilizados[Identificador],Regcontabilizados[Fecha vencimiento],0)</f>
        <v>0</v>
      </c>
      <c r="S124">
        <f>_xlfn.XLOOKUP(O124,Regcontabilizados[Identificador],Regcontabilizados[Subcuenta],0)</f>
        <v>0</v>
      </c>
      <c r="T124">
        <f>_xlfn.XLOOKUP(O124,Regcontabilizados[Identificador],Regcontabilizados[Debe],0)+_xlfn.XLOOKUP(P124&amp;"-"&amp;2,Regcontabilizados[Identificador],Regcontabilizados[Debe],0)+_xlfn.XLOOKUP(P124&amp;"-"&amp;3,Regcontabilizados[Identificador],Regcontabilizados[Debe],0)+_xlfn.XLOOKUP(P124&amp;"-"&amp;4,Regcontabilizados[Identificador],Regcontabilizados[Debe],0)+_xlfn.XLOOKUP(P124&amp;"-"&amp;5,Regcontabilizados[Identificador],Regcontabilizados[Debe],0)+_xlfn.XLOOKUP(P124&amp;"-"&amp;6,Regcontabilizados[Identificador],Regcontabilizados[Debe],0)+_xlfn.XLOOKUP(P124&amp;"-"&amp;7,Regcontabilizados[Identificador],Regcontabilizados[Debe],0)+_xlfn.XLOOKUP(P124&amp;"-"&amp;8,Regcontabilizados[Identificador],Regcontabilizados[Debe],0)+_xlfn.XLOOKUP(P124&amp;"-"&amp;9,Regcontabilizados[Identificador],Regcontabilizados[Debe],0)</f>
        <v>0</v>
      </c>
      <c r="U124">
        <f>SUMIF(Regcontabilizados[Número pago],Pagovtasbusc!P124,Regcontabilizados[Haber])</f>
        <v>0</v>
      </c>
      <c r="AA124" s="33" t="str">
        <f>IF(J124=0,"",   _xlfn.XLOOKUP(AB124,Regcontabilizados[Identificador],Regcontabilizados[Subcuenta],0))</f>
        <v/>
      </c>
      <c r="AB124" t="str">
        <f>IF(J124=0,"",   _xlfn.XLOOKUP($H$7,BDclient[ID-Cliente],BDclient[NIT/C.C.],0)&amp;D124&amp;$H$9&amp;"-"&amp;1)</f>
        <v/>
      </c>
      <c r="AC124" t="str">
        <f t="shared" si="14"/>
        <v/>
      </c>
      <c r="AD124" t="str">
        <f t="shared" si="15"/>
        <v>En Blanco</v>
      </c>
      <c r="AE124" t="str">
        <f>_xlfn.XLOOKUP($H$7,BDclient[ID-Cliente],BDclient[NIT/C.C.],0)&amp;$H$13&amp;$E$7&amp;"-"&amp;ROW(Z124)-21</f>
        <v>Comp. Ingreso-103</v>
      </c>
    </row>
    <row r="125" spans="3:31">
      <c r="C125" s="194"/>
      <c r="D125" s="206"/>
      <c r="E125" s="142"/>
      <c r="F125" s="195"/>
      <c r="G125" s="183"/>
      <c r="H125" s="37">
        <f t="shared" si="11"/>
        <v>0</v>
      </c>
      <c r="I125" s="37"/>
      <c r="J125" s="210">
        <f t="shared" si="12"/>
        <v>0</v>
      </c>
      <c r="K125" s="197"/>
      <c r="N125" s="33">
        <f t="shared" si="13"/>
        <v>0</v>
      </c>
      <c r="O125" t="str">
        <f>_xlfn.XLOOKUP($H$7,BDclient[ID-Cliente],BDclient[NIT/C.C.],0)&amp;$H$9&amp;$D125&amp;"-"&amp;1</f>
        <v>F. V.-1</v>
      </c>
      <c r="P125" t="str">
        <f t="shared" si="16"/>
        <v>F. V.</v>
      </c>
      <c r="Q125" t="str">
        <f>IF(N125="","",    _xlfn.XLOOKUP(P125,Regcontabilizados[Número pago],Regcontabilizados[Estado de pago],"NO PAGADO"))</f>
        <v>NO PAGADO</v>
      </c>
      <c r="R125" s="44">
        <f>_xlfn.XLOOKUP(O125,Regcontabilizados[Identificador],Regcontabilizados[Fecha vencimiento],0)</f>
        <v>0</v>
      </c>
      <c r="S125">
        <f>_xlfn.XLOOKUP(O125,Regcontabilizados[Identificador],Regcontabilizados[Subcuenta],0)</f>
        <v>0</v>
      </c>
      <c r="T125">
        <f>_xlfn.XLOOKUP(O125,Regcontabilizados[Identificador],Regcontabilizados[Debe],0)+_xlfn.XLOOKUP(P125&amp;"-"&amp;2,Regcontabilizados[Identificador],Regcontabilizados[Debe],0)+_xlfn.XLOOKUP(P125&amp;"-"&amp;3,Regcontabilizados[Identificador],Regcontabilizados[Debe],0)+_xlfn.XLOOKUP(P125&amp;"-"&amp;4,Regcontabilizados[Identificador],Regcontabilizados[Debe],0)+_xlfn.XLOOKUP(P125&amp;"-"&amp;5,Regcontabilizados[Identificador],Regcontabilizados[Debe],0)+_xlfn.XLOOKUP(P125&amp;"-"&amp;6,Regcontabilizados[Identificador],Regcontabilizados[Debe],0)+_xlfn.XLOOKUP(P125&amp;"-"&amp;7,Regcontabilizados[Identificador],Regcontabilizados[Debe],0)+_xlfn.XLOOKUP(P125&amp;"-"&amp;8,Regcontabilizados[Identificador],Regcontabilizados[Debe],0)+_xlfn.XLOOKUP(P125&amp;"-"&amp;9,Regcontabilizados[Identificador],Regcontabilizados[Debe],0)</f>
        <v>0</v>
      </c>
      <c r="U125">
        <f>SUMIF(Regcontabilizados[Número pago],Pagovtasbusc!P125,Regcontabilizados[Haber])</f>
        <v>0</v>
      </c>
      <c r="AA125" s="33" t="str">
        <f>IF(J125=0,"",   _xlfn.XLOOKUP(AB125,Regcontabilizados[Identificador],Regcontabilizados[Subcuenta],0))</f>
        <v/>
      </c>
      <c r="AB125" t="str">
        <f>IF(J125=0,"",   _xlfn.XLOOKUP($H$7,BDclient[ID-Cliente],BDclient[NIT/C.C.],0)&amp;D125&amp;$H$9&amp;"-"&amp;1)</f>
        <v/>
      </c>
      <c r="AC125" t="str">
        <f t="shared" si="14"/>
        <v/>
      </c>
      <c r="AD125" t="str">
        <f t="shared" si="15"/>
        <v>En Blanco</v>
      </c>
      <c r="AE125" t="str">
        <f>_xlfn.XLOOKUP($H$7,BDclient[ID-Cliente],BDclient[NIT/C.C.],0)&amp;$H$13&amp;$E$7&amp;"-"&amp;ROW(Z125)-21</f>
        <v>Comp. Ingreso-104</v>
      </c>
    </row>
    <row r="126" spans="3:31">
      <c r="C126" s="194"/>
      <c r="D126" s="206"/>
      <c r="E126" s="142"/>
      <c r="F126" s="195"/>
      <c r="G126" s="183"/>
      <c r="H126" s="37">
        <f t="shared" si="11"/>
        <v>0</v>
      </c>
      <c r="I126" s="37"/>
      <c r="J126" s="210">
        <f t="shared" si="12"/>
        <v>0</v>
      </c>
      <c r="K126" s="197"/>
      <c r="N126" s="33">
        <f t="shared" si="13"/>
        <v>0</v>
      </c>
      <c r="O126" t="str">
        <f>_xlfn.XLOOKUP($H$7,BDclient[ID-Cliente],BDclient[NIT/C.C.],0)&amp;$H$9&amp;$D126&amp;"-"&amp;1</f>
        <v>F. V.-1</v>
      </c>
      <c r="P126" t="str">
        <f t="shared" si="16"/>
        <v>F. V.</v>
      </c>
      <c r="Q126" t="str">
        <f>IF(N126="","",    _xlfn.XLOOKUP(P126,Regcontabilizados[Número pago],Regcontabilizados[Estado de pago],"NO PAGADO"))</f>
        <v>NO PAGADO</v>
      </c>
      <c r="R126" s="44">
        <f>_xlfn.XLOOKUP(O126,Regcontabilizados[Identificador],Regcontabilizados[Fecha vencimiento],0)</f>
        <v>0</v>
      </c>
      <c r="S126">
        <f>_xlfn.XLOOKUP(O126,Regcontabilizados[Identificador],Regcontabilizados[Subcuenta],0)</f>
        <v>0</v>
      </c>
      <c r="T126">
        <f>_xlfn.XLOOKUP(O126,Regcontabilizados[Identificador],Regcontabilizados[Debe],0)+_xlfn.XLOOKUP(P126&amp;"-"&amp;2,Regcontabilizados[Identificador],Regcontabilizados[Debe],0)+_xlfn.XLOOKUP(P126&amp;"-"&amp;3,Regcontabilizados[Identificador],Regcontabilizados[Debe],0)+_xlfn.XLOOKUP(P126&amp;"-"&amp;4,Regcontabilizados[Identificador],Regcontabilizados[Debe],0)+_xlfn.XLOOKUP(P126&amp;"-"&amp;5,Regcontabilizados[Identificador],Regcontabilizados[Debe],0)+_xlfn.XLOOKUP(P126&amp;"-"&amp;6,Regcontabilizados[Identificador],Regcontabilizados[Debe],0)+_xlfn.XLOOKUP(P126&amp;"-"&amp;7,Regcontabilizados[Identificador],Regcontabilizados[Debe],0)+_xlfn.XLOOKUP(P126&amp;"-"&amp;8,Regcontabilizados[Identificador],Regcontabilizados[Debe],0)+_xlfn.XLOOKUP(P126&amp;"-"&amp;9,Regcontabilizados[Identificador],Regcontabilizados[Debe],0)</f>
        <v>0</v>
      </c>
      <c r="U126">
        <f>SUMIF(Regcontabilizados[Número pago],Pagovtasbusc!P126,Regcontabilizados[Haber])</f>
        <v>0</v>
      </c>
      <c r="AA126" s="33" t="str">
        <f>IF(J126=0,"",   _xlfn.XLOOKUP(AB126,Regcontabilizados[Identificador],Regcontabilizados[Subcuenta],0))</f>
        <v/>
      </c>
      <c r="AB126" t="str">
        <f>IF(J126=0,"",   _xlfn.XLOOKUP($H$7,BDclient[ID-Cliente],BDclient[NIT/C.C.],0)&amp;D126&amp;$H$9&amp;"-"&amp;1)</f>
        <v/>
      </c>
      <c r="AC126" t="str">
        <f t="shared" si="14"/>
        <v/>
      </c>
      <c r="AD126" t="str">
        <f t="shared" si="15"/>
        <v>En Blanco</v>
      </c>
      <c r="AE126" t="str">
        <f>_xlfn.XLOOKUP($H$7,BDclient[ID-Cliente],BDclient[NIT/C.C.],0)&amp;$H$13&amp;$E$7&amp;"-"&amp;ROW(Z126)-21</f>
        <v>Comp. Ingreso-105</v>
      </c>
    </row>
    <row r="127" spans="3:31">
      <c r="C127" s="194"/>
      <c r="D127" s="206"/>
      <c r="E127" s="142"/>
      <c r="F127" s="195"/>
      <c r="G127" s="183"/>
      <c r="H127" s="37">
        <f t="shared" si="11"/>
        <v>0</v>
      </c>
      <c r="I127" s="37"/>
      <c r="J127" s="210">
        <f t="shared" si="12"/>
        <v>0</v>
      </c>
      <c r="K127" s="197"/>
      <c r="N127" s="33">
        <f t="shared" si="13"/>
        <v>0</v>
      </c>
      <c r="O127" t="str">
        <f>_xlfn.XLOOKUP($H$7,BDclient[ID-Cliente],BDclient[NIT/C.C.],0)&amp;$H$9&amp;$D127&amp;"-"&amp;1</f>
        <v>F. V.-1</v>
      </c>
      <c r="P127" t="str">
        <f t="shared" si="16"/>
        <v>F. V.</v>
      </c>
      <c r="Q127" t="str">
        <f>IF(N127="","",    _xlfn.XLOOKUP(P127,Regcontabilizados[Número pago],Regcontabilizados[Estado de pago],"NO PAGADO"))</f>
        <v>NO PAGADO</v>
      </c>
      <c r="R127" s="44">
        <f>_xlfn.XLOOKUP(O127,Regcontabilizados[Identificador],Regcontabilizados[Fecha vencimiento],0)</f>
        <v>0</v>
      </c>
      <c r="S127">
        <f>_xlfn.XLOOKUP(O127,Regcontabilizados[Identificador],Regcontabilizados[Subcuenta],0)</f>
        <v>0</v>
      </c>
      <c r="T127">
        <f>_xlfn.XLOOKUP(O127,Regcontabilizados[Identificador],Regcontabilizados[Debe],0)+_xlfn.XLOOKUP(P127&amp;"-"&amp;2,Regcontabilizados[Identificador],Regcontabilizados[Debe],0)+_xlfn.XLOOKUP(P127&amp;"-"&amp;3,Regcontabilizados[Identificador],Regcontabilizados[Debe],0)+_xlfn.XLOOKUP(P127&amp;"-"&amp;4,Regcontabilizados[Identificador],Regcontabilizados[Debe],0)+_xlfn.XLOOKUP(P127&amp;"-"&amp;5,Regcontabilizados[Identificador],Regcontabilizados[Debe],0)+_xlfn.XLOOKUP(P127&amp;"-"&amp;6,Regcontabilizados[Identificador],Regcontabilizados[Debe],0)+_xlfn.XLOOKUP(P127&amp;"-"&amp;7,Regcontabilizados[Identificador],Regcontabilizados[Debe],0)+_xlfn.XLOOKUP(P127&amp;"-"&amp;8,Regcontabilizados[Identificador],Regcontabilizados[Debe],0)+_xlfn.XLOOKUP(P127&amp;"-"&amp;9,Regcontabilizados[Identificador],Regcontabilizados[Debe],0)</f>
        <v>0</v>
      </c>
      <c r="U127">
        <f>SUMIF(Regcontabilizados[Número pago],Pagovtasbusc!P127,Regcontabilizados[Haber])</f>
        <v>0</v>
      </c>
      <c r="AA127" s="33" t="str">
        <f>IF(J127=0,"",   _xlfn.XLOOKUP(AB127,Regcontabilizados[Identificador],Regcontabilizados[Subcuenta],0))</f>
        <v/>
      </c>
      <c r="AB127" t="str">
        <f>IF(J127=0,"",   _xlfn.XLOOKUP($H$7,BDclient[ID-Cliente],BDclient[NIT/C.C.],0)&amp;D127&amp;$H$9&amp;"-"&amp;1)</f>
        <v/>
      </c>
      <c r="AC127" t="str">
        <f t="shared" si="14"/>
        <v/>
      </c>
      <c r="AD127" t="str">
        <f t="shared" si="15"/>
        <v>En Blanco</v>
      </c>
      <c r="AE127" t="str">
        <f>_xlfn.XLOOKUP($H$7,BDclient[ID-Cliente],BDclient[NIT/C.C.],0)&amp;$H$13&amp;$E$7&amp;"-"&amp;ROW(Z127)-21</f>
        <v>Comp. Ingreso-106</v>
      </c>
    </row>
    <row r="128" spans="3:31">
      <c r="C128" s="194"/>
      <c r="D128" s="206"/>
      <c r="E128" s="142"/>
      <c r="F128" s="195"/>
      <c r="G128" s="183"/>
      <c r="H128" s="37">
        <f t="shared" si="11"/>
        <v>0</v>
      </c>
      <c r="I128" s="37"/>
      <c r="J128" s="210">
        <f t="shared" si="12"/>
        <v>0</v>
      </c>
      <c r="K128" s="197"/>
      <c r="N128" s="33">
        <f t="shared" si="13"/>
        <v>0</v>
      </c>
      <c r="O128" t="str">
        <f>_xlfn.XLOOKUP($H$7,BDclient[ID-Cliente],BDclient[NIT/C.C.],0)&amp;$H$9&amp;$D128&amp;"-"&amp;1</f>
        <v>F. V.-1</v>
      </c>
      <c r="P128" t="str">
        <f t="shared" si="16"/>
        <v>F. V.</v>
      </c>
      <c r="Q128" t="str">
        <f>IF(N128="","",    _xlfn.XLOOKUP(P128,Regcontabilizados[Número pago],Regcontabilizados[Estado de pago],"NO PAGADO"))</f>
        <v>NO PAGADO</v>
      </c>
      <c r="R128" s="44">
        <f>_xlfn.XLOOKUP(O128,Regcontabilizados[Identificador],Regcontabilizados[Fecha vencimiento],0)</f>
        <v>0</v>
      </c>
      <c r="S128">
        <f>_xlfn.XLOOKUP(O128,Regcontabilizados[Identificador],Regcontabilizados[Subcuenta],0)</f>
        <v>0</v>
      </c>
      <c r="T128">
        <f>_xlfn.XLOOKUP(O128,Regcontabilizados[Identificador],Regcontabilizados[Debe],0)+_xlfn.XLOOKUP(P128&amp;"-"&amp;2,Regcontabilizados[Identificador],Regcontabilizados[Debe],0)+_xlfn.XLOOKUP(P128&amp;"-"&amp;3,Regcontabilizados[Identificador],Regcontabilizados[Debe],0)+_xlfn.XLOOKUP(P128&amp;"-"&amp;4,Regcontabilizados[Identificador],Regcontabilizados[Debe],0)+_xlfn.XLOOKUP(P128&amp;"-"&amp;5,Regcontabilizados[Identificador],Regcontabilizados[Debe],0)+_xlfn.XLOOKUP(P128&amp;"-"&amp;6,Regcontabilizados[Identificador],Regcontabilizados[Debe],0)+_xlfn.XLOOKUP(P128&amp;"-"&amp;7,Regcontabilizados[Identificador],Regcontabilizados[Debe],0)+_xlfn.XLOOKUP(P128&amp;"-"&amp;8,Regcontabilizados[Identificador],Regcontabilizados[Debe],0)+_xlfn.XLOOKUP(P128&amp;"-"&amp;9,Regcontabilizados[Identificador],Regcontabilizados[Debe],0)</f>
        <v>0</v>
      </c>
      <c r="U128">
        <f>SUMIF(Regcontabilizados[Número pago],Pagovtasbusc!P128,Regcontabilizados[Haber])</f>
        <v>0</v>
      </c>
      <c r="AA128" s="33" t="str">
        <f>IF(J128=0,"",   _xlfn.XLOOKUP(AB128,Regcontabilizados[Identificador],Regcontabilizados[Subcuenta],0))</f>
        <v/>
      </c>
      <c r="AB128" t="str">
        <f>IF(J128=0,"",   _xlfn.XLOOKUP($H$7,BDclient[ID-Cliente],BDclient[NIT/C.C.],0)&amp;D128&amp;$H$9&amp;"-"&amp;1)</f>
        <v/>
      </c>
      <c r="AC128" t="str">
        <f t="shared" si="14"/>
        <v/>
      </c>
      <c r="AD128" t="str">
        <f t="shared" si="15"/>
        <v>En Blanco</v>
      </c>
      <c r="AE128" t="str">
        <f>_xlfn.XLOOKUP($H$7,BDclient[ID-Cliente],BDclient[NIT/C.C.],0)&amp;$H$13&amp;$E$7&amp;"-"&amp;ROW(Z128)-21</f>
        <v>Comp. Ingreso-107</v>
      </c>
    </row>
    <row r="129" spans="3:31">
      <c r="C129" s="194"/>
      <c r="D129" s="206"/>
      <c r="E129" s="142"/>
      <c r="F129" s="195"/>
      <c r="G129" s="183"/>
      <c r="H129" s="37">
        <f t="shared" si="11"/>
        <v>0</v>
      </c>
      <c r="I129" s="37"/>
      <c r="J129" s="210">
        <f t="shared" si="12"/>
        <v>0</v>
      </c>
      <c r="K129" s="197"/>
      <c r="N129" s="33">
        <f t="shared" si="13"/>
        <v>0</v>
      </c>
      <c r="O129" t="str">
        <f>_xlfn.XLOOKUP($H$7,BDclient[ID-Cliente],BDclient[NIT/C.C.],0)&amp;$H$9&amp;$D129&amp;"-"&amp;1</f>
        <v>F. V.-1</v>
      </c>
      <c r="P129" t="str">
        <f t="shared" si="16"/>
        <v>F. V.</v>
      </c>
      <c r="Q129" t="str">
        <f>IF(N129="","",    _xlfn.XLOOKUP(P129,Regcontabilizados[Número pago],Regcontabilizados[Estado de pago],"NO PAGADO"))</f>
        <v>NO PAGADO</v>
      </c>
      <c r="R129" s="44">
        <f>_xlfn.XLOOKUP(O129,Regcontabilizados[Identificador],Regcontabilizados[Fecha vencimiento],0)</f>
        <v>0</v>
      </c>
      <c r="S129">
        <f>_xlfn.XLOOKUP(O129,Regcontabilizados[Identificador],Regcontabilizados[Subcuenta],0)</f>
        <v>0</v>
      </c>
      <c r="T129">
        <f>_xlfn.XLOOKUP(O129,Regcontabilizados[Identificador],Regcontabilizados[Debe],0)+_xlfn.XLOOKUP(P129&amp;"-"&amp;2,Regcontabilizados[Identificador],Regcontabilizados[Debe],0)+_xlfn.XLOOKUP(P129&amp;"-"&amp;3,Regcontabilizados[Identificador],Regcontabilizados[Debe],0)+_xlfn.XLOOKUP(P129&amp;"-"&amp;4,Regcontabilizados[Identificador],Regcontabilizados[Debe],0)+_xlfn.XLOOKUP(P129&amp;"-"&amp;5,Regcontabilizados[Identificador],Regcontabilizados[Debe],0)+_xlfn.XLOOKUP(P129&amp;"-"&amp;6,Regcontabilizados[Identificador],Regcontabilizados[Debe],0)+_xlfn.XLOOKUP(P129&amp;"-"&amp;7,Regcontabilizados[Identificador],Regcontabilizados[Debe],0)+_xlfn.XLOOKUP(P129&amp;"-"&amp;8,Regcontabilizados[Identificador],Regcontabilizados[Debe],0)+_xlfn.XLOOKUP(P129&amp;"-"&amp;9,Regcontabilizados[Identificador],Regcontabilizados[Debe],0)</f>
        <v>0</v>
      </c>
      <c r="U129">
        <f>SUMIF(Regcontabilizados[Número pago],Pagovtasbusc!P129,Regcontabilizados[Haber])</f>
        <v>0</v>
      </c>
      <c r="AA129" s="33" t="str">
        <f>IF(J129=0,"",   _xlfn.XLOOKUP(AB129,Regcontabilizados[Identificador],Regcontabilizados[Subcuenta],0))</f>
        <v/>
      </c>
      <c r="AB129" t="str">
        <f>IF(J129=0,"",   _xlfn.XLOOKUP($H$7,BDclient[ID-Cliente],BDclient[NIT/C.C.],0)&amp;D129&amp;$H$9&amp;"-"&amp;1)</f>
        <v/>
      </c>
      <c r="AC129" t="str">
        <f t="shared" si="14"/>
        <v/>
      </c>
      <c r="AD129" t="str">
        <f t="shared" si="15"/>
        <v>En Blanco</v>
      </c>
      <c r="AE129" t="str">
        <f>_xlfn.XLOOKUP($H$7,BDclient[ID-Cliente],BDclient[NIT/C.C.],0)&amp;$H$13&amp;$E$7&amp;"-"&amp;ROW(Z129)-21</f>
        <v>Comp. Ingreso-108</v>
      </c>
    </row>
    <row r="130" spans="3:31">
      <c r="C130" s="194"/>
      <c r="D130" s="206"/>
      <c r="E130" s="142"/>
      <c r="F130" s="195"/>
      <c r="G130" s="183"/>
      <c r="H130" s="37">
        <f t="shared" si="11"/>
        <v>0</v>
      </c>
      <c r="I130" s="37"/>
      <c r="J130" s="210">
        <f t="shared" si="12"/>
        <v>0</v>
      </c>
      <c r="K130" s="197"/>
      <c r="N130" s="33">
        <f t="shared" si="13"/>
        <v>0</v>
      </c>
      <c r="O130" t="str">
        <f>_xlfn.XLOOKUP($H$7,BDclient[ID-Cliente],BDclient[NIT/C.C.],0)&amp;$H$9&amp;$D130&amp;"-"&amp;1</f>
        <v>F. V.-1</v>
      </c>
      <c r="P130" t="str">
        <f t="shared" si="16"/>
        <v>F. V.</v>
      </c>
      <c r="Q130" t="str">
        <f>IF(N130="","",    _xlfn.XLOOKUP(P130,Regcontabilizados[Número pago],Regcontabilizados[Estado de pago],"NO PAGADO"))</f>
        <v>NO PAGADO</v>
      </c>
      <c r="R130" s="44">
        <f>_xlfn.XLOOKUP(O130,Regcontabilizados[Identificador],Regcontabilizados[Fecha vencimiento],0)</f>
        <v>0</v>
      </c>
      <c r="S130">
        <f>_xlfn.XLOOKUP(O130,Regcontabilizados[Identificador],Regcontabilizados[Subcuenta],0)</f>
        <v>0</v>
      </c>
      <c r="T130">
        <f>_xlfn.XLOOKUP(O130,Regcontabilizados[Identificador],Regcontabilizados[Debe],0)+_xlfn.XLOOKUP(P130&amp;"-"&amp;2,Regcontabilizados[Identificador],Regcontabilizados[Debe],0)+_xlfn.XLOOKUP(P130&amp;"-"&amp;3,Regcontabilizados[Identificador],Regcontabilizados[Debe],0)+_xlfn.XLOOKUP(P130&amp;"-"&amp;4,Regcontabilizados[Identificador],Regcontabilizados[Debe],0)+_xlfn.XLOOKUP(P130&amp;"-"&amp;5,Regcontabilizados[Identificador],Regcontabilizados[Debe],0)+_xlfn.XLOOKUP(P130&amp;"-"&amp;6,Regcontabilizados[Identificador],Regcontabilizados[Debe],0)+_xlfn.XLOOKUP(P130&amp;"-"&amp;7,Regcontabilizados[Identificador],Regcontabilizados[Debe],0)+_xlfn.XLOOKUP(P130&amp;"-"&amp;8,Regcontabilizados[Identificador],Regcontabilizados[Debe],0)+_xlfn.XLOOKUP(P130&amp;"-"&amp;9,Regcontabilizados[Identificador],Regcontabilizados[Debe],0)</f>
        <v>0</v>
      </c>
      <c r="U130">
        <f>SUMIF(Regcontabilizados[Número pago],Pagovtasbusc!P130,Regcontabilizados[Haber])</f>
        <v>0</v>
      </c>
      <c r="AA130" s="33" t="str">
        <f>IF(J130=0,"",   _xlfn.XLOOKUP(AB130,Regcontabilizados[Identificador],Regcontabilizados[Subcuenta],0))</f>
        <v/>
      </c>
      <c r="AB130" t="str">
        <f>IF(J130=0,"",   _xlfn.XLOOKUP($H$7,BDclient[ID-Cliente],BDclient[NIT/C.C.],0)&amp;D130&amp;$H$9&amp;"-"&amp;1)</f>
        <v/>
      </c>
      <c r="AC130" t="str">
        <f t="shared" si="14"/>
        <v/>
      </c>
      <c r="AD130" t="str">
        <f t="shared" si="15"/>
        <v>En Blanco</v>
      </c>
      <c r="AE130" t="str">
        <f>_xlfn.XLOOKUP($H$7,BDclient[ID-Cliente],BDclient[NIT/C.C.],0)&amp;$H$13&amp;$E$7&amp;"-"&amp;ROW(Z130)-21</f>
        <v>Comp. Ingreso-109</v>
      </c>
    </row>
    <row r="131" spans="3:31">
      <c r="C131" s="194"/>
      <c r="D131" s="206"/>
      <c r="E131" s="142"/>
      <c r="F131" s="195"/>
      <c r="G131" s="183"/>
      <c r="H131" s="37">
        <f t="shared" si="11"/>
        <v>0</v>
      </c>
      <c r="I131" s="37"/>
      <c r="J131" s="210">
        <f t="shared" si="12"/>
        <v>0</v>
      </c>
      <c r="K131" s="197"/>
      <c r="N131" s="33">
        <f t="shared" si="13"/>
        <v>0</v>
      </c>
      <c r="O131" t="str">
        <f>_xlfn.XLOOKUP($H$7,BDclient[ID-Cliente],BDclient[NIT/C.C.],0)&amp;$H$9&amp;$D131&amp;"-"&amp;1</f>
        <v>F. V.-1</v>
      </c>
      <c r="P131" t="str">
        <f t="shared" si="16"/>
        <v>F. V.</v>
      </c>
      <c r="Q131" t="str">
        <f>IF(N131="","",    _xlfn.XLOOKUP(P131,Regcontabilizados[Número pago],Regcontabilizados[Estado de pago],"NO PAGADO"))</f>
        <v>NO PAGADO</v>
      </c>
      <c r="R131" s="44">
        <f>_xlfn.XLOOKUP(O131,Regcontabilizados[Identificador],Regcontabilizados[Fecha vencimiento],0)</f>
        <v>0</v>
      </c>
      <c r="S131">
        <f>_xlfn.XLOOKUP(O131,Regcontabilizados[Identificador],Regcontabilizados[Subcuenta],0)</f>
        <v>0</v>
      </c>
      <c r="T131">
        <f>_xlfn.XLOOKUP(O131,Regcontabilizados[Identificador],Regcontabilizados[Debe],0)+_xlfn.XLOOKUP(P131&amp;"-"&amp;2,Regcontabilizados[Identificador],Regcontabilizados[Debe],0)+_xlfn.XLOOKUP(P131&amp;"-"&amp;3,Regcontabilizados[Identificador],Regcontabilizados[Debe],0)+_xlfn.XLOOKUP(P131&amp;"-"&amp;4,Regcontabilizados[Identificador],Regcontabilizados[Debe],0)+_xlfn.XLOOKUP(P131&amp;"-"&amp;5,Regcontabilizados[Identificador],Regcontabilizados[Debe],0)+_xlfn.XLOOKUP(P131&amp;"-"&amp;6,Regcontabilizados[Identificador],Regcontabilizados[Debe],0)+_xlfn.XLOOKUP(P131&amp;"-"&amp;7,Regcontabilizados[Identificador],Regcontabilizados[Debe],0)+_xlfn.XLOOKUP(P131&amp;"-"&amp;8,Regcontabilizados[Identificador],Regcontabilizados[Debe],0)+_xlfn.XLOOKUP(P131&amp;"-"&amp;9,Regcontabilizados[Identificador],Regcontabilizados[Debe],0)</f>
        <v>0</v>
      </c>
      <c r="U131">
        <f>SUMIF(Regcontabilizados[Número pago],Pagovtasbusc!P131,Regcontabilizados[Haber])</f>
        <v>0</v>
      </c>
      <c r="AA131" s="33" t="str">
        <f>IF(J131=0,"",   _xlfn.XLOOKUP(AB131,Regcontabilizados[Identificador],Regcontabilizados[Subcuenta],0))</f>
        <v/>
      </c>
      <c r="AB131" t="str">
        <f>IF(J131=0,"",   _xlfn.XLOOKUP($H$7,BDclient[ID-Cliente],BDclient[NIT/C.C.],0)&amp;D131&amp;$H$9&amp;"-"&amp;1)</f>
        <v/>
      </c>
      <c r="AC131" t="str">
        <f t="shared" si="14"/>
        <v/>
      </c>
      <c r="AD131" t="str">
        <f t="shared" si="15"/>
        <v>En Blanco</v>
      </c>
      <c r="AE131" t="str">
        <f>_xlfn.XLOOKUP($H$7,BDclient[ID-Cliente],BDclient[NIT/C.C.],0)&amp;$H$13&amp;$E$7&amp;"-"&amp;ROW(Z131)-21</f>
        <v>Comp. Ingreso-110</v>
      </c>
    </row>
    <row r="132" spans="3:31">
      <c r="C132" s="194"/>
      <c r="D132" s="206"/>
      <c r="E132" s="142"/>
      <c r="F132" s="195"/>
      <c r="G132" s="183"/>
      <c r="H132" s="37">
        <f t="shared" si="11"/>
        <v>0</v>
      </c>
      <c r="I132" s="37"/>
      <c r="J132" s="210">
        <f t="shared" si="12"/>
        <v>0</v>
      </c>
      <c r="K132" s="197"/>
      <c r="N132" s="33">
        <f t="shared" si="13"/>
        <v>0</v>
      </c>
      <c r="O132" t="str">
        <f>_xlfn.XLOOKUP($H$7,BDclient[ID-Cliente],BDclient[NIT/C.C.],0)&amp;$H$9&amp;$D132&amp;"-"&amp;1</f>
        <v>F. V.-1</v>
      </c>
      <c r="P132" t="str">
        <f t="shared" si="16"/>
        <v>F. V.</v>
      </c>
      <c r="Q132" t="str">
        <f>IF(N132="","",    _xlfn.XLOOKUP(P132,Regcontabilizados[Número pago],Regcontabilizados[Estado de pago],"NO PAGADO"))</f>
        <v>NO PAGADO</v>
      </c>
      <c r="R132" s="44">
        <f>_xlfn.XLOOKUP(O132,Regcontabilizados[Identificador],Regcontabilizados[Fecha vencimiento],0)</f>
        <v>0</v>
      </c>
      <c r="S132">
        <f>_xlfn.XLOOKUP(O132,Regcontabilizados[Identificador],Regcontabilizados[Subcuenta],0)</f>
        <v>0</v>
      </c>
      <c r="T132">
        <f>_xlfn.XLOOKUP(O132,Regcontabilizados[Identificador],Regcontabilizados[Debe],0)+_xlfn.XLOOKUP(P132&amp;"-"&amp;2,Regcontabilizados[Identificador],Regcontabilizados[Debe],0)+_xlfn.XLOOKUP(P132&amp;"-"&amp;3,Regcontabilizados[Identificador],Regcontabilizados[Debe],0)+_xlfn.XLOOKUP(P132&amp;"-"&amp;4,Regcontabilizados[Identificador],Regcontabilizados[Debe],0)+_xlfn.XLOOKUP(P132&amp;"-"&amp;5,Regcontabilizados[Identificador],Regcontabilizados[Debe],0)+_xlfn.XLOOKUP(P132&amp;"-"&amp;6,Regcontabilizados[Identificador],Regcontabilizados[Debe],0)+_xlfn.XLOOKUP(P132&amp;"-"&amp;7,Regcontabilizados[Identificador],Regcontabilizados[Debe],0)+_xlfn.XLOOKUP(P132&amp;"-"&amp;8,Regcontabilizados[Identificador],Regcontabilizados[Debe],0)+_xlfn.XLOOKUP(P132&amp;"-"&amp;9,Regcontabilizados[Identificador],Regcontabilizados[Debe],0)</f>
        <v>0</v>
      </c>
      <c r="U132">
        <f>SUMIF(Regcontabilizados[Número pago],Pagovtasbusc!P132,Regcontabilizados[Haber])</f>
        <v>0</v>
      </c>
      <c r="AA132" s="33" t="str">
        <f>IF(J132=0,"",   _xlfn.XLOOKUP(AB132,Regcontabilizados[Identificador],Regcontabilizados[Subcuenta],0))</f>
        <v/>
      </c>
      <c r="AB132" t="str">
        <f>IF(J132=0,"",   _xlfn.XLOOKUP($H$7,BDclient[ID-Cliente],BDclient[NIT/C.C.],0)&amp;D132&amp;$H$9&amp;"-"&amp;1)</f>
        <v/>
      </c>
      <c r="AC132" t="str">
        <f t="shared" si="14"/>
        <v/>
      </c>
      <c r="AD132" t="str">
        <f t="shared" si="15"/>
        <v>En Blanco</v>
      </c>
      <c r="AE132" t="str">
        <f>_xlfn.XLOOKUP($H$7,BDclient[ID-Cliente],BDclient[NIT/C.C.],0)&amp;$H$13&amp;$E$7&amp;"-"&amp;ROW(Z132)-21</f>
        <v>Comp. Ingreso-111</v>
      </c>
    </row>
    <row r="133" spans="3:31">
      <c r="C133" s="194"/>
      <c r="D133" s="206"/>
      <c r="E133" s="142"/>
      <c r="F133" s="195"/>
      <c r="G133" s="183"/>
      <c r="H133" s="37">
        <f t="shared" si="11"/>
        <v>0</v>
      </c>
      <c r="I133" s="37"/>
      <c r="J133" s="210">
        <f t="shared" si="12"/>
        <v>0</v>
      </c>
      <c r="K133" s="197"/>
      <c r="N133" s="33">
        <f t="shared" si="13"/>
        <v>0</v>
      </c>
      <c r="O133" t="str">
        <f>_xlfn.XLOOKUP($H$7,BDclient[ID-Cliente],BDclient[NIT/C.C.],0)&amp;$H$9&amp;$D133&amp;"-"&amp;1</f>
        <v>F. V.-1</v>
      </c>
      <c r="P133" t="str">
        <f t="shared" si="16"/>
        <v>F. V.</v>
      </c>
      <c r="Q133" t="str">
        <f>IF(N133="","",    _xlfn.XLOOKUP(P133,Regcontabilizados[Número pago],Regcontabilizados[Estado de pago],"NO PAGADO"))</f>
        <v>NO PAGADO</v>
      </c>
      <c r="R133" s="44">
        <f>_xlfn.XLOOKUP(O133,Regcontabilizados[Identificador],Regcontabilizados[Fecha vencimiento],0)</f>
        <v>0</v>
      </c>
      <c r="S133">
        <f>_xlfn.XLOOKUP(O133,Regcontabilizados[Identificador],Regcontabilizados[Subcuenta],0)</f>
        <v>0</v>
      </c>
      <c r="T133">
        <f>_xlfn.XLOOKUP(O133,Regcontabilizados[Identificador],Regcontabilizados[Debe],0)+_xlfn.XLOOKUP(P133&amp;"-"&amp;2,Regcontabilizados[Identificador],Regcontabilizados[Debe],0)+_xlfn.XLOOKUP(P133&amp;"-"&amp;3,Regcontabilizados[Identificador],Regcontabilizados[Debe],0)+_xlfn.XLOOKUP(P133&amp;"-"&amp;4,Regcontabilizados[Identificador],Regcontabilizados[Debe],0)+_xlfn.XLOOKUP(P133&amp;"-"&amp;5,Regcontabilizados[Identificador],Regcontabilizados[Debe],0)+_xlfn.XLOOKUP(P133&amp;"-"&amp;6,Regcontabilizados[Identificador],Regcontabilizados[Debe],0)+_xlfn.XLOOKUP(P133&amp;"-"&amp;7,Regcontabilizados[Identificador],Regcontabilizados[Debe],0)+_xlfn.XLOOKUP(P133&amp;"-"&amp;8,Regcontabilizados[Identificador],Regcontabilizados[Debe],0)+_xlfn.XLOOKUP(P133&amp;"-"&amp;9,Regcontabilizados[Identificador],Regcontabilizados[Debe],0)</f>
        <v>0</v>
      </c>
      <c r="U133">
        <f>SUMIF(Regcontabilizados[Número pago],Pagovtasbusc!P133,Regcontabilizados[Haber])</f>
        <v>0</v>
      </c>
      <c r="AA133" s="33" t="str">
        <f>IF(J133=0,"",   _xlfn.XLOOKUP(AB133,Regcontabilizados[Identificador],Regcontabilizados[Subcuenta],0))</f>
        <v/>
      </c>
      <c r="AB133" t="str">
        <f>IF(J133=0,"",   _xlfn.XLOOKUP($H$7,BDclient[ID-Cliente],BDclient[NIT/C.C.],0)&amp;D133&amp;$H$9&amp;"-"&amp;1)</f>
        <v/>
      </c>
      <c r="AC133" t="str">
        <f t="shared" si="14"/>
        <v/>
      </c>
      <c r="AD133" t="str">
        <f t="shared" si="15"/>
        <v>En Blanco</v>
      </c>
      <c r="AE133" t="str">
        <f>_xlfn.XLOOKUP($H$7,BDclient[ID-Cliente],BDclient[NIT/C.C.],0)&amp;$H$13&amp;$E$7&amp;"-"&amp;ROW(Z133)-21</f>
        <v>Comp. Ingreso-112</v>
      </c>
    </row>
    <row r="134" spans="3:31">
      <c r="C134" s="194"/>
      <c r="D134" s="206"/>
      <c r="E134" s="142"/>
      <c r="F134" s="195"/>
      <c r="G134" s="183"/>
      <c r="H134" s="37">
        <f t="shared" si="11"/>
        <v>0</v>
      </c>
      <c r="I134" s="37"/>
      <c r="J134" s="210">
        <f t="shared" si="12"/>
        <v>0</v>
      </c>
      <c r="K134" s="197"/>
      <c r="N134" s="33">
        <f t="shared" si="13"/>
        <v>0</v>
      </c>
      <c r="O134" t="str">
        <f>_xlfn.XLOOKUP($H$7,BDclient[ID-Cliente],BDclient[NIT/C.C.],0)&amp;$H$9&amp;$D134&amp;"-"&amp;1</f>
        <v>F. V.-1</v>
      </c>
      <c r="P134" t="str">
        <f t="shared" si="16"/>
        <v>F. V.</v>
      </c>
      <c r="Q134" t="str">
        <f>IF(N134="","",    _xlfn.XLOOKUP(P134,Regcontabilizados[Número pago],Regcontabilizados[Estado de pago],"NO PAGADO"))</f>
        <v>NO PAGADO</v>
      </c>
      <c r="R134" s="44">
        <f>_xlfn.XLOOKUP(O134,Regcontabilizados[Identificador],Regcontabilizados[Fecha vencimiento],0)</f>
        <v>0</v>
      </c>
      <c r="S134">
        <f>_xlfn.XLOOKUP(O134,Regcontabilizados[Identificador],Regcontabilizados[Subcuenta],0)</f>
        <v>0</v>
      </c>
      <c r="T134">
        <f>_xlfn.XLOOKUP(O134,Regcontabilizados[Identificador],Regcontabilizados[Debe],0)+_xlfn.XLOOKUP(P134&amp;"-"&amp;2,Regcontabilizados[Identificador],Regcontabilizados[Debe],0)+_xlfn.XLOOKUP(P134&amp;"-"&amp;3,Regcontabilizados[Identificador],Regcontabilizados[Debe],0)+_xlfn.XLOOKUP(P134&amp;"-"&amp;4,Regcontabilizados[Identificador],Regcontabilizados[Debe],0)+_xlfn.XLOOKUP(P134&amp;"-"&amp;5,Regcontabilizados[Identificador],Regcontabilizados[Debe],0)+_xlfn.XLOOKUP(P134&amp;"-"&amp;6,Regcontabilizados[Identificador],Regcontabilizados[Debe],0)+_xlfn.XLOOKUP(P134&amp;"-"&amp;7,Regcontabilizados[Identificador],Regcontabilizados[Debe],0)+_xlfn.XLOOKUP(P134&amp;"-"&amp;8,Regcontabilizados[Identificador],Regcontabilizados[Debe],0)+_xlfn.XLOOKUP(P134&amp;"-"&amp;9,Regcontabilizados[Identificador],Regcontabilizados[Debe],0)</f>
        <v>0</v>
      </c>
      <c r="U134">
        <f>SUMIF(Regcontabilizados[Número pago],Pagovtasbusc!P134,Regcontabilizados[Haber])</f>
        <v>0</v>
      </c>
      <c r="AA134" s="33" t="str">
        <f>IF(J134=0,"",   _xlfn.XLOOKUP(AB134,Regcontabilizados[Identificador],Regcontabilizados[Subcuenta],0))</f>
        <v/>
      </c>
      <c r="AB134" t="str">
        <f>IF(J134=0,"",   _xlfn.XLOOKUP($H$7,BDclient[ID-Cliente],BDclient[NIT/C.C.],0)&amp;D134&amp;$H$9&amp;"-"&amp;1)</f>
        <v/>
      </c>
      <c r="AC134" t="str">
        <f t="shared" si="14"/>
        <v/>
      </c>
      <c r="AD134" t="str">
        <f t="shared" si="15"/>
        <v>En Blanco</v>
      </c>
      <c r="AE134" t="str">
        <f>_xlfn.XLOOKUP($H$7,BDclient[ID-Cliente],BDclient[NIT/C.C.],0)&amp;$H$13&amp;$E$7&amp;"-"&amp;ROW(Z134)-21</f>
        <v>Comp. Ingreso-113</v>
      </c>
    </row>
    <row r="135" spans="3:31">
      <c r="C135" s="194"/>
      <c r="D135" s="206"/>
      <c r="E135" s="142"/>
      <c r="F135" s="195"/>
      <c r="G135" s="183"/>
      <c r="H135" s="37">
        <f t="shared" si="11"/>
        <v>0</v>
      </c>
      <c r="I135" s="37"/>
      <c r="J135" s="210">
        <f t="shared" si="12"/>
        <v>0</v>
      </c>
      <c r="K135" s="197"/>
      <c r="N135" s="33">
        <f t="shared" si="13"/>
        <v>0</v>
      </c>
      <c r="O135" t="str">
        <f>_xlfn.XLOOKUP($H$7,BDclient[ID-Cliente],BDclient[NIT/C.C.],0)&amp;$H$9&amp;$D135&amp;"-"&amp;1</f>
        <v>F. V.-1</v>
      </c>
      <c r="P135" t="str">
        <f t="shared" si="16"/>
        <v>F. V.</v>
      </c>
      <c r="Q135" t="str">
        <f>IF(N135="","",    _xlfn.XLOOKUP(P135,Regcontabilizados[Número pago],Regcontabilizados[Estado de pago],"NO PAGADO"))</f>
        <v>NO PAGADO</v>
      </c>
      <c r="R135" s="44">
        <f>_xlfn.XLOOKUP(O135,Regcontabilizados[Identificador],Regcontabilizados[Fecha vencimiento],0)</f>
        <v>0</v>
      </c>
      <c r="S135">
        <f>_xlfn.XLOOKUP(O135,Regcontabilizados[Identificador],Regcontabilizados[Subcuenta],0)</f>
        <v>0</v>
      </c>
      <c r="T135">
        <f>_xlfn.XLOOKUP(O135,Regcontabilizados[Identificador],Regcontabilizados[Debe],0)+_xlfn.XLOOKUP(P135&amp;"-"&amp;2,Regcontabilizados[Identificador],Regcontabilizados[Debe],0)+_xlfn.XLOOKUP(P135&amp;"-"&amp;3,Regcontabilizados[Identificador],Regcontabilizados[Debe],0)+_xlfn.XLOOKUP(P135&amp;"-"&amp;4,Regcontabilizados[Identificador],Regcontabilizados[Debe],0)+_xlfn.XLOOKUP(P135&amp;"-"&amp;5,Regcontabilizados[Identificador],Regcontabilizados[Debe],0)+_xlfn.XLOOKUP(P135&amp;"-"&amp;6,Regcontabilizados[Identificador],Regcontabilizados[Debe],0)+_xlfn.XLOOKUP(P135&amp;"-"&amp;7,Regcontabilizados[Identificador],Regcontabilizados[Debe],0)+_xlfn.XLOOKUP(P135&amp;"-"&amp;8,Regcontabilizados[Identificador],Regcontabilizados[Debe],0)+_xlfn.XLOOKUP(P135&amp;"-"&amp;9,Regcontabilizados[Identificador],Regcontabilizados[Debe],0)</f>
        <v>0</v>
      </c>
      <c r="U135">
        <f>SUMIF(Regcontabilizados[Número pago],Pagovtasbusc!P135,Regcontabilizados[Haber])</f>
        <v>0</v>
      </c>
      <c r="AA135" s="33" t="str">
        <f>IF(J135=0,"",   _xlfn.XLOOKUP(AB135,Regcontabilizados[Identificador],Regcontabilizados[Subcuenta],0))</f>
        <v/>
      </c>
      <c r="AB135" t="str">
        <f>IF(J135=0,"",   _xlfn.XLOOKUP($H$7,BDclient[ID-Cliente],BDclient[NIT/C.C.],0)&amp;D135&amp;$H$9&amp;"-"&amp;1)</f>
        <v/>
      </c>
      <c r="AC135" t="str">
        <f t="shared" si="14"/>
        <v/>
      </c>
      <c r="AD135" t="str">
        <f t="shared" si="15"/>
        <v>En Blanco</v>
      </c>
      <c r="AE135" t="str">
        <f>_xlfn.XLOOKUP($H$7,BDclient[ID-Cliente],BDclient[NIT/C.C.],0)&amp;$H$13&amp;$E$7&amp;"-"&amp;ROW(Z135)-21</f>
        <v>Comp. Ingreso-114</v>
      </c>
    </row>
    <row r="136" spans="3:31">
      <c r="C136" s="194"/>
      <c r="D136" s="206"/>
      <c r="E136" s="142"/>
      <c r="F136" s="195"/>
      <c r="G136" s="183"/>
      <c r="H136" s="37">
        <f t="shared" si="11"/>
        <v>0</v>
      </c>
      <c r="I136" s="37"/>
      <c r="J136" s="210">
        <f t="shared" si="12"/>
        <v>0</v>
      </c>
      <c r="K136" s="197"/>
      <c r="N136" s="33">
        <f t="shared" si="13"/>
        <v>0</v>
      </c>
      <c r="O136" t="str">
        <f>_xlfn.XLOOKUP($H$7,BDclient[ID-Cliente],BDclient[NIT/C.C.],0)&amp;$H$9&amp;$D136&amp;"-"&amp;1</f>
        <v>F. V.-1</v>
      </c>
      <c r="P136" t="str">
        <f t="shared" si="16"/>
        <v>F. V.</v>
      </c>
      <c r="Q136" t="str">
        <f>IF(N136="","",    _xlfn.XLOOKUP(P136,Regcontabilizados[Número pago],Regcontabilizados[Estado de pago],"NO PAGADO"))</f>
        <v>NO PAGADO</v>
      </c>
      <c r="R136" s="44">
        <f>_xlfn.XLOOKUP(O136,Regcontabilizados[Identificador],Regcontabilizados[Fecha vencimiento],0)</f>
        <v>0</v>
      </c>
      <c r="S136">
        <f>_xlfn.XLOOKUP(O136,Regcontabilizados[Identificador],Regcontabilizados[Subcuenta],0)</f>
        <v>0</v>
      </c>
      <c r="T136">
        <f>_xlfn.XLOOKUP(O136,Regcontabilizados[Identificador],Regcontabilizados[Debe],0)+_xlfn.XLOOKUP(P136&amp;"-"&amp;2,Regcontabilizados[Identificador],Regcontabilizados[Debe],0)+_xlfn.XLOOKUP(P136&amp;"-"&amp;3,Regcontabilizados[Identificador],Regcontabilizados[Debe],0)+_xlfn.XLOOKUP(P136&amp;"-"&amp;4,Regcontabilizados[Identificador],Regcontabilizados[Debe],0)+_xlfn.XLOOKUP(P136&amp;"-"&amp;5,Regcontabilizados[Identificador],Regcontabilizados[Debe],0)+_xlfn.XLOOKUP(P136&amp;"-"&amp;6,Regcontabilizados[Identificador],Regcontabilizados[Debe],0)+_xlfn.XLOOKUP(P136&amp;"-"&amp;7,Regcontabilizados[Identificador],Regcontabilizados[Debe],0)+_xlfn.XLOOKUP(P136&amp;"-"&amp;8,Regcontabilizados[Identificador],Regcontabilizados[Debe],0)+_xlfn.XLOOKUP(P136&amp;"-"&amp;9,Regcontabilizados[Identificador],Regcontabilizados[Debe],0)</f>
        <v>0</v>
      </c>
      <c r="U136">
        <f>SUMIF(Regcontabilizados[Número pago],Pagovtasbusc!P136,Regcontabilizados[Haber])</f>
        <v>0</v>
      </c>
      <c r="AA136" s="33" t="str">
        <f>IF(J136=0,"",   _xlfn.XLOOKUP(AB136,Regcontabilizados[Identificador],Regcontabilizados[Subcuenta],0))</f>
        <v/>
      </c>
      <c r="AB136" t="str">
        <f>IF(J136=0,"",   _xlfn.XLOOKUP($H$7,BDclient[ID-Cliente],BDclient[NIT/C.C.],0)&amp;D136&amp;$H$9&amp;"-"&amp;1)</f>
        <v/>
      </c>
      <c r="AC136" t="str">
        <f t="shared" si="14"/>
        <v/>
      </c>
      <c r="AD136" t="str">
        <f t="shared" si="15"/>
        <v>En Blanco</v>
      </c>
      <c r="AE136" t="str">
        <f>_xlfn.XLOOKUP($H$7,BDclient[ID-Cliente],BDclient[NIT/C.C.],0)&amp;$H$13&amp;$E$7&amp;"-"&amp;ROW(Z136)-21</f>
        <v>Comp. Ingreso-115</v>
      </c>
    </row>
    <row r="137" spans="3:31">
      <c r="C137" s="194"/>
      <c r="D137" s="206"/>
      <c r="E137" s="142"/>
      <c r="F137" s="195"/>
      <c r="G137" s="183"/>
      <c r="H137" s="37">
        <f t="shared" si="11"/>
        <v>0</v>
      </c>
      <c r="I137" s="37"/>
      <c r="J137" s="210">
        <f t="shared" si="12"/>
        <v>0</v>
      </c>
      <c r="K137" s="197"/>
      <c r="N137" s="33">
        <f t="shared" si="13"/>
        <v>0</v>
      </c>
      <c r="O137" t="str">
        <f>_xlfn.XLOOKUP($H$7,BDclient[ID-Cliente],BDclient[NIT/C.C.],0)&amp;$H$9&amp;$D137&amp;"-"&amp;1</f>
        <v>F. V.-1</v>
      </c>
      <c r="P137" t="str">
        <f t="shared" si="16"/>
        <v>F. V.</v>
      </c>
      <c r="Q137" t="str">
        <f>IF(N137="","",    _xlfn.XLOOKUP(P137,Regcontabilizados[Número pago],Regcontabilizados[Estado de pago],"NO PAGADO"))</f>
        <v>NO PAGADO</v>
      </c>
      <c r="R137" s="44">
        <f>_xlfn.XLOOKUP(O137,Regcontabilizados[Identificador],Regcontabilizados[Fecha vencimiento],0)</f>
        <v>0</v>
      </c>
      <c r="S137">
        <f>_xlfn.XLOOKUP(O137,Regcontabilizados[Identificador],Regcontabilizados[Subcuenta],0)</f>
        <v>0</v>
      </c>
      <c r="T137">
        <f>_xlfn.XLOOKUP(O137,Regcontabilizados[Identificador],Regcontabilizados[Debe],0)+_xlfn.XLOOKUP(P137&amp;"-"&amp;2,Regcontabilizados[Identificador],Regcontabilizados[Debe],0)+_xlfn.XLOOKUP(P137&amp;"-"&amp;3,Regcontabilizados[Identificador],Regcontabilizados[Debe],0)+_xlfn.XLOOKUP(P137&amp;"-"&amp;4,Regcontabilizados[Identificador],Regcontabilizados[Debe],0)+_xlfn.XLOOKUP(P137&amp;"-"&amp;5,Regcontabilizados[Identificador],Regcontabilizados[Debe],0)+_xlfn.XLOOKUP(P137&amp;"-"&amp;6,Regcontabilizados[Identificador],Regcontabilizados[Debe],0)+_xlfn.XLOOKUP(P137&amp;"-"&amp;7,Regcontabilizados[Identificador],Regcontabilizados[Debe],0)+_xlfn.XLOOKUP(P137&amp;"-"&amp;8,Regcontabilizados[Identificador],Regcontabilizados[Debe],0)+_xlfn.XLOOKUP(P137&amp;"-"&amp;9,Regcontabilizados[Identificador],Regcontabilizados[Debe],0)</f>
        <v>0</v>
      </c>
      <c r="U137">
        <f>SUMIF(Regcontabilizados[Número pago],Pagovtasbusc!P137,Regcontabilizados[Haber])</f>
        <v>0</v>
      </c>
      <c r="AA137" s="33" t="str">
        <f>IF(J137=0,"",   _xlfn.XLOOKUP(AB137,Regcontabilizados[Identificador],Regcontabilizados[Subcuenta],0))</f>
        <v/>
      </c>
      <c r="AB137" t="str">
        <f>IF(J137=0,"",   _xlfn.XLOOKUP($H$7,BDclient[ID-Cliente],BDclient[NIT/C.C.],0)&amp;D137&amp;$H$9&amp;"-"&amp;1)</f>
        <v/>
      </c>
      <c r="AC137" t="str">
        <f t="shared" si="14"/>
        <v/>
      </c>
      <c r="AD137" t="str">
        <f t="shared" si="15"/>
        <v>En Blanco</v>
      </c>
      <c r="AE137" t="str">
        <f>_xlfn.XLOOKUP($H$7,BDclient[ID-Cliente],BDclient[NIT/C.C.],0)&amp;$H$13&amp;$E$7&amp;"-"&amp;ROW(Z137)-21</f>
        <v>Comp. Ingreso-116</v>
      </c>
    </row>
    <row r="138" spans="3:31">
      <c r="C138" s="194"/>
      <c r="D138" s="206"/>
      <c r="E138" s="142"/>
      <c r="F138" s="195"/>
      <c r="G138" s="183"/>
      <c r="H138" s="37">
        <f t="shared" si="11"/>
        <v>0</v>
      </c>
      <c r="I138" s="37"/>
      <c r="J138" s="210">
        <f t="shared" si="12"/>
        <v>0</v>
      </c>
      <c r="K138" s="197"/>
      <c r="N138" s="33">
        <f t="shared" si="13"/>
        <v>0</v>
      </c>
      <c r="O138" t="str">
        <f>_xlfn.XLOOKUP($H$7,BDclient[ID-Cliente],BDclient[NIT/C.C.],0)&amp;$H$9&amp;$D138&amp;"-"&amp;1</f>
        <v>F. V.-1</v>
      </c>
      <c r="P138" t="str">
        <f t="shared" si="16"/>
        <v>F. V.</v>
      </c>
      <c r="Q138" t="str">
        <f>IF(N138="","",    _xlfn.XLOOKUP(P138,Regcontabilizados[Número pago],Regcontabilizados[Estado de pago],"NO PAGADO"))</f>
        <v>NO PAGADO</v>
      </c>
      <c r="R138" s="44">
        <f>_xlfn.XLOOKUP(O138,Regcontabilizados[Identificador],Regcontabilizados[Fecha vencimiento],0)</f>
        <v>0</v>
      </c>
      <c r="S138">
        <f>_xlfn.XLOOKUP(O138,Regcontabilizados[Identificador],Regcontabilizados[Subcuenta],0)</f>
        <v>0</v>
      </c>
      <c r="T138">
        <f>_xlfn.XLOOKUP(O138,Regcontabilizados[Identificador],Regcontabilizados[Debe],0)+_xlfn.XLOOKUP(P138&amp;"-"&amp;2,Regcontabilizados[Identificador],Regcontabilizados[Debe],0)+_xlfn.XLOOKUP(P138&amp;"-"&amp;3,Regcontabilizados[Identificador],Regcontabilizados[Debe],0)+_xlfn.XLOOKUP(P138&amp;"-"&amp;4,Regcontabilizados[Identificador],Regcontabilizados[Debe],0)+_xlfn.XLOOKUP(P138&amp;"-"&amp;5,Regcontabilizados[Identificador],Regcontabilizados[Debe],0)+_xlfn.XLOOKUP(P138&amp;"-"&amp;6,Regcontabilizados[Identificador],Regcontabilizados[Debe],0)+_xlfn.XLOOKUP(P138&amp;"-"&amp;7,Regcontabilizados[Identificador],Regcontabilizados[Debe],0)+_xlfn.XLOOKUP(P138&amp;"-"&amp;8,Regcontabilizados[Identificador],Regcontabilizados[Debe],0)+_xlfn.XLOOKUP(P138&amp;"-"&amp;9,Regcontabilizados[Identificador],Regcontabilizados[Debe],0)</f>
        <v>0</v>
      </c>
      <c r="U138">
        <f>SUMIF(Regcontabilizados[Número pago],Pagovtasbusc!P138,Regcontabilizados[Haber])</f>
        <v>0</v>
      </c>
      <c r="AA138" s="33" t="str">
        <f>IF(J138=0,"",   _xlfn.XLOOKUP(AB138,Regcontabilizados[Identificador],Regcontabilizados[Subcuenta],0))</f>
        <v/>
      </c>
      <c r="AB138" t="str">
        <f>IF(J138=0,"",   _xlfn.XLOOKUP($H$7,BDclient[ID-Cliente],BDclient[NIT/C.C.],0)&amp;D138&amp;$H$9&amp;"-"&amp;1)</f>
        <v/>
      </c>
      <c r="AC138" t="str">
        <f t="shared" si="14"/>
        <v/>
      </c>
      <c r="AD138" t="str">
        <f t="shared" si="15"/>
        <v>En Blanco</v>
      </c>
      <c r="AE138" t="str">
        <f>_xlfn.XLOOKUP($H$7,BDclient[ID-Cliente],BDclient[NIT/C.C.],0)&amp;$H$13&amp;$E$7&amp;"-"&amp;ROW(Z138)-21</f>
        <v>Comp. Ingreso-117</v>
      </c>
    </row>
    <row r="139" spans="3:31">
      <c r="C139" s="194"/>
      <c r="D139" s="206"/>
      <c r="E139" s="142"/>
      <c r="F139" s="195"/>
      <c r="G139" s="183"/>
      <c r="H139" s="37">
        <f t="shared" si="11"/>
        <v>0</v>
      </c>
      <c r="I139" s="37"/>
      <c r="J139" s="210">
        <f t="shared" si="12"/>
        <v>0</v>
      </c>
      <c r="K139" s="197"/>
      <c r="N139" s="33">
        <f t="shared" si="13"/>
        <v>0</v>
      </c>
      <c r="O139" t="str">
        <f>_xlfn.XLOOKUP($H$7,BDclient[ID-Cliente],BDclient[NIT/C.C.],0)&amp;$H$9&amp;$D139&amp;"-"&amp;1</f>
        <v>F. V.-1</v>
      </c>
      <c r="P139" t="str">
        <f t="shared" si="16"/>
        <v>F. V.</v>
      </c>
      <c r="Q139" t="str">
        <f>IF(N139="","",    _xlfn.XLOOKUP(P139,Regcontabilizados[Número pago],Regcontabilizados[Estado de pago],"NO PAGADO"))</f>
        <v>NO PAGADO</v>
      </c>
      <c r="R139" s="44">
        <f>_xlfn.XLOOKUP(O139,Regcontabilizados[Identificador],Regcontabilizados[Fecha vencimiento],0)</f>
        <v>0</v>
      </c>
      <c r="S139">
        <f>_xlfn.XLOOKUP(O139,Regcontabilizados[Identificador],Regcontabilizados[Subcuenta],0)</f>
        <v>0</v>
      </c>
      <c r="T139">
        <f>_xlfn.XLOOKUP(O139,Regcontabilizados[Identificador],Regcontabilizados[Debe],0)+_xlfn.XLOOKUP(P139&amp;"-"&amp;2,Regcontabilizados[Identificador],Regcontabilizados[Debe],0)+_xlfn.XLOOKUP(P139&amp;"-"&amp;3,Regcontabilizados[Identificador],Regcontabilizados[Debe],0)+_xlfn.XLOOKUP(P139&amp;"-"&amp;4,Regcontabilizados[Identificador],Regcontabilizados[Debe],0)+_xlfn.XLOOKUP(P139&amp;"-"&amp;5,Regcontabilizados[Identificador],Regcontabilizados[Debe],0)+_xlfn.XLOOKUP(P139&amp;"-"&amp;6,Regcontabilizados[Identificador],Regcontabilizados[Debe],0)+_xlfn.XLOOKUP(P139&amp;"-"&amp;7,Regcontabilizados[Identificador],Regcontabilizados[Debe],0)+_xlfn.XLOOKUP(P139&amp;"-"&amp;8,Regcontabilizados[Identificador],Regcontabilizados[Debe],0)+_xlfn.XLOOKUP(P139&amp;"-"&amp;9,Regcontabilizados[Identificador],Regcontabilizados[Debe],0)</f>
        <v>0</v>
      </c>
      <c r="U139">
        <f>SUMIF(Regcontabilizados[Número pago],Pagovtasbusc!P139,Regcontabilizados[Haber])</f>
        <v>0</v>
      </c>
      <c r="AA139" s="33" t="str">
        <f>IF(J139=0,"",   _xlfn.XLOOKUP(AB139,Regcontabilizados[Identificador],Regcontabilizados[Subcuenta],0))</f>
        <v/>
      </c>
      <c r="AB139" t="str">
        <f>IF(J139=0,"",   _xlfn.XLOOKUP($H$7,BDclient[ID-Cliente],BDclient[NIT/C.C.],0)&amp;D139&amp;$H$9&amp;"-"&amp;1)</f>
        <v/>
      </c>
      <c r="AC139" t="str">
        <f t="shared" si="14"/>
        <v/>
      </c>
      <c r="AD139" t="str">
        <f t="shared" si="15"/>
        <v>En Blanco</v>
      </c>
      <c r="AE139" t="str">
        <f>_xlfn.XLOOKUP($H$7,BDclient[ID-Cliente],BDclient[NIT/C.C.],0)&amp;$H$13&amp;$E$7&amp;"-"&amp;ROW(Z139)-21</f>
        <v>Comp. Ingreso-118</v>
      </c>
    </row>
    <row r="140" spans="3:31">
      <c r="C140" s="194"/>
      <c r="D140" s="206"/>
      <c r="E140" s="142"/>
      <c r="F140" s="195"/>
      <c r="G140" s="183"/>
      <c r="H140" s="37">
        <f t="shared" si="11"/>
        <v>0</v>
      </c>
      <c r="I140" s="37"/>
      <c r="J140" s="210">
        <f t="shared" si="12"/>
        <v>0</v>
      </c>
      <c r="K140" s="197"/>
      <c r="N140" s="33">
        <f t="shared" si="13"/>
        <v>0</v>
      </c>
      <c r="O140" t="str">
        <f>_xlfn.XLOOKUP($H$7,BDclient[ID-Cliente],BDclient[NIT/C.C.],0)&amp;$H$9&amp;$D140&amp;"-"&amp;1</f>
        <v>F. V.-1</v>
      </c>
      <c r="P140" t="str">
        <f t="shared" si="16"/>
        <v>F. V.</v>
      </c>
      <c r="Q140" t="str">
        <f>IF(N140="","",    _xlfn.XLOOKUP(P140,Regcontabilizados[Número pago],Regcontabilizados[Estado de pago],"NO PAGADO"))</f>
        <v>NO PAGADO</v>
      </c>
      <c r="R140" s="44">
        <f>_xlfn.XLOOKUP(O140,Regcontabilizados[Identificador],Regcontabilizados[Fecha vencimiento],0)</f>
        <v>0</v>
      </c>
      <c r="S140">
        <f>_xlfn.XLOOKUP(O140,Regcontabilizados[Identificador],Regcontabilizados[Subcuenta],0)</f>
        <v>0</v>
      </c>
      <c r="T140">
        <f>_xlfn.XLOOKUP(O140,Regcontabilizados[Identificador],Regcontabilizados[Debe],0)+_xlfn.XLOOKUP(P140&amp;"-"&amp;2,Regcontabilizados[Identificador],Regcontabilizados[Debe],0)+_xlfn.XLOOKUP(P140&amp;"-"&amp;3,Regcontabilizados[Identificador],Regcontabilizados[Debe],0)+_xlfn.XLOOKUP(P140&amp;"-"&amp;4,Regcontabilizados[Identificador],Regcontabilizados[Debe],0)+_xlfn.XLOOKUP(P140&amp;"-"&amp;5,Regcontabilizados[Identificador],Regcontabilizados[Debe],0)+_xlfn.XLOOKUP(P140&amp;"-"&amp;6,Regcontabilizados[Identificador],Regcontabilizados[Debe],0)+_xlfn.XLOOKUP(P140&amp;"-"&amp;7,Regcontabilizados[Identificador],Regcontabilizados[Debe],0)+_xlfn.XLOOKUP(P140&amp;"-"&amp;8,Regcontabilizados[Identificador],Regcontabilizados[Debe],0)+_xlfn.XLOOKUP(P140&amp;"-"&amp;9,Regcontabilizados[Identificador],Regcontabilizados[Debe],0)</f>
        <v>0</v>
      </c>
      <c r="U140">
        <f>SUMIF(Regcontabilizados[Número pago],Pagovtasbusc!P140,Regcontabilizados[Haber])</f>
        <v>0</v>
      </c>
      <c r="AA140" s="33" t="str">
        <f>IF(J140=0,"",   _xlfn.XLOOKUP(AB140,Regcontabilizados[Identificador],Regcontabilizados[Subcuenta],0))</f>
        <v/>
      </c>
      <c r="AB140" t="str">
        <f>IF(J140=0,"",   _xlfn.XLOOKUP($H$7,BDclient[ID-Cliente],BDclient[NIT/C.C.],0)&amp;D140&amp;$H$9&amp;"-"&amp;1)</f>
        <v/>
      </c>
      <c r="AC140" t="str">
        <f t="shared" si="14"/>
        <v/>
      </c>
      <c r="AD140" t="str">
        <f t="shared" si="15"/>
        <v>En Blanco</v>
      </c>
      <c r="AE140" t="str">
        <f>_xlfn.XLOOKUP($H$7,BDclient[ID-Cliente],BDclient[NIT/C.C.],0)&amp;$H$13&amp;$E$7&amp;"-"&amp;ROW(Z140)-21</f>
        <v>Comp. Ingreso-119</v>
      </c>
    </row>
    <row r="141" spans="3:31">
      <c r="C141" s="194"/>
      <c r="D141" s="206"/>
      <c r="E141" s="142"/>
      <c r="F141" s="195"/>
      <c r="G141" s="183"/>
      <c r="H141" s="37">
        <f t="shared" si="11"/>
        <v>0</v>
      </c>
      <c r="I141" s="37"/>
      <c r="J141" s="210">
        <f t="shared" si="12"/>
        <v>0</v>
      </c>
      <c r="K141" s="197"/>
      <c r="N141" s="33">
        <f t="shared" si="13"/>
        <v>0</v>
      </c>
      <c r="O141" t="str">
        <f>_xlfn.XLOOKUP($H$7,BDclient[ID-Cliente],BDclient[NIT/C.C.],0)&amp;$H$9&amp;$D141&amp;"-"&amp;1</f>
        <v>F. V.-1</v>
      </c>
      <c r="P141" t="str">
        <f t="shared" si="16"/>
        <v>F. V.</v>
      </c>
      <c r="Q141" t="str">
        <f>IF(N141="","",    _xlfn.XLOOKUP(P141,Regcontabilizados[Número pago],Regcontabilizados[Estado de pago],"NO PAGADO"))</f>
        <v>NO PAGADO</v>
      </c>
      <c r="R141" s="44">
        <f>_xlfn.XLOOKUP(O141,Regcontabilizados[Identificador],Regcontabilizados[Fecha vencimiento],0)</f>
        <v>0</v>
      </c>
      <c r="S141">
        <f>_xlfn.XLOOKUP(O141,Regcontabilizados[Identificador],Regcontabilizados[Subcuenta],0)</f>
        <v>0</v>
      </c>
      <c r="T141">
        <f>_xlfn.XLOOKUP(O141,Regcontabilizados[Identificador],Regcontabilizados[Debe],0)+_xlfn.XLOOKUP(P141&amp;"-"&amp;2,Regcontabilizados[Identificador],Regcontabilizados[Debe],0)+_xlfn.XLOOKUP(P141&amp;"-"&amp;3,Regcontabilizados[Identificador],Regcontabilizados[Debe],0)+_xlfn.XLOOKUP(P141&amp;"-"&amp;4,Regcontabilizados[Identificador],Regcontabilizados[Debe],0)+_xlfn.XLOOKUP(P141&amp;"-"&amp;5,Regcontabilizados[Identificador],Regcontabilizados[Debe],0)+_xlfn.XLOOKUP(P141&amp;"-"&amp;6,Regcontabilizados[Identificador],Regcontabilizados[Debe],0)+_xlfn.XLOOKUP(P141&amp;"-"&amp;7,Regcontabilizados[Identificador],Regcontabilizados[Debe],0)+_xlfn.XLOOKUP(P141&amp;"-"&amp;8,Regcontabilizados[Identificador],Regcontabilizados[Debe],0)+_xlfn.XLOOKUP(P141&amp;"-"&amp;9,Regcontabilizados[Identificador],Regcontabilizados[Debe],0)</f>
        <v>0</v>
      </c>
      <c r="U141">
        <f>SUMIF(Regcontabilizados[Número pago],Pagovtasbusc!P141,Regcontabilizados[Haber])</f>
        <v>0</v>
      </c>
    </row>
    <row r="142" spans="3:31" ht="13.5" thickBot="1">
      <c r="C142" s="194"/>
      <c r="D142" s="184"/>
      <c r="E142" s="205"/>
      <c r="F142" s="202"/>
      <c r="G142" s="187"/>
      <c r="H142" s="37">
        <f t="shared" si="11"/>
        <v>0</v>
      </c>
      <c r="I142" s="188"/>
      <c r="J142" s="210">
        <f t="shared" si="12"/>
        <v>0</v>
      </c>
      <c r="K142" s="197"/>
      <c r="N142" s="33">
        <f t="shared" si="13"/>
        <v>0</v>
      </c>
      <c r="O142" t="str">
        <f>_xlfn.XLOOKUP($H$7,BDclient[ID-Cliente],BDclient[NIT/C.C.],0)&amp;$H$9&amp;$D142&amp;"-"&amp;1</f>
        <v>F. V.-1</v>
      </c>
      <c r="P142" t="str">
        <f t="shared" si="16"/>
        <v>F. V.</v>
      </c>
      <c r="Q142" t="str">
        <f>IF(N142="","",    _xlfn.XLOOKUP(P142,Regcontabilizados[Número pago],Regcontabilizados[Estado de pago],"NO PAGADO"))</f>
        <v>NO PAGADO</v>
      </c>
      <c r="R142" s="44">
        <f>_xlfn.XLOOKUP(O142,Regcontabilizados[Identificador],Regcontabilizados[Fecha vencimiento],0)</f>
        <v>0</v>
      </c>
      <c r="S142">
        <f>_xlfn.XLOOKUP(O142,Regcontabilizados[Identificador],Regcontabilizados[Subcuenta],0)</f>
        <v>0</v>
      </c>
      <c r="T142">
        <f>_xlfn.XLOOKUP(O142,Regcontabilizados[Identificador],Regcontabilizados[Debe],0)+_xlfn.XLOOKUP(P142&amp;"-"&amp;2,Regcontabilizados[Identificador],Regcontabilizados[Debe],0)+_xlfn.XLOOKUP(P142&amp;"-"&amp;3,Regcontabilizados[Identificador],Regcontabilizados[Debe],0)+_xlfn.XLOOKUP(P142&amp;"-"&amp;4,Regcontabilizados[Identificador],Regcontabilizados[Debe],0)+_xlfn.XLOOKUP(P142&amp;"-"&amp;5,Regcontabilizados[Identificador],Regcontabilizados[Debe],0)+_xlfn.XLOOKUP(P142&amp;"-"&amp;6,Regcontabilizados[Identificador],Regcontabilizados[Debe],0)+_xlfn.XLOOKUP(P142&amp;"-"&amp;7,Regcontabilizados[Identificador],Regcontabilizados[Debe],0)+_xlfn.XLOOKUP(P142&amp;"-"&amp;8,Regcontabilizados[Identificador],Regcontabilizados[Debe],0)+_xlfn.XLOOKUP(P142&amp;"-"&amp;9,Regcontabilizados[Identificador],Regcontabilizados[Debe],0)</f>
        <v>0</v>
      </c>
      <c r="U142">
        <f>SUMIF(Regcontabilizados[Número pago],Pagovtasbusc!P142,Regcontabilizados[Haber])</f>
        <v>0</v>
      </c>
    </row>
    <row r="143" spans="3:31">
      <c r="C143" s="194"/>
      <c r="D143" s="105"/>
      <c r="E143" s="105"/>
      <c r="G143" s="183"/>
      <c r="K143" s="197"/>
    </row>
    <row r="144" spans="3:31">
      <c r="C144" s="194"/>
      <c r="D144" s="105"/>
      <c r="E144" s="105"/>
      <c r="G144" s="183"/>
      <c r="K144" s="197"/>
    </row>
    <row r="145" spans="3:11">
      <c r="C145" s="194"/>
      <c r="D145" s="105"/>
      <c r="E145" s="105"/>
      <c r="G145" s="183"/>
      <c r="K145" s="197"/>
    </row>
    <row r="146" spans="3:11" ht="13.5" thickBot="1">
      <c r="C146" s="199"/>
      <c r="D146" s="185"/>
      <c r="E146" s="185"/>
      <c r="F146" s="186"/>
      <c r="G146" s="187"/>
      <c r="H146" s="186"/>
      <c r="I146" s="186"/>
      <c r="J146" s="186"/>
      <c r="K146" s="200"/>
    </row>
    <row r="147" spans="3:11">
      <c r="D147" s="105"/>
      <c r="E147" s="105"/>
    </row>
    <row r="148" spans="3:11">
      <c r="D148" s="105"/>
      <c r="E148" s="105"/>
    </row>
    <row r="149" spans="3:11">
      <c r="D149" s="105"/>
      <c r="E149" s="105"/>
    </row>
    <row r="150" spans="3:11">
      <c r="D150" s="105"/>
      <c r="E150" s="105"/>
    </row>
    <row r="151" spans="3:11">
      <c r="D151" s="105"/>
      <c r="E151" s="105"/>
    </row>
    <row r="152" spans="3:11">
      <c r="D152" s="105"/>
      <c r="E152" s="105"/>
    </row>
    <row r="153" spans="3:11">
      <c r="D153" s="105"/>
      <c r="E153" s="105"/>
    </row>
    <row r="154" spans="3:11">
      <c r="D154" s="105"/>
      <c r="E154" s="105"/>
    </row>
    <row r="155" spans="3:11">
      <c r="D155" s="105"/>
      <c r="E155" s="105"/>
    </row>
    <row r="156" spans="3:11">
      <c r="D156" s="105"/>
      <c r="E156" s="105"/>
    </row>
    <row r="157" spans="3:11">
      <c r="D157" s="105"/>
      <c r="E157" s="105"/>
    </row>
    <row r="158" spans="3:11">
      <c r="D158" s="105"/>
      <c r="E158" s="105"/>
    </row>
    <row r="159" spans="3:11">
      <c r="D159" s="105"/>
      <c r="E159" s="105"/>
    </row>
    <row r="160" spans="3:11">
      <c r="D160" s="105"/>
      <c r="E160" s="105"/>
    </row>
    <row r="161" spans="4:5">
      <c r="D161" s="105"/>
      <c r="E161" s="105"/>
    </row>
    <row r="162" spans="4:5">
      <c r="D162" s="105"/>
      <c r="E162" s="105"/>
    </row>
    <row r="163" spans="4:5">
      <c r="D163" s="105"/>
      <c r="E163" s="105"/>
    </row>
    <row r="164" spans="4:5">
      <c r="D164" s="105"/>
      <c r="E164" s="105"/>
    </row>
    <row r="165" spans="4:5">
      <c r="D165" s="105"/>
      <c r="E165" s="105"/>
    </row>
    <row r="166" spans="4:5">
      <c r="D166" s="105"/>
      <c r="E166" s="105"/>
    </row>
    <row r="167" spans="4:5">
      <c r="D167" s="105"/>
      <c r="E167" s="105"/>
    </row>
    <row r="168" spans="4:5">
      <c r="D168" s="105"/>
      <c r="E168" s="105"/>
    </row>
    <row r="169" spans="4:5">
      <c r="D169" s="105"/>
      <c r="E169" s="105"/>
    </row>
    <row r="170" spans="4:5">
      <c r="D170" s="105"/>
      <c r="E170" s="105"/>
    </row>
    <row r="171" spans="4:5">
      <c r="D171" s="105"/>
      <c r="E171" s="105"/>
    </row>
    <row r="172" spans="4:5">
      <c r="D172" s="105"/>
      <c r="E172" s="105"/>
    </row>
    <row r="173" spans="4:5">
      <c r="D173" s="105"/>
      <c r="E173" s="105"/>
    </row>
    <row r="174" spans="4:5">
      <c r="D174" s="105"/>
      <c r="E174" s="105"/>
    </row>
    <row r="175" spans="4:5">
      <c r="D175" s="105"/>
      <c r="E175" s="105"/>
    </row>
    <row r="176" spans="4:5">
      <c r="D176" s="105"/>
      <c r="E176" s="105"/>
    </row>
    <row r="177" spans="4:5">
      <c r="D177" s="105"/>
      <c r="E177" s="105"/>
    </row>
    <row r="178" spans="4:5">
      <c r="D178" s="105"/>
      <c r="E178" s="105"/>
    </row>
    <row r="179" spans="4:5">
      <c r="D179" s="105"/>
      <c r="E179" s="105"/>
    </row>
    <row r="180" spans="4:5">
      <c r="D180" s="105"/>
      <c r="E180" s="105"/>
    </row>
    <row r="181" spans="4:5">
      <c r="D181" s="105"/>
      <c r="E181" s="105"/>
    </row>
    <row r="182" spans="4:5">
      <c r="D182" s="105"/>
      <c r="E182" s="105"/>
    </row>
    <row r="183" spans="4:5">
      <c r="D183" s="105"/>
      <c r="E183" s="105"/>
    </row>
    <row r="184" spans="4:5">
      <c r="D184" s="105"/>
      <c r="E184" s="105"/>
    </row>
    <row r="185" spans="4:5">
      <c r="D185" s="105"/>
      <c r="E185" s="105"/>
    </row>
    <row r="186" spans="4:5">
      <c r="D186" s="105"/>
      <c r="E186" s="105"/>
    </row>
    <row r="187" spans="4:5">
      <c r="D187" s="105"/>
      <c r="E187" s="105"/>
    </row>
    <row r="188" spans="4:5">
      <c r="D188" s="105"/>
      <c r="E188" s="105"/>
    </row>
    <row r="189" spans="4:5">
      <c r="D189" s="105"/>
      <c r="E189" s="105"/>
    </row>
    <row r="190" spans="4:5">
      <c r="D190" s="105"/>
      <c r="E190" s="105"/>
    </row>
    <row r="191" spans="4:5">
      <c r="D191" s="105"/>
      <c r="E191" s="105"/>
    </row>
    <row r="192" spans="4:5">
      <c r="D192" s="105"/>
      <c r="E192" s="105"/>
    </row>
    <row r="193" spans="4:5">
      <c r="D193" s="105"/>
      <c r="E193" s="105"/>
    </row>
    <row r="194" spans="4:5">
      <c r="D194" s="105"/>
      <c r="E194" s="105"/>
    </row>
    <row r="195" spans="4:5">
      <c r="D195" s="105"/>
      <c r="E195" s="105"/>
    </row>
    <row r="196" spans="4:5">
      <c r="D196" s="105"/>
      <c r="E196" s="105"/>
    </row>
    <row r="197" spans="4:5">
      <c r="D197" s="105"/>
      <c r="E197" s="105"/>
    </row>
    <row r="198" spans="4:5">
      <c r="D198" s="105"/>
      <c r="E198" s="105"/>
    </row>
    <row r="199" spans="4:5">
      <c r="D199" s="105"/>
      <c r="E199" s="105"/>
    </row>
    <row r="200" spans="4:5">
      <c r="D200" s="105"/>
      <c r="E200" s="105"/>
    </row>
    <row r="201" spans="4:5">
      <c r="D201" s="105"/>
      <c r="E201" s="105"/>
    </row>
    <row r="202" spans="4:5">
      <c r="D202" s="105"/>
      <c r="E202" s="105"/>
    </row>
    <row r="203" spans="4:5">
      <c r="D203" s="105"/>
      <c r="E203" s="105"/>
    </row>
    <row r="204" spans="4:5">
      <c r="D204" s="105"/>
      <c r="E204" s="105"/>
    </row>
    <row r="205" spans="4:5">
      <c r="D205" s="105"/>
      <c r="E205" s="105"/>
    </row>
    <row r="206" spans="4:5">
      <c r="D206" s="105"/>
      <c r="E206" s="105"/>
    </row>
    <row r="207" spans="4:5">
      <c r="D207" s="105"/>
      <c r="E207" s="105"/>
    </row>
    <row r="208" spans="4:5">
      <c r="D208" s="105"/>
      <c r="E208" s="105"/>
    </row>
    <row r="209" spans="4:5">
      <c r="D209" s="105"/>
      <c r="E209" s="105"/>
    </row>
    <row r="210" spans="4:5">
      <c r="D210" s="105"/>
      <c r="E210" s="105"/>
    </row>
    <row r="211" spans="4:5">
      <c r="D211" s="105"/>
      <c r="E211" s="105"/>
    </row>
    <row r="212" spans="4:5">
      <c r="D212" s="105"/>
      <c r="E212" s="105"/>
    </row>
    <row r="213" spans="4:5">
      <c r="D213" s="105"/>
      <c r="E213" s="105"/>
    </row>
    <row r="214" spans="4:5">
      <c r="D214" s="105"/>
      <c r="E214" s="105"/>
    </row>
    <row r="215" spans="4:5">
      <c r="D215" s="105"/>
      <c r="E215" s="105"/>
    </row>
    <row r="216" spans="4:5">
      <c r="D216" s="105"/>
      <c r="E216" s="105"/>
    </row>
    <row r="217" spans="4:5">
      <c r="D217" s="105"/>
      <c r="E217" s="105"/>
    </row>
    <row r="218" spans="4:5">
      <c r="D218" s="105"/>
      <c r="E218" s="105"/>
    </row>
    <row r="219" spans="4:5">
      <c r="D219" s="105"/>
      <c r="E219" s="105"/>
    </row>
    <row r="220" spans="4:5">
      <c r="D220" s="105"/>
      <c r="E220" s="105"/>
    </row>
    <row r="221" spans="4:5">
      <c r="D221" s="105"/>
      <c r="E221" s="105"/>
    </row>
    <row r="222" spans="4:5">
      <c r="D222" s="105"/>
      <c r="E222" s="105"/>
    </row>
    <row r="223" spans="4:5">
      <c r="D223" s="105"/>
      <c r="E223" s="105"/>
    </row>
    <row r="224" spans="4:5">
      <c r="D224" s="105"/>
      <c r="E224" s="105"/>
    </row>
    <row r="225" spans="4:5">
      <c r="D225" s="105"/>
      <c r="E225" s="105"/>
    </row>
    <row r="226" spans="4:5">
      <c r="D226" s="105"/>
      <c r="E226" s="105"/>
    </row>
    <row r="227" spans="4:5">
      <c r="D227" s="105"/>
      <c r="E227" s="105"/>
    </row>
    <row r="228" spans="4:5">
      <c r="D228" s="105"/>
      <c r="E228" s="105"/>
    </row>
    <row r="229" spans="4:5">
      <c r="D229" s="105"/>
      <c r="E229" s="105"/>
    </row>
    <row r="230" spans="4:5">
      <c r="D230" s="105"/>
      <c r="E230" s="105"/>
    </row>
    <row r="231" spans="4:5">
      <c r="D231" s="105"/>
      <c r="E231" s="105"/>
    </row>
    <row r="232" spans="4:5">
      <c r="D232" s="105"/>
      <c r="E232" s="105"/>
    </row>
    <row r="233" spans="4:5">
      <c r="D233" s="105"/>
      <c r="E233" s="105"/>
    </row>
    <row r="234" spans="4:5">
      <c r="D234" s="105"/>
      <c r="E234" s="105"/>
    </row>
    <row r="235" spans="4:5">
      <c r="D235" s="105"/>
      <c r="E235" s="105"/>
    </row>
    <row r="236" spans="4:5">
      <c r="D236" s="105"/>
      <c r="E236" s="105"/>
    </row>
    <row r="237" spans="4:5">
      <c r="D237" s="105"/>
      <c r="E237" s="105"/>
    </row>
    <row r="238" spans="4:5">
      <c r="D238" s="105"/>
      <c r="E238" s="105"/>
    </row>
    <row r="239" spans="4:5">
      <c r="D239" s="105"/>
      <c r="E239" s="105"/>
    </row>
    <row r="240" spans="4:5">
      <c r="D240" s="105"/>
      <c r="E240" s="105"/>
    </row>
    <row r="241" spans="4:5">
      <c r="D241" s="105"/>
      <c r="E241" s="105"/>
    </row>
    <row r="242" spans="4:5">
      <c r="D242" s="105"/>
      <c r="E242" s="105"/>
    </row>
    <row r="243" spans="4:5">
      <c r="D243" s="105"/>
      <c r="E243" s="105"/>
    </row>
    <row r="244" spans="4:5">
      <c r="D244" s="105"/>
      <c r="E244" s="105"/>
    </row>
    <row r="245" spans="4:5">
      <c r="D245" s="105"/>
      <c r="E245" s="105"/>
    </row>
    <row r="246" spans="4:5">
      <c r="D246" s="105"/>
      <c r="E246" s="105"/>
    </row>
    <row r="247" spans="4:5">
      <c r="D247" s="105"/>
      <c r="E247" s="105"/>
    </row>
    <row r="248" spans="4:5">
      <c r="D248" s="105"/>
      <c r="E248" s="105"/>
    </row>
    <row r="249" spans="4:5">
      <c r="D249" s="105"/>
      <c r="E249" s="105"/>
    </row>
    <row r="250" spans="4:5">
      <c r="D250" s="105"/>
      <c r="E250" s="105"/>
    </row>
    <row r="251" spans="4:5">
      <c r="D251" s="105"/>
      <c r="E251" s="105"/>
    </row>
    <row r="252" spans="4:5">
      <c r="D252" s="105"/>
      <c r="E252" s="105"/>
    </row>
    <row r="253" spans="4:5">
      <c r="D253" s="105"/>
      <c r="E253" s="105"/>
    </row>
    <row r="254" spans="4:5">
      <c r="D254" s="105"/>
      <c r="E254" s="105"/>
    </row>
    <row r="255" spans="4:5">
      <c r="D255" s="105"/>
      <c r="E255" s="105"/>
    </row>
    <row r="256" spans="4:5">
      <c r="D256" s="105"/>
      <c r="E256" s="105"/>
    </row>
    <row r="257" spans="4:5">
      <c r="D257" s="105"/>
      <c r="E257" s="105"/>
    </row>
    <row r="258" spans="4:5">
      <c r="D258" s="105"/>
      <c r="E258" s="105"/>
    </row>
    <row r="259" spans="4:5">
      <c r="D259" s="105"/>
      <c r="E259" s="105"/>
    </row>
    <row r="260" spans="4:5">
      <c r="D260" s="105"/>
      <c r="E260" s="105"/>
    </row>
    <row r="261" spans="4:5">
      <c r="D261" s="105"/>
      <c r="E261" s="105"/>
    </row>
    <row r="262" spans="4:5">
      <c r="D262" s="105"/>
      <c r="E262" s="105"/>
    </row>
    <row r="263" spans="4:5">
      <c r="D263" s="105"/>
      <c r="E263" s="105"/>
    </row>
    <row r="264" spans="4:5">
      <c r="D264" s="105"/>
      <c r="E264" s="105"/>
    </row>
    <row r="265" spans="4:5">
      <c r="D265" s="105"/>
      <c r="E265" s="105"/>
    </row>
    <row r="266" spans="4:5">
      <c r="D266" s="105"/>
      <c r="E266" s="105"/>
    </row>
    <row r="267" spans="4:5">
      <c r="D267" s="105"/>
      <c r="E267" s="105"/>
    </row>
    <row r="268" spans="4:5">
      <c r="D268" s="105"/>
      <c r="E268" s="105"/>
    </row>
    <row r="269" spans="4:5">
      <c r="D269" s="105"/>
      <c r="E269" s="105"/>
    </row>
    <row r="270" spans="4:5">
      <c r="D270" s="105"/>
      <c r="E270" s="105"/>
    </row>
    <row r="271" spans="4:5">
      <c r="D271" s="105"/>
      <c r="E271" s="105"/>
    </row>
    <row r="272" spans="4:5">
      <c r="D272" s="105"/>
      <c r="E272" s="105"/>
    </row>
    <row r="273" spans="4:5">
      <c r="D273" s="105"/>
      <c r="E273" s="105"/>
    </row>
    <row r="274" spans="4:5">
      <c r="D274" s="105"/>
      <c r="E274" s="105"/>
    </row>
    <row r="275" spans="4:5">
      <c r="D275" s="105"/>
      <c r="E275" s="105"/>
    </row>
    <row r="276" spans="4:5">
      <c r="D276" s="105"/>
      <c r="E276" s="105"/>
    </row>
    <row r="277" spans="4:5">
      <c r="D277" s="105"/>
      <c r="E277" s="105"/>
    </row>
    <row r="278" spans="4:5">
      <c r="D278" s="105"/>
      <c r="E278" s="105"/>
    </row>
    <row r="279" spans="4:5">
      <c r="D279" s="105"/>
      <c r="E279" s="105"/>
    </row>
    <row r="280" spans="4:5">
      <c r="D280" s="105"/>
      <c r="E280" s="105"/>
    </row>
    <row r="281" spans="4:5">
      <c r="D281" s="105"/>
      <c r="E281" s="105"/>
    </row>
    <row r="282" spans="4:5">
      <c r="D282" s="105"/>
      <c r="E282" s="105"/>
    </row>
    <row r="283" spans="4:5">
      <c r="D283" s="105"/>
      <c r="E283" s="105"/>
    </row>
    <row r="284" spans="4:5">
      <c r="D284" s="105"/>
      <c r="E284" s="105"/>
    </row>
    <row r="285" spans="4:5">
      <c r="D285" s="105"/>
      <c r="E285" s="105"/>
    </row>
    <row r="286" spans="4:5">
      <c r="D286" s="105"/>
      <c r="E286" s="105"/>
    </row>
    <row r="287" spans="4:5">
      <c r="D287" s="105"/>
      <c r="E287" s="105"/>
    </row>
    <row r="288" spans="4:5">
      <c r="D288" s="105"/>
      <c r="E288" s="105"/>
    </row>
    <row r="289" spans="4:5">
      <c r="D289" s="105"/>
      <c r="E289" s="105"/>
    </row>
    <row r="290" spans="4:5">
      <c r="D290" s="105"/>
      <c r="E290" s="105"/>
    </row>
    <row r="291" spans="4:5">
      <c r="D291" s="105"/>
      <c r="E291" s="105"/>
    </row>
    <row r="292" spans="4:5">
      <c r="D292" s="105"/>
      <c r="E292" s="105"/>
    </row>
    <row r="293" spans="4:5">
      <c r="D293" s="105"/>
      <c r="E293" s="105"/>
    </row>
    <row r="294" spans="4:5">
      <c r="D294" s="105"/>
      <c r="E294" s="105"/>
    </row>
    <row r="295" spans="4:5">
      <c r="D295" s="105"/>
      <c r="E295" s="105"/>
    </row>
    <row r="296" spans="4:5">
      <c r="D296" s="105"/>
      <c r="E296" s="105"/>
    </row>
    <row r="297" spans="4:5">
      <c r="D297" s="105"/>
      <c r="E297" s="105"/>
    </row>
    <row r="298" spans="4:5">
      <c r="D298" s="105"/>
      <c r="E298" s="105"/>
    </row>
    <row r="299" spans="4:5">
      <c r="D299" s="105"/>
      <c r="E299" s="105"/>
    </row>
    <row r="300" spans="4:5">
      <c r="D300" s="105"/>
      <c r="E300" s="105"/>
    </row>
    <row r="301" spans="4:5">
      <c r="D301" s="105"/>
      <c r="E301" s="105"/>
    </row>
    <row r="302" spans="4:5">
      <c r="D302" s="105"/>
      <c r="E302" s="105"/>
    </row>
    <row r="303" spans="4:5">
      <c r="D303" s="105"/>
      <c r="E303" s="105"/>
    </row>
    <row r="304" spans="4:5">
      <c r="D304" s="105"/>
      <c r="E304" s="105"/>
    </row>
    <row r="305" spans="4:5">
      <c r="D305" s="105"/>
      <c r="E305" s="105"/>
    </row>
    <row r="306" spans="4:5">
      <c r="D306" s="105"/>
      <c r="E306" s="105"/>
    </row>
    <row r="307" spans="4:5">
      <c r="D307" s="105"/>
      <c r="E307" s="105"/>
    </row>
    <row r="308" spans="4:5">
      <c r="D308" s="105"/>
      <c r="E308" s="105"/>
    </row>
    <row r="309" spans="4:5">
      <c r="D309" s="105"/>
      <c r="E309" s="105"/>
    </row>
    <row r="310" spans="4:5">
      <c r="D310" s="105"/>
      <c r="E310" s="105"/>
    </row>
    <row r="311" spans="4:5">
      <c r="D311" s="105"/>
      <c r="E311" s="105"/>
    </row>
    <row r="312" spans="4:5">
      <c r="D312" s="105"/>
      <c r="E312" s="105"/>
    </row>
    <row r="313" spans="4:5">
      <c r="D313" s="105"/>
      <c r="E313" s="105"/>
    </row>
    <row r="314" spans="4:5">
      <c r="D314" s="105"/>
      <c r="E314" s="105"/>
    </row>
    <row r="315" spans="4:5">
      <c r="D315" s="105"/>
      <c r="E315" s="105"/>
    </row>
    <row r="316" spans="4:5">
      <c r="D316" s="105"/>
      <c r="E316" s="105"/>
    </row>
    <row r="317" spans="4:5">
      <c r="D317" s="105"/>
      <c r="E317" s="105"/>
    </row>
    <row r="318" spans="4:5">
      <c r="D318" s="105"/>
      <c r="E318" s="105"/>
    </row>
    <row r="319" spans="4:5">
      <c r="D319" s="105"/>
      <c r="E319" s="105"/>
    </row>
    <row r="320" spans="4:5">
      <c r="D320" s="105"/>
      <c r="E320" s="105"/>
    </row>
    <row r="321" spans="4:5">
      <c r="D321" s="105"/>
      <c r="E321" s="105"/>
    </row>
    <row r="322" spans="4:5">
      <c r="D322" s="105"/>
      <c r="E322" s="105"/>
    </row>
    <row r="323" spans="4:5">
      <c r="D323" s="105"/>
      <c r="E323" s="105"/>
    </row>
    <row r="324" spans="4:5">
      <c r="D324" s="105"/>
      <c r="E324" s="105"/>
    </row>
    <row r="325" spans="4:5">
      <c r="D325" s="105"/>
      <c r="E325" s="105"/>
    </row>
    <row r="326" spans="4:5">
      <c r="D326" s="105"/>
      <c r="E326" s="105"/>
    </row>
    <row r="327" spans="4:5">
      <c r="D327" s="105"/>
      <c r="E327" s="105"/>
    </row>
    <row r="328" spans="4:5">
      <c r="D328" s="105"/>
      <c r="E328" s="105"/>
    </row>
    <row r="329" spans="4:5">
      <c r="D329" s="105"/>
      <c r="E329" s="105"/>
    </row>
    <row r="330" spans="4:5">
      <c r="D330" s="105"/>
      <c r="E330" s="105"/>
    </row>
    <row r="331" spans="4:5">
      <c r="D331" s="105"/>
      <c r="E331" s="105"/>
    </row>
    <row r="332" spans="4:5">
      <c r="D332" s="105"/>
      <c r="E332" s="105"/>
    </row>
    <row r="333" spans="4:5">
      <c r="D333" s="105"/>
      <c r="E333" s="105"/>
    </row>
    <row r="334" spans="4:5">
      <c r="D334" s="105"/>
      <c r="E334" s="105"/>
    </row>
    <row r="335" spans="4:5">
      <c r="D335" s="105"/>
      <c r="E335" s="105"/>
    </row>
    <row r="336" spans="4:5">
      <c r="D336" s="105"/>
      <c r="E336" s="105"/>
    </row>
    <row r="337" spans="4:5">
      <c r="D337" s="105"/>
      <c r="E337" s="105"/>
    </row>
    <row r="338" spans="4:5">
      <c r="D338" s="105"/>
      <c r="E338" s="105"/>
    </row>
    <row r="339" spans="4:5">
      <c r="D339" s="105"/>
      <c r="E339" s="105"/>
    </row>
    <row r="340" spans="4:5">
      <c r="D340" s="105"/>
      <c r="E340" s="105"/>
    </row>
    <row r="341" spans="4:5">
      <c r="D341" s="105"/>
      <c r="E341" s="105"/>
    </row>
    <row r="342" spans="4:5">
      <c r="D342" s="105"/>
      <c r="E342" s="105"/>
    </row>
    <row r="343" spans="4:5">
      <c r="D343" s="105"/>
      <c r="E343" s="105"/>
    </row>
    <row r="344" spans="4:5">
      <c r="D344" s="105"/>
      <c r="E344" s="105"/>
    </row>
    <row r="345" spans="4:5">
      <c r="D345" s="105"/>
      <c r="E345" s="105"/>
    </row>
    <row r="346" spans="4:5">
      <c r="D346" s="105"/>
      <c r="E346" s="105"/>
    </row>
    <row r="347" spans="4:5">
      <c r="D347" s="105"/>
      <c r="E347" s="105"/>
    </row>
    <row r="348" spans="4:5">
      <c r="D348" s="105"/>
      <c r="E348" s="105"/>
    </row>
    <row r="349" spans="4:5">
      <c r="D349" s="105"/>
      <c r="E349" s="105"/>
    </row>
    <row r="350" spans="4:5">
      <c r="D350" s="105"/>
      <c r="E350" s="105"/>
    </row>
    <row r="351" spans="4:5">
      <c r="D351" s="105"/>
      <c r="E351" s="105"/>
    </row>
    <row r="352" spans="4:5">
      <c r="D352" s="105"/>
      <c r="E352" s="105"/>
    </row>
    <row r="353" spans="4:5">
      <c r="D353" s="105"/>
      <c r="E353" s="105"/>
    </row>
    <row r="354" spans="4:5">
      <c r="D354" s="105"/>
      <c r="E354" s="105"/>
    </row>
    <row r="355" spans="4:5">
      <c r="D355" s="105"/>
      <c r="E355" s="105"/>
    </row>
    <row r="356" spans="4:5">
      <c r="D356" s="105"/>
      <c r="E356" s="105"/>
    </row>
    <row r="357" spans="4:5">
      <c r="D357" s="105"/>
      <c r="E357" s="105"/>
    </row>
    <row r="358" spans="4:5">
      <c r="D358" s="105"/>
      <c r="E358" s="105"/>
    </row>
    <row r="359" spans="4:5">
      <c r="D359" s="105"/>
      <c r="E359" s="105"/>
    </row>
    <row r="360" spans="4:5">
      <c r="D360" s="105"/>
      <c r="E360" s="105"/>
    </row>
    <row r="361" spans="4:5">
      <c r="D361" s="105"/>
      <c r="E361" s="105"/>
    </row>
    <row r="362" spans="4:5">
      <c r="D362" s="105"/>
      <c r="E362" s="105"/>
    </row>
    <row r="363" spans="4:5">
      <c r="D363" s="105"/>
      <c r="E363" s="105"/>
    </row>
    <row r="364" spans="4:5">
      <c r="D364" s="105"/>
      <c r="E364" s="105"/>
    </row>
    <row r="365" spans="4:5">
      <c r="D365" s="105"/>
      <c r="E365" s="105"/>
    </row>
    <row r="366" spans="4:5">
      <c r="D366" s="105"/>
      <c r="E366" s="105"/>
    </row>
    <row r="367" spans="4:5">
      <c r="D367" s="105"/>
      <c r="E367" s="105"/>
    </row>
    <row r="368" spans="4:5">
      <c r="D368" s="105"/>
      <c r="E368" s="105"/>
    </row>
    <row r="369" spans="4:5">
      <c r="D369" s="105"/>
      <c r="E369" s="105"/>
    </row>
    <row r="370" spans="4:5">
      <c r="D370" s="105"/>
      <c r="E370" s="105"/>
    </row>
    <row r="371" spans="4:5">
      <c r="D371" s="105"/>
      <c r="E371" s="105"/>
    </row>
    <row r="372" spans="4:5">
      <c r="D372" s="105"/>
      <c r="E372" s="105"/>
    </row>
    <row r="373" spans="4:5">
      <c r="D373" s="105"/>
      <c r="E373" s="105"/>
    </row>
    <row r="374" spans="4:5">
      <c r="D374" s="105"/>
      <c r="E374" s="105"/>
    </row>
    <row r="375" spans="4:5">
      <c r="D375" s="105"/>
      <c r="E375" s="105"/>
    </row>
    <row r="376" spans="4:5">
      <c r="D376" s="105"/>
      <c r="E376" s="105"/>
    </row>
    <row r="377" spans="4:5">
      <c r="D377" s="105"/>
      <c r="E377" s="105"/>
    </row>
    <row r="378" spans="4:5">
      <c r="D378" s="105"/>
      <c r="E378" s="105"/>
    </row>
    <row r="379" spans="4:5">
      <c r="D379" s="105"/>
      <c r="E379" s="105"/>
    </row>
    <row r="380" spans="4:5">
      <c r="D380" s="105"/>
      <c r="E380" s="105"/>
    </row>
    <row r="381" spans="4:5">
      <c r="D381" s="105"/>
      <c r="E381" s="105"/>
    </row>
    <row r="382" spans="4:5">
      <c r="D382" s="105"/>
      <c r="E382" s="105"/>
    </row>
    <row r="383" spans="4:5">
      <c r="D383" s="105"/>
      <c r="E383" s="105"/>
    </row>
    <row r="384" spans="4:5">
      <c r="D384" s="105"/>
      <c r="E384" s="105"/>
    </row>
    <row r="385" spans="4:5">
      <c r="D385" s="105"/>
      <c r="E385" s="105"/>
    </row>
    <row r="386" spans="4:5">
      <c r="D386" s="105"/>
      <c r="E386" s="105"/>
    </row>
    <row r="387" spans="4:5">
      <c r="D387" s="105"/>
      <c r="E387" s="105"/>
    </row>
    <row r="388" spans="4:5">
      <c r="D388" s="105"/>
      <c r="E388" s="105"/>
    </row>
    <row r="389" spans="4:5">
      <c r="D389" s="105"/>
      <c r="E389" s="105"/>
    </row>
    <row r="390" spans="4:5">
      <c r="D390" s="105"/>
      <c r="E390" s="105"/>
    </row>
    <row r="391" spans="4:5">
      <c r="D391" s="105"/>
      <c r="E391" s="105"/>
    </row>
    <row r="392" spans="4:5">
      <c r="D392" s="105"/>
      <c r="E392" s="105"/>
    </row>
    <row r="393" spans="4:5">
      <c r="D393" s="105"/>
      <c r="E393" s="105"/>
    </row>
    <row r="394" spans="4:5">
      <c r="D394" s="105"/>
      <c r="E394" s="105"/>
    </row>
    <row r="395" spans="4:5">
      <c r="D395" s="105"/>
      <c r="E395" s="105"/>
    </row>
    <row r="396" spans="4:5">
      <c r="D396" s="105"/>
      <c r="E396" s="105"/>
    </row>
    <row r="397" spans="4:5">
      <c r="D397" s="105"/>
      <c r="E397" s="105"/>
    </row>
    <row r="398" spans="4:5">
      <c r="D398" s="105"/>
      <c r="E398" s="105"/>
    </row>
    <row r="399" spans="4:5">
      <c r="D399" s="105"/>
      <c r="E399" s="105"/>
    </row>
    <row r="400" spans="4:5">
      <c r="D400" s="105"/>
      <c r="E400" s="105"/>
    </row>
    <row r="401" spans="4:5">
      <c r="D401" s="105"/>
      <c r="E401" s="105"/>
    </row>
    <row r="402" spans="4:5">
      <c r="D402" s="105"/>
      <c r="E402" s="105"/>
    </row>
    <row r="403" spans="4:5">
      <c r="D403" s="105"/>
      <c r="E403" s="105"/>
    </row>
    <row r="404" spans="4:5">
      <c r="D404" s="105"/>
      <c r="E404" s="105"/>
    </row>
    <row r="405" spans="4:5">
      <c r="D405" s="105"/>
      <c r="E405" s="105"/>
    </row>
    <row r="406" spans="4:5">
      <c r="D406" s="105"/>
      <c r="E406" s="105"/>
    </row>
    <row r="407" spans="4:5">
      <c r="D407" s="105"/>
      <c r="E407" s="105"/>
    </row>
    <row r="408" spans="4:5">
      <c r="D408" s="105"/>
      <c r="E408" s="105"/>
    </row>
    <row r="409" spans="4:5">
      <c r="D409" s="105"/>
      <c r="E409" s="105"/>
    </row>
    <row r="410" spans="4:5">
      <c r="D410" s="105"/>
      <c r="E410" s="105"/>
    </row>
    <row r="411" spans="4:5">
      <c r="D411" s="105"/>
      <c r="E411" s="105"/>
    </row>
    <row r="412" spans="4:5">
      <c r="D412" s="105"/>
      <c r="E412" s="105"/>
    </row>
    <row r="413" spans="4:5">
      <c r="D413" s="105"/>
      <c r="E413" s="105"/>
    </row>
    <row r="414" spans="4:5">
      <c r="D414" s="105"/>
      <c r="E414" s="105"/>
    </row>
    <row r="415" spans="4:5">
      <c r="D415" s="105"/>
      <c r="E415" s="105"/>
    </row>
    <row r="416" spans="4:5">
      <c r="D416" s="105"/>
      <c r="E416" s="105"/>
    </row>
    <row r="417" spans="4:5">
      <c r="D417" s="105"/>
      <c r="E417" s="105"/>
    </row>
    <row r="418" spans="4:5">
      <c r="D418" s="105"/>
      <c r="E418" s="105"/>
    </row>
    <row r="419" spans="4:5">
      <c r="D419" s="105"/>
      <c r="E419" s="105"/>
    </row>
    <row r="420" spans="4:5">
      <c r="D420" s="105"/>
      <c r="E420" s="105"/>
    </row>
    <row r="421" spans="4:5">
      <c r="D421" s="105"/>
      <c r="E421" s="105"/>
    </row>
    <row r="422" spans="4:5">
      <c r="D422" s="105"/>
      <c r="E422" s="105"/>
    </row>
    <row r="423" spans="4:5">
      <c r="D423" s="105"/>
      <c r="E423" s="105"/>
    </row>
    <row r="424" spans="4:5">
      <c r="D424" s="105"/>
      <c r="E424" s="105"/>
    </row>
    <row r="425" spans="4:5">
      <c r="D425" s="105"/>
      <c r="E425" s="105"/>
    </row>
    <row r="426" spans="4:5">
      <c r="D426" s="105"/>
      <c r="E426" s="105"/>
    </row>
    <row r="427" spans="4:5">
      <c r="D427" s="105"/>
      <c r="E427" s="105"/>
    </row>
    <row r="428" spans="4:5">
      <c r="D428" s="105"/>
      <c r="E428" s="105"/>
    </row>
    <row r="429" spans="4:5">
      <c r="D429" s="105"/>
      <c r="E429" s="105"/>
    </row>
    <row r="430" spans="4:5">
      <c r="D430" s="105"/>
      <c r="E430" s="105"/>
    </row>
    <row r="431" spans="4:5">
      <c r="D431" s="105"/>
      <c r="E431" s="105"/>
    </row>
    <row r="432" spans="4:5">
      <c r="D432" s="105"/>
      <c r="E432" s="105"/>
    </row>
    <row r="433" spans="4:5">
      <c r="D433" s="105"/>
      <c r="E433" s="105"/>
    </row>
    <row r="434" spans="4:5">
      <c r="D434" s="105"/>
      <c r="E434" s="105"/>
    </row>
    <row r="435" spans="4:5">
      <c r="D435" s="105"/>
      <c r="E435" s="105"/>
    </row>
    <row r="436" spans="4:5">
      <c r="D436" s="105"/>
      <c r="E436" s="105"/>
    </row>
    <row r="437" spans="4:5">
      <c r="D437" s="105"/>
      <c r="E437" s="105"/>
    </row>
    <row r="438" spans="4:5">
      <c r="D438" s="105"/>
      <c r="E438" s="105"/>
    </row>
    <row r="439" spans="4:5">
      <c r="D439" s="105"/>
      <c r="E439" s="105"/>
    </row>
    <row r="440" spans="4:5">
      <c r="D440" s="105"/>
      <c r="E440" s="105"/>
    </row>
    <row r="441" spans="4:5">
      <c r="D441" s="105"/>
      <c r="E441" s="105"/>
    </row>
    <row r="442" spans="4:5">
      <c r="D442" s="105"/>
      <c r="E442" s="105"/>
    </row>
    <row r="443" spans="4:5">
      <c r="D443" s="105"/>
      <c r="E443" s="105"/>
    </row>
    <row r="444" spans="4:5">
      <c r="D444" s="105"/>
      <c r="E444" s="105"/>
    </row>
    <row r="445" spans="4:5">
      <c r="D445" s="105"/>
      <c r="E445" s="105"/>
    </row>
    <row r="446" spans="4:5">
      <c r="D446" s="105"/>
      <c r="E446" s="105"/>
    </row>
    <row r="447" spans="4:5">
      <c r="D447" s="105"/>
      <c r="E447" s="105"/>
    </row>
    <row r="448" spans="4:5">
      <c r="D448" s="105"/>
      <c r="E448" s="105"/>
    </row>
    <row r="449" spans="4:5">
      <c r="D449" s="105"/>
      <c r="E449" s="105"/>
    </row>
    <row r="450" spans="4:5">
      <c r="D450" s="105"/>
      <c r="E450" s="105"/>
    </row>
    <row r="451" spans="4:5">
      <c r="D451" s="105"/>
      <c r="E451" s="105"/>
    </row>
    <row r="452" spans="4:5">
      <c r="D452" s="105"/>
      <c r="E452" s="105"/>
    </row>
    <row r="453" spans="4:5">
      <c r="D453" s="105"/>
      <c r="E453" s="105"/>
    </row>
    <row r="454" spans="4:5">
      <c r="D454" s="105"/>
      <c r="E454" s="105"/>
    </row>
    <row r="455" spans="4:5">
      <c r="D455" s="105"/>
      <c r="E455" s="105"/>
    </row>
    <row r="456" spans="4:5">
      <c r="D456" s="105"/>
      <c r="E456" s="105"/>
    </row>
    <row r="457" spans="4:5">
      <c r="D457" s="105"/>
      <c r="E457" s="105"/>
    </row>
    <row r="458" spans="4:5">
      <c r="D458" s="105"/>
      <c r="E458" s="105"/>
    </row>
    <row r="459" spans="4:5">
      <c r="D459" s="105"/>
      <c r="E459" s="105"/>
    </row>
    <row r="460" spans="4:5">
      <c r="D460" s="105"/>
      <c r="E460" s="105"/>
    </row>
    <row r="461" spans="4:5">
      <c r="D461" s="105"/>
      <c r="E461" s="105"/>
    </row>
    <row r="462" spans="4:5">
      <c r="D462" s="105"/>
      <c r="E462" s="105"/>
    </row>
    <row r="463" spans="4:5">
      <c r="D463" s="105"/>
      <c r="E463" s="105"/>
    </row>
    <row r="464" spans="4:5">
      <c r="D464" s="105"/>
      <c r="E464" s="105"/>
    </row>
    <row r="465" spans="4:5">
      <c r="D465" s="105"/>
      <c r="E465" s="105"/>
    </row>
    <row r="466" spans="4:5">
      <c r="D466" s="105"/>
      <c r="E466" s="105"/>
    </row>
    <row r="467" spans="4:5">
      <c r="D467" s="105"/>
      <c r="E467" s="105"/>
    </row>
    <row r="468" spans="4:5">
      <c r="D468" s="105"/>
      <c r="E468" s="105"/>
    </row>
    <row r="469" spans="4:5">
      <c r="D469" s="105"/>
      <c r="E469" s="105"/>
    </row>
    <row r="470" spans="4:5">
      <c r="D470" s="105"/>
      <c r="E470" s="105"/>
    </row>
    <row r="471" spans="4:5">
      <c r="D471" s="105"/>
      <c r="E471" s="105"/>
    </row>
    <row r="472" spans="4:5">
      <c r="D472" s="105"/>
      <c r="E472" s="105"/>
    </row>
    <row r="473" spans="4:5">
      <c r="D473" s="105"/>
      <c r="E473" s="105"/>
    </row>
    <row r="474" spans="4:5">
      <c r="D474" s="105"/>
      <c r="E474" s="105"/>
    </row>
    <row r="475" spans="4:5">
      <c r="D475" s="105"/>
      <c r="E475" s="105"/>
    </row>
    <row r="476" spans="4:5">
      <c r="D476" s="105"/>
      <c r="E476" s="105"/>
    </row>
    <row r="477" spans="4:5">
      <c r="D477" s="105"/>
      <c r="E477" s="105"/>
    </row>
    <row r="478" spans="4:5">
      <c r="D478" s="105"/>
      <c r="E478" s="105"/>
    </row>
    <row r="479" spans="4:5">
      <c r="D479" s="105"/>
      <c r="E479" s="105"/>
    </row>
    <row r="480" spans="4:5">
      <c r="D480" s="105"/>
      <c r="E480" s="105"/>
    </row>
    <row r="481" spans="4:5">
      <c r="D481" s="105"/>
      <c r="E481" s="105"/>
    </row>
    <row r="482" spans="4:5">
      <c r="D482" s="105"/>
      <c r="E482" s="105"/>
    </row>
    <row r="483" spans="4:5">
      <c r="D483" s="105"/>
      <c r="E483" s="105"/>
    </row>
    <row r="484" spans="4:5">
      <c r="D484" s="105"/>
      <c r="E484" s="105"/>
    </row>
    <row r="485" spans="4:5">
      <c r="D485" s="105"/>
      <c r="E485" s="105"/>
    </row>
    <row r="486" spans="4:5">
      <c r="D486" s="105"/>
      <c r="E486" s="105"/>
    </row>
    <row r="487" spans="4:5">
      <c r="D487" s="105"/>
      <c r="E487" s="105"/>
    </row>
    <row r="488" spans="4:5">
      <c r="D488" s="105"/>
      <c r="E488" s="105"/>
    </row>
    <row r="489" spans="4:5">
      <c r="D489" s="105"/>
      <c r="E489" s="105"/>
    </row>
    <row r="490" spans="4:5">
      <c r="D490" s="105"/>
      <c r="E490" s="105"/>
    </row>
    <row r="491" spans="4:5">
      <c r="D491" s="105"/>
      <c r="E491" s="105"/>
    </row>
    <row r="492" spans="4:5">
      <c r="D492" s="105"/>
      <c r="E492" s="105"/>
    </row>
    <row r="493" spans="4:5">
      <c r="D493" s="105"/>
      <c r="E493" s="105"/>
    </row>
    <row r="494" spans="4:5">
      <c r="D494" s="105"/>
      <c r="E494" s="105"/>
    </row>
    <row r="495" spans="4:5">
      <c r="D495" s="105"/>
      <c r="E495" s="105"/>
    </row>
    <row r="496" spans="4:5">
      <c r="D496" s="105"/>
      <c r="E496" s="105"/>
    </row>
    <row r="497" spans="4:5">
      <c r="D497" s="105"/>
      <c r="E497" s="105"/>
    </row>
    <row r="498" spans="4:5">
      <c r="D498" s="105"/>
      <c r="E498" s="105"/>
    </row>
    <row r="499" spans="4:5">
      <c r="D499" s="105"/>
      <c r="E499" s="105"/>
    </row>
    <row r="500" spans="4:5">
      <c r="D500" s="105"/>
      <c r="E500" s="105"/>
    </row>
    <row r="501" spans="4:5">
      <c r="D501" s="105"/>
      <c r="E501" s="105"/>
    </row>
    <row r="502" spans="4:5">
      <c r="D502" s="105"/>
      <c r="E502" s="105"/>
    </row>
    <row r="503" spans="4:5">
      <c r="D503" s="105"/>
      <c r="E503" s="105"/>
    </row>
    <row r="504" spans="4:5">
      <c r="D504" s="105"/>
      <c r="E504" s="105"/>
    </row>
    <row r="505" spans="4:5">
      <c r="D505" s="105"/>
      <c r="E505" s="105"/>
    </row>
    <row r="506" spans="4:5">
      <c r="D506" s="105"/>
      <c r="E506" s="105"/>
    </row>
    <row r="507" spans="4:5">
      <c r="D507" s="105"/>
      <c r="E507" s="105"/>
    </row>
    <row r="508" spans="4:5">
      <c r="D508" s="105"/>
      <c r="E508" s="105"/>
    </row>
    <row r="509" spans="4:5">
      <c r="D509" s="105"/>
      <c r="E509" s="105"/>
    </row>
    <row r="510" spans="4:5">
      <c r="D510" s="105"/>
      <c r="E510" s="105"/>
    </row>
    <row r="511" spans="4:5">
      <c r="D511" s="105"/>
      <c r="E511" s="105"/>
    </row>
    <row r="512" spans="4:5">
      <c r="D512" s="105"/>
      <c r="E512" s="105"/>
    </row>
    <row r="513" spans="4:5">
      <c r="D513" s="105"/>
      <c r="E513" s="105"/>
    </row>
    <row r="514" spans="4:5">
      <c r="D514" s="105"/>
      <c r="E514" s="105"/>
    </row>
    <row r="515" spans="4:5">
      <c r="D515" s="105"/>
      <c r="E515" s="105"/>
    </row>
    <row r="516" spans="4:5">
      <c r="D516" s="105"/>
      <c r="E516" s="105"/>
    </row>
    <row r="517" spans="4:5">
      <c r="D517" s="105"/>
      <c r="E517" s="105"/>
    </row>
    <row r="518" spans="4:5">
      <c r="D518" s="105"/>
      <c r="E518" s="105"/>
    </row>
    <row r="519" spans="4:5">
      <c r="D519" s="105"/>
      <c r="E519" s="105"/>
    </row>
    <row r="520" spans="4:5">
      <c r="D520" s="105"/>
      <c r="E520" s="105"/>
    </row>
    <row r="521" spans="4:5">
      <c r="D521" s="105"/>
      <c r="E521" s="105"/>
    </row>
    <row r="522" spans="4:5">
      <c r="D522" s="105"/>
      <c r="E522" s="105"/>
    </row>
    <row r="523" spans="4:5">
      <c r="D523" s="105"/>
      <c r="E523" s="105"/>
    </row>
    <row r="524" spans="4:5">
      <c r="D524" s="105"/>
      <c r="E524" s="105"/>
    </row>
    <row r="525" spans="4:5">
      <c r="D525" s="105"/>
      <c r="E525" s="105"/>
    </row>
    <row r="526" spans="4:5">
      <c r="D526" s="105"/>
      <c r="E526" s="105"/>
    </row>
    <row r="527" spans="4:5">
      <c r="D527" s="105"/>
      <c r="E527" s="105"/>
    </row>
    <row r="528" spans="4:5">
      <c r="D528" s="105"/>
      <c r="E528" s="105"/>
    </row>
    <row r="529" spans="4:5">
      <c r="D529" s="105"/>
      <c r="E529" s="105"/>
    </row>
    <row r="530" spans="4:5">
      <c r="D530" s="105"/>
      <c r="E530" s="105"/>
    </row>
    <row r="531" spans="4:5">
      <c r="D531" s="105"/>
      <c r="E531" s="105"/>
    </row>
    <row r="532" spans="4:5">
      <c r="D532" s="105"/>
      <c r="E532" s="105"/>
    </row>
    <row r="533" spans="4:5">
      <c r="D533" s="105"/>
      <c r="E533" s="105"/>
    </row>
    <row r="534" spans="4:5">
      <c r="D534" s="105"/>
      <c r="E534" s="105"/>
    </row>
    <row r="535" spans="4:5">
      <c r="D535" s="105"/>
      <c r="E535" s="105"/>
    </row>
    <row r="536" spans="4:5">
      <c r="D536" s="105"/>
      <c r="E536" s="105"/>
    </row>
    <row r="537" spans="4:5">
      <c r="D537" s="105"/>
      <c r="E537" s="105"/>
    </row>
    <row r="538" spans="4:5">
      <c r="D538" s="105"/>
      <c r="E538" s="105"/>
    </row>
    <row r="539" spans="4:5">
      <c r="D539" s="105"/>
      <c r="E539" s="105"/>
    </row>
    <row r="540" spans="4:5">
      <c r="D540" s="105"/>
      <c r="E540" s="105"/>
    </row>
    <row r="541" spans="4:5">
      <c r="D541" s="105"/>
      <c r="E541" s="105"/>
    </row>
    <row r="542" spans="4:5">
      <c r="D542" s="105"/>
      <c r="E542" s="105"/>
    </row>
    <row r="543" spans="4:5">
      <c r="D543" s="105"/>
      <c r="E543" s="105"/>
    </row>
    <row r="544" spans="4:5">
      <c r="D544" s="105"/>
      <c r="E544" s="105"/>
    </row>
    <row r="545" spans="4:5">
      <c r="D545" s="105"/>
      <c r="E545" s="105"/>
    </row>
    <row r="546" spans="4:5">
      <c r="D546" s="105"/>
      <c r="E546" s="105"/>
    </row>
    <row r="547" spans="4:5">
      <c r="D547" s="105"/>
      <c r="E547" s="105"/>
    </row>
    <row r="548" spans="4:5">
      <c r="D548" s="105"/>
      <c r="E548" s="105"/>
    </row>
    <row r="549" spans="4:5">
      <c r="D549" s="105"/>
      <c r="E549" s="105"/>
    </row>
    <row r="550" spans="4:5">
      <c r="D550" s="105"/>
      <c r="E550" s="105"/>
    </row>
    <row r="551" spans="4:5">
      <c r="D551" s="105"/>
      <c r="E551" s="105"/>
    </row>
    <row r="552" spans="4:5">
      <c r="D552" s="105"/>
      <c r="E552" s="105"/>
    </row>
    <row r="553" spans="4:5">
      <c r="D553" s="105"/>
      <c r="E553" s="105"/>
    </row>
    <row r="554" spans="4:5">
      <c r="D554" s="105"/>
      <c r="E554" s="105"/>
    </row>
    <row r="555" spans="4:5">
      <c r="D555" s="105"/>
      <c r="E555" s="105"/>
    </row>
    <row r="556" spans="4:5">
      <c r="D556" s="105"/>
      <c r="E556" s="105"/>
    </row>
    <row r="557" spans="4:5">
      <c r="D557" s="105"/>
      <c r="E557" s="105"/>
    </row>
    <row r="558" spans="4:5">
      <c r="D558" s="105"/>
      <c r="E558" s="105"/>
    </row>
    <row r="559" spans="4:5">
      <c r="D559" s="105"/>
      <c r="E559" s="105"/>
    </row>
    <row r="560" spans="4:5">
      <c r="D560" s="105"/>
      <c r="E560" s="105"/>
    </row>
    <row r="561" spans="4:5">
      <c r="D561" s="105"/>
      <c r="E561" s="105"/>
    </row>
    <row r="562" spans="4:5">
      <c r="D562" s="105"/>
      <c r="E562" s="105"/>
    </row>
    <row r="563" spans="4:5">
      <c r="D563" s="105"/>
      <c r="E563" s="105"/>
    </row>
    <row r="564" spans="4:5">
      <c r="D564" s="105"/>
      <c r="E564" s="105"/>
    </row>
    <row r="565" spans="4:5">
      <c r="D565" s="105"/>
      <c r="E565" s="105"/>
    </row>
    <row r="566" spans="4:5">
      <c r="D566" s="105"/>
      <c r="E566" s="105"/>
    </row>
    <row r="567" spans="4:5">
      <c r="D567" s="105"/>
      <c r="E567" s="105"/>
    </row>
    <row r="568" spans="4:5">
      <c r="D568" s="105"/>
      <c r="E568" s="105"/>
    </row>
    <row r="569" spans="4:5">
      <c r="D569" s="105"/>
      <c r="E569" s="105"/>
    </row>
    <row r="570" spans="4:5">
      <c r="D570" s="105"/>
      <c r="E570" s="105"/>
    </row>
    <row r="571" spans="4:5">
      <c r="D571" s="105"/>
      <c r="E571" s="105"/>
    </row>
    <row r="572" spans="4:5">
      <c r="D572" s="105"/>
      <c r="E572" s="105"/>
    </row>
    <row r="573" spans="4:5">
      <c r="D573" s="105"/>
      <c r="E573" s="105"/>
    </row>
    <row r="574" spans="4:5">
      <c r="D574" s="105"/>
      <c r="E574" s="105"/>
    </row>
    <row r="575" spans="4:5">
      <c r="D575" s="105"/>
      <c r="E575" s="105"/>
    </row>
    <row r="576" spans="4:5">
      <c r="D576" s="105"/>
      <c r="E576" s="105"/>
    </row>
    <row r="577" spans="4:5">
      <c r="D577" s="105"/>
      <c r="E577" s="105"/>
    </row>
    <row r="578" spans="4:5">
      <c r="D578" s="105"/>
      <c r="E578" s="105"/>
    </row>
    <row r="579" spans="4:5">
      <c r="D579" s="105"/>
      <c r="E579" s="105"/>
    </row>
    <row r="580" spans="4:5">
      <c r="D580" s="105"/>
      <c r="E580" s="105"/>
    </row>
    <row r="581" spans="4:5">
      <c r="D581" s="105"/>
      <c r="E581" s="105"/>
    </row>
    <row r="582" spans="4:5">
      <c r="D582" s="105"/>
      <c r="E582" s="105"/>
    </row>
    <row r="583" spans="4:5">
      <c r="D583" s="105"/>
      <c r="E583" s="105"/>
    </row>
  </sheetData>
  <mergeCells count="1">
    <mergeCell ref="E4:H4"/>
  </mergeCells>
  <conditionalFormatting sqref="J22:J142">
    <cfRule type="iconSet" priority="1">
      <iconSet iconSet="3Symbols" showValue="0">
        <cfvo type="percent" val="0"/>
        <cfvo type="num" val="0"/>
        <cfvo type="num" val="1"/>
      </iconSet>
    </cfRule>
  </conditionalFormatting>
  <hyperlinks>
    <hyperlink ref="BC2" r:id="rId1" xr:uid="{8CC29613-8359-47C9-88A1-8C8F070160A0}"/>
  </hyperlinks>
  <pageMargins left="0.7" right="0.7" top="0.75" bottom="0.75" header="0.3" footer="0.3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xr:uid="{9759C382-9591-4602-9FBE-9F9E822A483D}">
          <x14:formula1>
            <xm:f>_xlfn.ANCHORARRAY('BD-Tercero Clientes'!$N$6)</xm:f>
          </x14:formula1>
          <xm:sqref>H7</xm:sqref>
        </x14:dataValidation>
        <x14:dataValidation type="list" allowBlank="1" showInputMessage="1" xr:uid="{4DB719F0-B860-4498-AC83-B253E74B8A86}">
          <x14:formula1>
            <xm:f>_xlfn.ANCHORARRAY(PUC!$DP$5)</xm:f>
          </x14:formula1>
          <xm:sqref>E11</xm:sqref>
        </x14:dataValidation>
        <x14:dataValidation type="list" allowBlank="1" showInputMessage="1" xr:uid="{4A5BD2B4-26A4-4352-AD00-15D9500ECB3B}">
          <x14:formula1>
            <xm:f>'Otras BD'!$G$6:$G$9</xm:f>
          </x14:formula1>
          <xm:sqref>E13</xm:sqref>
        </x14:dataValidation>
        <x14:dataValidation type="list" allowBlank="1" showInputMessage="1" xr:uid="{FAC86351-9267-4A34-9F7D-C8E4BF130F7B}">
          <x14:formula1>
            <xm:f>'Otras BD'!$C$4:$C$12</xm:f>
          </x14:formula1>
          <xm:sqref>H9 H13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5205CA-5CA0-4C95-88F3-4A8BE735B154}">
  <sheetPr codeName="Hoja11"/>
  <dimension ref="C1:BK583"/>
  <sheetViews>
    <sheetView showGridLines="0" showRowColHeaders="0" workbookViewId="0"/>
  </sheetViews>
  <sheetFormatPr baseColWidth="10" defaultRowHeight="12.75"/>
  <cols>
    <col min="1" max="1" width="20.33203125" customWidth="1"/>
    <col min="4" max="4" width="20.83203125" style="33" customWidth="1"/>
    <col min="5" max="5" width="20.6640625" style="33" bestFit="1" customWidth="1"/>
    <col min="6" max="6" width="44.1640625" customWidth="1"/>
    <col min="7" max="7" width="20.6640625" style="104" bestFit="1" customWidth="1"/>
    <col min="8" max="8" width="39.5" customWidth="1"/>
    <col min="9" max="9" width="22.1640625" hidden="1" customWidth="1"/>
    <col min="10" max="10" width="17.33203125" bestFit="1" customWidth="1"/>
    <col min="11" max="11" width="19.6640625" bestFit="1" customWidth="1"/>
    <col min="12" max="13" width="19.6640625" customWidth="1"/>
    <col min="14" max="14" width="25.1640625" hidden="1" customWidth="1"/>
    <col min="15" max="15" width="23.5" hidden="1" customWidth="1"/>
    <col min="16" max="25" width="19.6640625" hidden="1" customWidth="1"/>
    <col min="26" max="26" width="9.1640625" hidden="1" customWidth="1"/>
    <col min="27" max="40" width="28" hidden="1" customWidth="1"/>
    <col min="41" max="41" width="21.6640625" hidden="1" customWidth="1"/>
    <col min="42" max="50" width="0" hidden="1" customWidth="1"/>
    <col min="51" max="51" width="13.5" hidden="1" customWidth="1"/>
    <col min="52" max="52" width="23.83203125" hidden="1" customWidth="1"/>
    <col min="53" max="57" width="0" hidden="1" customWidth="1"/>
    <col min="58" max="59" width="11.1640625" hidden="1" customWidth="1"/>
    <col min="60" max="62" width="20" hidden="1" customWidth="1"/>
    <col min="63" max="63" width="0" hidden="1" customWidth="1"/>
  </cols>
  <sheetData>
    <row r="1" spans="3:63">
      <c r="G1" s="48"/>
    </row>
    <row r="2" spans="3:63" ht="13.5" thickBot="1">
      <c r="G2" s="48"/>
      <c r="BB2" s="29" t="s">
        <v>886</v>
      </c>
      <c r="BD2" t="str">
        <f>LEFT(BB2, (LEN(BB2)-(LEN($BB2)-LEN(RIGHT($BB2,SEARCH("@",$BB2)))))-1)</f>
        <v>55-134567UI</v>
      </c>
      <c r="BE2" t="str">
        <f>RIGHT($BB2,(LEN($BB2)-LEN(RIGHT($BB2,SEARCH("@",$BB2)))))</f>
        <v>100-2362626</v>
      </c>
    </row>
    <row r="3" spans="3:63">
      <c r="C3" s="189"/>
      <c r="D3" s="190"/>
      <c r="E3" s="190"/>
      <c r="F3" s="191"/>
      <c r="G3" s="192"/>
      <c r="H3" s="191"/>
      <c r="I3" s="191"/>
      <c r="J3" s="191"/>
      <c r="K3" s="193"/>
    </row>
    <row r="4" spans="3:63" ht="22.5">
      <c r="C4" s="194"/>
      <c r="E4" s="249" t="s">
        <v>1123</v>
      </c>
      <c r="F4" s="250"/>
      <c r="G4" s="250"/>
      <c r="H4" s="250"/>
      <c r="K4" s="196"/>
      <c r="L4" s="103"/>
      <c r="M4" s="103"/>
      <c r="N4" s="103"/>
      <c r="O4" s="103"/>
      <c r="P4" s="103"/>
      <c r="Q4" s="103"/>
      <c r="R4" s="103"/>
      <c r="S4" s="103"/>
      <c r="T4" s="103"/>
      <c r="U4" s="103"/>
      <c r="V4" s="103"/>
      <c r="W4" s="103"/>
      <c r="X4" s="103"/>
      <c r="Y4" s="103"/>
    </row>
    <row r="5" spans="3:63">
      <c r="C5" s="194"/>
      <c r="G5" s="195"/>
      <c r="K5" s="197"/>
    </row>
    <row r="6" spans="3:63" ht="15" thickBot="1">
      <c r="C6" s="194"/>
      <c r="G6" s="195"/>
      <c r="K6" s="197"/>
      <c r="AS6" s="1"/>
      <c r="AT6" s="1"/>
      <c r="AU6" s="1"/>
      <c r="AY6" s="52" t="s">
        <v>887</v>
      </c>
      <c r="AZ6" t="s">
        <v>909</v>
      </c>
      <c r="BA6" t="s">
        <v>883</v>
      </c>
      <c r="BB6" t="s">
        <v>770</v>
      </c>
      <c r="BC6" t="s">
        <v>773</v>
      </c>
      <c r="BD6" t="s">
        <v>774</v>
      </c>
      <c r="BE6" t="s">
        <v>851</v>
      </c>
      <c r="BF6" t="s">
        <v>875</v>
      </c>
      <c r="BG6" t="s">
        <v>913</v>
      </c>
    </row>
    <row r="7" spans="3:63" ht="15" thickBot="1">
      <c r="C7" s="194"/>
      <c r="D7" s="181" t="s">
        <v>859</v>
      </c>
      <c r="E7" s="121"/>
      <c r="G7" s="181" t="s">
        <v>861</v>
      </c>
      <c r="H7" s="121"/>
      <c r="K7" s="197"/>
      <c r="AS7" s="1"/>
      <c r="AT7" s="1"/>
      <c r="AU7" s="1"/>
      <c r="AY7" s="29"/>
      <c r="AZ7" s="57" t="s">
        <v>912</v>
      </c>
      <c r="BA7" t="s">
        <v>884</v>
      </c>
      <c r="BB7">
        <v>1305</v>
      </c>
      <c r="BC7">
        <v>70000</v>
      </c>
      <c r="BD7">
        <v>0</v>
      </c>
      <c r="BE7">
        <f>BC7-BD7</f>
        <v>70000</v>
      </c>
      <c r="BF7" t="str">
        <f>IF((SUMIFS($BD$7:$BD$32,$BB$7:$BB$32,2205,$BA$7:$BA$32,"="&amp;BA7,$BG$7:$BG$32,(LEFT(AZ7,SEARCH("-",AZ7)-1)))-SUMIFS($BC$7:$BC$32,$BA$7:$BA$32,"="&amp;BA7,$AY$7:$AY$32,(LEFT(AZ7,SEARCH("-",AZ7)-1)), $BB$7:$BB$32,2205 ))=0,"PAGADO",(IF((SUMIFS($BC$7:$BC$32,$BB$7:$BB$32,1305,$BA$7:$BA$32,"="&amp;BA7,$BG$7:$BG$32,(LEFT(AZ7,SEARCH("-",AZ7)-1)))-SUMIFS($BD$7:$BD$32,$BA$7:$BA$32,"="&amp;BA7,$AY$7:$AY$32,(LEFT(AZ7,SEARCH("-",AZ7)-1)), $BB$7:$BB$32,1305 ))=0,"PAGADO","NO PAGADO")))</f>
        <v>PAGADO</v>
      </c>
      <c r="BG7" t="str">
        <f t="shared" ref="BG7:BG28" si="0">IFERROR(LEFT(AZ7,SEARCH("-",AZ7)-1),0)</f>
        <v>7888</v>
      </c>
      <c r="BH7" t="s">
        <v>1098</v>
      </c>
      <c r="BI7" t="str">
        <f>IF((SUMIFS($BD$7:$BD$32,$BA$7:$BA$32,"="&amp;BA7,$BG$7:$BG$32,(LEFT(AZ7,SEARCH("-",AZ7)-1)))-SUMIFS($BC$7:$BC$32,$BA$7:$BA$32,"="&amp;BA7,$AY$7:$AY$32,(LEFT(AZ7,SEARCH("-",AZ7)-1))))=0,"PAGADO",(IF((SUMIFS($BC$7:$BC$32,$BA$7:$BA$32,"="&amp;BA7,$BG$7:$BG$32,(LEFT(AZ7,SEARCH("-",AZ7)-1)))-SUMIFS($BD$7:$BD$32,$BA$7:$BA$32,"="&amp;BA7,$AY$7:$AY$32,(LEFT(AZ7,SEARCH("-",AZ7)-1)) ))=0,"PAGADO","NO PAGADO")))</f>
        <v>PAGADO</v>
      </c>
    </row>
    <row r="8" spans="3:63" ht="13.5" thickBot="1">
      <c r="C8" s="194"/>
      <c r="F8" s="50"/>
      <c r="G8"/>
      <c r="K8" s="197"/>
      <c r="AY8" s="29"/>
      <c r="AZ8" s="57" t="s">
        <v>911</v>
      </c>
      <c r="BA8" t="s">
        <v>884</v>
      </c>
      <c r="BB8">
        <v>0</v>
      </c>
      <c r="BC8">
        <v>0</v>
      </c>
      <c r="BD8">
        <v>0</v>
      </c>
      <c r="BE8">
        <f t="shared" ref="BE8:BE28" si="1">BC8-BD8</f>
        <v>0</v>
      </c>
      <c r="BF8" t="str">
        <f>IF(( SUMIFS($BD$7:$BD$32,$BB$7:$BB$32,2205,$BA$7:$BA$32,"="&amp;BA8,$BG$7:$BG$32, (LEFT(AZ8,SEARCH("-",AZ8)-1)) ) - SUMIFS($BC$7:$BC$32,$BA$7:$BA$32,"="&amp;BA8,$AY$7:$AY$32,(LEFT(AZ8,SEARCH("-",AZ8)-1)), $BB$7:$BB$32,2205 ) )=0,"PAGADO","NO PAGADO")</f>
        <v>PAGADO</v>
      </c>
      <c r="BG8" t="str">
        <f t="shared" si="0"/>
        <v>7888</v>
      </c>
      <c r="BH8" t="s">
        <v>1098</v>
      </c>
      <c r="BI8" t="str">
        <f t="shared" ref="BI8:BI28" si="2">IF((SUMIFS($BD$7:$BD$32,$BA$7:$BA$32,"="&amp;BA8,$BG$7:$BG$32,(LEFT(AZ8,SEARCH("-",AZ8)-1)))-SUMIFS($BC$7:$BC$32,$BA$7:$BA$32,"="&amp;BA8,$AY$7:$AY$32,(LEFT(AZ8,SEARCH("-",AZ8)-1))))=0,"PAGADO",(IF((SUMIFS($BC$7:$BC$32,$BA$7:$BA$32,"="&amp;BA8,$BG$7:$BG$32,(LEFT(AZ8,SEARCH("-",AZ8)-1)))-SUMIFS($BD$7:$BD$32,$BA$7:$BA$32,"="&amp;BA8,$AY$7:$AY$32,(LEFT(AZ8,SEARCH("-",AZ8)-1)) ))=0,"PAGADO","NO PAGADO")))</f>
        <v>PAGADO</v>
      </c>
      <c r="BK8" t="str">
        <f>IF(AZ7=0, "PAGADO", IF((SUMIFS($BE$7:$BE$19,$BB$7:$BB$19,2205,$BA$7:$BA$19,"="&amp;BA7,$AY$7:$AY$19,AZ7) + SUMIFS($BC$7:$BC$19,$BB$7:$BB$19,2205,$BA$7:$BA$19,"="&amp;BA7,$AZ$7:$AZ$19,AZ7) )=0,"PAGADO","NO PAGADO"))</f>
        <v>PAGADO</v>
      </c>
    </row>
    <row r="9" spans="3:63" ht="15" thickBot="1">
      <c r="C9" s="194"/>
      <c r="D9" s="181" t="s">
        <v>860</v>
      </c>
      <c r="E9" s="120"/>
      <c r="G9" s="181" t="s">
        <v>1078</v>
      </c>
      <c r="H9" s="132" t="s">
        <v>1111</v>
      </c>
      <c r="K9" s="197"/>
      <c r="AY9" s="29"/>
      <c r="AZ9" s="57" t="s">
        <v>910</v>
      </c>
      <c r="BA9" t="s">
        <v>884</v>
      </c>
      <c r="BB9">
        <v>4105</v>
      </c>
      <c r="BD9">
        <v>70000</v>
      </c>
      <c r="BE9">
        <f t="shared" si="1"/>
        <v>-70000</v>
      </c>
      <c r="BF9" t="str">
        <f>IF(( SUMIFS($BD$7:$BD$32,$BB$7:$BB$32,2205,$BA$7:$BA$32,"="&amp;BA9,$BG$7:$BG$32, (LEFT(AZ9,SEARCH("-",AZ9)-1)) ) - SUMIFS($BC$7:$BC$32,$BA$7:$BA$32,"="&amp;BA9,$AY$7:$AY$32,(LEFT(AZ9,SEARCH("-",AZ9)-1))) )=0,"PAGADO","NO PAGADO")</f>
        <v>NO PAGADO</v>
      </c>
      <c r="BG9" t="str">
        <f t="shared" si="0"/>
        <v>7888</v>
      </c>
      <c r="BH9" t="s">
        <v>1098</v>
      </c>
      <c r="BI9" t="str">
        <f t="shared" si="2"/>
        <v>PAGADO</v>
      </c>
    </row>
    <row r="10" spans="3:63" ht="13.5" thickBot="1">
      <c r="C10" s="194"/>
      <c r="F10" s="33"/>
      <c r="G10"/>
      <c r="K10" s="197"/>
      <c r="AY10" s="29"/>
      <c r="AZ10" t="s">
        <v>880</v>
      </c>
      <c r="BA10" t="s">
        <v>885</v>
      </c>
      <c r="BB10">
        <v>5107</v>
      </c>
      <c r="BC10">
        <v>10000</v>
      </c>
      <c r="BD10">
        <v>0</v>
      </c>
      <c r="BE10">
        <f t="shared" si="1"/>
        <v>10000</v>
      </c>
      <c r="BF10" t="str">
        <f t="shared" ref="BF10:BF28" si="3">IF(( SUMIFS($BD$7:$BD$32,$BB$7:$BB$32,2205,$BA$7:$BA$32,"="&amp;BA10,$BG$7:$BG$32, (LEFT(AZ10,SEARCH("-",AZ10)-1)) ) - SUMIFS($BC$7:$BC$32,$BA$7:$BA$32,"="&amp;BA10,$AY$7:$AY$32,(LEFT(AZ10,SEARCH("-",AZ10)-1))) )=0,"PAGADO","NO PAGADO")</f>
        <v>PAGADO</v>
      </c>
      <c r="BG10" t="str">
        <f t="shared" si="0"/>
        <v>57</v>
      </c>
      <c r="BH10" t="s">
        <v>1098</v>
      </c>
      <c r="BI10" t="str">
        <f t="shared" si="2"/>
        <v>PAGADO</v>
      </c>
    </row>
    <row r="11" spans="3:63" ht="15" thickBot="1">
      <c r="C11" s="194"/>
      <c r="D11" s="181" t="s">
        <v>862</v>
      </c>
      <c r="E11" s="121"/>
      <c r="G11" s="181" t="s">
        <v>958</v>
      </c>
      <c r="H11" s="121"/>
      <c r="K11" s="197"/>
      <c r="AY11" s="29"/>
      <c r="AZ11" t="s">
        <v>881</v>
      </c>
      <c r="BA11" t="s">
        <v>885</v>
      </c>
      <c r="BB11">
        <v>0</v>
      </c>
      <c r="BC11">
        <v>0</v>
      </c>
      <c r="BD11">
        <v>0</v>
      </c>
      <c r="BE11">
        <f t="shared" si="1"/>
        <v>0</v>
      </c>
      <c r="BF11" t="str">
        <f t="shared" si="3"/>
        <v>PAGADO</v>
      </c>
      <c r="BG11" t="str">
        <f t="shared" si="0"/>
        <v>57</v>
      </c>
      <c r="BH11" t="s">
        <v>1098</v>
      </c>
      <c r="BI11" t="str">
        <f t="shared" si="2"/>
        <v>PAGADO</v>
      </c>
    </row>
    <row r="12" spans="3:63" ht="13.5" thickBot="1">
      <c r="C12" s="194"/>
      <c r="F12" s="33"/>
      <c r="G12"/>
      <c r="K12" s="197"/>
      <c r="AY12" s="29"/>
      <c r="AZ12" t="s">
        <v>882</v>
      </c>
      <c r="BA12" t="s">
        <v>885</v>
      </c>
      <c r="BB12">
        <v>2205</v>
      </c>
      <c r="BC12">
        <v>0</v>
      </c>
      <c r="BD12">
        <v>10000</v>
      </c>
      <c r="BE12">
        <f t="shared" si="1"/>
        <v>-10000</v>
      </c>
      <c r="BF12" t="str">
        <f t="shared" si="3"/>
        <v>PAGADO</v>
      </c>
      <c r="BG12" t="str">
        <f t="shared" si="0"/>
        <v>57</v>
      </c>
      <c r="BH12" t="s">
        <v>1098</v>
      </c>
      <c r="BI12" t="str">
        <f t="shared" si="2"/>
        <v>PAGADO</v>
      </c>
    </row>
    <row r="13" spans="3:63" ht="15" thickBot="1">
      <c r="C13" s="194"/>
      <c r="D13" s="181" t="s">
        <v>863</v>
      </c>
      <c r="E13" s="121"/>
      <c r="G13" s="181" t="s">
        <v>1092</v>
      </c>
      <c r="H13" s="132" t="s">
        <v>1090</v>
      </c>
      <c r="K13" s="197"/>
      <c r="AP13" s="53" t="s">
        <v>889</v>
      </c>
      <c r="AY13" s="57">
        <v>7888</v>
      </c>
      <c r="AZ13" s="54">
        <v>0</v>
      </c>
      <c r="BA13" s="54" t="s">
        <v>884</v>
      </c>
      <c r="BB13" s="54">
        <v>1105</v>
      </c>
      <c r="BC13" s="54">
        <v>70000</v>
      </c>
      <c r="BD13" s="54"/>
      <c r="BE13" s="54">
        <f t="shared" si="1"/>
        <v>70000</v>
      </c>
      <c r="BF13" t="str">
        <f t="shared" si="3"/>
        <v>PAGADO</v>
      </c>
      <c r="BG13">
        <f t="shared" si="0"/>
        <v>0</v>
      </c>
      <c r="BH13" t="s">
        <v>1098</v>
      </c>
      <c r="BI13" t="str">
        <f t="shared" si="2"/>
        <v>PAGADO</v>
      </c>
    </row>
    <row r="14" spans="3:63" ht="13.5" thickBot="1">
      <c r="C14" s="194"/>
      <c r="F14" s="33"/>
      <c r="G14"/>
      <c r="K14" s="197"/>
      <c r="AP14" t="s">
        <v>890</v>
      </c>
      <c r="AY14" s="57">
        <v>7888</v>
      </c>
      <c r="AZ14" s="54">
        <v>0</v>
      </c>
      <c r="BA14" s="54" t="s">
        <v>884</v>
      </c>
      <c r="BB14" s="54">
        <v>1305</v>
      </c>
      <c r="BC14" s="54"/>
      <c r="BD14" s="54">
        <v>70000</v>
      </c>
      <c r="BE14" s="54">
        <f t="shared" si="1"/>
        <v>-70000</v>
      </c>
      <c r="BF14" t="str">
        <f t="shared" si="3"/>
        <v>PAGADO</v>
      </c>
      <c r="BG14">
        <f t="shared" si="0"/>
        <v>0</v>
      </c>
      <c r="BH14" t="s">
        <v>1098</v>
      </c>
      <c r="BI14" t="str">
        <f t="shared" si="2"/>
        <v>PAGADO</v>
      </c>
    </row>
    <row r="15" spans="3:63" ht="15" thickBot="1">
      <c r="C15" s="194"/>
      <c r="G15" s="181" t="s">
        <v>1330</v>
      </c>
      <c r="H15" s="132"/>
      <c r="K15" s="197"/>
      <c r="AP15" t="s">
        <v>891</v>
      </c>
      <c r="AY15" s="29"/>
      <c r="AZ15" t="s">
        <v>914</v>
      </c>
      <c r="BA15" t="s">
        <v>884</v>
      </c>
      <c r="BB15">
        <v>5105</v>
      </c>
      <c r="BC15">
        <v>50000</v>
      </c>
      <c r="BD15">
        <v>0</v>
      </c>
      <c r="BE15">
        <f t="shared" si="1"/>
        <v>50000</v>
      </c>
      <c r="BF15" t="str">
        <f t="shared" si="3"/>
        <v>NO PAGADO</v>
      </c>
      <c r="BG15" t="str">
        <f t="shared" si="0"/>
        <v>58</v>
      </c>
      <c r="BH15" t="s">
        <v>1099</v>
      </c>
      <c r="BI15" t="str">
        <f t="shared" si="2"/>
        <v>NO PAGADO</v>
      </c>
    </row>
    <row r="16" spans="3:63">
      <c r="C16" s="194"/>
      <c r="G16" s="195"/>
      <c r="K16" s="197"/>
      <c r="AP16" t="s">
        <v>892</v>
      </c>
      <c r="AY16" s="29"/>
      <c r="AZ16" t="s">
        <v>915</v>
      </c>
      <c r="BA16" t="s">
        <v>884</v>
      </c>
      <c r="BB16">
        <v>0</v>
      </c>
      <c r="BC16">
        <v>0</v>
      </c>
      <c r="BD16">
        <v>0</v>
      </c>
      <c r="BE16">
        <f t="shared" si="1"/>
        <v>0</v>
      </c>
      <c r="BF16" t="str">
        <f t="shared" si="3"/>
        <v>NO PAGADO</v>
      </c>
      <c r="BG16" t="str">
        <f t="shared" si="0"/>
        <v>58</v>
      </c>
      <c r="BH16" t="s">
        <v>1099</v>
      </c>
      <c r="BI16" t="str">
        <f t="shared" si="2"/>
        <v>NO PAGADO</v>
      </c>
    </row>
    <row r="17" spans="3:61">
      <c r="C17" s="194"/>
      <c r="G17" s="195"/>
      <c r="K17" s="197"/>
      <c r="AP17" t="s">
        <v>893</v>
      </c>
      <c r="AY17" s="29"/>
      <c r="AZ17" t="s">
        <v>916</v>
      </c>
      <c r="BA17" t="s">
        <v>884</v>
      </c>
      <c r="BB17">
        <v>2205</v>
      </c>
      <c r="BD17">
        <v>50000</v>
      </c>
      <c r="BE17">
        <f t="shared" si="1"/>
        <v>-50000</v>
      </c>
      <c r="BF17" t="str">
        <f t="shared" si="3"/>
        <v>NO PAGADO</v>
      </c>
      <c r="BG17" t="str">
        <f t="shared" si="0"/>
        <v>58</v>
      </c>
      <c r="BH17" t="s">
        <v>1099</v>
      </c>
      <c r="BI17" t="str">
        <f t="shared" si="2"/>
        <v>NO PAGADO</v>
      </c>
    </row>
    <row r="18" spans="3:61">
      <c r="C18" s="194"/>
      <c r="G18" s="195"/>
      <c r="K18" s="197"/>
      <c r="AP18" t="s">
        <v>894</v>
      </c>
      <c r="AY18">
        <v>57</v>
      </c>
      <c r="AZ18" s="54">
        <v>0</v>
      </c>
      <c r="BA18" s="54" t="s">
        <v>885</v>
      </c>
      <c r="BB18" s="54">
        <v>2205</v>
      </c>
      <c r="BC18" s="54">
        <v>10000</v>
      </c>
      <c r="BD18" s="54"/>
      <c r="BE18" s="54">
        <f t="shared" si="1"/>
        <v>10000</v>
      </c>
      <c r="BF18" t="str">
        <f t="shared" si="3"/>
        <v>PAGADO</v>
      </c>
      <c r="BG18">
        <f t="shared" si="0"/>
        <v>0</v>
      </c>
      <c r="BH18" t="s">
        <v>1098</v>
      </c>
      <c r="BI18" t="str">
        <f t="shared" si="2"/>
        <v>PAGADO</v>
      </c>
    </row>
    <row r="19" spans="3:61" ht="14.25">
      <c r="C19" s="194"/>
      <c r="D19" s="204" t="s">
        <v>864</v>
      </c>
      <c r="E19" s="198"/>
      <c r="G19" s="195"/>
      <c r="K19" s="197"/>
      <c r="AP19" t="s">
        <v>895</v>
      </c>
      <c r="AY19">
        <v>57</v>
      </c>
      <c r="AZ19" s="54">
        <v>0</v>
      </c>
      <c r="BA19" s="54" t="s">
        <v>885</v>
      </c>
      <c r="BB19" s="54">
        <v>1105</v>
      </c>
      <c r="BC19" s="54"/>
      <c r="BD19" s="54">
        <v>10000</v>
      </c>
      <c r="BE19" s="54">
        <f t="shared" si="1"/>
        <v>-10000</v>
      </c>
      <c r="BF19" t="str">
        <f t="shared" si="3"/>
        <v>PAGADO</v>
      </c>
      <c r="BG19">
        <f t="shared" si="0"/>
        <v>0</v>
      </c>
      <c r="BH19" t="s">
        <v>1098</v>
      </c>
      <c r="BI19" t="str">
        <f t="shared" si="2"/>
        <v>PAGADO</v>
      </c>
    </row>
    <row r="20" spans="3:61" ht="13.5" thickBot="1">
      <c r="C20" s="194"/>
      <c r="G20" s="195"/>
      <c r="K20" s="197"/>
      <c r="AG20" t="s">
        <v>1082</v>
      </c>
      <c r="AP20" t="s">
        <v>896</v>
      </c>
      <c r="AZ20" t="s">
        <v>914</v>
      </c>
      <c r="BA20" t="s">
        <v>885</v>
      </c>
      <c r="BB20">
        <v>5107</v>
      </c>
      <c r="BC20">
        <v>85000</v>
      </c>
      <c r="BE20">
        <f t="shared" si="1"/>
        <v>85000</v>
      </c>
      <c r="BF20" t="str">
        <f t="shared" si="3"/>
        <v>PAGADO</v>
      </c>
      <c r="BG20" t="str">
        <f t="shared" si="0"/>
        <v>58</v>
      </c>
      <c r="BH20" t="s">
        <v>1098</v>
      </c>
      <c r="BI20" t="str">
        <f t="shared" si="2"/>
        <v>PAGADO</v>
      </c>
    </row>
    <row r="21" spans="3:61" ht="22.5" thickBot="1">
      <c r="C21" s="194"/>
      <c r="D21" s="182" t="s">
        <v>872</v>
      </c>
      <c r="E21" s="182" t="s">
        <v>1077</v>
      </c>
      <c r="F21" s="182" t="s">
        <v>873</v>
      </c>
      <c r="G21" s="182" t="s">
        <v>874</v>
      </c>
      <c r="H21" s="182" t="s">
        <v>851</v>
      </c>
      <c r="I21" s="209" t="s">
        <v>1079</v>
      </c>
      <c r="J21" s="182" t="s">
        <v>1119</v>
      </c>
      <c r="K21" s="197"/>
      <c r="L21" s="51"/>
      <c r="M21" s="51"/>
      <c r="N21" s="203" t="s">
        <v>1094</v>
      </c>
      <c r="O21" s="203" t="s">
        <v>1095</v>
      </c>
      <c r="P21" s="203" t="s">
        <v>1096</v>
      </c>
      <c r="Q21" s="203" t="s">
        <v>1097</v>
      </c>
      <c r="R21" s="203" t="s">
        <v>1100</v>
      </c>
      <c r="S21" s="203" t="s">
        <v>1102</v>
      </c>
      <c r="T21" s="203" t="s">
        <v>1101</v>
      </c>
      <c r="U21" s="203" t="s">
        <v>874</v>
      </c>
      <c r="V21" s="51"/>
      <c r="W21" s="51"/>
      <c r="X21" s="51"/>
      <c r="Y21" s="51"/>
      <c r="Z21" s="51"/>
      <c r="AA21" s="55" t="s">
        <v>879</v>
      </c>
      <c r="AB21" s="56" t="s">
        <v>888</v>
      </c>
      <c r="AC21" s="56" t="s">
        <v>1080</v>
      </c>
      <c r="AD21" s="56" t="s">
        <v>1081</v>
      </c>
      <c r="AE21" s="56" t="s">
        <v>1086</v>
      </c>
      <c r="AF21" s="201"/>
      <c r="AG21" s="56" t="s">
        <v>1080</v>
      </c>
      <c r="AH21" s="56" t="s">
        <v>1093</v>
      </c>
      <c r="AI21" s="56" t="s">
        <v>770</v>
      </c>
      <c r="AJ21" s="56" t="s">
        <v>1083</v>
      </c>
      <c r="AK21" s="56" t="s">
        <v>1085</v>
      </c>
      <c r="AL21" s="201"/>
      <c r="AM21" s="201"/>
      <c r="AN21" s="201"/>
      <c r="AP21" t="s">
        <v>897</v>
      </c>
      <c r="AQ21" s="51"/>
      <c r="AR21" s="51"/>
      <c r="AS21" s="51"/>
      <c r="AT21" s="51"/>
      <c r="AU21" s="51"/>
      <c r="AV21" s="51"/>
      <c r="AW21" s="51"/>
      <c r="AZ21" t="s">
        <v>915</v>
      </c>
      <c r="BA21" t="s">
        <v>885</v>
      </c>
      <c r="BB21">
        <v>2205</v>
      </c>
      <c r="BD21">
        <v>85000</v>
      </c>
      <c r="BE21">
        <f t="shared" si="1"/>
        <v>-85000</v>
      </c>
      <c r="BF21" t="str">
        <f t="shared" si="3"/>
        <v>PAGADO</v>
      </c>
      <c r="BG21" t="str">
        <f t="shared" si="0"/>
        <v>58</v>
      </c>
      <c r="BH21" t="s">
        <v>1098</v>
      </c>
      <c r="BI21" t="str">
        <f t="shared" si="2"/>
        <v>PAGADO</v>
      </c>
    </row>
    <row r="22" spans="3:61">
      <c r="C22" s="194"/>
      <c r="D22" s="206" t="str">
        <f>IFERROR(RIGHT(AG23,LEN(AG23)-SEARCH("F.C.",AG23)-3),"")</f>
        <v/>
      </c>
      <c r="E22" s="142" t="str">
        <f>_xlfn.XLOOKUP(AB22,Regcontabilizados[Identificador],Regcontabilizados[Fecha vencimiento],0)</f>
        <v/>
      </c>
      <c r="F22" s="183" t="str">
        <f>_xlfn.XLOOKUP(AB22,Regcontabilizados[Identificador],Regcontabilizados[Haber],0)</f>
        <v/>
      </c>
      <c r="G22" s="183">
        <f>_xlfn.XLOOKUP(AH23,Regcontabilizados[Identificador],Regcontabilizados[Debe],0)</f>
        <v>0</v>
      </c>
      <c r="H22" s="37">
        <f>IFERROR(F22-G22,0)</f>
        <v>0</v>
      </c>
      <c r="I22" s="37"/>
      <c r="J22" s="210">
        <f>IF(G22&lt;&gt;0,1,0)</f>
        <v>0</v>
      </c>
      <c r="K22" s="197"/>
      <c r="N22" s="33" t="str">
        <f>D22</f>
        <v/>
      </c>
      <c r="O22" t="str">
        <f>_xlfn.XLOOKUP($H$7,BDPROV[ID-Proveedor],BDPROV[NIT/C.C.])&amp;$H$9&amp;N22&amp;"-"&amp;11</f>
        <v>F.C.-11</v>
      </c>
      <c r="P22" t="str">
        <f>IF(N22&lt;&gt;"",IFERROR(LEFT(O22,SEARCH("-",O22)-1),0),"")</f>
        <v/>
      </c>
      <c r="Q22" t="str">
        <f>IF(N22="","",    _xlfn.XLOOKUP(P22,Regcontabilizados[Número pago],Regcontabilizados[Estado de pago],"NO PAGADO"))</f>
        <v/>
      </c>
      <c r="R22" s="44">
        <f>_xlfn.XLOOKUP(O22,Regcontabilizados[Identificador],Regcontabilizados[Fecha vencimiento],0)</f>
        <v>0</v>
      </c>
      <c r="S22">
        <f>_xlfn.XLOOKUP(O22,Regcontabilizados[Identificador],Regcontabilizados[Subcuenta],0)</f>
        <v>0</v>
      </c>
      <c r="T22">
        <f>_xlfn.XLOOKUP(O22,Regcontabilizados[Identificador],Regcontabilizados[Haber],0)</f>
        <v>0</v>
      </c>
      <c r="U22">
        <f>SUMIF(Regcontabilizados[Número pago],PAGOCompbusc!P22,Regcontabilizados[Debe])</f>
        <v>0</v>
      </c>
      <c r="AA22" s="33" t="str">
        <f>IF(J22=0,"",  _xlfn.XLOOKUP(AB22,Regcontabilizados[Identificador],Regcontabilizados[Subcuenta],0))</f>
        <v/>
      </c>
      <c r="AB22" t="str">
        <f>IF(J22=0,"",  _xlfn.XLOOKUP($H$7,BDPROV[ID-Proveedor],BDPROV[NIT/C.C.],0)&amp;$H$9&amp;D22&amp;"-"&amp;11)</f>
        <v/>
      </c>
      <c r="AC22" t="str">
        <f>IF(J22=0,"",  IF(D22&lt;&gt;"",IFERROR(LEFT(AB22,SEARCH("-",AB22)-1),0),""))</f>
        <v/>
      </c>
      <c r="AD22" t="str">
        <f>IF(AND(AC22="",J22=0),"En Blanco","DATO")</f>
        <v>En Blanco</v>
      </c>
      <c r="AE22" t="str">
        <f>_xlfn.XLOOKUP($H$7,BDPROV[ID-Proveedor],BDPROV[NIT/C.C.],0)&amp;$H$13&amp;$E$7&amp;"-"&amp;ROW(Z22)-21</f>
        <v>Comp. Egreso-1</v>
      </c>
      <c r="AG22" s="207">
        <f>E7</f>
        <v>0</v>
      </c>
      <c r="AH22" s="207" t="str">
        <f>AE32</f>
        <v>Comp. Egreso-11</v>
      </c>
      <c r="AI22" s="207">
        <f>E11</f>
        <v>0</v>
      </c>
      <c r="AJ22" s="207"/>
      <c r="AK22" s="207" t="e" vm="1">
        <f>SUM(_xlfn.ANCHORARRAY(AJ23))</f>
        <v>#VALUE!</v>
      </c>
      <c r="AZ22" t="s">
        <v>917</v>
      </c>
      <c r="BA22" t="s">
        <v>884</v>
      </c>
      <c r="BB22">
        <v>5105</v>
      </c>
      <c r="BC22">
        <v>50000</v>
      </c>
      <c r="BD22">
        <v>0</v>
      </c>
      <c r="BE22">
        <f t="shared" si="1"/>
        <v>50000</v>
      </c>
      <c r="BF22" t="str">
        <f t="shared" si="3"/>
        <v>PAGADO</v>
      </c>
      <c r="BG22" t="str">
        <f t="shared" si="0"/>
        <v>59</v>
      </c>
      <c r="BH22" t="s">
        <v>1098</v>
      </c>
      <c r="BI22" t="str">
        <f t="shared" si="2"/>
        <v>PAGADO</v>
      </c>
    </row>
    <row r="23" spans="3:61">
      <c r="C23" s="194"/>
      <c r="D23" s="206" t="str">
        <f t="shared" ref="D23:D86" si="4">IFERROR(RIGHT(AG24,LEN(AG24)-SEARCH("F.C.",AG24)-3),"")</f>
        <v/>
      </c>
      <c r="E23" s="142" t="str">
        <f>_xlfn.XLOOKUP(AB23,Regcontabilizados[Identificador],Regcontabilizados[Fecha vencimiento],0)</f>
        <v/>
      </c>
      <c r="F23" s="183" t="str">
        <f>_xlfn.XLOOKUP(AB23,Regcontabilizados[Identificador],Regcontabilizados[Haber],0)</f>
        <v/>
      </c>
      <c r="G23" s="183">
        <f>_xlfn.XLOOKUP(AH24,Regcontabilizados[Identificador],Regcontabilizados[Debe],0)</f>
        <v>0</v>
      </c>
      <c r="H23" s="37">
        <f t="shared" ref="H23:H86" si="5">IFERROR(F23-G23,0)</f>
        <v>0</v>
      </c>
      <c r="I23" s="37"/>
      <c r="J23" s="210">
        <f t="shared" ref="J23:J86" si="6">IF(G23&lt;&gt;0,1,0)</f>
        <v>0</v>
      </c>
      <c r="K23" s="197"/>
      <c r="N23" s="33" t="str">
        <f t="shared" ref="N23:N31" si="7">D23</f>
        <v/>
      </c>
      <c r="O23" t="str">
        <f>_xlfn.XLOOKUP($H$7,BDPROV[ID-Proveedor],BDPROV[NIT/C.C.])&amp;$H$9&amp;N23&amp;"-"&amp;11</f>
        <v>F.C.-11</v>
      </c>
      <c r="P23" t="str">
        <f>IF(N23&lt;&gt;"",IFERROR(LEFT(O23,SEARCH("-",O23)-1),0),"")</f>
        <v/>
      </c>
      <c r="Q23" t="str">
        <f>IF(N23="","",    _xlfn.XLOOKUP(P23,Regcontabilizados[Número pago],Regcontabilizados[Estado de pago],"NO PAGADO"))</f>
        <v/>
      </c>
      <c r="R23" s="44">
        <f>_xlfn.XLOOKUP(O23,Regcontabilizados[Identificador],Regcontabilizados[Fecha vencimiento],0)</f>
        <v>0</v>
      </c>
      <c r="S23">
        <f>_xlfn.XLOOKUP(O23,Regcontabilizados[Identificador],Regcontabilizados[Subcuenta],0)</f>
        <v>0</v>
      </c>
      <c r="T23">
        <f>_xlfn.XLOOKUP(O23,Regcontabilizados[Identificador],Regcontabilizados[Haber],0)</f>
        <v>0</v>
      </c>
      <c r="U23">
        <f>SUMIF(Regcontabilizados[Número pago],PAGOCompbusc!P23,Regcontabilizados[Debe])</f>
        <v>0</v>
      </c>
      <c r="AA23" s="33" t="str">
        <f>IF(J23=0,"",  _xlfn.XLOOKUP(AB23,Regcontabilizados[Identificador],Regcontabilizados[Subcuenta],0))</f>
        <v/>
      </c>
      <c r="AB23" t="str">
        <f>IF(J23=0,"",  _xlfn.XLOOKUP($H$7,BDPROV[ID-Proveedor],BDPROV[NIT/C.C.],0)&amp;$H$9&amp;D23&amp;"-"&amp;11)</f>
        <v/>
      </c>
      <c r="AC23" t="str">
        <f t="shared" ref="AC23:AC86" si="8">IF(J23=0,"",  IF(D23&lt;&gt;"",IFERROR(LEFT(AB23,SEARCH("-",AB23)-1),0),""))</f>
        <v/>
      </c>
      <c r="AD23" t="str">
        <f t="shared" ref="AD23:AD86" si="9">IF(AND(AC23="",J23=0),"En Blanco","DATO")</f>
        <v>En Blanco</v>
      </c>
      <c r="AE23" t="str">
        <f>_xlfn.XLOOKUP($H$7,BDPROV[ID-Proveedor],BDPROV[NIT/C.C.],0)&amp;$H$13&amp;$E$7&amp;"-"&amp;ROW(Z23)-21</f>
        <v>Comp. Egreso-2</v>
      </c>
      <c r="AG23" s="207">
        <f>_xlfn.XLOOKUP(AH23,Regcontabilizados[Identificador],Regcontabilizados[Número pago],0)</f>
        <v>0</v>
      </c>
      <c r="AH23" s="207" t="str">
        <f>AE22</f>
        <v>Comp. Egreso-1</v>
      </c>
      <c r="AI23" s="207" t="e" cm="1" vm="2">
        <f t="array" ref="AI23">_xlfn._xlws.FILTER(AA22:AA140,AD22:AD140=AG20)</f>
        <v>#VALUE!</v>
      </c>
      <c r="AJ23" s="207" t="e" cm="1" vm="2">
        <f t="array" ref="AJ23">_xlfn._xlws.FILTER(G22:G140,AD22:AD140=AG20)</f>
        <v>#VALUE!</v>
      </c>
      <c r="AK23" s="207"/>
      <c r="AP23" t="s">
        <v>898</v>
      </c>
      <c r="AZ23" t="s">
        <v>918</v>
      </c>
      <c r="BA23" t="s">
        <v>884</v>
      </c>
      <c r="BB23">
        <v>0</v>
      </c>
      <c r="BC23">
        <v>0</v>
      </c>
      <c r="BD23">
        <v>0</v>
      </c>
      <c r="BE23">
        <f t="shared" si="1"/>
        <v>0</v>
      </c>
      <c r="BF23" t="str">
        <f t="shared" si="3"/>
        <v>PAGADO</v>
      </c>
      <c r="BG23" t="str">
        <f t="shared" si="0"/>
        <v>59</v>
      </c>
      <c r="BH23" t="s">
        <v>1098</v>
      </c>
      <c r="BI23" t="str">
        <f t="shared" si="2"/>
        <v>PAGADO</v>
      </c>
    </row>
    <row r="24" spans="3:61">
      <c r="C24" s="194"/>
      <c r="D24" s="206" t="str">
        <f t="shared" si="4"/>
        <v/>
      </c>
      <c r="E24" s="142" t="str">
        <f>_xlfn.XLOOKUP(AB24,Regcontabilizados[Identificador],Regcontabilizados[Fecha vencimiento],0)</f>
        <v/>
      </c>
      <c r="F24" s="183" t="str">
        <f>_xlfn.XLOOKUP(AB24,Regcontabilizados[Identificador],Regcontabilizados[Haber],0)</f>
        <v/>
      </c>
      <c r="G24" s="183">
        <f>_xlfn.XLOOKUP(AH25,Regcontabilizados[Identificador],Regcontabilizados[Debe],0)</f>
        <v>0</v>
      </c>
      <c r="H24" s="37">
        <f t="shared" si="5"/>
        <v>0</v>
      </c>
      <c r="I24" s="37"/>
      <c r="J24" s="210">
        <f t="shared" si="6"/>
        <v>0</v>
      </c>
      <c r="K24" s="197"/>
      <c r="N24" s="33" t="str">
        <f t="shared" si="7"/>
        <v/>
      </c>
      <c r="O24" t="str">
        <f>_xlfn.XLOOKUP($H$7,BDPROV[ID-Proveedor],BDPROV[NIT/C.C.])&amp;$H$9&amp;N24&amp;"-"&amp;11</f>
        <v>F.C.-11</v>
      </c>
      <c r="P24" t="str">
        <f>IF(N24&lt;&gt;"",IFERROR(LEFT(O24,SEARCH("-",O24)-1),0),"")</f>
        <v/>
      </c>
      <c r="Q24" t="str">
        <f>IF(N24="","",    _xlfn.XLOOKUP(P24,Regcontabilizados[Número pago],Regcontabilizados[Estado de pago],"NO PAGADO"))</f>
        <v/>
      </c>
      <c r="R24" s="44">
        <f>_xlfn.XLOOKUP(O24,Regcontabilizados[Identificador],Regcontabilizados[Fecha vencimiento],0)</f>
        <v>0</v>
      </c>
      <c r="S24">
        <f>_xlfn.XLOOKUP(O24,Regcontabilizados[Identificador],Regcontabilizados[Subcuenta],0)</f>
        <v>0</v>
      </c>
      <c r="T24">
        <f>_xlfn.XLOOKUP(O24,Regcontabilizados[Identificador],Regcontabilizados[Haber],0)</f>
        <v>0</v>
      </c>
      <c r="U24">
        <f>SUMIF(Regcontabilizados[Número pago],PAGOCompbusc!P24,Regcontabilizados[Debe])</f>
        <v>0</v>
      </c>
      <c r="AA24" s="33" t="str">
        <f>IF(J24=0,"",  _xlfn.XLOOKUP(AB24,Regcontabilizados[Identificador],Regcontabilizados[Subcuenta],0))</f>
        <v/>
      </c>
      <c r="AB24" t="str">
        <f>IF(J24=0,"",  _xlfn.XLOOKUP($H$7,BDPROV[ID-Proveedor],BDPROV[NIT/C.C.],0)&amp;$H$9&amp;D24&amp;"-"&amp;11)</f>
        <v/>
      </c>
      <c r="AC24" t="str">
        <f t="shared" si="8"/>
        <v/>
      </c>
      <c r="AD24" t="str">
        <f t="shared" si="9"/>
        <v>En Blanco</v>
      </c>
      <c r="AE24" t="str">
        <f>_xlfn.XLOOKUP($H$7,BDPROV[ID-Proveedor],BDPROV[NIT/C.C.],0)&amp;$H$13&amp;$E$7&amp;"-"&amp;ROW(Z24)-21</f>
        <v>Comp. Egreso-3</v>
      </c>
      <c r="AG24" s="207">
        <f>_xlfn.XLOOKUP(AH24,Regcontabilizados[Identificador],Regcontabilizados[Número pago],0)</f>
        <v>0</v>
      </c>
      <c r="AH24" s="207" t="str">
        <f t="shared" ref="AH24:AH32" si="10">AE23</f>
        <v>Comp. Egreso-2</v>
      </c>
      <c r="AI24" s="207"/>
      <c r="AJ24" s="207"/>
      <c r="AK24" s="207"/>
      <c r="AP24" t="s">
        <v>899</v>
      </c>
      <c r="AZ24" t="s">
        <v>919</v>
      </c>
      <c r="BA24" t="s">
        <v>884</v>
      </c>
      <c r="BB24">
        <v>2205</v>
      </c>
      <c r="BD24">
        <v>50000</v>
      </c>
      <c r="BE24">
        <f t="shared" si="1"/>
        <v>-50000</v>
      </c>
      <c r="BF24" t="str">
        <f t="shared" si="3"/>
        <v>PAGADO</v>
      </c>
      <c r="BG24" t="str">
        <f t="shared" si="0"/>
        <v>59</v>
      </c>
      <c r="BH24" t="s">
        <v>1098</v>
      </c>
      <c r="BI24" t="str">
        <f t="shared" si="2"/>
        <v>PAGADO</v>
      </c>
    </row>
    <row r="25" spans="3:61">
      <c r="C25" s="194"/>
      <c r="D25" s="206" t="str">
        <f t="shared" si="4"/>
        <v/>
      </c>
      <c r="E25" s="142" t="str">
        <f>_xlfn.XLOOKUP(AB25,Regcontabilizados[Identificador],Regcontabilizados[Fecha vencimiento],0)</f>
        <v/>
      </c>
      <c r="F25" s="183" t="str">
        <f>_xlfn.XLOOKUP(AB25,Regcontabilizados[Identificador],Regcontabilizados[Haber],0)</f>
        <v/>
      </c>
      <c r="G25" s="183">
        <f>_xlfn.XLOOKUP(AH26,Regcontabilizados[Identificador],Regcontabilizados[Debe],0)</f>
        <v>0</v>
      </c>
      <c r="H25" s="37">
        <f t="shared" si="5"/>
        <v>0</v>
      </c>
      <c r="I25" s="37"/>
      <c r="J25" s="210">
        <f t="shared" si="6"/>
        <v>0</v>
      </c>
      <c r="K25" s="197"/>
      <c r="N25" s="33" t="str">
        <f t="shared" si="7"/>
        <v/>
      </c>
      <c r="O25" t="str">
        <f>_xlfn.XLOOKUP($H$7,BDPROV[ID-Proveedor],BDPROV[NIT/C.C.])&amp;$H$9&amp;N25&amp;"-"&amp;11</f>
        <v>F.C.-11</v>
      </c>
      <c r="P25" t="str">
        <f t="shared" ref="P25:P88" si="11">IF(N25&lt;&gt;"",IFERROR(LEFT(O25,SEARCH("-",O25)-1),0),"")</f>
        <v/>
      </c>
      <c r="Q25" t="str">
        <f>IF(N25="","",    _xlfn.XLOOKUP(P25,Regcontabilizados[Número pago],Regcontabilizados[Estado de pago],"NO PAGADO"))</f>
        <v/>
      </c>
      <c r="R25" s="44">
        <f>_xlfn.XLOOKUP(O25,Regcontabilizados[Identificador],Regcontabilizados[Fecha vencimiento],0)</f>
        <v>0</v>
      </c>
      <c r="S25">
        <f>_xlfn.XLOOKUP(O25,Regcontabilizados[Identificador],Regcontabilizados[Subcuenta],0)</f>
        <v>0</v>
      </c>
      <c r="T25">
        <f>_xlfn.XLOOKUP(O25,Regcontabilizados[Identificador],Regcontabilizados[Haber],0)</f>
        <v>0</v>
      </c>
      <c r="U25">
        <f>SUMIF(Regcontabilizados[Número pago],PAGOCompbusc!P25,Regcontabilizados[Debe])</f>
        <v>0</v>
      </c>
      <c r="AA25" s="33" t="str">
        <f>IF(J25=0,"",  _xlfn.XLOOKUP(AB25,Regcontabilizados[Identificador],Regcontabilizados[Subcuenta],0))</f>
        <v/>
      </c>
      <c r="AB25" t="str">
        <f>IF(J25=0,"",  _xlfn.XLOOKUP($H$7,BDPROV[ID-Proveedor],BDPROV[NIT/C.C.],0)&amp;$H$9&amp;D25&amp;"-"&amp;11)</f>
        <v/>
      </c>
      <c r="AC25" t="str">
        <f t="shared" si="8"/>
        <v/>
      </c>
      <c r="AD25" t="str">
        <f t="shared" si="9"/>
        <v>En Blanco</v>
      </c>
      <c r="AE25" t="str">
        <f>_xlfn.XLOOKUP($H$7,BDPROV[ID-Proveedor],BDPROV[NIT/C.C.],0)&amp;$H$13&amp;$E$7&amp;"-"&amp;ROW(Z25)-21</f>
        <v>Comp. Egreso-4</v>
      </c>
      <c r="AG25" s="207">
        <f>_xlfn.XLOOKUP(AH25,Regcontabilizados[Identificador],Regcontabilizados[Número pago],0)</f>
        <v>0</v>
      </c>
      <c r="AH25" s="207" t="str">
        <f t="shared" si="10"/>
        <v>Comp. Egreso-3</v>
      </c>
      <c r="AI25" s="207"/>
      <c r="AJ25" s="207"/>
      <c r="AK25" s="207"/>
      <c r="AP25" t="s">
        <v>900</v>
      </c>
      <c r="AY25">
        <v>58</v>
      </c>
      <c r="AZ25" s="54">
        <v>0</v>
      </c>
      <c r="BA25" s="54" t="s">
        <v>885</v>
      </c>
      <c r="BB25" s="54">
        <v>2205</v>
      </c>
      <c r="BC25" s="54">
        <v>85000</v>
      </c>
      <c r="BD25" s="54"/>
      <c r="BE25" s="54">
        <f t="shared" si="1"/>
        <v>85000</v>
      </c>
      <c r="BF25" t="str">
        <f t="shared" si="3"/>
        <v>PAGADO</v>
      </c>
      <c r="BG25">
        <f t="shared" si="0"/>
        <v>0</v>
      </c>
      <c r="BH25" t="s">
        <v>1098</v>
      </c>
      <c r="BI25" t="str">
        <f t="shared" si="2"/>
        <v>PAGADO</v>
      </c>
    </row>
    <row r="26" spans="3:61">
      <c r="C26" s="194"/>
      <c r="D26" s="206" t="str">
        <f t="shared" si="4"/>
        <v/>
      </c>
      <c r="E26" s="142" t="str">
        <f>_xlfn.XLOOKUP(AB26,Regcontabilizados[Identificador],Regcontabilizados[Fecha vencimiento],0)</f>
        <v/>
      </c>
      <c r="F26" s="183" t="str">
        <f>_xlfn.XLOOKUP(AB26,Regcontabilizados[Identificador],Regcontabilizados[Haber],0)</f>
        <v/>
      </c>
      <c r="G26" s="183">
        <f>_xlfn.XLOOKUP(AH27,Regcontabilizados[Identificador],Regcontabilizados[Debe],0)</f>
        <v>0</v>
      </c>
      <c r="H26" s="37">
        <f t="shared" si="5"/>
        <v>0</v>
      </c>
      <c r="I26" s="37"/>
      <c r="J26" s="210">
        <f t="shared" si="6"/>
        <v>0</v>
      </c>
      <c r="K26" s="197"/>
      <c r="N26" s="33" t="str">
        <f t="shared" si="7"/>
        <v/>
      </c>
      <c r="O26" t="str">
        <f>_xlfn.XLOOKUP($H$7,BDPROV[ID-Proveedor],BDPROV[NIT/C.C.])&amp;$H$9&amp;N26&amp;"-"&amp;11</f>
        <v>F.C.-11</v>
      </c>
      <c r="P26" t="str">
        <f t="shared" si="11"/>
        <v/>
      </c>
      <c r="Q26" t="str">
        <f>IF(N26="","",    _xlfn.XLOOKUP(P26,Regcontabilizados[Número pago],Regcontabilizados[Estado de pago],"NO PAGADO"))</f>
        <v/>
      </c>
      <c r="R26" s="44">
        <f>_xlfn.XLOOKUP(O26,Regcontabilizados[Identificador],Regcontabilizados[Fecha vencimiento],0)</f>
        <v>0</v>
      </c>
      <c r="S26">
        <f>_xlfn.XLOOKUP(O26,Regcontabilizados[Identificador],Regcontabilizados[Subcuenta],0)</f>
        <v>0</v>
      </c>
      <c r="T26">
        <f>_xlfn.XLOOKUP(O26,Regcontabilizados[Identificador],Regcontabilizados[Haber],0)</f>
        <v>0</v>
      </c>
      <c r="U26">
        <f>SUMIF(Regcontabilizados[Número pago],PAGOCompbusc!P26,Regcontabilizados[Debe])</f>
        <v>0</v>
      </c>
      <c r="AA26" s="33" t="str">
        <f>IF(J26=0,"",  _xlfn.XLOOKUP(AB26,Regcontabilizados[Identificador],Regcontabilizados[Subcuenta],0))</f>
        <v/>
      </c>
      <c r="AB26" t="str">
        <f>IF(J26=0,"",  _xlfn.XLOOKUP($H$7,BDPROV[ID-Proveedor],BDPROV[NIT/C.C.],0)&amp;$H$9&amp;D26&amp;"-"&amp;11)</f>
        <v/>
      </c>
      <c r="AC26" t="str">
        <f t="shared" si="8"/>
        <v/>
      </c>
      <c r="AD26" t="str">
        <f t="shared" si="9"/>
        <v>En Blanco</v>
      </c>
      <c r="AE26" t="str">
        <f>_xlfn.XLOOKUP($H$7,BDPROV[ID-Proveedor],BDPROV[NIT/C.C.],0)&amp;$H$13&amp;$E$7&amp;"-"&amp;ROW(Z26)-21</f>
        <v>Comp. Egreso-5</v>
      </c>
      <c r="AG26" s="207">
        <f>_xlfn.XLOOKUP(AH26,Regcontabilizados[Identificador],Regcontabilizados[Número pago],0)</f>
        <v>0</v>
      </c>
      <c r="AH26" s="207" t="str">
        <f t="shared" si="10"/>
        <v>Comp. Egreso-4</v>
      </c>
      <c r="AI26" s="207"/>
      <c r="AJ26" s="207"/>
      <c r="AK26" s="207"/>
      <c r="AY26">
        <v>58</v>
      </c>
      <c r="AZ26" s="54">
        <v>0</v>
      </c>
      <c r="BA26" s="54" t="s">
        <v>885</v>
      </c>
      <c r="BB26" s="54">
        <v>1105</v>
      </c>
      <c r="BC26" s="54"/>
      <c r="BD26" s="54">
        <v>85000</v>
      </c>
      <c r="BE26" s="54">
        <f t="shared" si="1"/>
        <v>-85000</v>
      </c>
      <c r="BF26" t="str">
        <f t="shared" si="3"/>
        <v>PAGADO</v>
      </c>
      <c r="BG26">
        <f t="shared" si="0"/>
        <v>0</v>
      </c>
      <c r="BH26" t="s">
        <v>1098</v>
      </c>
      <c r="BI26" t="str">
        <f t="shared" si="2"/>
        <v>PAGADO</v>
      </c>
    </row>
    <row r="27" spans="3:61">
      <c r="C27" s="194"/>
      <c r="D27" s="206" t="str">
        <f t="shared" si="4"/>
        <v/>
      </c>
      <c r="E27" s="142" t="str">
        <f>_xlfn.XLOOKUP(AB27,Regcontabilizados[Identificador],Regcontabilizados[Fecha vencimiento],0)</f>
        <v/>
      </c>
      <c r="F27" s="183" t="str">
        <f>_xlfn.XLOOKUP(AB27,Regcontabilizados[Identificador],Regcontabilizados[Haber],0)</f>
        <v/>
      </c>
      <c r="G27" s="183">
        <f>_xlfn.XLOOKUP(AH28,Regcontabilizados[Identificador],Regcontabilizados[Debe],0)</f>
        <v>0</v>
      </c>
      <c r="H27" s="37">
        <f t="shared" si="5"/>
        <v>0</v>
      </c>
      <c r="I27" s="37"/>
      <c r="J27" s="210">
        <f t="shared" si="6"/>
        <v>0</v>
      </c>
      <c r="K27" s="197"/>
      <c r="N27" s="33" t="str">
        <f t="shared" si="7"/>
        <v/>
      </c>
      <c r="O27" t="str">
        <f>_xlfn.XLOOKUP($H$7,BDPROV[ID-Proveedor],BDPROV[NIT/C.C.])&amp;$H$9&amp;N27&amp;"-"&amp;11</f>
        <v>F.C.-11</v>
      </c>
      <c r="P27" t="str">
        <f t="shared" si="11"/>
        <v/>
      </c>
      <c r="Q27" t="str">
        <f>IF(N27="","",    _xlfn.XLOOKUP(P27,Regcontabilizados[Número pago],Regcontabilizados[Estado de pago],"NO PAGADO"))</f>
        <v/>
      </c>
      <c r="R27" s="44">
        <f>_xlfn.XLOOKUP(O27,Regcontabilizados[Identificador],Regcontabilizados[Fecha vencimiento],0)</f>
        <v>0</v>
      </c>
      <c r="S27">
        <f>_xlfn.XLOOKUP(O27,Regcontabilizados[Identificador],Regcontabilizados[Subcuenta],0)</f>
        <v>0</v>
      </c>
      <c r="T27">
        <f>_xlfn.XLOOKUP(O27,Regcontabilizados[Identificador],Regcontabilizados[Haber],0)</f>
        <v>0</v>
      </c>
      <c r="U27">
        <f>SUMIF(Regcontabilizados[Número pago],PAGOCompbusc!P27,Regcontabilizados[Debe])</f>
        <v>0</v>
      </c>
      <c r="AA27" s="33" t="str">
        <f>IF(J27=0,"",  _xlfn.XLOOKUP(AB27,Regcontabilizados[Identificador],Regcontabilizados[Subcuenta],0))</f>
        <v/>
      </c>
      <c r="AB27" t="str">
        <f>IF(J27=0,"",  _xlfn.XLOOKUP($H$7,BDPROV[ID-Proveedor],BDPROV[NIT/C.C.],0)&amp;$H$9&amp;D27&amp;"-"&amp;11)</f>
        <v/>
      </c>
      <c r="AC27" t="str">
        <f t="shared" si="8"/>
        <v/>
      </c>
      <c r="AD27" t="str">
        <f t="shared" si="9"/>
        <v>En Blanco</v>
      </c>
      <c r="AE27" t="str">
        <f>_xlfn.XLOOKUP($H$7,BDPROV[ID-Proveedor],BDPROV[NIT/C.C.],0)&amp;$H$13&amp;$E$7&amp;"-"&amp;ROW(Z27)-21</f>
        <v>Comp. Egreso-6</v>
      </c>
      <c r="AG27" s="207">
        <f>_xlfn.XLOOKUP(AH27,Regcontabilizados[Identificador],Regcontabilizados[Número pago],0)</f>
        <v>0</v>
      </c>
      <c r="AH27" s="207" t="str">
        <f t="shared" si="10"/>
        <v>Comp. Egreso-5</v>
      </c>
      <c r="AI27" s="207"/>
      <c r="AJ27" s="207"/>
      <c r="AK27" s="207"/>
      <c r="AY27">
        <v>59</v>
      </c>
      <c r="AZ27" s="54">
        <v>0</v>
      </c>
      <c r="BA27" t="s">
        <v>884</v>
      </c>
      <c r="BB27" s="54">
        <v>2205</v>
      </c>
      <c r="BC27" s="54">
        <v>50000</v>
      </c>
      <c r="BD27" s="54"/>
      <c r="BE27">
        <f t="shared" si="1"/>
        <v>50000</v>
      </c>
      <c r="BF27" t="str">
        <f t="shared" si="3"/>
        <v>PAGADO</v>
      </c>
      <c r="BG27">
        <f t="shared" si="0"/>
        <v>0</v>
      </c>
      <c r="BH27" t="s">
        <v>1098</v>
      </c>
      <c r="BI27" t="str">
        <f t="shared" si="2"/>
        <v>PAGADO</v>
      </c>
    </row>
    <row r="28" spans="3:61">
      <c r="C28" s="194"/>
      <c r="D28" s="206" t="str">
        <f t="shared" si="4"/>
        <v/>
      </c>
      <c r="E28" s="142" t="str">
        <f>_xlfn.XLOOKUP(AB28,Regcontabilizados[Identificador],Regcontabilizados[Fecha vencimiento],0)</f>
        <v/>
      </c>
      <c r="F28" s="183" t="str">
        <f>_xlfn.XLOOKUP(AB28,Regcontabilizados[Identificador],Regcontabilizados[Haber],0)</f>
        <v/>
      </c>
      <c r="G28" s="183">
        <f>_xlfn.XLOOKUP(AH29,Regcontabilizados[Identificador],Regcontabilizados[Debe],0)</f>
        <v>0</v>
      </c>
      <c r="H28" s="37">
        <f t="shared" si="5"/>
        <v>0</v>
      </c>
      <c r="I28" s="37"/>
      <c r="J28" s="210">
        <f t="shared" si="6"/>
        <v>0</v>
      </c>
      <c r="K28" s="197"/>
      <c r="N28" s="33" t="str">
        <f t="shared" si="7"/>
        <v/>
      </c>
      <c r="O28" t="str">
        <f>_xlfn.XLOOKUP($H$7,BDPROV[ID-Proveedor],BDPROV[NIT/C.C.])&amp;$H$9&amp;N28&amp;"-"&amp;11</f>
        <v>F.C.-11</v>
      </c>
      <c r="P28" t="str">
        <f t="shared" si="11"/>
        <v/>
      </c>
      <c r="Q28" t="str">
        <f>IF(N28="","",    _xlfn.XLOOKUP(P28,Regcontabilizados[Número pago],Regcontabilizados[Estado de pago],"NO PAGADO"))</f>
        <v/>
      </c>
      <c r="R28" s="44">
        <f>_xlfn.XLOOKUP(O28,Regcontabilizados[Identificador],Regcontabilizados[Fecha vencimiento],0)</f>
        <v>0</v>
      </c>
      <c r="S28">
        <f>_xlfn.XLOOKUP(O28,Regcontabilizados[Identificador],Regcontabilizados[Subcuenta],0)</f>
        <v>0</v>
      </c>
      <c r="T28">
        <f>_xlfn.XLOOKUP(O28,Regcontabilizados[Identificador],Regcontabilizados[Haber],0)</f>
        <v>0</v>
      </c>
      <c r="U28">
        <f>SUMIF(Regcontabilizados[Número pago],PAGOCompbusc!P28,Regcontabilizados[Debe])</f>
        <v>0</v>
      </c>
      <c r="AA28" s="33" t="str">
        <f>IF(J28=0,"",  _xlfn.XLOOKUP(AB28,Regcontabilizados[Identificador],Regcontabilizados[Subcuenta],0))</f>
        <v/>
      </c>
      <c r="AB28" t="str">
        <f>IF(J28=0,"",  _xlfn.XLOOKUP($H$7,BDPROV[ID-Proveedor],BDPROV[NIT/C.C.],0)&amp;$H$9&amp;D28&amp;"-"&amp;11)</f>
        <v/>
      </c>
      <c r="AC28" t="str">
        <f t="shared" si="8"/>
        <v/>
      </c>
      <c r="AD28" t="str">
        <f t="shared" si="9"/>
        <v>En Blanco</v>
      </c>
      <c r="AE28" t="str">
        <f>_xlfn.XLOOKUP($H$7,BDPROV[ID-Proveedor],BDPROV[NIT/C.C.],0)&amp;$H$13&amp;$E$7&amp;"-"&amp;ROW(Z28)-21</f>
        <v>Comp. Egreso-7</v>
      </c>
      <c r="AG28" s="207">
        <f>_xlfn.XLOOKUP(AH28,Regcontabilizados[Identificador],Regcontabilizados[Número pago],0)</f>
        <v>0</v>
      </c>
      <c r="AH28" s="207" t="str">
        <f t="shared" si="10"/>
        <v>Comp. Egreso-6</v>
      </c>
      <c r="AI28" s="207"/>
      <c r="AJ28" s="207"/>
      <c r="AK28" s="207"/>
      <c r="AY28">
        <v>59</v>
      </c>
      <c r="AZ28" s="54">
        <v>0</v>
      </c>
      <c r="BA28" t="s">
        <v>884</v>
      </c>
      <c r="BB28" s="54">
        <v>1105</v>
      </c>
      <c r="BC28" s="54"/>
      <c r="BD28" s="54">
        <v>50000</v>
      </c>
      <c r="BE28">
        <f t="shared" si="1"/>
        <v>-50000</v>
      </c>
      <c r="BF28" t="str">
        <f t="shared" si="3"/>
        <v>PAGADO</v>
      </c>
      <c r="BG28">
        <f t="shared" si="0"/>
        <v>0</v>
      </c>
      <c r="BH28" t="s">
        <v>1098</v>
      </c>
      <c r="BI28" t="str">
        <f t="shared" si="2"/>
        <v>PAGADO</v>
      </c>
    </row>
    <row r="29" spans="3:61">
      <c r="C29" s="194"/>
      <c r="D29" s="206" t="str">
        <f t="shared" si="4"/>
        <v/>
      </c>
      <c r="E29" s="142" t="str">
        <f>_xlfn.XLOOKUP(AB29,Regcontabilizados[Identificador],Regcontabilizados[Fecha vencimiento],0)</f>
        <v/>
      </c>
      <c r="F29" s="183" t="str">
        <f>_xlfn.XLOOKUP(AB29,Regcontabilizados[Identificador],Regcontabilizados[Haber],0)</f>
        <v/>
      </c>
      <c r="G29" s="183">
        <f>_xlfn.XLOOKUP(AH30,Regcontabilizados[Identificador],Regcontabilizados[Debe],0)</f>
        <v>0</v>
      </c>
      <c r="H29" s="37">
        <f t="shared" si="5"/>
        <v>0</v>
      </c>
      <c r="I29" s="37"/>
      <c r="J29" s="210">
        <f t="shared" si="6"/>
        <v>0</v>
      </c>
      <c r="K29" s="197"/>
      <c r="N29" s="33" t="str">
        <f t="shared" si="7"/>
        <v/>
      </c>
      <c r="O29" t="str">
        <f>_xlfn.XLOOKUP($H$7,BDPROV[ID-Proveedor],BDPROV[NIT/C.C.])&amp;$H$9&amp;N29&amp;"-"&amp;11</f>
        <v>F.C.-11</v>
      </c>
      <c r="P29" t="str">
        <f t="shared" si="11"/>
        <v/>
      </c>
      <c r="Q29" t="str">
        <f>IF(N29="","",    _xlfn.XLOOKUP(P29,Regcontabilizados[Número pago],Regcontabilizados[Estado de pago],"NO PAGADO"))</f>
        <v/>
      </c>
      <c r="R29" s="44">
        <f>_xlfn.XLOOKUP(O29,Regcontabilizados[Identificador],Regcontabilizados[Fecha vencimiento],0)</f>
        <v>0</v>
      </c>
      <c r="S29">
        <f>_xlfn.XLOOKUP(O29,Regcontabilizados[Identificador],Regcontabilizados[Subcuenta],0)</f>
        <v>0</v>
      </c>
      <c r="T29">
        <f>_xlfn.XLOOKUP(O29,Regcontabilizados[Identificador],Regcontabilizados[Haber],0)</f>
        <v>0</v>
      </c>
      <c r="U29">
        <f>SUMIF(Regcontabilizados[Número pago],PAGOCompbusc!P29,Regcontabilizados[Debe])</f>
        <v>0</v>
      </c>
      <c r="AA29" s="33" t="str">
        <f>IF(J29=0,"",  _xlfn.XLOOKUP(AB29,Regcontabilizados[Identificador],Regcontabilizados[Subcuenta],0))</f>
        <v/>
      </c>
      <c r="AB29" t="str">
        <f>IF(J29=0,"",  _xlfn.XLOOKUP($H$7,BDPROV[ID-Proveedor],BDPROV[NIT/C.C.],0)&amp;$H$9&amp;D29&amp;"-"&amp;11)</f>
        <v/>
      </c>
      <c r="AC29" t="str">
        <f t="shared" si="8"/>
        <v/>
      </c>
      <c r="AD29" t="str">
        <f t="shared" si="9"/>
        <v>En Blanco</v>
      </c>
      <c r="AE29" t="str">
        <f>_xlfn.XLOOKUP($H$7,BDPROV[ID-Proveedor],BDPROV[NIT/C.C.],0)&amp;$H$13&amp;$E$7&amp;"-"&amp;ROW(Z29)-21</f>
        <v>Comp. Egreso-8</v>
      </c>
      <c r="AG29" s="207">
        <f>_xlfn.XLOOKUP(AH29,Regcontabilizados[Identificador],Regcontabilizados[Número pago],0)</f>
        <v>0</v>
      </c>
      <c r="AH29" s="207" t="str">
        <f t="shared" si="10"/>
        <v>Comp. Egreso-7</v>
      </c>
      <c r="AI29" s="207"/>
      <c r="AJ29" s="207"/>
      <c r="AK29" s="207"/>
    </row>
    <row r="30" spans="3:61">
      <c r="C30" s="194"/>
      <c r="D30" s="206" t="str">
        <f t="shared" si="4"/>
        <v/>
      </c>
      <c r="E30" s="142" t="str">
        <f>_xlfn.XLOOKUP(AB30,Regcontabilizados[Identificador],Regcontabilizados[Fecha vencimiento],0)</f>
        <v/>
      </c>
      <c r="F30" s="183" t="str">
        <f>_xlfn.XLOOKUP(AB30,Regcontabilizados[Identificador],Regcontabilizados[Haber],0)</f>
        <v/>
      </c>
      <c r="G30" s="183">
        <f>_xlfn.XLOOKUP(AH31,Regcontabilizados[Identificador],Regcontabilizados[Debe],0)</f>
        <v>0</v>
      </c>
      <c r="H30" s="37">
        <f t="shared" si="5"/>
        <v>0</v>
      </c>
      <c r="I30" s="37"/>
      <c r="J30" s="210">
        <f t="shared" si="6"/>
        <v>0</v>
      </c>
      <c r="K30" s="197"/>
      <c r="N30" s="33" t="str">
        <f t="shared" si="7"/>
        <v/>
      </c>
      <c r="O30" t="str">
        <f>_xlfn.XLOOKUP($H$7,BDPROV[ID-Proveedor],BDPROV[NIT/C.C.])&amp;$H$9&amp;N30&amp;"-"&amp;11</f>
        <v>F.C.-11</v>
      </c>
      <c r="P30" t="str">
        <f t="shared" si="11"/>
        <v/>
      </c>
      <c r="Q30" t="str">
        <f>IF(N30="","",    _xlfn.XLOOKUP(P30,Regcontabilizados[Número pago],Regcontabilizados[Estado de pago],"NO PAGADO"))</f>
        <v/>
      </c>
      <c r="R30" s="44">
        <f>_xlfn.XLOOKUP(O30,Regcontabilizados[Identificador],Regcontabilizados[Fecha vencimiento],0)</f>
        <v>0</v>
      </c>
      <c r="S30">
        <f>_xlfn.XLOOKUP(O30,Regcontabilizados[Identificador],Regcontabilizados[Subcuenta],0)</f>
        <v>0</v>
      </c>
      <c r="T30">
        <f>_xlfn.XLOOKUP(O30,Regcontabilizados[Identificador],Regcontabilizados[Haber],0)</f>
        <v>0</v>
      </c>
      <c r="U30">
        <f>SUMIF(Regcontabilizados[Número pago],PAGOCompbusc!P30,Regcontabilizados[Debe])</f>
        <v>0</v>
      </c>
      <c r="AA30" s="33" t="str">
        <f>IF(J30=0,"",  _xlfn.XLOOKUP(AB30,Regcontabilizados[Identificador],Regcontabilizados[Subcuenta],0))</f>
        <v/>
      </c>
      <c r="AB30" t="str">
        <f>IF(J30=0,"",  _xlfn.XLOOKUP($H$7,BDPROV[ID-Proveedor],BDPROV[NIT/C.C.],0)&amp;$H$9&amp;D30&amp;"-"&amp;11)</f>
        <v/>
      </c>
      <c r="AC30" t="str">
        <f t="shared" si="8"/>
        <v/>
      </c>
      <c r="AD30" t="str">
        <f t="shared" si="9"/>
        <v>En Blanco</v>
      </c>
      <c r="AE30" t="str">
        <f>_xlfn.XLOOKUP($H$7,BDPROV[ID-Proveedor],BDPROV[NIT/C.C.],0)&amp;$H$13&amp;$E$7&amp;"-"&amp;ROW(Z30)-21</f>
        <v>Comp. Egreso-9</v>
      </c>
      <c r="AG30" s="207">
        <f>_xlfn.XLOOKUP(AH30,Regcontabilizados[Identificador],Regcontabilizados[Número pago],0)</f>
        <v>0</v>
      </c>
      <c r="AH30" s="207" t="str">
        <f t="shared" si="10"/>
        <v>Comp. Egreso-8</v>
      </c>
      <c r="AI30" s="207"/>
      <c r="AJ30" s="207"/>
      <c r="AK30" s="207"/>
    </row>
    <row r="31" spans="3:61">
      <c r="C31" s="194"/>
      <c r="D31" s="206" t="str">
        <f t="shared" si="4"/>
        <v/>
      </c>
      <c r="E31" s="142" t="str">
        <f>_xlfn.XLOOKUP(AB31,Regcontabilizados[Identificador],Regcontabilizados[Fecha vencimiento],0)</f>
        <v/>
      </c>
      <c r="F31" s="183" t="str">
        <f>_xlfn.XLOOKUP(AB31,Regcontabilizados[Identificador],Regcontabilizados[Haber],0)</f>
        <v/>
      </c>
      <c r="G31" s="183">
        <f>_xlfn.XLOOKUP(AH32,Regcontabilizados[Identificador],Regcontabilizados[Debe],0)</f>
        <v>0</v>
      </c>
      <c r="H31" s="37">
        <f t="shared" si="5"/>
        <v>0</v>
      </c>
      <c r="I31" s="37"/>
      <c r="J31" s="210">
        <f t="shared" si="6"/>
        <v>0</v>
      </c>
      <c r="K31" s="197"/>
      <c r="N31" s="33" t="str">
        <f t="shared" si="7"/>
        <v/>
      </c>
      <c r="O31" t="str">
        <f>_xlfn.XLOOKUP($H$7,BDPROV[ID-Proveedor],BDPROV[NIT/C.C.])&amp;$H$9&amp;N31&amp;"-"&amp;11</f>
        <v>F.C.-11</v>
      </c>
      <c r="P31" t="str">
        <f t="shared" si="11"/>
        <v/>
      </c>
      <c r="Q31" t="str">
        <f>IF(N31="","",    _xlfn.XLOOKUP(P31,Regcontabilizados[Número pago],Regcontabilizados[Estado de pago],"NO PAGADO"))</f>
        <v/>
      </c>
      <c r="R31" s="44">
        <f>_xlfn.XLOOKUP(O31,Regcontabilizados[Identificador],Regcontabilizados[Fecha vencimiento],0)</f>
        <v>0</v>
      </c>
      <c r="S31">
        <f>_xlfn.XLOOKUP(O31,Regcontabilizados[Identificador],Regcontabilizados[Subcuenta],0)</f>
        <v>0</v>
      </c>
      <c r="T31">
        <f>_xlfn.XLOOKUP(O31,Regcontabilizados[Identificador],Regcontabilizados[Haber],0)</f>
        <v>0</v>
      </c>
      <c r="U31">
        <f>SUMIF(Regcontabilizados[Número pago],PAGOCompbusc!P31,Regcontabilizados[Debe])</f>
        <v>0</v>
      </c>
      <c r="AA31" s="33" t="str">
        <f>IF(J31=0,"",  _xlfn.XLOOKUP(AB31,Regcontabilizados[Identificador],Regcontabilizados[Subcuenta],0))</f>
        <v/>
      </c>
      <c r="AB31" t="str">
        <f>IF(J31=0,"",  _xlfn.XLOOKUP($H$7,BDPROV[ID-Proveedor],BDPROV[NIT/C.C.],0)&amp;$H$9&amp;D31&amp;"-"&amp;11)</f>
        <v/>
      </c>
      <c r="AC31" t="str">
        <f t="shared" si="8"/>
        <v/>
      </c>
      <c r="AD31" t="str">
        <f t="shared" si="9"/>
        <v>En Blanco</v>
      </c>
      <c r="AE31" t="str">
        <f>_xlfn.XLOOKUP($H$7,BDPROV[ID-Proveedor],BDPROV[NIT/C.C.],0)&amp;$H$13&amp;$E$7&amp;"-"&amp;ROW(Z31)-21</f>
        <v>Comp. Egreso-10</v>
      </c>
      <c r="AG31" s="207">
        <f>_xlfn.XLOOKUP(AH31,Regcontabilizados[Identificador],Regcontabilizados[Número pago],0)</f>
        <v>0</v>
      </c>
      <c r="AH31" s="207" t="str">
        <f t="shared" si="10"/>
        <v>Comp. Egreso-9</v>
      </c>
      <c r="AI31" s="207"/>
      <c r="AJ31" s="207"/>
      <c r="AK31" s="207"/>
    </row>
    <row r="32" spans="3:61">
      <c r="C32" s="194"/>
      <c r="D32" s="206" t="str">
        <f t="shared" si="4"/>
        <v/>
      </c>
      <c r="E32" s="142" t="str">
        <f>_xlfn.XLOOKUP(AB32,Regcontabilizados[Identificador],Regcontabilizados[Fecha vencimiento],0)</f>
        <v/>
      </c>
      <c r="F32" s="183" t="str">
        <f>_xlfn.XLOOKUP(AB32,Regcontabilizados[Identificador],Regcontabilizados[Haber],0)</f>
        <v/>
      </c>
      <c r="G32" s="183">
        <f>_xlfn.XLOOKUP(AH33,Regcontabilizados[Identificador],Regcontabilizados[Debe],0)</f>
        <v>0</v>
      </c>
      <c r="H32" s="37">
        <f t="shared" si="5"/>
        <v>0</v>
      </c>
      <c r="I32" s="37"/>
      <c r="J32" s="210">
        <f t="shared" si="6"/>
        <v>0</v>
      </c>
      <c r="K32" s="197"/>
      <c r="O32" t="str">
        <f>_xlfn.XLOOKUP($H$7,BDPROV[ID-Proveedor],BDPROV[NIT/C.C.])&amp;$H$9&amp;N32&amp;"-"&amp;11</f>
        <v>F.C.-11</v>
      </c>
      <c r="P32" t="str">
        <f t="shared" si="11"/>
        <v/>
      </c>
      <c r="Q32" t="str">
        <f>IF(N32="","",    _xlfn.XLOOKUP(P32,Regcontabilizados[Número pago],Regcontabilizados[Estado de pago],"NO PAGADO"))</f>
        <v/>
      </c>
      <c r="R32" s="44">
        <f>_xlfn.XLOOKUP(O32,Regcontabilizados[Identificador],Regcontabilizados[Fecha vencimiento],0)</f>
        <v>0</v>
      </c>
      <c r="S32">
        <f>_xlfn.XLOOKUP(O32,Regcontabilizados[Identificador],Regcontabilizados[Subcuenta],0)</f>
        <v>0</v>
      </c>
      <c r="T32">
        <f>_xlfn.XLOOKUP(O32,Regcontabilizados[Identificador],Regcontabilizados[Haber],0)</f>
        <v>0</v>
      </c>
      <c r="U32">
        <f>SUMIF(Regcontabilizados[Número pago],PAGOCompbusc!P32,Regcontabilizados[Debe])</f>
        <v>0</v>
      </c>
      <c r="AA32" s="33" t="str">
        <f>IF(J32=0,"",  _xlfn.XLOOKUP(AB32,Regcontabilizados[Identificador],Regcontabilizados[Subcuenta],0))</f>
        <v/>
      </c>
      <c r="AB32" t="str">
        <f>IF(J32=0,"",  _xlfn.XLOOKUP($H$7,BDPROV[ID-Proveedor],BDPROV[NIT/C.C.],0)&amp;$H$9&amp;D32&amp;"-"&amp;11)</f>
        <v/>
      </c>
      <c r="AC32" t="str">
        <f t="shared" si="8"/>
        <v/>
      </c>
      <c r="AD32" t="str">
        <f t="shared" si="9"/>
        <v>En Blanco</v>
      </c>
      <c r="AE32" t="str">
        <f>_xlfn.XLOOKUP($H$7,BDPROV[ID-Proveedor],BDPROV[NIT/C.C.],0)&amp;$H$13&amp;$E$7&amp;"-"&amp;ROW(Z32)-21</f>
        <v>Comp. Egreso-11</v>
      </c>
      <c r="AG32" s="207">
        <f>_xlfn.XLOOKUP(AH32,Regcontabilizados[Identificador],Regcontabilizados[Número pago],0)</f>
        <v>0</v>
      </c>
      <c r="AH32" s="207" t="str">
        <f t="shared" si="10"/>
        <v>Comp. Egreso-10</v>
      </c>
      <c r="AI32" s="207"/>
      <c r="AJ32" s="207"/>
      <c r="AK32" s="207"/>
    </row>
    <row r="33" spans="3:31">
      <c r="C33" s="194"/>
      <c r="D33" s="206" t="str">
        <f t="shared" si="4"/>
        <v/>
      </c>
      <c r="E33" s="142" t="str">
        <f>_xlfn.XLOOKUP(AB33,Regcontabilizados[Identificador],Regcontabilizados[Fecha vencimiento],0)</f>
        <v/>
      </c>
      <c r="F33" s="183" t="str">
        <f>_xlfn.XLOOKUP(AB33,Regcontabilizados[Identificador],Regcontabilizados[Haber],0)</f>
        <v/>
      </c>
      <c r="G33" s="183">
        <f>_xlfn.XLOOKUP(AH34,Regcontabilizados[Identificador],Regcontabilizados[Debe],0)</f>
        <v>0</v>
      </c>
      <c r="H33" s="37">
        <f t="shared" si="5"/>
        <v>0</v>
      </c>
      <c r="I33" s="37"/>
      <c r="J33" s="210">
        <f t="shared" si="6"/>
        <v>0</v>
      </c>
      <c r="K33" s="197"/>
      <c r="O33" t="str">
        <f>_xlfn.XLOOKUP($H$7,BDPROV[ID-Proveedor],BDPROV[NIT/C.C.])&amp;$H$9&amp;N33&amp;"-"&amp;11</f>
        <v>F.C.-11</v>
      </c>
      <c r="P33" t="str">
        <f t="shared" si="11"/>
        <v/>
      </c>
      <c r="Q33" t="str">
        <f>IF(N33="","",    _xlfn.XLOOKUP(P33,Regcontabilizados[Número pago],Regcontabilizados[Estado de pago],"NO PAGADO"))</f>
        <v/>
      </c>
      <c r="R33" s="44">
        <f>_xlfn.XLOOKUP(O33,Regcontabilizados[Identificador],Regcontabilizados[Fecha vencimiento],0)</f>
        <v>0</v>
      </c>
      <c r="S33">
        <f>_xlfn.XLOOKUP(O33,Regcontabilizados[Identificador],Regcontabilizados[Subcuenta],0)</f>
        <v>0</v>
      </c>
      <c r="T33">
        <f>_xlfn.XLOOKUP(O33,Regcontabilizados[Identificador],Regcontabilizados[Haber],0)</f>
        <v>0</v>
      </c>
      <c r="U33">
        <f>SUMIF(Regcontabilizados[Número pago],PAGOCompbusc!P33,Regcontabilizados[Debe])</f>
        <v>0</v>
      </c>
      <c r="AA33" s="33" t="str">
        <f>IF(J33=0,"",  _xlfn.XLOOKUP(AB33,Regcontabilizados[Identificador],Regcontabilizados[Subcuenta],0))</f>
        <v/>
      </c>
      <c r="AB33" t="str">
        <f>IF(J33=0,"",  _xlfn.XLOOKUP($H$7,BDPROV[ID-Proveedor],BDPROV[NIT/C.C.],0)&amp;$H$9&amp;D33&amp;"-"&amp;11)</f>
        <v/>
      </c>
      <c r="AC33" t="str">
        <f t="shared" si="8"/>
        <v/>
      </c>
      <c r="AD33" t="str">
        <f t="shared" si="9"/>
        <v>En Blanco</v>
      </c>
      <c r="AE33" t="str">
        <f>_xlfn.XLOOKUP($H$7,BDPROV[ID-Proveedor],BDPROV[NIT/C.C.],0)&amp;$H$13&amp;$E$7&amp;"-"&amp;ROW(Z33)-21</f>
        <v>Comp. Egreso-12</v>
      </c>
    </row>
    <row r="34" spans="3:31">
      <c r="C34" s="194"/>
      <c r="D34" s="206" t="str">
        <f t="shared" si="4"/>
        <v/>
      </c>
      <c r="E34" s="142" t="str">
        <f>_xlfn.XLOOKUP(AB34,Regcontabilizados[Identificador],Regcontabilizados[Fecha vencimiento],0)</f>
        <v/>
      </c>
      <c r="F34" s="183" t="str">
        <f>_xlfn.XLOOKUP(AB34,Regcontabilizados[Identificador],Regcontabilizados[Haber],0)</f>
        <v/>
      </c>
      <c r="G34" s="183">
        <f>_xlfn.XLOOKUP(AH35,Regcontabilizados[Identificador],Regcontabilizados[Debe],0)</f>
        <v>0</v>
      </c>
      <c r="H34" s="37">
        <f t="shared" si="5"/>
        <v>0</v>
      </c>
      <c r="I34" s="37"/>
      <c r="J34" s="210">
        <f t="shared" si="6"/>
        <v>0</v>
      </c>
      <c r="K34" s="197"/>
      <c r="O34" t="str">
        <f>_xlfn.XLOOKUP($H$7,BDPROV[ID-Proveedor],BDPROV[NIT/C.C.])&amp;$H$9&amp;N34&amp;"-"&amp;11</f>
        <v>F.C.-11</v>
      </c>
      <c r="P34" t="str">
        <f t="shared" si="11"/>
        <v/>
      </c>
      <c r="Q34" t="str">
        <f>IF(N34="","",    _xlfn.XLOOKUP(P34,Regcontabilizados[Número pago],Regcontabilizados[Estado de pago],"NO PAGADO"))</f>
        <v/>
      </c>
      <c r="R34" s="44">
        <f>_xlfn.XLOOKUP(O34,Regcontabilizados[Identificador],Regcontabilizados[Fecha vencimiento],0)</f>
        <v>0</v>
      </c>
      <c r="S34">
        <f>_xlfn.XLOOKUP(O34,Regcontabilizados[Identificador],Regcontabilizados[Subcuenta],0)</f>
        <v>0</v>
      </c>
      <c r="T34">
        <f>_xlfn.XLOOKUP(O34,Regcontabilizados[Identificador],Regcontabilizados[Haber],0)</f>
        <v>0</v>
      </c>
      <c r="U34">
        <f>SUMIF(Regcontabilizados[Número pago],PAGOCompbusc!P34,Regcontabilizados[Debe])</f>
        <v>0</v>
      </c>
      <c r="AA34" s="33" t="str">
        <f>IF(J34=0,"",  _xlfn.XLOOKUP(AB34,Regcontabilizados[Identificador],Regcontabilizados[Subcuenta],0))</f>
        <v/>
      </c>
      <c r="AB34" t="str">
        <f>IF(J34=0,"",  _xlfn.XLOOKUP($H$7,BDPROV[ID-Proveedor],BDPROV[NIT/C.C.],0)&amp;$H$9&amp;D34&amp;"-"&amp;11)</f>
        <v/>
      </c>
      <c r="AC34" t="str">
        <f t="shared" si="8"/>
        <v/>
      </c>
      <c r="AD34" t="str">
        <f t="shared" si="9"/>
        <v>En Blanco</v>
      </c>
      <c r="AE34" t="str">
        <f>_xlfn.XLOOKUP($H$7,BDPROV[ID-Proveedor],BDPROV[NIT/C.C.],0)&amp;$H$13&amp;$E$7&amp;"-"&amp;ROW(Z34)-21</f>
        <v>Comp. Egreso-13</v>
      </c>
    </row>
    <row r="35" spans="3:31">
      <c r="C35" s="194"/>
      <c r="D35" s="206" t="str">
        <f t="shared" si="4"/>
        <v/>
      </c>
      <c r="E35" s="142" t="str">
        <f>_xlfn.XLOOKUP(AB35,Regcontabilizados[Identificador],Regcontabilizados[Fecha vencimiento],0)</f>
        <v/>
      </c>
      <c r="F35" s="183" t="str">
        <f>_xlfn.XLOOKUP(AB35,Regcontabilizados[Identificador],Regcontabilizados[Haber],0)</f>
        <v/>
      </c>
      <c r="G35" s="183">
        <f>_xlfn.XLOOKUP(AH36,Regcontabilizados[Identificador],Regcontabilizados[Debe],0)</f>
        <v>0</v>
      </c>
      <c r="H35" s="37">
        <f t="shared" si="5"/>
        <v>0</v>
      </c>
      <c r="I35" s="37"/>
      <c r="J35" s="210">
        <f t="shared" si="6"/>
        <v>0</v>
      </c>
      <c r="K35" s="197"/>
      <c r="O35" t="str">
        <f>_xlfn.XLOOKUP($H$7,BDPROV[ID-Proveedor],BDPROV[NIT/C.C.])&amp;$H$9&amp;N35&amp;"-"&amp;11</f>
        <v>F.C.-11</v>
      </c>
      <c r="P35" t="str">
        <f t="shared" si="11"/>
        <v/>
      </c>
      <c r="Q35" t="str">
        <f>IF(N35="","",    _xlfn.XLOOKUP(P35,Regcontabilizados[Número pago],Regcontabilizados[Estado de pago],"NO PAGADO"))</f>
        <v/>
      </c>
      <c r="R35" s="44">
        <f>_xlfn.XLOOKUP(O35,Regcontabilizados[Identificador],Regcontabilizados[Fecha vencimiento],0)</f>
        <v>0</v>
      </c>
      <c r="S35">
        <f>_xlfn.XLOOKUP(O35,Regcontabilizados[Identificador],Regcontabilizados[Subcuenta],0)</f>
        <v>0</v>
      </c>
      <c r="T35">
        <f>_xlfn.XLOOKUP(O35,Regcontabilizados[Identificador],Regcontabilizados[Haber],0)</f>
        <v>0</v>
      </c>
      <c r="U35">
        <f>SUMIF(Regcontabilizados[Número pago],PAGOCompbusc!P35,Regcontabilizados[Debe])</f>
        <v>0</v>
      </c>
      <c r="AA35" s="33" t="str">
        <f>IF(J35=0,"",  _xlfn.XLOOKUP(AB35,Regcontabilizados[Identificador],Regcontabilizados[Subcuenta],0))</f>
        <v/>
      </c>
      <c r="AB35" t="str">
        <f>IF(J35=0,"",  _xlfn.XLOOKUP($H$7,BDPROV[ID-Proveedor],BDPROV[NIT/C.C.],0)&amp;$H$9&amp;D35&amp;"-"&amp;11)</f>
        <v/>
      </c>
      <c r="AC35" t="str">
        <f t="shared" si="8"/>
        <v/>
      </c>
      <c r="AD35" t="str">
        <f t="shared" si="9"/>
        <v>En Blanco</v>
      </c>
      <c r="AE35" t="str">
        <f>_xlfn.XLOOKUP($H$7,BDPROV[ID-Proveedor],BDPROV[NIT/C.C.],0)&amp;$H$13&amp;$E$7&amp;"-"&amp;ROW(Z35)-21</f>
        <v>Comp. Egreso-14</v>
      </c>
    </row>
    <row r="36" spans="3:31">
      <c r="C36" s="194"/>
      <c r="D36" s="206" t="str">
        <f t="shared" si="4"/>
        <v/>
      </c>
      <c r="E36" s="142" t="str">
        <f>_xlfn.XLOOKUP(AB36,Regcontabilizados[Identificador],Regcontabilizados[Fecha vencimiento],0)</f>
        <v/>
      </c>
      <c r="F36" s="183" t="str">
        <f>_xlfn.XLOOKUP(AB36,Regcontabilizados[Identificador],Regcontabilizados[Haber],0)</f>
        <v/>
      </c>
      <c r="G36" s="183">
        <f>_xlfn.XLOOKUP(AH37,Regcontabilizados[Identificador],Regcontabilizados[Debe],0)</f>
        <v>0</v>
      </c>
      <c r="H36" s="37">
        <f t="shared" si="5"/>
        <v>0</v>
      </c>
      <c r="I36" s="37"/>
      <c r="J36" s="210">
        <f t="shared" si="6"/>
        <v>0</v>
      </c>
      <c r="K36" s="197"/>
      <c r="O36" t="str">
        <f>_xlfn.XLOOKUP($H$7,BDPROV[ID-Proveedor],BDPROV[NIT/C.C.])&amp;$H$9&amp;N36&amp;"-"&amp;11</f>
        <v>F.C.-11</v>
      </c>
      <c r="P36" t="str">
        <f t="shared" si="11"/>
        <v/>
      </c>
      <c r="Q36" t="str">
        <f>IF(N36="","",    _xlfn.XLOOKUP(P36,Regcontabilizados[Número pago],Regcontabilizados[Estado de pago],"NO PAGADO"))</f>
        <v/>
      </c>
      <c r="R36" s="44">
        <f>_xlfn.XLOOKUP(O36,Regcontabilizados[Identificador],Regcontabilizados[Fecha vencimiento],0)</f>
        <v>0</v>
      </c>
      <c r="S36">
        <f>_xlfn.XLOOKUP(O36,Regcontabilizados[Identificador],Regcontabilizados[Subcuenta],0)</f>
        <v>0</v>
      </c>
      <c r="T36">
        <f>_xlfn.XLOOKUP(O36,Regcontabilizados[Identificador],Regcontabilizados[Haber],0)</f>
        <v>0</v>
      </c>
      <c r="U36">
        <f>SUMIF(Regcontabilizados[Número pago],PAGOCompbusc!P36,Regcontabilizados[Debe])</f>
        <v>0</v>
      </c>
      <c r="AA36" s="33" t="str">
        <f>IF(J36=0,"",  _xlfn.XLOOKUP(AB36,Regcontabilizados[Identificador],Regcontabilizados[Subcuenta],0))</f>
        <v/>
      </c>
      <c r="AB36" t="str">
        <f>IF(J36=0,"",  _xlfn.XLOOKUP($H$7,BDPROV[ID-Proveedor],BDPROV[NIT/C.C.],0)&amp;$H$9&amp;D36&amp;"-"&amp;11)</f>
        <v/>
      </c>
      <c r="AC36" t="str">
        <f t="shared" si="8"/>
        <v/>
      </c>
      <c r="AD36" t="str">
        <f t="shared" si="9"/>
        <v>En Blanco</v>
      </c>
      <c r="AE36" t="str">
        <f>_xlfn.XLOOKUP($H$7,BDPROV[ID-Proveedor],BDPROV[NIT/C.C.],0)&amp;$H$13&amp;$E$7&amp;"-"&amp;ROW(Z36)-21</f>
        <v>Comp. Egreso-15</v>
      </c>
    </row>
    <row r="37" spans="3:31">
      <c r="C37" s="194"/>
      <c r="D37" s="206" t="str">
        <f t="shared" si="4"/>
        <v/>
      </c>
      <c r="E37" s="142" t="str">
        <f>_xlfn.XLOOKUP(AB37,Regcontabilizados[Identificador],Regcontabilizados[Fecha vencimiento],0)</f>
        <v/>
      </c>
      <c r="F37" s="183" t="str">
        <f>_xlfn.XLOOKUP(AB37,Regcontabilizados[Identificador],Regcontabilizados[Haber],0)</f>
        <v/>
      </c>
      <c r="G37" s="183">
        <f>_xlfn.XLOOKUP(AH38,Regcontabilizados[Identificador],Regcontabilizados[Debe],0)</f>
        <v>0</v>
      </c>
      <c r="H37" s="37">
        <f t="shared" si="5"/>
        <v>0</v>
      </c>
      <c r="I37" s="37"/>
      <c r="J37" s="210">
        <f t="shared" si="6"/>
        <v>0</v>
      </c>
      <c r="K37" s="197"/>
      <c r="O37" t="str">
        <f>_xlfn.XLOOKUP($H$7,BDPROV[ID-Proveedor],BDPROV[NIT/C.C.])&amp;$H$9&amp;N37&amp;"-"&amp;11</f>
        <v>F.C.-11</v>
      </c>
      <c r="P37" t="str">
        <f t="shared" si="11"/>
        <v/>
      </c>
      <c r="Q37" t="str">
        <f>IF(N37="","",    _xlfn.XLOOKUP(P37,Regcontabilizados[Número pago],Regcontabilizados[Estado de pago],"NO PAGADO"))</f>
        <v/>
      </c>
      <c r="R37" s="44">
        <f>_xlfn.XLOOKUP(O37,Regcontabilizados[Identificador],Regcontabilizados[Fecha vencimiento],0)</f>
        <v>0</v>
      </c>
      <c r="S37">
        <f>_xlfn.XLOOKUP(O37,Regcontabilizados[Identificador],Regcontabilizados[Subcuenta],0)</f>
        <v>0</v>
      </c>
      <c r="T37">
        <f>_xlfn.XLOOKUP(O37,Regcontabilizados[Identificador],Regcontabilizados[Haber],0)</f>
        <v>0</v>
      </c>
      <c r="U37">
        <f>SUMIF(Regcontabilizados[Número pago],PAGOCompbusc!P37,Regcontabilizados[Debe])</f>
        <v>0</v>
      </c>
      <c r="AA37" s="33" t="str">
        <f>IF(J37=0,"",  _xlfn.XLOOKUP(AB37,Regcontabilizados[Identificador],Regcontabilizados[Subcuenta],0))</f>
        <v/>
      </c>
      <c r="AB37" t="str">
        <f>IF(J37=0,"",  _xlfn.XLOOKUP($H$7,BDPROV[ID-Proveedor],BDPROV[NIT/C.C.],0)&amp;$H$9&amp;D37&amp;"-"&amp;11)</f>
        <v/>
      </c>
      <c r="AC37" t="str">
        <f t="shared" si="8"/>
        <v/>
      </c>
      <c r="AD37" t="str">
        <f t="shared" si="9"/>
        <v>En Blanco</v>
      </c>
      <c r="AE37" t="str">
        <f>_xlfn.XLOOKUP($H$7,BDPROV[ID-Proveedor],BDPROV[NIT/C.C.],0)&amp;$H$13&amp;$E$7&amp;"-"&amp;ROW(Z37)-21</f>
        <v>Comp. Egreso-16</v>
      </c>
    </row>
    <row r="38" spans="3:31">
      <c r="C38" s="194"/>
      <c r="D38" s="206" t="str">
        <f t="shared" si="4"/>
        <v/>
      </c>
      <c r="E38" s="142" t="str">
        <f>_xlfn.XLOOKUP(AB38,Regcontabilizados[Identificador],Regcontabilizados[Fecha vencimiento],0)</f>
        <v/>
      </c>
      <c r="F38" s="183" t="str">
        <f>_xlfn.XLOOKUP(AB38,Regcontabilizados[Identificador],Regcontabilizados[Haber],0)</f>
        <v/>
      </c>
      <c r="G38" s="183">
        <f>_xlfn.XLOOKUP(AH39,Regcontabilizados[Identificador],Regcontabilizados[Debe],0)</f>
        <v>0</v>
      </c>
      <c r="H38" s="37">
        <f t="shared" si="5"/>
        <v>0</v>
      </c>
      <c r="I38" s="37"/>
      <c r="J38" s="210">
        <f t="shared" si="6"/>
        <v>0</v>
      </c>
      <c r="K38" s="197"/>
      <c r="O38" t="str">
        <f>_xlfn.XLOOKUP($H$7,BDPROV[ID-Proveedor],BDPROV[NIT/C.C.])&amp;$H$9&amp;N38&amp;"-"&amp;11</f>
        <v>F.C.-11</v>
      </c>
      <c r="P38" t="str">
        <f t="shared" si="11"/>
        <v/>
      </c>
      <c r="Q38" t="str">
        <f>IF(N38="","",    _xlfn.XLOOKUP(P38,Regcontabilizados[Número pago],Regcontabilizados[Estado de pago],"NO PAGADO"))</f>
        <v/>
      </c>
      <c r="R38" s="44">
        <f>_xlfn.XLOOKUP(O38,Regcontabilizados[Identificador],Regcontabilizados[Fecha vencimiento],0)</f>
        <v>0</v>
      </c>
      <c r="S38">
        <f>_xlfn.XLOOKUP(O38,Regcontabilizados[Identificador],Regcontabilizados[Subcuenta],0)</f>
        <v>0</v>
      </c>
      <c r="T38">
        <f>_xlfn.XLOOKUP(O38,Regcontabilizados[Identificador],Regcontabilizados[Haber],0)</f>
        <v>0</v>
      </c>
      <c r="U38">
        <f>SUMIF(Regcontabilizados[Número pago],PAGOCompbusc!P38,Regcontabilizados[Debe])</f>
        <v>0</v>
      </c>
      <c r="AA38" s="33" t="str">
        <f>IF(J38=0,"",  _xlfn.XLOOKUP(AB38,Regcontabilizados[Identificador],Regcontabilizados[Subcuenta],0))</f>
        <v/>
      </c>
      <c r="AB38" t="str">
        <f>IF(J38=0,"",  _xlfn.XLOOKUP($H$7,BDPROV[ID-Proveedor],BDPROV[NIT/C.C.],0)&amp;$H$9&amp;D38&amp;"-"&amp;11)</f>
        <v/>
      </c>
      <c r="AC38" t="str">
        <f t="shared" si="8"/>
        <v/>
      </c>
      <c r="AD38" t="str">
        <f t="shared" si="9"/>
        <v>En Blanco</v>
      </c>
      <c r="AE38" t="str">
        <f>_xlfn.XLOOKUP($H$7,BDPROV[ID-Proveedor],BDPROV[NIT/C.C.],0)&amp;$H$13&amp;$E$7&amp;"-"&amp;ROW(Z38)-21</f>
        <v>Comp. Egreso-17</v>
      </c>
    </row>
    <row r="39" spans="3:31">
      <c r="C39" s="194"/>
      <c r="D39" s="206" t="str">
        <f t="shared" si="4"/>
        <v/>
      </c>
      <c r="E39" s="142" t="str">
        <f>_xlfn.XLOOKUP(AB39,Regcontabilizados[Identificador],Regcontabilizados[Fecha vencimiento],0)</f>
        <v/>
      </c>
      <c r="F39" s="183" t="str">
        <f>_xlfn.XLOOKUP(AB39,Regcontabilizados[Identificador],Regcontabilizados[Haber],0)</f>
        <v/>
      </c>
      <c r="G39" s="183">
        <f>_xlfn.XLOOKUP(AH40,Regcontabilizados[Identificador],Regcontabilizados[Debe],0)</f>
        <v>0</v>
      </c>
      <c r="H39" s="37">
        <f t="shared" si="5"/>
        <v>0</v>
      </c>
      <c r="I39" s="37"/>
      <c r="J39" s="210">
        <f t="shared" si="6"/>
        <v>0</v>
      </c>
      <c r="K39" s="197"/>
      <c r="O39" t="str">
        <f>_xlfn.XLOOKUP($H$7,BDPROV[ID-Proveedor],BDPROV[NIT/C.C.])&amp;$H$9&amp;N39&amp;"-"&amp;11</f>
        <v>F.C.-11</v>
      </c>
      <c r="P39" t="str">
        <f t="shared" si="11"/>
        <v/>
      </c>
      <c r="Q39" t="str">
        <f>IF(N39="","",    _xlfn.XLOOKUP(P39,Regcontabilizados[Número pago],Regcontabilizados[Estado de pago],"NO PAGADO"))</f>
        <v/>
      </c>
      <c r="R39" s="44">
        <f>_xlfn.XLOOKUP(O39,Regcontabilizados[Identificador],Regcontabilizados[Fecha vencimiento],0)</f>
        <v>0</v>
      </c>
      <c r="S39">
        <f>_xlfn.XLOOKUP(O39,Regcontabilizados[Identificador],Regcontabilizados[Subcuenta],0)</f>
        <v>0</v>
      </c>
      <c r="T39">
        <f>_xlfn.XLOOKUP(O39,Regcontabilizados[Identificador],Regcontabilizados[Haber],0)</f>
        <v>0</v>
      </c>
      <c r="U39">
        <f>SUMIF(Regcontabilizados[Número pago],PAGOCompbusc!P39,Regcontabilizados[Debe])</f>
        <v>0</v>
      </c>
      <c r="AA39" s="33" t="str">
        <f>IF(J39=0,"",  _xlfn.XLOOKUP(AB39,Regcontabilizados[Identificador],Regcontabilizados[Subcuenta],0))</f>
        <v/>
      </c>
      <c r="AB39" t="str">
        <f>IF(J39=0,"",  _xlfn.XLOOKUP($H$7,BDPROV[ID-Proveedor],BDPROV[NIT/C.C.],0)&amp;$H$9&amp;D39&amp;"-"&amp;11)</f>
        <v/>
      </c>
      <c r="AC39" t="str">
        <f t="shared" si="8"/>
        <v/>
      </c>
      <c r="AD39" t="str">
        <f t="shared" si="9"/>
        <v>En Blanco</v>
      </c>
      <c r="AE39" t="str">
        <f>_xlfn.XLOOKUP($H$7,BDPROV[ID-Proveedor],BDPROV[NIT/C.C.],0)&amp;$H$13&amp;$E$7&amp;"-"&amp;ROW(Z39)-21</f>
        <v>Comp. Egreso-18</v>
      </c>
    </row>
    <row r="40" spans="3:31">
      <c r="C40" s="194"/>
      <c r="D40" s="206" t="str">
        <f t="shared" si="4"/>
        <v/>
      </c>
      <c r="E40" s="142" t="str">
        <f>_xlfn.XLOOKUP(AB40,Regcontabilizados[Identificador],Regcontabilizados[Fecha vencimiento],0)</f>
        <v/>
      </c>
      <c r="F40" s="183" t="str">
        <f>_xlfn.XLOOKUP(AB40,Regcontabilizados[Identificador],Regcontabilizados[Haber],0)</f>
        <v/>
      </c>
      <c r="G40" s="183">
        <f>_xlfn.XLOOKUP(AH41,Regcontabilizados[Identificador],Regcontabilizados[Debe],0)</f>
        <v>0</v>
      </c>
      <c r="H40" s="37">
        <f t="shared" si="5"/>
        <v>0</v>
      </c>
      <c r="I40" s="37"/>
      <c r="J40" s="210">
        <f t="shared" si="6"/>
        <v>0</v>
      </c>
      <c r="K40" s="197"/>
      <c r="O40" t="str">
        <f>_xlfn.XLOOKUP($H$7,BDPROV[ID-Proveedor],BDPROV[NIT/C.C.])&amp;$H$9&amp;N40&amp;"-"&amp;11</f>
        <v>F.C.-11</v>
      </c>
      <c r="P40" t="str">
        <f t="shared" si="11"/>
        <v/>
      </c>
      <c r="Q40" t="str">
        <f>IF(N40="","",    _xlfn.XLOOKUP(P40,Regcontabilizados[Número pago],Regcontabilizados[Estado de pago],"NO PAGADO"))</f>
        <v/>
      </c>
      <c r="R40" s="44">
        <f>_xlfn.XLOOKUP(O40,Regcontabilizados[Identificador],Regcontabilizados[Fecha vencimiento],0)</f>
        <v>0</v>
      </c>
      <c r="S40">
        <f>_xlfn.XLOOKUP(O40,Regcontabilizados[Identificador],Regcontabilizados[Subcuenta],0)</f>
        <v>0</v>
      </c>
      <c r="T40">
        <f>_xlfn.XLOOKUP(O40,Regcontabilizados[Identificador],Regcontabilizados[Haber],0)</f>
        <v>0</v>
      </c>
      <c r="U40">
        <f>SUMIF(Regcontabilizados[Número pago],PAGOCompbusc!P40,Regcontabilizados[Debe])</f>
        <v>0</v>
      </c>
      <c r="AA40" s="33" t="str">
        <f>IF(J40=0,"",  _xlfn.XLOOKUP(AB40,Regcontabilizados[Identificador],Regcontabilizados[Subcuenta],0))</f>
        <v/>
      </c>
      <c r="AB40" t="str">
        <f>IF(J40=0,"",  _xlfn.XLOOKUP($H$7,BDPROV[ID-Proveedor],BDPROV[NIT/C.C.],0)&amp;$H$9&amp;D40&amp;"-"&amp;11)</f>
        <v/>
      </c>
      <c r="AC40" t="str">
        <f t="shared" si="8"/>
        <v/>
      </c>
      <c r="AD40" t="str">
        <f t="shared" si="9"/>
        <v>En Blanco</v>
      </c>
      <c r="AE40" t="str">
        <f>_xlfn.XLOOKUP($H$7,BDPROV[ID-Proveedor],BDPROV[NIT/C.C.],0)&amp;$H$13&amp;$E$7&amp;"-"&amp;ROW(Z40)-21</f>
        <v>Comp. Egreso-19</v>
      </c>
    </row>
    <row r="41" spans="3:31">
      <c r="C41" s="194"/>
      <c r="D41" s="206" t="str">
        <f t="shared" si="4"/>
        <v/>
      </c>
      <c r="E41" s="142" t="str">
        <f>_xlfn.XLOOKUP(AB41,Regcontabilizados[Identificador],Regcontabilizados[Fecha vencimiento],0)</f>
        <v/>
      </c>
      <c r="F41" s="183" t="str">
        <f>_xlfn.XLOOKUP(AB41,Regcontabilizados[Identificador],Regcontabilizados[Haber],0)</f>
        <v/>
      </c>
      <c r="G41" s="183">
        <f>_xlfn.XLOOKUP(AH42,Regcontabilizados[Identificador],Regcontabilizados[Debe],0)</f>
        <v>0</v>
      </c>
      <c r="H41" s="37">
        <f t="shared" si="5"/>
        <v>0</v>
      </c>
      <c r="I41" s="37"/>
      <c r="J41" s="210">
        <f t="shared" si="6"/>
        <v>0</v>
      </c>
      <c r="K41" s="197"/>
      <c r="O41" t="str">
        <f>_xlfn.XLOOKUP($H$7,BDPROV[ID-Proveedor],BDPROV[NIT/C.C.])&amp;$H$9&amp;N41&amp;"-"&amp;11</f>
        <v>F.C.-11</v>
      </c>
      <c r="P41" t="str">
        <f t="shared" si="11"/>
        <v/>
      </c>
      <c r="Q41" t="str">
        <f>IF(N41="","",    _xlfn.XLOOKUP(P41,Regcontabilizados[Número pago],Regcontabilizados[Estado de pago],"NO PAGADO"))</f>
        <v/>
      </c>
      <c r="R41" s="44">
        <f>_xlfn.XLOOKUP(O41,Regcontabilizados[Identificador],Regcontabilizados[Fecha vencimiento],0)</f>
        <v>0</v>
      </c>
      <c r="S41">
        <f>_xlfn.XLOOKUP(O41,Regcontabilizados[Identificador],Regcontabilizados[Subcuenta],0)</f>
        <v>0</v>
      </c>
      <c r="T41">
        <f>_xlfn.XLOOKUP(O41,Regcontabilizados[Identificador],Regcontabilizados[Haber],0)</f>
        <v>0</v>
      </c>
      <c r="U41">
        <f>SUMIF(Regcontabilizados[Número pago],PAGOCompbusc!P41,Regcontabilizados[Debe])</f>
        <v>0</v>
      </c>
      <c r="AA41" s="33" t="str">
        <f>IF(J41=0,"",  _xlfn.XLOOKUP(AB41,Regcontabilizados[Identificador],Regcontabilizados[Subcuenta],0))</f>
        <v/>
      </c>
      <c r="AB41" t="str">
        <f>IF(J41=0,"",  _xlfn.XLOOKUP($H$7,BDPROV[ID-Proveedor],BDPROV[NIT/C.C.],0)&amp;$H$9&amp;D41&amp;"-"&amp;11)</f>
        <v/>
      </c>
      <c r="AC41" t="str">
        <f t="shared" si="8"/>
        <v/>
      </c>
      <c r="AD41" t="str">
        <f t="shared" si="9"/>
        <v>En Blanco</v>
      </c>
      <c r="AE41" t="str">
        <f>_xlfn.XLOOKUP($H$7,BDPROV[ID-Proveedor],BDPROV[NIT/C.C.],0)&amp;$H$13&amp;$E$7&amp;"-"&amp;ROW(Z41)-21</f>
        <v>Comp. Egreso-20</v>
      </c>
    </row>
    <row r="42" spans="3:31">
      <c r="C42" s="194"/>
      <c r="D42" s="206" t="str">
        <f t="shared" si="4"/>
        <v/>
      </c>
      <c r="E42" s="142" t="str">
        <f>_xlfn.XLOOKUP(AB42,Regcontabilizados[Identificador],Regcontabilizados[Fecha vencimiento],0)</f>
        <v/>
      </c>
      <c r="F42" s="183" t="str">
        <f>_xlfn.XLOOKUP(AB42,Regcontabilizados[Identificador],Regcontabilizados[Haber],0)</f>
        <v/>
      </c>
      <c r="G42" s="183">
        <f>_xlfn.XLOOKUP(AH43,Regcontabilizados[Identificador],Regcontabilizados[Debe],0)</f>
        <v>0</v>
      </c>
      <c r="H42" s="37">
        <f t="shared" si="5"/>
        <v>0</v>
      </c>
      <c r="I42" s="37"/>
      <c r="J42" s="210">
        <f t="shared" si="6"/>
        <v>0</v>
      </c>
      <c r="K42" s="197"/>
      <c r="O42" t="str">
        <f>_xlfn.XLOOKUP($H$7,BDPROV[ID-Proveedor],BDPROV[NIT/C.C.])&amp;$H$9&amp;N42&amp;"-"&amp;11</f>
        <v>F.C.-11</v>
      </c>
      <c r="P42" t="str">
        <f t="shared" si="11"/>
        <v/>
      </c>
      <c r="Q42" t="str">
        <f>IF(N42="","",    _xlfn.XLOOKUP(P42,Regcontabilizados[Número pago],Regcontabilizados[Estado de pago],"NO PAGADO"))</f>
        <v/>
      </c>
      <c r="R42" s="44">
        <f>_xlfn.XLOOKUP(O42,Regcontabilizados[Identificador],Regcontabilizados[Fecha vencimiento],0)</f>
        <v>0</v>
      </c>
      <c r="S42">
        <f>_xlfn.XLOOKUP(O42,Regcontabilizados[Identificador],Regcontabilizados[Subcuenta],0)</f>
        <v>0</v>
      </c>
      <c r="T42">
        <f>_xlfn.XLOOKUP(O42,Regcontabilizados[Identificador],Regcontabilizados[Haber],0)</f>
        <v>0</v>
      </c>
      <c r="U42">
        <f>SUMIF(Regcontabilizados[Número pago],PAGOCompbusc!P42,Regcontabilizados[Debe])</f>
        <v>0</v>
      </c>
      <c r="AA42" s="33" t="str">
        <f>IF(J42=0,"",  _xlfn.XLOOKUP(AB42,Regcontabilizados[Identificador],Regcontabilizados[Subcuenta],0))</f>
        <v/>
      </c>
      <c r="AB42" t="str">
        <f>IF(J42=0,"",  _xlfn.XLOOKUP($H$7,BDPROV[ID-Proveedor],BDPROV[NIT/C.C.],0)&amp;$H$9&amp;D42&amp;"-"&amp;11)</f>
        <v/>
      </c>
      <c r="AC42" t="str">
        <f t="shared" si="8"/>
        <v/>
      </c>
      <c r="AD42" t="str">
        <f t="shared" si="9"/>
        <v>En Blanco</v>
      </c>
      <c r="AE42" t="str">
        <f>_xlfn.XLOOKUP($H$7,BDPROV[ID-Proveedor],BDPROV[NIT/C.C.],0)&amp;$H$13&amp;$E$7&amp;"-"&amp;ROW(Z42)-21</f>
        <v>Comp. Egreso-21</v>
      </c>
    </row>
    <row r="43" spans="3:31">
      <c r="C43" s="194"/>
      <c r="D43" s="206" t="str">
        <f t="shared" si="4"/>
        <v/>
      </c>
      <c r="E43" s="142" t="str">
        <f>_xlfn.XLOOKUP(AB43,Regcontabilizados[Identificador],Regcontabilizados[Fecha vencimiento],0)</f>
        <v/>
      </c>
      <c r="F43" s="183" t="str">
        <f>_xlfn.XLOOKUP(AB43,Regcontabilizados[Identificador],Regcontabilizados[Haber],0)</f>
        <v/>
      </c>
      <c r="G43" s="183">
        <f>_xlfn.XLOOKUP(AH44,Regcontabilizados[Identificador],Regcontabilizados[Debe],0)</f>
        <v>0</v>
      </c>
      <c r="H43" s="37">
        <f t="shared" si="5"/>
        <v>0</v>
      </c>
      <c r="I43" s="37"/>
      <c r="J43" s="210">
        <f t="shared" si="6"/>
        <v>0</v>
      </c>
      <c r="K43" s="197"/>
      <c r="O43" t="str">
        <f>_xlfn.XLOOKUP($H$7,BDPROV[ID-Proveedor],BDPROV[NIT/C.C.])&amp;$H$9&amp;N43&amp;"-"&amp;11</f>
        <v>F.C.-11</v>
      </c>
      <c r="P43" t="str">
        <f t="shared" si="11"/>
        <v/>
      </c>
      <c r="Q43" t="str">
        <f>IF(N43="","",    _xlfn.XLOOKUP(P43,Regcontabilizados[Número pago],Regcontabilizados[Estado de pago],"NO PAGADO"))</f>
        <v/>
      </c>
      <c r="R43" s="44">
        <f>_xlfn.XLOOKUP(O43,Regcontabilizados[Identificador],Regcontabilizados[Fecha vencimiento],0)</f>
        <v>0</v>
      </c>
      <c r="S43">
        <f>_xlfn.XLOOKUP(O43,Regcontabilizados[Identificador],Regcontabilizados[Subcuenta],0)</f>
        <v>0</v>
      </c>
      <c r="T43">
        <f>_xlfn.XLOOKUP(O43,Regcontabilizados[Identificador],Regcontabilizados[Haber],0)</f>
        <v>0</v>
      </c>
      <c r="U43">
        <f>SUMIF(Regcontabilizados[Número pago],PAGOCompbusc!P43,Regcontabilizados[Debe])</f>
        <v>0</v>
      </c>
      <c r="AA43" s="33" t="str">
        <f>IF(J43=0,"",  _xlfn.XLOOKUP(AB43,Regcontabilizados[Identificador],Regcontabilizados[Subcuenta],0))</f>
        <v/>
      </c>
      <c r="AB43" t="str">
        <f>IF(J43=0,"",  _xlfn.XLOOKUP($H$7,BDPROV[ID-Proveedor],BDPROV[NIT/C.C.],0)&amp;$H$9&amp;D43&amp;"-"&amp;11)</f>
        <v/>
      </c>
      <c r="AC43" t="str">
        <f t="shared" si="8"/>
        <v/>
      </c>
      <c r="AD43" t="str">
        <f t="shared" si="9"/>
        <v>En Blanco</v>
      </c>
      <c r="AE43" t="str">
        <f>_xlfn.XLOOKUP($H$7,BDPROV[ID-Proveedor],BDPROV[NIT/C.C.],0)&amp;$H$13&amp;$E$7&amp;"-"&amp;ROW(Z43)-21</f>
        <v>Comp. Egreso-22</v>
      </c>
    </row>
    <row r="44" spans="3:31">
      <c r="C44" s="194"/>
      <c r="D44" s="206" t="str">
        <f t="shared" si="4"/>
        <v/>
      </c>
      <c r="E44" s="142" t="str">
        <f>_xlfn.XLOOKUP(AB44,Regcontabilizados[Identificador],Regcontabilizados[Fecha vencimiento],0)</f>
        <v/>
      </c>
      <c r="F44" s="183" t="str">
        <f>_xlfn.XLOOKUP(AB44,Regcontabilizados[Identificador],Regcontabilizados[Haber],0)</f>
        <v/>
      </c>
      <c r="G44" s="183">
        <f>_xlfn.XLOOKUP(AH45,Regcontabilizados[Identificador],Regcontabilizados[Debe],0)</f>
        <v>0</v>
      </c>
      <c r="H44" s="37">
        <f t="shared" si="5"/>
        <v>0</v>
      </c>
      <c r="I44" s="37"/>
      <c r="J44" s="210">
        <f t="shared" si="6"/>
        <v>0</v>
      </c>
      <c r="K44" s="197"/>
      <c r="O44" t="str">
        <f>_xlfn.XLOOKUP($H$7,BDPROV[ID-Proveedor],BDPROV[NIT/C.C.])&amp;$H$9&amp;N44&amp;"-"&amp;11</f>
        <v>F.C.-11</v>
      </c>
      <c r="P44" t="str">
        <f t="shared" si="11"/>
        <v/>
      </c>
      <c r="Q44" t="str">
        <f>IF(N44="","",    _xlfn.XLOOKUP(P44,Regcontabilizados[Número pago],Regcontabilizados[Estado de pago],"NO PAGADO"))</f>
        <v/>
      </c>
      <c r="R44" s="44">
        <f>_xlfn.XLOOKUP(O44,Regcontabilizados[Identificador],Regcontabilizados[Fecha vencimiento],0)</f>
        <v>0</v>
      </c>
      <c r="S44">
        <f>_xlfn.XLOOKUP(O44,Regcontabilizados[Identificador],Regcontabilizados[Subcuenta],0)</f>
        <v>0</v>
      </c>
      <c r="T44">
        <f>_xlfn.XLOOKUP(O44,Regcontabilizados[Identificador],Regcontabilizados[Haber],0)</f>
        <v>0</v>
      </c>
      <c r="U44">
        <f>SUMIF(Regcontabilizados[Número pago],PAGOCompbusc!P44,Regcontabilizados[Debe])</f>
        <v>0</v>
      </c>
      <c r="AA44" s="33" t="str">
        <f>IF(J44=0,"",  _xlfn.XLOOKUP(AB44,Regcontabilizados[Identificador],Regcontabilizados[Subcuenta],0))</f>
        <v/>
      </c>
      <c r="AB44" t="str">
        <f>IF(J44=0,"",  _xlfn.XLOOKUP($H$7,BDPROV[ID-Proveedor],BDPROV[NIT/C.C.],0)&amp;$H$9&amp;D44&amp;"-"&amp;11)</f>
        <v/>
      </c>
      <c r="AC44" t="str">
        <f t="shared" si="8"/>
        <v/>
      </c>
      <c r="AD44" t="str">
        <f t="shared" si="9"/>
        <v>En Blanco</v>
      </c>
      <c r="AE44" t="str">
        <f>_xlfn.XLOOKUP($H$7,BDPROV[ID-Proveedor],BDPROV[NIT/C.C.],0)&amp;$H$13&amp;$E$7&amp;"-"&amp;ROW(Z44)-21</f>
        <v>Comp. Egreso-23</v>
      </c>
    </row>
    <row r="45" spans="3:31">
      <c r="C45" s="194"/>
      <c r="D45" s="206" t="str">
        <f t="shared" si="4"/>
        <v/>
      </c>
      <c r="E45" s="142" t="str">
        <f>_xlfn.XLOOKUP(AB45,Regcontabilizados[Identificador],Regcontabilizados[Fecha vencimiento],0)</f>
        <v/>
      </c>
      <c r="F45" s="183" t="str">
        <f>_xlfn.XLOOKUP(AB45,Regcontabilizados[Identificador],Regcontabilizados[Haber],0)</f>
        <v/>
      </c>
      <c r="G45" s="183">
        <f>_xlfn.XLOOKUP(AH46,Regcontabilizados[Identificador],Regcontabilizados[Debe],0)</f>
        <v>0</v>
      </c>
      <c r="H45" s="37">
        <f t="shared" si="5"/>
        <v>0</v>
      </c>
      <c r="I45" s="37"/>
      <c r="J45" s="210">
        <f t="shared" si="6"/>
        <v>0</v>
      </c>
      <c r="K45" s="197"/>
      <c r="O45" t="str">
        <f>_xlfn.XLOOKUP($H$7,BDPROV[ID-Proveedor],BDPROV[NIT/C.C.])&amp;$H$9&amp;N45&amp;"-"&amp;11</f>
        <v>F.C.-11</v>
      </c>
      <c r="P45" t="str">
        <f t="shared" si="11"/>
        <v/>
      </c>
      <c r="Q45" t="str">
        <f>IF(N45="","",    _xlfn.XLOOKUP(P45,Regcontabilizados[Número pago],Regcontabilizados[Estado de pago],"NO PAGADO"))</f>
        <v/>
      </c>
      <c r="R45" s="44">
        <f>_xlfn.XLOOKUP(O45,Regcontabilizados[Identificador],Regcontabilizados[Fecha vencimiento],0)</f>
        <v>0</v>
      </c>
      <c r="S45">
        <f>_xlfn.XLOOKUP(O45,Regcontabilizados[Identificador],Regcontabilizados[Subcuenta],0)</f>
        <v>0</v>
      </c>
      <c r="T45">
        <f>_xlfn.XLOOKUP(O45,Regcontabilizados[Identificador],Regcontabilizados[Haber],0)</f>
        <v>0</v>
      </c>
      <c r="U45">
        <f>SUMIF(Regcontabilizados[Número pago],PAGOCompbusc!P45,Regcontabilizados[Debe])</f>
        <v>0</v>
      </c>
      <c r="AA45" s="33" t="str">
        <f>IF(J45=0,"",  _xlfn.XLOOKUP(AB45,Regcontabilizados[Identificador],Regcontabilizados[Subcuenta],0))</f>
        <v/>
      </c>
      <c r="AB45" t="str">
        <f>IF(J45=0,"",  _xlfn.XLOOKUP($H$7,BDPROV[ID-Proveedor],BDPROV[NIT/C.C.],0)&amp;$H$9&amp;D45&amp;"-"&amp;11)</f>
        <v/>
      </c>
      <c r="AC45" t="str">
        <f t="shared" si="8"/>
        <v/>
      </c>
      <c r="AD45" t="str">
        <f t="shared" si="9"/>
        <v>En Blanco</v>
      </c>
      <c r="AE45" t="str">
        <f>_xlfn.XLOOKUP($H$7,BDPROV[ID-Proveedor],BDPROV[NIT/C.C.],0)&amp;$H$13&amp;$E$7&amp;"-"&amp;ROW(Z45)-21</f>
        <v>Comp. Egreso-24</v>
      </c>
    </row>
    <row r="46" spans="3:31">
      <c r="C46" s="194"/>
      <c r="D46" s="206" t="str">
        <f t="shared" si="4"/>
        <v/>
      </c>
      <c r="E46" s="142" t="str">
        <f>_xlfn.XLOOKUP(AB46,Regcontabilizados[Identificador],Regcontabilizados[Fecha vencimiento],0)</f>
        <v/>
      </c>
      <c r="F46" s="183" t="str">
        <f>_xlfn.XLOOKUP(AB46,Regcontabilizados[Identificador],Regcontabilizados[Haber],0)</f>
        <v/>
      </c>
      <c r="G46" s="183">
        <f>_xlfn.XLOOKUP(AH47,Regcontabilizados[Identificador],Regcontabilizados[Debe],0)</f>
        <v>0</v>
      </c>
      <c r="H46" s="37">
        <f t="shared" si="5"/>
        <v>0</v>
      </c>
      <c r="I46" s="37"/>
      <c r="J46" s="210">
        <f t="shared" si="6"/>
        <v>0</v>
      </c>
      <c r="K46" s="197"/>
      <c r="O46" t="str">
        <f>_xlfn.XLOOKUP($H$7,BDPROV[ID-Proveedor],BDPROV[NIT/C.C.])&amp;$H$9&amp;N46&amp;"-"&amp;11</f>
        <v>F.C.-11</v>
      </c>
      <c r="P46" t="str">
        <f t="shared" si="11"/>
        <v/>
      </c>
      <c r="Q46" t="str">
        <f>IF(N46="","",    _xlfn.XLOOKUP(P46,Regcontabilizados[Número pago],Regcontabilizados[Estado de pago],"NO PAGADO"))</f>
        <v/>
      </c>
      <c r="R46" s="44">
        <f>_xlfn.XLOOKUP(O46,Regcontabilizados[Identificador],Regcontabilizados[Fecha vencimiento],0)</f>
        <v>0</v>
      </c>
      <c r="S46">
        <f>_xlfn.XLOOKUP(O46,Regcontabilizados[Identificador],Regcontabilizados[Subcuenta],0)</f>
        <v>0</v>
      </c>
      <c r="T46">
        <f>_xlfn.XLOOKUP(O46,Regcontabilizados[Identificador],Regcontabilizados[Haber],0)</f>
        <v>0</v>
      </c>
      <c r="U46">
        <f>SUMIF(Regcontabilizados[Número pago],PAGOCompbusc!P46,Regcontabilizados[Debe])</f>
        <v>0</v>
      </c>
      <c r="AA46" s="33" t="str">
        <f>IF(J46=0,"",  _xlfn.XLOOKUP(AB46,Regcontabilizados[Identificador],Regcontabilizados[Subcuenta],0))</f>
        <v/>
      </c>
      <c r="AB46" t="str">
        <f>IF(J46=0,"",  _xlfn.XLOOKUP($H$7,BDPROV[ID-Proveedor],BDPROV[NIT/C.C.],0)&amp;$H$9&amp;D46&amp;"-"&amp;11)</f>
        <v/>
      </c>
      <c r="AC46" t="str">
        <f t="shared" si="8"/>
        <v/>
      </c>
      <c r="AD46" t="str">
        <f t="shared" si="9"/>
        <v>En Blanco</v>
      </c>
      <c r="AE46" t="str">
        <f>_xlfn.XLOOKUP($H$7,BDPROV[ID-Proveedor],BDPROV[NIT/C.C.],0)&amp;$H$13&amp;$E$7&amp;"-"&amp;ROW(Z46)-21</f>
        <v>Comp. Egreso-25</v>
      </c>
    </row>
    <row r="47" spans="3:31">
      <c r="C47" s="194"/>
      <c r="D47" s="206" t="str">
        <f t="shared" si="4"/>
        <v/>
      </c>
      <c r="E47" s="142" t="str">
        <f>_xlfn.XLOOKUP(AB47,Regcontabilizados[Identificador],Regcontabilizados[Fecha vencimiento],0)</f>
        <v/>
      </c>
      <c r="F47" s="183" t="str">
        <f>_xlfn.XLOOKUP(AB47,Regcontabilizados[Identificador],Regcontabilizados[Haber],0)</f>
        <v/>
      </c>
      <c r="G47" s="183">
        <f>_xlfn.XLOOKUP(AH48,Regcontabilizados[Identificador],Regcontabilizados[Debe],0)</f>
        <v>0</v>
      </c>
      <c r="H47" s="37">
        <f t="shared" si="5"/>
        <v>0</v>
      </c>
      <c r="I47" s="37"/>
      <c r="J47" s="210">
        <f t="shared" si="6"/>
        <v>0</v>
      </c>
      <c r="K47" s="197"/>
      <c r="O47" t="str">
        <f>_xlfn.XLOOKUP($H$7,BDPROV[ID-Proveedor],BDPROV[NIT/C.C.])&amp;$H$9&amp;N47&amp;"-"&amp;11</f>
        <v>F.C.-11</v>
      </c>
      <c r="P47" t="str">
        <f t="shared" si="11"/>
        <v/>
      </c>
      <c r="Q47" t="str">
        <f>IF(N47="","",    _xlfn.XLOOKUP(P47,Regcontabilizados[Número pago],Regcontabilizados[Estado de pago],"NO PAGADO"))</f>
        <v/>
      </c>
      <c r="R47" s="44">
        <f>_xlfn.XLOOKUP(O47,Regcontabilizados[Identificador],Regcontabilizados[Fecha vencimiento],0)</f>
        <v>0</v>
      </c>
      <c r="S47">
        <f>_xlfn.XLOOKUP(O47,Regcontabilizados[Identificador],Regcontabilizados[Subcuenta],0)</f>
        <v>0</v>
      </c>
      <c r="T47">
        <f>_xlfn.XLOOKUP(O47,Regcontabilizados[Identificador],Regcontabilizados[Haber],0)</f>
        <v>0</v>
      </c>
      <c r="U47">
        <f>SUMIF(Regcontabilizados[Número pago],PAGOCompbusc!P47,Regcontabilizados[Debe])</f>
        <v>0</v>
      </c>
      <c r="AA47" s="33" t="str">
        <f>IF(J47=0,"",  _xlfn.XLOOKUP(AB47,Regcontabilizados[Identificador],Regcontabilizados[Subcuenta],0))</f>
        <v/>
      </c>
      <c r="AB47" t="str">
        <f>IF(J47=0,"",  _xlfn.XLOOKUP($H$7,BDPROV[ID-Proveedor],BDPROV[NIT/C.C.],0)&amp;$H$9&amp;D47&amp;"-"&amp;11)</f>
        <v/>
      </c>
      <c r="AC47" t="str">
        <f t="shared" si="8"/>
        <v/>
      </c>
      <c r="AD47" t="str">
        <f t="shared" si="9"/>
        <v>En Blanco</v>
      </c>
      <c r="AE47" t="str">
        <f>_xlfn.XLOOKUP($H$7,BDPROV[ID-Proveedor],BDPROV[NIT/C.C.],0)&amp;$H$13&amp;$E$7&amp;"-"&amp;ROW(Z47)-21</f>
        <v>Comp. Egreso-26</v>
      </c>
    </row>
    <row r="48" spans="3:31">
      <c r="C48" s="194"/>
      <c r="D48" s="206" t="str">
        <f t="shared" si="4"/>
        <v/>
      </c>
      <c r="E48" s="142" t="str">
        <f>_xlfn.XLOOKUP(AB48,Regcontabilizados[Identificador],Regcontabilizados[Fecha vencimiento],0)</f>
        <v/>
      </c>
      <c r="F48" s="183" t="str">
        <f>_xlfn.XLOOKUP(AB48,Regcontabilizados[Identificador],Regcontabilizados[Haber],0)</f>
        <v/>
      </c>
      <c r="G48" s="183">
        <f>_xlfn.XLOOKUP(AH49,Regcontabilizados[Identificador],Regcontabilizados[Debe],0)</f>
        <v>0</v>
      </c>
      <c r="H48" s="37">
        <f t="shared" si="5"/>
        <v>0</v>
      </c>
      <c r="I48" s="37"/>
      <c r="J48" s="210">
        <f t="shared" si="6"/>
        <v>0</v>
      </c>
      <c r="K48" s="197"/>
      <c r="O48" t="str">
        <f>_xlfn.XLOOKUP($H$7,BDPROV[ID-Proveedor],BDPROV[NIT/C.C.])&amp;$H$9&amp;N48&amp;"-"&amp;11</f>
        <v>F.C.-11</v>
      </c>
      <c r="P48" t="str">
        <f t="shared" si="11"/>
        <v/>
      </c>
      <c r="Q48" t="str">
        <f>IF(N48="","",    _xlfn.XLOOKUP(P48,Regcontabilizados[Número pago],Regcontabilizados[Estado de pago],"NO PAGADO"))</f>
        <v/>
      </c>
      <c r="R48" s="44">
        <f>_xlfn.XLOOKUP(O48,Regcontabilizados[Identificador],Regcontabilizados[Fecha vencimiento],0)</f>
        <v>0</v>
      </c>
      <c r="S48">
        <f>_xlfn.XLOOKUP(O48,Regcontabilizados[Identificador],Regcontabilizados[Subcuenta],0)</f>
        <v>0</v>
      </c>
      <c r="T48">
        <f>_xlfn.XLOOKUP(O48,Regcontabilizados[Identificador],Regcontabilizados[Haber],0)</f>
        <v>0</v>
      </c>
      <c r="U48">
        <f>SUMIF(Regcontabilizados[Número pago],PAGOCompbusc!P48,Regcontabilizados[Debe])</f>
        <v>0</v>
      </c>
      <c r="AA48" s="33" t="str">
        <f>IF(J48=0,"",  _xlfn.XLOOKUP(AB48,Regcontabilizados[Identificador],Regcontabilizados[Subcuenta],0))</f>
        <v/>
      </c>
      <c r="AB48" t="str">
        <f>IF(J48=0,"",  _xlfn.XLOOKUP($H$7,BDPROV[ID-Proveedor],BDPROV[NIT/C.C.],0)&amp;$H$9&amp;D48&amp;"-"&amp;11)</f>
        <v/>
      </c>
      <c r="AC48" t="str">
        <f t="shared" si="8"/>
        <v/>
      </c>
      <c r="AD48" t="str">
        <f t="shared" si="9"/>
        <v>En Blanco</v>
      </c>
      <c r="AE48" t="str">
        <f>_xlfn.XLOOKUP($H$7,BDPROV[ID-Proveedor],BDPROV[NIT/C.C.],0)&amp;$H$13&amp;$E$7&amp;"-"&amp;ROW(Z48)-21</f>
        <v>Comp. Egreso-27</v>
      </c>
    </row>
    <row r="49" spans="3:31">
      <c r="C49" s="194"/>
      <c r="D49" s="206" t="str">
        <f t="shared" si="4"/>
        <v/>
      </c>
      <c r="E49" s="142" t="str">
        <f>_xlfn.XLOOKUP(AB49,Regcontabilizados[Identificador],Regcontabilizados[Fecha vencimiento],0)</f>
        <v/>
      </c>
      <c r="F49" s="183" t="str">
        <f>_xlfn.XLOOKUP(AB49,Regcontabilizados[Identificador],Regcontabilizados[Haber],0)</f>
        <v/>
      </c>
      <c r="G49" s="183">
        <f>_xlfn.XLOOKUP(AH50,Regcontabilizados[Identificador],Regcontabilizados[Debe],0)</f>
        <v>0</v>
      </c>
      <c r="H49" s="37">
        <f t="shared" si="5"/>
        <v>0</v>
      </c>
      <c r="I49" s="37"/>
      <c r="J49" s="210">
        <f t="shared" si="6"/>
        <v>0</v>
      </c>
      <c r="K49" s="197"/>
      <c r="O49" t="str">
        <f>_xlfn.XLOOKUP($H$7,BDPROV[ID-Proveedor],BDPROV[NIT/C.C.])&amp;$H$9&amp;N49&amp;"-"&amp;11</f>
        <v>F.C.-11</v>
      </c>
      <c r="P49" t="str">
        <f t="shared" si="11"/>
        <v/>
      </c>
      <c r="Q49" t="str">
        <f>IF(N49="","",    _xlfn.XLOOKUP(P49,Regcontabilizados[Número pago],Regcontabilizados[Estado de pago],"NO PAGADO"))</f>
        <v/>
      </c>
      <c r="R49" s="44">
        <f>_xlfn.XLOOKUP(O49,Regcontabilizados[Identificador],Regcontabilizados[Fecha vencimiento],0)</f>
        <v>0</v>
      </c>
      <c r="S49">
        <f>_xlfn.XLOOKUP(O49,Regcontabilizados[Identificador],Regcontabilizados[Subcuenta],0)</f>
        <v>0</v>
      </c>
      <c r="T49">
        <f>_xlfn.XLOOKUP(O49,Regcontabilizados[Identificador],Regcontabilizados[Haber],0)</f>
        <v>0</v>
      </c>
      <c r="U49">
        <f>SUMIF(Regcontabilizados[Número pago],PAGOCompbusc!P49,Regcontabilizados[Debe])</f>
        <v>0</v>
      </c>
      <c r="AA49" s="33" t="str">
        <f>IF(J49=0,"",  _xlfn.XLOOKUP(AB49,Regcontabilizados[Identificador],Regcontabilizados[Subcuenta],0))</f>
        <v/>
      </c>
      <c r="AB49" t="str">
        <f>IF(J49=0,"",  _xlfn.XLOOKUP($H$7,BDPROV[ID-Proveedor],BDPROV[NIT/C.C.],0)&amp;$H$9&amp;D49&amp;"-"&amp;11)</f>
        <v/>
      </c>
      <c r="AC49" t="str">
        <f t="shared" si="8"/>
        <v/>
      </c>
      <c r="AD49" t="str">
        <f t="shared" si="9"/>
        <v>En Blanco</v>
      </c>
      <c r="AE49" t="str">
        <f>_xlfn.XLOOKUP($H$7,BDPROV[ID-Proveedor],BDPROV[NIT/C.C.],0)&amp;$H$13&amp;$E$7&amp;"-"&amp;ROW(Z49)-21</f>
        <v>Comp. Egreso-28</v>
      </c>
    </row>
    <row r="50" spans="3:31">
      <c r="C50" s="194"/>
      <c r="D50" s="206" t="str">
        <f t="shared" si="4"/>
        <v/>
      </c>
      <c r="E50" s="142" t="str">
        <f>_xlfn.XLOOKUP(AB50,Regcontabilizados[Identificador],Regcontabilizados[Fecha vencimiento],0)</f>
        <v/>
      </c>
      <c r="F50" s="183" t="str">
        <f>_xlfn.XLOOKUP(AB50,Regcontabilizados[Identificador],Regcontabilizados[Haber],0)</f>
        <v/>
      </c>
      <c r="G50" s="183">
        <f>_xlfn.XLOOKUP(AH51,Regcontabilizados[Identificador],Regcontabilizados[Debe],0)</f>
        <v>0</v>
      </c>
      <c r="H50" s="37">
        <f t="shared" si="5"/>
        <v>0</v>
      </c>
      <c r="I50" s="37"/>
      <c r="J50" s="210">
        <f t="shared" si="6"/>
        <v>0</v>
      </c>
      <c r="K50" s="197"/>
      <c r="O50" t="str">
        <f>_xlfn.XLOOKUP($H$7,BDPROV[ID-Proveedor],BDPROV[NIT/C.C.])&amp;$H$9&amp;N50&amp;"-"&amp;11</f>
        <v>F.C.-11</v>
      </c>
      <c r="P50" t="str">
        <f t="shared" si="11"/>
        <v/>
      </c>
      <c r="Q50" t="str">
        <f>IF(N50="","",    _xlfn.XLOOKUP(P50,Regcontabilizados[Número pago],Regcontabilizados[Estado de pago],"NO PAGADO"))</f>
        <v/>
      </c>
      <c r="R50" s="44">
        <f>_xlfn.XLOOKUP(O50,Regcontabilizados[Identificador],Regcontabilizados[Fecha vencimiento],0)</f>
        <v>0</v>
      </c>
      <c r="S50">
        <f>_xlfn.XLOOKUP(O50,Regcontabilizados[Identificador],Regcontabilizados[Subcuenta],0)</f>
        <v>0</v>
      </c>
      <c r="T50">
        <f>_xlfn.XLOOKUP(O50,Regcontabilizados[Identificador],Regcontabilizados[Haber],0)</f>
        <v>0</v>
      </c>
      <c r="U50">
        <f>SUMIF(Regcontabilizados[Número pago],PAGOCompbusc!P50,Regcontabilizados[Debe])</f>
        <v>0</v>
      </c>
      <c r="AA50" s="33" t="str">
        <f>IF(J50=0,"",  _xlfn.XLOOKUP(AB50,Regcontabilizados[Identificador],Regcontabilizados[Subcuenta],0))</f>
        <v/>
      </c>
      <c r="AB50" t="str">
        <f>IF(J50=0,"",  _xlfn.XLOOKUP($H$7,BDPROV[ID-Proveedor],BDPROV[NIT/C.C.],0)&amp;$H$9&amp;D50&amp;"-"&amp;11)</f>
        <v/>
      </c>
      <c r="AC50" t="str">
        <f t="shared" si="8"/>
        <v/>
      </c>
      <c r="AD50" t="str">
        <f t="shared" si="9"/>
        <v>En Blanco</v>
      </c>
      <c r="AE50" t="str">
        <f>_xlfn.XLOOKUP($H$7,BDPROV[ID-Proveedor],BDPROV[NIT/C.C.],0)&amp;$H$13&amp;$E$7&amp;"-"&amp;ROW(Z50)-21</f>
        <v>Comp. Egreso-29</v>
      </c>
    </row>
    <row r="51" spans="3:31">
      <c r="C51" s="194"/>
      <c r="D51" s="206" t="str">
        <f t="shared" si="4"/>
        <v/>
      </c>
      <c r="E51" s="142" t="str">
        <f>_xlfn.XLOOKUP(AB51,Regcontabilizados[Identificador],Regcontabilizados[Fecha vencimiento],0)</f>
        <v/>
      </c>
      <c r="F51" s="183" t="str">
        <f>_xlfn.XLOOKUP(AB51,Regcontabilizados[Identificador],Regcontabilizados[Haber],0)</f>
        <v/>
      </c>
      <c r="G51" s="183">
        <f>_xlfn.XLOOKUP(AH52,Regcontabilizados[Identificador],Regcontabilizados[Debe],0)</f>
        <v>0</v>
      </c>
      <c r="H51" s="37">
        <f t="shared" si="5"/>
        <v>0</v>
      </c>
      <c r="I51" s="37"/>
      <c r="J51" s="210">
        <f t="shared" si="6"/>
        <v>0</v>
      </c>
      <c r="K51" s="197"/>
      <c r="O51" t="str">
        <f>_xlfn.XLOOKUP($H$7,BDPROV[ID-Proveedor],BDPROV[NIT/C.C.])&amp;$H$9&amp;N51&amp;"-"&amp;11</f>
        <v>F.C.-11</v>
      </c>
      <c r="P51" t="str">
        <f t="shared" si="11"/>
        <v/>
      </c>
      <c r="Q51" t="str">
        <f>IF(N51="","",    _xlfn.XLOOKUP(P51,Regcontabilizados[Número pago],Regcontabilizados[Estado de pago],"NO PAGADO"))</f>
        <v/>
      </c>
      <c r="R51" s="44">
        <f>_xlfn.XLOOKUP(O51,Regcontabilizados[Identificador],Regcontabilizados[Fecha vencimiento],0)</f>
        <v>0</v>
      </c>
      <c r="S51">
        <f>_xlfn.XLOOKUP(O51,Regcontabilizados[Identificador],Regcontabilizados[Subcuenta],0)</f>
        <v>0</v>
      </c>
      <c r="T51">
        <f>_xlfn.XLOOKUP(O51,Regcontabilizados[Identificador],Regcontabilizados[Haber],0)</f>
        <v>0</v>
      </c>
      <c r="U51">
        <f>SUMIF(Regcontabilizados[Número pago],PAGOCompbusc!P51,Regcontabilizados[Debe])</f>
        <v>0</v>
      </c>
      <c r="AA51" s="33" t="str">
        <f>IF(J51=0,"",  _xlfn.XLOOKUP(AB51,Regcontabilizados[Identificador],Regcontabilizados[Subcuenta],0))</f>
        <v/>
      </c>
      <c r="AB51" t="str">
        <f>IF(J51=0,"",  _xlfn.XLOOKUP($H$7,BDPROV[ID-Proveedor],BDPROV[NIT/C.C.],0)&amp;$H$9&amp;D51&amp;"-"&amp;11)</f>
        <v/>
      </c>
      <c r="AC51" t="str">
        <f t="shared" si="8"/>
        <v/>
      </c>
      <c r="AD51" t="str">
        <f t="shared" si="9"/>
        <v>En Blanco</v>
      </c>
      <c r="AE51" t="str">
        <f>_xlfn.XLOOKUP($H$7,BDPROV[ID-Proveedor],BDPROV[NIT/C.C.],0)&amp;$H$13&amp;$E$7&amp;"-"&amp;ROW(Z51)-21</f>
        <v>Comp. Egreso-30</v>
      </c>
    </row>
    <row r="52" spans="3:31">
      <c r="C52" s="194"/>
      <c r="D52" s="206" t="str">
        <f t="shared" si="4"/>
        <v/>
      </c>
      <c r="E52" s="142" t="str">
        <f>_xlfn.XLOOKUP(AB52,Regcontabilizados[Identificador],Regcontabilizados[Fecha vencimiento],0)</f>
        <v/>
      </c>
      <c r="F52" s="183" t="str">
        <f>_xlfn.XLOOKUP(AB52,Regcontabilizados[Identificador],Regcontabilizados[Haber],0)</f>
        <v/>
      </c>
      <c r="G52" s="183">
        <f>_xlfn.XLOOKUP(AH53,Regcontabilizados[Identificador],Regcontabilizados[Debe],0)</f>
        <v>0</v>
      </c>
      <c r="H52" s="37">
        <f t="shared" si="5"/>
        <v>0</v>
      </c>
      <c r="I52" s="37"/>
      <c r="J52" s="210">
        <f t="shared" si="6"/>
        <v>0</v>
      </c>
      <c r="K52" s="197"/>
      <c r="O52" t="str">
        <f>_xlfn.XLOOKUP($H$7,BDPROV[ID-Proveedor],BDPROV[NIT/C.C.])&amp;$H$9&amp;N52&amp;"-"&amp;11</f>
        <v>F.C.-11</v>
      </c>
      <c r="P52" t="str">
        <f t="shared" si="11"/>
        <v/>
      </c>
      <c r="Q52" t="str">
        <f>IF(N52="","",    _xlfn.XLOOKUP(P52,Regcontabilizados[Número pago],Regcontabilizados[Estado de pago],"NO PAGADO"))</f>
        <v/>
      </c>
      <c r="R52" s="44">
        <f>_xlfn.XLOOKUP(O52,Regcontabilizados[Identificador],Regcontabilizados[Fecha vencimiento],0)</f>
        <v>0</v>
      </c>
      <c r="S52">
        <f>_xlfn.XLOOKUP(O52,Regcontabilizados[Identificador],Regcontabilizados[Subcuenta],0)</f>
        <v>0</v>
      </c>
      <c r="T52">
        <f>_xlfn.XLOOKUP(O52,Regcontabilizados[Identificador],Regcontabilizados[Haber],0)</f>
        <v>0</v>
      </c>
      <c r="U52">
        <f>SUMIF(Regcontabilizados[Número pago],PAGOCompbusc!P52,Regcontabilizados[Debe])</f>
        <v>0</v>
      </c>
      <c r="AA52" s="33" t="str">
        <f>IF(J52=0,"",  _xlfn.XLOOKUP(AB52,Regcontabilizados[Identificador],Regcontabilizados[Subcuenta],0))</f>
        <v/>
      </c>
      <c r="AB52" t="str">
        <f>IF(J52=0,"",  _xlfn.XLOOKUP($H$7,BDPROV[ID-Proveedor],BDPROV[NIT/C.C.],0)&amp;$H$9&amp;D52&amp;"-"&amp;11)</f>
        <v/>
      </c>
      <c r="AC52" t="str">
        <f t="shared" si="8"/>
        <v/>
      </c>
      <c r="AD52" t="str">
        <f t="shared" si="9"/>
        <v>En Blanco</v>
      </c>
      <c r="AE52" t="str">
        <f>_xlfn.XLOOKUP($H$7,BDPROV[ID-Proveedor],BDPROV[NIT/C.C.],0)&amp;$H$13&amp;$E$7&amp;"-"&amp;ROW(Z52)-21</f>
        <v>Comp. Egreso-31</v>
      </c>
    </row>
    <row r="53" spans="3:31">
      <c r="C53" s="194"/>
      <c r="D53" s="206" t="str">
        <f t="shared" si="4"/>
        <v/>
      </c>
      <c r="E53" s="142" t="str">
        <f>_xlfn.XLOOKUP(AB53,Regcontabilizados[Identificador],Regcontabilizados[Fecha vencimiento],0)</f>
        <v/>
      </c>
      <c r="F53" s="183" t="str">
        <f>_xlfn.XLOOKUP(AB53,Regcontabilizados[Identificador],Regcontabilizados[Haber],0)</f>
        <v/>
      </c>
      <c r="G53" s="183">
        <f>_xlfn.XLOOKUP(AH54,Regcontabilizados[Identificador],Regcontabilizados[Debe],0)</f>
        <v>0</v>
      </c>
      <c r="H53" s="37">
        <f t="shared" si="5"/>
        <v>0</v>
      </c>
      <c r="I53" s="37"/>
      <c r="J53" s="210">
        <f t="shared" si="6"/>
        <v>0</v>
      </c>
      <c r="K53" s="197"/>
      <c r="O53" t="str">
        <f>_xlfn.XLOOKUP($H$7,BDPROV[ID-Proveedor],BDPROV[NIT/C.C.])&amp;$H$9&amp;N53&amp;"-"&amp;11</f>
        <v>F.C.-11</v>
      </c>
      <c r="P53" t="str">
        <f t="shared" si="11"/>
        <v/>
      </c>
      <c r="Q53" t="str">
        <f>IF(N53="","",    _xlfn.XLOOKUP(P53,Regcontabilizados[Número pago],Regcontabilizados[Estado de pago],"NO PAGADO"))</f>
        <v/>
      </c>
      <c r="R53" s="44">
        <f>_xlfn.XLOOKUP(O53,Regcontabilizados[Identificador],Regcontabilizados[Fecha vencimiento],0)</f>
        <v>0</v>
      </c>
      <c r="S53">
        <f>_xlfn.XLOOKUP(O53,Regcontabilizados[Identificador],Regcontabilizados[Subcuenta],0)</f>
        <v>0</v>
      </c>
      <c r="T53">
        <f>_xlfn.XLOOKUP(O53,Regcontabilizados[Identificador],Regcontabilizados[Haber],0)</f>
        <v>0</v>
      </c>
      <c r="U53">
        <f>SUMIF(Regcontabilizados[Número pago],PAGOCompbusc!P53,Regcontabilizados[Debe])</f>
        <v>0</v>
      </c>
      <c r="AA53" s="33" t="str">
        <f>IF(J53=0,"",  _xlfn.XLOOKUP(AB53,Regcontabilizados[Identificador],Regcontabilizados[Subcuenta],0))</f>
        <v/>
      </c>
      <c r="AB53" t="str">
        <f>IF(J53=0,"",  _xlfn.XLOOKUP($H$7,BDPROV[ID-Proveedor],BDPROV[NIT/C.C.],0)&amp;$H$9&amp;D53&amp;"-"&amp;11)</f>
        <v/>
      </c>
      <c r="AC53" t="str">
        <f t="shared" si="8"/>
        <v/>
      </c>
      <c r="AD53" t="str">
        <f t="shared" si="9"/>
        <v>En Blanco</v>
      </c>
      <c r="AE53" t="str">
        <f>_xlfn.XLOOKUP($H$7,BDPROV[ID-Proveedor],BDPROV[NIT/C.C.],0)&amp;$H$13&amp;$E$7&amp;"-"&amp;ROW(Z53)-21</f>
        <v>Comp. Egreso-32</v>
      </c>
    </row>
    <row r="54" spans="3:31">
      <c r="C54" s="194"/>
      <c r="D54" s="206" t="str">
        <f t="shared" si="4"/>
        <v/>
      </c>
      <c r="E54" s="142" t="str">
        <f>_xlfn.XLOOKUP(AB54,Regcontabilizados[Identificador],Regcontabilizados[Fecha vencimiento],0)</f>
        <v/>
      </c>
      <c r="F54" s="183" t="str">
        <f>_xlfn.XLOOKUP(AB54,Regcontabilizados[Identificador],Regcontabilizados[Haber],0)</f>
        <v/>
      </c>
      <c r="G54" s="183">
        <f>_xlfn.XLOOKUP(AH55,Regcontabilizados[Identificador],Regcontabilizados[Debe],0)</f>
        <v>0</v>
      </c>
      <c r="H54" s="37">
        <f t="shared" si="5"/>
        <v>0</v>
      </c>
      <c r="I54" s="37"/>
      <c r="J54" s="210">
        <f t="shared" si="6"/>
        <v>0</v>
      </c>
      <c r="K54" s="197"/>
      <c r="O54" t="str">
        <f>_xlfn.XLOOKUP($H$7,BDPROV[ID-Proveedor],BDPROV[NIT/C.C.])&amp;$H$9&amp;N54&amp;"-"&amp;11</f>
        <v>F.C.-11</v>
      </c>
      <c r="P54" t="str">
        <f t="shared" si="11"/>
        <v/>
      </c>
      <c r="Q54" t="str">
        <f>IF(N54="","",    _xlfn.XLOOKUP(P54,Regcontabilizados[Número pago],Regcontabilizados[Estado de pago],"NO PAGADO"))</f>
        <v/>
      </c>
      <c r="R54" s="44">
        <f>_xlfn.XLOOKUP(O54,Regcontabilizados[Identificador],Regcontabilizados[Fecha vencimiento],0)</f>
        <v>0</v>
      </c>
      <c r="S54">
        <f>_xlfn.XLOOKUP(O54,Regcontabilizados[Identificador],Regcontabilizados[Subcuenta],0)</f>
        <v>0</v>
      </c>
      <c r="T54">
        <f>_xlfn.XLOOKUP(O54,Regcontabilizados[Identificador],Regcontabilizados[Haber],0)</f>
        <v>0</v>
      </c>
      <c r="U54">
        <f>SUMIF(Regcontabilizados[Número pago],PAGOCompbusc!P54,Regcontabilizados[Debe])</f>
        <v>0</v>
      </c>
      <c r="AA54" s="33" t="str">
        <f>IF(J54=0,"",  _xlfn.XLOOKUP(AB54,Regcontabilizados[Identificador],Regcontabilizados[Subcuenta],0))</f>
        <v/>
      </c>
      <c r="AB54" t="str">
        <f>IF(J54=0,"",  _xlfn.XLOOKUP($H$7,BDPROV[ID-Proveedor],BDPROV[NIT/C.C.],0)&amp;$H$9&amp;D54&amp;"-"&amp;11)</f>
        <v/>
      </c>
      <c r="AC54" t="str">
        <f t="shared" si="8"/>
        <v/>
      </c>
      <c r="AD54" t="str">
        <f t="shared" si="9"/>
        <v>En Blanco</v>
      </c>
      <c r="AE54" t="str">
        <f>_xlfn.XLOOKUP($H$7,BDPROV[ID-Proveedor],BDPROV[NIT/C.C.],0)&amp;$H$13&amp;$E$7&amp;"-"&amp;ROW(Z54)-21</f>
        <v>Comp. Egreso-33</v>
      </c>
    </row>
    <row r="55" spans="3:31">
      <c r="C55" s="194"/>
      <c r="D55" s="206" t="str">
        <f t="shared" si="4"/>
        <v/>
      </c>
      <c r="E55" s="142" t="str">
        <f>_xlfn.XLOOKUP(AB55,Regcontabilizados[Identificador],Regcontabilizados[Fecha vencimiento],0)</f>
        <v/>
      </c>
      <c r="F55" s="183" t="str">
        <f>_xlfn.XLOOKUP(AB55,Regcontabilizados[Identificador],Regcontabilizados[Haber],0)</f>
        <v/>
      </c>
      <c r="G55" s="183">
        <f>_xlfn.XLOOKUP(AH56,Regcontabilizados[Identificador],Regcontabilizados[Debe],0)</f>
        <v>0</v>
      </c>
      <c r="H55" s="37">
        <f t="shared" si="5"/>
        <v>0</v>
      </c>
      <c r="I55" s="37"/>
      <c r="J55" s="210">
        <f t="shared" si="6"/>
        <v>0</v>
      </c>
      <c r="K55" s="197"/>
      <c r="O55" t="str">
        <f>_xlfn.XLOOKUP($H$7,BDPROV[ID-Proveedor],BDPROV[NIT/C.C.])&amp;$H$9&amp;N55&amp;"-"&amp;11</f>
        <v>F.C.-11</v>
      </c>
      <c r="P55" t="str">
        <f t="shared" si="11"/>
        <v/>
      </c>
      <c r="Q55" t="str">
        <f>IF(N55="","",    _xlfn.XLOOKUP(P55,Regcontabilizados[Número pago],Regcontabilizados[Estado de pago],"NO PAGADO"))</f>
        <v/>
      </c>
      <c r="R55" s="44">
        <f>_xlfn.XLOOKUP(O55,Regcontabilizados[Identificador],Regcontabilizados[Fecha vencimiento],0)</f>
        <v>0</v>
      </c>
      <c r="S55">
        <f>_xlfn.XLOOKUP(O55,Regcontabilizados[Identificador],Regcontabilizados[Subcuenta],0)</f>
        <v>0</v>
      </c>
      <c r="T55">
        <f>_xlfn.XLOOKUP(O55,Regcontabilizados[Identificador],Regcontabilizados[Haber],0)</f>
        <v>0</v>
      </c>
      <c r="U55">
        <f>SUMIF(Regcontabilizados[Número pago],PAGOCompbusc!P55,Regcontabilizados[Debe])</f>
        <v>0</v>
      </c>
      <c r="AA55" s="33" t="str">
        <f>IF(J55=0,"",  _xlfn.XLOOKUP(AB55,Regcontabilizados[Identificador],Regcontabilizados[Subcuenta],0))</f>
        <v/>
      </c>
      <c r="AB55" t="str">
        <f>IF(J55=0,"",  _xlfn.XLOOKUP($H$7,BDPROV[ID-Proveedor],BDPROV[NIT/C.C.],0)&amp;$H$9&amp;D55&amp;"-"&amp;11)</f>
        <v/>
      </c>
      <c r="AC55" t="str">
        <f t="shared" si="8"/>
        <v/>
      </c>
      <c r="AD55" t="str">
        <f t="shared" si="9"/>
        <v>En Blanco</v>
      </c>
      <c r="AE55" t="str">
        <f>_xlfn.XLOOKUP($H$7,BDPROV[ID-Proveedor],BDPROV[NIT/C.C.],0)&amp;$H$13&amp;$E$7&amp;"-"&amp;ROW(Z55)-21</f>
        <v>Comp. Egreso-34</v>
      </c>
    </row>
    <row r="56" spans="3:31">
      <c r="C56" s="194"/>
      <c r="D56" s="206" t="str">
        <f t="shared" si="4"/>
        <v/>
      </c>
      <c r="E56" s="142" t="str">
        <f>_xlfn.XLOOKUP(AB56,Regcontabilizados[Identificador],Regcontabilizados[Fecha vencimiento],0)</f>
        <v/>
      </c>
      <c r="F56" s="183" t="str">
        <f>_xlfn.XLOOKUP(AB56,Regcontabilizados[Identificador],Regcontabilizados[Haber],0)</f>
        <v/>
      </c>
      <c r="G56" s="183">
        <f>_xlfn.XLOOKUP(AH57,Regcontabilizados[Identificador],Regcontabilizados[Debe],0)</f>
        <v>0</v>
      </c>
      <c r="H56" s="37">
        <f t="shared" si="5"/>
        <v>0</v>
      </c>
      <c r="I56" s="37"/>
      <c r="J56" s="210">
        <f t="shared" si="6"/>
        <v>0</v>
      </c>
      <c r="K56" s="197"/>
      <c r="O56" t="str">
        <f>_xlfn.XLOOKUP($H$7,BDPROV[ID-Proveedor],BDPROV[NIT/C.C.])&amp;$H$9&amp;N56&amp;"-"&amp;11</f>
        <v>F.C.-11</v>
      </c>
      <c r="P56" t="str">
        <f t="shared" si="11"/>
        <v/>
      </c>
      <c r="Q56" t="str">
        <f>IF(N56="","",    _xlfn.XLOOKUP(P56,Regcontabilizados[Número pago],Regcontabilizados[Estado de pago],"NO PAGADO"))</f>
        <v/>
      </c>
      <c r="R56" s="44">
        <f>_xlfn.XLOOKUP(O56,Regcontabilizados[Identificador],Regcontabilizados[Fecha vencimiento],0)</f>
        <v>0</v>
      </c>
      <c r="S56">
        <f>_xlfn.XLOOKUP(O56,Regcontabilizados[Identificador],Regcontabilizados[Subcuenta],0)</f>
        <v>0</v>
      </c>
      <c r="T56">
        <f>_xlfn.XLOOKUP(O56,Regcontabilizados[Identificador],Regcontabilizados[Haber],0)</f>
        <v>0</v>
      </c>
      <c r="U56">
        <f>SUMIF(Regcontabilizados[Número pago],PAGOCompbusc!P56,Regcontabilizados[Debe])</f>
        <v>0</v>
      </c>
      <c r="AA56" s="33" t="str">
        <f>IF(J56=0,"",  _xlfn.XLOOKUP(AB56,Regcontabilizados[Identificador],Regcontabilizados[Subcuenta],0))</f>
        <v/>
      </c>
      <c r="AB56" t="str">
        <f>IF(J56=0,"",  _xlfn.XLOOKUP($H$7,BDPROV[ID-Proveedor],BDPROV[NIT/C.C.],0)&amp;$H$9&amp;D56&amp;"-"&amp;11)</f>
        <v/>
      </c>
      <c r="AC56" t="str">
        <f t="shared" si="8"/>
        <v/>
      </c>
      <c r="AD56" t="str">
        <f t="shared" si="9"/>
        <v>En Blanco</v>
      </c>
      <c r="AE56" t="str">
        <f>_xlfn.XLOOKUP($H$7,BDPROV[ID-Proveedor],BDPROV[NIT/C.C.],0)&amp;$H$13&amp;$E$7&amp;"-"&amp;ROW(Z56)-21</f>
        <v>Comp. Egreso-35</v>
      </c>
    </row>
    <row r="57" spans="3:31">
      <c r="C57" s="194"/>
      <c r="D57" s="206" t="str">
        <f t="shared" si="4"/>
        <v/>
      </c>
      <c r="E57" s="142" t="str">
        <f>_xlfn.XLOOKUP(AB57,Regcontabilizados[Identificador],Regcontabilizados[Fecha vencimiento],0)</f>
        <v/>
      </c>
      <c r="F57" s="183" t="str">
        <f>_xlfn.XLOOKUP(AB57,Regcontabilizados[Identificador],Regcontabilizados[Haber],0)</f>
        <v/>
      </c>
      <c r="G57" s="183">
        <f>_xlfn.XLOOKUP(AH58,Regcontabilizados[Identificador],Regcontabilizados[Debe],0)</f>
        <v>0</v>
      </c>
      <c r="H57" s="37">
        <f t="shared" si="5"/>
        <v>0</v>
      </c>
      <c r="I57" s="37"/>
      <c r="J57" s="210">
        <f t="shared" si="6"/>
        <v>0</v>
      </c>
      <c r="K57" s="197"/>
      <c r="O57" t="str">
        <f>_xlfn.XLOOKUP($H$7,BDPROV[ID-Proveedor],BDPROV[NIT/C.C.])&amp;$H$9&amp;N57&amp;"-"&amp;11</f>
        <v>F.C.-11</v>
      </c>
      <c r="P57" t="str">
        <f t="shared" si="11"/>
        <v/>
      </c>
      <c r="Q57" t="str">
        <f>IF(N57="","",    _xlfn.XLOOKUP(P57,Regcontabilizados[Número pago],Regcontabilizados[Estado de pago],"NO PAGADO"))</f>
        <v/>
      </c>
      <c r="R57" s="44">
        <f>_xlfn.XLOOKUP(O57,Regcontabilizados[Identificador],Regcontabilizados[Fecha vencimiento],0)</f>
        <v>0</v>
      </c>
      <c r="S57">
        <f>_xlfn.XLOOKUP(O57,Regcontabilizados[Identificador],Regcontabilizados[Subcuenta],0)</f>
        <v>0</v>
      </c>
      <c r="T57">
        <f>_xlfn.XLOOKUP(O57,Regcontabilizados[Identificador],Regcontabilizados[Haber],0)</f>
        <v>0</v>
      </c>
      <c r="U57">
        <f>SUMIF(Regcontabilizados[Número pago],PAGOCompbusc!P57,Regcontabilizados[Debe])</f>
        <v>0</v>
      </c>
      <c r="AA57" s="33" t="str">
        <f>IF(J57=0,"",  _xlfn.XLOOKUP(AB57,Regcontabilizados[Identificador],Regcontabilizados[Subcuenta],0))</f>
        <v/>
      </c>
      <c r="AB57" t="str">
        <f>IF(J57=0,"",  _xlfn.XLOOKUP($H$7,BDPROV[ID-Proveedor],BDPROV[NIT/C.C.],0)&amp;$H$9&amp;D57&amp;"-"&amp;11)</f>
        <v/>
      </c>
      <c r="AC57" t="str">
        <f t="shared" si="8"/>
        <v/>
      </c>
      <c r="AD57" t="str">
        <f t="shared" si="9"/>
        <v>En Blanco</v>
      </c>
      <c r="AE57" t="str">
        <f>_xlfn.XLOOKUP($H$7,BDPROV[ID-Proveedor],BDPROV[NIT/C.C.],0)&amp;$H$13&amp;$E$7&amp;"-"&amp;ROW(Z57)-21</f>
        <v>Comp. Egreso-36</v>
      </c>
    </row>
    <row r="58" spans="3:31">
      <c r="C58" s="194"/>
      <c r="D58" s="206" t="str">
        <f t="shared" si="4"/>
        <v/>
      </c>
      <c r="E58" s="142" t="str">
        <f>_xlfn.XLOOKUP(AB58,Regcontabilizados[Identificador],Regcontabilizados[Fecha vencimiento],0)</f>
        <v/>
      </c>
      <c r="F58" s="183" t="str">
        <f>_xlfn.XLOOKUP(AB58,Regcontabilizados[Identificador],Regcontabilizados[Haber],0)</f>
        <v/>
      </c>
      <c r="G58" s="183">
        <f>_xlfn.XLOOKUP(AH59,Regcontabilizados[Identificador],Regcontabilizados[Debe],0)</f>
        <v>0</v>
      </c>
      <c r="H58" s="37">
        <f t="shared" si="5"/>
        <v>0</v>
      </c>
      <c r="I58" s="37"/>
      <c r="J58" s="210">
        <f t="shared" si="6"/>
        <v>0</v>
      </c>
      <c r="K58" s="197"/>
      <c r="O58" t="str">
        <f>_xlfn.XLOOKUP($H$7,BDPROV[ID-Proveedor],BDPROV[NIT/C.C.])&amp;$H$9&amp;N58&amp;"-"&amp;11</f>
        <v>F.C.-11</v>
      </c>
      <c r="P58" t="str">
        <f t="shared" si="11"/>
        <v/>
      </c>
      <c r="Q58" t="str">
        <f>IF(N58="","",    _xlfn.XLOOKUP(P58,Regcontabilizados[Número pago],Regcontabilizados[Estado de pago],"NO PAGADO"))</f>
        <v/>
      </c>
      <c r="R58" s="44">
        <f>_xlfn.XLOOKUP(O58,Regcontabilizados[Identificador],Regcontabilizados[Fecha vencimiento],0)</f>
        <v>0</v>
      </c>
      <c r="S58">
        <f>_xlfn.XLOOKUP(O58,Regcontabilizados[Identificador],Regcontabilizados[Subcuenta],0)</f>
        <v>0</v>
      </c>
      <c r="T58">
        <f>_xlfn.XLOOKUP(O58,Regcontabilizados[Identificador],Regcontabilizados[Haber],0)</f>
        <v>0</v>
      </c>
      <c r="U58">
        <f>SUMIF(Regcontabilizados[Número pago],PAGOCompbusc!P58,Regcontabilizados[Debe])</f>
        <v>0</v>
      </c>
      <c r="AA58" s="33" t="str">
        <f>IF(J58=0,"",  _xlfn.XLOOKUP(AB58,Regcontabilizados[Identificador],Regcontabilizados[Subcuenta],0))</f>
        <v/>
      </c>
      <c r="AB58" t="str">
        <f>IF(J58=0,"",  _xlfn.XLOOKUP($H$7,BDPROV[ID-Proveedor],BDPROV[NIT/C.C.],0)&amp;$H$9&amp;D58&amp;"-"&amp;11)</f>
        <v/>
      </c>
      <c r="AC58" t="str">
        <f t="shared" si="8"/>
        <v/>
      </c>
      <c r="AD58" t="str">
        <f t="shared" si="9"/>
        <v>En Blanco</v>
      </c>
      <c r="AE58" t="str">
        <f>_xlfn.XLOOKUP($H$7,BDPROV[ID-Proveedor],BDPROV[NIT/C.C.],0)&amp;$H$13&amp;$E$7&amp;"-"&amp;ROW(Z58)-21</f>
        <v>Comp. Egreso-37</v>
      </c>
    </row>
    <row r="59" spans="3:31">
      <c r="C59" s="194"/>
      <c r="D59" s="206" t="str">
        <f t="shared" si="4"/>
        <v/>
      </c>
      <c r="E59" s="142" t="str">
        <f>_xlfn.XLOOKUP(AB59,Regcontabilizados[Identificador],Regcontabilizados[Fecha vencimiento],0)</f>
        <v/>
      </c>
      <c r="F59" s="183" t="str">
        <f>_xlfn.XLOOKUP(AB59,Regcontabilizados[Identificador],Regcontabilizados[Haber],0)</f>
        <v/>
      </c>
      <c r="G59" s="183">
        <f>_xlfn.XLOOKUP(AH60,Regcontabilizados[Identificador],Regcontabilizados[Debe],0)</f>
        <v>0</v>
      </c>
      <c r="H59" s="37">
        <f t="shared" si="5"/>
        <v>0</v>
      </c>
      <c r="I59" s="37"/>
      <c r="J59" s="210">
        <f t="shared" si="6"/>
        <v>0</v>
      </c>
      <c r="K59" s="197"/>
      <c r="O59" t="str">
        <f>_xlfn.XLOOKUP($H$7,BDPROV[ID-Proveedor],BDPROV[NIT/C.C.])&amp;$H$9&amp;N59&amp;"-"&amp;11</f>
        <v>F.C.-11</v>
      </c>
      <c r="P59" t="str">
        <f t="shared" si="11"/>
        <v/>
      </c>
      <c r="Q59" t="str">
        <f>IF(N59="","",    _xlfn.XLOOKUP(P59,Regcontabilizados[Número pago],Regcontabilizados[Estado de pago],"NO PAGADO"))</f>
        <v/>
      </c>
      <c r="R59" s="44">
        <f>_xlfn.XLOOKUP(O59,Regcontabilizados[Identificador],Regcontabilizados[Fecha vencimiento],0)</f>
        <v>0</v>
      </c>
      <c r="S59">
        <f>_xlfn.XLOOKUP(O59,Regcontabilizados[Identificador],Regcontabilizados[Subcuenta],0)</f>
        <v>0</v>
      </c>
      <c r="T59">
        <f>_xlfn.XLOOKUP(O59,Regcontabilizados[Identificador],Regcontabilizados[Haber],0)</f>
        <v>0</v>
      </c>
      <c r="U59">
        <f>SUMIF(Regcontabilizados[Número pago],PAGOCompbusc!P59,Regcontabilizados[Debe])</f>
        <v>0</v>
      </c>
      <c r="AA59" s="33" t="str">
        <f>IF(J59=0,"",  _xlfn.XLOOKUP(AB59,Regcontabilizados[Identificador],Regcontabilizados[Subcuenta],0))</f>
        <v/>
      </c>
      <c r="AB59" t="str">
        <f>IF(J59=0,"",  _xlfn.XLOOKUP($H$7,BDPROV[ID-Proveedor],BDPROV[NIT/C.C.],0)&amp;$H$9&amp;D59&amp;"-"&amp;11)</f>
        <v/>
      </c>
      <c r="AC59" t="str">
        <f t="shared" si="8"/>
        <v/>
      </c>
      <c r="AD59" t="str">
        <f t="shared" si="9"/>
        <v>En Blanco</v>
      </c>
      <c r="AE59" t="str">
        <f>_xlfn.XLOOKUP($H$7,BDPROV[ID-Proveedor],BDPROV[NIT/C.C.],0)&amp;$H$13&amp;$E$7&amp;"-"&amp;ROW(Z59)-21</f>
        <v>Comp. Egreso-38</v>
      </c>
    </row>
    <row r="60" spans="3:31">
      <c r="C60" s="194"/>
      <c r="D60" s="206" t="str">
        <f t="shared" si="4"/>
        <v/>
      </c>
      <c r="E60" s="142" t="str">
        <f>_xlfn.XLOOKUP(AB60,Regcontabilizados[Identificador],Regcontabilizados[Fecha vencimiento],0)</f>
        <v/>
      </c>
      <c r="F60" s="183" t="str">
        <f>_xlfn.XLOOKUP(AB60,Regcontabilizados[Identificador],Regcontabilizados[Haber],0)</f>
        <v/>
      </c>
      <c r="G60" s="183">
        <f>_xlfn.XLOOKUP(AH61,Regcontabilizados[Identificador],Regcontabilizados[Debe],0)</f>
        <v>0</v>
      </c>
      <c r="H60" s="37">
        <f t="shared" si="5"/>
        <v>0</v>
      </c>
      <c r="I60" s="37"/>
      <c r="J60" s="210">
        <f t="shared" si="6"/>
        <v>0</v>
      </c>
      <c r="K60" s="197"/>
      <c r="O60" t="str">
        <f>_xlfn.XLOOKUP($H$7,BDPROV[ID-Proveedor],BDPROV[NIT/C.C.])&amp;$H$9&amp;N60&amp;"-"&amp;11</f>
        <v>F.C.-11</v>
      </c>
      <c r="P60" t="str">
        <f t="shared" si="11"/>
        <v/>
      </c>
      <c r="Q60" t="str">
        <f>IF(N60="","",    _xlfn.XLOOKUP(P60,Regcontabilizados[Número pago],Regcontabilizados[Estado de pago],"NO PAGADO"))</f>
        <v/>
      </c>
      <c r="R60" s="44">
        <f>_xlfn.XLOOKUP(O60,Regcontabilizados[Identificador],Regcontabilizados[Fecha vencimiento],0)</f>
        <v>0</v>
      </c>
      <c r="S60">
        <f>_xlfn.XLOOKUP(O60,Regcontabilizados[Identificador],Regcontabilizados[Subcuenta],0)</f>
        <v>0</v>
      </c>
      <c r="T60">
        <f>_xlfn.XLOOKUP(O60,Regcontabilizados[Identificador],Regcontabilizados[Haber],0)</f>
        <v>0</v>
      </c>
      <c r="U60">
        <f>SUMIF(Regcontabilizados[Número pago],PAGOCompbusc!P60,Regcontabilizados[Debe])</f>
        <v>0</v>
      </c>
      <c r="AA60" s="33" t="str">
        <f>IF(J60=0,"",  _xlfn.XLOOKUP(AB60,Regcontabilizados[Identificador],Regcontabilizados[Subcuenta],0))</f>
        <v/>
      </c>
      <c r="AB60" t="str">
        <f>IF(J60=0,"",  _xlfn.XLOOKUP($H$7,BDPROV[ID-Proveedor],BDPROV[NIT/C.C.],0)&amp;$H$9&amp;D60&amp;"-"&amp;11)</f>
        <v/>
      </c>
      <c r="AC60" t="str">
        <f t="shared" si="8"/>
        <v/>
      </c>
      <c r="AD60" t="str">
        <f t="shared" si="9"/>
        <v>En Blanco</v>
      </c>
      <c r="AE60" t="str">
        <f>_xlfn.XLOOKUP($H$7,BDPROV[ID-Proveedor],BDPROV[NIT/C.C.],0)&amp;$H$13&amp;$E$7&amp;"-"&amp;ROW(Z60)-21</f>
        <v>Comp. Egreso-39</v>
      </c>
    </row>
    <row r="61" spans="3:31">
      <c r="C61" s="194"/>
      <c r="D61" s="206" t="str">
        <f t="shared" si="4"/>
        <v/>
      </c>
      <c r="E61" s="142" t="str">
        <f>_xlfn.XLOOKUP(AB61,Regcontabilizados[Identificador],Regcontabilizados[Fecha vencimiento],0)</f>
        <v/>
      </c>
      <c r="F61" s="183" t="str">
        <f>_xlfn.XLOOKUP(AB61,Regcontabilizados[Identificador],Regcontabilizados[Haber],0)</f>
        <v/>
      </c>
      <c r="G61" s="183">
        <f>_xlfn.XLOOKUP(AH62,Regcontabilizados[Identificador],Regcontabilizados[Debe],0)</f>
        <v>0</v>
      </c>
      <c r="H61" s="37">
        <f t="shared" si="5"/>
        <v>0</v>
      </c>
      <c r="I61" s="37"/>
      <c r="J61" s="210">
        <f t="shared" si="6"/>
        <v>0</v>
      </c>
      <c r="K61" s="197"/>
      <c r="O61" t="str">
        <f>_xlfn.XLOOKUP($H$7,BDPROV[ID-Proveedor],BDPROV[NIT/C.C.])&amp;$H$9&amp;N61&amp;"-"&amp;11</f>
        <v>F.C.-11</v>
      </c>
      <c r="P61" t="str">
        <f t="shared" si="11"/>
        <v/>
      </c>
      <c r="Q61" t="str">
        <f>IF(N61="","",    _xlfn.XLOOKUP(P61,Regcontabilizados[Número pago],Regcontabilizados[Estado de pago],"NO PAGADO"))</f>
        <v/>
      </c>
      <c r="R61" s="44">
        <f>_xlfn.XLOOKUP(O61,Regcontabilizados[Identificador],Regcontabilizados[Fecha vencimiento],0)</f>
        <v>0</v>
      </c>
      <c r="S61">
        <f>_xlfn.XLOOKUP(O61,Regcontabilizados[Identificador],Regcontabilizados[Subcuenta],0)</f>
        <v>0</v>
      </c>
      <c r="T61">
        <f>_xlfn.XLOOKUP(O61,Regcontabilizados[Identificador],Regcontabilizados[Haber],0)</f>
        <v>0</v>
      </c>
      <c r="U61">
        <f>SUMIF(Regcontabilizados[Número pago],PAGOCompbusc!P61,Regcontabilizados[Debe])</f>
        <v>0</v>
      </c>
      <c r="AA61" s="33" t="str">
        <f>IF(J61=0,"",  _xlfn.XLOOKUP(AB61,Regcontabilizados[Identificador],Regcontabilizados[Subcuenta],0))</f>
        <v/>
      </c>
      <c r="AB61" t="str">
        <f>IF(J61=0,"",  _xlfn.XLOOKUP($H$7,BDPROV[ID-Proveedor],BDPROV[NIT/C.C.],0)&amp;$H$9&amp;D61&amp;"-"&amp;11)</f>
        <v/>
      </c>
      <c r="AC61" t="str">
        <f t="shared" si="8"/>
        <v/>
      </c>
      <c r="AD61" t="str">
        <f t="shared" si="9"/>
        <v>En Blanco</v>
      </c>
      <c r="AE61" t="str">
        <f>_xlfn.XLOOKUP($H$7,BDPROV[ID-Proveedor],BDPROV[NIT/C.C.],0)&amp;$H$13&amp;$E$7&amp;"-"&amp;ROW(Z61)-21</f>
        <v>Comp. Egreso-40</v>
      </c>
    </row>
    <row r="62" spans="3:31">
      <c r="C62" s="194"/>
      <c r="D62" s="206" t="str">
        <f t="shared" si="4"/>
        <v/>
      </c>
      <c r="E62" s="142" t="str">
        <f>_xlfn.XLOOKUP(AB62,Regcontabilizados[Identificador],Regcontabilizados[Fecha vencimiento],0)</f>
        <v/>
      </c>
      <c r="F62" s="183" t="str">
        <f>_xlfn.XLOOKUP(AB62,Regcontabilizados[Identificador],Regcontabilizados[Haber],0)</f>
        <v/>
      </c>
      <c r="G62" s="183">
        <f>_xlfn.XLOOKUP(AH63,Regcontabilizados[Identificador],Regcontabilizados[Debe],0)</f>
        <v>0</v>
      </c>
      <c r="H62" s="37">
        <f t="shared" si="5"/>
        <v>0</v>
      </c>
      <c r="I62" s="37"/>
      <c r="J62" s="210">
        <f t="shared" si="6"/>
        <v>0</v>
      </c>
      <c r="K62" s="197"/>
      <c r="O62" t="str">
        <f>_xlfn.XLOOKUP($H$7,BDPROV[ID-Proveedor],BDPROV[NIT/C.C.])&amp;$H$9&amp;N62&amp;"-"&amp;11</f>
        <v>F.C.-11</v>
      </c>
      <c r="P62" t="str">
        <f t="shared" si="11"/>
        <v/>
      </c>
      <c r="Q62" t="str">
        <f>IF(N62="","",    _xlfn.XLOOKUP(P62,Regcontabilizados[Número pago],Regcontabilizados[Estado de pago],"NO PAGADO"))</f>
        <v/>
      </c>
      <c r="R62" s="44">
        <f>_xlfn.XLOOKUP(O62,Regcontabilizados[Identificador],Regcontabilizados[Fecha vencimiento],0)</f>
        <v>0</v>
      </c>
      <c r="S62">
        <f>_xlfn.XLOOKUP(O62,Regcontabilizados[Identificador],Regcontabilizados[Subcuenta],0)</f>
        <v>0</v>
      </c>
      <c r="T62">
        <f>_xlfn.XLOOKUP(O62,Regcontabilizados[Identificador],Regcontabilizados[Haber],0)</f>
        <v>0</v>
      </c>
      <c r="U62">
        <f>SUMIF(Regcontabilizados[Número pago],PAGOCompbusc!P62,Regcontabilizados[Debe])</f>
        <v>0</v>
      </c>
      <c r="AA62" s="33" t="str">
        <f>IF(J62=0,"",  _xlfn.XLOOKUP(AB62,Regcontabilizados[Identificador],Regcontabilizados[Subcuenta],0))</f>
        <v/>
      </c>
      <c r="AB62" t="str">
        <f>IF(J62=0,"",  _xlfn.XLOOKUP($H$7,BDPROV[ID-Proveedor],BDPROV[NIT/C.C.],0)&amp;$H$9&amp;D62&amp;"-"&amp;11)</f>
        <v/>
      </c>
      <c r="AC62" t="str">
        <f t="shared" si="8"/>
        <v/>
      </c>
      <c r="AD62" t="str">
        <f t="shared" si="9"/>
        <v>En Blanco</v>
      </c>
      <c r="AE62" t="str">
        <f>_xlfn.XLOOKUP($H$7,BDPROV[ID-Proveedor],BDPROV[NIT/C.C.],0)&amp;$H$13&amp;$E$7&amp;"-"&amp;ROW(Z62)-21</f>
        <v>Comp. Egreso-41</v>
      </c>
    </row>
    <row r="63" spans="3:31">
      <c r="C63" s="194"/>
      <c r="D63" s="206" t="str">
        <f t="shared" si="4"/>
        <v/>
      </c>
      <c r="E63" s="142" t="str">
        <f>_xlfn.XLOOKUP(AB63,Regcontabilizados[Identificador],Regcontabilizados[Fecha vencimiento],0)</f>
        <v/>
      </c>
      <c r="F63" s="183" t="str">
        <f>_xlfn.XLOOKUP(AB63,Regcontabilizados[Identificador],Regcontabilizados[Haber],0)</f>
        <v/>
      </c>
      <c r="G63" s="183">
        <f>_xlfn.XLOOKUP(AH64,Regcontabilizados[Identificador],Regcontabilizados[Debe],0)</f>
        <v>0</v>
      </c>
      <c r="H63" s="37">
        <f t="shared" si="5"/>
        <v>0</v>
      </c>
      <c r="I63" s="37"/>
      <c r="J63" s="210">
        <f t="shared" si="6"/>
        <v>0</v>
      </c>
      <c r="K63" s="197"/>
      <c r="O63" t="str">
        <f>_xlfn.XLOOKUP($H$7,BDPROV[ID-Proveedor],BDPROV[NIT/C.C.])&amp;$H$9&amp;N63&amp;"-"&amp;11</f>
        <v>F.C.-11</v>
      </c>
      <c r="P63" t="str">
        <f t="shared" si="11"/>
        <v/>
      </c>
      <c r="Q63" t="str">
        <f>IF(N63="","",    _xlfn.XLOOKUP(P63,Regcontabilizados[Número pago],Regcontabilizados[Estado de pago],"NO PAGADO"))</f>
        <v/>
      </c>
      <c r="R63" s="44">
        <f>_xlfn.XLOOKUP(O63,Regcontabilizados[Identificador],Regcontabilizados[Fecha vencimiento],0)</f>
        <v>0</v>
      </c>
      <c r="S63">
        <f>_xlfn.XLOOKUP(O63,Regcontabilizados[Identificador],Regcontabilizados[Subcuenta],0)</f>
        <v>0</v>
      </c>
      <c r="T63">
        <f>_xlfn.XLOOKUP(O63,Regcontabilizados[Identificador],Regcontabilizados[Haber],0)</f>
        <v>0</v>
      </c>
      <c r="U63">
        <f>SUMIF(Regcontabilizados[Número pago],PAGOCompbusc!P63,Regcontabilizados[Debe])</f>
        <v>0</v>
      </c>
      <c r="AA63" s="33" t="str">
        <f>IF(J63=0,"",  _xlfn.XLOOKUP(AB63,Regcontabilizados[Identificador],Regcontabilizados[Subcuenta],0))</f>
        <v/>
      </c>
      <c r="AB63" t="str">
        <f>IF(J63=0,"",  _xlfn.XLOOKUP($H$7,BDPROV[ID-Proveedor],BDPROV[NIT/C.C.],0)&amp;$H$9&amp;D63&amp;"-"&amp;11)</f>
        <v/>
      </c>
      <c r="AC63" t="str">
        <f t="shared" si="8"/>
        <v/>
      </c>
      <c r="AD63" t="str">
        <f t="shared" si="9"/>
        <v>En Blanco</v>
      </c>
      <c r="AE63" t="str">
        <f>_xlfn.XLOOKUP($H$7,BDPROV[ID-Proveedor],BDPROV[NIT/C.C.],0)&amp;$H$13&amp;$E$7&amp;"-"&amp;ROW(Z63)-21</f>
        <v>Comp. Egreso-42</v>
      </c>
    </row>
    <row r="64" spans="3:31">
      <c r="C64" s="194"/>
      <c r="D64" s="206" t="str">
        <f t="shared" si="4"/>
        <v/>
      </c>
      <c r="E64" s="142" t="str">
        <f>_xlfn.XLOOKUP(AB64,Regcontabilizados[Identificador],Regcontabilizados[Fecha vencimiento],0)</f>
        <v/>
      </c>
      <c r="F64" s="183" t="str">
        <f>_xlfn.XLOOKUP(AB64,Regcontabilizados[Identificador],Regcontabilizados[Haber],0)</f>
        <v/>
      </c>
      <c r="G64" s="183">
        <f>_xlfn.XLOOKUP(AH65,Regcontabilizados[Identificador],Regcontabilizados[Debe],0)</f>
        <v>0</v>
      </c>
      <c r="H64" s="37">
        <f t="shared" si="5"/>
        <v>0</v>
      </c>
      <c r="I64" s="37"/>
      <c r="J64" s="210">
        <f t="shared" si="6"/>
        <v>0</v>
      </c>
      <c r="K64" s="197"/>
      <c r="O64" t="str">
        <f>_xlfn.XLOOKUP($H$7,BDPROV[ID-Proveedor],BDPROV[NIT/C.C.])&amp;$H$9&amp;N64&amp;"-"&amp;11</f>
        <v>F.C.-11</v>
      </c>
      <c r="P64" t="str">
        <f t="shared" si="11"/>
        <v/>
      </c>
      <c r="Q64" t="str">
        <f>IF(N64="","",    _xlfn.XLOOKUP(P64,Regcontabilizados[Número pago],Regcontabilizados[Estado de pago],"NO PAGADO"))</f>
        <v/>
      </c>
      <c r="R64" s="44">
        <f>_xlfn.XLOOKUP(O64,Regcontabilizados[Identificador],Regcontabilizados[Fecha vencimiento],0)</f>
        <v>0</v>
      </c>
      <c r="S64">
        <f>_xlfn.XLOOKUP(O64,Regcontabilizados[Identificador],Regcontabilizados[Subcuenta],0)</f>
        <v>0</v>
      </c>
      <c r="T64">
        <f>_xlfn.XLOOKUP(O64,Regcontabilizados[Identificador],Regcontabilizados[Haber],0)</f>
        <v>0</v>
      </c>
      <c r="U64">
        <f>SUMIF(Regcontabilizados[Número pago],PAGOCompbusc!P64,Regcontabilizados[Debe])</f>
        <v>0</v>
      </c>
      <c r="AA64" s="33" t="str">
        <f>IF(J64=0,"",  _xlfn.XLOOKUP(AB64,Regcontabilizados[Identificador],Regcontabilizados[Subcuenta],0))</f>
        <v/>
      </c>
      <c r="AB64" t="str">
        <f>IF(J64=0,"",  _xlfn.XLOOKUP($H$7,BDPROV[ID-Proveedor],BDPROV[NIT/C.C.],0)&amp;$H$9&amp;D64&amp;"-"&amp;11)</f>
        <v/>
      </c>
      <c r="AC64" t="str">
        <f t="shared" si="8"/>
        <v/>
      </c>
      <c r="AD64" t="str">
        <f t="shared" si="9"/>
        <v>En Blanco</v>
      </c>
      <c r="AE64" t="str">
        <f>_xlfn.XLOOKUP($H$7,BDPROV[ID-Proveedor],BDPROV[NIT/C.C.],0)&amp;$H$13&amp;$E$7&amp;"-"&amp;ROW(Z64)-21</f>
        <v>Comp. Egreso-43</v>
      </c>
    </row>
    <row r="65" spans="3:31">
      <c r="C65" s="194"/>
      <c r="D65" s="206" t="str">
        <f t="shared" si="4"/>
        <v/>
      </c>
      <c r="E65" s="142" t="str">
        <f>_xlfn.XLOOKUP(AB65,Regcontabilizados[Identificador],Regcontabilizados[Fecha vencimiento],0)</f>
        <v/>
      </c>
      <c r="F65" s="183" t="str">
        <f>_xlfn.XLOOKUP(AB65,Regcontabilizados[Identificador],Regcontabilizados[Haber],0)</f>
        <v/>
      </c>
      <c r="G65" s="183">
        <f>_xlfn.XLOOKUP(AH66,Regcontabilizados[Identificador],Regcontabilizados[Debe],0)</f>
        <v>0</v>
      </c>
      <c r="H65" s="37">
        <f t="shared" si="5"/>
        <v>0</v>
      </c>
      <c r="I65" s="37"/>
      <c r="J65" s="210">
        <f t="shared" si="6"/>
        <v>0</v>
      </c>
      <c r="K65" s="197"/>
      <c r="O65" t="str">
        <f>_xlfn.XLOOKUP($H$7,BDPROV[ID-Proveedor],BDPROV[NIT/C.C.])&amp;$H$9&amp;N65&amp;"-"&amp;11</f>
        <v>F.C.-11</v>
      </c>
      <c r="P65" t="str">
        <f t="shared" si="11"/>
        <v/>
      </c>
      <c r="Q65" t="str">
        <f>IF(N65="","",    _xlfn.XLOOKUP(P65,Regcontabilizados[Número pago],Regcontabilizados[Estado de pago],"NO PAGADO"))</f>
        <v/>
      </c>
      <c r="R65" s="44">
        <f>_xlfn.XLOOKUP(O65,Regcontabilizados[Identificador],Regcontabilizados[Fecha vencimiento],0)</f>
        <v>0</v>
      </c>
      <c r="S65">
        <f>_xlfn.XLOOKUP(O65,Regcontabilizados[Identificador],Regcontabilizados[Subcuenta],0)</f>
        <v>0</v>
      </c>
      <c r="T65">
        <f>_xlfn.XLOOKUP(O65,Regcontabilizados[Identificador],Regcontabilizados[Haber],0)</f>
        <v>0</v>
      </c>
      <c r="U65">
        <f>SUMIF(Regcontabilizados[Número pago],PAGOCompbusc!P65,Regcontabilizados[Debe])</f>
        <v>0</v>
      </c>
      <c r="AA65" s="33" t="str">
        <f>IF(J65=0,"",  _xlfn.XLOOKUP(AB65,Regcontabilizados[Identificador],Regcontabilizados[Subcuenta],0))</f>
        <v/>
      </c>
      <c r="AB65" t="str">
        <f>IF(J65=0,"",  _xlfn.XLOOKUP($H$7,BDPROV[ID-Proveedor],BDPROV[NIT/C.C.],0)&amp;$H$9&amp;D65&amp;"-"&amp;11)</f>
        <v/>
      </c>
      <c r="AC65" t="str">
        <f t="shared" si="8"/>
        <v/>
      </c>
      <c r="AD65" t="str">
        <f t="shared" si="9"/>
        <v>En Blanco</v>
      </c>
      <c r="AE65" t="str">
        <f>_xlfn.XLOOKUP($H$7,BDPROV[ID-Proveedor],BDPROV[NIT/C.C.],0)&amp;$H$13&amp;$E$7&amp;"-"&amp;ROW(Z65)-21</f>
        <v>Comp. Egreso-44</v>
      </c>
    </row>
    <row r="66" spans="3:31">
      <c r="C66" s="194"/>
      <c r="D66" s="206" t="str">
        <f t="shared" si="4"/>
        <v/>
      </c>
      <c r="E66" s="142" t="str">
        <f>_xlfn.XLOOKUP(AB66,Regcontabilizados[Identificador],Regcontabilizados[Fecha vencimiento],0)</f>
        <v/>
      </c>
      <c r="F66" s="183" t="str">
        <f>_xlfn.XLOOKUP(AB66,Regcontabilizados[Identificador],Regcontabilizados[Haber],0)</f>
        <v/>
      </c>
      <c r="G66" s="183">
        <f>_xlfn.XLOOKUP(AH67,Regcontabilizados[Identificador],Regcontabilizados[Debe],0)</f>
        <v>0</v>
      </c>
      <c r="H66" s="37">
        <f t="shared" si="5"/>
        <v>0</v>
      </c>
      <c r="I66" s="37"/>
      <c r="J66" s="210">
        <f t="shared" si="6"/>
        <v>0</v>
      </c>
      <c r="K66" s="197"/>
      <c r="O66" t="str">
        <f>_xlfn.XLOOKUP($H$7,BDPROV[ID-Proveedor],BDPROV[NIT/C.C.])&amp;$H$9&amp;N66&amp;"-"&amp;11</f>
        <v>F.C.-11</v>
      </c>
      <c r="P66" t="str">
        <f t="shared" si="11"/>
        <v/>
      </c>
      <c r="Q66" t="str">
        <f>IF(N66="","",    _xlfn.XLOOKUP(P66,Regcontabilizados[Número pago],Regcontabilizados[Estado de pago],"NO PAGADO"))</f>
        <v/>
      </c>
      <c r="R66" s="44">
        <f>_xlfn.XLOOKUP(O66,Regcontabilizados[Identificador],Regcontabilizados[Fecha vencimiento],0)</f>
        <v>0</v>
      </c>
      <c r="S66">
        <f>_xlfn.XLOOKUP(O66,Regcontabilizados[Identificador],Regcontabilizados[Subcuenta],0)</f>
        <v>0</v>
      </c>
      <c r="T66">
        <f>_xlfn.XLOOKUP(O66,Regcontabilizados[Identificador],Regcontabilizados[Haber],0)</f>
        <v>0</v>
      </c>
      <c r="U66">
        <f>SUMIF(Regcontabilizados[Número pago],PAGOCompbusc!P66,Regcontabilizados[Debe])</f>
        <v>0</v>
      </c>
      <c r="AA66" s="33" t="str">
        <f>IF(J66=0,"",  _xlfn.XLOOKUP(AB66,Regcontabilizados[Identificador],Regcontabilizados[Subcuenta],0))</f>
        <v/>
      </c>
      <c r="AB66" t="str">
        <f>IF(J66=0,"",  _xlfn.XLOOKUP($H$7,BDPROV[ID-Proveedor],BDPROV[NIT/C.C.],0)&amp;$H$9&amp;D66&amp;"-"&amp;11)</f>
        <v/>
      </c>
      <c r="AC66" t="str">
        <f t="shared" si="8"/>
        <v/>
      </c>
      <c r="AD66" t="str">
        <f t="shared" si="9"/>
        <v>En Blanco</v>
      </c>
      <c r="AE66" t="str">
        <f>_xlfn.XLOOKUP($H$7,BDPROV[ID-Proveedor],BDPROV[NIT/C.C.],0)&amp;$H$13&amp;$E$7&amp;"-"&amp;ROW(Z66)-21</f>
        <v>Comp. Egreso-45</v>
      </c>
    </row>
    <row r="67" spans="3:31">
      <c r="C67" s="194"/>
      <c r="D67" s="206" t="str">
        <f t="shared" si="4"/>
        <v/>
      </c>
      <c r="E67" s="142" t="str">
        <f>_xlfn.XLOOKUP(AB67,Regcontabilizados[Identificador],Regcontabilizados[Fecha vencimiento],0)</f>
        <v/>
      </c>
      <c r="F67" s="183" t="str">
        <f>_xlfn.XLOOKUP(AB67,Regcontabilizados[Identificador],Regcontabilizados[Haber],0)</f>
        <v/>
      </c>
      <c r="G67" s="183">
        <f>_xlfn.XLOOKUP(AH68,Regcontabilizados[Identificador],Regcontabilizados[Debe],0)</f>
        <v>0</v>
      </c>
      <c r="H67" s="37">
        <f t="shared" si="5"/>
        <v>0</v>
      </c>
      <c r="I67" s="37"/>
      <c r="J67" s="210">
        <f t="shared" si="6"/>
        <v>0</v>
      </c>
      <c r="K67" s="197"/>
      <c r="O67" t="str">
        <f>_xlfn.XLOOKUP($H$7,BDPROV[ID-Proveedor],BDPROV[NIT/C.C.])&amp;$H$9&amp;N67&amp;"-"&amp;11</f>
        <v>F.C.-11</v>
      </c>
      <c r="P67" t="str">
        <f t="shared" si="11"/>
        <v/>
      </c>
      <c r="Q67" t="str">
        <f>IF(N67="","",    _xlfn.XLOOKUP(P67,Regcontabilizados[Número pago],Regcontabilizados[Estado de pago],"NO PAGADO"))</f>
        <v/>
      </c>
      <c r="R67" s="44">
        <f>_xlfn.XLOOKUP(O67,Regcontabilizados[Identificador],Regcontabilizados[Fecha vencimiento],0)</f>
        <v>0</v>
      </c>
      <c r="S67">
        <f>_xlfn.XLOOKUP(O67,Regcontabilizados[Identificador],Regcontabilizados[Subcuenta],0)</f>
        <v>0</v>
      </c>
      <c r="T67">
        <f>_xlfn.XLOOKUP(O67,Regcontabilizados[Identificador],Regcontabilizados[Haber],0)</f>
        <v>0</v>
      </c>
      <c r="U67">
        <f>SUMIF(Regcontabilizados[Número pago],PAGOCompbusc!P67,Regcontabilizados[Debe])</f>
        <v>0</v>
      </c>
      <c r="AA67" s="33" t="str">
        <f>IF(J67=0,"",  _xlfn.XLOOKUP(AB67,Regcontabilizados[Identificador],Regcontabilizados[Subcuenta],0))</f>
        <v/>
      </c>
      <c r="AB67" t="str">
        <f>IF(J67=0,"",  _xlfn.XLOOKUP($H$7,BDPROV[ID-Proveedor],BDPROV[NIT/C.C.],0)&amp;$H$9&amp;D67&amp;"-"&amp;11)</f>
        <v/>
      </c>
      <c r="AC67" t="str">
        <f t="shared" si="8"/>
        <v/>
      </c>
      <c r="AD67" t="str">
        <f t="shared" si="9"/>
        <v>En Blanco</v>
      </c>
      <c r="AE67" t="str">
        <f>_xlfn.XLOOKUP($H$7,BDPROV[ID-Proveedor],BDPROV[NIT/C.C.],0)&amp;$H$13&amp;$E$7&amp;"-"&amp;ROW(Z67)-21</f>
        <v>Comp. Egreso-46</v>
      </c>
    </row>
    <row r="68" spans="3:31">
      <c r="C68" s="194"/>
      <c r="D68" s="206" t="str">
        <f t="shared" si="4"/>
        <v/>
      </c>
      <c r="E68" s="142" t="str">
        <f>_xlfn.XLOOKUP(AB68,Regcontabilizados[Identificador],Regcontabilizados[Fecha vencimiento],0)</f>
        <v/>
      </c>
      <c r="F68" s="183" t="str">
        <f>_xlfn.XLOOKUP(AB68,Regcontabilizados[Identificador],Regcontabilizados[Haber],0)</f>
        <v/>
      </c>
      <c r="G68" s="183">
        <f>_xlfn.XLOOKUP(AH69,Regcontabilizados[Identificador],Regcontabilizados[Debe],0)</f>
        <v>0</v>
      </c>
      <c r="H68" s="37">
        <f t="shared" si="5"/>
        <v>0</v>
      </c>
      <c r="I68" s="37"/>
      <c r="J68" s="210">
        <f t="shared" si="6"/>
        <v>0</v>
      </c>
      <c r="K68" s="197"/>
      <c r="O68" t="str">
        <f>_xlfn.XLOOKUP($H$7,BDPROV[ID-Proveedor],BDPROV[NIT/C.C.])&amp;$H$9&amp;N68&amp;"-"&amp;11</f>
        <v>F.C.-11</v>
      </c>
      <c r="P68" t="str">
        <f t="shared" si="11"/>
        <v/>
      </c>
      <c r="Q68" t="str">
        <f>IF(N68="","",    _xlfn.XLOOKUP(P68,Regcontabilizados[Número pago],Regcontabilizados[Estado de pago],"NO PAGADO"))</f>
        <v/>
      </c>
      <c r="R68" s="44">
        <f>_xlfn.XLOOKUP(O68,Regcontabilizados[Identificador],Regcontabilizados[Fecha vencimiento],0)</f>
        <v>0</v>
      </c>
      <c r="S68">
        <f>_xlfn.XLOOKUP(O68,Regcontabilizados[Identificador],Regcontabilizados[Subcuenta],0)</f>
        <v>0</v>
      </c>
      <c r="T68">
        <f>_xlfn.XLOOKUP(O68,Regcontabilizados[Identificador],Regcontabilizados[Haber],0)</f>
        <v>0</v>
      </c>
      <c r="U68">
        <f>SUMIF(Regcontabilizados[Número pago],PAGOCompbusc!P68,Regcontabilizados[Debe])</f>
        <v>0</v>
      </c>
      <c r="AA68" s="33" t="str">
        <f>IF(J68=0,"",  _xlfn.XLOOKUP(AB68,Regcontabilizados[Identificador],Regcontabilizados[Subcuenta],0))</f>
        <v/>
      </c>
      <c r="AB68" t="str">
        <f>IF(J68=0,"",  _xlfn.XLOOKUP($H$7,BDPROV[ID-Proveedor],BDPROV[NIT/C.C.],0)&amp;$H$9&amp;D68&amp;"-"&amp;11)</f>
        <v/>
      </c>
      <c r="AC68" t="str">
        <f t="shared" si="8"/>
        <v/>
      </c>
      <c r="AD68" t="str">
        <f t="shared" si="9"/>
        <v>En Blanco</v>
      </c>
      <c r="AE68" t="str">
        <f>_xlfn.XLOOKUP($H$7,BDPROV[ID-Proveedor],BDPROV[NIT/C.C.],0)&amp;$H$13&amp;$E$7&amp;"-"&amp;ROW(Z68)-21</f>
        <v>Comp. Egreso-47</v>
      </c>
    </row>
    <row r="69" spans="3:31">
      <c r="C69" s="194"/>
      <c r="D69" s="206" t="str">
        <f t="shared" si="4"/>
        <v/>
      </c>
      <c r="E69" s="142" t="str">
        <f>_xlfn.XLOOKUP(AB69,Regcontabilizados[Identificador],Regcontabilizados[Fecha vencimiento],0)</f>
        <v/>
      </c>
      <c r="F69" s="183" t="str">
        <f>_xlfn.XLOOKUP(AB69,Regcontabilizados[Identificador],Regcontabilizados[Haber],0)</f>
        <v/>
      </c>
      <c r="G69" s="183">
        <f>_xlfn.XLOOKUP(AH70,Regcontabilizados[Identificador],Regcontabilizados[Debe],0)</f>
        <v>0</v>
      </c>
      <c r="H69" s="37">
        <f t="shared" si="5"/>
        <v>0</v>
      </c>
      <c r="I69" s="37"/>
      <c r="J69" s="210">
        <f t="shared" si="6"/>
        <v>0</v>
      </c>
      <c r="K69" s="197"/>
      <c r="O69" t="str">
        <f>_xlfn.XLOOKUP($H$7,BDPROV[ID-Proveedor],BDPROV[NIT/C.C.])&amp;$H$9&amp;N69&amp;"-"&amp;11</f>
        <v>F.C.-11</v>
      </c>
      <c r="P69" t="str">
        <f t="shared" si="11"/>
        <v/>
      </c>
      <c r="Q69" t="str">
        <f>IF(N69="","",    _xlfn.XLOOKUP(P69,Regcontabilizados[Número pago],Regcontabilizados[Estado de pago],"NO PAGADO"))</f>
        <v/>
      </c>
      <c r="R69" s="44">
        <f>_xlfn.XLOOKUP(O69,Regcontabilizados[Identificador],Regcontabilizados[Fecha vencimiento],0)</f>
        <v>0</v>
      </c>
      <c r="S69">
        <f>_xlfn.XLOOKUP(O69,Regcontabilizados[Identificador],Regcontabilizados[Subcuenta],0)</f>
        <v>0</v>
      </c>
      <c r="T69">
        <f>_xlfn.XLOOKUP(O69,Regcontabilizados[Identificador],Regcontabilizados[Haber],0)</f>
        <v>0</v>
      </c>
      <c r="U69">
        <f>SUMIF(Regcontabilizados[Número pago],PAGOCompbusc!P69,Regcontabilizados[Debe])</f>
        <v>0</v>
      </c>
      <c r="AA69" s="33" t="str">
        <f>IF(J69=0,"",  _xlfn.XLOOKUP(AB69,Regcontabilizados[Identificador],Regcontabilizados[Subcuenta],0))</f>
        <v/>
      </c>
      <c r="AB69" t="str">
        <f>IF(J69=0,"",  _xlfn.XLOOKUP($H$7,BDPROV[ID-Proveedor],BDPROV[NIT/C.C.],0)&amp;$H$9&amp;D69&amp;"-"&amp;11)</f>
        <v/>
      </c>
      <c r="AC69" t="str">
        <f t="shared" si="8"/>
        <v/>
      </c>
      <c r="AD69" t="str">
        <f t="shared" si="9"/>
        <v>En Blanco</v>
      </c>
      <c r="AE69" t="str">
        <f>_xlfn.XLOOKUP($H$7,BDPROV[ID-Proveedor],BDPROV[NIT/C.C.],0)&amp;$H$13&amp;$E$7&amp;"-"&amp;ROW(Z69)-21</f>
        <v>Comp. Egreso-48</v>
      </c>
    </row>
    <row r="70" spans="3:31">
      <c r="C70" s="194"/>
      <c r="D70" s="206" t="str">
        <f t="shared" si="4"/>
        <v/>
      </c>
      <c r="E70" s="142" t="str">
        <f>_xlfn.XLOOKUP(AB70,Regcontabilizados[Identificador],Regcontabilizados[Fecha vencimiento],0)</f>
        <v/>
      </c>
      <c r="F70" s="183" t="str">
        <f>_xlfn.XLOOKUP(AB70,Regcontabilizados[Identificador],Regcontabilizados[Haber],0)</f>
        <v/>
      </c>
      <c r="G70" s="183">
        <f>_xlfn.XLOOKUP(AH71,Regcontabilizados[Identificador],Regcontabilizados[Debe],0)</f>
        <v>0</v>
      </c>
      <c r="H70" s="37">
        <f t="shared" si="5"/>
        <v>0</v>
      </c>
      <c r="I70" s="37"/>
      <c r="J70" s="210">
        <f t="shared" si="6"/>
        <v>0</v>
      </c>
      <c r="K70" s="197"/>
      <c r="O70" t="str">
        <f>_xlfn.XLOOKUP($H$7,BDPROV[ID-Proveedor],BDPROV[NIT/C.C.])&amp;$H$9&amp;N70&amp;"-"&amp;11</f>
        <v>F.C.-11</v>
      </c>
      <c r="P70" t="str">
        <f t="shared" si="11"/>
        <v/>
      </c>
      <c r="Q70" t="str">
        <f>IF(N70="","",    _xlfn.XLOOKUP(P70,Regcontabilizados[Número pago],Regcontabilizados[Estado de pago],"NO PAGADO"))</f>
        <v/>
      </c>
      <c r="R70" s="44">
        <f>_xlfn.XLOOKUP(O70,Regcontabilizados[Identificador],Regcontabilizados[Fecha vencimiento],0)</f>
        <v>0</v>
      </c>
      <c r="S70">
        <f>_xlfn.XLOOKUP(O70,Regcontabilizados[Identificador],Regcontabilizados[Subcuenta],0)</f>
        <v>0</v>
      </c>
      <c r="T70">
        <f>_xlfn.XLOOKUP(O70,Regcontabilizados[Identificador],Regcontabilizados[Haber],0)</f>
        <v>0</v>
      </c>
      <c r="U70">
        <f>SUMIF(Regcontabilizados[Número pago],PAGOCompbusc!P70,Regcontabilizados[Debe])</f>
        <v>0</v>
      </c>
      <c r="AA70" s="33" t="str">
        <f>IF(J70=0,"",  _xlfn.XLOOKUP(AB70,Regcontabilizados[Identificador],Regcontabilizados[Subcuenta],0))</f>
        <v/>
      </c>
      <c r="AB70" t="str">
        <f>IF(J70=0,"",  _xlfn.XLOOKUP($H$7,BDPROV[ID-Proveedor],BDPROV[NIT/C.C.],0)&amp;$H$9&amp;D70&amp;"-"&amp;11)</f>
        <v/>
      </c>
      <c r="AC70" t="str">
        <f t="shared" si="8"/>
        <v/>
      </c>
      <c r="AD70" t="str">
        <f t="shared" si="9"/>
        <v>En Blanco</v>
      </c>
      <c r="AE70" t="str">
        <f>_xlfn.XLOOKUP($H$7,BDPROV[ID-Proveedor],BDPROV[NIT/C.C.],0)&amp;$H$13&amp;$E$7&amp;"-"&amp;ROW(Z70)-21</f>
        <v>Comp. Egreso-49</v>
      </c>
    </row>
    <row r="71" spans="3:31">
      <c r="C71" s="194"/>
      <c r="D71" s="206" t="str">
        <f t="shared" si="4"/>
        <v/>
      </c>
      <c r="E71" s="142" t="str">
        <f>_xlfn.XLOOKUP(AB71,Regcontabilizados[Identificador],Regcontabilizados[Fecha vencimiento],0)</f>
        <v/>
      </c>
      <c r="F71" s="183" t="str">
        <f>_xlfn.XLOOKUP(AB71,Regcontabilizados[Identificador],Regcontabilizados[Haber],0)</f>
        <v/>
      </c>
      <c r="G71" s="183">
        <f>_xlfn.XLOOKUP(AH72,Regcontabilizados[Identificador],Regcontabilizados[Debe],0)</f>
        <v>0</v>
      </c>
      <c r="H71" s="37">
        <f t="shared" si="5"/>
        <v>0</v>
      </c>
      <c r="I71" s="37"/>
      <c r="J71" s="210">
        <f t="shared" si="6"/>
        <v>0</v>
      </c>
      <c r="K71" s="197"/>
      <c r="O71" t="str">
        <f>_xlfn.XLOOKUP($H$7,BDPROV[ID-Proveedor],BDPROV[NIT/C.C.])&amp;$H$9&amp;N71&amp;"-"&amp;11</f>
        <v>F.C.-11</v>
      </c>
      <c r="P71" t="str">
        <f t="shared" si="11"/>
        <v/>
      </c>
      <c r="Q71" t="str">
        <f>IF(N71="","",    _xlfn.XLOOKUP(P71,Regcontabilizados[Número pago],Regcontabilizados[Estado de pago],"NO PAGADO"))</f>
        <v/>
      </c>
      <c r="R71" s="44">
        <f>_xlfn.XLOOKUP(O71,Regcontabilizados[Identificador],Regcontabilizados[Fecha vencimiento],0)</f>
        <v>0</v>
      </c>
      <c r="S71">
        <f>_xlfn.XLOOKUP(O71,Regcontabilizados[Identificador],Regcontabilizados[Subcuenta],0)</f>
        <v>0</v>
      </c>
      <c r="T71">
        <f>_xlfn.XLOOKUP(O71,Regcontabilizados[Identificador],Regcontabilizados[Haber],0)</f>
        <v>0</v>
      </c>
      <c r="U71">
        <f>SUMIF(Regcontabilizados[Número pago],PAGOCompbusc!P71,Regcontabilizados[Debe])</f>
        <v>0</v>
      </c>
      <c r="AA71" s="33" t="str">
        <f>IF(J71=0,"",  _xlfn.XLOOKUP(AB71,Regcontabilizados[Identificador],Regcontabilizados[Subcuenta],0))</f>
        <v/>
      </c>
      <c r="AB71" t="str">
        <f>IF(J71=0,"",  _xlfn.XLOOKUP($H$7,BDPROV[ID-Proveedor],BDPROV[NIT/C.C.],0)&amp;$H$9&amp;D71&amp;"-"&amp;11)</f>
        <v/>
      </c>
      <c r="AC71" t="str">
        <f t="shared" si="8"/>
        <v/>
      </c>
      <c r="AD71" t="str">
        <f t="shared" si="9"/>
        <v>En Blanco</v>
      </c>
      <c r="AE71" t="str">
        <f>_xlfn.XLOOKUP($H$7,BDPROV[ID-Proveedor],BDPROV[NIT/C.C.],0)&amp;$H$13&amp;$E$7&amp;"-"&amp;ROW(Z71)-21</f>
        <v>Comp. Egreso-50</v>
      </c>
    </row>
    <row r="72" spans="3:31">
      <c r="C72" s="194"/>
      <c r="D72" s="206" t="str">
        <f t="shared" si="4"/>
        <v/>
      </c>
      <c r="E72" s="142" t="str">
        <f>_xlfn.XLOOKUP(AB72,Regcontabilizados[Identificador],Regcontabilizados[Fecha vencimiento],0)</f>
        <v/>
      </c>
      <c r="F72" s="183" t="str">
        <f>_xlfn.XLOOKUP(AB72,Regcontabilizados[Identificador],Regcontabilizados[Haber],0)</f>
        <v/>
      </c>
      <c r="G72" s="183">
        <f>_xlfn.XLOOKUP(AH73,Regcontabilizados[Identificador],Regcontabilizados[Debe],0)</f>
        <v>0</v>
      </c>
      <c r="H72" s="37">
        <f t="shared" si="5"/>
        <v>0</v>
      </c>
      <c r="I72" s="37"/>
      <c r="J72" s="210">
        <f t="shared" si="6"/>
        <v>0</v>
      </c>
      <c r="K72" s="197"/>
      <c r="O72" t="str">
        <f>_xlfn.XLOOKUP($H$7,BDPROV[ID-Proveedor],BDPROV[NIT/C.C.])&amp;$H$9&amp;N72&amp;"-"&amp;11</f>
        <v>F.C.-11</v>
      </c>
      <c r="P72" t="str">
        <f t="shared" si="11"/>
        <v/>
      </c>
      <c r="Q72" t="str">
        <f>IF(N72="","",    _xlfn.XLOOKUP(P72,Regcontabilizados[Número pago],Regcontabilizados[Estado de pago],"NO PAGADO"))</f>
        <v/>
      </c>
      <c r="R72" s="44">
        <f>_xlfn.XLOOKUP(O72,Regcontabilizados[Identificador],Regcontabilizados[Fecha vencimiento],0)</f>
        <v>0</v>
      </c>
      <c r="S72">
        <f>_xlfn.XLOOKUP(O72,Regcontabilizados[Identificador],Regcontabilizados[Subcuenta],0)</f>
        <v>0</v>
      </c>
      <c r="T72">
        <f>_xlfn.XLOOKUP(O72,Regcontabilizados[Identificador],Regcontabilizados[Haber],0)</f>
        <v>0</v>
      </c>
      <c r="U72">
        <f>SUMIF(Regcontabilizados[Número pago],PAGOCompbusc!P72,Regcontabilizados[Debe])</f>
        <v>0</v>
      </c>
      <c r="AA72" s="33" t="str">
        <f>IF(J72=0,"",  _xlfn.XLOOKUP(AB72,Regcontabilizados[Identificador],Regcontabilizados[Subcuenta],0))</f>
        <v/>
      </c>
      <c r="AB72" t="str">
        <f>IF(J72=0,"",  _xlfn.XLOOKUP($H$7,BDPROV[ID-Proveedor],BDPROV[NIT/C.C.],0)&amp;$H$9&amp;D72&amp;"-"&amp;11)</f>
        <v/>
      </c>
      <c r="AC72" t="str">
        <f t="shared" si="8"/>
        <v/>
      </c>
      <c r="AD72" t="str">
        <f t="shared" si="9"/>
        <v>En Blanco</v>
      </c>
      <c r="AE72" t="str">
        <f>_xlfn.XLOOKUP($H$7,BDPROV[ID-Proveedor],BDPROV[NIT/C.C.],0)&amp;$H$13&amp;$E$7&amp;"-"&amp;ROW(Z72)-21</f>
        <v>Comp. Egreso-51</v>
      </c>
    </row>
    <row r="73" spans="3:31">
      <c r="C73" s="194"/>
      <c r="D73" s="206" t="str">
        <f t="shared" si="4"/>
        <v/>
      </c>
      <c r="E73" s="142" t="str">
        <f>_xlfn.XLOOKUP(AB73,Regcontabilizados[Identificador],Regcontabilizados[Fecha vencimiento],0)</f>
        <v/>
      </c>
      <c r="F73" s="183" t="str">
        <f>_xlfn.XLOOKUP(AB73,Regcontabilizados[Identificador],Regcontabilizados[Haber],0)</f>
        <v/>
      </c>
      <c r="G73" s="183">
        <f>_xlfn.XLOOKUP(AH74,Regcontabilizados[Identificador],Regcontabilizados[Debe],0)</f>
        <v>0</v>
      </c>
      <c r="H73" s="37">
        <f t="shared" si="5"/>
        <v>0</v>
      </c>
      <c r="I73" s="37"/>
      <c r="J73" s="210">
        <f t="shared" si="6"/>
        <v>0</v>
      </c>
      <c r="K73" s="197"/>
      <c r="O73" t="str">
        <f>_xlfn.XLOOKUP($H$7,BDPROV[ID-Proveedor],BDPROV[NIT/C.C.])&amp;$H$9&amp;N73&amp;"-"&amp;11</f>
        <v>F.C.-11</v>
      </c>
      <c r="P73" t="str">
        <f t="shared" si="11"/>
        <v/>
      </c>
      <c r="Q73" t="str">
        <f>IF(N73="","",    _xlfn.XLOOKUP(P73,Regcontabilizados[Número pago],Regcontabilizados[Estado de pago],"NO PAGADO"))</f>
        <v/>
      </c>
      <c r="R73" s="44">
        <f>_xlfn.XLOOKUP(O73,Regcontabilizados[Identificador],Regcontabilizados[Fecha vencimiento],0)</f>
        <v>0</v>
      </c>
      <c r="S73">
        <f>_xlfn.XLOOKUP(O73,Regcontabilizados[Identificador],Regcontabilizados[Subcuenta],0)</f>
        <v>0</v>
      </c>
      <c r="T73">
        <f>_xlfn.XLOOKUP(O73,Regcontabilizados[Identificador],Regcontabilizados[Haber],0)</f>
        <v>0</v>
      </c>
      <c r="U73">
        <f>SUMIF(Regcontabilizados[Número pago],PAGOCompbusc!P73,Regcontabilizados[Debe])</f>
        <v>0</v>
      </c>
      <c r="AA73" s="33" t="str">
        <f>IF(J73=0,"",  _xlfn.XLOOKUP(AB73,Regcontabilizados[Identificador],Regcontabilizados[Subcuenta],0))</f>
        <v/>
      </c>
      <c r="AB73" t="str">
        <f>IF(J73=0,"",  _xlfn.XLOOKUP($H$7,BDPROV[ID-Proveedor],BDPROV[NIT/C.C.],0)&amp;$H$9&amp;D73&amp;"-"&amp;11)</f>
        <v/>
      </c>
      <c r="AC73" t="str">
        <f t="shared" si="8"/>
        <v/>
      </c>
      <c r="AD73" t="str">
        <f t="shared" si="9"/>
        <v>En Blanco</v>
      </c>
      <c r="AE73" t="str">
        <f>_xlfn.XLOOKUP($H$7,BDPROV[ID-Proveedor],BDPROV[NIT/C.C.],0)&amp;$H$13&amp;$E$7&amp;"-"&amp;ROW(Z73)-21</f>
        <v>Comp. Egreso-52</v>
      </c>
    </row>
    <row r="74" spans="3:31">
      <c r="C74" s="194"/>
      <c r="D74" s="206" t="str">
        <f t="shared" si="4"/>
        <v/>
      </c>
      <c r="E74" s="142" t="str">
        <f>_xlfn.XLOOKUP(AB74,Regcontabilizados[Identificador],Regcontabilizados[Fecha vencimiento],0)</f>
        <v/>
      </c>
      <c r="F74" s="183" t="str">
        <f>_xlfn.XLOOKUP(AB74,Regcontabilizados[Identificador],Regcontabilizados[Haber],0)</f>
        <v/>
      </c>
      <c r="G74" s="183">
        <f>_xlfn.XLOOKUP(AH75,Regcontabilizados[Identificador],Regcontabilizados[Debe],0)</f>
        <v>0</v>
      </c>
      <c r="H74" s="37">
        <f t="shared" si="5"/>
        <v>0</v>
      </c>
      <c r="I74" s="37"/>
      <c r="J74" s="210">
        <f t="shared" si="6"/>
        <v>0</v>
      </c>
      <c r="K74" s="197"/>
      <c r="O74" t="str">
        <f>_xlfn.XLOOKUP($H$7,BDPROV[ID-Proveedor],BDPROV[NIT/C.C.])&amp;$H$9&amp;N74&amp;"-"&amp;11</f>
        <v>F.C.-11</v>
      </c>
      <c r="P74" t="str">
        <f t="shared" si="11"/>
        <v/>
      </c>
      <c r="Q74" t="str">
        <f>IF(N74="","",    _xlfn.XLOOKUP(P74,Regcontabilizados[Número pago],Regcontabilizados[Estado de pago],"NO PAGADO"))</f>
        <v/>
      </c>
      <c r="R74" s="44">
        <f>_xlfn.XLOOKUP(O74,Regcontabilizados[Identificador],Regcontabilizados[Fecha vencimiento],0)</f>
        <v>0</v>
      </c>
      <c r="S74">
        <f>_xlfn.XLOOKUP(O74,Regcontabilizados[Identificador],Regcontabilizados[Subcuenta],0)</f>
        <v>0</v>
      </c>
      <c r="T74">
        <f>_xlfn.XLOOKUP(O74,Regcontabilizados[Identificador],Regcontabilizados[Haber],0)</f>
        <v>0</v>
      </c>
      <c r="U74">
        <f>SUMIF(Regcontabilizados[Número pago],PAGOCompbusc!P74,Regcontabilizados[Debe])</f>
        <v>0</v>
      </c>
      <c r="AA74" s="33" t="str">
        <f>IF(J74=0,"",  _xlfn.XLOOKUP(AB74,Regcontabilizados[Identificador],Regcontabilizados[Subcuenta],0))</f>
        <v/>
      </c>
      <c r="AB74" t="str">
        <f>IF(J74=0,"",  _xlfn.XLOOKUP($H$7,BDPROV[ID-Proveedor],BDPROV[NIT/C.C.],0)&amp;$H$9&amp;D74&amp;"-"&amp;11)</f>
        <v/>
      </c>
      <c r="AC74" t="str">
        <f t="shared" si="8"/>
        <v/>
      </c>
      <c r="AD74" t="str">
        <f t="shared" si="9"/>
        <v>En Blanco</v>
      </c>
      <c r="AE74" t="str">
        <f>_xlfn.XLOOKUP($H$7,BDPROV[ID-Proveedor],BDPROV[NIT/C.C.],0)&amp;$H$13&amp;$E$7&amp;"-"&amp;ROW(Z74)-21</f>
        <v>Comp. Egreso-53</v>
      </c>
    </row>
    <row r="75" spans="3:31">
      <c r="C75" s="194"/>
      <c r="D75" s="206" t="str">
        <f t="shared" si="4"/>
        <v/>
      </c>
      <c r="E75" s="142" t="str">
        <f>_xlfn.XLOOKUP(AB75,Regcontabilizados[Identificador],Regcontabilizados[Fecha vencimiento],0)</f>
        <v/>
      </c>
      <c r="F75" s="183" t="str">
        <f>_xlfn.XLOOKUP(AB75,Regcontabilizados[Identificador],Regcontabilizados[Haber],0)</f>
        <v/>
      </c>
      <c r="G75" s="183">
        <f>_xlfn.XLOOKUP(AH76,Regcontabilizados[Identificador],Regcontabilizados[Debe],0)</f>
        <v>0</v>
      </c>
      <c r="H75" s="37">
        <f t="shared" si="5"/>
        <v>0</v>
      </c>
      <c r="I75" s="37"/>
      <c r="J75" s="210">
        <f t="shared" si="6"/>
        <v>0</v>
      </c>
      <c r="K75" s="197"/>
      <c r="O75" t="str">
        <f>_xlfn.XLOOKUP($H$7,BDPROV[ID-Proveedor],BDPROV[NIT/C.C.])&amp;$H$9&amp;N75&amp;"-"&amp;11</f>
        <v>F.C.-11</v>
      </c>
      <c r="P75" t="str">
        <f t="shared" si="11"/>
        <v/>
      </c>
      <c r="Q75" t="str">
        <f>IF(N75="","",    _xlfn.XLOOKUP(P75,Regcontabilizados[Número pago],Regcontabilizados[Estado de pago],"NO PAGADO"))</f>
        <v/>
      </c>
      <c r="R75" s="44">
        <f>_xlfn.XLOOKUP(O75,Regcontabilizados[Identificador],Regcontabilizados[Fecha vencimiento],0)</f>
        <v>0</v>
      </c>
      <c r="S75">
        <f>_xlfn.XLOOKUP(O75,Regcontabilizados[Identificador],Regcontabilizados[Subcuenta],0)</f>
        <v>0</v>
      </c>
      <c r="T75">
        <f>_xlfn.XLOOKUP(O75,Regcontabilizados[Identificador],Regcontabilizados[Haber],0)</f>
        <v>0</v>
      </c>
      <c r="U75">
        <f>SUMIF(Regcontabilizados[Número pago],PAGOCompbusc!P75,Regcontabilizados[Debe])</f>
        <v>0</v>
      </c>
      <c r="AA75" s="33" t="str">
        <f>IF(J75=0,"",  _xlfn.XLOOKUP(AB75,Regcontabilizados[Identificador],Regcontabilizados[Subcuenta],0))</f>
        <v/>
      </c>
      <c r="AB75" t="str">
        <f>IF(J75=0,"",  _xlfn.XLOOKUP($H$7,BDPROV[ID-Proveedor],BDPROV[NIT/C.C.],0)&amp;$H$9&amp;D75&amp;"-"&amp;11)</f>
        <v/>
      </c>
      <c r="AC75" t="str">
        <f t="shared" si="8"/>
        <v/>
      </c>
      <c r="AD75" t="str">
        <f t="shared" si="9"/>
        <v>En Blanco</v>
      </c>
      <c r="AE75" t="str">
        <f>_xlfn.XLOOKUP($H$7,BDPROV[ID-Proveedor],BDPROV[NIT/C.C.],0)&amp;$H$13&amp;$E$7&amp;"-"&amp;ROW(Z75)-21</f>
        <v>Comp. Egreso-54</v>
      </c>
    </row>
    <row r="76" spans="3:31">
      <c r="C76" s="194"/>
      <c r="D76" s="206" t="str">
        <f t="shared" si="4"/>
        <v/>
      </c>
      <c r="E76" s="142" t="str">
        <f>_xlfn.XLOOKUP(AB76,Regcontabilizados[Identificador],Regcontabilizados[Fecha vencimiento],0)</f>
        <v/>
      </c>
      <c r="F76" s="183" t="str">
        <f>_xlfn.XLOOKUP(AB76,Regcontabilizados[Identificador],Regcontabilizados[Haber],0)</f>
        <v/>
      </c>
      <c r="G76" s="183">
        <f>_xlfn.XLOOKUP(AH77,Regcontabilizados[Identificador],Regcontabilizados[Debe],0)</f>
        <v>0</v>
      </c>
      <c r="H76" s="37">
        <f t="shared" si="5"/>
        <v>0</v>
      </c>
      <c r="I76" s="37"/>
      <c r="J76" s="210">
        <f t="shared" si="6"/>
        <v>0</v>
      </c>
      <c r="K76" s="197"/>
      <c r="O76" t="str">
        <f>_xlfn.XLOOKUP($H$7,BDPROV[ID-Proveedor],BDPROV[NIT/C.C.])&amp;$H$9&amp;N76&amp;"-"&amp;11</f>
        <v>F.C.-11</v>
      </c>
      <c r="P76" t="str">
        <f t="shared" si="11"/>
        <v/>
      </c>
      <c r="Q76" t="str">
        <f>IF(N76="","",    _xlfn.XLOOKUP(P76,Regcontabilizados[Número pago],Regcontabilizados[Estado de pago],"NO PAGADO"))</f>
        <v/>
      </c>
      <c r="R76" s="44">
        <f>_xlfn.XLOOKUP(O76,Regcontabilizados[Identificador],Regcontabilizados[Fecha vencimiento],0)</f>
        <v>0</v>
      </c>
      <c r="S76">
        <f>_xlfn.XLOOKUP(O76,Regcontabilizados[Identificador],Regcontabilizados[Subcuenta],0)</f>
        <v>0</v>
      </c>
      <c r="T76">
        <f>_xlfn.XLOOKUP(O76,Regcontabilizados[Identificador],Regcontabilizados[Haber],0)</f>
        <v>0</v>
      </c>
      <c r="U76">
        <f>SUMIF(Regcontabilizados[Número pago],PAGOCompbusc!P76,Regcontabilizados[Debe])</f>
        <v>0</v>
      </c>
      <c r="AA76" s="33" t="str">
        <f>IF(J76=0,"",  _xlfn.XLOOKUP(AB76,Regcontabilizados[Identificador],Regcontabilizados[Subcuenta],0))</f>
        <v/>
      </c>
      <c r="AB76" t="str">
        <f>IF(J76=0,"",  _xlfn.XLOOKUP($H$7,BDPROV[ID-Proveedor],BDPROV[NIT/C.C.],0)&amp;$H$9&amp;D76&amp;"-"&amp;11)</f>
        <v/>
      </c>
      <c r="AC76" t="str">
        <f t="shared" si="8"/>
        <v/>
      </c>
      <c r="AD76" t="str">
        <f t="shared" si="9"/>
        <v>En Blanco</v>
      </c>
      <c r="AE76" t="str">
        <f>_xlfn.XLOOKUP($H$7,BDPROV[ID-Proveedor],BDPROV[NIT/C.C.],0)&amp;$H$13&amp;$E$7&amp;"-"&amp;ROW(Z76)-21</f>
        <v>Comp. Egreso-55</v>
      </c>
    </row>
    <row r="77" spans="3:31">
      <c r="C77" s="194"/>
      <c r="D77" s="206" t="str">
        <f t="shared" si="4"/>
        <v/>
      </c>
      <c r="E77" s="142" t="str">
        <f>_xlfn.XLOOKUP(AB77,Regcontabilizados[Identificador],Regcontabilizados[Fecha vencimiento],0)</f>
        <v/>
      </c>
      <c r="F77" s="183" t="str">
        <f>_xlfn.XLOOKUP(AB77,Regcontabilizados[Identificador],Regcontabilizados[Haber],0)</f>
        <v/>
      </c>
      <c r="G77" s="183">
        <f>_xlfn.XLOOKUP(AH78,Regcontabilizados[Identificador],Regcontabilizados[Debe],0)</f>
        <v>0</v>
      </c>
      <c r="H77" s="37">
        <f t="shared" si="5"/>
        <v>0</v>
      </c>
      <c r="I77" s="37"/>
      <c r="J77" s="210">
        <f t="shared" si="6"/>
        <v>0</v>
      </c>
      <c r="K77" s="197"/>
      <c r="O77" t="str">
        <f>_xlfn.XLOOKUP($H$7,BDPROV[ID-Proveedor],BDPROV[NIT/C.C.])&amp;$H$9&amp;N77&amp;"-"&amp;11</f>
        <v>F.C.-11</v>
      </c>
      <c r="P77" t="str">
        <f t="shared" si="11"/>
        <v/>
      </c>
      <c r="Q77" t="str">
        <f>IF(N77="","",    _xlfn.XLOOKUP(P77,Regcontabilizados[Número pago],Regcontabilizados[Estado de pago],"NO PAGADO"))</f>
        <v/>
      </c>
      <c r="R77" s="44">
        <f>_xlfn.XLOOKUP(O77,Regcontabilizados[Identificador],Regcontabilizados[Fecha vencimiento],0)</f>
        <v>0</v>
      </c>
      <c r="S77">
        <f>_xlfn.XLOOKUP(O77,Regcontabilizados[Identificador],Regcontabilizados[Subcuenta],0)</f>
        <v>0</v>
      </c>
      <c r="T77">
        <f>_xlfn.XLOOKUP(O77,Regcontabilizados[Identificador],Regcontabilizados[Haber],0)</f>
        <v>0</v>
      </c>
      <c r="U77">
        <f>SUMIF(Regcontabilizados[Número pago],PAGOCompbusc!P77,Regcontabilizados[Debe])</f>
        <v>0</v>
      </c>
      <c r="AA77" s="33" t="str">
        <f>IF(J77=0,"",  _xlfn.XLOOKUP(AB77,Regcontabilizados[Identificador],Regcontabilizados[Subcuenta],0))</f>
        <v/>
      </c>
      <c r="AB77" t="str">
        <f>IF(J77=0,"",  _xlfn.XLOOKUP($H$7,BDPROV[ID-Proveedor],BDPROV[NIT/C.C.],0)&amp;$H$9&amp;D77&amp;"-"&amp;11)</f>
        <v/>
      </c>
      <c r="AC77" t="str">
        <f t="shared" si="8"/>
        <v/>
      </c>
      <c r="AD77" t="str">
        <f t="shared" si="9"/>
        <v>En Blanco</v>
      </c>
      <c r="AE77" t="str">
        <f>_xlfn.XLOOKUP($H$7,BDPROV[ID-Proveedor],BDPROV[NIT/C.C.],0)&amp;$H$13&amp;$E$7&amp;"-"&amp;ROW(Z77)-21</f>
        <v>Comp. Egreso-56</v>
      </c>
    </row>
    <row r="78" spans="3:31">
      <c r="C78" s="194"/>
      <c r="D78" s="206" t="str">
        <f t="shared" si="4"/>
        <v/>
      </c>
      <c r="E78" s="142" t="str">
        <f>_xlfn.XLOOKUP(AB78,Regcontabilizados[Identificador],Regcontabilizados[Fecha vencimiento],0)</f>
        <v/>
      </c>
      <c r="F78" s="183" t="str">
        <f>_xlfn.XLOOKUP(AB78,Regcontabilizados[Identificador],Regcontabilizados[Haber],0)</f>
        <v/>
      </c>
      <c r="G78" s="183">
        <f>_xlfn.XLOOKUP(AH79,Regcontabilizados[Identificador],Regcontabilizados[Debe],0)</f>
        <v>0</v>
      </c>
      <c r="H78" s="37">
        <f t="shared" si="5"/>
        <v>0</v>
      </c>
      <c r="I78" s="37"/>
      <c r="J78" s="210">
        <f t="shared" si="6"/>
        <v>0</v>
      </c>
      <c r="K78" s="197"/>
      <c r="O78" t="str">
        <f>_xlfn.XLOOKUP($H$7,BDPROV[ID-Proveedor],BDPROV[NIT/C.C.])&amp;$H$9&amp;N78&amp;"-"&amp;11</f>
        <v>F.C.-11</v>
      </c>
      <c r="P78" t="str">
        <f t="shared" si="11"/>
        <v/>
      </c>
      <c r="Q78" t="str">
        <f>IF(N78="","",    _xlfn.XLOOKUP(P78,Regcontabilizados[Número pago],Regcontabilizados[Estado de pago],"NO PAGADO"))</f>
        <v/>
      </c>
      <c r="R78" s="44">
        <f>_xlfn.XLOOKUP(O78,Regcontabilizados[Identificador],Regcontabilizados[Fecha vencimiento],0)</f>
        <v>0</v>
      </c>
      <c r="S78">
        <f>_xlfn.XLOOKUP(O78,Regcontabilizados[Identificador],Regcontabilizados[Subcuenta],0)</f>
        <v>0</v>
      </c>
      <c r="T78">
        <f>_xlfn.XLOOKUP(O78,Regcontabilizados[Identificador],Regcontabilizados[Haber],0)</f>
        <v>0</v>
      </c>
      <c r="U78">
        <f>SUMIF(Regcontabilizados[Número pago],PAGOCompbusc!P78,Regcontabilizados[Debe])</f>
        <v>0</v>
      </c>
      <c r="AA78" s="33" t="str">
        <f>IF(J78=0,"",  _xlfn.XLOOKUP(AB78,Regcontabilizados[Identificador],Regcontabilizados[Subcuenta],0))</f>
        <v/>
      </c>
      <c r="AB78" t="str">
        <f>IF(J78=0,"",  _xlfn.XLOOKUP($H$7,BDPROV[ID-Proveedor],BDPROV[NIT/C.C.],0)&amp;$H$9&amp;D78&amp;"-"&amp;11)</f>
        <v/>
      </c>
      <c r="AC78" t="str">
        <f t="shared" si="8"/>
        <v/>
      </c>
      <c r="AD78" t="str">
        <f t="shared" si="9"/>
        <v>En Blanco</v>
      </c>
      <c r="AE78" t="str">
        <f>_xlfn.XLOOKUP($H$7,BDPROV[ID-Proveedor],BDPROV[NIT/C.C.],0)&amp;$H$13&amp;$E$7&amp;"-"&amp;ROW(Z78)-21</f>
        <v>Comp. Egreso-57</v>
      </c>
    </row>
    <row r="79" spans="3:31">
      <c r="C79" s="194"/>
      <c r="D79" s="206" t="str">
        <f t="shared" si="4"/>
        <v/>
      </c>
      <c r="E79" s="142" t="str">
        <f>_xlfn.XLOOKUP(AB79,Regcontabilizados[Identificador],Regcontabilizados[Fecha vencimiento],0)</f>
        <v/>
      </c>
      <c r="F79" s="183" t="str">
        <f>_xlfn.XLOOKUP(AB79,Regcontabilizados[Identificador],Regcontabilizados[Haber],0)</f>
        <v/>
      </c>
      <c r="G79" s="183">
        <f>_xlfn.XLOOKUP(AH80,Regcontabilizados[Identificador],Regcontabilizados[Debe],0)</f>
        <v>0</v>
      </c>
      <c r="H79" s="37">
        <f t="shared" si="5"/>
        <v>0</v>
      </c>
      <c r="I79" s="37"/>
      <c r="J79" s="210">
        <f t="shared" si="6"/>
        <v>0</v>
      </c>
      <c r="K79" s="197"/>
      <c r="O79" t="str">
        <f>_xlfn.XLOOKUP($H$7,BDPROV[ID-Proveedor],BDPROV[NIT/C.C.])&amp;$H$9&amp;N79&amp;"-"&amp;11</f>
        <v>F.C.-11</v>
      </c>
      <c r="P79" t="str">
        <f t="shared" si="11"/>
        <v/>
      </c>
      <c r="Q79" t="str">
        <f>IF(N79="","",    _xlfn.XLOOKUP(P79,Regcontabilizados[Número pago],Regcontabilizados[Estado de pago],"NO PAGADO"))</f>
        <v/>
      </c>
      <c r="R79" s="44">
        <f>_xlfn.XLOOKUP(O79,Regcontabilizados[Identificador],Regcontabilizados[Fecha vencimiento],0)</f>
        <v>0</v>
      </c>
      <c r="S79">
        <f>_xlfn.XLOOKUP(O79,Regcontabilizados[Identificador],Regcontabilizados[Subcuenta],0)</f>
        <v>0</v>
      </c>
      <c r="T79">
        <f>_xlfn.XLOOKUP(O79,Regcontabilizados[Identificador],Regcontabilizados[Haber],0)</f>
        <v>0</v>
      </c>
      <c r="U79">
        <f>SUMIF(Regcontabilizados[Número pago],PAGOCompbusc!P79,Regcontabilizados[Debe])</f>
        <v>0</v>
      </c>
      <c r="AA79" s="33" t="str">
        <f>IF(J79=0,"",  _xlfn.XLOOKUP(AB79,Regcontabilizados[Identificador],Regcontabilizados[Subcuenta],0))</f>
        <v/>
      </c>
      <c r="AB79" t="str">
        <f>IF(J79=0,"",  _xlfn.XLOOKUP($H$7,BDPROV[ID-Proveedor],BDPROV[NIT/C.C.],0)&amp;$H$9&amp;D79&amp;"-"&amp;11)</f>
        <v/>
      </c>
      <c r="AC79" t="str">
        <f t="shared" si="8"/>
        <v/>
      </c>
      <c r="AD79" t="str">
        <f t="shared" si="9"/>
        <v>En Blanco</v>
      </c>
      <c r="AE79" t="str">
        <f>_xlfn.XLOOKUP($H$7,BDPROV[ID-Proveedor],BDPROV[NIT/C.C.],0)&amp;$H$13&amp;$E$7&amp;"-"&amp;ROW(Z79)-21</f>
        <v>Comp. Egreso-58</v>
      </c>
    </row>
    <row r="80" spans="3:31">
      <c r="C80" s="194"/>
      <c r="D80" s="206" t="str">
        <f t="shared" si="4"/>
        <v/>
      </c>
      <c r="E80" s="142" t="str">
        <f>_xlfn.XLOOKUP(AB80,Regcontabilizados[Identificador],Regcontabilizados[Fecha vencimiento],0)</f>
        <v/>
      </c>
      <c r="F80" s="183" t="str">
        <f>_xlfn.XLOOKUP(AB80,Regcontabilizados[Identificador],Regcontabilizados[Haber],0)</f>
        <v/>
      </c>
      <c r="G80" s="183">
        <f>_xlfn.XLOOKUP(AH81,Regcontabilizados[Identificador],Regcontabilizados[Debe],0)</f>
        <v>0</v>
      </c>
      <c r="H80" s="37">
        <f t="shared" si="5"/>
        <v>0</v>
      </c>
      <c r="I80" s="37"/>
      <c r="J80" s="210">
        <f t="shared" si="6"/>
        <v>0</v>
      </c>
      <c r="K80" s="197"/>
      <c r="O80" t="str">
        <f>_xlfn.XLOOKUP($H$7,BDPROV[ID-Proveedor],BDPROV[NIT/C.C.])&amp;$H$9&amp;N80&amp;"-"&amp;11</f>
        <v>F.C.-11</v>
      </c>
      <c r="P80" t="str">
        <f t="shared" si="11"/>
        <v/>
      </c>
      <c r="Q80" t="str">
        <f>IF(N80="","",    _xlfn.XLOOKUP(P80,Regcontabilizados[Número pago],Regcontabilizados[Estado de pago],"NO PAGADO"))</f>
        <v/>
      </c>
      <c r="R80" s="44">
        <f>_xlfn.XLOOKUP(O80,Regcontabilizados[Identificador],Regcontabilizados[Fecha vencimiento],0)</f>
        <v>0</v>
      </c>
      <c r="S80">
        <f>_xlfn.XLOOKUP(O80,Regcontabilizados[Identificador],Regcontabilizados[Subcuenta],0)</f>
        <v>0</v>
      </c>
      <c r="T80">
        <f>_xlfn.XLOOKUP(O80,Regcontabilizados[Identificador],Regcontabilizados[Haber],0)</f>
        <v>0</v>
      </c>
      <c r="U80">
        <f>SUMIF(Regcontabilizados[Número pago],PAGOCompbusc!P80,Regcontabilizados[Debe])</f>
        <v>0</v>
      </c>
      <c r="AA80" s="33" t="str">
        <f>IF(J80=0,"",  _xlfn.XLOOKUP(AB80,Regcontabilizados[Identificador],Regcontabilizados[Subcuenta],0))</f>
        <v/>
      </c>
      <c r="AB80" t="str">
        <f>IF(J80=0,"",  _xlfn.XLOOKUP($H$7,BDPROV[ID-Proveedor],BDPROV[NIT/C.C.],0)&amp;$H$9&amp;D80&amp;"-"&amp;11)</f>
        <v/>
      </c>
      <c r="AC80" t="str">
        <f t="shared" si="8"/>
        <v/>
      </c>
      <c r="AD80" t="str">
        <f t="shared" si="9"/>
        <v>En Blanco</v>
      </c>
      <c r="AE80" t="str">
        <f>_xlfn.XLOOKUP($H$7,BDPROV[ID-Proveedor],BDPROV[NIT/C.C.],0)&amp;$H$13&amp;$E$7&amp;"-"&amp;ROW(Z80)-21</f>
        <v>Comp. Egreso-59</v>
      </c>
    </row>
    <row r="81" spans="3:31">
      <c r="C81" s="194"/>
      <c r="D81" s="206" t="str">
        <f t="shared" si="4"/>
        <v/>
      </c>
      <c r="E81" s="142" t="str">
        <f>_xlfn.XLOOKUP(AB81,Regcontabilizados[Identificador],Regcontabilizados[Fecha vencimiento],0)</f>
        <v/>
      </c>
      <c r="F81" s="183" t="str">
        <f>_xlfn.XLOOKUP(AB81,Regcontabilizados[Identificador],Regcontabilizados[Haber],0)</f>
        <v/>
      </c>
      <c r="G81" s="183">
        <f>_xlfn.XLOOKUP(AH82,Regcontabilizados[Identificador],Regcontabilizados[Debe],0)</f>
        <v>0</v>
      </c>
      <c r="H81" s="37">
        <f t="shared" si="5"/>
        <v>0</v>
      </c>
      <c r="I81" s="37"/>
      <c r="J81" s="210">
        <f t="shared" si="6"/>
        <v>0</v>
      </c>
      <c r="K81" s="197"/>
      <c r="O81" t="str">
        <f>_xlfn.XLOOKUP($H$7,BDPROV[ID-Proveedor],BDPROV[NIT/C.C.])&amp;$H$9&amp;N81&amp;"-"&amp;11</f>
        <v>F.C.-11</v>
      </c>
      <c r="P81" t="str">
        <f t="shared" si="11"/>
        <v/>
      </c>
      <c r="Q81" t="str">
        <f>IF(N81="","",    _xlfn.XLOOKUP(P81,Regcontabilizados[Número pago],Regcontabilizados[Estado de pago],"NO PAGADO"))</f>
        <v/>
      </c>
      <c r="R81" s="44">
        <f>_xlfn.XLOOKUP(O81,Regcontabilizados[Identificador],Regcontabilizados[Fecha vencimiento],0)</f>
        <v>0</v>
      </c>
      <c r="S81">
        <f>_xlfn.XLOOKUP(O81,Regcontabilizados[Identificador],Regcontabilizados[Subcuenta],0)</f>
        <v>0</v>
      </c>
      <c r="T81">
        <f>_xlfn.XLOOKUP(O81,Regcontabilizados[Identificador],Regcontabilizados[Haber],0)</f>
        <v>0</v>
      </c>
      <c r="U81">
        <f>SUMIF(Regcontabilizados[Número pago],PAGOCompbusc!P81,Regcontabilizados[Debe])</f>
        <v>0</v>
      </c>
      <c r="AA81" s="33" t="str">
        <f>IF(J81=0,"",  _xlfn.XLOOKUP(AB81,Regcontabilizados[Identificador],Regcontabilizados[Subcuenta],0))</f>
        <v/>
      </c>
      <c r="AB81" t="str">
        <f>IF(J81=0,"",  _xlfn.XLOOKUP($H$7,BDPROV[ID-Proveedor],BDPROV[NIT/C.C.],0)&amp;$H$9&amp;D81&amp;"-"&amp;11)</f>
        <v/>
      </c>
      <c r="AC81" t="str">
        <f t="shared" si="8"/>
        <v/>
      </c>
      <c r="AD81" t="str">
        <f t="shared" si="9"/>
        <v>En Blanco</v>
      </c>
      <c r="AE81" t="str">
        <f>_xlfn.XLOOKUP($H$7,BDPROV[ID-Proveedor],BDPROV[NIT/C.C.],0)&amp;$H$13&amp;$E$7&amp;"-"&amp;ROW(Z81)-21</f>
        <v>Comp. Egreso-60</v>
      </c>
    </row>
    <row r="82" spans="3:31">
      <c r="C82" s="194"/>
      <c r="D82" s="206" t="str">
        <f t="shared" si="4"/>
        <v/>
      </c>
      <c r="E82" s="142" t="str">
        <f>_xlfn.XLOOKUP(AB82,Regcontabilizados[Identificador],Regcontabilizados[Fecha vencimiento],0)</f>
        <v/>
      </c>
      <c r="F82" s="183" t="str">
        <f>_xlfn.XLOOKUP(AB82,Regcontabilizados[Identificador],Regcontabilizados[Haber],0)</f>
        <v/>
      </c>
      <c r="G82" s="183">
        <f>_xlfn.XLOOKUP(AH83,Regcontabilizados[Identificador],Regcontabilizados[Debe],0)</f>
        <v>0</v>
      </c>
      <c r="H82" s="37">
        <f t="shared" si="5"/>
        <v>0</v>
      </c>
      <c r="I82" s="37"/>
      <c r="J82" s="210">
        <f t="shared" si="6"/>
        <v>0</v>
      </c>
      <c r="K82" s="197"/>
      <c r="O82" t="str">
        <f>_xlfn.XLOOKUP($H$7,BDPROV[ID-Proveedor],BDPROV[NIT/C.C.])&amp;$H$9&amp;N82&amp;"-"&amp;11</f>
        <v>F.C.-11</v>
      </c>
      <c r="P82" t="str">
        <f t="shared" si="11"/>
        <v/>
      </c>
      <c r="Q82" t="str">
        <f>IF(N82="","",    _xlfn.XLOOKUP(P82,Regcontabilizados[Número pago],Regcontabilizados[Estado de pago],"NO PAGADO"))</f>
        <v/>
      </c>
      <c r="R82" s="44">
        <f>_xlfn.XLOOKUP(O82,Regcontabilizados[Identificador],Regcontabilizados[Fecha vencimiento],0)</f>
        <v>0</v>
      </c>
      <c r="S82">
        <f>_xlfn.XLOOKUP(O82,Regcontabilizados[Identificador],Regcontabilizados[Subcuenta],0)</f>
        <v>0</v>
      </c>
      <c r="T82">
        <f>_xlfn.XLOOKUP(O82,Regcontabilizados[Identificador],Regcontabilizados[Haber],0)</f>
        <v>0</v>
      </c>
      <c r="U82">
        <f>SUMIF(Regcontabilizados[Número pago],PAGOCompbusc!P82,Regcontabilizados[Debe])</f>
        <v>0</v>
      </c>
      <c r="AA82" s="33" t="str">
        <f>IF(J82=0,"",  _xlfn.XLOOKUP(AB82,Regcontabilizados[Identificador],Regcontabilizados[Subcuenta],0))</f>
        <v/>
      </c>
      <c r="AB82" t="str">
        <f>IF(J82=0,"",  _xlfn.XLOOKUP($H$7,BDPROV[ID-Proveedor],BDPROV[NIT/C.C.],0)&amp;$H$9&amp;D82&amp;"-"&amp;11)</f>
        <v/>
      </c>
      <c r="AC82" t="str">
        <f t="shared" si="8"/>
        <v/>
      </c>
      <c r="AD82" t="str">
        <f t="shared" si="9"/>
        <v>En Blanco</v>
      </c>
      <c r="AE82" t="str">
        <f>_xlfn.XLOOKUP($H$7,BDPROV[ID-Proveedor],BDPROV[NIT/C.C.],0)&amp;$H$13&amp;$E$7&amp;"-"&amp;ROW(Z82)-21</f>
        <v>Comp. Egreso-61</v>
      </c>
    </row>
    <row r="83" spans="3:31">
      <c r="C83" s="194"/>
      <c r="D83" s="206" t="str">
        <f t="shared" si="4"/>
        <v/>
      </c>
      <c r="E83" s="142" t="str">
        <f>_xlfn.XLOOKUP(AB83,Regcontabilizados[Identificador],Regcontabilizados[Fecha vencimiento],0)</f>
        <v/>
      </c>
      <c r="F83" s="183" t="str">
        <f>_xlfn.XLOOKUP(AB83,Regcontabilizados[Identificador],Regcontabilizados[Haber],0)</f>
        <v/>
      </c>
      <c r="G83" s="183">
        <f>_xlfn.XLOOKUP(AH84,Regcontabilizados[Identificador],Regcontabilizados[Debe],0)</f>
        <v>0</v>
      </c>
      <c r="H83" s="37">
        <f t="shared" si="5"/>
        <v>0</v>
      </c>
      <c r="I83" s="37"/>
      <c r="J83" s="210">
        <f t="shared" si="6"/>
        <v>0</v>
      </c>
      <c r="K83" s="197"/>
      <c r="O83" t="str">
        <f>_xlfn.XLOOKUP($H$7,BDPROV[ID-Proveedor],BDPROV[NIT/C.C.])&amp;$H$9&amp;N83&amp;"-"&amp;11</f>
        <v>F.C.-11</v>
      </c>
      <c r="P83" t="str">
        <f t="shared" si="11"/>
        <v/>
      </c>
      <c r="Q83" t="str">
        <f>IF(N83="","",    _xlfn.XLOOKUP(P83,Regcontabilizados[Número pago],Regcontabilizados[Estado de pago],"NO PAGADO"))</f>
        <v/>
      </c>
      <c r="R83" s="44">
        <f>_xlfn.XLOOKUP(O83,Regcontabilizados[Identificador],Regcontabilizados[Fecha vencimiento],0)</f>
        <v>0</v>
      </c>
      <c r="S83">
        <f>_xlfn.XLOOKUP(O83,Regcontabilizados[Identificador],Regcontabilizados[Subcuenta],0)</f>
        <v>0</v>
      </c>
      <c r="T83">
        <f>_xlfn.XLOOKUP(O83,Regcontabilizados[Identificador],Regcontabilizados[Haber],0)</f>
        <v>0</v>
      </c>
      <c r="U83">
        <f>SUMIF(Regcontabilizados[Número pago],PAGOCompbusc!P83,Regcontabilizados[Debe])</f>
        <v>0</v>
      </c>
      <c r="AA83" s="33" t="str">
        <f>IF(J83=0,"",  _xlfn.XLOOKUP(AB83,Regcontabilizados[Identificador],Regcontabilizados[Subcuenta],0))</f>
        <v/>
      </c>
      <c r="AB83" t="str">
        <f>IF(J83=0,"",  _xlfn.XLOOKUP($H$7,BDPROV[ID-Proveedor],BDPROV[NIT/C.C.],0)&amp;$H$9&amp;D83&amp;"-"&amp;11)</f>
        <v/>
      </c>
      <c r="AC83" t="str">
        <f t="shared" si="8"/>
        <v/>
      </c>
      <c r="AD83" t="str">
        <f t="shared" si="9"/>
        <v>En Blanco</v>
      </c>
      <c r="AE83" t="str">
        <f>_xlfn.XLOOKUP($H$7,BDPROV[ID-Proveedor],BDPROV[NIT/C.C.],0)&amp;$H$13&amp;$E$7&amp;"-"&amp;ROW(Z83)-21</f>
        <v>Comp. Egreso-62</v>
      </c>
    </row>
    <row r="84" spans="3:31">
      <c r="C84" s="194"/>
      <c r="D84" s="206" t="str">
        <f t="shared" si="4"/>
        <v/>
      </c>
      <c r="E84" s="142" t="str">
        <f>_xlfn.XLOOKUP(AB84,Regcontabilizados[Identificador],Regcontabilizados[Fecha vencimiento],0)</f>
        <v/>
      </c>
      <c r="F84" s="183" t="str">
        <f>_xlfn.XLOOKUP(AB84,Regcontabilizados[Identificador],Regcontabilizados[Haber],0)</f>
        <v/>
      </c>
      <c r="G84" s="183">
        <f>_xlfn.XLOOKUP(AH85,Regcontabilizados[Identificador],Regcontabilizados[Debe],0)</f>
        <v>0</v>
      </c>
      <c r="H84" s="37">
        <f t="shared" si="5"/>
        <v>0</v>
      </c>
      <c r="I84" s="37"/>
      <c r="J84" s="210">
        <f t="shared" si="6"/>
        <v>0</v>
      </c>
      <c r="K84" s="197"/>
      <c r="O84" t="str">
        <f>_xlfn.XLOOKUP($H$7,BDPROV[ID-Proveedor],BDPROV[NIT/C.C.])&amp;$H$9&amp;N84&amp;"-"&amp;11</f>
        <v>F.C.-11</v>
      </c>
      <c r="P84" t="str">
        <f t="shared" si="11"/>
        <v/>
      </c>
      <c r="Q84" t="str">
        <f>IF(N84="","",    _xlfn.XLOOKUP(P84,Regcontabilizados[Número pago],Regcontabilizados[Estado de pago],"NO PAGADO"))</f>
        <v/>
      </c>
      <c r="R84" s="44">
        <f>_xlfn.XLOOKUP(O84,Regcontabilizados[Identificador],Regcontabilizados[Fecha vencimiento],0)</f>
        <v>0</v>
      </c>
      <c r="S84">
        <f>_xlfn.XLOOKUP(O84,Regcontabilizados[Identificador],Regcontabilizados[Subcuenta],0)</f>
        <v>0</v>
      </c>
      <c r="T84">
        <f>_xlfn.XLOOKUP(O84,Regcontabilizados[Identificador],Regcontabilizados[Haber],0)</f>
        <v>0</v>
      </c>
      <c r="U84">
        <f>SUMIF(Regcontabilizados[Número pago],PAGOCompbusc!P84,Regcontabilizados[Debe])</f>
        <v>0</v>
      </c>
      <c r="AA84" s="33" t="str">
        <f>IF(J84=0,"",  _xlfn.XLOOKUP(AB84,Regcontabilizados[Identificador],Regcontabilizados[Subcuenta],0))</f>
        <v/>
      </c>
      <c r="AB84" t="str">
        <f>IF(J84=0,"",  _xlfn.XLOOKUP($H$7,BDPROV[ID-Proveedor],BDPROV[NIT/C.C.],0)&amp;$H$9&amp;D84&amp;"-"&amp;11)</f>
        <v/>
      </c>
      <c r="AC84" t="str">
        <f t="shared" si="8"/>
        <v/>
      </c>
      <c r="AD84" t="str">
        <f t="shared" si="9"/>
        <v>En Blanco</v>
      </c>
      <c r="AE84" t="str">
        <f>_xlfn.XLOOKUP($H$7,BDPROV[ID-Proveedor],BDPROV[NIT/C.C.],0)&amp;$H$13&amp;$E$7&amp;"-"&amp;ROW(Z84)-21</f>
        <v>Comp. Egreso-63</v>
      </c>
    </row>
    <row r="85" spans="3:31">
      <c r="C85" s="194"/>
      <c r="D85" s="206" t="str">
        <f t="shared" si="4"/>
        <v/>
      </c>
      <c r="E85" s="142" t="str">
        <f>_xlfn.XLOOKUP(AB85,Regcontabilizados[Identificador],Regcontabilizados[Fecha vencimiento],0)</f>
        <v/>
      </c>
      <c r="F85" s="183" t="str">
        <f>_xlfn.XLOOKUP(AB85,Regcontabilizados[Identificador],Regcontabilizados[Haber],0)</f>
        <v/>
      </c>
      <c r="G85" s="183">
        <f>_xlfn.XLOOKUP(AH86,Regcontabilizados[Identificador],Regcontabilizados[Debe],0)</f>
        <v>0</v>
      </c>
      <c r="H85" s="37">
        <f t="shared" si="5"/>
        <v>0</v>
      </c>
      <c r="I85" s="37"/>
      <c r="J85" s="210">
        <f t="shared" si="6"/>
        <v>0</v>
      </c>
      <c r="K85" s="197"/>
      <c r="O85" t="str">
        <f>_xlfn.XLOOKUP($H$7,BDPROV[ID-Proveedor],BDPROV[NIT/C.C.])&amp;$H$9&amp;N85&amp;"-"&amp;11</f>
        <v>F.C.-11</v>
      </c>
      <c r="P85" t="str">
        <f t="shared" si="11"/>
        <v/>
      </c>
      <c r="Q85" t="str">
        <f>IF(N85="","",    _xlfn.XLOOKUP(P85,Regcontabilizados[Número pago],Regcontabilizados[Estado de pago],"NO PAGADO"))</f>
        <v/>
      </c>
      <c r="R85" s="44">
        <f>_xlfn.XLOOKUP(O85,Regcontabilizados[Identificador],Regcontabilizados[Fecha vencimiento],0)</f>
        <v>0</v>
      </c>
      <c r="S85">
        <f>_xlfn.XLOOKUP(O85,Regcontabilizados[Identificador],Regcontabilizados[Subcuenta],0)</f>
        <v>0</v>
      </c>
      <c r="T85">
        <f>_xlfn.XLOOKUP(O85,Regcontabilizados[Identificador],Regcontabilizados[Haber],0)</f>
        <v>0</v>
      </c>
      <c r="U85">
        <f>SUMIF(Regcontabilizados[Número pago],PAGOCompbusc!P85,Regcontabilizados[Debe])</f>
        <v>0</v>
      </c>
      <c r="AA85" s="33" t="str">
        <f>IF(J85=0,"",  _xlfn.XLOOKUP(AB85,Regcontabilizados[Identificador],Regcontabilizados[Subcuenta],0))</f>
        <v/>
      </c>
      <c r="AB85" t="str">
        <f>IF(J85=0,"",  _xlfn.XLOOKUP($H$7,BDPROV[ID-Proveedor],BDPROV[NIT/C.C.],0)&amp;$H$9&amp;D85&amp;"-"&amp;11)</f>
        <v/>
      </c>
      <c r="AC85" t="str">
        <f t="shared" si="8"/>
        <v/>
      </c>
      <c r="AD85" t="str">
        <f t="shared" si="9"/>
        <v>En Blanco</v>
      </c>
      <c r="AE85" t="str">
        <f>_xlfn.XLOOKUP($H$7,BDPROV[ID-Proveedor],BDPROV[NIT/C.C.],0)&amp;$H$13&amp;$E$7&amp;"-"&amp;ROW(Z85)-21</f>
        <v>Comp. Egreso-64</v>
      </c>
    </row>
    <row r="86" spans="3:31">
      <c r="C86" s="194"/>
      <c r="D86" s="206" t="str">
        <f t="shared" si="4"/>
        <v/>
      </c>
      <c r="E86" s="142" t="str">
        <f>_xlfn.XLOOKUP(AB86,Regcontabilizados[Identificador],Regcontabilizados[Fecha vencimiento],0)</f>
        <v/>
      </c>
      <c r="F86" s="183" t="str">
        <f>_xlfn.XLOOKUP(AB86,Regcontabilizados[Identificador],Regcontabilizados[Haber],0)</f>
        <v/>
      </c>
      <c r="G86" s="183">
        <f>_xlfn.XLOOKUP(AH87,Regcontabilizados[Identificador],Regcontabilizados[Debe],0)</f>
        <v>0</v>
      </c>
      <c r="H86" s="37">
        <f t="shared" si="5"/>
        <v>0</v>
      </c>
      <c r="I86" s="37"/>
      <c r="J86" s="210">
        <f t="shared" si="6"/>
        <v>0</v>
      </c>
      <c r="K86" s="197"/>
      <c r="O86" t="str">
        <f>_xlfn.XLOOKUP($H$7,BDPROV[ID-Proveedor],BDPROV[NIT/C.C.])&amp;$H$9&amp;N86&amp;"-"&amp;11</f>
        <v>F.C.-11</v>
      </c>
      <c r="P86" t="str">
        <f t="shared" si="11"/>
        <v/>
      </c>
      <c r="Q86" t="str">
        <f>IF(N86="","",    _xlfn.XLOOKUP(P86,Regcontabilizados[Número pago],Regcontabilizados[Estado de pago],"NO PAGADO"))</f>
        <v/>
      </c>
      <c r="R86" s="44">
        <f>_xlfn.XLOOKUP(O86,Regcontabilizados[Identificador],Regcontabilizados[Fecha vencimiento],0)</f>
        <v>0</v>
      </c>
      <c r="S86">
        <f>_xlfn.XLOOKUP(O86,Regcontabilizados[Identificador],Regcontabilizados[Subcuenta],0)</f>
        <v>0</v>
      </c>
      <c r="T86">
        <f>_xlfn.XLOOKUP(O86,Regcontabilizados[Identificador],Regcontabilizados[Haber],0)</f>
        <v>0</v>
      </c>
      <c r="U86">
        <f>SUMIF(Regcontabilizados[Número pago],PAGOCompbusc!P86,Regcontabilizados[Debe])</f>
        <v>0</v>
      </c>
      <c r="AA86" s="33" t="str">
        <f>IF(J86=0,"",  _xlfn.XLOOKUP(AB86,Regcontabilizados[Identificador],Regcontabilizados[Subcuenta],0))</f>
        <v/>
      </c>
      <c r="AB86" t="str">
        <f>IF(J86=0,"",  _xlfn.XLOOKUP($H$7,BDPROV[ID-Proveedor],BDPROV[NIT/C.C.],0)&amp;$H$9&amp;D86&amp;"-"&amp;11)</f>
        <v/>
      </c>
      <c r="AC86" t="str">
        <f t="shared" si="8"/>
        <v/>
      </c>
      <c r="AD86" t="str">
        <f t="shared" si="9"/>
        <v>En Blanco</v>
      </c>
      <c r="AE86" t="str">
        <f>_xlfn.XLOOKUP($H$7,BDPROV[ID-Proveedor],BDPROV[NIT/C.C.],0)&amp;$H$13&amp;$E$7&amp;"-"&amp;ROW(Z86)-21</f>
        <v>Comp. Egreso-65</v>
      </c>
    </row>
    <row r="87" spans="3:31">
      <c r="C87" s="194"/>
      <c r="D87" s="206" t="str">
        <f t="shared" ref="D87:D142" si="12">IFERROR(RIGHT(AG88,LEN(AG88)-SEARCH("F.C.",AG88)-3),"")</f>
        <v/>
      </c>
      <c r="E87" s="142" t="str">
        <f>_xlfn.XLOOKUP(AB87,Regcontabilizados[Identificador],Regcontabilizados[Fecha vencimiento],0)</f>
        <v/>
      </c>
      <c r="F87" s="183" t="str">
        <f>_xlfn.XLOOKUP(AB87,Regcontabilizados[Identificador],Regcontabilizados[Haber],0)</f>
        <v/>
      </c>
      <c r="G87" s="183">
        <f>_xlfn.XLOOKUP(AH88,Regcontabilizados[Identificador],Regcontabilizados[Debe],0)</f>
        <v>0</v>
      </c>
      <c r="H87" s="37">
        <f t="shared" ref="H87:H142" si="13">IFERROR(F87-G87,0)</f>
        <v>0</v>
      </c>
      <c r="I87" s="37"/>
      <c r="J87" s="210">
        <f t="shared" ref="J87:J142" si="14">IF(G87&lt;&gt;0,1,0)</f>
        <v>0</v>
      </c>
      <c r="K87" s="197"/>
      <c r="O87" t="str">
        <f>_xlfn.XLOOKUP($H$7,BDPROV[ID-Proveedor],BDPROV[NIT/C.C.])&amp;$H$9&amp;N87&amp;"-"&amp;11</f>
        <v>F.C.-11</v>
      </c>
      <c r="P87" t="str">
        <f t="shared" si="11"/>
        <v/>
      </c>
      <c r="Q87" t="str">
        <f>IF(N87="","",    _xlfn.XLOOKUP(P87,Regcontabilizados[Número pago],Regcontabilizados[Estado de pago],"NO PAGADO"))</f>
        <v/>
      </c>
      <c r="R87" s="44">
        <f>_xlfn.XLOOKUP(O87,Regcontabilizados[Identificador],Regcontabilizados[Fecha vencimiento],0)</f>
        <v>0</v>
      </c>
      <c r="S87">
        <f>_xlfn.XLOOKUP(O87,Regcontabilizados[Identificador],Regcontabilizados[Subcuenta],0)</f>
        <v>0</v>
      </c>
      <c r="T87">
        <f>_xlfn.XLOOKUP(O87,Regcontabilizados[Identificador],Regcontabilizados[Haber],0)</f>
        <v>0</v>
      </c>
      <c r="U87">
        <f>SUMIF(Regcontabilizados[Número pago],PAGOCompbusc!P87,Regcontabilizados[Debe])</f>
        <v>0</v>
      </c>
      <c r="AA87" s="33" t="str">
        <f>IF(J87=0,"",  _xlfn.XLOOKUP(AB87,Regcontabilizados[Identificador],Regcontabilizados[Subcuenta],0))</f>
        <v/>
      </c>
      <c r="AB87" t="str">
        <f>IF(J87=0,"",  _xlfn.XLOOKUP($H$7,BDPROV[ID-Proveedor],BDPROV[NIT/C.C.],0)&amp;$H$9&amp;D87&amp;"-"&amp;11)</f>
        <v/>
      </c>
      <c r="AC87" t="str">
        <f t="shared" ref="AC87:AC140" si="15">IF(J87=0,"",  IF(D87&lt;&gt;"",IFERROR(LEFT(AB87,SEARCH("-",AB87)-1),0),""))</f>
        <v/>
      </c>
      <c r="AD87" t="str">
        <f t="shared" ref="AD87:AD140" si="16">IF(AND(AC87="",J87=0),"En Blanco","DATO")</f>
        <v>En Blanco</v>
      </c>
      <c r="AE87" t="str">
        <f>_xlfn.XLOOKUP($H$7,BDPROV[ID-Proveedor],BDPROV[NIT/C.C.],0)&amp;$H$13&amp;$E$7&amp;"-"&amp;ROW(Z87)-21</f>
        <v>Comp. Egreso-66</v>
      </c>
    </row>
    <row r="88" spans="3:31">
      <c r="C88" s="194"/>
      <c r="D88" s="206" t="str">
        <f t="shared" si="12"/>
        <v/>
      </c>
      <c r="E88" s="142" t="str">
        <f>_xlfn.XLOOKUP(AB88,Regcontabilizados[Identificador],Regcontabilizados[Fecha vencimiento],0)</f>
        <v/>
      </c>
      <c r="F88" s="183" t="str">
        <f>_xlfn.XLOOKUP(AB88,Regcontabilizados[Identificador],Regcontabilizados[Haber],0)</f>
        <v/>
      </c>
      <c r="G88" s="183">
        <f>_xlfn.XLOOKUP(AH89,Regcontabilizados[Identificador],Regcontabilizados[Debe],0)</f>
        <v>0</v>
      </c>
      <c r="H88" s="37">
        <f t="shared" si="13"/>
        <v>0</v>
      </c>
      <c r="I88" s="37"/>
      <c r="J88" s="210">
        <f t="shared" si="14"/>
        <v>0</v>
      </c>
      <c r="K88" s="197"/>
      <c r="O88" t="str">
        <f>_xlfn.XLOOKUP($H$7,BDPROV[ID-Proveedor],BDPROV[NIT/C.C.])&amp;$H$9&amp;N88&amp;"-"&amp;11</f>
        <v>F.C.-11</v>
      </c>
      <c r="P88" t="str">
        <f t="shared" si="11"/>
        <v/>
      </c>
      <c r="Q88" t="str">
        <f>IF(N88="","",    _xlfn.XLOOKUP(P88,Regcontabilizados[Número pago],Regcontabilizados[Estado de pago],"NO PAGADO"))</f>
        <v/>
      </c>
      <c r="R88" s="44">
        <f>_xlfn.XLOOKUP(O88,Regcontabilizados[Identificador],Regcontabilizados[Fecha vencimiento],0)</f>
        <v>0</v>
      </c>
      <c r="S88">
        <f>_xlfn.XLOOKUP(O88,Regcontabilizados[Identificador],Regcontabilizados[Subcuenta],0)</f>
        <v>0</v>
      </c>
      <c r="T88">
        <f>_xlfn.XLOOKUP(O88,Regcontabilizados[Identificador],Regcontabilizados[Haber],0)</f>
        <v>0</v>
      </c>
      <c r="U88">
        <f>SUMIF(Regcontabilizados[Número pago],PAGOCompbusc!P88,Regcontabilizados[Debe])</f>
        <v>0</v>
      </c>
      <c r="AA88" s="33" t="str">
        <f>IF(J88=0,"",  _xlfn.XLOOKUP(AB88,Regcontabilizados[Identificador],Regcontabilizados[Subcuenta],0))</f>
        <v/>
      </c>
      <c r="AB88" t="str">
        <f>IF(J88=0,"",  _xlfn.XLOOKUP($H$7,BDPROV[ID-Proveedor],BDPROV[NIT/C.C.],0)&amp;$H$9&amp;D88&amp;"-"&amp;11)</f>
        <v/>
      </c>
      <c r="AC88" t="str">
        <f t="shared" si="15"/>
        <v/>
      </c>
      <c r="AD88" t="str">
        <f t="shared" si="16"/>
        <v>En Blanco</v>
      </c>
      <c r="AE88" t="str">
        <f>_xlfn.XLOOKUP($H$7,BDPROV[ID-Proveedor],BDPROV[NIT/C.C.],0)&amp;$H$13&amp;$E$7&amp;"-"&amp;ROW(Z88)-21</f>
        <v>Comp. Egreso-67</v>
      </c>
    </row>
    <row r="89" spans="3:31">
      <c r="C89" s="194"/>
      <c r="D89" s="206" t="str">
        <f t="shared" si="12"/>
        <v/>
      </c>
      <c r="E89" s="142" t="str">
        <f>_xlfn.XLOOKUP(AB89,Regcontabilizados[Identificador],Regcontabilizados[Fecha vencimiento],0)</f>
        <v/>
      </c>
      <c r="F89" s="183" t="str">
        <f>_xlfn.XLOOKUP(AB89,Regcontabilizados[Identificador],Regcontabilizados[Haber],0)</f>
        <v/>
      </c>
      <c r="G89" s="183">
        <f>_xlfn.XLOOKUP(AH90,Regcontabilizados[Identificador],Regcontabilizados[Debe],0)</f>
        <v>0</v>
      </c>
      <c r="H89" s="37">
        <f t="shared" si="13"/>
        <v>0</v>
      </c>
      <c r="I89" s="37"/>
      <c r="J89" s="210">
        <f t="shared" si="14"/>
        <v>0</v>
      </c>
      <c r="K89" s="197"/>
      <c r="O89" t="str">
        <f>_xlfn.XLOOKUP($H$7,BDPROV[ID-Proveedor],BDPROV[NIT/C.C.])&amp;$H$9&amp;N89&amp;"-"&amp;11</f>
        <v>F.C.-11</v>
      </c>
      <c r="P89" t="str">
        <f t="shared" ref="P89:P142" si="17">IF(N89&lt;&gt;"",IFERROR(LEFT(O89,SEARCH("-",O89)-1),0),"")</f>
        <v/>
      </c>
      <c r="Q89" t="str">
        <f>IF(N89="","",    _xlfn.XLOOKUP(P89,Regcontabilizados[Número pago],Regcontabilizados[Estado de pago],"NO PAGADO"))</f>
        <v/>
      </c>
      <c r="R89" s="44">
        <f>_xlfn.XLOOKUP(O89,Regcontabilizados[Identificador],Regcontabilizados[Fecha vencimiento],0)</f>
        <v>0</v>
      </c>
      <c r="S89">
        <f>_xlfn.XLOOKUP(O89,Regcontabilizados[Identificador],Regcontabilizados[Subcuenta],0)</f>
        <v>0</v>
      </c>
      <c r="T89">
        <f>_xlfn.XLOOKUP(O89,Regcontabilizados[Identificador],Regcontabilizados[Haber],0)</f>
        <v>0</v>
      </c>
      <c r="U89">
        <f>SUMIF(Regcontabilizados[Número pago],PAGOCompbusc!P89,Regcontabilizados[Debe])</f>
        <v>0</v>
      </c>
      <c r="AA89" s="33" t="str">
        <f>IF(J89=0,"",  _xlfn.XLOOKUP(AB89,Regcontabilizados[Identificador],Regcontabilizados[Subcuenta],0))</f>
        <v/>
      </c>
      <c r="AB89" t="str">
        <f>IF(J89=0,"",  _xlfn.XLOOKUP($H$7,BDPROV[ID-Proveedor],BDPROV[NIT/C.C.],0)&amp;$H$9&amp;D89&amp;"-"&amp;11)</f>
        <v/>
      </c>
      <c r="AC89" t="str">
        <f t="shared" si="15"/>
        <v/>
      </c>
      <c r="AD89" t="str">
        <f t="shared" si="16"/>
        <v>En Blanco</v>
      </c>
      <c r="AE89" t="str">
        <f>_xlfn.XLOOKUP($H$7,BDPROV[ID-Proveedor],BDPROV[NIT/C.C.],0)&amp;$H$13&amp;$E$7&amp;"-"&amp;ROW(Z89)-21</f>
        <v>Comp. Egreso-68</v>
      </c>
    </row>
    <row r="90" spans="3:31">
      <c r="C90" s="194"/>
      <c r="D90" s="206" t="str">
        <f t="shared" si="12"/>
        <v/>
      </c>
      <c r="E90" s="142" t="str">
        <f>_xlfn.XLOOKUP(AB90,Regcontabilizados[Identificador],Regcontabilizados[Fecha vencimiento],0)</f>
        <v/>
      </c>
      <c r="F90" s="183" t="str">
        <f>_xlfn.XLOOKUP(AB90,Regcontabilizados[Identificador],Regcontabilizados[Haber],0)</f>
        <v/>
      </c>
      <c r="G90" s="183">
        <f>_xlfn.XLOOKUP(AH91,Regcontabilizados[Identificador],Regcontabilizados[Debe],0)</f>
        <v>0</v>
      </c>
      <c r="H90" s="37">
        <f t="shared" si="13"/>
        <v>0</v>
      </c>
      <c r="I90" s="37"/>
      <c r="J90" s="210">
        <f t="shared" si="14"/>
        <v>0</v>
      </c>
      <c r="K90" s="197"/>
      <c r="O90" t="str">
        <f>_xlfn.XLOOKUP($H$7,BDPROV[ID-Proveedor],BDPROV[NIT/C.C.])&amp;$H$9&amp;N90&amp;"-"&amp;11</f>
        <v>F.C.-11</v>
      </c>
      <c r="P90" t="str">
        <f t="shared" si="17"/>
        <v/>
      </c>
      <c r="Q90" t="str">
        <f>IF(N90="","",    _xlfn.XLOOKUP(P90,Regcontabilizados[Número pago],Regcontabilizados[Estado de pago],"NO PAGADO"))</f>
        <v/>
      </c>
      <c r="R90" s="44">
        <f>_xlfn.XLOOKUP(O90,Regcontabilizados[Identificador],Regcontabilizados[Fecha vencimiento],0)</f>
        <v>0</v>
      </c>
      <c r="S90">
        <f>_xlfn.XLOOKUP(O90,Regcontabilizados[Identificador],Regcontabilizados[Subcuenta],0)</f>
        <v>0</v>
      </c>
      <c r="T90">
        <f>_xlfn.XLOOKUP(O90,Regcontabilizados[Identificador],Regcontabilizados[Haber],0)</f>
        <v>0</v>
      </c>
      <c r="U90">
        <f>SUMIF(Regcontabilizados[Número pago],PAGOCompbusc!P90,Regcontabilizados[Debe])</f>
        <v>0</v>
      </c>
      <c r="AA90" s="33" t="str">
        <f>IF(J90=0,"",  _xlfn.XLOOKUP(AB90,Regcontabilizados[Identificador],Regcontabilizados[Subcuenta],0))</f>
        <v/>
      </c>
      <c r="AB90" t="str">
        <f>IF(J90=0,"",  _xlfn.XLOOKUP($H$7,BDPROV[ID-Proveedor],BDPROV[NIT/C.C.],0)&amp;$H$9&amp;D90&amp;"-"&amp;11)</f>
        <v/>
      </c>
      <c r="AC90" t="str">
        <f t="shared" si="15"/>
        <v/>
      </c>
      <c r="AD90" t="str">
        <f t="shared" si="16"/>
        <v>En Blanco</v>
      </c>
      <c r="AE90" t="str">
        <f>_xlfn.XLOOKUP($H$7,BDPROV[ID-Proveedor],BDPROV[NIT/C.C.],0)&amp;$H$13&amp;$E$7&amp;"-"&amp;ROW(Z90)-21</f>
        <v>Comp. Egreso-69</v>
      </c>
    </row>
    <row r="91" spans="3:31">
      <c r="C91" s="194"/>
      <c r="D91" s="206" t="str">
        <f t="shared" si="12"/>
        <v/>
      </c>
      <c r="E91" s="142" t="str">
        <f>_xlfn.XLOOKUP(AB91,Regcontabilizados[Identificador],Regcontabilizados[Fecha vencimiento],0)</f>
        <v/>
      </c>
      <c r="F91" s="183" t="str">
        <f>_xlfn.XLOOKUP(AB91,Regcontabilizados[Identificador],Regcontabilizados[Haber],0)</f>
        <v/>
      </c>
      <c r="G91" s="183">
        <f>_xlfn.XLOOKUP(AH92,Regcontabilizados[Identificador],Regcontabilizados[Debe],0)</f>
        <v>0</v>
      </c>
      <c r="H91" s="37">
        <f t="shared" si="13"/>
        <v>0</v>
      </c>
      <c r="I91" s="37"/>
      <c r="J91" s="210">
        <f t="shared" si="14"/>
        <v>0</v>
      </c>
      <c r="K91" s="197"/>
      <c r="O91" t="str">
        <f>_xlfn.XLOOKUP($H$7,BDPROV[ID-Proveedor],BDPROV[NIT/C.C.])&amp;$H$9&amp;N91&amp;"-"&amp;11</f>
        <v>F.C.-11</v>
      </c>
      <c r="P91" t="str">
        <f t="shared" si="17"/>
        <v/>
      </c>
      <c r="Q91" t="str">
        <f>IF(N91="","",    _xlfn.XLOOKUP(P91,Regcontabilizados[Número pago],Regcontabilizados[Estado de pago],"NO PAGADO"))</f>
        <v/>
      </c>
      <c r="R91" s="44">
        <f>_xlfn.XLOOKUP(O91,Regcontabilizados[Identificador],Regcontabilizados[Fecha vencimiento],0)</f>
        <v>0</v>
      </c>
      <c r="S91">
        <f>_xlfn.XLOOKUP(O91,Regcontabilizados[Identificador],Regcontabilizados[Subcuenta],0)</f>
        <v>0</v>
      </c>
      <c r="T91">
        <f>_xlfn.XLOOKUP(O91,Regcontabilizados[Identificador],Regcontabilizados[Haber],0)</f>
        <v>0</v>
      </c>
      <c r="U91">
        <f>SUMIF(Regcontabilizados[Número pago],PAGOCompbusc!P91,Regcontabilizados[Debe])</f>
        <v>0</v>
      </c>
      <c r="AA91" s="33" t="str">
        <f>IF(J91=0,"",  _xlfn.XLOOKUP(AB91,Regcontabilizados[Identificador],Regcontabilizados[Subcuenta],0))</f>
        <v/>
      </c>
      <c r="AB91" t="str">
        <f>IF(J91=0,"",  _xlfn.XLOOKUP($H$7,BDPROV[ID-Proveedor],BDPROV[NIT/C.C.],0)&amp;$H$9&amp;D91&amp;"-"&amp;11)</f>
        <v/>
      </c>
      <c r="AC91" t="str">
        <f t="shared" si="15"/>
        <v/>
      </c>
      <c r="AD91" t="str">
        <f t="shared" si="16"/>
        <v>En Blanco</v>
      </c>
      <c r="AE91" t="str">
        <f>_xlfn.XLOOKUP($H$7,BDPROV[ID-Proveedor],BDPROV[NIT/C.C.],0)&amp;$H$13&amp;$E$7&amp;"-"&amp;ROW(Z91)-21</f>
        <v>Comp. Egreso-70</v>
      </c>
    </row>
    <row r="92" spans="3:31">
      <c r="C92" s="194"/>
      <c r="D92" s="206" t="str">
        <f t="shared" si="12"/>
        <v/>
      </c>
      <c r="E92" s="142" t="str">
        <f>_xlfn.XLOOKUP(AB92,Regcontabilizados[Identificador],Regcontabilizados[Fecha vencimiento],0)</f>
        <v/>
      </c>
      <c r="F92" s="183" t="str">
        <f>_xlfn.XLOOKUP(AB92,Regcontabilizados[Identificador],Regcontabilizados[Haber],0)</f>
        <v/>
      </c>
      <c r="G92" s="183">
        <f>_xlfn.XLOOKUP(AH93,Regcontabilizados[Identificador],Regcontabilizados[Debe],0)</f>
        <v>0</v>
      </c>
      <c r="H92" s="37">
        <f t="shared" si="13"/>
        <v>0</v>
      </c>
      <c r="I92" s="37"/>
      <c r="J92" s="210">
        <f t="shared" si="14"/>
        <v>0</v>
      </c>
      <c r="K92" s="197"/>
      <c r="O92" t="str">
        <f>_xlfn.XLOOKUP($H$7,BDPROV[ID-Proveedor],BDPROV[NIT/C.C.])&amp;$H$9&amp;N92&amp;"-"&amp;11</f>
        <v>F.C.-11</v>
      </c>
      <c r="P92" t="str">
        <f t="shared" si="17"/>
        <v/>
      </c>
      <c r="Q92" t="str">
        <f>IF(N92="","",    _xlfn.XLOOKUP(P92,Regcontabilizados[Número pago],Regcontabilizados[Estado de pago],"NO PAGADO"))</f>
        <v/>
      </c>
      <c r="R92" s="44">
        <f>_xlfn.XLOOKUP(O92,Regcontabilizados[Identificador],Regcontabilizados[Fecha vencimiento],0)</f>
        <v>0</v>
      </c>
      <c r="S92">
        <f>_xlfn.XLOOKUP(O92,Regcontabilizados[Identificador],Regcontabilizados[Subcuenta],0)</f>
        <v>0</v>
      </c>
      <c r="T92">
        <f>_xlfn.XLOOKUP(O92,Regcontabilizados[Identificador],Regcontabilizados[Haber],0)</f>
        <v>0</v>
      </c>
      <c r="U92">
        <f>SUMIF(Regcontabilizados[Número pago],PAGOCompbusc!P92,Regcontabilizados[Debe])</f>
        <v>0</v>
      </c>
      <c r="AA92" s="33" t="str">
        <f>IF(J92=0,"",  _xlfn.XLOOKUP(AB92,Regcontabilizados[Identificador],Regcontabilizados[Subcuenta],0))</f>
        <v/>
      </c>
      <c r="AB92" t="str">
        <f>IF(J92=0,"",  _xlfn.XLOOKUP($H$7,BDPROV[ID-Proveedor],BDPROV[NIT/C.C.],0)&amp;$H$9&amp;D92&amp;"-"&amp;11)</f>
        <v/>
      </c>
      <c r="AC92" t="str">
        <f t="shared" si="15"/>
        <v/>
      </c>
      <c r="AD92" t="str">
        <f t="shared" si="16"/>
        <v>En Blanco</v>
      </c>
      <c r="AE92" t="str">
        <f>_xlfn.XLOOKUP($H$7,BDPROV[ID-Proveedor],BDPROV[NIT/C.C.],0)&amp;$H$13&amp;$E$7&amp;"-"&amp;ROW(Z92)-21</f>
        <v>Comp. Egreso-71</v>
      </c>
    </row>
    <row r="93" spans="3:31">
      <c r="C93" s="194"/>
      <c r="D93" s="206" t="str">
        <f t="shared" si="12"/>
        <v/>
      </c>
      <c r="E93" s="142" t="str">
        <f>_xlfn.XLOOKUP(AB93,Regcontabilizados[Identificador],Regcontabilizados[Fecha vencimiento],0)</f>
        <v/>
      </c>
      <c r="F93" s="183" t="str">
        <f>_xlfn.XLOOKUP(AB93,Regcontabilizados[Identificador],Regcontabilizados[Haber],0)</f>
        <v/>
      </c>
      <c r="G93" s="183">
        <f>_xlfn.XLOOKUP(AH94,Regcontabilizados[Identificador],Regcontabilizados[Debe],0)</f>
        <v>0</v>
      </c>
      <c r="H93" s="37">
        <f t="shared" si="13"/>
        <v>0</v>
      </c>
      <c r="I93" s="37"/>
      <c r="J93" s="210">
        <f t="shared" si="14"/>
        <v>0</v>
      </c>
      <c r="K93" s="197"/>
      <c r="O93" t="str">
        <f>_xlfn.XLOOKUP($H$7,BDPROV[ID-Proveedor],BDPROV[NIT/C.C.])&amp;$H$9&amp;N93&amp;"-"&amp;11</f>
        <v>F.C.-11</v>
      </c>
      <c r="P93" t="str">
        <f t="shared" si="17"/>
        <v/>
      </c>
      <c r="Q93" t="str">
        <f>IF(N93="","",    _xlfn.XLOOKUP(P93,Regcontabilizados[Número pago],Regcontabilizados[Estado de pago],"NO PAGADO"))</f>
        <v/>
      </c>
      <c r="R93" s="44">
        <f>_xlfn.XLOOKUP(O93,Regcontabilizados[Identificador],Regcontabilizados[Fecha vencimiento],0)</f>
        <v>0</v>
      </c>
      <c r="S93">
        <f>_xlfn.XLOOKUP(O93,Regcontabilizados[Identificador],Regcontabilizados[Subcuenta],0)</f>
        <v>0</v>
      </c>
      <c r="T93">
        <f>_xlfn.XLOOKUP(O93,Regcontabilizados[Identificador],Regcontabilizados[Haber],0)</f>
        <v>0</v>
      </c>
      <c r="U93">
        <f>SUMIF(Regcontabilizados[Número pago],PAGOCompbusc!P93,Regcontabilizados[Debe])</f>
        <v>0</v>
      </c>
      <c r="AA93" s="33" t="str">
        <f>IF(J93=0,"",  _xlfn.XLOOKUP(AB93,Regcontabilizados[Identificador],Regcontabilizados[Subcuenta],0))</f>
        <v/>
      </c>
      <c r="AB93" t="str">
        <f>IF(J93=0,"",  _xlfn.XLOOKUP($H$7,BDPROV[ID-Proveedor],BDPROV[NIT/C.C.],0)&amp;$H$9&amp;D93&amp;"-"&amp;11)</f>
        <v/>
      </c>
      <c r="AC93" t="str">
        <f t="shared" si="15"/>
        <v/>
      </c>
      <c r="AD93" t="str">
        <f t="shared" si="16"/>
        <v>En Blanco</v>
      </c>
      <c r="AE93" t="str">
        <f>_xlfn.XLOOKUP($H$7,BDPROV[ID-Proveedor],BDPROV[NIT/C.C.],0)&amp;$H$13&amp;$E$7&amp;"-"&amp;ROW(Z93)-21</f>
        <v>Comp. Egreso-72</v>
      </c>
    </row>
    <row r="94" spans="3:31">
      <c r="C94" s="194"/>
      <c r="D94" s="206" t="str">
        <f t="shared" si="12"/>
        <v/>
      </c>
      <c r="E94" s="142" t="str">
        <f>_xlfn.XLOOKUP(AB94,Regcontabilizados[Identificador],Regcontabilizados[Fecha vencimiento],0)</f>
        <v/>
      </c>
      <c r="F94" s="183" t="str">
        <f>_xlfn.XLOOKUP(AB94,Regcontabilizados[Identificador],Regcontabilizados[Haber],0)</f>
        <v/>
      </c>
      <c r="G94" s="183">
        <f>_xlfn.XLOOKUP(AH95,Regcontabilizados[Identificador],Regcontabilizados[Debe],0)</f>
        <v>0</v>
      </c>
      <c r="H94" s="37">
        <f t="shared" si="13"/>
        <v>0</v>
      </c>
      <c r="I94" s="37"/>
      <c r="J94" s="210">
        <f t="shared" si="14"/>
        <v>0</v>
      </c>
      <c r="K94" s="197"/>
      <c r="O94" t="str">
        <f>_xlfn.XLOOKUP($H$7,BDPROV[ID-Proveedor],BDPROV[NIT/C.C.])&amp;$H$9&amp;N94&amp;"-"&amp;11</f>
        <v>F.C.-11</v>
      </c>
      <c r="P94" t="str">
        <f t="shared" si="17"/>
        <v/>
      </c>
      <c r="Q94" t="str">
        <f>IF(N94="","",    _xlfn.XLOOKUP(P94,Regcontabilizados[Número pago],Regcontabilizados[Estado de pago],"NO PAGADO"))</f>
        <v/>
      </c>
      <c r="R94" s="44">
        <f>_xlfn.XLOOKUP(O94,Regcontabilizados[Identificador],Regcontabilizados[Fecha vencimiento],0)</f>
        <v>0</v>
      </c>
      <c r="S94">
        <f>_xlfn.XLOOKUP(O94,Regcontabilizados[Identificador],Regcontabilizados[Subcuenta],0)</f>
        <v>0</v>
      </c>
      <c r="T94">
        <f>_xlfn.XLOOKUP(O94,Regcontabilizados[Identificador],Regcontabilizados[Haber],0)</f>
        <v>0</v>
      </c>
      <c r="U94">
        <f>SUMIF(Regcontabilizados[Número pago],PAGOCompbusc!P94,Regcontabilizados[Debe])</f>
        <v>0</v>
      </c>
      <c r="AA94" s="33" t="str">
        <f>IF(J94=0,"",  _xlfn.XLOOKUP(AB94,Regcontabilizados[Identificador],Regcontabilizados[Subcuenta],0))</f>
        <v/>
      </c>
      <c r="AB94" t="str">
        <f>IF(J94=0,"",  _xlfn.XLOOKUP($H$7,BDPROV[ID-Proveedor],BDPROV[NIT/C.C.],0)&amp;$H$9&amp;D94&amp;"-"&amp;11)</f>
        <v/>
      </c>
      <c r="AC94" t="str">
        <f t="shared" si="15"/>
        <v/>
      </c>
      <c r="AD94" t="str">
        <f t="shared" si="16"/>
        <v>En Blanco</v>
      </c>
      <c r="AE94" t="str">
        <f>_xlfn.XLOOKUP($H$7,BDPROV[ID-Proveedor],BDPROV[NIT/C.C.],0)&amp;$H$13&amp;$E$7&amp;"-"&amp;ROW(Z94)-21</f>
        <v>Comp. Egreso-73</v>
      </c>
    </row>
    <row r="95" spans="3:31">
      <c r="C95" s="194"/>
      <c r="D95" s="206" t="str">
        <f t="shared" si="12"/>
        <v/>
      </c>
      <c r="E95" s="142" t="str">
        <f>_xlfn.XLOOKUP(AB95,Regcontabilizados[Identificador],Regcontabilizados[Fecha vencimiento],0)</f>
        <v/>
      </c>
      <c r="F95" s="183" t="str">
        <f>_xlfn.XLOOKUP(AB95,Regcontabilizados[Identificador],Regcontabilizados[Haber],0)</f>
        <v/>
      </c>
      <c r="G95" s="183">
        <f>_xlfn.XLOOKUP(AH96,Regcontabilizados[Identificador],Regcontabilizados[Debe],0)</f>
        <v>0</v>
      </c>
      <c r="H95" s="37">
        <f t="shared" si="13"/>
        <v>0</v>
      </c>
      <c r="I95" s="37"/>
      <c r="J95" s="210">
        <f t="shared" si="14"/>
        <v>0</v>
      </c>
      <c r="K95" s="197"/>
      <c r="O95" t="str">
        <f>_xlfn.XLOOKUP($H$7,BDPROV[ID-Proveedor],BDPROV[NIT/C.C.])&amp;$H$9&amp;N95&amp;"-"&amp;11</f>
        <v>F.C.-11</v>
      </c>
      <c r="P95" t="str">
        <f t="shared" si="17"/>
        <v/>
      </c>
      <c r="Q95" t="str">
        <f>IF(N95="","",    _xlfn.XLOOKUP(P95,Regcontabilizados[Número pago],Regcontabilizados[Estado de pago],"NO PAGADO"))</f>
        <v/>
      </c>
      <c r="R95" s="44">
        <f>_xlfn.XLOOKUP(O95,Regcontabilizados[Identificador],Regcontabilizados[Fecha vencimiento],0)</f>
        <v>0</v>
      </c>
      <c r="S95">
        <f>_xlfn.XLOOKUP(O95,Regcontabilizados[Identificador],Regcontabilizados[Subcuenta],0)</f>
        <v>0</v>
      </c>
      <c r="T95">
        <f>_xlfn.XLOOKUP(O95,Regcontabilizados[Identificador],Regcontabilizados[Haber],0)</f>
        <v>0</v>
      </c>
      <c r="U95">
        <f>SUMIF(Regcontabilizados[Número pago],PAGOCompbusc!P95,Regcontabilizados[Debe])</f>
        <v>0</v>
      </c>
      <c r="AA95" s="33" t="str">
        <f>IF(J95=0,"",  _xlfn.XLOOKUP(AB95,Regcontabilizados[Identificador],Regcontabilizados[Subcuenta],0))</f>
        <v/>
      </c>
      <c r="AB95" t="str">
        <f>IF(J95=0,"",  _xlfn.XLOOKUP($H$7,BDPROV[ID-Proveedor],BDPROV[NIT/C.C.],0)&amp;$H$9&amp;D95&amp;"-"&amp;11)</f>
        <v/>
      </c>
      <c r="AC95" t="str">
        <f t="shared" si="15"/>
        <v/>
      </c>
      <c r="AD95" t="str">
        <f t="shared" si="16"/>
        <v>En Blanco</v>
      </c>
      <c r="AE95" t="str">
        <f>_xlfn.XLOOKUP($H$7,BDPROV[ID-Proveedor],BDPROV[NIT/C.C.],0)&amp;$H$13&amp;$E$7&amp;"-"&amp;ROW(Z95)-21</f>
        <v>Comp. Egreso-74</v>
      </c>
    </row>
    <row r="96" spans="3:31">
      <c r="C96" s="194"/>
      <c r="D96" s="206" t="str">
        <f t="shared" si="12"/>
        <v/>
      </c>
      <c r="E96" s="142" t="str">
        <f>_xlfn.XLOOKUP(AB96,Regcontabilizados[Identificador],Regcontabilizados[Fecha vencimiento],0)</f>
        <v/>
      </c>
      <c r="F96" s="183" t="str">
        <f>_xlfn.XLOOKUP(AB96,Regcontabilizados[Identificador],Regcontabilizados[Haber],0)</f>
        <v/>
      </c>
      <c r="G96" s="183">
        <f>_xlfn.XLOOKUP(AH97,Regcontabilizados[Identificador],Regcontabilizados[Debe],0)</f>
        <v>0</v>
      </c>
      <c r="H96" s="37">
        <f t="shared" si="13"/>
        <v>0</v>
      </c>
      <c r="I96" s="37"/>
      <c r="J96" s="210">
        <f t="shared" si="14"/>
        <v>0</v>
      </c>
      <c r="K96" s="197"/>
      <c r="O96" t="str">
        <f>_xlfn.XLOOKUP($H$7,BDPROV[ID-Proveedor],BDPROV[NIT/C.C.])&amp;$H$9&amp;N96&amp;"-"&amp;11</f>
        <v>F.C.-11</v>
      </c>
      <c r="P96" t="str">
        <f t="shared" si="17"/>
        <v/>
      </c>
      <c r="Q96" t="str">
        <f>IF(N96="","",    _xlfn.XLOOKUP(P96,Regcontabilizados[Número pago],Regcontabilizados[Estado de pago],"NO PAGADO"))</f>
        <v/>
      </c>
      <c r="R96" s="44">
        <f>_xlfn.XLOOKUP(O96,Regcontabilizados[Identificador],Regcontabilizados[Fecha vencimiento],0)</f>
        <v>0</v>
      </c>
      <c r="S96">
        <f>_xlfn.XLOOKUP(O96,Regcontabilizados[Identificador],Regcontabilizados[Subcuenta],0)</f>
        <v>0</v>
      </c>
      <c r="T96">
        <f>_xlfn.XLOOKUP(O96,Regcontabilizados[Identificador],Regcontabilizados[Haber],0)</f>
        <v>0</v>
      </c>
      <c r="U96">
        <f>SUMIF(Regcontabilizados[Número pago],PAGOCompbusc!P96,Regcontabilizados[Debe])</f>
        <v>0</v>
      </c>
      <c r="AA96" s="33" t="str">
        <f>IF(J96=0,"",  _xlfn.XLOOKUP(AB96,Regcontabilizados[Identificador],Regcontabilizados[Subcuenta],0))</f>
        <v/>
      </c>
      <c r="AB96" t="str">
        <f>IF(J96=0,"",  _xlfn.XLOOKUP($H$7,BDPROV[ID-Proveedor],BDPROV[NIT/C.C.],0)&amp;$H$9&amp;D96&amp;"-"&amp;11)</f>
        <v/>
      </c>
      <c r="AC96" t="str">
        <f t="shared" si="15"/>
        <v/>
      </c>
      <c r="AD96" t="str">
        <f t="shared" si="16"/>
        <v>En Blanco</v>
      </c>
      <c r="AE96" t="str">
        <f>_xlfn.XLOOKUP($H$7,BDPROV[ID-Proveedor],BDPROV[NIT/C.C.],0)&amp;$H$13&amp;$E$7&amp;"-"&amp;ROW(Z96)-21</f>
        <v>Comp. Egreso-75</v>
      </c>
    </row>
    <row r="97" spans="3:31">
      <c r="C97" s="194"/>
      <c r="D97" s="206" t="str">
        <f t="shared" si="12"/>
        <v/>
      </c>
      <c r="E97" s="142" t="str">
        <f>_xlfn.XLOOKUP(AB97,Regcontabilizados[Identificador],Regcontabilizados[Fecha vencimiento],0)</f>
        <v/>
      </c>
      <c r="F97" s="183" t="str">
        <f>_xlfn.XLOOKUP(AB97,Regcontabilizados[Identificador],Regcontabilizados[Haber],0)</f>
        <v/>
      </c>
      <c r="G97" s="183">
        <f>_xlfn.XLOOKUP(AH98,Regcontabilizados[Identificador],Regcontabilizados[Debe],0)</f>
        <v>0</v>
      </c>
      <c r="H97" s="37">
        <f t="shared" si="13"/>
        <v>0</v>
      </c>
      <c r="I97" s="37"/>
      <c r="J97" s="210">
        <f t="shared" si="14"/>
        <v>0</v>
      </c>
      <c r="K97" s="197"/>
      <c r="O97" t="str">
        <f>_xlfn.XLOOKUP($H$7,BDPROV[ID-Proveedor],BDPROV[NIT/C.C.])&amp;$H$9&amp;N97&amp;"-"&amp;11</f>
        <v>F.C.-11</v>
      </c>
      <c r="P97" t="str">
        <f t="shared" si="17"/>
        <v/>
      </c>
      <c r="Q97" t="str">
        <f>IF(N97="","",    _xlfn.XLOOKUP(P97,Regcontabilizados[Número pago],Regcontabilizados[Estado de pago],"NO PAGADO"))</f>
        <v/>
      </c>
      <c r="R97" s="44">
        <f>_xlfn.XLOOKUP(O97,Regcontabilizados[Identificador],Regcontabilizados[Fecha vencimiento],0)</f>
        <v>0</v>
      </c>
      <c r="S97">
        <f>_xlfn.XLOOKUP(O97,Regcontabilizados[Identificador],Regcontabilizados[Subcuenta],0)</f>
        <v>0</v>
      </c>
      <c r="T97">
        <f>_xlfn.XLOOKUP(O97,Regcontabilizados[Identificador],Regcontabilizados[Haber],0)</f>
        <v>0</v>
      </c>
      <c r="U97">
        <f>SUMIF(Regcontabilizados[Número pago],PAGOCompbusc!P97,Regcontabilizados[Debe])</f>
        <v>0</v>
      </c>
      <c r="AA97" s="33" t="str">
        <f>IF(J97=0,"",  _xlfn.XLOOKUP(AB97,Regcontabilizados[Identificador],Regcontabilizados[Subcuenta],0))</f>
        <v/>
      </c>
      <c r="AB97" t="str">
        <f>IF(J97=0,"",  _xlfn.XLOOKUP($H$7,BDPROV[ID-Proveedor],BDPROV[NIT/C.C.],0)&amp;$H$9&amp;D97&amp;"-"&amp;11)</f>
        <v/>
      </c>
      <c r="AC97" t="str">
        <f t="shared" si="15"/>
        <v/>
      </c>
      <c r="AD97" t="str">
        <f t="shared" si="16"/>
        <v>En Blanco</v>
      </c>
      <c r="AE97" t="str">
        <f>_xlfn.XLOOKUP($H$7,BDPROV[ID-Proveedor],BDPROV[NIT/C.C.],0)&amp;$H$13&amp;$E$7&amp;"-"&amp;ROW(Z97)-21</f>
        <v>Comp. Egreso-76</v>
      </c>
    </row>
    <row r="98" spans="3:31">
      <c r="C98" s="194"/>
      <c r="D98" s="206" t="str">
        <f t="shared" si="12"/>
        <v/>
      </c>
      <c r="E98" s="142" t="str">
        <f>_xlfn.XLOOKUP(AB98,Regcontabilizados[Identificador],Regcontabilizados[Fecha vencimiento],0)</f>
        <v/>
      </c>
      <c r="F98" s="183" t="str">
        <f>_xlfn.XLOOKUP(AB98,Regcontabilizados[Identificador],Regcontabilizados[Haber],0)</f>
        <v/>
      </c>
      <c r="G98" s="183">
        <f>_xlfn.XLOOKUP(AH99,Regcontabilizados[Identificador],Regcontabilizados[Debe],0)</f>
        <v>0</v>
      </c>
      <c r="H98" s="37">
        <f t="shared" si="13"/>
        <v>0</v>
      </c>
      <c r="I98" s="37"/>
      <c r="J98" s="210">
        <f t="shared" si="14"/>
        <v>0</v>
      </c>
      <c r="K98" s="197"/>
      <c r="O98" t="str">
        <f>_xlfn.XLOOKUP($H$7,BDPROV[ID-Proveedor],BDPROV[NIT/C.C.])&amp;$H$9&amp;N98&amp;"-"&amp;11</f>
        <v>F.C.-11</v>
      </c>
      <c r="P98" t="str">
        <f t="shared" si="17"/>
        <v/>
      </c>
      <c r="Q98" t="str">
        <f>IF(N98="","",    _xlfn.XLOOKUP(P98,Regcontabilizados[Número pago],Regcontabilizados[Estado de pago],"NO PAGADO"))</f>
        <v/>
      </c>
      <c r="R98" s="44">
        <f>_xlfn.XLOOKUP(O98,Regcontabilizados[Identificador],Regcontabilizados[Fecha vencimiento],0)</f>
        <v>0</v>
      </c>
      <c r="S98">
        <f>_xlfn.XLOOKUP(O98,Regcontabilizados[Identificador],Regcontabilizados[Subcuenta],0)</f>
        <v>0</v>
      </c>
      <c r="T98">
        <f>_xlfn.XLOOKUP(O98,Regcontabilizados[Identificador],Regcontabilizados[Haber],0)</f>
        <v>0</v>
      </c>
      <c r="U98">
        <f>SUMIF(Regcontabilizados[Número pago],PAGOCompbusc!P98,Regcontabilizados[Debe])</f>
        <v>0</v>
      </c>
      <c r="AA98" s="33" t="str">
        <f>IF(J98=0,"",  _xlfn.XLOOKUP(AB98,Regcontabilizados[Identificador],Regcontabilizados[Subcuenta],0))</f>
        <v/>
      </c>
      <c r="AB98" t="str">
        <f>IF(J98=0,"",  _xlfn.XLOOKUP($H$7,BDPROV[ID-Proveedor],BDPROV[NIT/C.C.],0)&amp;$H$9&amp;D98&amp;"-"&amp;11)</f>
        <v/>
      </c>
      <c r="AC98" t="str">
        <f t="shared" si="15"/>
        <v/>
      </c>
      <c r="AD98" t="str">
        <f t="shared" si="16"/>
        <v>En Blanco</v>
      </c>
      <c r="AE98" t="str">
        <f>_xlfn.XLOOKUP($H$7,BDPROV[ID-Proveedor],BDPROV[NIT/C.C.],0)&amp;$H$13&amp;$E$7&amp;"-"&amp;ROW(Z98)-21</f>
        <v>Comp. Egreso-77</v>
      </c>
    </row>
    <row r="99" spans="3:31">
      <c r="C99" s="194"/>
      <c r="D99" s="206" t="str">
        <f t="shared" si="12"/>
        <v/>
      </c>
      <c r="E99" s="142" t="str">
        <f>_xlfn.XLOOKUP(AB99,Regcontabilizados[Identificador],Regcontabilizados[Fecha vencimiento],0)</f>
        <v/>
      </c>
      <c r="F99" s="183" t="str">
        <f>_xlfn.XLOOKUP(AB99,Regcontabilizados[Identificador],Regcontabilizados[Haber],0)</f>
        <v/>
      </c>
      <c r="G99" s="183">
        <f>_xlfn.XLOOKUP(AH100,Regcontabilizados[Identificador],Regcontabilizados[Debe],0)</f>
        <v>0</v>
      </c>
      <c r="H99" s="37">
        <f t="shared" si="13"/>
        <v>0</v>
      </c>
      <c r="I99" s="37"/>
      <c r="J99" s="210">
        <f t="shared" si="14"/>
        <v>0</v>
      </c>
      <c r="K99" s="197"/>
      <c r="O99" t="str">
        <f>_xlfn.XLOOKUP($H$7,BDPROV[ID-Proveedor],BDPROV[NIT/C.C.])&amp;$H$9&amp;N99&amp;"-"&amp;11</f>
        <v>F.C.-11</v>
      </c>
      <c r="P99" t="str">
        <f t="shared" si="17"/>
        <v/>
      </c>
      <c r="Q99" t="str">
        <f>IF(N99="","",    _xlfn.XLOOKUP(P99,Regcontabilizados[Número pago],Regcontabilizados[Estado de pago],"NO PAGADO"))</f>
        <v/>
      </c>
      <c r="R99" s="44">
        <f>_xlfn.XLOOKUP(O99,Regcontabilizados[Identificador],Regcontabilizados[Fecha vencimiento],0)</f>
        <v>0</v>
      </c>
      <c r="S99">
        <f>_xlfn.XLOOKUP(O99,Regcontabilizados[Identificador],Regcontabilizados[Subcuenta],0)</f>
        <v>0</v>
      </c>
      <c r="T99">
        <f>_xlfn.XLOOKUP(O99,Regcontabilizados[Identificador],Regcontabilizados[Haber],0)</f>
        <v>0</v>
      </c>
      <c r="U99">
        <f>SUMIF(Regcontabilizados[Número pago],PAGOCompbusc!P99,Regcontabilizados[Debe])</f>
        <v>0</v>
      </c>
      <c r="AA99" s="33" t="str">
        <f>IF(J99=0,"",  _xlfn.XLOOKUP(AB99,Regcontabilizados[Identificador],Regcontabilizados[Subcuenta],0))</f>
        <v/>
      </c>
      <c r="AB99" t="str">
        <f>IF(J99=0,"",  _xlfn.XLOOKUP($H$7,BDPROV[ID-Proveedor],BDPROV[NIT/C.C.],0)&amp;$H$9&amp;D99&amp;"-"&amp;11)</f>
        <v/>
      </c>
      <c r="AC99" t="str">
        <f t="shared" si="15"/>
        <v/>
      </c>
      <c r="AD99" t="str">
        <f t="shared" si="16"/>
        <v>En Blanco</v>
      </c>
      <c r="AE99" t="str">
        <f>_xlfn.XLOOKUP($H$7,BDPROV[ID-Proveedor],BDPROV[NIT/C.C.],0)&amp;$H$13&amp;$E$7&amp;"-"&amp;ROW(Z99)-21</f>
        <v>Comp. Egreso-78</v>
      </c>
    </row>
    <row r="100" spans="3:31">
      <c r="C100" s="194"/>
      <c r="D100" s="206" t="str">
        <f t="shared" si="12"/>
        <v/>
      </c>
      <c r="E100" s="142" t="str">
        <f>_xlfn.XLOOKUP(AB100,Regcontabilizados[Identificador],Regcontabilizados[Fecha vencimiento],0)</f>
        <v/>
      </c>
      <c r="F100" s="183" t="str">
        <f>_xlfn.XLOOKUP(AB100,Regcontabilizados[Identificador],Regcontabilizados[Haber],0)</f>
        <v/>
      </c>
      <c r="G100" s="183">
        <f>_xlfn.XLOOKUP(AH101,Regcontabilizados[Identificador],Regcontabilizados[Debe],0)</f>
        <v>0</v>
      </c>
      <c r="H100" s="37">
        <f t="shared" si="13"/>
        <v>0</v>
      </c>
      <c r="I100" s="37"/>
      <c r="J100" s="210">
        <f t="shared" si="14"/>
        <v>0</v>
      </c>
      <c r="K100" s="197"/>
      <c r="O100" t="str">
        <f>_xlfn.XLOOKUP($H$7,BDPROV[ID-Proveedor],BDPROV[NIT/C.C.])&amp;$H$9&amp;N100&amp;"-"&amp;11</f>
        <v>F.C.-11</v>
      </c>
      <c r="P100" t="str">
        <f t="shared" si="17"/>
        <v/>
      </c>
      <c r="Q100" t="str">
        <f>IF(N100="","",    _xlfn.XLOOKUP(P100,Regcontabilizados[Número pago],Regcontabilizados[Estado de pago],"NO PAGADO"))</f>
        <v/>
      </c>
      <c r="R100" s="44">
        <f>_xlfn.XLOOKUP(O100,Regcontabilizados[Identificador],Regcontabilizados[Fecha vencimiento],0)</f>
        <v>0</v>
      </c>
      <c r="S100">
        <f>_xlfn.XLOOKUP(O100,Regcontabilizados[Identificador],Regcontabilizados[Subcuenta],0)</f>
        <v>0</v>
      </c>
      <c r="T100">
        <f>_xlfn.XLOOKUP(O100,Regcontabilizados[Identificador],Regcontabilizados[Haber],0)</f>
        <v>0</v>
      </c>
      <c r="U100">
        <f>SUMIF(Regcontabilizados[Número pago],PAGOCompbusc!P100,Regcontabilizados[Debe])</f>
        <v>0</v>
      </c>
      <c r="AA100" s="33" t="str">
        <f>IF(J100=0,"",  _xlfn.XLOOKUP(AB100,Regcontabilizados[Identificador],Regcontabilizados[Subcuenta],0))</f>
        <v/>
      </c>
      <c r="AB100" t="str">
        <f>IF(J100=0,"",  _xlfn.XLOOKUP($H$7,BDPROV[ID-Proveedor],BDPROV[NIT/C.C.],0)&amp;$H$9&amp;D100&amp;"-"&amp;11)</f>
        <v/>
      </c>
      <c r="AC100" t="str">
        <f t="shared" si="15"/>
        <v/>
      </c>
      <c r="AD100" t="str">
        <f t="shared" si="16"/>
        <v>En Blanco</v>
      </c>
      <c r="AE100" t="str">
        <f>_xlfn.XLOOKUP($H$7,BDPROV[ID-Proveedor],BDPROV[NIT/C.C.],0)&amp;$H$13&amp;$E$7&amp;"-"&amp;ROW(Z100)-21</f>
        <v>Comp. Egreso-79</v>
      </c>
    </row>
    <row r="101" spans="3:31">
      <c r="C101" s="194"/>
      <c r="D101" s="206" t="str">
        <f t="shared" si="12"/>
        <v/>
      </c>
      <c r="E101" s="142" t="str">
        <f>_xlfn.XLOOKUP(AB101,Regcontabilizados[Identificador],Regcontabilizados[Fecha vencimiento],0)</f>
        <v/>
      </c>
      <c r="F101" s="183" t="str">
        <f>_xlfn.XLOOKUP(AB101,Regcontabilizados[Identificador],Regcontabilizados[Haber],0)</f>
        <v/>
      </c>
      <c r="G101" s="183">
        <f>_xlfn.XLOOKUP(AH102,Regcontabilizados[Identificador],Regcontabilizados[Debe],0)</f>
        <v>0</v>
      </c>
      <c r="H101" s="37">
        <f t="shared" si="13"/>
        <v>0</v>
      </c>
      <c r="I101" s="37"/>
      <c r="J101" s="210">
        <f t="shared" si="14"/>
        <v>0</v>
      </c>
      <c r="K101" s="197"/>
      <c r="O101" t="str">
        <f>_xlfn.XLOOKUP($H$7,BDPROV[ID-Proveedor],BDPROV[NIT/C.C.])&amp;$H$9&amp;N101&amp;"-"&amp;11</f>
        <v>F.C.-11</v>
      </c>
      <c r="P101" t="str">
        <f t="shared" si="17"/>
        <v/>
      </c>
      <c r="Q101" t="str">
        <f>IF(N101="","",    _xlfn.XLOOKUP(P101,Regcontabilizados[Número pago],Regcontabilizados[Estado de pago],"NO PAGADO"))</f>
        <v/>
      </c>
      <c r="R101" s="44">
        <f>_xlfn.XLOOKUP(O101,Regcontabilizados[Identificador],Regcontabilizados[Fecha vencimiento],0)</f>
        <v>0</v>
      </c>
      <c r="S101">
        <f>_xlfn.XLOOKUP(O101,Regcontabilizados[Identificador],Regcontabilizados[Subcuenta],0)</f>
        <v>0</v>
      </c>
      <c r="T101">
        <f>_xlfn.XLOOKUP(O101,Regcontabilizados[Identificador],Regcontabilizados[Haber],0)</f>
        <v>0</v>
      </c>
      <c r="U101">
        <f>SUMIF(Regcontabilizados[Número pago],PAGOCompbusc!P101,Regcontabilizados[Debe])</f>
        <v>0</v>
      </c>
      <c r="AA101" s="33" t="str">
        <f>IF(J101=0,"",  _xlfn.XLOOKUP(AB101,Regcontabilizados[Identificador],Regcontabilizados[Subcuenta],0))</f>
        <v/>
      </c>
      <c r="AB101" t="str">
        <f>IF(J101=0,"",  _xlfn.XLOOKUP($H$7,BDPROV[ID-Proveedor],BDPROV[NIT/C.C.],0)&amp;$H$9&amp;D101&amp;"-"&amp;11)</f>
        <v/>
      </c>
      <c r="AC101" t="str">
        <f t="shared" si="15"/>
        <v/>
      </c>
      <c r="AD101" t="str">
        <f t="shared" si="16"/>
        <v>En Blanco</v>
      </c>
      <c r="AE101" t="str">
        <f>_xlfn.XLOOKUP($H$7,BDPROV[ID-Proveedor],BDPROV[NIT/C.C.],0)&amp;$H$13&amp;$E$7&amp;"-"&amp;ROW(Z101)-21</f>
        <v>Comp. Egreso-80</v>
      </c>
    </row>
    <row r="102" spans="3:31">
      <c r="C102" s="194"/>
      <c r="D102" s="206" t="str">
        <f t="shared" si="12"/>
        <v/>
      </c>
      <c r="E102" s="142" t="str">
        <f>_xlfn.XLOOKUP(AB102,Regcontabilizados[Identificador],Regcontabilizados[Fecha vencimiento],0)</f>
        <v/>
      </c>
      <c r="F102" s="183" t="str">
        <f>_xlfn.XLOOKUP(AB102,Regcontabilizados[Identificador],Regcontabilizados[Haber],0)</f>
        <v/>
      </c>
      <c r="G102" s="183">
        <f>_xlfn.XLOOKUP(AH103,Regcontabilizados[Identificador],Regcontabilizados[Debe],0)</f>
        <v>0</v>
      </c>
      <c r="H102" s="37">
        <f t="shared" si="13"/>
        <v>0</v>
      </c>
      <c r="I102" s="37"/>
      <c r="J102" s="210">
        <f t="shared" si="14"/>
        <v>0</v>
      </c>
      <c r="K102" s="197"/>
      <c r="O102" t="str">
        <f>_xlfn.XLOOKUP($H$7,BDPROV[ID-Proveedor],BDPROV[NIT/C.C.])&amp;$H$9&amp;N102&amp;"-"&amp;11</f>
        <v>F.C.-11</v>
      </c>
      <c r="P102" t="str">
        <f t="shared" si="17"/>
        <v/>
      </c>
      <c r="Q102" t="str">
        <f>IF(N102="","",    _xlfn.XLOOKUP(P102,Regcontabilizados[Número pago],Regcontabilizados[Estado de pago],"NO PAGADO"))</f>
        <v/>
      </c>
      <c r="R102" s="44">
        <f>_xlfn.XLOOKUP(O102,Regcontabilizados[Identificador],Regcontabilizados[Fecha vencimiento],0)</f>
        <v>0</v>
      </c>
      <c r="S102">
        <f>_xlfn.XLOOKUP(O102,Regcontabilizados[Identificador],Regcontabilizados[Subcuenta],0)</f>
        <v>0</v>
      </c>
      <c r="T102">
        <f>_xlfn.XLOOKUP(O102,Regcontabilizados[Identificador],Regcontabilizados[Haber],0)</f>
        <v>0</v>
      </c>
      <c r="U102">
        <f>SUMIF(Regcontabilizados[Número pago],PAGOCompbusc!P102,Regcontabilizados[Debe])</f>
        <v>0</v>
      </c>
      <c r="AA102" s="33" t="str">
        <f>IF(J102=0,"",  _xlfn.XLOOKUP(AB102,Regcontabilizados[Identificador],Regcontabilizados[Subcuenta],0))</f>
        <v/>
      </c>
      <c r="AB102" t="str">
        <f>IF(J102=0,"",  _xlfn.XLOOKUP($H$7,BDPROV[ID-Proveedor],BDPROV[NIT/C.C.],0)&amp;$H$9&amp;D102&amp;"-"&amp;11)</f>
        <v/>
      </c>
      <c r="AC102" t="str">
        <f t="shared" si="15"/>
        <v/>
      </c>
      <c r="AD102" t="str">
        <f t="shared" si="16"/>
        <v>En Blanco</v>
      </c>
      <c r="AE102" t="str">
        <f>_xlfn.XLOOKUP($H$7,BDPROV[ID-Proveedor],BDPROV[NIT/C.C.],0)&amp;$H$13&amp;$E$7&amp;"-"&amp;ROW(Z102)-21</f>
        <v>Comp. Egreso-81</v>
      </c>
    </row>
    <row r="103" spans="3:31">
      <c r="C103" s="194"/>
      <c r="D103" s="206" t="str">
        <f t="shared" si="12"/>
        <v/>
      </c>
      <c r="E103" s="142" t="str">
        <f>_xlfn.XLOOKUP(AB103,Regcontabilizados[Identificador],Regcontabilizados[Fecha vencimiento],0)</f>
        <v/>
      </c>
      <c r="F103" s="183" t="str">
        <f>_xlfn.XLOOKUP(AB103,Regcontabilizados[Identificador],Regcontabilizados[Haber],0)</f>
        <v/>
      </c>
      <c r="G103" s="183">
        <f>_xlfn.XLOOKUP(AH104,Regcontabilizados[Identificador],Regcontabilizados[Debe],0)</f>
        <v>0</v>
      </c>
      <c r="H103" s="37">
        <f t="shared" si="13"/>
        <v>0</v>
      </c>
      <c r="I103" s="37"/>
      <c r="J103" s="210">
        <f t="shared" si="14"/>
        <v>0</v>
      </c>
      <c r="K103" s="197"/>
      <c r="O103" t="str">
        <f>_xlfn.XLOOKUP($H$7,BDPROV[ID-Proveedor],BDPROV[NIT/C.C.])&amp;$H$9&amp;N103&amp;"-"&amp;11</f>
        <v>F.C.-11</v>
      </c>
      <c r="P103" t="str">
        <f t="shared" si="17"/>
        <v/>
      </c>
      <c r="Q103" t="str">
        <f>IF(N103="","",    _xlfn.XLOOKUP(P103,Regcontabilizados[Número pago],Regcontabilizados[Estado de pago],"NO PAGADO"))</f>
        <v/>
      </c>
      <c r="R103" s="44">
        <f>_xlfn.XLOOKUP(O103,Regcontabilizados[Identificador],Regcontabilizados[Fecha vencimiento],0)</f>
        <v>0</v>
      </c>
      <c r="S103">
        <f>_xlfn.XLOOKUP(O103,Regcontabilizados[Identificador],Regcontabilizados[Subcuenta],0)</f>
        <v>0</v>
      </c>
      <c r="T103">
        <f>_xlfn.XLOOKUP(O103,Regcontabilizados[Identificador],Regcontabilizados[Haber],0)</f>
        <v>0</v>
      </c>
      <c r="U103">
        <f>SUMIF(Regcontabilizados[Número pago],PAGOCompbusc!P103,Regcontabilizados[Debe])</f>
        <v>0</v>
      </c>
      <c r="AA103" s="33" t="str">
        <f>IF(J103=0,"",  _xlfn.XLOOKUP(AB103,Regcontabilizados[Identificador],Regcontabilizados[Subcuenta],0))</f>
        <v/>
      </c>
      <c r="AB103" t="str">
        <f>IF(J103=0,"",  _xlfn.XLOOKUP($H$7,BDPROV[ID-Proveedor],BDPROV[NIT/C.C.],0)&amp;$H$9&amp;D103&amp;"-"&amp;11)</f>
        <v/>
      </c>
      <c r="AC103" t="str">
        <f t="shared" si="15"/>
        <v/>
      </c>
      <c r="AD103" t="str">
        <f t="shared" si="16"/>
        <v>En Blanco</v>
      </c>
      <c r="AE103" t="str">
        <f>_xlfn.XLOOKUP($H$7,BDPROV[ID-Proveedor],BDPROV[NIT/C.C.],0)&amp;$H$13&amp;$E$7&amp;"-"&amp;ROW(Z103)-21</f>
        <v>Comp. Egreso-82</v>
      </c>
    </row>
    <row r="104" spans="3:31">
      <c r="C104" s="194"/>
      <c r="D104" s="206" t="str">
        <f t="shared" si="12"/>
        <v/>
      </c>
      <c r="E104" s="142" t="str">
        <f>_xlfn.XLOOKUP(AB104,Regcontabilizados[Identificador],Regcontabilizados[Fecha vencimiento],0)</f>
        <v/>
      </c>
      <c r="F104" s="183" t="str">
        <f>_xlfn.XLOOKUP(AB104,Regcontabilizados[Identificador],Regcontabilizados[Haber],0)</f>
        <v/>
      </c>
      <c r="G104" s="183">
        <f>_xlfn.XLOOKUP(AH105,Regcontabilizados[Identificador],Regcontabilizados[Debe],0)</f>
        <v>0</v>
      </c>
      <c r="H104" s="37">
        <f t="shared" si="13"/>
        <v>0</v>
      </c>
      <c r="I104" s="37"/>
      <c r="J104" s="210">
        <f t="shared" si="14"/>
        <v>0</v>
      </c>
      <c r="K104" s="197"/>
      <c r="O104" t="str">
        <f>_xlfn.XLOOKUP($H$7,BDPROV[ID-Proveedor],BDPROV[NIT/C.C.])&amp;$H$9&amp;N104&amp;"-"&amp;11</f>
        <v>F.C.-11</v>
      </c>
      <c r="P104" t="str">
        <f t="shared" si="17"/>
        <v/>
      </c>
      <c r="Q104" t="str">
        <f>IF(N104="","",    _xlfn.XLOOKUP(P104,Regcontabilizados[Número pago],Regcontabilizados[Estado de pago],"NO PAGADO"))</f>
        <v/>
      </c>
      <c r="R104" s="44">
        <f>_xlfn.XLOOKUP(O104,Regcontabilizados[Identificador],Regcontabilizados[Fecha vencimiento],0)</f>
        <v>0</v>
      </c>
      <c r="S104">
        <f>_xlfn.XLOOKUP(O104,Regcontabilizados[Identificador],Regcontabilizados[Subcuenta],0)</f>
        <v>0</v>
      </c>
      <c r="T104">
        <f>_xlfn.XLOOKUP(O104,Regcontabilizados[Identificador],Regcontabilizados[Haber],0)</f>
        <v>0</v>
      </c>
      <c r="U104">
        <f>SUMIF(Regcontabilizados[Número pago],PAGOCompbusc!P104,Regcontabilizados[Debe])</f>
        <v>0</v>
      </c>
      <c r="AA104" s="33" t="str">
        <f>IF(J104=0,"",  _xlfn.XLOOKUP(AB104,Regcontabilizados[Identificador],Regcontabilizados[Subcuenta],0))</f>
        <v/>
      </c>
      <c r="AB104" t="str">
        <f>IF(J104=0,"",  _xlfn.XLOOKUP($H$7,BDPROV[ID-Proveedor],BDPROV[NIT/C.C.],0)&amp;$H$9&amp;D104&amp;"-"&amp;11)</f>
        <v/>
      </c>
      <c r="AC104" t="str">
        <f t="shared" si="15"/>
        <v/>
      </c>
      <c r="AD104" t="str">
        <f t="shared" si="16"/>
        <v>En Blanco</v>
      </c>
      <c r="AE104" t="str">
        <f>_xlfn.XLOOKUP($H$7,BDPROV[ID-Proveedor],BDPROV[NIT/C.C.],0)&amp;$H$13&amp;$E$7&amp;"-"&amp;ROW(Z104)-21</f>
        <v>Comp. Egreso-83</v>
      </c>
    </row>
    <row r="105" spans="3:31">
      <c r="C105" s="194"/>
      <c r="D105" s="206" t="str">
        <f t="shared" si="12"/>
        <v/>
      </c>
      <c r="E105" s="142" t="str">
        <f>_xlfn.XLOOKUP(AB105,Regcontabilizados[Identificador],Regcontabilizados[Fecha vencimiento],0)</f>
        <v/>
      </c>
      <c r="F105" s="183" t="str">
        <f>_xlfn.XLOOKUP(AB105,Regcontabilizados[Identificador],Regcontabilizados[Haber],0)</f>
        <v/>
      </c>
      <c r="G105" s="183">
        <f>_xlfn.XLOOKUP(AH106,Regcontabilizados[Identificador],Regcontabilizados[Debe],0)</f>
        <v>0</v>
      </c>
      <c r="H105" s="37">
        <f t="shared" si="13"/>
        <v>0</v>
      </c>
      <c r="I105" s="37"/>
      <c r="J105" s="210">
        <f t="shared" si="14"/>
        <v>0</v>
      </c>
      <c r="K105" s="197"/>
      <c r="O105" t="str">
        <f>_xlfn.XLOOKUP($H$7,BDPROV[ID-Proveedor],BDPROV[NIT/C.C.])&amp;$H$9&amp;N105&amp;"-"&amp;11</f>
        <v>F.C.-11</v>
      </c>
      <c r="P105" t="str">
        <f t="shared" si="17"/>
        <v/>
      </c>
      <c r="Q105" t="str">
        <f>IF(N105="","",    _xlfn.XLOOKUP(P105,Regcontabilizados[Número pago],Regcontabilizados[Estado de pago],"NO PAGADO"))</f>
        <v/>
      </c>
      <c r="R105" s="44">
        <f>_xlfn.XLOOKUP(O105,Regcontabilizados[Identificador],Regcontabilizados[Fecha vencimiento],0)</f>
        <v>0</v>
      </c>
      <c r="S105">
        <f>_xlfn.XLOOKUP(O105,Regcontabilizados[Identificador],Regcontabilizados[Subcuenta],0)</f>
        <v>0</v>
      </c>
      <c r="T105">
        <f>_xlfn.XLOOKUP(O105,Regcontabilizados[Identificador],Regcontabilizados[Haber],0)</f>
        <v>0</v>
      </c>
      <c r="U105">
        <f>SUMIF(Regcontabilizados[Número pago],PAGOCompbusc!P105,Regcontabilizados[Debe])</f>
        <v>0</v>
      </c>
      <c r="AA105" s="33" t="str">
        <f>IF(J105=0,"",  _xlfn.XLOOKUP(AB105,Regcontabilizados[Identificador],Regcontabilizados[Subcuenta],0))</f>
        <v/>
      </c>
      <c r="AB105" t="str">
        <f>IF(J105=0,"",  _xlfn.XLOOKUP($H$7,BDPROV[ID-Proveedor],BDPROV[NIT/C.C.],0)&amp;$H$9&amp;D105&amp;"-"&amp;11)</f>
        <v/>
      </c>
      <c r="AC105" t="str">
        <f t="shared" si="15"/>
        <v/>
      </c>
      <c r="AD105" t="str">
        <f t="shared" si="16"/>
        <v>En Blanco</v>
      </c>
      <c r="AE105" t="str">
        <f>_xlfn.XLOOKUP($H$7,BDPROV[ID-Proveedor],BDPROV[NIT/C.C.],0)&amp;$H$13&amp;$E$7&amp;"-"&amp;ROW(Z105)-21</f>
        <v>Comp. Egreso-84</v>
      </c>
    </row>
    <row r="106" spans="3:31">
      <c r="C106" s="194"/>
      <c r="D106" s="206" t="str">
        <f t="shared" si="12"/>
        <v/>
      </c>
      <c r="E106" s="142" t="str">
        <f>_xlfn.XLOOKUP(AB106,Regcontabilizados[Identificador],Regcontabilizados[Fecha vencimiento],0)</f>
        <v/>
      </c>
      <c r="F106" s="183" t="str">
        <f>_xlfn.XLOOKUP(AB106,Regcontabilizados[Identificador],Regcontabilizados[Haber],0)</f>
        <v/>
      </c>
      <c r="G106" s="183">
        <f>_xlfn.XLOOKUP(AH107,Regcontabilizados[Identificador],Regcontabilizados[Debe],0)</f>
        <v>0</v>
      </c>
      <c r="H106" s="37">
        <f t="shared" si="13"/>
        <v>0</v>
      </c>
      <c r="I106" s="37"/>
      <c r="J106" s="210">
        <f t="shared" si="14"/>
        <v>0</v>
      </c>
      <c r="K106" s="197"/>
      <c r="O106" t="str">
        <f>_xlfn.XLOOKUP($H$7,BDPROV[ID-Proveedor],BDPROV[NIT/C.C.])&amp;$H$9&amp;N106&amp;"-"&amp;11</f>
        <v>F.C.-11</v>
      </c>
      <c r="P106" t="str">
        <f t="shared" si="17"/>
        <v/>
      </c>
      <c r="Q106" t="str">
        <f>IF(N106="","",    _xlfn.XLOOKUP(P106,Regcontabilizados[Número pago],Regcontabilizados[Estado de pago],"NO PAGADO"))</f>
        <v/>
      </c>
      <c r="R106" s="44">
        <f>_xlfn.XLOOKUP(O106,Regcontabilizados[Identificador],Regcontabilizados[Fecha vencimiento],0)</f>
        <v>0</v>
      </c>
      <c r="S106">
        <f>_xlfn.XLOOKUP(O106,Regcontabilizados[Identificador],Regcontabilizados[Subcuenta],0)</f>
        <v>0</v>
      </c>
      <c r="T106">
        <f>_xlfn.XLOOKUP(O106,Regcontabilizados[Identificador],Regcontabilizados[Haber],0)</f>
        <v>0</v>
      </c>
      <c r="U106">
        <f>SUMIF(Regcontabilizados[Número pago],PAGOCompbusc!P106,Regcontabilizados[Debe])</f>
        <v>0</v>
      </c>
      <c r="AA106" s="33" t="str">
        <f>IF(J106=0,"",  _xlfn.XLOOKUP(AB106,Regcontabilizados[Identificador],Regcontabilizados[Subcuenta],0))</f>
        <v/>
      </c>
      <c r="AB106" t="str">
        <f>IF(J106=0,"",  _xlfn.XLOOKUP($H$7,BDPROV[ID-Proveedor],BDPROV[NIT/C.C.],0)&amp;$H$9&amp;D106&amp;"-"&amp;11)</f>
        <v/>
      </c>
      <c r="AC106" t="str">
        <f t="shared" si="15"/>
        <v/>
      </c>
      <c r="AD106" t="str">
        <f t="shared" si="16"/>
        <v>En Blanco</v>
      </c>
      <c r="AE106" t="str">
        <f>_xlfn.XLOOKUP($H$7,BDPROV[ID-Proveedor],BDPROV[NIT/C.C.],0)&amp;$H$13&amp;$E$7&amp;"-"&amp;ROW(Z106)-21</f>
        <v>Comp. Egreso-85</v>
      </c>
    </row>
    <row r="107" spans="3:31">
      <c r="C107" s="194"/>
      <c r="D107" s="206" t="str">
        <f t="shared" si="12"/>
        <v/>
      </c>
      <c r="E107" s="142" t="str">
        <f>_xlfn.XLOOKUP(AB107,Regcontabilizados[Identificador],Regcontabilizados[Fecha vencimiento],0)</f>
        <v/>
      </c>
      <c r="F107" s="183" t="str">
        <f>_xlfn.XLOOKUP(AB107,Regcontabilizados[Identificador],Regcontabilizados[Haber],0)</f>
        <v/>
      </c>
      <c r="G107" s="183">
        <f>_xlfn.XLOOKUP(AH108,Regcontabilizados[Identificador],Regcontabilizados[Debe],0)</f>
        <v>0</v>
      </c>
      <c r="H107" s="37">
        <f t="shared" si="13"/>
        <v>0</v>
      </c>
      <c r="I107" s="37"/>
      <c r="J107" s="210">
        <f t="shared" si="14"/>
        <v>0</v>
      </c>
      <c r="K107" s="197"/>
      <c r="O107" t="str">
        <f>_xlfn.XLOOKUP($H$7,BDPROV[ID-Proveedor],BDPROV[NIT/C.C.])&amp;$H$9&amp;N107&amp;"-"&amp;11</f>
        <v>F.C.-11</v>
      </c>
      <c r="P107" t="str">
        <f t="shared" si="17"/>
        <v/>
      </c>
      <c r="Q107" t="str">
        <f>IF(N107="","",    _xlfn.XLOOKUP(P107,Regcontabilizados[Número pago],Regcontabilizados[Estado de pago],"NO PAGADO"))</f>
        <v/>
      </c>
      <c r="R107" s="44">
        <f>_xlfn.XLOOKUP(O107,Regcontabilizados[Identificador],Regcontabilizados[Fecha vencimiento],0)</f>
        <v>0</v>
      </c>
      <c r="S107">
        <f>_xlfn.XLOOKUP(O107,Regcontabilizados[Identificador],Regcontabilizados[Subcuenta],0)</f>
        <v>0</v>
      </c>
      <c r="T107">
        <f>_xlfn.XLOOKUP(O107,Regcontabilizados[Identificador],Regcontabilizados[Haber],0)</f>
        <v>0</v>
      </c>
      <c r="U107">
        <f>SUMIF(Regcontabilizados[Número pago],PAGOCompbusc!P107,Regcontabilizados[Debe])</f>
        <v>0</v>
      </c>
      <c r="AA107" s="33" t="str">
        <f>IF(J107=0,"",  _xlfn.XLOOKUP(AB107,Regcontabilizados[Identificador],Regcontabilizados[Subcuenta],0))</f>
        <v/>
      </c>
      <c r="AB107" t="str">
        <f>IF(J107=0,"",  _xlfn.XLOOKUP($H$7,BDPROV[ID-Proveedor],BDPROV[NIT/C.C.],0)&amp;$H$9&amp;D107&amp;"-"&amp;11)</f>
        <v/>
      </c>
      <c r="AC107" t="str">
        <f t="shared" si="15"/>
        <v/>
      </c>
      <c r="AD107" t="str">
        <f t="shared" si="16"/>
        <v>En Blanco</v>
      </c>
      <c r="AE107" t="str">
        <f>_xlfn.XLOOKUP($H$7,BDPROV[ID-Proveedor],BDPROV[NIT/C.C.],0)&amp;$H$13&amp;$E$7&amp;"-"&amp;ROW(Z107)-21</f>
        <v>Comp. Egreso-86</v>
      </c>
    </row>
    <row r="108" spans="3:31">
      <c r="C108" s="194"/>
      <c r="D108" s="206" t="str">
        <f t="shared" si="12"/>
        <v/>
      </c>
      <c r="E108" s="142" t="str">
        <f>_xlfn.XLOOKUP(AB108,Regcontabilizados[Identificador],Regcontabilizados[Fecha vencimiento],0)</f>
        <v/>
      </c>
      <c r="F108" s="183" t="str">
        <f>_xlfn.XLOOKUP(AB108,Regcontabilizados[Identificador],Regcontabilizados[Haber],0)</f>
        <v/>
      </c>
      <c r="G108" s="183">
        <f>_xlfn.XLOOKUP(AH109,Regcontabilizados[Identificador],Regcontabilizados[Debe],0)</f>
        <v>0</v>
      </c>
      <c r="H108" s="37">
        <f t="shared" si="13"/>
        <v>0</v>
      </c>
      <c r="I108" s="37"/>
      <c r="J108" s="210">
        <f t="shared" si="14"/>
        <v>0</v>
      </c>
      <c r="K108" s="197"/>
      <c r="O108" t="str">
        <f>_xlfn.XLOOKUP($H$7,BDPROV[ID-Proveedor],BDPROV[NIT/C.C.])&amp;$H$9&amp;N108&amp;"-"&amp;11</f>
        <v>F.C.-11</v>
      </c>
      <c r="P108" t="str">
        <f t="shared" si="17"/>
        <v/>
      </c>
      <c r="Q108" t="str">
        <f>IF(N108="","",    _xlfn.XLOOKUP(P108,Regcontabilizados[Número pago],Regcontabilizados[Estado de pago],"NO PAGADO"))</f>
        <v/>
      </c>
      <c r="R108" s="44">
        <f>_xlfn.XLOOKUP(O108,Regcontabilizados[Identificador],Regcontabilizados[Fecha vencimiento],0)</f>
        <v>0</v>
      </c>
      <c r="S108">
        <f>_xlfn.XLOOKUP(O108,Regcontabilizados[Identificador],Regcontabilizados[Subcuenta],0)</f>
        <v>0</v>
      </c>
      <c r="T108">
        <f>_xlfn.XLOOKUP(O108,Regcontabilizados[Identificador],Regcontabilizados[Haber],0)</f>
        <v>0</v>
      </c>
      <c r="U108">
        <f>SUMIF(Regcontabilizados[Número pago],PAGOCompbusc!P108,Regcontabilizados[Debe])</f>
        <v>0</v>
      </c>
      <c r="AA108" s="33" t="str">
        <f>IF(J108=0,"",  _xlfn.XLOOKUP(AB108,Regcontabilizados[Identificador],Regcontabilizados[Subcuenta],0))</f>
        <v/>
      </c>
      <c r="AB108" t="str">
        <f>IF(J108=0,"",  _xlfn.XLOOKUP($H$7,BDPROV[ID-Proveedor],BDPROV[NIT/C.C.],0)&amp;$H$9&amp;D108&amp;"-"&amp;11)</f>
        <v/>
      </c>
      <c r="AC108" t="str">
        <f t="shared" si="15"/>
        <v/>
      </c>
      <c r="AD108" t="str">
        <f t="shared" si="16"/>
        <v>En Blanco</v>
      </c>
      <c r="AE108" t="str">
        <f>_xlfn.XLOOKUP($H$7,BDPROV[ID-Proveedor],BDPROV[NIT/C.C.],0)&amp;$H$13&amp;$E$7&amp;"-"&amp;ROW(Z108)-21</f>
        <v>Comp. Egreso-87</v>
      </c>
    </row>
    <row r="109" spans="3:31">
      <c r="C109" s="194"/>
      <c r="D109" s="206" t="str">
        <f t="shared" si="12"/>
        <v/>
      </c>
      <c r="E109" s="142" t="str">
        <f>_xlfn.XLOOKUP(AB109,Regcontabilizados[Identificador],Regcontabilizados[Fecha vencimiento],0)</f>
        <v/>
      </c>
      <c r="F109" s="183" t="str">
        <f>_xlfn.XLOOKUP(AB109,Regcontabilizados[Identificador],Regcontabilizados[Haber],0)</f>
        <v/>
      </c>
      <c r="G109" s="183">
        <f>_xlfn.XLOOKUP(AH110,Regcontabilizados[Identificador],Regcontabilizados[Debe],0)</f>
        <v>0</v>
      </c>
      <c r="H109" s="37">
        <f t="shared" si="13"/>
        <v>0</v>
      </c>
      <c r="I109" s="37"/>
      <c r="J109" s="210">
        <f t="shared" si="14"/>
        <v>0</v>
      </c>
      <c r="K109" s="197"/>
      <c r="O109" t="str">
        <f>_xlfn.XLOOKUP($H$7,BDPROV[ID-Proveedor],BDPROV[NIT/C.C.])&amp;$H$9&amp;N109&amp;"-"&amp;11</f>
        <v>F.C.-11</v>
      </c>
      <c r="P109" t="str">
        <f t="shared" si="17"/>
        <v/>
      </c>
      <c r="Q109" t="str">
        <f>IF(N109="","",    _xlfn.XLOOKUP(P109,Regcontabilizados[Número pago],Regcontabilizados[Estado de pago],"NO PAGADO"))</f>
        <v/>
      </c>
      <c r="R109" s="44">
        <f>_xlfn.XLOOKUP(O109,Regcontabilizados[Identificador],Regcontabilizados[Fecha vencimiento],0)</f>
        <v>0</v>
      </c>
      <c r="S109">
        <f>_xlfn.XLOOKUP(O109,Regcontabilizados[Identificador],Regcontabilizados[Subcuenta],0)</f>
        <v>0</v>
      </c>
      <c r="T109">
        <f>_xlfn.XLOOKUP(O109,Regcontabilizados[Identificador],Regcontabilizados[Haber],0)</f>
        <v>0</v>
      </c>
      <c r="U109">
        <f>SUMIF(Regcontabilizados[Número pago],PAGOCompbusc!P109,Regcontabilizados[Debe])</f>
        <v>0</v>
      </c>
      <c r="AA109" s="33" t="str">
        <f>IF(J109=0,"",  _xlfn.XLOOKUP(AB109,Regcontabilizados[Identificador],Regcontabilizados[Subcuenta],0))</f>
        <v/>
      </c>
      <c r="AB109" t="str">
        <f>IF(J109=0,"",  _xlfn.XLOOKUP($H$7,BDPROV[ID-Proveedor],BDPROV[NIT/C.C.],0)&amp;$H$9&amp;D109&amp;"-"&amp;11)</f>
        <v/>
      </c>
      <c r="AC109" t="str">
        <f t="shared" si="15"/>
        <v/>
      </c>
      <c r="AD109" t="str">
        <f t="shared" si="16"/>
        <v>En Blanco</v>
      </c>
      <c r="AE109" t="str">
        <f>_xlfn.XLOOKUP($H$7,BDPROV[ID-Proveedor],BDPROV[NIT/C.C.],0)&amp;$H$13&amp;$E$7&amp;"-"&amp;ROW(Z109)-21</f>
        <v>Comp. Egreso-88</v>
      </c>
    </row>
    <row r="110" spans="3:31">
      <c r="C110" s="194"/>
      <c r="D110" s="206" t="str">
        <f t="shared" si="12"/>
        <v/>
      </c>
      <c r="E110" s="142" t="str">
        <f>_xlfn.XLOOKUP(AB110,Regcontabilizados[Identificador],Regcontabilizados[Fecha vencimiento],0)</f>
        <v/>
      </c>
      <c r="F110" s="183" t="str">
        <f>_xlfn.XLOOKUP(AB110,Regcontabilizados[Identificador],Regcontabilizados[Haber],0)</f>
        <v/>
      </c>
      <c r="G110" s="183">
        <f>_xlfn.XLOOKUP(AH111,Regcontabilizados[Identificador],Regcontabilizados[Debe],0)</f>
        <v>0</v>
      </c>
      <c r="H110" s="37">
        <f t="shared" si="13"/>
        <v>0</v>
      </c>
      <c r="I110" s="37"/>
      <c r="J110" s="210">
        <f t="shared" si="14"/>
        <v>0</v>
      </c>
      <c r="K110" s="197"/>
      <c r="O110" t="str">
        <f>_xlfn.XLOOKUP($H$7,BDPROV[ID-Proveedor],BDPROV[NIT/C.C.])&amp;$H$9&amp;N110&amp;"-"&amp;11</f>
        <v>F.C.-11</v>
      </c>
      <c r="P110" t="str">
        <f t="shared" si="17"/>
        <v/>
      </c>
      <c r="Q110" t="str">
        <f>IF(N110="","",    _xlfn.XLOOKUP(P110,Regcontabilizados[Número pago],Regcontabilizados[Estado de pago],"NO PAGADO"))</f>
        <v/>
      </c>
      <c r="R110" s="44">
        <f>_xlfn.XLOOKUP(O110,Regcontabilizados[Identificador],Regcontabilizados[Fecha vencimiento],0)</f>
        <v>0</v>
      </c>
      <c r="S110">
        <f>_xlfn.XLOOKUP(O110,Regcontabilizados[Identificador],Regcontabilizados[Subcuenta],0)</f>
        <v>0</v>
      </c>
      <c r="T110">
        <f>_xlfn.XLOOKUP(O110,Regcontabilizados[Identificador],Regcontabilizados[Haber],0)</f>
        <v>0</v>
      </c>
      <c r="U110">
        <f>SUMIF(Regcontabilizados[Número pago],PAGOCompbusc!P110,Regcontabilizados[Debe])</f>
        <v>0</v>
      </c>
      <c r="AA110" s="33" t="str">
        <f>IF(J110=0,"",  _xlfn.XLOOKUP(AB110,Regcontabilizados[Identificador],Regcontabilizados[Subcuenta],0))</f>
        <v/>
      </c>
      <c r="AB110" t="str">
        <f>IF(J110=0,"",  _xlfn.XLOOKUP($H$7,BDPROV[ID-Proveedor],BDPROV[NIT/C.C.],0)&amp;$H$9&amp;D110&amp;"-"&amp;11)</f>
        <v/>
      </c>
      <c r="AC110" t="str">
        <f t="shared" si="15"/>
        <v/>
      </c>
      <c r="AD110" t="str">
        <f t="shared" si="16"/>
        <v>En Blanco</v>
      </c>
      <c r="AE110" t="str">
        <f>_xlfn.XLOOKUP($H$7,BDPROV[ID-Proveedor],BDPROV[NIT/C.C.],0)&amp;$H$13&amp;$E$7&amp;"-"&amp;ROW(Z110)-21</f>
        <v>Comp. Egreso-89</v>
      </c>
    </row>
    <row r="111" spans="3:31">
      <c r="C111" s="194"/>
      <c r="D111" s="206" t="str">
        <f t="shared" si="12"/>
        <v/>
      </c>
      <c r="E111" s="142" t="str">
        <f>_xlfn.XLOOKUP(AB111,Regcontabilizados[Identificador],Regcontabilizados[Fecha vencimiento],0)</f>
        <v/>
      </c>
      <c r="F111" s="183" t="str">
        <f>_xlfn.XLOOKUP(AB111,Regcontabilizados[Identificador],Regcontabilizados[Haber],0)</f>
        <v/>
      </c>
      <c r="G111" s="183">
        <f>_xlfn.XLOOKUP(AH112,Regcontabilizados[Identificador],Regcontabilizados[Debe],0)</f>
        <v>0</v>
      </c>
      <c r="H111" s="37">
        <f t="shared" si="13"/>
        <v>0</v>
      </c>
      <c r="I111" s="37"/>
      <c r="J111" s="210">
        <f t="shared" si="14"/>
        <v>0</v>
      </c>
      <c r="K111" s="197"/>
      <c r="O111" t="str">
        <f>_xlfn.XLOOKUP($H$7,BDPROV[ID-Proveedor],BDPROV[NIT/C.C.])&amp;$H$9&amp;N111&amp;"-"&amp;11</f>
        <v>F.C.-11</v>
      </c>
      <c r="P111" t="str">
        <f t="shared" si="17"/>
        <v/>
      </c>
      <c r="Q111" t="str">
        <f>IF(N111="","",    _xlfn.XLOOKUP(P111,Regcontabilizados[Número pago],Regcontabilizados[Estado de pago],"NO PAGADO"))</f>
        <v/>
      </c>
      <c r="R111" s="44">
        <f>_xlfn.XLOOKUP(O111,Regcontabilizados[Identificador],Regcontabilizados[Fecha vencimiento],0)</f>
        <v>0</v>
      </c>
      <c r="S111">
        <f>_xlfn.XLOOKUP(O111,Regcontabilizados[Identificador],Regcontabilizados[Subcuenta],0)</f>
        <v>0</v>
      </c>
      <c r="T111">
        <f>_xlfn.XLOOKUP(O111,Regcontabilizados[Identificador],Regcontabilizados[Haber],0)</f>
        <v>0</v>
      </c>
      <c r="U111">
        <f>SUMIF(Regcontabilizados[Número pago],PAGOCompbusc!P111,Regcontabilizados[Debe])</f>
        <v>0</v>
      </c>
      <c r="AA111" s="33" t="str">
        <f>IF(J111=0,"",  _xlfn.XLOOKUP(AB111,Regcontabilizados[Identificador],Regcontabilizados[Subcuenta],0))</f>
        <v/>
      </c>
      <c r="AB111" t="str">
        <f>IF(J111=0,"",  _xlfn.XLOOKUP($H$7,BDPROV[ID-Proveedor],BDPROV[NIT/C.C.],0)&amp;$H$9&amp;D111&amp;"-"&amp;11)</f>
        <v/>
      </c>
      <c r="AC111" t="str">
        <f t="shared" si="15"/>
        <v/>
      </c>
      <c r="AD111" t="str">
        <f t="shared" si="16"/>
        <v>En Blanco</v>
      </c>
      <c r="AE111" t="str">
        <f>_xlfn.XLOOKUP($H$7,BDPROV[ID-Proveedor],BDPROV[NIT/C.C.],0)&amp;$H$13&amp;$E$7&amp;"-"&amp;ROW(Z111)-21</f>
        <v>Comp. Egreso-90</v>
      </c>
    </row>
    <row r="112" spans="3:31">
      <c r="C112" s="194"/>
      <c r="D112" s="206" t="str">
        <f t="shared" si="12"/>
        <v/>
      </c>
      <c r="E112" s="142" t="str">
        <f>_xlfn.XLOOKUP(AB112,Regcontabilizados[Identificador],Regcontabilizados[Fecha vencimiento],0)</f>
        <v/>
      </c>
      <c r="F112" s="183" t="str">
        <f>_xlfn.XLOOKUP(AB112,Regcontabilizados[Identificador],Regcontabilizados[Haber],0)</f>
        <v/>
      </c>
      <c r="G112" s="183">
        <f>_xlfn.XLOOKUP(AH113,Regcontabilizados[Identificador],Regcontabilizados[Debe],0)</f>
        <v>0</v>
      </c>
      <c r="H112" s="37">
        <f t="shared" si="13"/>
        <v>0</v>
      </c>
      <c r="I112" s="37"/>
      <c r="J112" s="210">
        <f t="shared" si="14"/>
        <v>0</v>
      </c>
      <c r="K112" s="197"/>
      <c r="O112" t="str">
        <f>_xlfn.XLOOKUP($H$7,BDPROV[ID-Proveedor],BDPROV[NIT/C.C.])&amp;$H$9&amp;N112&amp;"-"&amp;11</f>
        <v>F.C.-11</v>
      </c>
      <c r="P112" t="str">
        <f t="shared" si="17"/>
        <v/>
      </c>
      <c r="Q112" t="str">
        <f>IF(N112="","",    _xlfn.XLOOKUP(P112,Regcontabilizados[Número pago],Regcontabilizados[Estado de pago],"NO PAGADO"))</f>
        <v/>
      </c>
      <c r="R112" s="44">
        <f>_xlfn.XLOOKUP(O112,Regcontabilizados[Identificador],Regcontabilizados[Fecha vencimiento],0)</f>
        <v>0</v>
      </c>
      <c r="S112">
        <f>_xlfn.XLOOKUP(O112,Regcontabilizados[Identificador],Regcontabilizados[Subcuenta],0)</f>
        <v>0</v>
      </c>
      <c r="T112">
        <f>_xlfn.XLOOKUP(O112,Regcontabilizados[Identificador],Regcontabilizados[Haber],0)</f>
        <v>0</v>
      </c>
      <c r="U112">
        <f>SUMIF(Regcontabilizados[Número pago],PAGOCompbusc!P112,Regcontabilizados[Debe])</f>
        <v>0</v>
      </c>
      <c r="AA112" s="33" t="str">
        <f>IF(J112=0,"",  _xlfn.XLOOKUP(AB112,Regcontabilizados[Identificador],Regcontabilizados[Subcuenta],0))</f>
        <v/>
      </c>
      <c r="AB112" t="str">
        <f>IF(J112=0,"",  _xlfn.XLOOKUP($H$7,BDPROV[ID-Proveedor],BDPROV[NIT/C.C.],0)&amp;$H$9&amp;D112&amp;"-"&amp;11)</f>
        <v/>
      </c>
      <c r="AC112" t="str">
        <f t="shared" si="15"/>
        <v/>
      </c>
      <c r="AD112" t="str">
        <f t="shared" si="16"/>
        <v>En Blanco</v>
      </c>
      <c r="AE112" t="str">
        <f>_xlfn.XLOOKUP($H$7,BDPROV[ID-Proveedor],BDPROV[NIT/C.C.],0)&amp;$H$13&amp;$E$7&amp;"-"&amp;ROW(Z112)-21</f>
        <v>Comp. Egreso-91</v>
      </c>
    </row>
    <row r="113" spans="3:31">
      <c r="C113" s="194"/>
      <c r="D113" s="206" t="str">
        <f t="shared" si="12"/>
        <v/>
      </c>
      <c r="E113" s="142" t="str">
        <f>_xlfn.XLOOKUP(AB113,Regcontabilizados[Identificador],Regcontabilizados[Fecha vencimiento],0)</f>
        <v/>
      </c>
      <c r="F113" s="183" t="str">
        <f>_xlfn.XLOOKUP(AB113,Regcontabilizados[Identificador],Regcontabilizados[Haber],0)</f>
        <v/>
      </c>
      <c r="G113" s="183">
        <f>_xlfn.XLOOKUP(AH114,Regcontabilizados[Identificador],Regcontabilizados[Debe],0)</f>
        <v>0</v>
      </c>
      <c r="H113" s="37">
        <f t="shared" si="13"/>
        <v>0</v>
      </c>
      <c r="I113" s="37"/>
      <c r="J113" s="210">
        <f t="shared" si="14"/>
        <v>0</v>
      </c>
      <c r="K113" s="197"/>
      <c r="O113" t="str">
        <f>_xlfn.XLOOKUP($H$7,BDPROV[ID-Proveedor],BDPROV[NIT/C.C.])&amp;$H$9&amp;N113&amp;"-"&amp;11</f>
        <v>F.C.-11</v>
      </c>
      <c r="P113" t="str">
        <f t="shared" si="17"/>
        <v/>
      </c>
      <c r="Q113" t="str">
        <f>IF(N113="","",    _xlfn.XLOOKUP(P113,Regcontabilizados[Número pago],Regcontabilizados[Estado de pago],"NO PAGADO"))</f>
        <v/>
      </c>
      <c r="R113" s="44">
        <f>_xlfn.XLOOKUP(O113,Regcontabilizados[Identificador],Regcontabilizados[Fecha vencimiento],0)</f>
        <v>0</v>
      </c>
      <c r="S113">
        <f>_xlfn.XLOOKUP(O113,Regcontabilizados[Identificador],Regcontabilizados[Subcuenta],0)</f>
        <v>0</v>
      </c>
      <c r="T113">
        <f>_xlfn.XLOOKUP(O113,Regcontabilizados[Identificador],Regcontabilizados[Haber],0)</f>
        <v>0</v>
      </c>
      <c r="U113">
        <f>SUMIF(Regcontabilizados[Número pago],PAGOCompbusc!P113,Regcontabilizados[Debe])</f>
        <v>0</v>
      </c>
      <c r="AA113" s="33" t="str">
        <f>IF(J113=0,"",  _xlfn.XLOOKUP(AB113,Regcontabilizados[Identificador],Regcontabilizados[Subcuenta],0))</f>
        <v/>
      </c>
      <c r="AB113" t="str">
        <f>IF(J113=0,"",  _xlfn.XLOOKUP($H$7,BDPROV[ID-Proveedor],BDPROV[NIT/C.C.],0)&amp;$H$9&amp;D113&amp;"-"&amp;11)</f>
        <v/>
      </c>
      <c r="AC113" t="str">
        <f t="shared" si="15"/>
        <v/>
      </c>
      <c r="AD113" t="str">
        <f t="shared" si="16"/>
        <v>En Blanco</v>
      </c>
      <c r="AE113" t="str">
        <f>_xlfn.XLOOKUP($H$7,BDPROV[ID-Proveedor],BDPROV[NIT/C.C.],0)&amp;$H$13&amp;$E$7&amp;"-"&amp;ROW(Z113)-21</f>
        <v>Comp. Egreso-92</v>
      </c>
    </row>
    <row r="114" spans="3:31">
      <c r="C114" s="194"/>
      <c r="D114" s="206" t="str">
        <f t="shared" si="12"/>
        <v/>
      </c>
      <c r="E114" s="142" t="str">
        <f>_xlfn.XLOOKUP(AB114,Regcontabilizados[Identificador],Regcontabilizados[Fecha vencimiento],0)</f>
        <v/>
      </c>
      <c r="F114" s="183" t="str">
        <f>_xlfn.XLOOKUP(AB114,Regcontabilizados[Identificador],Regcontabilizados[Haber],0)</f>
        <v/>
      </c>
      <c r="G114" s="183">
        <f>_xlfn.XLOOKUP(AH115,Regcontabilizados[Identificador],Regcontabilizados[Debe],0)</f>
        <v>0</v>
      </c>
      <c r="H114" s="37">
        <f t="shared" si="13"/>
        <v>0</v>
      </c>
      <c r="I114" s="37"/>
      <c r="J114" s="210">
        <f t="shared" si="14"/>
        <v>0</v>
      </c>
      <c r="K114" s="197"/>
      <c r="O114" t="str">
        <f>_xlfn.XLOOKUP($H$7,BDPROV[ID-Proveedor],BDPROV[NIT/C.C.])&amp;$H$9&amp;N114&amp;"-"&amp;11</f>
        <v>F.C.-11</v>
      </c>
      <c r="P114" t="str">
        <f t="shared" si="17"/>
        <v/>
      </c>
      <c r="Q114" t="str">
        <f>IF(N114="","",    _xlfn.XLOOKUP(P114,Regcontabilizados[Número pago],Regcontabilizados[Estado de pago],"NO PAGADO"))</f>
        <v/>
      </c>
      <c r="R114" s="44">
        <f>_xlfn.XLOOKUP(O114,Regcontabilizados[Identificador],Regcontabilizados[Fecha vencimiento],0)</f>
        <v>0</v>
      </c>
      <c r="S114">
        <f>_xlfn.XLOOKUP(O114,Regcontabilizados[Identificador],Regcontabilizados[Subcuenta],0)</f>
        <v>0</v>
      </c>
      <c r="T114">
        <f>_xlfn.XLOOKUP(O114,Regcontabilizados[Identificador],Regcontabilizados[Haber],0)</f>
        <v>0</v>
      </c>
      <c r="U114">
        <f>SUMIF(Regcontabilizados[Número pago],PAGOCompbusc!P114,Regcontabilizados[Debe])</f>
        <v>0</v>
      </c>
      <c r="AA114" s="33" t="str">
        <f>IF(J114=0,"",  _xlfn.XLOOKUP(AB114,Regcontabilizados[Identificador],Regcontabilizados[Subcuenta],0))</f>
        <v/>
      </c>
      <c r="AB114" t="str">
        <f>IF(J114=0,"",  _xlfn.XLOOKUP($H$7,BDPROV[ID-Proveedor],BDPROV[NIT/C.C.],0)&amp;$H$9&amp;D114&amp;"-"&amp;11)</f>
        <v/>
      </c>
      <c r="AC114" t="str">
        <f t="shared" si="15"/>
        <v/>
      </c>
      <c r="AD114" t="str">
        <f t="shared" si="16"/>
        <v>En Blanco</v>
      </c>
      <c r="AE114" t="str">
        <f>_xlfn.XLOOKUP($H$7,BDPROV[ID-Proveedor],BDPROV[NIT/C.C.],0)&amp;$H$13&amp;$E$7&amp;"-"&amp;ROW(Z114)-21</f>
        <v>Comp. Egreso-93</v>
      </c>
    </row>
    <row r="115" spans="3:31">
      <c r="C115" s="194"/>
      <c r="D115" s="206" t="str">
        <f t="shared" si="12"/>
        <v/>
      </c>
      <c r="E115" s="142" t="str">
        <f>_xlfn.XLOOKUP(AB115,Regcontabilizados[Identificador],Regcontabilizados[Fecha vencimiento],0)</f>
        <v/>
      </c>
      <c r="F115" s="183" t="str">
        <f>_xlfn.XLOOKUP(AB115,Regcontabilizados[Identificador],Regcontabilizados[Haber],0)</f>
        <v/>
      </c>
      <c r="G115" s="183">
        <f>_xlfn.XLOOKUP(AH116,Regcontabilizados[Identificador],Regcontabilizados[Debe],0)</f>
        <v>0</v>
      </c>
      <c r="H115" s="37">
        <f t="shared" si="13"/>
        <v>0</v>
      </c>
      <c r="I115" s="37"/>
      <c r="J115" s="210">
        <f t="shared" si="14"/>
        <v>0</v>
      </c>
      <c r="K115" s="197"/>
      <c r="O115" t="str">
        <f>_xlfn.XLOOKUP($H$7,BDPROV[ID-Proveedor],BDPROV[NIT/C.C.])&amp;$H$9&amp;N115&amp;"-"&amp;11</f>
        <v>F.C.-11</v>
      </c>
      <c r="P115" t="str">
        <f t="shared" si="17"/>
        <v/>
      </c>
      <c r="Q115" t="str">
        <f>IF(N115="","",    _xlfn.XLOOKUP(P115,Regcontabilizados[Número pago],Regcontabilizados[Estado de pago],"NO PAGADO"))</f>
        <v/>
      </c>
      <c r="R115" s="44">
        <f>_xlfn.XLOOKUP(O115,Regcontabilizados[Identificador],Regcontabilizados[Fecha vencimiento],0)</f>
        <v>0</v>
      </c>
      <c r="S115">
        <f>_xlfn.XLOOKUP(O115,Regcontabilizados[Identificador],Regcontabilizados[Subcuenta],0)</f>
        <v>0</v>
      </c>
      <c r="T115">
        <f>_xlfn.XLOOKUP(O115,Regcontabilizados[Identificador],Regcontabilizados[Haber],0)</f>
        <v>0</v>
      </c>
      <c r="U115">
        <f>SUMIF(Regcontabilizados[Número pago],PAGOCompbusc!P115,Regcontabilizados[Debe])</f>
        <v>0</v>
      </c>
      <c r="AA115" s="33" t="str">
        <f>IF(J115=0,"",  _xlfn.XLOOKUP(AB115,Regcontabilizados[Identificador],Regcontabilizados[Subcuenta],0))</f>
        <v/>
      </c>
      <c r="AB115" t="str">
        <f>IF(J115=0,"",  _xlfn.XLOOKUP($H$7,BDPROV[ID-Proveedor],BDPROV[NIT/C.C.],0)&amp;$H$9&amp;D115&amp;"-"&amp;11)</f>
        <v/>
      </c>
      <c r="AC115" t="str">
        <f t="shared" si="15"/>
        <v/>
      </c>
      <c r="AD115" t="str">
        <f t="shared" si="16"/>
        <v>En Blanco</v>
      </c>
      <c r="AE115" t="str">
        <f>_xlfn.XLOOKUP($H$7,BDPROV[ID-Proveedor],BDPROV[NIT/C.C.],0)&amp;$H$13&amp;$E$7&amp;"-"&amp;ROW(Z115)-21</f>
        <v>Comp. Egreso-94</v>
      </c>
    </row>
    <row r="116" spans="3:31">
      <c r="C116" s="194"/>
      <c r="D116" s="206" t="str">
        <f t="shared" si="12"/>
        <v/>
      </c>
      <c r="E116" s="142" t="str">
        <f>_xlfn.XLOOKUP(AB116,Regcontabilizados[Identificador],Regcontabilizados[Fecha vencimiento],0)</f>
        <v/>
      </c>
      <c r="F116" s="183" t="str">
        <f>_xlfn.XLOOKUP(AB116,Regcontabilizados[Identificador],Regcontabilizados[Haber],0)</f>
        <v/>
      </c>
      <c r="G116" s="183">
        <f>_xlfn.XLOOKUP(AH117,Regcontabilizados[Identificador],Regcontabilizados[Debe],0)</f>
        <v>0</v>
      </c>
      <c r="H116" s="37">
        <f t="shared" si="13"/>
        <v>0</v>
      </c>
      <c r="I116" s="37"/>
      <c r="J116" s="210">
        <f t="shared" si="14"/>
        <v>0</v>
      </c>
      <c r="K116" s="197"/>
      <c r="O116" t="str">
        <f>_xlfn.XLOOKUP($H$7,BDPROV[ID-Proveedor],BDPROV[NIT/C.C.])&amp;$H$9&amp;N116&amp;"-"&amp;11</f>
        <v>F.C.-11</v>
      </c>
      <c r="P116" t="str">
        <f t="shared" si="17"/>
        <v/>
      </c>
      <c r="Q116" t="str">
        <f>IF(N116="","",    _xlfn.XLOOKUP(P116,Regcontabilizados[Número pago],Regcontabilizados[Estado de pago],"NO PAGADO"))</f>
        <v/>
      </c>
      <c r="R116" s="44">
        <f>_xlfn.XLOOKUP(O116,Regcontabilizados[Identificador],Regcontabilizados[Fecha vencimiento],0)</f>
        <v>0</v>
      </c>
      <c r="S116">
        <f>_xlfn.XLOOKUP(O116,Regcontabilizados[Identificador],Regcontabilizados[Subcuenta],0)</f>
        <v>0</v>
      </c>
      <c r="T116">
        <f>_xlfn.XLOOKUP(O116,Regcontabilizados[Identificador],Regcontabilizados[Haber],0)</f>
        <v>0</v>
      </c>
      <c r="U116">
        <f>SUMIF(Regcontabilizados[Número pago],PAGOCompbusc!P116,Regcontabilizados[Debe])</f>
        <v>0</v>
      </c>
      <c r="AA116" s="33" t="str">
        <f>IF(J116=0,"",  _xlfn.XLOOKUP(AB116,Regcontabilizados[Identificador],Regcontabilizados[Subcuenta],0))</f>
        <v/>
      </c>
      <c r="AB116" t="str">
        <f>IF(J116=0,"",  _xlfn.XLOOKUP($H$7,BDPROV[ID-Proveedor],BDPROV[NIT/C.C.],0)&amp;$H$9&amp;D116&amp;"-"&amp;11)</f>
        <v/>
      </c>
      <c r="AC116" t="str">
        <f t="shared" si="15"/>
        <v/>
      </c>
      <c r="AD116" t="str">
        <f t="shared" si="16"/>
        <v>En Blanco</v>
      </c>
      <c r="AE116" t="str">
        <f>_xlfn.XLOOKUP($H$7,BDPROV[ID-Proveedor],BDPROV[NIT/C.C.],0)&amp;$H$13&amp;$E$7&amp;"-"&amp;ROW(Z116)-21</f>
        <v>Comp. Egreso-95</v>
      </c>
    </row>
    <row r="117" spans="3:31">
      <c r="C117" s="194"/>
      <c r="D117" s="206" t="str">
        <f t="shared" si="12"/>
        <v/>
      </c>
      <c r="E117" s="142" t="str">
        <f>_xlfn.XLOOKUP(AB117,Regcontabilizados[Identificador],Regcontabilizados[Fecha vencimiento],0)</f>
        <v/>
      </c>
      <c r="F117" s="183" t="str">
        <f>_xlfn.XLOOKUP(AB117,Regcontabilizados[Identificador],Regcontabilizados[Haber],0)</f>
        <v/>
      </c>
      <c r="G117" s="183">
        <f>_xlfn.XLOOKUP(AH118,Regcontabilizados[Identificador],Regcontabilizados[Debe],0)</f>
        <v>0</v>
      </c>
      <c r="H117" s="37">
        <f t="shared" si="13"/>
        <v>0</v>
      </c>
      <c r="I117" s="37"/>
      <c r="J117" s="210">
        <f t="shared" si="14"/>
        <v>0</v>
      </c>
      <c r="K117" s="197"/>
      <c r="O117" t="str">
        <f>_xlfn.XLOOKUP($H$7,BDPROV[ID-Proveedor],BDPROV[NIT/C.C.])&amp;$H$9&amp;N117&amp;"-"&amp;11</f>
        <v>F.C.-11</v>
      </c>
      <c r="P117" t="str">
        <f t="shared" si="17"/>
        <v/>
      </c>
      <c r="Q117" t="str">
        <f>IF(N117="","",    _xlfn.XLOOKUP(P117,Regcontabilizados[Número pago],Regcontabilizados[Estado de pago],"NO PAGADO"))</f>
        <v/>
      </c>
      <c r="R117" s="44">
        <f>_xlfn.XLOOKUP(O117,Regcontabilizados[Identificador],Regcontabilizados[Fecha vencimiento],0)</f>
        <v>0</v>
      </c>
      <c r="S117">
        <f>_xlfn.XLOOKUP(O117,Regcontabilizados[Identificador],Regcontabilizados[Subcuenta],0)</f>
        <v>0</v>
      </c>
      <c r="T117">
        <f>_xlfn.XLOOKUP(O117,Regcontabilizados[Identificador],Regcontabilizados[Haber],0)</f>
        <v>0</v>
      </c>
      <c r="U117">
        <f>SUMIF(Regcontabilizados[Número pago],PAGOCompbusc!P117,Regcontabilizados[Debe])</f>
        <v>0</v>
      </c>
      <c r="AA117" s="33" t="str">
        <f>IF(J117=0,"",  _xlfn.XLOOKUP(AB117,Regcontabilizados[Identificador],Regcontabilizados[Subcuenta],0))</f>
        <v/>
      </c>
      <c r="AB117" t="str">
        <f>IF(J117=0,"",  _xlfn.XLOOKUP($H$7,BDPROV[ID-Proveedor],BDPROV[NIT/C.C.],0)&amp;$H$9&amp;D117&amp;"-"&amp;11)</f>
        <v/>
      </c>
      <c r="AC117" t="str">
        <f t="shared" si="15"/>
        <v/>
      </c>
      <c r="AD117" t="str">
        <f t="shared" si="16"/>
        <v>En Blanco</v>
      </c>
      <c r="AE117" t="str">
        <f>_xlfn.XLOOKUP($H$7,BDPROV[ID-Proveedor],BDPROV[NIT/C.C.],0)&amp;$H$13&amp;$E$7&amp;"-"&amp;ROW(Z117)-21</f>
        <v>Comp. Egreso-96</v>
      </c>
    </row>
    <row r="118" spans="3:31">
      <c r="C118" s="194"/>
      <c r="D118" s="206" t="str">
        <f t="shared" si="12"/>
        <v/>
      </c>
      <c r="E118" s="142" t="str">
        <f>_xlfn.XLOOKUP(AB118,Regcontabilizados[Identificador],Regcontabilizados[Fecha vencimiento],0)</f>
        <v/>
      </c>
      <c r="F118" s="183" t="str">
        <f>_xlfn.XLOOKUP(AB118,Regcontabilizados[Identificador],Regcontabilizados[Haber],0)</f>
        <v/>
      </c>
      <c r="G118" s="183">
        <f>_xlfn.XLOOKUP(AH119,Regcontabilizados[Identificador],Regcontabilizados[Debe],0)</f>
        <v>0</v>
      </c>
      <c r="H118" s="37">
        <f t="shared" si="13"/>
        <v>0</v>
      </c>
      <c r="I118" s="37"/>
      <c r="J118" s="210">
        <f t="shared" si="14"/>
        <v>0</v>
      </c>
      <c r="K118" s="197"/>
      <c r="O118" t="str">
        <f>_xlfn.XLOOKUP($H$7,BDPROV[ID-Proveedor],BDPROV[NIT/C.C.])&amp;$H$9&amp;N118&amp;"-"&amp;11</f>
        <v>F.C.-11</v>
      </c>
      <c r="P118" t="str">
        <f t="shared" si="17"/>
        <v/>
      </c>
      <c r="Q118" t="str">
        <f>IF(N118="","",    _xlfn.XLOOKUP(P118,Regcontabilizados[Número pago],Regcontabilizados[Estado de pago],"NO PAGADO"))</f>
        <v/>
      </c>
      <c r="R118" s="44">
        <f>_xlfn.XLOOKUP(O118,Regcontabilizados[Identificador],Regcontabilizados[Fecha vencimiento],0)</f>
        <v>0</v>
      </c>
      <c r="S118">
        <f>_xlfn.XLOOKUP(O118,Regcontabilizados[Identificador],Regcontabilizados[Subcuenta],0)</f>
        <v>0</v>
      </c>
      <c r="T118">
        <f>_xlfn.XLOOKUP(O118,Regcontabilizados[Identificador],Regcontabilizados[Haber],0)</f>
        <v>0</v>
      </c>
      <c r="U118">
        <f>SUMIF(Regcontabilizados[Número pago],PAGOCompbusc!P118,Regcontabilizados[Debe])</f>
        <v>0</v>
      </c>
      <c r="AA118" s="33" t="str">
        <f>IF(J118=0,"",  _xlfn.XLOOKUP(AB118,Regcontabilizados[Identificador],Regcontabilizados[Subcuenta],0))</f>
        <v/>
      </c>
      <c r="AB118" t="str">
        <f>IF(J118=0,"",  _xlfn.XLOOKUP($H$7,BDPROV[ID-Proveedor],BDPROV[NIT/C.C.],0)&amp;$H$9&amp;D118&amp;"-"&amp;11)</f>
        <v/>
      </c>
      <c r="AC118" t="str">
        <f t="shared" si="15"/>
        <v/>
      </c>
      <c r="AD118" t="str">
        <f t="shared" si="16"/>
        <v>En Blanco</v>
      </c>
      <c r="AE118" t="str">
        <f>_xlfn.XLOOKUP($H$7,BDPROV[ID-Proveedor],BDPROV[NIT/C.C.],0)&amp;$H$13&amp;$E$7&amp;"-"&amp;ROW(Z118)-21</f>
        <v>Comp. Egreso-97</v>
      </c>
    </row>
    <row r="119" spans="3:31">
      <c r="C119" s="194"/>
      <c r="D119" s="206" t="str">
        <f t="shared" si="12"/>
        <v/>
      </c>
      <c r="E119" s="142" t="str">
        <f>_xlfn.XLOOKUP(AB119,Regcontabilizados[Identificador],Regcontabilizados[Fecha vencimiento],0)</f>
        <v/>
      </c>
      <c r="F119" s="183" t="str">
        <f>_xlfn.XLOOKUP(AB119,Regcontabilizados[Identificador],Regcontabilizados[Haber],0)</f>
        <v/>
      </c>
      <c r="G119" s="183">
        <f>_xlfn.XLOOKUP(AH120,Regcontabilizados[Identificador],Regcontabilizados[Debe],0)</f>
        <v>0</v>
      </c>
      <c r="H119" s="37">
        <f t="shared" si="13"/>
        <v>0</v>
      </c>
      <c r="I119" s="37"/>
      <c r="J119" s="210">
        <f t="shared" si="14"/>
        <v>0</v>
      </c>
      <c r="K119" s="197"/>
      <c r="O119" t="str">
        <f>_xlfn.XLOOKUP($H$7,BDPROV[ID-Proveedor],BDPROV[NIT/C.C.])&amp;$H$9&amp;N119&amp;"-"&amp;11</f>
        <v>F.C.-11</v>
      </c>
      <c r="P119" t="str">
        <f t="shared" si="17"/>
        <v/>
      </c>
      <c r="Q119" t="str">
        <f>IF(N119="","",    _xlfn.XLOOKUP(P119,Regcontabilizados[Número pago],Regcontabilizados[Estado de pago],"NO PAGADO"))</f>
        <v/>
      </c>
      <c r="R119" s="44">
        <f>_xlfn.XLOOKUP(O119,Regcontabilizados[Identificador],Regcontabilizados[Fecha vencimiento],0)</f>
        <v>0</v>
      </c>
      <c r="S119">
        <f>_xlfn.XLOOKUP(O119,Regcontabilizados[Identificador],Regcontabilizados[Subcuenta],0)</f>
        <v>0</v>
      </c>
      <c r="T119">
        <f>_xlfn.XLOOKUP(O119,Regcontabilizados[Identificador],Regcontabilizados[Haber],0)</f>
        <v>0</v>
      </c>
      <c r="U119">
        <f>SUMIF(Regcontabilizados[Número pago],PAGOCompbusc!P119,Regcontabilizados[Debe])</f>
        <v>0</v>
      </c>
      <c r="AA119" s="33" t="str">
        <f>IF(J119=0,"",  _xlfn.XLOOKUP(AB119,Regcontabilizados[Identificador],Regcontabilizados[Subcuenta],0))</f>
        <v/>
      </c>
      <c r="AB119" t="str">
        <f>IF(J119=0,"",  _xlfn.XLOOKUP($H$7,BDPROV[ID-Proveedor],BDPROV[NIT/C.C.],0)&amp;$H$9&amp;D119&amp;"-"&amp;11)</f>
        <v/>
      </c>
      <c r="AC119" t="str">
        <f t="shared" si="15"/>
        <v/>
      </c>
      <c r="AD119" t="str">
        <f t="shared" si="16"/>
        <v>En Blanco</v>
      </c>
      <c r="AE119" t="str">
        <f>_xlfn.XLOOKUP($H$7,BDPROV[ID-Proveedor],BDPROV[NIT/C.C.],0)&amp;$H$13&amp;$E$7&amp;"-"&amp;ROW(Z119)-21</f>
        <v>Comp. Egreso-98</v>
      </c>
    </row>
    <row r="120" spans="3:31">
      <c r="C120" s="194"/>
      <c r="D120" s="206" t="str">
        <f t="shared" si="12"/>
        <v/>
      </c>
      <c r="E120" s="142" t="str">
        <f>_xlfn.XLOOKUP(AB120,Regcontabilizados[Identificador],Regcontabilizados[Fecha vencimiento],0)</f>
        <v/>
      </c>
      <c r="F120" s="183" t="str">
        <f>_xlfn.XLOOKUP(AB120,Regcontabilizados[Identificador],Regcontabilizados[Haber],0)</f>
        <v/>
      </c>
      <c r="G120" s="183">
        <f>_xlfn.XLOOKUP(AH121,Regcontabilizados[Identificador],Regcontabilizados[Debe],0)</f>
        <v>0</v>
      </c>
      <c r="H120" s="37">
        <f t="shared" si="13"/>
        <v>0</v>
      </c>
      <c r="I120" s="37"/>
      <c r="J120" s="210">
        <f t="shared" si="14"/>
        <v>0</v>
      </c>
      <c r="K120" s="197"/>
      <c r="O120" t="str">
        <f>_xlfn.XLOOKUP($H$7,BDPROV[ID-Proveedor],BDPROV[NIT/C.C.])&amp;$H$9&amp;N120&amp;"-"&amp;11</f>
        <v>F.C.-11</v>
      </c>
      <c r="P120" t="str">
        <f t="shared" si="17"/>
        <v/>
      </c>
      <c r="Q120" t="str">
        <f>IF(N120="","",    _xlfn.XLOOKUP(P120,Regcontabilizados[Número pago],Regcontabilizados[Estado de pago],"NO PAGADO"))</f>
        <v/>
      </c>
      <c r="R120" s="44">
        <f>_xlfn.XLOOKUP(O120,Regcontabilizados[Identificador],Regcontabilizados[Fecha vencimiento],0)</f>
        <v>0</v>
      </c>
      <c r="S120">
        <f>_xlfn.XLOOKUP(O120,Regcontabilizados[Identificador],Regcontabilizados[Subcuenta],0)</f>
        <v>0</v>
      </c>
      <c r="T120">
        <f>_xlfn.XLOOKUP(O120,Regcontabilizados[Identificador],Regcontabilizados[Haber],0)</f>
        <v>0</v>
      </c>
      <c r="U120">
        <f>SUMIF(Regcontabilizados[Número pago],PAGOCompbusc!P120,Regcontabilizados[Debe])</f>
        <v>0</v>
      </c>
      <c r="AA120" s="33" t="str">
        <f>IF(J120=0,"",  _xlfn.XLOOKUP(AB120,Regcontabilizados[Identificador],Regcontabilizados[Subcuenta],0))</f>
        <v/>
      </c>
      <c r="AB120" t="str">
        <f>IF(J120=0,"",  _xlfn.XLOOKUP($H$7,BDPROV[ID-Proveedor],BDPROV[NIT/C.C.],0)&amp;$H$9&amp;D120&amp;"-"&amp;11)</f>
        <v/>
      </c>
      <c r="AC120" t="str">
        <f t="shared" si="15"/>
        <v/>
      </c>
      <c r="AD120" t="str">
        <f t="shared" si="16"/>
        <v>En Blanco</v>
      </c>
      <c r="AE120" t="str">
        <f>_xlfn.XLOOKUP($H$7,BDPROV[ID-Proveedor],BDPROV[NIT/C.C.],0)&amp;$H$13&amp;$E$7&amp;"-"&amp;ROW(Z120)-21</f>
        <v>Comp. Egreso-99</v>
      </c>
    </row>
    <row r="121" spans="3:31">
      <c r="C121" s="194"/>
      <c r="D121" s="206" t="str">
        <f t="shared" si="12"/>
        <v/>
      </c>
      <c r="E121" s="142" t="str">
        <f>_xlfn.XLOOKUP(AB121,Regcontabilizados[Identificador],Regcontabilizados[Fecha vencimiento],0)</f>
        <v/>
      </c>
      <c r="F121" s="183" t="str">
        <f>_xlfn.XLOOKUP(AB121,Regcontabilizados[Identificador],Regcontabilizados[Haber],0)</f>
        <v/>
      </c>
      <c r="G121" s="183">
        <f>_xlfn.XLOOKUP(AH122,Regcontabilizados[Identificador],Regcontabilizados[Debe],0)</f>
        <v>0</v>
      </c>
      <c r="H121" s="37">
        <f t="shared" si="13"/>
        <v>0</v>
      </c>
      <c r="I121" s="37"/>
      <c r="J121" s="210">
        <f t="shared" si="14"/>
        <v>0</v>
      </c>
      <c r="K121" s="197"/>
      <c r="O121" t="str">
        <f>_xlfn.XLOOKUP($H$7,BDPROV[ID-Proveedor],BDPROV[NIT/C.C.])&amp;$H$9&amp;N121&amp;"-"&amp;11</f>
        <v>F.C.-11</v>
      </c>
      <c r="P121" t="str">
        <f t="shared" si="17"/>
        <v/>
      </c>
      <c r="Q121" t="str">
        <f>IF(N121="","",    _xlfn.XLOOKUP(P121,Regcontabilizados[Número pago],Regcontabilizados[Estado de pago],"NO PAGADO"))</f>
        <v/>
      </c>
      <c r="R121" s="44">
        <f>_xlfn.XLOOKUP(O121,Regcontabilizados[Identificador],Regcontabilizados[Fecha vencimiento],0)</f>
        <v>0</v>
      </c>
      <c r="S121">
        <f>_xlfn.XLOOKUP(O121,Regcontabilizados[Identificador],Regcontabilizados[Subcuenta],0)</f>
        <v>0</v>
      </c>
      <c r="T121">
        <f>_xlfn.XLOOKUP(O121,Regcontabilizados[Identificador],Regcontabilizados[Haber],0)</f>
        <v>0</v>
      </c>
      <c r="U121">
        <f>SUMIF(Regcontabilizados[Número pago],PAGOCompbusc!P121,Regcontabilizados[Debe])</f>
        <v>0</v>
      </c>
      <c r="AA121" s="33" t="str">
        <f>IF(J121=0,"",  _xlfn.XLOOKUP(AB121,Regcontabilizados[Identificador],Regcontabilizados[Subcuenta],0))</f>
        <v/>
      </c>
      <c r="AB121" t="str">
        <f>IF(J121=0,"",  _xlfn.XLOOKUP($H$7,BDPROV[ID-Proveedor],BDPROV[NIT/C.C.],0)&amp;$H$9&amp;D121&amp;"-"&amp;11)</f>
        <v/>
      </c>
      <c r="AC121" t="str">
        <f t="shared" si="15"/>
        <v/>
      </c>
      <c r="AD121" t="str">
        <f t="shared" si="16"/>
        <v>En Blanco</v>
      </c>
      <c r="AE121" t="str">
        <f>_xlfn.XLOOKUP($H$7,BDPROV[ID-Proveedor],BDPROV[NIT/C.C.],0)&amp;$H$13&amp;$E$7&amp;"-"&amp;ROW(Z121)-21</f>
        <v>Comp. Egreso-100</v>
      </c>
    </row>
    <row r="122" spans="3:31">
      <c r="C122" s="194"/>
      <c r="D122" s="206" t="str">
        <f t="shared" si="12"/>
        <v/>
      </c>
      <c r="E122" s="142" t="str">
        <f>_xlfn.XLOOKUP(AB122,Regcontabilizados[Identificador],Regcontabilizados[Fecha vencimiento],0)</f>
        <v/>
      </c>
      <c r="F122" s="183" t="str">
        <f>_xlfn.XLOOKUP(AB122,Regcontabilizados[Identificador],Regcontabilizados[Haber],0)</f>
        <v/>
      </c>
      <c r="G122" s="183">
        <f>_xlfn.XLOOKUP(AH123,Regcontabilizados[Identificador],Regcontabilizados[Debe],0)</f>
        <v>0</v>
      </c>
      <c r="H122" s="37">
        <f t="shared" si="13"/>
        <v>0</v>
      </c>
      <c r="I122" s="37"/>
      <c r="J122" s="210">
        <f t="shared" si="14"/>
        <v>0</v>
      </c>
      <c r="K122" s="197"/>
      <c r="O122" t="str">
        <f>_xlfn.XLOOKUP($H$7,BDPROV[ID-Proveedor],BDPROV[NIT/C.C.])&amp;$H$9&amp;N122&amp;"-"&amp;11</f>
        <v>F.C.-11</v>
      </c>
      <c r="P122" t="str">
        <f t="shared" si="17"/>
        <v/>
      </c>
      <c r="Q122" t="str">
        <f>IF(N122="","",    _xlfn.XLOOKUP(P122,Regcontabilizados[Número pago],Regcontabilizados[Estado de pago],"NO PAGADO"))</f>
        <v/>
      </c>
      <c r="R122" s="44">
        <f>_xlfn.XLOOKUP(O122,Regcontabilizados[Identificador],Regcontabilizados[Fecha vencimiento],0)</f>
        <v>0</v>
      </c>
      <c r="S122">
        <f>_xlfn.XLOOKUP(O122,Regcontabilizados[Identificador],Regcontabilizados[Subcuenta],0)</f>
        <v>0</v>
      </c>
      <c r="T122">
        <f>_xlfn.XLOOKUP(O122,Regcontabilizados[Identificador],Regcontabilizados[Haber],0)</f>
        <v>0</v>
      </c>
      <c r="U122">
        <f>SUMIF(Regcontabilizados[Número pago],PAGOCompbusc!P122,Regcontabilizados[Debe])</f>
        <v>0</v>
      </c>
      <c r="AA122" s="33" t="str">
        <f>IF(J122=0,"",  _xlfn.XLOOKUP(AB122,Regcontabilizados[Identificador],Regcontabilizados[Subcuenta],0))</f>
        <v/>
      </c>
      <c r="AB122" t="str">
        <f>IF(J122=0,"",  _xlfn.XLOOKUP($H$7,BDPROV[ID-Proveedor],BDPROV[NIT/C.C.],0)&amp;$H$9&amp;D122&amp;"-"&amp;11)</f>
        <v/>
      </c>
      <c r="AC122" t="str">
        <f t="shared" si="15"/>
        <v/>
      </c>
      <c r="AD122" t="str">
        <f t="shared" si="16"/>
        <v>En Blanco</v>
      </c>
      <c r="AE122" t="str">
        <f>_xlfn.XLOOKUP($H$7,BDPROV[ID-Proveedor],BDPROV[NIT/C.C.],0)&amp;$H$13&amp;$E$7&amp;"-"&amp;ROW(Z122)-21</f>
        <v>Comp. Egreso-101</v>
      </c>
    </row>
    <row r="123" spans="3:31">
      <c r="C123" s="194"/>
      <c r="D123" s="206" t="str">
        <f t="shared" si="12"/>
        <v/>
      </c>
      <c r="E123" s="142" t="str">
        <f>_xlfn.XLOOKUP(AB123,Regcontabilizados[Identificador],Regcontabilizados[Fecha vencimiento],0)</f>
        <v/>
      </c>
      <c r="F123" s="183" t="str">
        <f>_xlfn.XLOOKUP(AB123,Regcontabilizados[Identificador],Regcontabilizados[Haber],0)</f>
        <v/>
      </c>
      <c r="G123" s="183">
        <f>_xlfn.XLOOKUP(AH124,Regcontabilizados[Identificador],Regcontabilizados[Debe],0)</f>
        <v>0</v>
      </c>
      <c r="H123" s="37">
        <f t="shared" si="13"/>
        <v>0</v>
      </c>
      <c r="I123" s="37"/>
      <c r="J123" s="210">
        <f t="shared" si="14"/>
        <v>0</v>
      </c>
      <c r="K123" s="197"/>
      <c r="O123" t="str">
        <f>_xlfn.XLOOKUP($H$7,BDPROV[ID-Proveedor],BDPROV[NIT/C.C.])&amp;$H$9&amp;N123&amp;"-"&amp;11</f>
        <v>F.C.-11</v>
      </c>
      <c r="P123" t="str">
        <f t="shared" si="17"/>
        <v/>
      </c>
      <c r="Q123" t="str">
        <f>IF(N123="","",    _xlfn.XLOOKUP(P123,Regcontabilizados[Número pago],Regcontabilizados[Estado de pago],"NO PAGADO"))</f>
        <v/>
      </c>
      <c r="R123" s="44">
        <f>_xlfn.XLOOKUP(O123,Regcontabilizados[Identificador],Regcontabilizados[Fecha vencimiento],0)</f>
        <v>0</v>
      </c>
      <c r="S123">
        <f>_xlfn.XLOOKUP(O123,Regcontabilizados[Identificador],Regcontabilizados[Subcuenta],0)</f>
        <v>0</v>
      </c>
      <c r="T123">
        <f>_xlfn.XLOOKUP(O123,Regcontabilizados[Identificador],Regcontabilizados[Haber],0)</f>
        <v>0</v>
      </c>
      <c r="U123">
        <f>SUMIF(Regcontabilizados[Número pago],PAGOCompbusc!P123,Regcontabilizados[Debe])</f>
        <v>0</v>
      </c>
      <c r="AA123" s="33" t="str">
        <f>IF(J123=0,"",  _xlfn.XLOOKUP(AB123,Regcontabilizados[Identificador],Regcontabilizados[Subcuenta],0))</f>
        <v/>
      </c>
      <c r="AB123" t="str">
        <f>IF(J123=0,"",  _xlfn.XLOOKUP($H$7,BDPROV[ID-Proveedor],BDPROV[NIT/C.C.],0)&amp;$H$9&amp;D123&amp;"-"&amp;11)</f>
        <v/>
      </c>
      <c r="AC123" t="str">
        <f t="shared" si="15"/>
        <v/>
      </c>
      <c r="AD123" t="str">
        <f t="shared" si="16"/>
        <v>En Blanco</v>
      </c>
      <c r="AE123" t="str">
        <f>_xlfn.XLOOKUP($H$7,BDPROV[ID-Proveedor],BDPROV[NIT/C.C.],0)&amp;$H$13&amp;$E$7&amp;"-"&amp;ROW(Z123)-21</f>
        <v>Comp. Egreso-102</v>
      </c>
    </row>
    <row r="124" spans="3:31">
      <c r="C124" s="194"/>
      <c r="D124" s="206" t="str">
        <f t="shared" si="12"/>
        <v/>
      </c>
      <c r="E124" s="142" t="str">
        <f>_xlfn.XLOOKUP(AB124,Regcontabilizados[Identificador],Regcontabilizados[Fecha vencimiento],0)</f>
        <v/>
      </c>
      <c r="F124" s="183" t="str">
        <f>_xlfn.XLOOKUP(AB124,Regcontabilizados[Identificador],Regcontabilizados[Haber],0)</f>
        <v/>
      </c>
      <c r="G124" s="183">
        <f>_xlfn.XLOOKUP(AH125,Regcontabilizados[Identificador],Regcontabilizados[Debe],0)</f>
        <v>0</v>
      </c>
      <c r="H124" s="37">
        <f t="shared" si="13"/>
        <v>0</v>
      </c>
      <c r="I124" s="37"/>
      <c r="J124" s="210">
        <f t="shared" si="14"/>
        <v>0</v>
      </c>
      <c r="K124" s="197"/>
      <c r="O124" t="str">
        <f>_xlfn.XLOOKUP($H$7,BDPROV[ID-Proveedor],BDPROV[NIT/C.C.])&amp;$H$9&amp;N124&amp;"-"&amp;11</f>
        <v>F.C.-11</v>
      </c>
      <c r="P124" t="str">
        <f t="shared" si="17"/>
        <v/>
      </c>
      <c r="Q124" t="str">
        <f>IF(N124="","",    _xlfn.XLOOKUP(P124,Regcontabilizados[Número pago],Regcontabilizados[Estado de pago],"NO PAGADO"))</f>
        <v/>
      </c>
      <c r="R124" s="44">
        <f>_xlfn.XLOOKUP(O124,Regcontabilizados[Identificador],Regcontabilizados[Fecha vencimiento],0)</f>
        <v>0</v>
      </c>
      <c r="S124">
        <f>_xlfn.XLOOKUP(O124,Regcontabilizados[Identificador],Regcontabilizados[Subcuenta],0)</f>
        <v>0</v>
      </c>
      <c r="T124">
        <f>_xlfn.XLOOKUP(O124,Regcontabilizados[Identificador],Regcontabilizados[Haber],0)</f>
        <v>0</v>
      </c>
      <c r="U124">
        <f>SUMIF(Regcontabilizados[Número pago],PAGOCompbusc!P124,Regcontabilizados[Debe])</f>
        <v>0</v>
      </c>
      <c r="AA124" s="33" t="str">
        <f>IF(J124=0,"",  _xlfn.XLOOKUP(AB124,Regcontabilizados[Identificador],Regcontabilizados[Subcuenta],0))</f>
        <v/>
      </c>
      <c r="AB124" t="str">
        <f>IF(J124=0,"",  _xlfn.XLOOKUP($H$7,BDPROV[ID-Proveedor],BDPROV[NIT/C.C.],0)&amp;$H$9&amp;D124&amp;"-"&amp;11)</f>
        <v/>
      </c>
      <c r="AC124" t="str">
        <f t="shared" si="15"/>
        <v/>
      </c>
      <c r="AD124" t="str">
        <f t="shared" si="16"/>
        <v>En Blanco</v>
      </c>
      <c r="AE124" t="str">
        <f>_xlfn.XLOOKUP($H$7,BDPROV[ID-Proveedor],BDPROV[NIT/C.C.],0)&amp;$H$13&amp;$E$7&amp;"-"&amp;ROW(Z124)-21</f>
        <v>Comp. Egreso-103</v>
      </c>
    </row>
    <row r="125" spans="3:31">
      <c r="C125" s="194"/>
      <c r="D125" s="206" t="str">
        <f t="shared" si="12"/>
        <v/>
      </c>
      <c r="E125" s="142" t="str">
        <f>_xlfn.XLOOKUP(AB125,Regcontabilizados[Identificador],Regcontabilizados[Fecha vencimiento],0)</f>
        <v/>
      </c>
      <c r="F125" s="183" t="str">
        <f>_xlfn.XLOOKUP(AB125,Regcontabilizados[Identificador],Regcontabilizados[Haber],0)</f>
        <v/>
      </c>
      <c r="G125" s="183">
        <f>_xlfn.XLOOKUP(AH126,Regcontabilizados[Identificador],Regcontabilizados[Debe],0)</f>
        <v>0</v>
      </c>
      <c r="H125" s="37">
        <f t="shared" si="13"/>
        <v>0</v>
      </c>
      <c r="I125" s="37"/>
      <c r="J125" s="210">
        <f t="shared" si="14"/>
        <v>0</v>
      </c>
      <c r="K125" s="197"/>
      <c r="O125" t="str">
        <f>_xlfn.XLOOKUP($H$7,BDPROV[ID-Proveedor],BDPROV[NIT/C.C.])&amp;$H$9&amp;N125&amp;"-"&amp;11</f>
        <v>F.C.-11</v>
      </c>
      <c r="P125" t="str">
        <f t="shared" si="17"/>
        <v/>
      </c>
      <c r="Q125" t="str">
        <f>IF(N125="","",    _xlfn.XLOOKUP(P125,Regcontabilizados[Número pago],Regcontabilizados[Estado de pago],"NO PAGADO"))</f>
        <v/>
      </c>
      <c r="R125" s="44">
        <f>_xlfn.XLOOKUP(O125,Regcontabilizados[Identificador],Regcontabilizados[Fecha vencimiento],0)</f>
        <v>0</v>
      </c>
      <c r="S125">
        <f>_xlfn.XLOOKUP(O125,Regcontabilizados[Identificador],Regcontabilizados[Subcuenta],0)</f>
        <v>0</v>
      </c>
      <c r="T125">
        <f>_xlfn.XLOOKUP(O125,Regcontabilizados[Identificador],Regcontabilizados[Haber],0)</f>
        <v>0</v>
      </c>
      <c r="U125">
        <f>SUMIF(Regcontabilizados[Número pago],PAGOCompbusc!P125,Regcontabilizados[Debe])</f>
        <v>0</v>
      </c>
      <c r="AA125" s="33" t="str">
        <f>IF(J125=0,"",  _xlfn.XLOOKUP(AB125,Regcontabilizados[Identificador],Regcontabilizados[Subcuenta],0))</f>
        <v/>
      </c>
      <c r="AB125" t="str">
        <f>IF(J125=0,"",  _xlfn.XLOOKUP($H$7,BDPROV[ID-Proveedor],BDPROV[NIT/C.C.],0)&amp;$H$9&amp;D125&amp;"-"&amp;11)</f>
        <v/>
      </c>
      <c r="AC125" t="str">
        <f t="shared" si="15"/>
        <v/>
      </c>
      <c r="AD125" t="str">
        <f t="shared" si="16"/>
        <v>En Blanco</v>
      </c>
      <c r="AE125" t="str">
        <f>_xlfn.XLOOKUP($H$7,BDPROV[ID-Proveedor],BDPROV[NIT/C.C.],0)&amp;$H$13&amp;$E$7&amp;"-"&amp;ROW(Z125)-21</f>
        <v>Comp. Egreso-104</v>
      </c>
    </row>
    <row r="126" spans="3:31">
      <c r="C126" s="194"/>
      <c r="D126" s="206" t="str">
        <f t="shared" si="12"/>
        <v/>
      </c>
      <c r="E126" s="142" t="str">
        <f>_xlfn.XLOOKUP(AB126,Regcontabilizados[Identificador],Regcontabilizados[Fecha vencimiento],0)</f>
        <v/>
      </c>
      <c r="F126" s="183" t="str">
        <f>_xlfn.XLOOKUP(AB126,Regcontabilizados[Identificador],Regcontabilizados[Haber],0)</f>
        <v/>
      </c>
      <c r="G126" s="183">
        <f>_xlfn.XLOOKUP(AH127,Regcontabilizados[Identificador],Regcontabilizados[Debe],0)</f>
        <v>0</v>
      </c>
      <c r="H126" s="37">
        <f t="shared" si="13"/>
        <v>0</v>
      </c>
      <c r="I126" s="37"/>
      <c r="J126" s="210">
        <f t="shared" si="14"/>
        <v>0</v>
      </c>
      <c r="K126" s="197"/>
      <c r="O126" t="str">
        <f>_xlfn.XLOOKUP($H$7,BDPROV[ID-Proveedor],BDPROV[NIT/C.C.])&amp;$H$9&amp;N126&amp;"-"&amp;11</f>
        <v>F.C.-11</v>
      </c>
      <c r="P126" t="str">
        <f t="shared" si="17"/>
        <v/>
      </c>
      <c r="Q126" t="str">
        <f>IF(N126="","",    _xlfn.XLOOKUP(P126,Regcontabilizados[Número pago],Regcontabilizados[Estado de pago],"NO PAGADO"))</f>
        <v/>
      </c>
      <c r="R126" s="44">
        <f>_xlfn.XLOOKUP(O126,Regcontabilizados[Identificador],Regcontabilizados[Fecha vencimiento],0)</f>
        <v>0</v>
      </c>
      <c r="S126">
        <f>_xlfn.XLOOKUP(O126,Regcontabilizados[Identificador],Regcontabilizados[Subcuenta],0)</f>
        <v>0</v>
      </c>
      <c r="T126">
        <f>_xlfn.XLOOKUP(O126,Regcontabilizados[Identificador],Regcontabilizados[Haber],0)</f>
        <v>0</v>
      </c>
      <c r="U126">
        <f>SUMIF(Regcontabilizados[Número pago],PAGOCompbusc!P126,Regcontabilizados[Debe])</f>
        <v>0</v>
      </c>
      <c r="AA126" s="33" t="str">
        <f>IF(J126=0,"",  _xlfn.XLOOKUP(AB126,Regcontabilizados[Identificador],Regcontabilizados[Subcuenta],0))</f>
        <v/>
      </c>
      <c r="AB126" t="str">
        <f>IF(J126=0,"",  _xlfn.XLOOKUP($H$7,BDPROV[ID-Proveedor],BDPROV[NIT/C.C.],0)&amp;$H$9&amp;D126&amp;"-"&amp;11)</f>
        <v/>
      </c>
      <c r="AC126" t="str">
        <f t="shared" si="15"/>
        <v/>
      </c>
      <c r="AD126" t="str">
        <f t="shared" si="16"/>
        <v>En Blanco</v>
      </c>
      <c r="AE126" t="str">
        <f>_xlfn.XLOOKUP($H$7,BDPROV[ID-Proveedor],BDPROV[NIT/C.C.],0)&amp;$H$13&amp;$E$7&amp;"-"&amp;ROW(Z126)-21</f>
        <v>Comp. Egreso-105</v>
      </c>
    </row>
    <row r="127" spans="3:31">
      <c r="C127" s="194"/>
      <c r="D127" s="206" t="str">
        <f t="shared" si="12"/>
        <v/>
      </c>
      <c r="E127" s="142" t="str">
        <f>_xlfn.XLOOKUP(AB127,Regcontabilizados[Identificador],Regcontabilizados[Fecha vencimiento],0)</f>
        <v/>
      </c>
      <c r="F127" s="183" t="str">
        <f>_xlfn.XLOOKUP(AB127,Regcontabilizados[Identificador],Regcontabilizados[Haber],0)</f>
        <v/>
      </c>
      <c r="G127" s="183">
        <f>_xlfn.XLOOKUP(AH128,Regcontabilizados[Identificador],Regcontabilizados[Debe],0)</f>
        <v>0</v>
      </c>
      <c r="H127" s="37">
        <f t="shared" si="13"/>
        <v>0</v>
      </c>
      <c r="I127" s="37"/>
      <c r="J127" s="210">
        <f t="shared" si="14"/>
        <v>0</v>
      </c>
      <c r="K127" s="197"/>
      <c r="O127" t="str">
        <f>_xlfn.XLOOKUP($H$7,BDPROV[ID-Proveedor],BDPROV[NIT/C.C.])&amp;$H$9&amp;N127&amp;"-"&amp;11</f>
        <v>F.C.-11</v>
      </c>
      <c r="P127" t="str">
        <f t="shared" si="17"/>
        <v/>
      </c>
      <c r="Q127" t="str">
        <f>IF(N127="","",    _xlfn.XLOOKUP(P127,Regcontabilizados[Número pago],Regcontabilizados[Estado de pago],"NO PAGADO"))</f>
        <v/>
      </c>
      <c r="R127" s="44">
        <f>_xlfn.XLOOKUP(O127,Regcontabilizados[Identificador],Regcontabilizados[Fecha vencimiento],0)</f>
        <v>0</v>
      </c>
      <c r="S127">
        <f>_xlfn.XLOOKUP(O127,Regcontabilizados[Identificador],Regcontabilizados[Subcuenta],0)</f>
        <v>0</v>
      </c>
      <c r="T127">
        <f>_xlfn.XLOOKUP(O127,Regcontabilizados[Identificador],Regcontabilizados[Haber],0)</f>
        <v>0</v>
      </c>
      <c r="U127">
        <f>SUMIF(Regcontabilizados[Número pago],PAGOCompbusc!P127,Regcontabilizados[Debe])</f>
        <v>0</v>
      </c>
      <c r="AA127" s="33" t="str">
        <f>IF(J127=0,"",  _xlfn.XLOOKUP(AB127,Regcontabilizados[Identificador],Regcontabilizados[Subcuenta],0))</f>
        <v/>
      </c>
      <c r="AB127" t="str">
        <f>IF(J127=0,"",  _xlfn.XLOOKUP($H$7,BDPROV[ID-Proveedor],BDPROV[NIT/C.C.],0)&amp;$H$9&amp;D127&amp;"-"&amp;11)</f>
        <v/>
      </c>
      <c r="AC127" t="str">
        <f t="shared" si="15"/>
        <v/>
      </c>
      <c r="AD127" t="str">
        <f t="shared" si="16"/>
        <v>En Blanco</v>
      </c>
      <c r="AE127" t="str">
        <f>_xlfn.XLOOKUP($H$7,BDPROV[ID-Proveedor],BDPROV[NIT/C.C.],0)&amp;$H$13&amp;$E$7&amp;"-"&amp;ROW(Z127)-21</f>
        <v>Comp. Egreso-106</v>
      </c>
    </row>
    <row r="128" spans="3:31">
      <c r="C128" s="194"/>
      <c r="D128" s="206" t="str">
        <f t="shared" si="12"/>
        <v/>
      </c>
      <c r="E128" s="142" t="str">
        <f>_xlfn.XLOOKUP(AB128,Regcontabilizados[Identificador],Regcontabilizados[Fecha vencimiento],0)</f>
        <v/>
      </c>
      <c r="F128" s="183" t="str">
        <f>_xlfn.XLOOKUP(AB128,Regcontabilizados[Identificador],Regcontabilizados[Haber],0)</f>
        <v/>
      </c>
      <c r="G128" s="183">
        <f>_xlfn.XLOOKUP(AH129,Regcontabilizados[Identificador],Regcontabilizados[Debe],0)</f>
        <v>0</v>
      </c>
      <c r="H128" s="37">
        <f t="shared" si="13"/>
        <v>0</v>
      </c>
      <c r="I128" s="37"/>
      <c r="J128" s="210">
        <f t="shared" si="14"/>
        <v>0</v>
      </c>
      <c r="K128" s="197"/>
      <c r="O128" t="str">
        <f>_xlfn.XLOOKUP($H$7,BDPROV[ID-Proveedor],BDPROV[NIT/C.C.])&amp;$H$9&amp;N128&amp;"-"&amp;11</f>
        <v>F.C.-11</v>
      </c>
      <c r="P128" t="str">
        <f t="shared" si="17"/>
        <v/>
      </c>
      <c r="Q128" t="str">
        <f>IF(N128="","",    _xlfn.XLOOKUP(P128,Regcontabilizados[Número pago],Regcontabilizados[Estado de pago],"NO PAGADO"))</f>
        <v/>
      </c>
      <c r="R128" s="44">
        <f>_xlfn.XLOOKUP(O128,Regcontabilizados[Identificador],Regcontabilizados[Fecha vencimiento],0)</f>
        <v>0</v>
      </c>
      <c r="S128">
        <f>_xlfn.XLOOKUP(O128,Regcontabilizados[Identificador],Regcontabilizados[Subcuenta],0)</f>
        <v>0</v>
      </c>
      <c r="T128">
        <f>_xlfn.XLOOKUP(O128,Regcontabilizados[Identificador],Regcontabilizados[Haber],0)</f>
        <v>0</v>
      </c>
      <c r="U128">
        <f>SUMIF(Regcontabilizados[Número pago],PAGOCompbusc!P128,Regcontabilizados[Debe])</f>
        <v>0</v>
      </c>
      <c r="AA128" s="33" t="str">
        <f>IF(J128=0,"",  _xlfn.XLOOKUP(AB128,Regcontabilizados[Identificador],Regcontabilizados[Subcuenta],0))</f>
        <v/>
      </c>
      <c r="AB128" t="str">
        <f>IF(J128=0,"",  _xlfn.XLOOKUP($H$7,BDPROV[ID-Proveedor],BDPROV[NIT/C.C.],0)&amp;$H$9&amp;D128&amp;"-"&amp;11)</f>
        <v/>
      </c>
      <c r="AC128" t="str">
        <f t="shared" si="15"/>
        <v/>
      </c>
      <c r="AD128" t="str">
        <f t="shared" si="16"/>
        <v>En Blanco</v>
      </c>
      <c r="AE128" t="str">
        <f>_xlfn.XLOOKUP($H$7,BDPROV[ID-Proveedor],BDPROV[NIT/C.C.],0)&amp;$H$13&amp;$E$7&amp;"-"&amp;ROW(Z128)-21</f>
        <v>Comp. Egreso-107</v>
      </c>
    </row>
    <row r="129" spans="3:31">
      <c r="C129" s="194"/>
      <c r="D129" s="206" t="str">
        <f t="shared" si="12"/>
        <v/>
      </c>
      <c r="E129" s="142" t="str">
        <f>_xlfn.XLOOKUP(AB129,Regcontabilizados[Identificador],Regcontabilizados[Fecha vencimiento],0)</f>
        <v/>
      </c>
      <c r="F129" s="183" t="str">
        <f>_xlfn.XLOOKUP(AB129,Regcontabilizados[Identificador],Regcontabilizados[Haber],0)</f>
        <v/>
      </c>
      <c r="G129" s="183">
        <f>_xlfn.XLOOKUP(AH130,Regcontabilizados[Identificador],Regcontabilizados[Debe],0)</f>
        <v>0</v>
      </c>
      <c r="H129" s="37">
        <f t="shared" si="13"/>
        <v>0</v>
      </c>
      <c r="I129" s="37"/>
      <c r="J129" s="210">
        <f t="shared" si="14"/>
        <v>0</v>
      </c>
      <c r="K129" s="197"/>
      <c r="O129" t="str">
        <f>_xlfn.XLOOKUP($H$7,BDPROV[ID-Proveedor],BDPROV[NIT/C.C.])&amp;$H$9&amp;N129&amp;"-"&amp;11</f>
        <v>F.C.-11</v>
      </c>
      <c r="P129" t="str">
        <f t="shared" si="17"/>
        <v/>
      </c>
      <c r="Q129" t="str">
        <f>IF(N129="","",    _xlfn.XLOOKUP(P129,Regcontabilizados[Número pago],Regcontabilizados[Estado de pago],"NO PAGADO"))</f>
        <v/>
      </c>
      <c r="R129" s="44">
        <f>_xlfn.XLOOKUP(O129,Regcontabilizados[Identificador],Regcontabilizados[Fecha vencimiento],0)</f>
        <v>0</v>
      </c>
      <c r="S129">
        <f>_xlfn.XLOOKUP(O129,Regcontabilizados[Identificador],Regcontabilizados[Subcuenta],0)</f>
        <v>0</v>
      </c>
      <c r="T129">
        <f>_xlfn.XLOOKUP(O129,Regcontabilizados[Identificador],Regcontabilizados[Haber],0)</f>
        <v>0</v>
      </c>
      <c r="U129">
        <f>SUMIF(Regcontabilizados[Número pago],PAGOCompbusc!P129,Regcontabilizados[Debe])</f>
        <v>0</v>
      </c>
      <c r="AA129" s="33" t="str">
        <f>IF(J129=0,"",  _xlfn.XLOOKUP(AB129,Regcontabilizados[Identificador],Regcontabilizados[Subcuenta],0))</f>
        <v/>
      </c>
      <c r="AB129" t="str">
        <f>IF(J129=0,"",  _xlfn.XLOOKUP($H$7,BDPROV[ID-Proveedor],BDPROV[NIT/C.C.],0)&amp;$H$9&amp;D129&amp;"-"&amp;11)</f>
        <v/>
      </c>
      <c r="AC129" t="str">
        <f t="shared" si="15"/>
        <v/>
      </c>
      <c r="AD129" t="str">
        <f t="shared" si="16"/>
        <v>En Blanco</v>
      </c>
      <c r="AE129" t="str">
        <f>_xlfn.XLOOKUP($H$7,BDPROV[ID-Proveedor],BDPROV[NIT/C.C.],0)&amp;$H$13&amp;$E$7&amp;"-"&amp;ROW(Z129)-21</f>
        <v>Comp. Egreso-108</v>
      </c>
    </row>
    <row r="130" spans="3:31">
      <c r="C130" s="194"/>
      <c r="D130" s="206" t="str">
        <f t="shared" si="12"/>
        <v/>
      </c>
      <c r="E130" s="142" t="str">
        <f>_xlfn.XLOOKUP(AB130,Regcontabilizados[Identificador],Regcontabilizados[Fecha vencimiento],0)</f>
        <v/>
      </c>
      <c r="F130" s="183" t="str">
        <f>_xlfn.XLOOKUP(AB130,Regcontabilizados[Identificador],Regcontabilizados[Haber],0)</f>
        <v/>
      </c>
      <c r="G130" s="183">
        <f>_xlfn.XLOOKUP(AH131,Regcontabilizados[Identificador],Regcontabilizados[Debe],0)</f>
        <v>0</v>
      </c>
      <c r="H130" s="37">
        <f t="shared" si="13"/>
        <v>0</v>
      </c>
      <c r="I130" s="37"/>
      <c r="J130" s="210">
        <f t="shared" si="14"/>
        <v>0</v>
      </c>
      <c r="K130" s="197"/>
      <c r="O130" t="str">
        <f>_xlfn.XLOOKUP($H$7,BDPROV[ID-Proveedor],BDPROV[NIT/C.C.])&amp;$H$9&amp;N130&amp;"-"&amp;11</f>
        <v>F.C.-11</v>
      </c>
      <c r="P130" t="str">
        <f t="shared" si="17"/>
        <v/>
      </c>
      <c r="Q130" t="str">
        <f>IF(N130="","",    _xlfn.XLOOKUP(P130,Regcontabilizados[Número pago],Regcontabilizados[Estado de pago],"NO PAGADO"))</f>
        <v/>
      </c>
      <c r="R130" s="44">
        <f>_xlfn.XLOOKUP(O130,Regcontabilizados[Identificador],Regcontabilizados[Fecha vencimiento],0)</f>
        <v>0</v>
      </c>
      <c r="S130">
        <f>_xlfn.XLOOKUP(O130,Regcontabilizados[Identificador],Regcontabilizados[Subcuenta],0)</f>
        <v>0</v>
      </c>
      <c r="T130">
        <f>_xlfn.XLOOKUP(O130,Regcontabilizados[Identificador],Regcontabilizados[Haber],0)</f>
        <v>0</v>
      </c>
      <c r="U130">
        <f>SUMIF(Regcontabilizados[Número pago],PAGOCompbusc!P130,Regcontabilizados[Debe])</f>
        <v>0</v>
      </c>
      <c r="AA130" s="33" t="str">
        <f>IF(J130=0,"",  _xlfn.XLOOKUP(AB130,Regcontabilizados[Identificador],Regcontabilizados[Subcuenta],0))</f>
        <v/>
      </c>
      <c r="AB130" t="str">
        <f>IF(J130=0,"",  _xlfn.XLOOKUP($H$7,BDPROV[ID-Proveedor],BDPROV[NIT/C.C.],0)&amp;$H$9&amp;D130&amp;"-"&amp;11)</f>
        <v/>
      </c>
      <c r="AC130" t="str">
        <f t="shared" si="15"/>
        <v/>
      </c>
      <c r="AD130" t="str">
        <f t="shared" si="16"/>
        <v>En Blanco</v>
      </c>
      <c r="AE130" t="str">
        <f>_xlfn.XLOOKUP($H$7,BDPROV[ID-Proveedor],BDPROV[NIT/C.C.],0)&amp;$H$13&amp;$E$7&amp;"-"&amp;ROW(Z130)-21</f>
        <v>Comp. Egreso-109</v>
      </c>
    </row>
    <row r="131" spans="3:31">
      <c r="C131" s="194"/>
      <c r="D131" s="206" t="str">
        <f t="shared" si="12"/>
        <v/>
      </c>
      <c r="E131" s="142" t="str">
        <f>_xlfn.XLOOKUP(AB131,Regcontabilizados[Identificador],Regcontabilizados[Fecha vencimiento],0)</f>
        <v/>
      </c>
      <c r="F131" s="183" t="str">
        <f>_xlfn.XLOOKUP(AB131,Regcontabilizados[Identificador],Regcontabilizados[Haber],0)</f>
        <v/>
      </c>
      <c r="G131" s="183">
        <f>_xlfn.XLOOKUP(AH132,Regcontabilizados[Identificador],Regcontabilizados[Debe],0)</f>
        <v>0</v>
      </c>
      <c r="H131" s="37">
        <f t="shared" si="13"/>
        <v>0</v>
      </c>
      <c r="I131" s="37"/>
      <c r="J131" s="210">
        <f t="shared" si="14"/>
        <v>0</v>
      </c>
      <c r="K131" s="197"/>
      <c r="O131" t="str">
        <f>_xlfn.XLOOKUP($H$7,BDPROV[ID-Proveedor],BDPROV[NIT/C.C.])&amp;$H$9&amp;N131&amp;"-"&amp;11</f>
        <v>F.C.-11</v>
      </c>
      <c r="P131" t="str">
        <f t="shared" si="17"/>
        <v/>
      </c>
      <c r="Q131" t="str">
        <f>IF(N131="","",    _xlfn.XLOOKUP(P131,Regcontabilizados[Número pago],Regcontabilizados[Estado de pago],"NO PAGADO"))</f>
        <v/>
      </c>
      <c r="R131" s="44">
        <f>_xlfn.XLOOKUP(O131,Regcontabilizados[Identificador],Regcontabilizados[Fecha vencimiento],0)</f>
        <v>0</v>
      </c>
      <c r="S131">
        <f>_xlfn.XLOOKUP(O131,Regcontabilizados[Identificador],Regcontabilizados[Subcuenta],0)</f>
        <v>0</v>
      </c>
      <c r="T131">
        <f>_xlfn.XLOOKUP(O131,Regcontabilizados[Identificador],Regcontabilizados[Haber],0)</f>
        <v>0</v>
      </c>
      <c r="U131">
        <f>SUMIF(Regcontabilizados[Número pago],PAGOCompbusc!P131,Regcontabilizados[Debe])</f>
        <v>0</v>
      </c>
      <c r="AA131" s="33" t="str">
        <f>IF(J131=0,"",  _xlfn.XLOOKUP(AB131,Regcontabilizados[Identificador],Regcontabilizados[Subcuenta],0))</f>
        <v/>
      </c>
      <c r="AB131" t="str">
        <f>IF(J131=0,"",  _xlfn.XLOOKUP($H$7,BDPROV[ID-Proveedor],BDPROV[NIT/C.C.],0)&amp;$H$9&amp;D131&amp;"-"&amp;11)</f>
        <v/>
      </c>
      <c r="AC131" t="str">
        <f t="shared" si="15"/>
        <v/>
      </c>
      <c r="AD131" t="str">
        <f t="shared" si="16"/>
        <v>En Blanco</v>
      </c>
      <c r="AE131" t="str">
        <f>_xlfn.XLOOKUP($H$7,BDPROV[ID-Proveedor],BDPROV[NIT/C.C.],0)&amp;$H$13&amp;$E$7&amp;"-"&amp;ROW(Z131)-21</f>
        <v>Comp. Egreso-110</v>
      </c>
    </row>
    <row r="132" spans="3:31">
      <c r="C132" s="194"/>
      <c r="D132" s="206" t="str">
        <f t="shared" si="12"/>
        <v/>
      </c>
      <c r="E132" s="142" t="str">
        <f>_xlfn.XLOOKUP(AB132,Regcontabilizados[Identificador],Regcontabilizados[Fecha vencimiento],0)</f>
        <v/>
      </c>
      <c r="F132" s="183" t="str">
        <f>_xlfn.XLOOKUP(AB132,Regcontabilizados[Identificador],Regcontabilizados[Haber],0)</f>
        <v/>
      </c>
      <c r="G132" s="183">
        <f>_xlfn.XLOOKUP(AH133,Regcontabilizados[Identificador],Regcontabilizados[Debe],0)</f>
        <v>0</v>
      </c>
      <c r="H132" s="37">
        <f t="shared" si="13"/>
        <v>0</v>
      </c>
      <c r="I132" s="37"/>
      <c r="J132" s="210">
        <f t="shared" si="14"/>
        <v>0</v>
      </c>
      <c r="K132" s="197"/>
      <c r="O132" t="str">
        <f>_xlfn.XLOOKUP($H$7,BDPROV[ID-Proveedor],BDPROV[NIT/C.C.])&amp;$H$9&amp;N132&amp;"-"&amp;11</f>
        <v>F.C.-11</v>
      </c>
      <c r="P132" t="str">
        <f t="shared" si="17"/>
        <v/>
      </c>
      <c r="Q132" t="str">
        <f>IF(N132="","",    _xlfn.XLOOKUP(P132,Regcontabilizados[Número pago],Regcontabilizados[Estado de pago],"NO PAGADO"))</f>
        <v/>
      </c>
      <c r="R132" s="44">
        <f>_xlfn.XLOOKUP(O132,Regcontabilizados[Identificador],Regcontabilizados[Fecha vencimiento],0)</f>
        <v>0</v>
      </c>
      <c r="S132">
        <f>_xlfn.XLOOKUP(O132,Regcontabilizados[Identificador],Regcontabilizados[Subcuenta],0)</f>
        <v>0</v>
      </c>
      <c r="T132">
        <f>_xlfn.XLOOKUP(O132,Regcontabilizados[Identificador],Regcontabilizados[Haber],0)</f>
        <v>0</v>
      </c>
      <c r="U132">
        <f>SUMIF(Regcontabilizados[Número pago],PAGOCompbusc!P132,Regcontabilizados[Debe])</f>
        <v>0</v>
      </c>
      <c r="AA132" s="33" t="str">
        <f>IF(J132=0,"",  _xlfn.XLOOKUP(AB132,Regcontabilizados[Identificador],Regcontabilizados[Subcuenta],0))</f>
        <v/>
      </c>
      <c r="AB132" t="str">
        <f>IF(J132=0,"",  _xlfn.XLOOKUP($H$7,BDPROV[ID-Proveedor],BDPROV[NIT/C.C.],0)&amp;$H$9&amp;D132&amp;"-"&amp;11)</f>
        <v/>
      </c>
      <c r="AC132" t="str">
        <f t="shared" si="15"/>
        <v/>
      </c>
      <c r="AD132" t="str">
        <f t="shared" si="16"/>
        <v>En Blanco</v>
      </c>
      <c r="AE132" t="str">
        <f>_xlfn.XLOOKUP($H$7,BDPROV[ID-Proveedor],BDPROV[NIT/C.C.],0)&amp;$H$13&amp;$E$7&amp;"-"&amp;ROW(Z132)-21</f>
        <v>Comp. Egreso-111</v>
      </c>
    </row>
    <row r="133" spans="3:31">
      <c r="C133" s="194"/>
      <c r="D133" s="206" t="str">
        <f t="shared" si="12"/>
        <v/>
      </c>
      <c r="E133" s="142" t="str">
        <f>_xlfn.XLOOKUP(AB133,Regcontabilizados[Identificador],Regcontabilizados[Fecha vencimiento],0)</f>
        <v/>
      </c>
      <c r="F133" s="183" t="str">
        <f>_xlfn.XLOOKUP(AB133,Regcontabilizados[Identificador],Regcontabilizados[Haber],0)</f>
        <v/>
      </c>
      <c r="G133" s="183">
        <f>_xlfn.XLOOKUP(AH134,Regcontabilizados[Identificador],Regcontabilizados[Debe],0)</f>
        <v>0</v>
      </c>
      <c r="H133" s="37">
        <f t="shared" si="13"/>
        <v>0</v>
      </c>
      <c r="I133" s="37"/>
      <c r="J133" s="210">
        <f t="shared" si="14"/>
        <v>0</v>
      </c>
      <c r="K133" s="197"/>
      <c r="O133" t="str">
        <f>_xlfn.XLOOKUP($H$7,BDPROV[ID-Proveedor],BDPROV[NIT/C.C.])&amp;$H$9&amp;N133&amp;"-"&amp;11</f>
        <v>F.C.-11</v>
      </c>
      <c r="P133" t="str">
        <f t="shared" si="17"/>
        <v/>
      </c>
      <c r="Q133" t="str">
        <f>IF(N133="","",    _xlfn.XLOOKUP(P133,Regcontabilizados[Número pago],Regcontabilizados[Estado de pago],"NO PAGADO"))</f>
        <v/>
      </c>
      <c r="R133" s="44">
        <f>_xlfn.XLOOKUP(O133,Regcontabilizados[Identificador],Regcontabilizados[Fecha vencimiento],0)</f>
        <v>0</v>
      </c>
      <c r="S133">
        <f>_xlfn.XLOOKUP(O133,Regcontabilizados[Identificador],Regcontabilizados[Subcuenta],0)</f>
        <v>0</v>
      </c>
      <c r="T133">
        <f>_xlfn.XLOOKUP(O133,Regcontabilizados[Identificador],Regcontabilizados[Haber],0)</f>
        <v>0</v>
      </c>
      <c r="U133">
        <f>SUMIF(Regcontabilizados[Número pago],PAGOCompbusc!P133,Regcontabilizados[Debe])</f>
        <v>0</v>
      </c>
      <c r="AA133" s="33" t="str">
        <f>IF(J133=0,"",  _xlfn.XLOOKUP(AB133,Regcontabilizados[Identificador],Regcontabilizados[Subcuenta],0))</f>
        <v/>
      </c>
      <c r="AB133" t="str">
        <f>IF(J133=0,"",  _xlfn.XLOOKUP($H$7,BDPROV[ID-Proveedor],BDPROV[NIT/C.C.],0)&amp;$H$9&amp;D133&amp;"-"&amp;11)</f>
        <v/>
      </c>
      <c r="AC133" t="str">
        <f t="shared" si="15"/>
        <v/>
      </c>
      <c r="AD133" t="str">
        <f t="shared" si="16"/>
        <v>En Blanco</v>
      </c>
      <c r="AE133" t="str">
        <f>_xlfn.XLOOKUP($H$7,BDPROV[ID-Proveedor],BDPROV[NIT/C.C.],0)&amp;$H$13&amp;$E$7&amp;"-"&amp;ROW(Z133)-21</f>
        <v>Comp. Egreso-112</v>
      </c>
    </row>
    <row r="134" spans="3:31">
      <c r="C134" s="194"/>
      <c r="D134" s="206" t="str">
        <f t="shared" si="12"/>
        <v/>
      </c>
      <c r="E134" s="142" t="str">
        <f>_xlfn.XLOOKUP(AB134,Regcontabilizados[Identificador],Regcontabilizados[Fecha vencimiento],0)</f>
        <v/>
      </c>
      <c r="F134" s="183" t="str">
        <f>_xlfn.XLOOKUP(AB134,Regcontabilizados[Identificador],Regcontabilizados[Haber],0)</f>
        <v/>
      </c>
      <c r="G134" s="183">
        <f>_xlfn.XLOOKUP(AH135,Regcontabilizados[Identificador],Regcontabilizados[Debe],0)</f>
        <v>0</v>
      </c>
      <c r="H134" s="37">
        <f t="shared" si="13"/>
        <v>0</v>
      </c>
      <c r="I134" s="37"/>
      <c r="J134" s="210">
        <f t="shared" si="14"/>
        <v>0</v>
      </c>
      <c r="K134" s="197"/>
      <c r="O134" t="str">
        <f>_xlfn.XLOOKUP($H$7,BDPROV[ID-Proveedor],BDPROV[NIT/C.C.])&amp;$H$9&amp;N134&amp;"-"&amp;11</f>
        <v>F.C.-11</v>
      </c>
      <c r="P134" t="str">
        <f t="shared" si="17"/>
        <v/>
      </c>
      <c r="Q134" t="str">
        <f>IF(N134="","",    _xlfn.XLOOKUP(P134,Regcontabilizados[Número pago],Regcontabilizados[Estado de pago],"NO PAGADO"))</f>
        <v/>
      </c>
      <c r="R134" s="44">
        <f>_xlfn.XLOOKUP(O134,Regcontabilizados[Identificador],Regcontabilizados[Fecha vencimiento],0)</f>
        <v>0</v>
      </c>
      <c r="S134">
        <f>_xlfn.XLOOKUP(O134,Regcontabilizados[Identificador],Regcontabilizados[Subcuenta],0)</f>
        <v>0</v>
      </c>
      <c r="T134">
        <f>_xlfn.XLOOKUP(O134,Regcontabilizados[Identificador],Regcontabilizados[Haber],0)</f>
        <v>0</v>
      </c>
      <c r="U134">
        <f>SUMIF(Regcontabilizados[Número pago],PAGOCompbusc!P134,Regcontabilizados[Debe])</f>
        <v>0</v>
      </c>
      <c r="AA134" s="33" t="str">
        <f>IF(J134=0,"",  _xlfn.XLOOKUP(AB134,Regcontabilizados[Identificador],Regcontabilizados[Subcuenta],0))</f>
        <v/>
      </c>
      <c r="AB134" t="str">
        <f>IF(J134=0,"",  _xlfn.XLOOKUP($H$7,BDPROV[ID-Proveedor],BDPROV[NIT/C.C.],0)&amp;$H$9&amp;D134&amp;"-"&amp;11)</f>
        <v/>
      </c>
      <c r="AC134" t="str">
        <f t="shared" si="15"/>
        <v/>
      </c>
      <c r="AD134" t="str">
        <f t="shared" si="16"/>
        <v>En Blanco</v>
      </c>
      <c r="AE134" t="str">
        <f>_xlfn.XLOOKUP($H$7,BDPROV[ID-Proveedor],BDPROV[NIT/C.C.],0)&amp;$H$13&amp;$E$7&amp;"-"&amp;ROW(Z134)-21</f>
        <v>Comp. Egreso-113</v>
      </c>
    </row>
    <row r="135" spans="3:31">
      <c r="C135" s="194"/>
      <c r="D135" s="206" t="str">
        <f t="shared" si="12"/>
        <v/>
      </c>
      <c r="E135" s="142" t="str">
        <f>_xlfn.XLOOKUP(AB135,Regcontabilizados[Identificador],Regcontabilizados[Fecha vencimiento],0)</f>
        <v/>
      </c>
      <c r="F135" s="183" t="str">
        <f>_xlfn.XLOOKUP(AB135,Regcontabilizados[Identificador],Regcontabilizados[Haber],0)</f>
        <v/>
      </c>
      <c r="G135" s="183">
        <f>_xlfn.XLOOKUP(AH136,Regcontabilizados[Identificador],Regcontabilizados[Debe],0)</f>
        <v>0</v>
      </c>
      <c r="H135" s="37">
        <f t="shared" si="13"/>
        <v>0</v>
      </c>
      <c r="I135" s="37"/>
      <c r="J135" s="210">
        <f t="shared" si="14"/>
        <v>0</v>
      </c>
      <c r="K135" s="197"/>
      <c r="O135" t="str">
        <f>_xlfn.XLOOKUP($H$7,BDPROV[ID-Proveedor],BDPROV[NIT/C.C.])&amp;$H$9&amp;N135&amp;"-"&amp;11</f>
        <v>F.C.-11</v>
      </c>
      <c r="P135" t="str">
        <f t="shared" si="17"/>
        <v/>
      </c>
      <c r="Q135" t="str">
        <f>IF(N135="","",    _xlfn.XLOOKUP(P135,Regcontabilizados[Número pago],Regcontabilizados[Estado de pago],"NO PAGADO"))</f>
        <v/>
      </c>
      <c r="R135" s="44">
        <f>_xlfn.XLOOKUP(O135,Regcontabilizados[Identificador],Regcontabilizados[Fecha vencimiento],0)</f>
        <v>0</v>
      </c>
      <c r="S135">
        <f>_xlfn.XLOOKUP(O135,Regcontabilizados[Identificador],Regcontabilizados[Subcuenta],0)</f>
        <v>0</v>
      </c>
      <c r="T135">
        <f>_xlfn.XLOOKUP(O135,Regcontabilizados[Identificador],Regcontabilizados[Haber],0)</f>
        <v>0</v>
      </c>
      <c r="U135">
        <f>SUMIF(Regcontabilizados[Número pago],PAGOCompbusc!P135,Regcontabilizados[Debe])</f>
        <v>0</v>
      </c>
      <c r="AA135" s="33" t="str">
        <f>IF(J135=0,"",  _xlfn.XLOOKUP(AB135,Regcontabilizados[Identificador],Regcontabilizados[Subcuenta],0))</f>
        <v/>
      </c>
      <c r="AB135" t="str">
        <f>IF(J135=0,"",  _xlfn.XLOOKUP($H$7,BDPROV[ID-Proveedor],BDPROV[NIT/C.C.],0)&amp;$H$9&amp;D135&amp;"-"&amp;11)</f>
        <v/>
      </c>
      <c r="AC135" t="str">
        <f t="shared" si="15"/>
        <v/>
      </c>
      <c r="AD135" t="str">
        <f t="shared" si="16"/>
        <v>En Blanco</v>
      </c>
      <c r="AE135" t="str">
        <f>_xlfn.XLOOKUP($H$7,BDPROV[ID-Proveedor],BDPROV[NIT/C.C.],0)&amp;$H$13&amp;$E$7&amp;"-"&amp;ROW(Z135)-21</f>
        <v>Comp. Egreso-114</v>
      </c>
    </row>
    <row r="136" spans="3:31">
      <c r="C136" s="194"/>
      <c r="D136" s="206" t="str">
        <f t="shared" si="12"/>
        <v/>
      </c>
      <c r="E136" s="142" t="str">
        <f>_xlfn.XLOOKUP(AB136,Regcontabilizados[Identificador],Regcontabilizados[Fecha vencimiento],0)</f>
        <v/>
      </c>
      <c r="F136" s="183" t="str">
        <f>_xlfn.XLOOKUP(AB136,Regcontabilizados[Identificador],Regcontabilizados[Haber],0)</f>
        <v/>
      </c>
      <c r="G136" s="183">
        <f>_xlfn.XLOOKUP(AH137,Regcontabilizados[Identificador],Regcontabilizados[Debe],0)</f>
        <v>0</v>
      </c>
      <c r="H136" s="37">
        <f t="shared" si="13"/>
        <v>0</v>
      </c>
      <c r="I136" s="37"/>
      <c r="J136" s="210">
        <f t="shared" si="14"/>
        <v>0</v>
      </c>
      <c r="K136" s="197"/>
      <c r="O136" t="str">
        <f>_xlfn.XLOOKUP($H$7,BDPROV[ID-Proveedor],BDPROV[NIT/C.C.])&amp;$H$9&amp;N136&amp;"-"&amp;11</f>
        <v>F.C.-11</v>
      </c>
      <c r="P136" t="str">
        <f t="shared" si="17"/>
        <v/>
      </c>
      <c r="Q136" t="str">
        <f>IF(N136="","",    _xlfn.XLOOKUP(P136,Regcontabilizados[Número pago],Regcontabilizados[Estado de pago],"NO PAGADO"))</f>
        <v/>
      </c>
      <c r="R136" s="44">
        <f>_xlfn.XLOOKUP(O136,Regcontabilizados[Identificador],Regcontabilizados[Fecha vencimiento],0)</f>
        <v>0</v>
      </c>
      <c r="S136">
        <f>_xlfn.XLOOKUP(O136,Regcontabilizados[Identificador],Regcontabilizados[Subcuenta],0)</f>
        <v>0</v>
      </c>
      <c r="T136">
        <f>_xlfn.XLOOKUP(O136,Regcontabilizados[Identificador],Regcontabilizados[Haber],0)</f>
        <v>0</v>
      </c>
      <c r="U136">
        <f>SUMIF(Regcontabilizados[Número pago],PAGOCompbusc!P136,Regcontabilizados[Debe])</f>
        <v>0</v>
      </c>
      <c r="AA136" s="33" t="str">
        <f>IF(J136=0,"",  _xlfn.XLOOKUP(AB136,Regcontabilizados[Identificador],Regcontabilizados[Subcuenta],0))</f>
        <v/>
      </c>
      <c r="AB136" t="str">
        <f>IF(J136=0,"",  _xlfn.XLOOKUP($H$7,BDPROV[ID-Proveedor],BDPROV[NIT/C.C.],0)&amp;$H$9&amp;D136&amp;"-"&amp;11)</f>
        <v/>
      </c>
      <c r="AC136" t="str">
        <f t="shared" si="15"/>
        <v/>
      </c>
      <c r="AD136" t="str">
        <f t="shared" si="16"/>
        <v>En Blanco</v>
      </c>
      <c r="AE136" t="str">
        <f>_xlfn.XLOOKUP($H$7,BDPROV[ID-Proveedor],BDPROV[NIT/C.C.],0)&amp;$H$13&amp;$E$7&amp;"-"&amp;ROW(Z136)-21</f>
        <v>Comp. Egreso-115</v>
      </c>
    </row>
    <row r="137" spans="3:31">
      <c r="C137" s="194"/>
      <c r="D137" s="206" t="str">
        <f t="shared" si="12"/>
        <v/>
      </c>
      <c r="E137" s="142" t="str">
        <f>_xlfn.XLOOKUP(AB137,Regcontabilizados[Identificador],Regcontabilizados[Fecha vencimiento],0)</f>
        <v/>
      </c>
      <c r="F137" s="183" t="str">
        <f>_xlfn.XLOOKUP(AB137,Regcontabilizados[Identificador],Regcontabilizados[Haber],0)</f>
        <v/>
      </c>
      <c r="G137" s="183">
        <f>_xlfn.XLOOKUP(AH138,Regcontabilizados[Identificador],Regcontabilizados[Debe],0)</f>
        <v>0</v>
      </c>
      <c r="H137" s="37">
        <f t="shared" si="13"/>
        <v>0</v>
      </c>
      <c r="I137" s="37"/>
      <c r="J137" s="210">
        <f t="shared" si="14"/>
        <v>0</v>
      </c>
      <c r="K137" s="197"/>
      <c r="O137" t="str">
        <f>_xlfn.XLOOKUP($H$7,BDPROV[ID-Proveedor],BDPROV[NIT/C.C.])&amp;$H$9&amp;N137&amp;"-"&amp;11</f>
        <v>F.C.-11</v>
      </c>
      <c r="P137" t="str">
        <f t="shared" si="17"/>
        <v/>
      </c>
      <c r="Q137" t="str">
        <f>IF(N137="","",    _xlfn.XLOOKUP(P137,Regcontabilizados[Número pago],Regcontabilizados[Estado de pago],"NO PAGADO"))</f>
        <v/>
      </c>
      <c r="R137" s="44">
        <f>_xlfn.XLOOKUP(O137,Regcontabilizados[Identificador],Regcontabilizados[Fecha vencimiento],0)</f>
        <v>0</v>
      </c>
      <c r="S137">
        <f>_xlfn.XLOOKUP(O137,Regcontabilizados[Identificador],Regcontabilizados[Subcuenta],0)</f>
        <v>0</v>
      </c>
      <c r="T137">
        <f>_xlfn.XLOOKUP(O137,Regcontabilizados[Identificador],Regcontabilizados[Haber],0)</f>
        <v>0</v>
      </c>
      <c r="U137">
        <f>SUMIF(Regcontabilizados[Número pago],PAGOCompbusc!P137,Regcontabilizados[Debe])</f>
        <v>0</v>
      </c>
      <c r="AA137" s="33" t="str">
        <f>IF(J137=0,"",  _xlfn.XLOOKUP(AB137,Regcontabilizados[Identificador],Regcontabilizados[Subcuenta],0))</f>
        <v/>
      </c>
      <c r="AB137" t="str">
        <f>IF(J137=0,"",  _xlfn.XLOOKUP($H$7,BDPROV[ID-Proveedor],BDPROV[NIT/C.C.],0)&amp;$H$9&amp;D137&amp;"-"&amp;11)</f>
        <v/>
      </c>
      <c r="AC137" t="str">
        <f t="shared" si="15"/>
        <v/>
      </c>
      <c r="AD137" t="str">
        <f t="shared" si="16"/>
        <v>En Blanco</v>
      </c>
      <c r="AE137" t="str">
        <f>_xlfn.XLOOKUP($H$7,BDPROV[ID-Proveedor],BDPROV[NIT/C.C.],0)&amp;$H$13&amp;$E$7&amp;"-"&amp;ROW(Z137)-21</f>
        <v>Comp. Egreso-116</v>
      </c>
    </row>
    <row r="138" spans="3:31">
      <c r="C138" s="194"/>
      <c r="D138" s="206" t="str">
        <f t="shared" si="12"/>
        <v/>
      </c>
      <c r="E138" s="142" t="str">
        <f>_xlfn.XLOOKUP(AB138,Regcontabilizados[Identificador],Regcontabilizados[Fecha vencimiento],0)</f>
        <v/>
      </c>
      <c r="F138" s="183" t="str">
        <f>_xlfn.XLOOKUP(AB138,Regcontabilizados[Identificador],Regcontabilizados[Haber],0)</f>
        <v/>
      </c>
      <c r="G138" s="183">
        <f>_xlfn.XLOOKUP(AH139,Regcontabilizados[Identificador],Regcontabilizados[Debe],0)</f>
        <v>0</v>
      </c>
      <c r="H138" s="37">
        <f t="shared" si="13"/>
        <v>0</v>
      </c>
      <c r="I138" s="37"/>
      <c r="J138" s="210">
        <f t="shared" si="14"/>
        <v>0</v>
      </c>
      <c r="K138" s="197"/>
      <c r="O138" t="str">
        <f>_xlfn.XLOOKUP($H$7,BDPROV[ID-Proveedor],BDPROV[NIT/C.C.])&amp;$H$9&amp;N138&amp;"-"&amp;11</f>
        <v>F.C.-11</v>
      </c>
      <c r="P138" t="str">
        <f t="shared" si="17"/>
        <v/>
      </c>
      <c r="Q138" t="str">
        <f>IF(N138="","",    _xlfn.XLOOKUP(P138,Regcontabilizados[Número pago],Regcontabilizados[Estado de pago],"NO PAGADO"))</f>
        <v/>
      </c>
      <c r="R138" s="44">
        <f>_xlfn.XLOOKUP(O138,Regcontabilizados[Identificador],Regcontabilizados[Fecha vencimiento],0)</f>
        <v>0</v>
      </c>
      <c r="S138">
        <f>_xlfn.XLOOKUP(O138,Regcontabilizados[Identificador],Regcontabilizados[Subcuenta],0)</f>
        <v>0</v>
      </c>
      <c r="T138">
        <f>_xlfn.XLOOKUP(O138,Regcontabilizados[Identificador],Regcontabilizados[Haber],0)</f>
        <v>0</v>
      </c>
      <c r="U138">
        <f>SUMIF(Regcontabilizados[Número pago],PAGOCompbusc!P138,Regcontabilizados[Debe])</f>
        <v>0</v>
      </c>
      <c r="AA138" s="33" t="str">
        <f>IF(J138=0,"",  _xlfn.XLOOKUP(AB138,Regcontabilizados[Identificador],Regcontabilizados[Subcuenta],0))</f>
        <v/>
      </c>
      <c r="AB138" t="str">
        <f>IF(J138=0,"",  _xlfn.XLOOKUP($H$7,BDPROV[ID-Proveedor],BDPROV[NIT/C.C.],0)&amp;$H$9&amp;D138&amp;"-"&amp;11)</f>
        <v/>
      </c>
      <c r="AC138" t="str">
        <f t="shared" si="15"/>
        <v/>
      </c>
      <c r="AD138" t="str">
        <f t="shared" si="16"/>
        <v>En Blanco</v>
      </c>
      <c r="AE138" t="str">
        <f>_xlfn.XLOOKUP($H$7,BDPROV[ID-Proveedor],BDPROV[NIT/C.C.],0)&amp;$H$13&amp;$E$7&amp;"-"&amp;ROW(Z138)-21</f>
        <v>Comp. Egreso-117</v>
      </c>
    </row>
    <row r="139" spans="3:31">
      <c r="C139" s="194"/>
      <c r="D139" s="206" t="str">
        <f t="shared" si="12"/>
        <v/>
      </c>
      <c r="E139" s="142" t="str">
        <f>_xlfn.XLOOKUP(AB139,Regcontabilizados[Identificador],Regcontabilizados[Fecha vencimiento],0)</f>
        <v/>
      </c>
      <c r="F139" s="183" t="str">
        <f>_xlfn.XLOOKUP(AB139,Regcontabilizados[Identificador],Regcontabilizados[Haber],0)</f>
        <v/>
      </c>
      <c r="G139" s="183">
        <f>_xlfn.XLOOKUP(AH140,Regcontabilizados[Identificador],Regcontabilizados[Debe],0)</f>
        <v>0</v>
      </c>
      <c r="H139" s="37">
        <f t="shared" si="13"/>
        <v>0</v>
      </c>
      <c r="I139" s="37"/>
      <c r="J139" s="210">
        <f t="shared" si="14"/>
        <v>0</v>
      </c>
      <c r="K139" s="197"/>
      <c r="O139" t="str">
        <f>_xlfn.XLOOKUP($H$7,BDPROV[ID-Proveedor],BDPROV[NIT/C.C.])&amp;$H$9&amp;N139&amp;"-"&amp;11</f>
        <v>F.C.-11</v>
      </c>
      <c r="P139" t="str">
        <f t="shared" si="17"/>
        <v/>
      </c>
      <c r="Q139" t="str">
        <f>IF(N139="","",    _xlfn.XLOOKUP(P139,Regcontabilizados[Número pago],Regcontabilizados[Estado de pago],"NO PAGADO"))</f>
        <v/>
      </c>
      <c r="R139" s="44">
        <f>_xlfn.XLOOKUP(O139,Regcontabilizados[Identificador],Regcontabilizados[Fecha vencimiento],0)</f>
        <v>0</v>
      </c>
      <c r="S139">
        <f>_xlfn.XLOOKUP(O139,Regcontabilizados[Identificador],Regcontabilizados[Subcuenta],0)</f>
        <v>0</v>
      </c>
      <c r="T139">
        <f>_xlfn.XLOOKUP(O139,Regcontabilizados[Identificador],Regcontabilizados[Haber],0)</f>
        <v>0</v>
      </c>
      <c r="U139">
        <f>SUMIF(Regcontabilizados[Número pago],PAGOCompbusc!P139,Regcontabilizados[Debe])</f>
        <v>0</v>
      </c>
      <c r="AA139" s="33" t="str">
        <f>IF(J139=0,"",  _xlfn.XLOOKUP(AB139,Regcontabilizados[Identificador],Regcontabilizados[Subcuenta],0))</f>
        <v/>
      </c>
      <c r="AB139" t="str">
        <f>IF(J139=0,"",  _xlfn.XLOOKUP($H$7,BDPROV[ID-Proveedor],BDPROV[NIT/C.C.],0)&amp;$H$9&amp;D139&amp;"-"&amp;11)</f>
        <v/>
      </c>
      <c r="AC139" t="str">
        <f t="shared" si="15"/>
        <v/>
      </c>
      <c r="AD139" t="str">
        <f t="shared" si="16"/>
        <v>En Blanco</v>
      </c>
      <c r="AE139" t="str">
        <f>_xlfn.XLOOKUP($H$7,BDPROV[ID-Proveedor],BDPROV[NIT/C.C.],0)&amp;$H$13&amp;$E$7&amp;"-"&amp;ROW(Z139)-21</f>
        <v>Comp. Egreso-118</v>
      </c>
    </row>
    <row r="140" spans="3:31">
      <c r="C140" s="194"/>
      <c r="D140" s="206" t="str">
        <f t="shared" si="12"/>
        <v/>
      </c>
      <c r="E140" s="142" t="str">
        <f>_xlfn.XLOOKUP(AB140,Regcontabilizados[Identificador],Regcontabilizados[Fecha vencimiento],0)</f>
        <v/>
      </c>
      <c r="F140" s="183" t="str">
        <f>_xlfn.XLOOKUP(AB140,Regcontabilizados[Identificador],Regcontabilizados[Haber],0)</f>
        <v/>
      </c>
      <c r="G140" s="183">
        <f>_xlfn.XLOOKUP(AH141,Regcontabilizados[Identificador],Regcontabilizados[Debe],0)</f>
        <v>0</v>
      </c>
      <c r="H140" s="37">
        <f t="shared" si="13"/>
        <v>0</v>
      </c>
      <c r="I140" s="37"/>
      <c r="J140" s="210">
        <f t="shared" si="14"/>
        <v>0</v>
      </c>
      <c r="K140" s="197"/>
      <c r="O140" t="str">
        <f>_xlfn.XLOOKUP($H$7,BDPROV[ID-Proveedor],BDPROV[NIT/C.C.])&amp;$H$9&amp;N140&amp;"-"&amp;11</f>
        <v>F.C.-11</v>
      </c>
      <c r="P140" t="str">
        <f t="shared" si="17"/>
        <v/>
      </c>
      <c r="Q140" t="str">
        <f>IF(N140="","",    _xlfn.XLOOKUP(P140,Regcontabilizados[Número pago],Regcontabilizados[Estado de pago],"NO PAGADO"))</f>
        <v/>
      </c>
      <c r="R140" s="44">
        <f>_xlfn.XLOOKUP(O140,Regcontabilizados[Identificador],Regcontabilizados[Fecha vencimiento],0)</f>
        <v>0</v>
      </c>
      <c r="S140">
        <f>_xlfn.XLOOKUP(O140,Regcontabilizados[Identificador],Regcontabilizados[Subcuenta],0)</f>
        <v>0</v>
      </c>
      <c r="T140">
        <f>_xlfn.XLOOKUP(O140,Regcontabilizados[Identificador],Regcontabilizados[Haber],0)</f>
        <v>0</v>
      </c>
      <c r="U140">
        <f>SUMIF(Regcontabilizados[Número pago],PAGOCompbusc!P140,Regcontabilizados[Debe])</f>
        <v>0</v>
      </c>
      <c r="AA140" s="33" t="str">
        <f>IF(J140=0,"",  _xlfn.XLOOKUP(AB140,Regcontabilizados[Identificador],Regcontabilizados[Subcuenta],0))</f>
        <v/>
      </c>
      <c r="AB140" t="str">
        <f>IF(J140=0,"",  _xlfn.XLOOKUP($H$7,BDPROV[ID-Proveedor],BDPROV[NIT/C.C.],0)&amp;$H$9&amp;D140&amp;"-"&amp;11)</f>
        <v/>
      </c>
      <c r="AC140" t="str">
        <f t="shared" si="15"/>
        <v/>
      </c>
      <c r="AD140" t="str">
        <f t="shared" si="16"/>
        <v>En Blanco</v>
      </c>
      <c r="AE140" t="str">
        <f>_xlfn.XLOOKUP($H$7,BDPROV[ID-Proveedor],BDPROV[NIT/C.C.],0)&amp;$H$13&amp;$E$7&amp;"-"&amp;ROW(Z140)-21</f>
        <v>Comp. Egreso-119</v>
      </c>
    </row>
    <row r="141" spans="3:31">
      <c r="C141" s="194"/>
      <c r="D141" s="206" t="str">
        <f t="shared" si="12"/>
        <v/>
      </c>
      <c r="E141" s="142">
        <f>_xlfn.XLOOKUP(AB141,Regcontabilizados[Identificador],Regcontabilizados[Fecha vencimiento],0)</f>
        <v>0</v>
      </c>
      <c r="F141" s="183">
        <f>_xlfn.XLOOKUP(AB141,Regcontabilizados[Identificador],Regcontabilizados[Haber],0)</f>
        <v>0</v>
      </c>
      <c r="G141" s="183">
        <f>_xlfn.XLOOKUP(AH142,Regcontabilizados[Identificador],Regcontabilizados[Debe],0)</f>
        <v>0</v>
      </c>
      <c r="H141" s="37">
        <f t="shared" si="13"/>
        <v>0</v>
      </c>
      <c r="I141" s="37"/>
      <c r="J141" s="210">
        <f t="shared" si="14"/>
        <v>0</v>
      </c>
      <c r="K141" s="197"/>
      <c r="O141" t="str">
        <f>_xlfn.XLOOKUP($H$7,BDPROV[ID-Proveedor],BDPROV[NIT/C.C.])&amp;$H$9&amp;N141&amp;"-"&amp;11</f>
        <v>F.C.-11</v>
      </c>
      <c r="P141" t="str">
        <f t="shared" si="17"/>
        <v/>
      </c>
      <c r="Q141" t="str">
        <f>IF(N141="","",    _xlfn.XLOOKUP(P141,Regcontabilizados[Número pago],Regcontabilizados[Estado de pago],"NO PAGADO"))</f>
        <v/>
      </c>
      <c r="R141" s="44">
        <f>_xlfn.XLOOKUP(O141,Regcontabilizados[Identificador],Regcontabilizados[Fecha vencimiento],0)</f>
        <v>0</v>
      </c>
      <c r="S141">
        <f>_xlfn.XLOOKUP(O141,Regcontabilizados[Identificador],Regcontabilizados[Subcuenta],0)</f>
        <v>0</v>
      </c>
      <c r="T141">
        <f>_xlfn.XLOOKUP(O141,Regcontabilizados[Identificador],Regcontabilizados[Haber],0)</f>
        <v>0</v>
      </c>
      <c r="U141">
        <f>SUMIF(Regcontabilizados[Número pago],PAGOCompbusc!P141,Regcontabilizados[Debe])</f>
        <v>0</v>
      </c>
    </row>
    <row r="142" spans="3:31" ht="13.5" thickBot="1">
      <c r="C142" s="194"/>
      <c r="D142" s="206" t="str">
        <f t="shared" si="12"/>
        <v/>
      </c>
      <c r="E142" s="142">
        <f>_xlfn.XLOOKUP(AB142,Regcontabilizados[Identificador],Regcontabilizados[Fecha vencimiento],0)</f>
        <v>0</v>
      </c>
      <c r="F142" s="183">
        <f>_xlfn.XLOOKUP(AB142,Regcontabilizados[Identificador],Regcontabilizados[Haber],0)</f>
        <v>0</v>
      </c>
      <c r="G142" s="183">
        <f>_xlfn.XLOOKUP(AH143,Regcontabilizados[Identificador],Regcontabilizados[Debe],0)</f>
        <v>0</v>
      </c>
      <c r="H142" s="37">
        <f t="shared" si="13"/>
        <v>0</v>
      </c>
      <c r="I142" s="188"/>
      <c r="J142" s="210">
        <f t="shared" si="14"/>
        <v>0</v>
      </c>
      <c r="K142" s="197"/>
      <c r="O142" t="str">
        <f>_xlfn.XLOOKUP($H$7,BDPROV[ID-Proveedor],BDPROV[NIT/C.C.])&amp;$H$9&amp;N142&amp;"-"&amp;11</f>
        <v>F.C.-11</v>
      </c>
      <c r="P142" t="str">
        <f t="shared" si="17"/>
        <v/>
      </c>
      <c r="Q142" t="str">
        <f>IF(N142="","",    _xlfn.XLOOKUP(P142,Regcontabilizados[Número pago],Regcontabilizados[Estado de pago],"NO PAGADO"))</f>
        <v/>
      </c>
      <c r="R142" s="44">
        <f>_xlfn.XLOOKUP(O142,Regcontabilizados[Identificador],Regcontabilizados[Fecha vencimiento],0)</f>
        <v>0</v>
      </c>
      <c r="S142">
        <f>_xlfn.XLOOKUP(O142,Regcontabilizados[Identificador],Regcontabilizados[Subcuenta],0)</f>
        <v>0</v>
      </c>
      <c r="T142">
        <f>_xlfn.XLOOKUP(O142,Regcontabilizados[Identificador],Regcontabilizados[Haber],0)</f>
        <v>0</v>
      </c>
      <c r="U142">
        <f>SUMIF(Regcontabilizados[Número pago],PAGOCompbusc!P142,Regcontabilizados[Debe])</f>
        <v>0</v>
      </c>
    </row>
    <row r="143" spans="3:31">
      <c r="C143" s="194"/>
      <c r="D143" s="105"/>
      <c r="E143" s="105"/>
      <c r="G143" s="183"/>
      <c r="K143" s="197"/>
    </row>
    <row r="144" spans="3:31">
      <c r="C144" s="194"/>
      <c r="D144" s="105"/>
      <c r="E144" s="105"/>
      <c r="G144" s="183"/>
      <c r="K144" s="197"/>
    </row>
    <row r="145" spans="3:11">
      <c r="C145" s="194"/>
      <c r="D145" s="105"/>
      <c r="E145" s="105"/>
      <c r="G145" s="183"/>
      <c r="K145" s="197"/>
    </row>
    <row r="146" spans="3:11" ht="13.5" thickBot="1">
      <c r="C146" s="199"/>
      <c r="D146" s="185"/>
      <c r="E146" s="185"/>
      <c r="F146" s="186"/>
      <c r="G146" s="187"/>
      <c r="H146" s="186"/>
      <c r="I146" s="186"/>
      <c r="J146" s="186"/>
      <c r="K146" s="200"/>
    </row>
    <row r="147" spans="3:11">
      <c r="D147" s="105"/>
      <c r="E147" s="105"/>
    </row>
    <row r="148" spans="3:11">
      <c r="D148" s="105"/>
      <c r="E148" s="105"/>
    </row>
    <row r="149" spans="3:11">
      <c r="D149" s="105"/>
      <c r="E149" s="105"/>
    </row>
    <row r="150" spans="3:11">
      <c r="D150" s="105"/>
      <c r="E150" s="105"/>
    </row>
    <row r="151" spans="3:11">
      <c r="D151" s="105"/>
      <c r="E151" s="105"/>
    </row>
    <row r="152" spans="3:11">
      <c r="D152" s="105"/>
      <c r="E152" s="105"/>
    </row>
    <row r="153" spans="3:11">
      <c r="D153" s="105"/>
      <c r="E153" s="105"/>
    </row>
    <row r="154" spans="3:11">
      <c r="D154" s="105"/>
      <c r="E154" s="105"/>
    </row>
    <row r="155" spans="3:11">
      <c r="D155" s="105"/>
      <c r="E155" s="105"/>
    </row>
    <row r="156" spans="3:11">
      <c r="D156" s="105"/>
      <c r="E156" s="105"/>
    </row>
    <row r="157" spans="3:11">
      <c r="D157" s="105"/>
      <c r="E157" s="105"/>
    </row>
    <row r="158" spans="3:11">
      <c r="D158" s="105"/>
      <c r="E158" s="105"/>
    </row>
    <row r="159" spans="3:11">
      <c r="D159" s="105"/>
      <c r="E159" s="105"/>
    </row>
    <row r="160" spans="3:11">
      <c r="D160" s="105"/>
      <c r="E160" s="105"/>
    </row>
    <row r="161" spans="4:5">
      <c r="D161" s="105"/>
      <c r="E161" s="105"/>
    </row>
    <row r="162" spans="4:5">
      <c r="D162" s="105"/>
      <c r="E162" s="105"/>
    </row>
    <row r="163" spans="4:5">
      <c r="D163" s="105"/>
      <c r="E163" s="105"/>
    </row>
    <row r="164" spans="4:5">
      <c r="D164" s="105"/>
      <c r="E164" s="105"/>
    </row>
    <row r="165" spans="4:5">
      <c r="D165" s="105"/>
      <c r="E165" s="105"/>
    </row>
    <row r="166" spans="4:5">
      <c r="D166" s="105"/>
      <c r="E166" s="105"/>
    </row>
    <row r="167" spans="4:5">
      <c r="D167" s="105"/>
      <c r="E167" s="105"/>
    </row>
    <row r="168" spans="4:5">
      <c r="D168" s="105"/>
      <c r="E168" s="105"/>
    </row>
    <row r="169" spans="4:5">
      <c r="D169" s="105"/>
      <c r="E169" s="105"/>
    </row>
    <row r="170" spans="4:5">
      <c r="D170" s="105"/>
      <c r="E170" s="105"/>
    </row>
    <row r="171" spans="4:5">
      <c r="D171" s="105"/>
      <c r="E171" s="105"/>
    </row>
    <row r="172" spans="4:5">
      <c r="D172" s="105"/>
      <c r="E172" s="105"/>
    </row>
    <row r="173" spans="4:5">
      <c r="D173" s="105"/>
      <c r="E173" s="105"/>
    </row>
    <row r="174" spans="4:5">
      <c r="D174" s="105"/>
      <c r="E174" s="105"/>
    </row>
    <row r="175" spans="4:5">
      <c r="D175" s="105"/>
      <c r="E175" s="105"/>
    </row>
    <row r="176" spans="4:5">
      <c r="D176" s="105"/>
      <c r="E176" s="105"/>
    </row>
    <row r="177" spans="4:5">
      <c r="D177" s="105"/>
      <c r="E177" s="105"/>
    </row>
    <row r="178" spans="4:5">
      <c r="D178" s="105"/>
      <c r="E178" s="105"/>
    </row>
    <row r="179" spans="4:5">
      <c r="D179" s="105"/>
      <c r="E179" s="105"/>
    </row>
    <row r="180" spans="4:5">
      <c r="D180" s="105"/>
      <c r="E180" s="105"/>
    </row>
    <row r="181" spans="4:5">
      <c r="D181" s="105"/>
      <c r="E181" s="105"/>
    </row>
    <row r="182" spans="4:5">
      <c r="D182" s="105"/>
      <c r="E182" s="105"/>
    </row>
    <row r="183" spans="4:5">
      <c r="D183" s="105"/>
      <c r="E183" s="105"/>
    </row>
    <row r="184" spans="4:5">
      <c r="D184" s="105"/>
      <c r="E184" s="105"/>
    </row>
    <row r="185" spans="4:5">
      <c r="D185" s="105"/>
      <c r="E185" s="105"/>
    </row>
    <row r="186" spans="4:5">
      <c r="D186" s="105"/>
      <c r="E186" s="105"/>
    </row>
    <row r="187" spans="4:5">
      <c r="D187" s="105"/>
      <c r="E187" s="105"/>
    </row>
    <row r="188" spans="4:5">
      <c r="D188" s="105"/>
      <c r="E188" s="105"/>
    </row>
    <row r="189" spans="4:5">
      <c r="D189" s="105"/>
      <c r="E189" s="105"/>
    </row>
    <row r="190" spans="4:5">
      <c r="D190" s="105"/>
      <c r="E190" s="105"/>
    </row>
    <row r="191" spans="4:5">
      <c r="D191" s="105"/>
      <c r="E191" s="105"/>
    </row>
    <row r="192" spans="4:5">
      <c r="D192" s="105"/>
      <c r="E192" s="105"/>
    </row>
    <row r="193" spans="4:5">
      <c r="D193" s="105"/>
      <c r="E193" s="105"/>
    </row>
    <row r="194" spans="4:5">
      <c r="D194" s="105"/>
      <c r="E194" s="105"/>
    </row>
    <row r="195" spans="4:5">
      <c r="D195" s="105"/>
      <c r="E195" s="105"/>
    </row>
    <row r="196" spans="4:5">
      <c r="D196" s="105"/>
      <c r="E196" s="105"/>
    </row>
    <row r="197" spans="4:5">
      <c r="D197" s="105"/>
      <c r="E197" s="105"/>
    </row>
    <row r="198" spans="4:5">
      <c r="D198" s="105"/>
      <c r="E198" s="105"/>
    </row>
    <row r="199" spans="4:5">
      <c r="D199" s="105"/>
      <c r="E199" s="105"/>
    </row>
    <row r="200" spans="4:5">
      <c r="D200" s="105"/>
      <c r="E200" s="105"/>
    </row>
    <row r="201" spans="4:5">
      <c r="D201" s="105"/>
      <c r="E201" s="105"/>
    </row>
    <row r="202" spans="4:5">
      <c r="D202" s="105"/>
      <c r="E202" s="105"/>
    </row>
    <row r="203" spans="4:5">
      <c r="D203" s="105"/>
      <c r="E203" s="105"/>
    </row>
    <row r="204" spans="4:5">
      <c r="D204" s="105"/>
      <c r="E204" s="105"/>
    </row>
    <row r="205" spans="4:5">
      <c r="D205" s="105"/>
      <c r="E205" s="105"/>
    </row>
    <row r="206" spans="4:5">
      <c r="D206" s="105"/>
      <c r="E206" s="105"/>
    </row>
    <row r="207" spans="4:5">
      <c r="D207" s="105"/>
      <c r="E207" s="105"/>
    </row>
    <row r="208" spans="4:5">
      <c r="D208" s="105"/>
      <c r="E208" s="105"/>
    </row>
    <row r="209" spans="4:5">
      <c r="D209" s="105"/>
      <c r="E209" s="105"/>
    </row>
    <row r="210" spans="4:5">
      <c r="D210" s="105"/>
      <c r="E210" s="105"/>
    </row>
    <row r="211" spans="4:5">
      <c r="D211" s="105"/>
      <c r="E211" s="105"/>
    </row>
    <row r="212" spans="4:5">
      <c r="D212" s="105"/>
      <c r="E212" s="105"/>
    </row>
    <row r="213" spans="4:5">
      <c r="D213" s="105"/>
      <c r="E213" s="105"/>
    </row>
    <row r="214" spans="4:5">
      <c r="D214" s="105"/>
      <c r="E214" s="105"/>
    </row>
    <row r="215" spans="4:5">
      <c r="D215" s="105"/>
      <c r="E215" s="105"/>
    </row>
    <row r="216" spans="4:5">
      <c r="D216" s="105"/>
      <c r="E216" s="105"/>
    </row>
    <row r="217" spans="4:5">
      <c r="D217" s="105"/>
      <c r="E217" s="105"/>
    </row>
    <row r="218" spans="4:5">
      <c r="D218" s="105"/>
      <c r="E218" s="105"/>
    </row>
    <row r="219" spans="4:5">
      <c r="D219" s="105"/>
      <c r="E219" s="105"/>
    </row>
    <row r="220" spans="4:5">
      <c r="D220" s="105"/>
      <c r="E220" s="105"/>
    </row>
    <row r="221" spans="4:5">
      <c r="D221" s="105"/>
      <c r="E221" s="105"/>
    </row>
    <row r="222" spans="4:5">
      <c r="D222" s="105"/>
      <c r="E222" s="105"/>
    </row>
    <row r="223" spans="4:5">
      <c r="D223" s="105"/>
      <c r="E223" s="105"/>
    </row>
    <row r="224" spans="4:5">
      <c r="D224" s="105"/>
      <c r="E224" s="105"/>
    </row>
    <row r="225" spans="4:5">
      <c r="D225" s="105"/>
      <c r="E225" s="105"/>
    </row>
    <row r="226" spans="4:5">
      <c r="D226" s="105"/>
      <c r="E226" s="105"/>
    </row>
    <row r="227" spans="4:5">
      <c r="D227" s="105"/>
      <c r="E227" s="105"/>
    </row>
    <row r="228" spans="4:5">
      <c r="D228" s="105"/>
      <c r="E228" s="105"/>
    </row>
    <row r="229" spans="4:5">
      <c r="D229" s="105"/>
      <c r="E229" s="105"/>
    </row>
    <row r="230" spans="4:5">
      <c r="D230" s="105"/>
      <c r="E230" s="105"/>
    </row>
    <row r="231" spans="4:5">
      <c r="D231" s="105"/>
      <c r="E231" s="105"/>
    </row>
    <row r="232" spans="4:5">
      <c r="D232" s="105"/>
      <c r="E232" s="105"/>
    </row>
    <row r="233" spans="4:5">
      <c r="D233" s="105"/>
      <c r="E233" s="105"/>
    </row>
    <row r="234" spans="4:5">
      <c r="D234" s="105"/>
      <c r="E234" s="105"/>
    </row>
    <row r="235" spans="4:5">
      <c r="D235" s="105"/>
      <c r="E235" s="105"/>
    </row>
    <row r="236" spans="4:5">
      <c r="D236" s="105"/>
      <c r="E236" s="105"/>
    </row>
    <row r="237" spans="4:5">
      <c r="D237" s="105"/>
      <c r="E237" s="105"/>
    </row>
    <row r="238" spans="4:5">
      <c r="D238" s="105"/>
      <c r="E238" s="105"/>
    </row>
    <row r="239" spans="4:5">
      <c r="D239" s="105"/>
      <c r="E239" s="105"/>
    </row>
    <row r="240" spans="4:5">
      <c r="D240" s="105"/>
      <c r="E240" s="105"/>
    </row>
    <row r="241" spans="4:5">
      <c r="D241" s="105"/>
      <c r="E241" s="105"/>
    </row>
    <row r="242" spans="4:5">
      <c r="D242" s="105"/>
      <c r="E242" s="105"/>
    </row>
    <row r="243" spans="4:5">
      <c r="D243" s="105"/>
      <c r="E243" s="105"/>
    </row>
    <row r="244" spans="4:5">
      <c r="D244" s="105"/>
      <c r="E244" s="105"/>
    </row>
    <row r="245" spans="4:5">
      <c r="D245" s="105"/>
      <c r="E245" s="105"/>
    </row>
    <row r="246" spans="4:5">
      <c r="D246" s="105"/>
      <c r="E246" s="105"/>
    </row>
    <row r="247" spans="4:5">
      <c r="D247" s="105"/>
      <c r="E247" s="105"/>
    </row>
    <row r="248" spans="4:5">
      <c r="D248" s="105"/>
      <c r="E248" s="105"/>
    </row>
    <row r="249" spans="4:5">
      <c r="D249" s="105"/>
      <c r="E249" s="105"/>
    </row>
    <row r="250" spans="4:5">
      <c r="D250" s="105"/>
      <c r="E250" s="105"/>
    </row>
    <row r="251" spans="4:5">
      <c r="D251" s="105"/>
      <c r="E251" s="105"/>
    </row>
    <row r="252" spans="4:5">
      <c r="D252" s="105"/>
      <c r="E252" s="105"/>
    </row>
    <row r="253" spans="4:5">
      <c r="D253" s="105"/>
      <c r="E253" s="105"/>
    </row>
    <row r="254" spans="4:5">
      <c r="D254" s="105"/>
      <c r="E254" s="105"/>
    </row>
    <row r="255" spans="4:5">
      <c r="D255" s="105"/>
      <c r="E255" s="105"/>
    </row>
    <row r="256" spans="4:5">
      <c r="D256" s="105"/>
      <c r="E256" s="105"/>
    </row>
    <row r="257" spans="4:5">
      <c r="D257" s="105"/>
      <c r="E257" s="105"/>
    </row>
    <row r="258" spans="4:5">
      <c r="D258" s="105"/>
      <c r="E258" s="105"/>
    </row>
    <row r="259" spans="4:5">
      <c r="D259" s="105"/>
      <c r="E259" s="105"/>
    </row>
    <row r="260" spans="4:5">
      <c r="D260" s="105"/>
      <c r="E260" s="105"/>
    </row>
    <row r="261" spans="4:5">
      <c r="D261" s="105"/>
      <c r="E261" s="105"/>
    </row>
    <row r="262" spans="4:5">
      <c r="D262" s="105"/>
      <c r="E262" s="105"/>
    </row>
    <row r="263" spans="4:5">
      <c r="D263" s="105"/>
      <c r="E263" s="105"/>
    </row>
    <row r="264" spans="4:5">
      <c r="D264" s="105"/>
      <c r="E264" s="105"/>
    </row>
    <row r="265" spans="4:5">
      <c r="D265" s="105"/>
      <c r="E265" s="105"/>
    </row>
    <row r="266" spans="4:5">
      <c r="D266" s="105"/>
      <c r="E266" s="105"/>
    </row>
    <row r="267" spans="4:5">
      <c r="D267" s="105"/>
      <c r="E267" s="105"/>
    </row>
    <row r="268" spans="4:5">
      <c r="D268" s="105"/>
      <c r="E268" s="105"/>
    </row>
    <row r="269" spans="4:5">
      <c r="D269" s="105"/>
      <c r="E269" s="105"/>
    </row>
    <row r="270" spans="4:5">
      <c r="D270" s="105"/>
      <c r="E270" s="105"/>
    </row>
    <row r="271" spans="4:5">
      <c r="D271" s="105"/>
      <c r="E271" s="105"/>
    </row>
    <row r="272" spans="4:5">
      <c r="D272" s="105"/>
      <c r="E272" s="105"/>
    </row>
    <row r="273" spans="4:5">
      <c r="D273" s="105"/>
      <c r="E273" s="105"/>
    </row>
    <row r="274" spans="4:5">
      <c r="D274" s="105"/>
      <c r="E274" s="105"/>
    </row>
    <row r="275" spans="4:5">
      <c r="D275" s="105"/>
      <c r="E275" s="105"/>
    </row>
    <row r="276" spans="4:5">
      <c r="D276" s="105"/>
      <c r="E276" s="105"/>
    </row>
    <row r="277" spans="4:5">
      <c r="D277" s="105"/>
      <c r="E277" s="105"/>
    </row>
    <row r="278" spans="4:5">
      <c r="D278" s="105"/>
      <c r="E278" s="105"/>
    </row>
    <row r="279" spans="4:5">
      <c r="D279" s="105"/>
      <c r="E279" s="105"/>
    </row>
    <row r="280" spans="4:5">
      <c r="D280" s="105"/>
      <c r="E280" s="105"/>
    </row>
    <row r="281" spans="4:5">
      <c r="D281" s="105"/>
      <c r="E281" s="105"/>
    </row>
    <row r="282" spans="4:5">
      <c r="D282" s="105"/>
      <c r="E282" s="105"/>
    </row>
    <row r="283" spans="4:5">
      <c r="D283" s="105"/>
      <c r="E283" s="105"/>
    </row>
    <row r="284" spans="4:5">
      <c r="D284" s="105"/>
      <c r="E284" s="105"/>
    </row>
    <row r="285" spans="4:5">
      <c r="D285" s="105"/>
      <c r="E285" s="105"/>
    </row>
    <row r="286" spans="4:5">
      <c r="D286" s="105"/>
      <c r="E286" s="105"/>
    </row>
    <row r="287" spans="4:5">
      <c r="D287" s="105"/>
      <c r="E287" s="105"/>
    </row>
    <row r="288" spans="4:5">
      <c r="D288" s="105"/>
      <c r="E288" s="105"/>
    </row>
    <row r="289" spans="4:5">
      <c r="D289" s="105"/>
      <c r="E289" s="105"/>
    </row>
    <row r="290" spans="4:5">
      <c r="D290" s="105"/>
      <c r="E290" s="105"/>
    </row>
    <row r="291" spans="4:5">
      <c r="D291" s="105"/>
      <c r="E291" s="105"/>
    </row>
    <row r="292" spans="4:5">
      <c r="D292" s="105"/>
      <c r="E292" s="105"/>
    </row>
    <row r="293" spans="4:5">
      <c r="D293" s="105"/>
      <c r="E293" s="105"/>
    </row>
    <row r="294" spans="4:5">
      <c r="D294" s="105"/>
      <c r="E294" s="105"/>
    </row>
    <row r="295" spans="4:5">
      <c r="D295" s="105"/>
      <c r="E295" s="105"/>
    </row>
    <row r="296" spans="4:5">
      <c r="D296" s="105"/>
      <c r="E296" s="105"/>
    </row>
    <row r="297" spans="4:5">
      <c r="D297" s="105"/>
      <c r="E297" s="105"/>
    </row>
    <row r="298" spans="4:5">
      <c r="D298" s="105"/>
      <c r="E298" s="105"/>
    </row>
    <row r="299" spans="4:5">
      <c r="D299" s="105"/>
      <c r="E299" s="105"/>
    </row>
    <row r="300" spans="4:5">
      <c r="D300" s="105"/>
      <c r="E300" s="105"/>
    </row>
    <row r="301" spans="4:5">
      <c r="D301" s="105"/>
      <c r="E301" s="105"/>
    </row>
    <row r="302" spans="4:5">
      <c r="D302" s="105"/>
      <c r="E302" s="105"/>
    </row>
    <row r="303" spans="4:5">
      <c r="D303" s="105"/>
      <c r="E303" s="105"/>
    </row>
    <row r="304" spans="4:5">
      <c r="D304" s="105"/>
      <c r="E304" s="105"/>
    </row>
    <row r="305" spans="4:5">
      <c r="D305" s="105"/>
      <c r="E305" s="105"/>
    </row>
    <row r="306" spans="4:5">
      <c r="D306" s="105"/>
      <c r="E306" s="105"/>
    </row>
    <row r="307" spans="4:5">
      <c r="D307" s="105"/>
      <c r="E307" s="105"/>
    </row>
    <row r="308" spans="4:5">
      <c r="D308" s="105"/>
      <c r="E308" s="105"/>
    </row>
    <row r="309" spans="4:5">
      <c r="D309" s="105"/>
      <c r="E309" s="105"/>
    </row>
    <row r="310" spans="4:5">
      <c r="D310" s="105"/>
      <c r="E310" s="105"/>
    </row>
    <row r="311" spans="4:5">
      <c r="D311" s="105"/>
      <c r="E311" s="105"/>
    </row>
    <row r="312" spans="4:5">
      <c r="D312" s="105"/>
      <c r="E312" s="105"/>
    </row>
    <row r="313" spans="4:5">
      <c r="D313" s="105"/>
      <c r="E313" s="105"/>
    </row>
    <row r="314" spans="4:5">
      <c r="D314" s="105"/>
      <c r="E314" s="105"/>
    </row>
    <row r="315" spans="4:5">
      <c r="D315" s="105"/>
      <c r="E315" s="105"/>
    </row>
    <row r="316" spans="4:5">
      <c r="D316" s="105"/>
      <c r="E316" s="105"/>
    </row>
    <row r="317" spans="4:5">
      <c r="D317" s="105"/>
      <c r="E317" s="105"/>
    </row>
    <row r="318" spans="4:5">
      <c r="D318" s="105"/>
      <c r="E318" s="105"/>
    </row>
    <row r="319" spans="4:5">
      <c r="D319" s="105"/>
      <c r="E319" s="105"/>
    </row>
    <row r="320" spans="4:5">
      <c r="D320" s="105"/>
      <c r="E320" s="105"/>
    </row>
    <row r="321" spans="4:5">
      <c r="D321" s="105"/>
      <c r="E321" s="105"/>
    </row>
    <row r="322" spans="4:5">
      <c r="D322" s="105"/>
      <c r="E322" s="105"/>
    </row>
    <row r="323" spans="4:5">
      <c r="D323" s="105"/>
      <c r="E323" s="105"/>
    </row>
    <row r="324" spans="4:5">
      <c r="D324" s="105"/>
      <c r="E324" s="105"/>
    </row>
    <row r="325" spans="4:5">
      <c r="D325" s="105"/>
      <c r="E325" s="105"/>
    </row>
    <row r="326" spans="4:5">
      <c r="D326" s="105"/>
      <c r="E326" s="105"/>
    </row>
    <row r="327" spans="4:5">
      <c r="D327" s="105"/>
      <c r="E327" s="105"/>
    </row>
    <row r="328" spans="4:5">
      <c r="D328" s="105"/>
      <c r="E328" s="105"/>
    </row>
    <row r="329" spans="4:5">
      <c r="D329" s="105"/>
      <c r="E329" s="105"/>
    </row>
    <row r="330" spans="4:5">
      <c r="D330" s="105"/>
      <c r="E330" s="105"/>
    </row>
    <row r="331" spans="4:5">
      <c r="D331" s="105"/>
      <c r="E331" s="105"/>
    </row>
    <row r="332" spans="4:5">
      <c r="D332" s="105"/>
      <c r="E332" s="105"/>
    </row>
    <row r="333" spans="4:5">
      <c r="D333" s="105"/>
      <c r="E333" s="105"/>
    </row>
    <row r="334" spans="4:5">
      <c r="D334" s="105"/>
      <c r="E334" s="105"/>
    </row>
    <row r="335" spans="4:5">
      <c r="D335" s="105"/>
      <c r="E335" s="105"/>
    </row>
    <row r="336" spans="4:5">
      <c r="D336" s="105"/>
      <c r="E336" s="105"/>
    </row>
    <row r="337" spans="4:5">
      <c r="D337" s="105"/>
      <c r="E337" s="105"/>
    </row>
    <row r="338" spans="4:5">
      <c r="D338" s="105"/>
      <c r="E338" s="105"/>
    </row>
    <row r="339" spans="4:5">
      <c r="D339" s="105"/>
      <c r="E339" s="105"/>
    </row>
    <row r="340" spans="4:5">
      <c r="D340" s="105"/>
      <c r="E340" s="105"/>
    </row>
    <row r="341" spans="4:5">
      <c r="D341" s="105"/>
      <c r="E341" s="105"/>
    </row>
    <row r="342" spans="4:5">
      <c r="D342" s="105"/>
      <c r="E342" s="105"/>
    </row>
    <row r="343" spans="4:5">
      <c r="D343" s="105"/>
      <c r="E343" s="105"/>
    </row>
    <row r="344" spans="4:5">
      <c r="D344" s="105"/>
      <c r="E344" s="105"/>
    </row>
    <row r="345" spans="4:5">
      <c r="D345" s="105"/>
      <c r="E345" s="105"/>
    </row>
    <row r="346" spans="4:5">
      <c r="D346" s="105"/>
      <c r="E346" s="105"/>
    </row>
    <row r="347" spans="4:5">
      <c r="D347" s="105"/>
      <c r="E347" s="105"/>
    </row>
    <row r="348" spans="4:5">
      <c r="D348" s="105"/>
      <c r="E348" s="105"/>
    </row>
    <row r="349" spans="4:5">
      <c r="D349" s="105"/>
      <c r="E349" s="105"/>
    </row>
    <row r="350" spans="4:5">
      <c r="D350" s="105"/>
      <c r="E350" s="105"/>
    </row>
    <row r="351" spans="4:5">
      <c r="D351" s="105"/>
      <c r="E351" s="105"/>
    </row>
    <row r="352" spans="4:5">
      <c r="D352" s="105"/>
      <c r="E352" s="105"/>
    </row>
    <row r="353" spans="4:5">
      <c r="D353" s="105"/>
      <c r="E353" s="105"/>
    </row>
    <row r="354" spans="4:5">
      <c r="D354" s="105"/>
      <c r="E354" s="105"/>
    </row>
    <row r="355" spans="4:5">
      <c r="D355" s="105"/>
      <c r="E355" s="105"/>
    </row>
    <row r="356" spans="4:5">
      <c r="D356" s="105"/>
      <c r="E356" s="105"/>
    </row>
    <row r="357" spans="4:5">
      <c r="D357" s="105"/>
      <c r="E357" s="105"/>
    </row>
    <row r="358" spans="4:5">
      <c r="D358" s="105"/>
      <c r="E358" s="105"/>
    </row>
    <row r="359" spans="4:5">
      <c r="D359" s="105"/>
      <c r="E359" s="105"/>
    </row>
    <row r="360" spans="4:5">
      <c r="D360" s="105"/>
      <c r="E360" s="105"/>
    </row>
    <row r="361" spans="4:5">
      <c r="D361" s="105"/>
      <c r="E361" s="105"/>
    </row>
    <row r="362" spans="4:5">
      <c r="D362" s="105"/>
      <c r="E362" s="105"/>
    </row>
    <row r="363" spans="4:5">
      <c r="D363" s="105"/>
      <c r="E363" s="105"/>
    </row>
    <row r="364" spans="4:5">
      <c r="D364" s="105"/>
      <c r="E364" s="105"/>
    </row>
    <row r="365" spans="4:5">
      <c r="D365" s="105"/>
      <c r="E365" s="105"/>
    </row>
    <row r="366" spans="4:5">
      <c r="D366" s="105"/>
      <c r="E366" s="105"/>
    </row>
    <row r="367" spans="4:5">
      <c r="D367" s="105"/>
      <c r="E367" s="105"/>
    </row>
    <row r="368" spans="4:5">
      <c r="D368" s="105"/>
      <c r="E368" s="105"/>
    </row>
    <row r="369" spans="4:5">
      <c r="D369" s="105"/>
      <c r="E369" s="105"/>
    </row>
    <row r="370" spans="4:5">
      <c r="D370" s="105"/>
      <c r="E370" s="105"/>
    </row>
    <row r="371" spans="4:5">
      <c r="D371" s="105"/>
      <c r="E371" s="105"/>
    </row>
    <row r="372" spans="4:5">
      <c r="D372" s="105"/>
      <c r="E372" s="105"/>
    </row>
    <row r="373" spans="4:5">
      <c r="D373" s="105"/>
      <c r="E373" s="105"/>
    </row>
    <row r="374" spans="4:5">
      <c r="D374" s="105"/>
      <c r="E374" s="105"/>
    </row>
    <row r="375" spans="4:5">
      <c r="D375" s="105"/>
      <c r="E375" s="105"/>
    </row>
    <row r="376" spans="4:5">
      <c r="D376" s="105"/>
      <c r="E376" s="105"/>
    </row>
    <row r="377" spans="4:5">
      <c r="D377" s="105"/>
      <c r="E377" s="105"/>
    </row>
    <row r="378" spans="4:5">
      <c r="D378" s="105"/>
      <c r="E378" s="105"/>
    </row>
    <row r="379" spans="4:5">
      <c r="D379" s="105"/>
      <c r="E379" s="105"/>
    </row>
    <row r="380" spans="4:5">
      <c r="D380" s="105"/>
      <c r="E380" s="105"/>
    </row>
    <row r="381" spans="4:5">
      <c r="D381" s="105"/>
      <c r="E381" s="105"/>
    </row>
    <row r="382" spans="4:5">
      <c r="D382" s="105"/>
      <c r="E382" s="105"/>
    </row>
    <row r="383" spans="4:5">
      <c r="D383" s="105"/>
      <c r="E383" s="105"/>
    </row>
    <row r="384" spans="4:5">
      <c r="D384" s="105"/>
      <c r="E384" s="105"/>
    </row>
    <row r="385" spans="4:5">
      <c r="D385" s="105"/>
      <c r="E385" s="105"/>
    </row>
    <row r="386" spans="4:5">
      <c r="D386" s="105"/>
      <c r="E386" s="105"/>
    </row>
    <row r="387" spans="4:5">
      <c r="D387" s="105"/>
      <c r="E387" s="105"/>
    </row>
    <row r="388" spans="4:5">
      <c r="D388" s="105"/>
      <c r="E388" s="105"/>
    </row>
    <row r="389" spans="4:5">
      <c r="D389" s="105"/>
      <c r="E389" s="105"/>
    </row>
    <row r="390" spans="4:5">
      <c r="D390" s="105"/>
      <c r="E390" s="105"/>
    </row>
    <row r="391" spans="4:5">
      <c r="D391" s="105"/>
      <c r="E391" s="105"/>
    </row>
    <row r="392" spans="4:5">
      <c r="D392" s="105"/>
      <c r="E392" s="105"/>
    </row>
    <row r="393" spans="4:5">
      <c r="D393" s="105"/>
      <c r="E393" s="105"/>
    </row>
    <row r="394" spans="4:5">
      <c r="D394" s="105"/>
      <c r="E394" s="105"/>
    </row>
    <row r="395" spans="4:5">
      <c r="D395" s="105"/>
      <c r="E395" s="105"/>
    </row>
    <row r="396" spans="4:5">
      <c r="D396" s="105"/>
      <c r="E396" s="105"/>
    </row>
    <row r="397" spans="4:5">
      <c r="D397" s="105"/>
      <c r="E397" s="105"/>
    </row>
    <row r="398" spans="4:5">
      <c r="D398" s="105"/>
      <c r="E398" s="105"/>
    </row>
    <row r="399" spans="4:5">
      <c r="D399" s="105"/>
      <c r="E399" s="105"/>
    </row>
    <row r="400" spans="4:5">
      <c r="D400" s="105"/>
      <c r="E400" s="105"/>
    </row>
    <row r="401" spans="4:5">
      <c r="D401" s="105"/>
      <c r="E401" s="105"/>
    </row>
    <row r="402" spans="4:5">
      <c r="D402" s="105"/>
      <c r="E402" s="105"/>
    </row>
    <row r="403" spans="4:5">
      <c r="D403" s="105"/>
      <c r="E403" s="105"/>
    </row>
    <row r="404" spans="4:5">
      <c r="D404" s="105"/>
      <c r="E404" s="105"/>
    </row>
    <row r="405" spans="4:5">
      <c r="D405" s="105"/>
      <c r="E405" s="105"/>
    </row>
    <row r="406" spans="4:5">
      <c r="D406" s="105"/>
      <c r="E406" s="105"/>
    </row>
    <row r="407" spans="4:5">
      <c r="D407" s="105"/>
      <c r="E407" s="105"/>
    </row>
    <row r="408" spans="4:5">
      <c r="D408" s="105"/>
      <c r="E408" s="105"/>
    </row>
    <row r="409" spans="4:5">
      <c r="D409" s="105"/>
      <c r="E409" s="105"/>
    </row>
    <row r="410" spans="4:5">
      <c r="D410" s="105"/>
      <c r="E410" s="105"/>
    </row>
    <row r="411" spans="4:5">
      <c r="D411" s="105"/>
      <c r="E411" s="105"/>
    </row>
    <row r="412" spans="4:5">
      <c r="D412" s="105"/>
      <c r="E412" s="105"/>
    </row>
    <row r="413" spans="4:5">
      <c r="D413" s="105"/>
      <c r="E413" s="105"/>
    </row>
    <row r="414" spans="4:5">
      <c r="D414" s="105"/>
      <c r="E414" s="105"/>
    </row>
    <row r="415" spans="4:5">
      <c r="D415" s="105"/>
      <c r="E415" s="105"/>
    </row>
    <row r="416" spans="4:5">
      <c r="D416" s="105"/>
      <c r="E416" s="105"/>
    </row>
    <row r="417" spans="4:5">
      <c r="D417" s="105"/>
      <c r="E417" s="105"/>
    </row>
    <row r="418" spans="4:5">
      <c r="D418" s="105"/>
      <c r="E418" s="105"/>
    </row>
    <row r="419" spans="4:5">
      <c r="D419" s="105"/>
      <c r="E419" s="105"/>
    </row>
    <row r="420" spans="4:5">
      <c r="D420" s="105"/>
      <c r="E420" s="105"/>
    </row>
    <row r="421" spans="4:5">
      <c r="D421" s="105"/>
      <c r="E421" s="105"/>
    </row>
    <row r="422" spans="4:5">
      <c r="D422" s="105"/>
      <c r="E422" s="105"/>
    </row>
    <row r="423" spans="4:5">
      <c r="D423" s="105"/>
      <c r="E423" s="105"/>
    </row>
    <row r="424" spans="4:5">
      <c r="D424" s="105"/>
      <c r="E424" s="105"/>
    </row>
    <row r="425" spans="4:5">
      <c r="D425" s="105"/>
      <c r="E425" s="105"/>
    </row>
    <row r="426" spans="4:5">
      <c r="D426" s="105"/>
      <c r="E426" s="105"/>
    </row>
    <row r="427" spans="4:5">
      <c r="D427" s="105"/>
      <c r="E427" s="105"/>
    </row>
    <row r="428" spans="4:5">
      <c r="D428" s="105"/>
      <c r="E428" s="105"/>
    </row>
    <row r="429" spans="4:5">
      <c r="D429" s="105"/>
      <c r="E429" s="105"/>
    </row>
    <row r="430" spans="4:5">
      <c r="D430" s="105"/>
      <c r="E430" s="105"/>
    </row>
    <row r="431" spans="4:5">
      <c r="D431" s="105"/>
      <c r="E431" s="105"/>
    </row>
    <row r="432" spans="4:5">
      <c r="D432" s="105"/>
      <c r="E432" s="105"/>
    </row>
    <row r="433" spans="4:5">
      <c r="D433" s="105"/>
      <c r="E433" s="105"/>
    </row>
    <row r="434" spans="4:5">
      <c r="D434" s="105"/>
      <c r="E434" s="105"/>
    </row>
    <row r="435" spans="4:5">
      <c r="D435" s="105"/>
      <c r="E435" s="105"/>
    </row>
    <row r="436" spans="4:5">
      <c r="D436" s="105"/>
      <c r="E436" s="105"/>
    </row>
    <row r="437" spans="4:5">
      <c r="D437" s="105"/>
      <c r="E437" s="105"/>
    </row>
    <row r="438" spans="4:5">
      <c r="D438" s="105"/>
      <c r="E438" s="105"/>
    </row>
    <row r="439" spans="4:5">
      <c r="D439" s="105"/>
      <c r="E439" s="105"/>
    </row>
    <row r="440" spans="4:5">
      <c r="D440" s="105"/>
      <c r="E440" s="105"/>
    </row>
    <row r="441" spans="4:5">
      <c r="D441" s="105"/>
      <c r="E441" s="105"/>
    </row>
    <row r="442" spans="4:5">
      <c r="D442" s="105"/>
      <c r="E442" s="105"/>
    </row>
    <row r="443" spans="4:5">
      <c r="D443" s="105"/>
      <c r="E443" s="105"/>
    </row>
    <row r="444" spans="4:5">
      <c r="D444" s="105"/>
      <c r="E444" s="105"/>
    </row>
    <row r="445" spans="4:5">
      <c r="D445" s="105"/>
      <c r="E445" s="105"/>
    </row>
    <row r="446" spans="4:5">
      <c r="D446" s="105"/>
      <c r="E446" s="105"/>
    </row>
    <row r="447" spans="4:5">
      <c r="D447" s="105"/>
      <c r="E447" s="105"/>
    </row>
    <row r="448" spans="4:5">
      <c r="D448" s="105"/>
      <c r="E448" s="105"/>
    </row>
    <row r="449" spans="4:5">
      <c r="D449" s="105"/>
      <c r="E449" s="105"/>
    </row>
    <row r="450" spans="4:5">
      <c r="D450" s="105"/>
      <c r="E450" s="105"/>
    </row>
    <row r="451" spans="4:5">
      <c r="D451" s="105"/>
      <c r="E451" s="105"/>
    </row>
    <row r="452" spans="4:5">
      <c r="D452" s="105"/>
      <c r="E452" s="105"/>
    </row>
    <row r="453" spans="4:5">
      <c r="D453" s="105"/>
      <c r="E453" s="105"/>
    </row>
    <row r="454" spans="4:5">
      <c r="D454" s="105"/>
      <c r="E454" s="105"/>
    </row>
    <row r="455" spans="4:5">
      <c r="D455" s="105"/>
      <c r="E455" s="105"/>
    </row>
    <row r="456" spans="4:5">
      <c r="D456" s="105"/>
      <c r="E456" s="105"/>
    </row>
    <row r="457" spans="4:5">
      <c r="D457" s="105"/>
      <c r="E457" s="105"/>
    </row>
    <row r="458" spans="4:5">
      <c r="D458" s="105"/>
      <c r="E458" s="105"/>
    </row>
    <row r="459" spans="4:5">
      <c r="D459" s="105"/>
      <c r="E459" s="105"/>
    </row>
    <row r="460" spans="4:5">
      <c r="D460" s="105"/>
      <c r="E460" s="105"/>
    </row>
    <row r="461" spans="4:5">
      <c r="D461" s="105"/>
      <c r="E461" s="105"/>
    </row>
    <row r="462" spans="4:5">
      <c r="D462" s="105"/>
      <c r="E462" s="105"/>
    </row>
    <row r="463" spans="4:5">
      <c r="D463" s="105"/>
      <c r="E463" s="105"/>
    </row>
    <row r="464" spans="4:5">
      <c r="D464" s="105"/>
      <c r="E464" s="105"/>
    </row>
    <row r="465" spans="4:5">
      <c r="D465" s="105"/>
      <c r="E465" s="105"/>
    </row>
    <row r="466" spans="4:5">
      <c r="D466" s="105"/>
      <c r="E466" s="105"/>
    </row>
    <row r="467" spans="4:5">
      <c r="D467" s="105"/>
      <c r="E467" s="105"/>
    </row>
    <row r="468" spans="4:5">
      <c r="D468" s="105"/>
      <c r="E468" s="105"/>
    </row>
    <row r="469" spans="4:5">
      <c r="D469" s="105"/>
      <c r="E469" s="105"/>
    </row>
    <row r="470" spans="4:5">
      <c r="D470" s="105"/>
      <c r="E470" s="105"/>
    </row>
    <row r="471" spans="4:5">
      <c r="D471" s="105"/>
      <c r="E471" s="105"/>
    </row>
    <row r="472" spans="4:5">
      <c r="D472" s="105"/>
      <c r="E472" s="105"/>
    </row>
    <row r="473" spans="4:5">
      <c r="D473" s="105"/>
      <c r="E473" s="105"/>
    </row>
    <row r="474" spans="4:5">
      <c r="D474" s="105"/>
      <c r="E474" s="105"/>
    </row>
    <row r="475" spans="4:5">
      <c r="D475" s="105"/>
      <c r="E475" s="105"/>
    </row>
    <row r="476" spans="4:5">
      <c r="D476" s="105"/>
      <c r="E476" s="105"/>
    </row>
    <row r="477" spans="4:5">
      <c r="D477" s="105"/>
      <c r="E477" s="105"/>
    </row>
    <row r="478" spans="4:5">
      <c r="D478" s="105"/>
      <c r="E478" s="105"/>
    </row>
    <row r="479" spans="4:5">
      <c r="D479" s="105"/>
      <c r="E479" s="105"/>
    </row>
    <row r="480" spans="4:5">
      <c r="D480" s="105"/>
      <c r="E480" s="105"/>
    </row>
    <row r="481" spans="4:5">
      <c r="D481" s="105"/>
      <c r="E481" s="105"/>
    </row>
    <row r="482" spans="4:5">
      <c r="D482" s="105"/>
      <c r="E482" s="105"/>
    </row>
    <row r="483" spans="4:5">
      <c r="D483" s="105"/>
      <c r="E483" s="105"/>
    </row>
    <row r="484" spans="4:5">
      <c r="D484" s="105"/>
      <c r="E484" s="105"/>
    </row>
    <row r="485" spans="4:5">
      <c r="D485" s="105"/>
      <c r="E485" s="105"/>
    </row>
    <row r="486" spans="4:5">
      <c r="D486" s="105"/>
      <c r="E486" s="105"/>
    </row>
    <row r="487" spans="4:5">
      <c r="D487" s="105"/>
      <c r="E487" s="105"/>
    </row>
    <row r="488" spans="4:5">
      <c r="D488" s="105"/>
      <c r="E488" s="105"/>
    </row>
    <row r="489" spans="4:5">
      <c r="D489" s="105"/>
      <c r="E489" s="105"/>
    </row>
    <row r="490" spans="4:5">
      <c r="D490" s="105"/>
      <c r="E490" s="105"/>
    </row>
    <row r="491" spans="4:5">
      <c r="D491" s="105"/>
      <c r="E491" s="105"/>
    </row>
    <row r="492" spans="4:5">
      <c r="D492" s="105"/>
      <c r="E492" s="105"/>
    </row>
    <row r="493" spans="4:5">
      <c r="D493" s="105"/>
      <c r="E493" s="105"/>
    </row>
    <row r="494" spans="4:5">
      <c r="D494" s="105"/>
      <c r="E494" s="105"/>
    </row>
    <row r="495" spans="4:5">
      <c r="D495" s="105"/>
      <c r="E495" s="105"/>
    </row>
    <row r="496" spans="4:5">
      <c r="D496" s="105"/>
      <c r="E496" s="105"/>
    </row>
    <row r="497" spans="4:5">
      <c r="D497" s="105"/>
      <c r="E497" s="105"/>
    </row>
    <row r="498" spans="4:5">
      <c r="D498" s="105"/>
      <c r="E498" s="105"/>
    </row>
    <row r="499" spans="4:5">
      <c r="D499" s="105"/>
      <c r="E499" s="105"/>
    </row>
    <row r="500" spans="4:5">
      <c r="D500" s="105"/>
      <c r="E500" s="105"/>
    </row>
    <row r="501" spans="4:5">
      <c r="D501" s="105"/>
      <c r="E501" s="105"/>
    </row>
    <row r="502" spans="4:5">
      <c r="D502" s="105"/>
      <c r="E502" s="105"/>
    </row>
    <row r="503" spans="4:5">
      <c r="D503" s="105"/>
      <c r="E503" s="105"/>
    </row>
    <row r="504" spans="4:5">
      <c r="D504" s="105"/>
      <c r="E504" s="105"/>
    </row>
    <row r="505" spans="4:5">
      <c r="D505" s="105"/>
      <c r="E505" s="105"/>
    </row>
    <row r="506" spans="4:5">
      <c r="D506" s="105"/>
      <c r="E506" s="105"/>
    </row>
    <row r="507" spans="4:5">
      <c r="D507" s="105"/>
      <c r="E507" s="105"/>
    </row>
    <row r="508" spans="4:5">
      <c r="D508" s="105"/>
      <c r="E508" s="105"/>
    </row>
    <row r="509" spans="4:5">
      <c r="D509" s="105"/>
      <c r="E509" s="105"/>
    </row>
    <row r="510" spans="4:5">
      <c r="D510" s="105"/>
      <c r="E510" s="105"/>
    </row>
    <row r="511" spans="4:5">
      <c r="D511" s="105"/>
      <c r="E511" s="105"/>
    </row>
    <row r="512" spans="4:5">
      <c r="D512" s="105"/>
      <c r="E512" s="105"/>
    </row>
    <row r="513" spans="4:5">
      <c r="D513" s="105"/>
      <c r="E513" s="105"/>
    </row>
    <row r="514" spans="4:5">
      <c r="D514" s="105"/>
      <c r="E514" s="105"/>
    </row>
    <row r="515" spans="4:5">
      <c r="D515" s="105"/>
      <c r="E515" s="105"/>
    </row>
    <row r="516" spans="4:5">
      <c r="D516" s="105"/>
      <c r="E516" s="105"/>
    </row>
    <row r="517" spans="4:5">
      <c r="D517" s="105"/>
      <c r="E517" s="105"/>
    </row>
    <row r="518" spans="4:5">
      <c r="D518" s="105"/>
      <c r="E518" s="105"/>
    </row>
    <row r="519" spans="4:5">
      <c r="D519" s="105"/>
      <c r="E519" s="105"/>
    </row>
    <row r="520" spans="4:5">
      <c r="D520" s="105"/>
      <c r="E520" s="105"/>
    </row>
    <row r="521" spans="4:5">
      <c r="D521" s="105"/>
      <c r="E521" s="105"/>
    </row>
    <row r="522" spans="4:5">
      <c r="D522" s="105"/>
      <c r="E522" s="105"/>
    </row>
    <row r="523" spans="4:5">
      <c r="D523" s="105"/>
      <c r="E523" s="105"/>
    </row>
    <row r="524" spans="4:5">
      <c r="D524" s="105"/>
      <c r="E524" s="105"/>
    </row>
    <row r="525" spans="4:5">
      <c r="D525" s="105"/>
      <c r="E525" s="105"/>
    </row>
    <row r="526" spans="4:5">
      <c r="D526" s="105"/>
      <c r="E526" s="105"/>
    </row>
    <row r="527" spans="4:5">
      <c r="D527" s="105"/>
      <c r="E527" s="105"/>
    </row>
    <row r="528" spans="4:5">
      <c r="D528" s="105"/>
      <c r="E528" s="105"/>
    </row>
    <row r="529" spans="4:5">
      <c r="D529" s="105"/>
      <c r="E529" s="105"/>
    </row>
    <row r="530" spans="4:5">
      <c r="D530" s="105"/>
      <c r="E530" s="105"/>
    </row>
    <row r="531" spans="4:5">
      <c r="D531" s="105"/>
      <c r="E531" s="105"/>
    </row>
    <row r="532" spans="4:5">
      <c r="D532" s="105"/>
      <c r="E532" s="105"/>
    </row>
    <row r="533" spans="4:5">
      <c r="D533" s="105"/>
      <c r="E533" s="105"/>
    </row>
    <row r="534" spans="4:5">
      <c r="D534" s="105"/>
      <c r="E534" s="105"/>
    </row>
    <row r="535" spans="4:5">
      <c r="D535" s="105"/>
      <c r="E535" s="105"/>
    </row>
    <row r="536" spans="4:5">
      <c r="D536" s="105"/>
      <c r="E536" s="105"/>
    </row>
    <row r="537" spans="4:5">
      <c r="D537" s="105"/>
      <c r="E537" s="105"/>
    </row>
    <row r="538" spans="4:5">
      <c r="D538" s="105"/>
      <c r="E538" s="105"/>
    </row>
    <row r="539" spans="4:5">
      <c r="D539" s="105"/>
      <c r="E539" s="105"/>
    </row>
    <row r="540" spans="4:5">
      <c r="D540" s="105"/>
      <c r="E540" s="105"/>
    </row>
    <row r="541" spans="4:5">
      <c r="D541" s="105"/>
      <c r="E541" s="105"/>
    </row>
    <row r="542" spans="4:5">
      <c r="D542" s="105"/>
      <c r="E542" s="105"/>
    </row>
    <row r="543" spans="4:5">
      <c r="D543" s="105"/>
      <c r="E543" s="105"/>
    </row>
    <row r="544" spans="4:5">
      <c r="D544" s="105"/>
      <c r="E544" s="105"/>
    </row>
    <row r="545" spans="4:5">
      <c r="D545" s="105"/>
      <c r="E545" s="105"/>
    </row>
    <row r="546" spans="4:5">
      <c r="D546" s="105"/>
      <c r="E546" s="105"/>
    </row>
    <row r="547" spans="4:5">
      <c r="D547" s="105"/>
      <c r="E547" s="105"/>
    </row>
    <row r="548" spans="4:5">
      <c r="D548" s="105"/>
      <c r="E548" s="105"/>
    </row>
    <row r="549" spans="4:5">
      <c r="D549" s="105"/>
      <c r="E549" s="105"/>
    </row>
    <row r="550" spans="4:5">
      <c r="D550" s="105"/>
      <c r="E550" s="105"/>
    </row>
    <row r="551" spans="4:5">
      <c r="D551" s="105"/>
      <c r="E551" s="105"/>
    </row>
    <row r="552" spans="4:5">
      <c r="D552" s="105"/>
      <c r="E552" s="105"/>
    </row>
    <row r="553" spans="4:5">
      <c r="D553" s="105"/>
      <c r="E553" s="105"/>
    </row>
    <row r="554" spans="4:5">
      <c r="D554" s="105"/>
      <c r="E554" s="105"/>
    </row>
    <row r="555" spans="4:5">
      <c r="D555" s="105"/>
      <c r="E555" s="105"/>
    </row>
    <row r="556" spans="4:5">
      <c r="D556" s="105"/>
      <c r="E556" s="105"/>
    </row>
    <row r="557" spans="4:5">
      <c r="D557" s="105"/>
      <c r="E557" s="105"/>
    </row>
    <row r="558" spans="4:5">
      <c r="D558" s="105"/>
      <c r="E558" s="105"/>
    </row>
    <row r="559" spans="4:5">
      <c r="D559" s="105"/>
      <c r="E559" s="105"/>
    </row>
    <row r="560" spans="4:5">
      <c r="D560" s="105"/>
      <c r="E560" s="105"/>
    </row>
    <row r="561" spans="4:5">
      <c r="D561" s="105"/>
      <c r="E561" s="105"/>
    </row>
    <row r="562" spans="4:5">
      <c r="D562" s="105"/>
      <c r="E562" s="105"/>
    </row>
    <row r="563" spans="4:5">
      <c r="D563" s="105"/>
      <c r="E563" s="105"/>
    </row>
    <row r="564" spans="4:5">
      <c r="D564" s="105"/>
      <c r="E564" s="105"/>
    </row>
    <row r="565" spans="4:5">
      <c r="D565" s="105"/>
      <c r="E565" s="105"/>
    </row>
    <row r="566" spans="4:5">
      <c r="D566" s="105"/>
      <c r="E566" s="105"/>
    </row>
    <row r="567" spans="4:5">
      <c r="D567" s="105"/>
      <c r="E567" s="105"/>
    </row>
    <row r="568" spans="4:5">
      <c r="D568" s="105"/>
      <c r="E568" s="105"/>
    </row>
    <row r="569" spans="4:5">
      <c r="D569" s="105"/>
      <c r="E569" s="105"/>
    </row>
    <row r="570" spans="4:5">
      <c r="D570" s="105"/>
      <c r="E570" s="105"/>
    </row>
    <row r="571" spans="4:5">
      <c r="D571" s="105"/>
      <c r="E571" s="105"/>
    </row>
    <row r="572" spans="4:5">
      <c r="D572" s="105"/>
      <c r="E572" s="105"/>
    </row>
    <row r="573" spans="4:5">
      <c r="D573" s="105"/>
      <c r="E573" s="105"/>
    </row>
    <row r="574" spans="4:5">
      <c r="D574" s="105"/>
      <c r="E574" s="105"/>
    </row>
    <row r="575" spans="4:5">
      <c r="D575" s="105"/>
      <c r="E575" s="105"/>
    </row>
    <row r="576" spans="4:5">
      <c r="D576" s="105"/>
      <c r="E576" s="105"/>
    </row>
    <row r="577" spans="4:5">
      <c r="D577" s="105"/>
      <c r="E577" s="105"/>
    </row>
    <row r="578" spans="4:5">
      <c r="D578" s="105"/>
      <c r="E578" s="105"/>
    </row>
    <row r="579" spans="4:5">
      <c r="D579" s="105"/>
      <c r="E579" s="105"/>
    </row>
    <row r="580" spans="4:5">
      <c r="D580" s="105"/>
      <c r="E580" s="105"/>
    </row>
    <row r="581" spans="4:5">
      <c r="D581" s="105"/>
      <c r="E581" s="105"/>
    </row>
    <row r="582" spans="4:5">
      <c r="D582" s="105"/>
      <c r="E582" s="105"/>
    </row>
    <row r="583" spans="4:5">
      <c r="D583" s="105"/>
      <c r="E583" s="105"/>
    </row>
  </sheetData>
  <mergeCells count="1">
    <mergeCell ref="E4:H4"/>
  </mergeCells>
  <conditionalFormatting sqref="J22:J142">
    <cfRule type="iconSet" priority="1">
      <iconSet iconSet="3Symbols" showValue="0">
        <cfvo type="percent" val="0"/>
        <cfvo type="num" val="0"/>
        <cfvo type="num" val="1"/>
      </iconSet>
    </cfRule>
  </conditionalFormatting>
  <hyperlinks>
    <hyperlink ref="BB2" r:id="rId1" xr:uid="{3FDBFDCE-E7DE-4FBD-8877-DC7127FDE471}"/>
  </hyperlinks>
  <pageMargins left="0.7" right="0.7" top="0.75" bottom="0.75" header="0.3" footer="0.3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xr:uid="{445E9AC6-0F3B-4F03-BE93-EA2CD1B81158}">
          <x14:formula1>
            <xm:f>'Otras BD'!$C$4:$C$12</xm:f>
          </x14:formula1>
          <xm:sqref>H9 H13</xm:sqref>
        </x14:dataValidation>
        <x14:dataValidation type="list" allowBlank="1" showInputMessage="1" xr:uid="{59713AA6-8079-4E45-B909-1AA800D7BEBD}">
          <x14:formula1>
            <xm:f>'Otras BD'!$G$6:$G$9</xm:f>
          </x14:formula1>
          <xm:sqref>E13</xm:sqref>
        </x14:dataValidation>
        <x14:dataValidation type="list" allowBlank="1" showInputMessage="1" xr:uid="{D346E822-8F03-45C1-838A-16D02E34512D}">
          <x14:formula1>
            <xm:f>_xlfn.ANCHORARRAY(PUC!$DP$5)</xm:f>
          </x14:formula1>
          <xm:sqref>E11</xm:sqref>
        </x14:dataValidation>
        <x14:dataValidation type="list" allowBlank="1" showInputMessage="1" xr:uid="{FA3D58EF-E8A1-4A70-BFFE-664D6D146E0A}">
          <x14:formula1>
            <xm:f>_xlfn.ANCHORARRAY('BD-Tercero Proveedores'!$N$6)</xm:f>
          </x14:formula1>
          <xm:sqref>H7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5A4FD0-67E7-4297-8E28-8A59AA31A8BE}">
  <sheetPr codeName="Hoja14"/>
  <dimension ref="C1:BT583"/>
  <sheetViews>
    <sheetView showGridLines="0" showRowColHeaders="0" workbookViewId="0"/>
  </sheetViews>
  <sheetFormatPr baseColWidth="10" defaultRowHeight="12.75"/>
  <cols>
    <col min="1" max="1" width="18" customWidth="1"/>
    <col min="4" max="4" width="20.83203125" style="33" customWidth="1"/>
    <col min="5" max="5" width="20.6640625" style="33" bestFit="1" customWidth="1"/>
    <col min="6" max="6" width="44.1640625" customWidth="1"/>
    <col min="7" max="7" width="20.6640625" style="104" bestFit="1" customWidth="1"/>
    <col min="8" max="8" width="39.5" customWidth="1"/>
    <col min="9" max="10" width="22.1640625" customWidth="1"/>
    <col min="11" max="11" width="19.6640625" bestFit="1" customWidth="1"/>
    <col min="12" max="14" width="19.6640625" customWidth="1"/>
    <col min="15" max="15" width="25.1640625" hidden="1" customWidth="1"/>
    <col min="16" max="16" width="23.5" hidden="1" customWidth="1"/>
    <col min="17" max="26" width="19.6640625" hidden="1" customWidth="1"/>
    <col min="27" max="27" width="9.1640625" hidden="1" customWidth="1"/>
    <col min="28" max="42" width="28" hidden="1" customWidth="1"/>
    <col min="43" max="43" width="46" hidden="1" customWidth="1"/>
    <col min="44" max="44" width="22" hidden="1" customWidth="1"/>
    <col min="45" max="52" width="21.6640625" hidden="1" customWidth="1"/>
    <col min="53" max="61" width="0" hidden="1" customWidth="1"/>
    <col min="62" max="62" width="13.5" hidden="1" customWidth="1"/>
    <col min="63" max="63" width="23.83203125" hidden="1" customWidth="1"/>
    <col min="64" max="68" width="0" hidden="1" customWidth="1"/>
    <col min="69" max="70" width="11.1640625" hidden="1" customWidth="1"/>
    <col min="71" max="71" width="20" hidden="1" customWidth="1"/>
    <col min="72" max="72" width="0" hidden="1" customWidth="1"/>
  </cols>
  <sheetData>
    <row r="1" spans="3:72">
      <c r="G1" s="48"/>
    </row>
    <row r="2" spans="3:72" ht="13.5" thickBot="1">
      <c r="G2" s="48"/>
      <c r="BM2" s="29" t="s">
        <v>886</v>
      </c>
      <c r="BO2" t="str">
        <f>LEFT(BM2, (LEN(BM2)-(LEN($BM2)-LEN(RIGHT($BM2,SEARCH("@",$BM2)))))-1)</f>
        <v>55-134567UI</v>
      </c>
      <c r="BP2" t="str">
        <f>RIGHT($BM2,(LEN($BM2)-LEN(RIGHT($BM2,SEARCH("@",$BM2)))))</f>
        <v>100-2362626</v>
      </c>
    </row>
    <row r="3" spans="3:72">
      <c r="C3" s="189"/>
      <c r="D3" s="190"/>
      <c r="E3" s="190"/>
      <c r="F3" s="191"/>
      <c r="G3" s="192"/>
      <c r="H3" s="191"/>
      <c r="I3" s="191"/>
      <c r="J3" s="191"/>
      <c r="K3" s="193"/>
    </row>
    <row r="4" spans="3:72" ht="22.5">
      <c r="C4" s="194"/>
      <c r="E4" s="249" t="s">
        <v>1106</v>
      </c>
      <c r="F4" s="250"/>
      <c r="G4" s="250"/>
      <c r="H4" s="250"/>
      <c r="K4" s="196"/>
      <c r="L4" s="103"/>
      <c r="M4" s="103"/>
      <c r="N4" s="103"/>
      <c r="O4" s="103"/>
      <c r="P4" s="103"/>
      <c r="Q4" s="103"/>
      <c r="R4" s="103"/>
      <c r="S4" s="103"/>
      <c r="T4" s="103"/>
      <c r="U4" s="103"/>
      <c r="V4" s="103"/>
      <c r="W4" s="103"/>
      <c r="X4" s="103"/>
      <c r="Y4" s="103"/>
      <c r="Z4" s="103"/>
    </row>
    <row r="5" spans="3:72">
      <c r="C5" s="194"/>
      <c r="G5" s="195"/>
      <c r="K5" s="197"/>
    </row>
    <row r="6" spans="3:72" ht="15" thickBot="1">
      <c r="C6" s="194"/>
      <c r="G6" s="195"/>
      <c r="K6" s="197"/>
      <c r="BD6" s="1"/>
      <c r="BE6" s="1"/>
      <c r="BF6" s="1"/>
      <c r="BJ6" s="52" t="s">
        <v>887</v>
      </c>
      <c r="BK6" t="s">
        <v>909</v>
      </c>
      <c r="BL6" t="s">
        <v>883</v>
      </c>
      <c r="BM6" t="s">
        <v>770</v>
      </c>
      <c r="BN6" t="s">
        <v>773</v>
      </c>
      <c r="BO6" t="s">
        <v>774</v>
      </c>
      <c r="BP6" t="s">
        <v>851</v>
      </c>
      <c r="BQ6" t="s">
        <v>875</v>
      </c>
      <c r="BR6" t="s">
        <v>913</v>
      </c>
    </row>
    <row r="7" spans="3:72" ht="15" thickBot="1">
      <c r="C7" s="194"/>
      <c r="D7" s="181" t="s">
        <v>859</v>
      </c>
      <c r="E7" s="121"/>
      <c r="G7" s="181" t="s">
        <v>1034</v>
      </c>
      <c r="H7" s="121"/>
      <c r="K7" s="197"/>
      <c r="BD7" s="1"/>
      <c r="BE7" s="1"/>
      <c r="BF7" s="1"/>
      <c r="BJ7" s="29"/>
      <c r="BK7" s="57" t="s">
        <v>912</v>
      </c>
      <c r="BL7" t="s">
        <v>884</v>
      </c>
      <c r="BM7">
        <v>5105</v>
      </c>
      <c r="BN7">
        <v>70000</v>
      </c>
      <c r="BO7">
        <v>0</v>
      </c>
      <c r="BP7">
        <f>BN7-BO7</f>
        <v>70000</v>
      </c>
      <c r="BQ7" t="str">
        <f t="shared" ref="BQ7:BQ28" si="0">IF(( SUMIFS($BO$7:$BO$32,$BM$7:$BM$32,2205,$BL$7:$BL$32,"="&amp;BL7,$BR$7:$BR$32, (LEFT(BK7,SEARCH("-",BK7)-1)) ) - SUMIFS($BN$7:$BN$32,$BL$7:$BL$32,"="&amp;BL7,$BJ$7:$BJ$32,(LEFT(BK7,SEARCH("-",BK7)-1))) )=0,"PAGADO","NO PAGADO")</f>
        <v>PAGADO</v>
      </c>
      <c r="BR7" t="str">
        <f t="shared" ref="BR7:BR28" si="1">IFERROR(LEFT(BK7,SEARCH("-",BK7)-1),0)</f>
        <v>7888</v>
      </c>
    </row>
    <row r="8" spans="3:72" ht="13.5" thickBot="1">
      <c r="C8" s="194"/>
      <c r="F8" s="50"/>
      <c r="G8"/>
      <c r="K8" s="197"/>
      <c r="BJ8" s="29"/>
      <c r="BK8" s="57" t="s">
        <v>911</v>
      </c>
      <c r="BL8" t="s">
        <v>884</v>
      </c>
      <c r="BM8">
        <v>0</v>
      </c>
      <c r="BN8">
        <v>0</v>
      </c>
      <c r="BO8">
        <v>0</v>
      </c>
      <c r="BP8">
        <f t="shared" ref="BP8:BP28" si="2">BN8-BO8</f>
        <v>0</v>
      </c>
      <c r="BQ8" t="str">
        <f t="shared" si="0"/>
        <v>PAGADO</v>
      </c>
      <c r="BR8" t="str">
        <f t="shared" si="1"/>
        <v>7888</v>
      </c>
      <c r="BT8" t="str">
        <f>IF(BK7=0, "PAGADO", IF((SUMIFS($BP$7:$BP$19,$BM$7:$BM$19,2205,$BL$7:$BL$19,"="&amp;BL7,$BJ$7:$BJ$19,BK7) + SUMIFS($BN$7:$BN$19,$BM$7:$BM$19,2205,$BL$7:$BL$19,"="&amp;BL7,$BK$7:$BK$19,BK7) )=0,"PAGADO","NO PAGADO"))</f>
        <v>PAGADO</v>
      </c>
    </row>
    <row r="9" spans="3:72" ht="15" thickBot="1">
      <c r="C9" s="194"/>
      <c r="D9" s="181" t="s">
        <v>860</v>
      </c>
      <c r="E9" s="120"/>
      <c r="G9" s="181" t="s">
        <v>1078</v>
      </c>
      <c r="H9" s="132" t="s">
        <v>766</v>
      </c>
      <c r="K9" s="197"/>
      <c r="BJ9" s="29"/>
      <c r="BK9" s="57" t="s">
        <v>910</v>
      </c>
      <c r="BL9" t="s">
        <v>884</v>
      </c>
      <c r="BM9">
        <v>2205</v>
      </c>
      <c r="BO9">
        <v>70000</v>
      </c>
      <c r="BP9">
        <f t="shared" si="2"/>
        <v>-70000</v>
      </c>
      <c r="BQ9" t="str">
        <f t="shared" si="0"/>
        <v>PAGADO</v>
      </c>
      <c r="BR9" t="str">
        <f t="shared" si="1"/>
        <v>7888</v>
      </c>
    </row>
    <row r="10" spans="3:72" ht="13.5" thickBot="1">
      <c r="C10" s="194"/>
      <c r="F10" s="33"/>
      <c r="G10"/>
      <c r="K10" s="197"/>
      <c r="BJ10" s="29"/>
      <c r="BK10" t="s">
        <v>880</v>
      </c>
      <c r="BL10" t="s">
        <v>885</v>
      </c>
      <c r="BM10">
        <v>5107</v>
      </c>
      <c r="BN10">
        <v>10000</v>
      </c>
      <c r="BO10">
        <v>0</v>
      </c>
      <c r="BP10">
        <f t="shared" si="2"/>
        <v>10000</v>
      </c>
      <c r="BQ10" t="str">
        <f t="shared" si="0"/>
        <v>PAGADO</v>
      </c>
      <c r="BR10" t="str">
        <f t="shared" si="1"/>
        <v>57</v>
      </c>
    </row>
    <row r="11" spans="3:72" ht="15" thickBot="1">
      <c r="C11" s="194"/>
      <c r="D11" s="181" t="s">
        <v>862</v>
      </c>
      <c r="E11" s="121"/>
      <c r="G11" s="181" t="s">
        <v>958</v>
      </c>
      <c r="H11" s="121"/>
      <c r="K11" s="197"/>
      <c r="BJ11" s="29"/>
      <c r="BK11" t="s">
        <v>881</v>
      </c>
      <c r="BL11" t="s">
        <v>885</v>
      </c>
      <c r="BM11">
        <v>0</v>
      </c>
      <c r="BN11">
        <v>0</v>
      </c>
      <c r="BO11">
        <v>0</v>
      </c>
      <c r="BP11">
        <f t="shared" si="2"/>
        <v>0</v>
      </c>
      <c r="BQ11" t="str">
        <f t="shared" si="0"/>
        <v>PAGADO</v>
      </c>
      <c r="BR11" t="str">
        <f t="shared" si="1"/>
        <v>57</v>
      </c>
    </row>
    <row r="12" spans="3:72" ht="13.5" thickBot="1">
      <c r="C12" s="194"/>
      <c r="F12" s="33"/>
      <c r="G12"/>
      <c r="K12" s="197"/>
      <c r="BJ12" s="29"/>
      <c r="BK12" t="s">
        <v>882</v>
      </c>
      <c r="BL12" t="s">
        <v>885</v>
      </c>
      <c r="BM12">
        <v>2205</v>
      </c>
      <c r="BN12">
        <v>0</v>
      </c>
      <c r="BO12">
        <v>10000</v>
      </c>
      <c r="BP12">
        <f t="shared" si="2"/>
        <v>-10000</v>
      </c>
      <c r="BQ12" t="str">
        <f t="shared" si="0"/>
        <v>PAGADO</v>
      </c>
      <c r="BR12" t="str">
        <f t="shared" si="1"/>
        <v>57</v>
      </c>
    </row>
    <row r="13" spans="3:72" ht="15" thickBot="1">
      <c r="C13" s="194"/>
      <c r="D13" s="181" t="s">
        <v>863</v>
      </c>
      <c r="E13" s="121"/>
      <c r="G13" s="181" t="s">
        <v>1092</v>
      </c>
      <c r="H13" s="132" t="s">
        <v>1091</v>
      </c>
      <c r="K13" s="197"/>
      <c r="BA13" s="53" t="s">
        <v>889</v>
      </c>
      <c r="BJ13" s="57">
        <v>7888</v>
      </c>
      <c r="BK13" s="54">
        <v>0</v>
      </c>
      <c r="BL13" s="54" t="s">
        <v>884</v>
      </c>
      <c r="BM13" s="54">
        <v>2205</v>
      </c>
      <c r="BN13" s="54">
        <v>70000</v>
      </c>
      <c r="BO13" s="54"/>
      <c r="BP13" s="54">
        <f t="shared" si="2"/>
        <v>70000</v>
      </c>
      <c r="BQ13" t="str">
        <f t="shared" si="0"/>
        <v>PAGADO</v>
      </c>
      <c r="BR13">
        <f t="shared" si="1"/>
        <v>0</v>
      </c>
    </row>
    <row r="14" spans="3:72">
      <c r="C14" s="194"/>
      <c r="F14" s="33"/>
      <c r="G14"/>
      <c r="K14" s="197"/>
      <c r="BA14" t="s">
        <v>890</v>
      </c>
      <c r="BJ14" s="57">
        <v>7888</v>
      </c>
      <c r="BK14" s="54">
        <v>0</v>
      </c>
      <c r="BL14" s="54" t="s">
        <v>884</v>
      </c>
      <c r="BM14" s="54">
        <v>1105</v>
      </c>
      <c r="BN14" s="54"/>
      <c r="BO14" s="54">
        <v>70000</v>
      </c>
      <c r="BP14" s="54">
        <f t="shared" si="2"/>
        <v>-70000</v>
      </c>
      <c r="BQ14" t="str">
        <f t="shared" si="0"/>
        <v>PAGADO</v>
      </c>
      <c r="BR14">
        <f t="shared" si="1"/>
        <v>0</v>
      </c>
    </row>
    <row r="15" spans="3:72">
      <c r="C15" s="194"/>
      <c r="G15" s="183"/>
      <c r="K15" s="197"/>
      <c r="BA15" t="s">
        <v>891</v>
      </c>
      <c r="BJ15" s="29"/>
      <c r="BK15" t="s">
        <v>914</v>
      </c>
      <c r="BL15" t="s">
        <v>884</v>
      </c>
      <c r="BM15">
        <v>5105</v>
      </c>
      <c r="BN15">
        <v>50000</v>
      </c>
      <c r="BO15">
        <v>0</v>
      </c>
      <c r="BP15">
        <f t="shared" si="2"/>
        <v>50000</v>
      </c>
      <c r="BQ15" t="str">
        <f t="shared" si="0"/>
        <v>NO PAGADO</v>
      </c>
      <c r="BR15" t="str">
        <f t="shared" si="1"/>
        <v>58</v>
      </c>
    </row>
    <row r="16" spans="3:72">
      <c r="C16" s="194"/>
      <c r="G16" s="195"/>
      <c r="K16" s="197"/>
      <c r="BA16" t="s">
        <v>892</v>
      </c>
      <c r="BJ16" s="29"/>
      <c r="BK16" t="s">
        <v>915</v>
      </c>
      <c r="BL16" t="s">
        <v>884</v>
      </c>
      <c r="BM16">
        <v>0</v>
      </c>
      <c r="BN16">
        <v>0</v>
      </c>
      <c r="BO16">
        <v>0</v>
      </c>
      <c r="BP16">
        <f t="shared" si="2"/>
        <v>0</v>
      </c>
      <c r="BQ16" t="str">
        <f t="shared" si="0"/>
        <v>NO PAGADO</v>
      </c>
      <c r="BR16" t="str">
        <f t="shared" si="1"/>
        <v>58</v>
      </c>
    </row>
    <row r="17" spans="3:70">
      <c r="C17" s="194"/>
      <c r="G17" s="195"/>
      <c r="K17" s="197"/>
      <c r="BA17" t="s">
        <v>893</v>
      </c>
      <c r="BJ17" s="29"/>
      <c r="BK17" t="s">
        <v>916</v>
      </c>
      <c r="BL17" t="s">
        <v>884</v>
      </c>
      <c r="BM17">
        <v>2205</v>
      </c>
      <c r="BO17">
        <v>50000</v>
      </c>
      <c r="BP17">
        <f t="shared" si="2"/>
        <v>-50000</v>
      </c>
      <c r="BQ17" t="str">
        <f t="shared" si="0"/>
        <v>NO PAGADO</v>
      </c>
      <c r="BR17" t="str">
        <f t="shared" si="1"/>
        <v>58</v>
      </c>
    </row>
    <row r="18" spans="3:70">
      <c r="C18" s="194"/>
      <c r="G18" s="195"/>
      <c r="K18" s="197"/>
      <c r="BA18" t="s">
        <v>894</v>
      </c>
      <c r="BJ18">
        <v>57</v>
      </c>
      <c r="BK18" s="54">
        <v>0</v>
      </c>
      <c r="BL18" s="54" t="s">
        <v>885</v>
      </c>
      <c r="BM18" s="54">
        <v>2205</v>
      </c>
      <c r="BN18" s="54">
        <v>10000</v>
      </c>
      <c r="BO18" s="54"/>
      <c r="BP18" s="54">
        <f t="shared" si="2"/>
        <v>10000</v>
      </c>
      <c r="BQ18" t="str">
        <f t="shared" si="0"/>
        <v>PAGADO</v>
      </c>
      <c r="BR18">
        <f t="shared" si="1"/>
        <v>0</v>
      </c>
    </row>
    <row r="19" spans="3:70" ht="14.25">
      <c r="C19" s="194"/>
      <c r="D19" s="204" t="s">
        <v>864</v>
      </c>
      <c r="E19" s="198"/>
      <c r="G19" s="195"/>
      <c r="K19" s="197"/>
      <c r="BA19" t="s">
        <v>895</v>
      </c>
      <c r="BJ19">
        <v>57</v>
      </c>
      <c r="BK19" s="54">
        <v>0</v>
      </c>
      <c r="BL19" s="54" t="s">
        <v>885</v>
      </c>
      <c r="BM19" s="54">
        <v>1105</v>
      </c>
      <c r="BN19" s="54"/>
      <c r="BO19" s="54">
        <v>10000</v>
      </c>
      <c r="BP19" s="54">
        <f t="shared" si="2"/>
        <v>-10000</v>
      </c>
      <c r="BQ19" t="str">
        <f t="shared" si="0"/>
        <v>PAGADO</v>
      </c>
      <c r="BR19">
        <f t="shared" si="1"/>
        <v>0</v>
      </c>
    </row>
    <row r="20" spans="3:70" ht="13.5" thickBot="1">
      <c r="C20" s="194"/>
      <c r="G20" s="195"/>
      <c r="K20" s="197"/>
      <c r="AI20" t="s">
        <v>1082</v>
      </c>
      <c r="BA20" t="s">
        <v>896</v>
      </c>
      <c r="BK20" t="s">
        <v>914</v>
      </c>
      <c r="BL20" t="s">
        <v>885</v>
      </c>
      <c r="BM20">
        <v>5107</v>
      </c>
      <c r="BN20">
        <v>85000</v>
      </c>
      <c r="BP20">
        <f t="shared" si="2"/>
        <v>85000</v>
      </c>
      <c r="BQ20" t="str">
        <f t="shared" si="0"/>
        <v>PAGADO</v>
      </c>
      <c r="BR20" t="str">
        <f t="shared" si="1"/>
        <v>58</v>
      </c>
    </row>
    <row r="21" spans="3:70" ht="22.5" thickBot="1">
      <c r="C21" s="194"/>
      <c r="D21" s="182" t="s">
        <v>872</v>
      </c>
      <c r="E21" s="182" t="s">
        <v>1077</v>
      </c>
      <c r="F21" s="182" t="s">
        <v>873</v>
      </c>
      <c r="G21" s="182" t="s">
        <v>1108</v>
      </c>
      <c r="H21" s="182" t="s">
        <v>851</v>
      </c>
      <c r="I21" s="209" t="s">
        <v>1109</v>
      </c>
      <c r="J21" s="182" t="s">
        <v>1119</v>
      </c>
      <c r="K21" s="197"/>
      <c r="L21" s="51"/>
      <c r="M21" s="51"/>
      <c r="N21" s="51"/>
      <c r="O21" s="203" t="s">
        <v>1107</v>
      </c>
      <c r="P21" s="203" t="s">
        <v>1095</v>
      </c>
      <c r="Q21" s="203" t="s">
        <v>1096</v>
      </c>
      <c r="R21" s="203" t="s">
        <v>1097</v>
      </c>
      <c r="S21" s="203" t="s">
        <v>1100</v>
      </c>
      <c r="T21" s="203" t="s">
        <v>1103</v>
      </c>
      <c r="U21" s="203" t="s">
        <v>1101</v>
      </c>
      <c r="V21" s="203" t="s">
        <v>1110</v>
      </c>
      <c r="W21" s="51"/>
      <c r="X21" s="51"/>
      <c r="Y21" s="51"/>
      <c r="Z21" s="51"/>
      <c r="AA21" s="51"/>
      <c r="AB21" s="55" t="s">
        <v>879</v>
      </c>
      <c r="AC21" s="56" t="s">
        <v>888</v>
      </c>
      <c r="AD21" s="56" t="s">
        <v>1080</v>
      </c>
      <c r="AE21" s="56" t="s">
        <v>1081</v>
      </c>
      <c r="AF21" s="56" t="s">
        <v>1086</v>
      </c>
      <c r="AG21" s="201"/>
      <c r="AH21" s="201"/>
      <c r="AI21" s="56" t="s">
        <v>1080</v>
      </c>
      <c r="AJ21" s="56" t="s">
        <v>1093</v>
      </c>
      <c r="AK21" s="56" t="s">
        <v>770</v>
      </c>
      <c r="AL21" s="56" t="s">
        <v>1083</v>
      </c>
      <c r="AM21" s="56" t="s">
        <v>1085</v>
      </c>
      <c r="AN21" s="201"/>
      <c r="AO21" s="201"/>
      <c r="AP21" s="201"/>
      <c r="AQ21" s="203" t="s">
        <v>1315</v>
      </c>
      <c r="AR21" s="203" t="s">
        <v>1316</v>
      </c>
      <c r="BA21" t="s">
        <v>897</v>
      </c>
      <c r="BB21" s="51"/>
      <c r="BC21" s="51"/>
      <c r="BD21" s="51"/>
      <c r="BE21" s="51"/>
      <c r="BF21" s="51"/>
      <c r="BG21" s="51"/>
      <c r="BH21" s="51"/>
      <c r="BK21" t="s">
        <v>915</v>
      </c>
      <c r="BL21" t="s">
        <v>885</v>
      </c>
      <c r="BM21">
        <v>2205</v>
      </c>
      <c r="BO21">
        <v>85000</v>
      </c>
      <c r="BP21">
        <f t="shared" si="2"/>
        <v>-85000</v>
      </c>
      <c r="BQ21" t="str">
        <f t="shared" si="0"/>
        <v>PAGADO</v>
      </c>
      <c r="BR21" t="str">
        <f t="shared" si="1"/>
        <v>58</v>
      </c>
    </row>
    <row r="22" spans="3:70">
      <c r="C22" s="194"/>
      <c r="D22" s="206" t="e" cm="1" vm="2">
        <f t="array" ref="D22">_xlfn._xlws.FILTER(O22:O142,AQ22:AQ142="NO PAGADO")</f>
        <v>#VALUE!</v>
      </c>
      <c r="E22" s="142" t="e" cm="1" vm="2">
        <f t="array" ref="E22">_xlfn._xlws.FILTER(S22:S142,AQ22:AQ142="NO PAGADO")</f>
        <v>#VALUE!</v>
      </c>
      <c r="F22" s="183" t="e" cm="1" vm="2">
        <f t="array" ref="F22">_xlfn._xlws.FILTER(U22:U142,AQ22:AQ142="NO PAGADO")</f>
        <v>#VALUE!</v>
      </c>
      <c r="G22" s="183" t="e" cm="1" vm="2">
        <f t="array" ref="G22">_xlfn._xlws.FILTER(V22:V142,AQ22:AQ142="NO PAGADO")</f>
        <v>#VALUE!</v>
      </c>
      <c r="H22" s="37" t="e" vm="1">
        <f t="shared" ref="H22:H85" si="3">F22-G22</f>
        <v>#VALUE!</v>
      </c>
      <c r="I22" s="37"/>
      <c r="J22" s="210">
        <f>IF(I22&lt;&gt;"",1,0)</f>
        <v>0</v>
      </c>
      <c r="K22" s="197"/>
      <c r="O22" s="33" cm="1">
        <f t="array" ref="O22:O24">_xlfn.UNIQUE(_xlfn._xlws.FILTER(Regcontabilizados[N° de factura/Pago],Regcontabilizados[ID Cliente]=$H$7))</f>
        <v>2</v>
      </c>
      <c r="P22" t="str">
        <f>_xlfn.XLOOKUP($H$7,BDclient[ID-Cliente],BDclient[NIT/C.C.],0)&amp;$H$9&amp;$O22&amp;"-"&amp;1</f>
        <v>F. V.2-1</v>
      </c>
      <c r="Q22" t="str">
        <f>IF(O22&lt;&gt;"",IFERROR(LEFT(P22,SEARCH("-",P22)-1),0),"")</f>
        <v>F. V.2</v>
      </c>
      <c r="R22" t="str">
        <f>IF(O22="","",    _xlfn.XLOOKUP(Q22,Regcontabilizados[Número pago],Regcontabilizados[Estado de pago],"NO PAGADO"))</f>
        <v>NO PAGADO</v>
      </c>
      <c r="S22" s="44">
        <f>_xlfn.XLOOKUP(P22,Regcontabilizados[Identificador],Regcontabilizados[Fecha vencimiento],0)</f>
        <v>0</v>
      </c>
      <c r="T22">
        <f>_xlfn.XLOOKUP(P22,Regcontabilizados[Identificador],Regcontabilizados[Subcuenta],0)</f>
        <v>0</v>
      </c>
      <c r="U22">
        <f>_xlfn.XLOOKUP(P22,Regcontabilizados[Identificador],Regcontabilizados[Debe],0)+_xlfn.XLOOKUP(Q22&amp;"-"&amp;2,Regcontabilizados[Identificador],Regcontabilizados[Debe],0)+_xlfn.XLOOKUP(Q22&amp;"-"&amp;3,Regcontabilizados[Identificador],Regcontabilizados[Debe],0)+_xlfn.XLOOKUP(Q22&amp;"-"&amp;4,Regcontabilizados[Identificador],Regcontabilizados[Debe],0)+_xlfn.XLOOKUP(Q22&amp;"-"&amp;5,Regcontabilizados[Identificador],Regcontabilizados[Debe],0)+_xlfn.XLOOKUP(Q22&amp;"-"&amp;6,Regcontabilizados[Identificador],Regcontabilizados[Debe],0)+_xlfn.XLOOKUP(Q22&amp;"-"&amp;7,Regcontabilizados[Identificador],Regcontabilizados[Debe],0)+_xlfn.XLOOKUP(Q22&amp;"-"&amp;8,Regcontabilizados[Identificador],Regcontabilizados[Debe],0)+_xlfn.XLOOKUP(Q22&amp;"-"&amp;9,Regcontabilizados[Identificador],Regcontabilizados[Debe],0)</f>
        <v>0</v>
      </c>
      <c r="V22">
        <f>SUMIF(Regcontabilizados[Número pago],'PAGO Ventas'!Q22,Regcontabilizados[Haber])</f>
        <v>0</v>
      </c>
      <c r="AB22" s="33" t="str">
        <f>IF(J22=0,"",   _xlfn.XLOOKUP(AC22,Regcontabilizados[Identificador],Regcontabilizados[Subcuenta],0))</f>
        <v/>
      </c>
      <c r="AC22" t="str">
        <f>IF(J22=0,"",   _xlfn.XLOOKUP($H$7,BDclient[ID-Cliente],BDclient[NIT/C.C.],0)&amp;H8&amp;$D$23&amp;"-"&amp;1)</f>
        <v/>
      </c>
      <c r="AD22" t="str">
        <f>IF(J22=0,"",   IF(AC22&lt;&gt;($H$7&amp;$H$9&amp;"-"&amp;11),IFERROR(LEFT(AC22,SEARCH("-",AC22)-1),0),""))</f>
        <v/>
      </c>
      <c r="AE22" t="str">
        <f>IF(AND(AD22="",J22=0),"En Blanco","DATO")</f>
        <v>En Blanco</v>
      </c>
      <c r="AF22" t="str">
        <f>_xlfn.XLOOKUP($H$7,BDclient[ID-Cliente],BDclient[NIT/C.C.],0)&amp;$H$13&amp;$E$7&amp;"-"&amp;ROW(AA22)-21</f>
        <v>Comp. Ingreso-1</v>
      </c>
      <c r="AI22" s="207">
        <f>E7</f>
        <v>0</v>
      </c>
      <c r="AJ22" s="207" t="str">
        <f>AF32</f>
        <v>Comp. Ingreso-11</v>
      </c>
      <c r="AK22" s="207">
        <f>E11</f>
        <v>0</v>
      </c>
      <c r="AL22" s="207" t="e" vm="1">
        <f>SUM(_xlfn.ANCHORARRAY(AM23))</f>
        <v>#VALUE!</v>
      </c>
      <c r="AM22" s="207"/>
      <c r="AQ22" t="str">
        <f>IF((U22-V22)=0,"PAGADO","NO PAGADO")</f>
        <v>PAGADO</v>
      </c>
      <c r="AR22" cm="1">
        <f t="array" ref="AR22:AR23">_xlfn._xlws.FILTER(O22:O142,R22:R142="NO PAGADO")</f>
        <v>2</v>
      </c>
      <c r="BK22" t="s">
        <v>917</v>
      </c>
      <c r="BL22" t="s">
        <v>884</v>
      </c>
      <c r="BM22">
        <v>5105</v>
      </c>
      <c r="BN22">
        <v>50000</v>
      </c>
      <c r="BO22">
        <v>0</v>
      </c>
      <c r="BP22">
        <f t="shared" si="2"/>
        <v>50000</v>
      </c>
      <c r="BQ22" t="str">
        <f t="shared" si="0"/>
        <v>PAGADO</v>
      </c>
      <c r="BR22" t="str">
        <f t="shared" si="1"/>
        <v>59</v>
      </c>
    </row>
    <row r="23" spans="3:70">
      <c r="C23" s="194"/>
      <c r="D23" s="206"/>
      <c r="E23" s="142"/>
      <c r="F23" s="212"/>
      <c r="G23" s="212"/>
      <c r="H23" s="37">
        <f t="shared" si="3"/>
        <v>0</v>
      </c>
      <c r="I23" s="37"/>
      <c r="J23" s="210">
        <f t="shared" ref="J23:J86" si="4">IF(I23&lt;&gt;"",1,0)</f>
        <v>0</v>
      </c>
      <c r="K23" s="197"/>
      <c r="O23">
        <v>1</v>
      </c>
      <c r="P23" t="str">
        <f>_xlfn.XLOOKUP($H$7,BDclient[ID-Cliente],BDclient[NIT/C.C.],0)&amp;$H$9&amp;$O23&amp;"-"&amp;1</f>
        <v>F. V.1-1</v>
      </c>
      <c r="Q23" t="str">
        <f>IF(O23&lt;&gt;"",IFERROR(LEFT(P23,SEARCH("-",P23)-1),0),"")</f>
        <v>F. V.1</v>
      </c>
      <c r="R23" t="str">
        <f>IF(O23="","",    _xlfn.XLOOKUP(Q23,Regcontabilizados[Número pago],Regcontabilizados[Estado de pago],"NO PAGADO"))</f>
        <v>NO PAGADO</v>
      </c>
      <c r="S23" s="44">
        <f>_xlfn.XLOOKUP(P23,Regcontabilizados[Identificador],Regcontabilizados[Fecha vencimiento],0)</f>
        <v>0</v>
      </c>
      <c r="T23">
        <f>_xlfn.XLOOKUP(P23,Regcontabilizados[Identificador],Regcontabilizados[Subcuenta],0)</f>
        <v>0</v>
      </c>
      <c r="U23">
        <f>_xlfn.XLOOKUP(P23,Regcontabilizados[Identificador],Regcontabilizados[Debe],0)+_xlfn.XLOOKUP(Q23&amp;"-"&amp;2,Regcontabilizados[Identificador],Regcontabilizados[Debe],0)+_xlfn.XLOOKUP(Q23&amp;"-"&amp;3,Regcontabilizados[Identificador],Regcontabilizados[Debe],0)+_xlfn.XLOOKUP(Q23&amp;"-"&amp;4,Regcontabilizados[Identificador],Regcontabilizados[Debe],0)+_xlfn.XLOOKUP(Q23&amp;"-"&amp;5,Regcontabilizados[Identificador],Regcontabilizados[Debe],0)+_xlfn.XLOOKUP(Q23&amp;"-"&amp;6,Regcontabilizados[Identificador],Regcontabilizados[Debe],0)+_xlfn.XLOOKUP(Q23&amp;"-"&amp;7,Regcontabilizados[Identificador],Regcontabilizados[Debe],0)+_xlfn.XLOOKUP(Q23&amp;"-"&amp;8,Regcontabilizados[Identificador],Regcontabilizados[Debe],0)+_xlfn.XLOOKUP(Q23&amp;"-"&amp;9,Regcontabilizados[Identificador],Regcontabilizados[Debe],0)</f>
        <v>0</v>
      </c>
      <c r="V23">
        <f>SUMIF(Regcontabilizados[Número pago],'PAGO Ventas'!Q23,Regcontabilizados[Haber])</f>
        <v>0</v>
      </c>
      <c r="AB23" s="33" t="str">
        <f>IF(J23=0,"",   _xlfn.XLOOKUP(AC23,Regcontabilizados[Identificador],Regcontabilizados[Subcuenta],0))</f>
        <v/>
      </c>
      <c r="AC23" t="str">
        <f>IF(J23=0,"",   _xlfn.XLOOKUP($H$7,BDclient[ID-Cliente],BDclient[NIT/C.C.],0)&amp;H9&amp;$D$23&amp;"-"&amp;1)</f>
        <v/>
      </c>
      <c r="AD23" t="str">
        <f t="shared" ref="AD23:AD86" si="5">IF(J23=0,"",   IF(AC23&lt;&gt;($H$7&amp;$H$9&amp;"-"&amp;11),IFERROR(LEFT(AC23,SEARCH("-",AC23)-1),0),""))</f>
        <v/>
      </c>
      <c r="AE23" t="str">
        <f t="shared" ref="AE23:AE86" si="6">IF(AND(AD23="",J23=0),"En Blanco","DATO")</f>
        <v>En Blanco</v>
      </c>
      <c r="AF23" t="str">
        <f>_xlfn.XLOOKUP($H$7,BDclient[ID-Cliente],BDclient[NIT/C.C.],0)&amp;$H$13&amp;$E$7&amp;"-"&amp;ROW(AA23)-21</f>
        <v>Comp. Ingreso-2</v>
      </c>
      <c r="AI23" s="207" t="e" cm="1" vm="2">
        <f t="array" ref="AI23">_xlfn._xlws.FILTER(AD22:AD140,AE22:AE140=AI20)</f>
        <v>#VALUE!</v>
      </c>
      <c r="AJ23" s="207" t="str">
        <f>AF22</f>
        <v>Comp. Ingreso-1</v>
      </c>
      <c r="AK23" s="207" t="e" cm="1" vm="2">
        <f t="array" ref="AK23">_xlfn._xlws.FILTER(AB22:AB140,AE22:AE140=AI20)</f>
        <v>#VALUE!</v>
      </c>
      <c r="AL23" s="207"/>
      <c r="AM23" s="207" t="e" cm="1" vm="2">
        <f t="array" ref="AM23">_xlfn._xlws.FILTER(I22:I140,AE22:AE140=AI20)</f>
        <v>#VALUE!</v>
      </c>
      <c r="AQ23" t="str">
        <f t="shared" ref="AQ23:AQ86" si="7">IF((U23-V23)=0,"PAGADO","NO PAGADO")</f>
        <v>PAGADO</v>
      </c>
      <c r="AR23">
        <v>1</v>
      </c>
      <c r="BA23" t="s">
        <v>898</v>
      </c>
      <c r="BK23" t="s">
        <v>918</v>
      </c>
      <c r="BL23" t="s">
        <v>884</v>
      </c>
      <c r="BM23">
        <v>0</v>
      </c>
      <c r="BN23">
        <v>0</v>
      </c>
      <c r="BO23">
        <v>0</v>
      </c>
      <c r="BP23">
        <f t="shared" si="2"/>
        <v>0</v>
      </c>
      <c r="BQ23" t="str">
        <f t="shared" si="0"/>
        <v>PAGADO</v>
      </c>
      <c r="BR23" t="str">
        <f t="shared" si="1"/>
        <v>59</v>
      </c>
    </row>
    <row r="24" spans="3:70">
      <c r="C24" s="194"/>
      <c r="D24" s="206"/>
      <c r="E24" s="142"/>
      <c r="F24" s="183"/>
      <c r="G24" s="183"/>
      <c r="H24" s="37">
        <f t="shared" si="3"/>
        <v>0</v>
      </c>
      <c r="I24" s="37"/>
      <c r="J24" s="210">
        <f t="shared" si="4"/>
        <v>0</v>
      </c>
      <c r="K24" s="197"/>
      <c r="O24" t="str">
        <v/>
      </c>
      <c r="P24" t="str">
        <f>_xlfn.XLOOKUP($H$7,BDclient[ID-Cliente],BDclient[NIT/C.C.],0)&amp;$H$9&amp;$O24&amp;"-"&amp;1</f>
        <v>F. V.-1</v>
      </c>
      <c r="Q24" t="str">
        <f t="shared" ref="Q24:Q87" si="8">IF(O24&lt;&gt;"",IFERROR(LEFT(P24,SEARCH("-",P24)-1),0),"")</f>
        <v/>
      </c>
      <c r="R24" t="str">
        <f>IF(O24="","",    _xlfn.XLOOKUP(Q24,Regcontabilizados[Número pago],Regcontabilizados[Estado de pago],"NO PAGADO"))</f>
        <v/>
      </c>
      <c r="S24" s="44">
        <f>_xlfn.XLOOKUP(P24,Regcontabilizados[Identificador],Regcontabilizados[Fecha vencimiento],0)</f>
        <v>0</v>
      </c>
      <c r="T24">
        <f>_xlfn.XLOOKUP(P24,Regcontabilizados[Identificador],Regcontabilizados[Subcuenta],0)</f>
        <v>0</v>
      </c>
      <c r="U24">
        <f>_xlfn.XLOOKUP(P24,Regcontabilizados[Identificador],Regcontabilizados[Debe],0)+_xlfn.XLOOKUP(Q24&amp;"-"&amp;2,Regcontabilizados[Identificador],Regcontabilizados[Debe],0)+_xlfn.XLOOKUP(Q24&amp;"-"&amp;3,Regcontabilizados[Identificador],Regcontabilizados[Debe],0)+_xlfn.XLOOKUP(Q24&amp;"-"&amp;4,Regcontabilizados[Identificador],Regcontabilizados[Debe],0)+_xlfn.XLOOKUP(Q24&amp;"-"&amp;5,Regcontabilizados[Identificador],Regcontabilizados[Debe],0)+_xlfn.XLOOKUP(Q24&amp;"-"&amp;6,Regcontabilizados[Identificador],Regcontabilizados[Debe],0)+_xlfn.XLOOKUP(Q24&amp;"-"&amp;7,Regcontabilizados[Identificador],Regcontabilizados[Debe],0)+_xlfn.XLOOKUP(Q24&amp;"-"&amp;8,Regcontabilizados[Identificador],Regcontabilizados[Debe],0)+_xlfn.XLOOKUP(Q24&amp;"-"&amp;9,Regcontabilizados[Identificador],Regcontabilizados[Debe],0)</f>
        <v>0</v>
      </c>
      <c r="V24">
        <f>SUMIF(Regcontabilizados[Número pago],'PAGO Ventas'!Q24,Regcontabilizados[Haber])</f>
        <v>0</v>
      </c>
      <c r="AB24" s="33" t="str">
        <f>IF(J24=0,"",   _xlfn.XLOOKUP(AC24,Regcontabilizados[Identificador],Regcontabilizados[Subcuenta],0))</f>
        <v/>
      </c>
      <c r="AC24" t="str">
        <f>IF(J24=0,"",   _xlfn.XLOOKUP($H$7,BDclient[ID-Cliente],BDclient[NIT/C.C.],0)&amp;H10&amp;$D$23&amp;"-"&amp;1)</f>
        <v/>
      </c>
      <c r="AD24" t="str">
        <f t="shared" si="5"/>
        <v/>
      </c>
      <c r="AE24" t="str">
        <f t="shared" si="6"/>
        <v>En Blanco</v>
      </c>
      <c r="AF24" t="str">
        <f>_xlfn.XLOOKUP($H$7,BDclient[ID-Cliente],BDclient[NIT/C.C.],0)&amp;$H$13&amp;$E$7&amp;"-"&amp;ROW(AA24)-21</f>
        <v>Comp. Ingreso-3</v>
      </c>
      <c r="AI24" s="207"/>
      <c r="AJ24" s="207" t="str">
        <f t="shared" ref="AJ24:AJ32" si="9">AF23</f>
        <v>Comp. Ingreso-2</v>
      </c>
      <c r="AK24" s="207"/>
      <c r="AL24" s="207"/>
      <c r="AM24" s="207"/>
      <c r="AQ24" t="str">
        <f t="shared" si="7"/>
        <v>PAGADO</v>
      </c>
      <c r="BA24" t="s">
        <v>899</v>
      </c>
      <c r="BK24" t="s">
        <v>919</v>
      </c>
      <c r="BL24" t="s">
        <v>884</v>
      </c>
      <c r="BM24">
        <v>2205</v>
      </c>
      <c r="BO24">
        <v>50000</v>
      </c>
      <c r="BP24">
        <f t="shared" si="2"/>
        <v>-50000</v>
      </c>
      <c r="BQ24" t="str">
        <f t="shared" si="0"/>
        <v>PAGADO</v>
      </c>
      <c r="BR24" t="str">
        <f t="shared" si="1"/>
        <v>59</v>
      </c>
    </row>
    <row r="25" spans="3:70">
      <c r="C25" s="194"/>
      <c r="D25" s="206"/>
      <c r="E25" s="142"/>
      <c r="F25" s="183"/>
      <c r="G25" s="183"/>
      <c r="H25" s="37">
        <f t="shared" si="3"/>
        <v>0</v>
      </c>
      <c r="I25" s="37"/>
      <c r="J25" s="210">
        <f t="shared" si="4"/>
        <v>0</v>
      </c>
      <c r="K25" s="197"/>
      <c r="P25" t="str">
        <f>_xlfn.XLOOKUP($H$7,BDclient[ID-Cliente],BDclient[NIT/C.C.],0)&amp;$H$9&amp;$O25&amp;"-"&amp;1</f>
        <v>F. V.-1</v>
      </c>
      <c r="Q25" t="str">
        <f t="shared" si="8"/>
        <v/>
      </c>
      <c r="R25" t="str">
        <f>IF(O25="","",    _xlfn.XLOOKUP(Q25,Regcontabilizados[Número pago],Regcontabilizados[Estado de pago],"NO PAGADO"))</f>
        <v/>
      </c>
      <c r="S25" s="44">
        <f>_xlfn.XLOOKUP(P25,Regcontabilizados[Identificador],Regcontabilizados[Fecha vencimiento],0)</f>
        <v>0</v>
      </c>
      <c r="T25">
        <f>_xlfn.XLOOKUP(P25,Regcontabilizados[Identificador],Regcontabilizados[Subcuenta],0)</f>
        <v>0</v>
      </c>
      <c r="U25">
        <f>_xlfn.XLOOKUP(P25,Regcontabilizados[Identificador],Regcontabilizados[Debe],0)+_xlfn.XLOOKUP(Q25&amp;"-"&amp;2,Regcontabilizados[Identificador],Regcontabilizados[Debe],0)+_xlfn.XLOOKUP(Q25&amp;"-"&amp;3,Regcontabilizados[Identificador],Regcontabilizados[Debe],0)+_xlfn.XLOOKUP(Q25&amp;"-"&amp;4,Regcontabilizados[Identificador],Regcontabilizados[Debe],0)+_xlfn.XLOOKUP(Q25&amp;"-"&amp;5,Regcontabilizados[Identificador],Regcontabilizados[Debe],0)+_xlfn.XLOOKUP(Q25&amp;"-"&amp;6,Regcontabilizados[Identificador],Regcontabilizados[Debe],0)+_xlfn.XLOOKUP(Q25&amp;"-"&amp;7,Regcontabilizados[Identificador],Regcontabilizados[Debe],0)+_xlfn.XLOOKUP(Q25&amp;"-"&amp;8,Regcontabilizados[Identificador],Regcontabilizados[Debe],0)+_xlfn.XLOOKUP(Q25&amp;"-"&amp;9,Regcontabilizados[Identificador],Regcontabilizados[Debe],0)</f>
        <v>0</v>
      </c>
      <c r="V25">
        <f>SUMIF(Regcontabilizados[Número pago],'PAGO Ventas'!Q25,Regcontabilizados[Haber])</f>
        <v>0</v>
      </c>
      <c r="AB25" s="33" t="str">
        <f>IF(J25=0,"",   _xlfn.XLOOKUP(AC25,Regcontabilizados[Identificador],Regcontabilizados[Subcuenta],0))</f>
        <v/>
      </c>
      <c r="AC25" t="str">
        <f>IF(J25=0,"",   _xlfn.XLOOKUP($H$7,BDclient[ID-Cliente],BDclient[NIT/C.C.],0)&amp;H11&amp;$D$23&amp;"-"&amp;1)</f>
        <v/>
      </c>
      <c r="AD25" t="str">
        <f t="shared" si="5"/>
        <v/>
      </c>
      <c r="AE25" t="str">
        <f t="shared" si="6"/>
        <v>En Blanco</v>
      </c>
      <c r="AF25" t="str">
        <f>_xlfn.XLOOKUP($H$7,BDclient[ID-Cliente],BDclient[NIT/C.C.],0)&amp;$H$13&amp;$E$7&amp;"-"&amp;ROW(AA25)-21</f>
        <v>Comp. Ingreso-4</v>
      </c>
      <c r="AI25" s="207"/>
      <c r="AJ25" s="207" t="str">
        <f t="shared" si="9"/>
        <v>Comp. Ingreso-3</v>
      </c>
      <c r="AK25" s="207"/>
      <c r="AL25" s="207"/>
      <c r="AM25" s="207"/>
      <c r="AQ25" t="str">
        <f t="shared" si="7"/>
        <v>PAGADO</v>
      </c>
      <c r="BA25" t="s">
        <v>900</v>
      </c>
      <c r="BJ25">
        <v>58</v>
      </c>
      <c r="BK25" s="54">
        <v>0</v>
      </c>
      <c r="BL25" s="54" t="s">
        <v>885</v>
      </c>
      <c r="BM25" s="54">
        <v>2205</v>
      </c>
      <c r="BN25" s="54">
        <v>85000</v>
      </c>
      <c r="BO25" s="54"/>
      <c r="BP25" s="54">
        <f t="shared" si="2"/>
        <v>85000</v>
      </c>
      <c r="BQ25" t="str">
        <f t="shared" si="0"/>
        <v>PAGADO</v>
      </c>
      <c r="BR25">
        <f t="shared" si="1"/>
        <v>0</v>
      </c>
    </row>
    <row r="26" spans="3:70">
      <c r="C26" s="194"/>
      <c r="D26" s="206"/>
      <c r="E26" s="142"/>
      <c r="F26" s="183"/>
      <c r="G26" s="183"/>
      <c r="H26" s="37">
        <f t="shared" si="3"/>
        <v>0</v>
      </c>
      <c r="I26" s="37"/>
      <c r="J26" s="210">
        <f t="shared" si="4"/>
        <v>0</v>
      </c>
      <c r="K26" s="197"/>
      <c r="P26" t="str">
        <f>_xlfn.XLOOKUP($H$7,BDclient[ID-Cliente],BDclient[NIT/C.C.],0)&amp;$H$9&amp;$O26&amp;"-"&amp;1</f>
        <v>F. V.-1</v>
      </c>
      <c r="Q26" t="str">
        <f t="shared" si="8"/>
        <v/>
      </c>
      <c r="R26" t="str">
        <f>IF(O26="","",    _xlfn.XLOOKUP(Q26,Regcontabilizados[Número pago],Regcontabilizados[Estado de pago],"NO PAGADO"))</f>
        <v/>
      </c>
      <c r="S26" s="44">
        <f>_xlfn.XLOOKUP(P26,Regcontabilizados[Identificador],Regcontabilizados[Fecha vencimiento],0)</f>
        <v>0</v>
      </c>
      <c r="T26">
        <f>_xlfn.XLOOKUP(P26,Regcontabilizados[Identificador],Regcontabilizados[Subcuenta],0)</f>
        <v>0</v>
      </c>
      <c r="U26">
        <f>_xlfn.XLOOKUP(P26,Regcontabilizados[Identificador],Regcontabilizados[Debe],0)+_xlfn.XLOOKUP(Q26&amp;"-"&amp;2,Regcontabilizados[Identificador],Regcontabilizados[Debe],0)+_xlfn.XLOOKUP(Q26&amp;"-"&amp;3,Regcontabilizados[Identificador],Regcontabilizados[Debe],0)+_xlfn.XLOOKUP(Q26&amp;"-"&amp;4,Regcontabilizados[Identificador],Regcontabilizados[Debe],0)+_xlfn.XLOOKUP(Q26&amp;"-"&amp;5,Regcontabilizados[Identificador],Regcontabilizados[Debe],0)+_xlfn.XLOOKUP(Q26&amp;"-"&amp;6,Regcontabilizados[Identificador],Regcontabilizados[Debe],0)+_xlfn.XLOOKUP(Q26&amp;"-"&amp;7,Regcontabilizados[Identificador],Regcontabilizados[Debe],0)+_xlfn.XLOOKUP(Q26&amp;"-"&amp;8,Regcontabilizados[Identificador],Regcontabilizados[Debe],0)+_xlfn.XLOOKUP(Q26&amp;"-"&amp;9,Regcontabilizados[Identificador],Regcontabilizados[Debe],0)</f>
        <v>0</v>
      </c>
      <c r="V26">
        <f>SUMIF(Regcontabilizados[Número pago],'PAGO Ventas'!Q26,Regcontabilizados[Haber])</f>
        <v>0</v>
      </c>
      <c r="AB26" s="33" t="str">
        <f>IF(J26=0,"",   _xlfn.XLOOKUP(AC26,Regcontabilizados[Identificador],Regcontabilizados[Subcuenta],0))</f>
        <v/>
      </c>
      <c r="AC26" t="str">
        <f>IF(J26=0,"",   _xlfn.XLOOKUP($H$7,BDclient[ID-Cliente],BDclient[NIT/C.C.],0)&amp;H12&amp;$D$23&amp;"-"&amp;1)</f>
        <v/>
      </c>
      <c r="AD26" t="str">
        <f t="shared" si="5"/>
        <v/>
      </c>
      <c r="AE26" t="str">
        <f t="shared" si="6"/>
        <v>En Blanco</v>
      </c>
      <c r="AF26" t="str">
        <f>_xlfn.XLOOKUP($H$7,BDclient[ID-Cliente],BDclient[NIT/C.C.],0)&amp;$H$13&amp;$E$7&amp;"-"&amp;ROW(AA26)-21</f>
        <v>Comp. Ingreso-5</v>
      </c>
      <c r="AI26" s="207"/>
      <c r="AJ26" s="207" t="str">
        <f t="shared" si="9"/>
        <v>Comp. Ingreso-4</v>
      </c>
      <c r="AK26" s="207"/>
      <c r="AL26" s="207"/>
      <c r="AM26" s="207"/>
      <c r="AQ26" t="str">
        <f t="shared" si="7"/>
        <v>PAGADO</v>
      </c>
      <c r="BJ26">
        <v>58</v>
      </c>
      <c r="BK26" s="54">
        <v>0</v>
      </c>
      <c r="BL26" s="54" t="s">
        <v>885</v>
      </c>
      <c r="BM26" s="54">
        <v>1105</v>
      </c>
      <c r="BN26" s="54"/>
      <c r="BO26" s="54">
        <v>85000</v>
      </c>
      <c r="BP26" s="54">
        <f t="shared" si="2"/>
        <v>-85000</v>
      </c>
      <c r="BQ26" t="str">
        <f t="shared" si="0"/>
        <v>PAGADO</v>
      </c>
      <c r="BR26">
        <f t="shared" si="1"/>
        <v>0</v>
      </c>
    </row>
    <row r="27" spans="3:70">
      <c r="C27" s="194"/>
      <c r="D27" s="206"/>
      <c r="E27" s="142"/>
      <c r="F27" s="183"/>
      <c r="G27" s="183"/>
      <c r="H27" s="37">
        <f t="shared" si="3"/>
        <v>0</v>
      </c>
      <c r="I27" s="37"/>
      <c r="J27" s="210">
        <f t="shared" si="4"/>
        <v>0</v>
      </c>
      <c r="K27" s="197"/>
      <c r="P27" t="str">
        <f>_xlfn.XLOOKUP($H$7,BDclient[ID-Cliente],BDclient[NIT/C.C.],0)&amp;$H$9&amp;$O27&amp;"-"&amp;1</f>
        <v>F. V.-1</v>
      </c>
      <c r="Q27" t="str">
        <f t="shared" si="8"/>
        <v/>
      </c>
      <c r="R27" t="str">
        <f>IF(O27="","",    _xlfn.XLOOKUP(Q27,Regcontabilizados[Número pago],Regcontabilizados[Estado de pago],"NO PAGADO"))</f>
        <v/>
      </c>
      <c r="S27" s="44">
        <f>_xlfn.XLOOKUP(P27,Regcontabilizados[Identificador],Regcontabilizados[Fecha vencimiento],0)</f>
        <v>0</v>
      </c>
      <c r="T27">
        <f>_xlfn.XLOOKUP(P27,Regcontabilizados[Identificador],Regcontabilizados[Subcuenta],0)</f>
        <v>0</v>
      </c>
      <c r="U27">
        <f>_xlfn.XLOOKUP(P27,Regcontabilizados[Identificador],Regcontabilizados[Debe],0)+_xlfn.XLOOKUP(Q27&amp;"-"&amp;2,Regcontabilizados[Identificador],Regcontabilizados[Debe],0)+_xlfn.XLOOKUP(Q27&amp;"-"&amp;3,Regcontabilizados[Identificador],Regcontabilizados[Debe],0)+_xlfn.XLOOKUP(Q27&amp;"-"&amp;4,Regcontabilizados[Identificador],Regcontabilizados[Debe],0)+_xlfn.XLOOKUP(Q27&amp;"-"&amp;5,Regcontabilizados[Identificador],Regcontabilizados[Debe],0)+_xlfn.XLOOKUP(Q27&amp;"-"&amp;6,Regcontabilizados[Identificador],Regcontabilizados[Debe],0)+_xlfn.XLOOKUP(Q27&amp;"-"&amp;7,Regcontabilizados[Identificador],Regcontabilizados[Debe],0)+_xlfn.XLOOKUP(Q27&amp;"-"&amp;8,Regcontabilizados[Identificador],Regcontabilizados[Debe],0)+_xlfn.XLOOKUP(Q27&amp;"-"&amp;9,Regcontabilizados[Identificador],Regcontabilizados[Debe],0)</f>
        <v>0</v>
      </c>
      <c r="V27">
        <f>SUMIF(Regcontabilizados[Número pago],'PAGO Ventas'!Q27,Regcontabilizados[Haber])</f>
        <v>0</v>
      </c>
      <c r="AB27" s="33" t="str">
        <f>IF(J27=0,"",   _xlfn.XLOOKUP(AC27,Regcontabilizados[Identificador],Regcontabilizados[Subcuenta],0))</f>
        <v/>
      </c>
      <c r="AC27" t="str">
        <f>IF(J27=0,"",   _xlfn.XLOOKUP($H$7,BDclient[ID-Cliente],BDclient[NIT/C.C.],0)&amp;H13&amp;$D$23&amp;"-"&amp;1)</f>
        <v/>
      </c>
      <c r="AD27" t="str">
        <f t="shared" si="5"/>
        <v/>
      </c>
      <c r="AE27" t="str">
        <f t="shared" si="6"/>
        <v>En Blanco</v>
      </c>
      <c r="AF27" t="str">
        <f>_xlfn.XLOOKUP($H$7,BDclient[ID-Cliente],BDclient[NIT/C.C.],0)&amp;$H$13&amp;$E$7&amp;"-"&amp;ROW(AA27)-21</f>
        <v>Comp. Ingreso-6</v>
      </c>
      <c r="AI27" s="207"/>
      <c r="AJ27" s="207" t="str">
        <f t="shared" si="9"/>
        <v>Comp. Ingreso-5</v>
      </c>
      <c r="AK27" s="207"/>
      <c r="AL27" s="207"/>
      <c r="AM27" s="207"/>
      <c r="AQ27" t="str">
        <f t="shared" si="7"/>
        <v>PAGADO</v>
      </c>
      <c r="BJ27">
        <v>59</v>
      </c>
      <c r="BK27" s="54">
        <v>0</v>
      </c>
      <c r="BL27" t="s">
        <v>884</v>
      </c>
      <c r="BM27" s="54">
        <v>2205</v>
      </c>
      <c r="BN27" s="54">
        <v>50000</v>
      </c>
      <c r="BO27" s="54"/>
      <c r="BP27">
        <f t="shared" si="2"/>
        <v>50000</v>
      </c>
      <c r="BQ27" t="str">
        <f t="shared" si="0"/>
        <v>PAGADO</v>
      </c>
      <c r="BR27">
        <f t="shared" si="1"/>
        <v>0</v>
      </c>
    </row>
    <row r="28" spans="3:70">
      <c r="C28" s="194"/>
      <c r="D28" s="206"/>
      <c r="E28" s="142"/>
      <c r="F28" s="183"/>
      <c r="G28" s="183"/>
      <c r="H28" s="37">
        <f t="shared" si="3"/>
        <v>0</v>
      </c>
      <c r="I28" s="37"/>
      <c r="J28" s="210">
        <f t="shared" si="4"/>
        <v>0</v>
      </c>
      <c r="K28" s="197"/>
      <c r="P28" t="str">
        <f>_xlfn.XLOOKUP($H$7,BDclient[ID-Cliente],BDclient[NIT/C.C.],0)&amp;$H$9&amp;$O28&amp;"-"&amp;1</f>
        <v>F. V.-1</v>
      </c>
      <c r="Q28" t="str">
        <f t="shared" si="8"/>
        <v/>
      </c>
      <c r="R28" t="str">
        <f>IF(O28="","",    _xlfn.XLOOKUP(Q28,Regcontabilizados[Número pago],Regcontabilizados[Estado de pago],"NO PAGADO"))</f>
        <v/>
      </c>
      <c r="S28" s="44">
        <f>_xlfn.XLOOKUP(P28,Regcontabilizados[Identificador],Regcontabilizados[Fecha vencimiento],0)</f>
        <v>0</v>
      </c>
      <c r="T28">
        <f>_xlfn.XLOOKUP(P28,Regcontabilizados[Identificador],Regcontabilizados[Subcuenta],0)</f>
        <v>0</v>
      </c>
      <c r="U28">
        <f>_xlfn.XLOOKUP(P28,Regcontabilizados[Identificador],Regcontabilizados[Debe],0)+_xlfn.XLOOKUP(Q28&amp;"-"&amp;2,Regcontabilizados[Identificador],Regcontabilizados[Debe],0)+_xlfn.XLOOKUP(Q28&amp;"-"&amp;3,Regcontabilizados[Identificador],Regcontabilizados[Debe],0)+_xlfn.XLOOKUP(Q28&amp;"-"&amp;4,Regcontabilizados[Identificador],Regcontabilizados[Debe],0)+_xlfn.XLOOKUP(Q28&amp;"-"&amp;5,Regcontabilizados[Identificador],Regcontabilizados[Debe],0)+_xlfn.XLOOKUP(Q28&amp;"-"&amp;6,Regcontabilizados[Identificador],Regcontabilizados[Debe],0)+_xlfn.XLOOKUP(Q28&amp;"-"&amp;7,Regcontabilizados[Identificador],Regcontabilizados[Debe],0)+_xlfn.XLOOKUP(Q28&amp;"-"&amp;8,Regcontabilizados[Identificador],Regcontabilizados[Debe],0)+_xlfn.XLOOKUP(Q28&amp;"-"&amp;9,Regcontabilizados[Identificador],Regcontabilizados[Debe],0)</f>
        <v>0</v>
      </c>
      <c r="V28">
        <f>SUMIF(Regcontabilizados[Número pago],'PAGO Ventas'!Q28,Regcontabilizados[Haber])</f>
        <v>0</v>
      </c>
      <c r="AB28" s="33" t="str">
        <f>IF(J28=0,"",   _xlfn.XLOOKUP(AC28,Regcontabilizados[Identificador],Regcontabilizados[Subcuenta],0))</f>
        <v/>
      </c>
      <c r="AC28" t="str">
        <f>IF(J28=0,"",   _xlfn.XLOOKUP($H$7,BDclient[ID-Cliente],BDclient[NIT/C.C.],0)&amp;H14&amp;$D$23&amp;"-"&amp;1)</f>
        <v/>
      </c>
      <c r="AD28" t="str">
        <f t="shared" si="5"/>
        <v/>
      </c>
      <c r="AE28" t="str">
        <f t="shared" si="6"/>
        <v>En Blanco</v>
      </c>
      <c r="AF28" t="str">
        <f>_xlfn.XLOOKUP($H$7,BDclient[ID-Cliente],BDclient[NIT/C.C.],0)&amp;$H$13&amp;$E$7&amp;"-"&amp;ROW(AA28)-21</f>
        <v>Comp. Ingreso-7</v>
      </c>
      <c r="AI28" s="207"/>
      <c r="AJ28" s="207" t="str">
        <f t="shared" si="9"/>
        <v>Comp. Ingreso-6</v>
      </c>
      <c r="AK28" s="207"/>
      <c r="AL28" s="207"/>
      <c r="AM28" s="207"/>
      <c r="AQ28" t="str">
        <f t="shared" si="7"/>
        <v>PAGADO</v>
      </c>
      <c r="BJ28">
        <v>59</v>
      </c>
      <c r="BK28" s="54">
        <v>0</v>
      </c>
      <c r="BL28" t="s">
        <v>884</v>
      </c>
      <c r="BM28" s="54">
        <v>1105</v>
      </c>
      <c r="BN28" s="54"/>
      <c r="BO28" s="54">
        <v>50000</v>
      </c>
      <c r="BP28">
        <f t="shared" si="2"/>
        <v>-50000</v>
      </c>
      <c r="BQ28" t="str">
        <f t="shared" si="0"/>
        <v>PAGADO</v>
      </c>
      <c r="BR28">
        <f t="shared" si="1"/>
        <v>0</v>
      </c>
    </row>
    <row r="29" spans="3:70">
      <c r="C29" s="194"/>
      <c r="D29" s="206"/>
      <c r="E29" s="142"/>
      <c r="F29" s="183"/>
      <c r="G29" s="183"/>
      <c r="H29" s="37">
        <f t="shared" si="3"/>
        <v>0</v>
      </c>
      <c r="I29" s="37"/>
      <c r="J29" s="210">
        <f t="shared" si="4"/>
        <v>0</v>
      </c>
      <c r="K29" s="197"/>
      <c r="P29" t="str">
        <f>_xlfn.XLOOKUP($H$7,BDclient[ID-Cliente],BDclient[NIT/C.C.],0)&amp;$H$9&amp;$O29&amp;"-"&amp;1</f>
        <v>F. V.-1</v>
      </c>
      <c r="Q29" t="str">
        <f t="shared" si="8"/>
        <v/>
      </c>
      <c r="R29" t="str">
        <f>IF(O29="","",    _xlfn.XLOOKUP(Q29,Regcontabilizados[Número pago],Regcontabilizados[Estado de pago],"NO PAGADO"))</f>
        <v/>
      </c>
      <c r="S29" s="44">
        <f>_xlfn.XLOOKUP(P29,Regcontabilizados[Identificador],Regcontabilizados[Fecha vencimiento],0)</f>
        <v>0</v>
      </c>
      <c r="T29">
        <f>_xlfn.XLOOKUP(P29,Regcontabilizados[Identificador],Regcontabilizados[Subcuenta],0)</f>
        <v>0</v>
      </c>
      <c r="U29">
        <f>_xlfn.XLOOKUP(P29,Regcontabilizados[Identificador],Regcontabilizados[Debe],0)+_xlfn.XLOOKUP(Q29&amp;"-"&amp;2,Regcontabilizados[Identificador],Regcontabilizados[Debe],0)+_xlfn.XLOOKUP(Q29&amp;"-"&amp;3,Regcontabilizados[Identificador],Regcontabilizados[Debe],0)+_xlfn.XLOOKUP(Q29&amp;"-"&amp;4,Regcontabilizados[Identificador],Regcontabilizados[Debe],0)+_xlfn.XLOOKUP(Q29&amp;"-"&amp;5,Regcontabilizados[Identificador],Regcontabilizados[Debe],0)+_xlfn.XLOOKUP(Q29&amp;"-"&amp;6,Regcontabilizados[Identificador],Regcontabilizados[Debe],0)+_xlfn.XLOOKUP(Q29&amp;"-"&amp;7,Regcontabilizados[Identificador],Regcontabilizados[Debe],0)+_xlfn.XLOOKUP(Q29&amp;"-"&amp;8,Regcontabilizados[Identificador],Regcontabilizados[Debe],0)+_xlfn.XLOOKUP(Q29&amp;"-"&amp;9,Regcontabilizados[Identificador],Regcontabilizados[Debe],0)</f>
        <v>0</v>
      </c>
      <c r="V29">
        <f>SUMIF(Regcontabilizados[Número pago],'PAGO Ventas'!Q29,Regcontabilizados[Haber])</f>
        <v>0</v>
      </c>
      <c r="AB29" s="33" t="str">
        <f>IF(J29=0,"",   _xlfn.XLOOKUP(AC29,Regcontabilizados[Identificador],Regcontabilizados[Subcuenta],0))</f>
        <v/>
      </c>
      <c r="AC29" t="str">
        <f>IF(J29=0,"",   _xlfn.XLOOKUP($H$7,BDclient[ID-Cliente],BDclient[NIT/C.C.],0)&amp;H15&amp;$D$23&amp;"-"&amp;1)</f>
        <v/>
      </c>
      <c r="AD29" t="str">
        <f t="shared" si="5"/>
        <v/>
      </c>
      <c r="AE29" t="str">
        <f t="shared" si="6"/>
        <v>En Blanco</v>
      </c>
      <c r="AF29" t="str">
        <f>_xlfn.XLOOKUP($H$7,BDclient[ID-Cliente],BDclient[NIT/C.C.],0)&amp;$H$13&amp;$E$7&amp;"-"&amp;ROW(AA29)-21</f>
        <v>Comp. Ingreso-8</v>
      </c>
      <c r="AI29" s="207"/>
      <c r="AJ29" s="207" t="str">
        <f t="shared" si="9"/>
        <v>Comp. Ingreso-7</v>
      </c>
      <c r="AK29" s="207"/>
      <c r="AL29" s="207"/>
      <c r="AM29" s="207"/>
      <c r="AQ29" t="str">
        <f t="shared" si="7"/>
        <v>PAGADO</v>
      </c>
    </row>
    <row r="30" spans="3:70">
      <c r="C30" s="194"/>
      <c r="D30" s="206"/>
      <c r="E30" s="142"/>
      <c r="F30" s="183"/>
      <c r="G30" s="183"/>
      <c r="H30" s="37">
        <f t="shared" si="3"/>
        <v>0</v>
      </c>
      <c r="I30" s="37"/>
      <c r="J30" s="210">
        <f t="shared" si="4"/>
        <v>0</v>
      </c>
      <c r="K30" s="197"/>
      <c r="P30" t="str">
        <f>_xlfn.XLOOKUP($H$7,BDclient[ID-Cliente],BDclient[NIT/C.C.],0)&amp;$H$9&amp;$O30&amp;"-"&amp;1</f>
        <v>F. V.-1</v>
      </c>
      <c r="Q30" t="str">
        <f t="shared" si="8"/>
        <v/>
      </c>
      <c r="R30" t="str">
        <f>IF(O30="","",    _xlfn.XLOOKUP(Q30,Regcontabilizados[Número pago],Regcontabilizados[Estado de pago],"NO PAGADO"))</f>
        <v/>
      </c>
      <c r="S30" s="44">
        <f>_xlfn.XLOOKUP(P30,Regcontabilizados[Identificador],Regcontabilizados[Fecha vencimiento],0)</f>
        <v>0</v>
      </c>
      <c r="T30">
        <f>_xlfn.XLOOKUP(P30,Regcontabilizados[Identificador],Regcontabilizados[Subcuenta],0)</f>
        <v>0</v>
      </c>
      <c r="U30">
        <f>_xlfn.XLOOKUP(P30,Regcontabilizados[Identificador],Regcontabilizados[Debe],0)+_xlfn.XLOOKUP(Q30&amp;"-"&amp;2,Regcontabilizados[Identificador],Regcontabilizados[Debe],0)+_xlfn.XLOOKUP(Q30&amp;"-"&amp;3,Regcontabilizados[Identificador],Regcontabilizados[Debe],0)+_xlfn.XLOOKUP(Q30&amp;"-"&amp;4,Regcontabilizados[Identificador],Regcontabilizados[Debe],0)+_xlfn.XLOOKUP(Q30&amp;"-"&amp;5,Regcontabilizados[Identificador],Regcontabilizados[Debe],0)+_xlfn.XLOOKUP(Q30&amp;"-"&amp;6,Regcontabilizados[Identificador],Regcontabilizados[Debe],0)+_xlfn.XLOOKUP(Q30&amp;"-"&amp;7,Regcontabilizados[Identificador],Regcontabilizados[Debe],0)+_xlfn.XLOOKUP(Q30&amp;"-"&amp;8,Regcontabilizados[Identificador],Regcontabilizados[Debe],0)+_xlfn.XLOOKUP(Q30&amp;"-"&amp;9,Regcontabilizados[Identificador],Regcontabilizados[Debe],0)</f>
        <v>0</v>
      </c>
      <c r="V30">
        <f>SUMIF(Regcontabilizados[Número pago],'PAGO Ventas'!Q30,Regcontabilizados[Haber])</f>
        <v>0</v>
      </c>
      <c r="AB30" s="33" t="str">
        <f>IF(J30=0,"",   _xlfn.XLOOKUP(AC30,Regcontabilizados[Identificador],Regcontabilizados[Subcuenta],0))</f>
        <v/>
      </c>
      <c r="AC30" t="str">
        <f>IF(J30=0,"",   _xlfn.XLOOKUP($H$7,BDclient[ID-Cliente],BDclient[NIT/C.C.],0)&amp;H16&amp;$D$23&amp;"-"&amp;1)</f>
        <v/>
      </c>
      <c r="AD30" t="str">
        <f t="shared" si="5"/>
        <v/>
      </c>
      <c r="AE30" t="str">
        <f t="shared" si="6"/>
        <v>En Blanco</v>
      </c>
      <c r="AF30" t="str">
        <f>_xlfn.XLOOKUP($H$7,BDclient[ID-Cliente],BDclient[NIT/C.C.],0)&amp;$H$13&amp;$E$7&amp;"-"&amp;ROW(AA30)-21</f>
        <v>Comp. Ingreso-9</v>
      </c>
      <c r="AI30" s="207"/>
      <c r="AJ30" s="207" t="str">
        <f t="shared" si="9"/>
        <v>Comp. Ingreso-8</v>
      </c>
      <c r="AK30" s="207"/>
      <c r="AL30" s="207"/>
      <c r="AM30" s="207"/>
      <c r="AQ30" t="str">
        <f t="shared" si="7"/>
        <v>PAGADO</v>
      </c>
    </row>
    <row r="31" spans="3:70">
      <c r="C31" s="194"/>
      <c r="D31" s="206"/>
      <c r="E31" s="142"/>
      <c r="F31" s="183"/>
      <c r="G31" s="183"/>
      <c r="H31" s="37">
        <f t="shared" si="3"/>
        <v>0</v>
      </c>
      <c r="I31" s="37"/>
      <c r="J31" s="210">
        <f t="shared" si="4"/>
        <v>0</v>
      </c>
      <c r="K31" s="197"/>
      <c r="P31" t="str">
        <f>_xlfn.XLOOKUP($H$7,BDclient[ID-Cliente],BDclient[NIT/C.C.],0)&amp;$H$9&amp;$O31&amp;"-"&amp;1</f>
        <v>F. V.-1</v>
      </c>
      <c r="Q31" t="str">
        <f t="shared" si="8"/>
        <v/>
      </c>
      <c r="R31" t="str">
        <f>IF(O31="","",    _xlfn.XLOOKUP(Q31,Regcontabilizados[Número pago],Regcontabilizados[Estado de pago],"NO PAGADO"))</f>
        <v/>
      </c>
      <c r="S31" s="44">
        <f>_xlfn.XLOOKUP(P31,Regcontabilizados[Identificador],Regcontabilizados[Fecha vencimiento],0)</f>
        <v>0</v>
      </c>
      <c r="T31">
        <f>_xlfn.XLOOKUP(P31,Regcontabilizados[Identificador],Regcontabilizados[Subcuenta],0)</f>
        <v>0</v>
      </c>
      <c r="U31">
        <f>_xlfn.XLOOKUP(P31,Regcontabilizados[Identificador],Regcontabilizados[Debe],0)+_xlfn.XLOOKUP(Q31&amp;"-"&amp;2,Regcontabilizados[Identificador],Regcontabilizados[Debe],0)+_xlfn.XLOOKUP(Q31&amp;"-"&amp;3,Regcontabilizados[Identificador],Regcontabilizados[Debe],0)+_xlfn.XLOOKUP(Q31&amp;"-"&amp;4,Regcontabilizados[Identificador],Regcontabilizados[Debe],0)+_xlfn.XLOOKUP(Q31&amp;"-"&amp;5,Regcontabilizados[Identificador],Regcontabilizados[Debe],0)+_xlfn.XLOOKUP(Q31&amp;"-"&amp;6,Regcontabilizados[Identificador],Regcontabilizados[Debe],0)+_xlfn.XLOOKUP(Q31&amp;"-"&amp;7,Regcontabilizados[Identificador],Regcontabilizados[Debe],0)+_xlfn.XLOOKUP(Q31&amp;"-"&amp;8,Regcontabilizados[Identificador],Regcontabilizados[Debe],0)+_xlfn.XLOOKUP(Q31&amp;"-"&amp;9,Regcontabilizados[Identificador],Regcontabilizados[Debe],0)</f>
        <v>0</v>
      </c>
      <c r="V31">
        <f>SUMIF(Regcontabilizados[Número pago],'PAGO Ventas'!Q31,Regcontabilizados[Haber])</f>
        <v>0</v>
      </c>
      <c r="AB31" s="33" t="str">
        <f>IF(J31=0,"",   _xlfn.XLOOKUP(AC31,Regcontabilizados[Identificador],Regcontabilizados[Subcuenta],0))</f>
        <v/>
      </c>
      <c r="AC31" t="str">
        <f>IF(J31=0,"",   _xlfn.XLOOKUP($H$7,BDclient[ID-Cliente],BDclient[NIT/C.C.],0)&amp;H17&amp;$D$23&amp;"-"&amp;1)</f>
        <v/>
      </c>
      <c r="AD31" t="str">
        <f t="shared" si="5"/>
        <v/>
      </c>
      <c r="AE31" t="str">
        <f t="shared" si="6"/>
        <v>En Blanco</v>
      </c>
      <c r="AF31" t="str">
        <f>_xlfn.XLOOKUP($H$7,BDclient[ID-Cliente],BDclient[NIT/C.C.],0)&amp;$H$13&amp;$E$7&amp;"-"&amp;ROW(AA31)-21</f>
        <v>Comp. Ingreso-10</v>
      </c>
      <c r="AI31" s="207"/>
      <c r="AJ31" s="207" t="str">
        <f t="shared" si="9"/>
        <v>Comp. Ingreso-9</v>
      </c>
      <c r="AK31" s="207"/>
      <c r="AL31" s="207"/>
      <c r="AM31" s="207"/>
      <c r="AQ31" t="str">
        <f t="shared" si="7"/>
        <v>PAGADO</v>
      </c>
    </row>
    <row r="32" spans="3:70">
      <c r="C32" s="194"/>
      <c r="D32" s="206"/>
      <c r="E32" s="142"/>
      <c r="F32" s="195"/>
      <c r="G32" s="183"/>
      <c r="H32" s="37">
        <f t="shared" si="3"/>
        <v>0</v>
      </c>
      <c r="I32" s="37"/>
      <c r="J32" s="210">
        <f t="shared" si="4"/>
        <v>0</v>
      </c>
      <c r="K32" s="197"/>
      <c r="P32" t="str">
        <f>_xlfn.XLOOKUP($H$7,BDclient[ID-Cliente],BDclient[NIT/C.C.],0)&amp;$H$9&amp;$O32&amp;"-"&amp;1</f>
        <v>F. V.-1</v>
      </c>
      <c r="Q32" t="str">
        <f t="shared" si="8"/>
        <v/>
      </c>
      <c r="R32" t="str">
        <f>IF(O32="","",    _xlfn.XLOOKUP(Q32,Regcontabilizados[Número pago],Regcontabilizados[Estado de pago],"NO PAGADO"))</f>
        <v/>
      </c>
      <c r="S32" s="44">
        <f>_xlfn.XLOOKUP(P32,Regcontabilizados[Identificador],Regcontabilizados[Fecha vencimiento],0)</f>
        <v>0</v>
      </c>
      <c r="T32">
        <f>_xlfn.XLOOKUP(P32,Regcontabilizados[Identificador],Regcontabilizados[Subcuenta],0)</f>
        <v>0</v>
      </c>
      <c r="U32">
        <f>_xlfn.XLOOKUP(P32,Regcontabilizados[Identificador],Regcontabilizados[Debe],0)+_xlfn.XLOOKUP(Q32&amp;"-"&amp;2,Regcontabilizados[Identificador],Regcontabilizados[Debe],0)+_xlfn.XLOOKUP(Q32&amp;"-"&amp;3,Regcontabilizados[Identificador],Regcontabilizados[Debe],0)+_xlfn.XLOOKUP(Q32&amp;"-"&amp;4,Regcontabilizados[Identificador],Regcontabilizados[Debe],0)+_xlfn.XLOOKUP(Q32&amp;"-"&amp;5,Regcontabilizados[Identificador],Regcontabilizados[Debe],0)+_xlfn.XLOOKUP(Q32&amp;"-"&amp;6,Regcontabilizados[Identificador],Regcontabilizados[Debe],0)+_xlfn.XLOOKUP(Q32&amp;"-"&amp;7,Regcontabilizados[Identificador],Regcontabilizados[Debe],0)+_xlfn.XLOOKUP(Q32&amp;"-"&amp;8,Regcontabilizados[Identificador],Regcontabilizados[Debe],0)+_xlfn.XLOOKUP(Q32&amp;"-"&amp;9,Regcontabilizados[Identificador],Regcontabilizados[Debe],0)</f>
        <v>0</v>
      </c>
      <c r="V32">
        <f>SUMIF(Regcontabilizados[Número pago],'PAGO Ventas'!Q32,Regcontabilizados[Haber])</f>
        <v>0</v>
      </c>
      <c r="AB32" s="33" t="str">
        <f>IF(J32=0,"",   _xlfn.XLOOKUP(AC32,Regcontabilizados[Identificador],Regcontabilizados[Subcuenta],0))</f>
        <v/>
      </c>
      <c r="AC32" t="str">
        <f>IF(J32=0,"",   _xlfn.XLOOKUP($H$7,BDclient[ID-Cliente],BDclient[NIT/C.C.],0)&amp;H18&amp;$D$23&amp;"-"&amp;1)</f>
        <v/>
      </c>
      <c r="AD32" t="str">
        <f t="shared" si="5"/>
        <v/>
      </c>
      <c r="AE32" t="str">
        <f t="shared" si="6"/>
        <v>En Blanco</v>
      </c>
      <c r="AF32" t="str">
        <f>_xlfn.XLOOKUP($H$7,BDclient[ID-Cliente],BDclient[NIT/C.C.],0)&amp;$H$13&amp;$E$7&amp;"-"&amp;ROW(AA32)-21</f>
        <v>Comp. Ingreso-11</v>
      </c>
      <c r="AI32" s="207"/>
      <c r="AJ32" s="207" t="str">
        <f t="shared" si="9"/>
        <v>Comp. Ingreso-10</v>
      </c>
      <c r="AK32" s="207"/>
      <c r="AL32" s="207"/>
      <c r="AM32" s="207"/>
      <c r="AQ32" t="str">
        <f t="shared" si="7"/>
        <v>PAGADO</v>
      </c>
    </row>
    <row r="33" spans="3:43">
      <c r="C33" s="194"/>
      <c r="D33" s="206"/>
      <c r="E33" s="142"/>
      <c r="F33" s="195"/>
      <c r="G33" s="183"/>
      <c r="H33" s="37">
        <f t="shared" si="3"/>
        <v>0</v>
      </c>
      <c r="I33" s="37"/>
      <c r="J33" s="210">
        <f t="shared" si="4"/>
        <v>0</v>
      </c>
      <c r="K33" s="197"/>
      <c r="P33" t="str">
        <f>_xlfn.XLOOKUP($H$7,BDclient[ID-Cliente],BDclient[NIT/C.C.],0)&amp;$H$9&amp;$O33&amp;"-"&amp;1</f>
        <v>F. V.-1</v>
      </c>
      <c r="Q33" t="str">
        <f t="shared" si="8"/>
        <v/>
      </c>
      <c r="R33" t="str">
        <f>IF(O33="","",    _xlfn.XLOOKUP(Q33,Regcontabilizados[Número pago],Regcontabilizados[Estado de pago],"NO PAGADO"))</f>
        <v/>
      </c>
      <c r="S33" s="44">
        <f>_xlfn.XLOOKUP(P33,Regcontabilizados[Identificador],Regcontabilizados[Fecha vencimiento],0)</f>
        <v>0</v>
      </c>
      <c r="T33">
        <f>_xlfn.XLOOKUP(P33,Regcontabilizados[Identificador],Regcontabilizados[Subcuenta],0)</f>
        <v>0</v>
      </c>
      <c r="U33">
        <f>_xlfn.XLOOKUP(P33,Regcontabilizados[Identificador],Regcontabilizados[Debe],0)+_xlfn.XLOOKUP(Q33&amp;"-"&amp;2,Regcontabilizados[Identificador],Regcontabilizados[Debe],0)+_xlfn.XLOOKUP(Q33&amp;"-"&amp;3,Regcontabilizados[Identificador],Regcontabilizados[Debe],0)+_xlfn.XLOOKUP(Q33&amp;"-"&amp;4,Regcontabilizados[Identificador],Regcontabilizados[Debe],0)+_xlfn.XLOOKUP(Q33&amp;"-"&amp;5,Regcontabilizados[Identificador],Regcontabilizados[Debe],0)+_xlfn.XLOOKUP(Q33&amp;"-"&amp;6,Regcontabilizados[Identificador],Regcontabilizados[Debe],0)+_xlfn.XLOOKUP(Q33&amp;"-"&amp;7,Regcontabilizados[Identificador],Regcontabilizados[Debe],0)+_xlfn.XLOOKUP(Q33&amp;"-"&amp;8,Regcontabilizados[Identificador],Regcontabilizados[Debe],0)+_xlfn.XLOOKUP(Q33&amp;"-"&amp;9,Regcontabilizados[Identificador],Regcontabilizados[Debe],0)</f>
        <v>0</v>
      </c>
      <c r="V33">
        <f>SUMIF(Regcontabilizados[Número pago],'PAGO Ventas'!Q33,Regcontabilizados[Haber])</f>
        <v>0</v>
      </c>
      <c r="AB33" s="33" t="str">
        <f>IF(J33=0,"",   _xlfn.XLOOKUP(AC33,Regcontabilizados[Identificador],Regcontabilizados[Subcuenta],0))</f>
        <v/>
      </c>
      <c r="AC33" t="str">
        <f>IF(J33=0,"",   _xlfn.XLOOKUP($H$7,BDclient[ID-Cliente],BDclient[NIT/C.C.],0)&amp;H19&amp;$D$23&amp;"-"&amp;1)</f>
        <v/>
      </c>
      <c r="AD33" t="str">
        <f t="shared" si="5"/>
        <v/>
      </c>
      <c r="AE33" t="str">
        <f t="shared" si="6"/>
        <v>En Blanco</v>
      </c>
      <c r="AF33" t="str">
        <f>_xlfn.XLOOKUP($H$7,BDclient[ID-Cliente],BDclient[NIT/C.C.],0)&amp;$H$13&amp;$E$7&amp;"-"&amp;ROW(AA33)-21</f>
        <v>Comp. Ingreso-12</v>
      </c>
      <c r="AQ33" t="str">
        <f t="shared" si="7"/>
        <v>PAGADO</v>
      </c>
    </row>
    <row r="34" spans="3:43">
      <c r="C34" s="194"/>
      <c r="D34" s="206"/>
      <c r="E34" s="142"/>
      <c r="F34" s="195"/>
      <c r="G34" s="183"/>
      <c r="H34" s="37">
        <f t="shared" si="3"/>
        <v>0</v>
      </c>
      <c r="I34" s="37"/>
      <c r="J34" s="210">
        <f t="shared" si="4"/>
        <v>0</v>
      </c>
      <c r="K34" s="197"/>
      <c r="P34" t="str">
        <f>_xlfn.XLOOKUP($H$7,BDclient[ID-Cliente],BDclient[NIT/C.C.],0)&amp;$H$9&amp;$O34&amp;"-"&amp;1</f>
        <v>F. V.-1</v>
      </c>
      <c r="Q34" t="str">
        <f t="shared" si="8"/>
        <v/>
      </c>
      <c r="R34" t="str">
        <f>IF(O34="","",    _xlfn.XLOOKUP(Q34,Regcontabilizados[Número pago],Regcontabilizados[Estado de pago],"NO PAGADO"))</f>
        <v/>
      </c>
      <c r="S34" s="44">
        <f>_xlfn.XLOOKUP(P34,Regcontabilizados[Identificador],Regcontabilizados[Fecha vencimiento],0)</f>
        <v>0</v>
      </c>
      <c r="T34">
        <f>_xlfn.XLOOKUP(P34,Regcontabilizados[Identificador],Regcontabilizados[Subcuenta],0)</f>
        <v>0</v>
      </c>
      <c r="U34">
        <f>_xlfn.XLOOKUP(P34,Regcontabilizados[Identificador],Regcontabilizados[Debe],0)+_xlfn.XLOOKUP(Q34&amp;"-"&amp;2,Regcontabilizados[Identificador],Regcontabilizados[Debe],0)+_xlfn.XLOOKUP(Q34&amp;"-"&amp;3,Regcontabilizados[Identificador],Regcontabilizados[Debe],0)+_xlfn.XLOOKUP(Q34&amp;"-"&amp;4,Regcontabilizados[Identificador],Regcontabilizados[Debe],0)+_xlfn.XLOOKUP(Q34&amp;"-"&amp;5,Regcontabilizados[Identificador],Regcontabilizados[Debe],0)+_xlfn.XLOOKUP(Q34&amp;"-"&amp;6,Regcontabilizados[Identificador],Regcontabilizados[Debe],0)+_xlfn.XLOOKUP(Q34&amp;"-"&amp;7,Regcontabilizados[Identificador],Regcontabilizados[Debe],0)+_xlfn.XLOOKUP(Q34&amp;"-"&amp;8,Regcontabilizados[Identificador],Regcontabilizados[Debe],0)+_xlfn.XLOOKUP(Q34&amp;"-"&amp;9,Regcontabilizados[Identificador],Regcontabilizados[Debe],0)</f>
        <v>0</v>
      </c>
      <c r="V34">
        <f>SUMIF(Regcontabilizados[Número pago],'PAGO Ventas'!Q34,Regcontabilizados[Haber])</f>
        <v>0</v>
      </c>
      <c r="AB34" s="33" t="str">
        <f>IF(J34=0,"",   _xlfn.XLOOKUP(AC34,Regcontabilizados[Identificador],Regcontabilizados[Subcuenta],0))</f>
        <v/>
      </c>
      <c r="AC34" t="str">
        <f>IF(J34=0,"",   _xlfn.XLOOKUP($H$7,BDclient[ID-Cliente],BDclient[NIT/C.C.],0)&amp;H20&amp;$D$23&amp;"-"&amp;1)</f>
        <v/>
      </c>
      <c r="AD34" t="str">
        <f t="shared" si="5"/>
        <v/>
      </c>
      <c r="AE34" t="str">
        <f t="shared" si="6"/>
        <v>En Blanco</v>
      </c>
      <c r="AF34" t="str">
        <f>_xlfn.XLOOKUP($H$7,BDclient[ID-Cliente],BDclient[NIT/C.C.],0)&amp;$H$13&amp;$E$7&amp;"-"&amp;ROW(AA34)-21</f>
        <v>Comp. Ingreso-13</v>
      </c>
      <c r="AQ34" t="str">
        <f t="shared" si="7"/>
        <v>PAGADO</v>
      </c>
    </row>
    <row r="35" spans="3:43">
      <c r="C35" s="194"/>
      <c r="D35" s="206"/>
      <c r="E35" s="142"/>
      <c r="F35" s="195"/>
      <c r="G35" s="183"/>
      <c r="H35" s="37">
        <f t="shared" si="3"/>
        <v>0</v>
      </c>
      <c r="I35" s="37"/>
      <c r="J35" s="210">
        <f t="shared" si="4"/>
        <v>0</v>
      </c>
      <c r="K35" s="197"/>
      <c r="P35" t="str">
        <f>_xlfn.XLOOKUP($H$7,BDclient[ID-Cliente],BDclient[NIT/C.C.],0)&amp;$H$9&amp;$O35&amp;"-"&amp;1</f>
        <v>F. V.-1</v>
      </c>
      <c r="Q35" t="str">
        <f t="shared" si="8"/>
        <v/>
      </c>
      <c r="R35" t="str">
        <f>IF(O35="","",    _xlfn.XLOOKUP(Q35,Regcontabilizados[Número pago],Regcontabilizados[Estado de pago],"NO PAGADO"))</f>
        <v/>
      </c>
      <c r="S35" s="44">
        <f>_xlfn.XLOOKUP(P35,Regcontabilizados[Identificador],Regcontabilizados[Fecha vencimiento],0)</f>
        <v>0</v>
      </c>
      <c r="T35">
        <f>_xlfn.XLOOKUP(P35,Regcontabilizados[Identificador],Regcontabilizados[Subcuenta],0)</f>
        <v>0</v>
      </c>
      <c r="U35">
        <f>_xlfn.XLOOKUP(P35,Regcontabilizados[Identificador],Regcontabilizados[Debe],0)+_xlfn.XLOOKUP(Q35&amp;"-"&amp;2,Regcontabilizados[Identificador],Regcontabilizados[Debe],0)+_xlfn.XLOOKUP(Q35&amp;"-"&amp;3,Regcontabilizados[Identificador],Regcontabilizados[Debe],0)+_xlfn.XLOOKUP(Q35&amp;"-"&amp;4,Regcontabilizados[Identificador],Regcontabilizados[Debe],0)+_xlfn.XLOOKUP(Q35&amp;"-"&amp;5,Regcontabilizados[Identificador],Regcontabilizados[Debe],0)+_xlfn.XLOOKUP(Q35&amp;"-"&amp;6,Regcontabilizados[Identificador],Regcontabilizados[Debe],0)+_xlfn.XLOOKUP(Q35&amp;"-"&amp;7,Regcontabilizados[Identificador],Regcontabilizados[Debe],0)+_xlfn.XLOOKUP(Q35&amp;"-"&amp;8,Regcontabilizados[Identificador],Regcontabilizados[Debe],0)+_xlfn.XLOOKUP(Q35&amp;"-"&amp;9,Regcontabilizados[Identificador],Regcontabilizados[Debe],0)</f>
        <v>0</v>
      </c>
      <c r="V35">
        <f>SUMIF(Regcontabilizados[Número pago],'PAGO Ventas'!Q35,Regcontabilizados[Haber])</f>
        <v>0</v>
      </c>
      <c r="AB35" s="33" t="str">
        <f>IF(J35=0,"",   _xlfn.XLOOKUP(AC35,Regcontabilizados[Identificador],Regcontabilizados[Subcuenta],0))</f>
        <v/>
      </c>
      <c r="AC35" t="str">
        <f>IF(J35=0,"",   _xlfn.XLOOKUP($H$7,BDclient[ID-Cliente],BDclient[NIT/C.C.],0)&amp;H21&amp;$D$23&amp;"-"&amp;1)</f>
        <v/>
      </c>
      <c r="AD35" t="str">
        <f t="shared" si="5"/>
        <v/>
      </c>
      <c r="AE35" t="str">
        <f t="shared" si="6"/>
        <v>En Blanco</v>
      </c>
      <c r="AF35" t="str">
        <f>_xlfn.XLOOKUP($H$7,BDclient[ID-Cliente],BDclient[NIT/C.C.],0)&amp;$H$13&amp;$E$7&amp;"-"&amp;ROW(AA35)-21</f>
        <v>Comp. Ingreso-14</v>
      </c>
      <c r="AQ35" t="str">
        <f t="shared" si="7"/>
        <v>PAGADO</v>
      </c>
    </row>
    <row r="36" spans="3:43">
      <c r="C36" s="194"/>
      <c r="D36" s="206"/>
      <c r="E36" s="142"/>
      <c r="F36" s="195"/>
      <c r="G36" s="183"/>
      <c r="H36" s="37">
        <f t="shared" si="3"/>
        <v>0</v>
      </c>
      <c r="I36" s="37"/>
      <c r="J36" s="210">
        <f t="shared" si="4"/>
        <v>0</v>
      </c>
      <c r="K36" s="197"/>
      <c r="P36" t="str">
        <f>_xlfn.XLOOKUP($H$7,BDclient[ID-Cliente],BDclient[NIT/C.C.],0)&amp;$H$9&amp;$O36&amp;"-"&amp;1</f>
        <v>F. V.-1</v>
      </c>
      <c r="Q36" t="str">
        <f t="shared" si="8"/>
        <v/>
      </c>
      <c r="R36" t="str">
        <f>IF(O36="","",    _xlfn.XLOOKUP(Q36,Regcontabilizados[Número pago],Regcontabilizados[Estado de pago],"NO PAGADO"))</f>
        <v/>
      </c>
      <c r="S36" s="44">
        <f>_xlfn.XLOOKUP(P36,Regcontabilizados[Identificador],Regcontabilizados[Fecha vencimiento],0)</f>
        <v>0</v>
      </c>
      <c r="T36">
        <f>_xlfn.XLOOKUP(P36,Regcontabilizados[Identificador],Regcontabilizados[Subcuenta],0)</f>
        <v>0</v>
      </c>
      <c r="U36">
        <f>_xlfn.XLOOKUP(P36,Regcontabilizados[Identificador],Regcontabilizados[Debe],0)+_xlfn.XLOOKUP(Q36&amp;"-"&amp;2,Regcontabilizados[Identificador],Regcontabilizados[Debe],0)+_xlfn.XLOOKUP(Q36&amp;"-"&amp;3,Regcontabilizados[Identificador],Regcontabilizados[Debe],0)+_xlfn.XLOOKUP(Q36&amp;"-"&amp;4,Regcontabilizados[Identificador],Regcontabilizados[Debe],0)+_xlfn.XLOOKUP(Q36&amp;"-"&amp;5,Regcontabilizados[Identificador],Regcontabilizados[Debe],0)+_xlfn.XLOOKUP(Q36&amp;"-"&amp;6,Regcontabilizados[Identificador],Regcontabilizados[Debe],0)+_xlfn.XLOOKUP(Q36&amp;"-"&amp;7,Regcontabilizados[Identificador],Regcontabilizados[Debe],0)+_xlfn.XLOOKUP(Q36&amp;"-"&amp;8,Regcontabilizados[Identificador],Regcontabilizados[Debe],0)+_xlfn.XLOOKUP(Q36&amp;"-"&amp;9,Regcontabilizados[Identificador],Regcontabilizados[Debe],0)</f>
        <v>0</v>
      </c>
      <c r="V36">
        <f>SUMIF(Regcontabilizados[Número pago],'PAGO Ventas'!Q36,Regcontabilizados[Haber])</f>
        <v>0</v>
      </c>
      <c r="AB36" s="33" t="str">
        <f>IF(J36=0,"",   _xlfn.XLOOKUP(AC36,Regcontabilizados[Identificador],Regcontabilizados[Subcuenta],0))</f>
        <v/>
      </c>
      <c r="AC36" t="str">
        <f>IF(J36=0,"",   _xlfn.XLOOKUP($H$7,BDclient[ID-Cliente],BDclient[NIT/C.C.],0)&amp;H22&amp;$D$23&amp;"-"&amp;1)</f>
        <v/>
      </c>
      <c r="AD36" t="str">
        <f t="shared" si="5"/>
        <v/>
      </c>
      <c r="AE36" t="str">
        <f t="shared" si="6"/>
        <v>En Blanco</v>
      </c>
      <c r="AF36" t="str">
        <f>_xlfn.XLOOKUP($H$7,BDclient[ID-Cliente],BDclient[NIT/C.C.],0)&amp;$H$13&amp;$E$7&amp;"-"&amp;ROW(AA36)-21</f>
        <v>Comp. Ingreso-15</v>
      </c>
      <c r="AQ36" t="str">
        <f t="shared" si="7"/>
        <v>PAGADO</v>
      </c>
    </row>
    <row r="37" spans="3:43">
      <c r="C37" s="194"/>
      <c r="D37" s="206"/>
      <c r="E37" s="142"/>
      <c r="F37" s="195"/>
      <c r="G37" s="183"/>
      <c r="H37" s="37">
        <f t="shared" si="3"/>
        <v>0</v>
      </c>
      <c r="I37" s="37"/>
      <c r="J37" s="210">
        <f t="shared" si="4"/>
        <v>0</v>
      </c>
      <c r="K37" s="197"/>
      <c r="P37" t="str">
        <f>_xlfn.XLOOKUP($H$7,BDclient[ID-Cliente],BDclient[NIT/C.C.],0)&amp;$H$9&amp;$O37&amp;"-"&amp;1</f>
        <v>F. V.-1</v>
      </c>
      <c r="Q37" t="str">
        <f t="shared" si="8"/>
        <v/>
      </c>
      <c r="R37" t="str">
        <f>IF(O37="","",    _xlfn.XLOOKUP(Q37,Regcontabilizados[Número pago],Regcontabilizados[Estado de pago],"NO PAGADO"))</f>
        <v/>
      </c>
      <c r="S37" s="44">
        <f>_xlfn.XLOOKUP(P37,Regcontabilizados[Identificador],Regcontabilizados[Fecha vencimiento],0)</f>
        <v>0</v>
      </c>
      <c r="T37">
        <f>_xlfn.XLOOKUP(P37,Regcontabilizados[Identificador],Regcontabilizados[Subcuenta],0)</f>
        <v>0</v>
      </c>
      <c r="U37">
        <f>_xlfn.XLOOKUP(P37,Regcontabilizados[Identificador],Regcontabilizados[Debe],0)+_xlfn.XLOOKUP(Q37&amp;"-"&amp;2,Regcontabilizados[Identificador],Regcontabilizados[Debe],0)+_xlfn.XLOOKUP(Q37&amp;"-"&amp;3,Regcontabilizados[Identificador],Regcontabilizados[Debe],0)+_xlfn.XLOOKUP(Q37&amp;"-"&amp;4,Regcontabilizados[Identificador],Regcontabilizados[Debe],0)+_xlfn.XLOOKUP(Q37&amp;"-"&amp;5,Regcontabilizados[Identificador],Regcontabilizados[Debe],0)+_xlfn.XLOOKUP(Q37&amp;"-"&amp;6,Regcontabilizados[Identificador],Regcontabilizados[Debe],0)+_xlfn.XLOOKUP(Q37&amp;"-"&amp;7,Regcontabilizados[Identificador],Regcontabilizados[Debe],0)+_xlfn.XLOOKUP(Q37&amp;"-"&amp;8,Regcontabilizados[Identificador],Regcontabilizados[Debe],0)+_xlfn.XLOOKUP(Q37&amp;"-"&amp;9,Regcontabilizados[Identificador],Regcontabilizados[Debe],0)</f>
        <v>0</v>
      </c>
      <c r="V37">
        <f>SUMIF(Regcontabilizados[Número pago],'PAGO Ventas'!Q37,Regcontabilizados[Haber])</f>
        <v>0</v>
      </c>
      <c r="AB37" s="33" t="str">
        <f>IF(J37=0,"",   _xlfn.XLOOKUP(AC37,Regcontabilizados[Identificador],Regcontabilizados[Subcuenta],0))</f>
        <v/>
      </c>
      <c r="AC37" t="str">
        <f>IF(J37=0,"",   _xlfn.XLOOKUP($H$7,BDclient[ID-Cliente],BDclient[NIT/C.C.],0)&amp;H23&amp;$D$23&amp;"-"&amp;1)</f>
        <v/>
      </c>
      <c r="AD37" t="str">
        <f t="shared" si="5"/>
        <v/>
      </c>
      <c r="AE37" t="str">
        <f t="shared" si="6"/>
        <v>En Blanco</v>
      </c>
      <c r="AF37" t="str">
        <f>_xlfn.XLOOKUP($H$7,BDclient[ID-Cliente],BDclient[NIT/C.C.],0)&amp;$H$13&amp;$E$7&amp;"-"&amp;ROW(AA37)-21</f>
        <v>Comp. Ingreso-16</v>
      </c>
      <c r="AQ37" t="str">
        <f t="shared" si="7"/>
        <v>PAGADO</v>
      </c>
    </row>
    <row r="38" spans="3:43">
      <c r="C38" s="194"/>
      <c r="D38" s="206"/>
      <c r="E38" s="142"/>
      <c r="F38" s="195"/>
      <c r="G38" s="183"/>
      <c r="H38" s="37">
        <f t="shared" si="3"/>
        <v>0</v>
      </c>
      <c r="I38" s="37"/>
      <c r="J38" s="210">
        <f t="shared" si="4"/>
        <v>0</v>
      </c>
      <c r="K38" s="197"/>
      <c r="P38" t="str">
        <f>_xlfn.XLOOKUP($H$7,BDclient[ID-Cliente],BDclient[NIT/C.C.],0)&amp;$H$9&amp;$O38&amp;"-"&amp;1</f>
        <v>F. V.-1</v>
      </c>
      <c r="Q38" t="str">
        <f t="shared" si="8"/>
        <v/>
      </c>
      <c r="R38" t="str">
        <f>IF(O38="","",    _xlfn.XLOOKUP(Q38,Regcontabilizados[Número pago],Regcontabilizados[Estado de pago],"NO PAGADO"))</f>
        <v/>
      </c>
      <c r="S38" s="44">
        <f>_xlfn.XLOOKUP(P38,Regcontabilizados[Identificador],Regcontabilizados[Fecha vencimiento],0)</f>
        <v>0</v>
      </c>
      <c r="T38">
        <f>_xlfn.XLOOKUP(P38,Regcontabilizados[Identificador],Regcontabilizados[Subcuenta],0)</f>
        <v>0</v>
      </c>
      <c r="U38">
        <f>_xlfn.XLOOKUP(P38,Regcontabilizados[Identificador],Regcontabilizados[Debe],0)+_xlfn.XLOOKUP(Q38&amp;"-"&amp;2,Regcontabilizados[Identificador],Regcontabilizados[Debe],0)+_xlfn.XLOOKUP(Q38&amp;"-"&amp;3,Regcontabilizados[Identificador],Regcontabilizados[Debe],0)+_xlfn.XLOOKUP(Q38&amp;"-"&amp;4,Regcontabilizados[Identificador],Regcontabilizados[Debe],0)+_xlfn.XLOOKUP(Q38&amp;"-"&amp;5,Regcontabilizados[Identificador],Regcontabilizados[Debe],0)+_xlfn.XLOOKUP(Q38&amp;"-"&amp;6,Regcontabilizados[Identificador],Regcontabilizados[Debe],0)+_xlfn.XLOOKUP(Q38&amp;"-"&amp;7,Regcontabilizados[Identificador],Regcontabilizados[Debe],0)+_xlfn.XLOOKUP(Q38&amp;"-"&amp;8,Regcontabilizados[Identificador],Regcontabilizados[Debe],0)+_xlfn.XLOOKUP(Q38&amp;"-"&amp;9,Regcontabilizados[Identificador],Regcontabilizados[Debe],0)</f>
        <v>0</v>
      </c>
      <c r="V38">
        <f>SUMIF(Regcontabilizados[Número pago],'PAGO Ventas'!Q38,Regcontabilizados[Haber])</f>
        <v>0</v>
      </c>
      <c r="AB38" s="33" t="str">
        <f>IF(J38=0,"",   _xlfn.XLOOKUP(AC38,Regcontabilizados[Identificador],Regcontabilizados[Subcuenta],0))</f>
        <v/>
      </c>
      <c r="AC38" t="str">
        <f>IF(J38=0,"",   _xlfn.XLOOKUP($H$7,BDclient[ID-Cliente],BDclient[NIT/C.C.],0)&amp;H24&amp;$D$23&amp;"-"&amp;1)</f>
        <v/>
      </c>
      <c r="AD38" t="str">
        <f t="shared" si="5"/>
        <v/>
      </c>
      <c r="AE38" t="str">
        <f t="shared" si="6"/>
        <v>En Blanco</v>
      </c>
      <c r="AF38" t="str">
        <f>_xlfn.XLOOKUP($H$7,BDclient[ID-Cliente],BDclient[NIT/C.C.],0)&amp;$H$13&amp;$E$7&amp;"-"&amp;ROW(AA38)-21</f>
        <v>Comp. Ingreso-17</v>
      </c>
      <c r="AQ38" t="str">
        <f t="shared" si="7"/>
        <v>PAGADO</v>
      </c>
    </row>
    <row r="39" spans="3:43">
      <c r="C39" s="194"/>
      <c r="D39" s="206"/>
      <c r="E39" s="142"/>
      <c r="F39" s="195"/>
      <c r="G39" s="183"/>
      <c r="H39" s="37">
        <f t="shared" si="3"/>
        <v>0</v>
      </c>
      <c r="I39" s="37"/>
      <c r="J39" s="210">
        <f t="shared" si="4"/>
        <v>0</v>
      </c>
      <c r="K39" s="197"/>
      <c r="P39" t="str">
        <f>_xlfn.XLOOKUP($H$7,BDclient[ID-Cliente],BDclient[NIT/C.C.],0)&amp;$H$9&amp;$O39&amp;"-"&amp;1</f>
        <v>F. V.-1</v>
      </c>
      <c r="Q39" t="str">
        <f t="shared" si="8"/>
        <v/>
      </c>
      <c r="R39" t="str">
        <f>IF(O39="","",    _xlfn.XLOOKUP(Q39,Regcontabilizados[Número pago],Regcontabilizados[Estado de pago],"NO PAGADO"))</f>
        <v/>
      </c>
      <c r="S39" s="44">
        <f>_xlfn.XLOOKUP(P39,Regcontabilizados[Identificador],Regcontabilizados[Fecha vencimiento],0)</f>
        <v>0</v>
      </c>
      <c r="T39">
        <f>_xlfn.XLOOKUP(P39,Regcontabilizados[Identificador],Regcontabilizados[Subcuenta],0)</f>
        <v>0</v>
      </c>
      <c r="U39">
        <f>_xlfn.XLOOKUP(P39,Regcontabilizados[Identificador],Regcontabilizados[Debe],0)+_xlfn.XLOOKUP(Q39&amp;"-"&amp;2,Regcontabilizados[Identificador],Regcontabilizados[Debe],0)+_xlfn.XLOOKUP(Q39&amp;"-"&amp;3,Regcontabilizados[Identificador],Regcontabilizados[Debe],0)+_xlfn.XLOOKUP(Q39&amp;"-"&amp;4,Regcontabilizados[Identificador],Regcontabilizados[Debe],0)+_xlfn.XLOOKUP(Q39&amp;"-"&amp;5,Regcontabilizados[Identificador],Regcontabilizados[Debe],0)+_xlfn.XLOOKUP(Q39&amp;"-"&amp;6,Regcontabilizados[Identificador],Regcontabilizados[Debe],0)+_xlfn.XLOOKUP(Q39&amp;"-"&amp;7,Regcontabilizados[Identificador],Regcontabilizados[Debe],0)+_xlfn.XLOOKUP(Q39&amp;"-"&amp;8,Regcontabilizados[Identificador],Regcontabilizados[Debe],0)+_xlfn.XLOOKUP(Q39&amp;"-"&amp;9,Regcontabilizados[Identificador],Regcontabilizados[Debe],0)</f>
        <v>0</v>
      </c>
      <c r="V39">
        <f>SUMIF(Regcontabilizados[Número pago],'PAGO Ventas'!Q39,Regcontabilizados[Haber])</f>
        <v>0</v>
      </c>
      <c r="AB39" s="33" t="str">
        <f>IF(J39=0,"",   _xlfn.XLOOKUP(AC39,Regcontabilizados[Identificador],Regcontabilizados[Subcuenta],0))</f>
        <v/>
      </c>
      <c r="AC39" t="str">
        <f>IF(J39=0,"",   _xlfn.XLOOKUP($H$7,BDclient[ID-Cliente],BDclient[NIT/C.C.],0)&amp;H25&amp;$D$23&amp;"-"&amp;1)</f>
        <v/>
      </c>
      <c r="AD39" t="str">
        <f t="shared" si="5"/>
        <v/>
      </c>
      <c r="AE39" t="str">
        <f t="shared" si="6"/>
        <v>En Blanco</v>
      </c>
      <c r="AF39" t="str">
        <f>_xlfn.XLOOKUP($H$7,BDclient[ID-Cliente],BDclient[NIT/C.C.],0)&amp;$H$13&amp;$E$7&amp;"-"&amp;ROW(AA39)-21</f>
        <v>Comp. Ingreso-18</v>
      </c>
      <c r="AQ39" t="str">
        <f t="shared" si="7"/>
        <v>PAGADO</v>
      </c>
    </row>
    <row r="40" spans="3:43">
      <c r="C40" s="194"/>
      <c r="D40" s="206"/>
      <c r="E40" s="142"/>
      <c r="F40" s="195"/>
      <c r="G40" s="183"/>
      <c r="H40" s="37">
        <f t="shared" si="3"/>
        <v>0</v>
      </c>
      <c r="I40" s="37"/>
      <c r="J40" s="210">
        <f t="shared" si="4"/>
        <v>0</v>
      </c>
      <c r="K40" s="197"/>
      <c r="P40" t="str">
        <f>_xlfn.XLOOKUP($H$7,BDclient[ID-Cliente],BDclient[NIT/C.C.],0)&amp;$H$9&amp;$O40&amp;"-"&amp;1</f>
        <v>F. V.-1</v>
      </c>
      <c r="Q40" t="str">
        <f t="shared" si="8"/>
        <v/>
      </c>
      <c r="R40" t="str">
        <f>IF(O40="","",    _xlfn.XLOOKUP(Q40,Regcontabilizados[Número pago],Regcontabilizados[Estado de pago],"NO PAGADO"))</f>
        <v/>
      </c>
      <c r="S40" s="44">
        <f>_xlfn.XLOOKUP(P40,Regcontabilizados[Identificador],Regcontabilizados[Fecha vencimiento],0)</f>
        <v>0</v>
      </c>
      <c r="T40">
        <f>_xlfn.XLOOKUP(P40,Regcontabilizados[Identificador],Regcontabilizados[Subcuenta],0)</f>
        <v>0</v>
      </c>
      <c r="U40">
        <f>_xlfn.XLOOKUP(P40,Regcontabilizados[Identificador],Regcontabilizados[Debe],0)+_xlfn.XLOOKUP(Q40&amp;"-"&amp;2,Regcontabilizados[Identificador],Regcontabilizados[Debe],0)+_xlfn.XLOOKUP(Q40&amp;"-"&amp;3,Regcontabilizados[Identificador],Regcontabilizados[Debe],0)+_xlfn.XLOOKUP(Q40&amp;"-"&amp;4,Regcontabilizados[Identificador],Regcontabilizados[Debe],0)+_xlfn.XLOOKUP(Q40&amp;"-"&amp;5,Regcontabilizados[Identificador],Regcontabilizados[Debe],0)+_xlfn.XLOOKUP(Q40&amp;"-"&amp;6,Regcontabilizados[Identificador],Regcontabilizados[Debe],0)+_xlfn.XLOOKUP(Q40&amp;"-"&amp;7,Regcontabilizados[Identificador],Regcontabilizados[Debe],0)+_xlfn.XLOOKUP(Q40&amp;"-"&amp;8,Regcontabilizados[Identificador],Regcontabilizados[Debe],0)+_xlfn.XLOOKUP(Q40&amp;"-"&amp;9,Regcontabilizados[Identificador],Regcontabilizados[Debe],0)</f>
        <v>0</v>
      </c>
      <c r="V40">
        <f>SUMIF(Regcontabilizados[Número pago],'PAGO Ventas'!Q40,Regcontabilizados[Haber])</f>
        <v>0</v>
      </c>
      <c r="AB40" s="33" t="str">
        <f>IF(J40=0,"",   _xlfn.XLOOKUP(AC40,Regcontabilizados[Identificador],Regcontabilizados[Subcuenta],0))</f>
        <v/>
      </c>
      <c r="AC40" t="str">
        <f>IF(J40=0,"",   _xlfn.XLOOKUP($H$7,BDclient[ID-Cliente],BDclient[NIT/C.C.],0)&amp;H26&amp;$D$23&amp;"-"&amp;1)</f>
        <v/>
      </c>
      <c r="AD40" t="str">
        <f t="shared" si="5"/>
        <v/>
      </c>
      <c r="AE40" t="str">
        <f t="shared" si="6"/>
        <v>En Blanco</v>
      </c>
      <c r="AF40" t="str">
        <f>_xlfn.XLOOKUP($H$7,BDclient[ID-Cliente],BDclient[NIT/C.C.],0)&amp;$H$13&amp;$E$7&amp;"-"&amp;ROW(AA40)-21</f>
        <v>Comp. Ingreso-19</v>
      </c>
      <c r="AQ40" t="str">
        <f t="shared" si="7"/>
        <v>PAGADO</v>
      </c>
    </row>
    <row r="41" spans="3:43">
      <c r="C41" s="194"/>
      <c r="D41" s="206"/>
      <c r="E41" s="142"/>
      <c r="F41" s="195"/>
      <c r="G41" s="183"/>
      <c r="H41" s="37">
        <f t="shared" si="3"/>
        <v>0</v>
      </c>
      <c r="I41" s="37"/>
      <c r="J41" s="210">
        <f t="shared" si="4"/>
        <v>0</v>
      </c>
      <c r="K41" s="197"/>
      <c r="P41" t="str">
        <f>_xlfn.XLOOKUP($H$7,BDclient[ID-Cliente],BDclient[NIT/C.C.],0)&amp;$H$9&amp;$O41&amp;"-"&amp;1</f>
        <v>F. V.-1</v>
      </c>
      <c r="Q41" t="str">
        <f t="shared" si="8"/>
        <v/>
      </c>
      <c r="R41" t="str">
        <f>IF(O41="","",    _xlfn.XLOOKUP(Q41,Regcontabilizados[Número pago],Regcontabilizados[Estado de pago],"NO PAGADO"))</f>
        <v/>
      </c>
      <c r="S41" s="44">
        <f>_xlfn.XLOOKUP(P41,Regcontabilizados[Identificador],Regcontabilizados[Fecha vencimiento],0)</f>
        <v>0</v>
      </c>
      <c r="T41">
        <f>_xlfn.XLOOKUP(P41,Regcontabilizados[Identificador],Regcontabilizados[Subcuenta],0)</f>
        <v>0</v>
      </c>
      <c r="U41">
        <f>_xlfn.XLOOKUP(P41,Regcontabilizados[Identificador],Regcontabilizados[Debe],0)+_xlfn.XLOOKUP(Q41&amp;"-"&amp;2,Regcontabilizados[Identificador],Regcontabilizados[Debe],0)+_xlfn.XLOOKUP(Q41&amp;"-"&amp;3,Regcontabilizados[Identificador],Regcontabilizados[Debe],0)+_xlfn.XLOOKUP(Q41&amp;"-"&amp;4,Regcontabilizados[Identificador],Regcontabilizados[Debe],0)+_xlfn.XLOOKUP(Q41&amp;"-"&amp;5,Regcontabilizados[Identificador],Regcontabilizados[Debe],0)+_xlfn.XLOOKUP(Q41&amp;"-"&amp;6,Regcontabilizados[Identificador],Regcontabilizados[Debe],0)+_xlfn.XLOOKUP(Q41&amp;"-"&amp;7,Regcontabilizados[Identificador],Regcontabilizados[Debe],0)+_xlfn.XLOOKUP(Q41&amp;"-"&amp;8,Regcontabilizados[Identificador],Regcontabilizados[Debe],0)+_xlfn.XLOOKUP(Q41&amp;"-"&amp;9,Regcontabilizados[Identificador],Regcontabilizados[Debe],0)</f>
        <v>0</v>
      </c>
      <c r="V41">
        <f>SUMIF(Regcontabilizados[Número pago],'PAGO Ventas'!Q41,Regcontabilizados[Haber])</f>
        <v>0</v>
      </c>
      <c r="AB41" s="33" t="str">
        <f>IF(J41=0,"",   _xlfn.XLOOKUP(AC41,Regcontabilizados[Identificador],Regcontabilizados[Subcuenta],0))</f>
        <v/>
      </c>
      <c r="AC41" t="str">
        <f>IF(J41=0,"",   _xlfn.XLOOKUP($H$7,BDclient[ID-Cliente],BDclient[NIT/C.C.],0)&amp;H27&amp;$D$23&amp;"-"&amp;1)</f>
        <v/>
      </c>
      <c r="AD41" t="str">
        <f t="shared" si="5"/>
        <v/>
      </c>
      <c r="AE41" t="str">
        <f t="shared" si="6"/>
        <v>En Blanco</v>
      </c>
      <c r="AF41" t="str">
        <f>_xlfn.XLOOKUP($H$7,BDclient[ID-Cliente],BDclient[NIT/C.C.],0)&amp;$H$13&amp;$E$7&amp;"-"&amp;ROW(AA41)-21</f>
        <v>Comp. Ingreso-20</v>
      </c>
      <c r="AQ41" t="str">
        <f t="shared" si="7"/>
        <v>PAGADO</v>
      </c>
    </row>
    <row r="42" spans="3:43">
      <c r="C42" s="194"/>
      <c r="D42" s="206"/>
      <c r="E42" s="142"/>
      <c r="F42" s="195"/>
      <c r="G42" s="183"/>
      <c r="H42" s="37">
        <f t="shared" si="3"/>
        <v>0</v>
      </c>
      <c r="I42" s="37"/>
      <c r="J42" s="210">
        <f t="shared" si="4"/>
        <v>0</v>
      </c>
      <c r="K42" s="197"/>
      <c r="P42" t="str">
        <f>_xlfn.XLOOKUP($H$7,BDclient[ID-Cliente],BDclient[NIT/C.C.],0)&amp;$H$9&amp;$O42&amp;"-"&amp;1</f>
        <v>F. V.-1</v>
      </c>
      <c r="Q42" t="str">
        <f t="shared" si="8"/>
        <v/>
      </c>
      <c r="R42" t="str">
        <f>IF(O42="","",    _xlfn.XLOOKUP(Q42,Regcontabilizados[Número pago],Regcontabilizados[Estado de pago],"NO PAGADO"))</f>
        <v/>
      </c>
      <c r="S42" s="44">
        <f>_xlfn.XLOOKUP(P42,Regcontabilizados[Identificador],Regcontabilizados[Fecha vencimiento],0)</f>
        <v>0</v>
      </c>
      <c r="T42">
        <f>_xlfn.XLOOKUP(P42,Regcontabilizados[Identificador],Regcontabilizados[Subcuenta],0)</f>
        <v>0</v>
      </c>
      <c r="U42">
        <f>_xlfn.XLOOKUP(P42,Regcontabilizados[Identificador],Regcontabilizados[Debe],0)+_xlfn.XLOOKUP(Q42&amp;"-"&amp;2,Regcontabilizados[Identificador],Regcontabilizados[Debe],0)+_xlfn.XLOOKUP(Q42&amp;"-"&amp;3,Regcontabilizados[Identificador],Regcontabilizados[Debe],0)+_xlfn.XLOOKUP(Q42&amp;"-"&amp;4,Regcontabilizados[Identificador],Regcontabilizados[Debe],0)+_xlfn.XLOOKUP(Q42&amp;"-"&amp;5,Regcontabilizados[Identificador],Regcontabilizados[Debe],0)+_xlfn.XLOOKUP(Q42&amp;"-"&amp;6,Regcontabilizados[Identificador],Regcontabilizados[Debe],0)+_xlfn.XLOOKUP(Q42&amp;"-"&amp;7,Regcontabilizados[Identificador],Regcontabilizados[Debe],0)+_xlfn.XLOOKUP(Q42&amp;"-"&amp;8,Regcontabilizados[Identificador],Regcontabilizados[Debe],0)+_xlfn.XLOOKUP(Q42&amp;"-"&amp;9,Regcontabilizados[Identificador],Regcontabilizados[Debe],0)</f>
        <v>0</v>
      </c>
      <c r="V42">
        <f>SUMIF(Regcontabilizados[Número pago],'PAGO Ventas'!Q42,Regcontabilizados[Haber])</f>
        <v>0</v>
      </c>
      <c r="AB42" s="33" t="str">
        <f>IF(J42=0,"",   _xlfn.XLOOKUP(AC42,Regcontabilizados[Identificador],Regcontabilizados[Subcuenta],0))</f>
        <v/>
      </c>
      <c r="AC42" t="str">
        <f>IF(J42=0,"",   _xlfn.XLOOKUP($H$7,BDclient[ID-Cliente],BDclient[NIT/C.C.],0)&amp;H28&amp;$D$23&amp;"-"&amp;1)</f>
        <v/>
      </c>
      <c r="AD42" t="str">
        <f t="shared" si="5"/>
        <v/>
      </c>
      <c r="AE42" t="str">
        <f t="shared" si="6"/>
        <v>En Blanco</v>
      </c>
      <c r="AF42" t="str">
        <f>_xlfn.XLOOKUP($H$7,BDclient[ID-Cliente],BDclient[NIT/C.C.],0)&amp;$H$13&amp;$E$7&amp;"-"&amp;ROW(AA42)-21</f>
        <v>Comp. Ingreso-21</v>
      </c>
      <c r="AQ42" t="str">
        <f t="shared" si="7"/>
        <v>PAGADO</v>
      </c>
    </row>
    <row r="43" spans="3:43">
      <c r="C43" s="194"/>
      <c r="D43" s="206"/>
      <c r="E43" s="142"/>
      <c r="F43" s="195"/>
      <c r="G43" s="183"/>
      <c r="H43" s="37">
        <f t="shared" si="3"/>
        <v>0</v>
      </c>
      <c r="I43" s="37"/>
      <c r="J43" s="210">
        <f t="shared" si="4"/>
        <v>0</v>
      </c>
      <c r="K43" s="197"/>
      <c r="P43" t="str">
        <f>_xlfn.XLOOKUP($H$7,BDclient[ID-Cliente],BDclient[NIT/C.C.],0)&amp;$H$9&amp;$O43&amp;"-"&amp;1</f>
        <v>F. V.-1</v>
      </c>
      <c r="Q43" t="str">
        <f t="shared" si="8"/>
        <v/>
      </c>
      <c r="R43" t="str">
        <f>IF(O43="","",    _xlfn.XLOOKUP(Q43,Regcontabilizados[Número pago],Regcontabilizados[Estado de pago],"NO PAGADO"))</f>
        <v/>
      </c>
      <c r="S43" s="44">
        <f>_xlfn.XLOOKUP(P43,Regcontabilizados[Identificador],Regcontabilizados[Fecha vencimiento],0)</f>
        <v>0</v>
      </c>
      <c r="T43">
        <f>_xlfn.XLOOKUP(P43,Regcontabilizados[Identificador],Regcontabilizados[Subcuenta],0)</f>
        <v>0</v>
      </c>
      <c r="U43">
        <f>_xlfn.XLOOKUP(P43,Regcontabilizados[Identificador],Regcontabilizados[Debe],0)+_xlfn.XLOOKUP(Q43&amp;"-"&amp;2,Regcontabilizados[Identificador],Regcontabilizados[Debe],0)+_xlfn.XLOOKUP(Q43&amp;"-"&amp;3,Regcontabilizados[Identificador],Regcontabilizados[Debe],0)+_xlfn.XLOOKUP(Q43&amp;"-"&amp;4,Regcontabilizados[Identificador],Regcontabilizados[Debe],0)+_xlfn.XLOOKUP(Q43&amp;"-"&amp;5,Regcontabilizados[Identificador],Regcontabilizados[Debe],0)+_xlfn.XLOOKUP(Q43&amp;"-"&amp;6,Regcontabilizados[Identificador],Regcontabilizados[Debe],0)+_xlfn.XLOOKUP(Q43&amp;"-"&amp;7,Regcontabilizados[Identificador],Regcontabilizados[Debe],0)+_xlfn.XLOOKUP(Q43&amp;"-"&amp;8,Regcontabilizados[Identificador],Regcontabilizados[Debe],0)+_xlfn.XLOOKUP(Q43&amp;"-"&amp;9,Regcontabilizados[Identificador],Regcontabilizados[Debe],0)</f>
        <v>0</v>
      </c>
      <c r="V43">
        <f>SUMIF(Regcontabilizados[Número pago],'PAGO Ventas'!Q43,Regcontabilizados[Haber])</f>
        <v>0</v>
      </c>
      <c r="AB43" s="33" t="str">
        <f>IF(J43=0,"",   _xlfn.XLOOKUP(AC43,Regcontabilizados[Identificador],Regcontabilizados[Subcuenta],0))</f>
        <v/>
      </c>
      <c r="AC43" t="str">
        <f>IF(J43=0,"",   _xlfn.XLOOKUP($H$7,BDclient[ID-Cliente],BDclient[NIT/C.C.],0)&amp;H29&amp;$D$23&amp;"-"&amp;1)</f>
        <v/>
      </c>
      <c r="AD43" t="str">
        <f t="shared" si="5"/>
        <v/>
      </c>
      <c r="AE43" t="str">
        <f t="shared" si="6"/>
        <v>En Blanco</v>
      </c>
      <c r="AF43" t="str">
        <f>_xlfn.XLOOKUP($H$7,BDclient[ID-Cliente],BDclient[NIT/C.C.],0)&amp;$H$13&amp;$E$7&amp;"-"&amp;ROW(AA43)-21</f>
        <v>Comp. Ingreso-22</v>
      </c>
      <c r="AQ43" t="str">
        <f t="shared" si="7"/>
        <v>PAGADO</v>
      </c>
    </row>
    <row r="44" spans="3:43">
      <c r="C44" s="194"/>
      <c r="D44" s="206"/>
      <c r="E44" s="142"/>
      <c r="F44" s="195"/>
      <c r="G44" s="183"/>
      <c r="H44" s="37">
        <f t="shared" si="3"/>
        <v>0</v>
      </c>
      <c r="I44" s="37"/>
      <c r="J44" s="210">
        <f t="shared" si="4"/>
        <v>0</v>
      </c>
      <c r="K44" s="197"/>
      <c r="P44" t="str">
        <f>_xlfn.XLOOKUP($H$7,BDclient[ID-Cliente],BDclient[NIT/C.C.],0)&amp;$H$9&amp;$O44&amp;"-"&amp;1</f>
        <v>F. V.-1</v>
      </c>
      <c r="Q44" t="str">
        <f t="shared" si="8"/>
        <v/>
      </c>
      <c r="R44" t="str">
        <f>IF(O44="","",    _xlfn.XLOOKUP(Q44,Regcontabilizados[Número pago],Regcontabilizados[Estado de pago],"NO PAGADO"))</f>
        <v/>
      </c>
      <c r="S44" s="44">
        <f>_xlfn.XLOOKUP(P44,Regcontabilizados[Identificador],Regcontabilizados[Fecha vencimiento],0)</f>
        <v>0</v>
      </c>
      <c r="T44">
        <f>_xlfn.XLOOKUP(P44,Regcontabilizados[Identificador],Regcontabilizados[Subcuenta],0)</f>
        <v>0</v>
      </c>
      <c r="U44">
        <f>_xlfn.XLOOKUP(P44,Regcontabilizados[Identificador],Regcontabilizados[Debe],0)+_xlfn.XLOOKUP(Q44&amp;"-"&amp;2,Regcontabilizados[Identificador],Regcontabilizados[Debe],0)+_xlfn.XLOOKUP(Q44&amp;"-"&amp;3,Regcontabilizados[Identificador],Regcontabilizados[Debe],0)+_xlfn.XLOOKUP(Q44&amp;"-"&amp;4,Regcontabilizados[Identificador],Regcontabilizados[Debe],0)+_xlfn.XLOOKUP(Q44&amp;"-"&amp;5,Regcontabilizados[Identificador],Regcontabilizados[Debe],0)+_xlfn.XLOOKUP(Q44&amp;"-"&amp;6,Regcontabilizados[Identificador],Regcontabilizados[Debe],0)+_xlfn.XLOOKUP(Q44&amp;"-"&amp;7,Regcontabilizados[Identificador],Regcontabilizados[Debe],0)+_xlfn.XLOOKUP(Q44&amp;"-"&amp;8,Regcontabilizados[Identificador],Regcontabilizados[Debe],0)+_xlfn.XLOOKUP(Q44&amp;"-"&amp;9,Regcontabilizados[Identificador],Regcontabilizados[Debe],0)</f>
        <v>0</v>
      </c>
      <c r="V44">
        <f>SUMIF(Regcontabilizados[Número pago],'PAGO Ventas'!Q44,Regcontabilizados[Haber])</f>
        <v>0</v>
      </c>
      <c r="AB44" s="33" t="str">
        <f>IF(J44=0,"",   _xlfn.XLOOKUP(AC44,Regcontabilizados[Identificador],Regcontabilizados[Subcuenta],0))</f>
        <v/>
      </c>
      <c r="AC44" t="str">
        <f>IF(J44=0,"",   _xlfn.XLOOKUP($H$7,BDclient[ID-Cliente],BDclient[NIT/C.C.],0)&amp;H30&amp;$D$23&amp;"-"&amp;1)</f>
        <v/>
      </c>
      <c r="AD44" t="str">
        <f t="shared" si="5"/>
        <v/>
      </c>
      <c r="AE44" t="str">
        <f t="shared" si="6"/>
        <v>En Blanco</v>
      </c>
      <c r="AF44" t="str">
        <f>_xlfn.XLOOKUP($H$7,BDclient[ID-Cliente],BDclient[NIT/C.C.],0)&amp;$H$13&amp;$E$7&amp;"-"&amp;ROW(AA44)-21</f>
        <v>Comp. Ingreso-23</v>
      </c>
      <c r="AQ44" t="str">
        <f t="shared" si="7"/>
        <v>PAGADO</v>
      </c>
    </row>
    <row r="45" spans="3:43">
      <c r="C45" s="194"/>
      <c r="D45" s="206"/>
      <c r="E45" s="142"/>
      <c r="F45" s="195"/>
      <c r="G45" s="183"/>
      <c r="H45" s="37">
        <f t="shared" si="3"/>
        <v>0</v>
      </c>
      <c r="I45" s="37"/>
      <c r="J45" s="210">
        <f t="shared" si="4"/>
        <v>0</v>
      </c>
      <c r="K45" s="197"/>
      <c r="P45" t="str">
        <f>_xlfn.XLOOKUP($H$7,BDclient[ID-Cliente],BDclient[NIT/C.C.],0)&amp;$H$9&amp;$O45&amp;"-"&amp;1</f>
        <v>F. V.-1</v>
      </c>
      <c r="Q45" t="str">
        <f t="shared" si="8"/>
        <v/>
      </c>
      <c r="R45" t="str">
        <f>IF(O45="","",    _xlfn.XLOOKUP(Q45,Regcontabilizados[Número pago],Regcontabilizados[Estado de pago],"NO PAGADO"))</f>
        <v/>
      </c>
      <c r="S45" s="44">
        <f>_xlfn.XLOOKUP(P45,Regcontabilizados[Identificador],Regcontabilizados[Fecha vencimiento],0)</f>
        <v>0</v>
      </c>
      <c r="T45">
        <f>_xlfn.XLOOKUP(P45,Regcontabilizados[Identificador],Regcontabilizados[Subcuenta],0)</f>
        <v>0</v>
      </c>
      <c r="U45">
        <f>_xlfn.XLOOKUP(P45,Regcontabilizados[Identificador],Regcontabilizados[Debe],0)+_xlfn.XLOOKUP(Q45&amp;"-"&amp;2,Regcontabilizados[Identificador],Regcontabilizados[Debe],0)+_xlfn.XLOOKUP(Q45&amp;"-"&amp;3,Regcontabilizados[Identificador],Regcontabilizados[Debe],0)+_xlfn.XLOOKUP(Q45&amp;"-"&amp;4,Regcontabilizados[Identificador],Regcontabilizados[Debe],0)+_xlfn.XLOOKUP(Q45&amp;"-"&amp;5,Regcontabilizados[Identificador],Regcontabilizados[Debe],0)+_xlfn.XLOOKUP(Q45&amp;"-"&amp;6,Regcontabilizados[Identificador],Regcontabilizados[Debe],0)+_xlfn.XLOOKUP(Q45&amp;"-"&amp;7,Regcontabilizados[Identificador],Regcontabilizados[Debe],0)+_xlfn.XLOOKUP(Q45&amp;"-"&amp;8,Regcontabilizados[Identificador],Regcontabilizados[Debe],0)+_xlfn.XLOOKUP(Q45&amp;"-"&amp;9,Regcontabilizados[Identificador],Regcontabilizados[Debe],0)</f>
        <v>0</v>
      </c>
      <c r="V45">
        <f>SUMIF(Regcontabilizados[Número pago],'PAGO Ventas'!Q45,Regcontabilizados[Haber])</f>
        <v>0</v>
      </c>
      <c r="AB45" s="33" t="str">
        <f>IF(J45=0,"",   _xlfn.XLOOKUP(AC45,Regcontabilizados[Identificador],Regcontabilizados[Subcuenta],0))</f>
        <v/>
      </c>
      <c r="AC45" t="str">
        <f>IF(J45=0,"",   _xlfn.XLOOKUP($H$7,BDclient[ID-Cliente],BDclient[NIT/C.C.],0)&amp;H31&amp;$D$23&amp;"-"&amp;1)</f>
        <v/>
      </c>
      <c r="AD45" t="str">
        <f t="shared" si="5"/>
        <v/>
      </c>
      <c r="AE45" t="str">
        <f t="shared" si="6"/>
        <v>En Blanco</v>
      </c>
      <c r="AF45" t="str">
        <f>_xlfn.XLOOKUP($H$7,BDclient[ID-Cliente],BDclient[NIT/C.C.],0)&amp;$H$13&amp;$E$7&amp;"-"&amp;ROW(AA45)-21</f>
        <v>Comp. Ingreso-24</v>
      </c>
      <c r="AQ45" t="str">
        <f t="shared" si="7"/>
        <v>PAGADO</v>
      </c>
    </row>
    <row r="46" spans="3:43">
      <c r="C46" s="194"/>
      <c r="D46" s="206"/>
      <c r="E46" s="142"/>
      <c r="F46" s="195"/>
      <c r="G46" s="183"/>
      <c r="H46" s="37">
        <f t="shared" si="3"/>
        <v>0</v>
      </c>
      <c r="I46" s="37"/>
      <c r="J46" s="210">
        <f t="shared" si="4"/>
        <v>0</v>
      </c>
      <c r="K46" s="197"/>
      <c r="P46" t="str">
        <f>_xlfn.XLOOKUP($H$7,BDclient[ID-Cliente],BDclient[NIT/C.C.],0)&amp;$H$9&amp;$O46&amp;"-"&amp;1</f>
        <v>F. V.-1</v>
      </c>
      <c r="Q46" t="str">
        <f t="shared" si="8"/>
        <v/>
      </c>
      <c r="R46" t="str">
        <f>IF(O46="","",    _xlfn.XLOOKUP(Q46,Regcontabilizados[Número pago],Regcontabilizados[Estado de pago],"NO PAGADO"))</f>
        <v/>
      </c>
      <c r="S46" s="44">
        <f>_xlfn.XLOOKUP(P46,Regcontabilizados[Identificador],Regcontabilizados[Fecha vencimiento],0)</f>
        <v>0</v>
      </c>
      <c r="T46">
        <f>_xlfn.XLOOKUP(P46,Regcontabilizados[Identificador],Regcontabilizados[Subcuenta],0)</f>
        <v>0</v>
      </c>
      <c r="U46">
        <f>_xlfn.XLOOKUP(P46,Regcontabilizados[Identificador],Regcontabilizados[Debe],0)+_xlfn.XLOOKUP(Q46&amp;"-"&amp;2,Regcontabilizados[Identificador],Regcontabilizados[Debe],0)+_xlfn.XLOOKUP(Q46&amp;"-"&amp;3,Regcontabilizados[Identificador],Regcontabilizados[Debe],0)+_xlfn.XLOOKUP(Q46&amp;"-"&amp;4,Regcontabilizados[Identificador],Regcontabilizados[Debe],0)+_xlfn.XLOOKUP(Q46&amp;"-"&amp;5,Regcontabilizados[Identificador],Regcontabilizados[Debe],0)+_xlfn.XLOOKUP(Q46&amp;"-"&amp;6,Regcontabilizados[Identificador],Regcontabilizados[Debe],0)+_xlfn.XLOOKUP(Q46&amp;"-"&amp;7,Regcontabilizados[Identificador],Regcontabilizados[Debe],0)+_xlfn.XLOOKUP(Q46&amp;"-"&amp;8,Regcontabilizados[Identificador],Regcontabilizados[Debe],0)+_xlfn.XLOOKUP(Q46&amp;"-"&amp;9,Regcontabilizados[Identificador],Regcontabilizados[Debe],0)</f>
        <v>0</v>
      </c>
      <c r="V46">
        <f>SUMIF(Regcontabilizados[Número pago],'PAGO Ventas'!Q46,Regcontabilizados[Haber])</f>
        <v>0</v>
      </c>
      <c r="AB46" s="33" t="str">
        <f>IF(J46=0,"",   _xlfn.XLOOKUP(AC46,Regcontabilizados[Identificador],Regcontabilizados[Subcuenta],0))</f>
        <v/>
      </c>
      <c r="AC46" t="str">
        <f>IF(J46=0,"",   _xlfn.XLOOKUP($H$7,BDclient[ID-Cliente],BDclient[NIT/C.C.],0)&amp;H32&amp;$D$23&amp;"-"&amp;1)</f>
        <v/>
      </c>
      <c r="AD46" t="str">
        <f t="shared" si="5"/>
        <v/>
      </c>
      <c r="AE46" t="str">
        <f t="shared" si="6"/>
        <v>En Blanco</v>
      </c>
      <c r="AF46" t="str">
        <f>_xlfn.XLOOKUP($H$7,BDclient[ID-Cliente],BDclient[NIT/C.C.],0)&amp;$H$13&amp;$E$7&amp;"-"&amp;ROW(AA46)-21</f>
        <v>Comp. Ingreso-25</v>
      </c>
      <c r="AQ46" t="str">
        <f t="shared" si="7"/>
        <v>PAGADO</v>
      </c>
    </row>
    <row r="47" spans="3:43">
      <c r="C47" s="194"/>
      <c r="D47" s="206"/>
      <c r="E47" s="142"/>
      <c r="F47" s="195"/>
      <c r="G47" s="183"/>
      <c r="H47" s="37">
        <f t="shared" si="3"/>
        <v>0</v>
      </c>
      <c r="I47" s="37"/>
      <c r="J47" s="210">
        <f t="shared" si="4"/>
        <v>0</v>
      </c>
      <c r="K47" s="197"/>
      <c r="P47" t="str">
        <f>_xlfn.XLOOKUP($H$7,BDclient[ID-Cliente],BDclient[NIT/C.C.],0)&amp;$H$9&amp;$O47&amp;"-"&amp;1</f>
        <v>F. V.-1</v>
      </c>
      <c r="Q47" t="str">
        <f t="shared" si="8"/>
        <v/>
      </c>
      <c r="R47" t="str">
        <f>IF(O47="","",    _xlfn.XLOOKUP(Q47,Regcontabilizados[Número pago],Regcontabilizados[Estado de pago],"NO PAGADO"))</f>
        <v/>
      </c>
      <c r="S47" s="44">
        <f>_xlfn.XLOOKUP(P47,Regcontabilizados[Identificador],Regcontabilizados[Fecha vencimiento],0)</f>
        <v>0</v>
      </c>
      <c r="T47">
        <f>_xlfn.XLOOKUP(P47,Regcontabilizados[Identificador],Regcontabilizados[Subcuenta],0)</f>
        <v>0</v>
      </c>
      <c r="U47">
        <f>_xlfn.XLOOKUP(P47,Regcontabilizados[Identificador],Regcontabilizados[Debe],0)+_xlfn.XLOOKUP(Q47&amp;"-"&amp;2,Regcontabilizados[Identificador],Regcontabilizados[Debe],0)+_xlfn.XLOOKUP(Q47&amp;"-"&amp;3,Regcontabilizados[Identificador],Regcontabilizados[Debe],0)+_xlfn.XLOOKUP(Q47&amp;"-"&amp;4,Regcontabilizados[Identificador],Regcontabilizados[Debe],0)+_xlfn.XLOOKUP(Q47&amp;"-"&amp;5,Regcontabilizados[Identificador],Regcontabilizados[Debe],0)+_xlfn.XLOOKUP(Q47&amp;"-"&amp;6,Regcontabilizados[Identificador],Regcontabilizados[Debe],0)+_xlfn.XLOOKUP(Q47&amp;"-"&amp;7,Regcontabilizados[Identificador],Regcontabilizados[Debe],0)+_xlfn.XLOOKUP(Q47&amp;"-"&amp;8,Regcontabilizados[Identificador],Regcontabilizados[Debe],0)+_xlfn.XLOOKUP(Q47&amp;"-"&amp;9,Regcontabilizados[Identificador],Regcontabilizados[Debe],0)</f>
        <v>0</v>
      </c>
      <c r="V47">
        <f>SUMIF(Regcontabilizados[Número pago],'PAGO Ventas'!Q47,Regcontabilizados[Haber])</f>
        <v>0</v>
      </c>
      <c r="AB47" s="33" t="str">
        <f>IF(J47=0,"",   _xlfn.XLOOKUP(AC47,Regcontabilizados[Identificador],Regcontabilizados[Subcuenta],0))</f>
        <v/>
      </c>
      <c r="AC47" t="str">
        <f>IF(J47=0,"",   _xlfn.XLOOKUP($H$7,BDclient[ID-Cliente],BDclient[NIT/C.C.],0)&amp;H33&amp;$D$23&amp;"-"&amp;1)</f>
        <v/>
      </c>
      <c r="AD47" t="str">
        <f t="shared" si="5"/>
        <v/>
      </c>
      <c r="AE47" t="str">
        <f t="shared" si="6"/>
        <v>En Blanco</v>
      </c>
      <c r="AF47" t="str">
        <f>_xlfn.XLOOKUP($H$7,BDclient[ID-Cliente],BDclient[NIT/C.C.],0)&amp;$H$13&amp;$E$7&amp;"-"&amp;ROW(AA47)-21</f>
        <v>Comp. Ingreso-26</v>
      </c>
      <c r="AQ47" t="str">
        <f t="shared" si="7"/>
        <v>PAGADO</v>
      </c>
    </row>
    <row r="48" spans="3:43">
      <c r="C48" s="194"/>
      <c r="D48" s="206"/>
      <c r="E48" s="142"/>
      <c r="F48" s="195"/>
      <c r="G48" s="183"/>
      <c r="H48" s="37">
        <f t="shared" si="3"/>
        <v>0</v>
      </c>
      <c r="I48" s="37"/>
      <c r="J48" s="210">
        <f t="shared" si="4"/>
        <v>0</v>
      </c>
      <c r="K48" s="197"/>
      <c r="P48" t="str">
        <f>_xlfn.XLOOKUP($H$7,BDclient[ID-Cliente],BDclient[NIT/C.C.],0)&amp;$H$9&amp;$O48&amp;"-"&amp;1</f>
        <v>F. V.-1</v>
      </c>
      <c r="Q48" t="str">
        <f t="shared" si="8"/>
        <v/>
      </c>
      <c r="R48" t="str">
        <f>IF(O48="","",    _xlfn.XLOOKUP(Q48,Regcontabilizados[Número pago],Regcontabilizados[Estado de pago],"NO PAGADO"))</f>
        <v/>
      </c>
      <c r="S48" s="44">
        <f>_xlfn.XLOOKUP(P48,Regcontabilizados[Identificador],Regcontabilizados[Fecha vencimiento],0)</f>
        <v>0</v>
      </c>
      <c r="T48">
        <f>_xlfn.XLOOKUP(P48,Regcontabilizados[Identificador],Regcontabilizados[Subcuenta],0)</f>
        <v>0</v>
      </c>
      <c r="U48">
        <f>_xlfn.XLOOKUP(P48,Regcontabilizados[Identificador],Regcontabilizados[Debe],0)+_xlfn.XLOOKUP(Q48&amp;"-"&amp;2,Regcontabilizados[Identificador],Regcontabilizados[Debe],0)+_xlfn.XLOOKUP(Q48&amp;"-"&amp;3,Regcontabilizados[Identificador],Regcontabilizados[Debe],0)+_xlfn.XLOOKUP(Q48&amp;"-"&amp;4,Regcontabilizados[Identificador],Regcontabilizados[Debe],0)+_xlfn.XLOOKUP(Q48&amp;"-"&amp;5,Regcontabilizados[Identificador],Regcontabilizados[Debe],0)+_xlfn.XLOOKUP(Q48&amp;"-"&amp;6,Regcontabilizados[Identificador],Regcontabilizados[Debe],0)+_xlfn.XLOOKUP(Q48&amp;"-"&amp;7,Regcontabilizados[Identificador],Regcontabilizados[Debe],0)+_xlfn.XLOOKUP(Q48&amp;"-"&amp;8,Regcontabilizados[Identificador],Regcontabilizados[Debe],0)+_xlfn.XLOOKUP(Q48&amp;"-"&amp;9,Regcontabilizados[Identificador],Regcontabilizados[Debe],0)</f>
        <v>0</v>
      </c>
      <c r="V48">
        <f>SUMIF(Regcontabilizados[Número pago],'PAGO Ventas'!Q48,Regcontabilizados[Haber])</f>
        <v>0</v>
      </c>
      <c r="AB48" s="33" t="str">
        <f>IF(J48=0,"",   _xlfn.XLOOKUP(AC48,Regcontabilizados[Identificador],Regcontabilizados[Subcuenta],0))</f>
        <v/>
      </c>
      <c r="AC48" t="str">
        <f>IF(J48=0,"",   _xlfn.XLOOKUP($H$7,BDclient[ID-Cliente],BDclient[NIT/C.C.],0)&amp;H34&amp;$D$23&amp;"-"&amp;1)</f>
        <v/>
      </c>
      <c r="AD48" t="str">
        <f t="shared" si="5"/>
        <v/>
      </c>
      <c r="AE48" t="str">
        <f t="shared" si="6"/>
        <v>En Blanco</v>
      </c>
      <c r="AF48" t="str">
        <f>_xlfn.XLOOKUP($H$7,BDclient[ID-Cliente],BDclient[NIT/C.C.],0)&amp;$H$13&amp;$E$7&amp;"-"&amp;ROW(AA48)-21</f>
        <v>Comp. Ingreso-27</v>
      </c>
      <c r="AQ48" t="str">
        <f t="shared" si="7"/>
        <v>PAGADO</v>
      </c>
    </row>
    <row r="49" spans="3:43">
      <c r="C49" s="194"/>
      <c r="D49" s="206"/>
      <c r="E49" s="142"/>
      <c r="F49" s="195"/>
      <c r="G49" s="183"/>
      <c r="H49" s="37">
        <f t="shared" si="3"/>
        <v>0</v>
      </c>
      <c r="I49" s="37"/>
      <c r="J49" s="210">
        <f t="shared" si="4"/>
        <v>0</v>
      </c>
      <c r="K49" s="197"/>
      <c r="P49" t="str">
        <f>_xlfn.XLOOKUP($H$7,BDclient[ID-Cliente],BDclient[NIT/C.C.],0)&amp;$H$9&amp;$O49&amp;"-"&amp;1</f>
        <v>F. V.-1</v>
      </c>
      <c r="Q49" t="str">
        <f t="shared" si="8"/>
        <v/>
      </c>
      <c r="R49" t="str">
        <f>IF(O49="","",    _xlfn.XLOOKUP(Q49,Regcontabilizados[Número pago],Regcontabilizados[Estado de pago],"NO PAGADO"))</f>
        <v/>
      </c>
      <c r="S49" s="44">
        <f>_xlfn.XLOOKUP(P49,Regcontabilizados[Identificador],Regcontabilizados[Fecha vencimiento],0)</f>
        <v>0</v>
      </c>
      <c r="T49">
        <f>_xlfn.XLOOKUP(P49,Regcontabilizados[Identificador],Regcontabilizados[Subcuenta],0)</f>
        <v>0</v>
      </c>
      <c r="U49">
        <f>_xlfn.XLOOKUP(P49,Regcontabilizados[Identificador],Regcontabilizados[Debe],0)+_xlfn.XLOOKUP(Q49&amp;"-"&amp;2,Regcontabilizados[Identificador],Regcontabilizados[Debe],0)+_xlfn.XLOOKUP(Q49&amp;"-"&amp;3,Regcontabilizados[Identificador],Regcontabilizados[Debe],0)+_xlfn.XLOOKUP(Q49&amp;"-"&amp;4,Regcontabilizados[Identificador],Regcontabilizados[Debe],0)+_xlfn.XLOOKUP(Q49&amp;"-"&amp;5,Regcontabilizados[Identificador],Regcontabilizados[Debe],0)+_xlfn.XLOOKUP(Q49&amp;"-"&amp;6,Regcontabilizados[Identificador],Regcontabilizados[Debe],0)+_xlfn.XLOOKUP(Q49&amp;"-"&amp;7,Regcontabilizados[Identificador],Regcontabilizados[Debe],0)+_xlfn.XLOOKUP(Q49&amp;"-"&amp;8,Regcontabilizados[Identificador],Regcontabilizados[Debe],0)+_xlfn.XLOOKUP(Q49&amp;"-"&amp;9,Regcontabilizados[Identificador],Regcontabilizados[Debe],0)</f>
        <v>0</v>
      </c>
      <c r="V49">
        <f>SUMIF(Regcontabilizados[Número pago],'PAGO Ventas'!Q49,Regcontabilizados[Haber])</f>
        <v>0</v>
      </c>
      <c r="AB49" s="33" t="str">
        <f>IF(J49=0,"",   _xlfn.XLOOKUP(AC49,Regcontabilizados[Identificador],Regcontabilizados[Subcuenta],0))</f>
        <v/>
      </c>
      <c r="AC49" t="str">
        <f>IF(J49=0,"",   _xlfn.XLOOKUP($H$7,BDclient[ID-Cliente],BDclient[NIT/C.C.],0)&amp;H35&amp;$D$23&amp;"-"&amp;1)</f>
        <v/>
      </c>
      <c r="AD49" t="str">
        <f t="shared" si="5"/>
        <v/>
      </c>
      <c r="AE49" t="str">
        <f t="shared" si="6"/>
        <v>En Blanco</v>
      </c>
      <c r="AF49" t="str">
        <f>_xlfn.XLOOKUP($H$7,BDclient[ID-Cliente],BDclient[NIT/C.C.],0)&amp;$H$13&amp;$E$7&amp;"-"&amp;ROW(AA49)-21</f>
        <v>Comp. Ingreso-28</v>
      </c>
      <c r="AQ49" t="str">
        <f t="shared" si="7"/>
        <v>PAGADO</v>
      </c>
    </row>
    <row r="50" spans="3:43">
      <c r="C50" s="194"/>
      <c r="D50" s="206"/>
      <c r="E50" s="142"/>
      <c r="F50" s="195"/>
      <c r="G50" s="183"/>
      <c r="H50" s="37">
        <f t="shared" si="3"/>
        <v>0</v>
      </c>
      <c r="I50" s="37"/>
      <c r="J50" s="210">
        <f t="shared" si="4"/>
        <v>0</v>
      </c>
      <c r="K50" s="197"/>
      <c r="P50" t="str">
        <f>_xlfn.XLOOKUP($H$7,BDclient[ID-Cliente],BDclient[NIT/C.C.],0)&amp;$H$9&amp;$O50&amp;"-"&amp;1</f>
        <v>F. V.-1</v>
      </c>
      <c r="Q50" t="str">
        <f t="shared" si="8"/>
        <v/>
      </c>
      <c r="R50" t="str">
        <f>IF(O50="","",    _xlfn.XLOOKUP(Q50,Regcontabilizados[Número pago],Regcontabilizados[Estado de pago],"NO PAGADO"))</f>
        <v/>
      </c>
      <c r="S50" s="44">
        <f>_xlfn.XLOOKUP(P50,Regcontabilizados[Identificador],Regcontabilizados[Fecha vencimiento],0)</f>
        <v>0</v>
      </c>
      <c r="T50">
        <f>_xlfn.XLOOKUP(P50,Regcontabilizados[Identificador],Regcontabilizados[Subcuenta],0)</f>
        <v>0</v>
      </c>
      <c r="U50">
        <f>_xlfn.XLOOKUP(P50,Regcontabilizados[Identificador],Regcontabilizados[Debe],0)+_xlfn.XLOOKUP(Q50&amp;"-"&amp;2,Regcontabilizados[Identificador],Regcontabilizados[Debe],0)+_xlfn.XLOOKUP(Q50&amp;"-"&amp;3,Regcontabilizados[Identificador],Regcontabilizados[Debe],0)+_xlfn.XLOOKUP(Q50&amp;"-"&amp;4,Regcontabilizados[Identificador],Regcontabilizados[Debe],0)+_xlfn.XLOOKUP(Q50&amp;"-"&amp;5,Regcontabilizados[Identificador],Regcontabilizados[Debe],0)+_xlfn.XLOOKUP(Q50&amp;"-"&amp;6,Regcontabilizados[Identificador],Regcontabilizados[Debe],0)+_xlfn.XLOOKUP(Q50&amp;"-"&amp;7,Regcontabilizados[Identificador],Regcontabilizados[Debe],0)+_xlfn.XLOOKUP(Q50&amp;"-"&amp;8,Regcontabilizados[Identificador],Regcontabilizados[Debe],0)+_xlfn.XLOOKUP(Q50&amp;"-"&amp;9,Regcontabilizados[Identificador],Regcontabilizados[Debe],0)</f>
        <v>0</v>
      </c>
      <c r="V50">
        <f>SUMIF(Regcontabilizados[Número pago],'PAGO Ventas'!Q50,Regcontabilizados[Haber])</f>
        <v>0</v>
      </c>
      <c r="AB50" s="33" t="str">
        <f>IF(J50=0,"",   _xlfn.XLOOKUP(AC50,Regcontabilizados[Identificador],Regcontabilizados[Subcuenta],0))</f>
        <v/>
      </c>
      <c r="AC50" t="str">
        <f>IF(J50=0,"",   _xlfn.XLOOKUP($H$7,BDclient[ID-Cliente],BDclient[NIT/C.C.],0)&amp;H36&amp;$D$23&amp;"-"&amp;1)</f>
        <v/>
      </c>
      <c r="AD50" t="str">
        <f t="shared" si="5"/>
        <v/>
      </c>
      <c r="AE50" t="str">
        <f t="shared" si="6"/>
        <v>En Blanco</v>
      </c>
      <c r="AF50" t="str">
        <f>_xlfn.XLOOKUP($H$7,BDclient[ID-Cliente],BDclient[NIT/C.C.],0)&amp;$H$13&amp;$E$7&amp;"-"&amp;ROW(AA50)-21</f>
        <v>Comp. Ingreso-29</v>
      </c>
      <c r="AQ50" t="str">
        <f t="shared" si="7"/>
        <v>PAGADO</v>
      </c>
    </row>
    <row r="51" spans="3:43">
      <c r="C51" s="194"/>
      <c r="D51" s="206"/>
      <c r="E51" s="142"/>
      <c r="F51" s="195"/>
      <c r="G51" s="183"/>
      <c r="H51" s="37">
        <f t="shared" si="3"/>
        <v>0</v>
      </c>
      <c r="I51" s="37"/>
      <c r="J51" s="210">
        <f t="shared" si="4"/>
        <v>0</v>
      </c>
      <c r="K51" s="197"/>
      <c r="P51" t="str">
        <f>_xlfn.XLOOKUP($H$7,BDclient[ID-Cliente],BDclient[NIT/C.C.],0)&amp;$H$9&amp;$O51&amp;"-"&amp;1</f>
        <v>F. V.-1</v>
      </c>
      <c r="Q51" t="str">
        <f t="shared" si="8"/>
        <v/>
      </c>
      <c r="R51" t="str">
        <f>IF(O51="","",    _xlfn.XLOOKUP(Q51,Regcontabilizados[Número pago],Regcontabilizados[Estado de pago],"NO PAGADO"))</f>
        <v/>
      </c>
      <c r="S51" s="44">
        <f>_xlfn.XLOOKUP(P51,Regcontabilizados[Identificador],Regcontabilizados[Fecha vencimiento],0)</f>
        <v>0</v>
      </c>
      <c r="T51">
        <f>_xlfn.XLOOKUP(P51,Regcontabilizados[Identificador],Regcontabilizados[Subcuenta],0)</f>
        <v>0</v>
      </c>
      <c r="U51">
        <f>_xlfn.XLOOKUP(P51,Regcontabilizados[Identificador],Regcontabilizados[Debe],0)+_xlfn.XLOOKUP(Q51&amp;"-"&amp;2,Regcontabilizados[Identificador],Regcontabilizados[Debe],0)+_xlfn.XLOOKUP(Q51&amp;"-"&amp;3,Regcontabilizados[Identificador],Regcontabilizados[Debe],0)+_xlfn.XLOOKUP(Q51&amp;"-"&amp;4,Regcontabilizados[Identificador],Regcontabilizados[Debe],0)+_xlfn.XLOOKUP(Q51&amp;"-"&amp;5,Regcontabilizados[Identificador],Regcontabilizados[Debe],0)+_xlfn.XLOOKUP(Q51&amp;"-"&amp;6,Regcontabilizados[Identificador],Regcontabilizados[Debe],0)+_xlfn.XLOOKUP(Q51&amp;"-"&amp;7,Regcontabilizados[Identificador],Regcontabilizados[Debe],0)+_xlfn.XLOOKUP(Q51&amp;"-"&amp;8,Regcontabilizados[Identificador],Regcontabilizados[Debe],0)+_xlfn.XLOOKUP(Q51&amp;"-"&amp;9,Regcontabilizados[Identificador],Regcontabilizados[Debe],0)</f>
        <v>0</v>
      </c>
      <c r="V51">
        <f>SUMIF(Regcontabilizados[Número pago],'PAGO Ventas'!Q51,Regcontabilizados[Haber])</f>
        <v>0</v>
      </c>
      <c r="AB51" s="33" t="str">
        <f>IF(J51=0,"",   _xlfn.XLOOKUP(AC51,Regcontabilizados[Identificador],Regcontabilizados[Subcuenta],0))</f>
        <v/>
      </c>
      <c r="AC51" t="str">
        <f>IF(J51=0,"",   _xlfn.XLOOKUP($H$7,BDclient[ID-Cliente],BDclient[NIT/C.C.],0)&amp;H37&amp;$D$23&amp;"-"&amp;1)</f>
        <v/>
      </c>
      <c r="AD51" t="str">
        <f t="shared" si="5"/>
        <v/>
      </c>
      <c r="AE51" t="str">
        <f t="shared" si="6"/>
        <v>En Blanco</v>
      </c>
      <c r="AF51" t="str">
        <f>_xlfn.XLOOKUP($H$7,BDclient[ID-Cliente],BDclient[NIT/C.C.],0)&amp;$H$13&amp;$E$7&amp;"-"&amp;ROW(AA51)-21</f>
        <v>Comp. Ingreso-30</v>
      </c>
      <c r="AQ51" t="str">
        <f t="shared" si="7"/>
        <v>PAGADO</v>
      </c>
    </row>
    <row r="52" spans="3:43">
      <c r="C52" s="194"/>
      <c r="D52" s="206"/>
      <c r="E52" s="142"/>
      <c r="F52" s="195"/>
      <c r="G52" s="183"/>
      <c r="H52" s="37">
        <f t="shared" si="3"/>
        <v>0</v>
      </c>
      <c r="I52" s="37"/>
      <c r="J52" s="210">
        <f t="shared" si="4"/>
        <v>0</v>
      </c>
      <c r="K52" s="197"/>
      <c r="P52" t="str">
        <f>_xlfn.XLOOKUP($H$7,BDclient[ID-Cliente],BDclient[NIT/C.C.],0)&amp;$H$9&amp;$O52&amp;"-"&amp;1</f>
        <v>F. V.-1</v>
      </c>
      <c r="Q52" t="str">
        <f t="shared" si="8"/>
        <v/>
      </c>
      <c r="R52" t="str">
        <f>IF(O52="","",    _xlfn.XLOOKUP(Q52,Regcontabilizados[Número pago],Regcontabilizados[Estado de pago],"NO PAGADO"))</f>
        <v/>
      </c>
      <c r="S52" s="44">
        <f>_xlfn.XLOOKUP(P52,Regcontabilizados[Identificador],Regcontabilizados[Fecha vencimiento],0)</f>
        <v>0</v>
      </c>
      <c r="T52">
        <f>_xlfn.XLOOKUP(P52,Regcontabilizados[Identificador],Regcontabilizados[Subcuenta],0)</f>
        <v>0</v>
      </c>
      <c r="U52">
        <f>_xlfn.XLOOKUP(P52,Regcontabilizados[Identificador],Regcontabilizados[Debe],0)+_xlfn.XLOOKUP(Q52&amp;"-"&amp;2,Regcontabilizados[Identificador],Regcontabilizados[Debe],0)+_xlfn.XLOOKUP(Q52&amp;"-"&amp;3,Regcontabilizados[Identificador],Regcontabilizados[Debe],0)+_xlfn.XLOOKUP(Q52&amp;"-"&amp;4,Regcontabilizados[Identificador],Regcontabilizados[Debe],0)+_xlfn.XLOOKUP(Q52&amp;"-"&amp;5,Regcontabilizados[Identificador],Regcontabilizados[Debe],0)+_xlfn.XLOOKUP(Q52&amp;"-"&amp;6,Regcontabilizados[Identificador],Regcontabilizados[Debe],0)+_xlfn.XLOOKUP(Q52&amp;"-"&amp;7,Regcontabilizados[Identificador],Regcontabilizados[Debe],0)+_xlfn.XLOOKUP(Q52&amp;"-"&amp;8,Regcontabilizados[Identificador],Regcontabilizados[Debe],0)+_xlfn.XLOOKUP(Q52&amp;"-"&amp;9,Regcontabilizados[Identificador],Regcontabilizados[Debe],0)</f>
        <v>0</v>
      </c>
      <c r="V52">
        <f>SUMIF(Regcontabilizados[Número pago],'PAGO Ventas'!Q52,Regcontabilizados[Haber])</f>
        <v>0</v>
      </c>
      <c r="AB52" s="33" t="str">
        <f>IF(J52=0,"",   _xlfn.XLOOKUP(AC52,Regcontabilizados[Identificador],Regcontabilizados[Subcuenta],0))</f>
        <v/>
      </c>
      <c r="AC52" t="str">
        <f>IF(J52=0,"",   _xlfn.XLOOKUP($H$7,BDclient[ID-Cliente],BDclient[NIT/C.C.],0)&amp;H38&amp;$D$23&amp;"-"&amp;1)</f>
        <v/>
      </c>
      <c r="AD52" t="str">
        <f t="shared" si="5"/>
        <v/>
      </c>
      <c r="AE52" t="str">
        <f t="shared" si="6"/>
        <v>En Blanco</v>
      </c>
      <c r="AF52" t="str">
        <f>_xlfn.XLOOKUP($H$7,BDclient[ID-Cliente],BDclient[NIT/C.C.],0)&amp;$H$13&amp;$E$7&amp;"-"&amp;ROW(AA52)-21</f>
        <v>Comp. Ingreso-31</v>
      </c>
      <c r="AQ52" t="str">
        <f t="shared" si="7"/>
        <v>PAGADO</v>
      </c>
    </row>
    <row r="53" spans="3:43">
      <c r="C53" s="194"/>
      <c r="D53" s="206"/>
      <c r="E53" s="142"/>
      <c r="F53" s="195"/>
      <c r="G53" s="183"/>
      <c r="H53" s="37">
        <f t="shared" si="3"/>
        <v>0</v>
      </c>
      <c r="I53" s="37"/>
      <c r="J53" s="210">
        <f t="shared" si="4"/>
        <v>0</v>
      </c>
      <c r="K53" s="197"/>
      <c r="P53" t="str">
        <f>_xlfn.XLOOKUP($H$7,BDclient[ID-Cliente],BDclient[NIT/C.C.],0)&amp;$H$9&amp;$O53&amp;"-"&amp;1</f>
        <v>F. V.-1</v>
      </c>
      <c r="Q53" t="str">
        <f t="shared" si="8"/>
        <v/>
      </c>
      <c r="R53" t="str">
        <f>IF(O53="","",    _xlfn.XLOOKUP(Q53,Regcontabilizados[Número pago],Regcontabilizados[Estado de pago],"NO PAGADO"))</f>
        <v/>
      </c>
      <c r="S53" s="44">
        <f>_xlfn.XLOOKUP(P53,Regcontabilizados[Identificador],Regcontabilizados[Fecha vencimiento],0)</f>
        <v>0</v>
      </c>
      <c r="T53">
        <f>_xlfn.XLOOKUP(P53,Regcontabilizados[Identificador],Regcontabilizados[Subcuenta],0)</f>
        <v>0</v>
      </c>
      <c r="U53">
        <f>_xlfn.XLOOKUP(P53,Regcontabilizados[Identificador],Regcontabilizados[Debe],0)+_xlfn.XLOOKUP(Q53&amp;"-"&amp;2,Regcontabilizados[Identificador],Regcontabilizados[Debe],0)+_xlfn.XLOOKUP(Q53&amp;"-"&amp;3,Regcontabilizados[Identificador],Regcontabilizados[Debe],0)+_xlfn.XLOOKUP(Q53&amp;"-"&amp;4,Regcontabilizados[Identificador],Regcontabilizados[Debe],0)+_xlfn.XLOOKUP(Q53&amp;"-"&amp;5,Regcontabilizados[Identificador],Regcontabilizados[Debe],0)+_xlfn.XLOOKUP(Q53&amp;"-"&amp;6,Regcontabilizados[Identificador],Regcontabilizados[Debe],0)+_xlfn.XLOOKUP(Q53&amp;"-"&amp;7,Regcontabilizados[Identificador],Regcontabilizados[Debe],0)+_xlfn.XLOOKUP(Q53&amp;"-"&amp;8,Regcontabilizados[Identificador],Regcontabilizados[Debe],0)+_xlfn.XLOOKUP(Q53&amp;"-"&amp;9,Regcontabilizados[Identificador],Regcontabilizados[Debe],0)</f>
        <v>0</v>
      </c>
      <c r="V53">
        <f>SUMIF(Regcontabilizados[Número pago],'PAGO Ventas'!Q53,Regcontabilizados[Haber])</f>
        <v>0</v>
      </c>
      <c r="AB53" s="33" t="str">
        <f>IF(J53=0,"",   _xlfn.XLOOKUP(AC53,Regcontabilizados[Identificador],Regcontabilizados[Subcuenta],0))</f>
        <v/>
      </c>
      <c r="AC53" t="str">
        <f>IF(J53=0,"",   _xlfn.XLOOKUP($H$7,BDclient[ID-Cliente],BDclient[NIT/C.C.],0)&amp;H39&amp;$D$23&amp;"-"&amp;1)</f>
        <v/>
      </c>
      <c r="AD53" t="str">
        <f t="shared" si="5"/>
        <v/>
      </c>
      <c r="AE53" t="str">
        <f t="shared" si="6"/>
        <v>En Blanco</v>
      </c>
      <c r="AF53" t="str">
        <f>_xlfn.XLOOKUP($H$7,BDclient[ID-Cliente],BDclient[NIT/C.C.],0)&amp;$H$13&amp;$E$7&amp;"-"&amp;ROW(AA53)-21</f>
        <v>Comp. Ingreso-32</v>
      </c>
      <c r="AQ53" t="str">
        <f t="shared" si="7"/>
        <v>PAGADO</v>
      </c>
    </row>
    <row r="54" spans="3:43">
      <c r="C54" s="194"/>
      <c r="D54" s="206"/>
      <c r="E54" s="142"/>
      <c r="F54" s="195"/>
      <c r="G54" s="183"/>
      <c r="H54" s="37">
        <f t="shared" si="3"/>
        <v>0</v>
      </c>
      <c r="I54" s="37"/>
      <c r="J54" s="210">
        <f t="shared" si="4"/>
        <v>0</v>
      </c>
      <c r="K54" s="197"/>
      <c r="P54" t="str">
        <f>_xlfn.XLOOKUP($H$7,BDclient[ID-Cliente],BDclient[NIT/C.C.],0)&amp;$H$9&amp;$O54&amp;"-"&amp;1</f>
        <v>F. V.-1</v>
      </c>
      <c r="Q54" t="str">
        <f t="shared" si="8"/>
        <v/>
      </c>
      <c r="R54" t="str">
        <f>IF(O54="","",    _xlfn.XLOOKUP(Q54,Regcontabilizados[Número pago],Regcontabilizados[Estado de pago],"NO PAGADO"))</f>
        <v/>
      </c>
      <c r="S54" s="44">
        <f>_xlfn.XLOOKUP(P54,Regcontabilizados[Identificador],Regcontabilizados[Fecha vencimiento],0)</f>
        <v>0</v>
      </c>
      <c r="T54">
        <f>_xlfn.XLOOKUP(P54,Regcontabilizados[Identificador],Regcontabilizados[Subcuenta],0)</f>
        <v>0</v>
      </c>
      <c r="U54">
        <f>_xlfn.XLOOKUP(P54,Regcontabilizados[Identificador],Regcontabilizados[Debe],0)+_xlfn.XLOOKUP(Q54&amp;"-"&amp;2,Regcontabilizados[Identificador],Regcontabilizados[Debe],0)+_xlfn.XLOOKUP(Q54&amp;"-"&amp;3,Regcontabilizados[Identificador],Regcontabilizados[Debe],0)+_xlfn.XLOOKUP(Q54&amp;"-"&amp;4,Regcontabilizados[Identificador],Regcontabilizados[Debe],0)+_xlfn.XLOOKUP(Q54&amp;"-"&amp;5,Regcontabilizados[Identificador],Regcontabilizados[Debe],0)+_xlfn.XLOOKUP(Q54&amp;"-"&amp;6,Regcontabilizados[Identificador],Regcontabilizados[Debe],0)+_xlfn.XLOOKUP(Q54&amp;"-"&amp;7,Regcontabilizados[Identificador],Regcontabilizados[Debe],0)+_xlfn.XLOOKUP(Q54&amp;"-"&amp;8,Regcontabilizados[Identificador],Regcontabilizados[Debe],0)+_xlfn.XLOOKUP(Q54&amp;"-"&amp;9,Regcontabilizados[Identificador],Regcontabilizados[Debe],0)</f>
        <v>0</v>
      </c>
      <c r="V54">
        <f>SUMIF(Regcontabilizados[Número pago],'PAGO Ventas'!Q54,Regcontabilizados[Haber])</f>
        <v>0</v>
      </c>
      <c r="AB54" s="33" t="str">
        <f>IF(J54=0,"",   _xlfn.XLOOKUP(AC54,Regcontabilizados[Identificador],Regcontabilizados[Subcuenta],0))</f>
        <v/>
      </c>
      <c r="AC54" t="str">
        <f>IF(J54=0,"",   _xlfn.XLOOKUP($H$7,BDclient[ID-Cliente],BDclient[NIT/C.C.],0)&amp;H40&amp;$D$23&amp;"-"&amp;1)</f>
        <v/>
      </c>
      <c r="AD54" t="str">
        <f t="shared" si="5"/>
        <v/>
      </c>
      <c r="AE54" t="str">
        <f t="shared" si="6"/>
        <v>En Blanco</v>
      </c>
      <c r="AF54" t="str">
        <f>_xlfn.XLOOKUP($H$7,BDclient[ID-Cliente],BDclient[NIT/C.C.],0)&amp;$H$13&amp;$E$7&amp;"-"&amp;ROW(AA54)-21</f>
        <v>Comp. Ingreso-33</v>
      </c>
      <c r="AQ54" t="str">
        <f t="shared" si="7"/>
        <v>PAGADO</v>
      </c>
    </row>
    <row r="55" spans="3:43">
      <c r="C55" s="194"/>
      <c r="D55" s="206"/>
      <c r="E55" s="142"/>
      <c r="F55" s="195"/>
      <c r="G55" s="183"/>
      <c r="H55" s="37">
        <f t="shared" si="3"/>
        <v>0</v>
      </c>
      <c r="I55" s="37"/>
      <c r="J55" s="210">
        <f t="shared" si="4"/>
        <v>0</v>
      </c>
      <c r="K55" s="197"/>
      <c r="P55" t="str">
        <f>_xlfn.XLOOKUP($H$7,BDclient[ID-Cliente],BDclient[NIT/C.C.],0)&amp;$H$9&amp;$O55&amp;"-"&amp;1</f>
        <v>F. V.-1</v>
      </c>
      <c r="Q55" t="str">
        <f t="shared" si="8"/>
        <v/>
      </c>
      <c r="R55" t="str">
        <f>IF(O55="","",    _xlfn.XLOOKUP(Q55,Regcontabilizados[Número pago],Regcontabilizados[Estado de pago],"NO PAGADO"))</f>
        <v/>
      </c>
      <c r="S55" s="44">
        <f>_xlfn.XLOOKUP(P55,Regcontabilizados[Identificador],Regcontabilizados[Fecha vencimiento],0)</f>
        <v>0</v>
      </c>
      <c r="T55">
        <f>_xlfn.XLOOKUP(P55,Regcontabilizados[Identificador],Regcontabilizados[Subcuenta],0)</f>
        <v>0</v>
      </c>
      <c r="U55">
        <f>_xlfn.XLOOKUP(P55,Regcontabilizados[Identificador],Regcontabilizados[Debe],0)+_xlfn.XLOOKUP(Q55&amp;"-"&amp;2,Regcontabilizados[Identificador],Regcontabilizados[Debe],0)+_xlfn.XLOOKUP(Q55&amp;"-"&amp;3,Regcontabilizados[Identificador],Regcontabilizados[Debe],0)+_xlfn.XLOOKUP(Q55&amp;"-"&amp;4,Regcontabilizados[Identificador],Regcontabilizados[Debe],0)+_xlfn.XLOOKUP(Q55&amp;"-"&amp;5,Regcontabilizados[Identificador],Regcontabilizados[Debe],0)+_xlfn.XLOOKUP(Q55&amp;"-"&amp;6,Regcontabilizados[Identificador],Regcontabilizados[Debe],0)+_xlfn.XLOOKUP(Q55&amp;"-"&amp;7,Regcontabilizados[Identificador],Regcontabilizados[Debe],0)+_xlfn.XLOOKUP(Q55&amp;"-"&amp;8,Regcontabilizados[Identificador],Regcontabilizados[Debe],0)+_xlfn.XLOOKUP(Q55&amp;"-"&amp;9,Regcontabilizados[Identificador],Regcontabilizados[Debe],0)</f>
        <v>0</v>
      </c>
      <c r="V55">
        <f>SUMIF(Regcontabilizados[Número pago],'PAGO Ventas'!Q55,Regcontabilizados[Haber])</f>
        <v>0</v>
      </c>
      <c r="AB55" s="33" t="str">
        <f>IF(J55=0,"",   _xlfn.XLOOKUP(AC55,Regcontabilizados[Identificador],Regcontabilizados[Subcuenta],0))</f>
        <v/>
      </c>
      <c r="AC55" t="str">
        <f>IF(J55=0,"",   _xlfn.XLOOKUP($H$7,BDclient[ID-Cliente],BDclient[NIT/C.C.],0)&amp;H41&amp;$D$23&amp;"-"&amp;1)</f>
        <v/>
      </c>
      <c r="AD55" t="str">
        <f t="shared" si="5"/>
        <v/>
      </c>
      <c r="AE55" t="str">
        <f t="shared" si="6"/>
        <v>En Blanco</v>
      </c>
      <c r="AF55" t="str">
        <f>_xlfn.XLOOKUP($H$7,BDclient[ID-Cliente],BDclient[NIT/C.C.],0)&amp;$H$13&amp;$E$7&amp;"-"&amp;ROW(AA55)-21</f>
        <v>Comp. Ingreso-34</v>
      </c>
      <c r="AQ55" t="str">
        <f t="shared" si="7"/>
        <v>PAGADO</v>
      </c>
    </row>
    <row r="56" spans="3:43">
      <c r="C56" s="194"/>
      <c r="D56" s="206"/>
      <c r="E56" s="142"/>
      <c r="F56" s="195"/>
      <c r="G56" s="183"/>
      <c r="H56" s="37">
        <f t="shared" si="3"/>
        <v>0</v>
      </c>
      <c r="I56" s="37"/>
      <c r="J56" s="210">
        <f t="shared" si="4"/>
        <v>0</v>
      </c>
      <c r="K56" s="197"/>
      <c r="P56" t="str">
        <f>_xlfn.XLOOKUP($H$7,BDclient[ID-Cliente],BDclient[NIT/C.C.],0)&amp;$H$9&amp;$O56&amp;"-"&amp;1</f>
        <v>F. V.-1</v>
      </c>
      <c r="Q56" t="str">
        <f t="shared" si="8"/>
        <v/>
      </c>
      <c r="R56" t="str">
        <f>IF(O56="","",    _xlfn.XLOOKUP(Q56,Regcontabilizados[Número pago],Regcontabilizados[Estado de pago],"NO PAGADO"))</f>
        <v/>
      </c>
      <c r="S56" s="44">
        <f>_xlfn.XLOOKUP(P56,Regcontabilizados[Identificador],Regcontabilizados[Fecha vencimiento],0)</f>
        <v>0</v>
      </c>
      <c r="T56">
        <f>_xlfn.XLOOKUP(P56,Regcontabilizados[Identificador],Regcontabilizados[Subcuenta],0)</f>
        <v>0</v>
      </c>
      <c r="U56">
        <f>_xlfn.XLOOKUP(P56,Regcontabilizados[Identificador],Regcontabilizados[Debe],0)+_xlfn.XLOOKUP(Q56&amp;"-"&amp;2,Regcontabilizados[Identificador],Regcontabilizados[Debe],0)+_xlfn.XLOOKUP(Q56&amp;"-"&amp;3,Regcontabilizados[Identificador],Regcontabilizados[Debe],0)+_xlfn.XLOOKUP(Q56&amp;"-"&amp;4,Regcontabilizados[Identificador],Regcontabilizados[Debe],0)+_xlfn.XLOOKUP(Q56&amp;"-"&amp;5,Regcontabilizados[Identificador],Regcontabilizados[Debe],0)+_xlfn.XLOOKUP(Q56&amp;"-"&amp;6,Regcontabilizados[Identificador],Regcontabilizados[Debe],0)+_xlfn.XLOOKUP(Q56&amp;"-"&amp;7,Regcontabilizados[Identificador],Regcontabilizados[Debe],0)+_xlfn.XLOOKUP(Q56&amp;"-"&amp;8,Regcontabilizados[Identificador],Regcontabilizados[Debe],0)+_xlfn.XLOOKUP(Q56&amp;"-"&amp;9,Regcontabilizados[Identificador],Regcontabilizados[Debe],0)</f>
        <v>0</v>
      </c>
      <c r="V56">
        <f>SUMIF(Regcontabilizados[Número pago],'PAGO Ventas'!Q56,Regcontabilizados[Haber])</f>
        <v>0</v>
      </c>
      <c r="AB56" s="33" t="str">
        <f>IF(J56=0,"",   _xlfn.XLOOKUP(AC56,Regcontabilizados[Identificador],Regcontabilizados[Subcuenta],0))</f>
        <v/>
      </c>
      <c r="AC56" t="str">
        <f>IF(J56=0,"",   _xlfn.XLOOKUP($H$7,BDclient[ID-Cliente],BDclient[NIT/C.C.],0)&amp;H42&amp;$D$23&amp;"-"&amp;1)</f>
        <v/>
      </c>
      <c r="AD56" t="str">
        <f t="shared" si="5"/>
        <v/>
      </c>
      <c r="AE56" t="str">
        <f t="shared" si="6"/>
        <v>En Blanco</v>
      </c>
      <c r="AF56" t="str">
        <f>_xlfn.XLOOKUP($H$7,BDclient[ID-Cliente],BDclient[NIT/C.C.],0)&amp;$H$13&amp;$E$7&amp;"-"&amp;ROW(AA56)-21</f>
        <v>Comp. Ingreso-35</v>
      </c>
      <c r="AQ56" t="str">
        <f t="shared" si="7"/>
        <v>PAGADO</v>
      </c>
    </row>
    <row r="57" spans="3:43">
      <c r="C57" s="194"/>
      <c r="D57" s="206"/>
      <c r="E57" s="142"/>
      <c r="F57" s="195"/>
      <c r="G57" s="183"/>
      <c r="H57" s="37">
        <f t="shared" si="3"/>
        <v>0</v>
      </c>
      <c r="I57" s="37"/>
      <c r="J57" s="210">
        <f t="shared" si="4"/>
        <v>0</v>
      </c>
      <c r="K57" s="197"/>
      <c r="P57" t="str">
        <f>_xlfn.XLOOKUP($H$7,BDclient[ID-Cliente],BDclient[NIT/C.C.],0)&amp;$H$9&amp;$O57&amp;"-"&amp;1</f>
        <v>F. V.-1</v>
      </c>
      <c r="Q57" t="str">
        <f t="shared" si="8"/>
        <v/>
      </c>
      <c r="R57" t="str">
        <f>IF(O57="","",    _xlfn.XLOOKUP(Q57,Regcontabilizados[Número pago],Regcontabilizados[Estado de pago],"NO PAGADO"))</f>
        <v/>
      </c>
      <c r="S57" s="44">
        <f>_xlfn.XLOOKUP(P57,Regcontabilizados[Identificador],Regcontabilizados[Fecha vencimiento],0)</f>
        <v>0</v>
      </c>
      <c r="T57">
        <f>_xlfn.XLOOKUP(P57,Regcontabilizados[Identificador],Regcontabilizados[Subcuenta],0)</f>
        <v>0</v>
      </c>
      <c r="U57">
        <f>_xlfn.XLOOKUP(P57,Regcontabilizados[Identificador],Regcontabilizados[Debe],0)+_xlfn.XLOOKUP(Q57&amp;"-"&amp;2,Regcontabilizados[Identificador],Regcontabilizados[Debe],0)+_xlfn.XLOOKUP(Q57&amp;"-"&amp;3,Regcontabilizados[Identificador],Regcontabilizados[Debe],0)+_xlfn.XLOOKUP(Q57&amp;"-"&amp;4,Regcontabilizados[Identificador],Regcontabilizados[Debe],0)+_xlfn.XLOOKUP(Q57&amp;"-"&amp;5,Regcontabilizados[Identificador],Regcontabilizados[Debe],0)+_xlfn.XLOOKUP(Q57&amp;"-"&amp;6,Regcontabilizados[Identificador],Regcontabilizados[Debe],0)+_xlfn.XLOOKUP(Q57&amp;"-"&amp;7,Regcontabilizados[Identificador],Regcontabilizados[Debe],0)+_xlfn.XLOOKUP(Q57&amp;"-"&amp;8,Regcontabilizados[Identificador],Regcontabilizados[Debe],0)+_xlfn.XLOOKUP(Q57&amp;"-"&amp;9,Regcontabilizados[Identificador],Regcontabilizados[Debe],0)</f>
        <v>0</v>
      </c>
      <c r="V57">
        <f>SUMIF(Regcontabilizados[Número pago],'PAGO Ventas'!Q57,Regcontabilizados[Haber])</f>
        <v>0</v>
      </c>
      <c r="AB57" s="33" t="str">
        <f>IF(J57=0,"",   _xlfn.XLOOKUP(AC57,Regcontabilizados[Identificador],Regcontabilizados[Subcuenta],0))</f>
        <v/>
      </c>
      <c r="AC57" t="str">
        <f>IF(J57=0,"",   _xlfn.XLOOKUP($H$7,BDclient[ID-Cliente],BDclient[NIT/C.C.],0)&amp;H43&amp;$D$23&amp;"-"&amp;1)</f>
        <v/>
      </c>
      <c r="AD57" t="str">
        <f t="shared" si="5"/>
        <v/>
      </c>
      <c r="AE57" t="str">
        <f t="shared" si="6"/>
        <v>En Blanco</v>
      </c>
      <c r="AF57" t="str">
        <f>_xlfn.XLOOKUP($H$7,BDclient[ID-Cliente],BDclient[NIT/C.C.],0)&amp;$H$13&amp;$E$7&amp;"-"&amp;ROW(AA57)-21</f>
        <v>Comp. Ingreso-36</v>
      </c>
      <c r="AQ57" t="str">
        <f t="shared" si="7"/>
        <v>PAGADO</v>
      </c>
    </row>
    <row r="58" spans="3:43">
      <c r="C58" s="194"/>
      <c r="D58" s="206"/>
      <c r="E58" s="142"/>
      <c r="F58" s="195"/>
      <c r="G58" s="183"/>
      <c r="H58" s="37">
        <f t="shared" si="3"/>
        <v>0</v>
      </c>
      <c r="I58" s="37"/>
      <c r="J58" s="210">
        <f t="shared" si="4"/>
        <v>0</v>
      </c>
      <c r="K58" s="197"/>
      <c r="P58" t="str">
        <f>_xlfn.XLOOKUP($H$7,BDclient[ID-Cliente],BDclient[NIT/C.C.],0)&amp;$H$9&amp;$O58&amp;"-"&amp;1</f>
        <v>F. V.-1</v>
      </c>
      <c r="Q58" t="str">
        <f t="shared" si="8"/>
        <v/>
      </c>
      <c r="R58" t="str">
        <f>IF(O58="","",    _xlfn.XLOOKUP(Q58,Regcontabilizados[Número pago],Regcontabilizados[Estado de pago],"NO PAGADO"))</f>
        <v/>
      </c>
      <c r="S58" s="44">
        <f>_xlfn.XLOOKUP(P58,Regcontabilizados[Identificador],Regcontabilizados[Fecha vencimiento],0)</f>
        <v>0</v>
      </c>
      <c r="T58">
        <f>_xlfn.XLOOKUP(P58,Regcontabilizados[Identificador],Regcontabilizados[Subcuenta],0)</f>
        <v>0</v>
      </c>
      <c r="U58">
        <f>_xlfn.XLOOKUP(P58,Regcontabilizados[Identificador],Regcontabilizados[Debe],0)+_xlfn.XLOOKUP(Q58&amp;"-"&amp;2,Regcontabilizados[Identificador],Regcontabilizados[Debe],0)+_xlfn.XLOOKUP(Q58&amp;"-"&amp;3,Regcontabilizados[Identificador],Regcontabilizados[Debe],0)+_xlfn.XLOOKUP(Q58&amp;"-"&amp;4,Regcontabilizados[Identificador],Regcontabilizados[Debe],0)+_xlfn.XLOOKUP(Q58&amp;"-"&amp;5,Regcontabilizados[Identificador],Regcontabilizados[Debe],0)+_xlfn.XLOOKUP(Q58&amp;"-"&amp;6,Regcontabilizados[Identificador],Regcontabilizados[Debe],0)+_xlfn.XLOOKUP(Q58&amp;"-"&amp;7,Regcontabilizados[Identificador],Regcontabilizados[Debe],0)+_xlfn.XLOOKUP(Q58&amp;"-"&amp;8,Regcontabilizados[Identificador],Regcontabilizados[Debe],0)+_xlfn.XLOOKUP(Q58&amp;"-"&amp;9,Regcontabilizados[Identificador],Regcontabilizados[Debe],0)</f>
        <v>0</v>
      </c>
      <c r="V58">
        <f>SUMIF(Regcontabilizados[Número pago],'PAGO Ventas'!Q58,Regcontabilizados[Haber])</f>
        <v>0</v>
      </c>
      <c r="AB58" s="33" t="str">
        <f>IF(J58=0,"",   _xlfn.XLOOKUP(AC58,Regcontabilizados[Identificador],Regcontabilizados[Subcuenta],0))</f>
        <v/>
      </c>
      <c r="AC58" t="str">
        <f>IF(J58=0,"",   _xlfn.XLOOKUP($H$7,BDclient[ID-Cliente],BDclient[NIT/C.C.],0)&amp;H44&amp;$D$23&amp;"-"&amp;1)</f>
        <v/>
      </c>
      <c r="AD58" t="str">
        <f t="shared" si="5"/>
        <v/>
      </c>
      <c r="AE58" t="str">
        <f t="shared" si="6"/>
        <v>En Blanco</v>
      </c>
      <c r="AF58" t="str">
        <f>_xlfn.XLOOKUP($H$7,BDclient[ID-Cliente],BDclient[NIT/C.C.],0)&amp;$H$13&amp;$E$7&amp;"-"&amp;ROW(AA58)-21</f>
        <v>Comp. Ingreso-37</v>
      </c>
      <c r="AQ58" t="str">
        <f t="shared" si="7"/>
        <v>PAGADO</v>
      </c>
    </row>
    <row r="59" spans="3:43">
      <c r="C59" s="194"/>
      <c r="D59" s="206"/>
      <c r="E59" s="142"/>
      <c r="F59" s="195"/>
      <c r="G59" s="183"/>
      <c r="H59" s="37">
        <f t="shared" si="3"/>
        <v>0</v>
      </c>
      <c r="I59" s="37"/>
      <c r="J59" s="210">
        <f t="shared" si="4"/>
        <v>0</v>
      </c>
      <c r="K59" s="197"/>
      <c r="P59" t="str">
        <f>_xlfn.XLOOKUP($H$7,BDclient[ID-Cliente],BDclient[NIT/C.C.],0)&amp;$H$9&amp;$O59&amp;"-"&amp;1</f>
        <v>F. V.-1</v>
      </c>
      <c r="Q59" t="str">
        <f t="shared" si="8"/>
        <v/>
      </c>
      <c r="R59" t="str">
        <f>IF(O59="","",    _xlfn.XLOOKUP(Q59,Regcontabilizados[Número pago],Regcontabilizados[Estado de pago],"NO PAGADO"))</f>
        <v/>
      </c>
      <c r="S59" s="44">
        <f>_xlfn.XLOOKUP(P59,Regcontabilizados[Identificador],Regcontabilizados[Fecha vencimiento],0)</f>
        <v>0</v>
      </c>
      <c r="T59">
        <f>_xlfn.XLOOKUP(P59,Regcontabilizados[Identificador],Regcontabilizados[Subcuenta],0)</f>
        <v>0</v>
      </c>
      <c r="U59">
        <f>_xlfn.XLOOKUP(P59,Regcontabilizados[Identificador],Regcontabilizados[Debe],0)+_xlfn.XLOOKUP(Q59&amp;"-"&amp;2,Regcontabilizados[Identificador],Regcontabilizados[Debe],0)+_xlfn.XLOOKUP(Q59&amp;"-"&amp;3,Regcontabilizados[Identificador],Regcontabilizados[Debe],0)+_xlfn.XLOOKUP(Q59&amp;"-"&amp;4,Regcontabilizados[Identificador],Regcontabilizados[Debe],0)+_xlfn.XLOOKUP(Q59&amp;"-"&amp;5,Regcontabilizados[Identificador],Regcontabilizados[Debe],0)+_xlfn.XLOOKUP(Q59&amp;"-"&amp;6,Regcontabilizados[Identificador],Regcontabilizados[Debe],0)+_xlfn.XLOOKUP(Q59&amp;"-"&amp;7,Regcontabilizados[Identificador],Regcontabilizados[Debe],0)+_xlfn.XLOOKUP(Q59&amp;"-"&amp;8,Regcontabilizados[Identificador],Regcontabilizados[Debe],0)+_xlfn.XLOOKUP(Q59&amp;"-"&amp;9,Regcontabilizados[Identificador],Regcontabilizados[Debe],0)</f>
        <v>0</v>
      </c>
      <c r="V59">
        <f>SUMIF(Regcontabilizados[Número pago],'PAGO Ventas'!Q59,Regcontabilizados[Haber])</f>
        <v>0</v>
      </c>
      <c r="AB59" s="33" t="str">
        <f>IF(J59=0,"",   _xlfn.XLOOKUP(AC59,Regcontabilizados[Identificador],Regcontabilizados[Subcuenta],0))</f>
        <v/>
      </c>
      <c r="AC59" t="str">
        <f>IF(J59=0,"",   _xlfn.XLOOKUP($H$7,BDclient[ID-Cliente],BDclient[NIT/C.C.],0)&amp;H45&amp;$D$23&amp;"-"&amp;1)</f>
        <v/>
      </c>
      <c r="AD59" t="str">
        <f t="shared" si="5"/>
        <v/>
      </c>
      <c r="AE59" t="str">
        <f t="shared" si="6"/>
        <v>En Blanco</v>
      </c>
      <c r="AF59" t="str">
        <f>_xlfn.XLOOKUP($H$7,BDclient[ID-Cliente],BDclient[NIT/C.C.],0)&amp;$H$13&amp;$E$7&amp;"-"&amp;ROW(AA59)-21</f>
        <v>Comp. Ingreso-38</v>
      </c>
      <c r="AQ59" t="str">
        <f t="shared" si="7"/>
        <v>PAGADO</v>
      </c>
    </row>
    <row r="60" spans="3:43">
      <c r="C60" s="194"/>
      <c r="D60" s="206"/>
      <c r="E60" s="142"/>
      <c r="F60" s="195"/>
      <c r="G60" s="183"/>
      <c r="H60" s="37">
        <f t="shared" si="3"/>
        <v>0</v>
      </c>
      <c r="I60" s="37"/>
      <c r="J60" s="210">
        <f t="shared" si="4"/>
        <v>0</v>
      </c>
      <c r="K60" s="197"/>
      <c r="P60" t="str">
        <f>_xlfn.XLOOKUP($H$7,BDclient[ID-Cliente],BDclient[NIT/C.C.],0)&amp;$H$9&amp;$O60&amp;"-"&amp;1</f>
        <v>F. V.-1</v>
      </c>
      <c r="Q60" t="str">
        <f t="shared" si="8"/>
        <v/>
      </c>
      <c r="R60" t="str">
        <f>IF(O60="","",    _xlfn.XLOOKUP(Q60,Regcontabilizados[Número pago],Regcontabilizados[Estado de pago],"NO PAGADO"))</f>
        <v/>
      </c>
      <c r="S60" s="44">
        <f>_xlfn.XLOOKUP(P60,Regcontabilizados[Identificador],Regcontabilizados[Fecha vencimiento],0)</f>
        <v>0</v>
      </c>
      <c r="T60">
        <f>_xlfn.XLOOKUP(P60,Regcontabilizados[Identificador],Regcontabilizados[Subcuenta],0)</f>
        <v>0</v>
      </c>
      <c r="U60">
        <f>_xlfn.XLOOKUP(P60,Regcontabilizados[Identificador],Regcontabilizados[Debe],0)+_xlfn.XLOOKUP(Q60&amp;"-"&amp;2,Regcontabilizados[Identificador],Regcontabilizados[Debe],0)+_xlfn.XLOOKUP(Q60&amp;"-"&amp;3,Regcontabilizados[Identificador],Regcontabilizados[Debe],0)+_xlfn.XLOOKUP(Q60&amp;"-"&amp;4,Regcontabilizados[Identificador],Regcontabilizados[Debe],0)+_xlfn.XLOOKUP(Q60&amp;"-"&amp;5,Regcontabilizados[Identificador],Regcontabilizados[Debe],0)+_xlfn.XLOOKUP(Q60&amp;"-"&amp;6,Regcontabilizados[Identificador],Regcontabilizados[Debe],0)+_xlfn.XLOOKUP(Q60&amp;"-"&amp;7,Regcontabilizados[Identificador],Regcontabilizados[Debe],0)+_xlfn.XLOOKUP(Q60&amp;"-"&amp;8,Regcontabilizados[Identificador],Regcontabilizados[Debe],0)+_xlfn.XLOOKUP(Q60&amp;"-"&amp;9,Regcontabilizados[Identificador],Regcontabilizados[Debe],0)</f>
        <v>0</v>
      </c>
      <c r="V60">
        <f>SUMIF(Regcontabilizados[Número pago],'PAGO Ventas'!Q60,Regcontabilizados[Haber])</f>
        <v>0</v>
      </c>
      <c r="AB60" s="33" t="str">
        <f>IF(J60=0,"",   _xlfn.XLOOKUP(AC60,Regcontabilizados[Identificador],Regcontabilizados[Subcuenta],0))</f>
        <v/>
      </c>
      <c r="AC60" t="str">
        <f>IF(J60=0,"",   _xlfn.XLOOKUP($H$7,BDclient[ID-Cliente],BDclient[NIT/C.C.],0)&amp;H46&amp;$D$23&amp;"-"&amp;1)</f>
        <v/>
      </c>
      <c r="AD60" t="str">
        <f t="shared" si="5"/>
        <v/>
      </c>
      <c r="AE60" t="str">
        <f t="shared" si="6"/>
        <v>En Blanco</v>
      </c>
      <c r="AF60" t="str">
        <f>_xlfn.XLOOKUP($H$7,BDclient[ID-Cliente],BDclient[NIT/C.C.],0)&amp;$H$13&amp;$E$7&amp;"-"&amp;ROW(AA60)-21</f>
        <v>Comp. Ingreso-39</v>
      </c>
      <c r="AQ60" t="str">
        <f t="shared" si="7"/>
        <v>PAGADO</v>
      </c>
    </row>
    <row r="61" spans="3:43">
      <c r="C61" s="194"/>
      <c r="D61" s="206"/>
      <c r="E61" s="142"/>
      <c r="F61" s="195"/>
      <c r="G61" s="183"/>
      <c r="H61" s="37">
        <f t="shared" si="3"/>
        <v>0</v>
      </c>
      <c r="I61" s="37"/>
      <c r="J61" s="210">
        <f t="shared" si="4"/>
        <v>0</v>
      </c>
      <c r="K61" s="197"/>
      <c r="P61" t="str">
        <f>_xlfn.XLOOKUP($H$7,BDclient[ID-Cliente],BDclient[NIT/C.C.],0)&amp;$H$9&amp;$O61&amp;"-"&amp;1</f>
        <v>F. V.-1</v>
      </c>
      <c r="Q61" t="str">
        <f t="shared" si="8"/>
        <v/>
      </c>
      <c r="R61" t="str">
        <f>IF(O61="","",    _xlfn.XLOOKUP(Q61,Regcontabilizados[Número pago],Regcontabilizados[Estado de pago],"NO PAGADO"))</f>
        <v/>
      </c>
      <c r="S61" s="44">
        <f>_xlfn.XLOOKUP(P61,Regcontabilizados[Identificador],Regcontabilizados[Fecha vencimiento],0)</f>
        <v>0</v>
      </c>
      <c r="T61">
        <f>_xlfn.XLOOKUP(P61,Regcontabilizados[Identificador],Regcontabilizados[Subcuenta],0)</f>
        <v>0</v>
      </c>
      <c r="U61">
        <f>_xlfn.XLOOKUP(P61,Regcontabilizados[Identificador],Regcontabilizados[Debe],0)+_xlfn.XLOOKUP(Q61&amp;"-"&amp;2,Regcontabilizados[Identificador],Regcontabilizados[Debe],0)+_xlfn.XLOOKUP(Q61&amp;"-"&amp;3,Regcontabilizados[Identificador],Regcontabilizados[Debe],0)+_xlfn.XLOOKUP(Q61&amp;"-"&amp;4,Regcontabilizados[Identificador],Regcontabilizados[Debe],0)+_xlfn.XLOOKUP(Q61&amp;"-"&amp;5,Regcontabilizados[Identificador],Regcontabilizados[Debe],0)+_xlfn.XLOOKUP(Q61&amp;"-"&amp;6,Regcontabilizados[Identificador],Regcontabilizados[Debe],0)+_xlfn.XLOOKUP(Q61&amp;"-"&amp;7,Regcontabilizados[Identificador],Regcontabilizados[Debe],0)+_xlfn.XLOOKUP(Q61&amp;"-"&amp;8,Regcontabilizados[Identificador],Regcontabilizados[Debe],0)+_xlfn.XLOOKUP(Q61&amp;"-"&amp;9,Regcontabilizados[Identificador],Regcontabilizados[Debe],0)</f>
        <v>0</v>
      </c>
      <c r="V61">
        <f>SUMIF(Regcontabilizados[Número pago],'PAGO Ventas'!Q61,Regcontabilizados[Haber])</f>
        <v>0</v>
      </c>
      <c r="AB61" s="33" t="str">
        <f>IF(J61=0,"",   _xlfn.XLOOKUP(AC61,Regcontabilizados[Identificador],Regcontabilizados[Subcuenta],0))</f>
        <v/>
      </c>
      <c r="AC61" t="str">
        <f>IF(J61=0,"",   _xlfn.XLOOKUP($H$7,BDclient[ID-Cliente],BDclient[NIT/C.C.],0)&amp;H47&amp;$D$23&amp;"-"&amp;1)</f>
        <v/>
      </c>
      <c r="AD61" t="str">
        <f t="shared" si="5"/>
        <v/>
      </c>
      <c r="AE61" t="str">
        <f t="shared" si="6"/>
        <v>En Blanco</v>
      </c>
      <c r="AF61" t="str">
        <f>_xlfn.XLOOKUP($H$7,BDclient[ID-Cliente],BDclient[NIT/C.C.],0)&amp;$H$13&amp;$E$7&amp;"-"&amp;ROW(AA61)-21</f>
        <v>Comp. Ingreso-40</v>
      </c>
      <c r="AQ61" t="str">
        <f t="shared" si="7"/>
        <v>PAGADO</v>
      </c>
    </row>
    <row r="62" spans="3:43">
      <c r="C62" s="194"/>
      <c r="D62" s="206"/>
      <c r="E62" s="142"/>
      <c r="F62" s="195"/>
      <c r="G62" s="183"/>
      <c r="H62" s="37">
        <f t="shared" si="3"/>
        <v>0</v>
      </c>
      <c r="I62" s="37"/>
      <c r="J62" s="210">
        <f t="shared" si="4"/>
        <v>0</v>
      </c>
      <c r="K62" s="197"/>
      <c r="P62" t="str">
        <f>_xlfn.XLOOKUP($H$7,BDclient[ID-Cliente],BDclient[NIT/C.C.],0)&amp;$H$9&amp;$O62&amp;"-"&amp;1</f>
        <v>F. V.-1</v>
      </c>
      <c r="Q62" t="str">
        <f t="shared" si="8"/>
        <v/>
      </c>
      <c r="R62" t="str">
        <f>IF(O62="","",    _xlfn.XLOOKUP(Q62,Regcontabilizados[Número pago],Regcontabilizados[Estado de pago],"NO PAGADO"))</f>
        <v/>
      </c>
      <c r="S62" s="44">
        <f>_xlfn.XLOOKUP(P62,Regcontabilizados[Identificador],Regcontabilizados[Fecha vencimiento],0)</f>
        <v>0</v>
      </c>
      <c r="T62">
        <f>_xlfn.XLOOKUP(P62,Regcontabilizados[Identificador],Regcontabilizados[Subcuenta],0)</f>
        <v>0</v>
      </c>
      <c r="U62">
        <f>_xlfn.XLOOKUP(P62,Regcontabilizados[Identificador],Regcontabilizados[Debe],0)+_xlfn.XLOOKUP(Q62&amp;"-"&amp;2,Regcontabilizados[Identificador],Regcontabilizados[Debe],0)+_xlfn.XLOOKUP(Q62&amp;"-"&amp;3,Regcontabilizados[Identificador],Regcontabilizados[Debe],0)+_xlfn.XLOOKUP(Q62&amp;"-"&amp;4,Regcontabilizados[Identificador],Regcontabilizados[Debe],0)+_xlfn.XLOOKUP(Q62&amp;"-"&amp;5,Regcontabilizados[Identificador],Regcontabilizados[Debe],0)+_xlfn.XLOOKUP(Q62&amp;"-"&amp;6,Regcontabilizados[Identificador],Regcontabilizados[Debe],0)+_xlfn.XLOOKUP(Q62&amp;"-"&amp;7,Regcontabilizados[Identificador],Regcontabilizados[Debe],0)+_xlfn.XLOOKUP(Q62&amp;"-"&amp;8,Regcontabilizados[Identificador],Regcontabilizados[Debe],0)+_xlfn.XLOOKUP(Q62&amp;"-"&amp;9,Regcontabilizados[Identificador],Regcontabilizados[Debe],0)</f>
        <v>0</v>
      </c>
      <c r="V62">
        <f>SUMIF(Regcontabilizados[Número pago],'PAGO Ventas'!Q62,Regcontabilizados[Haber])</f>
        <v>0</v>
      </c>
      <c r="AB62" s="33" t="str">
        <f>IF(J62=0,"",   _xlfn.XLOOKUP(AC62,Regcontabilizados[Identificador],Regcontabilizados[Subcuenta],0))</f>
        <v/>
      </c>
      <c r="AC62" t="str">
        <f>IF(J62=0,"",   _xlfn.XLOOKUP($H$7,BDclient[ID-Cliente],BDclient[NIT/C.C.],0)&amp;H48&amp;$D$23&amp;"-"&amp;1)</f>
        <v/>
      </c>
      <c r="AD62" t="str">
        <f t="shared" si="5"/>
        <v/>
      </c>
      <c r="AE62" t="str">
        <f t="shared" si="6"/>
        <v>En Blanco</v>
      </c>
      <c r="AF62" t="str">
        <f>_xlfn.XLOOKUP($H$7,BDclient[ID-Cliente],BDclient[NIT/C.C.],0)&amp;$H$13&amp;$E$7&amp;"-"&amp;ROW(AA62)-21</f>
        <v>Comp. Ingreso-41</v>
      </c>
      <c r="AQ62" t="str">
        <f t="shared" si="7"/>
        <v>PAGADO</v>
      </c>
    </row>
    <row r="63" spans="3:43">
      <c r="C63" s="194"/>
      <c r="D63" s="206"/>
      <c r="E63" s="142"/>
      <c r="F63" s="195"/>
      <c r="G63" s="183"/>
      <c r="H63" s="37">
        <f t="shared" si="3"/>
        <v>0</v>
      </c>
      <c r="I63" s="37"/>
      <c r="J63" s="210">
        <f t="shared" si="4"/>
        <v>0</v>
      </c>
      <c r="K63" s="197"/>
      <c r="P63" t="str">
        <f>_xlfn.XLOOKUP($H$7,BDclient[ID-Cliente],BDclient[NIT/C.C.],0)&amp;$H$9&amp;$O63&amp;"-"&amp;1</f>
        <v>F. V.-1</v>
      </c>
      <c r="Q63" t="str">
        <f t="shared" si="8"/>
        <v/>
      </c>
      <c r="R63" t="str">
        <f>IF(O63="","",    _xlfn.XLOOKUP(Q63,Regcontabilizados[Número pago],Regcontabilizados[Estado de pago],"NO PAGADO"))</f>
        <v/>
      </c>
      <c r="S63" s="44">
        <f>_xlfn.XLOOKUP(P63,Regcontabilizados[Identificador],Regcontabilizados[Fecha vencimiento],0)</f>
        <v>0</v>
      </c>
      <c r="T63">
        <f>_xlfn.XLOOKUP(P63,Regcontabilizados[Identificador],Regcontabilizados[Subcuenta],0)</f>
        <v>0</v>
      </c>
      <c r="U63">
        <f>_xlfn.XLOOKUP(P63,Regcontabilizados[Identificador],Regcontabilizados[Debe],0)+_xlfn.XLOOKUP(Q63&amp;"-"&amp;2,Regcontabilizados[Identificador],Regcontabilizados[Debe],0)+_xlfn.XLOOKUP(Q63&amp;"-"&amp;3,Regcontabilizados[Identificador],Regcontabilizados[Debe],0)+_xlfn.XLOOKUP(Q63&amp;"-"&amp;4,Regcontabilizados[Identificador],Regcontabilizados[Debe],0)+_xlfn.XLOOKUP(Q63&amp;"-"&amp;5,Regcontabilizados[Identificador],Regcontabilizados[Debe],0)+_xlfn.XLOOKUP(Q63&amp;"-"&amp;6,Regcontabilizados[Identificador],Regcontabilizados[Debe],0)+_xlfn.XLOOKUP(Q63&amp;"-"&amp;7,Regcontabilizados[Identificador],Regcontabilizados[Debe],0)+_xlfn.XLOOKUP(Q63&amp;"-"&amp;8,Regcontabilizados[Identificador],Regcontabilizados[Debe],0)+_xlfn.XLOOKUP(Q63&amp;"-"&amp;9,Regcontabilizados[Identificador],Regcontabilizados[Debe],0)</f>
        <v>0</v>
      </c>
      <c r="V63">
        <f>SUMIF(Regcontabilizados[Número pago],'PAGO Ventas'!Q63,Regcontabilizados[Haber])</f>
        <v>0</v>
      </c>
      <c r="AB63" s="33" t="str">
        <f>IF(J63=0,"",   _xlfn.XLOOKUP(AC63,Regcontabilizados[Identificador],Regcontabilizados[Subcuenta],0))</f>
        <v/>
      </c>
      <c r="AC63" t="str">
        <f>IF(J63=0,"",   _xlfn.XLOOKUP($H$7,BDclient[ID-Cliente],BDclient[NIT/C.C.],0)&amp;H49&amp;$D$23&amp;"-"&amp;1)</f>
        <v/>
      </c>
      <c r="AD63" t="str">
        <f t="shared" si="5"/>
        <v/>
      </c>
      <c r="AE63" t="str">
        <f t="shared" si="6"/>
        <v>En Blanco</v>
      </c>
      <c r="AF63" t="str">
        <f>_xlfn.XLOOKUP($H$7,BDclient[ID-Cliente],BDclient[NIT/C.C.],0)&amp;$H$13&amp;$E$7&amp;"-"&amp;ROW(AA63)-21</f>
        <v>Comp. Ingreso-42</v>
      </c>
      <c r="AQ63" t="str">
        <f t="shared" si="7"/>
        <v>PAGADO</v>
      </c>
    </row>
    <row r="64" spans="3:43">
      <c r="C64" s="194"/>
      <c r="D64" s="206"/>
      <c r="E64" s="142"/>
      <c r="F64" s="195"/>
      <c r="G64" s="183"/>
      <c r="H64" s="37">
        <f t="shared" si="3"/>
        <v>0</v>
      </c>
      <c r="I64" s="37"/>
      <c r="J64" s="210">
        <f t="shared" si="4"/>
        <v>0</v>
      </c>
      <c r="K64" s="197"/>
      <c r="P64" t="str">
        <f>_xlfn.XLOOKUP($H$7,BDclient[ID-Cliente],BDclient[NIT/C.C.],0)&amp;$H$9&amp;$O64&amp;"-"&amp;1</f>
        <v>F. V.-1</v>
      </c>
      <c r="Q64" t="str">
        <f t="shared" si="8"/>
        <v/>
      </c>
      <c r="R64" t="str">
        <f>IF(O64="","",    _xlfn.XLOOKUP(Q64,Regcontabilizados[Número pago],Regcontabilizados[Estado de pago],"NO PAGADO"))</f>
        <v/>
      </c>
      <c r="S64" s="44">
        <f>_xlfn.XLOOKUP(P64,Regcontabilizados[Identificador],Regcontabilizados[Fecha vencimiento],0)</f>
        <v>0</v>
      </c>
      <c r="T64">
        <f>_xlfn.XLOOKUP(P64,Regcontabilizados[Identificador],Regcontabilizados[Subcuenta],0)</f>
        <v>0</v>
      </c>
      <c r="U64">
        <f>_xlfn.XLOOKUP(P64,Regcontabilizados[Identificador],Regcontabilizados[Debe],0)+_xlfn.XLOOKUP(Q64&amp;"-"&amp;2,Regcontabilizados[Identificador],Regcontabilizados[Debe],0)+_xlfn.XLOOKUP(Q64&amp;"-"&amp;3,Regcontabilizados[Identificador],Regcontabilizados[Debe],0)+_xlfn.XLOOKUP(Q64&amp;"-"&amp;4,Regcontabilizados[Identificador],Regcontabilizados[Debe],0)+_xlfn.XLOOKUP(Q64&amp;"-"&amp;5,Regcontabilizados[Identificador],Regcontabilizados[Debe],0)+_xlfn.XLOOKUP(Q64&amp;"-"&amp;6,Regcontabilizados[Identificador],Regcontabilizados[Debe],0)+_xlfn.XLOOKUP(Q64&amp;"-"&amp;7,Regcontabilizados[Identificador],Regcontabilizados[Debe],0)+_xlfn.XLOOKUP(Q64&amp;"-"&amp;8,Regcontabilizados[Identificador],Regcontabilizados[Debe],0)+_xlfn.XLOOKUP(Q64&amp;"-"&amp;9,Regcontabilizados[Identificador],Regcontabilizados[Debe],0)</f>
        <v>0</v>
      </c>
      <c r="V64">
        <f>SUMIF(Regcontabilizados[Número pago],'PAGO Ventas'!Q64,Regcontabilizados[Haber])</f>
        <v>0</v>
      </c>
      <c r="AB64" s="33" t="str">
        <f>IF(J64=0,"",   _xlfn.XLOOKUP(AC64,Regcontabilizados[Identificador],Regcontabilizados[Subcuenta],0))</f>
        <v/>
      </c>
      <c r="AC64" t="str">
        <f>IF(J64=0,"",   _xlfn.XLOOKUP($H$7,BDclient[ID-Cliente],BDclient[NIT/C.C.],0)&amp;H50&amp;$D$23&amp;"-"&amp;1)</f>
        <v/>
      </c>
      <c r="AD64" t="str">
        <f t="shared" si="5"/>
        <v/>
      </c>
      <c r="AE64" t="str">
        <f t="shared" si="6"/>
        <v>En Blanco</v>
      </c>
      <c r="AF64" t="str">
        <f>_xlfn.XLOOKUP($H$7,BDclient[ID-Cliente],BDclient[NIT/C.C.],0)&amp;$H$13&amp;$E$7&amp;"-"&amp;ROW(AA64)-21</f>
        <v>Comp. Ingreso-43</v>
      </c>
      <c r="AQ64" t="str">
        <f t="shared" si="7"/>
        <v>PAGADO</v>
      </c>
    </row>
    <row r="65" spans="3:43">
      <c r="C65" s="194"/>
      <c r="D65" s="206"/>
      <c r="E65" s="142"/>
      <c r="F65" s="195"/>
      <c r="G65" s="183"/>
      <c r="H65" s="37">
        <f t="shared" si="3"/>
        <v>0</v>
      </c>
      <c r="I65" s="37"/>
      <c r="J65" s="210">
        <f t="shared" si="4"/>
        <v>0</v>
      </c>
      <c r="K65" s="197"/>
      <c r="P65" t="str">
        <f>_xlfn.XLOOKUP($H$7,BDclient[ID-Cliente],BDclient[NIT/C.C.],0)&amp;$H$9&amp;$O65&amp;"-"&amp;1</f>
        <v>F. V.-1</v>
      </c>
      <c r="Q65" t="str">
        <f t="shared" si="8"/>
        <v/>
      </c>
      <c r="R65" t="str">
        <f>IF(O65="","",    _xlfn.XLOOKUP(Q65,Regcontabilizados[Número pago],Regcontabilizados[Estado de pago],"NO PAGADO"))</f>
        <v/>
      </c>
      <c r="S65" s="44">
        <f>_xlfn.XLOOKUP(P65,Regcontabilizados[Identificador],Regcontabilizados[Fecha vencimiento],0)</f>
        <v>0</v>
      </c>
      <c r="T65">
        <f>_xlfn.XLOOKUP(P65,Regcontabilizados[Identificador],Regcontabilizados[Subcuenta],0)</f>
        <v>0</v>
      </c>
      <c r="U65">
        <f>_xlfn.XLOOKUP(P65,Regcontabilizados[Identificador],Regcontabilizados[Debe],0)+_xlfn.XLOOKUP(Q65&amp;"-"&amp;2,Regcontabilizados[Identificador],Regcontabilizados[Debe],0)+_xlfn.XLOOKUP(Q65&amp;"-"&amp;3,Regcontabilizados[Identificador],Regcontabilizados[Debe],0)+_xlfn.XLOOKUP(Q65&amp;"-"&amp;4,Regcontabilizados[Identificador],Regcontabilizados[Debe],0)+_xlfn.XLOOKUP(Q65&amp;"-"&amp;5,Regcontabilizados[Identificador],Regcontabilizados[Debe],0)+_xlfn.XLOOKUP(Q65&amp;"-"&amp;6,Regcontabilizados[Identificador],Regcontabilizados[Debe],0)+_xlfn.XLOOKUP(Q65&amp;"-"&amp;7,Regcontabilizados[Identificador],Regcontabilizados[Debe],0)+_xlfn.XLOOKUP(Q65&amp;"-"&amp;8,Regcontabilizados[Identificador],Regcontabilizados[Debe],0)+_xlfn.XLOOKUP(Q65&amp;"-"&amp;9,Regcontabilizados[Identificador],Regcontabilizados[Debe],0)</f>
        <v>0</v>
      </c>
      <c r="V65">
        <f>SUMIF(Regcontabilizados[Número pago],'PAGO Ventas'!Q65,Regcontabilizados[Haber])</f>
        <v>0</v>
      </c>
      <c r="AB65" s="33" t="str">
        <f>IF(J65=0,"",   _xlfn.XLOOKUP(AC65,Regcontabilizados[Identificador],Regcontabilizados[Subcuenta],0))</f>
        <v/>
      </c>
      <c r="AC65" t="str">
        <f>IF(J65=0,"",   _xlfn.XLOOKUP($H$7,BDclient[ID-Cliente],BDclient[NIT/C.C.],0)&amp;H51&amp;$D$23&amp;"-"&amp;1)</f>
        <v/>
      </c>
      <c r="AD65" t="str">
        <f t="shared" si="5"/>
        <v/>
      </c>
      <c r="AE65" t="str">
        <f t="shared" si="6"/>
        <v>En Blanco</v>
      </c>
      <c r="AF65" t="str">
        <f>_xlfn.XLOOKUP($H$7,BDclient[ID-Cliente],BDclient[NIT/C.C.],0)&amp;$H$13&amp;$E$7&amp;"-"&amp;ROW(AA65)-21</f>
        <v>Comp. Ingreso-44</v>
      </c>
      <c r="AQ65" t="str">
        <f t="shared" si="7"/>
        <v>PAGADO</v>
      </c>
    </row>
    <row r="66" spans="3:43">
      <c r="C66" s="194"/>
      <c r="D66" s="206"/>
      <c r="E66" s="142"/>
      <c r="F66" s="195"/>
      <c r="G66" s="183"/>
      <c r="H66" s="37">
        <f t="shared" si="3"/>
        <v>0</v>
      </c>
      <c r="I66" s="37"/>
      <c r="J66" s="210">
        <f t="shared" si="4"/>
        <v>0</v>
      </c>
      <c r="K66" s="197"/>
      <c r="P66" t="str">
        <f>_xlfn.XLOOKUP($H$7,BDclient[ID-Cliente],BDclient[NIT/C.C.],0)&amp;$H$9&amp;$O66&amp;"-"&amp;1</f>
        <v>F. V.-1</v>
      </c>
      <c r="Q66" t="str">
        <f t="shared" si="8"/>
        <v/>
      </c>
      <c r="R66" t="str">
        <f>IF(O66="","",    _xlfn.XLOOKUP(Q66,Regcontabilizados[Número pago],Regcontabilizados[Estado de pago],"NO PAGADO"))</f>
        <v/>
      </c>
      <c r="S66" s="44">
        <f>_xlfn.XLOOKUP(P66,Regcontabilizados[Identificador],Regcontabilizados[Fecha vencimiento],0)</f>
        <v>0</v>
      </c>
      <c r="T66">
        <f>_xlfn.XLOOKUP(P66,Regcontabilizados[Identificador],Regcontabilizados[Subcuenta],0)</f>
        <v>0</v>
      </c>
      <c r="U66">
        <f>_xlfn.XLOOKUP(P66,Regcontabilizados[Identificador],Regcontabilizados[Debe],0)+_xlfn.XLOOKUP(Q66&amp;"-"&amp;2,Regcontabilizados[Identificador],Regcontabilizados[Debe],0)+_xlfn.XLOOKUP(Q66&amp;"-"&amp;3,Regcontabilizados[Identificador],Regcontabilizados[Debe],0)+_xlfn.XLOOKUP(Q66&amp;"-"&amp;4,Regcontabilizados[Identificador],Regcontabilizados[Debe],0)+_xlfn.XLOOKUP(Q66&amp;"-"&amp;5,Regcontabilizados[Identificador],Regcontabilizados[Debe],0)+_xlfn.XLOOKUP(Q66&amp;"-"&amp;6,Regcontabilizados[Identificador],Regcontabilizados[Debe],0)+_xlfn.XLOOKUP(Q66&amp;"-"&amp;7,Regcontabilizados[Identificador],Regcontabilizados[Debe],0)+_xlfn.XLOOKUP(Q66&amp;"-"&amp;8,Regcontabilizados[Identificador],Regcontabilizados[Debe],0)+_xlfn.XLOOKUP(Q66&amp;"-"&amp;9,Regcontabilizados[Identificador],Regcontabilizados[Debe],0)</f>
        <v>0</v>
      </c>
      <c r="V66">
        <f>SUMIF(Regcontabilizados[Número pago],'PAGO Ventas'!Q66,Regcontabilizados[Haber])</f>
        <v>0</v>
      </c>
      <c r="AB66" s="33" t="str">
        <f>IF(J66=0,"",   _xlfn.XLOOKUP(AC66,Regcontabilizados[Identificador],Regcontabilizados[Subcuenta],0))</f>
        <v/>
      </c>
      <c r="AC66" t="str">
        <f>IF(J66=0,"",   _xlfn.XLOOKUP($H$7,BDclient[ID-Cliente],BDclient[NIT/C.C.],0)&amp;H52&amp;$D$23&amp;"-"&amp;1)</f>
        <v/>
      </c>
      <c r="AD66" t="str">
        <f t="shared" si="5"/>
        <v/>
      </c>
      <c r="AE66" t="str">
        <f t="shared" si="6"/>
        <v>En Blanco</v>
      </c>
      <c r="AF66" t="str">
        <f>_xlfn.XLOOKUP($H$7,BDclient[ID-Cliente],BDclient[NIT/C.C.],0)&amp;$H$13&amp;$E$7&amp;"-"&amp;ROW(AA66)-21</f>
        <v>Comp. Ingreso-45</v>
      </c>
      <c r="AQ66" t="str">
        <f t="shared" si="7"/>
        <v>PAGADO</v>
      </c>
    </row>
    <row r="67" spans="3:43">
      <c r="C67" s="194"/>
      <c r="D67" s="206"/>
      <c r="E67" s="142"/>
      <c r="F67" s="195"/>
      <c r="G67" s="183"/>
      <c r="H67" s="37">
        <f t="shared" si="3"/>
        <v>0</v>
      </c>
      <c r="I67" s="37"/>
      <c r="J67" s="210">
        <f t="shared" si="4"/>
        <v>0</v>
      </c>
      <c r="K67" s="197"/>
      <c r="P67" t="str">
        <f>_xlfn.XLOOKUP($H$7,BDclient[ID-Cliente],BDclient[NIT/C.C.],0)&amp;$H$9&amp;$O67&amp;"-"&amp;1</f>
        <v>F. V.-1</v>
      </c>
      <c r="Q67" t="str">
        <f t="shared" si="8"/>
        <v/>
      </c>
      <c r="R67" t="str">
        <f>IF(O67="","",    _xlfn.XLOOKUP(Q67,Regcontabilizados[Número pago],Regcontabilizados[Estado de pago],"NO PAGADO"))</f>
        <v/>
      </c>
      <c r="S67" s="44">
        <f>_xlfn.XLOOKUP(P67,Regcontabilizados[Identificador],Regcontabilizados[Fecha vencimiento],0)</f>
        <v>0</v>
      </c>
      <c r="T67">
        <f>_xlfn.XLOOKUP(P67,Regcontabilizados[Identificador],Regcontabilizados[Subcuenta],0)</f>
        <v>0</v>
      </c>
      <c r="U67">
        <f>_xlfn.XLOOKUP(P67,Regcontabilizados[Identificador],Regcontabilizados[Debe],0)+_xlfn.XLOOKUP(Q67&amp;"-"&amp;2,Regcontabilizados[Identificador],Regcontabilizados[Debe],0)+_xlfn.XLOOKUP(Q67&amp;"-"&amp;3,Regcontabilizados[Identificador],Regcontabilizados[Debe],0)+_xlfn.XLOOKUP(Q67&amp;"-"&amp;4,Regcontabilizados[Identificador],Regcontabilizados[Debe],0)+_xlfn.XLOOKUP(Q67&amp;"-"&amp;5,Regcontabilizados[Identificador],Regcontabilizados[Debe],0)+_xlfn.XLOOKUP(Q67&amp;"-"&amp;6,Regcontabilizados[Identificador],Regcontabilizados[Debe],0)+_xlfn.XLOOKUP(Q67&amp;"-"&amp;7,Regcontabilizados[Identificador],Regcontabilizados[Debe],0)+_xlfn.XLOOKUP(Q67&amp;"-"&amp;8,Regcontabilizados[Identificador],Regcontabilizados[Debe],0)+_xlfn.XLOOKUP(Q67&amp;"-"&amp;9,Regcontabilizados[Identificador],Regcontabilizados[Debe],0)</f>
        <v>0</v>
      </c>
      <c r="V67">
        <f>SUMIF(Regcontabilizados[Número pago],'PAGO Ventas'!Q67,Regcontabilizados[Haber])</f>
        <v>0</v>
      </c>
      <c r="AB67" s="33" t="str">
        <f>IF(J67=0,"",   _xlfn.XLOOKUP(AC67,Regcontabilizados[Identificador],Regcontabilizados[Subcuenta],0))</f>
        <v/>
      </c>
      <c r="AC67" t="str">
        <f>IF(J67=0,"",   _xlfn.XLOOKUP($H$7,BDclient[ID-Cliente],BDclient[NIT/C.C.],0)&amp;H53&amp;$D$23&amp;"-"&amp;1)</f>
        <v/>
      </c>
      <c r="AD67" t="str">
        <f t="shared" si="5"/>
        <v/>
      </c>
      <c r="AE67" t="str">
        <f t="shared" si="6"/>
        <v>En Blanco</v>
      </c>
      <c r="AF67" t="str">
        <f>_xlfn.XLOOKUP($H$7,BDclient[ID-Cliente],BDclient[NIT/C.C.],0)&amp;$H$13&amp;$E$7&amp;"-"&amp;ROW(AA67)-21</f>
        <v>Comp. Ingreso-46</v>
      </c>
      <c r="AQ67" t="str">
        <f t="shared" si="7"/>
        <v>PAGADO</v>
      </c>
    </row>
    <row r="68" spans="3:43">
      <c r="C68" s="194"/>
      <c r="D68" s="206"/>
      <c r="E68" s="142"/>
      <c r="F68" s="195"/>
      <c r="G68" s="183"/>
      <c r="H68" s="37">
        <f t="shared" si="3"/>
        <v>0</v>
      </c>
      <c r="I68" s="37"/>
      <c r="J68" s="210">
        <f t="shared" si="4"/>
        <v>0</v>
      </c>
      <c r="K68" s="197"/>
      <c r="P68" t="str">
        <f>_xlfn.XLOOKUP($H$7,BDclient[ID-Cliente],BDclient[NIT/C.C.],0)&amp;$H$9&amp;$O68&amp;"-"&amp;1</f>
        <v>F. V.-1</v>
      </c>
      <c r="Q68" t="str">
        <f t="shared" si="8"/>
        <v/>
      </c>
      <c r="R68" t="str">
        <f>IF(O68="","",    _xlfn.XLOOKUP(Q68,Regcontabilizados[Número pago],Regcontabilizados[Estado de pago],"NO PAGADO"))</f>
        <v/>
      </c>
      <c r="S68" s="44">
        <f>_xlfn.XLOOKUP(P68,Regcontabilizados[Identificador],Regcontabilizados[Fecha vencimiento],0)</f>
        <v>0</v>
      </c>
      <c r="T68">
        <f>_xlfn.XLOOKUP(P68,Regcontabilizados[Identificador],Regcontabilizados[Subcuenta],0)</f>
        <v>0</v>
      </c>
      <c r="U68">
        <f>_xlfn.XLOOKUP(P68,Regcontabilizados[Identificador],Regcontabilizados[Debe],0)+_xlfn.XLOOKUP(Q68&amp;"-"&amp;2,Regcontabilizados[Identificador],Regcontabilizados[Debe],0)+_xlfn.XLOOKUP(Q68&amp;"-"&amp;3,Regcontabilizados[Identificador],Regcontabilizados[Debe],0)+_xlfn.XLOOKUP(Q68&amp;"-"&amp;4,Regcontabilizados[Identificador],Regcontabilizados[Debe],0)+_xlfn.XLOOKUP(Q68&amp;"-"&amp;5,Regcontabilizados[Identificador],Regcontabilizados[Debe],0)+_xlfn.XLOOKUP(Q68&amp;"-"&amp;6,Regcontabilizados[Identificador],Regcontabilizados[Debe],0)+_xlfn.XLOOKUP(Q68&amp;"-"&amp;7,Regcontabilizados[Identificador],Regcontabilizados[Debe],0)+_xlfn.XLOOKUP(Q68&amp;"-"&amp;8,Regcontabilizados[Identificador],Regcontabilizados[Debe],0)+_xlfn.XLOOKUP(Q68&amp;"-"&amp;9,Regcontabilizados[Identificador],Regcontabilizados[Debe],0)</f>
        <v>0</v>
      </c>
      <c r="V68">
        <f>SUMIF(Regcontabilizados[Número pago],'PAGO Ventas'!Q68,Regcontabilizados[Haber])</f>
        <v>0</v>
      </c>
      <c r="AB68" s="33" t="str">
        <f>IF(J68=0,"",   _xlfn.XLOOKUP(AC68,Regcontabilizados[Identificador],Regcontabilizados[Subcuenta],0))</f>
        <v/>
      </c>
      <c r="AC68" t="str">
        <f>IF(J68=0,"",   _xlfn.XLOOKUP($H$7,BDclient[ID-Cliente],BDclient[NIT/C.C.],0)&amp;H54&amp;$D$23&amp;"-"&amp;1)</f>
        <v/>
      </c>
      <c r="AD68" t="str">
        <f t="shared" si="5"/>
        <v/>
      </c>
      <c r="AE68" t="str">
        <f t="shared" si="6"/>
        <v>En Blanco</v>
      </c>
      <c r="AF68" t="str">
        <f>_xlfn.XLOOKUP($H$7,BDclient[ID-Cliente],BDclient[NIT/C.C.],0)&amp;$H$13&amp;$E$7&amp;"-"&amp;ROW(AA68)-21</f>
        <v>Comp. Ingreso-47</v>
      </c>
      <c r="AQ68" t="str">
        <f t="shared" si="7"/>
        <v>PAGADO</v>
      </c>
    </row>
    <row r="69" spans="3:43">
      <c r="C69" s="194"/>
      <c r="D69" s="206"/>
      <c r="E69" s="142"/>
      <c r="F69" s="195"/>
      <c r="G69" s="183"/>
      <c r="H69" s="37">
        <f t="shared" si="3"/>
        <v>0</v>
      </c>
      <c r="I69" s="37"/>
      <c r="J69" s="210">
        <f t="shared" si="4"/>
        <v>0</v>
      </c>
      <c r="K69" s="197"/>
      <c r="P69" t="str">
        <f>_xlfn.XLOOKUP($H$7,BDclient[ID-Cliente],BDclient[NIT/C.C.],0)&amp;$H$9&amp;$O69&amp;"-"&amp;1</f>
        <v>F. V.-1</v>
      </c>
      <c r="Q69" t="str">
        <f t="shared" si="8"/>
        <v/>
      </c>
      <c r="R69" t="str">
        <f>IF(O69="","",    _xlfn.XLOOKUP(Q69,Regcontabilizados[Número pago],Regcontabilizados[Estado de pago],"NO PAGADO"))</f>
        <v/>
      </c>
      <c r="S69" s="44">
        <f>_xlfn.XLOOKUP(P69,Regcontabilizados[Identificador],Regcontabilizados[Fecha vencimiento],0)</f>
        <v>0</v>
      </c>
      <c r="T69">
        <f>_xlfn.XLOOKUP(P69,Regcontabilizados[Identificador],Regcontabilizados[Subcuenta],0)</f>
        <v>0</v>
      </c>
      <c r="U69">
        <f>_xlfn.XLOOKUP(P69,Regcontabilizados[Identificador],Regcontabilizados[Debe],0)+_xlfn.XLOOKUP(Q69&amp;"-"&amp;2,Regcontabilizados[Identificador],Regcontabilizados[Debe],0)+_xlfn.XLOOKUP(Q69&amp;"-"&amp;3,Regcontabilizados[Identificador],Regcontabilizados[Debe],0)+_xlfn.XLOOKUP(Q69&amp;"-"&amp;4,Regcontabilizados[Identificador],Regcontabilizados[Debe],0)+_xlfn.XLOOKUP(Q69&amp;"-"&amp;5,Regcontabilizados[Identificador],Regcontabilizados[Debe],0)+_xlfn.XLOOKUP(Q69&amp;"-"&amp;6,Regcontabilizados[Identificador],Regcontabilizados[Debe],0)+_xlfn.XLOOKUP(Q69&amp;"-"&amp;7,Regcontabilizados[Identificador],Regcontabilizados[Debe],0)+_xlfn.XLOOKUP(Q69&amp;"-"&amp;8,Regcontabilizados[Identificador],Regcontabilizados[Debe],0)+_xlfn.XLOOKUP(Q69&amp;"-"&amp;9,Regcontabilizados[Identificador],Regcontabilizados[Debe],0)</f>
        <v>0</v>
      </c>
      <c r="V69">
        <f>SUMIF(Regcontabilizados[Número pago],'PAGO Ventas'!Q69,Regcontabilizados[Haber])</f>
        <v>0</v>
      </c>
      <c r="AB69" s="33" t="str">
        <f>IF(J69=0,"",   _xlfn.XLOOKUP(AC69,Regcontabilizados[Identificador],Regcontabilizados[Subcuenta],0))</f>
        <v/>
      </c>
      <c r="AC69" t="str">
        <f>IF(J69=0,"",   _xlfn.XLOOKUP($H$7,BDclient[ID-Cliente],BDclient[NIT/C.C.],0)&amp;H55&amp;$D$23&amp;"-"&amp;1)</f>
        <v/>
      </c>
      <c r="AD69" t="str">
        <f t="shared" si="5"/>
        <v/>
      </c>
      <c r="AE69" t="str">
        <f t="shared" si="6"/>
        <v>En Blanco</v>
      </c>
      <c r="AF69" t="str">
        <f>_xlfn.XLOOKUP($H$7,BDclient[ID-Cliente],BDclient[NIT/C.C.],0)&amp;$H$13&amp;$E$7&amp;"-"&amp;ROW(AA69)-21</f>
        <v>Comp. Ingreso-48</v>
      </c>
      <c r="AQ69" t="str">
        <f t="shared" si="7"/>
        <v>PAGADO</v>
      </c>
    </row>
    <row r="70" spans="3:43">
      <c r="C70" s="194"/>
      <c r="D70" s="206"/>
      <c r="E70" s="142"/>
      <c r="F70" s="195"/>
      <c r="G70" s="183"/>
      <c r="H70" s="37">
        <f t="shared" si="3"/>
        <v>0</v>
      </c>
      <c r="I70" s="37"/>
      <c r="J70" s="210">
        <f t="shared" si="4"/>
        <v>0</v>
      </c>
      <c r="K70" s="197"/>
      <c r="P70" t="str">
        <f>_xlfn.XLOOKUP($H$7,BDclient[ID-Cliente],BDclient[NIT/C.C.],0)&amp;$H$9&amp;$O70&amp;"-"&amp;1</f>
        <v>F. V.-1</v>
      </c>
      <c r="Q70" t="str">
        <f t="shared" si="8"/>
        <v/>
      </c>
      <c r="R70" t="str">
        <f>IF(O70="","",    _xlfn.XLOOKUP(Q70,Regcontabilizados[Número pago],Regcontabilizados[Estado de pago],"NO PAGADO"))</f>
        <v/>
      </c>
      <c r="S70" s="44">
        <f>_xlfn.XLOOKUP(P70,Regcontabilizados[Identificador],Regcontabilizados[Fecha vencimiento],0)</f>
        <v>0</v>
      </c>
      <c r="T70">
        <f>_xlfn.XLOOKUP(P70,Regcontabilizados[Identificador],Regcontabilizados[Subcuenta],0)</f>
        <v>0</v>
      </c>
      <c r="U70">
        <f>_xlfn.XLOOKUP(P70,Regcontabilizados[Identificador],Regcontabilizados[Debe],0)+_xlfn.XLOOKUP(Q70&amp;"-"&amp;2,Regcontabilizados[Identificador],Regcontabilizados[Debe],0)+_xlfn.XLOOKUP(Q70&amp;"-"&amp;3,Regcontabilizados[Identificador],Regcontabilizados[Debe],0)+_xlfn.XLOOKUP(Q70&amp;"-"&amp;4,Regcontabilizados[Identificador],Regcontabilizados[Debe],0)+_xlfn.XLOOKUP(Q70&amp;"-"&amp;5,Regcontabilizados[Identificador],Regcontabilizados[Debe],0)+_xlfn.XLOOKUP(Q70&amp;"-"&amp;6,Regcontabilizados[Identificador],Regcontabilizados[Debe],0)+_xlfn.XLOOKUP(Q70&amp;"-"&amp;7,Regcontabilizados[Identificador],Regcontabilizados[Debe],0)+_xlfn.XLOOKUP(Q70&amp;"-"&amp;8,Regcontabilizados[Identificador],Regcontabilizados[Debe],0)+_xlfn.XLOOKUP(Q70&amp;"-"&amp;9,Regcontabilizados[Identificador],Regcontabilizados[Debe],0)</f>
        <v>0</v>
      </c>
      <c r="V70">
        <f>SUMIF(Regcontabilizados[Número pago],'PAGO Ventas'!Q70,Regcontabilizados[Haber])</f>
        <v>0</v>
      </c>
      <c r="AB70" s="33" t="str">
        <f>IF(J70=0,"",   _xlfn.XLOOKUP(AC70,Regcontabilizados[Identificador],Regcontabilizados[Subcuenta],0))</f>
        <v/>
      </c>
      <c r="AC70" t="str">
        <f>IF(J70=0,"",   _xlfn.XLOOKUP($H$7,BDclient[ID-Cliente],BDclient[NIT/C.C.],0)&amp;H56&amp;$D$23&amp;"-"&amp;1)</f>
        <v/>
      </c>
      <c r="AD70" t="str">
        <f t="shared" si="5"/>
        <v/>
      </c>
      <c r="AE70" t="str">
        <f t="shared" si="6"/>
        <v>En Blanco</v>
      </c>
      <c r="AF70" t="str">
        <f>_xlfn.XLOOKUP($H$7,BDclient[ID-Cliente],BDclient[NIT/C.C.],0)&amp;$H$13&amp;$E$7&amp;"-"&amp;ROW(AA70)-21</f>
        <v>Comp. Ingreso-49</v>
      </c>
      <c r="AQ70" t="str">
        <f t="shared" si="7"/>
        <v>PAGADO</v>
      </c>
    </row>
    <row r="71" spans="3:43">
      <c r="C71" s="194"/>
      <c r="D71" s="206"/>
      <c r="E71" s="142"/>
      <c r="F71" s="195"/>
      <c r="G71" s="183"/>
      <c r="H71" s="37">
        <f t="shared" si="3"/>
        <v>0</v>
      </c>
      <c r="I71" s="37"/>
      <c r="J71" s="210">
        <f t="shared" si="4"/>
        <v>0</v>
      </c>
      <c r="K71" s="197"/>
      <c r="P71" t="str">
        <f>_xlfn.XLOOKUP($H$7,BDclient[ID-Cliente],BDclient[NIT/C.C.],0)&amp;$H$9&amp;$O71&amp;"-"&amp;1</f>
        <v>F. V.-1</v>
      </c>
      <c r="Q71" t="str">
        <f t="shared" si="8"/>
        <v/>
      </c>
      <c r="R71" t="str">
        <f>IF(O71="","",    _xlfn.XLOOKUP(Q71,Regcontabilizados[Número pago],Regcontabilizados[Estado de pago],"NO PAGADO"))</f>
        <v/>
      </c>
      <c r="S71" s="44">
        <f>_xlfn.XLOOKUP(P71,Regcontabilizados[Identificador],Regcontabilizados[Fecha vencimiento],0)</f>
        <v>0</v>
      </c>
      <c r="T71">
        <f>_xlfn.XLOOKUP(P71,Regcontabilizados[Identificador],Regcontabilizados[Subcuenta],0)</f>
        <v>0</v>
      </c>
      <c r="U71">
        <f>_xlfn.XLOOKUP(P71,Regcontabilizados[Identificador],Regcontabilizados[Debe],0)+_xlfn.XLOOKUP(Q71&amp;"-"&amp;2,Regcontabilizados[Identificador],Regcontabilizados[Debe],0)+_xlfn.XLOOKUP(Q71&amp;"-"&amp;3,Regcontabilizados[Identificador],Regcontabilizados[Debe],0)+_xlfn.XLOOKUP(Q71&amp;"-"&amp;4,Regcontabilizados[Identificador],Regcontabilizados[Debe],0)+_xlfn.XLOOKUP(Q71&amp;"-"&amp;5,Regcontabilizados[Identificador],Regcontabilizados[Debe],0)+_xlfn.XLOOKUP(Q71&amp;"-"&amp;6,Regcontabilizados[Identificador],Regcontabilizados[Debe],0)+_xlfn.XLOOKUP(Q71&amp;"-"&amp;7,Regcontabilizados[Identificador],Regcontabilizados[Debe],0)+_xlfn.XLOOKUP(Q71&amp;"-"&amp;8,Regcontabilizados[Identificador],Regcontabilizados[Debe],0)+_xlfn.XLOOKUP(Q71&amp;"-"&amp;9,Regcontabilizados[Identificador],Regcontabilizados[Debe],0)</f>
        <v>0</v>
      </c>
      <c r="V71">
        <f>SUMIF(Regcontabilizados[Número pago],'PAGO Ventas'!Q71,Regcontabilizados[Haber])</f>
        <v>0</v>
      </c>
      <c r="AB71" s="33" t="str">
        <f>IF(J71=0,"",   _xlfn.XLOOKUP(AC71,Regcontabilizados[Identificador],Regcontabilizados[Subcuenta],0))</f>
        <v/>
      </c>
      <c r="AC71" t="str">
        <f>IF(J71=0,"",   _xlfn.XLOOKUP($H$7,BDclient[ID-Cliente],BDclient[NIT/C.C.],0)&amp;H57&amp;$D$23&amp;"-"&amp;1)</f>
        <v/>
      </c>
      <c r="AD71" t="str">
        <f t="shared" si="5"/>
        <v/>
      </c>
      <c r="AE71" t="str">
        <f t="shared" si="6"/>
        <v>En Blanco</v>
      </c>
      <c r="AF71" t="str">
        <f>_xlfn.XLOOKUP($H$7,BDclient[ID-Cliente],BDclient[NIT/C.C.],0)&amp;$H$13&amp;$E$7&amp;"-"&amp;ROW(AA71)-21</f>
        <v>Comp. Ingreso-50</v>
      </c>
      <c r="AQ71" t="str">
        <f t="shared" si="7"/>
        <v>PAGADO</v>
      </c>
    </row>
    <row r="72" spans="3:43">
      <c r="C72" s="194"/>
      <c r="D72" s="206"/>
      <c r="E72" s="142"/>
      <c r="F72" s="195"/>
      <c r="G72" s="183"/>
      <c r="H72" s="37">
        <f t="shared" si="3"/>
        <v>0</v>
      </c>
      <c r="I72" s="37"/>
      <c r="J72" s="210">
        <f t="shared" si="4"/>
        <v>0</v>
      </c>
      <c r="K72" s="197"/>
      <c r="P72" t="str">
        <f>_xlfn.XLOOKUP($H$7,BDclient[ID-Cliente],BDclient[NIT/C.C.],0)&amp;$H$9&amp;$O72&amp;"-"&amp;1</f>
        <v>F. V.-1</v>
      </c>
      <c r="Q72" t="str">
        <f t="shared" si="8"/>
        <v/>
      </c>
      <c r="R72" t="str">
        <f>IF(O72="","",    _xlfn.XLOOKUP(Q72,Regcontabilizados[Número pago],Regcontabilizados[Estado de pago],"NO PAGADO"))</f>
        <v/>
      </c>
      <c r="S72" s="44">
        <f>_xlfn.XLOOKUP(P72,Regcontabilizados[Identificador],Regcontabilizados[Fecha vencimiento],0)</f>
        <v>0</v>
      </c>
      <c r="T72">
        <f>_xlfn.XLOOKUP(P72,Regcontabilizados[Identificador],Regcontabilizados[Subcuenta],0)</f>
        <v>0</v>
      </c>
      <c r="U72">
        <f>_xlfn.XLOOKUP(P72,Regcontabilizados[Identificador],Regcontabilizados[Debe],0)+_xlfn.XLOOKUP(Q72&amp;"-"&amp;2,Regcontabilizados[Identificador],Regcontabilizados[Debe],0)+_xlfn.XLOOKUP(Q72&amp;"-"&amp;3,Regcontabilizados[Identificador],Regcontabilizados[Debe],0)+_xlfn.XLOOKUP(Q72&amp;"-"&amp;4,Regcontabilizados[Identificador],Regcontabilizados[Debe],0)+_xlfn.XLOOKUP(Q72&amp;"-"&amp;5,Regcontabilizados[Identificador],Regcontabilizados[Debe],0)+_xlfn.XLOOKUP(Q72&amp;"-"&amp;6,Regcontabilizados[Identificador],Regcontabilizados[Debe],0)+_xlfn.XLOOKUP(Q72&amp;"-"&amp;7,Regcontabilizados[Identificador],Regcontabilizados[Debe],0)+_xlfn.XLOOKUP(Q72&amp;"-"&amp;8,Regcontabilizados[Identificador],Regcontabilizados[Debe],0)+_xlfn.XLOOKUP(Q72&amp;"-"&amp;9,Regcontabilizados[Identificador],Regcontabilizados[Debe],0)</f>
        <v>0</v>
      </c>
      <c r="V72">
        <f>SUMIF(Regcontabilizados[Número pago],'PAGO Ventas'!Q72,Regcontabilizados[Haber])</f>
        <v>0</v>
      </c>
      <c r="AB72" s="33" t="str">
        <f>IF(J72=0,"",   _xlfn.XLOOKUP(AC72,Regcontabilizados[Identificador],Regcontabilizados[Subcuenta],0))</f>
        <v/>
      </c>
      <c r="AC72" t="str">
        <f>IF(J72=0,"",   _xlfn.XLOOKUP($H$7,BDclient[ID-Cliente],BDclient[NIT/C.C.],0)&amp;H58&amp;$D$23&amp;"-"&amp;1)</f>
        <v/>
      </c>
      <c r="AD72" t="str">
        <f t="shared" si="5"/>
        <v/>
      </c>
      <c r="AE72" t="str">
        <f t="shared" si="6"/>
        <v>En Blanco</v>
      </c>
      <c r="AF72" t="str">
        <f>_xlfn.XLOOKUP($H$7,BDclient[ID-Cliente],BDclient[NIT/C.C.],0)&amp;$H$13&amp;$E$7&amp;"-"&amp;ROW(AA72)-21</f>
        <v>Comp. Ingreso-51</v>
      </c>
      <c r="AQ72" t="str">
        <f t="shared" si="7"/>
        <v>PAGADO</v>
      </c>
    </row>
    <row r="73" spans="3:43">
      <c r="C73" s="194"/>
      <c r="D73" s="206"/>
      <c r="E73" s="142"/>
      <c r="F73" s="195"/>
      <c r="G73" s="183"/>
      <c r="H73" s="37">
        <f t="shared" si="3"/>
        <v>0</v>
      </c>
      <c r="I73" s="37"/>
      <c r="J73" s="210">
        <f t="shared" si="4"/>
        <v>0</v>
      </c>
      <c r="K73" s="197"/>
      <c r="P73" t="str">
        <f>_xlfn.XLOOKUP($H$7,BDclient[ID-Cliente],BDclient[NIT/C.C.],0)&amp;$H$9&amp;$O73&amp;"-"&amp;1</f>
        <v>F. V.-1</v>
      </c>
      <c r="Q73" t="str">
        <f t="shared" si="8"/>
        <v/>
      </c>
      <c r="R73" t="str">
        <f>IF(O73="","",    _xlfn.XLOOKUP(Q73,Regcontabilizados[Número pago],Regcontabilizados[Estado de pago],"NO PAGADO"))</f>
        <v/>
      </c>
      <c r="S73" s="44">
        <f>_xlfn.XLOOKUP(P73,Regcontabilizados[Identificador],Regcontabilizados[Fecha vencimiento],0)</f>
        <v>0</v>
      </c>
      <c r="T73">
        <f>_xlfn.XLOOKUP(P73,Regcontabilizados[Identificador],Regcontabilizados[Subcuenta],0)</f>
        <v>0</v>
      </c>
      <c r="U73">
        <f>_xlfn.XLOOKUP(P73,Regcontabilizados[Identificador],Regcontabilizados[Debe],0)+_xlfn.XLOOKUP(Q73&amp;"-"&amp;2,Regcontabilizados[Identificador],Regcontabilizados[Debe],0)+_xlfn.XLOOKUP(Q73&amp;"-"&amp;3,Regcontabilizados[Identificador],Regcontabilizados[Debe],0)+_xlfn.XLOOKUP(Q73&amp;"-"&amp;4,Regcontabilizados[Identificador],Regcontabilizados[Debe],0)+_xlfn.XLOOKUP(Q73&amp;"-"&amp;5,Regcontabilizados[Identificador],Regcontabilizados[Debe],0)+_xlfn.XLOOKUP(Q73&amp;"-"&amp;6,Regcontabilizados[Identificador],Regcontabilizados[Debe],0)+_xlfn.XLOOKUP(Q73&amp;"-"&amp;7,Regcontabilizados[Identificador],Regcontabilizados[Debe],0)+_xlfn.XLOOKUP(Q73&amp;"-"&amp;8,Regcontabilizados[Identificador],Regcontabilizados[Debe],0)+_xlfn.XLOOKUP(Q73&amp;"-"&amp;9,Regcontabilizados[Identificador],Regcontabilizados[Debe],0)</f>
        <v>0</v>
      </c>
      <c r="V73">
        <f>SUMIF(Regcontabilizados[Número pago],'PAGO Ventas'!Q73,Regcontabilizados[Haber])</f>
        <v>0</v>
      </c>
      <c r="AB73" s="33" t="str">
        <f>IF(J73=0,"",   _xlfn.XLOOKUP(AC73,Regcontabilizados[Identificador],Regcontabilizados[Subcuenta],0))</f>
        <v/>
      </c>
      <c r="AC73" t="str">
        <f>IF(J73=0,"",   _xlfn.XLOOKUP($H$7,BDclient[ID-Cliente],BDclient[NIT/C.C.],0)&amp;H59&amp;$D$23&amp;"-"&amp;1)</f>
        <v/>
      </c>
      <c r="AD73" t="str">
        <f t="shared" si="5"/>
        <v/>
      </c>
      <c r="AE73" t="str">
        <f t="shared" si="6"/>
        <v>En Blanco</v>
      </c>
      <c r="AF73" t="str">
        <f>_xlfn.XLOOKUP($H$7,BDclient[ID-Cliente],BDclient[NIT/C.C.],0)&amp;$H$13&amp;$E$7&amp;"-"&amp;ROW(AA73)-21</f>
        <v>Comp. Ingreso-52</v>
      </c>
      <c r="AQ73" t="str">
        <f t="shared" si="7"/>
        <v>PAGADO</v>
      </c>
    </row>
    <row r="74" spans="3:43">
      <c r="C74" s="194"/>
      <c r="D74" s="206"/>
      <c r="E74" s="142"/>
      <c r="F74" s="195"/>
      <c r="G74" s="183"/>
      <c r="H74" s="37">
        <f t="shared" si="3"/>
        <v>0</v>
      </c>
      <c r="I74" s="37"/>
      <c r="J74" s="210">
        <f t="shared" si="4"/>
        <v>0</v>
      </c>
      <c r="K74" s="197"/>
      <c r="P74" t="str">
        <f>_xlfn.XLOOKUP($H$7,BDclient[ID-Cliente],BDclient[NIT/C.C.],0)&amp;$H$9&amp;$O74&amp;"-"&amp;1</f>
        <v>F. V.-1</v>
      </c>
      <c r="Q74" t="str">
        <f t="shared" si="8"/>
        <v/>
      </c>
      <c r="R74" t="str">
        <f>IF(O74="","",    _xlfn.XLOOKUP(Q74,Regcontabilizados[Número pago],Regcontabilizados[Estado de pago],"NO PAGADO"))</f>
        <v/>
      </c>
      <c r="S74" s="44">
        <f>_xlfn.XLOOKUP(P74,Regcontabilizados[Identificador],Regcontabilizados[Fecha vencimiento],0)</f>
        <v>0</v>
      </c>
      <c r="T74">
        <f>_xlfn.XLOOKUP(P74,Regcontabilizados[Identificador],Regcontabilizados[Subcuenta],0)</f>
        <v>0</v>
      </c>
      <c r="U74">
        <f>_xlfn.XLOOKUP(P74,Regcontabilizados[Identificador],Regcontabilizados[Debe],0)+_xlfn.XLOOKUP(Q74&amp;"-"&amp;2,Regcontabilizados[Identificador],Regcontabilizados[Debe],0)+_xlfn.XLOOKUP(Q74&amp;"-"&amp;3,Regcontabilizados[Identificador],Regcontabilizados[Debe],0)+_xlfn.XLOOKUP(Q74&amp;"-"&amp;4,Regcontabilizados[Identificador],Regcontabilizados[Debe],0)+_xlfn.XLOOKUP(Q74&amp;"-"&amp;5,Regcontabilizados[Identificador],Regcontabilizados[Debe],0)+_xlfn.XLOOKUP(Q74&amp;"-"&amp;6,Regcontabilizados[Identificador],Regcontabilizados[Debe],0)+_xlfn.XLOOKUP(Q74&amp;"-"&amp;7,Regcontabilizados[Identificador],Regcontabilizados[Debe],0)+_xlfn.XLOOKUP(Q74&amp;"-"&amp;8,Regcontabilizados[Identificador],Regcontabilizados[Debe],0)+_xlfn.XLOOKUP(Q74&amp;"-"&amp;9,Regcontabilizados[Identificador],Regcontabilizados[Debe],0)</f>
        <v>0</v>
      </c>
      <c r="V74">
        <f>SUMIF(Regcontabilizados[Número pago],'PAGO Ventas'!Q74,Regcontabilizados[Haber])</f>
        <v>0</v>
      </c>
      <c r="AB74" s="33" t="str">
        <f>IF(J74=0,"",   _xlfn.XLOOKUP(AC74,Regcontabilizados[Identificador],Regcontabilizados[Subcuenta],0))</f>
        <v/>
      </c>
      <c r="AC74" t="str">
        <f>IF(J74=0,"",   _xlfn.XLOOKUP($H$7,BDclient[ID-Cliente],BDclient[NIT/C.C.],0)&amp;H60&amp;$D$23&amp;"-"&amp;1)</f>
        <v/>
      </c>
      <c r="AD74" t="str">
        <f t="shared" si="5"/>
        <v/>
      </c>
      <c r="AE74" t="str">
        <f t="shared" si="6"/>
        <v>En Blanco</v>
      </c>
      <c r="AF74" t="str">
        <f>_xlfn.XLOOKUP($H$7,BDclient[ID-Cliente],BDclient[NIT/C.C.],0)&amp;$H$13&amp;$E$7&amp;"-"&amp;ROW(AA74)-21</f>
        <v>Comp. Ingreso-53</v>
      </c>
      <c r="AQ74" t="str">
        <f t="shared" si="7"/>
        <v>PAGADO</v>
      </c>
    </row>
    <row r="75" spans="3:43">
      <c r="C75" s="194"/>
      <c r="D75" s="206"/>
      <c r="E75" s="142"/>
      <c r="F75" s="195"/>
      <c r="G75" s="183"/>
      <c r="H75" s="37">
        <f t="shared" si="3"/>
        <v>0</v>
      </c>
      <c r="I75" s="37"/>
      <c r="J75" s="210">
        <f t="shared" si="4"/>
        <v>0</v>
      </c>
      <c r="K75" s="197"/>
      <c r="P75" t="str">
        <f>_xlfn.XLOOKUP($H$7,BDclient[ID-Cliente],BDclient[NIT/C.C.],0)&amp;$H$9&amp;$O75&amp;"-"&amp;1</f>
        <v>F. V.-1</v>
      </c>
      <c r="Q75" t="str">
        <f t="shared" si="8"/>
        <v/>
      </c>
      <c r="R75" t="str">
        <f>IF(O75="","",    _xlfn.XLOOKUP(Q75,Regcontabilizados[Número pago],Regcontabilizados[Estado de pago],"NO PAGADO"))</f>
        <v/>
      </c>
      <c r="S75" s="44">
        <f>_xlfn.XLOOKUP(P75,Regcontabilizados[Identificador],Regcontabilizados[Fecha vencimiento],0)</f>
        <v>0</v>
      </c>
      <c r="T75">
        <f>_xlfn.XLOOKUP(P75,Regcontabilizados[Identificador],Regcontabilizados[Subcuenta],0)</f>
        <v>0</v>
      </c>
      <c r="U75">
        <f>_xlfn.XLOOKUP(P75,Regcontabilizados[Identificador],Regcontabilizados[Debe],0)+_xlfn.XLOOKUP(Q75&amp;"-"&amp;2,Regcontabilizados[Identificador],Regcontabilizados[Debe],0)+_xlfn.XLOOKUP(Q75&amp;"-"&amp;3,Regcontabilizados[Identificador],Regcontabilizados[Debe],0)+_xlfn.XLOOKUP(Q75&amp;"-"&amp;4,Regcontabilizados[Identificador],Regcontabilizados[Debe],0)+_xlfn.XLOOKUP(Q75&amp;"-"&amp;5,Regcontabilizados[Identificador],Regcontabilizados[Debe],0)+_xlfn.XLOOKUP(Q75&amp;"-"&amp;6,Regcontabilizados[Identificador],Regcontabilizados[Debe],0)+_xlfn.XLOOKUP(Q75&amp;"-"&amp;7,Regcontabilizados[Identificador],Regcontabilizados[Debe],0)+_xlfn.XLOOKUP(Q75&amp;"-"&amp;8,Regcontabilizados[Identificador],Regcontabilizados[Debe],0)+_xlfn.XLOOKUP(Q75&amp;"-"&amp;9,Regcontabilizados[Identificador],Regcontabilizados[Debe],0)</f>
        <v>0</v>
      </c>
      <c r="V75">
        <f>SUMIF(Regcontabilizados[Número pago],'PAGO Ventas'!Q75,Regcontabilizados[Haber])</f>
        <v>0</v>
      </c>
      <c r="AB75" s="33" t="str">
        <f>IF(J75=0,"",   _xlfn.XLOOKUP(AC75,Regcontabilizados[Identificador],Regcontabilizados[Subcuenta],0))</f>
        <v/>
      </c>
      <c r="AC75" t="str">
        <f>IF(J75=0,"",   _xlfn.XLOOKUP($H$7,BDclient[ID-Cliente],BDclient[NIT/C.C.],0)&amp;H61&amp;$D$23&amp;"-"&amp;1)</f>
        <v/>
      </c>
      <c r="AD75" t="str">
        <f t="shared" si="5"/>
        <v/>
      </c>
      <c r="AE75" t="str">
        <f t="shared" si="6"/>
        <v>En Blanco</v>
      </c>
      <c r="AF75" t="str">
        <f>_xlfn.XLOOKUP($H$7,BDclient[ID-Cliente],BDclient[NIT/C.C.],0)&amp;$H$13&amp;$E$7&amp;"-"&amp;ROW(AA75)-21</f>
        <v>Comp. Ingreso-54</v>
      </c>
      <c r="AQ75" t="str">
        <f t="shared" si="7"/>
        <v>PAGADO</v>
      </c>
    </row>
    <row r="76" spans="3:43">
      <c r="C76" s="194"/>
      <c r="D76" s="206"/>
      <c r="E76" s="142"/>
      <c r="F76" s="195"/>
      <c r="G76" s="183"/>
      <c r="H76" s="37">
        <f t="shared" si="3"/>
        <v>0</v>
      </c>
      <c r="I76" s="37"/>
      <c r="J76" s="210">
        <f t="shared" si="4"/>
        <v>0</v>
      </c>
      <c r="K76" s="197"/>
      <c r="P76" t="str">
        <f>_xlfn.XLOOKUP($H$7,BDclient[ID-Cliente],BDclient[NIT/C.C.],0)&amp;$H$9&amp;$O76&amp;"-"&amp;1</f>
        <v>F. V.-1</v>
      </c>
      <c r="Q76" t="str">
        <f t="shared" si="8"/>
        <v/>
      </c>
      <c r="R76" t="str">
        <f>IF(O76="","",    _xlfn.XLOOKUP(Q76,Regcontabilizados[Número pago],Regcontabilizados[Estado de pago],"NO PAGADO"))</f>
        <v/>
      </c>
      <c r="S76" s="44">
        <f>_xlfn.XLOOKUP(P76,Regcontabilizados[Identificador],Regcontabilizados[Fecha vencimiento],0)</f>
        <v>0</v>
      </c>
      <c r="T76">
        <f>_xlfn.XLOOKUP(P76,Regcontabilizados[Identificador],Regcontabilizados[Subcuenta],0)</f>
        <v>0</v>
      </c>
      <c r="U76">
        <f>_xlfn.XLOOKUP(P76,Regcontabilizados[Identificador],Regcontabilizados[Debe],0)+_xlfn.XLOOKUP(Q76&amp;"-"&amp;2,Regcontabilizados[Identificador],Regcontabilizados[Debe],0)+_xlfn.XLOOKUP(Q76&amp;"-"&amp;3,Regcontabilizados[Identificador],Regcontabilizados[Debe],0)+_xlfn.XLOOKUP(Q76&amp;"-"&amp;4,Regcontabilizados[Identificador],Regcontabilizados[Debe],0)+_xlfn.XLOOKUP(Q76&amp;"-"&amp;5,Regcontabilizados[Identificador],Regcontabilizados[Debe],0)+_xlfn.XLOOKUP(Q76&amp;"-"&amp;6,Regcontabilizados[Identificador],Regcontabilizados[Debe],0)+_xlfn.XLOOKUP(Q76&amp;"-"&amp;7,Regcontabilizados[Identificador],Regcontabilizados[Debe],0)+_xlfn.XLOOKUP(Q76&amp;"-"&amp;8,Regcontabilizados[Identificador],Regcontabilizados[Debe],0)+_xlfn.XLOOKUP(Q76&amp;"-"&amp;9,Regcontabilizados[Identificador],Regcontabilizados[Debe],0)</f>
        <v>0</v>
      </c>
      <c r="V76">
        <f>SUMIF(Regcontabilizados[Número pago],'PAGO Ventas'!Q76,Regcontabilizados[Haber])</f>
        <v>0</v>
      </c>
      <c r="AB76" s="33" t="str">
        <f>IF(J76=0,"",   _xlfn.XLOOKUP(AC76,Regcontabilizados[Identificador],Regcontabilizados[Subcuenta],0))</f>
        <v/>
      </c>
      <c r="AC76" t="str">
        <f>IF(J76=0,"",   _xlfn.XLOOKUP($H$7,BDclient[ID-Cliente],BDclient[NIT/C.C.],0)&amp;H62&amp;$D$23&amp;"-"&amp;1)</f>
        <v/>
      </c>
      <c r="AD76" t="str">
        <f t="shared" si="5"/>
        <v/>
      </c>
      <c r="AE76" t="str">
        <f t="shared" si="6"/>
        <v>En Blanco</v>
      </c>
      <c r="AF76" t="str">
        <f>_xlfn.XLOOKUP($H$7,BDclient[ID-Cliente],BDclient[NIT/C.C.],0)&amp;$H$13&amp;$E$7&amp;"-"&amp;ROW(AA76)-21</f>
        <v>Comp. Ingreso-55</v>
      </c>
      <c r="AQ76" t="str">
        <f t="shared" si="7"/>
        <v>PAGADO</v>
      </c>
    </row>
    <row r="77" spans="3:43">
      <c r="C77" s="194"/>
      <c r="D77" s="206"/>
      <c r="E77" s="142"/>
      <c r="F77" s="195"/>
      <c r="G77" s="183"/>
      <c r="H77" s="37">
        <f t="shared" si="3"/>
        <v>0</v>
      </c>
      <c r="I77" s="37"/>
      <c r="J77" s="210">
        <f t="shared" si="4"/>
        <v>0</v>
      </c>
      <c r="K77" s="197"/>
      <c r="P77" t="str">
        <f>_xlfn.XLOOKUP($H$7,BDclient[ID-Cliente],BDclient[NIT/C.C.],0)&amp;$H$9&amp;$O77&amp;"-"&amp;1</f>
        <v>F. V.-1</v>
      </c>
      <c r="Q77" t="str">
        <f t="shared" si="8"/>
        <v/>
      </c>
      <c r="R77" t="str">
        <f>IF(O77="","",    _xlfn.XLOOKUP(Q77,Regcontabilizados[Número pago],Regcontabilizados[Estado de pago],"NO PAGADO"))</f>
        <v/>
      </c>
      <c r="S77" s="44">
        <f>_xlfn.XLOOKUP(P77,Regcontabilizados[Identificador],Regcontabilizados[Fecha vencimiento],0)</f>
        <v>0</v>
      </c>
      <c r="T77">
        <f>_xlfn.XLOOKUP(P77,Regcontabilizados[Identificador],Regcontabilizados[Subcuenta],0)</f>
        <v>0</v>
      </c>
      <c r="U77">
        <f>_xlfn.XLOOKUP(P77,Regcontabilizados[Identificador],Regcontabilizados[Debe],0)+_xlfn.XLOOKUP(Q77&amp;"-"&amp;2,Regcontabilizados[Identificador],Regcontabilizados[Debe],0)+_xlfn.XLOOKUP(Q77&amp;"-"&amp;3,Regcontabilizados[Identificador],Regcontabilizados[Debe],0)+_xlfn.XLOOKUP(Q77&amp;"-"&amp;4,Regcontabilizados[Identificador],Regcontabilizados[Debe],0)+_xlfn.XLOOKUP(Q77&amp;"-"&amp;5,Regcontabilizados[Identificador],Regcontabilizados[Debe],0)+_xlfn.XLOOKUP(Q77&amp;"-"&amp;6,Regcontabilizados[Identificador],Regcontabilizados[Debe],0)+_xlfn.XLOOKUP(Q77&amp;"-"&amp;7,Regcontabilizados[Identificador],Regcontabilizados[Debe],0)+_xlfn.XLOOKUP(Q77&amp;"-"&amp;8,Regcontabilizados[Identificador],Regcontabilizados[Debe],0)+_xlfn.XLOOKUP(Q77&amp;"-"&amp;9,Regcontabilizados[Identificador],Regcontabilizados[Debe],0)</f>
        <v>0</v>
      </c>
      <c r="V77">
        <f>SUMIF(Regcontabilizados[Número pago],'PAGO Ventas'!Q77,Regcontabilizados[Haber])</f>
        <v>0</v>
      </c>
      <c r="AB77" s="33" t="str">
        <f>IF(J77=0,"",   _xlfn.XLOOKUP(AC77,Regcontabilizados[Identificador],Regcontabilizados[Subcuenta],0))</f>
        <v/>
      </c>
      <c r="AC77" t="str">
        <f>IF(J77=0,"",   _xlfn.XLOOKUP($H$7,BDclient[ID-Cliente],BDclient[NIT/C.C.],0)&amp;H63&amp;$D$23&amp;"-"&amp;1)</f>
        <v/>
      </c>
      <c r="AD77" t="str">
        <f t="shared" si="5"/>
        <v/>
      </c>
      <c r="AE77" t="str">
        <f t="shared" si="6"/>
        <v>En Blanco</v>
      </c>
      <c r="AF77" t="str">
        <f>_xlfn.XLOOKUP($H$7,BDclient[ID-Cliente],BDclient[NIT/C.C.],0)&amp;$H$13&amp;$E$7&amp;"-"&amp;ROW(AA77)-21</f>
        <v>Comp. Ingreso-56</v>
      </c>
      <c r="AQ77" t="str">
        <f t="shared" si="7"/>
        <v>PAGADO</v>
      </c>
    </row>
    <row r="78" spans="3:43">
      <c r="C78" s="194"/>
      <c r="D78" s="206"/>
      <c r="E78" s="142"/>
      <c r="F78" s="195"/>
      <c r="G78" s="183"/>
      <c r="H78" s="37">
        <f t="shared" si="3"/>
        <v>0</v>
      </c>
      <c r="I78" s="37"/>
      <c r="J78" s="210">
        <f t="shared" si="4"/>
        <v>0</v>
      </c>
      <c r="K78" s="197"/>
      <c r="P78" t="str">
        <f>_xlfn.XLOOKUP($H$7,BDclient[ID-Cliente],BDclient[NIT/C.C.],0)&amp;$H$9&amp;$O78&amp;"-"&amp;1</f>
        <v>F. V.-1</v>
      </c>
      <c r="Q78" t="str">
        <f t="shared" si="8"/>
        <v/>
      </c>
      <c r="R78" t="str">
        <f>IF(O78="","",    _xlfn.XLOOKUP(Q78,Regcontabilizados[Número pago],Regcontabilizados[Estado de pago],"NO PAGADO"))</f>
        <v/>
      </c>
      <c r="S78" s="44">
        <f>_xlfn.XLOOKUP(P78,Regcontabilizados[Identificador],Regcontabilizados[Fecha vencimiento],0)</f>
        <v>0</v>
      </c>
      <c r="T78">
        <f>_xlfn.XLOOKUP(P78,Regcontabilizados[Identificador],Regcontabilizados[Subcuenta],0)</f>
        <v>0</v>
      </c>
      <c r="U78">
        <f>_xlfn.XLOOKUP(P78,Regcontabilizados[Identificador],Regcontabilizados[Debe],0)+_xlfn.XLOOKUP(Q78&amp;"-"&amp;2,Regcontabilizados[Identificador],Regcontabilizados[Debe],0)+_xlfn.XLOOKUP(Q78&amp;"-"&amp;3,Regcontabilizados[Identificador],Regcontabilizados[Debe],0)+_xlfn.XLOOKUP(Q78&amp;"-"&amp;4,Regcontabilizados[Identificador],Regcontabilizados[Debe],0)+_xlfn.XLOOKUP(Q78&amp;"-"&amp;5,Regcontabilizados[Identificador],Regcontabilizados[Debe],0)+_xlfn.XLOOKUP(Q78&amp;"-"&amp;6,Regcontabilizados[Identificador],Regcontabilizados[Debe],0)+_xlfn.XLOOKUP(Q78&amp;"-"&amp;7,Regcontabilizados[Identificador],Regcontabilizados[Debe],0)+_xlfn.XLOOKUP(Q78&amp;"-"&amp;8,Regcontabilizados[Identificador],Regcontabilizados[Debe],0)+_xlfn.XLOOKUP(Q78&amp;"-"&amp;9,Regcontabilizados[Identificador],Regcontabilizados[Debe],0)</f>
        <v>0</v>
      </c>
      <c r="V78">
        <f>SUMIF(Regcontabilizados[Número pago],'PAGO Ventas'!Q78,Regcontabilizados[Haber])</f>
        <v>0</v>
      </c>
      <c r="AB78" s="33" t="str">
        <f>IF(J78=0,"",   _xlfn.XLOOKUP(AC78,Regcontabilizados[Identificador],Regcontabilizados[Subcuenta],0))</f>
        <v/>
      </c>
      <c r="AC78" t="str">
        <f>IF(J78=0,"",   _xlfn.XLOOKUP($H$7,BDclient[ID-Cliente],BDclient[NIT/C.C.],0)&amp;H64&amp;$D$23&amp;"-"&amp;1)</f>
        <v/>
      </c>
      <c r="AD78" t="str">
        <f t="shared" si="5"/>
        <v/>
      </c>
      <c r="AE78" t="str">
        <f t="shared" si="6"/>
        <v>En Blanco</v>
      </c>
      <c r="AF78" t="str">
        <f>_xlfn.XLOOKUP($H$7,BDclient[ID-Cliente],BDclient[NIT/C.C.],0)&amp;$H$13&amp;$E$7&amp;"-"&amp;ROW(AA78)-21</f>
        <v>Comp. Ingreso-57</v>
      </c>
      <c r="AQ78" t="str">
        <f t="shared" si="7"/>
        <v>PAGADO</v>
      </c>
    </row>
    <row r="79" spans="3:43">
      <c r="C79" s="194"/>
      <c r="D79" s="206"/>
      <c r="E79" s="142"/>
      <c r="F79" s="195"/>
      <c r="G79" s="183"/>
      <c r="H79" s="37">
        <f t="shared" si="3"/>
        <v>0</v>
      </c>
      <c r="I79" s="37"/>
      <c r="J79" s="210">
        <f t="shared" si="4"/>
        <v>0</v>
      </c>
      <c r="K79" s="197"/>
      <c r="P79" t="str">
        <f>_xlfn.XLOOKUP($H$7,BDclient[ID-Cliente],BDclient[NIT/C.C.],0)&amp;$H$9&amp;$O79&amp;"-"&amp;1</f>
        <v>F. V.-1</v>
      </c>
      <c r="Q79" t="str">
        <f t="shared" si="8"/>
        <v/>
      </c>
      <c r="R79" t="str">
        <f>IF(O79="","",    _xlfn.XLOOKUP(Q79,Regcontabilizados[Número pago],Regcontabilizados[Estado de pago],"NO PAGADO"))</f>
        <v/>
      </c>
      <c r="S79" s="44">
        <f>_xlfn.XLOOKUP(P79,Regcontabilizados[Identificador],Regcontabilizados[Fecha vencimiento],0)</f>
        <v>0</v>
      </c>
      <c r="T79">
        <f>_xlfn.XLOOKUP(P79,Regcontabilizados[Identificador],Regcontabilizados[Subcuenta],0)</f>
        <v>0</v>
      </c>
      <c r="U79">
        <f>_xlfn.XLOOKUP(P79,Regcontabilizados[Identificador],Regcontabilizados[Debe],0)+_xlfn.XLOOKUP(Q79&amp;"-"&amp;2,Regcontabilizados[Identificador],Regcontabilizados[Debe],0)+_xlfn.XLOOKUP(Q79&amp;"-"&amp;3,Regcontabilizados[Identificador],Regcontabilizados[Debe],0)+_xlfn.XLOOKUP(Q79&amp;"-"&amp;4,Regcontabilizados[Identificador],Regcontabilizados[Debe],0)+_xlfn.XLOOKUP(Q79&amp;"-"&amp;5,Regcontabilizados[Identificador],Regcontabilizados[Debe],0)+_xlfn.XLOOKUP(Q79&amp;"-"&amp;6,Regcontabilizados[Identificador],Regcontabilizados[Debe],0)+_xlfn.XLOOKUP(Q79&amp;"-"&amp;7,Regcontabilizados[Identificador],Regcontabilizados[Debe],0)+_xlfn.XLOOKUP(Q79&amp;"-"&amp;8,Regcontabilizados[Identificador],Regcontabilizados[Debe],0)+_xlfn.XLOOKUP(Q79&amp;"-"&amp;9,Regcontabilizados[Identificador],Regcontabilizados[Debe],0)</f>
        <v>0</v>
      </c>
      <c r="V79">
        <f>SUMIF(Regcontabilizados[Número pago],'PAGO Ventas'!Q79,Regcontabilizados[Haber])</f>
        <v>0</v>
      </c>
      <c r="AB79" s="33" t="str">
        <f>IF(J79=0,"",   _xlfn.XLOOKUP(AC79,Regcontabilizados[Identificador],Regcontabilizados[Subcuenta],0))</f>
        <v/>
      </c>
      <c r="AC79" t="str">
        <f>IF(J79=0,"",   _xlfn.XLOOKUP($H$7,BDclient[ID-Cliente],BDclient[NIT/C.C.],0)&amp;H65&amp;$D$23&amp;"-"&amp;1)</f>
        <v/>
      </c>
      <c r="AD79" t="str">
        <f t="shared" si="5"/>
        <v/>
      </c>
      <c r="AE79" t="str">
        <f t="shared" si="6"/>
        <v>En Blanco</v>
      </c>
      <c r="AF79" t="str">
        <f>_xlfn.XLOOKUP($H$7,BDclient[ID-Cliente],BDclient[NIT/C.C.],0)&amp;$H$13&amp;$E$7&amp;"-"&amp;ROW(AA79)-21</f>
        <v>Comp. Ingreso-58</v>
      </c>
      <c r="AQ79" t="str">
        <f t="shared" si="7"/>
        <v>PAGADO</v>
      </c>
    </row>
    <row r="80" spans="3:43">
      <c r="C80" s="194"/>
      <c r="D80" s="206"/>
      <c r="E80" s="142"/>
      <c r="F80" s="195"/>
      <c r="G80" s="183"/>
      <c r="H80" s="37">
        <f t="shared" si="3"/>
        <v>0</v>
      </c>
      <c r="I80" s="37"/>
      <c r="J80" s="210">
        <f t="shared" si="4"/>
        <v>0</v>
      </c>
      <c r="K80" s="197"/>
      <c r="P80" t="str">
        <f>_xlfn.XLOOKUP($H$7,BDclient[ID-Cliente],BDclient[NIT/C.C.],0)&amp;$H$9&amp;$O80&amp;"-"&amp;1</f>
        <v>F. V.-1</v>
      </c>
      <c r="Q80" t="str">
        <f t="shared" si="8"/>
        <v/>
      </c>
      <c r="R80" t="str">
        <f>IF(O80="","",    _xlfn.XLOOKUP(Q80,Regcontabilizados[Número pago],Regcontabilizados[Estado de pago],"NO PAGADO"))</f>
        <v/>
      </c>
      <c r="S80" s="44">
        <f>_xlfn.XLOOKUP(P80,Regcontabilizados[Identificador],Regcontabilizados[Fecha vencimiento],0)</f>
        <v>0</v>
      </c>
      <c r="T80">
        <f>_xlfn.XLOOKUP(P80,Regcontabilizados[Identificador],Regcontabilizados[Subcuenta],0)</f>
        <v>0</v>
      </c>
      <c r="U80">
        <f>_xlfn.XLOOKUP(P80,Regcontabilizados[Identificador],Regcontabilizados[Debe],0)+_xlfn.XLOOKUP(Q80&amp;"-"&amp;2,Regcontabilizados[Identificador],Regcontabilizados[Debe],0)+_xlfn.XLOOKUP(Q80&amp;"-"&amp;3,Regcontabilizados[Identificador],Regcontabilizados[Debe],0)+_xlfn.XLOOKUP(Q80&amp;"-"&amp;4,Regcontabilizados[Identificador],Regcontabilizados[Debe],0)+_xlfn.XLOOKUP(Q80&amp;"-"&amp;5,Regcontabilizados[Identificador],Regcontabilizados[Debe],0)+_xlfn.XLOOKUP(Q80&amp;"-"&amp;6,Regcontabilizados[Identificador],Regcontabilizados[Debe],0)+_xlfn.XLOOKUP(Q80&amp;"-"&amp;7,Regcontabilizados[Identificador],Regcontabilizados[Debe],0)+_xlfn.XLOOKUP(Q80&amp;"-"&amp;8,Regcontabilizados[Identificador],Regcontabilizados[Debe],0)+_xlfn.XLOOKUP(Q80&amp;"-"&amp;9,Regcontabilizados[Identificador],Regcontabilizados[Debe],0)</f>
        <v>0</v>
      </c>
      <c r="V80">
        <f>SUMIF(Regcontabilizados[Número pago],'PAGO Ventas'!Q80,Regcontabilizados[Haber])</f>
        <v>0</v>
      </c>
      <c r="AB80" s="33" t="str">
        <f>IF(J80=0,"",   _xlfn.XLOOKUP(AC80,Regcontabilizados[Identificador],Regcontabilizados[Subcuenta],0))</f>
        <v/>
      </c>
      <c r="AC80" t="str">
        <f>IF(J80=0,"",   _xlfn.XLOOKUP($H$7,BDclient[ID-Cliente],BDclient[NIT/C.C.],0)&amp;H66&amp;$D$23&amp;"-"&amp;1)</f>
        <v/>
      </c>
      <c r="AD80" t="str">
        <f t="shared" si="5"/>
        <v/>
      </c>
      <c r="AE80" t="str">
        <f t="shared" si="6"/>
        <v>En Blanco</v>
      </c>
      <c r="AF80" t="str">
        <f>_xlfn.XLOOKUP($H$7,BDclient[ID-Cliente],BDclient[NIT/C.C.],0)&amp;$H$13&amp;$E$7&amp;"-"&amp;ROW(AA80)-21</f>
        <v>Comp. Ingreso-59</v>
      </c>
      <c r="AQ80" t="str">
        <f t="shared" si="7"/>
        <v>PAGADO</v>
      </c>
    </row>
    <row r="81" spans="3:43">
      <c r="C81" s="194"/>
      <c r="D81" s="206"/>
      <c r="E81" s="142"/>
      <c r="F81" s="195"/>
      <c r="G81" s="183"/>
      <c r="H81" s="37">
        <f t="shared" si="3"/>
        <v>0</v>
      </c>
      <c r="I81" s="37"/>
      <c r="J81" s="210">
        <f t="shared" si="4"/>
        <v>0</v>
      </c>
      <c r="K81" s="197"/>
      <c r="P81" t="str">
        <f>_xlfn.XLOOKUP($H$7,BDclient[ID-Cliente],BDclient[NIT/C.C.],0)&amp;$H$9&amp;$O81&amp;"-"&amp;1</f>
        <v>F. V.-1</v>
      </c>
      <c r="Q81" t="str">
        <f t="shared" si="8"/>
        <v/>
      </c>
      <c r="R81" t="str">
        <f>IF(O81="","",    _xlfn.XLOOKUP(Q81,Regcontabilizados[Número pago],Regcontabilizados[Estado de pago],"NO PAGADO"))</f>
        <v/>
      </c>
      <c r="S81" s="44">
        <f>_xlfn.XLOOKUP(P81,Regcontabilizados[Identificador],Regcontabilizados[Fecha vencimiento],0)</f>
        <v>0</v>
      </c>
      <c r="T81">
        <f>_xlfn.XLOOKUP(P81,Regcontabilizados[Identificador],Regcontabilizados[Subcuenta],0)</f>
        <v>0</v>
      </c>
      <c r="U81">
        <f>_xlfn.XLOOKUP(P81,Regcontabilizados[Identificador],Regcontabilizados[Debe],0)+_xlfn.XLOOKUP(Q81&amp;"-"&amp;2,Regcontabilizados[Identificador],Regcontabilizados[Debe],0)+_xlfn.XLOOKUP(Q81&amp;"-"&amp;3,Regcontabilizados[Identificador],Regcontabilizados[Debe],0)+_xlfn.XLOOKUP(Q81&amp;"-"&amp;4,Regcontabilizados[Identificador],Regcontabilizados[Debe],0)+_xlfn.XLOOKUP(Q81&amp;"-"&amp;5,Regcontabilizados[Identificador],Regcontabilizados[Debe],0)+_xlfn.XLOOKUP(Q81&amp;"-"&amp;6,Regcontabilizados[Identificador],Regcontabilizados[Debe],0)+_xlfn.XLOOKUP(Q81&amp;"-"&amp;7,Regcontabilizados[Identificador],Regcontabilizados[Debe],0)+_xlfn.XLOOKUP(Q81&amp;"-"&amp;8,Regcontabilizados[Identificador],Regcontabilizados[Debe],0)+_xlfn.XLOOKUP(Q81&amp;"-"&amp;9,Regcontabilizados[Identificador],Regcontabilizados[Debe],0)</f>
        <v>0</v>
      </c>
      <c r="V81">
        <f>SUMIF(Regcontabilizados[Número pago],'PAGO Ventas'!Q81,Regcontabilizados[Haber])</f>
        <v>0</v>
      </c>
      <c r="AB81" s="33" t="str">
        <f>IF(J81=0,"",   _xlfn.XLOOKUP(AC81,Regcontabilizados[Identificador],Regcontabilizados[Subcuenta],0))</f>
        <v/>
      </c>
      <c r="AC81" t="str">
        <f>IF(J81=0,"",   _xlfn.XLOOKUP($H$7,BDclient[ID-Cliente],BDclient[NIT/C.C.],0)&amp;H67&amp;$D$23&amp;"-"&amp;1)</f>
        <v/>
      </c>
      <c r="AD81" t="str">
        <f t="shared" si="5"/>
        <v/>
      </c>
      <c r="AE81" t="str">
        <f t="shared" si="6"/>
        <v>En Blanco</v>
      </c>
      <c r="AF81" t="str">
        <f>_xlfn.XLOOKUP($H$7,BDclient[ID-Cliente],BDclient[NIT/C.C.],0)&amp;$H$13&amp;$E$7&amp;"-"&amp;ROW(AA81)-21</f>
        <v>Comp. Ingreso-60</v>
      </c>
      <c r="AQ81" t="str">
        <f t="shared" si="7"/>
        <v>PAGADO</v>
      </c>
    </row>
    <row r="82" spans="3:43">
      <c r="C82" s="194"/>
      <c r="D82" s="206"/>
      <c r="E82" s="142"/>
      <c r="F82" s="195"/>
      <c r="G82" s="183"/>
      <c r="H82" s="37">
        <f t="shared" si="3"/>
        <v>0</v>
      </c>
      <c r="I82" s="37"/>
      <c r="J82" s="210">
        <f t="shared" si="4"/>
        <v>0</v>
      </c>
      <c r="K82" s="197"/>
      <c r="P82" t="str">
        <f>_xlfn.XLOOKUP($H$7,BDclient[ID-Cliente],BDclient[NIT/C.C.],0)&amp;$H$9&amp;$O82&amp;"-"&amp;1</f>
        <v>F. V.-1</v>
      </c>
      <c r="Q82" t="str">
        <f t="shared" si="8"/>
        <v/>
      </c>
      <c r="R82" t="str">
        <f>IF(O82="","",    _xlfn.XLOOKUP(Q82,Regcontabilizados[Número pago],Regcontabilizados[Estado de pago],"NO PAGADO"))</f>
        <v/>
      </c>
      <c r="S82" s="44">
        <f>_xlfn.XLOOKUP(P82,Regcontabilizados[Identificador],Regcontabilizados[Fecha vencimiento],0)</f>
        <v>0</v>
      </c>
      <c r="T82">
        <f>_xlfn.XLOOKUP(P82,Regcontabilizados[Identificador],Regcontabilizados[Subcuenta],0)</f>
        <v>0</v>
      </c>
      <c r="U82">
        <f>_xlfn.XLOOKUP(P82,Regcontabilizados[Identificador],Regcontabilizados[Debe],0)+_xlfn.XLOOKUP(Q82&amp;"-"&amp;2,Regcontabilizados[Identificador],Regcontabilizados[Debe],0)+_xlfn.XLOOKUP(Q82&amp;"-"&amp;3,Regcontabilizados[Identificador],Regcontabilizados[Debe],0)+_xlfn.XLOOKUP(Q82&amp;"-"&amp;4,Regcontabilizados[Identificador],Regcontabilizados[Debe],0)+_xlfn.XLOOKUP(Q82&amp;"-"&amp;5,Regcontabilizados[Identificador],Regcontabilizados[Debe],0)+_xlfn.XLOOKUP(Q82&amp;"-"&amp;6,Regcontabilizados[Identificador],Regcontabilizados[Debe],0)+_xlfn.XLOOKUP(Q82&amp;"-"&amp;7,Regcontabilizados[Identificador],Regcontabilizados[Debe],0)+_xlfn.XLOOKUP(Q82&amp;"-"&amp;8,Regcontabilizados[Identificador],Regcontabilizados[Debe],0)+_xlfn.XLOOKUP(Q82&amp;"-"&amp;9,Regcontabilizados[Identificador],Regcontabilizados[Debe],0)</f>
        <v>0</v>
      </c>
      <c r="V82">
        <f>SUMIF(Regcontabilizados[Número pago],'PAGO Ventas'!Q82,Regcontabilizados[Haber])</f>
        <v>0</v>
      </c>
      <c r="AB82" s="33" t="str">
        <f>IF(J82=0,"",   _xlfn.XLOOKUP(AC82,Regcontabilizados[Identificador],Regcontabilizados[Subcuenta],0))</f>
        <v/>
      </c>
      <c r="AC82" t="str">
        <f>IF(J82=0,"",   _xlfn.XLOOKUP($H$7,BDclient[ID-Cliente],BDclient[NIT/C.C.],0)&amp;H68&amp;$D$23&amp;"-"&amp;1)</f>
        <v/>
      </c>
      <c r="AD82" t="str">
        <f t="shared" si="5"/>
        <v/>
      </c>
      <c r="AE82" t="str">
        <f t="shared" si="6"/>
        <v>En Blanco</v>
      </c>
      <c r="AF82" t="str">
        <f>_xlfn.XLOOKUP($H$7,BDclient[ID-Cliente],BDclient[NIT/C.C.],0)&amp;$H$13&amp;$E$7&amp;"-"&amp;ROW(AA82)-21</f>
        <v>Comp. Ingreso-61</v>
      </c>
      <c r="AQ82" t="str">
        <f t="shared" si="7"/>
        <v>PAGADO</v>
      </c>
    </row>
    <row r="83" spans="3:43">
      <c r="C83" s="194"/>
      <c r="D83" s="206"/>
      <c r="E83" s="142"/>
      <c r="F83" s="195"/>
      <c r="G83" s="183"/>
      <c r="H83" s="37">
        <f t="shared" si="3"/>
        <v>0</v>
      </c>
      <c r="I83" s="37"/>
      <c r="J83" s="210">
        <f t="shared" si="4"/>
        <v>0</v>
      </c>
      <c r="K83" s="197"/>
      <c r="P83" t="str">
        <f>_xlfn.XLOOKUP($H$7,BDclient[ID-Cliente],BDclient[NIT/C.C.],0)&amp;$H$9&amp;$O83&amp;"-"&amp;1</f>
        <v>F. V.-1</v>
      </c>
      <c r="Q83" t="str">
        <f t="shared" si="8"/>
        <v/>
      </c>
      <c r="R83" t="str">
        <f>IF(O83="","",    _xlfn.XLOOKUP(Q83,Regcontabilizados[Número pago],Regcontabilizados[Estado de pago],"NO PAGADO"))</f>
        <v/>
      </c>
      <c r="S83" s="44">
        <f>_xlfn.XLOOKUP(P83,Regcontabilizados[Identificador],Regcontabilizados[Fecha vencimiento],0)</f>
        <v>0</v>
      </c>
      <c r="T83">
        <f>_xlfn.XLOOKUP(P83,Regcontabilizados[Identificador],Regcontabilizados[Subcuenta],0)</f>
        <v>0</v>
      </c>
      <c r="U83">
        <f>_xlfn.XLOOKUP(P83,Regcontabilizados[Identificador],Regcontabilizados[Debe],0)+_xlfn.XLOOKUP(Q83&amp;"-"&amp;2,Regcontabilizados[Identificador],Regcontabilizados[Debe],0)+_xlfn.XLOOKUP(Q83&amp;"-"&amp;3,Regcontabilizados[Identificador],Regcontabilizados[Debe],0)+_xlfn.XLOOKUP(Q83&amp;"-"&amp;4,Regcontabilizados[Identificador],Regcontabilizados[Debe],0)+_xlfn.XLOOKUP(Q83&amp;"-"&amp;5,Regcontabilizados[Identificador],Regcontabilizados[Debe],0)+_xlfn.XLOOKUP(Q83&amp;"-"&amp;6,Regcontabilizados[Identificador],Regcontabilizados[Debe],0)+_xlfn.XLOOKUP(Q83&amp;"-"&amp;7,Regcontabilizados[Identificador],Regcontabilizados[Debe],0)+_xlfn.XLOOKUP(Q83&amp;"-"&amp;8,Regcontabilizados[Identificador],Regcontabilizados[Debe],0)+_xlfn.XLOOKUP(Q83&amp;"-"&amp;9,Regcontabilizados[Identificador],Regcontabilizados[Debe],0)</f>
        <v>0</v>
      </c>
      <c r="V83">
        <f>SUMIF(Regcontabilizados[Número pago],'PAGO Ventas'!Q83,Regcontabilizados[Haber])</f>
        <v>0</v>
      </c>
      <c r="AB83" s="33" t="str">
        <f>IF(J83=0,"",   _xlfn.XLOOKUP(AC83,Regcontabilizados[Identificador],Regcontabilizados[Subcuenta],0))</f>
        <v/>
      </c>
      <c r="AC83" t="str">
        <f>IF(J83=0,"",   _xlfn.XLOOKUP($H$7,BDclient[ID-Cliente],BDclient[NIT/C.C.],0)&amp;H69&amp;$D$23&amp;"-"&amp;1)</f>
        <v/>
      </c>
      <c r="AD83" t="str">
        <f t="shared" si="5"/>
        <v/>
      </c>
      <c r="AE83" t="str">
        <f t="shared" si="6"/>
        <v>En Blanco</v>
      </c>
      <c r="AF83" t="str">
        <f>_xlfn.XLOOKUP($H$7,BDclient[ID-Cliente],BDclient[NIT/C.C.],0)&amp;$H$13&amp;$E$7&amp;"-"&amp;ROW(AA83)-21</f>
        <v>Comp. Ingreso-62</v>
      </c>
      <c r="AQ83" t="str">
        <f t="shared" si="7"/>
        <v>PAGADO</v>
      </c>
    </row>
    <row r="84" spans="3:43">
      <c r="C84" s="194"/>
      <c r="D84" s="206"/>
      <c r="E84" s="142"/>
      <c r="F84" s="195"/>
      <c r="G84" s="183"/>
      <c r="H84" s="37">
        <f t="shared" si="3"/>
        <v>0</v>
      </c>
      <c r="I84" s="37"/>
      <c r="J84" s="210">
        <f t="shared" si="4"/>
        <v>0</v>
      </c>
      <c r="K84" s="197"/>
      <c r="P84" t="str">
        <f>_xlfn.XLOOKUP($H$7,BDclient[ID-Cliente],BDclient[NIT/C.C.],0)&amp;$H$9&amp;$O84&amp;"-"&amp;1</f>
        <v>F. V.-1</v>
      </c>
      <c r="Q84" t="str">
        <f t="shared" si="8"/>
        <v/>
      </c>
      <c r="R84" t="str">
        <f>IF(O84="","",    _xlfn.XLOOKUP(Q84,Regcontabilizados[Número pago],Regcontabilizados[Estado de pago],"NO PAGADO"))</f>
        <v/>
      </c>
      <c r="S84" s="44">
        <f>_xlfn.XLOOKUP(P84,Regcontabilizados[Identificador],Regcontabilizados[Fecha vencimiento],0)</f>
        <v>0</v>
      </c>
      <c r="T84">
        <f>_xlfn.XLOOKUP(P84,Regcontabilizados[Identificador],Regcontabilizados[Subcuenta],0)</f>
        <v>0</v>
      </c>
      <c r="U84">
        <f>_xlfn.XLOOKUP(P84,Regcontabilizados[Identificador],Regcontabilizados[Debe],0)+_xlfn.XLOOKUP(Q84&amp;"-"&amp;2,Regcontabilizados[Identificador],Regcontabilizados[Debe],0)+_xlfn.XLOOKUP(Q84&amp;"-"&amp;3,Regcontabilizados[Identificador],Regcontabilizados[Debe],0)+_xlfn.XLOOKUP(Q84&amp;"-"&amp;4,Regcontabilizados[Identificador],Regcontabilizados[Debe],0)+_xlfn.XLOOKUP(Q84&amp;"-"&amp;5,Regcontabilizados[Identificador],Regcontabilizados[Debe],0)+_xlfn.XLOOKUP(Q84&amp;"-"&amp;6,Regcontabilizados[Identificador],Regcontabilizados[Debe],0)+_xlfn.XLOOKUP(Q84&amp;"-"&amp;7,Regcontabilizados[Identificador],Regcontabilizados[Debe],0)+_xlfn.XLOOKUP(Q84&amp;"-"&amp;8,Regcontabilizados[Identificador],Regcontabilizados[Debe],0)+_xlfn.XLOOKUP(Q84&amp;"-"&amp;9,Regcontabilizados[Identificador],Regcontabilizados[Debe],0)</f>
        <v>0</v>
      </c>
      <c r="V84">
        <f>SUMIF(Regcontabilizados[Número pago],'PAGO Ventas'!Q84,Regcontabilizados[Haber])</f>
        <v>0</v>
      </c>
      <c r="AB84" s="33" t="str">
        <f>IF(J84=0,"",   _xlfn.XLOOKUP(AC84,Regcontabilizados[Identificador],Regcontabilizados[Subcuenta],0))</f>
        <v/>
      </c>
      <c r="AC84" t="str">
        <f>IF(J84=0,"",   _xlfn.XLOOKUP($H$7,BDclient[ID-Cliente],BDclient[NIT/C.C.],0)&amp;H70&amp;$D$23&amp;"-"&amp;1)</f>
        <v/>
      </c>
      <c r="AD84" t="str">
        <f t="shared" si="5"/>
        <v/>
      </c>
      <c r="AE84" t="str">
        <f t="shared" si="6"/>
        <v>En Blanco</v>
      </c>
      <c r="AF84" t="str">
        <f>_xlfn.XLOOKUP($H$7,BDclient[ID-Cliente],BDclient[NIT/C.C.],0)&amp;$H$13&amp;$E$7&amp;"-"&amp;ROW(AA84)-21</f>
        <v>Comp. Ingreso-63</v>
      </c>
      <c r="AQ84" t="str">
        <f t="shared" si="7"/>
        <v>PAGADO</v>
      </c>
    </row>
    <row r="85" spans="3:43">
      <c r="C85" s="194"/>
      <c r="D85" s="206"/>
      <c r="E85" s="142"/>
      <c r="F85" s="195"/>
      <c r="G85" s="183"/>
      <c r="H85" s="37">
        <f t="shared" si="3"/>
        <v>0</v>
      </c>
      <c r="I85" s="37"/>
      <c r="J85" s="210">
        <f t="shared" si="4"/>
        <v>0</v>
      </c>
      <c r="K85" s="197"/>
      <c r="P85" t="str">
        <f>_xlfn.XLOOKUP($H$7,BDclient[ID-Cliente],BDclient[NIT/C.C.],0)&amp;$H$9&amp;$O85&amp;"-"&amp;1</f>
        <v>F. V.-1</v>
      </c>
      <c r="Q85" t="str">
        <f t="shared" si="8"/>
        <v/>
      </c>
      <c r="R85" t="str">
        <f>IF(O85="","",    _xlfn.XLOOKUP(Q85,Regcontabilizados[Número pago],Regcontabilizados[Estado de pago],"NO PAGADO"))</f>
        <v/>
      </c>
      <c r="S85" s="44">
        <f>_xlfn.XLOOKUP(P85,Regcontabilizados[Identificador],Regcontabilizados[Fecha vencimiento],0)</f>
        <v>0</v>
      </c>
      <c r="T85">
        <f>_xlfn.XLOOKUP(P85,Regcontabilizados[Identificador],Regcontabilizados[Subcuenta],0)</f>
        <v>0</v>
      </c>
      <c r="U85">
        <f>_xlfn.XLOOKUP(P85,Regcontabilizados[Identificador],Regcontabilizados[Debe],0)+_xlfn.XLOOKUP(Q85&amp;"-"&amp;2,Regcontabilizados[Identificador],Regcontabilizados[Debe],0)+_xlfn.XLOOKUP(Q85&amp;"-"&amp;3,Regcontabilizados[Identificador],Regcontabilizados[Debe],0)+_xlfn.XLOOKUP(Q85&amp;"-"&amp;4,Regcontabilizados[Identificador],Regcontabilizados[Debe],0)+_xlfn.XLOOKUP(Q85&amp;"-"&amp;5,Regcontabilizados[Identificador],Regcontabilizados[Debe],0)+_xlfn.XLOOKUP(Q85&amp;"-"&amp;6,Regcontabilizados[Identificador],Regcontabilizados[Debe],0)+_xlfn.XLOOKUP(Q85&amp;"-"&amp;7,Regcontabilizados[Identificador],Regcontabilizados[Debe],0)+_xlfn.XLOOKUP(Q85&amp;"-"&amp;8,Regcontabilizados[Identificador],Regcontabilizados[Debe],0)+_xlfn.XLOOKUP(Q85&amp;"-"&amp;9,Regcontabilizados[Identificador],Regcontabilizados[Debe],0)</f>
        <v>0</v>
      </c>
      <c r="V85">
        <f>SUMIF(Regcontabilizados[Número pago],'PAGO Ventas'!Q85,Regcontabilizados[Haber])</f>
        <v>0</v>
      </c>
      <c r="AB85" s="33" t="str">
        <f>IF(J85=0,"",   _xlfn.XLOOKUP(AC85,Regcontabilizados[Identificador],Regcontabilizados[Subcuenta],0))</f>
        <v/>
      </c>
      <c r="AC85" t="str">
        <f>IF(J85=0,"",   _xlfn.XLOOKUP($H$7,BDclient[ID-Cliente],BDclient[NIT/C.C.],0)&amp;H71&amp;$D$23&amp;"-"&amp;1)</f>
        <v/>
      </c>
      <c r="AD85" t="str">
        <f t="shared" si="5"/>
        <v/>
      </c>
      <c r="AE85" t="str">
        <f t="shared" si="6"/>
        <v>En Blanco</v>
      </c>
      <c r="AF85" t="str">
        <f>_xlfn.XLOOKUP($H$7,BDclient[ID-Cliente],BDclient[NIT/C.C.],0)&amp;$H$13&amp;$E$7&amp;"-"&amp;ROW(AA85)-21</f>
        <v>Comp. Ingreso-64</v>
      </c>
      <c r="AQ85" t="str">
        <f t="shared" si="7"/>
        <v>PAGADO</v>
      </c>
    </row>
    <row r="86" spans="3:43">
      <c r="C86" s="194"/>
      <c r="D86" s="206"/>
      <c r="E86" s="142"/>
      <c r="F86" s="195"/>
      <c r="G86" s="183"/>
      <c r="H86" s="37">
        <f t="shared" ref="H86:H142" si="10">F86-G86</f>
        <v>0</v>
      </c>
      <c r="I86" s="37"/>
      <c r="J86" s="210">
        <f t="shared" si="4"/>
        <v>0</v>
      </c>
      <c r="K86" s="197"/>
      <c r="P86" t="str">
        <f>_xlfn.XLOOKUP($H$7,BDclient[ID-Cliente],BDclient[NIT/C.C.],0)&amp;$H$9&amp;$O86&amp;"-"&amp;1</f>
        <v>F. V.-1</v>
      </c>
      <c r="Q86" t="str">
        <f t="shared" si="8"/>
        <v/>
      </c>
      <c r="R86" t="str">
        <f>IF(O86="","",    _xlfn.XLOOKUP(Q86,Regcontabilizados[Número pago],Regcontabilizados[Estado de pago],"NO PAGADO"))</f>
        <v/>
      </c>
      <c r="S86" s="44">
        <f>_xlfn.XLOOKUP(P86,Regcontabilizados[Identificador],Regcontabilizados[Fecha vencimiento],0)</f>
        <v>0</v>
      </c>
      <c r="T86">
        <f>_xlfn.XLOOKUP(P86,Regcontabilizados[Identificador],Regcontabilizados[Subcuenta],0)</f>
        <v>0</v>
      </c>
      <c r="U86">
        <f>_xlfn.XLOOKUP(P86,Regcontabilizados[Identificador],Regcontabilizados[Debe],0)+_xlfn.XLOOKUP(Q86&amp;"-"&amp;2,Regcontabilizados[Identificador],Regcontabilizados[Debe],0)+_xlfn.XLOOKUP(Q86&amp;"-"&amp;3,Regcontabilizados[Identificador],Regcontabilizados[Debe],0)+_xlfn.XLOOKUP(Q86&amp;"-"&amp;4,Regcontabilizados[Identificador],Regcontabilizados[Debe],0)+_xlfn.XLOOKUP(Q86&amp;"-"&amp;5,Regcontabilizados[Identificador],Regcontabilizados[Debe],0)+_xlfn.XLOOKUP(Q86&amp;"-"&amp;6,Regcontabilizados[Identificador],Regcontabilizados[Debe],0)+_xlfn.XLOOKUP(Q86&amp;"-"&amp;7,Regcontabilizados[Identificador],Regcontabilizados[Debe],0)+_xlfn.XLOOKUP(Q86&amp;"-"&amp;8,Regcontabilizados[Identificador],Regcontabilizados[Debe],0)+_xlfn.XLOOKUP(Q86&amp;"-"&amp;9,Regcontabilizados[Identificador],Regcontabilizados[Debe],0)</f>
        <v>0</v>
      </c>
      <c r="V86">
        <f>SUMIF(Regcontabilizados[Número pago],'PAGO Ventas'!Q86,Regcontabilizados[Haber])</f>
        <v>0</v>
      </c>
      <c r="AB86" s="33" t="str">
        <f>IF(J86=0,"",   _xlfn.XLOOKUP(AC86,Regcontabilizados[Identificador],Regcontabilizados[Subcuenta],0))</f>
        <v/>
      </c>
      <c r="AC86" t="str">
        <f>IF(J86=0,"",   _xlfn.XLOOKUP($H$7,BDclient[ID-Cliente],BDclient[NIT/C.C.],0)&amp;H72&amp;$D$23&amp;"-"&amp;1)</f>
        <v/>
      </c>
      <c r="AD86" t="str">
        <f t="shared" si="5"/>
        <v/>
      </c>
      <c r="AE86" t="str">
        <f t="shared" si="6"/>
        <v>En Blanco</v>
      </c>
      <c r="AF86" t="str">
        <f>_xlfn.XLOOKUP($H$7,BDclient[ID-Cliente],BDclient[NIT/C.C.],0)&amp;$H$13&amp;$E$7&amp;"-"&amp;ROW(AA86)-21</f>
        <v>Comp. Ingreso-65</v>
      </c>
      <c r="AQ86" t="str">
        <f t="shared" si="7"/>
        <v>PAGADO</v>
      </c>
    </row>
    <row r="87" spans="3:43">
      <c r="C87" s="194"/>
      <c r="D87" s="206"/>
      <c r="E87" s="142"/>
      <c r="F87" s="195"/>
      <c r="G87" s="183"/>
      <c r="H87" s="37">
        <f t="shared" si="10"/>
        <v>0</v>
      </c>
      <c r="I87" s="37"/>
      <c r="J87" s="210">
        <f t="shared" ref="J87:J142" si="11">IF(I87&lt;&gt;"",1,0)</f>
        <v>0</v>
      </c>
      <c r="K87" s="197"/>
      <c r="P87" t="str">
        <f>_xlfn.XLOOKUP($H$7,BDclient[ID-Cliente],BDclient[NIT/C.C.],0)&amp;$H$9&amp;$O87&amp;"-"&amp;1</f>
        <v>F. V.-1</v>
      </c>
      <c r="Q87" t="str">
        <f t="shared" si="8"/>
        <v/>
      </c>
      <c r="R87" t="str">
        <f>IF(O87="","",    _xlfn.XLOOKUP(Q87,Regcontabilizados[Número pago],Regcontabilizados[Estado de pago],"NO PAGADO"))</f>
        <v/>
      </c>
      <c r="S87" s="44">
        <f>_xlfn.XLOOKUP(P87,Regcontabilizados[Identificador],Regcontabilizados[Fecha vencimiento],0)</f>
        <v>0</v>
      </c>
      <c r="T87">
        <f>_xlfn.XLOOKUP(P87,Regcontabilizados[Identificador],Regcontabilizados[Subcuenta],0)</f>
        <v>0</v>
      </c>
      <c r="U87">
        <f>_xlfn.XLOOKUP(P87,Regcontabilizados[Identificador],Regcontabilizados[Debe],0)+_xlfn.XLOOKUP(Q87&amp;"-"&amp;2,Regcontabilizados[Identificador],Regcontabilizados[Debe],0)+_xlfn.XLOOKUP(Q87&amp;"-"&amp;3,Regcontabilizados[Identificador],Regcontabilizados[Debe],0)+_xlfn.XLOOKUP(Q87&amp;"-"&amp;4,Regcontabilizados[Identificador],Regcontabilizados[Debe],0)+_xlfn.XLOOKUP(Q87&amp;"-"&amp;5,Regcontabilizados[Identificador],Regcontabilizados[Debe],0)+_xlfn.XLOOKUP(Q87&amp;"-"&amp;6,Regcontabilizados[Identificador],Regcontabilizados[Debe],0)+_xlfn.XLOOKUP(Q87&amp;"-"&amp;7,Regcontabilizados[Identificador],Regcontabilizados[Debe],0)+_xlfn.XLOOKUP(Q87&amp;"-"&amp;8,Regcontabilizados[Identificador],Regcontabilizados[Debe],0)+_xlfn.XLOOKUP(Q87&amp;"-"&amp;9,Regcontabilizados[Identificador],Regcontabilizados[Debe],0)</f>
        <v>0</v>
      </c>
      <c r="V87">
        <f>SUMIF(Regcontabilizados[Número pago],'PAGO Ventas'!Q87,Regcontabilizados[Haber])</f>
        <v>0</v>
      </c>
      <c r="AB87" s="33" t="str">
        <f>IF(J87=0,"",   _xlfn.XLOOKUP(AC87,Regcontabilizados[Identificador],Regcontabilizados[Subcuenta],0))</f>
        <v/>
      </c>
      <c r="AC87" t="str">
        <f>IF(J87=0,"",   _xlfn.XLOOKUP($H$7,BDclient[ID-Cliente],BDclient[NIT/C.C.],0)&amp;H73&amp;$D$23&amp;"-"&amp;1)</f>
        <v/>
      </c>
      <c r="AD87" t="str">
        <f t="shared" ref="AD87:AD140" si="12">IF(J87=0,"",   IF(AC87&lt;&gt;($H$7&amp;$H$9&amp;"-"&amp;11),IFERROR(LEFT(AC87,SEARCH("-",AC87)-1),0),""))</f>
        <v/>
      </c>
      <c r="AE87" t="str">
        <f t="shared" ref="AE87:AE140" si="13">IF(AND(AD87="",J87=0),"En Blanco","DATO")</f>
        <v>En Blanco</v>
      </c>
      <c r="AF87" t="str">
        <f>_xlfn.XLOOKUP($H$7,BDclient[ID-Cliente],BDclient[NIT/C.C.],0)&amp;$H$13&amp;$E$7&amp;"-"&amp;ROW(AA87)-21</f>
        <v>Comp. Ingreso-66</v>
      </c>
      <c r="AQ87" t="str">
        <f t="shared" ref="AQ87:AQ142" si="14">IF((U87-V87)=0,"PAGADO","NO PAGADO")</f>
        <v>PAGADO</v>
      </c>
    </row>
    <row r="88" spans="3:43">
      <c r="C88" s="194"/>
      <c r="D88" s="206"/>
      <c r="E88" s="142"/>
      <c r="F88" s="195"/>
      <c r="G88" s="183"/>
      <c r="H88" s="37">
        <f t="shared" si="10"/>
        <v>0</v>
      </c>
      <c r="I88" s="37"/>
      <c r="J88" s="210">
        <f t="shared" si="11"/>
        <v>0</v>
      </c>
      <c r="K88" s="197"/>
      <c r="P88" t="str">
        <f>_xlfn.XLOOKUP($H$7,BDclient[ID-Cliente],BDclient[NIT/C.C.],0)&amp;$H$9&amp;$O88&amp;"-"&amp;1</f>
        <v>F. V.-1</v>
      </c>
      <c r="Q88" t="str">
        <f t="shared" ref="Q88:Q142" si="15">IF(O88&lt;&gt;"",IFERROR(LEFT(P88,SEARCH("-",P88)-1),0),"")</f>
        <v/>
      </c>
      <c r="R88" t="str">
        <f>IF(O88="","",    _xlfn.XLOOKUP(Q88,Regcontabilizados[Número pago],Regcontabilizados[Estado de pago],"NO PAGADO"))</f>
        <v/>
      </c>
      <c r="S88" s="44">
        <f>_xlfn.XLOOKUP(P88,Regcontabilizados[Identificador],Regcontabilizados[Fecha vencimiento],0)</f>
        <v>0</v>
      </c>
      <c r="T88">
        <f>_xlfn.XLOOKUP(P88,Regcontabilizados[Identificador],Regcontabilizados[Subcuenta],0)</f>
        <v>0</v>
      </c>
      <c r="U88">
        <f>_xlfn.XLOOKUP(P88,Regcontabilizados[Identificador],Regcontabilizados[Debe],0)+_xlfn.XLOOKUP(Q88&amp;"-"&amp;2,Regcontabilizados[Identificador],Regcontabilizados[Debe],0)+_xlfn.XLOOKUP(Q88&amp;"-"&amp;3,Regcontabilizados[Identificador],Regcontabilizados[Debe],0)+_xlfn.XLOOKUP(Q88&amp;"-"&amp;4,Regcontabilizados[Identificador],Regcontabilizados[Debe],0)+_xlfn.XLOOKUP(Q88&amp;"-"&amp;5,Regcontabilizados[Identificador],Regcontabilizados[Debe],0)+_xlfn.XLOOKUP(Q88&amp;"-"&amp;6,Regcontabilizados[Identificador],Regcontabilizados[Debe],0)+_xlfn.XLOOKUP(Q88&amp;"-"&amp;7,Regcontabilizados[Identificador],Regcontabilizados[Debe],0)+_xlfn.XLOOKUP(Q88&amp;"-"&amp;8,Regcontabilizados[Identificador],Regcontabilizados[Debe],0)+_xlfn.XLOOKUP(Q88&amp;"-"&amp;9,Regcontabilizados[Identificador],Regcontabilizados[Debe],0)</f>
        <v>0</v>
      </c>
      <c r="V88">
        <f>SUMIF(Regcontabilizados[Número pago],'PAGO Ventas'!Q88,Regcontabilizados[Haber])</f>
        <v>0</v>
      </c>
      <c r="AB88" s="33" t="str">
        <f>IF(J88=0,"",   _xlfn.XLOOKUP(AC88,Regcontabilizados[Identificador],Regcontabilizados[Subcuenta],0))</f>
        <v/>
      </c>
      <c r="AC88" t="str">
        <f>IF(J88=0,"",   _xlfn.XLOOKUP($H$7,BDclient[ID-Cliente],BDclient[NIT/C.C.],0)&amp;H74&amp;$D$23&amp;"-"&amp;1)</f>
        <v/>
      </c>
      <c r="AD88" t="str">
        <f t="shared" si="12"/>
        <v/>
      </c>
      <c r="AE88" t="str">
        <f t="shared" si="13"/>
        <v>En Blanco</v>
      </c>
      <c r="AF88" t="str">
        <f>_xlfn.XLOOKUP($H$7,BDclient[ID-Cliente],BDclient[NIT/C.C.],0)&amp;$H$13&amp;$E$7&amp;"-"&amp;ROW(AA88)-21</f>
        <v>Comp. Ingreso-67</v>
      </c>
      <c r="AQ88" t="str">
        <f t="shared" si="14"/>
        <v>PAGADO</v>
      </c>
    </row>
    <row r="89" spans="3:43">
      <c r="C89" s="194"/>
      <c r="D89" s="206"/>
      <c r="E89" s="142"/>
      <c r="F89" s="195"/>
      <c r="G89" s="183"/>
      <c r="H89" s="37">
        <f t="shared" si="10"/>
        <v>0</v>
      </c>
      <c r="I89" s="37"/>
      <c r="J89" s="210">
        <f t="shared" si="11"/>
        <v>0</v>
      </c>
      <c r="K89" s="197"/>
      <c r="P89" t="str">
        <f>_xlfn.XLOOKUP($H$7,BDclient[ID-Cliente],BDclient[NIT/C.C.],0)&amp;$H$9&amp;$O89&amp;"-"&amp;1</f>
        <v>F. V.-1</v>
      </c>
      <c r="Q89" t="str">
        <f t="shared" si="15"/>
        <v/>
      </c>
      <c r="R89" t="str">
        <f>IF(O89="","",    _xlfn.XLOOKUP(Q89,Regcontabilizados[Número pago],Regcontabilizados[Estado de pago],"NO PAGADO"))</f>
        <v/>
      </c>
      <c r="S89" s="44">
        <f>_xlfn.XLOOKUP(P89,Regcontabilizados[Identificador],Regcontabilizados[Fecha vencimiento],0)</f>
        <v>0</v>
      </c>
      <c r="T89">
        <f>_xlfn.XLOOKUP(P89,Regcontabilizados[Identificador],Regcontabilizados[Subcuenta],0)</f>
        <v>0</v>
      </c>
      <c r="U89">
        <f>_xlfn.XLOOKUP(P89,Regcontabilizados[Identificador],Regcontabilizados[Debe],0)+_xlfn.XLOOKUP(Q89&amp;"-"&amp;2,Regcontabilizados[Identificador],Regcontabilizados[Debe],0)+_xlfn.XLOOKUP(Q89&amp;"-"&amp;3,Regcontabilizados[Identificador],Regcontabilizados[Debe],0)+_xlfn.XLOOKUP(Q89&amp;"-"&amp;4,Regcontabilizados[Identificador],Regcontabilizados[Debe],0)+_xlfn.XLOOKUP(Q89&amp;"-"&amp;5,Regcontabilizados[Identificador],Regcontabilizados[Debe],0)+_xlfn.XLOOKUP(Q89&amp;"-"&amp;6,Regcontabilizados[Identificador],Regcontabilizados[Debe],0)+_xlfn.XLOOKUP(Q89&amp;"-"&amp;7,Regcontabilizados[Identificador],Regcontabilizados[Debe],0)+_xlfn.XLOOKUP(Q89&amp;"-"&amp;8,Regcontabilizados[Identificador],Regcontabilizados[Debe],0)+_xlfn.XLOOKUP(Q89&amp;"-"&amp;9,Regcontabilizados[Identificador],Regcontabilizados[Debe],0)</f>
        <v>0</v>
      </c>
      <c r="V89">
        <f>SUMIF(Regcontabilizados[Número pago],'PAGO Ventas'!Q89,Regcontabilizados[Haber])</f>
        <v>0</v>
      </c>
      <c r="AB89" s="33" t="str">
        <f>IF(J89=0,"",   _xlfn.XLOOKUP(AC89,Regcontabilizados[Identificador],Regcontabilizados[Subcuenta],0))</f>
        <v/>
      </c>
      <c r="AC89" t="str">
        <f>IF(J89=0,"",   _xlfn.XLOOKUP($H$7,BDclient[ID-Cliente],BDclient[NIT/C.C.],0)&amp;H75&amp;$D$23&amp;"-"&amp;1)</f>
        <v/>
      </c>
      <c r="AD89" t="str">
        <f t="shared" si="12"/>
        <v/>
      </c>
      <c r="AE89" t="str">
        <f t="shared" si="13"/>
        <v>En Blanco</v>
      </c>
      <c r="AF89" t="str">
        <f>_xlfn.XLOOKUP($H$7,BDclient[ID-Cliente],BDclient[NIT/C.C.],0)&amp;$H$13&amp;$E$7&amp;"-"&amp;ROW(AA89)-21</f>
        <v>Comp. Ingreso-68</v>
      </c>
      <c r="AQ89" t="str">
        <f t="shared" si="14"/>
        <v>PAGADO</v>
      </c>
    </row>
    <row r="90" spans="3:43">
      <c r="C90" s="194"/>
      <c r="D90" s="206"/>
      <c r="E90" s="142"/>
      <c r="F90" s="195"/>
      <c r="G90" s="183"/>
      <c r="H90" s="37">
        <f t="shared" si="10"/>
        <v>0</v>
      </c>
      <c r="I90" s="37"/>
      <c r="J90" s="210">
        <f t="shared" si="11"/>
        <v>0</v>
      </c>
      <c r="K90" s="197"/>
      <c r="P90" t="str">
        <f>_xlfn.XLOOKUP($H$7,BDclient[ID-Cliente],BDclient[NIT/C.C.],0)&amp;$H$9&amp;$O90&amp;"-"&amp;1</f>
        <v>F. V.-1</v>
      </c>
      <c r="Q90" t="str">
        <f t="shared" si="15"/>
        <v/>
      </c>
      <c r="R90" t="str">
        <f>IF(O90="","",    _xlfn.XLOOKUP(Q90,Regcontabilizados[Número pago],Regcontabilizados[Estado de pago],"NO PAGADO"))</f>
        <v/>
      </c>
      <c r="S90" s="44">
        <f>_xlfn.XLOOKUP(P90,Regcontabilizados[Identificador],Regcontabilizados[Fecha vencimiento],0)</f>
        <v>0</v>
      </c>
      <c r="T90">
        <f>_xlfn.XLOOKUP(P90,Regcontabilizados[Identificador],Regcontabilizados[Subcuenta],0)</f>
        <v>0</v>
      </c>
      <c r="U90">
        <f>_xlfn.XLOOKUP(P90,Regcontabilizados[Identificador],Regcontabilizados[Debe],0)+_xlfn.XLOOKUP(Q90&amp;"-"&amp;2,Regcontabilizados[Identificador],Regcontabilizados[Debe],0)+_xlfn.XLOOKUP(Q90&amp;"-"&amp;3,Regcontabilizados[Identificador],Regcontabilizados[Debe],0)+_xlfn.XLOOKUP(Q90&amp;"-"&amp;4,Regcontabilizados[Identificador],Regcontabilizados[Debe],0)+_xlfn.XLOOKUP(Q90&amp;"-"&amp;5,Regcontabilizados[Identificador],Regcontabilizados[Debe],0)+_xlfn.XLOOKUP(Q90&amp;"-"&amp;6,Regcontabilizados[Identificador],Regcontabilizados[Debe],0)+_xlfn.XLOOKUP(Q90&amp;"-"&amp;7,Regcontabilizados[Identificador],Regcontabilizados[Debe],0)+_xlfn.XLOOKUP(Q90&amp;"-"&amp;8,Regcontabilizados[Identificador],Regcontabilizados[Debe],0)+_xlfn.XLOOKUP(Q90&amp;"-"&amp;9,Regcontabilizados[Identificador],Regcontabilizados[Debe],0)</f>
        <v>0</v>
      </c>
      <c r="V90">
        <f>SUMIF(Regcontabilizados[Número pago],'PAGO Ventas'!Q90,Regcontabilizados[Haber])</f>
        <v>0</v>
      </c>
      <c r="AB90" s="33" t="str">
        <f>IF(J90=0,"",   _xlfn.XLOOKUP(AC90,Regcontabilizados[Identificador],Regcontabilizados[Subcuenta],0))</f>
        <v/>
      </c>
      <c r="AC90" t="str">
        <f>IF(J90=0,"",   _xlfn.XLOOKUP($H$7,BDclient[ID-Cliente],BDclient[NIT/C.C.],0)&amp;H76&amp;$D$23&amp;"-"&amp;1)</f>
        <v/>
      </c>
      <c r="AD90" t="str">
        <f t="shared" si="12"/>
        <v/>
      </c>
      <c r="AE90" t="str">
        <f t="shared" si="13"/>
        <v>En Blanco</v>
      </c>
      <c r="AF90" t="str">
        <f>_xlfn.XLOOKUP($H$7,BDclient[ID-Cliente],BDclient[NIT/C.C.],0)&amp;$H$13&amp;$E$7&amp;"-"&amp;ROW(AA90)-21</f>
        <v>Comp. Ingreso-69</v>
      </c>
      <c r="AQ90" t="str">
        <f t="shared" si="14"/>
        <v>PAGADO</v>
      </c>
    </row>
    <row r="91" spans="3:43">
      <c r="C91" s="194"/>
      <c r="D91" s="206"/>
      <c r="E91" s="142"/>
      <c r="F91" s="195"/>
      <c r="G91" s="183"/>
      <c r="H91" s="37">
        <f t="shared" si="10"/>
        <v>0</v>
      </c>
      <c r="I91" s="37"/>
      <c r="J91" s="210">
        <f t="shared" si="11"/>
        <v>0</v>
      </c>
      <c r="K91" s="197"/>
      <c r="P91" t="str">
        <f>_xlfn.XLOOKUP($H$7,BDclient[ID-Cliente],BDclient[NIT/C.C.],0)&amp;$H$9&amp;$O91&amp;"-"&amp;1</f>
        <v>F. V.-1</v>
      </c>
      <c r="Q91" t="str">
        <f t="shared" si="15"/>
        <v/>
      </c>
      <c r="R91" t="str">
        <f>IF(O91="","",    _xlfn.XLOOKUP(Q91,Regcontabilizados[Número pago],Regcontabilizados[Estado de pago],"NO PAGADO"))</f>
        <v/>
      </c>
      <c r="S91" s="44">
        <f>_xlfn.XLOOKUP(P91,Regcontabilizados[Identificador],Regcontabilizados[Fecha vencimiento],0)</f>
        <v>0</v>
      </c>
      <c r="T91">
        <f>_xlfn.XLOOKUP(P91,Regcontabilizados[Identificador],Regcontabilizados[Subcuenta],0)</f>
        <v>0</v>
      </c>
      <c r="U91">
        <f>_xlfn.XLOOKUP(P91,Regcontabilizados[Identificador],Regcontabilizados[Debe],0)+_xlfn.XLOOKUP(Q91&amp;"-"&amp;2,Regcontabilizados[Identificador],Regcontabilizados[Debe],0)+_xlfn.XLOOKUP(Q91&amp;"-"&amp;3,Regcontabilizados[Identificador],Regcontabilizados[Debe],0)+_xlfn.XLOOKUP(Q91&amp;"-"&amp;4,Regcontabilizados[Identificador],Regcontabilizados[Debe],0)+_xlfn.XLOOKUP(Q91&amp;"-"&amp;5,Regcontabilizados[Identificador],Regcontabilizados[Debe],0)+_xlfn.XLOOKUP(Q91&amp;"-"&amp;6,Regcontabilizados[Identificador],Regcontabilizados[Debe],0)+_xlfn.XLOOKUP(Q91&amp;"-"&amp;7,Regcontabilizados[Identificador],Regcontabilizados[Debe],0)+_xlfn.XLOOKUP(Q91&amp;"-"&amp;8,Regcontabilizados[Identificador],Regcontabilizados[Debe],0)+_xlfn.XLOOKUP(Q91&amp;"-"&amp;9,Regcontabilizados[Identificador],Regcontabilizados[Debe],0)</f>
        <v>0</v>
      </c>
      <c r="V91">
        <f>SUMIF(Regcontabilizados[Número pago],'PAGO Ventas'!Q91,Regcontabilizados[Haber])</f>
        <v>0</v>
      </c>
      <c r="AB91" s="33" t="str">
        <f>IF(J91=0,"",   _xlfn.XLOOKUP(AC91,Regcontabilizados[Identificador],Regcontabilizados[Subcuenta],0))</f>
        <v/>
      </c>
      <c r="AC91" t="str">
        <f>IF(J91=0,"",   _xlfn.XLOOKUP($H$7,BDclient[ID-Cliente],BDclient[NIT/C.C.],0)&amp;H77&amp;$D$23&amp;"-"&amp;1)</f>
        <v/>
      </c>
      <c r="AD91" t="str">
        <f t="shared" si="12"/>
        <v/>
      </c>
      <c r="AE91" t="str">
        <f t="shared" si="13"/>
        <v>En Blanco</v>
      </c>
      <c r="AF91" t="str">
        <f>_xlfn.XLOOKUP($H$7,BDclient[ID-Cliente],BDclient[NIT/C.C.],0)&amp;$H$13&amp;$E$7&amp;"-"&amp;ROW(AA91)-21</f>
        <v>Comp. Ingreso-70</v>
      </c>
      <c r="AQ91" t="str">
        <f t="shared" si="14"/>
        <v>PAGADO</v>
      </c>
    </row>
    <row r="92" spans="3:43">
      <c r="C92" s="194"/>
      <c r="D92" s="206"/>
      <c r="E92" s="142"/>
      <c r="F92" s="195"/>
      <c r="G92" s="183"/>
      <c r="H92" s="37">
        <f t="shared" si="10"/>
        <v>0</v>
      </c>
      <c r="I92" s="37"/>
      <c r="J92" s="210">
        <f t="shared" si="11"/>
        <v>0</v>
      </c>
      <c r="K92" s="197"/>
      <c r="P92" t="str">
        <f>_xlfn.XLOOKUP($H$7,BDclient[ID-Cliente],BDclient[NIT/C.C.],0)&amp;$H$9&amp;$O92&amp;"-"&amp;1</f>
        <v>F. V.-1</v>
      </c>
      <c r="Q92" t="str">
        <f t="shared" si="15"/>
        <v/>
      </c>
      <c r="R92" t="str">
        <f>IF(O92="","",    _xlfn.XLOOKUP(Q92,Regcontabilizados[Número pago],Regcontabilizados[Estado de pago],"NO PAGADO"))</f>
        <v/>
      </c>
      <c r="S92" s="44">
        <f>_xlfn.XLOOKUP(P92,Regcontabilizados[Identificador],Regcontabilizados[Fecha vencimiento],0)</f>
        <v>0</v>
      </c>
      <c r="T92">
        <f>_xlfn.XLOOKUP(P92,Regcontabilizados[Identificador],Regcontabilizados[Subcuenta],0)</f>
        <v>0</v>
      </c>
      <c r="U92">
        <f>_xlfn.XLOOKUP(P92,Regcontabilizados[Identificador],Regcontabilizados[Debe],0)+_xlfn.XLOOKUP(Q92&amp;"-"&amp;2,Regcontabilizados[Identificador],Regcontabilizados[Debe],0)+_xlfn.XLOOKUP(Q92&amp;"-"&amp;3,Regcontabilizados[Identificador],Regcontabilizados[Debe],0)+_xlfn.XLOOKUP(Q92&amp;"-"&amp;4,Regcontabilizados[Identificador],Regcontabilizados[Debe],0)+_xlfn.XLOOKUP(Q92&amp;"-"&amp;5,Regcontabilizados[Identificador],Regcontabilizados[Debe],0)+_xlfn.XLOOKUP(Q92&amp;"-"&amp;6,Regcontabilizados[Identificador],Regcontabilizados[Debe],0)+_xlfn.XLOOKUP(Q92&amp;"-"&amp;7,Regcontabilizados[Identificador],Regcontabilizados[Debe],0)+_xlfn.XLOOKUP(Q92&amp;"-"&amp;8,Regcontabilizados[Identificador],Regcontabilizados[Debe],0)+_xlfn.XLOOKUP(Q92&amp;"-"&amp;9,Regcontabilizados[Identificador],Regcontabilizados[Debe],0)</f>
        <v>0</v>
      </c>
      <c r="V92">
        <f>SUMIF(Regcontabilizados[Número pago],'PAGO Ventas'!Q92,Regcontabilizados[Haber])</f>
        <v>0</v>
      </c>
      <c r="AB92" s="33" t="str">
        <f>IF(J92=0,"",   _xlfn.XLOOKUP(AC92,Regcontabilizados[Identificador],Regcontabilizados[Subcuenta],0))</f>
        <v/>
      </c>
      <c r="AC92" t="str">
        <f>IF(J92=0,"",   _xlfn.XLOOKUP($H$7,BDclient[ID-Cliente],BDclient[NIT/C.C.],0)&amp;H78&amp;$D$23&amp;"-"&amp;1)</f>
        <v/>
      </c>
      <c r="AD92" t="str">
        <f t="shared" si="12"/>
        <v/>
      </c>
      <c r="AE92" t="str">
        <f t="shared" si="13"/>
        <v>En Blanco</v>
      </c>
      <c r="AF92" t="str">
        <f>_xlfn.XLOOKUP($H$7,BDclient[ID-Cliente],BDclient[NIT/C.C.],0)&amp;$H$13&amp;$E$7&amp;"-"&amp;ROW(AA92)-21</f>
        <v>Comp. Ingreso-71</v>
      </c>
      <c r="AQ92" t="str">
        <f t="shared" si="14"/>
        <v>PAGADO</v>
      </c>
    </row>
    <row r="93" spans="3:43">
      <c r="C93" s="194"/>
      <c r="D93" s="206"/>
      <c r="E93" s="142"/>
      <c r="F93" s="195"/>
      <c r="G93" s="183"/>
      <c r="H93" s="37">
        <f t="shared" si="10"/>
        <v>0</v>
      </c>
      <c r="I93" s="37"/>
      <c r="J93" s="210">
        <f t="shared" si="11"/>
        <v>0</v>
      </c>
      <c r="K93" s="197"/>
      <c r="P93" t="str">
        <f>_xlfn.XLOOKUP($H$7,BDclient[ID-Cliente],BDclient[NIT/C.C.],0)&amp;$H$9&amp;$O93&amp;"-"&amp;1</f>
        <v>F. V.-1</v>
      </c>
      <c r="Q93" t="str">
        <f t="shared" si="15"/>
        <v/>
      </c>
      <c r="R93" t="str">
        <f>IF(O93="","",    _xlfn.XLOOKUP(Q93,Regcontabilizados[Número pago],Regcontabilizados[Estado de pago],"NO PAGADO"))</f>
        <v/>
      </c>
      <c r="S93" s="44">
        <f>_xlfn.XLOOKUP(P93,Regcontabilizados[Identificador],Regcontabilizados[Fecha vencimiento],0)</f>
        <v>0</v>
      </c>
      <c r="T93">
        <f>_xlfn.XLOOKUP(P93,Regcontabilizados[Identificador],Regcontabilizados[Subcuenta],0)</f>
        <v>0</v>
      </c>
      <c r="U93">
        <f>_xlfn.XLOOKUP(P93,Regcontabilizados[Identificador],Regcontabilizados[Debe],0)+_xlfn.XLOOKUP(Q93&amp;"-"&amp;2,Regcontabilizados[Identificador],Regcontabilizados[Debe],0)+_xlfn.XLOOKUP(Q93&amp;"-"&amp;3,Regcontabilizados[Identificador],Regcontabilizados[Debe],0)+_xlfn.XLOOKUP(Q93&amp;"-"&amp;4,Regcontabilizados[Identificador],Regcontabilizados[Debe],0)+_xlfn.XLOOKUP(Q93&amp;"-"&amp;5,Regcontabilizados[Identificador],Regcontabilizados[Debe],0)+_xlfn.XLOOKUP(Q93&amp;"-"&amp;6,Regcontabilizados[Identificador],Regcontabilizados[Debe],0)+_xlfn.XLOOKUP(Q93&amp;"-"&amp;7,Regcontabilizados[Identificador],Regcontabilizados[Debe],0)+_xlfn.XLOOKUP(Q93&amp;"-"&amp;8,Regcontabilizados[Identificador],Regcontabilizados[Debe],0)+_xlfn.XLOOKUP(Q93&amp;"-"&amp;9,Regcontabilizados[Identificador],Regcontabilizados[Debe],0)</f>
        <v>0</v>
      </c>
      <c r="V93">
        <f>SUMIF(Regcontabilizados[Número pago],'PAGO Ventas'!Q93,Regcontabilizados[Haber])</f>
        <v>0</v>
      </c>
      <c r="AB93" s="33" t="str">
        <f>IF(J93=0,"",   _xlfn.XLOOKUP(AC93,Regcontabilizados[Identificador],Regcontabilizados[Subcuenta],0))</f>
        <v/>
      </c>
      <c r="AC93" t="str">
        <f>IF(J93=0,"",   _xlfn.XLOOKUP($H$7,BDclient[ID-Cliente],BDclient[NIT/C.C.],0)&amp;H79&amp;$D$23&amp;"-"&amp;1)</f>
        <v/>
      </c>
      <c r="AD93" t="str">
        <f t="shared" si="12"/>
        <v/>
      </c>
      <c r="AE93" t="str">
        <f t="shared" si="13"/>
        <v>En Blanco</v>
      </c>
      <c r="AF93" t="str">
        <f>_xlfn.XLOOKUP($H$7,BDclient[ID-Cliente],BDclient[NIT/C.C.],0)&amp;$H$13&amp;$E$7&amp;"-"&amp;ROW(AA93)-21</f>
        <v>Comp. Ingreso-72</v>
      </c>
      <c r="AQ93" t="str">
        <f t="shared" si="14"/>
        <v>PAGADO</v>
      </c>
    </row>
    <row r="94" spans="3:43">
      <c r="C94" s="194"/>
      <c r="D94" s="206"/>
      <c r="E94" s="142"/>
      <c r="F94" s="195"/>
      <c r="G94" s="183"/>
      <c r="H94" s="37">
        <f t="shared" si="10"/>
        <v>0</v>
      </c>
      <c r="I94" s="37"/>
      <c r="J94" s="210">
        <f t="shared" si="11"/>
        <v>0</v>
      </c>
      <c r="K94" s="197"/>
      <c r="P94" t="str">
        <f>_xlfn.XLOOKUP($H$7,BDclient[ID-Cliente],BDclient[NIT/C.C.],0)&amp;$H$9&amp;$O94&amp;"-"&amp;1</f>
        <v>F. V.-1</v>
      </c>
      <c r="Q94" t="str">
        <f t="shared" si="15"/>
        <v/>
      </c>
      <c r="R94" t="str">
        <f>IF(O94="","",    _xlfn.XLOOKUP(Q94,Regcontabilizados[Número pago],Regcontabilizados[Estado de pago],"NO PAGADO"))</f>
        <v/>
      </c>
      <c r="S94" s="44">
        <f>_xlfn.XLOOKUP(P94,Regcontabilizados[Identificador],Regcontabilizados[Fecha vencimiento],0)</f>
        <v>0</v>
      </c>
      <c r="T94">
        <f>_xlfn.XLOOKUP(P94,Regcontabilizados[Identificador],Regcontabilizados[Subcuenta],0)</f>
        <v>0</v>
      </c>
      <c r="U94">
        <f>_xlfn.XLOOKUP(P94,Regcontabilizados[Identificador],Regcontabilizados[Debe],0)+_xlfn.XLOOKUP(Q94&amp;"-"&amp;2,Regcontabilizados[Identificador],Regcontabilizados[Debe],0)+_xlfn.XLOOKUP(Q94&amp;"-"&amp;3,Regcontabilizados[Identificador],Regcontabilizados[Debe],0)+_xlfn.XLOOKUP(Q94&amp;"-"&amp;4,Regcontabilizados[Identificador],Regcontabilizados[Debe],0)+_xlfn.XLOOKUP(Q94&amp;"-"&amp;5,Regcontabilizados[Identificador],Regcontabilizados[Debe],0)+_xlfn.XLOOKUP(Q94&amp;"-"&amp;6,Regcontabilizados[Identificador],Regcontabilizados[Debe],0)+_xlfn.XLOOKUP(Q94&amp;"-"&amp;7,Regcontabilizados[Identificador],Regcontabilizados[Debe],0)+_xlfn.XLOOKUP(Q94&amp;"-"&amp;8,Regcontabilizados[Identificador],Regcontabilizados[Debe],0)+_xlfn.XLOOKUP(Q94&amp;"-"&amp;9,Regcontabilizados[Identificador],Regcontabilizados[Debe],0)</f>
        <v>0</v>
      </c>
      <c r="V94">
        <f>SUMIF(Regcontabilizados[Número pago],'PAGO Ventas'!Q94,Regcontabilizados[Haber])</f>
        <v>0</v>
      </c>
      <c r="AB94" s="33" t="str">
        <f>IF(J94=0,"",   _xlfn.XLOOKUP(AC94,Regcontabilizados[Identificador],Regcontabilizados[Subcuenta],0))</f>
        <v/>
      </c>
      <c r="AC94" t="str">
        <f>IF(J94=0,"",   _xlfn.XLOOKUP($H$7,BDclient[ID-Cliente],BDclient[NIT/C.C.],0)&amp;H80&amp;$D$23&amp;"-"&amp;1)</f>
        <v/>
      </c>
      <c r="AD94" t="str">
        <f t="shared" si="12"/>
        <v/>
      </c>
      <c r="AE94" t="str">
        <f t="shared" si="13"/>
        <v>En Blanco</v>
      </c>
      <c r="AF94" t="str">
        <f>_xlfn.XLOOKUP($H$7,BDclient[ID-Cliente],BDclient[NIT/C.C.],0)&amp;$H$13&amp;$E$7&amp;"-"&amp;ROW(AA94)-21</f>
        <v>Comp. Ingreso-73</v>
      </c>
      <c r="AQ94" t="str">
        <f t="shared" si="14"/>
        <v>PAGADO</v>
      </c>
    </row>
    <row r="95" spans="3:43">
      <c r="C95" s="194"/>
      <c r="D95" s="206"/>
      <c r="E95" s="142"/>
      <c r="F95" s="195"/>
      <c r="G95" s="183"/>
      <c r="H95" s="37">
        <f t="shared" si="10"/>
        <v>0</v>
      </c>
      <c r="I95" s="37"/>
      <c r="J95" s="210">
        <f t="shared" si="11"/>
        <v>0</v>
      </c>
      <c r="K95" s="197"/>
      <c r="P95" t="str">
        <f>_xlfn.XLOOKUP($H$7,BDclient[ID-Cliente],BDclient[NIT/C.C.],0)&amp;$H$9&amp;$O95&amp;"-"&amp;1</f>
        <v>F. V.-1</v>
      </c>
      <c r="Q95" t="str">
        <f t="shared" si="15"/>
        <v/>
      </c>
      <c r="R95" t="str">
        <f>IF(O95="","",    _xlfn.XLOOKUP(Q95,Regcontabilizados[Número pago],Regcontabilizados[Estado de pago],"NO PAGADO"))</f>
        <v/>
      </c>
      <c r="S95" s="44">
        <f>_xlfn.XLOOKUP(P95,Regcontabilizados[Identificador],Regcontabilizados[Fecha vencimiento],0)</f>
        <v>0</v>
      </c>
      <c r="T95">
        <f>_xlfn.XLOOKUP(P95,Regcontabilizados[Identificador],Regcontabilizados[Subcuenta],0)</f>
        <v>0</v>
      </c>
      <c r="U95">
        <f>_xlfn.XLOOKUP(P95,Regcontabilizados[Identificador],Regcontabilizados[Debe],0)+_xlfn.XLOOKUP(Q95&amp;"-"&amp;2,Regcontabilizados[Identificador],Regcontabilizados[Debe],0)+_xlfn.XLOOKUP(Q95&amp;"-"&amp;3,Regcontabilizados[Identificador],Regcontabilizados[Debe],0)+_xlfn.XLOOKUP(Q95&amp;"-"&amp;4,Regcontabilizados[Identificador],Regcontabilizados[Debe],0)+_xlfn.XLOOKUP(Q95&amp;"-"&amp;5,Regcontabilizados[Identificador],Regcontabilizados[Debe],0)+_xlfn.XLOOKUP(Q95&amp;"-"&amp;6,Regcontabilizados[Identificador],Regcontabilizados[Debe],0)+_xlfn.XLOOKUP(Q95&amp;"-"&amp;7,Regcontabilizados[Identificador],Regcontabilizados[Debe],0)+_xlfn.XLOOKUP(Q95&amp;"-"&amp;8,Regcontabilizados[Identificador],Regcontabilizados[Debe],0)+_xlfn.XLOOKUP(Q95&amp;"-"&amp;9,Regcontabilizados[Identificador],Regcontabilizados[Debe],0)</f>
        <v>0</v>
      </c>
      <c r="V95">
        <f>SUMIF(Regcontabilizados[Número pago],'PAGO Ventas'!Q95,Regcontabilizados[Haber])</f>
        <v>0</v>
      </c>
      <c r="AB95" s="33" t="str">
        <f>IF(J95=0,"",   _xlfn.XLOOKUP(AC95,Regcontabilizados[Identificador],Regcontabilizados[Subcuenta],0))</f>
        <v/>
      </c>
      <c r="AC95" t="str">
        <f>IF(J95=0,"",   _xlfn.XLOOKUP($H$7,BDclient[ID-Cliente],BDclient[NIT/C.C.],0)&amp;H81&amp;$D$23&amp;"-"&amp;1)</f>
        <v/>
      </c>
      <c r="AD95" t="str">
        <f t="shared" si="12"/>
        <v/>
      </c>
      <c r="AE95" t="str">
        <f t="shared" si="13"/>
        <v>En Blanco</v>
      </c>
      <c r="AF95" t="str">
        <f>_xlfn.XLOOKUP($H$7,BDclient[ID-Cliente],BDclient[NIT/C.C.],0)&amp;$H$13&amp;$E$7&amp;"-"&amp;ROW(AA95)-21</f>
        <v>Comp. Ingreso-74</v>
      </c>
      <c r="AQ95" t="str">
        <f t="shared" si="14"/>
        <v>PAGADO</v>
      </c>
    </row>
    <row r="96" spans="3:43">
      <c r="C96" s="194"/>
      <c r="D96" s="206"/>
      <c r="E96" s="142"/>
      <c r="F96" s="195"/>
      <c r="G96" s="183"/>
      <c r="H96" s="37">
        <f t="shared" si="10"/>
        <v>0</v>
      </c>
      <c r="I96" s="37"/>
      <c r="J96" s="210">
        <f t="shared" si="11"/>
        <v>0</v>
      </c>
      <c r="K96" s="197"/>
      <c r="P96" t="str">
        <f>_xlfn.XLOOKUP($H$7,BDclient[ID-Cliente],BDclient[NIT/C.C.],0)&amp;$H$9&amp;$O96&amp;"-"&amp;1</f>
        <v>F. V.-1</v>
      </c>
      <c r="Q96" t="str">
        <f t="shared" si="15"/>
        <v/>
      </c>
      <c r="R96" t="str">
        <f>IF(O96="","",    _xlfn.XLOOKUP(Q96,Regcontabilizados[Número pago],Regcontabilizados[Estado de pago],"NO PAGADO"))</f>
        <v/>
      </c>
      <c r="S96" s="44">
        <f>_xlfn.XLOOKUP(P96,Regcontabilizados[Identificador],Regcontabilizados[Fecha vencimiento],0)</f>
        <v>0</v>
      </c>
      <c r="T96">
        <f>_xlfn.XLOOKUP(P96,Regcontabilizados[Identificador],Regcontabilizados[Subcuenta],0)</f>
        <v>0</v>
      </c>
      <c r="U96">
        <f>_xlfn.XLOOKUP(P96,Regcontabilizados[Identificador],Regcontabilizados[Debe],0)+_xlfn.XLOOKUP(Q96&amp;"-"&amp;2,Regcontabilizados[Identificador],Regcontabilizados[Debe],0)+_xlfn.XLOOKUP(Q96&amp;"-"&amp;3,Regcontabilizados[Identificador],Regcontabilizados[Debe],0)+_xlfn.XLOOKUP(Q96&amp;"-"&amp;4,Regcontabilizados[Identificador],Regcontabilizados[Debe],0)+_xlfn.XLOOKUP(Q96&amp;"-"&amp;5,Regcontabilizados[Identificador],Regcontabilizados[Debe],0)+_xlfn.XLOOKUP(Q96&amp;"-"&amp;6,Regcontabilizados[Identificador],Regcontabilizados[Debe],0)+_xlfn.XLOOKUP(Q96&amp;"-"&amp;7,Regcontabilizados[Identificador],Regcontabilizados[Debe],0)+_xlfn.XLOOKUP(Q96&amp;"-"&amp;8,Regcontabilizados[Identificador],Regcontabilizados[Debe],0)+_xlfn.XLOOKUP(Q96&amp;"-"&amp;9,Regcontabilizados[Identificador],Regcontabilizados[Debe],0)</f>
        <v>0</v>
      </c>
      <c r="V96">
        <f>SUMIF(Regcontabilizados[Número pago],'PAGO Ventas'!Q96,Regcontabilizados[Haber])</f>
        <v>0</v>
      </c>
      <c r="AB96" s="33" t="str">
        <f>IF(J96=0,"",   _xlfn.XLOOKUP(AC96,Regcontabilizados[Identificador],Regcontabilizados[Subcuenta],0))</f>
        <v/>
      </c>
      <c r="AC96" t="str">
        <f>IF(J96=0,"",   _xlfn.XLOOKUP($H$7,BDclient[ID-Cliente],BDclient[NIT/C.C.],0)&amp;H82&amp;$D$23&amp;"-"&amp;1)</f>
        <v/>
      </c>
      <c r="AD96" t="str">
        <f t="shared" si="12"/>
        <v/>
      </c>
      <c r="AE96" t="str">
        <f t="shared" si="13"/>
        <v>En Blanco</v>
      </c>
      <c r="AF96" t="str">
        <f>_xlfn.XLOOKUP($H$7,BDclient[ID-Cliente],BDclient[NIT/C.C.],0)&amp;$H$13&amp;$E$7&amp;"-"&amp;ROW(AA96)-21</f>
        <v>Comp. Ingreso-75</v>
      </c>
      <c r="AQ96" t="str">
        <f t="shared" si="14"/>
        <v>PAGADO</v>
      </c>
    </row>
    <row r="97" spans="3:43">
      <c r="C97" s="194"/>
      <c r="D97" s="206"/>
      <c r="E97" s="142"/>
      <c r="F97" s="195"/>
      <c r="G97" s="183"/>
      <c r="H97" s="37">
        <f t="shared" si="10"/>
        <v>0</v>
      </c>
      <c r="I97" s="37"/>
      <c r="J97" s="210">
        <f t="shared" si="11"/>
        <v>0</v>
      </c>
      <c r="K97" s="197"/>
      <c r="P97" t="str">
        <f>_xlfn.XLOOKUP($H$7,BDclient[ID-Cliente],BDclient[NIT/C.C.],0)&amp;$H$9&amp;$O97&amp;"-"&amp;1</f>
        <v>F. V.-1</v>
      </c>
      <c r="Q97" t="str">
        <f t="shared" si="15"/>
        <v/>
      </c>
      <c r="R97" t="str">
        <f>IF(O97="","",    _xlfn.XLOOKUP(Q97,Regcontabilizados[Número pago],Regcontabilizados[Estado de pago],"NO PAGADO"))</f>
        <v/>
      </c>
      <c r="S97" s="44">
        <f>_xlfn.XLOOKUP(P97,Regcontabilizados[Identificador],Regcontabilizados[Fecha vencimiento],0)</f>
        <v>0</v>
      </c>
      <c r="T97">
        <f>_xlfn.XLOOKUP(P97,Regcontabilizados[Identificador],Regcontabilizados[Subcuenta],0)</f>
        <v>0</v>
      </c>
      <c r="U97">
        <f>_xlfn.XLOOKUP(P97,Regcontabilizados[Identificador],Regcontabilizados[Debe],0)+_xlfn.XLOOKUP(Q97&amp;"-"&amp;2,Regcontabilizados[Identificador],Regcontabilizados[Debe],0)+_xlfn.XLOOKUP(Q97&amp;"-"&amp;3,Regcontabilizados[Identificador],Regcontabilizados[Debe],0)+_xlfn.XLOOKUP(Q97&amp;"-"&amp;4,Regcontabilizados[Identificador],Regcontabilizados[Debe],0)+_xlfn.XLOOKUP(Q97&amp;"-"&amp;5,Regcontabilizados[Identificador],Regcontabilizados[Debe],0)+_xlfn.XLOOKUP(Q97&amp;"-"&amp;6,Regcontabilizados[Identificador],Regcontabilizados[Debe],0)+_xlfn.XLOOKUP(Q97&amp;"-"&amp;7,Regcontabilizados[Identificador],Regcontabilizados[Debe],0)+_xlfn.XLOOKUP(Q97&amp;"-"&amp;8,Regcontabilizados[Identificador],Regcontabilizados[Debe],0)+_xlfn.XLOOKUP(Q97&amp;"-"&amp;9,Regcontabilizados[Identificador],Regcontabilizados[Debe],0)</f>
        <v>0</v>
      </c>
      <c r="V97">
        <f>SUMIF(Regcontabilizados[Número pago],'PAGO Ventas'!Q97,Regcontabilizados[Haber])</f>
        <v>0</v>
      </c>
      <c r="AB97" s="33" t="str">
        <f>IF(J97=0,"",   _xlfn.XLOOKUP(AC97,Regcontabilizados[Identificador],Regcontabilizados[Subcuenta],0))</f>
        <v/>
      </c>
      <c r="AC97" t="str">
        <f>IF(J97=0,"",   _xlfn.XLOOKUP($H$7,BDclient[ID-Cliente],BDclient[NIT/C.C.],0)&amp;H83&amp;$D$23&amp;"-"&amp;1)</f>
        <v/>
      </c>
      <c r="AD97" t="str">
        <f t="shared" si="12"/>
        <v/>
      </c>
      <c r="AE97" t="str">
        <f t="shared" si="13"/>
        <v>En Blanco</v>
      </c>
      <c r="AF97" t="str">
        <f>_xlfn.XLOOKUP($H$7,BDclient[ID-Cliente],BDclient[NIT/C.C.],0)&amp;$H$13&amp;$E$7&amp;"-"&amp;ROW(AA97)-21</f>
        <v>Comp. Ingreso-76</v>
      </c>
      <c r="AQ97" t="str">
        <f t="shared" si="14"/>
        <v>PAGADO</v>
      </c>
    </row>
    <row r="98" spans="3:43">
      <c r="C98" s="194"/>
      <c r="D98" s="206"/>
      <c r="E98" s="142"/>
      <c r="F98" s="195"/>
      <c r="G98" s="183"/>
      <c r="H98" s="37">
        <f t="shared" si="10"/>
        <v>0</v>
      </c>
      <c r="I98" s="37"/>
      <c r="J98" s="210">
        <f t="shared" si="11"/>
        <v>0</v>
      </c>
      <c r="K98" s="197"/>
      <c r="P98" t="str">
        <f>_xlfn.XLOOKUP($H$7,BDclient[ID-Cliente],BDclient[NIT/C.C.],0)&amp;$H$9&amp;$O98&amp;"-"&amp;1</f>
        <v>F. V.-1</v>
      </c>
      <c r="Q98" t="str">
        <f t="shared" si="15"/>
        <v/>
      </c>
      <c r="R98" t="str">
        <f>IF(O98="","",    _xlfn.XLOOKUP(Q98,Regcontabilizados[Número pago],Regcontabilizados[Estado de pago],"NO PAGADO"))</f>
        <v/>
      </c>
      <c r="S98" s="44">
        <f>_xlfn.XLOOKUP(P98,Regcontabilizados[Identificador],Regcontabilizados[Fecha vencimiento],0)</f>
        <v>0</v>
      </c>
      <c r="T98">
        <f>_xlfn.XLOOKUP(P98,Regcontabilizados[Identificador],Regcontabilizados[Subcuenta],0)</f>
        <v>0</v>
      </c>
      <c r="U98">
        <f>_xlfn.XLOOKUP(P98,Regcontabilizados[Identificador],Regcontabilizados[Debe],0)+_xlfn.XLOOKUP(Q98&amp;"-"&amp;2,Regcontabilizados[Identificador],Regcontabilizados[Debe],0)+_xlfn.XLOOKUP(Q98&amp;"-"&amp;3,Regcontabilizados[Identificador],Regcontabilizados[Debe],0)+_xlfn.XLOOKUP(Q98&amp;"-"&amp;4,Regcontabilizados[Identificador],Regcontabilizados[Debe],0)+_xlfn.XLOOKUP(Q98&amp;"-"&amp;5,Regcontabilizados[Identificador],Regcontabilizados[Debe],0)+_xlfn.XLOOKUP(Q98&amp;"-"&amp;6,Regcontabilizados[Identificador],Regcontabilizados[Debe],0)+_xlfn.XLOOKUP(Q98&amp;"-"&amp;7,Regcontabilizados[Identificador],Regcontabilizados[Debe],0)+_xlfn.XLOOKUP(Q98&amp;"-"&amp;8,Regcontabilizados[Identificador],Regcontabilizados[Debe],0)+_xlfn.XLOOKUP(Q98&amp;"-"&amp;9,Regcontabilizados[Identificador],Regcontabilizados[Debe],0)</f>
        <v>0</v>
      </c>
      <c r="V98">
        <f>SUMIF(Regcontabilizados[Número pago],'PAGO Ventas'!Q98,Regcontabilizados[Haber])</f>
        <v>0</v>
      </c>
      <c r="AB98" s="33" t="str">
        <f>IF(J98=0,"",   _xlfn.XLOOKUP(AC98,Regcontabilizados[Identificador],Regcontabilizados[Subcuenta],0))</f>
        <v/>
      </c>
      <c r="AC98" t="str">
        <f>IF(J98=0,"",   _xlfn.XLOOKUP($H$7,BDclient[ID-Cliente],BDclient[NIT/C.C.],0)&amp;H84&amp;$D$23&amp;"-"&amp;1)</f>
        <v/>
      </c>
      <c r="AD98" t="str">
        <f t="shared" si="12"/>
        <v/>
      </c>
      <c r="AE98" t="str">
        <f t="shared" si="13"/>
        <v>En Blanco</v>
      </c>
      <c r="AF98" t="str">
        <f>_xlfn.XLOOKUP($H$7,BDclient[ID-Cliente],BDclient[NIT/C.C.],0)&amp;$H$13&amp;$E$7&amp;"-"&amp;ROW(AA98)-21</f>
        <v>Comp. Ingreso-77</v>
      </c>
      <c r="AQ98" t="str">
        <f t="shared" si="14"/>
        <v>PAGADO</v>
      </c>
    </row>
    <row r="99" spans="3:43">
      <c r="C99" s="194"/>
      <c r="D99" s="206"/>
      <c r="E99" s="142"/>
      <c r="F99" s="195"/>
      <c r="G99" s="183"/>
      <c r="H99" s="37">
        <f t="shared" si="10"/>
        <v>0</v>
      </c>
      <c r="I99" s="37"/>
      <c r="J99" s="210">
        <f t="shared" si="11"/>
        <v>0</v>
      </c>
      <c r="K99" s="197"/>
      <c r="P99" t="str">
        <f>_xlfn.XLOOKUP($H$7,BDclient[ID-Cliente],BDclient[NIT/C.C.],0)&amp;$H$9&amp;$O99&amp;"-"&amp;1</f>
        <v>F. V.-1</v>
      </c>
      <c r="Q99" t="str">
        <f t="shared" si="15"/>
        <v/>
      </c>
      <c r="R99" t="str">
        <f>IF(O99="","",    _xlfn.XLOOKUP(Q99,Regcontabilizados[Número pago],Regcontabilizados[Estado de pago],"NO PAGADO"))</f>
        <v/>
      </c>
      <c r="S99" s="44">
        <f>_xlfn.XLOOKUP(P99,Regcontabilizados[Identificador],Regcontabilizados[Fecha vencimiento],0)</f>
        <v>0</v>
      </c>
      <c r="T99">
        <f>_xlfn.XLOOKUP(P99,Regcontabilizados[Identificador],Regcontabilizados[Subcuenta],0)</f>
        <v>0</v>
      </c>
      <c r="U99">
        <f>_xlfn.XLOOKUP(P99,Regcontabilizados[Identificador],Regcontabilizados[Debe],0)+_xlfn.XLOOKUP(Q99&amp;"-"&amp;2,Regcontabilizados[Identificador],Regcontabilizados[Debe],0)+_xlfn.XLOOKUP(Q99&amp;"-"&amp;3,Regcontabilizados[Identificador],Regcontabilizados[Debe],0)+_xlfn.XLOOKUP(Q99&amp;"-"&amp;4,Regcontabilizados[Identificador],Regcontabilizados[Debe],0)+_xlfn.XLOOKUP(Q99&amp;"-"&amp;5,Regcontabilizados[Identificador],Regcontabilizados[Debe],0)+_xlfn.XLOOKUP(Q99&amp;"-"&amp;6,Regcontabilizados[Identificador],Regcontabilizados[Debe],0)+_xlfn.XLOOKUP(Q99&amp;"-"&amp;7,Regcontabilizados[Identificador],Regcontabilizados[Debe],0)+_xlfn.XLOOKUP(Q99&amp;"-"&amp;8,Regcontabilizados[Identificador],Regcontabilizados[Debe],0)+_xlfn.XLOOKUP(Q99&amp;"-"&amp;9,Regcontabilizados[Identificador],Regcontabilizados[Debe],0)</f>
        <v>0</v>
      </c>
      <c r="V99">
        <f>SUMIF(Regcontabilizados[Número pago],'PAGO Ventas'!Q99,Regcontabilizados[Haber])</f>
        <v>0</v>
      </c>
      <c r="AB99" s="33" t="str">
        <f>IF(J99=0,"",   _xlfn.XLOOKUP(AC99,Regcontabilizados[Identificador],Regcontabilizados[Subcuenta],0))</f>
        <v/>
      </c>
      <c r="AC99" t="str">
        <f>IF(J99=0,"",   _xlfn.XLOOKUP($H$7,BDclient[ID-Cliente],BDclient[NIT/C.C.],0)&amp;H85&amp;$D$23&amp;"-"&amp;1)</f>
        <v/>
      </c>
      <c r="AD99" t="str">
        <f t="shared" si="12"/>
        <v/>
      </c>
      <c r="AE99" t="str">
        <f t="shared" si="13"/>
        <v>En Blanco</v>
      </c>
      <c r="AF99" t="str">
        <f>_xlfn.XLOOKUP($H$7,BDclient[ID-Cliente],BDclient[NIT/C.C.],0)&amp;$H$13&amp;$E$7&amp;"-"&amp;ROW(AA99)-21</f>
        <v>Comp. Ingreso-78</v>
      </c>
      <c r="AQ99" t="str">
        <f t="shared" si="14"/>
        <v>PAGADO</v>
      </c>
    </row>
    <row r="100" spans="3:43">
      <c r="C100" s="194"/>
      <c r="D100" s="206"/>
      <c r="E100" s="142"/>
      <c r="F100" s="195"/>
      <c r="G100" s="183"/>
      <c r="H100" s="37">
        <f t="shared" si="10"/>
        <v>0</v>
      </c>
      <c r="I100" s="37"/>
      <c r="J100" s="210">
        <f t="shared" si="11"/>
        <v>0</v>
      </c>
      <c r="K100" s="197"/>
      <c r="P100" t="str">
        <f>_xlfn.XLOOKUP($H$7,BDclient[ID-Cliente],BDclient[NIT/C.C.],0)&amp;$H$9&amp;$O100&amp;"-"&amp;1</f>
        <v>F. V.-1</v>
      </c>
      <c r="Q100" t="str">
        <f t="shared" si="15"/>
        <v/>
      </c>
      <c r="R100" t="str">
        <f>IF(O100="","",    _xlfn.XLOOKUP(Q100,Regcontabilizados[Número pago],Regcontabilizados[Estado de pago],"NO PAGADO"))</f>
        <v/>
      </c>
      <c r="S100" s="44">
        <f>_xlfn.XLOOKUP(P100,Regcontabilizados[Identificador],Regcontabilizados[Fecha vencimiento],0)</f>
        <v>0</v>
      </c>
      <c r="T100">
        <f>_xlfn.XLOOKUP(P100,Regcontabilizados[Identificador],Regcontabilizados[Subcuenta],0)</f>
        <v>0</v>
      </c>
      <c r="U100">
        <f>_xlfn.XLOOKUP(P100,Regcontabilizados[Identificador],Regcontabilizados[Debe],0)+_xlfn.XLOOKUP(Q100&amp;"-"&amp;2,Regcontabilizados[Identificador],Regcontabilizados[Debe],0)+_xlfn.XLOOKUP(Q100&amp;"-"&amp;3,Regcontabilizados[Identificador],Regcontabilizados[Debe],0)+_xlfn.XLOOKUP(Q100&amp;"-"&amp;4,Regcontabilizados[Identificador],Regcontabilizados[Debe],0)+_xlfn.XLOOKUP(Q100&amp;"-"&amp;5,Regcontabilizados[Identificador],Regcontabilizados[Debe],0)+_xlfn.XLOOKUP(Q100&amp;"-"&amp;6,Regcontabilizados[Identificador],Regcontabilizados[Debe],0)+_xlfn.XLOOKUP(Q100&amp;"-"&amp;7,Regcontabilizados[Identificador],Regcontabilizados[Debe],0)+_xlfn.XLOOKUP(Q100&amp;"-"&amp;8,Regcontabilizados[Identificador],Regcontabilizados[Debe],0)+_xlfn.XLOOKUP(Q100&amp;"-"&amp;9,Regcontabilizados[Identificador],Regcontabilizados[Debe],0)</f>
        <v>0</v>
      </c>
      <c r="V100">
        <f>SUMIF(Regcontabilizados[Número pago],'PAGO Ventas'!Q100,Regcontabilizados[Haber])</f>
        <v>0</v>
      </c>
      <c r="AB100" s="33" t="str">
        <f>IF(J100=0,"",   _xlfn.XLOOKUP(AC100,Regcontabilizados[Identificador],Regcontabilizados[Subcuenta],0))</f>
        <v/>
      </c>
      <c r="AC100" t="str">
        <f>IF(J100=0,"",   _xlfn.XLOOKUP($H$7,BDclient[ID-Cliente],BDclient[NIT/C.C.],0)&amp;H86&amp;$D$23&amp;"-"&amp;1)</f>
        <v/>
      </c>
      <c r="AD100" t="str">
        <f t="shared" si="12"/>
        <v/>
      </c>
      <c r="AE100" t="str">
        <f t="shared" si="13"/>
        <v>En Blanco</v>
      </c>
      <c r="AF100" t="str">
        <f>_xlfn.XLOOKUP($H$7,BDclient[ID-Cliente],BDclient[NIT/C.C.],0)&amp;$H$13&amp;$E$7&amp;"-"&amp;ROW(AA100)-21</f>
        <v>Comp. Ingreso-79</v>
      </c>
      <c r="AQ100" t="str">
        <f t="shared" si="14"/>
        <v>PAGADO</v>
      </c>
    </row>
    <row r="101" spans="3:43">
      <c r="C101" s="194"/>
      <c r="D101" s="206"/>
      <c r="E101" s="142"/>
      <c r="F101" s="195"/>
      <c r="G101" s="183"/>
      <c r="H101" s="37">
        <f t="shared" si="10"/>
        <v>0</v>
      </c>
      <c r="I101" s="37"/>
      <c r="J101" s="210">
        <f t="shared" si="11"/>
        <v>0</v>
      </c>
      <c r="K101" s="197"/>
      <c r="P101" t="str">
        <f>_xlfn.XLOOKUP($H$7,BDclient[ID-Cliente],BDclient[NIT/C.C.],0)&amp;$H$9&amp;$O101&amp;"-"&amp;1</f>
        <v>F. V.-1</v>
      </c>
      <c r="Q101" t="str">
        <f t="shared" si="15"/>
        <v/>
      </c>
      <c r="R101" t="str">
        <f>IF(O101="","",    _xlfn.XLOOKUP(Q101,Regcontabilizados[Número pago],Regcontabilizados[Estado de pago],"NO PAGADO"))</f>
        <v/>
      </c>
      <c r="S101" s="44">
        <f>_xlfn.XLOOKUP(P101,Regcontabilizados[Identificador],Regcontabilizados[Fecha vencimiento],0)</f>
        <v>0</v>
      </c>
      <c r="T101">
        <f>_xlfn.XLOOKUP(P101,Regcontabilizados[Identificador],Regcontabilizados[Subcuenta],0)</f>
        <v>0</v>
      </c>
      <c r="U101">
        <f>_xlfn.XLOOKUP(P101,Regcontabilizados[Identificador],Regcontabilizados[Debe],0)+_xlfn.XLOOKUP(Q101&amp;"-"&amp;2,Regcontabilizados[Identificador],Regcontabilizados[Debe],0)+_xlfn.XLOOKUP(Q101&amp;"-"&amp;3,Regcontabilizados[Identificador],Regcontabilizados[Debe],0)+_xlfn.XLOOKUP(Q101&amp;"-"&amp;4,Regcontabilizados[Identificador],Regcontabilizados[Debe],0)+_xlfn.XLOOKUP(Q101&amp;"-"&amp;5,Regcontabilizados[Identificador],Regcontabilizados[Debe],0)+_xlfn.XLOOKUP(Q101&amp;"-"&amp;6,Regcontabilizados[Identificador],Regcontabilizados[Debe],0)+_xlfn.XLOOKUP(Q101&amp;"-"&amp;7,Regcontabilizados[Identificador],Regcontabilizados[Debe],0)+_xlfn.XLOOKUP(Q101&amp;"-"&amp;8,Regcontabilizados[Identificador],Regcontabilizados[Debe],0)+_xlfn.XLOOKUP(Q101&amp;"-"&amp;9,Regcontabilizados[Identificador],Regcontabilizados[Debe],0)</f>
        <v>0</v>
      </c>
      <c r="V101">
        <f>SUMIF(Regcontabilizados[Número pago],'PAGO Ventas'!Q101,Regcontabilizados[Haber])</f>
        <v>0</v>
      </c>
      <c r="AB101" s="33" t="str">
        <f>IF(J101=0,"",   _xlfn.XLOOKUP(AC101,Regcontabilizados[Identificador],Regcontabilizados[Subcuenta],0))</f>
        <v/>
      </c>
      <c r="AC101" t="str">
        <f>IF(J101=0,"",   _xlfn.XLOOKUP($H$7,BDclient[ID-Cliente],BDclient[NIT/C.C.],0)&amp;H87&amp;$D$23&amp;"-"&amp;1)</f>
        <v/>
      </c>
      <c r="AD101" t="str">
        <f t="shared" si="12"/>
        <v/>
      </c>
      <c r="AE101" t="str">
        <f t="shared" si="13"/>
        <v>En Blanco</v>
      </c>
      <c r="AF101" t="str">
        <f>_xlfn.XLOOKUP($H$7,BDclient[ID-Cliente],BDclient[NIT/C.C.],0)&amp;$H$13&amp;$E$7&amp;"-"&amp;ROW(AA101)-21</f>
        <v>Comp. Ingreso-80</v>
      </c>
      <c r="AQ101" t="str">
        <f t="shared" si="14"/>
        <v>PAGADO</v>
      </c>
    </row>
    <row r="102" spans="3:43">
      <c r="C102" s="194"/>
      <c r="D102" s="206"/>
      <c r="E102" s="142"/>
      <c r="F102" s="195"/>
      <c r="G102" s="183"/>
      <c r="H102" s="37">
        <f t="shared" si="10"/>
        <v>0</v>
      </c>
      <c r="I102" s="37"/>
      <c r="J102" s="210">
        <f t="shared" si="11"/>
        <v>0</v>
      </c>
      <c r="K102" s="197"/>
      <c r="P102" t="str">
        <f>_xlfn.XLOOKUP($H$7,BDclient[ID-Cliente],BDclient[NIT/C.C.],0)&amp;$H$9&amp;$O102&amp;"-"&amp;1</f>
        <v>F. V.-1</v>
      </c>
      <c r="Q102" t="str">
        <f t="shared" si="15"/>
        <v/>
      </c>
      <c r="R102" t="str">
        <f>IF(O102="","",    _xlfn.XLOOKUP(Q102,Regcontabilizados[Número pago],Regcontabilizados[Estado de pago],"NO PAGADO"))</f>
        <v/>
      </c>
      <c r="S102" s="44">
        <f>_xlfn.XLOOKUP(P102,Regcontabilizados[Identificador],Regcontabilizados[Fecha vencimiento],0)</f>
        <v>0</v>
      </c>
      <c r="T102">
        <f>_xlfn.XLOOKUP(P102,Regcontabilizados[Identificador],Regcontabilizados[Subcuenta],0)</f>
        <v>0</v>
      </c>
      <c r="U102">
        <f>_xlfn.XLOOKUP(P102,Regcontabilizados[Identificador],Regcontabilizados[Debe],0)+_xlfn.XLOOKUP(Q102&amp;"-"&amp;2,Regcontabilizados[Identificador],Regcontabilizados[Debe],0)+_xlfn.XLOOKUP(Q102&amp;"-"&amp;3,Regcontabilizados[Identificador],Regcontabilizados[Debe],0)+_xlfn.XLOOKUP(Q102&amp;"-"&amp;4,Regcontabilizados[Identificador],Regcontabilizados[Debe],0)+_xlfn.XLOOKUP(Q102&amp;"-"&amp;5,Regcontabilizados[Identificador],Regcontabilizados[Debe],0)+_xlfn.XLOOKUP(Q102&amp;"-"&amp;6,Regcontabilizados[Identificador],Regcontabilizados[Debe],0)+_xlfn.XLOOKUP(Q102&amp;"-"&amp;7,Regcontabilizados[Identificador],Regcontabilizados[Debe],0)+_xlfn.XLOOKUP(Q102&amp;"-"&amp;8,Regcontabilizados[Identificador],Regcontabilizados[Debe],0)+_xlfn.XLOOKUP(Q102&amp;"-"&amp;9,Regcontabilizados[Identificador],Regcontabilizados[Debe],0)</f>
        <v>0</v>
      </c>
      <c r="V102">
        <f>SUMIF(Regcontabilizados[Número pago],'PAGO Ventas'!Q102,Regcontabilizados[Haber])</f>
        <v>0</v>
      </c>
      <c r="AB102" s="33" t="str">
        <f>IF(J102=0,"",   _xlfn.XLOOKUP(AC102,Regcontabilizados[Identificador],Regcontabilizados[Subcuenta],0))</f>
        <v/>
      </c>
      <c r="AC102" t="str">
        <f>IF(J102=0,"",   _xlfn.XLOOKUP($H$7,BDclient[ID-Cliente],BDclient[NIT/C.C.],0)&amp;H88&amp;$D$23&amp;"-"&amp;1)</f>
        <v/>
      </c>
      <c r="AD102" t="str">
        <f t="shared" si="12"/>
        <v/>
      </c>
      <c r="AE102" t="str">
        <f t="shared" si="13"/>
        <v>En Blanco</v>
      </c>
      <c r="AF102" t="str">
        <f>_xlfn.XLOOKUP($H$7,BDclient[ID-Cliente],BDclient[NIT/C.C.],0)&amp;$H$13&amp;$E$7&amp;"-"&amp;ROW(AA102)-21</f>
        <v>Comp. Ingreso-81</v>
      </c>
      <c r="AQ102" t="str">
        <f t="shared" si="14"/>
        <v>PAGADO</v>
      </c>
    </row>
    <row r="103" spans="3:43">
      <c r="C103" s="194"/>
      <c r="D103" s="206"/>
      <c r="E103" s="142"/>
      <c r="F103" s="195"/>
      <c r="G103" s="183"/>
      <c r="H103" s="37">
        <f t="shared" si="10"/>
        <v>0</v>
      </c>
      <c r="I103" s="37"/>
      <c r="J103" s="210">
        <f t="shared" si="11"/>
        <v>0</v>
      </c>
      <c r="K103" s="197"/>
      <c r="P103" t="str">
        <f>_xlfn.XLOOKUP($H$7,BDclient[ID-Cliente],BDclient[NIT/C.C.],0)&amp;$H$9&amp;$O103&amp;"-"&amp;1</f>
        <v>F. V.-1</v>
      </c>
      <c r="Q103" t="str">
        <f t="shared" si="15"/>
        <v/>
      </c>
      <c r="R103" t="str">
        <f>IF(O103="","",    _xlfn.XLOOKUP(Q103,Regcontabilizados[Número pago],Regcontabilizados[Estado de pago],"NO PAGADO"))</f>
        <v/>
      </c>
      <c r="S103" s="44">
        <f>_xlfn.XLOOKUP(P103,Regcontabilizados[Identificador],Regcontabilizados[Fecha vencimiento],0)</f>
        <v>0</v>
      </c>
      <c r="T103">
        <f>_xlfn.XLOOKUP(P103,Regcontabilizados[Identificador],Regcontabilizados[Subcuenta],0)</f>
        <v>0</v>
      </c>
      <c r="U103">
        <f>_xlfn.XLOOKUP(P103,Regcontabilizados[Identificador],Regcontabilizados[Debe],0)+_xlfn.XLOOKUP(Q103&amp;"-"&amp;2,Regcontabilizados[Identificador],Regcontabilizados[Debe],0)+_xlfn.XLOOKUP(Q103&amp;"-"&amp;3,Regcontabilizados[Identificador],Regcontabilizados[Debe],0)+_xlfn.XLOOKUP(Q103&amp;"-"&amp;4,Regcontabilizados[Identificador],Regcontabilizados[Debe],0)+_xlfn.XLOOKUP(Q103&amp;"-"&amp;5,Regcontabilizados[Identificador],Regcontabilizados[Debe],0)+_xlfn.XLOOKUP(Q103&amp;"-"&amp;6,Regcontabilizados[Identificador],Regcontabilizados[Debe],0)+_xlfn.XLOOKUP(Q103&amp;"-"&amp;7,Regcontabilizados[Identificador],Regcontabilizados[Debe],0)+_xlfn.XLOOKUP(Q103&amp;"-"&amp;8,Regcontabilizados[Identificador],Regcontabilizados[Debe],0)+_xlfn.XLOOKUP(Q103&amp;"-"&amp;9,Regcontabilizados[Identificador],Regcontabilizados[Debe],0)</f>
        <v>0</v>
      </c>
      <c r="V103">
        <f>SUMIF(Regcontabilizados[Número pago],'PAGO Ventas'!Q103,Regcontabilizados[Haber])</f>
        <v>0</v>
      </c>
      <c r="AB103" s="33" t="str">
        <f>IF(J103=0,"",   _xlfn.XLOOKUP(AC103,Regcontabilizados[Identificador],Regcontabilizados[Subcuenta],0))</f>
        <v/>
      </c>
      <c r="AC103" t="str">
        <f>IF(J103=0,"",   _xlfn.XLOOKUP($H$7,BDclient[ID-Cliente],BDclient[NIT/C.C.],0)&amp;H89&amp;$D$23&amp;"-"&amp;1)</f>
        <v/>
      </c>
      <c r="AD103" t="str">
        <f t="shared" si="12"/>
        <v/>
      </c>
      <c r="AE103" t="str">
        <f t="shared" si="13"/>
        <v>En Blanco</v>
      </c>
      <c r="AF103" t="str">
        <f>_xlfn.XLOOKUP($H$7,BDclient[ID-Cliente],BDclient[NIT/C.C.],0)&amp;$H$13&amp;$E$7&amp;"-"&amp;ROW(AA103)-21</f>
        <v>Comp. Ingreso-82</v>
      </c>
      <c r="AQ103" t="str">
        <f t="shared" si="14"/>
        <v>PAGADO</v>
      </c>
    </row>
    <row r="104" spans="3:43">
      <c r="C104" s="194"/>
      <c r="D104" s="206"/>
      <c r="E104" s="142"/>
      <c r="F104" s="195"/>
      <c r="G104" s="183"/>
      <c r="H104" s="37">
        <f t="shared" si="10"/>
        <v>0</v>
      </c>
      <c r="I104" s="37"/>
      <c r="J104" s="210">
        <f t="shared" si="11"/>
        <v>0</v>
      </c>
      <c r="K104" s="197"/>
      <c r="P104" t="str">
        <f>_xlfn.XLOOKUP($H$7,BDclient[ID-Cliente],BDclient[NIT/C.C.],0)&amp;$H$9&amp;$O104&amp;"-"&amp;1</f>
        <v>F. V.-1</v>
      </c>
      <c r="Q104" t="str">
        <f t="shared" si="15"/>
        <v/>
      </c>
      <c r="R104" t="str">
        <f>IF(O104="","",    _xlfn.XLOOKUP(Q104,Regcontabilizados[Número pago],Regcontabilizados[Estado de pago],"NO PAGADO"))</f>
        <v/>
      </c>
      <c r="S104" s="44">
        <f>_xlfn.XLOOKUP(P104,Regcontabilizados[Identificador],Regcontabilizados[Fecha vencimiento],0)</f>
        <v>0</v>
      </c>
      <c r="T104">
        <f>_xlfn.XLOOKUP(P104,Regcontabilizados[Identificador],Regcontabilizados[Subcuenta],0)</f>
        <v>0</v>
      </c>
      <c r="U104">
        <f>_xlfn.XLOOKUP(P104,Regcontabilizados[Identificador],Regcontabilizados[Debe],0)+_xlfn.XLOOKUP(Q104&amp;"-"&amp;2,Regcontabilizados[Identificador],Regcontabilizados[Debe],0)+_xlfn.XLOOKUP(Q104&amp;"-"&amp;3,Regcontabilizados[Identificador],Regcontabilizados[Debe],0)+_xlfn.XLOOKUP(Q104&amp;"-"&amp;4,Regcontabilizados[Identificador],Regcontabilizados[Debe],0)+_xlfn.XLOOKUP(Q104&amp;"-"&amp;5,Regcontabilizados[Identificador],Regcontabilizados[Debe],0)+_xlfn.XLOOKUP(Q104&amp;"-"&amp;6,Regcontabilizados[Identificador],Regcontabilizados[Debe],0)+_xlfn.XLOOKUP(Q104&amp;"-"&amp;7,Regcontabilizados[Identificador],Regcontabilizados[Debe],0)+_xlfn.XLOOKUP(Q104&amp;"-"&amp;8,Regcontabilizados[Identificador],Regcontabilizados[Debe],0)+_xlfn.XLOOKUP(Q104&amp;"-"&amp;9,Regcontabilizados[Identificador],Regcontabilizados[Debe],0)</f>
        <v>0</v>
      </c>
      <c r="V104">
        <f>SUMIF(Regcontabilizados[Número pago],'PAGO Ventas'!Q104,Regcontabilizados[Haber])</f>
        <v>0</v>
      </c>
      <c r="AB104" s="33" t="str">
        <f>IF(J104=0,"",   _xlfn.XLOOKUP(AC104,Regcontabilizados[Identificador],Regcontabilizados[Subcuenta],0))</f>
        <v/>
      </c>
      <c r="AC104" t="str">
        <f>IF(J104=0,"",   _xlfn.XLOOKUP($H$7,BDclient[ID-Cliente],BDclient[NIT/C.C.],0)&amp;H90&amp;$D$23&amp;"-"&amp;1)</f>
        <v/>
      </c>
      <c r="AD104" t="str">
        <f t="shared" si="12"/>
        <v/>
      </c>
      <c r="AE104" t="str">
        <f t="shared" si="13"/>
        <v>En Blanco</v>
      </c>
      <c r="AF104" t="str">
        <f>_xlfn.XLOOKUP($H$7,BDclient[ID-Cliente],BDclient[NIT/C.C.],0)&amp;$H$13&amp;$E$7&amp;"-"&amp;ROW(AA104)-21</f>
        <v>Comp. Ingreso-83</v>
      </c>
      <c r="AQ104" t="str">
        <f t="shared" si="14"/>
        <v>PAGADO</v>
      </c>
    </row>
    <row r="105" spans="3:43">
      <c r="C105" s="194"/>
      <c r="D105" s="206"/>
      <c r="E105" s="142"/>
      <c r="F105" s="195"/>
      <c r="G105" s="183"/>
      <c r="H105" s="37">
        <f t="shared" si="10"/>
        <v>0</v>
      </c>
      <c r="I105" s="37"/>
      <c r="J105" s="210">
        <f t="shared" si="11"/>
        <v>0</v>
      </c>
      <c r="K105" s="197"/>
      <c r="P105" t="str">
        <f>_xlfn.XLOOKUP($H$7,BDclient[ID-Cliente],BDclient[NIT/C.C.],0)&amp;$H$9&amp;$O105&amp;"-"&amp;1</f>
        <v>F. V.-1</v>
      </c>
      <c r="Q105" t="str">
        <f t="shared" si="15"/>
        <v/>
      </c>
      <c r="R105" t="str">
        <f>IF(O105="","",    _xlfn.XLOOKUP(Q105,Regcontabilizados[Número pago],Regcontabilizados[Estado de pago],"NO PAGADO"))</f>
        <v/>
      </c>
      <c r="S105" s="44">
        <f>_xlfn.XLOOKUP(P105,Regcontabilizados[Identificador],Regcontabilizados[Fecha vencimiento],0)</f>
        <v>0</v>
      </c>
      <c r="T105">
        <f>_xlfn.XLOOKUP(P105,Regcontabilizados[Identificador],Regcontabilizados[Subcuenta],0)</f>
        <v>0</v>
      </c>
      <c r="U105">
        <f>_xlfn.XLOOKUP(P105,Regcontabilizados[Identificador],Regcontabilizados[Debe],0)+_xlfn.XLOOKUP(Q105&amp;"-"&amp;2,Regcontabilizados[Identificador],Regcontabilizados[Debe],0)+_xlfn.XLOOKUP(Q105&amp;"-"&amp;3,Regcontabilizados[Identificador],Regcontabilizados[Debe],0)+_xlfn.XLOOKUP(Q105&amp;"-"&amp;4,Regcontabilizados[Identificador],Regcontabilizados[Debe],0)+_xlfn.XLOOKUP(Q105&amp;"-"&amp;5,Regcontabilizados[Identificador],Regcontabilizados[Debe],0)+_xlfn.XLOOKUP(Q105&amp;"-"&amp;6,Regcontabilizados[Identificador],Regcontabilizados[Debe],0)+_xlfn.XLOOKUP(Q105&amp;"-"&amp;7,Regcontabilizados[Identificador],Regcontabilizados[Debe],0)+_xlfn.XLOOKUP(Q105&amp;"-"&amp;8,Regcontabilizados[Identificador],Regcontabilizados[Debe],0)+_xlfn.XLOOKUP(Q105&amp;"-"&amp;9,Regcontabilizados[Identificador],Regcontabilizados[Debe],0)</f>
        <v>0</v>
      </c>
      <c r="V105">
        <f>SUMIF(Regcontabilizados[Número pago],'PAGO Ventas'!Q105,Regcontabilizados[Haber])</f>
        <v>0</v>
      </c>
      <c r="AB105" s="33" t="str">
        <f>IF(J105=0,"",   _xlfn.XLOOKUP(AC105,Regcontabilizados[Identificador],Regcontabilizados[Subcuenta],0))</f>
        <v/>
      </c>
      <c r="AC105" t="str">
        <f>IF(J105=0,"",   _xlfn.XLOOKUP($H$7,BDclient[ID-Cliente],BDclient[NIT/C.C.],0)&amp;H91&amp;$D$23&amp;"-"&amp;1)</f>
        <v/>
      </c>
      <c r="AD105" t="str">
        <f t="shared" si="12"/>
        <v/>
      </c>
      <c r="AE105" t="str">
        <f t="shared" si="13"/>
        <v>En Blanco</v>
      </c>
      <c r="AF105" t="str">
        <f>_xlfn.XLOOKUP($H$7,BDclient[ID-Cliente],BDclient[NIT/C.C.],0)&amp;$H$13&amp;$E$7&amp;"-"&amp;ROW(AA105)-21</f>
        <v>Comp. Ingreso-84</v>
      </c>
      <c r="AQ105" t="str">
        <f t="shared" si="14"/>
        <v>PAGADO</v>
      </c>
    </row>
    <row r="106" spans="3:43">
      <c r="C106" s="194"/>
      <c r="D106" s="206"/>
      <c r="E106" s="142"/>
      <c r="F106" s="195"/>
      <c r="G106" s="183"/>
      <c r="H106" s="37">
        <f t="shared" si="10"/>
        <v>0</v>
      </c>
      <c r="I106" s="37"/>
      <c r="J106" s="210">
        <f t="shared" si="11"/>
        <v>0</v>
      </c>
      <c r="K106" s="197"/>
      <c r="P106" t="str">
        <f>_xlfn.XLOOKUP($H$7,BDclient[ID-Cliente],BDclient[NIT/C.C.],0)&amp;$H$9&amp;$O106&amp;"-"&amp;1</f>
        <v>F. V.-1</v>
      </c>
      <c r="Q106" t="str">
        <f t="shared" si="15"/>
        <v/>
      </c>
      <c r="R106" t="str">
        <f>IF(O106="","",    _xlfn.XLOOKUP(Q106,Regcontabilizados[Número pago],Regcontabilizados[Estado de pago],"NO PAGADO"))</f>
        <v/>
      </c>
      <c r="S106" s="44">
        <f>_xlfn.XLOOKUP(P106,Regcontabilizados[Identificador],Regcontabilizados[Fecha vencimiento],0)</f>
        <v>0</v>
      </c>
      <c r="T106">
        <f>_xlfn.XLOOKUP(P106,Regcontabilizados[Identificador],Regcontabilizados[Subcuenta],0)</f>
        <v>0</v>
      </c>
      <c r="U106">
        <f>_xlfn.XLOOKUP(P106,Regcontabilizados[Identificador],Regcontabilizados[Debe],0)+_xlfn.XLOOKUP(Q106&amp;"-"&amp;2,Regcontabilizados[Identificador],Regcontabilizados[Debe],0)+_xlfn.XLOOKUP(Q106&amp;"-"&amp;3,Regcontabilizados[Identificador],Regcontabilizados[Debe],0)+_xlfn.XLOOKUP(Q106&amp;"-"&amp;4,Regcontabilizados[Identificador],Regcontabilizados[Debe],0)+_xlfn.XLOOKUP(Q106&amp;"-"&amp;5,Regcontabilizados[Identificador],Regcontabilizados[Debe],0)+_xlfn.XLOOKUP(Q106&amp;"-"&amp;6,Regcontabilizados[Identificador],Regcontabilizados[Debe],0)+_xlfn.XLOOKUP(Q106&amp;"-"&amp;7,Regcontabilizados[Identificador],Regcontabilizados[Debe],0)+_xlfn.XLOOKUP(Q106&amp;"-"&amp;8,Regcontabilizados[Identificador],Regcontabilizados[Debe],0)+_xlfn.XLOOKUP(Q106&amp;"-"&amp;9,Regcontabilizados[Identificador],Regcontabilizados[Debe],0)</f>
        <v>0</v>
      </c>
      <c r="V106">
        <f>SUMIF(Regcontabilizados[Número pago],'PAGO Ventas'!Q106,Regcontabilizados[Haber])</f>
        <v>0</v>
      </c>
      <c r="AB106" s="33" t="str">
        <f>IF(J106=0,"",   _xlfn.XLOOKUP(AC106,Regcontabilizados[Identificador],Regcontabilizados[Subcuenta],0))</f>
        <v/>
      </c>
      <c r="AC106" t="str">
        <f>IF(J106=0,"",   _xlfn.XLOOKUP($H$7,BDclient[ID-Cliente],BDclient[NIT/C.C.],0)&amp;H92&amp;$D$23&amp;"-"&amp;1)</f>
        <v/>
      </c>
      <c r="AD106" t="str">
        <f t="shared" si="12"/>
        <v/>
      </c>
      <c r="AE106" t="str">
        <f t="shared" si="13"/>
        <v>En Blanco</v>
      </c>
      <c r="AF106" t="str">
        <f>_xlfn.XLOOKUP($H$7,BDclient[ID-Cliente],BDclient[NIT/C.C.],0)&amp;$H$13&amp;$E$7&amp;"-"&amp;ROW(AA106)-21</f>
        <v>Comp. Ingreso-85</v>
      </c>
      <c r="AQ106" t="str">
        <f t="shared" si="14"/>
        <v>PAGADO</v>
      </c>
    </row>
    <row r="107" spans="3:43">
      <c r="C107" s="194"/>
      <c r="D107" s="206"/>
      <c r="E107" s="142"/>
      <c r="F107" s="195"/>
      <c r="G107" s="183"/>
      <c r="H107" s="37">
        <f t="shared" si="10"/>
        <v>0</v>
      </c>
      <c r="I107" s="37"/>
      <c r="J107" s="210">
        <f t="shared" si="11"/>
        <v>0</v>
      </c>
      <c r="K107" s="197"/>
      <c r="P107" t="str">
        <f>_xlfn.XLOOKUP($H$7,BDclient[ID-Cliente],BDclient[NIT/C.C.],0)&amp;$H$9&amp;$O107&amp;"-"&amp;1</f>
        <v>F. V.-1</v>
      </c>
      <c r="Q107" t="str">
        <f t="shared" si="15"/>
        <v/>
      </c>
      <c r="R107" t="str">
        <f>IF(O107="","",    _xlfn.XLOOKUP(Q107,Regcontabilizados[Número pago],Regcontabilizados[Estado de pago],"NO PAGADO"))</f>
        <v/>
      </c>
      <c r="S107" s="44">
        <f>_xlfn.XLOOKUP(P107,Regcontabilizados[Identificador],Regcontabilizados[Fecha vencimiento],0)</f>
        <v>0</v>
      </c>
      <c r="T107">
        <f>_xlfn.XLOOKUP(P107,Regcontabilizados[Identificador],Regcontabilizados[Subcuenta],0)</f>
        <v>0</v>
      </c>
      <c r="U107">
        <f>_xlfn.XLOOKUP(P107,Regcontabilizados[Identificador],Regcontabilizados[Debe],0)+_xlfn.XLOOKUP(Q107&amp;"-"&amp;2,Regcontabilizados[Identificador],Regcontabilizados[Debe],0)+_xlfn.XLOOKUP(Q107&amp;"-"&amp;3,Regcontabilizados[Identificador],Regcontabilizados[Debe],0)+_xlfn.XLOOKUP(Q107&amp;"-"&amp;4,Regcontabilizados[Identificador],Regcontabilizados[Debe],0)+_xlfn.XLOOKUP(Q107&amp;"-"&amp;5,Regcontabilizados[Identificador],Regcontabilizados[Debe],0)+_xlfn.XLOOKUP(Q107&amp;"-"&amp;6,Regcontabilizados[Identificador],Regcontabilizados[Debe],0)+_xlfn.XLOOKUP(Q107&amp;"-"&amp;7,Regcontabilizados[Identificador],Regcontabilizados[Debe],0)+_xlfn.XLOOKUP(Q107&amp;"-"&amp;8,Regcontabilizados[Identificador],Regcontabilizados[Debe],0)+_xlfn.XLOOKUP(Q107&amp;"-"&amp;9,Regcontabilizados[Identificador],Regcontabilizados[Debe],0)</f>
        <v>0</v>
      </c>
      <c r="V107">
        <f>SUMIF(Regcontabilizados[Número pago],'PAGO Ventas'!Q107,Regcontabilizados[Haber])</f>
        <v>0</v>
      </c>
      <c r="AB107" s="33" t="str">
        <f>IF(J107=0,"",   _xlfn.XLOOKUP(AC107,Regcontabilizados[Identificador],Regcontabilizados[Subcuenta],0))</f>
        <v/>
      </c>
      <c r="AC107" t="str">
        <f>IF(J107=0,"",   _xlfn.XLOOKUP($H$7,BDclient[ID-Cliente],BDclient[NIT/C.C.],0)&amp;H93&amp;$D$23&amp;"-"&amp;1)</f>
        <v/>
      </c>
      <c r="AD107" t="str">
        <f t="shared" si="12"/>
        <v/>
      </c>
      <c r="AE107" t="str">
        <f t="shared" si="13"/>
        <v>En Blanco</v>
      </c>
      <c r="AF107" t="str">
        <f>_xlfn.XLOOKUP($H$7,BDclient[ID-Cliente],BDclient[NIT/C.C.],0)&amp;$H$13&amp;$E$7&amp;"-"&amp;ROW(AA107)-21</f>
        <v>Comp. Ingreso-86</v>
      </c>
      <c r="AQ107" t="str">
        <f t="shared" si="14"/>
        <v>PAGADO</v>
      </c>
    </row>
    <row r="108" spans="3:43">
      <c r="C108" s="194"/>
      <c r="D108" s="206"/>
      <c r="E108" s="142"/>
      <c r="F108" s="195"/>
      <c r="G108" s="183"/>
      <c r="H108" s="37">
        <f t="shared" si="10"/>
        <v>0</v>
      </c>
      <c r="I108" s="37"/>
      <c r="J108" s="210">
        <f t="shared" si="11"/>
        <v>0</v>
      </c>
      <c r="K108" s="197"/>
      <c r="P108" t="str">
        <f>_xlfn.XLOOKUP($H$7,BDclient[ID-Cliente],BDclient[NIT/C.C.],0)&amp;$H$9&amp;$O108&amp;"-"&amp;1</f>
        <v>F. V.-1</v>
      </c>
      <c r="Q108" t="str">
        <f t="shared" si="15"/>
        <v/>
      </c>
      <c r="R108" t="str">
        <f>IF(O108="","",    _xlfn.XLOOKUP(Q108,Regcontabilizados[Número pago],Regcontabilizados[Estado de pago],"NO PAGADO"))</f>
        <v/>
      </c>
      <c r="S108" s="44">
        <f>_xlfn.XLOOKUP(P108,Regcontabilizados[Identificador],Regcontabilizados[Fecha vencimiento],0)</f>
        <v>0</v>
      </c>
      <c r="T108">
        <f>_xlfn.XLOOKUP(P108,Regcontabilizados[Identificador],Regcontabilizados[Subcuenta],0)</f>
        <v>0</v>
      </c>
      <c r="U108">
        <f>_xlfn.XLOOKUP(P108,Regcontabilizados[Identificador],Regcontabilizados[Debe],0)+_xlfn.XLOOKUP(Q108&amp;"-"&amp;2,Regcontabilizados[Identificador],Regcontabilizados[Debe],0)+_xlfn.XLOOKUP(Q108&amp;"-"&amp;3,Regcontabilizados[Identificador],Regcontabilizados[Debe],0)+_xlfn.XLOOKUP(Q108&amp;"-"&amp;4,Regcontabilizados[Identificador],Regcontabilizados[Debe],0)+_xlfn.XLOOKUP(Q108&amp;"-"&amp;5,Regcontabilizados[Identificador],Regcontabilizados[Debe],0)+_xlfn.XLOOKUP(Q108&amp;"-"&amp;6,Regcontabilizados[Identificador],Regcontabilizados[Debe],0)+_xlfn.XLOOKUP(Q108&amp;"-"&amp;7,Regcontabilizados[Identificador],Regcontabilizados[Debe],0)+_xlfn.XLOOKUP(Q108&amp;"-"&amp;8,Regcontabilizados[Identificador],Regcontabilizados[Debe],0)+_xlfn.XLOOKUP(Q108&amp;"-"&amp;9,Regcontabilizados[Identificador],Regcontabilizados[Debe],0)</f>
        <v>0</v>
      </c>
      <c r="V108">
        <f>SUMIF(Regcontabilizados[Número pago],'PAGO Ventas'!Q108,Regcontabilizados[Haber])</f>
        <v>0</v>
      </c>
      <c r="AB108" s="33" t="str">
        <f>IF(J108=0,"",   _xlfn.XLOOKUP(AC108,Regcontabilizados[Identificador],Regcontabilizados[Subcuenta],0))</f>
        <v/>
      </c>
      <c r="AC108" t="str">
        <f>IF(J108=0,"",   _xlfn.XLOOKUP($H$7,BDclient[ID-Cliente],BDclient[NIT/C.C.],0)&amp;H94&amp;$D$23&amp;"-"&amp;1)</f>
        <v/>
      </c>
      <c r="AD108" t="str">
        <f t="shared" si="12"/>
        <v/>
      </c>
      <c r="AE108" t="str">
        <f t="shared" si="13"/>
        <v>En Blanco</v>
      </c>
      <c r="AF108" t="str">
        <f>_xlfn.XLOOKUP($H$7,BDclient[ID-Cliente],BDclient[NIT/C.C.],0)&amp;$H$13&amp;$E$7&amp;"-"&amp;ROW(AA108)-21</f>
        <v>Comp. Ingreso-87</v>
      </c>
      <c r="AQ108" t="str">
        <f t="shared" si="14"/>
        <v>PAGADO</v>
      </c>
    </row>
    <row r="109" spans="3:43">
      <c r="C109" s="194"/>
      <c r="D109" s="206"/>
      <c r="E109" s="142"/>
      <c r="F109" s="195"/>
      <c r="G109" s="183"/>
      <c r="H109" s="37">
        <f t="shared" si="10"/>
        <v>0</v>
      </c>
      <c r="I109" s="37"/>
      <c r="J109" s="210">
        <f t="shared" si="11"/>
        <v>0</v>
      </c>
      <c r="K109" s="197"/>
      <c r="P109" t="str">
        <f>_xlfn.XLOOKUP($H$7,BDclient[ID-Cliente],BDclient[NIT/C.C.],0)&amp;$H$9&amp;$O109&amp;"-"&amp;1</f>
        <v>F. V.-1</v>
      </c>
      <c r="Q109" t="str">
        <f t="shared" si="15"/>
        <v/>
      </c>
      <c r="R109" t="str">
        <f>IF(O109="","",    _xlfn.XLOOKUP(Q109,Regcontabilizados[Número pago],Regcontabilizados[Estado de pago],"NO PAGADO"))</f>
        <v/>
      </c>
      <c r="S109" s="44">
        <f>_xlfn.XLOOKUP(P109,Regcontabilizados[Identificador],Regcontabilizados[Fecha vencimiento],0)</f>
        <v>0</v>
      </c>
      <c r="T109">
        <f>_xlfn.XLOOKUP(P109,Regcontabilizados[Identificador],Regcontabilizados[Subcuenta],0)</f>
        <v>0</v>
      </c>
      <c r="U109">
        <f>_xlfn.XLOOKUP(P109,Regcontabilizados[Identificador],Regcontabilizados[Debe],0)+_xlfn.XLOOKUP(Q109&amp;"-"&amp;2,Regcontabilizados[Identificador],Regcontabilizados[Debe],0)+_xlfn.XLOOKUP(Q109&amp;"-"&amp;3,Regcontabilizados[Identificador],Regcontabilizados[Debe],0)+_xlfn.XLOOKUP(Q109&amp;"-"&amp;4,Regcontabilizados[Identificador],Regcontabilizados[Debe],0)+_xlfn.XLOOKUP(Q109&amp;"-"&amp;5,Regcontabilizados[Identificador],Regcontabilizados[Debe],0)+_xlfn.XLOOKUP(Q109&amp;"-"&amp;6,Regcontabilizados[Identificador],Regcontabilizados[Debe],0)+_xlfn.XLOOKUP(Q109&amp;"-"&amp;7,Regcontabilizados[Identificador],Regcontabilizados[Debe],0)+_xlfn.XLOOKUP(Q109&amp;"-"&amp;8,Regcontabilizados[Identificador],Regcontabilizados[Debe],0)+_xlfn.XLOOKUP(Q109&amp;"-"&amp;9,Regcontabilizados[Identificador],Regcontabilizados[Debe],0)</f>
        <v>0</v>
      </c>
      <c r="V109">
        <f>SUMIF(Regcontabilizados[Número pago],'PAGO Ventas'!Q109,Regcontabilizados[Haber])</f>
        <v>0</v>
      </c>
      <c r="AB109" s="33" t="str">
        <f>IF(J109=0,"",   _xlfn.XLOOKUP(AC109,Regcontabilizados[Identificador],Regcontabilizados[Subcuenta],0))</f>
        <v/>
      </c>
      <c r="AC109" t="str">
        <f>IF(J109=0,"",   _xlfn.XLOOKUP($H$7,BDclient[ID-Cliente],BDclient[NIT/C.C.],0)&amp;H95&amp;$D$23&amp;"-"&amp;1)</f>
        <v/>
      </c>
      <c r="AD109" t="str">
        <f t="shared" si="12"/>
        <v/>
      </c>
      <c r="AE109" t="str">
        <f t="shared" si="13"/>
        <v>En Blanco</v>
      </c>
      <c r="AF109" t="str">
        <f>_xlfn.XLOOKUP($H$7,BDclient[ID-Cliente],BDclient[NIT/C.C.],0)&amp;$H$13&amp;$E$7&amp;"-"&amp;ROW(AA109)-21</f>
        <v>Comp. Ingreso-88</v>
      </c>
      <c r="AQ109" t="str">
        <f t="shared" si="14"/>
        <v>PAGADO</v>
      </c>
    </row>
    <row r="110" spans="3:43">
      <c r="C110" s="194"/>
      <c r="D110" s="206"/>
      <c r="E110" s="142"/>
      <c r="F110" s="195"/>
      <c r="G110" s="183"/>
      <c r="H110" s="37">
        <f t="shared" si="10"/>
        <v>0</v>
      </c>
      <c r="I110" s="37"/>
      <c r="J110" s="210">
        <f t="shared" si="11"/>
        <v>0</v>
      </c>
      <c r="K110" s="197"/>
      <c r="P110" t="str">
        <f>_xlfn.XLOOKUP($H$7,BDclient[ID-Cliente],BDclient[NIT/C.C.],0)&amp;$H$9&amp;$O110&amp;"-"&amp;1</f>
        <v>F. V.-1</v>
      </c>
      <c r="Q110" t="str">
        <f t="shared" si="15"/>
        <v/>
      </c>
      <c r="R110" t="str">
        <f>IF(O110="","",    _xlfn.XLOOKUP(Q110,Regcontabilizados[Número pago],Regcontabilizados[Estado de pago],"NO PAGADO"))</f>
        <v/>
      </c>
      <c r="S110" s="44">
        <f>_xlfn.XLOOKUP(P110,Regcontabilizados[Identificador],Regcontabilizados[Fecha vencimiento],0)</f>
        <v>0</v>
      </c>
      <c r="T110">
        <f>_xlfn.XLOOKUP(P110,Regcontabilizados[Identificador],Regcontabilizados[Subcuenta],0)</f>
        <v>0</v>
      </c>
      <c r="U110">
        <f>_xlfn.XLOOKUP(P110,Regcontabilizados[Identificador],Regcontabilizados[Debe],0)+_xlfn.XLOOKUP(Q110&amp;"-"&amp;2,Regcontabilizados[Identificador],Regcontabilizados[Debe],0)+_xlfn.XLOOKUP(Q110&amp;"-"&amp;3,Regcontabilizados[Identificador],Regcontabilizados[Debe],0)+_xlfn.XLOOKUP(Q110&amp;"-"&amp;4,Regcontabilizados[Identificador],Regcontabilizados[Debe],0)+_xlfn.XLOOKUP(Q110&amp;"-"&amp;5,Regcontabilizados[Identificador],Regcontabilizados[Debe],0)+_xlfn.XLOOKUP(Q110&amp;"-"&amp;6,Regcontabilizados[Identificador],Regcontabilizados[Debe],0)+_xlfn.XLOOKUP(Q110&amp;"-"&amp;7,Regcontabilizados[Identificador],Regcontabilizados[Debe],0)+_xlfn.XLOOKUP(Q110&amp;"-"&amp;8,Regcontabilizados[Identificador],Regcontabilizados[Debe],0)+_xlfn.XLOOKUP(Q110&amp;"-"&amp;9,Regcontabilizados[Identificador],Regcontabilizados[Debe],0)</f>
        <v>0</v>
      </c>
      <c r="V110">
        <f>SUMIF(Regcontabilizados[Número pago],'PAGO Ventas'!Q110,Regcontabilizados[Haber])</f>
        <v>0</v>
      </c>
      <c r="AB110" s="33" t="str">
        <f>IF(J110=0,"",   _xlfn.XLOOKUP(AC110,Regcontabilizados[Identificador],Regcontabilizados[Subcuenta],0))</f>
        <v/>
      </c>
      <c r="AC110" t="str">
        <f>IF(J110=0,"",   _xlfn.XLOOKUP($H$7,BDclient[ID-Cliente],BDclient[NIT/C.C.],0)&amp;H96&amp;$D$23&amp;"-"&amp;1)</f>
        <v/>
      </c>
      <c r="AD110" t="str">
        <f t="shared" si="12"/>
        <v/>
      </c>
      <c r="AE110" t="str">
        <f t="shared" si="13"/>
        <v>En Blanco</v>
      </c>
      <c r="AF110" t="str">
        <f>_xlfn.XLOOKUP($H$7,BDclient[ID-Cliente],BDclient[NIT/C.C.],0)&amp;$H$13&amp;$E$7&amp;"-"&amp;ROW(AA110)-21</f>
        <v>Comp. Ingreso-89</v>
      </c>
      <c r="AQ110" t="str">
        <f t="shared" si="14"/>
        <v>PAGADO</v>
      </c>
    </row>
    <row r="111" spans="3:43">
      <c r="C111" s="194"/>
      <c r="D111" s="206"/>
      <c r="E111" s="142"/>
      <c r="F111" s="195"/>
      <c r="G111" s="183"/>
      <c r="H111" s="37">
        <f t="shared" si="10"/>
        <v>0</v>
      </c>
      <c r="I111" s="37"/>
      <c r="J111" s="210">
        <f t="shared" si="11"/>
        <v>0</v>
      </c>
      <c r="K111" s="197"/>
      <c r="P111" t="str">
        <f>_xlfn.XLOOKUP($H$7,BDclient[ID-Cliente],BDclient[NIT/C.C.],0)&amp;$H$9&amp;$O111&amp;"-"&amp;1</f>
        <v>F. V.-1</v>
      </c>
      <c r="Q111" t="str">
        <f t="shared" si="15"/>
        <v/>
      </c>
      <c r="R111" t="str">
        <f>IF(O111="","",    _xlfn.XLOOKUP(Q111,Regcontabilizados[Número pago],Regcontabilizados[Estado de pago],"NO PAGADO"))</f>
        <v/>
      </c>
      <c r="S111" s="44">
        <f>_xlfn.XLOOKUP(P111,Regcontabilizados[Identificador],Regcontabilizados[Fecha vencimiento],0)</f>
        <v>0</v>
      </c>
      <c r="T111">
        <f>_xlfn.XLOOKUP(P111,Regcontabilizados[Identificador],Regcontabilizados[Subcuenta],0)</f>
        <v>0</v>
      </c>
      <c r="U111">
        <f>_xlfn.XLOOKUP(P111,Regcontabilizados[Identificador],Regcontabilizados[Debe],0)+_xlfn.XLOOKUP(Q111&amp;"-"&amp;2,Regcontabilizados[Identificador],Regcontabilizados[Debe],0)+_xlfn.XLOOKUP(Q111&amp;"-"&amp;3,Regcontabilizados[Identificador],Regcontabilizados[Debe],0)+_xlfn.XLOOKUP(Q111&amp;"-"&amp;4,Regcontabilizados[Identificador],Regcontabilizados[Debe],0)+_xlfn.XLOOKUP(Q111&amp;"-"&amp;5,Regcontabilizados[Identificador],Regcontabilizados[Debe],0)+_xlfn.XLOOKUP(Q111&amp;"-"&amp;6,Regcontabilizados[Identificador],Regcontabilizados[Debe],0)+_xlfn.XLOOKUP(Q111&amp;"-"&amp;7,Regcontabilizados[Identificador],Regcontabilizados[Debe],0)+_xlfn.XLOOKUP(Q111&amp;"-"&amp;8,Regcontabilizados[Identificador],Regcontabilizados[Debe],0)+_xlfn.XLOOKUP(Q111&amp;"-"&amp;9,Regcontabilizados[Identificador],Regcontabilizados[Debe],0)</f>
        <v>0</v>
      </c>
      <c r="V111">
        <f>SUMIF(Regcontabilizados[Número pago],'PAGO Ventas'!Q111,Regcontabilizados[Haber])</f>
        <v>0</v>
      </c>
      <c r="AB111" s="33" t="str">
        <f>IF(J111=0,"",   _xlfn.XLOOKUP(AC111,Regcontabilizados[Identificador],Regcontabilizados[Subcuenta],0))</f>
        <v/>
      </c>
      <c r="AC111" t="str">
        <f>IF(J111=0,"",   _xlfn.XLOOKUP($H$7,BDclient[ID-Cliente],BDclient[NIT/C.C.],0)&amp;H97&amp;$D$23&amp;"-"&amp;1)</f>
        <v/>
      </c>
      <c r="AD111" t="str">
        <f t="shared" si="12"/>
        <v/>
      </c>
      <c r="AE111" t="str">
        <f t="shared" si="13"/>
        <v>En Blanco</v>
      </c>
      <c r="AF111" t="str">
        <f>_xlfn.XLOOKUP($H$7,BDclient[ID-Cliente],BDclient[NIT/C.C.],0)&amp;$H$13&amp;$E$7&amp;"-"&amp;ROW(AA111)-21</f>
        <v>Comp. Ingreso-90</v>
      </c>
      <c r="AQ111" t="str">
        <f t="shared" si="14"/>
        <v>PAGADO</v>
      </c>
    </row>
    <row r="112" spans="3:43">
      <c r="C112" s="194"/>
      <c r="D112" s="206"/>
      <c r="E112" s="142"/>
      <c r="F112" s="195"/>
      <c r="G112" s="183"/>
      <c r="H112" s="37">
        <f t="shared" si="10"/>
        <v>0</v>
      </c>
      <c r="I112" s="37"/>
      <c r="J112" s="210">
        <f t="shared" si="11"/>
        <v>0</v>
      </c>
      <c r="K112" s="197"/>
      <c r="P112" t="str">
        <f>_xlfn.XLOOKUP($H$7,BDclient[ID-Cliente],BDclient[NIT/C.C.],0)&amp;$H$9&amp;$O112&amp;"-"&amp;1</f>
        <v>F. V.-1</v>
      </c>
      <c r="Q112" t="str">
        <f t="shared" si="15"/>
        <v/>
      </c>
      <c r="R112" t="str">
        <f>IF(O112="","",    _xlfn.XLOOKUP(Q112,Regcontabilizados[Número pago],Regcontabilizados[Estado de pago],"NO PAGADO"))</f>
        <v/>
      </c>
      <c r="S112" s="44">
        <f>_xlfn.XLOOKUP(P112,Regcontabilizados[Identificador],Regcontabilizados[Fecha vencimiento],0)</f>
        <v>0</v>
      </c>
      <c r="T112">
        <f>_xlfn.XLOOKUP(P112,Regcontabilizados[Identificador],Regcontabilizados[Subcuenta],0)</f>
        <v>0</v>
      </c>
      <c r="U112">
        <f>_xlfn.XLOOKUP(P112,Regcontabilizados[Identificador],Regcontabilizados[Debe],0)+_xlfn.XLOOKUP(Q112&amp;"-"&amp;2,Regcontabilizados[Identificador],Regcontabilizados[Debe],0)+_xlfn.XLOOKUP(Q112&amp;"-"&amp;3,Regcontabilizados[Identificador],Regcontabilizados[Debe],0)+_xlfn.XLOOKUP(Q112&amp;"-"&amp;4,Regcontabilizados[Identificador],Regcontabilizados[Debe],0)+_xlfn.XLOOKUP(Q112&amp;"-"&amp;5,Regcontabilizados[Identificador],Regcontabilizados[Debe],0)+_xlfn.XLOOKUP(Q112&amp;"-"&amp;6,Regcontabilizados[Identificador],Regcontabilizados[Debe],0)+_xlfn.XLOOKUP(Q112&amp;"-"&amp;7,Regcontabilizados[Identificador],Regcontabilizados[Debe],0)+_xlfn.XLOOKUP(Q112&amp;"-"&amp;8,Regcontabilizados[Identificador],Regcontabilizados[Debe],0)+_xlfn.XLOOKUP(Q112&amp;"-"&amp;9,Regcontabilizados[Identificador],Regcontabilizados[Debe],0)</f>
        <v>0</v>
      </c>
      <c r="V112">
        <f>SUMIF(Regcontabilizados[Número pago],'PAGO Ventas'!Q112,Regcontabilizados[Haber])</f>
        <v>0</v>
      </c>
      <c r="AB112" s="33" t="str">
        <f>IF(J112=0,"",   _xlfn.XLOOKUP(AC112,Regcontabilizados[Identificador],Regcontabilizados[Subcuenta],0))</f>
        <v/>
      </c>
      <c r="AC112" t="str">
        <f>IF(J112=0,"",   _xlfn.XLOOKUP($H$7,BDclient[ID-Cliente],BDclient[NIT/C.C.],0)&amp;H98&amp;$D$23&amp;"-"&amp;1)</f>
        <v/>
      </c>
      <c r="AD112" t="str">
        <f t="shared" si="12"/>
        <v/>
      </c>
      <c r="AE112" t="str">
        <f t="shared" si="13"/>
        <v>En Blanco</v>
      </c>
      <c r="AF112" t="str">
        <f>_xlfn.XLOOKUP($H$7,BDclient[ID-Cliente],BDclient[NIT/C.C.],0)&amp;$H$13&amp;$E$7&amp;"-"&amp;ROW(AA112)-21</f>
        <v>Comp. Ingreso-91</v>
      </c>
      <c r="AQ112" t="str">
        <f t="shared" si="14"/>
        <v>PAGADO</v>
      </c>
    </row>
    <row r="113" spans="3:43">
      <c r="C113" s="194"/>
      <c r="D113" s="206"/>
      <c r="E113" s="142"/>
      <c r="F113" s="195"/>
      <c r="G113" s="183"/>
      <c r="H113" s="37">
        <f t="shared" si="10"/>
        <v>0</v>
      </c>
      <c r="I113" s="37"/>
      <c r="J113" s="210">
        <f t="shared" si="11"/>
        <v>0</v>
      </c>
      <c r="K113" s="197"/>
      <c r="P113" t="str">
        <f>_xlfn.XLOOKUP($H$7,BDclient[ID-Cliente],BDclient[NIT/C.C.],0)&amp;$H$9&amp;$O113&amp;"-"&amp;1</f>
        <v>F. V.-1</v>
      </c>
      <c r="Q113" t="str">
        <f t="shared" si="15"/>
        <v/>
      </c>
      <c r="R113" t="str">
        <f>IF(O113="","",    _xlfn.XLOOKUP(Q113,Regcontabilizados[Número pago],Regcontabilizados[Estado de pago],"NO PAGADO"))</f>
        <v/>
      </c>
      <c r="S113" s="44">
        <f>_xlfn.XLOOKUP(P113,Regcontabilizados[Identificador],Regcontabilizados[Fecha vencimiento],0)</f>
        <v>0</v>
      </c>
      <c r="T113">
        <f>_xlfn.XLOOKUP(P113,Regcontabilizados[Identificador],Regcontabilizados[Subcuenta],0)</f>
        <v>0</v>
      </c>
      <c r="U113">
        <f>_xlfn.XLOOKUP(P113,Regcontabilizados[Identificador],Regcontabilizados[Debe],0)+_xlfn.XLOOKUP(Q113&amp;"-"&amp;2,Regcontabilizados[Identificador],Regcontabilizados[Debe],0)+_xlfn.XLOOKUP(Q113&amp;"-"&amp;3,Regcontabilizados[Identificador],Regcontabilizados[Debe],0)+_xlfn.XLOOKUP(Q113&amp;"-"&amp;4,Regcontabilizados[Identificador],Regcontabilizados[Debe],0)+_xlfn.XLOOKUP(Q113&amp;"-"&amp;5,Regcontabilizados[Identificador],Regcontabilizados[Debe],0)+_xlfn.XLOOKUP(Q113&amp;"-"&amp;6,Regcontabilizados[Identificador],Regcontabilizados[Debe],0)+_xlfn.XLOOKUP(Q113&amp;"-"&amp;7,Regcontabilizados[Identificador],Regcontabilizados[Debe],0)+_xlfn.XLOOKUP(Q113&amp;"-"&amp;8,Regcontabilizados[Identificador],Regcontabilizados[Debe],0)+_xlfn.XLOOKUP(Q113&amp;"-"&amp;9,Regcontabilizados[Identificador],Regcontabilizados[Debe],0)</f>
        <v>0</v>
      </c>
      <c r="V113">
        <f>SUMIF(Regcontabilizados[Número pago],'PAGO Ventas'!Q113,Regcontabilizados[Haber])</f>
        <v>0</v>
      </c>
      <c r="AB113" s="33" t="str">
        <f>IF(J113=0,"",   _xlfn.XLOOKUP(AC113,Regcontabilizados[Identificador],Regcontabilizados[Subcuenta],0))</f>
        <v/>
      </c>
      <c r="AC113" t="str">
        <f>IF(J113=0,"",   _xlfn.XLOOKUP($H$7,BDclient[ID-Cliente],BDclient[NIT/C.C.],0)&amp;H99&amp;$D$23&amp;"-"&amp;1)</f>
        <v/>
      </c>
      <c r="AD113" t="str">
        <f t="shared" si="12"/>
        <v/>
      </c>
      <c r="AE113" t="str">
        <f t="shared" si="13"/>
        <v>En Blanco</v>
      </c>
      <c r="AF113" t="str">
        <f>_xlfn.XLOOKUP($H$7,BDclient[ID-Cliente],BDclient[NIT/C.C.],0)&amp;$H$13&amp;$E$7&amp;"-"&amp;ROW(AA113)-21</f>
        <v>Comp. Ingreso-92</v>
      </c>
      <c r="AQ113" t="str">
        <f t="shared" si="14"/>
        <v>PAGADO</v>
      </c>
    </row>
    <row r="114" spans="3:43">
      <c r="C114" s="194"/>
      <c r="D114" s="206"/>
      <c r="E114" s="142"/>
      <c r="F114" s="195"/>
      <c r="G114" s="183"/>
      <c r="H114" s="37">
        <f t="shared" si="10"/>
        <v>0</v>
      </c>
      <c r="I114" s="37"/>
      <c r="J114" s="210">
        <f t="shared" si="11"/>
        <v>0</v>
      </c>
      <c r="K114" s="197"/>
      <c r="P114" t="str">
        <f>_xlfn.XLOOKUP($H$7,BDclient[ID-Cliente],BDclient[NIT/C.C.],0)&amp;$H$9&amp;$O114&amp;"-"&amp;1</f>
        <v>F. V.-1</v>
      </c>
      <c r="Q114" t="str">
        <f t="shared" si="15"/>
        <v/>
      </c>
      <c r="R114" t="str">
        <f>IF(O114="","",    _xlfn.XLOOKUP(Q114,Regcontabilizados[Número pago],Regcontabilizados[Estado de pago],"NO PAGADO"))</f>
        <v/>
      </c>
      <c r="S114" s="44">
        <f>_xlfn.XLOOKUP(P114,Regcontabilizados[Identificador],Regcontabilizados[Fecha vencimiento],0)</f>
        <v>0</v>
      </c>
      <c r="T114">
        <f>_xlfn.XLOOKUP(P114,Regcontabilizados[Identificador],Regcontabilizados[Subcuenta],0)</f>
        <v>0</v>
      </c>
      <c r="U114">
        <f>_xlfn.XLOOKUP(P114,Regcontabilizados[Identificador],Regcontabilizados[Debe],0)+_xlfn.XLOOKUP(Q114&amp;"-"&amp;2,Regcontabilizados[Identificador],Regcontabilizados[Debe],0)+_xlfn.XLOOKUP(Q114&amp;"-"&amp;3,Regcontabilizados[Identificador],Regcontabilizados[Debe],0)+_xlfn.XLOOKUP(Q114&amp;"-"&amp;4,Regcontabilizados[Identificador],Regcontabilizados[Debe],0)+_xlfn.XLOOKUP(Q114&amp;"-"&amp;5,Regcontabilizados[Identificador],Regcontabilizados[Debe],0)+_xlfn.XLOOKUP(Q114&amp;"-"&amp;6,Regcontabilizados[Identificador],Regcontabilizados[Debe],0)+_xlfn.XLOOKUP(Q114&amp;"-"&amp;7,Regcontabilizados[Identificador],Regcontabilizados[Debe],0)+_xlfn.XLOOKUP(Q114&amp;"-"&amp;8,Regcontabilizados[Identificador],Regcontabilizados[Debe],0)+_xlfn.XLOOKUP(Q114&amp;"-"&amp;9,Regcontabilizados[Identificador],Regcontabilizados[Debe],0)</f>
        <v>0</v>
      </c>
      <c r="V114">
        <f>SUMIF(Regcontabilizados[Número pago],'PAGO Ventas'!Q114,Regcontabilizados[Haber])</f>
        <v>0</v>
      </c>
      <c r="AB114" s="33" t="str">
        <f>IF(J114=0,"",   _xlfn.XLOOKUP(AC114,Regcontabilizados[Identificador],Regcontabilizados[Subcuenta],0))</f>
        <v/>
      </c>
      <c r="AC114" t="str">
        <f>IF(J114=0,"",   _xlfn.XLOOKUP($H$7,BDclient[ID-Cliente],BDclient[NIT/C.C.],0)&amp;H100&amp;$D$23&amp;"-"&amp;1)</f>
        <v/>
      </c>
      <c r="AD114" t="str">
        <f t="shared" si="12"/>
        <v/>
      </c>
      <c r="AE114" t="str">
        <f t="shared" si="13"/>
        <v>En Blanco</v>
      </c>
      <c r="AF114" t="str">
        <f>_xlfn.XLOOKUP($H$7,BDclient[ID-Cliente],BDclient[NIT/C.C.],0)&amp;$H$13&amp;$E$7&amp;"-"&amp;ROW(AA114)-21</f>
        <v>Comp. Ingreso-93</v>
      </c>
      <c r="AQ114" t="str">
        <f t="shared" si="14"/>
        <v>PAGADO</v>
      </c>
    </row>
    <row r="115" spans="3:43">
      <c r="C115" s="194"/>
      <c r="D115" s="206"/>
      <c r="E115" s="142"/>
      <c r="F115" s="195"/>
      <c r="G115" s="183"/>
      <c r="H115" s="37">
        <f t="shared" si="10"/>
        <v>0</v>
      </c>
      <c r="I115" s="37"/>
      <c r="J115" s="210">
        <f t="shared" si="11"/>
        <v>0</v>
      </c>
      <c r="K115" s="197"/>
      <c r="P115" t="str">
        <f>_xlfn.XLOOKUP($H$7,BDclient[ID-Cliente],BDclient[NIT/C.C.],0)&amp;$H$9&amp;$O115&amp;"-"&amp;1</f>
        <v>F. V.-1</v>
      </c>
      <c r="Q115" t="str">
        <f t="shared" si="15"/>
        <v/>
      </c>
      <c r="R115" t="str">
        <f>IF(O115="","",    _xlfn.XLOOKUP(Q115,Regcontabilizados[Número pago],Regcontabilizados[Estado de pago],"NO PAGADO"))</f>
        <v/>
      </c>
      <c r="S115" s="44">
        <f>_xlfn.XLOOKUP(P115,Regcontabilizados[Identificador],Regcontabilizados[Fecha vencimiento],0)</f>
        <v>0</v>
      </c>
      <c r="T115">
        <f>_xlfn.XLOOKUP(P115,Regcontabilizados[Identificador],Regcontabilizados[Subcuenta],0)</f>
        <v>0</v>
      </c>
      <c r="U115">
        <f>_xlfn.XLOOKUP(P115,Regcontabilizados[Identificador],Regcontabilizados[Debe],0)+_xlfn.XLOOKUP(Q115&amp;"-"&amp;2,Regcontabilizados[Identificador],Regcontabilizados[Debe],0)+_xlfn.XLOOKUP(Q115&amp;"-"&amp;3,Regcontabilizados[Identificador],Regcontabilizados[Debe],0)+_xlfn.XLOOKUP(Q115&amp;"-"&amp;4,Regcontabilizados[Identificador],Regcontabilizados[Debe],0)+_xlfn.XLOOKUP(Q115&amp;"-"&amp;5,Regcontabilizados[Identificador],Regcontabilizados[Debe],0)+_xlfn.XLOOKUP(Q115&amp;"-"&amp;6,Regcontabilizados[Identificador],Regcontabilizados[Debe],0)+_xlfn.XLOOKUP(Q115&amp;"-"&amp;7,Regcontabilizados[Identificador],Regcontabilizados[Debe],0)+_xlfn.XLOOKUP(Q115&amp;"-"&amp;8,Regcontabilizados[Identificador],Regcontabilizados[Debe],0)+_xlfn.XLOOKUP(Q115&amp;"-"&amp;9,Regcontabilizados[Identificador],Regcontabilizados[Debe],0)</f>
        <v>0</v>
      </c>
      <c r="V115">
        <f>SUMIF(Regcontabilizados[Número pago],'PAGO Ventas'!Q115,Regcontabilizados[Haber])</f>
        <v>0</v>
      </c>
      <c r="AB115" s="33" t="str">
        <f>IF(J115=0,"",   _xlfn.XLOOKUP(AC115,Regcontabilizados[Identificador],Regcontabilizados[Subcuenta],0))</f>
        <v/>
      </c>
      <c r="AC115" t="str">
        <f>IF(J115=0,"",   _xlfn.XLOOKUP($H$7,BDclient[ID-Cliente],BDclient[NIT/C.C.],0)&amp;H101&amp;$D$23&amp;"-"&amp;1)</f>
        <v/>
      </c>
      <c r="AD115" t="str">
        <f t="shared" si="12"/>
        <v/>
      </c>
      <c r="AE115" t="str">
        <f t="shared" si="13"/>
        <v>En Blanco</v>
      </c>
      <c r="AF115" t="str">
        <f>_xlfn.XLOOKUP($H$7,BDclient[ID-Cliente],BDclient[NIT/C.C.],0)&amp;$H$13&amp;$E$7&amp;"-"&amp;ROW(AA115)-21</f>
        <v>Comp. Ingreso-94</v>
      </c>
      <c r="AQ115" t="str">
        <f t="shared" si="14"/>
        <v>PAGADO</v>
      </c>
    </row>
    <row r="116" spans="3:43">
      <c r="C116" s="194"/>
      <c r="D116" s="206"/>
      <c r="E116" s="142"/>
      <c r="F116" s="195"/>
      <c r="G116" s="183"/>
      <c r="H116" s="37">
        <f t="shared" si="10"/>
        <v>0</v>
      </c>
      <c r="I116" s="37"/>
      <c r="J116" s="210">
        <f t="shared" si="11"/>
        <v>0</v>
      </c>
      <c r="K116" s="197"/>
      <c r="P116" t="str">
        <f>_xlfn.XLOOKUP($H$7,BDclient[ID-Cliente],BDclient[NIT/C.C.],0)&amp;$H$9&amp;$O116&amp;"-"&amp;1</f>
        <v>F. V.-1</v>
      </c>
      <c r="Q116" t="str">
        <f t="shared" si="15"/>
        <v/>
      </c>
      <c r="R116" t="str">
        <f>IF(O116="","",    _xlfn.XLOOKUP(Q116,Regcontabilizados[Número pago],Regcontabilizados[Estado de pago],"NO PAGADO"))</f>
        <v/>
      </c>
      <c r="S116" s="44">
        <f>_xlfn.XLOOKUP(P116,Regcontabilizados[Identificador],Regcontabilizados[Fecha vencimiento],0)</f>
        <v>0</v>
      </c>
      <c r="T116">
        <f>_xlfn.XLOOKUP(P116,Regcontabilizados[Identificador],Regcontabilizados[Subcuenta],0)</f>
        <v>0</v>
      </c>
      <c r="U116">
        <f>_xlfn.XLOOKUP(P116,Regcontabilizados[Identificador],Regcontabilizados[Debe],0)+_xlfn.XLOOKUP(Q116&amp;"-"&amp;2,Regcontabilizados[Identificador],Regcontabilizados[Debe],0)+_xlfn.XLOOKUP(Q116&amp;"-"&amp;3,Regcontabilizados[Identificador],Regcontabilizados[Debe],0)+_xlfn.XLOOKUP(Q116&amp;"-"&amp;4,Regcontabilizados[Identificador],Regcontabilizados[Debe],0)+_xlfn.XLOOKUP(Q116&amp;"-"&amp;5,Regcontabilizados[Identificador],Regcontabilizados[Debe],0)+_xlfn.XLOOKUP(Q116&amp;"-"&amp;6,Regcontabilizados[Identificador],Regcontabilizados[Debe],0)+_xlfn.XLOOKUP(Q116&amp;"-"&amp;7,Regcontabilizados[Identificador],Regcontabilizados[Debe],0)+_xlfn.XLOOKUP(Q116&amp;"-"&amp;8,Regcontabilizados[Identificador],Regcontabilizados[Debe],0)+_xlfn.XLOOKUP(Q116&amp;"-"&amp;9,Regcontabilizados[Identificador],Regcontabilizados[Debe],0)</f>
        <v>0</v>
      </c>
      <c r="V116">
        <f>SUMIF(Regcontabilizados[Número pago],'PAGO Ventas'!Q116,Regcontabilizados[Haber])</f>
        <v>0</v>
      </c>
      <c r="AB116" s="33" t="str">
        <f>IF(J116=0,"",   _xlfn.XLOOKUP(AC116,Regcontabilizados[Identificador],Regcontabilizados[Subcuenta],0))</f>
        <v/>
      </c>
      <c r="AC116" t="str">
        <f>IF(J116=0,"",   _xlfn.XLOOKUP($H$7,BDclient[ID-Cliente],BDclient[NIT/C.C.],0)&amp;H102&amp;$D$23&amp;"-"&amp;1)</f>
        <v/>
      </c>
      <c r="AD116" t="str">
        <f t="shared" si="12"/>
        <v/>
      </c>
      <c r="AE116" t="str">
        <f t="shared" si="13"/>
        <v>En Blanco</v>
      </c>
      <c r="AF116" t="str">
        <f>_xlfn.XLOOKUP($H$7,BDclient[ID-Cliente],BDclient[NIT/C.C.],0)&amp;$H$13&amp;$E$7&amp;"-"&amp;ROW(AA116)-21</f>
        <v>Comp. Ingreso-95</v>
      </c>
      <c r="AQ116" t="str">
        <f t="shared" si="14"/>
        <v>PAGADO</v>
      </c>
    </row>
    <row r="117" spans="3:43">
      <c r="C117" s="194"/>
      <c r="D117" s="206"/>
      <c r="E117" s="142"/>
      <c r="F117" s="195"/>
      <c r="G117" s="183"/>
      <c r="H117" s="37">
        <f t="shared" si="10"/>
        <v>0</v>
      </c>
      <c r="I117" s="37"/>
      <c r="J117" s="210">
        <f t="shared" si="11"/>
        <v>0</v>
      </c>
      <c r="K117" s="197"/>
      <c r="P117" t="str">
        <f>_xlfn.XLOOKUP($H$7,BDclient[ID-Cliente],BDclient[NIT/C.C.],0)&amp;$H$9&amp;$O117&amp;"-"&amp;1</f>
        <v>F. V.-1</v>
      </c>
      <c r="Q117" t="str">
        <f t="shared" si="15"/>
        <v/>
      </c>
      <c r="R117" t="str">
        <f>IF(O117="","",    _xlfn.XLOOKUP(Q117,Regcontabilizados[Número pago],Regcontabilizados[Estado de pago],"NO PAGADO"))</f>
        <v/>
      </c>
      <c r="S117" s="44">
        <f>_xlfn.XLOOKUP(P117,Regcontabilizados[Identificador],Regcontabilizados[Fecha vencimiento],0)</f>
        <v>0</v>
      </c>
      <c r="T117">
        <f>_xlfn.XLOOKUP(P117,Regcontabilizados[Identificador],Regcontabilizados[Subcuenta],0)</f>
        <v>0</v>
      </c>
      <c r="U117">
        <f>_xlfn.XLOOKUP(P117,Regcontabilizados[Identificador],Regcontabilizados[Debe],0)+_xlfn.XLOOKUP(Q117&amp;"-"&amp;2,Regcontabilizados[Identificador],Regcontabilizados[Debe],0)+_xlfn.XLOOKUP(Q117&amp;"-"&amp;3,Regcontabilizados[Identificador],Regcontabilizados[Debe],0)+_xlfn.XLOOKUP(Q117&amp;"-"&amp;4,Regcontabilizados[Identificador],Regcontabilizados[Debe],0)+_xlfn.XLOOKUP(Q117&amp;"-"&amp;5,Regcontabilizados[Identificador],Regcontabilizados[Debe],0)+_xlfn.XLOOKUP(Q117&amp;"-"&amp;6,Regcontabilizados[Identificador],Regcontabilizados[Debe],0)+_xlfn.XLOOKUP(Q117&amp;"-"&amp;7,Regcontabilizados[Identificador],Regcontabilizados[Debe],0)+_xlfn.XLOOKUP(Q117&amp;"-"&amp;8,Regcontabilizados[Identificador],Regcontabilizados[Debe],0)+_xlfn.XLOOKUP(Q117&amp;"-"&amp;9,Regcontabilizados[Identificador],Regcontabilizados[Debe],0)</f>
        <v>0</v>
      </c>
      <c r="V117">
        <f>SUMIF(Regcontabilizados[Número pago],'PAGO Ventas'!Q117,Regcontabilizados[Haber])</f>
        <v>0</v>
      </c>
      <c r="AB117" s="33" t="str">
        <f>IF(J117=0,"",   _xlfn.XLOOKUP(AC117,Regcontabilizados[Identificador],Regcontabilizados[Subcuenta],0))</f>
        <v/>
      </c>
      <c r="AC117" t="str">
        <f>IF(J117=0,"",   _xlfn.XLOOKUP($H$7,BDclient[ID-Cliente],BDclient[NIT/C.C.],0)&amp;H103&amp;$D$23&amp;"-"&amp;1)</f>
        <v/>
      </c>
      <c r="AD117" t="str">
        <f t="shared" si="12"/>
        <v/>
      </c>
      <c r="AE117" t="str">
        <f t="shared" si="13"/>
        <v>En Blanco</v>
      </c>
      <c r="AF117" t="str">
        <f>_xlfn.XLOOKUP($H$7,BDclient[ID-Cliente],BDclient[NIT/C.C.],0)&amp;$H$13&amp;$E$7&amp;"-"&amp;ROW(AA117)-21</f>
        <v>Comp. Ingreso-96</v>
      </c>
      <c r="AQ117" t="str">
        <f t="shared" si="14"/>
        <v>PAGADO</v>
      </c>
    </row>
    <row r="118" spans="3:43">
      <c r="C118" s="194"/>
      <c r="D118" s="206"/>
      <c r="E118" s="142"/>
      <c r="F118" s="195"/>
      <c r="G118" s="183"/>
      <c r="H118" s="37">
        <f t="shared" si="10"/>
        <v>0</v>
      </c>
      <c r="I118" s="37"/>
      <c r="J118" s="210">
        <f t="shared" si="11"/>
        <v>0</v>
      </c>
      <c r="K118" s="197"/>
      <c r="P118" t="str">
        <f>_xlfn.XLOOKUP($H$7,BDclient[ID-Cliente],BDclient[NIT/C.C.],0)&amp;$H$9&amp;$O118&amp;"-"&amp;1</f>
        <v>F. V.-1</v>
      </c>
      <c r="Q118" t="str">
        <f t="shared" si="15"/>
        <v/>
      </c>
      <c r="R118" t="str">
        <f>IF(O118="","",    _xlfn.XLOOKUP(Q118,Regcontabilizados[Número pago],Regcontabilizados[Estado de pago],"NO PAGADO"))</f>
        <v/>
      </c>
      <c r="S118" s="44">
        <f>_xlfn.XLOOKUP(P118,Regcontabilizados[Identificador],Regcontabilizados[Fecha vencimiento],0)</f>
        <v>0</v>
      </c>
      <c r="T118">
        <f>_xlfn.XLOOKUP(P118,Regcontabilizados[Identificador],Regcontabilizados[Subcuenta],0)</f>
        <v>0</v>
      </c>
      <c r="U118">
        <f>_xlfn.XLOOKUP(P118,Regcontabilizados[Identificador],Regcontabilizados[Debe],0)+_xlfn.XLOOKUP(Q118&amp;"-"&amp;2,Regcontabilizados[Identificador],Regcontabilizados[Debe],0)+_xlfn.XLOOKUP(Q118&amp;"-"&amp;3,Regcontabilizados[Identificador],Regcontabilizados[Debe],0)+_xlfn.XLOOKUP(Q118&amp;"-"&amp;4,Regcontabilizados[Identificador],Regcontabilizados[Debe],0)+_xlfn.XLOOKUP(Q118&amp;"-"&amp;5,Regcontabilizados[Identificador],Regcontabilizados[Debe],0)+_xlfn.XLOOKUP(Q118&amp;"-"&amp;6,Regcontabilizados[Identificador],Regcontabilizados[Debe],0)+_xlfn.XLOOKUP(Q118&amp;"-"&amp;7,Regcontabilizados[Identificador],Regcontabilizados[Debe],0)+_xlfn.XLOOKUP(Q118&amp;"-"&amp;8,Regcontabilizados[Identificador],Regcontabilizados[Debe],0)+_xlfn.XLOOKUP(Q118&amp;"-"&amp;9,Regcontabilizados[Identificador],Regcontabilizados[Debe],0)</f>
        <v>0</v>
      </c>
      <c r="V118">
        <f>SUMIF(Regcontabilizados[Número pago],'PAGO Ventas'!Q118,Regcontabilizados[Haber])</f>
        <v>0</v>
      </c>
      <c r="AB118" s="33" t="str">
        <f>IF(J118=0,"",   _xlfn.XLOOKUP(AC118,Regcontabilizados[Identificador],Regcontabilizados[Subcuenta],0))</f>
        <v/>
      </c>
      <c r="AC118" t="str">
        <f>IF(J118=0,"",   _xlfn.XLOOKUP($H$7,BDclient[ID-Cliente],BDclient[NIT/C.C.],0)&amp;H104&amp;$D$23&amp;"-"&amp;1)</f>
        <v/>
      </c>
      <c r="AD118" t="str">
        <f t="shared" si="12"/>
        <v/>
      </c>
      <c r="AE118" t="str">
        <f t="shared" si="13"/>
        <v>En Blanco</v>
      </c>
      <c r="AF118" t="str">
        <f>_xlfn.XLOOKUP($H$7,BDclient[ID-Cliente],BDclient[NIT/C.C.],0)&amp;$H$13&amp;$E$7&amp;"-"&amp;ROW(AA118)-21</f>
        <v>Comp. Ingreso-97</v>
      </c>
      <c r="AQ118" t="str">
        <f t="shared" si="14"/>
        <v>PAGADO</v>
      </c>
    </row>
    <row r="119" spans="3:43">
      <c r="C119" s="194"/>
      <c r="D119" s="206"/>
      <c r="E119" s="142"/>
      <c r="F119" s="195"/>
      <c r="G119" s="183"/>
      <c r="H119" s="37">
        <f t="shared" si="10"/>
        <v>0</v>
      </c>
      <c r="I119" s="37"/>
      <c r="J119" s="210">
        <f t="shared" si="11"/>
        <v>0</v>
      </c>
      <c r="K119" s="197"/>
      <c r="P119" t="str">
        <f>_xlfn.XLOOKUP($H$7,BDclient[ID-Cliente],BDclient[NIT/C.C.],0)&amp;$H$9&amp;$O119&amp;"-"&amp;1</f>
        <v>F. V.-1</v>
      </c>
      <c r="Q119" t="str">
        <f t="shared" si="15"/>
        <v/>
      </c>
      <c r="R119" t="str">
        <f>IF(O119="","",    _xlfn.XLOOKUP(Q119,Regcontabilizados[Número pago],Regcontabilizados[Estado de pago],"NO PAGADO"))</f>
        <v/>
      </c>
      <c r="S119" s="44">
        <f>_xlfn.XLOOKUP(P119,Regcontabilizados[Identificador],Regcontabilizados[Fecha vencimiento],0)</f>
        <v>0</v>
      </c>
      <c r="T119">
        <f>_xlfn.XLOOKUP(P119,Regcontabilizados[Identificador],Regcontabilizados[Subcuenta],0)</f>
        <v>0</v>
      </c>
      <c r="U119">
        <f>_xlfn.XLOOKUP(P119,Regcontabilizados[Identificador],Regcontabilizados[Debe],0)+_xlfn.XLOOKUP(Q119&amp;"-"&amp;2,Regcontabilizados[Identificador],Regcontabilizados[Debe],0)+_xlfn.XLOOKUP(Q119&amp;"-"&amp;3,Regcontabilizados[Identificador],Regcontabilizados[Debe],0)+_xlfn.XLOOKUP(Q119&amp;"-"&amp;4,Regcontabilizados[Identificador],Regcontabilizados[Debe],0)+_xlfn.XLOOKUP(Q119&amp;"-"&amp;5,Regcontabilizados[Identificador],Regcontabilizados[Debe],0)+_xlfn.XLOOKUP(Q119&amp;"-"&amp;6,Regcontabilizados[Identificador],Regcontabilizados[Debe],0)+_xlfn.XLOOKUP(Q119&amp;"-"&amp;7,Regcontabilizados[Identificador],Regcontabilizados[Debe],0)+_xlfn.XLOOKUP(Q119&amp;"-"&amp;8,Regcontabilizados[Identificador],Regcontabilizados[Debe],0)+_xlfn.XLOOKUP(Q119&amp;"-"&amp;9,Regcontabilizados[Identificador],Regcontabilizados[Debe],0)</f>
        <v>0</v>
      </c>
      <c r="V119">
        <f>SUMIF(Regcontabilizados[Número pago],'PAGO Ventas'!Q119,Regcontabilizados[Haber])</f>
        <v>0</v>
      </c>
      <c r="AB119" s="33" t="str">
        <f>IF(J119=0,"",   _xlfn.XLOOKUP(AC119,Regcontabilizados[Identificador],Regcontabilizados[Subcuenta],0))</f>
        <v/>
      </c>
      <c r="AC119" t="str">
        <f>IF(J119=0,"",   _xlfn.XLOOKUP($H$7,BDclient[ID-Cliente],BDclient[NIT/C.C.],0)&amp;H105&amp;$D$23&amp;"-"&amp;1)</f>
        <v/>
      </c>
      <c r="AD119" t="str">
        <f t="shared" si="12"/>
        <v/>
      </c>
      <c r="AE119" t="str">
        <f t="shared" si="13"/>
        <v>En Blanco</v>
      </c>
      <c r="AF119" t="str">
        <f>_xlfn.XLOOKUP($H$7,BDclient[ID-Cliente],BDclient[NIT/C.C.],0)&amp;$H$13&amp;$E$7&amp;"-"&amp;ROW(AA119)-21</f>
        <v>Comp. Ingreso-98</v>
      </c>
      <c r="AQ119" t="str">
        <f t="shared" si="14"/>
        <v>PAGADO</v>
      </c>
    </row>
    <row r="120" spans="3:43">
      <c r="C120" s="194"/>
      <c r="D120" s="206"/>
      <c r="E120" s="142"/>
      <c r="F120" s="195"/>
      <c r="G120" s="183"/>
      <c r="H120" s="37">
        <f t="shared" si="10"/>
        <v>0</v>
      </c>
      <c r="I120" s="37"/>
      <c r="J120" s="210">
        <f t="shared" si="11"/>
        <v>0</v>
      </c>
      <c r="K120" s="197"/>
      <c r="P120" t="str">
        <f>_xlfn.XLOOKUP($H$7,BDclient[ID-Cliente],BDclient[NIT/C.C.],0)&amp;$H$9&amp;$O120&amp;"-"&amp;1</f>
        <v>F. V.-1</v>
      </c>
      <c r="Q120" t="str">
        <f t="shared" si="15"/>
        <v/>
      </c>
      <c r="R120" t="str">
        <f>IF(O120="","",    _xlfn.XLOOKUP(Q120,Regcontabilizados[Número pago],Regcontabilizados[Estado de pago],"NO PAGADO"))</f>
        <v/>
      </c>
      <c r="S120" s="44">
        <f>_xlfn.XLOOKUP(P120,Regcontabilizados[Identificador],Regcontabilizados[Fecha vencimiento],0)</f>
        <v>0</v>
      </c>
      <c r="T120">
        <f>_xlfn.XLOOKUP(P120,Regcontabilizados[Identificador],Regcontabilizados[Subcuenta],0)</f>
        <v>0</v>
      </c>
      <c r="U120">
        <f>_xlfn.XLOOKUP(P120,Regcontabilizados[Identificador],Regcontabilizados[Debe],0)+_xlfn.XLOOKUP(Q120&amp;"-"&amp;2,Regcontabilizados[Identificador],Regcontabilizados[Debe],0)+_xlfn.XLOOKUP(Q120&amp;"-"&amp;3,Regcontabilizados[Identificador],Regcontabilizados[Debe],0)+_xlfn.XLOOKUP(Q120&amp;"-"&amp;4,Regcontabilizados[Identificador],Regcontabilizados[Debe],0)+_xlfn.XLOOKUP(Q120&amp;"-"&amp;5,Regcontabilizados[Identificador],Regcontabilizados[Debe],0)+_xlfn.XLOOKUP(Q120&amp;"-"&amp;6,Regcontabilizados[Identificador],Regcontabilizados[Debe],0)+_xlfn.XLOOKUP(Q120&amp;"-"&amp;7,Regcontabilizados[Identificador],Regcontabilizados[Debe],0)+_xlfn.XLOOKUP(Q120&amp;"-"&amp;8,Regcontabilizados[Identificador],Regcontabilizados[Debe],0)+_xlfn.XLOOKUP(Q120&amp;"-"&amp;9,Regcontabilizados[Identificador],Regcontabilizados[Debe],0)</f>
        <v>0</v>
      </c>
      <c r="V120">
        <f>SUMIF(Regcontabilizados[Número pago],'PAGO Ventas'!Q120,Regcontabilizados[Haber])</f>
        <v>0</v>
      </c>
      <c r="AB120" s="33" t="str">
        <f>IF(J120=0,"",   _xlfn.XLOOKUP(AC120,Regcontabilizados[Identificador],Regcontabilizados[Subcuenta],0))</f>
        <v/>
      </c>
      <c r="AC120" t="str">
        <f>IF(J120=0,"",   _xlfn.XLOOKUP($H$7,BDclient[ID-Cliente],BDclient[NIT/C.C.],0)&amp;H106&amp;$D$23&amp;"-"&amp;1)</f>
        <v/>
      </c>
      <c r="AD120" t="str">
        <f t="shared" si="12"/>
        <v/>
      </c>
      <c r="AE120" t="str">
        <f t="shared" si="13"/>
        <v>En Blanco</v>
      </c>
      <c r="AF120" t="str">
        <f>_xlfn.XLOOKUP($H$7,BDclient[ID-Cliente],BDclient[NIT/C.C.],0)&amp;$H$13&amp;$E$7&amp;"-"&amp;ROW(AA120)-21</f>
        <v>Comp. Ingreso-99</v>
      </c>
      <c r="AQ120" t="str">
        <f t="shared" si="14"/>
        <v>PAGADO</v>
      </c>
    </row>
    <row r="121" spans="3:43">
      <c r="C121" s="194"/>
      <c r="D121" s="206"/>
      <c r="E121" s="142"/>
      <c r="F121" s="195"/>
      <c r="G121" s="183"/>
      <c r="H121" s="37">
        <f t="shared" si="10"/>
        <v>0</v>
      </c>
      <c r="I121" s="37"/>
      <c r="J121" s="210">
        <f t="shared" si="11"/>
        <v>0</v>
      </c>
      <c r="K121" s="197"/>
      <c r="P121" t="str">
        <f>_xlfn.XLOOKUP($H$7,BDclient[ID-Cliente],BDclient[NIT/C.C.],0)&amp;$H$9&amp;$O121&amp;"-"&amp;1</f>
        <v>F. V.-1</v>
      </c>
      <c r="Q121" t="str">
        <f t="shared" si="15"/>
        <v/>
      </c>
      <c r="R121" t="str">
        <f>IF(O121="","",    _xlfn.XLOOKUP(Q121,Regcontabilizados[Número pago],Regcontabilizados[Estado de pago],"NO PAGADO"))</f>
        <v/>
      </c>
      <c r="S121" s="44">
        <f>_xlfn.XLOOKUP(P121,Regcontabilizados[Identificador],Regcontabilizados[Fecha vencimiento],0)</f>
        <v>0</v>
      </c>
      <c r="T121">
        <f>_xlfn.XLOOKUP(P121,Regcontabilizados[Identificador],Regcontabilizados[Subcuenta],0)</f>
        <v>0</v>
      </c>
      <c r="U121">
        <f>_xlfn.XLOOKUP(P121,Regcontabilizados[Identificador],Regcontabilizados[Debe],0)+_xlfn.XLOOKUP(Q121&amp;"-"&amp;2,Regcontabilizados[Identificador],Regcontabilizados[Debe],0)+_xlfn.XLOOKUP(Q121&amp;"-"&amp;3,Regcontabilizados[Identificador],Regcontabilizados[Debe],0)+_xlfn.XLOOKUP(Q121&amp;"-"&amp;4,Regcontabilizados[Identificador],Regcontabilizados[Debe],0)+_xlfn.XLOOKUP(Q121&amp;"-"&amp;5,Regcontabilizados[Identificador],Regcontabilizados[Debe],0)+_xlfn.XLOOKUP(Q121&amp;"-"&amp;6,Regcontabilizados[Identificador],Regcontabilizados[Debe],0)+_xlfn.XLOOKUP(Q121&amp;"-"&amp;7,Regcontabilizados[Identificador],Regcontabilizados[Debe],0)+_xlfn.XLOOKUP(Q121&amp;"-"&amp;8,Regcontabilizados[Identificador],Regcontabilizados[Debe],0)+_xlfn.XLOOKUP(Q121&amp;"-"&amp;9,Regcontabilizados[Identificador],Regcontabilizados[Debe],0)</f>
        <v>0</v>
      </c>
      <c r="V121">
        <f>SUMIF(Regcontabilizados[Número pago],'PAGO Ventas'!Q121,Regcontabilizados[Haber])</f>
        <v>0</v>
      </c>
      <c r="AB121" s="33" t="str">
        <f>IF(J121=0,"",   _xlfn.XLOOKUP(AC121,Regcontabilizados[Identificador],Regcontabilizados[Subcuenta],0))</f>
        <v/>
      </c>
      <c r="AC121" t="str">
        <f>IF(J121=0,"",   _xlfn.XLOOKUP($H$7,BDclient[ID-Cliente],BDclient[NIT/C.C.],0)&amp;H107&amp;$D$23&amp;"-"&amp;1)</f>
        <v/>
      </c>
      <c r="AD121" t="str">
        <f t="shared" si="12"/>
        <v/>
      </c>
      <c r="AE121" t="str">
        <f t="shared" si="13"/>
        <v>En Blanco</v>
      </c>
      <c r="AF121" t="str">
        <f>_xlfn.XLOOKUP($H$7,BDclient[ID-Cliente],BDclient[NIT/C.C.],0)&amp;$H$13&amp;$E$7&amp;"-"&amp;ROW(AA121)-21</f>
        <v>Comp. Ingreso-100</v>
      </c>
      <c r="AQ121" t="str">
        <f t="shared" si="14"/>
        <v>PAGADO</v>
      </c>
    </row>
    <row r="122" spans="3:43">
      <c r="C122" s="194"/>
      <c r="D122" s="206"/>
      <c r="E122" s="142"/>
      <c r="F122" s="195"/>
      <c r="G122" s="183"/>
      <c r="H122" s="37">
        <f t="shared" si="10"/>
        <v>0</v>
      </c>
      <c r="I122" s="37"/>
      <c r="J122" s="210">
        <f t="shared" si="11"/>
        <v>0</v>
      </c>
      <c r="K122" s="197"/>
      <c r="P122" t="str">
        <f>_xlfn.XLOOKUP($H$7,BDclient[ID-Cliente],BDclient[NIT/C.C.],0)&amp;$H$9&amp;$O122&amp;"-"&amp;1</f>
        <v>F. V.-1</v>
      </c>
      <c r="Q122" t="str">
        <f t="shared" si="15"/>
        <v/>
      </c>
      <c r="R122" t="str">
        <f>IF(O122="","",    _xlfn.XLOOKUP(Q122,Regcontabilizados[Número pago],Regcontabilizados[Estado de pago],"NO PAGADO"))</f>
        <v/>
      </c>
      <c r="S122" s="44">
        <f>_xlfn.XLOOKUP(P122,Regcontabilizados[Identificador],Regcontabilizados[Fecha vencimiento],0)</f>
        <v>0</v>
      </c>
      <c r="T122">
        <f>_xlfn.XLOOKUP(P122,Regcontabilizados[Identificador],Regcontabilizados[Subcuenta],0)</f>
        <v>0</v>
      </c>
      <c r="U122">
        <f>_xlfn.XLOOKUP(P122,Regcontabilizados[Identificador],Regcontabilizados[Debe],0)+_xlfn.XLOOKUP(Q122&amp;"-"&amp;2,Regcontabilizados[Identificador],Regcontabilizados[Debe],0)+_xlfn.XLOOKUP(Q122&amp;"-"&amp;3,Regcontabilizados[Identificador],Regcontabilizados[Debe],0)+_xlfn.XLOOKUP(Q122&amp;"-"&amp;4,Regcontabilizados[Identificador],Regcontabilizados[Debe],0)+_xlfn.XLOOKUP(Q122&amp;"-"&amp;5,Regcontabilizados[Identificador],Regcontabilizados[Debe],0)+_xlfn.XLOOKUP(Q122&amp;"-"&amp;6,Regcontabilizados[Identificador],Regcontabilizados[Debe],0)+_xlfn.XLOOKUP(Q122&amp;"-"&amp;7,Regcontabilizados[Identificador],Regcontabilizados[Debe],0)+_xlfn.XLOOKUP(Q122&amp;"-"&amp;8,Regcontabilizados[Identificador],Regcontabilizados[Debe],0)+_xlfn.XLOOKUP(Q122&amp;"-"&amp;9,Regcontabilizados[Identificador],Regcontabilizados[Debe],0)</f>
        <v>0</v>
      </c>
      <c r="V122">
        <f>SUMIF(Regcontabilizados[Número pago],'PAGO Ventas'!Q122,Regcontabilizados[Haber])</f>
        <v>0</v>
      </c>
      <c r="AB122" s="33" t="str">
        <f>IF(J122=0,"",   _xlfn.XLOOKUP(AC122,Regcontabilizados[Identificador],Regcontabilizados[Subcuenta],0))</f>
        <v/>
      </c>
      <c r="AC122" t="str">
        <f>IF(J122=0,"",   _xlfn.XLOOKUP($H$7,BDclient[ID-Cliente],BDclient[NIT/C.C.],0)&amp;H108&amp;$D$23&amp;"-"&amp;1)</f>
        <v/>
      </c>
      <c r="AD122" t="str">
        <f t="shared" si="12"/>
        <v/>
      </c>
      <c r="AE122" t="str">
        <f t="shared" si="13"/>
        <v>En Blanco</v>
      </c>
      <c r="AF122" t="str">
        <f>_xlfn.XLOOKUP($H$7,BDclient[ID-Cliente],BDclient[NIT/C.C.],0)&amp;$H$13&amp;$E$7&amp;"-"&amp;ROW(AA122)-21</f>
        <v>Comp. Ingreso-101</v>
      </c>
      <c r="AQ122" t="str">
        <f t="shared" si="14"/>
        <v>PAGADO</v>
      </c>
    </row>
    <row r="123" spans="3:43">
      <c r="C123" s="194"/>
      <c r="D123" s="206"/>
      <c r="E123" s="142"/>
      <c r="F123" s="195"/>
      <c r="G123" s="183"/>
      <c r="H123" s="37">
        <f t="shared" si="10"/>
        <v>0</v>
      </c>
      <c r="I123" s="37"/>
      <c r="J123" s="210">
        <f t="shared" si="11"/>
        <v>0</v>
      </c>
      <c r="K123" s="197"/>
      <c r="P123" t="str">
        <f>_xlfn.XLOOKUP($H$7,BDclient[ID-Cliente],BDclient[NIT/C.C.],0)&amp;$H$9&amp;$O123&amp;"-"&amp;1</f>
        <v>F. V.-1</v>
      </c>
      <c r="Q123" t="str">
        <f t="shared" si="15"/>
        <v/>
      </c>
      <c r="R123" t="str">
        <f>IF(O123="","",    _xlfn.XLOOKUP(Q123,Regcontabilizados[Número pago],Regcontabilizados[Estado de pago],"NO PAGADO"))</f>
        <v/>
      </c>
      <c r="S123" s="44">
        <f>_xlfn.XLOOKUP(P123,Regcontabilizados[Identificador],Regcontabilizados[Fecha vencimiento],0)</f>
        <v>0</v>
      </c>
      <c r="T123">
        <f>_xlfn.XLOOKUP(P123,Regcontabilizados[Identificador],Regcontabilizados[Subcuenta],0)</f>
        <v>0</v>
      </c>
      <c r="U123">
        <f>_xlfn.XLOOKUP(P123,Regcontabilizados[Identificador],Regcontabilizados[Debe],0)+_xlfn.XLOOKUP(Q123&amp;"-"&amp;2,Regcontabilizados[Identificador],Regcontabilizados[Debe],0)+_xlfn.XLOOKUP(Q123&amp;"-"&amp;3,Regcontabilizados[Identificador],Regcontabilizados[Debe],0)+_xlfn.XLOOKUP(Q123&amp;"-"&amp;4,Regcontabilizados[Identificador],Regcontabilizados[Debe],0)+_xlfn.XLOOKUP(Q123&amp;"-"&amp;5,Regcontabilizados[Identificador],Regcontabilizados[Debe],0)+_xlfn.XLOOKUP(Q123&amp;"-"&amp;6,Regcontabilizados[Identificador],Regcontabilizados[Debe],0)+_xlfn.XLOOKUP(Q123&amp;"-"&amp;7,Regcontabilizados[Identificador],Regcontabilizados[Debe],0)+_xlfn.XLOOKUP(Q123&amp;"-"&amp;8,Regcontabilizados[Identificador],Regcontabilizados[Debe],0)+_xlfn.XLOOKUP(Q123&amp;"-"&amp;9,Regcontabilizados[Identificador],Regcontabilizados[Debe],0)</f>
        <v>0</v>
      </c>
      <c r="V123">
        <f>SUMIF(Regcontabilizados[Número pago],'PAGO Ventas'!Q123,Regcontabilizados[Haber])</f>
        <v>0</v>
      </c>
      <c r="AB123" s="33" t="str">
        <f>IF(J123=0,"",   _xlfn.XLOOKUP(AC123,Regcontabilizados[Identificador],Regcontabilizados[Subcuenta],0))</f>
        <v/>
      </c>
      <c r="AC123" t="str">
        <f>IF(J123=0,"",   _xlfn.XLOOKUP($H$7,BDclient[ID-Cliente],BDclient[NIT/C.C.],0)&amp;H109&amp;$D$23&amp;"-"&amp;1)</f>
        <v/>
      </c>
      <c r="AD123" t="str">
        <f t="shared" si="12"/>
        <v/>
      </c>
      <c r="AE123" t="str">
        <f t="shared" si="13"/>
        <v>En Blanco</v>
      </c>
      <c r="AF123" t="str">
        <f>_xlfn.XLOOKUP($H$7,BDclient[ID-Cliente],BDclient[NIT/C.C.],0)&amp;$H$13&amp;$E$7&amp;"-"&amp;ROW(AA123)-21</f>
        <v>Comp. Ingreso-102</v>
      </c>
      <c r="AQ123" t="str">
        <f t="shared" si="14"/>
        <v>PAGADO</v>
      </c>
    </row>
    <row r="124" spans="3:43">
      <c r="C124" s="194"/>
      <c r="D124" s="206"/>
      <c r="E124" s="142"/>
      <c r="F124" s="195"/>
      <c r="G124" s="183"/>
      <c r="H124" s="37">
        <f t="shared" si="10"/>
        <v>0</v>
      </c>
      <c r="I124" s="37"/>
      <c r="J124" s="210">
        <f t="shared" si="11"/>
        <v>0</v>
      </c>
      <c r="K124" s="197"/>
      <c r="P124" t="str">
        <f>_xlfn.XLOOKUP($H$7,BDclient[ID-Cliente],BDclient[NIT/C.C.],0)&amp;$H$9&amp;$O124&amp;"-"&amp;1</f>
        <v>F. V.-1</v>
      </c>
      <c r="Q124" t="str">
        <f t="shared" si="15"/>
        <v/>
      </c>
      <c r="R124" t="str">
        <f>IF(O124="","",    _xlfn.XLOOKUP(Q124,Regcontabilizados[Número pago],Regcontabilizados[Estado de pago],"NO PAGADO"))</f>
        <v/>
      </c>
      <c r="S124" s="44">
        <f>_xlfn.XLOOKUP(P124,Regcontabilizados[Identificador],Regcontabilizados[Fecha vencimiento],0)</f>
        <v>0</v>
      </c>
      <c r="T124">
        <f>_xlfn.XLOOKUP(P124,Regcontabilizados[Identificador],Regcontabilizados[Subcuenta],0)</f>
        <v>0</v>
      </c>
      <c r="U124">
        <f>_xlfn.XLOOKUP(P124,Regcontabilizados[Identificador],Regcontabilizados[Debe],0)+_xlfn.XLOOKUP(Q124&amp;"-"&amp;2,Regcontabilizados[Identificador],Regcontabilizados[Debe],0)+_xlfn.XLOOKUP(Q124&amp;"-"&amp;3,Regcontabilizados[Identificador],Regcontabilizados[Debe],0)+_xlfn.XLOOKUP(Q124&amp;"-"&amp;4,Regcontabilizados[Identificador],Regcontabilizados[Debe],0)+_xlfn.XLOOKUP(Q124&amp;"-"&amp;5,Regcontabilizados[Identificador],Regcontabilizados[Debe],0)+_xlfn.XLOOKUP(Q124&amp;"-"&amp;6,Regcontabilizados[Identificador],Regcontabilizados[Debe],0)+_xlfn.XLOOKUP(Q124&amp;"-"&amp;7,Regcontabilizados[Identificador],Regcontabilizados[Debe],0)+_xlfn.XLOOKUP(Q124&amp;"-"&amp;8,Regcontabilizados[Identificador],Regcontabilizados[Debe],0)+_xlfn.XLOOKUP(Q124&amp;"-"&amp;9,Regcontabilizados[Identificador],Regcontabilizados[Debe],0)</f>
        <v>0</v>
      </c>
      <c r="V124">
        <f>SUMIF(Regcontabilizados[Número pago],'PAGO Ventas'!Q124,Regcontabilizados[Haber])</f>
        <v>0</v>
      </c>
      <c r="AB124" s="33" t="str">
        <f>IF(J124=0,"",   _xlfn.XLOOKUP(AC124,Regcontabilizados[Identificador],Regcontabilizados[Subcuenta],0))</f>
        <v/>
      </c>
      <c r="AC124" t="str">
        <f>IF(J124=0,"",   _xlfn.XLOOKUP($H$7,BDclient[ID-Cliente],BDclient[NIT/C.C.],0)&amp;H110&amp;$D$23&amp;"-"&amp;1)</f>
        <v/>
      </c>
      <c r="AD124" t="str">
        <f t="shared" si="12"/>
        <v/>
      </c>
      <c r="AE124" t="str">
        <f t="shared" si="13"/>
        <v>En Blanco</v>
      </c>
      <c r="AF124" t="str">
        <f>_xlfn.XLOOKUP($H$7,BDclient[ID-Cliente],BDclient[NIT/C.C.],0)&amp;$H$13&amp;$E$7&amp;"-"&amp;ROW(AA124)-21</f>
        <v>Comp. Ingreso-103</v>
      </c>
      <c r="AQ124" t="str">
        <f t="shared" si="14"/>
        <v>PAGADO</v>
      </c>
    </row>
    <row r="125" spans="3:43">
      <c r="C125" s="194"/>
      <c r="D125" s="206"/>
      <c r="E125" s="142"/>
      <c r="F125" s="195"/>
      <c r="G125" s="183"/>
      <c r="H125" s="37">
        <f t="shared" si="10"/>
        <v>0</v>
      </c>
      <c r="I125" s="37"/>
      <c r="J125" s="210">
        <f t="shared" si="11"/>
        <v>0</v>
      </c>
      <c r="K125" s="197"/>
      <c r="P125" t="str">
        <f>_xlfn.XLOOKUP($H$7,BDclient[ID-Cliente],BDclient[NIT/C.C.],0)&amp;$H$9&amp;$O125&amp;"-"&amp;1</f>
        <v>F. V.-1</v>
      </c>
      <c r="Q125" t="str">
        <f t="shared" si="15"/>
        <v/>
      </c>
      <c r="R125" t="str">
        <f>IF(O125="","",    _xlfn.XLOOKUP(Q125,Regcontabilizados[Número pago],Regcontabilizados[Estado de pago],"NO PAGADO"))</f>
        <v/>
      </c>
      <c r="S125" s="44">
        <f>_xlfn.XLOOKUP(P125,Regcontabilizados[Identificador],Regcontabilizados[Fecha vencimiento],0)</f>
        <v>0</v>
      </c>
      <c r="T125">
        <f>_xlfn.XLOOKUP(P125,Regcontabilizados[Identificador],Regcontabilizados[Subcuenta],0)</f>
        <v>0</v>
      </c>
      <c r="U125">
        <f>_xlfn.XLOOKUP(P125,Regcontabilizados[Identificador],Regcontabilizados[Debe],0)+_xlfn.XLOOKUP(Q125&amp;"-"&amp;2,Regcontabilizados[Identificador],Regcontabilizados[Debe],0)+_xlfn.XLOOKUP(Q125&amp;"-"&amp;3,Regcontabilizados[Identificador],Regcontabilizados[Debe],0)+_xlfn.XLOOKUP(Q125&amp;"-"&amp;4,Regcontabilizados[Identificador],Regcontabilizados[Debe],0)+_xlfn.XLOOKUP(Q125&amp;"-"&amp;5,Regcontabilizados[Identificador],Regcontabilizados[Debe],0)+_xlfn.XLOOKUP(Q125&amp;"-"&amp;6,Regcontabilizados[Identificador],Regcontabilizados[Debe],0)+_xlfn.XLOOKUP(Q125&amp;"-"&amp;7,Regcontabilizados[Identificador],Regcontabilizados[Debe],0)+_xlfn.XLOOKUP(Q125&amp;"-"&amp;8,Regcontabilizados[Identificador],Regcontabilizados[Debe],0)+_xlfn.XLOOKUP(Q125&amp;"-"&amp;9,Regcontabilizados[Identificador],Regcontabilizados[Debe],0)</f>
        <v>0</v>
      </c>
      <c r="V125">
        <f>SUMIF(Regcontabilizados[Número pago],'PAGO Ventas'!Q125,Regcontabilizados[Haber])</f>
        <v>0</v>
      </c>
      <c r="AB125" s="33" t="str">
        <f>IF(J125=0,"",   _xlfn.XLOOKUP(AC125,Regcontabilizados[Identificador],Regcontabilizados[Subcuenta],0))</f>
        <v/>
      </c>
      <c r="AC125" t="str">
        <f>IF(J125=0,"",   _xlfn.XLOOKUP($H$7,BDclient[ID-Cliente],BDclient[NIT/C.C.],0)&amp;H111&amp;$D$23&amp;"-"&amp;1)</f>
        <v/>
      </c>
      <c r="AD125" t="str">
        <f t="shared" si="12"/>
        <v/>
      </c>
      <c r="AE125" t="str">
        <f t="shared" si="13"/>
        <v>En Blanco</v>
      </c>
      <c r="AF125" t="str">
        <f>_xlfn.XLOOKUP($H$7,BDclient[ID-Cliente],BDclient[NIT/C.C.],0)&amp;$H$13&amp;$E$7&amp;"-"&amp;ROW(AA125)-21</f>
        <v>Comp. Ingreso-104</v>
      </c>
      <c r="AQ125" t="str">
        <f t="shared" si="14"/>
        <v>PAGADO</v>
      </c>
    </row>
    <row r="126" spans="3:43">
      <c r="C126" s="194"/>
      <c r="D126" s="206"/>
      <c r="E126" s="142"/>
      <c r="F126" s="195"/>
      <c r="G126" s="183"/>
      <c r="H126" s="37">
        <f t="shared" si="10"/>
        <v>0</v>
      </c>
      <c r="I126" s="37"/>
      <c r="J126" s="210">
        <f t="shared" si="11"/>
        <v>0</v>
      </c>
      <c r="K126" s="197"/>
      <c r="P126" t="str">
        <f>_xlfn.XLOOKUP($H$7,BDclient[ID-Cliente],BDclient[NIT/C.C.],0)&amp;$H$9&amp;$O126&amp;"-"&amp;1</f>
        <v>F. V.-1</v>
      </c>
      <c r="Q126" t="str">
        <f t="shared" si="15"/>
        <v/>
      </c>
      <c r="R126" t="str">
        <f>IF(O126="","",    _xlfn.XLOOKUP(Q126,Regcontabilizados[Número pago],Regcontabilizados[Estado de pago],"NO PAGADO"))</f>
        <v/>
      </c>
      <c r="S126" s="44">
        <f>_xlfn.XLOOKUP(P126,Regcontabilizados[Identificador],Regcontabilizados[Fecha vencimiento],0)</f>
        <v>0</v>
      </c>
      <c r="T126">
        <f>_xlfn.XLOOKUP(P126,Regcontabilizados[Identificador],Regcontabilizados[Subcuenta],0)</f>
        <v>0</v>
      </c>
      <c r="U126">
        <f>_xlfn.XLOOKUP(P126,Regcontabilizados[Identificador],Regcontabilizados[Debe],0)+_xlfn.XLOOKUP(Q126&amp;"-"&amp;2,Regcontabilizados[Identificador],Regcontabilizados[Debe],0)+_xlfn.XLOOKUP(Q126&amp;"-"&amp;3,Regcontabilizados[Identificador],Regcontabilizados[Debe],0)+_xlfn.XLOOKUP(Q126&amp;"-"&amp;4,Regcontabilizados[Identificador],Regcontabilizados[Debe],0)+_xlfn.XLOOKUP(Q126&amp;"-"&amp;5,Regcontabilizados[Identificador],Regcontabilizados[Debe],0)+_xlfn.XLOOKUP(Q126&amp;"-"&amp;6,Regcontabilizados[Identificador],Regcontabilizados[Debe],0)+_xlfn.XLOOKUP(Q126&amp;"-"&amp;7,Regcontabilizados[Identificador],Regcontabilizados[Debe],0)+_xlfn.XLOOKUP(Q126&amp;"-"&amp;8,Regcontabilizados[Identificador],Regcontabilizados[Debe],0)+_xlfn.XLOOKUP(Q126&amp;"-"&amp;9,Regcontabilizados[Identificador],Regcontabilizados[Debe],0)</f>
        <v>0</v>
      </c>
      <c r="V126">
        <f>SUMIF(Regcontabilizados[Número pago],'PAGO Ventas'!Q126,Regcontabilizados[Haber])</f>
        <v>0</v>
      </c>
      <c r="AB126" s="33" t="str">
        <f>IF(J126=0,"",   _xlfn.XLOOKUP(AC126,Regcontabilizados[Identificador],Regcontabilizados[Subcuenta],0))</f>
        <v/>
      </c>
      <c r="AC126" t="str">
        <f>IF(J126=0,"",   _xlfn.XLOOKUP($H$7,BDclient[ID-Cliente],BDclient[NIT/C.C.],0)&amp;H112&amp;$D$23&amp;"-"&amp;1)</f>
        <v/>
      </c>
      <c r="AD126" t="str">
        <f t="shared" si="12"/>
        <v/>
      </c>
      <c r="AE126" t="str">
        <f t="shared" si="13"/>
        <v>En Blanco</v>
      </c>
      <c r="AF126" t="str">
        <f>_xlfn.XLOOKUP($H$7,BDclient[ID-Cliente],BDclient[NIT/C.C.],0)&amp;$H$13&amp;$E$7&amp;"-"&amp;ROW(AA126)-21</f>
        <v>Comp. Ingreso-105</v>
      </c>
      <c r="AQ126" t="str">
        <f t="shared" si="14"/>
        <v>PAGADO</v>
      </c>
    </row>
    <row r="127" spans="3:43">
      <c r="C127" s="194"/>
      <c r="D127" s="206"/>
      <c r="E127" s="142"/>
      <c r="F127" s="195"/>
      <c r="G127" s="183"/>
      <c r="H127" s="37">
        <f t="shared" si="10"/>
        <v>0</v>
      </c>
      <c r="I127" s="37"/>
      <c r="J127" s="210">
        <f t="shared" si="11"/>
        <v>0</v>
      </c>
      <c r="K127" s="197"/>
      <c r="P127" t="str">
        <f>_xlfn.XLOOKUP($H$7,BDclient[ID-Cliente],BDclient[NIT/C.C.],0)&amp;$H$9&amp;$O127&amp;"-"&amp;1</f>
        <v>F. V.-1</v>
      </c>
      <c r="Q127" t="str">
        <f t="shared" si="15"/>
        <v/>
      </c>
      <c r="R127" t="str">
        <f>IF(O127="","",    _xlfn.XLOOKUP(Q127,Regcontabilizados[Número pago],Regcontabilizados[Estado de pago],"NO PAGADO"))</f>
        <v/>
      </c>
      <c r="S127" s="44">
        <f>_xlfn.XLOOKUP(P127,Regcontabilizados[Identificador],Regcontabilizados[Fecha vencimiento],0)</f>
        <v>0</v>
      </c>
      <c r="T127">
        <f>_xlfn.XLOOKUP(P127,Regcontabilizados[Identificador],Regcontabilizados[Subcuenta],0)</f>
        <v>0</v>
      </c>
      <c r="U127">
        <f>_xlfn.XLOOKUP(P127,Regcontabilizados[Identificador],Regcontabilizados[Debe],0)+_xlfn.XLOOKUP(Q127&amp;"-"&amp;2,Regcontabilizados[Identificador],Regcontabilizados[Debe],0)+_xlfn.XLOOKUP(Q127&amp;"-"&amp;3,Regcontabilizados[Identificador],Regcontabilizados[Debe],0)+_xlfn.XLOOKUP(Q127&amp;"-"&amp;4,Regcontabilizados[Identificador],Regcontabilizados[Debe],0)+_xlfn.XLOOKUP(Q127&amp;"-"&amp;5,Regcontabilizados[Identificador],Regcontabilizados[Debe],0)+_xlfn.XLOOKUP(Q127&amp;"-"&amp;6,Regcontabilizados[Identificador],Regcontabilizados[Debe],0)+_xlfn.XLOOKUP(Q127&amp;"-"&amp;7,Regcontabilizados[Identificador],Regcontabilizados[Debe],0)+_xlfn.XLOOKUP(Q127&amp;"-"&amp;8,Regcontabilizados[Identificador],Regcontabilizados[Debe],0)+_xlfn.XLOOKUP(Q127&amp;"-"&amp;9,Regcontabilizados[Identificador],Regcontabilizados[Debe],0)</f>
        <v>0</v>
      </c>
      <c r="V127">
        <f>SUMIF(Regcontabilizados[Número pago],'PAGO Ventas'!Q127,Regcontabilizados[Haber])</f>
        <v>0</v>
      </c>
      <c r="AB127" s="33" t="str">
        <f>IF(J127=0,"",   _xlfn.XLOOKUP(AC127,Regcontabilizados[Identificador],Regcontabilizados[Subcuenta],0))</f>
        <v/>
      </c>
      <c r="AC127" t="str">
        <f>IF(J127=0,"",   _xlfn.XLOOKUP($H$7,BDclient[ID-Cliente],BDclient[NIT/C.C.],0)&amp;H113&amp;$D$23&amp;"-"&amp;1)</f>
        <v/>
      </c>
      <c r="AD127" t="str">
        <f t="shared" si="12"/>
        <v/>
      </c>
      <c r="AE127" t="str">
        <f t="shared" si="13"/>
        <v>En Blanco</v>
      </c>
      <c r="AF127" t="str">
        <f>_xlfn.XLOOKUP($H$7,BDclient[ID-Cliente],BDclient[NIT/C.C.],0)&amp;$H$13&amp;$E$7&amp;"-"&amp;ROW(AA127)-21</f>
        <v>Comp. Ingreso-106</v>
      </c>
      <c r="AQ127" t="str">
        <f t="shared" si="14"/>
        <v>PAGADO</v>
      </c>
    </row>
    <row r="128" spans="3:43">
      <c r="C128" s="194"/>
      <c r="D128" s="206"/>
      <c r="E128" s="142"/>
      <c r="F128" s="195"/>
      <c r="G128" s="183"/>
      <c r="H128" s="37">
        <f t="shared" si="10"/>
        <v>0</v>
      </c>
      <c r="I128" s="37"/>
      <c r="J128" s="210">
        <f t="shared" si="11"/>
        <v>0</v>
      </c>
      <c r="K128" s="197"/>
      <c r="P128" t="str">
        <f>_xlfn.XLOOKUP($H$7,BDclient[ID-Cliente],BDclient[NIT/C.C.],0)&amp;$H$9&amp;$O128&amp;"-"&amp;1</f>
        <v>F. V.-1</v>
      </c>
      <c r="Q128" t="str">
        <f t="shared" si="15"/>
        <v/>
      </c>
      <c r="R128" t="str">
        <f>IF(O128="","",    _xlfn.XLOOKUP(Q128,Regcontabilizados[Número pago],Regcontabilizados[Estado de pago],"NO PAGADO"))</f>
        <v/>
      </c>
      <c r="S128" s="44">
        <f>_xlfn.XLOOKUP(P128,Regcontabilizados[Identificador],Regcontabilizados[Fecha vencimiento],0)</f>
        <v>0</v>
      </c>
      <c r="T128">
        <f>_xlfn.XLOOKUP(P128,Regcontabilizados[Identificador],Regcontabilizados[Subcuenta],0)</f>
        <v>0</v>
      </c>
      <c r="U128">
        <f>_xlfn.XLOOKUP(P128,Regcontabilizados[Identificador],Regcontabilizados[Debe],0)+_xlfn.XLOOKUP(Q128&amp;"-"&amp;2,Regcontabilizados[Identificador],Regcontabilizados[Debe],0)+_xlfn.XLOOKUP(Q128&amp;"-"&amp;3,Regcontabilizados[Identificador],Regcontabilizados[Debe],0)+_xlfn.XLOOKUP(Q128&amp;"-"&amp;4,Regcontabilizados[Identificador],Regcontabilizados[Debe],0)+_xlfn.XLOOKUP(Q128&amp;"-"&amp;5,Regcontabilizados[Identificador],Regcontabilizados[Debe],0)+_xlfn.XLOOKUP(Q128&amp;"-"&amp;6,Regcontabilizados[Identificador],Regcontabilizados[Debe],0)+_xlfn.XLOOKUP(Q128&amp;"-"&amp;7,Regcontabilizados[Identificador],Regcontabilizados[Debe],0)+_xlfn.XLOOKUP(Q128&amp;"-"&amp;8,Regcontabilizados[Identificador],Regcontabilizados[Debe],0)+_xlfn.XLOOKUP(Q128&amp;"-"&amp;9,Regcontabilizados[Identificador],Regcontabilizados[Debe],0)</f>
        <v>0</v>
      </c>
      <c r="V128">
        <f>SUMIF(Regcontabilizados[Número pago],'PAGO Ventas'!Q128,Regcontabilizados[Haber])</f>
        <v>0</v>
      </c>
      <c r="AB128" s="33" t="str">
        <f>IF(J128=0,"",   _xlfn.XLOOKUP(AC128,Regcontabilizados[Identificador],Regcontabilizados[Subcuenta],0))</f>
        <v/>
      </c>
      <c r="AC128" t="str">
        <f>IF(J128=0,"",   _xlfn.XLOOKUP($H$7,BDclient[ID-Cliente],BDclient[NIT/C.C.],0)&amp;H114&amp;$D$23&amp;"-"&amp;1)</f>
        <v/>
      </c>
      <c r="AD128" t="str">
        <f t="shared" si="12"/>
        <v/>
      </c>
      <c r="AE128" t="str">
        <f t="shared" si="13"/>
        <v>En Blanco</v>
      </c>
      <c r="AF128" t="str">
        <f>_xlfn.XLOOKUP($H$7,BDclient[ID-Cliente],BDclient[NIT/C.C.],0)&amp;$H$13&amp;$E$7&amp;"-"&amp;ROW(AA128)-21</f>
        <v>Comp. Ingreso-107</v>
      </c>
      <c r="AQ128" t="str">
        <f t="shared" si="14"/>
        <v>PAGADO</v>
      </c>
    </row>
    <row r="129" spans="3:43">
      <c r="C129" s="194"/>
      <c r="D129" s="206"/>
      <c r="E129" s="142"/>
      <c r="F129" s="195"/>
      <c r="G129" s="183"/>
      <c r="H129" s="37">
        <f t="shared" si="10"/>
        <v>0</v>
      </c>
      <c r="I129" s="37"/>
      <c r="J129" s="210">
        <f t="shared" si="11"/>
        <v>0</v>
      </c>
      <c r="K129" s="197"/>
      <c r="P129" t="str">
        <f>_xlfn.XLOOKUP($H$7,BDclient[ID-Cliente],BDclient[NIT/C.C.],0)&amp;$H$9&amp;$O129&amp;"-"&amp;1</f>
        <v>F. V.-1</v>
      </c>
      <c r="Q129" t="str">
        <f t="shared" si="15"/>
        <v/>
      </c>
      <c r="R129" t="str">
        <f>IF(O129="","",    _xlfn.XLOOKUP(Q129,Regcontabilizados[Número pago],Regcontabilizados[Estado de pago],"NO PAGADO"))</f>
        <v/>
      </c>
      <c r="S129" s="44">
        <f>_xlfn.XLOOKUP(P129,Regcontabilizados[Identificador],Regcontabilizados[Fecha vencimiento],0)</f>
        <v>0</v>
      </c>
      <c r="T129">
        <f>_xlfn.XLOOKUP(P129,Regcontabilizados[Identificador],Regcontabilizados[Subcuenta],0)</f>
        <v>0</v>
      </c>
      <c r="U129">
        <f>_xlfn.XLOOKUP(P129,Regcontabilizados[Identificador],Regcontabilizados[Debe],0)+_xlfn.XLOOKUP(Q129&amp;"-"&amp;2,Regcontabilizados[Identificador],Regcontabilizados[Debe],0)+_xlfn.XLOOKUP(Q129&amp;"-"&amp;3,Regcontabilizados[Identificador],Regcontabilizados[Debe],0)+_xlfn.XLOOKUP(Q129&amp;"-"&amp;4,Regcontabilizados[Identificador],Regcontabilizados[Debe],0)+_xlfn.XLOOKUP(Q129&amp;"-"&amp;5,Regcontabilizados[Identificador],Regcontabilizados[Debe],0)+_xlfn.XLOOKUP(Q129&amp;"-"&amp;6,Regcontabilizados[Identificador],Regcontabilizados[Debe],0)+_xlfn.XLOOKUP(Q129&amp;"-"&amp;7,Regcontabilizados[Identificador],Regcontabilizados[Debe],0)+_xlfn.XLOOKUP(Q129&amp;"-"&amp;8,Regcontabilizados[Identificador],Regcontabilizados[Debe],0)+_xlfn.XLOOKUP(Q129&amp;"-"&amp;9,Regcontabilizados[Identificador],Regcontabilizados[Debe],0)</f>
        <v>0</v>
      </c>
      <c r="V129">
        <f>SUMIF(Regcontabilizados[Número pago],'PAGO Ventas'!Q129,Regcontabilizados[Haber])</f>
        <v>0</v>
      </c>
      <c r="AB129" s="33" t="str">
        <f>IF(J129=0,"",   _xlfn.XLOOKUP(AC129,Regcontabilizados[Identificador],Regcontabilizados[Subcuenta],0))</f>
        <v/>
      </c>
      <c r="AC129" t="str">
        <f>IF(J129=0,"",   _xlfn.XLOOKUP($H$7,BDclient[ID-Cliente],BDclient[NIT/C.C.],0)&amp;H115&amp;$D$23&amp;"-"&amp;1)</f>
        <v/>
      </c>
      <c r="AD129" t="str">
        <f t="shared" si="12"/>
        <v/>
      </c>
      <c r="AE129" t="str">
        <f t="shared" si="13"/>
        <v>En Blanco</v>
      </c>
      <c r="AF129" t="str">
        <f>_xlfn.XLOOKUP($H$7,BDclient[ID-Cliente],BDclient[NIT/C.C.],0)&amp;$H$13&amp;$E$7&amp;"-"&amp;ROW(AA129)-21</f>
        <v>Comp. Ingreso-108</v>
      </c>
      <c r="AQ129" t="str">
        <f t="shared" si="14"/>
        <v>PAGADO</v>
      </c>
    </row>
    <row r="130" spans="3:43">
      <c r="C130" s="194"/>
      <c r="D130" s="206"/>
      <c r="E130" s="142"/>
      <c r="F130" s="195"/>
      <c r="G130" s="183"/>
      <c r="H130" s="37">
        <f t="shared" si="10"/>
        <v>0</v>
      </c>
      <c r="I130" s="37"/>
      <c r="J130" s="210">
        <f t="shared" si="11"/>
        <v>0</v>
      </c>
      <c r="K130" s="197"/>
      <c r="P130" t="str">
        <f>_xlfn.XLOOKUP($H$7,BDclient[ID-Cliente],BDclient[NIT/C.C.],0)&amp;$H$9&amp;$O130&amp;"-"&amp;1</f>
        <v>F. V.-1</v>
      </c>
      <c r="Q130" t="str">
        <f t="shared" si="15"/>
        <v/>
      </c>
      <c r="R130" t="str">
        <f>IF(O130="","",    _xlfn.XLOOKUP(Q130,Regcontabilizados[Número pago],Regcontabilizados[Estado de pago],"NO PAGADO"))</f>
        <v/>
      </c>
      <c r="S130" s="44">
        <f>_xlfn.XLOOKUP(P130,Regcontabilizados[Identificador],Regcontabilizados[Fecha vencimiento],0)</f>
        <v>0</v>
      </c>
      <c r="T130">
        <f>_xlfn.XLOOKUP(P130,Regcontabilizados[Identificador],Regcontabilizados[Subcuenta],0)</f>
        <v>0</v>
      </c>
      <c r="U130">
        <f>_xlfn.XLOOKUP(P130,Regcontabilizados[Identificador],Regcontabilizados[Debe],0)+_xlfn.XLOOKUP(Q130&amp;"-"&amp;2,Regcontabilizados[Identificador],Regcontabilizados[Debe],0)+_xlfn.XLOOKUP(Q130&amp;"-"&amp;3,Regcontabilizados[Identificador],Regcontabilizados[Debe],0)+_xlfn.XLOOKUP(Q130&amp;"-"&amp;4,Regcontabilizados[Identificador],Regcontabilizados[Debe],0)+_xlfn.XLOOKUP(Q130&amp;"-"&amp;5,Regcontabilizados[Identificador],Regcontabilizados[Debe],0)+_xlfn.XLOOKUP(Q130&amp;"-"&amp;6,Regcontabilizados[Identificador],Regcontabilizados[Debe],0)+_xlfn.XLOOKUP(Q130&amp;"-"&amp;7,Regcontabilizados[Identificador],Regcontabilizados[Debe],0)+_xlfn.XLOOKUP(Q130&amp;"-"&amp;8,Regcontabilizados[Identificador],Regcontabilizados[Debe],0)+_xlfn.XLOOKUP(Q130&amp;"-"&amp;9,Regcontabilizados[Identificador],Regcontabilizados[Debe],0)</f>
        <v>0</v>
      </c>
      <c r="V130">
        <f>SUMIF(Regcontabilizados[Número pago],'PAGO Ventas'!Q130,Regcontabilizados[Haber])</f>
        <v>0</v>
      </c>
      <c r="AB130" s="33" t="str">
        <f>IF(J130=0,"",   _xlfn.XLOOKUP(AC130,Regcontabilizados[Identificador],Regcontabilizados[Subcuenta],0))</f>
        <v/>
      </c>
      <c r="AC130" t="str">
        <f>IF(J130=0,"",   _xlfn.XLOOKUP($H$7,BDclient[ID-Cliente],BDclient[NIT/C.C.],0)&amp;H116&amp;$D$23&amp;"-"&amp;1)</f>
        <v/>
      </c>
      <c r="AD130" t="str">
        <f t="shared" si="12"/>
        <v/>
      </c>
      <c r="AE130" t="str">
        <f t="shared" si="13"/>
        <v>En Blanco</v>
      </c>
      <c r="AF130" t="str">
        <f>_xlfn.XLOOKUP($H$7,BDclient[ID-Cliente],BDclient[NIT/C.C.],0)&amp;$H$13&amp;$E$7&amp;"-"&amp;ROW(AA130)-21</f>
        <v>Comp. Ingreso-109</v>
      </c>
      <c r="AQ130" t="str">
        <f t="shared" si="14"/>
        <v>PAGADO</v>
      </c>
    </row>
    <row r="131" spans="3:43">
      <c r="C131" s="194"/>
      <c r="D131" s="206"/>
      <c r="E131" s="142"/>
      <c r="F131" s="195"/>
      <c r="G131" s="183"/>
      <c r="H131" s="37">
        <f t="shared" si="10"/>
        <v>0</v>
      </c>
      <c r="I131" s="37"/>
      <c r="J131" s="210">
        <f t="shared" si="11"/>
        <v>0</v>
      </c>
      <c r="K131" s="197"/>
      <c r="P131" t="str">
        <f>_xlfn.XLOOKUP($H$7,BDclient[ID-Cliente],BDclient[NIT/C.C.],0)&amp;$H$9&amp;$O131&amp;"-"&amp;1</f>
        <v>F. V.-1</v>
      </c>
      <c r="Q131" t="str">
        <f t="shared" si="15"/>
        <v/>
      </c>
      <c r="R131" t="str">
        <f>IF(O131="","",    _xlfn.XLOOKUP(Q131,Regcontabilizados[Número pago],Regcontabilizados[Estado de pago],"NO PAGADO"))</f>
        <v/>
      </c>
      <c r="S131" s="44">
        <f>_xlfn.XLOOKUP(P131,Regcontabilizados[Identificador],Regcontabilizados[Fecha vencimiento],0)</f>
        <v>0</v>
      </c>
      <c r="T131">
        <f>_xlfn.XLOOKUP(P131,Regcontabilizados[Identificador],Regcontabilizados[Subcuenta],0)</f>
        <v>0</v>
      </c>
      <c r="U131">
        <f>_xlfn.XLOOKUP(P131,Regcontabilizados[Identificador],Regcontabilizados[Debe],0)+_xlfn.XLOOKUP(Q131&amp;"-"&amp;2,Regcontabilizados[Identificador],Regcontabilizados[Debe],0)+_xlfn.XLOOKUP(Q131&amp;"-"&amp;3,Regcontabilizados[Identificador],Regcontabilizados[Debe],0)+_xlfn.XLOOKUP(Q131&amp;"-"&amp;4,Regcontabilizados[Identificador],Regcontabilizados[Debe],0)+_xlfn.XLOOKUP(Q131&amp;"-"&amp;5,Regcontabilizados[Identificador],Regcontabilizados[Debe],0)+_xlfn.XLOOKUP(Q131&amp;"-"&amp;6,Regcontabilizados[Identificador],Regcontabilizados[Debe],0)+_xlfn.XLOOKUP(Q131&amp;"-"&amp;7,Regcontabilizados[Identificador],Regcontabilizados[Debe],0)+_xlfn.XLOOKUP(Q131&amp;"-"&amp;8,Regcontabilizados[Identificador],Regcontabilizados[Debe],0)+_xlfn.XLOOKUP(Q131&amp;"-"&amp;9,Regcontabilizados[Identificador],Regcontabilizados[Debe],0)</f>
        <v>0</v>
      </c>
      <c r="V131">
        <f>SUMIF(Regcontabilizados[Número pago],'PAGO Ventas'!Q131,Regcontabilizados[Haber])</f>
        <v>0</v>
      </c>
      <c r="AB131" s="33" t="str">
        <f>IF(J131=0,"",   _xlfn.XLOOKUP(AC131,Regcontabilizados[Identificador],Regcontabilizados[Subcuenta],0))</f>
        <v/>
      </c>
      <c r="AC131" t="str">
        <f>IF(J131=0,"",   _xlfn.XLOOKUP($H$7,BDclient[ID-Cliente],BDclient[NIT/C.C.],0)&amp;H117&amp;$D$23&amp;"-"&amp;1)</f>
        <v/>
      </c>
      <c r="AD131" t="str">
        <f t="shared" si="12"/>
        <v/>
      </c>
      <c r="AE131" t="str">
        <f t="shared" si="13"/>
        <v>En Blanco</v>
      </c>
      <c r="AF131" t="str">
        <f>_xlfn.XLOOKUP($H$7,BDclient[ID-Cliente],BDclient[NIT/C.C.],0)&amp;$H$13&amp;$E$7&amp;"-"&amp;ROW(AA131)-21</f>
        <v>Comp. Ingreso-110</v>
      </c>
      <c r="AQ131" t="str">
        <f t="shared" si="14"/>
        <v>PAGADO</v>
      </c>
    </row>
    <row r="132" spans="3:43">
      <c r="C132" s="194"/>
      <c r="D132" s="206"/>
      <c r="E132" s="142"/>
      <c r="F132" s="195"/>
      <c r="G132" s="183"/>
      <c r="H132" s="37">
        <f t="shared" si="10"/>
        <v>0</v>
      </c>
      <c r="I132" s="37"/>
      <c r="J132" s="210">
        <f t="shared" si="11"/>
        <v>0</v>
      </c>
      <c r="K132" s="197"/>
      <c r="P132" t="str">
        <f>_xlfn.XLOOKUP($H$7,BDclient[ID-Cliente],BDclient[NIT/C.C.],0)&amp;$H$9&amp;$O132&amp;"-"&amp;1</f>
        <v>F. V.-1</v>
      </c>
      <c r="Q132" t="str">
        <f t="shared" si="15"/>
        <v/>
      </c>
      <c r="R132" t="str">
        <f>IF(O132="","",    _xlfn.XLOOKUP(Q132,Regcontabilizados[Número pago],Regcontabilizados[Estado de pago],"NO PAGADO"))</f>
        <v/>
      </c>
      <c r="S132" s="44">
        <f>_xlfn.XLOOKUP(P132,Regcontabilizados[Identificador],Regcontabilizados[Fecha vencimiento],0)</f>
        <v>0</v>
      </c>
      <c r="T132">
        <f>_xlfn.XLOOKUP(P132,Regcontabilizados[Identificador],Regcontabilizados[Subcuenta],0)</f>
        <v>0</v>
      </c>
      <c r="U132">
        <f>_xlfn.XLOOKUP(P132,Regcontabilizados[Identificador],Regcontabilizados[Debe],0)+_xlfn.XLOOKUP(Q132&amp;"-"&amp;2,Regcontabilizados[Identificador],Regcontabilizados[Debe],0)+_xlfn.XLOOKUP(Q132&amp;"-"&amp;3,Regcontabilizados[Identificador],Regcontabilizados[Debe],0)+_xlfn.XLOOKUP(Q132&amp;"-"&amp;4,Regcontabilizados[Identificador],Regcontabilizados[Debe],0)+_xlfn.XLOOKUP(Q132&amp;"-"&amp;5,Regcontabilizados[Identificador],Regcontabilizados[Debe],0)+_xlfn.XLOOKUP(Q132&amp;"-"&amp;6,Regcontabilizados[Identificador],Regcontabilizados[Debe],0)+_xlfn.XLOOKUP(Q132&amp;"-"&amp;7,Regcontabilizados[Identificador],Regcontabilizados[Debe],0)+_xlfn.XLOOKUP(Q132&amp;"-"&amp;8,Regcontabilizados[Identificador],Regcontabilizados[Debe],0)+_xlfn.XLOOKUP(Q132&amp;"-"&amp;9,Regcontabilizados[Identificador],Regcontabilizados[Debe],0)</f>
        <v>0</v>
      </c>
      <c r="V132">
        <f>SUMIF(Regcontabilizados[Número pago],'PAGO Ventas'!Q132,Regcontabilizados[Haber])</f>
        <v>0</v>
      </c>
      <c r="AB132" s="33" t="str">
        <f>IF(J132=0,"",   _xlfn.XLOOKUP(AC132,Regcontabilizados[Identificador],Regcontabilizados[Subcuenta],0))</f>
        <v/>
      </c>
      <c r="AC132" t="str">
        <f>IF(J132=0,"",   _xlfn.XLOOKUP($H$7,BDclient[ID-Cliente],BDclient[NIT/C.C.],0)&amp;H118&amp;$D$23&amp;"-"&amp;1)</f>
        <v/>
      </c>
      <c r="AD132" t="str">
        <f t="shared" si="12"/>
        <v/>
      </c>
      <c r="AE132" t="str">
        <f t="shared" si="13"/>
        <v>En Blanco</v>
      </c>
      <c r="AF132" t="str">
        <f>_xlfn.XLOOKUP($H$7,BDclient[ID-Cliente],BDclient[NIT/C.C.],0)&amp;$H$13&amp;$E$7&amp;"-"&amp;ROW(AA132)-21</f>
        <v>Comp. Ingreso-111</v>
      </c>
      <c r="AQ132" t="str">
        <f t="shared" si="14"/>
        <v>PAGADO</v>
      </c>
    </row>
    <row r="133" spans="3:43">
      <c r="C133" s="194"/>
      <c r="D133" s="206"/>
      <c r="E133" s="142"/>
      <c r="F133" s="195"/>
      <c r="G133" s="183"/>
      <c r="H133" s="37">
        <f t="shared" si="10"/>
        <v>0</v>
      </c>
      <c r="I133" s="37"/>
      <c r="J133" s="210">
        <f t="shared" si="11"/>
        <v>0</v>
      </c>
      <c r="K133" s="197"/>
      <c r="P133" t="str">
        <f>_xlfn.XLOOKUP($H$7,BDclient[ID-Cliente],BDclient[NIT/C.C.],0)&amp;$H$9&amp;$O133&amp;"-"&amp;1</f>
        <v>F. V.-1</v>
      </c>
      <c r="Q133" t="str">
        <f t="shared" si="15"/>
        <v/>
      </c>
      <c r="R133" t="str">
        <f>IF(O133="","",    _xlfn.XLOOKUP(Q133,Regcontabilizados[Número pago],Regcontabilizados[Estado de pago],"NO PAGADO"))</f>
        <v/>
      </c>
      <c r="S133" s="44">
        <f>_xlfn.XLOOKUP(P133,Regcontabilizados[Identificador],Regcontabilizados[Fecha vencimiento],0)</f>
        <v>0</v>
      </c>
      <c r="T133">
        <f>_xlfn.XLOOKUP(P133,Regcontabilizados[Identificador],Regcontabilizados[Subcuenta],0)</f>
        <v>0</v>
      </c>
      <c r="U133">
        <f>_xlfn.XLOOKUP(P133,Regcontabilizados[Identificador],Regcontabilizados[Debe],0)+_xlfn.XLOOKUP(Q133&amp;"-"&amp;2,Regcontabilizados[Identificador],Regcontabilizados[Debe],0)+_xlfn.XLOOKUP(Q133&amp;"-"&amp;3,Regcontabilizados[Identificador],Regcontabilizados[Debe],0)+_xlfn.XLOOKUP(Q133&amp;"-"&amp;4,Regcontabilizados[Identificador],Regcontabilizados[Debe],0)+_xlfn.XLOOKUP(Q133&amp;"-"&amp;5,Regcontabilizados[Identificador],Regcontabilizados[Debe],0)+_xlfn.XLOOKUP(Q133&amp;"-"&amp;6,Regcontabilizados[Identificador],Regcontabilizados[Debe],0)+_xlfn.XLOOKUP(Q133&amp;"-"&amp;7,Regcontabilizados[Identificador],Regcontabilizados[Debe],0)+_xlfn.XLOOKUP(Q133&amp;"-"&amp;8,Regcontabilizados[Identificador],Regcontabilizados[Debe],0)+_xlfn.XLOOKUP(Q133&amp;"-"&amp;9,Regcontabilizados[Identificador],Regcontabilizados[Debe],0)</f>
        <v>0</v>
      </c>
      <c r="V133">
        <f>SUMIF(Regcontabilizados[Número pago],'PAGO Ventas'!Q133,Regcontabilizados[Haber])</f>
        <v>0</v>
      </c>
      <c r="AB133" s="33" t="str">
        <f>IF(J133=0,"",   _xlfn.XLOOKUP(AC133,Regcontabilizados[Identificador],Regcontabilizados[Subcuenta],0))</f>
        <v/>
      </c>
      <c r="AC133" t="str">
        <f>IF(J133=0,"",   _xlfn.XLOOKUP($H$7,BDclient[ID-Cliente],BDclient[NIT/C.C.],0)&amp;H119&amp;$D$23&amp;"-"&amp;1)</f>
        <v/>
      </c>
      <c r="AD133" t="str">
        <f t="shared" si="12"/>
        <v/>
      </c>
      <c r="AE133" t="str">
        <f t="shared" si="13"/>
        <v>En Blanco</v>
      </c>
      <c r="AF133" t="str">
        <f>_xlfn.XLOOKUP($H$7,BDclient[ID-Cliente],BDclient[NIT/C.C.],0)&amp;$H$13&amp;$E$7&amp;"-"&amp;ROW(AA133)-21</f>
        <v>Comp. Ingreso-112</v>
      </c>
      <c r="AQ133" t="str">
        <f t="shared" si="14"/>
        <v>PAGADO</v>
      </c>
    </row>
    <row r="134" spans="3:43">
      <c r="C134" s="194"/>
      <c r="D134" s="206"/>
      <c r="E134" s="142"/>
      <c r="F134" s="195"/>
      <c r="G134" s="183"/>
      <c r="H134" s="37">
        <f t="shared" si="10"/>
        <v>0</v>
      </c>
      <c r="I134" s="37"/>
      <c r="J134" s="210">
        <f t="shared" si="11"/>
        <v>0</v>
      </c>
      <c r="K134" s="197"/>
      <c r="P134" t="str">
        <f>_xlfn.XLOOKUP($H$7,BDclient[ID-Cliente],BDclient[NIT/C.C.],0)&amp;$H$9&amp;$O134&amp;"-"&amp;1</f>
        <v>F. V.-1</v>
      </c>
      <c r="Q134" t="str">
        <f t="shared" si="15"/>
        <v/>
      </c>
      <c r="R134" t="str">
        <f>IF(O134="","",    _xlfn.XLOOKUP(Q134,Regcontabilizados[Número pago],Regcontabilizados[Estado de pago],"NO PAGADO"))</f>
        <v/>
      </c>
      <c r="S134" s="44">
        <f>_xlfn.XLOOKUP(P134,Regcontabilizados[Identificador],Regcontabilizados[Fecha vencimiento],0)</f>
        <v>0</v>
      </c>
      <c r="T134">
        <f>_xlfn.XLOOKUP(P134,Regcontabilizados[Identificador],Regcontabilizados[Subcuenta],0)</f>
        <v>0</v>
      </c>
      <c r="U134">
        <f>_xlfn.XLOOKUP(P134,Regcontabilizados[Identificador],Regcontabilizados[Debe],0)+_xlfn.XLOOKUP(Q134&amp;"-"&amp;2,Regcontabilizados[Identificador],Regcontabilizados[Debe],0)+_xlfn.XLOOKUP(Q134&amp;"-"&amp;3,Regcontabilizados[Identificador],Regcontabilizados[Debe],0)+_xlfn.XLOOKUP(Q134&amp;"-"&amp;4,Regcontabilizados[Identificador],Regcontabilizados[Debe],0)+_xlfn.XLOOKUP(Q134&amp;"-"&amp;5,Regcontabilizados[Identificador],Regcontabilizados[Debe],0)+_xlfn.XLOOKUP(Q134&amp;"-"&amp;6,Regcontabilizados[Identificador],Regcontabilizados[Debe],0)+_xlfn.XLOOKUP(Q134&amp;"-"&amp;7,Regcontabilizados[Identificador],Regcontabilizados[Debe],0)+_xlfn.XLOOKUP(Q134&amp;"-"&amp;8,Regcontabilizados[Identificador],Regcontabilizados[Debe],0)+_xlfn.XLOOKUP(Q134&amp;"-"&amp;9,Regcontabilizados[Identificador],Regcontabilizados[Debe],0)</f>
        <v>0</v>
      </c>
      <c r="V134">
        <f>SUMIF(Regcontabilizados[Número pago],'PAGO Ventas'!Q134,Regcontabilizados[Haber])</f>
        <v>0</v>
      </c>
      <c r="AB134" s="33" t="str">
        <f>IF(J134=0,"",   _xlfn.XLOOKUP(AC134,Regcontabilizados[Identificador],Regcontabilizados[Subcuenta],0))</f>
        <v/>
      </c>
      <c r="AC134" t="str">
        <f>IF(J134=0,"",   _xlfn.XLOOKUP($H$7,BDclient[ID-Cliente],BDclient[NIT/C.C.],0)&amp;H120&amp;$D$23&amp;"-"&amp;1)</f>
        <v/>
      </c>
      <c r="AD134" t="str">
        <f t="shared" si="12"/>
        <v/>
      </c>
      <c r="AE134" t="str">
        <f t="shared" si="13"/>
        <v>En Blanco</v>
      </c>
      <c r="AF134" t="str">
        <f>_xlfn.XLOOKUP($H$7,BDclient[ID-Cliente],BDclient[NIT/C.C.],0)&amp;$H$13&amp;$E$7&amp;"-"&amp;ROW(AA134)-21</f>
        <v>Comp. Ingreso-113</v>
      </c>
      <c r="AQ134" t="str">
        <f t="shared" si="14"/>
        <v>PAGADO</v>
      </c>
    </row>
    <row r="135" spans="3:43">
      <c r="C135" s="194"/>
      <c r="D135" s="206"/>
      <c r="E135" s="142"/>
      <c r="F135" s="195"/>
      <c r="G135" s="183"/>
      <c r="H135" s="37">
        <f t="shared" si="10"/>
        <v>0</v>
      </c>
      <c r="I135" s="37"/>
      <c r="J135" s="210">
        <f t="shared" si="11"/>
        <v>0</v>
      </c>
      <c r="K135" s="197"/>
      <c r="P135" t="str">
        <f>_xlfn.XLOOKUP($H$7,BDclient[ID-Cliente],BDclient[NIT/C.C.],0)&amp;$H$9&amp;$O135&amp;"-"&amp;1</f>
        <v>F. V.-1</v>
      </c>
      <c r="Q135" t="str">
        <f t="shared" si="15"/>
        <v/>
      </c>
      <c r="R135" t="str">
        <f>IF(O135="","",    _xlfn.XLOOKUP(Q135,Regcontabilizados[Número pago],Regcontabilizados[Estado de pago],"NO PAGADO"))</f>
        <v/>
      </c>
      <c r="S135" s="44">
        <f>_xlfn.XLOOKUP(P135,Regcontabilizados[Identificador],Regcontabilizados[Fecha vencimiento],0)</f>
        <v>0</v>
      </c>
      <c r="T135">
        <f>_xlfn.XLOOKUP(P135,Regcontabilizados[Identificador],Regcontabilizados[Subcuenta],0)</f>
        <v>0</v>
      </c>
      <c r="U135">
        <f>_xlfn.XLOOKUP(P135,Regcontabilizados[Identificador],Regcontabilizados[Debe],0)+_xlfn.XLOOKUP(Q135&amp;"-"&amp;2,Regcontabilizados[Identificador],Regcontabilizados[Debe],0)+_xlfn.XLOOKUP(Q135&amp;"-"&amp;3,Regcontabilizados[Identificador],Regcontabilizados[Debe],0)+_xlfn.XLOOKUP(Q135&amp;"-"&amp;4,Regcontabilizados[Identificador],Regcontabilizados[Debe],0)+_xlfn.XLOOKUP(Q135&amp;"-"&amp;5,Regcontabilizados[Identificador],Regcontabilizados[Debe],0)+_xlfn.XLOOKUP(Q135&amp;"-"&amp;6,Regcontabilizados[Identificador],Regcontabilizados[Debe],0)+_xlfn.XLOOKUP(Q135&amp;"-"&amp;7,Regcontabilizados[Identificador],Regcontabilizados[Debe],0)+_xlfn.XLOOKUP(Q135&amp;"-"&amp;8,Regcontabilizados[Identificador],Regcontabilizados[Debe],0)+_xlfn.XLOOKUP(Q135&amp;"-"&amp;9,Regcontabilizados[Identificador],Regcontabilizados[Debe],0)</f>
        <v>0</v>
      </c>
      <c r="V135">
        <f>SUMIF(Regcontabilizados[Número pago],'PAGO Ventas'!Q135,Regcontabilizados[Haber])</f>
        <v>0</v>
      </c>
      <c r="AB135" s="33" t="str">
        <f>IF(J135=0,"",   _xlfn.XLOOKUP(AC135,Regcontabilizados[Identificador],Regcontabilizados[Subcuenta],0))</f>
        <v/>
      </c>
      <c r="AC135" t="str">
        <f>IF(J135=0,"",   _xlfn.XLOOKUP($H$7,BDclient[ID-Cliente],BDclient[NIT/C.C.],0)&amp;H121&amp;$D$23&amp;"-"&amp;1)</f>
        <v/>
      </c>
      <c r="AD135" t="str">
        <f t="shared" si="12"/>
        <v/>
      </c>
      <c r="AE135" t="str">
        <f t="shared" si="13"/>
        <v>En Blanco</v>
      </c>
      <c r="AF135" t="str">
        <f>_xlfn.XLOOKUP($H$7,BDclient[ID-Cliente],BDclient[NIT/C.C.],0)&amp;$H$13&amp;$E$7&amp;"-"&amp;ROW(AA135)-21</f>
        <v>Comp. Ingreso-114</v>
      </c>
      <c r="AQ135" t="str">
        <f t="shared" si="14"/>
        <v>PAGADO</v>
      </c>
    </row>
    <row r="136" spans="3:43">
      <c r="C136" s="194"/>
      <c r="D136" s="206"/>
      <c r="E136" s="142"/>
      <c r="F136" s="195"/>
      <c r="G136" s="183"/>
      <c r="H136" s="37">
        <f t="shared" si="10"/>
        <v>0</v>
      </c>
      <c r="I136" s="37"/>
      <c r="J136" s="210">
        <f t="shared" si="11"/>
        <v>0</v>
      </c>
      <c r="K136" s="197"/>
      <c r="P136" t="str">
        <f>_xlfn.XLOOKUP($H$7,BDclient[ID-Cliente],BDclient[NIT/C.C.],0)&amp;$H$9&amp;$O136&amp;"-"&amp;1</f>
        <v>F. V.-1</v>
      </c>
      <c r="Q136" t="str">
        <f t="shared" si="15"/>
        <v/>
      </c>
      <c r="R136" t="str">
        <f>IF(O136="","",    _xlfn.XLOOKUP(Q136,Regcontabilizados[Número pago],Regcontabilizados[Estado de pago],"NO PAGADO"))</f>
        <v/>
      </c>
      <c r="S136" s="44">
        <f>_xlfn.XLOOKUP(P136,Regcontabilizados[Identificador],Regcontabilizados[Fecha vencimiento],0)</f>
        <v>0</v>
      </c>
      <c r="T136">
        <f>_xlfn.XLOOKUP(P136,Regcontabilizados[Identificador],Regcontabilizados[Subcuenta],0)</f>
        <v>0</v>
      </c>
      <c r="U136">
        <f>_xlfn.XLOOKUP(P136,Regcontabilizados[Identificador],Regcontabilizados[Debe],0)+_xlfn.XLOOKUP(Q136&amp;"-"&amp;2,Regcontabilizados[Identificador],Regcontabilizados[Debe],0)+_xlfn.XLOOKUP(Q136&amp;"-"&amp;3,Regcontabilizados[Identificador],Regcontabilizados[Debe],0)+_xlfn.XLOOKUP(Q136&amp;"-"&amp;4,Regcontabilizados[Identificador],Regcontabilizados[Debe],0)+_xlfn.XLOOKUP(Q136&amp;"-"&amp;5,Regcontabilizados[Identificador],Regcontabilizados[Debe],0)+_xlfn.XLOOKUP(Q136&amp;"-"&amp;6,Regcontabilizados[Identificador],Regcontabilizados[Debe],0)+_xlfn.XLOOKUP(Q136&amp;"-"&amp;7,Regcontabilizados[Identificador],Regcontabilizados[Debe],0)+_xlfn.XLOOKUP(Q136&amp;"-"&amp;8,Regcontabilizados[Identificador],Regcontabilizados[Debe],0)+_xlfn.XLOOKUP(Q136&amp;"-"&amp;9,Regcontabilizados[Identificador],Regcontabilizados[Debe],0)</f>
        <v>0</v>
      </c>
      <c r="V136">
        <f>SUMIF(Regcontabilizados[Número pago],'PAGO Ventas'!Q136,Regcontabilizados[Haber])</f>
        <v>0</v>
      </c>
      <c r="AB136" s="33" t="str">
        <f>IF(J136=0,"",   _xlfn.XLOOKUP(AC136,Regcontabilizados[Identificador],Regcontabilizados[Subcuenta],0))</f>
        <v/>
      </c>
      <c r="AC136" t="str">
        <f>IF(J136=0,"",   _xlfn.XLOOKUP($H$7,BDclient[ID-Cliente],BDclient[NIT/C.C.],0)&amp;H122&amp;$D$23&amp;"-"&amp;1)</f>
        <v/>
      </c>
      <c r="AD136" t="str">
        <f t="shared" si="12"/>
        <v/>
      </c>
      <c r="AE136" t="str">
        <f t="shared" si="13"/>
        <v>En Blanco</v>
      </c>
      <c r="AF136" t="str">
        <f>_xlfn.XLOOKUP($H$7,BDclient[ID-Cliente],BDclient[NIT/C.C.],0)&amp;$H$13&amp;$E$7&amp;"-"&amp;ROW(AA136)-21</f>
        <v>Comp. Ingreso-115</v>
      </c>
      <c r="AQ136" t="str">
        <f t="shared" si="14"/>
        <v>PAGADO</v>
      </c>
    </row>
    <row r="137" spans="3:43">
      <c r="C137" s="194"/>
      <c r="D137" s="206"/>
      <c r="E137" s="142"/>
      <c r="F137" s="195"/>
      <c r="G137" s="183"/>
      <c r="H137" s="37">
        <f t="shared" si="10"/>
        <v>0</v>
      </c>
      <c r="I137" s="37"/>
      <c r="J137" s="210">
        <f t="shared" si="11"/>
        <v>0</v>
      </c>
      <c r="K137" s="197"/>
      <c r="P137" t="str">
        <f>_xlfn.XLOOKUP($H$7,BDclient[ID-Cliente],BDclient[NIT/C.C.],0)&amp;$H$9&amp;$O137&amp;"-"&amp;1</f>
        <v>F. V.-1</v>
      </c>
      <c r="Q137" t="str">
        <f t="shared" si="15"/>
        <v/>
      </c>
      <c r="R137" t="str">
        <f>IF(O137="","",    _xlfn.XLOOKUP(Q137,Regcontabilizados[Número pago],Regcontabilizados[Estado de pago],"NO PAGADO"))</f>
        <v/>
      </c>
      <c r="S137" s="44">
        <f>_xlfn.XLOOKUP(P137,Regcontabilizados[Identificador],Regcontabilizados[Fecha vencimiento],0)</f>
        <v>0</v>
      </c>
      <c r="T137">
        <f>_xlfn.XLOOKUP(P137,Regcontabilizados[Identificador],Regcontabilizados[Subcuenta],0)</f>
        <v>0</v>
      </c>
      <c r="U137">
        <f>_xlfn.XLOOKUP(P137,Regcontabilizados[Identificador],Regcontabilizados[Debe],0)+_xlfn.XLOOKUP(Q137&amp;"-"&amp;2,Regcontabilizados[Identificador],Regcontabilizados[Debe],0)+_xlfn.XLOOKUP(Q137&amp;"-"&amp;3,Regcontabilizados[Identificador],Regcontabilizados[Debe],0)+_xlfn.XLOOKUP(Q137&amp;"-"&amp;4,Regcontabilizados[Identificador],Regcontabilizados[Debe],0)+_xlfn.XLOOKUP(Q137&amp;"-"&amp;5,Regcontabilizados[Identificador],Regcontabilizados[Debe],0)+_xlfn.XLOOKUP(Q137&amp;"-"&amp;6,Regcontabilizados[Identificador],Regcontabilizados[Debe],0)+_xlfn.XLOOKUP(Q137&amp;"-"&amp;7,Regcontabilizados[Identificador],Regcontabilizados[Debe],0)+_xlfn.XLOOKUP(Q137&amp;"-"&amp;8,Regcontabilizados[Identificador],Regcontabilizados[Debe],0)+_xlfn.XLOOKUP(Q137&amp;"-"&amp;9,Regcontabilizados[Identificador],Regcontabilizados[Debe],0)</f>
        <v>0</v>
      </c>
      <c r="V137">
        <f>SUMIF(Regcontabilizados[Número pago],'PAGO Ventas'!Q137,Regcontabilizados[Haber])</f>
        <v>0</v>
      </c>
      <c r="AB137" s="33" t="str">
        <f>IF(J137=0,"",   _xlfn.XLOOKUP(AC137,Regcontabilizados[Identificador],Regcontabilizados[Subcuenta],0))</f>
        <v/>
      </c>
      <c r="AC137" t="str">
        <f>IF(J137=0,"",   _xlfn.XLOOKUP($H$7,BDclient[ID-Cliente],BDclient[NIT/C.C.],0)&amp;H123&amp;$D$23&amp;"-"&amp;1)</f>
        <v/>
      </c>
      <c r="AD137" t="str">
        <f t="shared" si="12"/>
        <v/>
      </c>
      <c r="AE137" t="str">
        <f t="shared" si="13"/>
        <v>En Blanco</v>
      </c>
      <c r="AF137" t="str">
        <f>_xlfn.XLOOKUP($H$7,BDclient[ID-Cliente],BDclient[NIT/C.C.],0)&amp;$H$13&amp;$E$7&amp;"-"&amp;ROW(AA137)-21</f>
        <v>Comp. Ingreso-116</v>
      </c>
      <c r="AQ137" t="str">
        <f t="shared" si="14"/>
        <v>PAGADO</v>
      </c>
    </row>
    <row r="138" spans="3:43">
      <c r="C138" s="194"/>
      <c r="D138" s="206"/>
      <c r="E138" s="142"/>
      <c r="F138" s="195"/>
      <c r="G138" s="183"/>
      <c r="H138" s="37">
        <f t="shared" si="10"/>
        <v>0</v>
      </c>
      <c r="I138" s="37"/>
      <c r="J138" s="210">
        <f t="shared" si="11"/>
        <v>0</v>
      </c>
      <c r="K138" s="197"/>
      <c r="P138" t="str">
        <f>_xlfn.XLOOKUP($H$7,BDclient[ID-Cliente],BDclient[NIT/C.C.],0)&amp;$H$9&amp;$O138&amp;"-"&amp;1</f>
        <v>F. V.-1</v>
      </c>
      <c r="Q138" t="str">
        <f t="shared" si="15"/>
        <v/>
      </c>
      <c r="R138" t="str">
        <f>IF(O138="","",    _xlfn.XLOOKUP(Q138,Regcontabilizados[Número pago],Regcontabilizados[Estado de pago],"NO PAGADO"))</f>
        <v/>
      </c>
      <c r="S138" s="44">
        <f>_xlfn.XLOOKUP(P138,Regcontabilizados[Identificador],Regcontabilizados[Fecha vencimiento],0)</f>
        <v>0</v>
      </c>
      <c r="T138">
        <f>_xlfn.XLOOKUP(P138,Regcontabilizados[Identificador],Regcontabilizados[Subcuenta],0)</f>
        <v>0</v>
      </c>
      <c r="U138">
        <f>_xlfn.XLOOKUP(P138,Regcontabilizados[Identificador],Regcontabilizados[Debe],0)+_xlfn.XLOOKUP(Q138&amp;"-"&amp;2,Regcontabilizados[Identificador],Regcontabilizados[Debe],0)+_xlfn.XLOOKUP(Q138&amp;"-"&amp;3,Regcontabilizados[Identificador],Regcontabilizados[Debe],0)+_xlfn.XLOOKUP(Q138&amp;"-"&amp;4,Regcontabilizados[Identificador],Regcontabilizados[Debe],0)+_xlfn.XLOOKUP(Q138&amp;"-"&amp;5,Regcontabilizados[Identificador],Regcontabilizados[Debe],0)+_xlfn.XLOOKUP(Q138&amp;"-"&amp;6,Regcontabilizados[Identificador],Regcontabilizados[Debe],0)+_xlfn.XLOOKUP(Q138&amp;"-"&amp;7,Regcontabilizados[Identificador],Regcontabilizados[Debe],0)+_xlfn.XLOOKUP(Q138&amp;"-"&amp;8,Regcontabilizados[Identificador],Regcontabilizados[Debe],0)+_xlfn.XLOOKUP(Q138&amp;"-"&amp;9,Regcontabilizados[Identificador],Regcontabilizados[Debe],0)</f>
        <v>0</v>
      </c>
      <c r="V138">
        <f>SUMIF(Regcontabilizados[Número pago],'PAGO Ventas'!Q138,Regcontabilizados[Haber])</f>
        <v>0</v>
      </c>
      <c r="AB138" s="33" t="str">
        <f>IF(J138=0,"",   _xlfn.XLOOKUP(AC138,Regcontabilizados[Identificador],Regcontabilizados[Subcuenta],0))</f>
        <v/>
      </c>
      <c r="AC138" t="str">
        <f>IF(J138=0,"",   _xlfn.XLOOKUP($H$7,BDclient[ID-Cliente],BDclient[NIT/C.C.],0)&amp;H124&amp;$D$23&amp;"-"&amp;1)</f>
        <v/>
      </c>
      <c r="AD138" t="str">
        <f t="shared" si="12"/>
        <v/>
      </c>
      <c r="AE138" t="str">
        <f t="shared" si="13"/>
        <v>En Blanco</v>
      </c>
      <c r="AF138" t="str">
        <f>_xlfn.XLOOKUP($H$7,BDclient[ID-Cliente],BDclient[NIT/C.C.],0)&amp;$H$13&amp;$E$7&amp;"-"&amp;ROW(AA138)-21</f>
        <v>Comp. Ingreso-117</v>
      </c>
      <c r="AQ138" t="str">
        <f t="shared" si="14"/>
        <v>PAGADO</v>
      </c>
    </row>
    <row r="139" spans="3:43">
      <c r="C139" s="194"/>
      <c r="D139" s="206"/>
      <c r="E139" s="142"/>
      <c r="F139" s="195"/>
      <c r="G139" s="183"/>
      <c r="H139" s="37">
        <f t="shared" si="10"/>
        <v>0</v>
      </c>
      <c r="I139" s="37"/>
      <c r="J139" s="210">
        <f t="shared" si="11"/>
        <v>0</v>
      </c>
      <c r="K139" s="197"/>
      <c r="P139" t="str">
        <f>_xlfn.XLOOKUP($H$7,BDclient[ID-Cliente],BDclient[NIT/C.C.],0)&amp;$H$9&amp;$O139&amp;"-"&amp;1</f>
        <v>F. V.-1</v>
      </c>
      <c r="Q139" t="str">
        <f t="shared" si="15"/>
        <v/>
      </c>
      <c r="R139" t="str">
        <f>IF(O139="","",    _xlfn.XLOOKUP(Q139,Regcontabilizados[Número pago],Regcontabilizados[Estado de pago],"NO PAGADO"))</f>
        <v/>
      </c>
      <c r="S139" s="44">
        <f>_xlfn.XLOOKUP(P139,Regcontabilizados[Identificador],Regcontabilizados[Fecha vencimiento],0)</f>
        <v>0</v>
      </c>
      <c r="T139">
        <f>_xlfn.XLOOKUP(P139,Regcontabilizados[Identificador],Regcontabilizados[Subcuenta],0)</f>
        <v>0</v>
      </c>
      <c r="U139">
        <f>_xlfn.XLOOKUP(P139,Regcontabilizados[Identificador],Regcontabilizados[Debe],0)+_xlfn.XLOOKUP(Q139&amp;"-"&amp;2,Regcontabilizados[Identificador],Regcontabilizados[Debe],0)+_xlfn.XLOOKUP(Q139&amp;"-"&amp;3,Regcontabilizados[Identificador],Regcontabilizados[Debe],0)+_xlfn.XLOOKUP(Q139&amp;"-"&amp;4,Regcontabilizados[Identificador],Regcontabilizados[Debe],0)+_xlfn.XLOOKUP(Q139&amp;"-"&amp;5,Regcontabilizados[Identificador],Regcontabilizados[Debe],0)+_xlfn.XLOOKUP(Q139&amp;"-"&amp;6,Regcontabilizados[Identificador],Regcontabilizados[Debe],0)+_xlfn.XLOOKUP(Q139&amp;"-"&amp;7,Regcontabilizados[Identificador],Regcontabilizados[Debe],0)+_xlfn.XLOOKUP(Q139&amp;"-"&amp;8,Regcontabilizados[Identificador],Regcontabilizados[Debe],0)+_xlfn.XLOOKUP(Q139&amp;"-"&amp;9,Regcontabilizados[Identificador],Regcontabilizados[Debe],0)</f>
        <v>0</v>
      </c>
      <c r="V139">
        <f>SUMIF(Regcontabilizados[Número pago],'PAGO Ventas'!Q139,Regcontabilizados[Haber])</f>
        <v>0</v>
      </c>
      <c r="AB139" s="33" t="str">
        <f>IF(J139=0,"",   _xlfn.XLOOKUP(AC139,Regcontabilizados[Identificador],Regcontabilizados[Subcuenta],0))</f>
        <v/>
      </c>
      <c r="AC139" t="str">
        <f>IF(J139=0,"",   _xlfn.XLOOKUP($H$7,BDclient[ID-Cliente],BDclient[NIT/C.C.],0)&amp;H125&amp;$D$23&amp;"-"&amp;1)</f>
        <v/>
      </c>
      <c r="AD139" t="str">
        <f t="shared" si="12"/>
        <v/>
      </c>
      <c r="AE139" t="str">
        <f t="shared" si="13"/>
        <v>En Blanco</v>
      </c>
      <c r="AF139" t="str">
        <f>_xlfn.XLOOKUP($H$7,BDclient[ID-Cliente],BDclient[NIT/C.C.],0)&amp;$H$13&amp;$E$7&amp;"-"&amp;ROW(AA139)-21</f>
        <v>Comp. Ingreso-118</v>
      </c>
      <c r="AQ139" t="str">
        <f t="shared" si="14"/>
        <v>PAGADO</v>
      </c>
    </row>
    <row r="140" spans="3:43">
      <c r="C140" s="194"/>
      <c r="D140" s="206"/>
      <c r="E140" s="142"/>
      <c r="F140" s="195"/>
      <c r="G140" s="183"/>
      <c r="H140" s="37">
        <f t="shared" si="10"/>
        <v>0</v>
      </c>
      <c r="I140" s="37"/>
      <c r="J140" s="210">
        <f t="shared" si="11"/>
        <v>0</v>
      </c>
      <c r="K140" s="197"/>
      <c r="P140" t="str">
        <f>_xlfn.XLOOKUP($H$7,BDclient[ID-Cliente],BDclient[NIT/C.C.],0)&amp;$H$9&amp;$O140&amp;"-"&amp;1</f>
        <v>F. V.-1</v>
      </c>
      <c r="Q140" t="str">
        <f t="shared" si="15"/>
        <v/>
      </c>
      <c r="R140" t="str">
        <f>IF(O140="","",    _xlfn.XLOOKUP(Q140,Regcontabilizados[Número pago],Regcontabilizados[Estado de pago],"NO PAGADO"))</f>
        <v/>
      </c>
      <c r="S140" s="44">
        <f>_xlfn.XLOOKUP(P140,Regcontabilizados[Identificador],Regcontabilizados[Fecha vencimiento],0)</f>
        <v>0</v>
      </c>
      <c r="T140">
        <f>_xlfn.XLOOKUP(P140,Regcontabilizados[Identificador],Regcontabilizados[Subcuenta],0)</f>
        <v>0</v>
      </c>
      <c r="U140">
        <f>_xlfn.XLOOKUP(P140,Regcontabilizados[Identificador],Regcontabilizados[Debe],0)+_xlfn.XLOOKUP(Q140&amp;"-"&amp;2,Regcontabilizados[Identificador],Regcontabilizados[Debe],0)+_xlfn.XLOOKUP(Q140&amp;"-"&amp;3,Regcontabilizados[Identificador],Regcontabilizados[Debe],0)+_xlfn.XLOOKUP(Q140&amp;"-"&amp;4,Regcontabilizados[Identificador],Regcontabilizados[Debe],0)+_xlfn.XLOOKUP(Q140&amp;"-"&amp;5,Regcontabilizados[Identificador],Regcontabilizados[Debe],0)+_xlfn.XLOOKUP(Q140&amp;"-"&amp;6,Regcontabilizados[Identificador],Regcontabilizados[Debe],0)+_xlfn.XLOOKUP(Q140&amp;"-"&amp;7,Regcontabilizados[Identificador],Regcontabilizados[Debe],0)+_xlfn.XLOOKUP(Q140&amp;"-"&amp;8,Regcontabilizados[Identificador],Regcontabilizados[Debe],0)+_xlfn.XLOOKUP(Q140&amp;"-"&amp;9,Regcontabilizados[Identificador],Regcontabilizados[Debe],0)</f>
        <v>0</v>
      </c>
      <c r="V140">
        <f>SUMIF(Regcontabilizados[Número pago],'PAGO Ventas'!Q140,Regcontabilizados[Haber])</f>
        <v>0</v>
      </c>
      <c r="AB140" s="33" t="str">
        <f>IF(J140=0,"",   _xlfn.XLOOKUP(AC140,Regcontabilizados[Identificador],Regcontabilizados[Subcuenta],0))</f>
        <v/>
      </c>
      <c r="AC140" t="str">
        <f>IF(J140=0,"",   _xlfn.XLOOKUP($H$7,BDclient[ID-Cliente],BDclient[NIT/C.C.],0)&amp;H126&amp;$D$23&amp;"-"&amp;1)</f>
        <v/>
      </c>
      <c r="AD140" t="str">
        <f t="shared" si="12"/>
        <v/>
      </c>
      <c r="AE140" t="str">
        <f t="shared" si="13"/>
        <v>En Blanco</v>
      </c>
      <c r="AF140" t="str">
        <f>_xlfn.XLOOKUP($H$7,BDclient[ID-Cliente],BDclient[NIT/C.C.],0)&amp;$H$13&amp;$E$7&amp;"-"&amp;ROW(AA140)-21</f>
        <v>Comp. Ingreso-119</v>
      </c>
      <c r="AQ140" t="str">
        <f t="shared" si="14"/>
        <v>PAGADO</v>
      </c>
    </row>
    <row r="141" spans="3:43">
      <c r="C141" s="194"/>
      <c r="D141" s="206"/>
      <c r="E141" s="142"/>
      <c r="F141" s="195"/>
      <c r="G141" s="183"/>
      <c r="H141" s="37">
        <f t="shared" si="10"/>
        <v>0</v>
      </c>
      <c r="I141" s="37"/>
      <c r="J141" s="210">
        <f t="shared" si="11"/>
        <v>0</v>
      </c>
      <c r="K141" s="197"/>
      <c r="P141" t="str">
        <f>_xlfn.XLOOKUP($H$7,BDclient[ID-Cliente],BDclient[NIT/C.C.],0)&amp;$H$9&amp;$O141&amp;"-"&amp;1</f>
        <v>F. V.-1</v>
      </c>
      <c r="Q141" t="str">
        <f t="shared" si="15"/>
        <v/>
      </c>
      <c r="R141" t="str">
        <f>IF(O141="","",    _xlfn.XLOOKUP(Q141,Regcontabilizados[Número pago],Regcontabilizados[Estado de pago],"NO PAGADO"))</f>
        <v/>
      </c>
      <c r="S141" s="44">
        <f>_xlfn.XLOOKUP(P141,Regcontabilizados[Identificador],Regcontabilizados[Fecha vencimiento],0)</f>
        <v>0</v>
      </c>
      <c r="T141">
        <f>_xlfn.XLOOKUP(P141,Regcontabilizados[Identificador],Regcontabilizados[Subcuenta],0)</f>
        <v>0</v>
      </c>
      <c r="U141">
        <f>_xlfn.XLOOKUP(P141,Regcontabilizados[Identificador],Regcontabilizados[Debe],0)+_xlfn.XLOOKUP(Q141&amp;"-"&amp;2,Regcontabilizados[Identificador],Regcontabilizados[Debe],0)+_xlfn.XLOOKUP(Q141&amp;"-"&amp;3,Regcontabilizados[Identificador],Regcontabilizados[Debe],0)+_xlfn.XLOOKUP(Q141&amp;"-"&amp;4,Regcontabilizados[Identificador],Regcontabilizados[Debe],0)+_xlfn.XLOOKUP(Q141&amp;"-"&amp;5,Regcontabilizados[Identificador],Regcontabilizados[Debe],0)+_xlfn.XLOOKUP(Q141&amp;"-"&amp;6,Regcontabilizados[Identificador],Regcontabilizados[Debe],0)+_xlfn.XLOOKUP(Q141&amp;"-"&amp;7,Regcontabilizados[Identificador],Regcontabilizados[Debe],0)+_xlfn.XLOOKUP(Q141&amp;"-"&amp;8,Regcontabilizados[Identificador],Regcontabilizados[Debe],0)+_xlfn.XLOOKUP(Q141&amp;"-"&amp;9,Regcontabilizados[Identificador],Regcontabilizados[Debe],0)</f>
        <v>0</v>
      </c>
      <c r="V141">
        <f>SUMIF(Regcontabilizados[Número pago],'PAGO Ventas'!Q141,Regcontabilizados[Haber])</f>
        <v>0</v>
      </c>
      <c r="AQ141" t="str">
        <f t="shared" si="14"/>
        <v>PAGADO</v>
      </c>
    </row>
    <row r="142" spans="3:43" ht="13.5" thickBot="1">
      <c r="C142" s="194"/>
      <c r="D142" s="184"/>
      <c r="E142" s="205"/>
      <c r="F142" s="202"/>
      <c r="G142" s="187"/>
      <c r="H142" s="188">
        <f t="shared" si="10"/>
        <v>0</v>
      </c>
      <c r="I142" s="188"/>
      <c r="J142" s="211">
        <f t="shared" si="11"/>
        <v>0</v>
      </c>
      <c r="K142" s="197"/>
      <c r="P142" t="str">
        <f>_xlfn.XLOOKUP($H$7,BDclient[ID-Cliente],BDclient[NIT/C.C.],0)&amp;$H$9&amp;$O142&amp;"-"&amp;1</f>
        <v>F. V.-1</v>
      </c>
      <c r="Q142" t="str">
        <f t="shared" si="15"/>
        <v/>
      </c>
      <c r="R142" t="str">
        <f>IF(O142="","",    _xlfn.XLOOKUP(Q142,Regcontabilizados[Número pago],Regcontabilizados[Estado de pago],"NO PAGADO"))</f>
        <v/>
      </c>
      <c r="S142" s="44">
        <f>_xlfn.XLOOKUP(P142,Regcontabilizados[Identificador],Regcontabilizados[Fecha vencimiento],0)</f>
        <v>0</v>
      </c>
      <c r="T142">
        <f>_xlfn.XLOOKUP(P142,Regcontabilizados[Identificador],Regcontabilizados[Subcuenta],0)</f>
        <v>0</v>
      </c>
      <c r="U142">
        <f>_xlfn.XLOOKUP(P142,Regcontabilizados[Identificador],Regcontabilizados[Debe],0)+_xlfn.XLOOKUP(Q142&amp;"-"&amp;2,Regcontabilizados[Identificador],Regcontabilizados[Debe],0)+_xlfn.XLOOKUP(Q142&amp;"-"&amp;3,Regcontabilizados[Identificador],Regcontabilizados[Debe],0)+_xlfn.XLOOKUP(Q142&amp;"-"&amp;4,Regcontabilizados[Identificador],Regcontabilizados[Debe],0)+_xlfn.XLOOKUP(Q142&amp;"-"&amp;5,Regcontabilizados[Identificador],Regcontabilizados[Debe],0)+_xlfn.XLOOKUP(Q142&amp;"-"&amp;6,Regcontabilizados[Identificador],Regcontabilizados[Debe],0)+_xlfn.XLOOKUP(Q142&amp;"-"&amp;7,Regcontabilizados[Identificador],Regcontabilizados[Debe],0)+_xlfn.XLOOKUP(Q142&amp;"-"&amp;8,Regcontabilizados[Identificador],Regcontabilizados[Debe],0)+_xlfn.XLOOKUP(Q142&amp;"-"&amp;9,Regcontabilizados[Identificador],Regcontabilizados[Debe],0)</f>
        <v>0</v>
      </c>
      <c r="V142">
        <f>SUMIF(Regcontabilizados[Número pago],'PAGO Ventas'!Q142,Regcontabilizados[Haber])</f>
        <v>0</v>
      </c>
      <c r="AQ142" t="str">
        <f t="shared" si="14"/>
        <v>PAGADO</v>
      </c>
    </row>
    <row r="143" spans="3:43">
      <c r="C143" s="194"/>
      <c r="D143" s="105"/>
      <c r="E143" s="105"/>
      <c r="G143" s="183"/>
      <c r="K143" s="197"/>
    </row>
    <row r="144" spans="3:43">
      <c r="C144" s="194"/>
      <c r="D144" s="105"/>
      <c r="E144" s="105"/>
      <c r="G144" s="183"/>
      <c r="K144" s="197"/>
    </row>
    <row r="145" spans="3:11">
      <c r="C145" s="194"/>
      <c r="D145" s="105"/>
      <c r="E145" s="105"/>
      <c r="G145" s="183"/>
      <c r="K145" s="197"/>
    </row>
    <row r="146" spans="3:11" ht="13.5" thickBot="1">
      <c r="C146" s="199"/>
      <c r="D146" s="185"/>
      <c r="E146" s="185"/>
      <c r="F146" s="186"/>
      <c r="G146" s="187"/>
      <c r="H146" s="186"/>
      <c r="I146" s="186"/>
      <c r="J146" s="186"/>
      <c r="K146" s="200"/>
    </row>
    <row r="147" spans="3:11">
      <c r="D147" s="105"/>
      <c r="E147" s="105"/>
    </row>
    <row r="148" spans="3:11">
      <c r="D148" s="105"/>
      <c r="E148" s="105"/>
    </row>
    <row r="149" spans="3:11">
      <c r="D149" s="105"/>
      <c r="E149" s="105"/>
    </row>
    <row r="150" spans="3:11">
      <c r="D150" s="105"/>
      <c r="E150" s="105"/>
    </row>
    <row r="151" spans="3:11">
      <c r="D151" s="105"/>
      <c r="E151" s="105"/>
    </row>
    <row r="152" spans="3:11">
      <c r="D152" s="105"/>
      <c r="E152" s="105"/>
    </row>
    <row r="153" spans="3:11">
      <c r="D153" s="105"/>
      <c r="E153" s="105"/>
    </row>
    <row r="154" spans="3:11">
      <c r="D154" s="105"/>
      <c r="E154" s="105"/>
    </row>
    <row r="155" spans="3:11">
      <c r="D155" s="105"/>
      <c r="E155" s="105"/>
    </row>
    <row r="156" spans="3:11">
      <c r="D156" s="105"/>
      <c r="E156" s="105"/>
    </row>
    <row r="157" spans="3:11">
      <c r="D157" s="105"/>
      <c r="E157" s="105"/>
    </row>
    <row r="158" spans="3:11">
      <c r="D158" s="105"/>
      <c r="E158" s="105"/>
    </row>
    <row r="159" spans="3:11">
      <c r="D159" s="105"/>
      <c r="E159" s="105"/>
    </row>
    <row r="160" spans="3:11">
      <c r="D160" s="105"/>
      <c r="E160" s="105"/>
    </row>
    <row r="161" spans="4:5">
      <c r="D161" s="105"/>
      <c r="E161" s="105"/>
    </row>
    <row r="162" spans="4:5">
      <c r="D162" s="105"/>
      <c r="E162" s="105"/>
    </row>
    <row r="163" spans="4:5">
      <c r="D163" s="105"/>
      <c r="E163" s="105"/>
    </row>
    <row r="164" spans="4:5">
      <c r="D164" s="105"/>
      <c r="E164" s="105"/>
    </row>
    <row r="165" spans="4:5">
      <c r="D165" s="105"/>
      <c r="E165" s="105"/>
    </row>
    <row r="166" spans="4:5">
      <c r="D166" s="105"/>
      <c r="E166" s="105"/>
    </row>
    <row r="167" spans="4:5">
      <c r="D167" s="105"/>
      <c r="E167" s="105"/>
    </row>
    <row r="168" spans="4:5">
      <c r="D168" s="105"/>
      <c r="E168" s="105"/>
    </row>
    <row r="169" spans="4:5">
      <c r="D169" s="105"/>
      <c r="E169" s="105"/>
    </row>
    <row r="170" spans="4:5">
      <c r="D170" s="105"/>
      <c r="E170" s="105"/>
    </row>
    <row r="171" spans="4:5">
      <c r="D171" s="105"/>
      <c r="E171" s="105"/>
    </row>
    <row r="172" spans="4:5">
      <c r="D172" s="105"/>
      <c r="E172" s="105"/>
    </row>
    <row r="173" spans="4:5">
      <c r="D173" s="105"/>
      <c r="E173" s="105"/>
    </row>
    <row r="174" spans="4:5">
      <c r="D174" s="105"/>
      <c r="E174" s="105"/>
    </row>
    <row r="175" spans="4:5">
      <c r="D175" s="105"/>
      <c r="E175" s="105"/>
    </row>
    <row r="176" spans="4:5">
      <c r="D176" s="105"/>
      <c r="E176" s="105"/>
    </row>
    <row r="177" spans="4:5">
      <c r="D177" s="105"/>
      <c r="E177" s="105"/>
    </row>
    <row r="178" spans="4:5">
      <c r="D178" s="105"/>
      <c r="E178" s="105"/>
    </row>
    <row r="179" spans="4:5">
      <c r="D179" s="105"/>
      <c r="E179" s="105"/>
    </row>
    <row r="180" spans="4:5">
      <c r="D180" s="105"/>
      <c r="E180" s="105"/>
    </row>
    <row r="181" spans="4:5">
      <c r="D181" s="105"/>
      <c r="E181" s="105"/>
    </row>
    <row r="182" spans="4:5">
      <c r="D182" s="105"/>
      <c r="E182" s="105"/>
    </row>
    <row r="183" spans="4:5">
      <c r="D183" s="105"/>
      <c r="E183" s="105"/>
    </row>
    <row r="184" spans="4:5">
      <c r="D184" s="105"/>
      <c r="E184" s="105"/>
    </row>
    <row r="185" spans="4:5">
      <c r="D185" s="105"/>
      <c r="E185" s="105"/>
    </row>
    <row r="186" spans="4:5">
      <c r="D186" s="105"/>
      <c r="E186" s="105"/>
    </row>
    <row r="187" spans="4:5">
      <c r="D187" s="105"/>
      <c r="E187" s="105"/>
    </row>
    <row r="188" spans="4:5">
      <c r="D188" s="105"/>
      <c r="E188" s="105"/>
    </row>
    <row r="189" spans="4:5">
      <c r="D189" s="105"/>
      <c r="E189" s="105"/>
    </row>
    <row r="190" spans="4:5">
      <c r="D190" s="105"/>
      <c r="E190" s="105"/>
    </row>
    <row r="191" spans="4:5">
      <c r="D191" s="105"/>
      <c r="E191" s="105"/>
    </row>
    <row r="192" spans="4:5">
      <c r="D192" s="105"/>
      <c r="E192" s="105"/>
    </row>
    <row r="193" spans="4:5">
      <c r="D193" s="105"/>
      <c r="E193" s="105"/>
    </row>
    <row r="194" spans="4:5">
      <c r="D194" s="105"/>
      <c r="E194" s="105"/>
    </row>
    <row r="195" spans="4:5">
      <c r="D195" s="105"/>
      <c r="E195" s="105"/>
    </row>
    <row r="196" spans="4:5">
      <c r="D196" s="105"/>
      <c r="E196" s="105"/>
    </row>
    <row r="197" spans="4:5">
      <c r="D197" s="105"/>
      <c r="E197" s="105"/>
    </row>
    <row r="198" spans="4:5">
      <c r="D198" s="105"/>
      <c r="E198" s="105"/>
    </row>
    <row r="199" spans="4:5">
      <c r="D199" s="105"/>
      <c r="E199" s="105"/>
    </row>
    <row r="200" spans="4:5">
      <c r="D200" s="105"/>
      <c r="E200" s="105"/>
    </row>
    <row r="201" spans="4:5">
      <c r="D201" s="105"/>
      <c r="E201" s="105"/>
    </row>
    <row r="202" spans="4:5">
      <c r="D202" s="105"/>
      <c r="E202" s="105"/>
    </row>
    <row r="203" spans="4:5">
      <c r="D203" s="105"/>
      <c r="E203" s="105"/>
    </row>
    <row r="204" spans="4:5">
      <c r="D204" s="105"/>
      <c r="E204" s="105"/>
    </row>
    <row r="205" spans="4:5">
      <c r="D205" s="105"/>
      <c r="E205" s="105"/>
    </row>
    <row r="206" spans="4:5">
      <c r="D206" s="105"/>
      <c r="E206" s="105"/>
    </row>
    <row r="207" spans="4:5">
      <c r="D207" s="105"/>
      <c r="E207" s="105"/>
    </row>
    <row r="208" spans="4:5">
      <c r="D208" s="105"/>
      <c r="E208" s="105"/>
    </row>
    <row r="209" spans="4:5">
      <c r="D209" s="105"/>
      <c r="E209" s="105"/>
    </row>
    <row r="210" spans="4:5">
      <c r="D210" s="105"/>
      <c r="E210" s="105"/>
    </row>
    <row r="211" spans="4:5">
      <c r="D211" s="105"/>
      <c r="E211" s="105"/>
    </row>
    <row r="212" spans="4:5">
      <c r="D212" s="105"/>
      <c r="E212" s="105"/>
    </row>
    <row r="213" spans="4:5">
      <c r="D213" s="105"/>
      <c r="E213" s="105"/>
    </row>
    <row r="214" spans="4:5">
      <c r="D214" s="105"/>
      <c r="E214" s="105"/>
    </row>
    <row r="215" spans="4:5">
      <c r="D215" s="105"/>
      <c r="E215" s="105"/>
    </row>
    <row r="216" spans="4:5">
      <c r="D216" s="105"/>
      <c r="E216" s="105"/>
    </row>
    <row r="217" spans="4:5">
      <c r="D217" s="105"/>
      <c r="E217" s="105"/>
    </row>
    <row r="218" spans="4:5">
      <c r="D218" s="105"/>
      <c r="E218" s="105"/>
    </row>
    <row r="219" spans="4:5">
      <c r="D219" s="105"/>
      <c r="E219" s="105"/>
    </row>
    <row r="220" spans="4:5">
      <c r="D220" s="105"/>
      <c r="E220" s="105"/>
    </row>
    <row r="221" spans="4:5">
      <c r="D221" s="105"/>
      <c r="E221" s="105"/>
    </row>
    <row r="222" spans="4:5">
      <c r="D222" s="105"/>
      <c r="E222" s="105"/>
    </row>
    <row r="223" spans="4:5">
      <c r="D223" s="105"/>
      <c r="E223" s="105"/>
    </row>
    <row r="224" spans="4:5">
      <c r="D224" s="105"/>
      <c r="E224" s="105"/>
    </row>
    <row r="225" spans="4:5">
      <c r="D225" s="105"/>
      <c r="E225" s="105"/>
    </row>
    <row r="226" spans="4:5">
      <c r="D226" s="105"/>
      <c r="E226" s="105"/>
    </row>
    <row r="227" spans="4:5">
      <c r="D227" s="105"/>
      <c r="E227" s="105"/>
    </row>
    <row r="228" spans="4:5">
      <c r="D228" s="105"/>
      <c r="E228" s="105"/>
    </row>
    <row r="229" spans="4:5">
      <c r="D229" s="105"/>
      <c r="E229" s="105"/>
    </row>
    <row r="230" spans="4:5">
      <c r="D230" s="105"/>
      <c r="E230" s="105"/>
    </row>
    <row r="231" spans="4:5">
      <c r="D231" s="105"/>
      <c r="E231" s="105"/>
    </row>
    <row r="232" spans="4:5">
      <c r="D232" s="105"/>
      <c r="E232" s="105"/>
    </row>
    <row r="233" spans="4:5">
      <c r="D233" s="105"/>
      <c r="E233" s="105"/>
    </row>
    <row r="234" spans="4:5">
      <c r="D234" s="105"/>
      <c r="E234" s="105"/>
    </row>
    <row r="235" spans="4:5">
      <c r="D235" s="105"/>
      <c r="E235" s="105"/>
    </row>
    <row r="236" spans="4:5">
      <c r="D236" s="105"/>
      <c r="E236" s="105"/>
    </row>
    <row r="237" spans="4:5">
      <c r="D237" s="105"/>
      <c r="E237" s="105"/>
    </row>
    <row r="238" spans="4:5">
      <c r="D238" s="105"/>
      <c r="E238" s="105"/>
    </row>
    <row r="239" spans="4:5">
      <c r="D239" s="105"/>
      <c r="E239" s="105"/>
    </row>
    <row r="240" spans="4:5">
      <c r="D240" s="105"/>
      <c r="E240" s="105"/>
    </row>
    <row r="241" spans="4:5">
      <c r="D241" s="105"/>
      <c r="E241" s="105"/>
    </row>
    <row r="242" spans="4:5">
      <c r="D242" s="105"/>
      <c r="E242" s="105"/>
    </row>
    <row r="243" spans="4:5">
      <c r="D243" s="105"/>
      <c r="E243" s="105"/>
    </row>
    <row r="244" spans="4:5">
      <c r="D244" s="105"/>
      <c r="E244" s="105"/>
    </row>
    <row r="245" spans="4:5">
      <c r="D245" s="105"/>
      <c r="E245" s="105"/>
    </row>
    <row r="246" spans="4:5">
      <c r="D246" s="105"/>
      <c r="E246" s="105"/>
    </row>
    <row r="247" spans="4:5">
      <c r="D247" s="105"/>
      <c r="E247" s="105"/>
    </row>
    <row r="248" spans="4:5">
      <c r="D248" s="105"/>
      <c r="E248" s="105"/>
    </row>
    <row r="249" spans="4:5">
      <c r="D249" s="105"/>
      <c r="E249" s="105"/>
    </row>
    <row r="250" spans="4:5">
      <c r="D250" s="105"/>
      <c r="E250" s="105"/>
    </row>
    <row r="251" spans="4:5">
      <c r="D251" s="105"/>
      <c r="E251" s="105"/>
    </row>
    <row r="252" spans="4:5">
      <c r="D252" s="105"/>
      <c r="E252" s="105"/>
    </row>
    <row r="253" spans="4:5">
      <c r="D253" s="105"/>
      <c r="E253" s="105"/>
    </row>
    <row r="254" spans="4:5">
      <c r="D254" s="105"/>
      <c r="E254" s="105"/>
    </row>
    <row r="255" spans="4:5">
      <c r="D255" s="105"/>
      <c r="E255" s="105"/>
    </row>
    <row r="256" spans="4:5">
      <c r="D256" s="105"/>
      <c r="E256" s="105"/>
    </row>
    <row r="257" spans="4:5">
      <c r="D257" s="105"/>
      <c r="E257" s="105"/>
    </row>
    <row r="258" spans="4:5">
      <c r="D258" s="105"/>
      <c r="E258" s="105"/>
    </row>
    <row r="259" spans="4:5">
      <c r="D259" s="105"/>
      <c r="E259" s="105"/>
    </row>
    <row r="260" spans="4:5">
      <c r="D260" s="105"/>
      <c r="E260" s="105"/>
    </row>
    <row r="261" spans="4:5">
      <c r="D261" s="105"/>
      <c r="E261" s="105"/>
    </row>
    <row r="262" spans="4:5">
      <c r="D262" s="105"/>
      <c r="E262" s="105"/>
    </row>
    <row r="263" spans="4:5">
      <c r="D263" s="105"/>
      <c r="E263" s="105"/>
    </row>
    <row r="264" spans="4:5">
      <c r="D264" s="105"/>
      <c r="E264" s="105"/>
    </row>
    <row r="265" spans="4:5">
      <c r="D265" s="105"/>
      <c r="E265" s="105"/>
    </row>
    <row r="266" spans="4:5">
      <c r="D266" s="105"/>
      <c r="E266" s="105"/>
    </row>
    <row r="267" spans="4:5">
      <c r="D267" s="105"/>
      <c r="E267" s="105"/>
    </row>
    <row r="268" spans="4:5">
      <c r="D268" s="105"/>
      <c r="E268" s="105"/>
    </row>
    <row r="269" spans="4:5">
      <c r="D269" s="105"/>
      <c r="E269" s="105"/>
    </row>
    <row r="270" spans="4:5">
      <c r="D270" s="105"/>
      <c r="E270" s="105"/>
    </row>
    <row r="271" spans="4:5">
      <c r="D271" s="105"/>
      <c r="E271" s="105"/>
    </row>
    <row r="272" spans="4:5">
      <c r="D272" s="105"/>
      <c r="E272" s="105"/>
    </row>
    <row r="273" spans="4:5">
      <c r="D273" s="105"/>
      <c r="E273" s="105"/>
    </row>
    <row r="274" spans="4:5">
      <c r="D274" s="105"/>
      <c r="E274" s="105"/>
    </row>
    <row r="275" spans="4:5">
      <c r="D275" s="105"/>
      <c r="E275" s="105"/>
    </row>
    <row r="276" spans="4:5">
      <c r="D276" s="105"/>
      <c r="E276" s="105"/>
    </row>
    <row r="277" spans="4:5">
      <c r="D277" s="105"/>
      <c r="E277" s="105"/>
    </row>
    <row r="278" spans="4:5">
      <c r="D278" s="105"/>
      <c r="E278" s="105"/>
    </row>
    <row r="279" spans="4:5">
      <c r="D279" s="105"/>
      <c r="E279" s="105"/>
    </row>
    <row r="280" spans="4:5">
      <c r="D280" s="105"/>
      <c r="E280" s="105"/>
    </row>
    <row r="281" spans="4:5">
      <c r="D281" s="105"/>
      <c r="E281" s="105"/>
    </row>
    <row r="282" spans="4:5">
      <c r="D282" s="105"/>
      <c r="E282" s="105"/>
    </row>
    <row r="283" spans="4:5">
      <c r="D283" s="105"/>
      <c r="E283" s="105"/>
    </row>
    <row r="284" spans="4:5">
      <c r="D284" s="105"/>
      <c r="E284" s="105"/>
    </row>
    <row r="285" spans="4:5">
      <c r="D285" s="105"/>
      <c r="E285" s="105"/>
    </row>
    <row r="286" spans="4:5">
      <c r="D286" s="105"/>
      <c r="E286" s="105"/>
    </row>
    <row r="287" spans="4:5">
      <c r="D287" s="105"/>
      <c r="E287" s="105"/>
    </row>
    <row r="288" spans="4:5">
      <c r="D288" s="105"/>
      <c r="E288" s="105"/>
    </row>
    <row r="289" spans="4:5">
      <c r="D289" s="105"/>
      <c r="E289" s="105"/>
    </row>
    <row r="290" spans="4:5">
      <c r="D290" s="105"/>
      <c r="E290" s="105"/>
    </row>
    <row r="291" spans="4:5">
      <c r="D291" s="105"/>
      <c r="E291" s="105"/>
    </row>
    <row r="292" spans="4:5">
      <c r="D292" s="105"/>
      <c r="E292" s="105"/>
    </row>
    <row r="293" spans="4:5">
      <c r="D293" s="105"/>
      <c r="E293" s="105"/>
    </row>
    <row r="294" spans="4:5">
      <c r="D294" s="105"/>
      <c r="E294" s="105"/>
    </row>
    <row r="295" spans="4:5">
      <c r="D295" s="105"/>
      <c r="E295" s="105"/>
    </row>
    <row r="296" spans="4:5">
      <c r="D296" s="105"/>
      <c r="E296" s="105"/>
    </row>
    <row r="297" spans="4:5">
      <c r="D297" s="105"/>
      <c r="E297" s="105"/>
    </row>
    <row r="298" spans="4:5">
      <c r="D298" s="105"/>
      <c r="E298" s="105"/>
    </row>
    <row r="299" spans="4:5">
      <c r="D299" s="105"/>
      <c r="E299" s="105"/>
    </row>
    <row r="300" spans="4:5">
      <c r="D300" s="105"/>
      <c r="E300" s="105"/>
    </row>
    <row r="301" spans="4:5">
      <c r="D301" s="105"/>
      <c r="E301" s="105"/>
    </row>
    <row r="302" spans="4:5">
      <c r="D302" s="105"/>
      <c r="E302" s="105"/>
    </row>
    <row r="303" spans="4:5">
      <c r="D303" s="105"/>
      <c r="E303" s="105"/>
    </row>
    <row r="304" spans="4:5">
      <c r="D304" s="105"/>
      <c r="E304" s="105"/>
    </row>
    <row r="305" spans="4:5">
      <c r="D305" s="105"/>
      <c r="E305" s="105"/>
    </row>
    <row r="306" spans="4:5">
      <c r="D306" s="105"/>
      <c r="E306" s="105"/>
    </row>
    <row r="307" spans="4:5">
      <c r="D307" s="105"/>
      <c r="E307" s="105"/>
    </row>
    <row r="308" spans="4:5">
      <c r="D308" s="105"/>
      <c r="E308" s="105"/>
    </row>
    <row r="309" spans="4:5">
      <c r="D309" s="105"/>
      <c r="E309" s="105"/>
    </row>
    <row r="310" spans="4:5">
      <c r="D310" s="105"/>
      <c r="E310" s="105"/>
    </row>
    <row r="311" spans="4:5">
      <c r="D311" s="105"/>
      <c r="E311" s="105"/>
    </row>
    <row r="312" spans="4:5">
      <c r="D312" s="105"/>
      <c r="E312" s="105"/>
    </row>
    <row r="313" spans="4:5">
      <c r="D313" s="105"/>
      <c r="E313" s="105"/>
    </row>
    <row r="314" spans="4:5">
      <c r="D314" s="105"/>
      <c r="E314" s="105"/>
    </row>
    <row r="315" spans="4:5">
      <c r="D315" s="105"/>
      <c r="E315" s="105"/>
    </row>
    <row r="316" spans="4:5">
      <c r="D316" s="105"/>
      <c r="E316" s="105"/>
    </row>
    <row r="317" spans="4:5">
      <c r="D317" s="105"/>
      <c r="E317" s="105"/>
    </row>
    <row r="318" spans="4:5">
      <c r="D318" s="105"/>
      <c r="E318" s="105"/>
    </row>
    <row r="319" spans="4:5">
      <c r="D319" s="105"/>
      <c r="E319" s="105"/>
    </row>
    <row r="320" spans="4:5">
      <c r="D320" s="105"/>
      <c r="E320" s="105"/>
    </row>
    <row r="321" spans="4:5">
      <c r="D321" s="105"/>
      <c r="E321" s="105"/>
    </row>
    <row r="322" spans="4:5">
      <c r="D322" s="105"/>
      <c r="E322" s="105"/>
    </row>
    <row r="323" spans="4:5">
      <c r="D323" s="105"/>
      <c r="E323" s="105"/>
    </row>
    <row r="324" spans="4:5">
      <c r="D324" s="105"/>
      <c r="E324" s="105"/>
    </row>
    <row r="325" spans="4:5">
      <c r="D325" s="105"/>
      <c r="E325" s="105"/>
    </row>
    <row r="326" spans="4:5">
      <c r="D326" s="105"/>
      <c r="E326" s="105"/>
    </row>
    <row r="327" spans="4:5">
      <c r="D327" s="105"/>
      <c r="E327" s="105"/>
    </row>
    <row r="328" spans="4:5">
      <c r="D328" s="105"/>
      <c r="E328" s="105"/>
    </row>
    <row r="329" spans="4:5">
      <c r="D329" s="105"/>
      <c r="E329" s="105"/>
    </row>
    <row r="330" spans="4:5">
      <c r="D330" s="105"/>
      <c r="E330" s="105"/>
    </row>
    <row r="331" spans="4:5">
      <c r="D331" s="105"/>
      <c r="E331" s="105"/>
    </row>
    <row r="332" spans="4:5">
      <c r="D332" s="105"/>
      <c r="E332" s="105"/>
    </row>
    <row r="333" spans="4:5">
      <c r="D333" s="105"/>
      <c r="E333" s="105"/>
    </row>
    <row r="334" spans="4:5">
      <c r="D334" s="105"/>
      <c r="E334" s="105"/>
    </row>
    <row r="335" spans="4:5">
      <c r="D335" s="105"/>
      <c r="E335" s="105"/>
    </row>
    <row r="336" spans="4:5">
      <c r="D336" s="105"/>
      <c r="E336" s="105"/>
    </row>
    <row r="337" spans="4:5">
      <c r="D337" s="105"/>
      <c r="E337" s="105"/>
    </row>
    <row r="338" spans="4:5">
      <c r="D338" s="105"/>
      <c r="E338" s="105"/>
    </row>
    <row r="339" spans="4:5">
      <c r="D339" s="105"/>
      <c r="E339" s="105"/>
    </row>
    <row r="340" spans="4:5">
      <c r="D340" s="105"/>
      <c r="E340" s="105"/>
    </row>
    <row r="341" spans="4:5">
      <c r="D341" s="105"/>
      <c r="E341" s="105"/>
    </row>
    <row r="342" spans="4:5">
      <c r="D342" s="105"/>
      <c r="E342" s="105"/>
    </row>
    <row r="343" spans="4:5">
      <c r="D343" s="105"/>
      <c r="E343" s="105"/>
    </row>
    <row r="344" spans="4:5">
      <c r="D344" s="105"/>
      <c r="E344" s="105"/>
    </row>
    <row r="345" spans="4:5">
      <c r="D345" s="105"/>
      <c r="E345" s="105"/>
    </row>
    <row r="346" spans="4:5">
      <c r="D346" s="105"/>
      <c r="E346" s="105"/>
    </row>
    <row r="347" spans="4:5">
      <c r="D347" s="105"/>
      <c r="E347" s="105"/>
    </row>
    <row r="348" spans="4:5">
      <c r="D348" s="105"/>
      <c r="E348" s="105"/>
    </row>
    <row r="349" spans="4:5">
      <c r="D349" s="105"/>
      <c r="E349" s="105"/>
    </row>
    <row r="350" spans="4:5">
      <c r="D350" s="105"/>
      <c r="E350" s="105"/>
    </row>
    <row r="351" spans="4:5">
      <c r="D351" s="105"/>
      <c r="E351" s="105"/>
    </row>
    <row r="352" spans="4:5">
      <c r="D352" s="105"/>
      <c r="E352" s="105"/>
    </row>
    <row r="353" spans="4:5">
      <c r="D353" s="105"/>
      <c r="E353" s="105"/>
    </row>
    <row r="354" spans="4:5">
      <c r="D354" s="105"/>
      <c r="E354" s="105"/>
    </row>
    <row r="355" spans="4:5">
      <c r="D355" s="105"/>
      <c r="E355" s="105"/>
    </row>
    <row r="356" spans="4:5">
      <c r="D356" s="105"/>
      <c r="E356" s="105"/>
    </row>
    <row r="357" spans="4:5">
      <c r="D357" s="105"/>
      <c r="E357" s="105"/>
    </row>
    <row r="358" spans="4:5">
      <c r="D358" s="105"/>
      <c r="E358" s="105"/>
    </row>
    <row r="359" spans="4:5">
      <c r="D359" s="105"/>
      <c r="E359" s="105"/>
    </row>
    <row r="360" spans="4:5">
      <c r="D360" s="105"/>
      <c r="E360" s="105"/>
    </row>
    <row r="361" spans="4:5">
      <c r="D361" s="105"/>
      <c r="E361" s="105"/>
    </row>
    <row r="362" spans="4:5">
      <c r="D362" s="105"/>
      <c r="E362" s="105"/>
    </row>
    <row r="363" spans="4:5">
      <c r="D363" s="105"/>
      <c r="E363" s="105"/>
    </row>
    <row r="364" spans="4:5">
      <c r="D364" s="105"/>
      <c r="E364" s="105"/>
    </row>
    <row r="365" spans="4:5">
      <c r="D365" s="105"/>
      <c r="E365" s="105"/>
    </row>
    <row r="366" spans="4:5">
      <c r="D366" s="105"/>
      <c r="E366" s="105"/>
    </row>
    <row r="367" spans="4:5">
      <c r="D367" s="105"/>
      <c r="E367" s="105"/>
    </row>
    <row r="368" spans="4:5">
      <c r="D368" s="105"/>
      <c r="E368" s="105"/>
    </row>
    <row r="369" spans="4:5">
      <c r="D369" s="105"/>
      <c r="E369" s="105"/>
    </row>
    <row r="370" spans="4:5">
      <c r="D370" s="105"/>
      <c r="E370" s="105"/>
    </row>
    <row r="371" spans="4:5">
      <c r="D371" s="105"/>
      <c r="E371" s="105"/>
    </row>
    <row r="372" spans="4:5">
      <c r="D372" s="105"/>
      <c r="E372" s="105"/>
    </row>
    <row r="373" spans="4:5">
      <c r="D373" s="105"/>
      <c r="E373" s="105"/>
    </row>
    <row r="374" spans="4:5">
      <c r="D374" s="105"/>
      <c r="E374" s="105"/>
    </row>
    <row r="375" spans="4:5">
      <c r="D375" s="105"/>
      <c r="E375" s="105"/>
    </row>
    <row r="376" spans="4:5">
      <c r="D376" s="105"/>
      <c r="E376" s="105"/>
    </row>
    <row r="377" spans="4:5">
      <c r="D377" s="105"/>
      <c r="E377" s="105"/>
    </row>
    <row r="378" spans="4:5">
      <c r="D378" s="105"/>
      <c r="E378" s="105"/>
    </row>
    <row r="379" spans="4:5">
      <c r="D379" s="105"/>
      <c r="E379" s="105"/>
    </row>
    <row r="380" spans="4:5">
      <c r="D380" s="105"/>
      <c r="E380" s="105"/>
    </row>
    <row r="381" spans="4:5">
      <c r="D381" s="105"/>
      <c r="E381" s="105"/>
    </row>
    <row r="382" spans="4:5">
      <c r="D382" s="105"/>
      <c r="E382" s="105"/>
    </row>
    <row r="383" spans="4:5">
      <c r="D383" s="105"/>
      <c r="E383" s="105"/>
    </row>
    <row r="384" spans="4:5">
      <c r="D384" s="105"/>
      <c r="E384" s="105"/>
    </row>
    <row r="385" spans="4:5">
      <c r="D385" s="105"/>
      <c r="E385" s="105"/>
    </row>
    <row r="386" spans="4:5">
      <c r="D386" s="105"/>
      <c r="E386" s="105"/>
    </row>
    <row r="387" spans="4:5">
      <c r="D387" s="105"/>
      <c r="E387" s="105"/>
    </row>
    <row r="388" spans="4:5">
      <c r="D388" s="105"/>
      <c r="E388" s="105"/>
    </row>
    <row r="389" spans="4:5">
      <c r="D389" s="105"/>
      <c r="E389" s="105"/>
    </row>
    <row r="390" spans="4:5">
      <c r="D390" s="105"/>
      <c r="E390" s="105"/>
    </row>
    <row r="391" spans="4:5">
      <c r="D391" s="105"/>
      <c r="E391" s="105"/>
    </row>
    <row r="392" spans="4:5">
      <c r="D392" s="105"/>
      <c r="E392" s="105"/>
    </row>
    <row r="393" spans="4:5">
      <c r="D393" s="105"/>
      <c r="E393" s="105"/>
    </row>
    <row r="394" spans="4:5">
      <c r="D394" s="105"/>
      <c r="E394" s="105"/>
    </row>
    <row r="395" spans="4:5">
      <c r="D395" s="105"/>
      <c r="E395" s="105"/>
    </row>
    <row r="396" spans="4:5">
      <c r="D396" s="105"/>
      <c r="E396" s="105"/>
    </row>
    <row r="397" spans="4:5">
      <c r="D397" s="105"/>
      <c r="E397" s="105"/>
    </row>
    <row r="398" spans="4:5">
      <c r="D398" s="105"/>
      <c r="E398" s="105"/>
    </row>
    <row r="399" spans="4:5">
      <c r="D399" s="105"/>
      <c r="E399" s="105"/>
    </row>
    <row r="400" spans="4:5">
      <c r="D400" s="105"/>
      <c r="E400" s="105"/>
    </row>
    <row r="401" spans="4:5">
      <c r="D401" s="105"/>
      <c r="E401" s="105"/>
    </row>
    <row r="402" spans="4:5">
      <c r="D402" s="105"/>
      <c r="E402" s="105"/>
    </row>
    <row r="403" spans="4:5">
      <c r="D403" s="105"/>
      <c r="E403" s="105"/>
    </row>
    <row r="404" spans="4:5">
      <c r="D404" s="105"/>
      <c r="E404" s="105"/>
    </row>
    <row r="405" spans="4:5">
      <c r="D405" s="105"/>
      <c r="E405" s="105"/>
    </row>
    <row r="406" spans="4:5">
      <c r="D406" s="105"/>
      <c r="E406" s="105"/>
    </row>
    <row r="407" spans="4:5">
      <c r="D407" s="105"/>
      <c r="E407" s="105"/>
    </row>
    <row r="408" spans="4:5">
      <c r="D408" s="105"/>
      <c r="E408" s="105"/>
    </row>
    <row r="409" spans="4:5">
      <c r="D409" s="105"/>
      <c r="E409" s="105"/>
    </row>
    <row r="410" spans="4:5">
      <c r="D410" s="105"/>
      <c r="E410" s="105"/>
    </row>
    <row r="411" spans="4:5">
      <c r="D411" s="105"/>
      <c r="E411" s="105"/>
    </row>
    <row r="412" spans="4:5">
      <c r="D412" s="105"/>
      <c r="E412" s="105"/>
    </row>
    <row r="413" spans="4:5">
      <c r="D413" s="105"/>
      <c r="E413" s="105"/>
    </row>
    <row r="414" spans="4:5">
      <c r="D414" s="105"/>
      <c r="E414" s="105"/>
    </row>
    <row r="415" spans="4:5">
      <c r="D415" s="105"/>
      <c r="E415" s="105"/>
    </row>
    <row r="416" spans="4:5">
      <c r="D416" s="105"/>
      <c r="E416" s="105"/>
    </row>
    <row r="417" spans="4:5">
      <c r="D417" s="105"/>
      <c r="E417" s="105"/>
    </row>
    <row r="418" spans="4:5">
      <c r="D418" s="105"/>
      <c r="E418" s="105"/>
    </row>
    <row r="419" spans="4:5">
      <c r="D419" s="105"/>
      <c r="E419" s="105"/>
    </row>
    <row r="420" spans="4:5">
      <c r="D420" s="105"/>
      <c r="E420" s="105"/>
    </row>
    <row r="421" spans="4:5">
      <c r="D421" s="105"/>
      <c r="E421" s="105"/>
    </row>
    <row r="422" spans="4:5">
      <c r="D422" s="105"/>
      <c r="E422" s="105"/>
    </row>
    <row r="423" spans="4:5">
      <c r="D423" s="105"/>
      <c r="E423" s="105"/>
    </row>
    <row r="424" spans="4:5">
      <c r="D424" s="105"/>
      <c r="E424" s="105"/>
    </row>
    <row r="425" spans="4:5">
      <c r="D425" s="105"/>
      <c r="E425" s="105"/>
    </row>
    <row r="426" spans="4:5">
      <c r="D426" s="105"/>
      <c r="E426" s="105"/>
    </row>
    <row r="427" spans="4:5">
      <c r="D427" s="105"/>
      <c r="E427" s="105"/>
    </row>
    <row r="428" spans="4:5">
      <c r="D428" s="105"/>
      <c r="E428" s="105"/>
    </row>
    <row r="429" spans="4:5">
      <c r="D429" s="105"/>
      <c r="E429" s="105"/>
    </row>
    <row r="430" spans="4:5">
      <c r="D430" s="105"/>
      <c r="E430" s="105"/>
    </row>
    <row r="431" spans="4:5">
      <c r="D431" s="105"/>
      <c r="E431" s="105"/>
    </row>
    <row r="432" spans="4:5">
      <c r="D432" s="105"/>
      <c r="E432" s="105"/>
    </row>
    <row r="433" spans="4:5">
      <c r="D433" s="105"/>
      <c r="E433" s="105"/>
    </row>
    <row r="434" spans="4:5">
      <c r="D434" s="105"/>
      <c r="E434" s="105"/>
    </row>
    <row r="435" spans="4:5">
      <c r="D435" s="105"/>
      <c r="E435" s="105"/>
    </row>
    <row r="436" spans="4:5">
      <c r="D436" s="105"/>
      <c r="E436" s="105"/>
    </row>
    <row r="437" spans="4:5">
      <c r="D437" s="105"/>
      <c r="E437" s="105"/>
    </row>
    <row r="438" spans="4:5">
      <c r="D438" s="105"/>
      <c r="E438" s="105"/>
    </row>
    <row r="439" spans="4:5">
      <c r="D439" s="105"/>
      <c r="E439" s="105"/>
    </row>
    <row r="440" spans="4:5">
      <c r="D440" s="105"/>
      <c r="E440" s="105"/>
    </row>
    <row r="441" spans="4:5">
      <c r="D441" s="105"/>
      <c r="E441" s="105"/>
    </row>
    <row r="442" spans="4:5">
      <c r="D442" s="105"/>
      <c r="E442" s="105"/>
    </row>
    <row r="443" spans="4:5">
      <c r="D443" s="105"/>
      <c r="E443" s="105"/>
    </row>
    <row r="444" spans="4:5">
      <c r="D444" s="105"/>
      <c r="E444" s="105"/>
    </row>
    <row r="445" spans="4:5">
      <c r="D445" s="105"/>
      <c r="E445" s="105"/>
    </row>
    <row r="446" spans="4:5">
      <c r="D446" s="105"/>
      <c r="E446" s="105"/>
    </row>
    <row r="447" spans="4:5">
      <c r="D447" s="105"/>
      <c r="E447" s="105"/>
    </row>
    <row r="448" spans="4:5">
      <c r="D448" s="105"/>
      <c r="E448" s="105"/>
    </row>
    <row r="449" spans="4:5">
      <c r="D449" s="105"/>
      <c r="E449" s="105"/>
    </row>
    <row r="450" spans="4:5">
      <c r="D450" s="105"/>
      <c r="E450" s="105"/>
    </row>
    <row r="451" spans="4:5">
      <c r="D451" s="105"/>
      <c r="E451" s="105"/>
    </row>
    <row r="452" spans="4:5">
      <c r="D452" s="105"/>
      <c r="E452" s="105"/>
    </row>
    <row r="453" spans="4:5">
      <c r="D453" s="105"/>
      <c r="E453" s="105"/>
    </row>
    <row r="454" spans="4:5">
      <c r="D454" s="105"/>
      <c r="E454" s="105"/>
    </row>
    <row r="455" spans="4:5">
      <c r="D455" s="105"/>
      <c r="E455" s="105"/>
    </row>
    <row r="456" spans="4:5">
      <c r="D456" s="105"/>
      <c r="E456" s="105"/>
    </row>
    <row r="457" spans="4:5">
      <c r="D457" s="105"/>
      <c r="E457" s="105"/>
    </row>
    <row r="458" spans="4:5">
      <c r="D458" s="105"/>
      <c r="E458" s="105"/>
    </row>
    <row r="459" spans="4:5">
      <c r="D459" s="105"/>
      <c r="E459" s="105"/>
    </row>
    <row r="460" spans="4:5">
      <c r="D460" s="105"/>
      <c r="E460" s="105"/>
    </row>
    <row r="461" spans="4:5">
      <c r="D461" s="105"/>
      <c r="E461" s="105"/>
    </row>
    <row r="462" spans="4:5">
      <c r="D462" s="105"/>
      <c r="E462" s="105"/>
    </row>
    <row r="463" spans="4:5">
      <c r="D463" s="105"/>
      <c r="E463" s="105"/>
    </row>
    <row r="464" spans="4:5">
      <c r="D464" s="105"/>
      <c r="E464" s="105"/>
    </row>
    <row r="465" spans="4:5">
      <c r="D465" s="105"/>
      <c r="E465" s="105"/>
    </row>
    <row r="466" spans="4:5">
      <c r="D466" s="105"/>
      <c r="E466" s="105"/>
    </row>
    <row r="467" spans="4:5">
      <c r="D467" s="105"/>
      <c r="E467" s="105"/>
    </row>
    <row r="468" spans="4:5">
      <c r="D468" s="105"/>
      <c r="E468" s="105"/>
    </row>
    <row r="469" spans="4:5">
      <c r="D469" s="105"/>
      <c r="E469" s="105"/>
    </row>
    <row r="470" spans="4:5">
      <c r="D470" s="105"/>
      <c r="E470" s="105"/>
    </row>
    <row r="471" spans="4:5">
      <c r="D471" s="105"/>
      <c r="E471" s="105"/>
    </row>
    <row r="472" spans="4:5">
      <c r="D472" s="105"/>
      <c r="E472" s="105"/>
    </row>
    <row r="473" spans="4:5">
      <c r="D473" s="105"/>
      <c r="E473" s="105"/>
    </row>
    <row r="474" spans="4:5">
      <c r="D474" s="105"/>
      <c r="E474" s="105"/>
    </row>
    <row r="475" spans="4:5">
      <c r="D475" s="105"/>
      <c r="E475" s="105"/>
    </row>
    <row r="476" spans="4:5">
      <c r="D476" s="105"/>
      <c r="E476" s="105"/>
    </row>
    <row r="477" spans="4:5">
      <c r="D477" s="105"/>
      <c r="E477" s="105"/>
    </row>
    <row r="478" spans="4:5">
      <c r="D478" s="105"/>
      <c r="E478" s="105"/>
    </row>
    <row r="479" spans="4:5">
      <c r="D479" s="105"/>
      <c r="E479" s="105"/>
    </row>
    <row r="480" spans="4:5">
      <c r="D480" s="105"/>
      <c r="E480" s="105"/>
    </row>
    <row r="481" spans="4:5">
      <c r="D481" s="105"/>
      <c r="E481" s="105"/>
    </row>
    <row r="482" spans="4:5">
      <c r="D482" s="105"/>
      <c r="E482" s="105"/>
    </row>
    <row r="483" spans="4:5">
      <c r="D483" s="105"/>
      <c r="E483" s="105"/>
    </row>
    <row r="484" spans="4:5">
      <c r="D484" s="105"/>
      <c r="E484" s="105"/>
    </row>
    <row r="485" spans="4:5">
      <c r="D485" s="105"/>
      <c r="E485" s="105"/>
    </row>
    <row r="486" spans="4:5">
      <c r="D486" s="105"/>
      <c r="E486" s="105"/>
    </row>
    <row r="487" spans="4:5">
      <c r="D487" s="105"/>
      <c r="E487" s="105"/>
    </row>
    <row r="488" spans="4:5">
      <c r="D488" s="105"/>
      <c r="E488" s="105"/>
    </row>
    <row r="489" spans="4:5">
      <c r="D489" s="105"/>
      <c r="E489" s="105"/>
    </row>
    <row r="490" spans="4:5">
      <c r="D490" s="105"/>
      <c r="E490" s="105"/>
    </row>
    <row r="491" spans="4:5">
      <c r="D491" s="105"/>
      <c r="E491" s="105"/>
    </row>
    <row r="492" spans="4:5">
      <c r="D492" s="105"/>
      <c r="E492" s="105"/>
    </row>
    <row r="493" spans="4:5">
      <c r="D493" s="105"/>
      <c r="E493" s="105"/>
    </row>
    <row r="494" spans="4:5">
      <c r="D494" s="105"/>
      <c r="E494" s="105"/>
    </row>
    <row r="495" spans="4:5">
      <c r="D495" s="105"/>
      <c r="E495" s="105"/>
    </row>
    <row r="496" spans="4:5">
      <c r="D496" s="105"/>
      <c r="E496" s="105"/>
    </row>
    <row r="497" spans="4:5">
      <c r="D497" s="105"/>
      <c r="E497" s="105"/>
    </row>
    <row r="498" spans="4:5">
      <c r="D498" s="105"/>
      <c r="E498" s="105"/>
    </row>
    <row r="499" spans="4:5">
      <c r="D499" s="105"/>
      <c r="E499" s="105"/>
    </row>
    <row r="500" spans="4:5">
      <c r="D500" s="105"/>
      <c r="E500" s="105"/>
    </row>
    <row r="501" spans="4:5">
      <c r="D501" s="105"/>
      <c r="E501" s="105"/>
    </row>
    <row r="502" spans="4:5">
      <c r="D502" s="105"/>
      <c r="E502" s="105"/>
    </row>
    <row r="503" spans="4:5">
      <c r="D503" s="105"/>
      <c r="E503" s="105"/>
    </row>
    <row r="504" spans="4:5">
      <c r="D504" s="105"/>
      <c r="E504" s="105"/>
    </row>
    <row r="505" spans="4:5">
      <c r="D505" s="105"/>
      <c r="E505" s="105"/>
    </row>
    <row r="506" spans="4:5">
      <c r="D506" s="105"/>
      <c r="E506" s="105"/>
    </row>
    <row r="507" spans="4:5">
      <c r="D507" s="105"/>
      <c r="E507" s="105"/>
    </row>
    <row r="508" spans="4:5">
      <c r="D508" s="105"/>
      <c r="E508" s="105"/>
    </row>
    <row r="509" spans="4:5">
      <c r="D509" s="105"/>
      <c r="E509" s="105"/>
    </row>
    <row r="510" spans="4:5">
      <c r="D510" s="105"/>
      <c r="E510" s="105"/>
    </row>
    <row r="511" spans="4:5">
      <c r="D511" s="105"/>
      <c r="E511" s="105"/>
    </row>
    <row r="512" spans="4:5">
      <c r="D512" s="105"/>
      <c r="E512" s="105"/>
    </row>
    <row r="513" spans="4:5">
      <c r="D513" s="105"/>
      <c r="E513" s="105"/>
    </row>
    <row r="514" spans="4:5">
      <c r="D514" s="105"/>
      <c r="E514" s="105"/>
    </row>
    <row r="515" spans="4:5">
      <c r="D515" s="105"/>
      <c r="E515" s="105"/>
    </row>
    <row r="516" spans="4:5">
      <c r="D516" s="105"/>
      <c r="E516" s="105"/>
    </row>
    <row r="517" spans="4:5">
      <c r="D517" s="105"/>
      <c r="E517" s="105"/>
    </row>
    <row r="518" spans="4:5">
      <c r="D518" s="105"/>
      <c r="E518" s="105"/>
    </row>
    <row r="519" spans="4:5">
      <c r="D519" s="105"/>
      <c r="E519" s="105"/>
    </row>
    <row r="520" spans="4:5">
      <c r="D520" s="105"/>
      <c r="E520" s="105"/>
    </row>
    <row r="521" spans="4:5">
      <c r="D521" s="105"/>
      <c r="E521" s="105"/>
    </row>
    <row r="522" spans="4:5">
      <c r="D522" s="105"/>
      <c r="E522" s="105"/>
    </row>
    <row r="523" spans="4:5">
      <c r="D523" s="105"/>
      <c r="E523" s="105"/>
    </row>
    <row r="524" spans="4:5">
      <c r="D524" s="105"/>
      <c r="E524" s="105"/>
    </row>
    <row r="525" spans="4:5">
      <c r="D525" s="105"/>
      <c r="E525" s="105"/>
    </row>
    <row r="526" spans="4:5">
      <c r="D526" s="105"/>
      <c r="E526" s="105"/>
    </row>
    <row r="527" spans="4:5">
      <c r="D527" s="105"/>
      <c r="E527" s="105"/>
    </row>
    <row r="528" spans="4:5">
      <c r="D528" s="105"/>
      <c r="E528" s="105"/>
    </row>
    <row r="529" spans="4:5">
      <c r="D529" s="105"/>
      <c r="E529" s="105"/>
    </row>
    <row r="530" spans="4:5">
      <c r="D530" s="105"/>
      <c r="E530" s="105"/>
    </row>
    <row r="531" spans="4:5">
      <c r="D531" s="105"/>
      <c r="E531" s="105"/>
    </row>
    <row r="532" spans="4:5">
      <c r="D532" s="105"/>
      <c r="E532" s="105"/>
    </row>
    <row r="533" spans="4:5">
      <c r="D533" s="105"/>
      <c r="E533" s="105"/>
    </row>
    <row r="534" spans="4:5">
      <c r="D534" s="105"/>
      <c r="E534" s="105"/>
    </row>
    <row r="535" spans="4:5">
      <c r="D535" s="105"/>
      <c r="E535" s="105"/>
    </row>
    <row r="536" spans="4:5">
      <c r="D536" s="105"/>
      <c r="E536" s="105"/>
    </row>
    <row r="537" spans="4:5">
      <c r="D537" s="105"/>
      <c r="E537" s="105"/>
    </row>
    <row r="538" spans="4:5">
      <c r="D538" s="105"/>
      <c r="E538" s="105"/>
    </row>
    <row r="539" spans="4:5">
      <c r="D539" s="105"/>
      <c r="E539" s="105"/>
    </row>
    <row r="540" spans="4:5">
      <c r="D540" s="105"/>
      <c r="E540" s="105"/>
    </row>
    <row r="541" spans="4:5">
      <c r="D541" s="105"/>
      <c r="E541" s="105"/>
    </row>
    <row r="542" spans="4:5">
      <c r="D542" s="105"/>
      <c r="E542" s="105"/>
    </row>
    <row r="543" spans="4:5">
      <c r="D543" s="105"/>
      <c r="E543" s="105"/>
    </row>
    <row r="544" spans="4:5">
      <c r="D544" s="105"/>
      <c r="E544" s="105"/>
    </row>
    <row r="545" spans="4:5">
      <c r="D545" s="105"/>
      <c r="E545" s="105"/>
    </row>
    <row r="546" spans="4:5">
      <c r="D546" s="105"/>
      <c r="E546" s="105"/>
    </row>
    <row r="547" spans="4:5">
      <c r="D547" s="105"/>
      <c r="E547" s="105"/>
    </row>
    <row r="548" spans="4:5">
      <c r="D548" s="105"/>
      <c r="E548" s="105"/>
    </row>
    <row r="549" spans="4:5">
      <c r="D549" s="105"/>
      <c r="E549" s="105"/>
    </row>
    <row r="550" spans="4:5">
      <c r="D550" s="105"/>
      <c r="E550" s="105"/>
    </row>
    <row r="551" spans="4:5">
      <c r="D551" s="105"/>
      <c r="E551" s="105"/>
    </row>
    <row r="552" spans="4:5">
      <c r="D552" s="105"/>
      <c r="E552" s="105"/>
    </row>
    <row r="553" spans="4:5">
      <c r="D553" s="105"/>
      <c r="E553" s="105"/>
    </row>
    <row r="554" spans="4:5">
      <c r="D554" s="105"/>
      <c r="E554" s="105"/>
    </row>
    <row r="555" spans="4:5">
      <c r="D555" s="105"/>
      <c r="E555" s="105"/>
    </row>
    <row r="556" spans="4:5">
      <c r="D556" s="105"/>
      <c r="E556" s="105"/>
    </row>
    <row r="557" spans="4:5">
      <c r="D557" s="105"/>
      <c r="E557" s="105"/>
    </row>
    <row r="558" spans="4:5">
      <c r="D558" s="105"/>
      <c r="E558" s="105"/>
    </row>
    <row r="559" spans="4:5">
      <c r="D559" s="105"/>
      <c r="E559" s="105"/>
    </row>
    <row r="560" spans="4:5">
      <c r="D560" s="105"/>
      <c r="E560" s="105"/>
    </row>
    <row r="561" spans="4:5">
      <c r="D561" s="105"/>
      <c r="E561" s="105"/>
    </row>
    <row r="562" spans="4:5">
      <c r="D562" s="105"/>
      <c r="E562" s="105"/>
    </row>
    <row r="563" spans="4:5">
      <c r="D563" s="105"/>
      <c r="E563" s="105"/>
    </row>
    <row r="564" spans="4:5">
      <c r="D564" s="105"/>
      <c r="E564" s="105"/>
    </row>
    <row r="565" spans="4:5">
      <c r="D565" s="105"/>
      <c r="E565" s="105"/>
    </row>
    <row r="566" spans="4:5">
      <c r="D566" s="105"/>
      <c r="E566" s="105"/>
    </row>
    <row r="567" spans="4:5">
      <c r="D567" s="105"/>
      <c r="E567" s="105"/>
    </row>
    <row r="568" spans="4:5">
      <c r="D568" s="105"/>
      <c r="E568" s="105"/>
    </row>
    <row r="569" spans="4:5">
      <c r="D569" s="105"/>
      <c r="E569" s="105"/>
    </row>
    <row r="570" spans="4:5">
      <c r="D570" s="105"/>
      <c r="E570" s="105"/>
    </row>
    <row r="571" spans="4:5">
      <c r="D571" s="105"/>
      <c r="E571" s="105"/>
    </row>
    <row r="572" spans="4:5">
      <c r="D572" s="105"/>
      <c r="E572" s="105"/>
    </row>
    <row r="573" spans="4:5">
      <c r="D573" s="105"/>
      <c r="E573" s="105"/>
    </row>
    <row r="574" spans="4:5">
      <c r="D574" s="105"/>
      <c r="E574" s="105"/>
    </row>
    <row r="575" spans="4:5">
      <c r="D575" s="105"/>
      <c r="E575" s="105"/>
    </row>
    <row r="576" spans="4:5">
      <c r="D576" s="105"/>
      <c r="E576" s="105"/>
    </row>
    <row r="577" spans="4:5">
      <c r="D577" s="105"/>
      <c r="E577" s="105"/>
    </row>
    <row r="578" spans="4:5">
      <c r="D578" s="105"/>
      <c r="E578" s="105"/>
    </row>
    <row r="579" spans="4:5">
      <c r="D579" s="105"/>
      <c r="E579" s="105"/>
    </row>
    <row r="580" spans="4:5">
      <c r="D580" s="105"/>
      <c r="E580" s="105"/>
    </row>
    <row r="581" spans="4:5">
      <c r="D581" s="105"/>
      <c r="E581" s="105"/>
    </row>
    <row r="582" spans="4:5">
      <c r="D582" s="105"/>
      <c r="E582" s="105"/>
    </row>
    <row r="583" spans="4:5">
      <c r="D583" s="105"/>
      <c r="E583" s="105"/>
    </row>
  </sheetData>
  <mergeCells count="1">
    <mergeCell ref="E4:H4"/>
  </mergeCells>
  <conditionalFormatting sqref="J22:J142">
    <cfRule type="iconSet" priority="1">
      <iconSet iconSet="3Symbols" showValue="0">
        <cfvo type="percent" val="0"/>
        <cfvo type="num" val="0"/>
        <cfvo type="num" val="1"/>
      </iconSet>
    </cfRule>
  </conditionalFormatting>
  <hyperlinks>
    <hyperlink ref="BM2" r:id="rId1" xr:uid="{6CF1EFC7-83E6-47CA-B6CD-54B8BCC49E75}"/>
  </hyperlinks>
  <pageMargins left="0.7" right="0.7" top="0.75" bottom="0.75" header="0.3" footer="0.3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xr:uid="{5DDF9F78-3997-4F0B-93D6-06B513FC448A}">
          <x14:formula1>
            <xm:f>'Otras BD'!$C$4:$C$12</xm:f>
          </x14:formula1>
          <xm:sqref>H9 H13</xm:sqref>
        </x14:dataValidation>
        <x14:dataValidation type="list" allowBlank="1" showInputMessage="1" xr:uid="{5FF08E45-149E-4AE8-A466-9175BB909396}">
          <x14:formula1>
            <xm:f>'Otras BD'!$G$6:$G$9</xm:f>
          </x14:formula1>
          <xm:sqref>E13</xm:sqref>
        </x14:dataValidation>
        <x14:dataValidation type="list" allowBlank="1" showInputMessage="1" xr:uid="{0364110C-A781-445C-89E2-F581D69836D5}">
          <x14:formula1>
            <xm:f>_xlfn.ANCHORARRAY(PUC!$DP$5)</xm:f>
          </x14:formula1>
          <xm:sqref>E11</xm:sqref>
        </x14:dataValidation>
        <x14:dataValidation type="list" allowBlank="1" showInputMessage="1" xr:uid="{B32D25FA-BA86-4B35-AA1F-851483BEFD80}">
          <x14:formula1>
            <xm:f>_xlfn.ANCHORARRAY('BD-Tercero Clientes'!$N$6)</xm:f>
          </x14:formula1>
          <xm:sqref>H7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1D06A6-52BF-4C22-AA16-D50660A832EB}">
  <sheetPr codeName="Hoja7"/>
  <dimension ref="C1:BP583"/>
  <sheetViews>
    <sheetView showGridLines="0" showRowColHeaders="0" workbookViewId="0">
      <selection activeCell="D2" sqref="D2"/>
    </sheetView>
  </sheetViews>
  <sheetFormatPr baseColWidth="10" defaultRowHeight="12.75"/>
  <cols>
    <col min="1" max="1" width="16.1640625" customWidth="1"/>
    <col min="2" max="2" width="12" customWidth="1"/>
    <col min="4" max="4" width="20.83203125" style="33" customWidth="1"/>
    <col min="5" max="5" width="20.6640625" style="33" bestFit="1" customWidth="1"/>
    <col min="6" max="6" width="44.1640625" customWidth="1"/>
    <col min="7" max="7" width="20.6640625" style="104" bestFit="1" customWidth="1"/>
    <col min="8" max="8" width="39.5" customWidth="1"/>
    <col min="9" max="9" width="22.1640625" customWidth="1"/>
    <col min="10" max="10" width="17.33203125" bestFit="1" customWidth="1"/>
    <col min="11" max="11" width="19.6640625" bestFit="1" customWidth="1"/>
    <col min="12" max="13" width="19.6640625" customWidth="1"/>
    <col min="14" max="14" width="25.1640625" hidden="1" customWidth="1"/>
    <col min="15" max="15" width="23.5" hidden="1" customWidth="1"/>
    <col min="16" max="25" width="19.6640625" hidden="1" customWidth="1"/>
    <col min="26" max="26" width="9.1640625" hidden="1" customWidth="1"/>
    <col min="27" max="40" width="28" hidden="1" customWidth="1"/>
    <col min="41" max="42" width="21.6640625" hidden="1" customWidth="1"/>
    <col min="43" max="43" width="46" hidden="1" customWidth="1"/>
    <col min="44" max="46" width="21.6640625" hidden="1" customWidth="1"/>
    <col min="47" max="55" width="0" hidden="1" customWidth="1"/>
    <col min="56" max="56" width="13.5" hidden="1" customWidth="1"/>
    <col min="57" max="57" width="23.83203125" hidden="1" customWidth="1"/>
    <col min="58" max="62" width="0" hidden="1" customWidth="1"/>
    <col min="63" max="64" width="11.1640625" hidden="1" customWidth="1"/>
    <col min="65" max="67" width="20" hidden="1" customWidth="1"/>
    <col min="68" max="68" width="0" hidden="1" customWidth="1"/>
  </cols>
  <sheetData>
    <row r="1" spans="3:68">
      <c r="G1" s="48"/>
    </row>
    <row r="2" spans="3:68" ht="13.5" thickBot="1">
      <c r="G2" s="48"/>
      <c r="BG2" s="29" t="s">
        <v>886</v>
      </c>
      <c r="BI2" t="str">
        <f>LEFT(BG2, (LEN(BG2)-(LEN($BG2)-LEN(RIGHT($BG2,SEARCH("@",$BG2)))))-1)</f>
        <v>55-134567UI</v>
      </c>
      <c r="BJ2" t="str">
        <f>RIGHT($BG2,(LEN($BG2)-LEN(RIGHT($BG2,SEARCH("@",$BG2)))))</f>
        <v>100-2362626</v>
      </c>
    </row>
    <row r="3" spans="3:68">
      <c r="C3" s="189"/>
      <c r="D3" s="190"/>
      <c r="E3" s="190"/>
      <c r="F3" s="191"/>
      <c r="G3" s="192"/>
      <c r="H3" s="191"/>
      <c r="I3" s="191"/>
      <c r="J3" s="191"/>
      <c r="K3" s="193"/>
    </row>
    <row r="4" spans="3:68" ht="22.5">
      <c r="C4" s="194"/>
      <c r="E4" s="249" t="s">
        <v>1084</v>
      </c>
      <c r="F4" s="250"/>
      <c r="G4" s="250"/>
      <c r="H4" s="250"/>
      <c r="K4" s="196"/>
      <c r="L4" s="103"/>
      <c r="M4" s="103"/>
      <c r="N4" s="103"/>
      <c r="O4" s="103"/>
      <c r="P4" s="103"/>
      <c r="Q4" s="103"/>
      <c r="R4" s="103"/>
      <c r="S4" s="103"/>
      <c r="T4" s="103"/>
      <c r="U4" s="103"/>
      <c r="V4" s="103"/>
      <c r="W4" s="103"/>
      <c r="X4" s="103"/>
      <c r="Y4" s="103"/>
    </row>
    <row r="5" spans="3:68">
      <c r="C5" s="194"/>
      <c r="G5" s="195"/>
      <c r="K5" s="197"/>
    </row>
    <row r="6" spans="3:68" ht="15" thickBot="1">
      <c r="C6" s="194"/>
      <c r="G6" s="195"/>
      <c r="K6" s="197"/>
      <c r="AX6" s="1"/>
      <c r="AY6" s="1"/>
      <c r="AZ6" s="1"/>
      <c r="BD6" s="52" t="s">
        <v>887</v>
      </c>
      <c r="BE6" t="s">
        <v>909</v>
      </c>
      <c r="BF6" t="s">
        <v>883</v>
      </c>
      <c r="BG6" t="s">
        <v>770</v>
      </c>
      <c r="BH6" t="s">
        <v>773</v>
      </c>
      <c r="BI6" t="s">
        <v>774</v>
      </c>
      <c r="BJ6" t="s">
        <v>851</v>
      </c>
      <c r="BK6" t="s">
        <v>875</v>
      </c>
      <c r="BL6" t="s">
        <v>913</v>
      </c>
    </row>
    <row r="7" spans="3:68" ht="15" thickBot="1">
      <c r="C7" s="194"/>
      <c r="D7" s="181" t="s">
        <v>859</v>
      </c>
      <c r="E7" s="121"/>
      <c r="G7" s="181" t="s">
        <v>861</v>
      </c>
      <c r="H7" s="121"/>
      <c r="K7" s="197"/>
      <c r="AX7" s="1"/>
      <c r="AY7" s="1"/>
      <c r="AZ7" s="1"/>
      <c r="BD7" s="29"/>
      <c r="BE7" s="57" t="s">
        <v>912</v>
      </c>
      <c r="BF7" t="s">
        <v>884</v>
      </c>
      <c r="BG7">
        <v>1305</v>
      </c>
      <c r="BH7">
        <v>70000</v>
      </c>
      <c r="BI7">
        <v>0</v>
      </c>
      <c r="BJ7">
        <f>BH7-BI7</f>
        <v>70000</v>
      </c>
      <c r="BK7" t="str">
        <f>IF((SUMIFS($BI$7:$BI$32,$BG$7:$BG$32,2205,$BF$7:$BF$32,"="&amp;BF7,$BL$7:$BL$32,(LEFT(BE7,SEARCH("-",BE7)-1)))-SUMIFS($BH$7:$BH$32,$BF$7:$BF$32,"="&amp;BF7,$BD$7:$BD$32,(LEFT(BE7,SEARCH("-",BE7)-1)), $BG$7:$BG$32,2205 ))=0,"PAGADO",(IF((SUMIFS($BH$7:$BH$32,$BG$7:$BG$32,1305,$BF$7:$BF$32,"="&amp;BF7,$BL$7:$BL$32,(LEFT(BE7,SEARCH("-",BE7)-1)))-SUMIFS($BI$7:$BI$32,$BF$7:$BF$32,"="&amp;BF7,$BD$7:$BD$32,(LEFT(BE7,SEARCH("-",BE7)-1)), $BG$7:$BG$32,1305 ))=0,"PAGADO","NO PAGADO")))</f>
        <v>PAGADO</v>
      </c>
      <c r="BL7" t="str">
        <f t="shared" ref="BL7:BL28" si="0">IFERROR(LEFT(BE7,SEARCH("-",BE7)-1),0)</f>
        <v>7888</v>
      </c>
      <c r="BM7" t="s">
        <v>1098</v>
      </c>
      <c r="BN7" t="str">
        <f>IF((SUMIFS($BI$7:$BI$32,$BF$7:$BF$32,"="&amp;BF7,$BL$7:$BL$32,(LEFT(BE7,SEARCH("-",BE7)-1)))-SUMIFS($BH$7:$BH$32,$BF$7:$BF$32,"="&amp;BF7,$BD$7:$BD$32,(LEFT(BE7,SEARCH("-",BE7)-1))))=0,"PAGADO",(IF((SUMIFS($BH$7:$BH$32,$BF$7:$BF$32,"="&amp;BF7,$BL$7:$BL$32,(LEFT(BE7,SEARCH("-",BE7)-1)))-SUMIFS($BI$7:$BI$32,$BF$7:$BF$32,"="&amp;BF7,$BD$7:$BD$32,(LEFT(BE7,SEARCH("-",BE7)-1)) ))=0,"PAGADO","NO PAGADO")))</f>
        <v>PAGADO</v>
      </c>
    </row>
    <row r="8" spans="3:68" ht="13.5" thickBot="1">
      <c r="C8" s="194"/>
      <c r="F8" s="50"/>
      <c r="G8"/>
      <c r="K8" s="197"/>
      <c r="BD8" s="29"/>
      <c r="BE8" s="57" t="s">
        <v>911</v>
      </c>
      <c r="BF8" t="s">
        <v>884</v>
      </c>
      <c r="BG8">
        <v>0</v>
      </c>
      <c r="BH8">
        <v>0</v>
      </c>
      <c r="BI8">
        <v>0</v>
      </c>
      <c r="BJ8">
        <f t="shared" ref="BJ8:BJ14" si="1">BH8-BI8</f>
        <v>0</v>
      </c>
      <c r="BK8" t="str">
        <f>IF(( SUMIFS($BI$7:$BI$32,$BG$7:$BG$32,2205,$BF$7:$BF$32,"="&amp;BF8,$BL$7:$BL$32, (LEFT(BE8,SEARCH("-",BE8)-1)) ) - SUMIFS($BH$7:$BH$32,$BF$7:$BF$32,"="&amp;BF8,$BD$7:$BD$32,(LEFT(BE8,SEARCH("-",BE8)-1)), $BG$7:$BG$32,2205 ) )=0,"PAGADO","NO PAGADO")</f>
        <v>PAGADO</v>
      </c>
      <c r="BL8" t="str">
        <f t="shared" si="0"/>
        <v>7888</v>
      </c>
      <c r="BM8" t="s">
        <v>1098</v>
      </c>
      <c r="BN8" t="str">
        <f t="shared" ref="BN8:BN28" si="2">IF((SUMIFS($BI$7:$BI$32,$BF$7:$BF$32,"="&amp;BF8,$BL$7:$BL$32,(LEFT(BE8,SEARCH("-",BE8)-1)))-SUMIFS($BH$7:$BH$32,$BF$7:$BF$32,"="&amp;BF8,$BD$7:$BD$32,(LEFT(BE8,SEARCH("-",BE8)-1))))=0,"PAGADO",(IF((SUMIFS($BH$7:$BH$32,$BF$7:$BF$32,"="&amp;BF8,$BL$7:$BL$32,(LEFT(BE8,SEARCH("-",BE8)-1)))-SUMIFS($BI$7:$BI$32,$BF$7:$BF$32,"="&amp;BF8,$BD$7:$BD$32,(LEFT(BE8,SEARCH("-",BE8)-1)) ))=0,"PAGADO","NO PAGADO")))</f>
        <v>PAGADO</v>
      </c>
      <c r="BP8" t="str">
        <f>IF(BE7=0, "PAGADO", IF((SUMIFS($BJ$7:$BJ$19,$BG$7:$BG$19,2205,$BF$7:$BF$19,"="&amp;BF7,$BD$7:$BD$19,BE7) + SUMIFS($BH$7:$BH$19,$BG$7:$BG$19,2205,$BF$7:$BF$19,"="&amp;BF7,$BE$7:$BE$19,BE7) )=0,"PAGADO","NO PAGADO"))</f>
        <v>PAGADO</v>
      </c>
    </row>
    <row r="9" spans="3:68" ht="15" thickBot="1">
      <c r="C9" s="194"/>
      <c r="D9" s="181" t="s">
        <v>860</v>
      </c>
      <c r="E9" s="120"/>
      <c r="G9" s="181" t="s">
        <v>1078</v>
      </c>
      <c r="H9" s="132" t="s">
        <v>1111</v>
      </c>
      <c r="K9" s="197"/>
      <c r="BD9" s="29"/>
      <c r="BE9" s="57" t="s">
        <v>910</v>
      </c>
      <c r="BF9" t="s">
        <v>884</v>
      </c>
      <c r="BG9">
        <v>4105</v>
      </c>
      <c r="BI9">
        <v>70000</v>
      </c>
      <c r="BJ9">
        <f t="shared" si="1"/>
        <v>-70000</v>
      </c>
      <c r="BK9" t="str">
        <f>IF(( SUMIFS($BI$7:$BI$32,$BG$7:$BG$32,2205,$BF$7:$BF$32,"="&amp;BF9,$BL$7:$BL$32, (LEFT(BE9,SEARCH("-",BE9)-1)) ) - SUMIFS($BH$7:$BH$32,$BF$7:$BF$32,"="&amp;BF9,$BD$7:$BD$32,(LEFT(BE9,SEARCH("-",BE9)-1))) )=0,"PAGADO","NO PAGADO")</f>
        <v>NO PAGADO</v>
      </c>
      <c r="BL9" t="str">
        <f t="shared" si="0"/>
        <v>7888</v>
      </c>
      <c r="BM9" t="s">
        <v>1098</v>
      </c>
      <c r="BN9" t="str">
        <f t="shared" si="2"/>
        <v>PAGADO</v>
      </c>
    </row>
    <row r="10" spans="3:68" ht="13.5" thickBot="1">
      <c r="C10" s="194"/>
      <c r="F10" s="33"/>
      <c r="G10"/>
      <c r="K10" s="197"/>
      <c r="BD10" s="29"/>
      <c r="BE10" t="s">
        <v>880</v>
      </c>
      <c r="BF10" t="s">
        <v>885</v>
      </c>
      <c r="BG10">
        <v>5107</v>
      </c>
      <c r="BH10">
        <v>10000</v>
      </c>
      <c r="BI10">
        <v>0</v>
      </c>
      <c r="BJ10">
        <f t="shared" si="1"/>
        <v>10000</v>
      </c>
      <c r="BK10" t="str">
        <f t="shared" ref="BK10:BK28" si="3">IF(( SUMIFS($BI$7:$BI$32,$BG$7:$BG$32,2205,$BF$7:$BF$32,"="&amp;BF10,$BL$7:$BL$32, (LEFT(BE10,SEARCH("-",BE10)-1)) ) - SUMIFS($BH$7:$BH$32,$BF$7:$BF$32,"="&amp;BF10,$BD$7:$BD$32,(LEFT(BE10,SEARCH("-",BE10)-1))) )=0,"PAGADO","NO PAGADO")</f>
        <v>PAGADO</v>
      </c>
      <c r="BL10" t="str">
        <f t="shared" si="0"/>
        <v>57</v>
      </c>
      <c r="BM10" t="s">
        <v>1098</v>
      </c>
      <c r="BN10" t="str">
        <f t="shared" si="2"/>
        <v>PAGADO</v>
      </c>
    </row>
    <row r="11" spans="3:68" ht="15" thickBot="1">
      <c r="C11" s="194"/>
      <c r="D11" s="181" t="s">
        <v>862</v>
      </c>
      <c r="E11" s="121"/>
      <c r="G11" s="181" t="s">
        <v>958</v>
      </c>
      <c r="H11" s="121"/>
      <c r="K11" s="197"/>
      <c r="BD11" s="29"/>
      <c r="BE11" t="s">
        <v>881</v>
      </c>
      <c r="BF11" t="s">
        <v>885</v>
      </c>
      <c r="BG11">
        <v>0</v>
      </c>
      <c r="BH11">
        <v>0</v>
      </c>
      <c r="BI11">
        <v>0</v>
      </c>
      <c r="BJ11">
        <f t="shared" si="1"/>
        <v>0</v>
      </c>
      <c r="BK11" t="str">
        <f t="shared" si="3"/>
        <v>PAGADO</v>
      </c>
      <c r="BL11" t="str">
        <f t="shared" si="0"/>
        <v>57</v>
      </c>
      <c r="BM11" t="s">
        <v>1098</v>
      </c>
      <c r="BN11" t="str">
        <f t="shared" si="2"/>
        <v>PAGADO</v>
      </c>
    </row>
    <row r="12" spans="3:68" ht="13.5" thickBot="1">
      <c r="C12" s="194"/>
      <c r="F12" s="33"/>
      <c r="G12"/>
      <c r="K12" s="197"/>
      <c r="BD12" s="29"/>
      <c r="BE12" t="s">
        <v>882</v>
      </c>
      <c r="BF12" t="s">
        <v>885</v>
      </c>
      <c r="BG12">
        <v>2205</v>
      </c>
      <c r="BH12">
        <v>0</v>
      </c>
      <c r="BI12">
        <v>10000</v>
      </c>
      <c r="BJ12">
        <f t="shared" si="1"/>
        <v>-10000</v>
      </c>
      <c r="BK12" t="str">
        <f t="shared" si="3"/>
        <v>PAGADO</v>
      </c>
      <c r="BL12" t="str">
        <f t="shared" si="0"/>
        <v>57</v>
      </c>
      <c r="BM12" t="s">
        <v>1098</v>
      </c>
      <c r="BN12" t="str">
        <f t="shared" si="2"/>
        <v>PAGADO</v>
      </c>
    </row>
    <row r="13" spans="3:68" ht="15" thickBot="1">
      <c r="C13" s="194"/>
      <c r="D13" s="181" t="s">
        <v>863</v>
      </c>
      <c r="E13" s="121"/>
      <c r="G13" s="181" t="s">
        <v>1092</v>
      </c>
      <c r="H13" s="132" t="s">
        <v>1090</v>
      </c>
      <c r="K13" s="197"/>
      <c r="AU13" s="53" t="s">
        <v>889</v>
      </c>
      <c r="BD13" s="57">
        <v>7888</v>
      </c>
      <c r="BE13" s="54">
        <v>0</v>
      </c>
      <c r="BF13" s="54" t="s">
        <v>884</v>
      </c>
      <c r="BG13" s="54">
        <v>1105</v>
      </c>
      <c r="BH13" s="54">
        <v>70000</v>
      </c>
      <c r="BI13" s="54"/>
      <c r="BJ13" s="54">
        <f t="shared" si="1"/>
        <v>70000</v>
      </c>
      <c r="BK13" t="str">
        <f t="shared" si="3"/>
        <v>PAGADO</v>
      </c>
      <c r="BL13">
        <f t="shared" si="0"/>
        <v>0</v>
      </c>
      <c r="BM13" t="s">
        <v>1098</v>
      </c>
      <c r="BN13" t="str">
        <f t="shared" si="2"/>
        <v>PAGADO</v>
      </c>
    </row>
    <row r="14" spans="3:68" ht="13.5" thickBot="1">
      <c r="C14" s="194"/>
      <c r="F14" s="33"/>
      <c r="G14"/>
      <c r="K14" s="197"/>
      <c r="AU14" t="s">
        <v>890</v>
      </c>
      <c r="BD14" s="57">
        <v>7888</v>
      </c>
      <c r="BE14" s="54">
        <v>0</v>
      </c>
      <c r="BF14" s="54" t="s">
        <v>884</v>
      </c>
      <c r="BG14" s="54">
        <v>1305</v>
      </c>
      <c r="BH14" s="54"/>
      <c r="BI14" s="54">
        <v>70000</v>
      </c>
      <c r="BJ14" s="54">
        <f t="shared" si="1"/>
        <v>-70000</v>
      </c>
      <c r="BK14" t="str">
        <f t="shared" si="3"/>
        <v>PAGADO</v>
      </c>
      <c r="BL14">
        <f t="shared" si="0"/>
        <v>0</v>
      </c>
      <c r="BM14" t="s">
        <v>1098</v>
      </c>
      <c r="BN14" t="str">
        <f t="shared" si="2"/>
        <v>PAGADO</v>
      </c>
    </row>
    <row r="15" spans="3:68" ht="15" thickBot="1">
      <c r="C15" s="194"/>
      <c r="G15" s="181" t="s">
        <v>1330</v>
      </c>
      <c r="H15" s="132"/>
      <c r="K15" s="197"/>
      <c r="AU15" t="s">
        <v>891</v>
      </c>
      <c r="BD15" s="29"/>
      <c r="BE15" t="s">
        <v>914</v>
      </c>
      <c r="BF15" t="s">
        <v>884</v>
      </c>
      <c r="BG15">
        <v>5105</v>
      </c>
      <c r="BH15">
        <v>50000</v>
      </c>
      <c r="BI15">
        <v>0</v>
      </c>
      <c r="BJ15">
        <f t="shared" ref="BJ15:BJ17" si="4">BH15-BI15</f>
        <v>50000</v>
      </c>
      <c r="BK15" t="str">
        <f t="shared" si="3"/>
        <v>NO PAGADO</v>
      </c>
      <c r="BL15" t="str">
        <f t="shared" si="0"/>
        <v>58</v>
      </c>
      <c r="BM15" t="s">
        <v>1099</v>
      </c>
      <c r="BN15" t="str">
        <f t="shared" si="2"/>
        <v>NO PAGADO</v>
      </c>
    </row>
    <row r="16" spans="3:68">
      <c r="C16" s="194"/>
      <c r="G16" s="195"/>
      <c r="K16" s="197"/>
      <c r="AU16" t="s">
        <v>892</v>
      </c>
      <c r="BD16" s="29"/>
      <c r="BE16" t="s">
        <v>915</v>
      </c>
      <c r="BF16" t="s">
        <v>884</v>
      </c>
      <c r="BG16">
        <v>0</v>
      </c>
      <c r="BH16">
        <v>0</v>
      </c>
      <c r="BI16">
        <v>0</v>
      </c>
      <c r="BJ16">
        <f t="shared" si="4"/>
        <v>0</v>
      </c>
      <c r="BK16" t="str">
        <f t="shared" si="3"/>
        <v>NO PAGADO</v>
      </c>
      <c r="BL16" t="str">
        <f t="shared" si="0"/>
        <v>58</v>
      </c>
      <c r="BM16" t="s">
        <v>1099</v>
      </c>
      <c r="BN16" t="str">
        <f t="shared" si="2"/>
        <v>NO PAGADO</v>
      </c>
    </row>
    <row r="17" spans="3:66">
      <c r="C17" s="194"/>
      <c r="G17" s="195"/>
      <c r="K17" s="197"/>
      <c r="AU17" t="s">
        <v>893</v>
      </c>
      <c r="BD17" s="29"/>
      <c r="BE17" t="s">
        <v>916</v>
      </c>
      <c r="BF17" t="s">
        <v>884</v>
      </c>
      <c r="BG17">
        <v>2205</v>
      </c>
      <c r="BI17">
        <v>50000</v>
      </c>
      <c r="BJ17">
        <f t="shared" si="4"/>
        <v>-50000</v>
      </c>
      <c r="BK17" t="str">
        <f t="shared" si="3"/>
        <v>NO PAGADO</v>
      </c>
      <c r="BL17" t="str">
        <f t="shared" si="0"/>
        <v>58</v>
      </c>
      <c r="BM17" t="s">
        <v>1099</v>
      </c>
      <c r="BN17" t="str">
        <f t="shared" si="2"/>
        <v>NO PAGADO</v>
      </c>
    </row>
    <row r="18" spans="3:66">
      <c r="C18" s="194"/>
      <c r="G18" s="195"/>
      <c r="K18" s="197"/>
      <c r="AU18" t="s">
        <v>894</v>
      </c>
      <c r="BD18">
        <v>57</v>
      </c>
      <c r="BE18" s="54">
        <v>0</v>
      </c>
      <c r="BF18" s="54" t="s">
        <v>885</v>
      </c>
      <c r="BG18" s="54">
        <v>2205</v>
      </c>
      <c r="BH18" s="54">
        <v>10000</v>
      </c>
      <c r="BI18" s="54"/>
      <c r="BJ18" s="54">
        <f t="shared" ref="BJ18:BJ28" si="5">BH18-BI18</f>
        <v>10000</v>
      </c>
      <c r="BK18" t="str">
        <f t="shared" si="3"/>
        <v>PAGADO</v>
      </c>
      <c r="BL18">
        <f t="shared" si="0"/>
        <v>0</v>
      </c>
      <c r="BM18" t="s">
        <v>1098</v>
      </c>
      <c r="BN18" t="str">
        <f t="shared" si="2"/>
        <v>PAGADO</v>
      </c>
    </row>
    <row r="19" spans="3:66" ht="14.25">
      <c r="C19" s="194"/>
      <c r="D19" s="204" t="s">
        <v>864</v>
      </c>
      <c r="E19" s="198"/>
      <c r="G19" s="195"/>
      <c r="K19" s="197"/>
      <c r="AU19" t="s">
        <v>895</v>
      </c>
      <c r="BD19">
        <v>57</v>
      </c>
      <c r="BE19" s="54">
        <v>0</v>
      </c>
      <c r="BF19" s="54" t="s">
        <v>885</v>
      </c>
      <c r="BG19" s="54">
        <v>1105</v>
      </c>
      <c r="BH19" s="54"/>
      <c r="BI19" s="54">
        <v>10000</v>
      </c>
      <c r="BJ19" s="54">
        <f t="shared" si="5"/>
        <v>-10000</v>
      </c>
      <c r="BK19" t="str">
        <f t="shared" si="3"/>
        <v>PAGADO</v>
      </c>
      <c r="BL19">
        <f t="shared" si="0"/>
        <v>0</v>
      </c>
      <c r="BM19" t="s">
        <v>1098</v>
      </c>
      <c r="BN19" t="str">
        <f t="shared" si="2"/>
        <v>PAGADO</v>
      </c>
    </row>
    <row r="20" spans="3:66" ht="13.5" thickBot="1">
      <c r="C20" s="194"/>
      <c r="G20" s="195"/>
      <c r="K20" s="197"/>
      <c r="AG20" t="s">
        <v>1082</v>
      </c>
      <c r="AU20" t="s">
        <v>896</v>
      </c>
      <c r="BE20" t="s">
        <v>914</v>
      </c>
      <c r="BF20" t="s">
        <v>885</v>
      </c>
      <c r="BG20">
        <v>5107</v>
      </c>
      <c r="BH20">
        <v>85000</v>
      </c>
      <c r="BJ20">
        <f t="shared" si="5"/>
        <v>85000</v>
      </c>
      <c r="BK20" t="str">
        <f t="shared" si="3"/>
        <v>PAGADO</v>
      </c>
      <c r="BL20" t="str">
        <f t="shared" si="0"/>
        <v>58</v>
      </c>
      <c r="BM20" t="s">
        <v>1098</v>
      </c>
      <c r="BN20" t="str">
        <f t="shared" si="2"/>
        <v>PAGADO</v>
      </c>
    </row>
    <row r="21" spans="3:66" ht="22.5" thickBot="1">
      <c r="C21" s="194"/>
      <c r="D21" s="182" t="s">
        <v>872</v>
      </c>
      <c r="E21" s="182" t="s">
        <v>1077</v>
      </c>
      <c r="F21" s="182" t="s">
        <v>873</v>
      </c>
      <c r="G21" s="182" t="s">
        <v>874</v>
      </c>
      <c r="H21" s="182" t="s">
        <v>851</v>
      </c>
      <c r="I21" s="209" t="s">
        <v>1079</v>
      </c>
      <c r="J21" s="182" t="s">
        <v>1119</v>
      </c>
      <c r="K21" s="197"/>
      <c r="L21" s="51"/>
      <c r="M21" s="51"/>
      <c r="N21" s="203" t="s">
        <v>1094</v>
      </c>
      <c r="O21" s="203" t="s">
        <v>1095</v>
      </c>
      <c r="P21" s="203" t="s">
        <v>1096</v>
      </c>
      <c r="Q21" s="203" t="s">
        <v>1097</v>
      </c>
      <c r="R21" s="203" t="s">
        <v>1100</v>
      </c>
      <c r="S21" s="203" t="s">
        <v>1102</v>
      </c>
      <c r="T21" s="203" t="s">
        <v>1101</v>
      </c>
      <c r="U21" s="203" t="s">
        <v>874</v>
      </c>
      <c r="V21" s="51"/>
      <c r="W21" s="51"/>
      <c r="X21" s="51"/>
      <c r="Y21" s="51"/>
      <c r="Z21" s="51"/>
      <c r="AA21" s="55" t="s">
        <v>879</v>
      </c>
      <c r="AB21" s="56" t="s">
        <v>888</v>
      </c>
      <c r="AC21" s="56" t="s">
        <v>1080</v>
      </c>
      <c r="AD21" s="56" t="s">
        <v>1081</v>
      </c>
      <c r="AE21" s="56" t="s">
        <v>1086</v>
      </c>
      <c r="AF21" s="201"/>
      <c r="AG21" s="56" t="s">
        <v>1080</v>
      </c>
      <c r="AH21" s="56" t="s">
        <v>1093</v>
      </c>
      <c r="AI21" s="56" t="s">
        <v>770</v>
      </c>
      <c r="AJ21" s="56" t="s">
        <v>1083</v>
      </c>
      <c r="AK21" s="56" t="s">
        <v>1085</v>
      </c>
      <c r="AL21" s="201"/>
      <c r="AM21" s="201"/>
      <c r="AN21" s="201"/>
      <c r="AQ21" s="203" t="s">
        <v>1315</v>
      </c>
      <c r="AR21" s="203" t="s">
        <v>1316</v>
      </c>
      <c r="AU21" t="s">
        <v>897</v>
      </c>
      <c r="AV21" s="51"/>
      <c r="AW21" s="51"/>
      <c r="AX21" s="51"/>
      <c r="AY21" s="51"/>
      <c r="AZ21" s="51"/>
      <c r="BA21" s="51"/>
      <c r="BB21" s="51"/>
      <c r="BE21" t="s">
        <v>915</v>
      </c>
      <c r="BF21" t="s">
        <v>885</v>
      </c>
      <c r="BG21">
        <v>2205</v>
      </c>
      <c r="BI21">
        <v>85000</v>
      </c>
      <c r="BJ21">
        <f t="shared" si="5"/>
        <v>-85000</v>
      </c>
      <c r="BK21" t="str">
        <f t="shared" si="3"/>
        <v>PAGADO</v>
      </c>
      <c r="BL21" t="str">
        <f t="shared" si="0"/>
        <v>58</v>
      </c>
      <c r="BM21" t="s">
        <v>1098</v>
      </c>
      <c r="BN21" t="str">
        <f t="shared" si="2"/>
        <v>PAGADO</v>
      </c>
    </row>
    <row r="22" spans="3:66">
      <c r="C22" s="194"/>
      <c r="D22" s="206" t="e" cm="1" vm="2">
        <f t="array" ref="D22">_xlfn._xlws.FILTER(N22:N142,AQ22:AQ142="NO PAGADO")</f>
        <v>#VALUE!</v>
      </c>
      <c r="E22" s="142" t="e" cm="1" vm="2">
        <f t="array" ref="E22">_xlfn._xlws.FILTER(R22:R142,AQ22:AQ142="NO PAGADO")</f>
        <v>#VALUE!</v>
      </c>
      <c r="F22" s="183" t="e" cm="1" vm="2">
        <f t="array" ref="F22">_xlfn._xlws.FILTER(T22:T142,AQ22:AQ142="NO PAGADO")</f>
        <v>#VALUE!</v>
      </c>
      <c r="G22" s="183" t="e" cm="1" vm="2">
        <f t="array" ref="G22">_xlfn._xlws.FILTER(U22:U142,AQ22:AQ142="NO PAGADO")</f>
        <v>#VALUE!</v>
      </c>
      <c r="H22" s="37" t="e" vm="1">
        <f t="shared" ref="H22:H53" si="6">F22-G22</f>
        <v>#VALUE!</v>
      </c>
      <c r="I22" s="37"/>
      <c r="J22" s="210">
        <f>IF(I22&lt;&gt;"",1,0)</f>
        <v>0</v>
      </c>
      <c r="K22" s="197"/>
      <c r="N22" s="33" cm="1">
        <f t="array" ref="N22:N24">_xlfn.UNIQUE(_xlfn._xlws.FILTER(Regcontabilizados[N° de factura/Pago],Regcontabilizados[ID Proveedor]='PAGO Compras'!$H$7))</f>
        <v>2</v>
      </c>
      <c r="O22" t="str">
        <f>_xlfn.XLOOKUP($H$7,BDPROV[ID-Proveedor],BDPROV[NIT/C.C.])&amp;$H$9&amp;N22&amp;"-"&amp;11</f>
        <v>F.C.2-11</v>
      </c>
      <c r="P22" t="str">
        <f>IF(N22&lt;&gt;"",IFERROR(LEFT(O22,SEARCH("-",O22)-1),0),"")</f>
        <v>F.C.2</v>
      </c>
      <c r="Q22" t="str">
        <f>IF(N22="","",    _xlfn.XLOOKUP(P22,Regcontabilizados[Número pago],Regcontabilizados[Estado de pago],"NO PAGADO"))</f>
        <v>NO PAGADO</v>
      </c>
      <c r="R22" s="44">
        <f>_xlfn.XLOOKUP(O22,Regcontabilizados[Identificador],Regcontabilizados[Fecha vencimiento],0)</f>
        <v>0</v>
      </c>
      <c r="S22">
        <f>_xlfn.XLOOKUP(O22,Regcontabilizados[Identificador],Regcontabilizados[Subcuenta],0)</f>
        <v>0</v>
      </c>
      <c r="T22">
        <f>_xlfn.XLOOKUP(O22,Regcontabilizados[Identificador],Regcontabilizados[Haber],0)</f>
        <v>0</v>
      </c>
      <c r="U22">
        <f>SUMIF(Regcontabilizados[Número pago],'PAGO Compras'!P22,Regcontabilizados[Debe])</f>
        <v>0</v>
      </c>
      <c r="AA22" s="33" t="str">
        <f>IF(J22=0,"",  _xlfn.XLOOKUP(AB22,Regcontabilizados[Identificador],Regcontabilizados[Subcuenta],0))</f>
        <v/>
      </c>
      <c r="AB22" t="str">
        <f>IF(J22=0,"",  _xlfn.XLOOKUP($H$7,BDPROV[ID-Proveedor],BDPROV[NIT/C.C.],0)&amp;$H$9&amp;D22&amp;"-"&amp;11)</f>
        <v/>
      </c>
      <c r="AC22" t="str">
        <f>IF(J22=0,"",  IF(D22&lt;&gt;"",IFERROR(LEFT(AB22,SEARCH("-",AB22)-1),0),""))</f>
        <v/>
      </c>
      <c r="AD22" t="str">
        <f>IF(AND(AC22="",J22=0),"En Blanco","DATO")</f>
        <v>En Blanco</v>
      </c>
      <c r="AE22" t="str">
        <f>_xlfn.XLOOKUP($H$7,BDPROV[ID-Proveedor],BDPROV[NIT/C.C.],0)&amp;$H$13&amp;$E$7&amp;"-"&amp;ROW(Z22)-21</f>
        <v>Comp. Egreso-1</v>
      </c>
      <c r="AG22" s="207">
        <f>E7</f>
        <v>0</v>
      </c>
      <c r="AH22" s="207" t="str">
        <f>AE32</f>
        <v>Comp. Egreso-11</v>
      </c>
      <c r="AI22" s="207">
        <f>E11</f>
        <v>0</v>
      </c>
      <c r="AJ22" s="207"/>
      <c r="AK22" s="207" t="e" vm="1">
        <f>SUM(_xlfn.ANCHORARRAY(AJ23))</f>
        <v>#VALUE!</v>
      </c>
      <c r="AQ22" t="str">
        <f>IF((T22-U22)=0,"PAGADO","NO PAGADO")</f>
        <v>PAGADO</v>
      </c>
      <c r="AR22" cm="1">
        <f t="array" ref="AR22:AR23">_xlfn._xlws.FILTER(N22:N142,Q22:Q142="NO PAGADO")</f>
        <v>2</v>
      </c>
      <c r="BE22" t="s">
        <v>917</v>
      </c>
      <c r="BF22" t="s">
        <v>884</v>
      </c>
      <c r="BG22">
        <v>5105</v>
      </c>
      <c r="BH22">
        <v>50000</v>
      </c>
      <c r="BI22">
        <v>0</v>
      </c>
      <c r="BJ22">
        <f t="shared" si="5"/>
        <v>50000</v>
      </c>
      <c r="BK22" t="str">
        <f t="shared" si="3"/>
        <v>PAGADO</v>
      </c>
      <c r="BL22" t="str">
        <f t="shared" si="0"/>
        <v>59</v>
      </c>
      <c r="BM22" t="s">
        <v>1098</v>
      </c>
      <c r="BN22" t="str">
        <f t="shared" si="2"/>
        <v>PAGADO</v>
      </c>
    </row>
    <row r="23" spans="3:66">
      <c r="C23" s="194"/>
      <c r="D23" s="206"/>
      <c r="E23" s="142"/>
      <c r="F23" s="212"/>
      <c r="G23" s="212"/>
      <c r="H23" s="37">
        <f t="shared" si="6"/>
        <v>0</v>
      </c>
      <c r="I23" s="37"/>
      <c r="J23" s="210">
        <f t="shared" ref="J23:J86" si="7">IF(I23&lt;&gt;"",1,0)</f>
        <v>0</v>
      </c>
      <c r="K23" s="197"/>
      <c r="N23">
        <v>1</v>
      </c>
      <c r="O23" t="str">
        <f>_xlfn.XLOOKUP($H$7,BDPROV[ID-Proveedor],BDPROV[NIT/C.C.])&amp;$H$9&amp;N23&amp;"-"&amp;11</f>
        <v>F.C.1-11</v>
      </c>
      <c r="P23" t="str">
        <f>IF(N23&lt;&gt;"",IFERROR(LEFT(O23,SEARCH("-",O23)-1),0),"")</f>
        <v>F.C.1</v>
      </c>
      <c r="Q23" t="str">
        <f>IF(N23="","",    _xlfn.XLOOKUP(P23,Regcontabilizados[Número pago],Regcontabilizados[Estado de pago],"NO PAGADO"))</f>
        <v>NO PAGADO</v>
      </c>
      <c r="R23" s="44">
        <f>_xlfn.XLOOKUP(O23,Regcontabilizados[Identificador],Regcontabilizados[Fecha vencimiento],0)</f>
        <v>0</v>
      </c>
      <c r="S23">
        <f>_xlfn.XLOOKUP(O23,Regcontabilizados[Identificador],Regcontabilizados[Subcuenta],0)</f>
        <v>0</v>
      </c>
      <c r="T23">
        <f>_xlfn.XLOOKUP(O23,Regcontabilizados[Identificador],Regcontabilizados[Haber],0)</f>
        <v>0</v>
      </c>
      <c r="U23">
        <f>SUMIF(Regcontabilizados[Número pago],'PAGO Compras'!P23,Regcontabilizados[Debe])</f>
        <v>0</v>
      </c>
      <c r="AA23" s="33" t="str">
        <f>IF(J23=0,"",  _xlfn.XLOOKUP(AB23,Regcontabilizados[Identificador],Regcontabilizados[Subcuenta],0))</f>
        <v/>
      </c>
      <c r="AB23" t="str">
        <f>IF(J23=0,"",  _xlfn.XLOOKUP($H$7,BDPROV[ID-Proveedor],BDPROV[NIT/C.C.],0)&amp;$H$9&amp;D23&amp;"-"&amp;11)</f>
        <v/>
      </c>
      <c r="AC23" t="str">
        <f t="shared" ref="AC23:AC86" si="8">IF(J23=0,"",  IF(D23&lt;&gt;"",IFERROR(LEFT(AB23,SEARCH("-",AB23)-1),0),""))</f>
        <v/>
      </c>
      <c r="AD23" t="str">
        <f t="shared" ref="AD23:AD86" si="9">IF(AND(AC23="",J23=0),"En Blanco","DATO")</f>
        <v>En Blanco</v>
      </c>
      <c r="AE23" t="str">
        <f>_xlfn.XLOOKUP($H$7,BDPROV[ID-Proveedor],BDPROV[NIT/C.C.],0)&amp;$H$13&amp;$E$7&amp;"-"&amp;ROW(Z23)-21</f>
        <v>Comp. Egreso-2</v>
      </c>
      <c r="AG23" s="207" t="e" cm="1" vm="2">
        <f t="array" ref="AG23">_xlfn._xlws.FILTER(AC22:AC140,AD22:AD140=AG20)</f>
        <v>#VALUE!</v>
      </c>
      <c r="AH23" s="207" t="str">
        <f>AE22</f>
        <v>Comp. Egreso-1</v>
      </c>
      <c r="AI23" s="207" t="e" cm="1" vm="2">
        <f t="array" ref="AI23">_xlfn._xlws.FILTER(AA22:AA140,AD22:AD140=AG20)</f>
        <v>#VALUE!</v>
      </c>
      <c r="AJ23" s="207" t="e" cm="1" vm="2">
        <f t="array" ref="AJ23">_xlfn._xlws.FILTER(I22:I140,AD22:AD140=AG20)</f>
        <v>#VALUE!</v>
      </c>
      <c r="AK23" s="207"/>
      <c r="AQ23" t="str">
        <f t="shared" ref="AQ23:AQ86" si="10">IF((T23-U23)=0,"PAGADO","NO PAGADO")</f>
        <v>PAGADO</v>
      </c>
      <c r="AR23">
        <v>1</v>
      </c>
      <c r="AU23" t="s">
        <v>898</v>
      </c>
      <c r="BE23" t="s">
        <v>918</v>
      </c>
      <c r="BF23" t="s">
        <v>884</v>
      </c>
      <c r="BG23">
        <v>0</v>
      </c>
      <c r="BH23">
        <v>0</v>
      </c>
      <c r="BI23">
        <v>0</v>
      </c>
      <c r="BJ23">
        <f t="shared" si="5"/>
        <v>0</v>
      </c>
      <c r="BK23" t="str">
        <f t="shared" si="3"/>
        <v>PAGADO</v>
      </c>
      <c r="BL23" t="str">
        <f t="shared" si="0"/>
        <v>59</v>
      </c>
      <c r="BM23" t="s">
        <v>1098</v>
      </c>
      <c r="BN23" t="str">
        <f t="shared" si="2"/>
        <v>PAGADO</v>
      </c>
    </row>
    <row r="24" spans="3:66">
      <c r="C24" s="194"/>
      <c r="D24" s="206"/>
      <c r="E24" s="142"/>
      <c r="F24" s="183"/>
      <c r="G24" s="183"/>
      <c r="H24" s="37">
        <f t="shared" si="6"/>
        <v>0</v>
      </c>
      <c r="I24" s="37"/>
      <c r="J24" s="210">
        <f t="shared" si="7"/>
        <v>0</v>
      </c>
      <c r="K24" s="197"/>
      <c r="N24" t="str">
        <v/>
      </c>
      <c r="O24" t="str">
        <f>_xlfn.XLOOKUP($H$7,BDPROV[ID-Proveedor],BDPROV[NIT/C.C.])&amp;$H$9&amp;N24&amp;"-"&amp;11</f>
        <v>F.C.-11</v>
      </c>
      <c r="P24" t="str">
        <f>IF(N24&lt;&gt;"",IFERROR(LEFT(O24,SEARCH("-",O24)-1),0),"")</f>
        <v/>
      </c>
      <c r="Q24" t="str">
        <f>IF(N24="","",    _xlfn.XLOOKUP(P24,Regcontabilizados[Número pago],Regcontabilizados[Estado de pago],"NO PAGADO"))</f>
        <v/>
      </c>
      <c r="R24" s="44">
        <f>_xlfn.XLOOKUP(O24,Regcontabilizados[Identificador],Regcontabilizados[Fecha vencimiento],0)</f>
        <v>0</v>
      </c>
      <c r="S24">
        <f>_xlfn.XLOOKUP(O24,Regcontabilizados[Identificador],Regcontabilizados[Subcuenta],0)</f>
        <v>0</v>
      </c>
      <c r="T24">
        <f>_xlfn.XLOOKUP(O24,Regcontabilizados[Identificador],Regcontabilizados[Haber],0)</f>
        <v>0</v>
      </c>
      <c r="U24">
        <f>SUMIF(Regcontabilizados[Número pago],'PAGO Compras'!P24,Regcontabilizados[Debe])</f>
        <v>0</v>
      </c>
      <c r="AA24" s="33" t="str">
        <f>IF(J24=0,"",  _xlfn.XLOOKUP(AB24,Regcontabilizados[Identificador],Regcontabilizados[Subcuenta],0))</f>
        <v/>
      </c>
      <c r="AB24" t="str">
        <f>IF(J24=0,"",  _xlfn.XLOOKUP($H$7,BDPROV[ID-Proveedor],BDPROV[NIT/C.C.],0)&amp;$H$9&amp;D24&amp;"-"&amp;11)</f>
        <v/>
      </c>
      <c r="AC24" t="str">
        <f t="shared" si="8"/>
        <v/>
      </c>
      <c r="AD24" t="str">
        <f t="shared" si="9"/>
        <v>En Blanco</v>
      </c>
      <c r="AE24" t="str">
        <f>_xlfn.XLOOKUP($H$7,BDPROV[ID-Proveedor],BDPROV[NIT/C.C.],0)&amp;$H$13&amp;$E$7&amp;"-"&amp;ROW(Z24)-21</f>
        <v>Comp. Egreso-3</v>
      </c>
      <c r="AG24" s="207"/>
      <c r="AH24" s="207" t="str">
        <f t="shared" ref="AH24:AH32" si="11">AE23</f>
        <v>Comp. Egreso-2</v>
      </c>
      <c r="AI24" s="207"/>
      <c r="AJ24" s="207"/>
      <c r="AK24" s="207"/>
      <c r="AQ24" t="str">
        <f t="shared" si="10"/>
        <v>PAGADO</v>
      </c>
      <c r="AU24" t="s">
        <v>899</v>
      </c>
      <c r="BE24" t="s">
        <v>919</v>
      </c>
      <c r="BF24" t="s">
        <v>884</v>
      </c>
      <c r="BG24">
        <v>2205</v>
      </c>
      <c r="BI24">
        <v>50000</v>
      </c>
      <c r="BJ24">
        <f t="shared" si="5"/>
        <v>-50000</v>
      </c>
      <c r="BK24" t="str">
        <f t="shared" si="3"/>
        <v>PAGADO</v>
      </c>
      <c r="BL24" t="str">
        <f t="shared" si="0"/>
        <v>59</v>
      </c>
      <c r="BM24" t="s">
        <v>1098</v>
      </c>
      <c r="BN24" t="str">
        <f t="shared" si="2"/>
        <v>PAGADO</v>
      </c>
    </row>
    <row r="25" spans="3:66">
      <c r="C25" s="194"/>
      <c r="D25" s="206"/>
      <c r="E25" s="142"/>
      <c r="F25" s="183"/>
      <c r="G25" s="183"/>
      <c r="H25" s="37">
        <f t="shared" si="6"/>
        <v>0</v>
      </c>
      <c r="I25" s="37"/>
      <c r="J25" s="210">
        <f t="shared" si="7"/>
        <v>0</v>
      </c>
      <c r="K25" s="197"/>
      <c r="O25" t="str">
        <f>_xlfn.XLOOKUP($H$7,BDPROV[ID-Proveedor],BDPROV[NIT/C.C.])&amp;$H$9&amp;N25&amp;"-"&amp;11</f>
        <v>F.C.-11</v>
      </c>
      <c r="P25" t="str">
        <f t="shared" ref="P25:P88" si="12">IF(N25&lt;&gt;"",IFERROR(LEFT(O25,SEARCH("-",O25)-1),0),"")</f>
        <v/>
      </c>
      <c r="Q25" t="str">
        <f>IF(N25="","",    _xlfn.XLOOKUP(P25,Regcontabilizados[Número pago],Regcontabilizados[Estado de pago],"NO PAGADO"))</f>
        <v/>
      </c>
      <c r="R25" s="44">
        <f>_xlfn.XLOOKUP(O25,Regcontabilizados[Identificador],Regcontabilizados[Fecha vencimiento],0)</f>
        <v>0</v>
      </c>
      <c r="S25">
        <f>_xlfn.XLOOKUP(O25,Regcontabilizados[Identificador],Regcontabilizados[Subcuenta],0)</f>
        <v>0</v>
      </c>
      <c r="T25">
        <f>_xlfn.XLOOKUP(O25,Regcontabilizados[Identificador],Regcontabilizados[Haber],0)</f>
        <v>0</v>
      </c>
      <c r="U25">
        <f>SUMIF(Regcontabilizados[Número pago],'PAGO Compras'!P25,Regcontabilizados[Debe])</f>
        <v>0</v>
      </c>
      <c r="AA25" s="33" t="str">
        <f>IF(J25=0,"",  _xlfn.XLOOKUP(AB25,Regcontabilizados[Identificador],Regcontabilizados[Subcuenta],0))</f>
        <v/>
      </c>
      <c r="AB25" t="str">
        <f>IF(J25=0,"",  _xlfn.XLOOKUP($H$7,BDPROV[ID-Proveedor],BDPROV[NIT/C.C.],0)&amp;$H$9&amp;D25&amp;"-"&amp;11)</f>
        <v/>
      </c>
      <c r="AC25" t="str">
        <f t="shared" si="8"/>
        <v/>
      </c>
      <c r="AD25" t="str">
        <f t="shared" si="9"/>
        <v>En Blanco</v>
      </c>
      <c r="AE25" t="str">
        <f>_xlfn.XLOOKUP($H$7,BDPROV[ID-Proveedor],BDPROV[NIT/C.C.],0)&amp;$H$13&amp;$E$7&amp;"-"&amp;ROW(Z25)-21</f>
        <v>Comp. Egreso-4</v>
      </c>
      <c r="AG25" s="207"/>
      <c r="AH25" s="207" t="str">
        <f t="shared" si="11"/>
        <v>Comp. Egreso-3</v>
      </c>
      <c r="AI25" s="207"/>
      <c r="AJ25" s="207"/>
      <c r="AK25" s="207"/>
      <c r="AQ25" t="str">
        <f t="shared" si="10"/>
        <v>PAGADO</v>
      </c>
      <c r="AU25" t="s">
        <v>900</v>
      </c>
      <c r="BD25">
        <v>58</v>
      </c>
      <c r="BE25" s="54">
        <v>0</v>
      </c>
      <c r="BF25" s="54" t="s">
        <v>885</v>
      </c>
      <c r="BG25" s="54">
        <v>2205</v>
      </c>
      <c r="BH25" s="54">
        <v>85000</v>
      </c>
      <c r="BI25" s="54"/>
      <c r="BJ25" s="54">
        <f t="shared" ref="BJ25:BJ26" si="13">BH25-BI25</f>
        <v>85000</v>
      </c>
      <c r="BK25" t="str">
        <f t="shared" si="3"/>
        <v>PAGADO</v>
      </c>
      <c r="BL25">
        <f t="shared" si="0"/>
        <v>0</v>
      </c>
      <c r="BM25" t="s">
        <v>1098</v>
      </c>
      <c r="BN25" t="str">
        <f t="shared" si="2"/>
        <v>PAGADO</v>
      </c>
    </row>
    <row r="26" spans="3:66">
      <c r="C26" s="194"/>
      <c r="D26" s="206"/>
      <c r="E26" s="142"/>
      <c r="F26" s="183"/>
      <c r="G26" s="183"/>
      <c r="H26" s="37">
        <f t="shared" si="6"/>
        <v>0</v>
      </c>
      <c r="I26" s="37"/>
      <c r="J26" s="210">
        <f t="shared" si="7"/>
        <v>0</v>
      </c>
      <c r="K26" s="197"/>
      <c r="O26" t="str">
        <f>_xlfn.XLOOKUP($H$7,BDPROV[ID-Proveedor],BDPROV[NIT/C.C.])&amp;$H$9&amp;N26&amp;"-"&amp;11</f>
        <v>F.C.-11</v>
      </c>
      <c r="P26" t="str">
        <f t="shared" si="12"/>
        <v/>
      </c>
      <c r="Q26" t="str">
        <f>IF(N26="","",    _xlfn.XLOOKUP(P26,Regcontabilizados[Número pago],Regcontabilizados[Estado de pago],"NO PAGADO"))</f>
        <v/>
      </c>
      <c r="R26" s="44">
        <f>_xlfn.XLOOKUP(O26,Regcontabilizados[Identificador],Regcontabilizados[Fecha vencimiento],0)</f>
        <v>0</v>
      </c>
      <c r="S26">
        <f>_xlfn.XLOOKUP(O26,Regcontabilizados[Identificador],Regcontabilizados[Subcuenta],0)</f>
        <v>0</v>
      </c>
      <c r="T26">
        <f>_xlfn.XLOOKUP(O26,Regcontabilizados[Identificador],Regcontabilizados[Haber],0)</f>
        <v>0</v>
      </c>
      <c r="U26">
        <f>SUMIF(Regcontabilizados[Número pago],'PAGO Compras'!P26,Regcontabilizados[Debe])</f>
        <v>0</v>
      </c>
      <c r="AA26" s="33" t="str">
        <f>IF(J26=0,"",  _xlfn.XLOOKUP(AB26,Regcontabilizados[Identificador],Regcontabilizados[Subcuenta],0))</f>
        <v/>
      </c>
      <c r="AB26" t="str">
        <f>IF(J26=0,"",  _xlfn.XLOOKUP($H$7,BDPROV[ID-Proveedor],BDPROV[NIT/C.C.],0)&amp;$H$9&amp;D26&amp;"-"&amp;11)</f>
        <v/>
      </c>
      <c r="AC26" t="str">
        <f t="shared" si="8"/>
        <v/>
      </c>
      <c r="AD26" t="str">
        <f t="shared" si="9"/>
        <v>En Blanco</v>
      </c>
      <c r="AE26" t="str">
        <f>_xlfn.XLOOKUP($H$7,BDPROV[ID-Proveedor],BDPROV[NIT/C.C.],0)&amp;$H$13&amp;$E$7&amp;"-"&amp;ROW(Z26)-21</f>
        <v>Comp. Egreso-5</v>
      </c>
      <c r="AG26" s="207"/>
      <c r="AH26" s="207" t="str">
        <f t="shared" si="11"/>
        <v>Comp. Egreso-4</v>
      </c>
      <c r="AI26" s="207"/>
      <c r="AJ26" s="207"/>
      <c r="AK26" s="207"/>
      <c r="AQ26" t="str">
        <f t="shared" si="10"/>
        <v>PAGADO</v>
      </c>
      <c r="BD26">
        <v>58</v>
      </c>
      <c r="BE26" s="54">
        <v>0</v>
      </c>
      <c r="BF26" s="54" t="s">
        <v>885</v>
      </c>
      <c r="BG26" s="54">
        <v>1105</v>
      </c>
      <c r="BH26" s="54"/>
      <c r="BI26" s="54">
        <v>85000</v>
      </c>
      <c r="BJ26" s="54">
        <f t="shared" si="13"/>
        <v>-85000</v>
      </c>
      <c r="BK26" t="str">
        <f t="shared" si="3"/>
        <v>PAGADO</v>
      </c>
      <c r="BL26">
        <f t="shared" si="0"/>
        <v>0</v>
      </c>
      <c r="BM26" t="s">
        <v>1098</v>
      </c>
      <c r="BN26" t="str">
        <f t="shared" si="2"/>
        <v>PAGADO</v>
      </c>
    </row>
    <row r="27" spans="3:66">
      <c r="C27" s="194"/>
      <c r="D27" s="206"/>
      <c r="E27" s="142"/>
      <c r="F27" s="183"/>
      <c r="G27" s="183"/>
      <c r="H27" s="37">
        <f t="shared" si="6"/>
        <v>0</v>
      </c>
      <c r="I27" s="37"/>
      <c r="J27" s="210">
        <f t="shared" si="7"/>
        <v>0</v>
      </c>
      <c r="K27" s="197"/>
      <c r="O27" t="str">
        <f>_xlfn.XLOOKUP($H$7,BDPROV[ID-Proveedor],BDPROV[NIT/C.C.])&amp;$H$9&amp;N27&amp;"-"&amp;11</f>
        <v>F.C.-11</v>
      </c>
      <c r="P27" t="str">
        <f t="shared" si="12"/>
        <v/>
      </c>
      <c r="Q27" t="str">
        <f>IF(N27="","",    _xlfn.XLOOKUP(P27,Regcontabilizados[Número pago],Regcontabilizados[Estado de pago],"NO PAGADO"))</f>
        <v/>
      </c>
      <c r="R27" s="44">
        <f>_xlfn.XLOOKUP(O27,Regcontabilizados[Identificador],Regcontabilizados[Fecha vencimiento],0)</f>
        <v>0</v>
      </c>
      <c r="S27">
        <f>_xlfn.XLOOKUP(O27,Regcontabilizados[Identificador],Regcontabilizados[Subcuenta],0)</f>
        <v>0</v>
      </c>
      <c r="T27">
        <f>_xlfn.XLOOKUP(O27,Regcontabilizados[Identificador],Regcontabilizados[Haber],0)</f>
        <v>0</v>
      </c>
      <c r="U27">
        <f>SUMIF(Regcontabilizados[Número pago],'PAGO Compras'!P27,Regcontabilizados[Debe])</f>
        <v>0</v>
      </c>
      <c r="AA27" s="33" t="str">
        <f>IF(J27=0,"",  _xlfn.XLOOKUP(AB27,Regcontabilizados[Identificador],Regcontabilizados[Subcuenta],0))</f>
        <v/>
      </c>
      <c r="AB27" t="str">
        <f>IF(J27=0,"",  _xlfn.XLOOKUP($H$7,BDPROV[ID-Proveedor],BDPROV[NIT/C.C.],0)&amp;$H$9&amp;D27&amp;"-"&amp;11)</f>
        <v/>
      </c>
      <c r="AC27" t="str">
        <f t="shared" si="8"/>
        <v/>
      </c>
      <c r="AD27" t="str">
        <f t="shared" si="9"/>
        <v>En Blanco</v>
      </c>
      <c r="AE27" t="str">
        <f>_xlfn.XLOOKUP($H$7,BDPROV[ID-Proveedor],BDPROV[NIT/C.C.],0)&amp;$H$13&amp;$E$7&amp;"-"&amp;ROW(Z27)-21</f>
        <v>Comp. Egreso-6</v>
      </c>
      <c r="AG27" s="207"/>
      <c r="AH27" s="207" t="str">
        <f t="shared" si="11"/>
        <v>Comp. Egreso-5</v>
      </c>
      <c r="AI27" s="207"/>
      <c r="AJ27" s="207"/>
      <c r="AK27" s="207"/>
      <c r="AQ27" t="str">
        <f t="shared" si="10"/>
        <v>PAGADO</v>
      </c>
      <c r="BD27">
        <v>59</v>
      </c>
      <c r="BE27" s="54">
        <v>0</v>
      </c>
      <c r="BF27" t="s">
        <v>884</v>
      </c>
      <c r="BG27" s="54">
        <v>2205</v>
      </c>
      <c r="BH27" s="54">
        <v>50000</v>
      </c>
      <c r="BI27" s="54"/>
      <c r="BJ27">
        <f t="shared" si="5"/>
        <v>50000</v>
      </c>
      <c r="BK27" t="str">
        <f t="shared" si="3"/>
        <v>PAGADO</v>
      </c>
      <c r="BL27">
        <f t="shared" si="0"/>
        <v>0</v>
      </c>
      <c r="BM27" t="s">
        <v>1098</v>
      </c>
      <c r="BN27" t="str">
        <f t="shared" si="2"/>
        <v>PAGADO</v>
      </c>
    </row>
    <row r="28" spans="3:66">
      <c r="C28" s="194"/>
      <c r="D28" s="206"/>
      <c r="E28" s="142"/>
      <c r="F28" s="183"/>
      <c r="G28" s="183"/>
      <c r="H28" s="37">
        <f t="shared" si="6"/>
        <v>0</v>
      </c>
      <c r="I28" s="37"/>
      <c r="J28" s="210">
        <f t="shared" si="7"/>
        <v>0</v>
      </c>
      <c r="K28" s="197"/>
      <c r="O28" t="str">
        <f>_xlfn.XLOOKUP($H$7,BDPROV[ID-Proveedor],BDPROV[NIT/C.C.])&amp;$H$9&amp;N28&amp;"-"&amp;11</f>
        <v>F.C.-11</v>
      </c>
      <c r="P28" t="str">
        <f t="shared" si="12"/>
        <v/>
      </c>
      <c r="Q28" t="str">
        <f>IF(N28="","",    _xlfn.XLOOKUP(P28,Regcontabilizados[Número pago],Regcontabilizados[Estado de pago],"NO PAGADO"))</f>
        <v/>
      </c>
      <c r="R28" s="44">
        <f>_xlfn.XLOOKUP(O28,Regcontabilizados[Identificador],Regcontabilizados[Fecha vencimiento],0)</f>
        <v>0</v>
      </c>
      <c r="S28">
        <f>_xlfn.XLOOKUP(O28,Regcontabilizados[Identificador],Regcontabilizados[Subcuenta],0)</f>
        <v>0</v>
      </c>
      <c r="T28">
        <f>_xlfn.XLOOKUP(O28,Regcontabilizados[Identificador],Regcontabilizados[Haber],0)</f>
        <v>0</v>
      </c>
      <c r="U28">
        <f>SUMIF(Regcontabilizados[Número pago],'PAGO Compras'!P28,Regcontabilizados[Debe])</f>
        <v>0</v>
      </c>
      <c r="AA28" s="33" t="str">
        <f>IF(J28=0,"",  _xlfn.XLOOKUP(AB28,Regcontabilizados[Identificador],Regcontabilizados[Subcuenta],0))</f>
        <v/>
      </c>
      <c r="AB28" t="str">
        <f>IF(J28=0,"",  _xlfn.XLOOKUP($H$7,BDPROV[ID-Proveedor],BDPROV[NIT/C.C.],0)&amp;$H$9&amp;D28&amp;"-"&amp;11)</f>
        <v/>
      </c>
      <c r="AC28" t="str">
        <f t="shared" si="8"/>
        <v/>
      </c>
      <c r="AD28" t="str">
        <f t="shared" si="9"/>
        <v>En Blanco</v>
      </c>
      <c r="AE28" t="str">
        <f>_xlfn.XLOOKUP($H$7,BDPROV[ID-Proveedor],BDPROV[NIT/C.C.],0)&amp;$H$13&amp;$E$7&amp;"-"&amp;ROW(Z28)-21</f>
        <v>Comp. Egreso-7</v>
      </c>
      <c r="AG28" s="207"/>
      <c r="AH28" s="207" t="str">
        <f t="shared" si="11"/>
        <v>Comp. Egreso-6</v>
      </c>
      <c r="AI28" s="207"/>
      <c r="AJ28" s="207"/>
      <c r="AK28" s="207"/>
      <c r="AQ28" t="str">
        <f t="shared" si="10"/>
        <v>PAGADO</v>
      </c>
      <c r="BD28">
        <v>59</v>
      </c>
      <c r="BE28" s="54">
        <v>0</v>
      </c>
      <c r="BF28" t="s">
        <v>884</v>
      </c>
      <c r="BG28" s="54">
        <v>1105</v>
      </c>
      <c r="BH28" s="54"/>
      <c r="BI28" s="54">
        <v>50000</v>
      </c>
      <c r="BJ28">
        <f t="shared" si="5"/>
        <v>-50000</v>
      </c>
      <c r="BK28" t="str">
        <f t="shared" si="3"/>
        <v>PAGADO</v>
      </c>
      <c r="BL28">
        <f t="shared" si="0"/>
        <v>0</v>
      </c>
      <c r="BM28" t="s">
        <v>1098</v>
      </c>
      <c r="BN28" t="str">
        <f t="shared" si="2"/>
        <v>PAGADO</v>
      </c>
    </row>
    <row r="29" spans="3:66">
      <c r="C29" s="194"/>
      <c r="D29" s="206"/>
      <c r="E29" s="142"/>
      <c r="F29" s="183"/>
      <c r="G29" s="183"/>
      <c r="H29" s="37">
        <f t="shared" si="6"/>
        <v>0</v>
      </c>
      <c r="I29" s="37"/>
      <c r="J29" s="210">
        <f t="shared" si="7"/>
        <v>0</v>
      </c>
      <c r="K29" s="197"/>
      <c r="O29" t="str">
        <f>_xlfn.XLOOKUP($H$7,BDPROV[ID-Proveedor],BDPROV[NIT/C.C.])&amp;$H$9&amp;N29&amp;"-"&amp;11</f>
        <v>F.C.-11</v>
      </c>
      <c r="P29" t="str">
        <f t="shared" si="12"/>
        <v/>
      </c>
      <c r="Q29" t="str">
        <f>IF(N29="","",    _xlfn.XLOOKUP(P29,Regcontabilizados[Número pago],Regcontabilizados[Estado de pago],"NO PAGADO"))</f>
        <v/>
      </c>
      <c r="R29" s="44">
        <f>_xlfn.XLOOKUP(O29,Regcontabilizados[Identificador],Regcontabilizados[Fecha vencimiento],0)</f>
        <v>0</v>
      </c>
      <c r="S29">
        <f>_xlfn.XLOOKUP(O29,Regcontabilizados[Identificador],Regcontabilizados[Subcuenta],0)</f>
        <v>0</v>
      </c>
      <c r="T29">
        <f>_xlfn.XLOOKUP(O29,Regcontabilizados[Identificador],Regcontabilizados[Haber],0)</f>
        <v>0</v>
      </c>
      <c r="U29">
        <f>SUMIF(Regcontabilizados[Número pago],'PAGO Compras'!P29,Regcontabilizados[Debe])</f>
        <v>0</v>
      </c>
      <c r="AA29" s="33" t="str">
        <f>IF(J29=0,"",  _xlfn.XLOOKUP(AB29,Regcontabilizados[Identificador],Regcontabilizados[Subcuenta],0))</f>
        <v/>
      </c>
      <c r="AB29" t="str">
        <f>IF(J29=0,"",  _xlfn.XLOOKUP($H$7,BDPROV[ID-Proveedor],BDPROV[NIT/C.C.],0)&amp;$H$9&amp;D29&amp;"-"&amp;11)</f>
        <v/>
      </c>
      <c r="AC29" t="str">
        <f t="shared" si="8"/>
        <v/>
      </c>
      <c r="AD29" t="str">
        <f t="shared" si="9"/>
        <v>En Blanco</v>
      </c>
      <c r="AE29" t="str">
        <f>_xlfn.XLOOKUP($H$7,BDPROV[ID-Proveedor],BDPROV[NIT/C.C.],0)&amp;$H$13&amp;$E$7&amp;"-"&amp;ROW(Z29)-21</f>
        <v>Comp. Egreso-8</v>
      </c>
      <c r="AG29" s="207"/>
      <c r="AH29" s="207" t="str">
        <f t="shared" si="11"/>
        <v>Comp. Egreso-7</v>
      </c>
      <c r="AI29" s="207"/>
      <c r="AJ29" s="207"/>
      <c r="AK29" s="207"/>
      <c r="AQ29" t="str">
        <f t="shared" si="10"/>
        <v>PAGADO</v>
      </c>
    </row>
    <row r="30" spans="3:66">
      <c r="C30" s="194"/>
      <c r="D30" s="206"/>
      <c r="E30" s="142"/>
      <c r="F30" s="183"/>
      <c r="G30" s="183"/>
      <c r="H30" s="37">
        <f t="shared" si="6"/>
        <v>0</v>
      </c>
      <c r="I30" s="37"/>
      <c r="J30" s="210">
        <f t="shared" si="7"/>
        <v>0</v>
      </c>
      <c r="K30" s="197"/>
      <c r="O30" t="str">
        <f>_xlfn.XLOOKUP($H$7,BDPROV[ID-Proveedor],BDPROV[NIT/C.C.])&amp;$H$9&amp;N30&amp;"-"&amp;11</f>
        <v>F.C.-11</v>
      </c>
      <c r="P30" t="str">
        <f t="shared" si="12"/>
        <v/>
      </c>
      <c r="Q30" t="str">
        <f>IF(N30="","",    _xlfn.XLOOKUP(P30,Regcontabilizados[Número pago],Regcontabilizados[Estado de pago],"NO PAGADO"))</f>
        <v/>
      </c>
      <c r="R30" s="44">
        <f>_xlfn.XLOOKUP(O30,Regcontabilizados[Identificador],Regcontabilizados[Fecha vencimiento],0)</f>
        <v>0</v>
      </c>
      <c r="S30">
        <f>_xlfn.XLOOKUP(O30,Regcontabilizados[Identificador],Regcontabilizados[Subcuenta],0)</f>
        <v>0</v>
      </c>
      <c r="T30">
        <f>_xlfn.XLOOKUP(O30,Regcontabilizados[Identificador],Regcontabilizados[Haber],0)</f>
        <v>0</v>
      </c>
      <c r="U30">
        <f>SUMIF(Regcontabilizados[Número pago],'PAGO Compras'!P30,Regcontabilizados[Debe])</f>
        <v>0</v>
      </c>
      <c r="AA30" s="33" t="str">
        <f>IF(J30=0,"",  _xlfn.XLOOKUP(AB30,Regcontabilizados[Identificador],Regcontabilizados[Subcuenta],0))</f>
        <v/>
      </c>
      <c r="AB30" t="str">
        <f>IF(J30=0,"",  _xlfn.XLOOKUP($H$7,BDPROV[ID-Proveedor],BDPROV[NIT/C.C.],0)&amp;$H$9&amp;D30&amp;"-"&amp;11)</f>
        <v/>
      </c>
      <c r="AC30" t="str">
        <f t="shared" si="8"/>
        <v/>
      </c>
      <c r="AD30" t="str">
        <f t="shared" si="9"/>
        <v>En Blanco</v>
      </c>
      <c r="AE30" t="str">
        <f>_xlfn.XLOOKUP($H$7,BDPROV[ID-Proveedor],BDPROV[NIT/C.C.],0)&amp;$H$13&amp;$E$7&amp;"-"&amp;ROW(Z30)-21</f>
        <v>Comp. Egreso-9</v>
      </c>
      <c r="AG30" s="207"/>
      <c r="AH30" s="207" t="str">
        <f t="shared" si="11"/>
        <v>Comp. Egreso-8</v>
      </c>
      <c r="AI30" s="207"/>
      <c r="AJ30" s="207"/>
      <c r="AK30" s="207"/>
      <c r="AQ30" t="str">
        <f t="shared" si="10"/>
        <v>PAGADO</v>
      </c>
    </row>
    <row r="31" spans="3:66">
      <c r="C31" s="194"/>
      <c r="D31" s="206"/>
      <c r="E31" s="142"/>
      <c r="F31" s="183"/>
      <c r="G31" s="183"/>
      <c r="H31" s="37">
        <f t="shared" si="6"/>
        <v>0</v>
      </c>
      <c r="I31" s="37"/>
      <c r="J31" s="210">
        <f t="shared" si="7"/>
        <v>0</v>
      </c>
      <c r="K31" s="197"/>
      <c r="O31" t="str">
        <f>_xlfn.XLOOKUP($H$7,BDPROV[ID-Proveedor],BDPROV[NIT/C.C.])&amp;$H$9&amp;N31&amp;"-"&amp;11</f>
        <v>F.C.-11</v>
      </c>
      <c r="P31" t="str">
        <f t="shared" si="12"/>
        <v/>
      </c>
      <c r="Q31" t="str">
        <f>IF(N31="","",    _xlfn.XLOOKUP(P31,Regcontabilizados[Número pago],Regcontabilizados[Estado de pago],"NO PAGADO"))</f>
        <v/>
      </c>
      <c r="R31" s="44">
        <f>_xlfn.XLOOKUP(O31,Regcontabilizados[Identificador],Regcontabilizados[Fecha vencimiento],0)</f>
        <v>0</v>
      </c>
      <c r="S31">
        <f>_xlfn.XLOOKUP(O31,Regcontabilizados[Identificador],Regcontabilizados[Subcuenta],0)</f>
        <v>0</v>
      </c>
      <c r="T31">
        <f>_xlfn.XLOOKUP(O31,Regcontabilizados[Identificador],Regcontabilizados[Haber],0)</f>
        <v>0</v>
      </c>
      <c r="U31">
        <f>SUMIF(Regcontabilizados[Número pago],'PAGO Compras'!P31,Regcontabilizados[Debe])</f>
        <v>0</v>
      </c>
      <c r="AA31" s="33" t="str">
        <f>IF(J31=0,"",  _xlfn.XLOOKUP(AB31,Regcontabilizados[Identificador],Regcontabilizados[Subcuenta],0))</f>
        <v/>
      </c>
      <c r="AB31" t="str">
        <f>IF(J31=0,"",  _xlfn.XLOOKUP($H$7,BDPROV[ID-Proveedor],BDPROV[NIT/C.C.],0)&amp;$H$9&amp;D31&amp;"-"&amp;11)</f>
        <v/>
      </c>
      <c r="AC31" t="str">
        <f t="shared" si="8"/>
        <v/>
      </c>
      <c r="AD31" t="str">
        <f t="shared" si="9"/>
        <v>En Blanco</v>
      </c>
      <c r="AE31" t="str">
        <f>_xlfn.XLOOKUP($H$7,BDPROV[ID-Proveedor],BDPROV[NIT/C.C.],0)&amp;$H$13&amp;$E$7&amp;"-"&amp;ROW(Z31)-21</f>
        <v>Comp. Egreso-10</v>
      </c>
      <c r="AG31" s="207"/>
      <c r="AH31" s="207" t="str">
        <f t="shared" si="11"/>
        <v>Comp. Egreso-9</v>
      </c>
      <c r="AI31" s="207"/>
      <c r="AJ31" s="207"/>
      <c r="AK31" s="207"/>
      <c r="AQ31" t="str">
        <f t="shared" si="10"/>
        <v>PAGADO</v>
      </c>
    </row>
    <row r="32" spans="3:66">
      <c r="C32" s="194"/>
      <c r="D32" s="206"/>
      <c r="E32" s="142"/>
      <c r="F32" s="195"/>
      <c r="G32" s="183"/>
      <c r="H32" s="37">
        <f t="shared" si="6"/>
        <v>0</v>
      </c>
      <c r="I32" s="37"/>
      <c r="J32" s="210">
        <f t="shared" si="7"/>
        <v>0</v>
      </c>
      <c r="K32" s="197"/>
      <c r="O32" t="str">
        <f>_xlfn.XLOOKUP($H$7,BDPROV[ID-Proveedor],BDPROV[NIT/C.C.])&amp;$H$9&amp;N32&amp;"-"&amp;11</f>
        <v>F.C.-11</v>
      </c>
      <c r="P32" t="str">
        <f t="shared" si="12"/>
        <v/>
      </c>
      <c r="Q32" t="str">
        <f>IF(N32="","",    _xlfn.XLOOKUP(P32,Regcontabilizados[Número pago],Regcontabilizados[Estado de pago],"NO PAGADO"))</f>
        <v/>
      </c>
      <c r="R32" s="44">
        <f>_xlfn.XLOOKUP(O32,Regcontabilizados[Identificador],Regcontabilizados[Fecha vencimiento],0)</f>
        <v>0</v>
      </c>
      <c r="S32">
        <f>_xlfn.XLOOKUP(O32,Regcontabilizados[Identificador],Regcontabilizados[Subcuenta],0)</f>
        <v>0</v>
      </c>
      <c r="T32">
        <f>_xlfn.XLOOKUP(O32,Regcontabilizados[Identificador],Regcontabilizados[Haber],0)</f>
        <v>0</v>
      </c>
      <c r="U32">
        <f>SUMIF(Regcontabilizados[Número pago],'PAGO Compras'!P32,Regcontabilizados[Debe])</f>
        <v>0</v>
      </c>
      <c r="AA32" s="33" t="str">
        <f>IF(J32=0,"",  _xlfn.XLOOKUP(AB32,Regcontabilizados[Identificador],Regcontabilizados[Subcuenta],0))</f>
        <v/>
      </c>
      <c r="AB32" t="str">
        <f>IF(J32=0,"",  _xlfn.XLOOKUP($H$7,BDPROV[ID-Proveedor],BDPROV[NIT/C.C.],0)&amp;$H$9&amp;D32&amp;"-"&amp;11)</f>
        <v/>
      </c>
      <c r="AC32" t="str">
        <f t="shared" si="8"/>
        <v/>
      </c>
      <c r="AD32" t="str">
        <f t="shared" si="9"/>
        <v>En Blanco</v>
      </c>
      <c r="AE32" t="str">
        <f>_xlfn.XLOOKUP($H$7,BDPROV[ID-Proveedor],BDPROV[NIT/C.C.],0)&amp;$H$13&amp;$E$7&amp;"-"&amp;ROW(Z32)-21</f>
        <v>Comp. Egreso-11</v>
      </c>
      <c r="AG32" s="207"/>
      <c r="AH32" s="207" t="str">
        <f t="shared" si="11"/>
        <v>Comp. Egreso-10</v>
      </c>
      <c r="AI32" s="207"/>
      <c r="AJ32" s="207"/>
      <c r="AK32" s="207"/>
      <c r="AQ32" t="str">
        <f t="shared" si="10"/>
        <v>PAGADO</v>
      </c>
    </row>
    <row r="33" spans="3:43">
      <c r="C33" s="194"/>
      <c r="D33" s="206"/>
      <c r="E33" s="142"/>
      <c r="F33" s="195"/>
      <c r="G33" s="183"/>
      <c r="H33" s="37">
        <f t="shared" si="6"/>
        <v>0</v>
      </c>
      <c r="I33" s="37"/>
      <c r="J33" s="210">
        <f t="shared" si="7"/>
        <v>0</v>
      </c>
      <c r="K33" s="197"/>
      <c r="O33" t="str">
        <f>_xlfn.XLOOKUP($H$7,BDPROV[ID-Proveedor],BDPROV[NIT/C.C.])&amp;$H$9&amp;N33&amp;"-"&amp;11</f>
        <v>F.C.-11</v>
      </c>
      <c r="P33" t="str">
        <f t="shared" si="12"/>
        <v/>
      </c>
      <c r="Q33" t="str">
        <f>IF(N33="","",    _xlfn.XLOOKUP(P33,Regcontabilizados[Número pago],Regcontabilizados[Estado de pago],"NO PAGADO"))</f>
        <v/>
      </c>
      <c r="R33" s="44">
        <f>_xlfn.XLOOKUP(O33,Regcontabilizados[Identificador],Regcontabilizados[Fecha vencimiento],0)</f>
        <v>0</v>
      </c>
      <c r="S33">
        <f>_xlfn.XLOOKUP(O33,Regcontabilizados[Identificador],Regcontabilizados[Subcuenta],0)</f>
        <v>0</v>
      </c>
      <c r="T33">
        <f>_xlfn.XLOOKUP(O33,Regcontabilizados[Identificador],Regcontabilizados[Haber],0)</f>
        <v>0</v>
      </c>
      <c r="U33">
        <f>SUMIF(Regcontabilizados[Número pago],'PAGO Compras'!P33,Regcontabilizados[Debe])</f>
        <v>0</v>
      </c>
      <c r="AA33" s="33" t="str">
        <f>IF(J33=0,"",  _xlfn.XLOOKUP(AB33,Regcontabilizados[Identificador],Regcontabilizados[Subcuenta],0))</f>
        <v/>
      </c>
      <c r="AB33" t="str">
        <f>IF(J33=0,"",  _xlfn.XLOOKUP($H$7,BDPROV[ID-Proveedor],BDPROV[NIT/C.C.],0)&amp;$H$9&amp;D33&amp;"-"&amp;11)</f>
        <v/>
      </c>
      <c r="AC33" t="str">
        <f t="shared" si="8"/>
        <v/>
      </c>
      <c r="AD33" t="str">
        <f t="shared" si="9"/>
        <v>En Blanco</v>
      </c>
      <c r="AE33" t="str">
        <f>_xlfn.XLOOKUP($H$7,BDPROV[ID-Proveedor],BDPROV[NIT/C.C.],0)&amp;$H$13&amp;$E$7&amp;"-"&amp;ROW(Z33)-21</f>
        <v>Comp. Egreso-12</v>
      </c>
      <c r="AQ33" t="str">
        <f t="shared" si="10"/>
        <v>PAGADO</v>
      </c>
    </row>
    <row r="34" spans="3:43">
      <c r="C34" s="194"/>
      <c r="D34" s="206"/>
      <c r="E34" s="142"/>
      <c r="F34" s="195"/>
      <c r="G34" s="183"/>
      <c r="H34" s="37">
        <f t="shared" si="6"/>
        <v>0</v>
      </c>
      <c r="I34" s="37"/>
      <c r="J34" s="210">
        <f t="shared" si="7"/>
        <v>0</v>
      </c>
      <c r="K34" s="197"/>
      <c r="O34" t="str">
        <f>_xlfn.XLOOKUP($H$7,BDPROV[ID-Proveedor],BDPROV[NIT/C.C.])&amp;$H$9&amp;N34&amp;"-"&amp;11</f>
        <v>F.C.-11</v>
      </c>
      <c r="P34" t="str">
        <f t="shared" si="12"/>
        <v/>
      </c>
      <c r="Q34" t="str">
        <f>IF(N34="","",    _xlfn.XLOOKUP(P34,Regcontabilizados[Número pago],Regcontabilizados[Estado de pago],"NO PAGADO"))</f>
        <v/>
      </c>
      <c r="R34" s="44">
        <f>_xlfn.XLOOKUP(O34,Regcontabilizados[Identificador],Regcontabilizados[Fecha vencimiento],0)</f>
        <v>0</v>
      </c>
      <c r="S34">
        <f>_xlfn.XLOOKUP(O34,Regcontabilizados[Identificador],Regcontabilizados[Subcuenta],0)</f>
        <v>0</v>
      </c>
      <c r="T34">
        <f>_xlfn.XLOOKUP(O34,Regcontabilizados[Identificador],Regcontabilizados[Haber],0)</f>
        <v>0</v>
      </c>
      <c r="U34">
        <f>SUMIF(Regcontabilizados[Número pago],'PAGO Compras'!P34,Regcontabilizados[Debe])</f>
        <v>0</v>
      </c>
      <c r="AA34" s="33" t="str">
        <f>IF(J34=0,"",  _xlfn.XLOOKUP(AB34,Regcontabilizados[Identificador],Regcontabilizados[Subcuenta],0))</f>
        <v/>
      </c>
      <c r="AB34" t="str">
        <f>IF(J34=0,"",  _xlfn.XLOOKUP($H$7,BDPROV[ID-Proveedor],BDPROV[NIT/C.C.],0)&amp;$H$9&amp;D34&amp;"-"&amp;11)</f>
        <v/>
      </c>
      <c r="AC34" t="str">
        <f t="shared" si="8"/>
        <v/>
      </c>
      <c r="AD34" t="str">
        <f t="shared" si="9"/>
        <v>En Blanco</v>
      </c>
      <c r="AE34" t="str">
        <f>_xlfn.XLOOKUP($H$7,BDPROV[ID-Proveedor],BDPROV[NIT/C.C.],0)&amp;$H$13&amp;$E$7&amp;"-"&amp;ROW(Z34)-21</f>
        <v>Comp. Egreso-13</v>
      </c>
      <c r="AQ34" t="str">
        <f t="shared" si="10"/>
        <v>PAGADO</v>
      </c>
    </row>
    <row r="35" spans="3:43">
      <c r="C35" s="194"/>
      <c r="D35" s="206"/>
      <c r="E35" s="142"/>
      <c r="F35" s="195"/>
      <c r="G35" s="183"/>
      <c r="H35" s="37">
        <f t="shared" si="6"/>
        <v>0</v>
      </c>
      <c r="I35" s="37"/>
      <c r="J35" s="210">
        <f t="shared" si="7"/>
        <v>0</v>
      </c>
      <c r="K35" s="197"/>
      <c r="O35" t="str">
        <f>_xlfn.XLOOKUP($H$7,BDPROV[ID-Proveedor],BDPROV[NIT/C.C.])&amp;$H$9&amp;N35&amp;"-"&amp;11</f>
        <v>F.C.-11</v>
      </c>
      <c r="P35" t="str">
        <f t="shared" si="12"/>
        <v/>
      </c>
      <c r="Q35" t="str">
        <f>IF(N35="","",    _xlfn.XLOOKUP(P35,Regcontabilizados[Número pago],Regcontabilizados[Estado de pago],"NO PAGADO"))</f>
        <v/>
      </c>
      <c r="R35" s="44">
        <f>_xlfn.XLOOKUP(O35,Regcontabilizados[Identificador],Regcontabilizados[Fecha vencimiento],0)</f>
        <v>0</v>
      </c>
      <c r="S35">
        <f>_xlfn.XLOOKUP(O35,Regcontabilizados[Identificador],Regcontabilizados[Subcuenta],0)</f>
        <v>0</v>
      </c>
      <c r="T35">
        <f>_xlfn.XLOOKUP(O35,Regcontabilizados[Identificador],Regcontabilizados[Haber],0)</f>
        <v>0</v>
      </c>
      <c r="U35">
        <f>SUMIF(Regcontabilizados[Número pago],'PAGO Compras'!P35,Regcontabilizados[Debe])</f>
        <v>0</v>
      </c>
      <c r="AA35" s="33" t="str">
        <f>IF(J35=0,"",  _xlfn.XLOOKUP(AB35,Regcontabilizados[Identificador],Regcontabilizados[Subcuenta],0))</f>
        <v/>
      </c>
      <c r="AB35" t="str">
        <f>IF(J35=0,"",  _xlfn.XLOOKUP($H$7,BDPROV[ID-Proveedor],BDPROV[NIT/C.C.],0)&amp;$H$9&amp;D35&amp;"-"&amp;11)</f>
        <v/>
      </c>
      <c r="AC35" t="str">
        <f t="shared" si="8"/>
        <v/>
      </c>
      <c r="AD35" t="str">
        <f t="shared" si="9"/>
        <v>En Blanco</v>
      </c>
      <c r="AE35" t="str">
        <f>_xlfn.XLOOKUP($H$7,BDPROV[ID-Proveedor],BDPROV[NIT/C.C.],0)&amp;$H$13&amp;$E$7&amp;"-"&amp;ROW(Z35)-21</f>
        <v>Comp. Egreso-14</v>
      </c>
      <c r="AQ35" t="str">
        <f t="shared" si="10"/>
        <v>PAGADO</v>
      </c>
    </row>
    <row r="36" spans="3:43">
      <c r="C36" s="194"/>
      <c r="D36" s="206"/>
      <c r="E36" s="142"/>
      <c r="F36" s="195"/>
      <c r="G36" s="183"/>
      <c r="H36" s="37">
        <f t="shared" si="6"/>
        <v>0</v>
      </c>
      <c r="I36" s="37"/>
      <c r="J36" s="210">
        <f t="shared" si="7"/>
        <v>0</v>
      </c>
      <c r="K36" s="197"/>
      <c r="O36" t="str">
        <f>_xlfn.XLOOKUP($H$7,BDPROV[ID-Proveedor],BDPROV[NIT/C.C.])&amp;$H$9&amp;N36&amp;"-"&amp;11</f>
        <v>F.C.-11</v>
      </c>
      <c r="P36" t="str">
        <f t="shared" si="12"/>
        <v/>
      </c>
      <c r="Q36" t="str">
        <f>IF(N36="","",    _xlfn.XLOOKUP(P36,Regcontabilizados[Número pago],Regcontabilizados[Estado de pago],"NO PAGADO"))</f>
        <v/>
      </c>
      <c r="R36" s="44">
        <f>_xlfn.XLOOKUP(O36,Regcontabilizados[Identificador],Regcontabilizados[Fecha vencimiento],0)</f>
        <v>0</v>
      </c>
      <c r="S36">
        <f>_xlfn.XLOOKUP(O36,Regcontabilizados[Identificador],Regcontabilizados[Subcuenta],0)</f>
        <v>0</v>
      </c>
      <c r="T36">
        <f>_xlfn.XLOOKUP(O36,Regcontabilizados[Identificador],Regcontabilizados[Haber],0)</f>
        <v>0</v>
      </c>
      <c r="U36">
        <f>SUMIF(Regcontabilizados[Número pago],'PAGO Compras'!P36,Regcontabilizados[Debe])</f>
        <v>0</v>
      </c>
      <c r="AA36" s="33" t="str">
        <f>IF(J36=0,"",  _xlfn.XLOOKUP(AB36,Regcontabilizados[Identificador],Regcontabilizados[Subcuenta],0))</f>
        <v/>
      </c>
      <c r="AB36" t="str">
        <f>IF(J36=0,"",  _xlfn.XLOOKUP($H$7,BDPROV[ID-Proveedor],BDPROV[NIT/C.C.],0)&amp;$H$9&amp;D36&amp;"-"&amp;11)</f>
        <v/>
      </c>
      <c r="AC36" t="str">
        <f t="shared" si="8"/>
        <v/>
      </c>
      <c r="AD36" t="str">
        <f t="shared" si="9"/>
        <v>En Blanco</v>
      </c>
      <c r="AE36" t="str">
        <f>_xlfn.XLOOKUP($H$7,BDPROV[ID-Proveedor],BDPROV[NIT/C.C.],0)&amp;$H$13&amp;$E$7&amp;"-"&amp;ROW(Z36)-21</f>
        <v>Comp. Egreso-15</v>
      </c>
      <c r="AQ36" t="str">
        <f t="shared" si="10"/>
        <v>PAGADO</v>
      </c>
    </row>
    <row r="37" spans="3:43">
      <c r="C37" s="194"/>
      <c r="D37" s="206"/>
      <c r="E37" s="142"/>
      <c r="F37" s="195"/>
      <c r="G37" s="183"/>
      <c r="H37" s="37">
        <f t="shared" si="6"/>
        <v>0</v>
      </c>
      <c r="I37" s="37"/>
      <c r="J37" s="210">
        <f t="shared" si="7"/>
        <v>0</v>
      </c>
      <c r="K37" s="197"/>
      <c r="O37" t="str">
        <f>_xlfn.XLOOKUP($H$7,BDPROV[ID-Proveedor],BDPROV[NIT/C.C.])&amp;$H$9&amp;N37&amp;"-"&amp;11</f>
        <v>F.C.-11</v>
      </c>
      <c r="P37" t="str">
        <f t="shared" si="12"/>
        <v/>
      </c>
      <c r="Q37" t="str">
        <f>IF(N37="","",    _xlfn.XLOOKUP(P37,Regcontabilizados[Número pago],Regcontabilizados[Estado de pago],"NO PAGADO"))</f>
        <v/>
      </c>
      <c r="R37" s="44">
        <f>_xlfn.XLOOKUP(O37,Regcontabilizados[Identificador],Regcontabilizados[Fecha vencimiento],0)</f>
        <v>0</v>
      </c>
      <c r="S37">
        <f>_xlfn.XLOOKUP(O37,Regcontabilizados[Identificador],Regcontabilizados[Subcuenta],0)</f>
        <v>0</v>
      </c>
      <c r="T37">
        <f>_xlfn.XLOOKUP(O37,Regcontabilizados[Identificador],Regcontabilizados[Haber],0)</f>
        <v>0</v>
      </c>
      <c r="U37">
        <f>SUMIF(Regcontabilizados[Número pago],'PAGO Compras'!P37,Regcontabilizados[Debe])</f>
        <v>0</v>
      </c>
      <c r="AA37" s="33" t="str">
        <f>IF(J37=0,"",  _xlfn.XLOOKUP(AB37,Regcontabilizados[Identificador],Regcontabilizados[Subcuenta],0))</f>
        <v/>
      </c>
      <c r="AB37" t="str">
        <f>IF(J37=0,"",  _xlfn.XLOOKUP($H$7,BDPROV[ID-Proveedor],BDPROV[NIT/C.C.],0)&amp;$H$9&amp;D37&amp;"-"&amp;11)</f>
        <v/>
      </c>
      <c r="AC37" t="str">
        <f t="shared" si="8"/>
        <v/>
      </c>
      <c r="AD37" t="str">
        <f t="shared" si="9"/>
        <v>En Blanco</v>
      </c>
      <c r="AE37" t="str">
        <f>_xlfn.XLOOKUP($H$7,BDPROV[ID-Proveedor],BDPROV[NIT/C.C.],0)&amp;$H$13&amp;$E$7&amp;"-"&amp;ROW(Z37)-21</f>
        <v>Comp. Egreso-16</v>
      </c>
      <c r="AQ37" t="str">
        <f t="shared" si="10"/>
        <v>PAGADO</v>
      </c>
    </row>
    <row r="38" spans="3:43">
      <c r="C38" s="194"/>
      <c r="D38" s="206"/>
      <c r="E38" s="142"/>
      <c r="F38" s="195"/>
      <c r="G38" s="183"/>
      <c r="H38" s="37">
        <f t="shared" si="6"/>
        <v>0</v>
      </c>
      <c r="I38" s="37"/>
      <c r="J38" s="210">
        <f t="shared" si="7"/>
        <v>0</v>
      </c>
      <c r="K38" s="197"/>
      <c r="O38" t="str">
        <f>_xlfn.XLOOKUP($H$7,BDPROV[ID-Proveedor],BDPROV[NIT/C.C.])&amp;$H$9&amp;N38&amp;"-"&amp;11</f>
        <v>F.C.-11</v>
      </c>
      <c r="P38" t="str">
        <f t="shared" si="12"/>
        <v/>
      </c>
      <c r="Q38" t="str">
        <f>IF(N38="","",    _xlfn.XLOOKUP(P38,Regcontabilizados[Número pago],Regcontabilizados[Estado de pago],"NO PAGADO"))</f>
        <v/>
      </c>
      <c r="R38" s="44">
        <f>_xlfn.XLOOKUP(O38,Regcontabilizados[Identificador],Regcontabilizados[Fecha vencimiento],0)</f>
        <v>0</v>
      </c>
      <c r="S38">
        <f>_xlfn.XLOOKUP(O38,Regcontabilizados[Identificador],Regcontabilizados[Subcuenta],0)</f>
        <v>0</v>
      </c>
      <c r="T38">
        <f>_xlfn.XLOOKUP(O38,Regcontabilizados[Identificador],Regcontabilizados[Haber],0)</f>
        <v>0</v>
      </c>
      <c r="U38">
        <f>SUMIF(Regcontabilizados[Número pago],'PAGO Compras'!P38,Regcontabilizados[Debe])</f>
        <v>0</v>
      </c>
      <c r="AA38" s="33" t="str">
        <f>IF(J38=0,"",  _xlfn.XLOOKUP(AB38,Regcontabilizados[Identificador],Regcontabilizados[Subcuenta],0))</f>
        <v/>
      </c>
      <c r="AB38" t="str">
        <f>IF(J38=0,"",  _xlfn.XLOOKUP($H$7,BDPROV[ID-Proveedor],BDPROV[NIT/C.C.],0)&amp;$H$9&amp;D38&amp;"-"&amp;11)</f>
        <v/>
      </c>
      <c r="AC38" t="str">
        <f t="shared" si="8"/>
        <v/>
      </c>
      <c r="AD38" t="str">
        <f t="shared" si="9"/>
        <v>En Blanco</v>
      </c>
      <c r="AE38" t="str">
        <f>_xlfn.XLOOKUP($H$7,BDPROV[ID-Proveedor],BDPROV[NIT/C.C.],0)&amp;$H$13&amp;$E$7&amp;"-"&amp;ROW(Z38)-21</f>
        <v>Comp. Egreso-17</v>
      </c>
      <c r="AQ38" t="str">
        <f t="shared" si="10"/>
        <v>PAGADO</v>
      </c>
    </row>
    <row r="39" spans="3:43">
      <c r="C39" s="194"/>
      <c r="D39" s="206"/>
      <c r="E39" s="142"/>
      <c r="F39" s="195"/>
      <c r="G39" s="183"/>
      <c r="H39" s="37">
        <f t="shared" si="6"/>
        <v>0</v>
      </c>
      <c r="I39" s="37"/>
      <c r="J39" s="210">
        <f t="shared" si="7"/>
        <v>0</v>
      </c>
      <c r="K39" s="197"/>
      <c r="O39" t="str">
        <f>_xlfn.XLOOKUP($H$7,BDPROV[ID-Proveedor],BDPROV[NIT/C.C.])&amp;$H$9&amp;N39&amp;"-"&amp;11</f>
        <v>F.C.-11</v>
      </c>
      <c r="P39" t="str">
        <f t="shared" si="12"/>
        <v/>
      </c>
      <c r="Q39" t="str">
        <f>IF(N39="","",    _xlfn.XLOOKUP(P39,Regcontabilizados[Número pago],Regcontabilizados[Estado de pago],"NO PAGADO"))</f>
        <v/>
      </c>
      <c r="R39" s="44">
        <f>_xlfn.XLOOKUP(O39,Regcontabilizados[Identificador],Regcontabilizados[Fecha vencimiento],0)</f>
        <v>0</v>
      </c>
      <c r="S39">
        <f>_xlfn.XLOOKUP(O39,Regcontabilizados[Identificador],Regcontabilizados[Subcuenta],0)</f>
        <v>0</v>
      </c>
      <c r="T39">
        <f>_xlfn.XLOOKUP(O39,Regcontabilizados[Identificador],Regcontabilizados[Haber],0)</f>
        <v>0</v>
      </c>
      <c r="U39">
        <f>SUMIF(Regcontabilizados[Número pago],'PAGO Compras'!P39,Regcontabilizados[Debe])</f>
        <v>0</v>
      </c>
      <c r="AA39" s="33" t="str">
        <f>IF(J39=0,"",  _xlfn.XLOOKUP(AB39,Regcontabilizados[Identificador],Regcontabilizados[Subcuenta],0))</f>
        <v/>
      </c>
      <c r="AB39" t="str">
        <f>IF(J39=0,"",  _xlfn.XLOOKUP($H$7,BDPROV[ID-Proveedor],BDPROV[NIT/C.C.],0)&amp;$H$9&amp;D39&amp;"-"&amp;11)</f>
        <v/>
      </c>
      <c r="AC39" t="str">
        <f t="shared" si="8"/>
        <v/>
      </c>
      <c r="AD39" t="str">
        <f t="shared" si="9"/>
        <v>En Blanco</v>
      </c>
      <c r="AE39" t="str">
        <f>_xlfn.XLOOKUP($H$7,BDPROV[ID-Proveedor],BDPROV[NIT/C.C.],0)&amp;$H$13&amp;$E$7&amp;"-"&amp;ROW(Z39)-21</f>
        <v>Comp. Egreso-18</v>
      </c>
      <c r="AQ39" t="str">
        <f t="shared" si="10"/>
        <v>PAGADO</v>
      </c>
    </row>
    <row r="40" spans="3:43">
      <c r="C40" s="194"/>
      <c r="D40" s="206"/>
      <c r="E40" s="142"/>
      <c r="F40" s="195"/>
      <c r="G40" s="183"/>
      <c r="H40" s="37">
        <f t="shared" si="6"/>
        <v>0</v>
      </c>
      <c r="I40" s="37"/>
      <c r="J40" s="210">
        <f t="shared" si="7"/>
        <v>0</v>
      </c>
      <c r="K40" s="197"/>
      <c r="O40" t="str">
        <f>_xlfn.XLOOKUP($H$7,BDPROV[ID-Proveedor],BDPROV[NIT/C.C.])&amp;$H$9&amp;N40&amp;"-"&amp;11</f>
        <v>F.C.-11</v>
      </c>
      <c r="P40" t="str">
        <f t="shared" si="12"/>
        <v/>
      </c>
      <c r="Q40" t="str">
        <f>IF(N40="","",    _xlfn.XLOOKUP(P40,Regcontabilizados[Número pago],Regcontabilizados[Estado de pago],"NO PAGADO"))</f>
        <v/>
      </c>
      <c r="R40" s="44">
        <f>_xlfn.XLOOKUP(O40,Regcontabilizados[Identificador],Regcontabilizados[Fecha vencimiento],0)</f>
        <v>0</v>
      </c>
      <c r="S40">
        <f>_xlfn.XLOOKUP(O40,Regcontabilizados[Identificador],Regcontabilizados[Subcuenta],0)</f>
        <v>0</v>
      </c>
      <c r="T40">
        <f>_xlfn.XLOOKUP(O40,Regcontabilizados[Identificador],Regcontabilizados[Haber],0)</f>
        <v>0</v>
      </c>
      <c r="U40">
        <f>SUMIF(Regcontabilizados[Número pago],'PAGO Compras'!P40,Regcontabilizados[Debe])</f>
        <v>0</v>
      </c>
      <c r="AA40" s="33" t="str">
        <f>IF(J40=0,"",  _xlfn.XLOOKUP(AB40,Regcontabilizados[Identificador],Regcontabilizados[Subcuenta],0))</f>
        <v/>
      </c>
      <c r="AB40" t="str">
        <f>IF(J40=0,"",  _xlfn.XLOOKUP($H$7,BDPROV[ID-Proveedor],BDPROV[NIT/C.C.],0)&amp;$H$9&amp;D40&amp;"-"&amp;11)</f>
        <v/>
      </c>
      <c r="AC40" t="str">
        <f t="shared" si="8"/>
        <v/>
      </c>
      <c r="AD40" t="str">
        <f t="shared" si="9"/>
        <v>En Blanco</v>
      </c>
      <c r="AE40" t="str">
        <f>_xlfn.XLOOKUP($H$7,BDPROV[ID-Proveedor],BDPROV[NIT/C.C.],0)&amp;$H$13&amp;$E$7&amp;"-"&amp;ROW(Z40)-21</f>
        <v>Comp. Egreso-19</v>
      </c>
      <c r="AQ40" t="str">
        <f t="shared" si="10"/>
        <v>PAGADO</v>
      </c>
    </row>
    <row r="41" spans="3:43">
      <c r="C41" s="194"/>
      <c r="D41" s="206"/>
      <c r="E41" s="142"/>
      <c r="F41" s="195"/>
      <c r="G41" s="183"/>
      <c r="H41" s="37">
        <f t="shared" si="6"/>
        <v>0</v>
      </c>
      <c r="I41" s="37"/>
      <c r="J41" s="210">
        <f t="shared" si="7"/>
        <v>0</v>
      </c>
      <c r="K41" s="197"/>
      <c r="O41" t="str">
        <f>_xlfn.XLOOKUP($H$7,BDPROV[ID-Proveedor],BDPROV[NIT/C.C.])&amp;$H$9&amp;N41&amp;"-"&amp;11</f>
        <v>F.C.-11</v>
      </c>
      <c r="P41" t="str">
        <f t="shared" si="12"/>
        <v/>
      </c>
      <c r="Q41" t="str">
        <f>IF(N41="","",    _xlfn.XLOOKUP(P41,Regcontabilizados[Número pago],Regcontabilizados[Estado de pago],"NO PAGADO"))</f>
        <v/>
      </c>
      <c r="R41" s="44">
        <f>_xlfn.XLOOKUP(O41,Regcontabilizados[Identificador],Regcontabilizados[Fecha vencimiento],0)</f>
        <v>0</v>
      </c>
      <c r="S41">
        <f>_xlfn.XLOOKUP(O41,Regcontabilizados[Identificador],Regcontabilizados[Subcuenta],0)</f>
        <v>0</v>
      </c>
      <c r="T41">
        <f>_xlfn.XLOOKUP(O41,Regcontabilizados[Identificador],Regcontabilizados[Haber],0)</f>
        <v>0</v>
      </c>
      <c r="U41">
        <f>SUMIF(Regcontabilizados[Número pago],'PAGO Compras'!P41,Regcontabilizados[Debe])</f>
        <v>0</v>
      </c>
      <c r="AA41" s="33" t="str">
        <f>IF(J41=0,"",  _xlfn.XLOOKUP(AB41,Regcontabilizados[Identificador],Regcontabilizados[Subcuenta],0))</f>
        <v/>
      </c>
      <c r="AB41" t="str">
        <f>IF(J41=0,"",  _xlfn.XLOOKUP($H$7,BDPROV[ID-Proveedor],BDPROV[NIT/C.C.],0)&amp;$H$9&amp;D41&amp;"-"&amp;11)</f>
        <v/>
      </c>
      <c r="AC41" t="str">
        <f t="shared" si="8"/>
        <v/>
      </c>
      <c r="AD41" t="str">
        <f t="shared" si="9"/>
        <v>En Blanco</v>
      </c>
      <c r="AE41" t="str">
        <f>_xlfn.XLOOKUP($H$7,BDPROV[ID-Proveedor],BDPROV[NIT/C.C.],0)&amp;$H$13&amp;$E$7&amp;"-"&amp;ROW(Z41)-21</f>
        <v>Comp. Egreso-20</v>
      </c>
      <c r="AQ41" t="str">
        <f t="shared" si="10"/>
        <v>PAGADO</v>
      </c>
    </row>
    <row r="42" spans="3:43">
      <c r="C42" s="194"/>
      <c r="D42" s="206"/>
      <c r="E42" s="142"/>
      <c r="F42" s="195"/>
      <c r="G42" s="183"/>
      <c r="H42" s="37">
        <f t="shared" si="6"/>
        <v>0</v>
      </c>
      <c r="I42" s="37"/>
      <c r="J42" s="210">
        <f t="shared" si="7"/>
        <v>0</v>
      </c>
      <c r="K42" s="197"/>
      <c r="O42" t="str">
        <f>_xlfn.XLOOKUP($H$7,BDPROV[ID-Proveedor],BDPROV[NIT/C.C.])&amp;$H$9&amp;N42&amp;"-"&amp;11</f>
        <v>F.C.-11</v>
      </c>
      <c r="P42" t="str">
        <f t="shared" si="12"/>
        <v/>
      </c>
      <c r="Q42" t="str">
        <f>IF(N42="","",    _xlfn.XLOOKUP(P42,Regcontabilizados[Número pago],Regcontabilizados[Estado de pago],"NO PAGADO"))</f>
        <v/>
      </c>
      <c r="R42" s="44">
        <f>_xlfn.XLOOKUP(O42,Regcontabilizados[Identificador],Regcontabilizados[Fecha vencimiento],0)</f>
        <v>0</v>
      </c>
      <c r="S42">
        <f>_xlfn.XLOOKUP(O42,Regcontabilizados[Identificador],Regcontabilizados[Subcuenta],0)</f>
        <v>0</v>
      </c>
      <c r="T42">
        <f>_xlfn.XLOOKUP(O42,Regcontabilizados[Identificador],Regcontabilizados[Haber],0)</f>
        <v>0</v>
      </c>
      <c r="U42">
        <f>SUMIF(Regcontabilizados[Número pago],'PAGO Compras'!P42,Regcontabilizados[Debe])</f>
        <v>0</v>
      </c>
      <c r="AA42" s="33" t="str">
        <f>IF(J42=0,"",  _xlfn.XLOOKUP(AB42,Regcontabilizados[Identificador],Regcontabilizados[Subcuenta],0))</f>
        <v/>
      </c>
      <c r="AB42" t="str">
        <f>IF(J42=0,"",  _xlfn.XLOOKUP($H$7,BDPROV[ID-Proveedor],BDPROV[NIT/C.C.],0)&amp;$H$9&amp;D42&amp;"-"&amp;11)</f>
        <v/>
      </c>
      <c r="AC42" t="str">
        <f t="shared" si="8"/>
        <v/>
      </c>
      <c r="AD42" t="str">
        <f t="shared" si="9"/>
        <v>En Blanco</v>
      </c>
      <c r="AE42" t="str">
        <f>_xlfn.XLOOKUP($H$7,BDPROV[ID-Proveedor],BDPROV[NIT/C.C.],0)&amp;$H$13&amp;$E$7&amp;"-"&amp;ROW(Z42)-21</f>
        <v>Comp. Egreso-21</v>
      </c>
      <c r="AQ42" t="str">
        <f t="shared" si="10"/>
        <v>PAGADO</v>
      </c>
    </row>
    <row r="43" spans="3:43">
      <c r="C43" s="194"/>
      <c r="D43" s="206"/>
      <c r="E43" s="142"/>
      <c r="F43" s="195"/>
      <c r="G43" s="183"/>
      <c r="H43" s="37">
        <f t="shared" si="6"/>
        <v>0</v>
      </c>
      <c r="I43" s="37"/>
      <c r="J43" s="210">
        <f t="shared" si="7"/>
        <v>0</v>
      </c>
      <c r="K43" s="197"/>
      <c r="O43" t="str">
        <f>_xlfn.XLOOKUP($H$7,BDPROV[ID-Proveedor],BDPROV[NIT/C.C.])&amp;$H$9&amp;N43&amp;"-"&amp;11</f>
        <v>F.C.-11</v>
      </c>
      <c r="P43" t="str">
        <f t="shared" si="12"/>
        <v/>
      </c>
      <c r="Q43" t="str">
        <f>IF(N43="","",    _xlfn.XLOOKUP(P43,Regcontabilizados[Número pago],Regcontabilizados[Estado de pago],"NO PAGADO"))</f>
        <v/>
      </c>
      <c r="R43" s="44">
        <f>_xlfn.XLOOKUP(O43,Regcontabilizados[Identificador],Regcontabilizados[Fecha vencimiento],0)</f>
        <v>0</v>
      </c>
      <c r="S43">
        <f>_xlfn.XLOOKUP(O43,Regcontabilizados[Identificador],Regcontabilizados[Subcuenta],0)</f>
        <v>0</v>
      </c>
      <c r="T43">
        <f>_xlfn.XLOOKUP(O43,Regcontabilizados[Identificador],Regcontabilizados[Haber],0)</f>
        <v>0</v>
      </c>
      <c r="U43">
        <f>SUMIF(Regcontabilizados[Número pago],'PAGO Compras'!P43,Regcontabilizados[Debe])</f>
        <v>0</v>
      </c>
      <c r="AA43" s="33" t="str">
        <f>IF(J43=0,"",  _xlfn.XLOOKUP(AB43,Regcontabilizados[Identificador],Regcontabilizados[Subcuenta],0))</f>
        <v/>
      </c>
      <c r="AB43" t="str">
        <f>IF(J43=0,"",  _xlfn.XLOOKUP($H$7,BDPROV[ID-Proveedor],BDPROV[NIT/C.C.],0)&amp;$H$9&amp;D43&amp;"-"&amp;11)</f>
        <v/>
      </c>
      <c r="AC43" t="str">
        <f t="shared" si="8"/>
        <v/>
      </c>
      <c r="AD43" t="str">
        <f t="shared" si="9"/>
        <v>En Blanco</v>
      </c>
      <c r="AE43" t="str">
        <f>_xlfn.XLOOKUP($H$7,BDPROV[ID-Proveedor],BDPROV[NIT/C.C.],0)&amp;$H$13&amp;$E$7&amp;"-"&amp;ROW(Z43)-21</f>
        <v>Comp. Egreso-22</v>
      </c>
      <c r="AQ43" t="str">
        <f t="shared" si="10"/>
        <v>PAGADO</v>
      </c>
    </row>
    <row r="44" spans="3:43">
      <c r="C44" s="194"/>
      <c r="D44" s="206"/>
      <c r="E44" s="142"/>
      <c r="F44" s="195"/>
      <c r="G44" s="183"/>
      <c r="H44" s="37">
        <f t="shared" si="6"/>
        <v>0</v>
      </c>
      <c r="I44" s="37"/>
      <c r="J44" s="210">
        <f t="shared" si="7"/>
        <v>0</v>
      </c>
      <c r="K44" s="197"/>
      <c r="O44" t="str">
        <f>_xlfn.XLOOKUP($H$7,BDPROV[ID-Proveedor],BDPROV[NIT/C.C.])&amp;$H$9&amp;N44&amp;"-"&amp;11</f>
        <v>F.C.-11</v>
      </c>
      <c r="P44" t="str">
        <f t="shared" si="12"/>
        <v/>
      </c>
      <c r="Q44" t="str">
        <f>IF(N44="","",    _xlfn.XLOOKUP(P44,Regcontabilizados[Número pago],Regcontabilizados[Estado de pago],"NO PAGADO"))</f>
        <v/>
      </c>
      <c r="R44" s="44">
        <f>_xlfn.XLOOKUP(O44,Regcontabilizados[Identificador],Regcontabilizados[Fecha vencimiento],0)</f>
        <v>0</v>
      </c>
      <c r="S44">
        <f>_xlfn.XLOOKUP(O44,Regcontabilizados[Identificador],Regcontabilizados[Subcuenta],0)</f>
        <v>0</v>
      </c>
      <c r="T44">
        <f>_xlfn.XLOOKUP(O44,Regcontabilizados[Identificador],Regcontabilizados[Haber],0)</f>
        <v>0</v>
      </c>
      <c r="U44">
        <f>SUMIF(Regcontabilizados[Número pago],'PAGO Compras'!P44,Regcontabilizados[Debe])</f>
        <v>0</v>
      </c>
      <c r="AA44" s="33" t="str">
        <f>IF(J44=0,"",  _xlfn.XLOOKUP(AB44,Regcontabilizados[Identificador],Regcontabilizados[Subcuenta],0))</f>
        <v/>
      </c>
      <c r="AB44" t="str">
        <f>IF(J44=0,"",  _xlfn.XLOOKUP($H$7,BDPROV[ID-Proveedor],BDPROV[NIT/C.C.],0)&amp;$H$9&amp;D44&amp;"-"&amp;11)</f>
        <v/>
      </c>
      <c r="AC44" t="str">
        <f t="shared" si="8"/>
        <v/>
      </c>
      <c r="AD44" t="str">
        <f t="shared" si="9"/>
        <v>En Blanco</v>
      </c>
      <c r="AE44" t="str">
        <f>_xlfn.XLOOKUP($H$7,BDPROV[ID-Proveedor],BDPROV[NIT/C.C.],0)&amp;$H$13&amp;$E$7&amp;"-"&amp;ROW(Z44)-21</f>
        <v>Comp. Egreso-23</v>
      </c>
      <c r="AQ44" t="str">
        <f t="shared" si="10"/>
        <v>PAGADO</v>
      </c>
    </row>
    <row r="45" spans="3:43">
      <c r="C45" s="194"/>
      <c r="D45" s="206"/>
      <c r="E45" s="142"/>
      <c r="F45" s="195"/>
      <c r="G45" s="183"/>
      <c r="H45" s="37">
        <f t="shared" si="6"/>
        <v>0</v>
      </c>
      <c r="I45" s="37"/>
      <c r="J45" s="210">
        <f t="shared" si="7"/>
        <v>0</v>
      </c>
      <c r="K45" s="197"/>
      <c r="O45" t="str">
        <f>_xlfn.XLOOKUP($H$7,BDPROV[ID-Proveedor],BDPROV[NIT/C.C.])&amp;$H$9&amp;N45&amp;"-"&amp;11</f>
        <v>F.C.-11</v>
      </c>
      <c r="P45" t="str">
        <f t="shared" si="12"/>
        <v/>
      </c>
      <c r="Q45" t="str">
        <f>IF(N45="","",    _xlfn.XLOOKUP(P45,Regcontabilizados[Número pago],Regcontabilizados[Estado de pago],"NO PAGADO"))</f>
        <v/>
      </c>
      <c r="R45" s="44">
        <f>_xlfn.XLOOKUP(O45,Regcontabilizados[Identificador],Regcontabilizados[Fecha vencimiento],0)</f>
        <v>0</v>
      </c>
      <c r="S45">
        <f>_xlfn.XLOOKUP(O45,Regcontabilizados[Identificador],Regcontabilizados[Subcuenta],0)</f>
        <v>0</v>
      </c>
      <c r="T45">
        <f>_xlfn.XLOOKUP(O45,Regcontabilizados[Identificador],Regcontabilizados[Haber],0)</f>
        <v>0</v>
      </c>
      <c r="U45">
        <f>SUMIF(Regcontabilizados[Número pago],'PAGO Compras'!P45,Regcontabilizados[Debe])</f>
        <v>0</v>
      </c>
      <c r="AA45" s="33" t="str">
        <f>IF(J45=0,"",  _xlfn.XLOOKUP(AB45,Regcontabilizados[Identificador],Regcontabilizados[Subcuenta],0))</f>
        <v/>
      </c>
      <c r="AB45" t="str">
        <f>IF(J45=0,"",  _xlfn.XLOOKUP($H$7,BDPROV[ID-Proveedor],BDPROV[NIT/C.C.],0)&amp;$H$9&amp;D45&amp;"-"&amp;11)</f>
        <v/>
      </c>
      <c r="AC45" t="str">
        <f t="shared" si="8"/>
        <v/>
      </c>
      <c r="AD45" t="str">
        <f t="shared" si="9"/>
        <v>En Blanco</v>
      </c>
      <c r="AE45" t="str">
        <f>_xlfn.XLOOKUP($H$7,BDPROV[ID-Proveedor],BDPROV[NIT/C.C.],0)&amp;$H$13&amp;$E$7&amp;"-"&amp;ROW(Z45)-21</f>
        <v>Comp. Egreso-24</v>
      </c>
      <c r="AQ45" t="str">
        <f t="shared" si="10"/>
        <v>PAGADO</v>
      </c>
    </row>
    <row r="46" spans="3:43">
      <c r="C46" s="194"/>
      <c r="D46" s="206"/>
      <c r="E46" s="142"/>
      <c r="F46" s="195"/>
      <c r="G46" s="183"/>
      <c r="H46" s="37">
        <f t="shared" si="6"/>
        <v>0</v>
      </c>
      <c r="I46" s="37"/>
      <c r="J46" s="210">
        <f t="shared" si="7"/>
        <v>0</v>
      </c>
      <c r="K46" s="197"/>
      <c r="O46" t="str">
        <f>_xlfn.XLOOKUP($H$7,BDPROV[ID-Proveedor],BDPROV[NIT/C.C.])&amp;$H$9&amp;N46&amp;"-"&amp;11</f>
        <v>F.C.-11</v>
      </c>
      <c r="P46" t="str">
        <f t="shared" si="12"/>
        <v/>
      </c>
      <c r="Q46" t="str">
        <f>IF(N46="","",    _xlfn.XLOOKUP(P46,Regcontabilizados[Número pago],Regcontabilizados[Estado de pago],"NO PAGADO"))</f>
        <v/>
      </c>
      <c r="R46" s="44">
        <f>_xlfn.XLOOKUP(O46,Regcontabilizados[Identificador],Regcontabilizados[Fecha vencimiento],0)</f>
        <v>0</v>
      </c>
      <c r="S46">
        <f>_xlfn.XLOOKUP(O46,Regcontabilizados[Identificador],Regcontabilizados[Subcuenta],0)</f>
        <v>0</v>
      </c>
      <c r="T46">
        <f>_xlfn.XLOOKUP(O46,Regcontabilizados[Identificador],Regcontabilizados[Haber],0)</f>
        <v>0</v>
      </c>
      <c r="U46">
        <f>SUMIF(Regcontabilizados[Número pago],'PAGO Compras'!P46,Regcontabilizados[Debe])</f>
        <v>0</v>
      </c>
      <c r="AA46" s="33" t="str">
        <f>IF(J46=0,"",  _xlfn.XLOOKUP(AB46,Regcontabilizados[Identificador],Regcontabilizados[Subcuenta],0))</f>
        <v/>
      </c>
      <c r="AB46" t="str">
        <f>IF(J46=0,"",  _xlfn.XLOOKUP($H$7,BDPROV[ID-Proveedor],BDPROV[NIT/C.C.],0)&amp;$H$9&amp;D46&amp;"-"&amp;11)</f>
        <v/>
      </c>
      <c r="AC46" t="str">
        <f t="shared" si="8"/>
        <v/>
      </c>
      <c r="AD46" t="str">
        <f t="shared" si="9"/>
        <v>En Blanco</v>
      </c>
      <c r="AE46" t="str">
        <f>_xlfn.XLOOKUP($H$7,BDPROV[ID-Proveedor],BDPROV[NIT/C.C.],0)&amp;$H$13&amp;$E$7&amp;"-"&amp;ROW(Z46)-21</f>
        <v>Comp. Egreso-25</v>
      </c>
      <c r="AQ46" t="str">
        <f t="shared" si="10"/>
        <v>PAGADO</v>
      </c>
    </row>
    <row r="47" spans="3:43">
      <c r="C47" s="194"/>
      <c r="D47" s="206"/>
      <c r="E47" s="142"/>
      <c r="F47" s="195"/>
      <c r="G47" s="183"/>
      <c r="H47" s="37">
        <f t="shared" si="6"/>
        <v>0</v>
      </c>
      <c r="I47" s="37"/>
      <c r="J47" s="210">
        <f t="shared" si="7"/>
        <v>0</v>
      </c>
      <c r="K47" s="197"/>
      <c r="O47" t="str">
        <f>_xlfn.XLOOKUP($H$7,BDPROV[ID-Proveedor],BDPROV[NIT/C.C.])&amp;$H$9&amp;N47&amp;"-"&amp;11</f>
        <v>F.C.-11</v>
      </c>
      <c r="P47" t="str">
        <f t="shared" si="12"/>
        <v/>
      </c>
      <c r="Q47" t="str">
        <f>IF(N47="","",    _xlfn.XLOOKUP(P47,Regcontabilizados[Número pago],Regcontabilizados[Estado de pago],"NO PAGADO"))</f>
        <v/>
      </c>
      <c r="R47" s="44">
        <f>_xlfn.XLOOKUP(O47,Regcontabilizados[Identificador],Regcontabilizados[Fecha vencimiento],0)</f>
        <v>0</v>
      </c>
      <c r="S47">
        <f>_xlfn.XLOOKUP(O47,Regcontabilizados[Identificador],Regcontabilizados[Subcuenta],0)</f>
        <v>0</v>
      </c>
      <c r="T47">
        <f>_xlfn.XLOOKUP(O47,Regcontabilizados[Identificador],Regcontabilizados[Haber],0)</f>
        <v>0</v>
      </c>
      <c r="U47">
        <f>SUMIF(Regcontabilizados[Número pago],'PAGO Compras'!P47,Regcontabilizados[Debe])</f>
        <v>0</v>
      </c>
      <c r="AA47" s="33" t="str">
        <f>IF(J47=0,"",  _xlfn.XLOOKUP(AB47,Regcontabilizados[Identificador],Regcontabilizados[Subcuenta],0))</f>
        <v/>
      </c>
      <c r="AB47" t="str">
        <f>IF(J47=0,"",  _xlfn.XLOOKUP($H$7,BDPROV[ID-Proveedor],BDPROV[NIT/C.C.],0)&amp;$H$9&amp;D47&amp;"-"&amp;11)</f>
        <v/>
      </c>
      <c r="AC47" t="str">
        <f t="shared" si="8"/>
        <v/>
      </c>
      <c r="AD47" t="str">
        <f t="shared" si="9"/>
        <v>En Blanco</v>
      </c>
      <c r="AE47" t="str">
        <f>_xlfn.XLOOKUP($H$7,BDPROV[ID-Proveedor],BDPROV[NIT/C.C.],0)&amp;$H$13&amp;$E$7&amp;"-"&amp;ROW(Z47)-21</f>
        <v>Comp. Egreso-26</v>
      </c>
      <c r="AQ47" t="str">
        <f t="shared" si="10"/>
        <v>PAGADO</v>
      </c>
    </row>
    <row r="48" spans="3:43">
      <c r="C48" s="194"/>
      <c r="D48" s="206"/>
      <c r="E48" s="142"/>
      <c r="F48" s="195"/>
      <c r="G48" s="183"/>
      <c r="H48" s="37">
        <f t="shared" si="6"/>
        <v>0</v>
      </c>
      <c r="I48" s="37"/>
      <c r="J48" s="210">
        <f t="shared" si="7"/>
        <v>0</v>
      </c>
      <c r="K48" s="197"/>
      <c r="O48" t="str">
        <f>_xlfn.XLOOKUP($H$7,BDPROV[ID-Proveedor],BDPROV[NIT/C.C.])&amp;$H$9&amp;N48&amp;"-"&amp;11</f>
        <v>F.C.-11</v>
      </c>
      <c r="P48" t="str">
        <f t="shared" si="12"/>
        <v/>
      </c>
      <c r="Q48" t="str">
        <f>IF(N48="","",    _xlfn.XLOOKUP(P48,Regcontabilizados[Número pago],Regcontabilizados[Estado de pago],"NO PAGADO"))</f>
        <v/>
      </c>
      <c r="R48" s="44">
        <f>_xlfn.XLOOKUP(O48,Regcontabilizados[Identificador],Regcontabilizados[Fecha vencimiento],0)</f>
        <v>0</v>
      </c>
      <c r="S48">
        <f>_xlfn.XLOOKUP(O48,Regcontabilizados[Identificador],Regcontabilizados[Subcuenta],0)</f>
        <v>0</v>
      </c>
      <c r="T48">
        <f>_xlfn.XLOOKUP(O48,Regcontabilizados[Identificador],Regcontabilizados[Haber],0)</f>
        <v>0</v>
      </c>
      <c r="U48">
        <f>SUMIF(Regcontabilizados[Número pago],'PAGO Compras'!P48,Regcontabilizados[Debe])</f>
        <v>0</v>
      </c>
      <c r="AA48" s="33" t="str">
        <f>IF(J48=0,"",  _xlfn.XLOOKUP(AB48,Regcontabilizados[Identificador],Regcontabilizados[Subcuenta],0))</f>
        <v/>
      </c>
      <c r="AB48" t="str">
        <f>IF(J48=0,"",  _xlfn.XLOOKUP($H$7,BDPROV[ID-Proveedor],BDPROV[NIT/C.C.],0)&amp;$H$9&amp;D48&amp;"-"&amp;11)</f>
        <v/>
      </c>
      <c r="AC48" t="str">
        <f t="shared" si="8"/>
        <v/>
      </c>
      <c r="AD48" t="str">
        <f t="shared" si="9"/>
        <v>En Blanco</v>
      </c>
      <c r="AE48" t="str">
        <f>_xlfn.XLOOKUP($H$7,BDPROV[ID-Proveedor],BDPROV[NIT/C.C.],0)&amp;$H$13&amp;$E$7&amp;"-"&amp;ROW(Z48)-21</f>
        <v>Comp. Egreso-27</v>
      </c>
      <c r="AQ48" t="str">
        <f t="shared" si="10"/>
        <v>PAGADO</v>
      </c>
    </row>
    <row r="49" spans="3:43">
      <c r="C49" s="194"/>
      <c r="D49" s="206"/>
      <c r="E49" s="142"/>
      <c r="F49" s="195"/>
      <c r="G49" s="183"/>
      <c r="H49" s="37">
        <f t="shared" si="6"/>
        <v>0</v>
      </c>
      <c r="I49" s="37"/>
      <c r="J49" s="210">
        <f t="shared" si="7"/>
        <v>0</v>
      </c>
      <c r="K49" s="197"/>
      <c r="O49" t="str">
        <f>_xlfn.XLOOKUP($H$7,BDPROV[ID-Proveedor],BDPROV[NIT/C.C.])&amp;$H$9&amp;N49&amp;"-"&amp;11</f>
        <v>F.C.-11</v>
      </c>
      <c r="P49" t="str">
        <f t="shared" si="12"/>
        <v/>
      </c>
      <c r="Q49" t="str">
        <f>IF(N49="","",    _xlfn.XLOOKUP(P49,Regcontabilizados[Número pago],Regcontabilizados[Estado de pago],"NO PAGADO"))</f>
        <v/>
      </c>
      <c r="R49" s="44">
        <f>_xlfn.XLOOKUP(O49,Regcontabilizados[Identificador],Regcontabilizados[Fecha vencimiento],0)</f>
        <v>0</v>
      </c>
      <c r="S49">
        <f>_xlfn.XLOOKUP(O49,Regcontabilizados[Identificador],Regcontabilizados[Subcuenta],0)</f>
        <v>0</v>
      </c>
      <c r="T49">
        <f>_xlfn.XLOOKUP(O49,Regcontabilizados[Identificador],Regcontabilizados[Haber],0)</f>
        <v>0</v>
      </c>
      <c r="U49">
        <f>SUMIF(Regcontabilizados[Número pago],'PAGO Compras'!P49,Regcontabilizados[Debe])</f>
        <v>0</v>
      </c>
      <c r="AA49" s="33" t="str">
        <f>IF(J49=0,"",  _xlfn.XLOOKUP(AB49,Regcontabilizados[Identificador],Regcontabilizados[Subcuenta],0))</f>
        <v/>
      </c>
      <c r="AB49" t="str">
        <f>IF(J49=0,"",  _xlfn.XLOOKUP($H$7,BDPROV[ID-Proveedor],BDPROV[NIT/C.C.],0)&amp;$H$9&amp;D49&amp;"-"&amp;11)</f>
        <v/>
      </c>
      <c r="AC49" t="str">
        <f t="shared" si="8"/>
        <v/>
      </c>
      <c r="AD49" t="str">
        <f t="shared" si="9"/>
        <v>En Blanco</v>
      </c>
      <c r="AE49" t="str">
        <f>_xlfn.XLOOKUP($H$7,BDPROV[ID-Proveedor],BDPROV[NIT/C.C.],0)&amp;$H$13&amp;$E$7&amp;"-"&amp;ROW(Z49)-21</f>
        <v>Comp. Egreso-28</v>
      </c>
      <c r="AQ49" t="str">
        <f t="shared" si="10"/>
        <v>PAGADO</v>
      </c>
    </row>
    <row r="50" spans="3:43">
      <c r="C50" s="194"/>
      <c r="D50" s="206"/>
      <c r="E50" s="142"/>
      <c r="F50" s="195"/>
      <c r="G50" s="183"/>
      <c r="H50" s="37">
        <f t="shared" si="6"/>
        <v>0</v>
      </c>
      <c r="I50" s="37"/>
      <c r="J50" s="210">
        <f t="shared" si="7"/>
        <v>0</v>
      </c>
      <c r="K50" s="197"/>
      <c r="O50" t="str">
        <f>_xlfn.XLOOKUP($H$7,BDPROV[ID-Proveedor],BDPROV[NIT/C.C.])&amp;$H$9&amp;N50&amp;"-"&amp;11</f>
        <v>F.C.-11</v>
      </c>
      <c r="P50" t="str">
        <f t="shared" si="12"/>
        <v/>
      </c>
      <c r="Q50" t="str">
        <f>IF(N50="","",    _xlfn.XLOOKUP(P50,Regcontabilizados[Número pago],Regcontabilizados[Estado de pago],"NO PAGADO"))</f>
        <v/>
      </c>
      <c r="R50" s="44">
        <f>_xlfn.XLOOKUP(O50,Regcontabilizados[Identificador],Regcontabilizados[Fecha vencimiento],0)</f>
        <v>0</v>
      </c>
      <c r="S50">
        <f>_xlfn.XLOOKUP(O50,Regcontabilizados[Identificador],Regcontabilizados[Subcuenta],0)</f>
        <v>0</v>
      </c>
      <c r="T50">
        <f>_xlfn.XLOOKUP(O50,Regcontabilizados[Identificador],Regcontabilizados[Haber],0)</f>
        <v>0</v>
      </c>
      <c r="U50">
        <f>SUMIF(Regcontabilizados[Número pago],'PAGO Compras'!P50,Regcontabilizados[Debe])</f>
        <v>0</v>
      </c>
      <c r="AA50" s="33" t="str">
        <f>IF(J50=0,"",  _xlfn.XLOOKUP(AB50,Regcontabilizados[Identificador],Regcontabilizados[Subcuenta],0))</f>
        <v/>
      </c>
      <c r="AB50" t="str">
        <f>IF(J50=0,"",  _xlfn.XLOOKUP($H$7,BDPROV[ID-Proveedor],BDPROV[NIT/C.C.],0)&amp;$H$9&amp;D50&amp;"-"&amp;11)</f>
        <v/>
      </c>
      <c r="AC50" t="str">
        <f t="shared" si="8"/>
        <v/>
      </c>
      <c r="AD50" t="str">
        <f t="shared" si="9"/>
        <v>En Blanco</v>
      </c>
      <c r="AE50" t="str">
        <f>_xlfn.XLOOKUP($H$7,BDPROV[ID-Proveedor],BDPROV[NIT/C.C.],0)&amp;$H$13&amp;$E$7&amp;"-"&amp;ROW(Z50)-21</f>
        <v>Comp. Egreso-29</v>
      </c>
      <c r="AQ50" t="str">
        <f t="shared" si="10"/>
        <v>PAGADO</v>
      </c>
    </row>
    <row r="51" spans="3:43">
      <c r="C51" s="194"/>
      <c r="D51" s="206"/>
      <c r="E51" s="142"/>
      <c r="F51" s="195"/>
      <c r="G51" s="183"/>
      <c r="H51" s="37">
        <f t="shared" si="6"/>
        <v>0</v>
      </c>
      <c r="I51" s="37"/>
      <c r="J51" s="210">
        <f t="shared" si="7"/>
        <v>0</v>
      </c>
      <c r="K51" s="197"/>
      <c r="O51" t="str">
        <f>_xlfn.XLOOKUP($H$7,BDPROV[ID-Proveedor],BDPROV[NIT/C.C.])&amp;$H$9&amp;N51&amp;"-"&amp;11</f>
        <v>F.C.-11</v>
      </c>
      <c r="P51" t="str">
        <f t="shared" si="12"/>
        <v/>
      </c>
      <c r="Q51" t="str">
        <f>IF(N51="","",    _xlfn.XLOOKUP(P51,Regcontabilizados[Número pago],Regcontabilizados[Estado de pago],"NO PAGADO"))</f>
        <v/>
      </c>
      <c r="R51" s="44">
        <f>_xlfn.XLOOKUP(O51,Regcontabilizados[Identificador],Regcontabilizados[Fecha vencimiento],0)</f>
        <v>0</v>
      </c>
      <c r="S51">
        <f>_xlfn.XLOOKUP(O51,Regcontabilizados[Identificador],Regcontabilizados[Subcuenta],0)</f>
        <v>0</v>
      </c>
      <c r="T51">
        <f>_xlfn.XLOOKUP(O51,Regcontabilizados[Identificador],Regcontabilizados[Haber],0)</f>
        <v>0</v>
      </c>
      <c r="U51">
        <f>SUMIF(Regcontabilizados[Número pago],'PAGO Compras'!P51,Regcontabilizados[Debe])</f>
        <v>0</v>
      </c>
      <c r="AA51" s="33" t="str">
        <f>IF(J51=0,"",  _xlfn.XLOOKUP(AB51,Regcontabilizados[Identificador],Regcontabilizados[Subcuenta],0))</f>
        <v/>
      </c>
      <c r="AB51" t="str">
        <f>IF(J51=0,"",  _xlfn.XLOOKUP($H$7,BDPROV[ID-Proveedor],BDPROV[NIT/C.C.],0)&amp;$H$9&amp;D51&amp;"-"&amp;11)</f>
        <v/>
      </c>
      <c r="AC51" t="str">
        <f t="shared" si="8"/>
        <v/>
      </c>
      <c r="AD51" t="str">
        <f t="shared" si="9"/>
        <v>En Blanco</v>
      </c>
      <c r="AE51" t="str">
        <f>_xlfn.XLOOKUP($H$7,BDPROV[ID-Proveedor],BDPROV[NIT/C.C.],0)&amp;$H$13&amp;$E$7&amp;"-"&amp;ROW(Z51)-21</f>
        <v>Comp. Egreso-30</v>
      </c>
      <c r="AQ51" t="str">
        <f t="shared" si="10"/>
        <v>PAGADO</v>
      </c>
    </row>
    <row r="52" spans="3:43">
      <c r="C52" s="194"/>
      <c r="D52" s="206"/>
      <c r="E52" s="142"/>
      <c r="F52" s="195"/>
      <c r="G52" s="183"/>
      <c r="H52" s="37">
        <f t="shared" si="6"/>
        <v>0</v>
      </c>
      <c r="I52" s="37"/>
      <c r="J52" s="210">
        <f t="shared" si="7"/>
        <v>0</v>
      </c>
      <c r="K52" s="197"/>
      <c r="O52" t="str">
        <f>_xlfn.XLOOKUP($H$7,BDPROV[ID-Proveedor],BDPROV[NIT/C.C.])&amp;$H$9&amp;N52&amp;"-"&amp;11</f>
        <v>F.C.-11</v>
      </c>
      <c r="P52" t="str">
        <f t="shared" si="12"/>
        <v/>
      </c>
      <c r="Q52" t="str">
        <f>IF(N52="","",    _xlfn.XLOOKUP(P52,Regcontabilizados[Número pago],Regcontabilizados[Estado de pago],"NO PAGADO"))</f>
        <v/>
      </c>
      <c r="R52" s="44">
        <f>_xlfn.XLOOKUP(O52,Regcontabilizados[Identificador],Regcontabilizados[Fecha vencimiento],0)</f>
        <v>0</v>
      </c>
      <c r="S52">
        <f>_xlfn.XLOOKUP(O52,Regcontabilizados[Identificador],Regcontabilizados[Subcuenta],0)</f>
        <v>0</v>
      </c>
      <c r="T52">
        <f>_xlfn.XLOOKUP(O52,Regcontabilizados[Identificador],Regcontabilizados[Haber],0)</f>
        <v>0</v>
      </c>
      <c r="U52">
        <f>SUMIF(Regcontabilizados[Número pago],'PAGO Compras'!P52,Regcontabilizados[Debe])</f>
        <v>0</v>
      </c>
      <c r="AA52" s="33" t="str">
        <f>IF(J52=0,"",  _xlfn.XLOOKUP(AB52,Regcontabilizados[Identificador],Regcontabilizados[Subcuenta],0))</f>
        <v/>
      </c>
      <c r="AB52" t="str">
        <f>IF(J52=0,"",  _xlfn.XLOOKUP($H$7,BDPROV[ID-Proveedor],BDPROV[NIT/C.C.],0)&amp;$H$9&amp;D52&amp;"-"&amp;11)</f>
        <v/>
      </c>
      <c r="AC52" t="str">
        <f t="shared" si="8"/>
        <v/>
      </c>
      <c r="AD52" t="str">
        <f t="shared" si="9"/>
        <v>En Blanco</v>
      </c>
      <c r="AE52" t="str">
        <f>_xlfn.XLOOKUP($H$7,BDPROV[ID-Proveedor],BDPROV[NIT/C.C.],0)&amp;$H$13&amp;$E$7&amp;"-"&amp;ROW(Z52)-21</f>
        <v>Comp. Egreso-31</v>
      </c>
      <c r="AQ52" t="str">
        <f t="shared" si="10"/>
        <v>PAGADO</v>
      </c>
    </row>
    <row r="53" spans="3:43">
      <c r="C53" s="194"/>
      <c r="D53" s="206"/>
      <c r="E53" s="142"/>
      <c r="F53" s="195"/>
      <c r="G53" s="183"/>
      <c r="H53" s="37">
        <f t="shared" si="6"/>
        <v>0</v>
      </c>
      <c r="I53" s="37"/>
      <c r="J53" s="210">
        <f t="shared" si="7"/>
        <v>0</v>
      </c>
      <c r="K53" s="197"/>
      <c r="O53" t="str">
        <f>_xlfn.XLOOKUP($H$7,BDPROV[ID-Proveedor],BDPROV[NIT/C.C.])&amp;$H$9&amp;N53&amp;"-"&amp;11</f>
        <v>F.C.-11</v>
      </c>
      <c r="P53" t="str">
        <f t="shared" si="12"/>
        <v/>
      </c>
      <c r="Q53" t="str">
        <f>IF(N53="","",    _xlfn.XLOOKUP(P53,Regcontabilizados[Número pago],Regcontabilizados[Estado de pago],"NO PAGADO"))</f>
        <v/>
      </c>
      <c r="R53" s="44">
        <f>_xlfn.XLOOKUP(O53,Regcontabilizados[Identificador],Regcontabilizados[Fecha vencimiento],0)</f>
        <v>0</v>
      </c>
      <c r="S53">
        <f>_xlfn.XLOOKUP(O53,Regcontabilizados[Identificador],Regcontabilizados[Subcuenta],0)</f>
        <v>0</v>
      </c>
      <c r="T53">
        <f>_xlfn.XLOOKUP(O53,Regcontabilizados[Identificador],Regcontabilizados[Haber],0)</f>
        <v>0</v>
      </c>
      <c r="U53">
        <f>SUMIF(Regcontabilizados[Número pago],'PAGO Compras'!P53,Regcontabilizados[Debe])</f>
        <v>0</v>
      </c>
      <c r="AA53" s="33" t="str">
        <f>IF(J53=0,"",  _xlfn.XLOOKUP(AB53,Regcontabilizados[Identificador],Regcontabilizados[Subcuenta],0))</f>
        <v/>
      </c>
      <c r="AB53" t="str">
        <f>IF(J53=0,"",  _xlfn.XLOOKUP($H$7,BDPROV[ID-Proveedor],BDPROV[NIT/C.C.],0)&amp;$H$9&amp;D53&amp;"-"&amp;11)</f>
        <v/>
      </c>
      <c r="AC53" t="str">
        <f t="shared" si="8"/>
        <v/>
      </c>
      <c r="AD53" t="str">
        <f t="shared" si="9"/>
        <v>En Blanco</v>
      </c>
      <c r="AE53" t="str">
        <f>_xlfn.XLOOKUP($H$7,BDPROV[ID-Proveedor],BDPROV[NIT/C.C.],0)&amp;$H$13&amp;$E$7&amp;"-"&amp;ROW(Z53)-21</f>
        <v>Comp. Egreso-32</v>
      </c>
      <c r="AQ53" t="str">
        <f t="shared" si="10"/>
        <v>PAGADO</v>
      </c>
    </row>
    <row r="54" spans="3:43">
      <c r="C54" s="194"/>
      <c r="D54" s="206"/>
      <c r="E54" s="142"/>
      <c r="F54" s="195"/>
      <c r="G54" s="183"/>
      <c r="H54" s="37">
        <f t="shared" ref="H54:H85" si="14">F54-G54</f>
        <v>0</v>
      </c>
      <c r="I54" s="37"/>
      <c r="J54" s="210">
        <f t="shared" si="7"/>
        <v>0</v>
      </c>
      <c r="K54" s="197"/>
      <c r="O54" t="str">
        <f>_xlfn.XLOOKUP($H$7,BDPROV[ID-Proveedor],BDPROV[NIT/C.C.])&amp;$H$9&amp;N54&amp;"-"&amp;11</f>
        <v>F.C.-11</v>
      </c>
      <c r="P54" t="str">
        <f t="shared" si="12"/>
        <v/>
      </c>
      <c r="Q54" t="str">
        <f>IF(N54="","",    _xlfn.XLOOKUP(P54,Regcontabilizados[Número pago],Regcontabilizados[Estado de pago],"NO PAGADO"))</f>
        <v/>
      </c>
      <c r="R54" s="44">
        <f>_xlfn.XLOOKUP(O54,Regcontabilizados[Identificador],Regcontabilizados[Fecha vencimiento],0)</f>
        <v>0</v>
      </c>
      <c r="S54">
        <f>_xlfn.XLOOKUP(O54,Regcontabilizados[Identificador],Regcontabilizados[Subcuenta],0)</f>
        <v>0</v>
      </c>
      <c r="T54">
        <f>_xlfn.XLOOKUP(O54,Regcontabilizados[Identificador],Regcontabilizados[Haber],0)</f>
        <v>0</v>
      </c>
      <c r="U54">
        <f>SUMIF(Regcontabilizados[Número pago],'PAGO Compras'!P54,Regcontabilizados[Debe])</f>
        <v>0</v>
      </c>
      <c r="AA54" s="33" t="str">
        <f>IF(J54=0,"",  _xlfn.XLOOKUP(AB54,Regcontabilizados[Identificador],Regcontabilizados[Subcuenta],0))</f>
        <v/>
      </c>
      <c r="AB54" t="str">
        <f>IF(J54=0,"",  _xlfn.XLOOKUP($H$7,BDPROV[ID-Proveedor],BDPROV[NIT/C.C.],0)&amp;$H$9&amp;D54&amp;"-"&amp;11)</f>
        <v/>
      </c>
      <c r="AC54" t="str">
        <f t="shared" si="8"/>
        <v/>
      </c>
      <c r="AD54" t="str">
        <f t="shared" si="9"/>
        <v>En Blanco</v>
      </c>
      <c r="AE54" t="str">
        <f>_xlfn.XLOOKUP($H$7,BDPROV[ID-Proveedor],BDPROV[NIT/C.C.],0)&amp;$H$13&amp;$E$7&amp;"-"&amp;ROW(Z54)-21</f>
        <v>Comp. Egreso-33</v>
      </c>
      <c r="AQ54" t="str">
        <f t="shared" si="10"/>
        <v>PAGADO</v>
      </c>
    </row>
    <row r="55" spans="3:43">
      <c r="C55" s="194"/>
      <c r="D55" s="206"/>
      <c r="E55" s="142"/>
      <c r="F55" s="195"/>
      <c r="G55" s="183"/>
      <c r="H55" s="37">
        <f t="shared" si="14"/>
        <v>0</v>
      </c>
      <c r="I55" s="37"/>
      <c r="J55" s="210">
        <f t="shared" si="7"/>
        <v>0</v>
      </c>
      <c r="K55" s="197"/>
      <c r="O55" t="str">
        <f>_xlfn.XLOOKUP($H$7,BDPROV[ID-Proveedor],BDPROV[NIT/C.C.])&amp;$H$9&amp;N55&amp;"-"&amp;11</f>
        <v>F.C.-11</v>
      </c>
      <c r="P55" t="str">
        <f t="shared" si="12"/>
        <v/>
      </c>
      <c r="Q55" t="str">
        <f>IF(N55="","",    _xlfn.XLOOKUP(P55,Regcontabilizados[Número pago],Regcontabilizados[Estado de pago],"NO PAGADO"))</f>
        <v/>
      </c>
      <c r="R55" s="44">
        <f>_xlfn.XLOOKUP(O55,Regcontabilizados[Identificador],Regcontabilizados[Fecha vencimiento],0)</f>
        <v>0</v>
      </c>
      <c r="S55">
        <f>_xlfn.XLOOKUP(O55,Regcontabilizados[Identificador],Regcontabilizados[Subcuenta],0)</f>
        <v>0</v>
      </c>
      <c r="T55">
        <f>_xlfn.XLOOKUP(O55,Regcontabilizados[Identificador],Regcontabilizados[Haber],0)</f>
        <v>0</v>
      </c>
      <c r="U55">
        <f>SUMIF(Regcontabilizados[Número pago],'PAGO Compras'!P55,Regcontabilizados[Debe])</f>
        <v>0</v>
      </c>
      <c r="AA55" s="33" t="str">
        <f>IF(J55=0,"",  _xlfn.XLOOKUP(AB55,Regcontabilizados[Identificador],Regcontabilizados[Subcuenta],0))</f>
        <v/>
      </c>
      <c r="AB55" t="str">
        <f>IF(J55=0,"",  _xlfn.XLOOKUP($H$7,BDPROV[ID-Proveedor],BDPROV[NIT/C.C.],0)&amp;$H$9&amp;D55&amp;"-"&amp;11)</f>
        <v/>
      </c>
      <c r="AC55" t="str">
        <f t="shared" si="8"/>
        <v/>
      </c>
      <c r="AD55" t="str">
        <f t="shared" si="9"/>
        <v>En Blanco</v>
      </c>
      <c r="AE55" t="str">
        <f>_xlfn.XLOOKUP($H$7,BDPROV[ID-Proveedor],BDPROV[NIT/C.C.],0)&amp;$H$13&amp;$E$7&amp;"-"&amp;ROW(Z55)-21</f>
        <v>Comp. Egreso-34</v>
      </c>
      <c r="AQ55" t="str">
        <f t="shared" si="10"/>
        <v>PAGADO</v>
      </c>
    </row>
    <row r="56" spans="3:43">
      <c r="C56" s="194"/>
      <c r="D56" s="206"/>
      <c r="E56" s="142"/>
      <c r="F56" s="195"/>
      <c r="G56" s="183"/>
      <c r="H56" s="37">
        <f t="shared" si="14"/>
        <v>0</v>
      </c>
      <c r="I56" s="37"/>
      <c r="J56" s="210">
        <f t="shared" si="7"/>
        <v>0</v>
      </c>
      <c r="K56" s="197"/>
      <c r="O56" t="str">
        <f>_xlfn.XLOOKUP($H$7,BDPROV[ID-Proveedor],BDPROV[NIT/C.C.])&amp;$H$9&amp;N56&amp;"-"&amp;11</f>
        <v>F.C.-11</v>
      </c>
      <c r="P56" t="str">
        <f t="shared" si="12"/>
        <v/>
      </c>
      <c r="Q56" t="str">
        <f>IF(N56="","",    _xlfn.XLOOKUP(P56,Regcontabilizados[Número pago],Regcontabilizados[Estado de pago],"NO PAGADO"))</f>
        <v/>
      </c>
      <c r="R56" s="44">
        <f>_xlfn.XLOOKUP(O56,Regcontabilizados[Identificador],Regcontabilizados[Fecha vencimiento],0)</f>
        <v>0</v>
      </c>
      <c r="S56">
        <f>_xlfn.XLOOKUP(O56,Regcontabilizados[Identificador],Regcontabilizados[Subcuenta],0)</f>
        <v>0</v>
      </c>
      <c r="T56">
        <f>_xlfn.XLOOKUP(O56,Regcontabilizados[Identificador],Regcontabilizados[Haber],0)</f>
        <v>0</v>
      </c>
      <c r="U56">
        <f>SUMIF(Regcontabilizados[Número pago],'PAGO Compras'!P56,Regcontabilizados[Debe])</f>
        <v>0</v>
      </c>
      <c r="AA56" s="33" t="str">
        <f>IF(J56=0,"",  _xlfn.XLOOKUP(AB56,Regcontabilizados[Identificador],Regcontabilizados[Subcuenta],0))</f>
        <v/>
      </c>
      <c r="AB56" t="str">
        <f>IF(J56=0,"",  _xlfn.XLOOKUP($H$7,BDPROV[ID-Proveedor],BDPROV[NIT/C.C.],0)&amp;$H$9&amp;D56&amp;"-"&amp;11)</f>
        <v/>
      </c>
      <c r="AC56" t="str">
        <f t="shared" si="8"/>
        <v/>
      </c>
      <c r="AD56" t="str">
        <f t="shared" si="9"/>
        <v>En Blanco</v>
      </c>
      <c r="AE56" t="str">
        <f>_xlfn.XLOOKUP($H$7,BDPROV[ID-Proveedor],BDPROV[NIT/C.C.],0)&amp;$H$13&amp;$E$7&amp;"-"&amp;ROW(Z56)-21</f>
        <v>Comp. Egreso-35</v>
      </c>
      <c r="AQ56" t="str">
        <f t="shared" si="10"/>
        <v>PAGADO</v>
      </c>
    </row>
    <row r="57" spans="3:43">
      <c r="C57" s="194"/>
      <c r="D57" s="206"/>
      <c r="E57" s="142"/>
      <c r="F57" s="195"/>
      <c r="G57" s="183"/>
      <c r="H57" s="37">
        <f t="shared" si="14"/>
        <v>0</v>
      </c>
      <c r="I57" s="37"/>
      <c r="J57" s="210">
        <f t="shared" si="7"/>
        <v>0</v>
      </c>
      <c r="K57" s="197"/>
      <c r="O57" t="str">
        <f>_xlfn.XLOOKUP($H$7,BDPROV[ID-Proveedor],BDPROV[NIT/C.C.])&amp;$H$9&amp;N57&amp;"-"&amp;11</f>
        <v>F.C.-11</v>
      </c>
      <c r="P57" t="str">
        <f t="shared" si="12"/>
        <v/>
      </c>
      <c r="Q57" t="str">
        <f>IF(N57="","",    _xlfn.XLOOKUP(P57,Regcontabilizados[Número pago],Regcontabilizados[Estado de pago],"NO PAGADO"))</f>
        <v/>
      </c>
      <c r="R57" s="44">
        <f>_xlfn.XLOOKUP(O57,Regcontabilizados[Identificador],Regcontabilizados[Fecha vencimiento],0)</f>
        <v>0</v>
      </c>
      <c r="S57">
        <f>_xlfn.XLOOKUP(O57,Regcontabilizados[Identificador],Regcontabilizados[Subcuenta],0)</f>
        <v>0</v>
      </c>
      <c r="T57">
        <f>_xlfn.XLOOKUP(O57,Regcontabilizados[Identificador],Regcontabilizados[Haber],0)</f>
        <v>0</v>
      </c>
      <c r="U57">
        <f>SUMIF(Regcontabilizados[Número pago],'PAGO Compras'!P57,Regcontabilizados[Debe])</f>
        <v>0</v>
      </c>
      <c r="AA57" s="33" t="str">
        <f>IF(J57=0,"",  _xlfn.XLOOKUP(AB57,Regcontabilizados[Identificador],Regcontabilizados[Subcuenta],0))</f>
        <v/>
      </c>
      <c r="AB57" t="str">
        <f>IF(J57=0,"",  _xlfn.XLOOKUP($H$7,BDPROV[ID-Proveedor],BDPROV[NIT/C.C.],0)&amp;$H$9&amp;D57&amp;"-"&amp;11)</f>
        <v/>
      </c>
      <c r="AC57" t="str">
        <f t="shared" si="8"/>
        <v/>
      </c>
      <c r="AD57" t="str">
        <f t="shared" si="9"/>
        <v>En Blanco</v>
      </c>
      <c r="AE57" t="str">
        <f>_xlfn.XLOOKUP($H$7,BDPROV[ID-Proveedor],BDPROV[NIT/C.C.],0)&amp;$H$13&amp;$E$7&amp;"-"&amp;ROW(Z57)-21</f>
        <v>Comp. Egreso-36</v>
      </c>
      <c r="AQ57" t="str">
        <f t="shared" si="10"/>
        <v>PAGADO</v>
      </c>
    </row>
    <row r="58" spans="3:43">
      <c r="C58" s="194"/>
      <c r="D58" s="206"/>
      <c r="E58" s="142"/>
      <c r="F58" s="195"/>
      <c r="G58" s="183"/>
      <c r="H58" s="37">
        <f t="shared" si="14"/>
        <v>0</v>
      </c>
      <c r="I58" s="37"/>
      <c r="J58" s="210">
        <f t="shared" si="7"/>
        <v>0</v>
      </c>
      <c r="K58" s="197"/>
      <c r="O58" t="str">
        <f>_xlfn.XLOOKUP($H$7,BDPROV[ID-Proveedor],BDPROV[NIT/C.C.])&amp;$H$9&amp;N58&amp;"-"&amp;11</f>
        <v>F.C.-11</v>
      </c>
      <c r="P58" t="str">
        <f t="shared" si="12"/>
        <v/>
      </c>
      <c r="Q58" t="str">
        <f>IF(N58="","",    _xlfn.XLOOKUP(P58,Regcontabilizados[Número pago],Regcontabilizados[Estado de pago],"NO PAGADO"))</f>
        <v/>
      </c>
      <c r="R58" s="44">
        <f>_xlfn.XLOOKUP(O58,Regcontabilizados[Identificador],Regcontabilizados[Fecha vencimiento],0)</f>
        <v>0</v>
      </c>
      <c r="S58">
        <f>_xlfn.XLOOKUP(O58,Regcontabilizados[Identificador],Regcontabilizados[Subcuenta],0)</f>
        <v>0</v>
      </c>
      <c r="T58">
        <f>_xlfn.XLOOKUP(O58,Regcontabilizados[Identificador],Regcontabilizados[Haber],0)</f>
        <v>0</v>
      </c>
      <c r="U58">
        <f>SUMIF(Regcontabilizados[Número pago],'PAGO Compras'!P58,Regcontabilizados[Debe])</f>
        <v>0</v>
      </c>
      <c r="AA58" s="33" t="str">
        <f>IF(J58=0,"",  _xlfn.XLOOKUP(AB58,Regcontabilizados[Identificador],Regcontabilizados[Subcuenta],0))</f>
        <v/>
      </c>
      <c r="AB58" t="str">
        <f>IF(J58=0,"",  _xlfn.XLOOKUP($H$7,BDPROV[ID-Proveedor],BDPROV[NIT/C.C.],0)&amp;$H$9&amp;D58&amp;"-"&amp;11)</f>
        <v/>
      </c>
      <c r="AC58" t="str">
        <f t="shared" si="8"/>
        <v/>
      </c>
      <c r="AD58" t="str">
        <f t="shared" si="9"/>
        <v>En Blanco</v>
      </c>
      <c r="AE58" t="str">
        <f>_xlfn.XLOOKUP($H$7,BDPROV[ID-Proveedor],BDPROV[NIT/C.C.],0)&amp;$H$13&amp;$E$7&amp;"-"&amp;ROW(Z58)-21</f>
        <v>Comp. Egreso-37</v>
      </c>
      <c r="AQ58" t="str">
        <f t="shared" si="10"/>
        <v>PAGADO</v>
      </c>
    </row>
    <row r="59" spans="3:43">
      <c r="C59" s="194"/>
      <c r="D59" s="206"/>
      <c r="E59" s="142"/>
      <c r="F59" s="195"/>
      <c r="G59" s="183"/>
      <c r="H59" s="37">
        <f t="shared" si="14"/>
        <v>0</v>
      </c>
      <c r="I59" s="37"/>
      <c r="J59" s="210">
        <f t="shared" si="7"/>
        <v>0</v>
      </c>
      <c r="K59" s="197"/>
      <c r="O59" t="str">
        <f>_xlfn.XLOOKUP($H$7,BDPROV[ID-Proveedor],BDPROV[NIT/C.C.])&amp;$H$9&amp;N59&amp;"-"&amp;11</f>
        <v>F.C.-11</v>
      </c>
      <c r="P59" t="str">
        <f t="shared" si="12"/>
        <v/>
      </c>
      <c r="Q59" t="str">
        <f>IF(N59="","",    _xlfn.XLOOKUP(P59,Regcontabilizados[Número pago],Regcontabilizados[Estado de pago],"NO PAGADO"))</f>
        <v/>
      </c>
      <c r="R59" s="44">
        <f>_xlfn.XLOOKUP(O59,Regcontabilizados[Identificador],Regcontabilizados[Fecha vencimiento],0)</f>
        <v>0</v>
      </c>
      <c r="S59">
        <f>_xlfn.XLOOKUP(O59,Regcontabilizados[Identificador],Regcontabilizados[Subcuenta],0)</f>
        <v>0</v>
      </c>
      <c r="T59">
        <f>_xlfn.XLOOKUP(O59,Regcontabilizados[Identificador],Regcontabilizados[Haber],0)</f>
        <v>0</v>
      </c>
      <c r="U59">
        <f>SUMIF(Regcontabilizados[Número pago],'PAGO Compras'!P59,Regcontabilizados[Debe])</f>
        <v>0</v>
      </c>
      <c r="AA59" s="33" t="str">
        <f>IF(J59=0,"",  _xlfn.XLOOKUP(AB59,Regcontabilizados[Identificador],Regcontabilizados[Subcuenta],0))</f>
        <v/>
      </c>
      <c r="AB59" t="str">
        <f>IF(J59=0,"",  _xlfn.XLOOKUP($H$7,BDPROV[ID-Proveedor],BDPROV[NIT/C.C.],0)&amp;$H$9&amp;D59&amp;"-"&amp;11)</f>
        <v/>
      </c>
      <c r="AC59" t="str">
        <f t="shared" si="8"/>
        <v/>
      </c>
      <c r="AD59" t="str">
        <f t="shared" si="9"/>
        <v>En Blanco</v>
      </c>
      <c r="AE59" t="str">
        <f>_xlfn.XLOOKUP($H$7,BDPROV[ID-Proveedor],BDPROV[NIT/C.C.],0)&amp;$H$13&amp;$E$7&amp;"-"&amp;ROW(Z59)-21</f>
        <v>Comp. Egreso-38</v>
      </c>
      <c r="AQ59" t="str">
        <f t="shared" si="10"/>
        <v>PAGADO</v>
      </c>
    </row>
    <row r="60" spans="3:43">
      <c r="C60" s="194"/>
      <c r="D60" s="206"/>
      <c r="E60" s="142"/>
      <c r="F60" s="195"/>
      <c r="G60" s="183"/>
      <c r="H60" s="37">
        <f t="shared" si="14"/>
        <v>0</v>
      </c>
      <c r="I60" s="37"/>
      <c r="J60" s="210">
        <f t="shared" si="7"/>
        <v>0</v>
      </c>
      <c r="K60" s="197"/>
      <c r="O60" t="str">
        <f>_xlfn.XLOOKUP($H$7,BDPROV[ID-Proveedor],BDPROV[NIT/C.C.])&amp;$H$9&amp;N60&amp;"-"&amp;11</f>
        <v>F.C.-11</v>
      </c>
      <c r="P60" t="str">
        <f t="shared" si="12"/>
        <v/>
      </c>
      <c r="Q60" t="str">
        <f>IF(N60="","",    _xlfn.XLOOKUP(P60,Regcontabilizados[Número pago],Regcontabilizados[Estado de pago],"NO PAGADO"))</f>
        <v/>
      </c>
      <c r="R60" s="44">
        <f>_xlfn.XLOOKUP(O60,Regcontabilizados[Identificador],Regcontabilizados[Fecha vencimiento],0)</f>
        <v>0</v>
      </c>
      <c r="S60">
        <f>_xlfn.XLOOKUP(O60,Regcontabilizados[Identificador],Regcontabilizados[Subcuenta],0)</f>
        <v>0</v>
      </c>
      <c r="T60">
        <f>_xlfn.XLOOKUP(O60,Regcontabilizados[Identificador],Regcontabilizados[Haber],0)</f>
        <v>0</v>
      </c>
      <c r="U60">
        <f>SUMIF(Regcontabilizados[Número pago],'PAGO Compras'!P60,Regcontabilizados[Debe])</f>
        <v>0</v>
      </c>
      <c r="AA60" s="33" t="str">
        <f>IF(J60=0,"",  _xlfn.XLOOKUP(AB60,Regcontabilizados[Identificador],Regcontabilizados[Subcuenta],0))</f>
        <v/>
      </c>
      <c r="AB60" t="str">
        <f>IF(J60=0,"",  _xlfn.XLOOKUP($H$7,BDPROV[ID-Proveedor],BDPROV[NIT/C.C.],0)&amp;$H$9&amp;D60&amp;"-"&amp;11)</f>
        <v/>
      </c>
      <c r="AC60" t="str">
        <f t="shared" si="8"/>
        <v/>
      </c>
      <c r="AD60" t="str">
        <f t="shared" si="9"/>
        <v>En Blanco</v>
      </c>
      <c r="AE60" t="str">
        <f>_xlfn.XLOOKUP($H$7,BDPROV[ID-Proveedor],BDPROV[NIT/C.C.],0)&amp;$H$13&amp;$E$7&amp;"-"&amp;ROW(Z60)-21</f>
        <v>Comp. Egreso-39</v>
      </c>
      <c r="AQ60" t="str">
        <f t="shared" si="10"/>
        <v>PAGADO</v>
      </c>
    </row>
    <row r="61" spans="3:43">
      <c r="C61" s="194"/>
      <c r="D61" s="206"/>
      <c r="E61" s="142"/>
      <c r="F61" s="195"/>
      <c r="G61" s="183"/>
      <c r="H61" s="37">
        <f t="shared" si="14"/>
        <v>0</v>
      </c>
      <c r="I61" s="37"/>
      <c r="J61" s="210">
        <f t="shared" si="7"/>
        <v>0</v>
      </c>
      <c r="K61" s="197"/>
      <c r="O61" t="str">
        <f>_xlfn.XLOOKUP($H$7,BDPROV[ID-Proveedor],BDPROV[NIT/C.C.])&amp;$H$9&amp;N61&amp;"-"&amp;11</f>
        <v>F.C.-11</v>
      </c>
      <c r="P61" t="str">
        <f t="shared" si="12"/>
        <v/>
      </c>
      <c r="Q61" t="str">
        <f>IF(N61="","",    _xlfn.XLOOKUP(P61,Regcontabilizados[Número pago],Regcontabilizados[Estado de pago],"NO PAGADO"))</f>
        <v/>
      </c>
      <c r="R61" s="44">
        <f>_xlfn.XLOOKUP(O61,Regcontabilizados[Identificador],Regcontabilizados[Fecha vencimiento],0)</f>
        <v>0</v>
      </c>
      <c r="S61">
        <f>_xlfn.XLOOKUP(O61,Regcontabilizados[Identificador],Regcontabilizados[Subcuenta],0)</f>
        <v>0</v>
      </c>
      <c r="T61">
        <f>_xlfn.XLOOKUP(O61,Regcontabilizados[Identificador],Regcontabilizados[Haber],0)</f>
        <v>0</v>
      </c>
      <c r="U61">
        <f>SUMIF(Regcontabilizados[Número pago],'PAGO Compras'!P61,Regcontabilizados[Debe])</f>
        <v>0</v>
      </c>
      <c r="AA61" s="33" t="str">
        <f>IF(J61=0,"",  _xlfn.XLOOKUP(AB61,Regcontabilizados[Identificador],Regcontabilizados[Subcuenta],0))</f>
        <v/>
      </c>
      <c r="AB61" t="str">
        <f>IF(J61=0,"",  _xlfn.XLOOKUP($H$7,BDPROV[ID-Proveedor],BDPROV[NIT/C.C.],0)&amp;$H$9&amp;D61&amp;"-"&amp;11)</f>
        <v/>
      </c>
      <c r="AC61" t="str">
        <f t="shared" si="8"/>
        <v/>
      </c>
      <c r="AD61" t="str">
        <f t="shared" si="9"/>
        <v>En Blanco</v>
      </c>
      <c r="AE61" t="str">
        <f>_xlfn.XLOOKUP($H$7,BDPROV[ID-Proveedor],BDPROV[NIT/C.C.],0)&amp;$H$13&amp;$E$7&amp;"-"&amp;ROW(Z61)-21</f>
        <v>Comp. Egreso-40</v>
      </c>
      <c r="AQ61" t="str">
        <f t="shared" si="10"/>
        <v>PAGADO</v>
      </c>
    </row>
    <row r="62" spans="3:43">
      <c r="C62" s="194"/>
      <c r="D62" s="206"/>
      <c r="E62" s="142"/>
      <c r="F62" s="195"/>
      <c r="G62" s="183"/>
      <c r="H62" s="37">
        <f t="shared" si="14"/>
        <v>0</v>
      </c>
      <c r="I62" s="37"/>
      <c r="J62" s="210">
        <f t="shared" si="7"/>
        <v>0</v>
      </c>
      <c r="K62" s="197"/>
      <c r="O62" t="str">
        <f>_xlfn.XLOOKUP($H$7,BDPROV[ID-Proveedor],BDPROV[NIT/C.C.])&amp;$H$9&amp;N62&amp;"-"&amp;11</f>
        <v>F.C.-11</v>
      </c>
      <c r="P62" t="str">
        <f t="shared" si="12"/>
        <v/>
      </c>
      <c r="Q62" t="str">
        <f>IF(N62="","",    _xlfn.XLOOKUP(P62,Regcontabilizados[Número pago],Regcontabilizados[Estado de pago],"NO PAGADO"))</f>
        <v/>
      </c>
      <c r="R62" s="44">
        <f>_xlfn.XLOOKUP(O62,Regcontabilizados[Identificador],Regcontabilizados[Fecha vencimiento],0)</f>
        <v>0</v>
      </c>
      <c r="S62">
        <f>_xlfn.XLOOKUP(O62,Regcontabilizados[Identificador],Regcontabilizados[Subcuenta],0)</f>
        <v>0</v>
      </c>
      <c r="T62">
        <f>_xlfn.XLOOKUP(O62,Regcontabilizados[Identificador],Regcontabilizados[Haber],0)</f>
        <v>0</v>
      </c>
      <c r="U62">
        <f>SUMIF(Regcontabilizados[Número pago],'PAGO Compras'!P62,Regcontabilizados[Debe])</f>
        <v>0</v>
      </c>
      <c r="AA62" s="33" t="str">
        <f>IF(J62=0,"",  _xlfn.XLOOKUP(AB62,Regcontabilizados[Identificador],Regcontabilizados[Subcuenta],0))</f>
        <v/>
      </c>
      <c r="AB62" t="str">
        <f>IF(J62=0,"",  _xlfn.XLOOKUP($H$7,BDPROV[ID-Proveedor],BDPROV[NIT/C.C.],0)&amp;$H$9&amp;D62&amp;"-"&amp;11)</f>
        <v/>
      </c>
      <c r="AC62" t="str">
        <f t="shared" si="8"/>
        <v/>
      </c>
      <c r="AD62" t="str">
        <f t="shared" si="9"/>
        <v>En Blanco</v>
      </c>
      <c r="AE62" t="str">
        <f>_xlfn.XLOOKUP($H$7,BDPROV[ID-Proveedor],BDPROV[NIT/C.C.],0)&amp;$H$13&amp;$E$7&amp;"-"&amp;ROW(Z62)-21</f>
        <v>Comp. Egreso-41</v>
      </c>
      <c r="AQ62" t="str">
        <f t="shared" si="10"/>
        <v>PAGADO</v>
      </c>
    </row>
    <row r="63" spans="3:43">
      <c r="C63" s="194"/>
      <c r="D63" s="206"/>
      <c r="E63" s="142"/>
      <c r="F63" s="195"/>
      <c r="G63" s="183"/>
      <c r="H63" s="37">
        <f t="shared" si="14"/>
        <v>0</v>
      </c>
      <c r="I63" s="37"/>
      <c r="J63" s="210">
        <f t="shared" si="7"/>
        <v>0</v>
      </c>
      <c r="K63" s="197"/>
      <c r="O63" t="str">
        <f>_xlfn.XLOOKUP($H$7,BDPROV[ID-Proveedor],BDPROV[NIT/C.C.])&amp;$H$9&amp;N63&amp;"-"&amp;11</f>
        <v>F.C.-11</v>
      </c>
      <c r="P63" t="str">
        <f t="shared" si="12"/>
        <v/>
      </c>
      <c r="Q63" t="str">
        <f>IF(N63="","",    _xlfn.XLOOKUP(P63,Regcontabilizados[Número pago],Regcontabilizados[Estado de pago],"NO PAGADO"))</f>
        <v/>
      </c>
      <c r="R63" s="44">
        <f>_xlfn.XLOOKUP(O63,Regcontabilizados[Identificador],Regcontabilizados[Fecha vencimiento],0)</f>
        <v>0</v>
      </c>
      <c r="S63">
        <f>_xlfn.XLOOKUP(O63,Regcontabilizados[Identificador],Regcontabilizados[Subcuenta],0)</f>
        <v>0</v>
      </c>
      <c r="T63">
        <f>_xlfn.XLOOKUP(O63,Regcontabilizados[Identificador],Regcontabilizados[Haber],0)</f>
        <v>0</v>
      </c>
      <c r="U63">
        <f>SUMIF(Regcontabilizados[Número pago],'PAGO Compras'!P63,Regcontabilizados[Debe])</f>
        <v>0</v>
      </c>
      <c r="AA63" s="33" t="str">
        <f>IF(J63=0,"",  _xlfn.XLOOKUP(AB63,Regcontabilizados[Identificador],Regcontabilizados[Subcuenta],0))</f>
        <v/>
      </c>
      <c r="AB63" t="str">
        <f>IF(J63=0,"",  _xlfn.XLOOKUP($H$7,BDPROV[ID-Proveedor],BDPROV[NIT/C.C.],0)&amp;$H$9&amp;D63&amp;"-"&amp;11)</f>
        <v/>
      </c>
      <c r="AC63" t="str">
        <f t="shared" si="8"/>
        <v/>
      </c>
      <c r="AD63" t="str">
        <f t="shared" si="9"/>
        <v>En Blanco</v>
      </c>
      <c r="AE63" t="str">
        <f>_xlfn.XLOOKUP($H$7,BDPROV[ID-Proveedor],BDPROV[NIT/C.C.],0)&amp;$H$13&amp;$E$7&amp;"-"&amp;ROW(Z63)-21</f>
        <v>Comp. Egreso-42</v>
      </c>
      <c r="AQ63" t="str">
        <f t="shared" si="10"/>
        <v>PAGADO</v>
      </c>
    </row>
    <row r="64" spans="3:43">
      <c r="C64" s="194"/>
      <c r="D64" s="206"/>
      <c r="E64" s="142"/>
      <c r="F64" s="195"/>
      <c r="G64" s="183"/>
      <c r="H64" s="37">
        <f t="shared" si="14"/>
        <v>0</v>
      </c>
      <c r="I64" s="37"/>
      <c r="J64" s="210">
        <f t="shared" si="7"/>
        <v>0</v>
      </c>
      <c r="K64" s="197"/>
      <c r="O64" t="str">
        <f>_xlfn.XLOOKUP($H$7,BDPROV[ID-Proveedor],BDPROV[NIT/C.C.])&amp;$H$9&amp;N64&amp;"-"&amp;11</f>
        <v>F.C.-11</v>
      </c>
      <c r="P64" t="str">
        <f t="shared" si="12"/>
        <v/>
      </c>
      <c r="Q64" t="str">
        <f>IF(N64="","",    _xlfn.XLOOKUP(P64,Regcontabilizados[Número pago],Regcontabilizados[Estado de pago],"NO PAGADO"))</f>
        <v/>
      </c>
      <c r="R64" s="44">
        <f>_xlfn.XLOOKUP(O64,Regcontabilizados[Identificador],Regcontabilizados[Fecha vencimiento],0)</f>
        <v>0</v>
      </c>
      <c r="S64">
        <f>_xlfn.XLOOKUP(O64,Regcontabilizados[Identificador],Regcontabilizados[Subcuenta],0)</f>
        <v>0</v>
      </c>
      <c r="T64">
        <f>_xlfn.XLOOKUP(O64,Regcontabilizados[Identificador],Regcontabilizados[Haber],0)</f>
        <v>0</v>
      </c>
      <c r="U64">
        <f>SUMIF(Regcontabilizados[Número pago],'PAGO Compras'!P64,Regcontabilizados[Debe])</f>
        <v>0</v>
      </c>
      <c r="AA64" s="33" t="str">
        <f>IF(J64=0,"",  _xlfn.XLOOKUP(AB64,Regcontabilizados[Identificador],Regcontabilizados[Subcuenta],0))</f>
        <v/>
      </c>
      <c r="AB64" t="str">
        <f>IF(J64=0,"",  _xlfn.XLOOKUP($H$7,BDPROV[ID-Proveedor],BDPROV[NIT/C.C.],0)&amp;$H$9&amp;D64&amp;"-"&amp;11)</f>
        <v/>
      </c>
      <c r="AC64" t="str">
        <f t="shared" si="8"/>
        <v/>
      </c>
      <c r="AD64" t="str">
        <f t="shared" si="9"/>
        <v>En Blanco</v>
      </c>
      <c r="AE64" t="str">
        <f>_xlfn.XLOOKUP($H$7,BDPROV[ID-Proveedor],BDPROV[NIT/C.C.],0)&amp;$H$13&amp;$E$7&amp;"-"&amp;ROW(Z64)-21</f>
        <v>Comp. Egreso-43</v>
      </c>
      <c r="AQ64" t="str">
        <f t="shared" si="10"/>
        <v>PAGADO</v>
      </c>
    </row>
    <row r="65" spans="3:43">
      <c r="C65" s="194"/>
      <c r="D65" s="206"/>
      <c r="E65" s="142"/>
      <c r="F65" s="195"/>
      <c r="G65" s="183"/>
      <c r="H65" s="37">
        <f t="shared" si="14"/>
        <v>0</v>
      </c>
      <c r="I65" s="37"/>
      <c r="J65" s="210">
        <f t="shared" si="7"/>
        <v>0</v>
      </c>
      <c r="K65" s="197"/>
      <c r="O65" t="str">
        <f>_xlfn.XLOOKUP($H$7,BDPROV[ID-Proveedor],BDPROV[NIT/C.C.])&amp;$H$9&amp;N65&amp;"-"&amp;11</f>
        <v>F.C.-11</v>
      </c>
      <c r="P65" t="str">
        <f t="shared" si="12"/>
        <v/>
      </c>
      <c r="Q65" t="str">
        <f>IF(N65="","",    _xlfn.XLOOKUP(P65,Regcontabilizados[Número pago],Regcontabilizados[Estado de pago],"NO PAGADO"))</f>
        <v/>
      </c>
      <c r="R65" s="44">
        <f>_xlfn.XLOOKUP(O65,Regcontabilizados[Identificador],Regcontabilizados[Fecha vencimiento],0)</f>
        <v>0</v>
      </c>
      <c r="S65">
        <f>_xlfn.XLOOKUP(O65,Regcontabilizados[Identificador],Regcontabilizados[Subcuenta],0)</f>
        <v>0</v>
      </c>
      <c r="T65">
        <f>_xlfn.XLOOKUP(O65,Regcontabilizados[Identificador],Regcontabilizados[Haber],0)</f>
        <v>0</v>
      </c>
      <c r="U65">
        <f>SUMIF(Regcontabilizados[Número pago],'PAGO Compras'!P65,Regcontabilizados[Debe])</f>
        <v>0</v>
      </c>
      <c r="AA65" s="33" t="str">
        <f>IF(J65=0,"",  _xlfn.XLOOKUP(AB65,Regcontabilizados[Identificador],Regcontabilizados[Subcuenta],0))</f>
        <v/>
      </c>
      <c r="AB65" t="str">
        <f>IF(J65=0,"",  _xlfn.XLOOKUP($H$7,BDPROV[ID-Proveedor],BDPROV[NIT/C.C.],0)&amp;$H$9&amp;D65&amp;"-"&amp;11)</f>
        <v/>
      </c>
      <c r="AC65" t="str">
        <f t="shared" si="8"/>
        <v/>
      </c>
      <c r="AD65" t="str">
        <f t="shared" si="9"/>
        <v>En Blanco</v>
      </c>
      <c r="AE65" t="str">
        <f>_xlfn.XLOOKUP($H$7,BDPROV[ID-Proveedor],BDPROV[NIT/C.C.],0)&amp;$H$13&amp;$E$7&amp;"-"&amp;ROW(Z65)-21</f>
        <v>Comp. Egreso-44</v>
      </c>
      <c r="AQ65" t="str">
        <f t="shared" si="10"/>
        <v>PAGADO</v>
      </c>
    </row>
    <row r="66" spans="3:43">
      <c r="C66" s="194"/>
      <c r="D66" s="206"/>
      <c r="E66" s="142"/>
      <c r="F66" s="195"/>
      <c r="G66" s="183"/>
      <c r="H66" s="37">
        <f t="shared" si="14"/>
        <v>0</v>
      </c>
      <c r="I66" s="37"/>
      <c r="J66" s="210">
        <f t="shared" si="7"/>
        <v>0</v>
      </c>
      <c r="K66" s="197"/>
      <c r="O66" t="str">
        <f>_xlfn.XLOOKUP($H$7,BDPROV[ID-Proveedor],BDPROV[NIT/C.C.])&amp;$H$9&amp;N66&amp;"-"&amp;11</f>
        <v>F.C.-11</v>
      </c>
      <c r="P66" t="str">
        <f t="shared" si="12"/>
        <v/>
      </c>
      <c r="Q66" t="str">
        <f>IF(N66="","",    _xlfn.XLOOKUP(P66,Regcontabilizados[Número pago],Regcontabilizados[Estado de pago],"NO PAGADO"))</f>
        <v/>
      </c>
      <c r="R66" s="44">
        <f>_xlfn.XLOOKUP(O66,Regcontabilizados[Identificador],Regcontabilizados[Fecha vencimiento],0)</f>
        <v>0</v>
      </c>
      <c r="S66">
        <f>_xlfn.XLOOKUP(O66,Regcontabilizados[Identificador],Regcontabilizados[Subcuenta],0)</f>
        <v>0</v>
      </c>
      <c r="T66">
        <f>_xlfn.XLOOKUP(O66,Regcontabilizados[Identificador],Regcontabilizados[Haber],0)</f>
        <v>0</v>
      </c>
      <c r="U66">
        <f>SUMIF(Regcontabilizados[Número pago],'PAGO Compras'!P66,Regcontabilizados[Debe])</f>
        <v>0</v>
      </c>
      <c r="AA66" s="33" t="str">
        <f>IF(J66=0,"",  _xlfn.XLOOKUP(AB66,Regcontabilizados[Identificador],Regcontabilizados[Subcuenta],0))</f>
        <v/>
      </c>
      <c r="AB66" t="str">
        <f>IF(J66=0,"",  _xlfn.XLOOKUP($H$7,BDPROV[ID-Proveedor],BDPROV[NIT/C.C.],0)&amp;$H$9&amp;D66&amp;"-"&amp;11)</f>
        <v/>
      </c>
      <c r="AC66" t="str">
        <f t="shared" si="8"/>
        <v/>
      </c>
      <c r="AD66" t="str">
        <f t="shared" si="9"/>
        <v>En Blanco</v>
      </c>
      <c r="AE66" t="str">
        <f>_xlfn.XLOOKUP($H$7,BDPROV[ID-Proveedor],BDPROV[NIT/C.C.],0)&amp;$H$13&amp;$E$7&amp;"-"&amp;ROW(Z66)-21</f>
        <v>Comp. Egreso-45</v>
      </c>
      <c r="AQ66" t="str">
        <f t="shared" si="10"/>
        <v>PAGADO</v>
      </c>
    </row>
    <row r="67" spans="3:43">
      <c r="C67" s="194"/>
      <c r="D67" s="206"/>
      <c r="E67" s="142"/>
      <c r="F67" s="195"/>
      <c r="G67" s="183"/>
      <c r="H67" s="37">
        <f t="shared" si="14"/>
        <v>0</v>
      </c>
      <c r="I67" s="37"/>
      <c r="J67" s="210">
        <f t="shared" si="7"/>
        <v>0</v>
      </c>
      <c r="K67" s="197"/>
      <c r="O67" t="str">
        <f>_xlfn.XLOOKUP($H$7,BDPROV[ID-Proveedor],BDPROV[NIT/C.C.])&amp;$H$9&amp;N67&amp;"-"&amp;11</f>
        <v>F.C.-11</v>
      </c>
      <c r="P67" t="str">
        <f t="shared" si="12"/>
        <v/>
      </c>
      <c r="Q67" t="str">
        <f>IF(N67="","",    _xlfn.XLOOKUP(P67,Regcontabilizados[Número pago],Regcontabilizados[Estado de pago],"NO PAGADO"))</f>
        <v/>
      </c>
      <c r="R67" s="44">
        <f>_xlfn.XLOOKUP(O67,Regcontabilizados[Identificador],Regcontabilizados[Fecha vencimiento],0)</f>
        <v>0</v>
      </c>
      <c r="S67">
        <f>_xlfn.XLOOKUP(O67,Regcontabilizados[Identificador],Regcontabilizados[Subcuenta],0)</f>
        <v>0</v>
      </c>
      <c r="T67">
        <f>_xlfn.XLOOKUP(O67,Regcontabilizados[Identificador],Regcontabilizados[Haber],0)</f>
        <v>0</v>
      </c>
      <c r="U67">
        <f>SUMIF(Regcontabilizados[Número pago],'PAGO Compras'!P67,Regcontabilizados[Debe])</f>
        <v>0</v>
      </c>
      <c r="AA67" s="33" t="str">
        <f>IF(J67=0,"",  _xlfn.XLOOKUP(AB67,Regcontabilizados[Identificador],Regcontabilizados[Subcuenta],0))</f>
        <v/>
      </c>
      <c r="AB67" t="str">
        <f>IF(J67=0,"",  _xlfn.XLOOKUP($H$7,BDPROV[ID-Proveedor],BDPROV[NIT/C.C.],0)&amp;$H$9&amp;D67&amp;"-"&amp;11)</f>
        <v/>
      </c>
      <c r="AC67" t="str">
        <f t="shared" si="8"/>
        <v/>
      </c>
      <c r="AD67" t="str">
        <f t="shared" si="9"/>
        <v>En Blanco</v>
      </c>
      <c r="AE67" t="str">
        <f>_xlfn.XLOOKUP($H$7,BDPROV[ID-Proveedor],BDPROV[NIT/C.C.],0)&amp;$H$13&amp;$E$7&amp;"-"&amp;ROW(Z67)-21</f>
        <v>Comp. Egreso-46</v>
      </c>
      <c r="AQ67" t="str">
        <f t="shared" si="10"/>
        <v>PAGADO</v>
      </c>
    </row>
    <row r="68" spans="3:43">
      <c r="C68" s="194"/>
      <c r="D68" s="206"/>
      <c r="E68" s="142"/>
      <c r="F68" s="195"/>
      <c r="G68" s="183"/>
      <c r="H68" s="37">
        <f t="shared" si="14"/>
        <v>0</v>
      </c>
      <c r="I68" s="37"/>
      <c r="J68" s="210">
        <f t="shared" si="7"/>
        <v>0</v>
      </c>
      <c r="K68" s="197"/>
      <c r="O68" t="str">
        <f>_xlfn.XLOOKUP($H$7,BDPROV[ID-Proveedor],BDPROV[NIT/C.C.])&amp;$H$9&amp;N68&amp;"-"&amp;11</f>
        <v>F.C.-11</v>
      </c>
      <c r="P68" t="str">
        <f t="shared" si="12"/>
        <v/>
      </c>
      <c r="Q68" t="str">
        <f>IF(N68="","",    _xlfn.XLOOKUP(P68,Regcontabilizados[Número pago],Regcontabilizados[Estado de pago],"NO PAGADO"))</f>
        <v/>
      </c>
      <c r="R68" s="44">
        <f>_xlfn.XLOOKUP(O68,Regcontabilizados[Identificador],Regcontabilizados[Fecha vencimiento],0)</f>
        <v>0</v>
      </c>
      <c r="S68">
        <f>_xlfn.XLOOKUP(O68,Regcontabilizados[Identificador],Regcontabilizados[Subcuenta],0)</f>
        <v>0</v>
      </c>
      <c r="T68">
        <f>_xlfn.XLOOKUP(O68,Regcontabilizados[Identificador],Regcontabilizados[Haber],0)</f>
        <v>0</v>
      </c>
      <c r="U68">
        <f>SUMIF(Regcontabilizados[Número pago],'PAGO Compras'!P68,Regcontabilizados[Debe])</f>
        <v>0</v>
      </c>
      <c r="AA68" s="33" t="str">
        <f>IF(J68=0,"",  _xlfn.XLOOKUP(AB68,Regcontabilizados[Identificador],Regcontabilizados[Subcuenta],0))</f>
        <v/>
      </c>
      <c r="AB68" t="str">
        <f>IF(J68=0,"",  _xlfn.XLOOKUP($H$7,BDPROV[ID-Proveedor],BDPROV[NIT/C.C.],0)&amp;$H$9&amp;D68&amp;"-"&amp;11)</f>
        <v/>
      </c>
      <c r="AC68" t="str">
        <f t="shared" si="8"/>
        <v/>
      </c>
      <c r="AD68" t="str">
        <f t="shared" si="9"/>
        <v>En Blanco</v>
      </c>
      <c r="AE68" t="str">
        <f>_xlfn.XLOOKUP($H$7,BDPROV[ID-Proveedor],BDPROV[NIT/C.C.],0)&amp;$H$13&amp;$E$7&amp;"-"&amp;ROW(Z68)-21</f>
        <v>Comp. Egreso-47</v>
      </c>
      <c r="AQ68" t="str">
        <f t="shared" si="10"/>
        <v>PAGADO</v>
      </c>
    </row>
    <row r="69" spans="3:43">
      <c r="C69" s="194"/>
      <c r="D69" s="206"/>
      <c r="E69" s="142"/>
      <c r="F69" s="195"/>
      <c r="G69" s="183"/>
      <c r="H69" s="37">
        <f t="shared" si="14"/>
        <v>0</v>
      </c>
      <c r="I69" s="37"/>
      <c r="J69" s="210">
        <f t="shared" si="7"/>
        <v>0</v>
      </c>
      <c r="K69" s="197"/>
      <c r="O69" t="str">
        <f>_xlfn.XLOOKUP($H$7,BDPROV[ID-Proveedor],BDPROV[NIT/C.C.])&amp;$H$9&amp;N69&amp;"-"&amp;11</f>
        <v>F.C.-11</v>
      </c>
      <c r="P69" t="str">
        <f t="shared" si="12"/>
        <v/>
      </c>
      <c r="Q69" t="str">
        <f>IF(N69="","",    _xlfn.XLOOKUP(P69,Regcontabilizados[Número pago],Regcontabilizados[Estado de pago],"NO PAGADO"))</f>
        <v/>
      </c>
      <c r="R69" s="44">
        <f>_xlfn.XLOOKUP(O69,Regcontabilizados[Identificador],Regcontabilizados[Fecha vencimiento],0)</f>
        <v>0</v>
      </c>
      <c r="S69">
        <f>_xlfn.XLOOKUP(O69,Regcontabilizados[Identificador],Regcontabilizados[Subcuenta],0)</f>
        <v>0</v>
      </c>
      <c r="T69">
        <f>_xlfn.XLOOKUP(O69,Regcontabilizados[Identificador],Regcontabilizados[Haber],0)</f>
        <v>0</v>
      </c>
      <c r="U69">
        <f>SUMIF(Regcontabilizados[Número pago],'PAGO Compras'!P69,Regcontabilizados[Debe])</f>
        <v>0</v>
      </c>
      <c r="AA69" s="33" t="str">
        <f>IF(J69=0,"",  _xlfn.XLOOKUP(AB69,Regcontabilizados[Identificador],Regcontabilizados[Subcuenta],0))</f>
        <v/>
      </c>
      <c r="AB69" t="str">
        <f>IF(J69=0,"",  _xlfn.XLOOKUP($H$7,BDPROV[ID-Proveedor],BDPROV[NIT/C.C.],0)&amp;$H$9&amp;D69&amp;"-"&amp;11)</f>
        <v/>
      </c>
      <c r="AC69" t="str">
        <f t="shared" si="8"/>
        <v/>
      </c>
      <c r="AD69" t="str">
        <f t="shared" si="9"/>
        <v>En Blanco</v>
      </c>
      <c r="AE69" t="str">
        <f>_xlfn.XLOOKUP($H$7,BDPROV[ID-Proveedor],BDPROV[NIT/C.C.],0)&amp;$H$13&amp;$E$7&amp;"-"&amp;ROW(Z69)-21</f>
        <v>Comp. Egreso-48</v>
      </c>
      <c r="AQ69" t="str">
        <f t="shared" si="10"/>
        <v>PAGADO</v>
      </c>
    </row>
    <row r="70" spans="3:43">
      <c r="C70" s="194"/>
      <c r="D70" s="206"/>
      <c r="E70" s="142"/>
      <c r="F70" s="195"/>
      <c r="G70" s="183"/>
      <c r="H70" s="37">
        <f t="shared" si="14"/>
        <v>0</v>
      </c>
      <c r="I70" s="37"/>
      <c r="J70" s="210">
        <f t="shared" si="7"/>
        <v>0</v>
      </c>
      <c r="K70" s="197"/>
      <c r="O70" t="str">
        <f>_xlfn.XLOOKUP($H$7,BDPROV[ID-Proveedor],BDPROV[NIT/C.C.])&amp;$H$9&amp;N70&amp;"-"&amp;11</f>
        <v>F.C.-11</v>
      </c>
      <c r="P70" t="str">
        <f t="shared" si="12"/>
        <v/>
      </c>
      <c r="Q70" t="str">
        <f>IF(N70="","",    _xlfn.XLOOKUP(P70,Regcontabilizados[Número pago],Regcontabilizados[Estado de pago],"NO PAGADO"))</f>
        <v/>
      </c>
      <c r="R70" s="44">
        <f>_xlfn.XLOOKUP(O70,Regcontabilizados[Identificador],Regcontabilizados[Fecha vencimiento],0)</f>
        <v>0</v>
      </c>
      <c r="S70">
        <f>_xlfn.XLOOKUP(O70,Regcontabilizados[Identificador],Regcontabilizados[Subcuenta],0)</f>
        <v>0</v>
      </c>
      <c r="T70">
        <f>_xlfn.XLOOKUP(O70,Regcontabilizados[Identificador],Regcontabilizados[Haber],0)</f>
        <v>0</v>
      </c>
      <c r="U70">
        <f>SUMIF(Regcontabilizados[Número pago],'PAGO Compras'!P70,Regcontabilizados[Debe])</f>
        <v>0</v>
      </c>
      <c r="AA70" s="33" t="str">
        <f>IF(J70=0,"",  _xlfn.XLOOKUP(AB70,Regcontabilizados[Identificador],Regcontabilizados[Subcuenta],0))</f>
        <v/>
      </c>
      <c r="AB70" t="str">
        <f>IF(J70=0,"",  _xlfn.XLOOKUP($H$7,BDPROV[ID-Proveedor],BDPROV[NIT/C.C.],0)&amp;$H$9&amp;D70&amp;"-"&amp;11)</f>
        <v/>
      </c>
      <c r="AC70" t="str">
        <f t="shared" si="8"/>
        <v/>
      </c>
      <c r="AD70" t="str">
        <f t="shared" si="9"/>
        <v>En Blanco</v>
      </c>
      <c r="AE70" t="str">
        <f>_xlfn.XLOOKUP($H$7,BDPROV[ID-Proveedor],BDPROV[NIT/C.C.],0)&amp;$H$13&amp;$E$7&amp;"-"&amp;ROW(Z70)-21</f>
        <v>Comp. Egreso-49</v>
      </c>
      <c r="AQ70" t="str">
        <f t="shared" si="10"/>
        <v>PAGADO</v>
      </c>
    </row>
    <row r="71" spans="3:43">
      <c r="C71" s="194"/>
      <c r="D71" s="206"/>
      <c r="E71" s="142"/>
      <c r="F71" s="195"/>
      <c r="G71" s="183"/>
      <c r="H71" s="37">
        <f t="shared" si="14"/>
        <v>0</v>
      </c>
      <c r="I71" s="37"/>
      <c r="J71" s="210">
        <f t="shared" si="7"/>
        <v>0</v>
      </c>
      <c r="K71" s="197"/>
      <c r="O71" t="str">
        <f>_xlfn.XLOOKUP($H$7,BDPROV[ID-Proveedor],BDPROV[NIT/C.C.])&amp;$H$9&amp;N71&amp;"-"&amp;11</f>
        <v>F.C.-11</v>
      </c>
      <c r="P71" t="str">
        <f t="shared" si="12"/>
        <v/>
      </c>
      <c r="Q71" t="str">
        <f>IF(N71="","",    _xlfn.XLOOKUP(P71,Regcontabilizados[Número pago],Regcontabilizados[Estado de pago],"NO PAGADO"))</f>
        <v/>
      </c>
      <c r="R71" s="44">
        <f>_xlfn.XLOOKUP(O71,Regcontabilizados[Identificador],Regcontabilizados[Fecha vencimiento],0)</f>
        <v>0</v>
      </c>
      <c r="S71">
        <f>_xlfn.XLOOKUP(O71,Regcontabilizados[Identificador],Regcontabilizados[Subcuenta],0)</f>
        <v>0</v>
      </c>
      <c r="T71">
        <f>_xlfn.XLOOKUP(O71,Regcontabilizados[Identificador],Regcontabilizados[Haber],0)</f>
        <v>0</v>
      </c>
      <c r="U71">
        <f>SUMIF(Regcontabilizados[Número pago],'PAGO Compras'!P71,Regcontabilizados[Debe])</f>
        <v>0</v>
      </c>
      <c r="AA71" s="33" t="str">
        <f>IF(J71=0,"",  _xlfn.XLOOKUP(AB71,Regcontabilizados[Identificador],Regcontabilizados[Subcuenta],0))</f>
        <v/>
      </c>
      <c r="AB71" t="str">
        <f>IF(J71=0,"",  _xlfn.XLOOKUP($H$7,BDPROV[ID-Proveedor],BDPROV[NIT/C.C.],0)&amp;$H$9&amp;D71&amp;"-"&amp;11)</f>
        <v/>
      </c>
      <c r="AC71" t="str">
        <f t="shared" si="8"/>
        <v/>
      </c>
      <c r="AD71" t="str">
        <f t="shared" si="9"/>
        <v>En Blanco</v>
      </c>
      <c r="AE71" t="str">
        <f>_xlfn.XLOOKUP($H$7,BDPROV[ID-Proveedor],BDPROV[NIT/C.C.],0)&amp;$H$13&amp;$E$7&amp;"-"&amp;ROW(Z71)-21</f>
        <v>Comp. Egreso-50</v>
      </c>
      <c r="AQ71" t="str">
        <f t="shared" si="10"/>
        <v>PAGADO</v>
      </c>
    </row>
    <row r="72" spans="3:43">
      <c r="C72" s="194"/>
      <c r="D72" s="206"/>
      <c r="E72" s="142"/>
      <c r="F72" s="195"/>
      <c r="G72" s="183"/>
      <c r="H72" s="37">
        <f t="shared" si="14"/>
        <v>0</v>
      </c>
      <c r="I72" s="37"/>
      <c r="J72" s="210">
        <f t="shared" si="7"/>
        <v>0</v>
      </c>
      <c r="K72" s="197"/>
      <c r="O72" t="str">
        <f>_xlfn.XLOOKUP($H$7,BDPROV[ID-Proveedor],BDPROV[NIT/C.C.])&amp;$H$9&amp;N72&amp;"-"&amp;11</f>
        <v>F.C.-11</v>
      </c>
      <c r="P72" t="str">
        <f t="shared" si="12"/>
        <v/>
      </c>
      <c r="Q72" t="str">
        <f>IF(N72="","",    _xlfn.XLOOKUP(P72,Regcontabilizados[Número pago],Regcontabilizados[Estado de pago],"NO PAGADO"))</f>
        <v/>
      </c>
      <c r="R72" s="44">
        <f>_xlfn.XLOOKUP(O72,Regcontabilizados[Identificador],Regcontabilizados[Fecha vencimiento],0)</f>
        <v>0</v>
      </c>
      <c r="S72">
        <f>_xlfn.XLOOKUP(O72,Regcontabilizados[Identificador],Regcontabilizados[Subcuenta],0)</f>
        <v>0</v>
      </c>
      <c r="T72">
        <f>_xlfn.XLOOKUP(O72,Regcontabilizados[Identificador],Regcontabilizados[Haber],0)</f>
        <v>0</v>
      </c>
      <c r="U72">
        <f>SUMIF(Regcontabilizados[Número pago],'PAGO Compras'!P72,Regcontabilizados[Debe])</f>
        <v>0</v>
      </c>
      <c r="AA72" s="33" t="str">
        <f>IF(J72=0,"",  _xlfn.XLOOKUP(AB72,Regcontabilizados[Identificador],Regcontabilizados[Subcuenta],0))</f>
        <v/>
      </c>
      <c r="AB72" t="str">
        <f>IF(J72=0,"",  _xlfn.XLOOKUP($H$7,BDPROV[ID-Proveedor],BDPROV[NIT/C.C.],0)&amp;$H$9&amp;D72&amp;"-"&amp;11)</f>
        <v/>
      </c>
      <c r="AC72" t="str">
        <f t="shared" si="8"/>
        <v/>
      </c>
      <c r="AD72" t="str">
        <f t="shared" si="9"/>
        <v>En Blanco</v>
      </c>
      <c r="AE72" t="str">
        <f>_xlfn.XLOOKUP($H$7,BDPROV[ID-Proveedor],BDPROV[NIT/C.C.],0)&amp;$H$13&amp;$E$7&amp;"-"&amp;ROW(Z72)-21</f>
        <v>Comp. Egreso-51</v>
      </c>
      <c r="AQ72" t="str">
        <f t="shared" si="10"/>
        <v>PAGADO</v>
      </c>
    </row>
    <row r="73" spans="3:43">
      <c r="C73" s="194"/>
      <c r="D73" s="206"/>
      <c r="E73" s="142"/>
      <c r="F73" s="195"/>
      <c r="G73" s="183"/>
      <c r="H73" s="37">
        <f t="shared" si="14"/>
        <v>0</v>
      </c>
      <c r="I73" s="37"/>
      <c r="J73" s="210">
        <f t="shared" si="7"/>
        <v>0</v>
      </c>
      <c r="K73" s="197"/>
      <c r="O73" t="str">
        <f>_xlfn.XLOOKUP($H$7,BDPROV[ID-Proveedor],BDPROV[NIT/C.C.])&amp;$H$9&amp;N73&amp;"-"&amp;11</f>
        <v>F.C.-11</v>
      </c>
      <c r="P73" t="str">
        <f t="shared" si="12"/>
        <v/>
      </c>
      <c r="Q73" t="str">
        <f>IF(N73="","",    _xlfn.XLOOKUP(P73,Regcontabilizados[Número pago],Regcontabilizados[Estado de pago],"NO PAGADO"))</f>
        <v/>
      </c>
      <c r="R73" s="44">
        <f>_xlfn.XLOOKUP(O73,Regcontabilizados[Identificador],Regcontabilizados[Fecha vencimiento],0)</f>
        <v>0</v>
      </c>
      <c r="S73">
        <f>_xlfn.XLOOKUP(O73,Regcontabilizados[Identificador],Regcontabilizados[Subcuenta],0)</f>
        <v>0</v>
      </c>
      <c r="T73">
        <f>_xlfn.XLOOKUP(O73,Regcontabilizados[Identificador],Regcontabilizados[Haber],0)</f>
        <v>0</v>
      </c>
      <c r="U73">
        <f>SUMIF(Regcontabilizados[Número pago],'PAGO Compras'!P73,Regcontabilizados[Debe])</f>
        <v>0</v>
      </c>
      <c r="AA73" s="33" t="str">
        <f>IF(J73=0,"",  _xlfn.XLOOKUP(AB73,Regcontabilizados[Identificador],Regcontabilizados[Subcuenta],0))</f>
        <v/>
      </c>
      <c r="AB73" t="str">
        <f>IF(J73=0,"",  _xlfn.XLOOKUP($H$7,BDPROV[ID-Proveedor],BDPROV[NIT/C.C.],0)&amp;$H$9&amp;D73&amp;"-"&amp;11)</f>
        <v/>
      </c>
      <c r="AC73" t="str">
        <f t="shared" si="8"/>
        <v/>
      </c>
      <c r="AD73" t="str">
        <f t="shared" si="9"/>
        <v>En Blanco</v>
      </c>
      <c r="AE73" t="str">
        <f>_xlfn.XLOOKUP($H$7,BDPROV[ID-Proveedor],BDPROV[NIT/C.C.],0)&amp;$H$13&amp;$E$7&amp;"-"&amp;ROW(Z73)-21</f>
        <v>Comp. Egreso-52</v>
      </c>
      <c r="AQ73" t="str">
        <f t="shared" si="10"/>
        <v>PAGADO</v>
      </c>
    </row>
    <row r="74" spans="3:43">
      <c r="C74" s="194"/>
      <c r="D74" s="206"/>
      <c r="E74" s="142"/>
      <c r="F74" s="195"/>
      <c r="G74" s="183"/>
      <c r="H74" s="37">
        <f t="shared" si="14"/>
        <v>0</v>
      </c>
      <c r="I74" s="37"/>
      <c r="J74" s="210">
        <f t="shared" si="7"/>
        <v>0</v>
      </c>
      <c r="K74" s="197"/>
      <c r="O74" t="str">
        <f>_xlfn.XLOOKUP($H$7,BDPROV[ID-Proveedor],BDPROV[NIT/C.C.])&amp;$H$9&amp;N74&amp;"-"&amp;11</f>
        <v>F.C.-11</v>
      </c>
      <c r="P74" t="str">
        <f t="shared" si="12"/>
        <v/>
      </c>
      <c r="Q74" t="str">
        <f>IF(N74="","",    _xlfn.XLOOKUP(P74,Regcontabilizados[Número pago],Regcontabilizados[Estado de pago],"NO PAGADO"))</f>
        <v/>
      </c>
      <c r="R74" s="44">
        <f>_xlfn.XLOOKUP(O74,Regcontabilizados[Identificador],Regcontabilizados[Fecha vencimiento],0)</f>
        <v>0</v>
      </c>
      <c r="S74">
        <f>_xlfn.XLOOKUP(O74,Regcontabilizados[Identificador],Regcontabilizados[Subcuenta],0)</f>
        <v>0</v>
      </c>
      <c r="T74">
        <f>_xlfn.XLOOKUP(O74,Regcontabilizados[Identificador],Regcontabilizados[Haber],0)</f>
        <v>0</v>
      </c>
      <c r="U74">
        <f>SUMIF(Regcontabilizados[Número pago],'PAGO Compras'!P74,Regcontabilizados[Debe])</f>
        <v>0</v>
      </c>
      <c r="AA74" s="33" t="str">
        <f>IF(J74=0,"",  _xlfn.XLOOKUP(AB74,Regcontabilizados[Identificador],Regcontabilizados[Subcuenta],0))</f>
        <v/>
      </c>
      <c r="AB74" t="str">
        <f>IF(J74=0,"",  _xlfn.XLOOKUP($H$7,BDPROV[ID-Proveedor],BDPROV[NIT/C.C.],0)&amp;$H$9&amp;D74&amp;"-"&amp;11)</f>
        <v/>
      </c>
      <c r="AC74" t="str">
        <f t="shared" si="8"/>
        <v/>
      </c>
      <c r="AD74" t="str">
        <f t="shared" si="9"/>
        <v>En Blanco</v>
      </c>
      <c r="AE74" t="str">
        <f>_xlfn.XLOOKUP($H$7,BDPROV[ID-Proveedor],BDPROV[NIT/C.C.],0)&amp;$H$13&amp;$E$7&amp;"-"&amp;ROW(Z74)-21</f>
        <v>Comp. Egreso-53</v>
      </c>
      <c r="AQ74" t="str">
        <f t="shared" si="10"/>
        <v>PAGADO</v>
      </c>
    </row>
    <row r="75" spans="3:43">
      <c r="C75" s="194"/>
      <c r="D75" s="206"/>
      <c r="E75" s="142"/>
      <c r="F75" s="195"/>
      <c r="G75" s="183"/>
      <c r="H75" s="37">
        <f t="shared" si="14"/>
        <v>0</v>
      </c>
      <c r="I75" s="37"/>
      <c r="J75" s="210">
        <f t="shared" si="7"/>
        <v>0</v>
      </c>
      <c r="K75" s="197"/>
      <c r="O75" t="str">
        <f>_xlfn.XLOOKUP($H$7,BDPROV[ID-Proveedor],BDPROV[NIT/C.C.])&amp;$H$9&amp;N75&amp;"-"&amp;11</f>
        <v>F.C.-11</v>
      </c>
      <c r="P75" t="str">
        <f t="shared" si="12"/>
        <v/>
      </c>
      <c r="Q75" t="str">
        <f>IF(N75="","",    _xlfn.XLOOKUP(P75,Regcontabilizados[Número pago],Regcontabilizados[Estado de pago],"NO PAGADO"))</f>
        <v/>
      </c>
      <c r="R75" s="44">
        <f>_xlfn.XLOOKUP(O75,Regcontabilizados[Identificador],Regcontabilizados[Fecha vencimiento],0)</f>
        <v>0</v>
      </c>
      <c r="S75">
        <f>_xlfn.XLOOKUP(O75,Regcontabilizados[Identificador],Regcontabilizados[Subcuenta],0)</f>
        <v>0</v>
      </c>
      <c r="T75">
        <f>_xlfn.XLOOKUP(O75,Regcontabilizados[Identificador],Regcontabilizados[Haber],0)</f>
        <v>0</v>
      </c>
      <c r="U75">
        <f>SUMIF(Regcontabilizados[Número pago],'PAGO Compras'!P75,Regcontabilizados[Debe])</f>
        <v>0</v>
      </c>
      <c r="AA75" s="33" t="str">
        <f>IF(J75=0,"",  _xlfn.XLOOKUP(AB75,Regcontabilizados[Identificador],Regcontabilizados[Subcuenta],0))</f>
        <v/>
      </c>
      <c r="AB75" t="str">
        <f>IF(J75=0,"",  _xlfn.XLOOKUP($H$7,BDPROV[ID-Proveedor],BDPROV[NIT/C.C.],0)&amp;$H$9&amp;D75&amp;"-"&amp;11)</f>
        <v/>
      </c>
      <c r="AC75" t="str">
        <f t="shared" si="8"/>
        <v/>
      </c>
      <c r="AD75" t="str">
        <f t="shared" si="9"/>
        <v>En Blanco</v>
      </c>
      <c r="AE75" t="str">
        <f>_xlfn.XLOOKUP($H$7,BDPROV[ID-Proveedor],BDPROV[NIT/C.C.],0)&amp;$H$13&amp;$E$7&amp;"-"&amp;ROW(Z75)-21</f>
        <v>Comp. Egreso-54</v>
      </c>
      <c r="AQ75" t="str">
        <f t="shared" si="10"/>
        <v>PAGADO</v>
      </c>
    </row>
    <row r="76" spans="3:43">
      <c r="C76" s="194"/>
      <c r="D76" s="206"/>
      <c r="E76" s="142"/>
      <c r="F76" s="195"/>
      <c r="G76" s="183"/>
      <c r="H76" s="37">
        <f t="shared" si="14"/>
        <v>0</v>
      </c>
      <c r="I76" s="37"/>
      <c r="J76" s="210">
        <f t="shared" si="7"/>
        <v>0</v>
      </c>
      <c r="K76" s="197"/>
      <c r="O76" t="str">
        <f>_xlfn.XLOOKUP($H$7,BDPROV[ID-Proveedor],BDPROV[NIT/C.C.])&amp;$H$9&amp;N76&amp;"-"&amp;11</f>
        <v>F.C.-11</v>
      </c>
      <c r="P76" t="str">
        <f t="shared" si="12"/>
        <v/>
      </c>
      <c r="Q76" t="str">
        <f>IF(N76="","",    _xlfn.XLOOKUP(P76,Regcontabilizados[Número pago],Regcontabilizados[Estado de pago],"NO PAGADO"))</f>
        <v/>
      </c>
      <c r="R76" s="44">
        <f>_xlfn.XLOOKUP(O76,Regcontabilizados[Identificador],Regcontabilizados[Fecha vencimiento],0)</f>
        <v>0</v>
      </c>
      <c r="S76">
        <f>_xlfn.XLOOKUP(O76,Regcontabilizados[Identificador],Regcontabilizados[Subcuenta],0)</f>
        <v>0</v>
      </c>
      <c r="T76">
        <f>_xlfn.XLOOKUP(O76,Regcontabilizados[Identificador],Regcontabilizados[Haber],0)</f>
        <v>0</v>
      </c>
      <c r="U76">
        <f>SUMIF(Regcontabilizados[Número pago],'PAGO Compras'!P76,Regcontabilizados[Debe])</f>
        <v>0</v>
      </c>
      <c r="AA76" s="33" t="str">
        <f>IF(J76=0,"",  _xlfn.XLOOKUP(AB76,Regcontabilizados[Identificador],Regcontabilizados[Subcuenta],0))</f>
        <v/>
      </c>
      <c r="AB76" t="str">
        <f>IF(J76=0,"",  _xlfn.XLOOKUP($H$7,BDPROV[ID-Proveedor],BDPROV[NIT/C.C.],0)&amp;$H$9&amp;D76&amp;"-"&amp;11)</f>
        <v/>
      </c>
      <c r="AC76" t="str">
        <f t="shared" si="8"/>
        <v/>
      </c>
      <c r="AD76" t="str">
        <f t="shared" si="9"/>
        <v>En Blanco</v>
      </c>
      <c r="AE76" t="str">
        <f>_xlfn.XLOOKUP($H$7,BDPROV[ID-Proveedor],BDPROV[NIT/C.C.],0)&amp;$H$13&amp;$E$7&amp;"-"&amp;ROW(Z76)-21</f>
        <v>Comp. Egreso-55</v>
      </c>
      <c r="AQ76" t="str">
        <f t="shared" si="10"/>
        <v>PAGADO</v>
      </c>
    </row>
    <row r="77" spans="3:43">
      <c r="C77" s="194"/>
      <c r="D77" s="206"/>
      <c r="E77" s="142"/>
      <c r="F77" s="195"/>
      <c r="G77" s="183"/>
      <c r="H77" s="37">
        <f t="shared" si="14"/>
        <v>0</v>
      </c>
      <c r="I77" s="37"/>
      <c r="J77" s="210">
        <f t="shared" si="7"/>
        <v>0</v>
      </c>
      <c r="K77" s="197"/>
      <c r="O77" t="str">
        <f>_xlfn.XLOOKUP($H$7,BDPROV[ID-Proveedor],BDPROV[NIT/C.C.])&amp;$H$9&amp;N77&amp;"-"&amp;11</f>
        <v>F.C.-11</v>
      </c>
      <c r="P77" t="str">
        <f t="shared" si="12"/>
        <v/>
      </c>
      <c r="Q77" t="str">
        <f>IF(N77="","",    _xlfn.XLOOKUP(P77,Regcontabilizados[Número pago],Regcontabilizados[Estado de pago],"NO PAGADO"))</f>
        <v/>
      </c>
      <c r="R77" s="44">
        <f>_xlfn.XLOOKUP(O77,Regcontabilizados[Identificador],Regcontabilizados[Fecha vencimiento],0)</f>
        <v>0</v>
      </c>
      <c r="S77">
        <f>_xlfn.XLOOKUP(O77,Regcontabilizados[Identificador],Regcontabilizados[Subcuenta],0)</f>
        <v>0</v>
      </c>
      <c r="T77">
        <f>_xlfn.XLOOKUP(O77,Regcontabilizados[Identificador],Regcontabilizados[Haber],0)</f>
        <v>0</v>
      </c>
      <c r="U77">
        <f>SUMIF(Regcontabilizados[Número pago],'PAGO Compras'!P77,Regcontabilizados[Debe])</f>
        <v>0</v>
      </c>
      <c r="AA77" s="33" t="str">
        <f>IF(J77=0,"",  _xlfn.XLOOKUP(AB77,Regcontabilizados[Identificador],Regcontabilizados[Subcuenta],0))</f>
        <v/>
      </c>
      <c r="AB77" t="str">
        <f>IF(J77=0,"",  _xlfn.XLOOKUP($H$7,BDPROV[ID-Proveedor],BDPROV[NIT/C.C.],0)&amp;$H$9&amp;D77&amp;"-"&amp;11)</f>
        <v/>
      </c>
      <c r="AC77" t="str">
        <f t="shared" si="8"/>
        <v/>
      </c>
      <c r="AD77" t="str">
        <f t="shared" si="9"/>
        <v>En Blanco</v>
      </c>
      <c r="AE77" t="str">
        <f>_xlfn.XLOOKUP($H$7,BDPROV[ID-Proveedor],BDPROV[NIT/C.C.],0)&amp;$H$13&amp;$E$7&amp;"-"&amp;ROW(Z77)-21</f>
        <v>Comp. Egreso-56</v>
      </c>
      <c r="AQ77" t="str">
        <f t="shared" si="10"/>
        <v>PAGADO</v>
      </c>
    </row>
    <row r="78" spans="3:43">
      <c r="C78" s="194"/>
      <c r="D78" s="206"/>
      <c r="E78" s="142"/>
      <c r="F78" s="195"/>
      <c r="G78" s="183"/>
      <c r="H78" s="37">
        <f t="shared" si="14"/>
        <v>0</v>
      </c>
      <c r="I78" s="37"/>
      <c r="J78" s="210">
        <f t="shared" si="7"/>
        <v>0</v>
      </c>
      <c r="K78" s="197"/>
      <c r="O78" t="str">
        <f>_xlfn.XLOOKUP($H$7,BDPROV[ID-Proveedor],BDPROV[NIT/C.C.])&amp;$H$9&amp;N78&amp;"-"&amp;11</f>
        <v>F.C.-11</v>
      </c>
      <c r="P78" t="str">
        <f t="shared" si="12"/>
        <v/>
      </c>
      <c r="Q78" t="str">
        <f>IF(N78="","",    _xlfn.XLOOKUP(P78,Regcontabilizados[Número pago],Regcontabilizados[Estado de pago],"NO PAGADO"))</f>
        <v/>
      </c>
      <c r="R78" s="44">
        <f>_xlfn.XLOOKUP(O78,Regcontabilizados[Identificador],Regcontabilizados[Fecha vencimiento],0)</f>
        <v>0</v>
      </c>
      <c r="S78">
        <f>_xlfn.XLOOKUP(O78,Regcontabilizados[Identificador],Regcontabilizados[Subcuenta],0)</f>
        <v>0</v>
      </c>
      <c r="T78">
        <f>_xlfn.XLOOKUP(O78,Regcontabilizados[Identificador],Regcontabilizados[Haber],0)</f>
        <v>0</v>
      </c>
      <c r="U78">
        <f>SUMIF(Regcontabilizados[Número pago],'PAGO Compras'!P78,Regcontabilizados[Debe])</f>
        <v>0</v>
      </c>
      <c r="AA78" s="33" t="str">
        <f>IF(J78=0,"",  _xlfn.XLOOKUP(AB78,Regcontabilizados[Identificador],Regcontabilizados[Subcuenta],0))</f>
        <v/>
      </c>
      <c r="AB78" t="str">
        <f>IF(J78=0,"",  _xlfn.XLOOKUP($H$7,BDPROV[ID-Proveedor],BDPROV[NIT/C.C.],0)&amp;$H$9&amp;D78&amp;"-"&amp;11)</f>
        <v/>
      </c>
      <c r="AC78" t="str">
        <f t="shared" si="8"/>
        <v/>
      </c>
      <c r="AD78" t="str">
        <f t="shared" si="9"/>
        <v>En Blanco</v>
      </c>
      <c r="AE78" t="str">
        <f>_xlfn.XLOOKUP($H$7,BDPROV[ID-Proveedor],BDPROV[NIT/C.C.],0)&amp;$H$13&amp;$E$7&amp;"-"&amp;ROW(Z78)-21</f>
        <v>Comp. Egreso-57</v>
      </c>
      <c r="AQ78" t="str">
        <f t="shared" si="10"/>
        <v>PAGADO</v>
      </c>
    </row>
    <row r="79" spans="3:43">
      <c r="C79" s="194"/>
      <c r="D79" s="206"/>
      <c r="E79" s="142"/>
      <c r="F79" s="195"/>
      <c r="G79" s="183"/>
      <c r="H79" s="37">
        <f t="shared" si="14"/>
        <v>0</v>
      </c>
      <c r="I79" s="37"/>
      <c r="J79" s="210">
        <f t="shared" si="7"/>
        <v>0</v>
      </c>
      <c r="K79" s="197"/>
      <c r="O79" t="str">
        <f>_xlfn.XLOOKUP($H$7,BDPROV[ID-Proveedor],BDPROV[NIT/C.C.])&amp;$H$9&amp;N79&amp;"-"&amp;11</f>
        <v>F.C.-11</v>
      </c>
      <c r="P79" t="str">
        <f t="shared" si="12"/>
        <v/>
      </c>
      <c r="Q79" t="str">
        <f>IF(N79="","",    _xlfn.XLOOKUP(P79,Regcontabilizados[Número pago],Regcontabilizados[Estado de pago],"NO PAGADO"))</f>
        <v/>
      </c>
      <c r="R79" s="44">
        <f>_xlfn.XLOOKUP(O79,Regcontabilizados[Identificador],Regcontabilizados[Fecha vencimiento],0)</f>
        <v>0</v>
      </c>
      <c r="S79">
        <f>_xlfn.XLOOKUP(O79,Regcontabilizados[Identificador],Regcontabilizados[Subcuenta],0)</f>
        <v>0</v>
      </c>
      <c r="T79">
        <f>_xlfn.XLOOKUP(O79,Regcontabilizados[Identificador],Regcontabilizados[Haber],0)</f>
        <v>0</v>
      </c>
      <c r="U79">
        <f>SUMIF(Regcontabilizados[Número pago],'PAGO Compras'!P79,Regcontabilizados[Debe])</f>
        <v>0</v>
      </c>
      <c r="AA79" s="33" t="str">
        <f>IF(J79=0,"",  _xlfn.XLOOKUP(AB79,Regcontabilizados[Identificador],Regcontabilizados[Subcuenta],0))</f>
        <v/>
      </c>
      <c r="AB79" t="str">
        <f>IF(J79=0,"",  _xlfn.XLOOKUP($H$7,BDPROV[ID-Proveedor],BDPROV[NIT/C.C.],0)&amp;$H$9&amp;D79&amp;"-"&amp;11)</f>
        <v/>
      </c>
      <c r="AC79" t="str">
        <f t="shared" si="8"/>
        <v/>
      </c>
      <c r="AD79" t="str">
        <f t="shared" si="9"/>
        <v>En Blanco</v>
      </c>
      <c r="AE79" t="str">
        <f>_xlfn.XLOOKUP($H$7,BDPROV[ID-Proveedor],BDPROV[NIT/C.C.],0)&amp;$H$13&amp;$E$7&amp;"-"&amp;ROW(Z79)-21</f>
        <v>Comp. Egreso-58</v>
      </c>
      <c r="AQ79" t="str">
        <f t="shared" si="10"/>
        <v>PAGADO</v>
      </c>
    </row>
    <row r="80" spans="3:43">
      <c r="C80" s="194"/>
      <c r="D80" s="206"/>
      <c r="E80" s="142"/>
      <c r="F80" s="195"/>
      <c r="G80" s="183"/>
      <c r="H80" s="37">
        <f t="shared" si="14"/>
        <v>0</v>
      </c>
      <c r="I80" s="37"/>
      <c r="J80" s="210">
        <f t="shared" si="7"/>
        <v>0</v>
      </c>
      <c r="K80" s="197"/>
      <c r="O80" t="str">
        <f>_xlfn.XLOOKUP($H$7,BDPROV[ID-Proveedor],BDPROV[NIT/C.C.])&amp;$H$9&amp;N80&amp;"-"&amp;11</f>
        <v>F.C.-11</v>
      </c>
      <c r="P80" t="str">
        <f t="shared" si="12"/>
        <v/>
      </c>
      <c r="Q80" t="str">
        <f>IF(N80="","",    _xlfn.XLOOKUP(P80,Regcontabilizados[Número pago],Regcontabilizados[Estado de pago],"NO PAGADO"))</f>
        <v/>
      </c>
      <c r="R80" s="44">
        <f>_xlfn.XLOOKUP(O80,Regcontabilizados[Identificador],Regcontabilizados[Fecha vencimiento],0)</f>
        <v>0</v>
      </c>
      <c r="S80">
        <f>_xlfn.XLOOKUP(O80,Regcontabilizados[Identificador],Regcontabilizados[Subcuenta],0)</f>
        <v>0</v>
      </c>
      <c r="T80">
        <f>_xlfn.XLOOKUP(O80,Regcontabilizados[Identificador],Regcontabilizados[Haber],0)</f>
        <v>0</v>
      </c>
      <c r="U80">
        <f>SUMIF(Regcontabilizados[Número pago],'PAGO Compras'!P80,Regcontabilizados[Debe])</f>
        <v>0</v>
      </c>
      <c r="AA80" s="33" t="str">
        <f>IF(J80=0,"",  _xlfn.XLOOKUP(AB80,Regcontabilizados[Identificador],Regcontabilizados[Subcuenta],0))</f>
        <v/>
      </c>
      <c r="AB80" t="str">
        <f>IF(J80=0,"",  _xlfn.XLOOKUP($H$7,BDPROV[ID-Proveedor],BDPROV[NIT/C.C.],0)&amp;$H$9&amp;D80&amp;"-"&amp;11)</f>
        <v/>
      </c>
      <c r="AC80" t="str">
        <f t="shared" si="8"/>
        <v/>
      </c>
      <c r="AD80" t="str">
        <f t="shared" si="9"/>
        <v>En Blanco</v>
      </c>
      <c r="AE80" t="str">
        <f>_xlfn.XLOOKUP($H$7,BDPROV[ID-Proveedor],BDPROV[NIT/C.C.],0)&amp;$H$13&amp;$E$7&amp;"-"&amp;ROW(Z80)-21</f>
        <v>Comp. Egreso-59</v>
      </c>
      <c r="AQ80" t="str">
        <f t="shared" si="10"/>
        <v>PAGADO</v>
      </c>
    </row>
    <row r="81" spans="3:43">
      <c r="C81" s="194"/>
      <c r="D81" s="206"/>
      <c r="E81" s="142"/>
      <c r="F81" s="195"/>
      <c r="G81" s="183"/>
      <c r="H81" s="37">
        <f t="shared" si="14"/>
        <v>0</v>
      </c>
      <c r="I81" s="37"/>
      <c r="J81" s="210">
        <f t="shared" si="7"/>
        <v>0</v>
      </c>
      <c r="K81" s="197"/>
      <c r="O81" t="str">
        <f>_xlfn.XLOOKUP($H$7,BDPROV[ID-Proveedor],BDPROV[NIT/C.C.])&amp;$H$9&amp;N81&amp;"-"&amp;11</f>
        <v>F.C.-11</v>
      </c>
      <c r="P81" t="str">
        <f t="shared" si="12"/>
        <v/>
      </c>
      <c r="Q81" t="str">
        <f>IF(N81="","",    _xlfn.XLOOKUP(P81,Regcontabilizados[Número pago],Regcontabilizados[Estado de pago],"NO PAGADO"))</f>
        <v/>
      </c>
      <c r="R81" s="44">
        <f>_xlfn.XLOOKUP(O81,Regcontabilizados[Identificador],Regcontabilizados[Fecha vencimiento],0)</f>
        <v>0</v>
      </c>
      <c r="S81">
        <f>_xlfn.XLOOKUP(O81,Regcontabilizados[Identificador],Regcontabilizados[Subcuenta],0)</f>
        <v>0</v>
      </c>
      <c r="T81">
        <f>_xlfn.XLOOKUP(O81,Regcontabilizados[Identificador],Regcontabilizados[Haber],0)</f>
        <v>0</v>
      </c>
      <c r="U81">
        <f>SUMIF(Regcontabilizados[Número pago],'PAGO Compras'!P81,Regcontabilizados[Debe])</f>
        <v>0</v>
      </c>
      <c r="AA81" s="33" t="str">
        <f>IF(J81=0,"",  _xlfn.XLOOKUP(AB81,Regcontabilizados[Identificador],Regcontabilizados[Subcuenta],0))</f>
        <v/>
      </c>
      <c r="AB81" t="str">
        <f>IF(J81=0,"",  _xlfn.XLOOKUP($H$7,BDPROV[ID-Proveedor],BDPROV[NIT/C.C.],0)&amp;$H$9&amp;D81&amp;"-"&amp;11)</f>
        <v/>
      </c>
      <c r="AC81" t="str">
        <f t="shared" si="8"/>
        <v/>
      </c>
      <c r="AD81" t="str">
        <f t="shared" si="9"/>
        <v>En Blanco</v>
      </c>
      <c r="AE81" t="str">
        <f>_xlfn.XLOOKUP($H$7,BDPROV[ID-Proveedor],BDPROV[NIT/C.C.],0)&amp;$H$13&amp;$E$7&amp;"-"&amp;ROW(Z81)-21</f>
        <v>Comp. Egreso-60</v>
      </c>
      <c r="AQ81" t="str">
        <f t="shared" si="10"/>
        <v>PAGADO</v>
      </c>
    </row>
    <row r="82" spans="3:43">
      <c r="C82" s="194"/>
      <c r="D82" s="206"/>
      <c r="E82" s="142"/>
      <c r="F82" s="195"/>
      <c r="G82" s="183"/>
      <c r="H82" s="37">
        <f t="shared" si="14"/>
        <v>0</v>
      </c>
      <c r="I82" s="37"/>
      <c r="J82" s="210">
        <f t="shared" si="7"/>
        <v>0</v>
      </c>
      <c r="K82" s="197"/>
      <c r="O82" t="str">
        <f>_xlfn.XLOOKUP($H$7,BDPROV[ID-Proveedor],BDPROV[NIT/C.C.])&amp;$H$9&amp;N82&amp;"-"&amp;11</f>
        <v>F.C.-11</v>
      </c>
      <c r="P82" t="str">
        <f t="shared" si="12"/>
        <v/>
      </c>
      <c r="Q82" t="str">
        <f>IF(N82="","",    _xlfn.XLOOKUP(P82,Regcontabilizados[Número pago],Regcontabilizados[Estado de pago],"NO PAGADO"))</f>
        <v/>
      </c>
      <c r="R82" s="44">
        <f>_xlfn.XLOOKUP(O82,Regcontabilizados[Identificador],Regcontabilizados[Fecha vencimiento],0)</f>
        <v>0</v>
      </c>
      <c r="S82">
        <f>_xlfn.XLOOKUP(O82,Regcontabilizados[Identificador],Regcontabilizados[Subcuenta],0)</f>
        <v>0</v>
      </c>
      <c r="T82">
        <f>_xlfn.XLOOKUP(O82,Regcontabilizados[Identificador],Regcontabilizados[Haber],0)</f>
        <v>0</v>
      </c>
      <c r="U82">
        <f>SUMIF(Regcontabilizados[Número pago],'PAGO Compras'!P82,Regcontabilizados[Debe])</f>
        <v>0</v>
      </c>
      <c r="AA82" s="33" t="str">
        <f>IF(J82=0,"",  _xlfn.XLOOKUP(AB82,Regcontabilizados[Identificador],Regcontabilizados[Subcuenta],0))</f>
        <v/>
      </c>
      <c r="AB82" t="str">
        <f>IF(J82=0,"",  _xlfn.XLOOKUP($H$7,BDPROV[ID-Proveedor],BDPROV[NIT/C.C.],0)&amp;$H$9&amp;D82&amp;"-"&amp;11)</f>
        <v/>
      </c>
      <c r="AC82" t="str">
        <f t="shared" si="8"/>
        <v/>
      </c>
      <c r="AD82" t="str">
        <f t="shared" si="9"/>
        <v>En Blanco</v>
      </c>
      <c r="AE82" t="str">
        <f>_xlfn.XLOOKUP($H$7,BDPROV[ID-Proveedor],BDPROV[NIT/C.C.],0)&amp;$H$13&amp;$E$7&amp;"-"&amp;ROW(Z82)-21</f>
        <v>Comp. Egreso-61</v>
      </c>
      <c r="AQ82" t="str">
        <f t="shared" si="10"/>
        <v>PAGADO</v>
      </c>
    </row>
    <row r="83" spans="3:43">
      <c r="C83" s="194"/>
      <c r="D83" s="206"/>
      <c r="E83" s="142"/>
      <c r="F83" s="195"/>
      <c r="G83" s="183"/>
      <c r="H83" s="37">
        <f t="shared" si="14"/>
        <v>0</v>
      </c>
      <c r="I83" s="37"/>
      <c r="J83" s="210">
        <f t="shared" si="7"/>
        <v>0</v>
      </c>
      <c r="K83" s="197"/>
      <c r="O83" t="str">
        <f>_xlfn.XLOOKUP($H$7,BDPROV[ID-Proveedor],BDPROV[NIT/C.C.])&amp;$H$9&amp;N83&amp;"-"&amp;11</f>
        <v>F.C.-11</v>
      </c>
      <c r="P83" t="str">
        <f t="shared" si="12"/>
        <v/>
      </c>
      <c r="Q83" t="str">
        <f>IF(N83="","",    _xlfn.XLOOKUP(P83,Regcontabilizados[Número pago],Regcontabilizados[Estado de pago],"NO PAGADO"))</f>
        <v/>
      </c>
      <c r="R83" s="44">
        <f>_xlfn.XLOOKUP(O83,Regcontabilizados[Identificador],Regcontabilizados[Fecha vencimiento],0)</f>
        <v>0</v>
      </c>
      <c r="S83">
        <f>_xlfn.XLOOKUP(O83,Regcontabilizados[Identificador],Regcontabilizados[Subcuenta],0)</f>
        <v>0</v>
      </c>
      <c r="T83">
        <f>_xlfn.XLOOKUP(O83,Regcontabilizados[Identificador],Regcontabilizados[Haber],0)</f>
        <v>0</v>
      </c>
      <c r="U83">
        <f>SUMIF(Regcontabilizados[Número pago],'PAGO Compras'!P83,Regcontabilizados[Debe])</f>
        <v>0</v>
      </c>
      <c r="AA83" s="33" t="str">
        <f>IF(J83=0,"",  _xlfn.XLOOKUP(AB83,Regcontabilizados[Identificador],Regcontabilizados[Subcuenta],0))</f>
        <v/>
      </c>
      <c r="AB83" t="str">
        <f>IF(J83=0,"",  _xlfn.XLOOKUP($H$7,BDPROV[ID-Proveedor],BDPROV[NIT/C.C.],0)&amp;$H$9&amp;D83&amp;"-"&amp;11)</f>
        <v/>
      </c>
      <c r="AC83" t="str">
        <f t="shared" si="8"/>
        <v/>
      </c>
      <c r="AD83" t="str">
        <f t="shared" si="9"/>
        <v>En Blanco</v>
      </c>
      <c r="AE83" t="str">
        <f>_xlfn.XLOOKUP($H$7,BDPROV[ID-Proveedor],BDPROV[NIT/C.C.],0)&amp;$H$13&amp;$E$7&amp;"-"&amp;ROW(Z83)-21</f>
        <v>Comp. Egreso-62</v>
      </c>
      <c r="AQ83" t="str">
        <f t="shared" si="10"/>
        <v>PAGADO</v>
      </c>
    </row>
    <row r="84" spans="3:43">
      <c r="C84" s="194"/>
      <c r="D84" s="206"/>
      <c r="E84" s="142"/>
      <c r="F84" s="195"/>
      <c r="G84" s="183"/>
      <c r="H84" s="37">
        <f t="shared" si="14"/>
        <v>0</v>
      </c>
      <c r="I84" s="37"/>
      <c r="J84" s="210">
        <f t="shared" si="7"/>
        <v>0</v>
      </c>
      <c r="K84" s="197"/>
      <c r="O84" t="str">
        <f>_xlfn.XLOOKUP($H$7,BDPROV[ID-Proveedor],BDPROV[NIT/C.C.])&amp;$H$9&amp;N84&amp;"-"&amp;11</f>
        <v>F.C.-11</v>
      </c>
      <c r="P84" t="str">
        <f t="shared" si="12"/>
        <v/>
      </c>
      <c r="Q84" t="str">
        <f>IF(N84="","",    _xlfn.XLOOKUP(P84,Regcontabilizados[Número pago],Regcontabilizados[Estado de pago],"NO PAGADO"))</f>
        <v/>
      </c>
      <c r="R84" s="44">
        <f>_xlfn.XLOOKUP(O84,Regcontabilizados[Identificador],Regcontabilizados[Fecha vencimiento],0)</f>
        <v>0</v>
      </c>
      <c r="S84">
        <f>_xlfn.XLOOKUP(O84,Regcontabilizados[Identificador],Regcontabilizados[Subcuenta],0)</f>
        <v>0</v>
      </c>
      <c r="T84">
        <f>_xlfn.XLOOKUP(O84,Regcontabilizados[Identificador],Regcontabilizados[Haber],0)</f>
        <v>0</v>
      </c>
      <c r="U84">
        <f>SUMIF(Regcontabilizados[Número pago],'PAGO Compras'!P84,Regcontabilizados[Debe])</f>
        <v>0</v>
      </c>
      <c r="AA84" s="33" t="str">
        <f>IF(J84=0,"",  _xlfn.XLOOKUP(AB84,Regcontabilizados[Identificador],Regcontabilizados[Subcuenta],0))</f>
        <v/>
      </c>
      <c r="AB84" t="str">
        <f>IF(J84=0,"",  _xlfn.XLOOKUP($H$7,BDPROV[ID-Proveedor],BDPROV[NIT/C.C.],0)&amp;$H$9&amp;D84&amp;"-"&amp;11)</f>
        <v/>
      </c>
      <c r="AC84" t="str">
        <f t="shared" si="8"/>
        <v/>
      </c>
      <c r="AD84" t="str">
        <f t="shared" si="9"/>
        <v>En Blanco</v>
      </c>
      <c r="AE84" t="str">
        <f>_xlfn.XLOOKUP($H$7,BDPROV[ID-Proveedor],BDPROV[NIT/C.C.],0)&amp;$H$13&amp;$E$7&amp;"-"&amp;ROW(Z84)-21</f>
        <v>Comp. Egreso-63</v>
      </c>
      <c r="AQ84" t="str">
        <f t="shared" si="10"/>
        <v>PAGADO</v>
      </c>
    </row>
    <row r="85" spans="3:43">
      <c r="C85" s="194"/>
      <c r="D85" s="206"/>
      <c r="E85" s="142"/>
      <c r="F85" s="195"/>
      <c r="G85" s="183"/>
      <c r="H85" s="37">
        <f t="shared" si="14"/>
        <v>0</v>
      </c>
      <c r="I85" s="37"/>
      <c r="J85" s="210">
        <f t="shared" si="7"/>
        <v>0</v>
      </c>
      <c r="K85" s="197"/>
      <c r="O85" t="str">
        <f>_xlfn.XLOOKUP($H$7,BDPROV[ID-Proveedor],BDPROV[NIT/C.C.])&amp;$H$9&amp;N85&amp;"-"&amp;11</f>
        <v>F.C.-11</v>
      </c>
      <c r="P85" t="str">
        <f t="shared" si="12"/>
        <v/>
      </c>
      <c r="Q85" t="str">
        <f>IF(N85="","",    _xlfn.XLOOKUP(P85,Regcontabilizados[Número pago],Regcontabilizados[Estado de pago],"NO PAGADO"))</f>
        <v/>
      </c>
      <c r="R85" s="44">
        <f>_xlfn.XLOOKUP(O85,Regcontabilizados[Identificador],Regcontabilizados[Fecha vencimiento],0)</f>
        <v>0</v>
      </c>
      <c r="S85">
        <f>_xlfn.XLOOKUP(O85,Regcontabilizados[Identificador],Regcontabilizados[Subcuenta],0)</f>
        <v>0</v>
      </c>
      <c r="T85">
        <f>_xlfn.XLOOKUP(O85,Regcontabilizados[Identificador],Regcontabilizados[Haber],0)</f>
        <v>0</v>
      </c>
      <c r="U85">
        <f>SUMIF(Regcontabilizados[Número pago],'PAGO Compras'!P85,Regcontabilizados[Debe])</f>
        <v>0</v>
      </c>
      <c r="AA85" s="33" t="str">
        <f>IF(J85=0,"",  _xlfn.XLOOKUP(AB85,Regcontabilizados[Identificador],Regcontabilizados[Subcuenta],0))</f>
        <v/>
      </c>
      <c r="AB85" t="str">
        <f>IF(J85=0,"",  _xlfn.XLOOKUP($H$7,BDPROV[ID-Proveedor],BDPROV[NIT/C.C.],0)&amp;$H$9&amp;D85&amp;"-"&amp;11)</f>
        <v/>
      </c>
      <c r="AC85" t="str">
        <f t="shared" si="8"/>
        <v/>
      </c>
      <c r="AD85" t="str">
        <f t="shared" si="9"/>
        <v>En Blanco</v>
      </c>
      <c r="AE85" t="str">
        <f>_xlfn.XLOOKUP($H$7,BDPROV[ID-Proveedor],BDPROV[NIT/C.C.],0)&amp;$H$13&amp;$E$7&amp;"-"&amp;ROW(Z85)-21</f>
        <v>Comp. Egreso-64</v>
      </c>
      <c r="AQ85" t="str">
        <f t="shared" si="10"/>
        <v>PAGADO</v>
      </c>
    </row>
    <row r="86" spans="3:43">
      <c r="C86" s="194"/>
      <c r="D86" s="206"/>
      <c r="E86" s="142"/>
      <c r="F86" s="195"/>
      <c r="G86" s="183"/>
      <c r="H86" s="37">
        <f t="shared" ref="H86:H117" si="15">F86-G86</f>
        <v>0</v>
      </c>
      <c r="I86" s="37"/>
      <c r="J86" s="210">
        <f t="shared" si="7"/>
        <v>0</v>
      </c>
      <c r="K86" s="197"/>
      <c r="O86" t="str">
        <f>_xlfn.XLOOKUP($H$7,BDPROV[ID-Proveedor],BDPROV[NIT/C.C.])&amp;$H$9&amp;N86&amp;"-"&amp;11</f>
        <v>F.C.-11</v>
      </c>
      <c r="P86" t="str">
        <f t="shared" si="12"/>
        <v/>
      </c>
      <c r="Q86" t="str">
        <f>IF(N86="","",    _xlfn.XLOOKUP(P86,Regcontabilizados[Número pago],Regcontabilizados[Estado de pago],"NO PAGADO"))</f>
        <v/>
      </c>
      <c r="R86" s="44">
        <f>_xlfn.XLOOKUP(O86,Regcontabilizados[Identificador],Regcontabilizados[Fecha vencimiento],0)</f>
        <v>0</v>
      </c>
      <c r="S86">
        <f>_xlfn.XLOOKUP(O86,Regcontabilizados[Identificador],Regcontabilizados[Subcuenta],0)</f>
        <v>0</v>
      </c>
      <c r="T86">
        <f>_xlfn.XLOOKUP(O86,Regcontabilizados[Identificador],Regcontabilizados[Haber],0)</f>
        <v>0</v>
      </c>
      <c r="U86">
        <f>SUMIF(Regcontabilizados[Número pago],'PAGO Compras'!P86,Regcontabilizados[Debe])</f>
        <v>0</v>
      </c>
      <c r="AA86" s="33" t="str">
        <f>IF(J86=0,"",  _xlfn.XLOOKUP(AB86,Regcontabilizados[Identificador],Regcontabilizados[Subcuenta],0))</f>
        <v/>
      </c>
      <c r="AB86" t="str">
        <f>IF(J86=0,"",  _xlfn.XLOOKUP($H$7,BDPROV[ID-Proveedor],BDPROV[NIT/C.C.],0)&amp;$H$9&amp;D86&amp;"-"&amp;11)</f>
        <v/>
      </c>
      <c r="AC86" t="str">
        <f t="shared" si="8"/>
        <v/>
      </c>
      <c r="AD86" t="str">
        <f t="shared" si="9"/>
        <v>En Blanco</v>
      </c>
      <c r="AE86" t="str">
        <f>_xlfn.XLOOKUP($H$7,BDPROV[ID-Proveedor],BDPROV[NIT/C.C.],0)&amp;$H$13&amp;$E$7&amp;"-"&amp;ROW(Z86)-21</f>
        <v>Comp. Egreso-65</v>
      </c>
      <c r="AQ86" t="str">
        <f t="shared" si="10"/>
        <v>PAGADO</v>
      </c>
    </row>
    <row r="87" spans="3:43">
      <c r="C87" s="194"/>
      <c r="D87" s="206"/>
      <c r="E87" s="142"/>
      <c r="F87" s="195"/>
      <c r="G87" s="183"/>
      <c r="H87" s="37">
        <f t="shared" si="15"/>
        <v>0</v>
      </c>
      <c r="I87" s="37"/>
      <c r="J87" s="210">
        <f t="shared" ref="J87:J142" si="16">IF(I87&lt;&gt;"",1,0)</f>
        <v>0</v>
      </c>
      <c r="K87" s="197"/>
      <c r="O87" t="str">
        <f>_xlfn.XLOOKUP($H$7,BDPROV[ID-Proveedor],BDPROV[NIT/C.C.])&amp;$H$9&amp;N87&amp;"-"&amp;11</f>
        <v>F.C.-11</v>
      </c>
      <c r="P87" t="str">
        <f t="shared" si="12"/>
        <v/>
      </c>
      <c r="Q87" t="str">
        <f>IF(N87="","",    _xlfn.XLOOKUP(P87,Regcontabilizados[Número pago],Regcontabilizados[Estado de pago],"NO PAGADO"))</f>
        <v/>
      </c>
      <c r="R87" s="44">
        <f>_xlfn.XLOOKUP(O87,Regcontabilizados[Identificador],Regcontabilizados[Fecha vencimiento],0)</f>
        <v>0</v>
      </c>
      <c r="S87">
        <f>_xlfn.XLOOKUP(O87,Regcontabilizados[Identificador],Regcontabilizados[Subcuenta],0)</f>
        <v>0</v>
      </c>
      <c r="T87">
        <f>_xlfn.XLOOKUP(O87,Regcontabilizados[Identificador],Regcontabilizados[Haber],0)</f>
        <v>0</v>
      </c>
      <c r="U87">
        <f>SUMIF(Regcontabilizados[Número pago],'PAGO Compras'!P87,Regcontabilizados[Debe])</f>
        <v>0</v>
      </c>
      <c r="AA87" s="33" t="str">
        <f>IF(J87=0,"",  _xlfn.XLOOKUP(AB87,Regcontabilizados[Identificador],Regcontabilizados[Subcuenta],0))</f>
        <v/>
      </c>
      <c r="AB87" t="str">
        <f>IF(J87=0,"",  _xlfn.XLOOKUP($H$7,BDPROV[ID-Proveedor],BDPROV[NIT/C.C.],0)&amp;$H$9&amp;D87&amp;"-"&amp;11)</f>
        <v/>
      </c>
      <c r="AC87" t="str">
        <f t="shared" ref="AC87:AC140" si="17">IF(J87=0,"",  IF(D87&lt;&gt;"",IFERROR(LEFT(AB87,SEARCH("-",AB87)-1),0),""))</f>
        <v/>
      </c>
      <c r="AD87" t="str">
        <f t="shared" ref="AD87:AD140" si="18">IF(AND(AC87="",J87=0),"En Blanco","DATO")</f>
        <v>En Blanco</v>
      </c>
      <c r="AE87" t="str">
        <f>_xlfn.XLOOKUP($H$7,BDPROV[ID-Proveedor],BDPROV[NIT/C.C.],0)&amp;$H$13&amp;$E$7&amp;"-"&amp;ROW(Z87)-21</f>
        <v>Comp. Egreso-66</v>
      </c>
      <c r="AQ87" t="str">
        <f t="shared" ref="AQ87:AQ142" si="19">IF((T87-U87)=0,"PAGADO","NO PAGADO")</f>
        <v>PAGADO</v>
      </c>
    </row>
    <row r="88" spans="3:43">
      <c r="C88" s="194"/>
      <c r="D88" s="206"/>
      <c r="E88" s="142"/>
      <c r="F88" s="195"/>
      <c r="G88" s="183"/>
      <c r="H88" s="37">
        <f t="shared" si="15"/>
        <v>0</v>
      </c>
      <c r="I88" s="37"/>
      <c r="J88" s="210">
        <f t="shared" si="16"/>
        <v>0</v>
      </c>
      <c r="K88" s="197"/>
      <c r="O88" t="str">
        <f>_xlfn.XLOOKUP($H$7,BDPROV[ID-Proveedor],BDPROV[NIT/C.C.])&amp;$H$9&amp;N88&amp;"-"&amp;11</f>
        <v>F.C.-11</v>
      </c>
      <c r="P88" t="str">
        <f t="shared" si="12"/>
        <v/>
      </c>
      <c r="Q88" t="str">
        <f>IF(N88="","",    _xlfn.XLOOKUP(P88,Regcontabilizados[Número pago],Regcontabilizados[Estado de pago],"NO PAGADO"))</f>
        <v/>
      </c>
      <c r="R88" s="44">
        <f>_xlfn.XLOOKUP(O88,Regcontabilizados[Identificador],Regcontabilizados[Fecha vencimiento],0)</f>
        <v>0</v>
      </c>
      <c r="S88">
        <f>_xlfn.XLOOKUP(O88,Regcontabilizados[Identificador],Regcontabilizados[Subcuenta],0)</f>
        <v>0</v>
      </c>
      <c r="T88">
        <f>_xlfn.XLOOKUP(O88,Regcontabilizados[Identificador],Regcontabilizados[Haber],0)</f>
        <v>0</v>
      </c>
      <c r="U88">
        <f>SUMIF(Regcontabilizados[Número pago],'PAGO Compras'!P88,Regcontabilizados[Debe])</f>
        <v>0</v>
      </c>
      <c r="AA88" s="33" t="str">
        <f>IF(J88=0,"",  _xlfn.XLOOKUP(AB88,Regcontabilizados[Identificador],Regcontabilizados[Subcuenta],0))</f>
        <v/>
      </c>
      <c r="AB88" t="str">
        <f>IF(J88=0,"",  _xlfn.XLOOKUP($H$7,BDPROV[ID-Proveedor],BDPROV[NIT/C.C.],0)&amp;$H$9&amp;D88&amp;"-"&amp;11)</f>
        <v/>
      </c>
      <c r="AC88" t="str">
        <f t="shared" si="17"/>
        <v/>
      </c>
      <c r="AD88" t="str">
        <f t="shared" si="18"/>
        <v>En Blanco</v>
      </c>
      <c r="AE88" t="str">
        <f>_xlfn.XLOOKUP($H$7,BDPROV[ID-Proveedor],BDPROV[NIT/C.C.],0)&amp;$H$13&amp;$E$7&amp;"-"&amp;ROW(Z88)-21</f>
        <v>Comp. Egreso-67</v>
      </c>
      <c r="AQ88" t="str">
        <f t="shared" si="19"/>
        <v>PAGADO</v>
      </c>
    </row>
    <row r="89" spans="3:43">
      <c r="C89" s="194"/>
      <c r="D89" s="206"/>
      <c r="E89" s="142"/>
      <c r="F89" s="195"/>
      <c r="G89" s="183"/>
      <c r="H89" s="37">
        <f t="shared" si="15"/>
        <v>0</v>
      </c>
      <c r="I89" s="37"/>
      <c r="J89" s="210">
        <f t="shared" si="16"/>
        <v>0</v>
      </c>
      <c r="K89" s="197"/>
      <c r="O89" t="str">
        <f>_xlfn.XLOOKUP($H$7,BDPROV[ID-Proveedor],BDPROV[NIT/C.C.])&amp;$H$9&amp;N89&amp;"-"&amp;11</f>
        <v>F.C.-11</v>
      </c>
      <c r="P89" t="str">
        <f t="shared" ref="P89:P142" si="20">IF(N89&lt;&gt;"",IFERROR(LEFT(O89,SEARCH("-",O89)-1),0),"")</f>
        <v/>
      </c>
      <c r="Q89" t="str">
        <f>IF(N89="","",    _xlfn.XLOOKUP(P89,Regcontabilizados[Número pago],Regcontabilizados[Estado de pago],"NO PAGADO"))</f>
        <v/>
      </c>
      <c r="R89" s="44">
        <f>_xlfn.XLOOKUP(O89,Regcontabilizados[Identificador],Regcontabilizados[Fecha vencimiento],0)</f>
        <v>0</v>
      </c>
      <c r="S89">
        <f>_xlfn.XLOOKUP(O89,Regcontabilizados[Identificador],Regcontabilizados[Subcuenta],0)</f>
        <v>0</v>
      </c>
      <c r="T89">
        <f>_xlfn.XLOOKUP(O89,Regcontabilizados[Identificador],Regcontabilizados[Haber],0)</f>
        <v>0</v>
      </c>
      <c r="U89">
        <f>SUMIF(Regcontabilizados[Número pago],'PAGO Compras'!P89,Regcontabilizados[Debe])</f>
        <v>0</v>
      </c>
      <c r="AA89" s="33" t="str">
        <f>IF(J89=0,"",  _xlfn.XLOOKUP(AB89,Regcontabilizados[Identificador],Regcontabilizados[Subcuenta],0))</f>
        <v/>
      </c>
      <c r="AB89" t="str">
        <f>IF(J89=0,"",  _xlfn.XLOOKUP($H$7,BDPROV[ID-Proveedor],BDPROV[NIT/C.C.],0)&amp;$H$9&amp;D89&amp;"-"&amp;11)</f>
        <v/>
      </c>
      <c r="AC89" t="str">
        <f t="shared" si="17"/>
        <v/>
      </c>
      <c r="AD89" t="str">
        <f t="shared" si="18"/>
        <v>En Blanco</v>
      </c>
      <c r="AE89" t="str">
        <f>_xlfn.XLOOKUP($H$7,BDPROV[ID-Proveedor],BDPROV[NIT/C.C.],0)&amp;$H$13&amp;$E$7&amp;"-"&amp;ROW(Z89)-21</f>
        <v>Comp. Egreso-68</v>
      </c>
      <c r="AQ89" t="str">
        <f t="shared" si="19"/>
        <v>PAGADO</v>
      </c>
    </row>
    <row r="90" spans="3:43">
      <c r="C90" s="194"/>
      <c r="D90" s="206"/>
      <c r="E90" s="142"/>
      <c r="F90" s="195"/>
      <c r="G90" s="183"/>
      <c r="H90" s="37">
        <f t="shared" si="15"/>
        <v>0</v>
      </c>
      <c r="I90" s="37"/>
      <c r="J90" s="210">
        <f t="shared" si="16"/>
        <v>0</v>
      </c>
      <c r="K90" s="197"/>
      <c r="O90" t="str">
        <f>_xlfn.XLOOKUP($H$7,BDPROV[ID-Proveedor],BDPROV[NIT/C.C.])&amp;$H$9&amp;N90&amp;"-"&amp;11</f>
        <v>F.C.-11</v>
      </c>
      <c r="P90" t="str">
        <f t="shared" si="20"/>
        <v/>
      </c>
      <c r="Q90" t="str">
        <f>IF(N90="","",    _xlfn.XLOOKUP(P90,Regcontabilizados[Número pago],Regcontabilizados[Estado de pago],"NO PAGADO"))</f>
        <v/>
      </c>
      <c r="R90" s="44">
        <f>_xlfn.XLOOKUP(O90,Regcontabilizados[Identificador],Regcontabilizados[Fecha vencimiento],0)</f>
        <v>0</v>
      </c>
      <c r="S90">
        <f>_xlfn.XLOOKUP(O90,Regcontabilizados[Identificador],Regcontabilizados[Subcuenta],0)</f>
        <v>0</v>
      </c>
      <c r="T90">
        <f>_xlfn.XLOOKUP(O90,Regcontabilizados[Identificador],Regcontabilizados[Haber],0)</f>
        <v>0</v>
      </c>
      <c r="U90">
        <f>SUMIF(Regcontabilizados[Número pago],'PAGO Compras'!P90,Regcontabilizados[Debe])</f>
        <v>0</v>
      </c>
      <c r="AA90" s="33" t="str">
        <f>IF(J90=0,"",  _xlfn.XLOOKUP(AB90,Regcontabilizados[Identificador],Regcontabilizados[Subcuenta],0))</f>
        <v/>
      </c>
      <c r="AB90" t="str">
        <f>IF(J90=0,"",  _xlfn.XLOOKUP($H$7,BDPROV[ID-Proveedor],BDPROV[NIT/C.C.],0)&amp;$H$9&amp;D90&amp;"-"&amp;11)</f>
        <v/>
      </c>
      <c r="AC90" t="str">
        <f t="shared" si="17"/>
        <v/>
      </c>
      <c r="AD90" t="str">
        <f t="shared" si="18"/>
        <v>En Blanco</v>
      </c>
      <c r="AE90" t="str">
        <f>_xlfn.XLOOKUP($H$7,BDPROV[ID-Proveedor],BDPROV[NIT/C.C.],0)&amp;$H$13&amp;$E$7&amp;"-"&amp;ROW(Z90)-21</f>
        <v>Comp. Egreso-69</v>
      </c>
      <c r="AQ90" t="str">
        <f t="shared" si="19"/>
        <v>PAGADO</v>
      </c>
    </row>
    <row r="91" spans="3:43">
      <c r="C91" s="194"/>
      <c r="D91" s="206"/>
      <c r="E91" s="142"/>
      <c r="F91" s="195"/>
      <c r="G91" s="183"/>
      <c r="H91" s="37">
        <f t="shared" si="15"/>
        <v>0</v>
      </c>
      <c r="I91" s="37"/>
      <c r="J91" s="210">
        <f t="shared" si="16"/>
        <v>0</v>
      </c>
      <c r="K91" s="197"/>
      <c r="O91" t="str">
        <f>_xlfn.XLOOKUP($H$7,BDPROV[ID-Proveedor],BDPROV[NIT/C.C.])&amp;$H$9&amp;N91&amp;"-"&amp;11</f>
        <v>F.C.-11</v>
      </c>
      <c r="P91" t="str">
        <f t="shared" si="20"/>
        <v/>
      </c>
      <c r="Q91" t="str">
        <f>IF(N91="","",    _xlfn.XLOOKUP(P91,Regcontabilizados[Número pago],Regcontabilizados[Estado de pago],"NO PAGADO"))</f>
        <v/>
      </c>
      <c r="R91" s="44">
        <f>_xlfn.XLOOKUP(O91,Regcontabilizados[Identificador],Regcontabilizados[Fecha vencimiento],0)</f>
        <v>0</v>
      </c>
      <c r="S91">
        <f>_xlfn.XLOOKUP(O91,Regcontabilizados[Identificador],Regcontabilizados[Subcuenta],0)</f>
        <v>0</v>
      </c>
      <c r="T91">
        <f>_xlfn.XLOOKUP(O91,Regcontabilizados[Identificador],Regcontabilizados[Haber],0)</f>
        <v>0</v>
      </c>
      <c r="U91">
        <f>SUMIF(Regcontabilizados[Número pago],'PAGO Compras'!P91,Regcontabilizados[Debe])</f>
        <v>0</v>
      </c>
      <c r="AA91" s="33" t="str">
        <f>IF(J91=0,"",  _xlfn.XLOOKUP(AB91,Regcontabilizados[Identificador],Regcontabilizados[Subcuenta],0))</f>
        <v/>
      </c>
      <c r="AB91" t="str">
        <f>IF(J91=0,"",  _xlfn.XLOOKUP($H$7,BDPROV[ID-Proveedor],BDPROV[NIT/C.C.],0)&amp;$H$9&amp;D91&amp;"-"&amp;11)</f>
        <v/>
      </c>
      <c r="AC91" t="str">
        <f t="shared" si="17"/>
        <v/>
      </c>
      <c r="AD91" t="str">
        <f t="shared" si="18"/>
        <v>En Blanco</v>
      </c>
      <c r="AE91" t="str">
        <f>_xlfn.XLOOKUP($H$7,BDPROV[ID-Proveedor],BDPROV[NIT/C.C.],0)&amp;$H$13&amp;$E$7&amp;"-"&amp;ROW(Z91)-21</f>
        <v>Comp. Egreso-70</v>
      </c>
      <c r="AQ91" t="str">
        <f t="shared" si="19"/>
        <v>PAGADO</v>
      </c>
    </row>
    <row r="92" spans="3:43">
      <c r="C92" s="194"/>
      <c r="D92" s="206"/>
      <c r="E92" s="142"/>
      <c r="F92" s="195"/>
      <c r="G92" s="183"/>
      <c r="H92" s="37">
        <f t="shared" si="15"/>
        <v>0</v>
      </c>
      <c r="I92" s="37"/>
      <c r="J92" s="210">
        <f t="shared" si="16"/>
        <v>0</v>
      </c>
      <c r="K92" s="197"/>
      <c r="O92" t="str">
        <f>_xlfn.XLOOKUP($H$7,BDPROV[ID-Proveedor],BDPROV[NIT/C.C.])&amp;$H$9&amp;N92&amp;"-"&amp;11</f>
        <v>F.C.-11</v>
      </c>
      <c r="P92" t="str">
        <f t="shared" si="20"/>
        <v/>
      </c>
      <c r="Q92" t="str">
        <f>IF(N92="","",    _xlfn.XLOOKUP(P92,Regcontabilizados[Número pago],Regcontabilizados[Estado de pago],"NO PAGADO"))</f>
        <v/>
      </c>
      <c r="R92" s="44">
        <f>_xlfn.XLOOKUP(O92,Regcontabilizados[Identificador],Regcontabilizados[Fecha vencimiento],0)</f>
        <v>0</v>
      </c>
      <c r="S92">
        <f>_xlfn.XLOOKUP(O92,Regcontabilizados[Identificador],Regcontabilizados[Subcuenta],0)</f>
        <v>0</v>
      </c>
      <c r="T92">
        <f>_xlfn.XLOOKUP(O92,Regcontabilizados[Identificador],Regcontabilizados[Haber],0)</f>
        <v>0</v>
      </c>
      <c r="U92">
        <f>SUMIF(Regcontabilizados[Número pago],'PAGO Compras'!P92,Regcontabilizados[Debe])</f>
        <v>0</v>
      </c>
      <c r="AA92" s="33" t="str">
        <f>IF(J92=0,"",  _xlfn.XLOOKUP(AB92,Regcontabilizados[Identificador],Regcontabilizados[Subcuenta],0))</f>
        <v/>
      </c>
      <c r="AB92" t="str">
        <f>IF(J92=0,"",  _xlfn.XLOOKUP($H$7,BDPROV[ID-Proveedor],BDPROV[NIT/C.C.],0)&amp;$H$9&amp;D92&amp;"-"&amp;11)</f>
        <v/>
      </c>
      <c r="AC92" t="str">
        <f t="shared" si="17"/>
        <v/>
      </c>
      <c r="AD92" t="str">
        <f t="shared" si="18"/>
        <v>En Blanco</v>
      </c>
      <c r="AE92" t="str">
        <f>_xlfn.XLOOKUP($H$7,BDPROV[ID-Proveedor],BDPROV[NIT/C.C.],0)&amp;$H$13&amp;$E$7&amp;"-"&amp;ROW(Z92)-21</f>
        <v>Comp. Egreso-71</v>
      </c>
      <c r="AQ92" t="str">
        <f t="shared" si="19"/>
        <v>PAGADO</v>
      </c>
    </row>
    <row r="93" spans="3:43">
      <c r="C93" s="194"/>
      <c r="D93" s="206"/>
      <c r="E93" s="142"/>
      <c r="F93" s="195"/>
      <c r="G93" s="183"/>
      <c r="H93" s="37">
        <f t="shared" si="15"/>
        <v>0</v>
      </c>
      <c r="I93" s="37"/>
      <c r="J93" s="210">
        <f t="shared" si="16"/>
        <v>0</v>
      </c>
      <c r="K93" s="197"/>
      <c r="O93" t="str">
        <f>_xlfn.XLOOKUP($H$7,BDPROV[ID-Proveedor],BDPROV[NIT/C.C.])&amp;$H$9&amp;N93&amp;"-"&amp;11</f>
        <v>F.C.-11</v>
      </c>
      <c r="P93" t="str">
        <f t="shared" si="20"/>
        <v/>
      </c>
      <c r="Q93" t="str">
        <f>IF(N93="","",    _xlfn.XLOOKUP(P93,Regcontabilizados[Número pago],Regcontabilizados[Estado de pago],"NO PAGADO"))</f>
        <v/>
      </c>
      <c r="R93" s="44">
        <f>_xlfn.XLOOKUP(O93,Regcontabilizados[Identificador],Regcontabilizados[Fecha vencimiento],0)</f>
        <v>0</v>
      </c>
      <c r="S93">
        <f>_xlfn.XLOOKUP(O93,Regcontabilizados[Identificador],Regcontabilizados[Subcuenta],0)</f>
        <v>0</v>
      </c>
      <c r="T93">
        <f>_xlfn.XLOOKUP(O93,Regcontabilizados[Identificador],Regcontabilizados[Haber],0)</f>
        <v>0</v>
      </c>
      <c r="U93">
        <f>SUMIF(Regcontabilizados[Número pago],'PAGO Compras'!P93,Regcontabilizados[Debe])</f>
        <v>0</v>
      </c>
      <c r="AA93" s="33" t="str">
        <f>IF(J93=0,"",  _xlfn.XLOOKUP(AB93,Regcontabilizados[Identificador],Regcontabilizados[Subcuenta],0))</f>
        <v/>
      </c>
      <c r="AB93" t="str">
        <f>IF(J93=0,"",  _xlfn.XLOOKUP($H$7,BDPROV[ID-Proveedor],BDPROV[NIT/C.C.],0)&amp;$H$9&amp;D93&amp;"-"&amp;11)</f>
        <v/>
      </c>
      <c r="AC93" t="str">
        <f t="shared" si="17"/>
        <v/>
      </c>
      <c r="AD93" t="str">
        <f t="shared" si="18"/>
        <v>En Blanco</v>
      </c>
      <c r="AE93" t="str">
        <f>_xlfn.XLOOKUP($H$7,BDPROV[ID-Proveedor],BDPROV[NIT/C.C.],0)&amp;$H$13&amp;$E$7&amp;"-"&amp;ROW(Z93)-21</f>
        <v>Comp. Egreso-72</v>
      </c>
      <c r="AQ93" t="str">
        <f t="shared" si="19"/>
        <v>PAGADO</v>
      </c>
    </row>
    <row r="94" spans="3:43">
      <c r="C94" s="194"/>
      <c r="D94" s="206"/>
      <c r="E94" s="142"/>
      <c r="F94" s="195"/>
      <c r="G94" s="183"/>
      <c r="H94" s="37">
        <f t="shared" si="15"/>
        <v>0</v>
      </c>
      <c r="I94" s="37"/>
      <c r="J94" s="210">
        <f t="shared" si="16"/>
        <v>0</v>
      </c>
      <c r="K94" s="197"/>
      <c r="O94" t="str">
        <f>_xlfn.XLOOKUP($H$7,BDPROV[ID-Proveedor],BDPROV[NIT/C.C.])&amp;$H$9&amp;N94&amp;"-"&amp;11</f>
        <v>F.C.-11</v>
      </c>
      <c r="P94" t="str">
        <f t="shared" si="20"/>
        <v/>
      </c>
      <c r="Q94" t="str">
        <f>IF(N94="","",    _xlfn.XLOOKUP(P94,Regcontabilizados[Número pago],Regcontabilizados[Estado de pago],"NO PAGADO"))</f>
        <v/>
      </c>
      <c r="R94" s="44">
        <f>_xlfn.XLOOKUP(O94,Regcontabilizados[Identificador],Regcontabilizados[Fecha vencimiento],0)</f>
        <v>0</v>
      </c>
      <c r="S94">
        <f>_xlfn.XLOOKUP(O94,Regcontabilizados[Identificador],Regcontabilizados[Subcuenta],0)</f>
        <v>0</v>
      </c>
      <c r="T94">
        <f>_xlfn.XLOOKUP(O94,Regcontabilizados[Identificador],Regcontabilizados[Haber],0)</f>
        <v>0</v>
      </c>
      <c r="U94">
        <f>SUMIF(Regcontabilizados[Número pago],'PAGO Compras'!P94,Regcontabilizados[Debe])</f>
        <v>0</v>
      </c>
      <c r="AA94" s="33" t="str">
        <f>IF(J94=0,"",  _xlfn.XLOOKUP(AB94,Regcontabilizados[Identificador],Regcontabilizados[Subcuenta],0))</f>
        <v/>
      </c>
      <c r="AB94" t="str">
        <f>IF(J94=0,"",  _xlfn.XLOOKUP($H$7,BDPROV[ID-Proveedor],BDPROV[NIT/C.C.],0)&amp;$H$9&amp;D94&amp;"-"&amp;11)</f>
        <v/>
      </c>
      <c r="AC94" t="str">
        <f t="shared" si="17"/>
        <v/>
      </c>
      <c r="AD94" t="str">
        <f t="shared" si="18"/>
        <v>En Blanco</v>
      </c>
      <c r="AE94" t="str">
        <f>_xlfn.XLOOKUP($H$7,BDPROV[ID-Proveedor],BDPROV[NIT/C.C.],0)&amp;$H$13&amp;$E$7&amp;"-"&amp;ROW(Z94)-21</f>
        <v>Comp. Egreso-73</v>
      </c>
      <c r="AQ94" t="str">
        <f t="shared" si="19"/>
        <v>PAGADO</v>
      </c>
    </row>
    <row r="95" spans="3:43">
      <c r="C95" s="194"/>
      <c r="D95" s="206"/>
      <c r="E95" s="142"/>
      <c r="F95" s="195"/>
      <c r="G95" s="183"/>
      <c r="H95" s="37">
        <f t="shared" si="15"/>
        <v>0</v>
      </c>
      <c r="I95" s="37"/>
      <c r="J95" s="210">
        <f t="shared" si="16"/>
        <v>0</v>
      </c>
      <c r="K95" s="197"/>
      <c r="O95" t="str">
        <f>_xlfn.XLOOKUP($H$7,BDPROV[ID-Proveedor],BDPROV[NIT/C.C.])&amp;$H$9&amp;N95&amp;"-"&amp;11</f>
        <v>F.C.-11</v>
      </c>
      <c r="P95" t="str">
        <f t="shared" si="20"/>
        <v/>
      </c>
      <c r="Q95" t="str">
        <f>IF(N95="","",    _xlfn.XLOOKUP(P95,Regcontabilizados[Número pago],Regcontabilizados[Estado de pago],"NO PAGADO"))</f>
        <v/>
      </c>
      <c r="R95" s="44">
        <f>_xlfn.XLOOKUP(O95,Regcontabilizados[Identificador],Regcontabilizados[Fecha vencimiento],0)</f>
        <v>0</v>
      </c>
      <c r="S95">
        <f>_xlfn.XLOOKUP(O95,Regcontabilizados[Identificador],Regcontabilizados[Subcuenta],0)</f>
        <v>0</v>
      </c>
      <c r="T95">
        <f>_xlfn.XLOOKUP(O95,Regcontabilizados[Identificador],Regcontabilizados[Haber],0)</f>
        <v>0</v>
      </c>
      <c r="U95">
        <f>SUMIF(Regcontabilizados[Número pago],'PAGO Compras'!P95,Regcontabilizados[Debe])</f>
        <v>0</v>
      </c>
      <c r="AA95" s="33" t="str">
        <f>IF(J95=0,"",  _xlfn.XLOOKUP(AB95,Regcontabilizados[Identificador],Regcontabilizados[Subcuenta],0))</f>
        <v/>
      </c>
      <c r="AB95" t="str">
        <f>IF(J95=0,"",  _xlfn.XLOOKUP($H$7,BDPROV[ID-Proveedor],BDPROV[NIT/C.C.],0)&amp;$H$9&amp;D95&amp;"-"&amp;11)</f>
        <v/>
      </c>
      <c r="AC95" t="str">
        <f t="shared" si="17"/>
        <v/>
      </c>
      <c r="AD95" t="str">
        <f t="shared" si="18"/>
        <v>En Blanco</v>
      </c>
      <c r="AE95" t="str">
        <f>_xlfn.XLOOKUP($H$7,BDPROV[ID-Proveedor],BDPROV[NIT/C.C.],0)&amp;$H$13&amp;$E$7&amp;"-"&amp;ROW(Z95)-21</f>
        <v>Comp. Egreso-74</v>
      </c>
      <c r="AQ95" t="str">
        <f t="shared" si="19"/>
        <v>PAGADO</v>
      </c>
    </row>
    <row r="96" spans="3:43">
      <c r="C96" s="194"/>
      <c r="D96" s="206"/>
      <c r="E96" s="142"/>
      <c r="F96" s="195"/>
      <c r="G96" s="183"/>
      <c r="H96" s="37">
        <f t="shared" si="15"/>
        <v>0</v>
      </c>
      <c r="I96" s="37"/>
      <c r="J96" s="210">
        <f t="shared" si="16"/>
        <v>0</v>
      </c>
      <c r="K96" s="197"/>
      <c r="O96" t="str">
        <f>_xlfn.XLOOKUP($H$7,BDPROV[ID-Proveedor],BDPROV[NIT/C.C.])&amp;$H$9&amp;N96&amp;"-"&amp;11</f>
        <v>F.C.-11</v>
      </c>
      <c r="P96" t="str">
        <f t="shared" si="20"/>
        <v/>
      </c>
      <c r="Q96" t="str">
        <f>IF(N96="","",    _xlfn.XLOOKUP(P96,Regcontabilizados[Número pago],Regcontabilizados[Estado de pago],"NO PAGADO"))</f>
        <v/>
      </c>
      <c r="R96" s="44">
        <f>_xlfn.XLOOKUP(O96,Regcontabilizados[Identificador],Regcontabilizados[Fecha vencimiento],0)</f>
        <v>0</v>
      </c>
      <c r="S96">
        <f>_xlfn.XLOOKUP(O96,Regcontabilizados[Identificador],Regcontabilizados[Subcuenta],0)</f>
        <v>0</v>
      </c>
      <c r="T96">
        <f>_xlfn.XLOOKUP(O96,Regcontabilizados[Identificador],Regcontabilizados[Haber],0)</f>
        <v>0</v>
      </c>
      <c r="U96">
        <f>SUMIF(Regcontabilizados[Número pago],'PAGO Compras'!P96,Regcontabilizados[Debe])</f>
        <v>0</v>
      </c>
      <c r="AA96" s="33" t="str">
        <f>IF(J96=0,"",  _xlfn.XLOOKUP(AB96,Regcontabilizados[Identificador],Regcontabilizados[Subcuenta],0))</f>
        <v/>
      </c>
      <c r="AB96" t="str">
        <f>IF(J96=0,"",  _xlfn.XLOOKUP($H$7,BDPROV[ID-Proveedor],BDPROV[NIT/C.C.],0)&amp;$H$9&amp;D96&amp;"-"&amp;11)</f>
        <v/>
      </c>
      <c r="AC96" t="str">
        <f t="shared" si="17"/>
        <v/>
      </c>
      <c r="AD96" t="str">
        <f t="shared" si="18"/>
        <v>En Blanco</v>
      </c>
      <c r="AE96" t="str">
        <f>_xlfn.XLOOKUP($H$7,BDPROV[ID-Proveedor],BDPROV[NIT/C.C.],0)&amp;$H$13&amp;$E$7&amp;"-"&amp;ROW(Z96)-21</f>
        <v>Comp. Egreso-75</v>
      </c>
      <c r="AQ96" t="str">
        <f t="shared" si="19"/>
        <v>PAGADO</v>
      </c>
    </row>
    <row r="97" spans="3:43">
      <c r="C97" s="194"/>
      <c r="D97" s="206"/>
      <c r="E97" s="142"/>
      <c r="F97" s="195"/>
      <c r="G97" s="183"/>
      <c r="H97" s="37">
        <f t="shared" si="15"/>
        <v>0</v>
      </c>
      <c r="I97" s="37"/>
      <c r="J97" s="210">
        <f t="shared" si="16"/>
        <v>0</v>
      </c>
      <c r="K97" s="197"/>
      <c r="O97" t="str">
        <f>_xlfn.XLOOKUP($H$7,BDPROV[ID-Proveedor],BDPROV[NIT/C.C.])&amp;$H$9&amp;N97&amp;"-"&amp;11</f>
        <v>F.C.-11</v>
      </c>
      <c r="P97" t="str">
        <f t="shared" si="20"/>
        <v/>
      </c>
      <c r="Q97" t="str">
        <f>IF(N97="","",    _xlfn.XLOOKUP(P97,Regcontabilizados[Número pago],Regcontabilizados[Estado de pago],"NO PAGADO"))</f>
        <v/>
      </c>
      <c r="R97" s="44">
        <f>_xlfn.XLOOKUP(O97,Regcontabilizados[Identificador],Regcontabilizados[Fecha vencimiento],0)</f>
        <v>0</v>
      </c>
      <c r="S97">
        <f>_xlfn.XLOOKUP(O97,Regcontabilizados[Identificador],Regcontabilizados[Subcuenta],0)</f>
        <v>0</v>
      </c>
      <c r="T97">
        <f>_xlfn.XLOOKUP(O97,Regcontabilizados[Identificador],Regcontabilizados[Haber],0)</f>
        <v>0</v>
      </c>
      <c r="U97">
        <f>SUMIF(Regcontabilizados[Número pago],'PAGO Compras'!P97,Regcontabilizados[Debe])</f>
        <v>0</v>
      </c>
      <c r="AA97" s="33" t="str">
        <f>IF(J97=0,"",  _xlfn.XLOOKUP(AB97,Regcontabilizados[Identificador],Regcontabilizados[Subcuenta],0))</f>
        <v/>
      </c>
      <c r="AB97" t="str">
        <f>IF(J97=0,"",  _xlfn.XLOOKUP($H$7,BDPROV[ID-Proveedor],BDPROV[NIT/C.C.],0)&amp;$H$9&amp;D97&amp;"-"&amp;11)</f>
        <v/>
      </c>
      <c r="AC97" t="str">
        <f t="shared" si="17"/>
        <v/>
      </c>
      <c r="AD97" t="str">
        <f t="shared" si="18"/>
        <v>En Blanco</v>
      </c>
      <c r="AE97" t="str">
        <f>_xlfn.XLOOKUP($H$7,BDPROV[ID-Proveedor],BDPROV[NIT/C.C.],0)&amp;$H$13&amp;$E$7&amp;"-"&amp;ROW(Z97)-21</f>
        <v>Comp. Egreso-76</v>
      </c>
      <c r="AQ97" t="str">
        <f t="shared" si="19"/>
        <v>PAGADO</v>
      </c>
    </row>
    <row r="98" spans="3:43">
      <c r="C98" s="194"/>
      <c r="D98" s="206"/>
      <c r="E98" s="142"/>
      <c r="F98" s="195"/>
      <c r="G98" s="183"/>
      <c r="H98" s="37">
        <f t="shared" si="15"/>
        <v>0</v>
      </c>
      <c r="I98" s="37"/>
      <c r="J98" s="210">
        <f t="shared" si="16"/>
        <v>0</v>
      </c>
      <c r="K98" s="197"/>
      <c r="O98" t="str">
        <f>_xlfn.XLOOKUP($H$7,BDPROV[ID-Proveedor],BDPROV[NIT/C.C.])&amp;$H$9&amp;N98&amp;"-"&amp;11</f>
        <v>F.C.-11</v>
      </c>
      <c r="P98" t="str">
        <f t="shared" si="20"/>
        <v/>
      </c>
      <c r="Q98" t="str">
        <f>IF(N98="","",    _xlfn.XLOOKUP(P98,Regcontabilizados[Número pago],Regcontabilizados[Estado de pago],"NO PAGADO"))</f>
        <v/>
      </c>
      <c r="R98" s="44">
        <f>_xlfn.XLOOKUP(O98,Regcontabilizados[Identificador],Regcontabilizados[Fecha vencimiento],0)</f>
        <v>0</v>
      </c>
      <c r="S98">
        <f>_xlfn.XLOOKUP(O98,Regcontabilizados[Identificador],Regcontabilizados[Subcuenta],0)</f>
        <v>0</v>
      </c>
      <c r="T98">
        <f>_xlfn.XLOOKUP(O98,Regcontabilizados[Identificador],Regcontabilizados[Haber],0)</f>
        <v>0</v>
      </c>
      <c r="U98">
        <f>SUMIF(Regcontabilizados[Número pago],'PAGO Compras'!P98,Regcontabilizados[Debe])</f>
        <v>0</v>
      </c>
      <c r="AA98" s="33" t="str">
        <f>IF(J98=0,"",  _xlfn.XLOOKUP(AB98,Regcontabilizados[Identificador],Regcontabilizados[Subcuenta],0))</f>
        <v/>
      </c>
      <c r="AB98" t="str">
        <f>IF(J98=0,"",  _xlfn.XLOOKUP($H$7,BDPROV[ID-Proveedor],BDPROV[NIT/C.C.],0)&amp;$H$9&amp;D98&amp;"-"&amp;11)</f>
        <v/>
      </c>
      <c r="AC98" t="str">
        <f t="shared" si="17"/>
        <v/>
      </c>
      <c r="AD98" t="str">
        <f t="shared" si="18"/>
        <v>En Blanco</v>
      </c>
      <c r="AE98" t="str">
        <f>_xlfn.XLOOKUP($H$7,BDPROV[ID-Proveedor],BDPROV[NIT/C.C.],0)&amp;$H$13&amp;$E$7&amp;"-"&amp;ROW(Z98)-21</f>
        <v>Comp. Egreso-77</v>
      </c>
      <c r="AQ98" t="str">
        <f t="shared" si="19"/>
        <v>PAGADO</v>
      </c>
    </row>
    <row r="99" spans="3:43">
      <c r="C99" s="194"/>
      <c r="D99" s="206"/>
      <c r="E99" s="142"/>
      <c r="F99" s="195"/>
      <c r="G99" s="183"/>
      <c r="H99" s="37">
        <f t="shared" si="15"/>
        <v>0</v>
      </c>
      <c r="I99" s="37"/>
      <c r="J99" s="210">
        <f t="shared" si="16"/>
        <v>0</v>
      </c>
      <c r="K99" s="197"/>
      <c r="O99" t="str">
        <f>_xlfn.XLOOKUP($H$7,BDPROV[ID-Proveedor],BDPROV[NIT/C.C.])&amp;$H$9&amp;N99&amp;"-"&amp;11</f>
        <v>F.C.-11</v>
      </c>
      <c r="P99" t="str">
        <f t="shared" si="20"/>
        <v/>
      </c>
      <c r="Q99" t="str">
        <f>IF(N99="","",    _xlfn.XLOOKUP(P99,Regcontabilizados[Número pago],Regcontabilizados[Estado de pago],"NO PAGADO"))</f>
        <v/>
      </c>
      <c r="R99" s="44">
        <f>_xlfn.XLOOKUP(O99,Regcontabilizados[Identificador],Regcontabilizados[Fecha vencimiento],0)</f>
        <v>0</v>
      </c>
      <c r="S99">
        <f>_xlfn.XLOOKUP(O99,Regcontabilizados[Identificador],Regcontabilizados[Subcuenta],0)</f>
        <v>0</v>
      </c>
      <c r="T99">
        <f>_xlfn.XLOOKUP(O99,Regcontabilizados[Identificador],Regcontabilizados[Haber],0)</f>
        <v>0</v>
      </c>
      <c r="U99">
        <f>SUMIF(Regcontabilizados[Número pago],'PAGO Compras'!P99,Regcontabilizados[Debe])</f>
        <v>0</v>
      </c>
      <c r="AA99" s="33" t="str">
        <f>IF(J99=0,"",  _xlfn.XLOOKUP(AB99,Regcontabilizados[Identificador],Regcontabilizados[Subcuenta],0))</f>
        <v/>
      </c>
      <c r="AB99" t="str">
        <f>IF(J99=0,"",  _xlfn.XLOOKUP($H$7,BDPROV[ID-Proveedor],BDPROV[NIT/C.C.],0)&amp;$H$9&amp;D99&amp;"-"&amp;11)</f>
        <v/>
      </c>
      <c r="AC99" t="str">
        <f t="shared" si="17"/>
        <v/>
      </c>
      <c r="AD99" t="str">
        <f t="shared" si="18"/>
        <v>En Blanco</v>
      </c>
      <c r="AE99" t="str">
        <f>_xlfn.XLOOKUP($H$7,BDPROV[ID-Proveedor],BDPROV[NIT/C.C.],0)&amp;$H$13&amp;$E$7&amp;"-"&amp;ROW(Z99)-21</f>
        <v>Comp. Egreso-78</v>
      </c>
      <c r="AQ99" t="str">
        <f t="shared" si="19"/>
        <v>PAGADO</v>
      </c>
    </row>
    <row r="100" spans="3:43">
      <c r="C100" s="194"/>
      <c r="D100" s="206"/>
      <c r="E100" s="142"/>
      <c r="F100" s="195"/>
      <c r="G100" s="183"/>
      <c r="H100" s="37">
        <f t="shared" si="15"/>
        <v>0</v>
      </c>
      <c r="I100" s="37"/>
      <c r="J100" s="210">
        <f t="shared" si="16"/>
        <v>0</v>
      </c>
      <c r="K100" s="197"/>
      <c r="O100" t="str">
        <f>_xlfn.XLOOKUP($H$7,BDPROV[ID-Proveedor],BDPROV[NIT/C.C.])&amp;$H$9&amp;N100&amp;"-"&amp;11</f>
        <v>F.C.-11</v>
      </c>
      <c r="P100" t="str">
        <f t="shared" si="20"/>
        <v/>
      </c>
      <c r="Q100" t="str">
        <f>IF(N100="","",    _xlfn.XLOOKUP(P100,Regcontabilizados[Número pago],Regcontabilizados[Estado de pago],"NO PAGADO"))</f>
        <v/>
      </c>
      <c r="R100" s="44">
        <f>_xlfn.XLOOKUP(O100,Regcontabilizados[Identificador],Regcontabilizados[Fecha vencimiento],0)</f>
        <v>0</v>
      </c>
      <c r="S100">
        <f>_xlfn.XLOOKUP(O100,Regcontabilizados[Identificador],Regcontabilizados[Subcuenta],0)</f>
        <v>0</v>
      </c>
      <c r="T100">
        <f>_xlfn.XLOOKUP(O100,Regcontabilizados[Identificador],Regcontabilizados[Haber],0)</f>
        <v>0</v>
      </c>
      <c r="U100">
        <f>SUMIF(Regcontabilizados[Número pago],'PAGO Compras'!P100,Regcontabilizados[Debe])</f>
        <v>0</v>
      </c>
      <c r="AA100" s="33" t="str">
        <f>IF(J100=0,"",  _xlfn.XLOOKUP(AB100,Regcontabilizados[Identificador],Regcontabilizados[Subcuenta],0))</f>
        <v/>
      </c>
      <c r="AB100" t="str">
        <f>IF(J100=0,"",  _xlfn.XLOOKUP($H$7,BDPROV[ID-Proveedor],BDPROV[NIT/C.C.],0)&amp;$H$9&amp;D100&amp;"-"&amp;11)</f>
        <v/>
      </c>
      <c r="AC100" t="str">
        <f t="shared" si="17"/>
        <v/>
      </c>
      <c r="AD100" t="str">
        <f t="shared" si="18"/>
        <v>En Blanco</v>
      </c>
      <c r="AE100" t="str">
        <f>_xlfn.XLOOKUP($H$7,BDPROV[ID-Proveedor],BDPROV[NIT/C.C.],0)&amp;$H$13&amp;$E$7&amp;"-"&amp;ROW(Z100)-21</f>
        <v>Comp. Egreso-79</v>
      </c>
      <c r="AQ100" t="str">
        <f t="shared" si="19"/>
        <v>PAGADO</v>
      </c>
    </row>
    <row r="101" spans="3:43">
      <c r="C101" s="194"/>
      <c r="D101" s="206"/>
      <c r="E101" s="142"/>
      <c r="F101" s="195"/>
      <c r="G101" s="183"/>
      <c r="H101" s="37">
        <f t="shared" si="15"/>
        <v>0</v>
      </c>
      <c r="I101" s="37"/>
      <c r="J101" s="210">
        <f t="shared" si="16"/>
        <v>0</v>
      </c>
      <c r="K101" s="197"/>
      <c r="O101" t="str">
        <f>_xlfn.XLOOKUP($H$7,BDPROV[ID-Proveedor],BDPROV[NIT/C.C.])&amp;$H$9&amp;N101&amp;"-"&amp;11</f>
        <v>F.C.-11</v>
      </c>
      <c r="P101" t="str">
        <f t="shared" si="20"/>
        <v/>
      </c>
      <c r="Q101" t="str">
        <f>IF(N101="","",    _xlfn.XLOOKUP(P101,Regcontabilizados[Número pago],Regcontabilizados[Estado de pago],"NO PAGADO"))</f>
        <v/>
      </c>
      <c r="R101" s="44">
        <f>_xlfn.XLOOKUP(O101,Regcontabilizados[Identificador],Regcontabilizados[Fecha vencimiento],0)</f>
        <v>0</v>
      </c>
      <c r="S101">
        <f>_xlfn.XLOOKUP(O101,Regcontabilizados[Identificador],Regcontabilizados[Subcuenta],0)</f>
        <v>0</v>
      </c>
      <c r="T101">
        <f>_xlfn.XLOOKUP(O101,Regcontabilizados[Identificador],Regcontabilizados[Haber],0)</f>
        <v>0</v>
      </c>
      <c r="U101">
        <f>SUMIF(Regcontabilizados[Número pago],'PAGO Compras'!P101,Regcontabilizados[Debe])</f>
        <v>0</v>
      </c>
      <c r="AA101" s="33" t="str">
        <f>IF(J101=0,"",  _xlfn.XLOOKUP(AB101,Regcontabilizados[Identificador],Regcontabilizados[Subcuenta],0))</f>
        <v/>
      </c>
      <c r="AB101" t="str">
        <f>IF(J101=0,"",  _xlfn.XLOOKUP($H$7,BDPROV[ID-Proveedor],BDPROV[NIT/C.C.],0)&amp;$H$9&amp;D101&amp;"-"&amp;11)</f>
        <v/>
      </c>
      <c r="AC101" t="str">
        <f t="shared" si="17"/>
        <v/>
      </c>
      <c r="AD101" t="str">
        <f t="shared" si="18"/>
        <v>En Blanco</v>
      </c>
      <c r="AE101" t="str">
        <f>_xlfn.XLOOKUP($H$7,BDPROV[ID-Proveedor],BDPROV[NIT/C.C.],0)&amp;$H$13&amp;$E$7&amp;"-"&amp;ROW(Z101)-21</f>
        <v>Comp. Egreso-80</v>
      </c>
      <c r="AQ101" t="str">
        <f t="shared" si="19"/>
        <v>PAGADO</v>
      </c>
    </row>
    <row r="102" spans="3:43">
      <c r="C102" s="194"/>
      <c r="D102" s="206"/>
      <c r="E102" s="142"/>
      <c r="F102" s="195"/>
      <c r="G102" s="183"/>
      <c r="H102" s="37">
        <f t="shared" si="15"/>
        <v>0</v>
      </c>
      <c r="I102" s="37"/>
      <c r="J102" s="210">
        <f t="shared" si="16"/>
        <v>0</v>
      </c>
      <c r="K102" s="197"/>
      <c r="O102" t="str">
        <f>_xlfn.XLOOKUP($H$7,BDPROV[ID-Proveedor],BDPROV[NIT/C.C.])&amp;$H$9&amp;N102&amp;"-"&amp;11</f>
        <v>F.C.-11</v>
      </c>
      <c r="P102" t="str">
        <f t="shared" si="20"/>
        <v/>
      </c>
      <c r="Q102" t="str">
        <f>IF(N102="","",    _xlfn.XLOOKUP(P102,Regcontabilizados[Número pago],Regcontabilizados[Estado de pago],"NO PAGADO"))</f>
        <v/>
      </c>
      <c r="R102" s="44">
        <f>_xlfn.XLOOKUP(O102,Regcontabilizados[Identificador],Regcontabilizados[Fecha vencimiento],0)</f>
        <v>0</v>
      </c>
      <c r="S102">
        <f>_xlfn.XLOOKUP(O102,Regcontabilizados[Identificador],Regcontabilizados[Subcuenta],0)</f>
        <v>0</v>
      </c>
      <c r="T102">
        <f>_xlfn.XLOOKUP(O102,Regcontabilizados[Identificador],Regcontabilizados[Haber],0)</f>
        <v>0</v>
      </c>
      <c r="U102">
        <f>SUMIF(Regcontabilizados[Número pago],'PAGO Compras'!P102,Regcontabilizados[Debe])</f>
        <v>0</v>
      </c>
      <c r="AA102" s="33" t="str">
        <f>IF(J102=0,"",  _xlfn.XLOOKUP(AB102,Regcontabilizados[Identificador],Regcontabilizados[Subcuenta],0))</f>
        <v/>
      </c>
      <c r="AB102" t="str">
        <f>IF(J102=0,"",  _xlfn.XLOOKUP($H$7,BDPROV[ID-Proveedor],BDPROV[NIT/C.C.],0)&amp;$H$9&amp;D102&amp;"-"&amp;11)</f>
        <v/>
      </c>
      <c r="AC102" t="str">
        <f t="shared" si="17"/>
        <v/>
      </c>
      <c r="AD102" t="str">
        <f t="shared" si="18"/>
        <v>En Blanco</v>
      </c>
      <c r="AE102" t="str">
        <f>_xlfn.XLOOKUP($H$7,BDPROV[ID-Proveedor],BDPROV[NIT/C.C.],0)&amp;$H$13&amp;$E$7&amp;"-"&amp;ROW(Z102)-21</f>
        <v>Comp. Egreso-81</v>
      </c>
      <c r="AQ102" t="str">
        <f t="shared" si="19"/>
        <v>PAGADO</v>
      </c>
    </row>
    <row r="103" spans="3:43">
      <c r="C103" s="194"/>
      <c r="D103" s="206"/>
      <c r="E103" s="142"/>
      <c r="F103" s="195"/>
      <c r="G103" s="183"/>
      <c r="H103" s="37">
        <f t="shared" si="15"/>
        <v>0</v>
      </c>
      <c r="I103" s="37"/>
      <c r="J103" s="210">
        <f t="shared" si="16"/>
        <v>0</v>
      </c>
      <c r="K103" s="197"/>
      <c r="O103" t="str">
        <f>_xlfn.XLOOKUP($H$7,BDPROV[ID-Proveedor],BDPROV[NIT/C.C.])&amp;$H$9&amp;N103&amp;"-"&amp;11</f>
        <v>F.C.-11</v>
      </c>
      <c r="P103" t="str">
        <f t="shared" si="20"/>
        <v/>
      </c>
      <c r="Q103" t="str">
        <f>IF(N103="","",    _xlfn.XLOOKUP(P103,Regcontabilizados[Número pago],Regcontabilizados[Estado de pago],"NO PAGADO"))</f>
        <v/>
      </c>
      <c r="R103" s="44">
        <f>_xlfn.XLOOKUP(O103,Regcontabilizados[Identificador],Regcontabilizados[Fecha vencimiento],0)</f>
        <v>0</v>
      </c>
      <c r="S103">
        <f>_xlfn.XLOOKUP(O103,Regcontabilizados[Identificador],Regcontabilizados[Subcuenta],0)</f>
        <v>0</v>
      </c>
      <c r="T103">
        <f>_xlfn.XLOOKUP(O103,Regcontabilizados[Identificador],Regcontabilizados[Haber],0)</f>
        <v>0</v>
      </c>
      <c r="U103">
        <f>SUMIF(Regcontabilizados[Número pago],'PAGO Compras'!P103,Regcontabilizados[Debe])</f>
        <v>0</v>
      </c>
      <c r="AA103" s="33" t="str">
        <f>IF(J103=0,"",  _xlfn.XLOOKUP(AB103,Regcontabilizados[Identificador],Regcontabilizados[Subcuenta],0))</f>
        <v/>
      </c>
      <c r="AB103" t="str">
        <f>IF(J103=0,"",  _xlfn.XLOOKUP($H$7,BDPROV[ID-Proveedor],BDPROV[NIT/C.C.],0)&amp;$H$9&amp;D103&amp;"-"&amp;11)</f>
        <v/>
      </c>
      <c r="AC103" t="str">
        <f t="shared" si="17"/>
        <v/>
      </c>
      <c r="AD103" t="str">
        <f t="shared" si="18"/>
        <v>En Blanco</v>
      </c>
      <c r="AE103" t="str">
        <f>_xlfn.XLOOKUP($H$7,BDPROV[ID-Proveedor],BDPROV[NIT/C.C.],0)&amp;$H$13&amp;$E$7&amp;"-"&amp;ROW(Z103)-21</f>
        <v>Comp. Egreso-82</v>
      </c>
      <c r="AQ103" t="str">
        <f t="shared" si="19"/>
        <v>PAGADO</v>
      </c>
    </row>
    <row r="104" spans="3:43">
      <c r="C104" s="194"/>
      <c r="D104" s="206"/>
      <c r="E104" s="142"/>
      <c r="F104" s="195"/>
      <c r="G104" s="183"/>
      <c r="H104" s="37">
        <f t="shared" si="15"/>
        <v>0</v>
      </c>
      <c r="I104" s="37"/>
      <c r="J104" s="210">
        <f t="shared" si="16"/>
        <v>0</v>
      </c>
      <c r="K104" s="197"/>
      <c r="O104" t="str">
        <f>_xlfn.XLOOKUP($H$7,BDPROV[ID-Proveedor],BDPROV[NIT/C.C.])&amp;$H$9&amp;N104&amp;"-"&amp;11</f>
        <v>F.C.-11</v>
      </c>
      <c r="P104" t="str">
        <f t="shared" si="20"/>
        <v/>
      </c>
      <c r="Q104" t="str">
        <f>IF(N104="","",    _xlfn.XLOOKUP(P104,Regcontabilizados[Número pago],Regcontabilizados[Estado de pago],"NO PAGADO"))</f>
        <v/>
      </c>
      <c r="R104" s="44">
        <f>_xlfn.XLOOKUP(O104,Regcontabilizados[Identificador],Regcontabilizados[Fecha vencimiento],0)</f>
        <v>0</v>
      </c>
      <c r="S104">
        <f>_xlfn.XLOOKUP(O104,Regcontabilizados[Identificador],Regcontabilizados[Subcuenta],0)</f>
        <v>0</v>
      </c>
      <c r="T104">
        <f>_xlfn.XLOOKUP(O104,Regcontabilizados[Identificador],Regcontabilizados[Haber],0)</f>
        <v>0</v>
      </c>
      <c r="U104">
        <f>SUMIF(Regcontabilizados[Número pago],'PAGO Compras'!P104,Regcontabilizados[Debe])</f>
        <v>0</v>
      </c>
      <c r="AA104" s="33" t="str">
        <f>IF(J104=0,"",  _xlfn.XLOOKUP(AB104,Regcontabilizados[Identificador],Regcontabilizados[Subcuenta],0))</f>
        <v/>
      </c>
      <c r="AB104" t="str">
        <f>IF(J104=0,"",  _xlfn.XLOOKUP($H$7,BDPROV[ID-Proveedor],BDPROV[NIT/C.C.],0)&amp;$H$9&amp;D104&amp;"-"&amp;11)</f>
        <v/>
      </c>
      <c r="AC104" t="str">
        <f t="shared" si="17"/>
        <v/>
      </c>
      <c r="AD104" t="str">
        <f t="shared" si="18"/>
        <v>En Blanco</v>
      </c>
      <c r="AE104" t="str">
        <f>_xlfn.XLOOKUP($H$7,BDPROV[ID-Proveedor],BDPROV[NIT/C.C.],0)&amp;$H$13&amp;$E$7&amp;"-"&amp;ROW(Z104)-21</f>
        <v>Comp. Egreso-83</v>
      </c>
      <c r="AQ104" t="str">
        <f t="shared" si="19"/>
        <v>PAGADO</v>
      </c>
    </row>
    <row r="105" spans="3:43">
      <c r="C105" s="194"/>
      <c r="D105" s="206"/>
      <c r="E105" s="142"/>
      <c r="F105" s="195"/>
      <c r="G105" s="183"/>
      <c r="H105" s="37">
        <f t="shared" si="15"/>
        <v>0</v>
      </c>
      <c r="I105" s="37"/>
      <c r="J105" s="210">
        <f t="shared" si="16"/>
        <v>0</v>
      </c>
      <c r="K105" s="197"/>
      <c r="O105" t="str">
        <f>_xlfn.XLOOKUP($H$7,BDPROV[ID-Proveedor],BDPROV[NIT/C.C.])&amp;$H$9&amp;N105&amp;"-"&amp;11</f>
        <v>F.C.-11</v>
      </c>
      <c r="P105" t="str">
        <f t="shared" si="20"/>
        <v/>
      </c>
      <c r="Q105" t="str">
        <f>IF(N105="","",    _xlfn.XLOOKUP(P105,Regcontabilizados[Número pago],Regcontabilizados[Estado de pago],"NO PAGADO"))</f>
        <v/>
      </c>
      <c r="R105" s="44">
        <f>_xlfn.XLOOKUP(O105,Regcontabilizados[Identificador],Regcontabilizados[Fecha vencimiento],0)</f>
        <v>0</v>
      </c>
      <c r="S105">
        <f>_xlfn.XLOOKUP(O105,Regcontabilizados[Identificador],Regcontabilizados[Subcuenta],0)</f>
        <v>0</v>
      </c>
      <c r="T105">
        <f>_xlfn.XLOOKUP(O105,Regcontabilizados[Identificador],Regcontabilizados[Haber],0)</f>
        <v>0</v>
      </c>
      <c r="U105">
        <f>SUMIF(Regcontabilizados[Número pago],'PAGO Compras'!P105,Regcontabilizados[Debe])</f>
        <v>0</v>
      </c>
      <c r="AA105" s="33" t="str">
        <f>IF(J105=0,"",  _xlfn.XLOOKUP(AB105,Regcontabilizados[Identificador],Regcontabilizados[Subcuenta],0))</f>
        <v/>
      </c>
      <c r="AB105" t="str">
        <f>IF(J105=0,"",  _xlfn.XLOOKUP($H$7,BDPROV[ID-Proveedor],BDPROV[NIT/C.C.],0)&amp;$H$9&amp;D105&amp;"-"&amp;11)</f>
        <v/>
      </c>
      <c r="AC105" t="str">
        <f t="shared" si="17"/>
        <v/>
      </c>
      <c r="AD105" t="str">
        <f t="shared" si="18"/>
        <v>En Blanco</v>
      </c>
      <c r="AE105" t="str">
        <f>_xlfn.XLOOKUP($H$7,BDPROV[ID-Proveedor],BDPROV[NIT/C.C.],0)&amp;$H$13&amp;$E$7&amp;"-"&amp;ROW(Z105)-21</f>
        <v>Comp. Egreso-84</v>
      </c>
      <c r="AQ105" t="str">
        <f t="shared" si="19"/>
        <v>PAGADO</v>
      </c>
    </row>
    <row r="106" spans="3:43">
      <c r="C106" s="194"/>
      <c r="D106" s="206"/>
      <c r="E106" s="142"/>
      <c r="F106" s="195"/>
      <c r="G106" s="183"/>
      <c r="H106" s="37">
        <f t="shared" si="15"/>
        <v>0</v>
      </c>
      <c r="I106" s="37"/>
      <c r="J106" s="210">
        <f t="shared" si="16"/>
        <v>0</v>
      </c>
      <c r="K106" s="197"/>
      <c r="O106" t="str">
        <f>_xlfn.XLOOKUP($H$7,BDPROV[ID-Proveedor],BDPROV[NIT/C.C.])&amp;$H$9&amp;N106&amp;"-"&amp;11</f>
        <v>F.C.-11</v>
      </c>
      <c r="P106" t="str">
        <f t="shared" si="20"/>
        <v/>
      </c>
      <c r="Q106" t="str">
        <f>IF(N106="","",    _xlfn.XLOOKUP(P106,Regcontabilizados[Número pago],Regcontabilizados[Estado de pago],"NO PAGADO"))</f>
        <v/>
      </c>
      <c r="R106" s="44">
        <f>_xlfn.XLOOKUP(O106,Regcontabilizados[Identificador],Regcontabilizados[Fecha vencimiento],0)</f>
        <v>0</v>
      </c>
      <c r="S106">
        <f>_xlfn.XLOOKUP(O106,Regcontabilizados[Identificador],Regcontabilizados[Subcuenta],0)</f>
        <v>0</v>
      </c>
      <c r="T106">
        <f>_xlfn.XLOOKUP(O106,Regcontabilizados[Identificador],Regcontabilizados[Haber],0)</f>
        <v>0</v>
      </c>
      <c r="U106">
        <f>SUMIF(Regcontabilizados[Número pago],'PAGO Compras'!P106,Regcontabilizados[Debe])</f>
        <v>0</v>
      </c>
      <c r="AA106" s="33" t="str">
        <f>IF(J106=0,"",  _xlfn.XLOOKUP(AB106,Regcontabilizados[Identificador],Regcontabilizados[Subcuenta],0))</f>
        <v/>
      </c>
      <c r="AB106" t="str">
        <f>IF(J106=0,"",  _xlfn.XLOOKUP($H$7,BDPROV[ID-Proveedor],BDPROV[NIT/C.C.],0)&amp;$H$9&amp;D106&amp;"-"&amp;11)</f>
        <v/>
      </c>
      <c r="AC106" t="str">
        <f t="shared" si="17"/>
        <v/>
      </c>
      <c r="AD106" t="str">
        <f t="shared" si="18"/>
        <v>En Blanco</v>
      </c>
      <c r="AE106" t="str">
        <f>_xlfn.XLOOKUP($H$7,BDPROV[ID-Proveedor],BDPROV[NIT/C.C.],0)&amp;$H$13&amp;$E$7&amp;"-"&amp;ROW(Z106)-21</f>
        <v>Comp. Egreso-85</v>
      </c>
      <c r="AQ106" t="str">
        <f t="shared" si="19"/>
        <v>PAGADO</v>
      </c>
    </row>
    <row r="107" spans="3:43">
      <c r="C107" s="194"/>
      <c r="D107" s="206"/>
      <c r="E107" s="142"/>
      <c r="F107" s="195"/>
      <c r="G107" s="183"/>
      <c r="H107" s="37">
        <f t="shared" si="15"/>
        <v>0</v>
      </c>
      <c r="I107" s="37"/>
      <c r="J107" s="210">
        <f t="shared" si="16"/>
        <v>0</v>
      </c>
      <c r="K107" s="197"/>
      <c r="O107" t="str">
        <f>_xlfn.XLOOKUP($H$7,BDPROV[ID-Proveedor],BDPROV[NIT/C.C.])&amp;$H$9&amp;N107&amp;"-"&amp;11</f>
        <v>F.C.-11</v>
      </c>
      <c r="P107" t="str">
        <f t="shared" si="20"/>
        <v/>
      </c>
      <c r="Q107" t="str">
        <f>IF(N107="","",    _xlfn.XLOOKUP(P107,Regcontabilizados[Número pago],Regcontabilizados[Estado de pago],"NO PAGADO"))</f>
        <v/>
      </c>
      <c r="R107" s="44">
        <f>_xlfn.XLOOKUP(O107,Regcontabilizados[Identificador],Regcontabilizados[Fecha vencimiento],0)</f>
        <v>0</v>
      </c>
      <c r="S107">
        <f>_xlfn.XLOOKUP(O107,Regcontabilizados[Identificador],Regcontabilizados[Subcuenta],0)</f>
        <v>0</v>
      </c>
      <c r="T107">
        <f>_xlfn.XLOOKUP(O107,Regcontabilizados[Identificador],Regcontabilizados[Haber],0)</f>
        <v>0</v>
      </c>
      <c r="U107">
        <f>SUMIF(Regcontabilizados[Número pago],'PAGO Compras'!P107,Regcontabilizados[Debe])</f>
        <v>0</v>
      </c>
      <c r="AA107" s="33" t="str">
        <f>IF(J107=0,"",  _xlfn.XLOOKUP(AB107,Regcontabilizados[Identificador],Regcontabilizados[Subcuenta],0))</f>
        <v/>
      </c>
      <c r="AB107" t="str">
        <f>IF(J107=0,"",  _xlfn.XLOOKUP($H$7,BDPROV[ID-Proveedor],BDPROV[NIT/C.C.],0)&amp;$H$9&amp;D107&amp;"-"&amp;11)</f>
        <v/>
      </c>
      <c r="AC107" t="str">
        <f t="shared" si="17"/>
        <v/>
      </c>
      <c r="AD107" t="str">
        <f t="shared" si="18"/>
        <v>En Blanco</v>
      </c>
      <c r="AE107" t="str">
        <f>_xlfn.XLOOKUP($H$7,BDPROV[ID-Proveedor],BDPROV[NIT/C.C.],0)&amp;$H$13&amp;$E$7&amp;"-"&amp;ROW(Z107)-21</f>
        <v>Comp. Egreso-86</v>
      </c>
      <c r="AQ107" t="str">
        <f t="shared" si="19"/>
        <v>PAGADO</v>
      </c>
    </row>
    <row r="108" spans="3:43">
      <c r="C108" s="194"/>
      <c r="D108" s="206"/>
      <c r="E108" s="142"/>
      <c r="F108" s="195"/>
      <c r="G108" s="183"/>
      <c r="H108" s="37">
        <f t="shared" si="15"/>
        <v>0</v>
      </c>
      <c r="I108" s="37"/>
      <c r="J108" s="210">
        <f t="shared" si="16"/>
        <v>0</v>
      </c>
      <c r="K108" s="197"/>
      <c r="O108" t="str">
        <f>_xlfn.XLOOKUP($H$7,BDPROV[ID-Proveedor],BDPROV[NIT/C.C.])&amp;$H$9&amp;N108&amp;"-"&amp;11</f>
        <v>F.C.-11</v>
      </c>
      <c r="P108" t="str">
        <f t="shared" si="20"/>
        <v/>
      </c>
      <c r="Q108" t="str">
        <f>IF(N108="","",    _xlfn.XLOOKUP(P108,Regcontabilizados[Número pago],Regcontabilizados[Estado de pago],"NO PAGADO"))</f>
        <v/>
      </c>
      <c r="R108" s="44">
        <f>_xlfn.XLOOKUP(O108,Regcontabilizados[Identificador],Regcontabilizados[Fecha vencimiento],0)</f>
        <v>0</v>
      </c>
      <c r="S108">
        <f>_xlfn.XLOOKUP(O108,Regcontabilizados[Identificador],Regcontabilizados[Subcuenta],0)</f>
        <v>0</v>
      </c>
      <c r="T108">
        <f>_xlfn.XLOOKUP(O108,Regcontabilizados[Identificador],Regcontabilizados[Haber],0)</f>
        <v>0</v>
      </c>
      <c r="U108">
        <f>SUMIF(Regcontabilizados[Número pago],'PAGO Compras'!P108,Regcontabilizados[Debe])</f>
        <v>0</v>
      </c>
      <c r="AA108" s="33" t="str">
        <f>IF(J108=0,"",  _xlfn.XLOOKUP(AB108,Regcontabilizados[Identificador],Regcontabilizados[Subcuenta],0))</f>
        <v/>
      </c>
      <c r="AB108" t="str">
        <f>IF(J108=0,"",  _xlfn.XLOOKUP($H$7,BDPROV[ID-Proveedor],BDPROV[NIT/C.C.],0)&amp;$H$9&amp;D108&amp;"-"&amp;11)</f>
        <v/>
      </c>
      <c r="AC108" t="str">
        <f t="shared" si="17"/>
        <v/>
      </c>
      <c r="AD108" t="str">
        <f t="shared" si="18"/>
        <v>En Blanco</v>
      </c>
      <c r="AE108" t="str">
        <f>_xlfn.XLOOKUP($H$7,BDPROV[ID-Proveedor],BDPROV[NIT/C.C.],0)&amp;$H$13&amp;$E$7&amp;"-"&amp;ROW(Z108)-21</f>
        <v>Comp. Egreso-87</v>
      </c>
      <c r="AQ108" t="str">
        <f t="shared" si="19"/>
        <v>PAGADO</v>
      </c>
    </row>
    <row r="109" spans="3:43">
      <c r="C109" s="194"/>
      <c r="D109" s="206"/>
      <c r="E109" s="142"/>
      <c r="F109" s="195"/>
      <c r="G109" s="183"/>
      <c r="H109" s="37">
        <f t="shared" si="15"/>
        <v>0</v>
      </c>
      <c r="I109" s="37"/>
      <c r="J109" s="210">
        <f t="shared" si="16"/>
        <v>0</v>
      </c>
      <c r="K109" s="197"/>
      <c r="O109" t="str">
        <f>_xlfn.XLOOKUP($H$7,BDPROV[ID-Proveedor],BDPROV[NIT/C.C.])&amp;$H$9&amp;N109&amp;"-"&amp;11</f>
        <v>F.C.-11</v>
      </c>
      <c r="P109" t="str">
        <f t="shared" si="20"/>
        <v/>
      </c>
      <c r="Q109" t="str">
        <f>IF(N109="","",    _xlfn.XLOOKUP(P109,Regcontabilizados[Número pago],Regcontabilizados[Estado de pago],"NO PAGADO"))</f>
        <v/>
      </c>
      <c r="R109" s="44">
        <f>_xlfn.XLOOKUP(O109,Regcontabilizados[Identificador],Regcontabilizados[Fecha vencimiento],0)</f>
        <v>0</v>
      </c>
      <c r="S109">
        <f>_xlfn.XLOOKUP(O109,Regcontabilizados[Identificador],Regcontabilizados[Subcuenta],0)</f>
        <v>0</v>
      </c>
      <c r="T109">
        <f>_xlfn.XLOOKUP(O109,Regcontabilizados[Identificador],Regcontabilizados[Haber],0)</f>
        <v>0</v>
      </c>
      <c r="U109">
        <f>SUMIF(Regcontabilizados[Número pago],'PAGO Compras'!P109,Regcontabilizados[Debe])</f>
        <v>0</v>
      </c>
      <c r="AA109" s="33" t="str">
        <f>IF(J109=0,"",  _xlfn.XLOOKUP(AB109,Regcontabilizados[Identificador],Regcontabilizados[Subcuenta],0))</f>
        <v/>
      </c>
      <c r="AB109" t="str">
        <f>IF(J109=0,"",  _xlfn.XLOOKUP($H$7,BDPROV[ID-Proveedor],BDPROV[NIT/C.C.],0)&amp;$H$9&amp;D109&amp;"-"&amp;11)</f>
        <v/>
      </c>
      <c r="AC109" t="str">
        <f t="shared" si="17"/>
        <v/>
      </c>
      <c r="AD109" t="str">
        <f t="shared" si="18"/>
        <v>En Blanco</v>
      </c>
      <c r="AE109" t="str">
        <f>_xlfn.XLOOKUP($H$7,BDPROV[ID-Proveedor],BDPROV[NIT/C.C.],0)&amp;$H$13&amp;$E$7&amp;"-"&amp;ROW(Z109)-21</f>
        <v>Comp. Egreso-88</v>
      </c>
      <c r="AQ109" t="str">
        <f t="shared" si="19"/>
        <v>PAGADO</v>
      </c>
    </row>
    <row r="110" spans="3:43">
      <c r="C110" s="194"/>
      <c r="D110" s="206"/>
      <c r="E110" s="142"/>
      <c r="F110" s="195"/>
      <c r="G110" s="183"/>
      <c r="H110" s="37">
        <f t="shared" si="15"/>
        <v>0</v>
      </c>
      <c r="I110" s="37"/>
      <c r="J110" s="210">
        <f t="shared" si="16"/>
        <v>0</v>
      </c>
      <c r="K110" s="197"/>
      <c r="O110" t="str">
        <f>_xlfn.XLOOKUP($H$7,BDPROV[ID-Proveedor],BDPROV[NIT/C.C.])&amp;$H$9&amp;N110&amp;"-"&amp;11</f>
        <v>F.C.-11</v>
      </c>
      <c r="P110" t="str">
        <f t="shared" si="20"/>
        <v/>
      </c>
      <c r="Q110" t="str">
        <f>IF(N110="","",    _xlfn.XLOOKUP(P110,Regcontabilizados[Número pago],Regcontabilizados[Estado de pago],"NO PAGADO"))</f>
        <v/>
      </c>
      <c r="R110" s="44">
        <f>_xlfn.XLOOKUP(O110,Regcontabilizados[Identificador],Regcontabilizados[Fecha vencimiento],0)</f>
        <v>0</v>
      </c>
      <c r="S110">
        <f>_xlfn.XLOOKUP(O110,Regcontabilizados[Identificador],Regcontabilizados[Subcuenta],0)</f>
        <v>0</v>
      </c>
      <c r="T110">
        <f>_xlfn.XLOOKUP(O110,Regcontabilizados[Identificador],Regcontabilizados[Haber],0)</f>
        <v>0</v>
      </c>
      <c r="U110">
        <f>SUMIF(Regcontabilizados[Número pago],'PAGO Compras'!P110,Regcontabilizados[Debe])</f>
        <v>0</v>
      </c>
      <c r="AA110" s="33" t="str">
        <f>IF(J110=0,"",  _xlfn.XLOOKUP(AB110,Regcontabilizados[Identificador],Regcontabilizados[Subcuenta],0))</f>
        <v/>
      </c>
      <c r="AB110" t="str">
        <f>IF(J110=0,"",  _xlfn.XLOOKUP($H$7,BDPROV[ID-Proveedor],BDPROV[NIT/C.C.],0)&amp;$H$9&amp;D110&amp;"-"&amp;11)</f>
        <v/>
      </c>
      <c r="AC110" t="str">
        <f t="shared" si="17"/>
        <v/>
      </c>
      <c r="AD110" t="str">
        <f t="shared" si="18"/>
        <v>En Blanco</v>
      </c>
      <c r="AE110" t="str">
        <f>_xlfn.XLOOKUP($H$7,BDPROV[ID-Proveedor],BDPROV[NIT/C.C.],0)&amp;$H$13&amp;$E$7&amp;"-"&amp;ROW(Z110)-21</f>
        <v>Comp. Egreso-89</v>
      </c>
      <c r="AQ110" t="str">
        <f t="shared" si="19"/>
        <v>PAGADO</v>
      </c>
    </row>
    <row r="111" spans="3:43">
      <c r="C111" s="194"/>
      <c r="D111" s="206"/>
      <c r="E111" s="142"/>
      <c r="F111" s="195"/>
      <c r="G111" s="183"/>
      <c r="H111" s="37">
        <f t="shared" si="15"/>
        <v>0</v>
      </c>
      <c r="I111" s="37"/>
      <c r="J111" s="210">
        <f t="shared" si="16"/>
        <v>0</v>
      </c>
      <c r="K111" s="197"/>
      <c r="O111" t="str">
        <f>_xlfn.XLOOKUP($H$7,BDPROV[ID-Proveedor],BDPROV[NIT/C.C.])&amp;$H$9&amp;N111&amp;"-"&amp;11</f>
        <v>F.C.-11</v>
      </c>
      <c r="P111" t="str">
        <f t="shared" si="20"/>
        <v/>
      </c>
      <c r="Q111" t="str">
        <f>IF(N111="","",    _xlfn.XLOOKUP(P111,Regcontabilizados[Número pago],Regcontabilizados[Estado de pago],"NO PAGADO"))</f>
        <v/>
      </c>
      <c r="R111" s="44">
        <f>_xlfn.XLOOKUP(O111,Regcontabilizados[Identificador],Regcontabilizados[Fecha vencimiento],0)</f>
        <v>0</v>
      </c>
      <c r="S111">
        <f>_xlfn.XLOOKUP(O111,Regcontabilizados[Identificador],Regcontabilizados[Subcuenta],0)</f>
        <v>0</v>
      </c>
      <c r="T111">
        <f>_xlfn.XLOOKUP(O111,Regcontabilizados[Identificador],Regcontabilizados[Haber],0)</f>
        <v>0</v>
      </c>
      <c r="U111">
        <f>SUMIF(Regcontabilizados[Número pago],'PAGO Compras'!P111,Regcontabilizados[Debe])</f>
        <v>0</v>
      </c>
      <c r="AA111" s="33" t="str">
        <f>IF(J111=0,"",  _xlfn.XLOOKUP(AB111,Regcontabilizados[Identificador],Regcontabilizados[Subcuenta],0))</f>
        <v/>
      </c>
      <c r="AB111" t="str">
        <f>IF(J111=0,"",  _xlfn.XLOOKUP($H$7,BDPROV[ID-Proveedor],BDPROV[NIT/C.C.],0)&amp;$H$9&amp;D111&amp;"-"&amp;11)</f>
        <v/>
      </c>
      <c r="AC111" t="str">
        <f t="shared" si="17"/>
        <v/>
      </c>
      <c r="AD111" t="str">
        <f t="shared" si="18"/>
        <v>En Blanco</v>
      </c>
      <c r="AE111" t="str">
        <f>_xlfn.XLOOKUP($H$7,BDPROV[ID-Proveedor],BDPROV[NIT/C.C.],0)&amp;$H$13&amp;$E$7&amp;"-"&amp;ROW(Z111)-21</f>
        <v>Comp. Egreso-90</v>
      </c>
      <c r="AQ111" t="str">
        <f t="shared" si="19"/>
        <v>PAGADO</v>
      </c>
    </row>
    <row r="112" spans="3:43">
      <c r="C112" s="194"/>
      <c r="D112" s="206"/>
      <c r="E112" s="142"/>
      <c r="F112" s="195"/>
      <c r="G112" s="183"/>
      <c r="H112" s="37">
        <f t="shared" si="15"/>
        <v>0</v>
      </c>
      <c r="I112" s="37"/>
      <c r="J112" s="210">
        <f t="shared" si="16"/>
        <v>0</v>
      </c>
      <c r="K112" s="197"/>
      <c r="O112" t="str">
        <f>_xlfn.XLOOKUP($H$7,BDPROV[ID-Proveedor],BDPROV[NIT/C.C.])&amp;$H$9&amp;N112&amp;"-"&amp;11</f>
        <v>F.C.-11</v>
      </c>
      <c r="P112" t="str">
        <f t="shared" si="20"/>
        <v/>
      </c>
      <c r="Q112" t="str">
        <f>IF(N112="","",    _xlfn.XLOOKUP(P112,Regcontabilizados[Número pago],Regcontabilizados[Estado de pago],"NO PAGADO"))</f>
        <v/>
      </c>
      <c r="R112" s="44">
        <f>_xlfn.XLOOKUP(O112,Regcontabilizados[Identificador],Regcontabilizados[Fecha vencimiento],0)</f>
        <v>0</v>
      </c>
      <c r="S112">
        <f>_xlfn.XLOOKUP(O112,Regcontabilizados[Identificador],Regcontabilizados[Subcuenta],0)</f>
        <v>0</v>
      </c>
      <c r="T112">
        <f>_xlfn.XLOOKUP(O112,Regcontabilizados[Identificador],Regcontabilizados[Haber],0)</f>
        <v>0</v>
      </c>
      <c r="U112">
        <f>SUMIF(Regcontabilizados[Número pago],'PAGO Compras'!P112,Regcontabilizados[Debe])</f>
        <v>0</v>
      </c>
      <c r="AA112" s="33" t="str">
        <f>IF(J112=0,"",  _xlfn.XLOOKUP(AB112,Regcontabilizados[Identificador],Regcontabilizados[Subcuenta],0))</f>
        <v/>
      </c>
      <c r="AB112" t="str">
        <f>IF(J112=0,"",  _xlfn.XLOOKUP($H$7,BDPROV[ID-Proveedor],BDPROV[NIT/C.C.],0)&amp;$H$9&amp;D112&amp;"-"&amp;11)</f>
        <v/>
      </c>
      <c r="AC112" t="str">
        <f t="shared" si="17"/>
        <v/>
      </c>
      <c r="AD112" t="str">
        <f t="shared" si="18"/>
        <v>En Blanco</v>
      </c>
      <c r="AE112" t="str">
        <f>_xlfn.XLOOKUP($H$7,BDPROV[ID-Proveedor],BDPROV[NIT/C.C.],0)&amp;$H$13&amp;$E$7&amp;"-"&amp;ROW(Z112)-21</f>
        <v>Comp. Egreso-91</v>
      </c>
      <c r="AQ112" t="str">
        <f t="shared" si="19"/>
        <v>PAGADO</v>
      </c>
    </row>
    <row r="113" spans="3:43">
      <c r="C113" s="194"/>
      <c r="D113" s="206"/>
      <c r="E113" s="142"/>
      <c r="F113" s="195"/>
      <c r="G113" s="183"/>
      <c r="H113" s="37">
        <f t="shared" si="15"/>
        <v>0</v>
      </c>
      <c r="I113" s="37"/>
      <c r="J113" s="210">
        <f t="shared" si="16"/>
        <v>0</v>
      </c>
      <c r="K113" s="197"/>
      <c r="O113" t="str">
        <f>_xlfn.XLOOKUP($H$7,BDPROV[ID-Proveedor],BDPROV[NIT/C.C.])&amp;$H$9&amp;N113&amp;"-"&amp;11</f>
        <v>F.C.-11</v>
      </c>
      <c r="P113" t="str">
        <f t="shared" si="20"/>
        <v/>
      </c>
      <c r="Q113" t="str">
        <f>IF(N113="","",    _xlfn.XLOOKUP(P113,Regcontabilizados[Número pago],Regcontabilizados[Estado de pago],"NO PAGADO"))</f>
        <v/>
      </c>
      <c r="R113" s="44">
        <f>_xlfn.XLOOKUP(O113,Regcontabilizados[Identificador],Regcontabilizados[Fecha vencimiento],0)</f>
        <v>0</v>
      </c>
      <c r="S113">
        <f>_xlfn.XLOOKUP(O113,Regcontabilizados[Identificador],Regcontabilizados[Subcuenta],0)</f>
        <v>0</v>
      </c>
      <c r="T113">
        <f>_xlfn.XLOOKUP(O113,Regcontabilizados[Identificador],Regcontabilizados[Haber],0)</f>
        <v>0</v>
      </c>
      <c r="U113">
        <f>SUMIF(Regcontabilizados[Número pago],'PAGO Compras'!P113,Regcontabilizados[Debe])</f>
        <v>0</v>
      </c>
      <c r="AA113" s="33" t="str">
        <f>IF(J113=0,"",  _xlfn.XLOOKUP(AB113,Regcontabilizados[Identificador],Regcontabilizados[Subcuenta],0))</f>
        <v/>
      </c>
      <c r="AB113" t="str">
        <f>IF(J113=0,"",  _xlfn.XLOOKUP($H$7,BDPROV[ID-Proveedor],BDPROV[NIT/C.C.],0)&amp;$H$9&amp;D113&amp;"-"&amp;11)</f>
        <v/>
      </c>
      <c r="AC113" t="str">
        <f t="shared" si="17"/>
        <v/>
      </c>
      <c r="AD113" t="str">
        <f t="shared" si="18"/>
        <v>En Blanco</v>
      </c>
      <c r="AE113" t="str">
        <f>_xlfn.XLOOKUP($H$7,BDPROV[ID-Proveedor],BDPROV[NIT/C.C.],0)&amp;$H$13&amp;$E$7&amp;"-"&amp;ROW(Z113)-21</f>
        <v>Comp. Egreso-92</v>
      </c>
      <c r="AQ113" t="str">
        <f t="shared" si="19"/>
        <v>PAGADO</v>
      </c>
    </row>
    <row r="114" spans="3:43">
      <c r="C114" s="194"/>
      <c r="D114" s="206"/>
      <c r="E114" s="142"/>
      <c r="F114" s="195"/>
      <c r="G114" s="183"/>
      <c r="H114" s="37">
        <f t="shared" si="15"/>
        <v>0</v>
      </c>
      <c r="I114" s="37"/>
      <c r="J114" s="210">
        <f t="shared" si="16"/>
        <v>0</v>
      </c>
      <c r="K114" s="197"/>
      <c r="O114" t="str">
        <f>_xlfn.XLOOKUP($H$7,BDPROV[ID-Proveedor],BDPROV[NIT/C.C.])&amp;$H$9&amp;N114&amp;"-"&amp;11</f>
        <v>F.C.-11</v>
      </c>
      <c r="P114" t="str">
        <f t="shared" si="20"/>
        <v/>
      </c>
      <c r="Q114" t="str">
        <f>IF(N114="","",    _xlfn.XLOOKUP(P114,Regcontabilizados[Número pago],Regcontabilizados[Estado de pago],"NO PAGADO"))</f>
        <v/>
      </c>
      <c r="R114" s="44">
        <f>_xlfn.XLOOKUP(O114,Regcontabilizados[Identificador],Regcontabilizados[Fecha vencimiento],0)</f>
        <v>0</v>
      </c>
      <c r="S114">
        <f>_xlfn.XLOOKUP(O114,Regcontabilizados[Identificador],Regcontabilizados[Subcuenta],0)</f>
        <v>0</v>
      </c>
      <c r="T114">
        <f>_xlfn.XLOOKUP(O114,Regcontabilizados[Identificador],Regcontabilizados[Haber],0)</f>
        <v>0</v>
      </c>
      <c r="U114">
        <f>SUMIF(Regcontabilizados[Número pago],'PAGO Compras'!P114,Regcontabilizados[Debe])</f>
        <v>0</v>
      </c>
      <c r="AA114" s="33" t="str">
        <f>IF(J114=0,"",  _xlfn.XLOOKUP(AB114,Regcontabilizados[Identificador],Regcontabilizados[Subcuenta],0))</f>
        <v/>
      </c>
      <c r="AB114" t="str">
        <f>IF(J114=0,"",  _xlfn.XLOOKUP($H$7,BDPROV[ID-Proveedor],BDPROV[NIT/C.C.],0)&amp;$H$9&amp;D114&amp;"-"&amp;11)</f>
        <v/>
      </c>
      <c r="AC114" t="str">
        <f t="shared" si="17"/>
        <v/>
      </c>
      <c r="AD114" t="str">
        <f t="shared" si="18"/>
        <v>En Blanco</v>
      </c>
      <c r="AE114" t="str">
        <f>_xlfn.XLOOKUP($H$7,BDPROV[ID-Proveedor],BDPROV[NIT/C.C.],0)&amp;$H$13&amp;$E$7&amp;"-"&amp;ROW(Z114)-21</f>
        <v>Comp. Egreso-93</v>
      </c>
      <c r="AQ114" t="str">
        <f t="shared" si="19"/>
        <v>PAGADO</v>
      </c>
    </row>
    <row r="115" spans="3:43">
      <c r="C115" s="194"/>
      <c r="D115" s="206"/>
      <c r="E115" s="142"/>
      <c r="F115" s="195"/>
      <c r="G115" s="183"/>
      <c r="H115" s="37">
        <f t="shared" si="15"/>
        <v>0</v>
      </c>
      <c r="I115" s="37"/>
      <c r="J115" s="210">
        <f t="shared" si="16"/>
        <v>0</v>
      </c>
      <c r="K115" s="197"/>
      <c r="O115" t="str">
        <f>_xlfn.XLOOKUP($H$7,BDPROV[ID-Proveedor],BDPROV[NIT/C.C.])&amp;$H$9&amp;N115&amp;"-"&amp;11</f>
        <v>F.C.-11</v>
      </c>
      <c r="P115" t="str">
        <f t="shared" si="20"/>
        <v/>
      </c>
      <c r="Q115" t="str">
        <f>IF(N115="","",    _xlfn.XLOOKUP(P115,Regcontabilizados[Número pago],Regcontabilizados[Estado de pago],"NO PAGADO"))</f>
        <v/>
      </c>
      <c r="R115" s="44">
        <f>_xlfn.XLOOKUP(O115,Regcontabilizados[Identificador],Regcontabilizados[Fecha vencimiento],0)</f>
        <v>0</v>
      </c>
      <c r="S115">
        <f>_xlfn.XLOOKUP(O115,Regcontabilizados[Identificador],Regcontabilizados[Subcuenta],0)</f>
        <v>0</v>
      </c>
      <c r="T115">
        <f>_xlfn.XLOOKUP(O115,Regcontabilizados[Identificador],Regcontabilizados[Haber],0)</f>
        <v>0</v>
      </c>
      <c r="U115">
        <f>SUMIF(Regcontabilizados[Número pago],'PAGO Compras'!P115,Regcontabilizados[Debe])</f>
        <v>0</v>
      </c>
      <c r="AA115" s="33" t="str">
        <f>IF(J115=0,"",  _xlfn.XLOOKUP(AB115,Regcontabilizados[Identificador],Regcontabilizados[Subcuenta],0))</f>
        <v/>
      </c>
      <c r="AB115" t="str">
        <f>IF(J115=0,"",  _xlfn.XLOOKUP($H$7,BDPROV[ID-Proveedor],BDPROV[NIT/C.C.],0)&amp;$H$9&amp;D115&amp;"-"&amp;11)</f>
        <v/>
      </c>
      <c r="AC115" t="str">
        <f t="shared" si="17"/>
        <v/>
      </c>
      <c r="AD115" t="str">
        <f t="shared" si="18"/>
        <v>En Blanco</v>
      </c>
      <c r="AE115" t="str">
        <f>_xlfn.XLOOKUP($H$7,BDPROV[ID-Proveedor],BDPROV[NIT/C.C.],0)&amp;$H$13&amp;$E$7&amp;"-"&amp;ROW(Z115)-21</f>
        <v>Comp. Egreso-94</v>
      </c>
      <c r="AQ115" t="str">
        <f t="shared" si="19"/>
        <v>PAGADO</v>
      </c>
    </row>
    <row r="116" spans="3:43">
      <c r="C116" s="194"/>
      <c r="D116" s="206"/>
      <c r="E116" s="142"/>
      <c r="F116" s="195"/>
      <c r="G116" s="183"/>
      <c r="H116" s="37">
        <f t="shared" si="15"/>
        <v>0</v>
      </c>
      <c r="I116" s="37"/>
      <c r="J116" s="210">
        <f t="shared" si="16"/>
        <v>0</v>
      </c>
      <c r="K116" s="197"/>
      <c r="O116" t="str">
        <f>_xlfn.XLOOKUP($H$7,BDPROV[ID-Proveedor],BDPROV[NIT/C.C.])&amp;$H$9&amp;N116&amp;"-"&amp;11</f>
        <v>F.C.-11</v>
      </c>
      <c r="P116" t="str">
        <f t="shared" si="20"/>
        <v/>
      </c>
      <c r="Q116" t="str">
        <f>IF(N116="","",    _xlfn.XLOOKUP(P116,Regcontabilizados[Número pago],Regcontabilizados[Estado de pago],"NO PAGADO"))</f>
        <v/>
      </c>
      <c r="R116" s="44">
        <f>_xlfn.XLOOKUP(O116,Regcontabilizados[Identificador],Regcontabilizados[Fecha vencimiento],0)</f>
        <v>0</v>
      </c>
      <c r="S116">
        <f>_xlfn.XLOOKUP(O116,Regcontabilizados[Identificador],Regcontabilizados[Subcuenta],0)</f>
        <v>0</v>
      </c>
      <c r="T116">
        <f>_xlfn.XLOOKUP(O116,Regcontabilizados[Identificador],Regcontabilizados[Haber],0)</f>
        <v>0</v>
      </c>
      <c r="U116">
        <f>SUMIF(Regcontabilizados[Número pago],'PAGO Compras'!P116,Regcontabilizados[Debe])</f>
        <v>0</v>
      </c>
      <c r="AA116" s="33" t="str">
        <f>IF(J116=0,"",  _xlfn.XLOOKUP(AB116,Regcontabilizados[Identificador],Regcontabilizados[Subcuenta],0))</f>
        <v/>
      </c>
      <c r="AB116" t="str">
        <f>IF(J116=0,"",  _xlfn.XLOOKUP($H$7,BDPROV[ID-Proveedor],BDPROV[NIT/C.C.],0)&amp;$H$9&amp;D116&amp;"-"&amp;11)</f>
        <v/>
      </c>
      <c r="AC116" t="str">
        <f t="shared" si="17"/>
        <v/>
      </c>
      <c r="AD116" t="str">
        <f t="shared" si="18"/>
        <v>En Blanco</v>
      </c>
      <c r="AE116" t="str">
        <f>_xlfn.XLOOKUP($H$7,BDPROV[ID-Proveedor],BDPROV[NIT/C.C.],0)&amp;$H$13&amp;$E$7&amp;"-"&amp;ROW(Z116)-21</f>
        <v>Comp. Egreso-95</v>
      </c>
      <c r="AQ116" t="str">
        <f t="shared" si="19"/>
        <v>PAGADO</v>
      </c>
    </row>
    <row r="117" spans="3:43">
      <c r="C117" s="194"/>
      <c r="D117" s="206"/>
      <c r="E117" s="142"/>
      <c r="F117" s="195"/>
      <c r="G117" s="183"/>
      <c r="H117" s="37">
        <f t="shared" si="15"/>
        <v>0</v>
      </c>
      <c r="I117" s="37"/>
      <c r="J117" s="210">
        <f t="shared" si="16"/>
        <v>0</v>
      </c>
      <c r="K117" s="197"/>
      <c r="O117" t="str">
        <f>_xlfn.XLOOKUP($H$7,BDPROV[ID-Proveedor],BDPROV[NIT/C.C.])&amp;$H$9&amp;N117&amp;"-"&amp;11</f>
        <v>F.C.-11</v>
      </c>
      <c r="P117" t="str">
        <f t="shared" si="20"/>
        <v/>
      </c>
      <c r="Q117" t="str">
        <f>IF(N117="","",    _xlfn.XLOOKUP(P117,Regcontabilizados[Número pago],Regcontabilizados[Estado de pago],"NO PAGADO"))</f>
        <v/>
      </c>
      <c r="R117" s="44">
        <f>_xlfn.XLOOKUP(O117,Regcontabilizados[Identificador],Regcontabilizados[Fecha vencimiento],0)</f>
        <v>0</v>
      </c>
      <c r="S117">
        <f>_xlfn.XLOOKUP(O117,Regcontabilizados[Identificador],Regcontabilizados[Subcuenta],0)</f>
        <v>0</v>
      </c>
      <c r="T117">
        <f>_xlfn.XLOOKUP(O117,Regcontabilizados[Identificador],Regcontabilizados[Haber],0)</f>
        <v>0</v>
      </c>
      <c r="U117">
        <f>SUMIF(Regcontabilizados[Número pago],'PAGO Compras'!P117,Regcontabilizados[Debe])</f>
        <v>0</v>
      </c>
      <c r="AA117" s="33" t="str">
        <f>IF(J117=0,"",  _xlfn.XLOOKUP(AB117,Regcontabilizados[Identificador],Regcontabilizados[Subcuenta],0))</f>
        <v/>
      </c>
      <c r="AB117" t="str">
        <f>IF(J117=0,"",  _xlfn.XLOOKUP($H$7,BDPROV[ID-Proveedor],BDPROV[NIT/C.C.],0)&amp;$H$9&amp;D117&amp;"-"&amp;11)</f>
        <v/>
      </c>
      <c r="AC117" t="str">
        <f t="shared" si="17"/>
        <v/>
      </c>
      <c r="AD117" t="str">
        <f t="shared" si="18"/>
        <v>En Blanco</v>
      </c>
      <c r="AE117" t="str">
        <f>_xlfn.XLOOKUP($H$7,BDPROV[ID-Proveedor],BDPROV[NIT/C.C.],0)&amp;$H$13&amp;$E$7&amp;"-"&amp;ROW(Z117)-21</f>
        <v>Comp. Egreso-96</v>
      </c>
      <c r="AQ117" t="str">
        <f t="shared" si="19"/>
        <v>PAGADO</v>
      </c>
    </row>
    <row r="118" spans="3:43">
      <c r="C118" s="194"/>
      <c r="D118" s="206"/>
      <c r="E118" s="142"/>
      <c r="F118" s="195"/>
      <c r="G118" s="183"/>
      <c r="H118" s="37">
        <f t="shared" ref="H118:H142" si="21">F118-G118</f>
        <v>0</v>
      </c>
      <c r="I118" s="37"/>
      <c r="J118" s="210">
        <f t="shared" si="16"/>
        <v>0</v>
      </c>
      <c r="K118" s="197"/>
      <c r="O118" t="str">
        <f>_xlfn.XLOOKUP($H$7,BDPROV[ID-Proveedor],BDPROV[NIT/C.C.])&amp;$H$9&amp;N118&amp;"-"&amp;11</f>
        <v>F.C.-11</v>
      </c>
      <c r="P118" t="str">
        <f t="shared" si="20"/>
        <v/>
      </c>
      <c r="Q118" t="str">
        <f>IF(N118="","",    _xlfn.XLOOKUP(P118,Regcontabilizados[Número pago],Regcontabilizados[Estado de pago],"NO PAGADO"))</f>
        <v/>
      </c>
      <c r="R118" s="44">
        <f>_xlfn.XLOOKUP(O118,Regcontabilizados[Identificador],Regcontabilizados[Fecha vencimiento],0)</f>
        <v>0</v>
      </c>
      <c r="S118">
        <f>_xlfn.XLOOKUP(O118,Regcontabilizados[Identificador],Regcontabilizados[Subcuenta],0)</f>
        <v>0</v>
      </c>
      <c r="T118">
        <f>_xlfn.XLOOKUP(O118,Regcontabilizados[Identificador],Regcontabilizados[Haber],0)</f>
        <v>0</v>
      </c>
      <c r="U118">
        <f>SUMIF(Regcontabilizados[Número pago],'PAGO Compras'!P118,Regcontabilizados[Debe])</f>
        <v>0</v>
      </c>
      <c r="AA118" s="33" t="str">
        <f>IF(J118=0,"",  _xlfn.XLOOKUP(AB118,Regcontabilizados[Identificador],Regcontabilizados[Subcuenta],0))</f>
        <v/>
      </c>
      <c r="AB118" t="str">
        <f>IF(J118=0,"",  _xlfn.XLOOKUP($H$7,BDPROV[ID-Proveedor],BDPROV[NIT/C.C.],0)&amp;$H$9&amp;D118&amp;"-"&amp;11)</f>
        <v/>
      </c>
      <c r="AC118" t="str">
        <f t="shared" si="17"/>
        <v/>
      </c>
      <c r="AD118" t="str">
        <f t="shared" si="18"/>
        <v>En Blanco</v>
      </c>
      <c r="AE118" t="str">
        <f>_xlfn.XLOOKUP($H$7,BDPROV[ID-Proveedor],BDPROV[NIT/C.C.],0)&amp;$H$13&amp;$E$7&amp;"-"&amp;ROW(Z118)-21</f>
        <v>Comp. Egreso-97</v>
      </c>
      <c r="AQ118" t="str">
        <f t="shared" si="19"/>
        <v>PAGADO</v>
      </c>
    </row>
    <row r="119" spans="3:43">
      <c r="C119" s="194"/>
      <c r="D119" s="206"/>
      <c r="E119" s="142"/>
      <c r="F119" s="195"/>
      <c r="G119" s="183"/>
      <c r="H119" s="37">
        <f t="shared" si="21"/>
        <v>0</v>
      </c>
      <c r="I119" s="37"/>
      <c r="J119" s="210">
        <f t="shared" si="16"/>
        <v>0</v>
      </c>
      <c r="K119" s="197"/>
      <c r="O119" t="str">
        <f>_xlfn.XLOOKUP($H$7,BDPROV[ID-Proveedor],BDPROV[NIT/C.C.])&amp;$H$9&amp;N119&amp;"-"&amp;11</f>
        <v>F.C.-11</v>
      </c>
      <c r="P119" t="str">
        <f t="shared" si="20"/>
        <v/>
      </c>
      <c r="Q119" t="str">
        <f>IF(N119="","",    _xlfn.XLOOKUP(P119,Regcontabilizados[Número pago],Regcontabilizados[Estado de pago],"NO PAGADO"))</f>
        <v/>
      </c>
      <c r="R119" s="44">
        <f>_xlfn.XLOOKUP(O119,Regcontabilizados[Identificador],Regcontabilizados[Fecha vencimiento],0)</f>
        <v>0</v>
      </c>
      <c r="S119">
        <f>_xlfn.XLOOKUP(O119,Regcontabilizados[Identificador],Regcontabilizados[Subcuenta],0)</f>
        <v>0</v>
      </c>
      <c r="T119">
        <f>_xlfn.XLOOKUP(O119,Regcontabilizados[Identificador],Regcontabilizados[Haber],0)</f>
        <v>0</v>
      </c>
      <c r="U119">
        <f>SUMIF(Regcontabilizados[Número pago],'PAGO Compras'!P119,Regcontabilizados[Debe])</f>
        <v>0</v>
      </c>
      <c r="AA119" s="33" t="str">
        <f>IF(J119=0,"",  _xlfn.XLOOKUP(AB119,Regcontabilizados[Identificador],Regcontabilizados[Subcuenta],0))</f>
        <v/>
      </c>
      <c r="AB119" t="str">
        <f>IF(J119=0,"",  _xlfn.XLOOKUP($H$7,BDPROV[ID-Proveedor],BDPROV[NIT/C.C.],0)&amp;$H$9&amp;D119&amp;"-"&amp;11)</f>
        <v/>
      </c>
      <c r="AC119" t="str">
        <f t="shared" si="17"/>
        <v/>
      </c>
      <c r="AD119" t="str">
        <f t="shared" si="18"/>
        <v>En Blanco</v>
      </c>
      <c r="AE119" t="str">
        <f>_xlfn.XLOOKUP($H$7,BDPROV[ID-Proveedor],BDPROV[NIT/C.C.],0)&amp;$H$13&amp;$E$7&amp;"-"&amp;ROW(Z119)-21</f>
        <v>Comp. Egreso-98</v>
      </c>
      <c r="AQ119" t="str">
        <f t="shared" si="19"/>
        <v>PAGADO</v>
      </c>
    </row>
    <row r="120" spans="3:43">
      <c r="C120" s="194"/>
      <c r="D120" s="206"/>
      <c r="E120" s="142"/>
      <c r="F120" s="195"/>
      <c r="G120" s="183"/>
      <c r="H120" s="37">
        <f t="shared" si="21"/>
        <v>0</v>
      </c>
      <c r="I120" s="37"/>
      <c r="J120" s="210">
        <f t="shared" si="16"/>
        <v>0</v>
      </c>
      <c r="K120" s="197"/>
      <c r="O120" t="str">
        <f>_xlfn.XLOOKUP($H$7,BDPROV[ID-Proveedor],BDPROV[NIT/C.C.])&amp;$H$9&amp;N120&amp;"-"&amp;11</f>
        <v>F.C.-11</v>
      </c>
      <c r="P120" t="str">
        <f t="shared" si="20"/>
        <v/>
      </c>
      <c r="Q120" t="str">
        <f>IF(N120="","",    _xlfn.XLOOKUP(P120,Regcontabilizados[Número pago],Regcontabilizados[Estado de pago],"NO PAGADO"))</f>
        <v/>
      </c>
      <c r="R120" s="44">
        <f>_xlfn.XLOOKUP(O120,Regcontabilizados[Identificador],Regcontabilizados[Fecha vencimiento],0)</f>
        <v>0</v>
      </c>
      <c r="S120">
        <f>_xlfn.XLOOKUP(O120,Regcontabilizados[Identificador],Regcontabilizados[Subcuenta],0)</f>
        <v>0</v>
      </c>
      <c r="T120">
        <f>_xlfn.XLOOKUP(O120,Regcontabilizados[Identificador],Regcontabilizados[Haber],0)</f>
        <v>0</v>
      </c>
      <c r="U120">
        <f>SUMIF(Regcontabilizados[Número pago],'PAGO Compras'!P120,Regcontabilizados[Debe])</f>
        <v>0</v>
      </c>
      <c r="AA120" s="33" t="str">
        <f>IF(J120=0,"",  _xlfn.XLOOKUP(AB120,Regcontabilizados[Identificador],Regcontabilizados[Subcuenta],0))</f>
        <v/>
      </c>
      <c r="AB120" t="str">
        <f>IF(J120=0,"",  _xlfn.XLOOKUP($H$7,BDPROV[ID-Proveedor],BDPROV[NIT/C.C.],0)&amp;$H$9&amp;D120&amp;"-"&amp;11)</f>
        <v/>
      </c>
      <c r="AC120" t="str">
        <f t="shared" si="17"/>
        <v/>
      </c>
      <c r="AD120" t="str">
        <f t="shared" si="18"/>
        <v>En Blanco</v>
      </c>
      <c r="AE120" t="str">
        <f>_xlfn.XLOOKUP($H$7,BDPROV[ID-Proveedor],BDPROV[NIT/C.C.],0)&amp;$H$13&amp;$E$7&amp;"-"&amp;ROW(Z120)-21</f>
        <v>Comp. Egreso-99</v>
      </c>
      <c r="AQ120" t="str">
        <f t="shared" si="19"/>
        <v>PAGADO</v>
      </c>
    </row>
    <row r="121" spans="3:43">
      <c r="C121" s="194"/>
      <c r="D121" s="206"/>
      <c r="E121" s="142"/>
      <c r="F121" s="195"/>
      <c r="G121" s="183"/>
      <c r="H121" s="37">
        <f t="shared" si="21"/>
        <v>0</v>
      </c>
      <c r="I121" s="37"/>
      <c r="J121" s="210">
        <f t="shared" si="16"/>
        <v>0</v>
      </c>
      <c r="K121" s="197"/>
      <c r="O121" t="str">
        <f>_xlfn.XLOOKUP($H$7,BDPROV[ID-Proveedor],BDPROV[NIT/C.C.])&amp;$H$9&amp;N121&amp;"-"&amp;11</f>
        <v>F.C.-11</v>
      </c>
      <c r="P121" t="str">
        <f t="shared" si="20"/>
        <v/>
      </c>
      <c r="Q121" t="str">
        <f>IF(N121="","",    _xlfn.XLOOKUP(P121,Regcontabilizados[Número pago],Regcontabilizados[Estado de pago],"NO PAGADO"))</f>
        <v/>
      </c>
      <c r="R121" s="44">
        <f>_xlfn.XLOOKUP(O121,Regcontabilizados[Identificador],Regcontabilizados[Fecha vencimiento],0)</f>
        <v>0</v>
      </c>
      <c r="S121">
        <f>_xlfn.XLOOKUP(O121,Regcontabilizados[Identificador],Regcontabilizados[Subcuenta],0)</f>
        <v>0</v>
      </c>
      <c r="T121">
        <f>_xlfn.XLOOKUP(O121,Regcontabilizados[Identificador],Regcontabilizados[Haber],0)</f>
        <v>0</v>
      </c>
      <c r="U121">
        <f>SUMIF(Regcontabilizados[Número pago],'PAGO Compras'!P121,Regcontabilizados[Debe])</f>
        <v>0</v>
      </c>
      <c r="AA121" s="33" t="str">
        <f>IF(J121=0,"",  _xlfn.XLOOKUP(AB121,Regcontabilizados[Identificador],Regcontabilizados[Subcuenta],0))</f>
        <v/>
      </c>
      <c r="AB121" t="str">
        <f>IF(J121=0,"",  _xlfn.XLOOKUP($H$7,BDPROV[ID-Proveedor],BDPROV[NIT/C.C.],0)&amp;$H$9&amp;D121&amp;"-"&amp;11)</f>
        <v/>
      </c>
      <c r="AC121" t="str">
        <f t="shared" si="17"/>
        <v/>
      </c>
      <c r="AD121" t="str">
        <f t="shared" si="18"/>
        <v>En Blanco</v>
      </c>
      <c r="AE121" t="str">
        <f>_xlfn.XLOOKUP($H$7,BDPROV[ID-Proveedor],BDPROV[NIT/C.C.],0)&amp;$H$13&amp;$E$7&amp;"-"&amp;ROW(Z121)-21</f>
        <v>Comp. Egreso-100</v>
      </c>
      <c r="AQ121" t="str">
        <f t="shared" si="19"/>
        <v>PAGADO</v>
      </c>
    </row>
    <row r="122" spans="3:43">
      <c r="C122" s="194"/>
      <c r="D122" s="206"/>
      <c r="E122" s="142"/>
      <c r="F122" s="195"/>
      <c r="G122" s="183"/>
      <c r="H122" s="37">
        <f t="shared" si="21"/>
        <v>0</v>
      </c>
      <c r="I122" s="37"/>
      <c r="J122" s="210">
        <f t="shared" si="16"/>
        <v>0</v>
      </c>
      <c r="K122" s="197"/>
      <c r="O122" t="str">
        <f>_xlfn.XLOOKUP($H$7,BDPROV[ID-Proveedor],BDPROV[NIT/C.C.])&amp;$H$9&amp;N122&amp;"-"&amp;11</f>
        <v>F.C.-11</v>
      </c>
      <c r="P122" t="str">
        <f t="shared" si="20"/>
        <v/>
      </c>
      <c r="Q122" t="str">
        <f>IF(N122="","",    _xlfn.XLOOKUP(P122,Regcontabilizados[Número pago],Regcontabilizados[Estado de pago],"NO PAGADO"))</f>
        <v/>
      </c>
      <c r="R122" s="44">
        <f>_xlfn.XLOOKUP(O122,Regcontabilizados[Identificador],Regcontabilizados[Fecha vencimiento],0)</f>
        <v>0</v>
      </c>
      <c r="S122">
        <f>_xlfn.XLOOKUP(O122,Regcontabilizados[Identificador],Regcontabilizados[Subcuenta],0)</f>
        <v>0</v>
      </c>
      <c r="T122">
        <f>_xlfn.XLOOKUP(O122,Regcontabilizados[Identificador],Regcontabilizados[Haber],0)</f>
        <v>0</v>
      </c>
      <c r="U122">
        <f>SUMIF(Regcontabilizados[Número pago],'PAGO Compras'!P122,Regcontabilizados[Debe])</f>
        <v>0</v>
      </c>
      <c r="AA122" s="33" t="str">
        <f>IF(J122=0,"",  _xlfn.XLOOKUP(AB122,Regcontabilizados[Identificador],Regcontabilizados[Subcuenta],0))</f>
        <v/>
      </c>
      <c r="AB122" t="str">
        <f>IF(J122=0,"",  _xlfn.XLOOKUP($H$7,BDPROV[ID-Proveedor],BDPROV[NIT/C.C.],0)&amp;$H$9&amp;D122&amp;"-"&amp;11)</f>
        <v/>
      </c>
      <c r="AC122" t="str">
        <f t="shared" si="17"/>
        <v/>
      </c>
      <c r="AD122" t="str">
        <f t="shared" si="18"/>
        <v>En Blanco</v>
      </c>
      <c r="AE122" t="str">
        <f>_xlfn.XLOOKUP($H$7,BDPROV[ID-Proveedor],BDPROV[NIT/C.C.],0)&amp;$H$13&amp;$E$7&amp;"-"&amp;ROW(Z122)-21</f>
        <v>Comp. Egreso-101</v>
      </c>
      <c r="AQ122" t="str">
        <f t="shared" si="19"/>
        <v>PAGADO</v>
      </c>
    </row>
    <row r="123" spans="3:43">
      <c r="C123" s="194"/>
      <c r="D123" s="206"/>
      <c r="E123" s="142"/>
      <c r="F123" s="195"/>
      <c r="G123" s="183"/>
      <c r="H123" s="37">
        <f t="shared" si="21"/>
        <v>0</v>
      </c>
      <c r="I123" s="37"/>
      <c r="J123" s="210">
        <f t="shared" si="16"/>
        <v>0</v>
      </c>
      <c r="K123" s="197"/>
      <c r="O123" t="str">
        <f>_xlfn.XLOOKUP($H$7,BDPROV[ID-Proveedor],BDPROV[NIT/C.C.])&amp;$H$9&amp;N123&amp;"-"&amp;11</f>
        <v>F.C.-11</v>
      </c>
      <c r="P123" t="str">
        <f t="shared" si="20"/>
        <v/>
      </c>
      <c r="Q123" t="str">
        <f>IF(N123="","",    _xlfn.XLOOKUP(P123,Regcontabilizados[Número pago],Regcontabilizados[Estado de pago],"NO PAGADO"))</f>
        <v/>
      </c>
      <c r="R123" s="44">
        <f>_xlfn.XLOOKUP(O123,Regcontabilizados[Identificador],Regcontabilizados[Fecha vencimiento],0)</f>
        <v>0</v>
      </c>
      <c r="S123">
        <f>_xlfn.XLOOKUP(O123,Regcontabilizados[Identificador],Regcontabilizados[Subcuenta],0)</f>
        <v>0</v>
      </c>
      <c r="T123">
        <f>_xlfn.XLOOKUP(O123,Regcontabilizados[Identificador],Regcontabilizados[Haber],0)</f>
        <v>0</v>
      </c>
      <c r="U123">
        <f>SUMIF(Regcontabilizados[Número pago],'PAGO Compras'!P123,Regcontabilizados[Debe])</f>
        <v>0</v>
      </c>
      <c r="AA123" s="33" t="str">
        <f>IF(J123=0,"",  _xlfn.XLOOKUP(AB123,Regcontabilizados[Identificador],Regcontabilizados[Subcuenta],0))</f>
        <v/>
      </c>
      <c r="AB123" t="str">
        <f>IF(J123=0,"",  _xlfn.XLOOKUP($H$7,BDPROV[ID-Proveedor],BDPROV[NIT/C.C.],0)&amp;$H$9&amp;D123&amp;"-"&amp;11)</f>
        <v/>
      </c>
      <c r="AC123" t="str">
        <f t="shared" si="17"/>
        <v/>
      </c>
      <c r="AD123" t="str">
        <f t="shared" si="18"/>
        <v>En Blanco</v>
      </c>
      <c r="AE123" t="str">
        <f>_xlfn.XLOOKUP($H$7,BDPROV[ID-Proveedor],BDPROV[NIT/C.C.],0)&amp;$H$13&amp;$E$7&amp;"-"&amp;ROW(Z123)-21</f>
        <v>Comp. Egreso-102</v>
      </c>
      <c r="AQ123" t="str">
        <f t="shared" si="19"/>
        <v>PAGADO</v>
      </c>
    </row>
    <row r="124" spans="3:43">
      <c r="C124" s="194"/>
      <c r="D124" s="206"/>
      <c r="E124" s="142"/>
      <c r="F124" s="195"/>
      <c r="G124" s="183"/>
      <c r="H124" s="37">
        <f t="shared" si="21"/>
        <v>0</v>
      </c>
      <c r="I124" s="37"/>
      <c r="J124" s="210">
        <f t="shared" si="16"/>
        <v>0</v>
      </c>
      <c r="K124" s="197"/>
      <c r="O124" t="str">
        <f>_xlfn.XLOOKUP($H$7,BDPROV[ID-Proveedor],BDPROV[NIT/C.C.])&amp;$H$9&amp;N124&amp;"-"&amp;11</f>
        <v>F.C.-11</v>
      </c>
      <c r="P124" t="str">
        <f t="shared" si="20"/>
        <v/>
      </c>
      <c r="Q124" t="str">
        <f>IF(N124="","",    _xlfn.XLOOKUP(P124,Regcontabilizados[Número pago],Regcontabilizados[Estado de pago],"NO PAGADO"))</f>
        <v/>
      </c>
      <c r="R124" s="44">
        <f>_xlfn.XLOOKUP(O124,Regcontabilizados[Identificador],Regcontabilizados[Fecha vencimiento],0)</f>
        <v>0</v>
      </c>
      <c r="S124">
        <f>_xlfn.XLOOKUP(O124,Regcontabilizados[Identificador],Regcontabilizados[Subcuenta],0)</f>
        <v>0</v>
      </c>
      <c r="T124">
        <f>_xlfn.XLOOKUP(O124,Regcontabilizados[Identificador],Regcontabilizados[Haber],0)</f>
        <v>0</v>
      </c>
      <c r="U124">
        <f>SUMIF(Regcontabilizados[Número pago],'PAGO Compras'!P124,Regcontabilizados[Debe])</f>
        <v>0</v>
      </c>
      <c r="AA124" s="33" t="str">
        <f>IF(J124=0,"",  _xlfn.XLOOKUP(AB124,Regcontabilizados[Identificador],Regcontabilizados[Subcuenta],0))</f>
        <v/>
      </c>
      <c r="AB124" t="str">
        <f>IF(J124=0,"",  _xlfn.XLOOKUP($H$7,BDPROV[ID-Proveedor],BDPROV[NIT/C.C.],0)&amp;$H$9&amp;D124&amp;"-"&amp;11)</f>
        <v/>
      </c>
      <c r="AC124" t="str">
        <f t="shared" si="17"/>
        <v/>
      </c>
      <c r="AD124" t="str">
        <f t="shared" si="18"/>
        <v>En Blanco</v>
      </c>
      <c r="AE124" t="str">
        <f>_xlfn.XLOOKUP($H$7,BDPROV[ID-Proveedor],BDPROV[NIT/C.C.],0)&amp;$H$13&amp;$E$7&amp;"-"&amp;ROW(Z124)-21</f>
        <v>Comp. Egreso-103</v>
      </c>
      <c r="AQ124" t="str">
        <f t="shared" si="19"/>
        <v>PAGADO</v>
      </c>
    </row>
    <row r="125" spans="3:43">
      <c r="C125" s="194"/>
      <c r="D125" s="206"/>
      <c r="E125" s="142"/>
      <c r="F125" s="195"/>
      <c r="G125" s="183"/>
      <c r="H125" s="37">
        <f t="shared" si="21"/>
        <v>0</v>
      </c>
      <c r="I125" s="37"/>
      <c r="J125" s="210">
        <f t="shared" si="16"/>
        <v>0</v>
      </c>
      <c r="K125" s="197"/>
      <c r="O125" t="str">
        <f>_xlfn.XLOOKUP($H$7,BDPROV[ID-Proveedor],BDPROV[NIT/C.C.])&amp;$H$9&amp;N125&amp;"-"&amp;11</f>
        <v>F.C.-11</v>
      </c>
      <c r="P125" t="str">
        <f t="shared" si="20"/>
        <v/>
      </c>
      <c r="Q125" t="str">
        <f>IF(N125="","",    _xlfn.XLOOKUP(P125,Regcontabilizados[Número pago],Regcontabilizados[Estado de pago],"NO PAGADO"))</f>
        <v/>
      </c>
      <c r="R125" s="44">
        <f>_xlfn.XLOOKUP(O125,Regcontabilizados[Identificador],Regcontabilizados[Fecha vencimiento],0)</f>
        <v>0</v>
      </c>
      <c r="S125">
        <f>_xlfn.XLOOKUP(O125,Regcontabilizados[Identificador],Regcontabilizados[Subcuenta],0)</f>
        <v>0</v>
      </c>
      <c r="T125">
        <f>_xlfn.XLOOKUP(O125,Regcontabilizados[Identificador],Regcontabilizados[Haber],0)</f>
        <v>0</v>
      </c>
      <c r="U125">
        <f>SUMIF(Regcontabilizados[Número pago],'PAGO Compras'!P125,Regcontabilizados[Debe])</f>
        <v>0</v>
      </c>
      <c r="AA125" s="33" t="str">
        <f>IF(J125=0,"",  _xlfn.XLOOKUP(AB125,Regcontabilizados[Identificador],Regcontabilizados[Subcuenta],0))</f>
        <v/>
      </c>
      <c r="AB125" t="str">
        <f>IF(J125=0,"",  _xlfn.XLOOKUP($H$7,BDPROV[ID-Proveedor],BDPROV[NIT/C.C.],0)&amp;$H$9&amp;D125&amp;"-"&amp;11)</f>
        <v/>
      </c>
      <c r="AC125" t="str">
        <f t="shared" si="17"/>
        <v/>
      </c>
      <c r="AD125" t="str">
        <f t="shared" si="18"/>
        <v>En Blanco</v>
      </c>
      <c r="AE125" t="str">
        <f>_xlfn.XLOOKUP($H$7,BDPROV[ID-Proveedor],BDPROV[NIT/C.C.],0)&amp;$H$13&amp;$E$7&amp;"-"&amp;ROW(Z125)-21</f>
        <v>Comp. Egreso-104</v>
      </c>
      <c r="AQ125" t="str">
        <f t="shared" si="19"/>
        <v>PAGADO</v>
      </c>
    </row>
    <row r="126" spans="3:43">
      <c r="C126" s="194"/>
      <c r="D126" s="206"/>
      <c r="E126" s="142"/>
      <c r="F126" s="195"/>
      <c r="G126" s="183"/>
      <c r="H126" s="37">
        <f t="shared" si="21"/>
        <v>0</v>
      </c>
      <c r="I126" s="37"/>
      <c r="J126" s="210">
        <f t="shared" si="16"/>
        <v>0</v>
      </c>
      <c r="K126" s="197"/>
      <c r="O126" t="str">
        <f>_xlfn.XLOOKUP($H$7,BDPROV[ID-Proveedor],BDPROV[NIT/C.C.])&amp;$H$9&amp;N126&amp;"-"&amp;11</f>
        <v>F.C.-11</v>
      </c>
      <c r="P126" t="str">
        <f t="shared" si="20"/>
        <v/>
      </c>
      <c r="Q126" t="str">
        <f>IF(N126="","",    _xlfn.XLOOKUP(P126,Regcontabilizados[Número pago],Regcontabilizados[Estado de pago],"NO PAGADO"))</f>
        <v/>
      </c>
      <c r="R126" s="44">
        <f>_xlfn.XLOOKUP(O126,Regcontabilizados[Identificador],Regcontabilizados[Fecha vencimiento],0)</f>
        <v>0</v>
      </c>
      <c r="S126">
        <f>_xlfn.XLOOKUP(O126,Regcontabilizados[Identificador],Regcontabilizados[Subcuenta],0)</f>
        <v>0</v>
      </c>
      <c r="T126">
        <f>_xlfn.XLOOKUP(O126,Regcontabilizados[Identificador],Regcontabilizados[Haber],0)</f>
        <v>0</v>
      </c>
      <c r="U126">
        <f>SUMIF(Regcontabilizados[Número pago],'PAGO Compras'!P126,Regcontabilizados[Debe])</f>
        <v>0</v>
      </c>
      <c r="AA126" s="33" t="str">
        <f>IF(J126=0,"",  _xlfn.XLOOKUP(AB126,Regcontabilizados[Identificador],Regcontabilizados[Subcuenta],0))</f>
        <v/>
      </c>
      <c r="AB126" t="str">
        <f>IF(J126=0,"",  _xlfn.XLOOKUP($H$7,BDPROV[ID-Proveedor],BDPROV[NIT/C.C.],0)&amp;$H$9&amp;D126&amp;"-"&amp;11)</f>
        <v/>
      </c>
      <c r="AC126" t="str">
        <f t="shared" si="17"/>
        <v/>
      </c>
      <c r="AD126" t="str">
        <f t="shared" si="18"/>
        <v>En Blanco</v>
      </c>
      <c r="AE126" t="str">
        <f>_xlfn.XLOOKUP($H$7,BDPROV[ID-Proveedor],BDPROV[NIT/C.C.],0)&amp;$H$13&amp;$E$7&amp;"-"&amp;ROW(Z126)-21</f>
        <v>Comp. Egreso-105</v>
      </c>
      <c r="AQ126" t="str">
        <f t="shared" si="19"/>
        <v>PAGADO</v>
      </c>
    </row>
    <row r="127" spans="3:43">
      <c r="C127" s="194"/>
      <c r="D127" s="206"/>
      <c r="E127" s="142"/>
      <c r="F127" s="195"/>
      <c r="G127" s="183"/>
      <c r="H127" s="37">
        <f t="shared" si="21"/>
        <v>0</v>
      </c>
      <c r="I127" s="37"/>
      <c r="J127" s="210">
        <f t="shared" si="16"/>
        <v>0</v>
      </c>
      <c r="K127" s="197"/>
      <c r="O127" t="str">
        <f>_xlfn.XLOOKUP($H$7,BDPROV[ID-Proveedor],BDPROV[NIT/C.C.])&amp;$H$9&amp;N127&amp;"-"&amp;11</f>
        <v>F.C.-11</v>
      </c>
      <c r="P127" t="str">
        <f t="shared" si="20"/>
        <v/>
      </c>
      <c r="Q127" t="str">
        <f>IF(N127="","",    _xlfn.XLOOKUP(P127,Regcontabilizados[Número pago],Regcontabilizados[Estado de pago],"NO PAGADO"))</f>
        <v/>
      </c>
      <c r="R127" s="44">
        <f>_xlfn.XLOOKUP(O127,Regcontabilizados[Identificador],Regcontabilizados[Fecha vencimiento],0)</f>
        <v>0</v>
      </c>
      <c r="S127">
        <f>_xlfn.XLOOKUP(O127,Regcontabilizados[Identificador],Regcontabilizados[Subcuenta],0)</f>
        <v>0</v>
      </c>
      <c r="T127">
        <f>_xlfn.XLOOKUP(O127,Regcontabilizados[Identificador],Regcontabilizados[Haber],0)</f>
        <v>0</v>
      </c>
      <c r="U127">
        <f>SUMIF(Regcontabilizados[Número pago],'PAGO Compras'!P127,Regcontabilizados[Debe])</f>
        <v>0</v>
      </c>
      <c r="AA127" s="33" t="str">
        <f>IF(J127=0,"",  _xlfn.XLOOKUP(AB127,Regcontabilizados[Identificador],Regcontabilizados[Subcuenta],0))</f>
        <v/>
      </c>
      <c r="AB127" t="str">
        <f>IF(J127=0,"",  _xlfn.XLOOKUP($H$7,BDPROV[ID-Proveedor],BDPROV[NIT/C.C.],0)&amp;$H$9&amp;D127&amp;"-"&amp;11)</f>
        <v/>
      </c>
      <c r="AC127" t="str">
        <f t="shared" si="17"/>
        <v/>
      </c>
      <c r="AD127" t="str">
        <f t="shared" si="18"/>
        <v>En Blanco</v>
      </c>
      <c r="AE127" t="str">
        <f>_xlfn.XLOOKUP($H$7,BDPROV[ID-Proveedor],BDPROV[NIT/C.C.],0)&amp;$H$13&amp;$E$7&amp;"-"&amp;ROW(Z127)-21</f>
        <v>Comp. Egreso-106</v>
      </c>
      <c r="AQ127" t="str">
        <f t="shared" si="19"/>
        <v>PAGADO</v>
      </c>
    </row>
    <row r="128" spans="3:43">
      <c r="C128" s="194"/>
      <c r="D128" s="206"/>
      <c r="E128" s="142"/>
      <c r="F128" s="195"/>
      <c r="G128" s="183"/>
      <c r="H128" s="37">
        <f t="shared" si="21"/>
        <v>0</v>
      </c>
      <c r="I128" s="37"/>
      <c r="J128" s="210">
        <f t="shared" si="16"/>
        <v>0</v>
      </c>
      <c r="K128" s="197"/>
      <c r="O128" t="str">
        <f>_xlfn.XLOOKUP($H$7,BDPROV[ID-Proveedor],BDPROV[NIT/C.C.])&amp;$H$9&amp;N128&amp;"-"&amp;11</f>
        <v>F.C.-11</v>
      </c>
      <c r="P128" t="str">
        <f t="shared" si="20"/>
        <v/>
      </c>
      <c r="Q128" t="str">
        <f>IF(N128="","",    _xlfn.XLOOKUP(P128,Regcontabilizados[Número pago],Regcontabilizados[Estado de pago],"NO PAGADO"))</f>
        <v/>
      </c>
      <c r="R128" s="44">
        <f>_xlfn.XLOOKUP(O128,Regcontabilizados[Identificador],Regcontabilizados[Fecha vencimiento],0)</f>
        <v>0</v>
      </c>
      <c r="S128">
        <f>_xlfn.XLOOKUP(O128,Regcontabilizados[Identificador],Regcontabilizados[Subcuenta],0)</f>
        <v>0</v>
      </c>
      <c r="T128">
        <f>_xlfn.XLOOKUP(O128,Regcontabilizados[Identificador],Regcontabilizados[Haber],0)</f>
        <v>0</v>
      </c>
      <c r="U128">
        <f>SUMIF(Regcontabilizados[Número pago],'PAGO Compras'!P128,Regcontabilizados[Debe])</f>
        <v>0</v>
      </c>
      <c r="AA128" s="33" t="str">
        <f>IF(J128=0,"",  _xlfn.XLOOKUP(AB128,Regcontabilizados[Identificador],Regcontabilizados[Subcuenta],0))</f>
        <v/>
      </c>
      <c r="AB128" t="str">
        <f>IF(J128=0,"",  _xlfn.XLOOKUP($H$7,BDPROV[ID-Proveedor],BDPROV[NIT/C.C.],0)&amp;$H$9&amp;D128&amp;"-"&amp;11)</f>
        <v/>
      </c>
      <c r="AC128" t="str">
        <f t="shared" si="17"/>
        <v/>
      </c>
      <c r="AD128" t="str">
        <f t="shared" si="18"/>
        <v>En Blanco</v>
      </c>
      <c r="AE128" t="str">
        <f>_xlfn.XLOOKUP($H$7,BDPROV[ID-Proveedor],BDPROV[NIT/C.C.],0)&amp;$H$13&amp;$E$7&amp;"-"&amp;ROW(Z128)-21</f>
        <v>Comp. Egreso-107</v>
      </c>
      <c r="AQ128" t="str">
        <f t="shared" si="19"/>
        <v>PAGADO</v>
      </c>
    </row>
    <row r="129" spans="3:43">
      <c r="C129" s="194"/>
      <c r="D129" s="206"/>
      <c r="E129" s="142"/>
      <c r="F129" s="195"/>
      <c r="G129" s="183"/>
      <c r="H129" s="37">
        <f t="shared" si="21"/>
        <v>0</v>
      </c>
      <c r="I129" s="37"/>
      <c r="J129" s="210">
        <f t="shared" si="16"/>
        <v>0</v>
      </c>
      <c r="K129" s="197"/>
      <c r="O129" t="str">
        <f>_xlfn.XLOOKUP($H$7,BDPROV[ID-Proveedor],BDPROV[NIT/C.C.])&amp;$H$9&amp;N129&amp;"-"&amp;11</f>
        <v>F.C.-11</v>
      </c>
      <c r="P129" t="str">
        <f t="shared" si="20"/>
        <v/>
      </c>
      <c r="Q129" t="str">
        <f>IF(N129="","",    _xlfn.XLOOKUP(P129,Regcontabilizados[Número pago],Regcontabilizados[Estado de pago],"NO PAGADO"))</f>
        <v/>
      </c>
      <c r="R129" s="44">
        <f>_xlfn.XLOOKUP(O129,Regcontabilizados[Identificador],Regcontabilizados[Fecha vencimiento],0)</f>
        <v>0</v>
      </c>
      <c r="S129">
        <f>_xlfn.XLOOKUP(O129,Regcontabilizados[Identificador],Regcontabilizados[Subcuenta],0)</f>
        <v>0</v>
      </c>
      <c r="T129">
        <f>_xlfn.XLOOKUP(O129,Regcontabilizados[Identificador],Regcontabilizados[Haber],0)</f>
        <v>0</v>
      </c>
      <c r="U129">
        <f>SUMIF(Regcontabilizados[Número pago],'PAGO Compras'!P129,Regcontabilizados[Debe])</f>
        <v>0</v>
      </c>
      <c r="AA129" s="33" t="str">
        <f>IF(J129=0,"",  _xlfn.XLOOKUP(AB129,Regcontabilizados[Identificador],Regcontabilizados[Subcuenta],0))</f>
        <v/>
      </c>
      <c r="AB129" t="str">
        <f>IF(J129=0,"",  _xlfn.XLOOKUP($H$7,BDPROV[ID-Proveedor],BDPROV[NIT/C.C.],0)&amp;$H$9&amp;D129&amp;"-"&amp;11)</f>
        <v/>
      </c>
      <c r="AC129" t="str">
        <f t="shared" si="17"/>
        <v/>
      </c>
      <c r="AD129" t="str">
        <f t="shared" si="18"/>
        <v>En Blanco</v>
      </c>
      <c r="AE129" t="str">
        <f>_xlfn.XLOOKUP($H$7,BDPROV[ID-Proveedor],BDPROV[NIT/C.C.],0)&amp;$H$13&amp;$E$7&amp;"-"&amp;ROW(Z129)-21</f>
        <v>Comp. Egreso-108</v>
      </c>
      <c r="AQ129" t="str">
        <f t="shared" si="19"/>
        <v>PAGADO</v>
      </c>
    </row>
    <row r="130" spans="3:43">
      <c r="C130" s="194"/>
      <c r="D130" s="206"/>
      <c r="E130" s="142"/>
      <c r="F130" s="195"/>
      <c r="G130" s="183"/>
      <c r="H130" s="37">
        <f t="shared" si="21"/>
        <v>0</v>
      </c>
      <c r="I130" s="37"/>
      <c r="J130" s="210">
        <f t="shared" si="16"/>
        <v>0</v>
      </c>
      <c r="K130" s="197"/>
      <c r="O130" t="str">
        <f>_xlfn.XLOOKUP($H$7,BDPROV[ID-Proveedor],BDPROV[NIT/C.C.])&amp;$H$9&amp;N130&amp;"-"&amp;11</f>
        <v>F.C.-11</v>
      </c>
      <c r="P130" t="str">
        <f t="shared" si="20"/>
        <v/>
      </c>
      <c r="Q130" t="str">
        <f>IF(N130="","",    _xlfn.XLOOKUP(P130,Regcontabilizados[Número pago],Regcontabilizados[Estado de pago],"NO PAGADO"))</f>
        <v/>
      </c>
      <c r="R130" s="44">
        <f>_xlfn.XLOOKUP(O130,Regcontabilizados[Identificador],Regcontabilizados[Fecha vencimiento],0)</f>
        <v>0</v>
      </c>
      <c r="S130">
        <f>_xlfn.XLOOKUP(O130,Regcontabilizados[Identificador],Regcontabilizados[Subcuenta],0)</f>
        <v>0</v>
      </c>
      <c r="T130">
        <f>_xlfn.XLOOKUP(O130,Regcontabilizados[Identificador],Regcontabilizados[Haber],0)</f>
        <v>0</v>
      </c>
      <c r="U130">
        <f>SUMIF(Regcontabilizados[Número pago],'PAGO Compras'!P130,Regcontabilizados[Debe])</f>
        <v>0</v>
      </c>
      <c r="AA130" s="33" t="str">
        <f>IF(J130=0,"",  _xlfn.XLOOKUP(AB130,Regcontabilizados[Identificador],Regcontabilizados[Subcuenta],0))</f>
        <v/>
      </c>
      <c r="AB130" t="str">
        <f>IF(J130=0,"",  _xlfn.XLOOKUP($H$7,BDPROV[ID-Proveedor],BDPROV[NIT/C.C.],0)&amp;$H$9&amp;D130&amp;"-"&amp;11)</f>
        <v/>
      </c>
      <c r="AC130" t="str">
        <f t="shared" si="17"/>
        <v/>
      </c>
      <c r="AD130" t="str">
        <f t="shared" si="18"/>
        <v>En Blanco</v>
      </c>
      <c r="AE130" t="str">
        <f>_xlfn.XLOOKUP($H$7,BDPROV[ID-Proveedor],BDPROV[NIT/C.C.],0)&amp;$H$13&amp;$E$7&amp;"-"&amp;ROW(Z130)-21</f>
        <v>Comp. Egreso-109</v>
      </c>
      <c r="AQ130" t="str">
        <f t="shared" si="19"/>
        <v>PAGADO</v>
      </c>
    </row>
    <row r="131" spans="3:43">
      <c r="C131" s="194"/>
      <c r="D131" s="206"/>
      <c r="E131" s="142"/>
      <c r="F131" s="195"/>
      <c r="G131" s="183"/>
      <c r="H131" s="37">
        <f t="shared" si="21"/>
        <v>0</v>
      </c>
      <c r="I131" s="37"/>
      <c r="J131" s="210">
        <f t="shared" si="16"/>
        <v>0</v>
      </c>
      <c r="K131" s="197"/>
      <c r="O131" t="str">
        <f>_xlfn.XLOOKUP($H$7,BDPROV[ID-Proveedor],BDPROV[NIT/C.C.])&amp;$H$9&amp;N131&amp;"-"&amp;11</f>
        <v>F.C.-11</v>
      </c>
      <c r="P131" t="str">
        <f t="shared" si="20"/>
        <v/>
      </c>
      <c r="Q131" t="str">
        <f>IF(N131="","",    _xlfn.XLOOKUP(P131,Regcontabilizados[Número pago],Regcontabilizados[Estado de pago],"NO PAGADO"))</f>
        <v/>
      </c>
      <c r="R131" s="44">
        <f>_xlfn.XLOOKUP(O131,Regcontabilizados[Identificador],Regcontabilizados[Fecha vencimiento],0)</f>
        <v>0</v>
      </c>
      <c r="S131">
        <f>_xlfn.XLOOKUP(O131,Regcontabilizados[Identificador],Regcontabilizados[Subcuenta],0)</f>
        <v>0</v>
      </c>
      <c r="T131">
        <f>_xlfn.XLOOKUP(O131,Regcontabilizados[Identificador],Regcontabilizados[Haber],0)</f>
        <v>0</v>
      </c>
      <c r="U131">
        <f>SUMIF(Regcontabilizados[Número pago],'PAGO Compras'!P131,Regcontabilizados[Debe])</f>
        <v>0</v>
      </c>
      <c r="AA131" s="33" t="str">
        <f>IF(J131=0,"",  _xlfn.XLOOKUP(AB131,Regcontabilizados[Identificador],Regcontabilizados[Subcuenta],0))</f>
        <v/>
      </c>
      <c r="AB131" t="str">
        <f>IF(J131=0,"",  _xlfn.XLOOKUP($H$7,BDPROV[ID-Proveedor],BDPROV[NIT/C.C.],0)&amp;$H$9&amp;D131&amp;"-"&amp;11)</f>
        <v/>
      </c>
      <c r="AC131" t="str">
        <f t="shared" si="17"/>
        <v/>
      </c>
      <c r="AD131" t="str">
        <f t="shared" si="18"/>
        <v>En Blanco</v>
      </c>
      <c r="AE131" t="str">
        <f>_xlfn.XLOOKUP($H$7,BDPROV[ID-Proveedor],BDPROV[NIT/C.C.],0)&amp;$H$13&amp;$E$7&amp;"-"&amp;ROW(Z131)-21</f>
        <v>Comp. Egreso-110</v>
      </c>
      <c r="AQ131" t="str">
        <f t="shared" si="19"/>
        <v>PAGADO</v>
      </c>
    </row>
    <row r="132" spans="3:43">
      <c r="C132" s="194"/>
      <c r="D132" s="206"/>
      <c r="E132" s="142"/>
      <c r="F132" s="195"/>
      <c r="G132" s="183"/>
      <c r="H132" s="37">
        <f t="shared" si="21"/>
        <v>0</v>
      </c>
      <c r="I132" s="37"/>
      <c r="J132" s="210">
        <f t="shared" si="16"/>
        <v>0</v>
      </c>
      <c r="K132" s="197"/>
      <c r="O132" t="str">
        <f>_xlfn.XLOOKUP($H$7,BDPROV[ID-Proveedor],BDPROV[NIT/C.C.])&amp;$H$9&amp;N132&amp;"-"&amp;11</f>
        <v>F.C.-11</v>
      </c>
      <c r="P132" t="str">
        <f t="shared" si="20"/>
        <v/>
      </c>
      <c r="Q132" t="str">
        <f>IF(N132="","",    _xlfn.XLOOKUP(P132,Regcontabilizados[Número pago],Regcontabilizados[Estado de pago],"NO PAGADO"))</f>
        <v/>
      </c>
      <c r="R132" s="44">
        <f>_xlfn.XLOOKUP(O132,Regcontabilizados[Identificador],Regcontabilizados[Fecha vencimiento],0)</f>
        <v>0</v>
      </c>
      <c r="S132">
        <f>_xlfn.XLOOKUP(O132,Regcontabilizados[Identificador],Regcontabilizados[Subcuenta],0)</f>
        <v>0</v>
      </c>
      <c r="T132">
        <f>_xlfn.XLOOKUP(O132,Regcontabilizados[Identificador],Regcontabilizados[Haber],0)</f>
        <v>0</v>
      </c>
      <c r="U132">
        <f>SUMIF(Regcontabilizados[Número pago],'PAGO Compras'!P132,Regcontabilizados[Debe])</f>
        <v>0</v>
      </c>
      <c r="AA132" s="33" t="str">
        <f>IF(J132=0,"",  _xlfn.XLOOKUP(AB132,Regcontabilizados[Identificador],Regcontabilizados[Subcuenta],0))</f>
        <v/>
      </c>
      <c r="AB132" t="str">
        <f>IF(J132=0,"",  _xlfn.XLOOKUP($H$7,BDPROV[ID-Proveedor],BDPROV[NIT/C.C.],0)&amp;$H$9&amp;D132&amp;"-"&amp;11)</f>
        <v/>
      </c>
      <c r="AC132" t="str">
        <f t="shared" si="17"/>
        <v/>
      </c>
      <c r="AD132" t="str">
        <f t="shared" si="18"/>
        <v>En Blanco</v>
      </c>
      <c r="AE132" t="str">
        <f>_xlfn.XLOOKUP($H$7,BDPROV[ID-Proveedor],BDPROV[NIT/C.C.],0)&amp;$H$13&amp;$E$7&amp;"-"&amp;ROW(Z132)-21</f>
        <v>Comp. Egreso-111</v>
      </c>
      <c r="AQ132" t="str">
        <f t="shared" si="19"/>
        <v>PAGADO</v>
      </c>
    </row>
    <row r="133" spans="3:43">
      <c r="C133" s="194"/>
      <c r="D133" s="206"/>
      <c r="E133" s="142"/>
      <c r="F133" s="195"/>
      <c r="G133" s="183"/>
      <c r="H133" s="37">
        <f t="shared" si="21"/>
        <v>0</v>
      </c>
      <c r="I133" s="37"/>
      <c r="J133" s="210">
        <f t="shared" si="16"/>
        <v>0</v>
      </c>
      <c r="K133" s="197"/>
      <c r="O133" t="str">
        <f>_xlfn.XLOOKUP($H$7,BDPROV[ID-Proveedor],BDPROV[NIT/C.C.])&amp;$H$9&amp;N133&amp;"-"&amp;11</f>
        <v>F.C.-11</v>
      </c>
      <c r="P133" t="str">
        <f t="shared" si="20"/>
        <v/>
      </c>
      <c r="Q133" t="str">
        <f>IF(N133="","",    _xlfn.XLOOKUP(P133,Regcontabilizados[Número pago],Regcontabilizados[Estado de pago],"NO PAGADO"))</f>
        <v/>
      </c>
      <c r="R133" s="44">
        <f>_xlfn.XLOOKUP(O133,Regcontabilizados[Identificador],Regcontabilizados[Fecha vencimiento],0)</f>
        <v>0</v>
      </c>
      <c r="S133">
        <f>_xlfn.XLOOKUP(O133,Regcontabilizados[Identificador],Regcontabilizados[Subcuenta],0)</f>
        <v>0</v>
      </c>
      <c r="T133">
        <f>_xlfn.XLOOKUP(O133,Regcontabilizados[Identificador],Regcontabilizados[Haber],0)</f>
        <v>0</v>
      </c>
      <c r="U133">
        <f>SUMIF(Regcontabilizados[Número pago],'PAGO Compras'!P133,Regcontabilizados[Debe])</f>
        <v>0</v>
      </c>
      <c r="AA133" s="33" t="str">
        <f>IF(J133=0,"",  _xlfn.XLOOKUP(AB133,Regcontabilizados[Identificador],Regcontabilizados[Subcuenta],0))</f>
        <v/>
      </c>
      <c r="AB133" t="str">
        <f>IF(J133=0,"",  _xlfn.XLOOKUP($H$7,BDPROV[ID-Proveedor],BDPROV[NIT/C.C.],0)&amp;$H$9&amp;D133&amp;"-"&amp;11)</f>
        <v/>
      </c>
      <c r="AC133" t="str">
        <f t="shared" si="17"/>
        <v/>
      </c>
      <c r="AD133" t="str">
        <f t="shared" si="18"/>
        <v>En Blanco</v>
      </c>
      <c r="AE133" t="str">
        <f>_xlfn.XLOOKUP($H$7,BDPROV[ID-Proveedor],BDPROV[NIT/C.C.],0)&amp;$H$13&amp;$E$7&amp;"-"&amp;ROW(Z133)-21</f>
        <v>Comp. Egreso-112</v>
      </c>
      <c r="AQ133" t="str">
        <f t="shared" si="19"/>
        <v>PAGADO</v>
      </c>
    </row>
    <row r="134" spans="3:43">
      <c r="C134" s="194"/>
      <c r="D134" s="206"/>
      <c r="E134" s="142"/>
      <c r="F134" s="195"/>
      <c r="G134" s="183"/>
      <c r="H134" s="37">
        <f t="shared" si="21"/>
        <v>0</v>
      </c>
      <c r="I134" s="37"/>
      <c r="J134" s="210">
        <f t="shared" si="16"/>
        <v>0</v>
      </c>
      <c r="K134" s="197"/>
      <c r="O134" t="str">
        <f>_xlfn.XLOOKUP($H$7,BDPROV[ID-Proveedor],BDPROV[NIT/C.C.])&amp;$H$9&amp;N134&amp;"-"&amp;11</f>
        <v>F.C.-11</v>
      </c>
      <c r="P134" t="str">
        <f t="shared" si="20"/>
        <v/>
      </c>
      <c r="Q134" t="str">
        <f>IF(N134="","",    _xlfn.XLOOKUP(P134,Regcontabilizados[Número pago],Regcontabilizados[Estado de pago],"NO PAGADO"))</f>
        <v/>
      </c>
      <c r="R134" s="44">
        <f>_xlfn.XLOOKUP(O134,Regcontabilizados[Identificador],Regcontabilizados[Fecha vencimiento],0)</f>
        <v>0</v>
      </c>
      <c r="S134">
        <f>_xlfn.XLOOKUP(O134,Regcontabilizados[Identificador],Regcontabilizados[Subcuenta],0)</f>
        <v>0</v>
      </c>
      <c r="T134">
        <f>_xlfn.XLOOKUP(O134,Regcontabilizados[Identificador],Regcontabilizados[Haber],0)</f>
        <v>0</v>
      </c>
      <c r="U134">
        <f>SUMIF(Regcontabilizados[Número pago],'PAGO Compras'!P134,Regcontabilizados[Debe])</f>
        <v>0</v>
      </c>
      <c r="AA134" s="33" t="str">
        <f>IF(J134=0,"",  _xlfn.XLOOKUP(AB134,Regcontabilizados[Identificador],Regcontabilizados[Subcuenta],0))</f>
        <v/>
      </c>
      <c r="AB134" t="str">
        <f>IF(J134=0,"",  _xlfn.XLOOKUP($H$7,BDPROV[ID-Proveedor],BDPROV[NIT/C.C.],0)&amp;$H$9&amp;D134&amp;"-"&amp;11)</f>
        <v/>
      </c>
      <c r="AC134" t="str">
        <f t="shared" si="17"/>
        <v/>
      </c>
      <c r="AD134" t="str">
        <f t="shared" si="18"/>
        <v>En Blanco</v>
      </c>
      <c r="AE134" t="str">
        <f>_xlfn.XLOOKUP($H$7,BDPROV[ID-Proveedor],BDPROV[NIT/C.C.],0)&amp;$H$13&amp;$E$7&amp;"-"&amp;ROW(Z134)-21</f>
        <v>Comp. Egreso-113</v>
      </c>
      <c r="AQ134" t="str">
        <f t="shared" si="19"/>
        <v>PAGADO</v>
      </c>
    </row>
    <row r="135" spans="3:43">
      <c r="C135" s="194"/>
      <c r="D135" s="206"/>
      <c r="E135" s="142"/>
      <c r="F135" s="195"/>
      <c r="G135" s="183"/>
      <c r="H135" s="37">
        <f t="shared" si="21"/>
        <v>0</v>
      </c>
      <c r="I135" s="37"/>
      <c r="J135" s="210">
        <f t="shared" si="16"/>
        <v>0</v>
      </c>
      <c r="K135" s="197"/>
      <c r="O135" t="str">
        <f>_xlfn.XLOOKUP($H$7,BDPROV[ID-Proveedor],BDPROV[NIT/C.C.])&amp;$H$9&amp;N135&amp;"-"&amp;11</f>
        <v>F.C.-11</v>
      </c>
      <c r="P135" t="str">
        <f t="shared" si="20"/>
        <v/>
      </c>
      <c r="Q135" t="str">
        <f>IF(N135="","",    _xlfn.XLOOKUP(P135,Regcontabilizados[Número pago],Regcontabilizados[Estado de pago],"NO PAGADO"))</f>
        <v/>
      </c>
      <c r="R135" s="44">
        <f>_xlfn.XLOOKUP(O135,Regcontabilizados[Identificador],Regcontabilizados[Fecha vencimiento],0)</f>
        <v>0</v>
      </c>
      <c r="S135">
        <f>_xlfn.XLOOKUP(O135,Regcontabilizados[Identificador],Regcontabilizados[Subcuenta],0)</f>
        <v>0</v>
      </c>
      <c r="T135">
        <f>_xlfn.XLOOKUP(O135,Regcontabilizados[Identificador],Regcontabilizados[Haber],0)</f>
        <v>0</v>
      </c>
      <c r="U135">
        <f>SUMIF(Regcontabilizados[Número pago],'PAGO Compras'!P135,Regcontabilizados[Debe])</f>
        <v>0</v>
      </c>
      <c r="AA135" s="33" t="str">
        <f>IF(J135=0,"",  _xlfn.XLOOKUP(AB135,Regcontabilizados[Identificador],Regcontabilizados[Subcuenta],0))</f>
        <v/>
      </c>
      <c r="AB135" t="str">
        <f>IF(J135=0,"",  _xlfn.XLOOKUP($H$7,BDPROV[ID-Proveedor],BDPROV[NIT/C.C.],0)&amp;$H$9&amp;D135&amp;"-"&amp;11)</f>
        <v/>
      </c>
      <c r="AC135" t="str">
        <f t="shared" si="17"/>
        <v/>
      </c>
      <c r="AD135" t="str">
        <f t="shared" si="18"/>
        <v>En Blanco</v>
      </c>
      <c r="AE135" t="str">
        <f>_xlfn.XLOOKUP($H$7,BDPROV[ID-Proveedor],BDPROV[NIT/C.C.],0)&amp;$H$13&amp;$E$7&amp;"-"&amp;ROW(Z135)-21</f>
        <v>Comp. Egreso-114</v>
      </c>
      <c r="AQ135" t="str">
        <f t="shared" si="19"/>
        <v>PAGADO</v>
      </c>
    </row>
    <row r="136" spans="3:43">
      <c r="C136" s="194"/>
      <c r="D136" s="206"/>
      <c r="E136" s="142"/>
      <c r="F136" s="195"/>
      <c r="G136" s="183"/>
      <c r="H136" s="37">
        <f t="shared" si="21"/>
        <v>0</v>
      </c>
      <c r="I136" s="37"/>
      <c r="J136" s="210">
        <f t="shared" si="16"/>
        <v>0</v>
      </c>
      <c r="K136" s="197"/>
      <c r="O136" t="str">
        <f>_xlfn.XLOOKUP($H$7,BDPROV[ID-Proveedor],BDPROV[NIT/C.C.])&amp;$H$9&amp;N136&amp;"-"&amp;11</f>
        <v>F.C.-11</v>
      </c>
      <c r="P136" t="str">
        <f t="shared" si="20"/>
        <v/>
      </c>
      <c r="Q136" t="str">
        <f>IF(N136="","",    _xlfn.XLOOKUP(P136,Regcontabilizados[Número pago],Regcontabilizados[Estado de pago],"NO PAGADO"))</f>
        <v/>
      </c>
      <c r="R136" s="44">
        <f>_xlfn.XLOOKUP(O136,Regcontabilizados[Identificador],Regcontabilizados[Fecha vencimiento],0)</f>
        <v>0</v>
      </c>
      <c r="S136">
        <f>_xlfn.XLOOKUP(O136,Regcontabilizados[Identificador],Regcontabilizados[Subcuenta],0)</f>
        <v>0</v>
      </c>
      <c r="T136">
        <f>_xlfn.XLOOKUP(O136,Regcontabilizados[Identificador],Regcontabilizados[Haber],0)</f>
        <v>0</v>
      </c>
      <c r="U136">
        <f>SUMIF(Regcontabilizados[Número pago],'PAGO Compras'!P136,Regcontabilizados[Debe])</f>
        <v>0</v>
      </c>
      <c r="AA136" s="33" t="str">
        <f>IF(J136=0,"",  _xlfn.XLOOKUP(AB136,Regcontabilizados[Identificador],Regcontabilizados[Subcuenta],0))</f>
        <v/>
      </c>
      <c r="AB136" t="str">
        <f>IF(J136=0,"",  _xlfn.XLOOKUP($H$7,BDPROV[ID-Proveedor],BDPROV[NIT/C.C.],0)&amp;$H$9&amp;D136&amp;"-"&amp;11)</f>
        <v/>
      </c>
      <c r="AC136" t="str">
        <f t="shared" si="17"/>
        <v/>
      </c>
      <c r="AD136" t="str">
        <f t="shared" si="18"/>
        <v>En Blanco</v>
      </c>
      <c r="AE136" t="str">
        <f>_xlfn.XLOOKUP($H$7,BDPROV[ID-Proveedor],BDPROV[NIT/C.C.],0)&amp;$H$13&amp;$E$7&amp;"-"&amp;ROW(Z136)-21</f>
        <v>Comp. Egreso-115</v>
      </c>
      <c r="AQ136" t="str">
        <f t="shared" si="19"/>
        <v>PAGADO</v>
      </c>
    </row>
    <row r="137" spans="3:43">
      <c r="C137" s="194"/>
      <c r="D137" s="206"/>
      <c r="E137" s="142"/>
      <c r="F137" s="195"/>
      <c r="G137" s="183"/>
      <c r="H137" s="37">
        <f t="shared" si="21"/>
        <v>0</v>
      </c>
      <c r="I137" s="37"/>
      <c r="J137" s="210">
        <f t="shared" si="16"/>
        <v>0</v>
      </c>
      <c r="K137" s="197"/>
      <c r="O137" t="str">
        <f>_xlfn.XLOOKUP($H$7,BDPROV[ID-Proveedor],BDPROV[NIT/C.C.])&amp;$H$9&amp;N137&amp;"-"&amp;11</f>
        <v>F.C.-11</v>
      </c>
      <c r="P137" t="str">
        <f t="shared" si="20"/>
        <v/>
      </c>
      <c r="Q137" t="str">
        <f>IF(N137="","",    _xlfn.XLOOKUP(P137,Regcontabilizados[Número pago],Regcontabilizados[Estado de pago],"NO PAGADO"))</f>
        <v/>
      </c>
      <c r="R137" s="44">
        <f>_xlfn.XLOOKUP(O137,Regcontabilizados[Identificador],Regcontabilizados[Fecha vencimiento],0)</f>
        <v>0</v>
      </c>
      <c r="S137">
        <f>_xlfn.XLOOKUP(O137,Regcontabilizados[Identificador],Regcontabilizados[Subcuenta],0)</f>
        <v>0</v>
      </c>
      <c r="T137">
        <f>_xlfn.XLOOKUP(O137,Regcontabilizados[Identificador],Regcontabilizados[Haber],0)</f>
        <v>0</v>
      </c>
      <c r="U137">
        <f>SUMIF(Regcontabilizados[Número pago],'PAGO Compras'!P137,Regcontabilizados[Debe])</f>
        <v>0</v>
      </c>
      <c r="AA137" s="33" t="str">
        <f>IF(J137=0,"",  _xlfn.XLOOKUP(AB137,Regcontabilizados[Identificador],Regcontabilizados[Subcuenta],0))</f>
        <v/>
      </c>
      <c r="AB137" t="str">
        <f>IF(J137=0,"",  _xlfn.XLOOKUP($H$7,BDPROV[ID-Proveedor],BDPROV[NIT/C.C.],0)&amp;$H$9&amp;D137&amp;"-"&amp;11)</f>
        <v/>
      </c>
      <c r="AC137" t="str">
        <f t="shared" si="17"/>
        <v/>
      </c>
      <c r="AD137" t="str">
        <f t="shared" si="18"/>
        <v>En Blanco</v>
      </c>
      <c r="AE137" t="str">
        <f>_xlfn.XLOOKUP($H$7,BDPROV[ID-Proveedor],BDPROV[NIT/C.C.],0)&amp;$H$13&amp;$E$7&amp;"-"&amp;ROW(Z137)-21</f>
        <v>Comp. Egreso-116</v>
      </c>
      <c r="AQ137" t="str">
        <f t="shared" si="19"/>
        <v>PAGADO</v>
      </c>
    </row>
    <row r="138" spans="3:43">
      <c r="C138" s="194"/>
      <c r="D138" s="206"/>
      <c r="E138" s="142"/>
      <c r="F138" s="195"/>
      <c r="G138" s="183"/>
      <c r="H138" s="37">
        <f t="shared" si="21"/>
        <v>0</v>
      </c>
      <c r="I138" s="37"/>
      <c r="J138" s="210">
        <f t="shared" si="16"/>
        <v>0</v>
      </c>
      <c r="K138" s="197"/>
      <c r="O138" t="str">
        <f>_xlfn.XLOOKUP($H$7,BDPROV[ID-Proveedor],BDPROV[NIT/C.C.])&amp;$H$9&amp;N138&amp;"-"&amp;11</f>
        <v>F.C.-11</v>
      </c>
      <c r="P138" t="str">
        <f t="shared" si="20"/>
        <v/>
      </c>
      <c r="Q138" t="str">
        <f>IF(N138="","",    _xlfn.XLOOKUP(P138,Regcontabilizados[Número pago],Regcontabilizados[Estado de pago],"NO PAGADO"))</f>
        <v/>
      </c>
      <c r="R138" s="44">
        <f>_xlfn.XLOOKUP(O138,Regcontabilizados[Identificador],Regcontabilizados[Fecha vencimiento],0)</f>
        <v>0</v>
      </c>
      <c r="S138">
        <f>_xlfn.XLOOKUP(O138,Regcontabilizados[Identificador],Regcontabilizados[Subcuenta],0)</f>
        <v>0</v>
      </c>
      <c r="T138">
        <f>_xlfn.XLOOKUP(O138,Regcontabilizados[Identificador],Regcontabilizados[Haber],0)</f>
        <v>0</v>
      </c>
      <c r="U138">
        <f>SUMIF(Regcontabilizados[Número pago],'PAGO Compras'!P138,Regcontabilizados[Debe])</f>
        <v>0</v>
      </c>
      <c r="AA138" s="33" t="str">
        <f>IF(J138=0,"",  _xlfn.XLOOKUP(AB138,Regcontabilizados[Identificador],Regcontabilizados[Subcuenta],0))</f>
        <v/>
      </c>
      <c r="AB138" t="str">
        <f>IF(J138=0,"",  _xlfn.XLOOKUP($H$7,BDPROV[ID-Proveedor],BDPROV[NIT/C.C.],0)&amp;$H$9&amp;D138&amp;"-"&amp;11)</f>
        <v/>
      </c>
      <c r="AC138" t="str">
        <f t="shared" si="17"/>
        <v/>
      </c>
      <c r="AD138" t="str">
        <f t="shared" si="18"/>
        <v>En Blanco</v>
      </c>
      <c r="AE138" t="str">
        <f>_xlfn.XLOOKUP($H$7,BDPROV[ID-Proveedor],BDPROV[NIT/C.C.],0)&amp;$H$13&amp;$E$7&amp;"-"&amp;ROW(Z138)-21</f>
        <v>Comp. Egreso-117</v>
      </c>
      <c r="AQ138" t="str">
        <f t="shared" si="19"/>
        <v>PAGADO</v>
      </c>
    </row>
    <row r="139" spans="3:43">
      <c r="C139" s="194"/>
      <c r="D139" s="206"/>
      <c r="E139" s="142"/>
      <c r="F139" s="195"/>
      <c r="G139" s="183"/>
      <c r="H139" s="37">
        <f t="shared" si="21"/>
        <v>0</v>
      </c>
      <c r="I139" s="37"/>
      <c r="J139" s="210">
        <f t="shared" si="16"/>
        <v>0</v>
      </c>
      <c r="K139" s="197"/>
      <c r="O139" t="str">
        <f>_xlfn.XLOOKUP($H$7,BDPROV[ID-Proveedor],BDPROV[NIT/C.C.])&amp;$H$9&amp;N139&amp;"-"&amp;11</f>
        <v>F.C.-11</v>
      </c>
      <c r="P139" t="str">
        <f t="shared" si="20"/>
        <v/>
      </c>
      <c r="Q139" t="str">
        <f>IF(N139="","",    _xlfn.XLOOKUP(P139,Regcontabilizados[Número pago],Regcontabilizados[Estado de pago],"NO PAGADO"))</f>
        <v/>
      </c>
      <c r="R139" s="44">
        <f>_xlfn.XLOOKUP(O139,Regcontabilizados[Identificador],Regcontabilizados[Fecha vencimiento],0)</f>
        <v>0</v>
      </c>
      <c r="S139">
        <f>_xlfn.XLOOKUP(O139,Regcontabilizados[Identificador],Regcontabilizados[Subcuenta],0)</f>
        <v>0</v>
      </c>
      <c r="T139">
        <f>_xlfn.XLOOKUP(O139,Regcontabilizados[Identificador],Regcontabilizados[Haber],0)</f>
        <v>0</v>
      </c>
      <c r="U139">
        <f>SUMIF(Regcontabilizados[Número pago],'PAGO Compras'!P139,Regcontabilizados[Debe])</f>
        <v>0</v>
      </c>
      <c r="AA139" s="33" t="str">
        <f>IF(J139=0,"",  _xlfn.XLOOKUP(AB139,Regcontabilizados[Identificador],Regcontabilizados[Subcuenta],0))</f>
        <v/>
      </c>
      <c r="AB139" t="str">
        <f>IF(J139=0,"",  _xlfn.XLOOKUP($H$7,BDPROV[ID-Proveedor],BDPROV[NIT/C.C.],0)&amp;$H$9&amp;D139&amp;"-"&amp;11)</f>
        <v/>
      </c>
      <c r="AC139" t="str">
        <f t="shared" si="17"/>
        <v/>
      </c>
      <c r="AD139" t="str">
        <f t="shared" si="18"/>
        <v>En Blanco</v>
      </c>
      <c r="AE139" t="str">
        <f>_xlfn.XLOOKUP($H$7,BDPROV[ID-Proveedor],BDPROV[NIT/C.C.],0)&amp;$H$13&amp;$E$7&amp;"-"&amp;ROW(Z139)-21</f>
        <v>Comp. Egreso-118</v>
      </c>
      <c r="AQ139" t="str">
        <f t="shared" si="19"/>
        <v>PAGADO</v>
      </c>
    </row>
    <row r="140" spans="3:43">
      <c r="C140" s="194"/>
      <c r="D140" s="206"/>
      <c r="E140" s="142"/>
      <c r="F140" s="195"/>
      <c r="G140" s="183"/>
      <c r="H140" s="37">
        <f t="shared" si="21"/>
        <v>0</v>
      </c>
      <c r="I140" s="37"/>
      <c r="J140" s="210">
        <f t="shared" si="16"/>
        <v>0</v>
      </c>
      <c r="K140" s="197"/>
      <c r="O140" t="str">
        <f>_xlfn.XLOOKUP($H$7,BDPROV[ID-Proveedor],BDPROV[NIT/C.C.])&amp;$H$9&amp;N140&amp;"-"&amp;11</f>
        <v>F.C.-11</v>
      </c>
      <c r="P140" t="str">
        <f t="shared" si="20"/>
        <v/>
      </c>
      <c r="Q140" t="str">
        <f>IF(N140="","",    _xlfn.XLOOKUP(P140,Regcontabilizados[Número pago],Regcontabilizados[Estado de pago],"NO PAGADO"))</f>
        <v/>
      </c>
      <c r="R140" s="44">
        <f>_xlfn.XLOOKUP(O140,Regcontabilizados[Identificador],Regcontabilizados[Fecha vencimiento],0)</f>
        <v>0</v>
      </c>
      <c r="S140">
        <f>_xlfn.XLOOKUP(O140,Regcontabilizados[Identificador],Regcontabilizados[Subcuenta],0)</f>
        <v>0</v>
      </c>
      <c r="T140">
        <f>_xlfn.XLOOKUP(O140,Regcontabilizados[Identificador],Regcontabilizados[Haber],0)</f>
        <v>0</v>
      </c>
      <c r="U140">
        <f>SUMIF(Regcontabilizados[Número pago],'PAGO Compras'!P140,Regcontabilizados[Debe])</f>
        <v>0</v>
      </c>
      <c r="AA140" s="33" t="str">
        <f>IF(J140=0,"",  _xlfn.XLOOKUP(AB140,Regcontabilizados[Identificador],Regcontabilizados[Subcuenta],0))</f>
        <v/>
      </c>
      <c r="AB140" t="str">
        <f>IF(J140=0,"",  _xlfn.XLOOKUP($H$7,BDPROV[ID-Proveedor],BDPROV[NIT/C.C.],0)&amp;$H$9&amp;D140&amp;"-"&amp;11)</f>
        <v/>
      </c>
      <c r="AC140" t="str">
        <f t="shared" si="17"/>
        <v/>
      </c>
      <c r="AD140" t="str">
        <f t="shared" si="18"/>
        <v>En Blanco</v>
      </c>
      <c r="AE140" t="str">
        <f>_xlfn.XLOOKUP($H$7,BDPROV[ID-Proveedor],BDPROV[NIT/C.C.],0)&amp;$H$13&amp;$E$7&amp;"-"&amp;ROW(Z140)-21</f>
        <v>Comp. Egreso-119</v>
      </c>
      <c r="AQ140" t="str">
        <f t="shared" si="19"/>
        <v>PAGADO</v>
      </c>
    </row>
    <row r="141" spans="3:43">
      <c r="C141" s="194"/>
      <c r="D141" s="206"/>
      <c r="E141" s="142"/>
      <c r="F141" s="195"/>
      <c r="G141" s="183"/>
      <c r="H141" s="37">
        <f t="shared" si="21"/>
        <v>0</v>
      </c>
      <c r="I141" s="37"/>
      <c r="J141" s="210">
        <f t="shared" si="16"/>
        <v>0</v>
      </c>
      <c r="K141" s="197"/>
      <c r="O141" t="str">
        <f>_xlfn.XLOOKUP($H$7,BDPROV[ID-Proveedor],BDPROV[NIT/C.C.])&amp;$H$9&amp;N141&amp;"-"&amp;11</f>
        <v>F.C.-11</v>
      </c>
      <c r="P141" t="str">
        <f t="shared" si="20"/>
        <v/>
      </c>
      <c r="Q141" t="str">
        <f>IF(N141="","",    _xlfn.XLOOKUP(P141,Regcontabilizados[Número pago],Regcontabilizados[Estado de pago],"NO PAGADO"))</f>
        <v/>
      </c>
      <c r="R141" s="44">
        <f>_xlfn.XLOOKUP(O141,Regcontabilizados[Identificador],Regcontabilizados[Fecha vencimiento],0)</f>
        <v>0</v>
      </c>
      <c r="S141">
        <f>_xlfn.XLOOKUP(O141,Regcontabilizados[Identificador],Regcontabilizados[Subcuenta],0)</f>
        <v>0</v>
      </c>
      <c r="T141">
        <f>_xlfn.XLOOKUP(O141,Regcontabilizados[Identificador],Regcontabilizados[Haber],0)</f>
        <v>0</v>
      </c>
      <c r="U141">
        <f>SUMIF(Regcontabilizados[Número pago],'PAGO Compras'!P141,Regcontabilizados[Debe])</f>
        <v>0</v>
      </c>
      <c r="AQ141" t="str">
        <f t="shared" si="19"/>
        <v>PAGADO</v>
      </c>
    </row>
    <row r="142" spans="3:43" ht="13.5" thickBot="1">
      <c r="C142" s="194"/>
      <c r="D142" s="184"/>
      <c r="E142" s="205"/>
      <c r="F142" s="202"/>
      <c r="G142" s="187"/>
      <c r="H142" s="188">
        <f t="shared" si="21"/>
        <v>0</v>
      </c>
      <c r="I142" s="188"/>
      <c r="J142" s="211">
        <f t="shared" si="16"/>
        <v>0</v>
      </c>
      <c r="K142" s="197"/>
      <c r="O142" t="str">
        <f>_xlfn.XLOOKUP($H$7,BDPROV[ID-Proveedor],BDPROV[NIT/C.C.])&amp;$H$9&amp;N142&amp;"-"&amp;11</f>
        <v>F.C.-11</v>
      </c>
      <c r="P142" t="str">
        <f t="shared" si="20"/>
        <v/>
      </c>
      <c r="Q142" t="str">
        <f>IF(N142="","",    _xlfn.XLOOKUP(P142,Regcontabilizados[Número pago],Regcontabilizados[Estado de pago],"NO PAGADO"))</f>
        <v/>
      </c>
      <c r="R142" s="44">
        <f>_xlfn.XLOOKUP(O142,Regcontabilizados[Identificador],Regcontabilizados[Fecha vencimiento],0)</f>
        <v>0</v>
      </c>
      <c r="S142">
        <f>_xlfn.XLOOKUP(O142,Regcontabilizados[Identificador],Regcontabilizados[Subcuenta],0)</f>
        <v>0</v>
      </c>
      <c r="T142">
        <f>_xlfn.XLOOKUP(O142,Regcontabilizados[Identificador],Regcontabilizados[Haber],0)</f>
        <v>0</v>
      </c>
      <c r="U142">
        <f>SUMIF(Regcontabilizados[Número pago],'PAGO Compras'!P142,Regcontabilizados[Debe])</f>
        <v>0</v>
      </c>
      <c r="AQ142" t="str">
        <f t="shared" si="19"/>
        <v>PAGADO</v>
      </c>
    </row>
    <row r="143" spans="3:43">
      <c r="C143" s="194"/>
      <c r="D143" s="105"/>
      <c r="E143" s="105"/>
      <c r="G143" s="183"/>
      <c r="K143" s="197"/>
    </row>
    <row r="144" spans="3:43">
      <c r="C144" s="194"/>
      <c r="D144" s="105"/>
      <c r="E144" s="105"/>
      <c r="G144" s="183"/>
      <c r="K144" s="197"/>
    </row>
    <row r="145" spans="3:11">
      <c r="C145" s="194"/>
      <c r="D145" s="105"/>
      <c r="E145" s="105"/>
      <c r="G145" s="183"/>
      <c r="K145" s="197"/>
    </row>
    <row r="146" spans="3:11" ht="13.5" thickBot="1">
      <c r="C146" s="199"/>
      <c r="D146" s="185"/>
      <c r="E146" s="185"/>
      <c r="F146" s="186"/>
      <c r="G146" s="187"/>
      <c r="H146" s="186"/>
      <c r="I146" s="186"/>
      <c r="J146" s="186"/>
      <c r="K146" s="200"/>
    </row>
    <row r="147" spans="3:11">
      <c r="D147" s="105"/>
      <c r="E147" s="105"/>
    </row>
    <row r="148" spans="3:11">
      <c r="D148" s="105"/>
      <c r="E148" s="105"/>
    </row>
    <row r="149" spans="3:11">
      <c r="D149" s="105"/>
      <c r="E149" s="105"/>
    </row>
    <row r="150" spans="3:11">
      <c r="D150" s="105"/>
      <c r="E150" s="105"/>
    </row>
    <row r="151" spans="3:11">
      <c r="D151" s="105"/>
      <c r="E151" s="105"/>
    </row>
    <row r="152" spans="3:11">
      <c r="D152" s="105"/>
      <c r="E152" s="105"/>
    </row>
    <row r="153" spans="3:11">
      <c r="D153" s="105"/>
      <c r="E153" s="105"/>
    </row>
    <row r="154" spans="3:11">
      <c r="D154" s="105"/>
      <c r="E154" s="105"/>
    </row>
    <row r="155" spans="3:11">
      <c r="D155" s="105"/>
      <c r="E155" s="105"/>
    </row>
    <row r="156" spans="3:11">
      <c r="D156" s="105"/>
      <c r="E156" s="105"/>
    </row>
    <row r="157" spans="3:11">
      <c r="D157" s="105"/>
      <c r="E157" s="105"/>
    </row>
    <row r="158" spans="3:11">
      <c r="D158" s="105"/>
      <c r="E158" s="105"/>
    </row>
    <row r="159" spans="3:11">
      <c r="D159" s="105"/>
      <c r="E159" s="105"/>
    </row>
    <row r="160" spans="3:11">
      <c r="D160" s="105"/>
      <c r="E160" s="105"/>
    </row>
    <row r="161" spans="4:5">
      <c r="D161" s="105"/>
      <c r="E161" s="105"/>
    </row>
    <row r="162" spans="4:5">
      <c r="D162" s="105"/>
      <c r="E162" s="105"/>
    </row>
    <row r="163" spans="4:5">
      <c r="D163" s="105"/>
      <c r="E163" s="105"/>
    </row>
    <row r="164" spans="4:5">
      <c r="D164" s="105"/>
      <c r="E164" s="105"/>
    </row>
    <row r="165" spans="4:5">
      <c r="D165" s="105"/>
      <c r="E165" s="105"/>
    </row>
    <row r="166" spans="4:5">
      <c r="D166" s="105"/>
      <c r="E166" s="105"/>
    </row>
    <row r="167" spans="4:5">
      <c r="D167" s="105"/>
      <c r="E167" s="105"/>
    </row>
    <row r="168" spans="4:5">
      <c r="D168" s="105"/>
      <c r="E168" s="105"/>
    </row>
    <row r="169" spans="4:5">
      <c r="D169" s="105"/>
      <c r="E169" s="105"/>
    </row>
    <row r="170" spans="4:5">
      <c r="D170" s="105"/>
      <c r="E170" s="105"/>
    </row>
    <row r="171" spans="4:5">
      <c r="D171" s="105"/>
      <c r="E171" s="105"/>
    </row>
    <row r="172" spans="4:5">
      <c r="D172" s="105"/>
      <c r="E172" s="105"/>
    </row>
    <row r="173" spans="4:5">
      <c r="D173" s="105"/>
      <c r="E173" s="105"/>
    </row>
    <row r="174" spans="4:5">
      <c r="D174" s="105"/>
      <c r="E174" s="105"/>
    </row>
    <row r="175" spans="4:5">
      <c r="D175" s="105"/>
      <c r="E175" s="105"/>
    </row>
    <row r="176" spans="4:5">
      <c r="D176" s="105"/>
      <c r="E176" s="105"/>
    </row>
    <row r="177" spans="4:5">
      <c r="D177" s="105"/>
      <c r="E177" s="105"/>
    </row>
    <row r="178" spans="4:5">
      <c r="D178" s="105"/>
      <c r="E178" s="105"/>
    </row>
    <row r="179" spans="4:5">
      <c r="D179" s="105"/>
      <c r="E179" s="105"/>
    </row>
    <row r="180" spans="4:5">
      <c r="D180" s="105"/>
      <c r="E180" s="105"/>
    </row>
    <row r="181" spans="4:5">
      <c r="D181" s="105"/>
      <c r="E181" s="105"/>
    </row>
    <row r="182" spans="4:5">
      <c r="D182" s="105"/>
      <c r="E182" s="105"/>
    </row>
    <row r="183" spans="4:5">
      <c r="D183" s="105"/>
      <c r="E183" s="105"/>
    </row>
    <row r="184" spans="4:5">
      <c r="D184" s="105"/>
      <c r="E184" s="105"/>
    </row>
    <row r="185" spans="4:5">
      <c r="D185" s="105"/>
      <c r="E185" s="105"/>
    </row>
    <row r="186" spans="4:5">
      <c r="D186" s="105"/>
      <c r="E186" s="105"/>
    </row>
    <row r="187" spans="4:5">
      <c r="D187" s="105"/>
      <c r="E187" s="105"/>
    </row>
    <row r="188" spans="4:5">
      <c r="D188" s="105"/>
      <c r="E188" s="105"/>
    </row>
    <row r="189" spans="4:5">
      <c r="D189" s="105"/>
      <c r="E189" s="105"/>
    </row>
    <row r="190" spans="4:5">
      <c r="D190" s="105"/>
      <c r="E190" s="105"/>
    </row>
    <row r="191" spans="4:5">
      <c r="D191" s="105"/>
      <c r="E191" s="105"/>
    </row>
    <row r="192" spans="4:5">
      <c r="D192" s="105"/>
      <c r="E192" s="105"/>
    </row>
    <row r="193" spans="4:5">
      <c r="D193" s="105"/>
      <c r="E193" s="105"/>
    </row>
    <row r="194" spans="4:5">
      <c r="D194" s="105"/>
      <c r="E194" s="105"/>
    </row>
    <row r="195" spans="4:5">
      <c r="D195" s="105"/>
      <c r="E195" s="105"/>
    </row>
    <row r="196" spans="4:5">
      <c r="D196" s="105"/>
      <c r="E196" s="105"/>
    </row>
    <row r="197" spans="4:5">
      <c r="D197" s="105"/>
      <c r="E197" s="105"/>
    </row>
    <row r="198" spans="4:5">
      <c r="D198" s="105"/>
      <c r="E198" s="105"/>
    </row>
    <row r="199" spans="4:5">
      <c r="D199" s="105"/>
      <c r="E199" s="105"/>
    </row>
    <row r="200" spans="4:5">
      <c r="D200" s="105"/>
      <c r="E200" s="105"/>
    </row>
    <row r="201" spans="4:5">
      <c r="D201" s="105"/>
      <c r="E201" s="105"/>
    </row>
    <row r="202" spans="4:5">
      <c r="D202" s="105"/>
      <c r="E202" s="105"/>
    </row>
    <row r="203" spans="4:5">
      <c r="D203" s="105"/>
      <c r="E203" s="105"/>
    </row>
    <row r="204" spans="4:5">
      <c r="D204" s="105"/>
      <c r="E204" s="105"/>
    </row>
    <row r="205" spans="4:5">
      <c r="D205" s="105"/>
      <c r="E205" s="105"/>
    </row>
    <row r="206" spans="4:5">
      <c r="D206" s="105"/>
      <c r="E206" s="105"/>
    </row>
    <row r="207" spans="4:5">
      <c r="D207" s="105"/>
      <c r="E207" s="105"/>
    </row>
    <row r="208" spans="4:5">
      <c r="D208" s="105"/>
      <c r="E208" s="105"/>
    </row>
    <row r="209" spans="4:5">
      <c r="D209" s="105"/>
      <c r="E209" s="105"/>
    </row>
    <row r="210" spans="4:5">
      <c r="D210" s="105"/>
      <c r="E210" s="105"/>
    </row>
    <row r="211" spans="4:5">
      <c r="D211" s="105"/>
      <c r="E211" s="105"/>
    </row>
    <row r="212" spans="4:5">
      <c r="D212" s="105"/>
      <c r="E212" s="105"/>
    </row>
    <row r="213" spans="4:5">
      <c r="D213" s="105"/>
      <c r="E213" s="105"/>
    </row>
    <row r="214" spans="4:5">
      <c r="D214" s="105"/>
      <c r="E214" s="105"/>
    </row>
    <row r="215" spans="4:5">
      <c r="D215" s="105"/>
      <c r="E215" s="105"/>
    </row>
    <row r="216" spans="4:5">
      <c r="D216" s="105"/>
      <c r="E216" s="105"/>
    </row>
    <row r="217" spans="4:5">
      <c r="D217" s="105"/>
      <c r="E217" s="105"/>
    </row>
    <row r="218" spans="4:5">
      <c r="D218" s="105"/>
      <c r="E218" s="105"/>
    </row>
    <row r="219" spans="4:5">
      <c r="D219" s="105"/>
      <c r="E219" s="105"/>
    </row>
    <row r="220" spans="4:5">
      <c r="D220" s="105"/>
      <c r="E220" s="105"/>
    </row>
    <row r="221" spans="4:5">
      <c r="D221" s="105"/>
      <c r="E221" s="105"/>
    </row>
    <row r="222" spans="4:5">
      <c r="D222" s="105"/>
      <c r="E222" s="105"/>
    </row>
    <row r="223" spans="4:5">
      <c r="D223" s="105"/>
      <c r="E223" s="105"/>
    </row>
    <row r="224" spans="4:5">
      <c r="D224" s="105"/>
      <c r="E224" s="105"/>
    </row>
    <row r="225" spans="4:5">
      <c r="D225" s="105"/>
      <c r="E225" s="105"/>
    </row>
    <row r="226" spans="4:5">
      <c r="D226" s="105"/>
      <c r="E226" s="105"/>
    </row>
    <row r="227" spans="4:5">
      <c r="D227" s="105"/>
      <c r="E227" s="105"/>
    </row>
    <row r="228" spans="4:5">
      <c r="D228" s="105"/>
      <c r="E228" s="105"/>
    </row>
    <row r="229" spans="4:5">
      <c r="D229" s="105"/>
      <c r="E229" s="105"/>
    </row>
    <row r="230" spans="4:5">
      <c r="D230" s="105"/>
      <c r="E230" s="105"/>
    </row>
    <row r="231" spans="4:5">
      <c r="D231" s="105"/>
      <c r="E231" s="105"/>
    </row>
    <row r="232" spans="4:5">
      <c r="D232" s="105"/>
      <c r="E232" s="105"/>
    </row>
    <row r="233" spans="4:5">
      <c r="D233" s="105"/>
      <c r="E233" s="105"/>
    </row>
    <row r="234" spans="4:5">
      <c r="D234" s="105"/>
      <c r="E234" s="105"/>
    </row>
    <row r="235" spans="4:5">
      <c r="D235" s="105"/>
      <c r="E235" s="105"/>
    </row>
    <row r="236" spans="4:5">
      <c r="D236" s="105"/>
      <c r="E236" s="105"/>
    </row>
    <row r="237" spans="4:5">
      <c r="D237" s="105"/>
      <c r="E237" s="105"/>
    </row>
    <row r="238" spans="4:5">
      <c r="D238" s="105"/>
      <c r="E238" s="105"/>
    </row>
    <row r="239" spans="4:5">
      <c r="D239" s="105"/>
      <c r="E239" s="105"/>
    </row>
    <row r="240" spans="4:5">
      <c r="D240" s="105"/>
      <c r="E240" s="105"/>
    </row>
    <row r="241" spans="4:5">
      <c r="D241" s="105"/>
      <c r="E241" s="105"/>
    </row>
    <row r="242" spans="4:5">
      <c r="D242" s="105"/>
      <c r="E242" s="105"/>
    </row>
    <row r="243" spans="4:5">
      <c r="D243" s="105"/>
      <c r="E243" s="105"/>
    </row>
    <row r="244" spans="4:5">
      <c r="D244" s="105"/>
      <c r="E244" s="105"/>
    </row>
    <row r="245" spans="4:5">
      <c r="D245" s="105"/>
      <c r="E245" s="105"/>
    </row>
    <row r="246" spans="4:5">
      <c r="D246" s="105"/>
      <c r="E246" s="105"/>
    </row>
    <row r="247" spans="4:5">
      <c r="D247" s="105"/>
      <c r="E247" s="105"/>
    </row>
    <row r="248" spans="4:5">
      <c r="D248" s="105"/>
      <c r="E248" s="105"/>
    </row>
    <row r="249" spans="4:5">
      <c r="D249" s="105"/>
      <c r="E249" s="105"/>
    </row>
    <row r="250" spans="4:5">
      <c r="D250" s="105"/>
      <c r="E250" s="105"/>
    </row>
    <row r="251" spans="4:5">
      <c r="D251" s="105"/>
      <c r="E251" s="105"/>
    </row>
    <row r="252" spans="4:5">
      <c r="D252" s="105"/>
      <c r="E252" s="105"/>
    </row>
    <row r="253" spans="4:5">
      <c r="D253" s="105"/>
      <c r="E253" s="105"/>
    </row>
    <row r="254" spans="4:5">
      <c r="D254" s="105"/>
      <c r="E254" s="105"/>
    </row>
    <row r="255" spans="4:5">
      <c r="D255" s="105"/>
      <c r="E255" s="105"/>
    </row>
    <row r="256" spans="4:5">
      <c r="D256" s="105"/>
      <c r="E256" s="105"/>
    </row>
    <row r="257" spans="4:5">
      <c r="D257" s="105"/>
      <c r="E257" s="105"/>
    </row>
    <row r="258" spans="4:5">
      <c r="D258" s="105"/>
      <c r="E258" s="105"/>
    </row>
    <row r="259" spans="4:5">
      <c r="D259" s="105"/>
      <c r="E259" s="105"/>
    </row>
    <row r="260" spans="4:5">
      <c r="D260" s="105"/>
      <c r="E260" s="105"/>
    </row>
    <row r="261" spans="4:5">
      <c r="D261" s="105"/>
      <c r="E261" s="105"/>
    </row>
    <row r="262" spans="4:5">
      <c r="D262" s="105"/>
      <c r="E262" s="105"/>
    </row>
    <row r="263" spans="4:5">
      <c r="D263" s="105"/>
      <c r="E263" s="105"/>
    </row>
    <row r="264" spans="4:5">
      <c r="D264" s="105"/>
      <c r="E264" s="105"/>
    </row>
    <row r="265" spans="4:5">
      <c r="D265" s="105"/>
      <c r="E265" s="105"/>
    </row>
    <row r="266" spans="4:5">
      <c r="D266" s="105"/>
      <c r="E266" s="105"/>
    </row>
    <row r="267" spans="4:5">
      <c r="D267" s="105"/>
      <c r="E267" s="105"/>
    </row>
    <row r="268" spans="4:5">
      <c r="D268" s="105"/>
      <c r="E268" s="105"/>
    </row>
    <row r="269" spans="4:5">
      <c r="D269" s="105"/>
      <c r="E269" s="105"/>
    </row>
    <row r="270" spans="4:5">
      <c r="D270" s="105"/>
      <c r="E270" s="105"/>
    </row>
    <row r="271" spans="4:5">
      <c r="D271" s="105"/>
      <c r="E271" s="105"/>
    </row>
    <row r="272" spans="4:5">
      <c r="D272" s="105"/>
      <c r="E272" s="105"/>
    </row>
    <row r="273" spans="4:5">
      <c r="D273" s="105"/>
      <c r="E273" s="105"/>
    </row>
    <row r="274" spans="4:5">
      <c r="D274" s="105"/>
      <c r="E274" s="105"/>
    </row>
    <row r="275" spans="4:5">
      <c r="D275" s="105"/>
      <c r="E275" s="105"/>
    </row>
    <row r="276" spans="4:5">
      <c r="D276" s="105"/>
      <c r="E276" s="105"/>
    </row>
    <row r="277" spans="4:5">
      <c r="D277" s="105"/>
      <c r="E277" s="105"/>
    </row>
    <row r="278" spans="4:5">
      <c r="D278" s="105"/>
      <c r="E278" s="105"/>
    </row>
    <row r="279" spans="4:5">
      <c r="D279" s="105"/>
      <c r="E279" s="105"/>
    </row>
    <row r="280" spans="4:5">
      <c r="D280" s="105"/>
      <c r="E280" s="105"/>
    </row>
    <row r="281" spans="4:5">
      <c r="D281" s="105"/>
      <c r="E281" s="105"/>
    </row>
    <row r="282" spans="4:5">
      <c r="D282" s="105"/>
      <c r="E282" s="105"/>
    </row>
    <row r="283" spans="4:5">
      <c r="D283" s="105"/>
      <c r="E283" s="105"/>
    </row>
    <row r="284" spans="4:5">
      <c r="D284" s="105"/>
      <c r="E284" s="105"/>
    </row>
    <row r="285" spans="4:5">
      <c r="D285" s="105"/>
      <c r="E285" s="105"/>
    </row>
    <row r="286" spans="4:5">
      <c r="D286" s="105"/>
      <c r="E286" s="105"/>
    </row>
    <row r="287" spans="4:5">
      <c r="D287" s="105"/>
      <c r="E287" s="105"/>
    </row>
    <row r="288" spans="4:5">
      <c r="D288" s="105"/>
      <c r="E288" s="105"/>
    </row>
    <row r="289" spans="4:5">
      <c r="D289" s="105"/>
      <c r="E289" s="105"/>
    </row>
    <row r="290" spans="4:5">
      <c r="D290" s="105"/>
      <c r="E290" s="105"/>
    </row>
    <row r="291" spans="4:5">
      <c r="D291" s="105"/>
      <c r="E291" s="105"/>
    </row>
    <row r="292" spans="4:5">
      <c r="D292" s="105"/>
      <c r="E292" s="105"/>
    </row>
    <row r="293" spans="4:5">
      <c r="D293" s="105"/>
      <c r="E293" s="105"/>
    </row>
    <row r="294" spans="4:5">
      <c r="D294" s="105"/>
      <c r="E294" s="105"/>
    </row>
    <row r="295" spans="4:5">
      <c r="D295" s="105"/>
      <c r="E295" s="105"/>
    </row>
    <row r="296" spans="4:5">
      <c r="D296" s="105"/>
      <c r="E296" s="105"/>
    </row>
    <row r="297" spans="4:5">
      <c r="D297" s="105"/>
      <c r="E297" s="105"/>
    </row>
    <row r="298" spans="4:5">
      <c r="D298" s="105"/>
      <c r="E298" s="105"/>
    </row>
    <row r="299" spans="4:5">
      <c r="D299" s="105"/>
      <c r="E299" s="105"/>
    </row>
    <row r="300" spans="4:5">
      <c r="D300" s="105"/>
      <c r="E300" s="105"/>
    </row>
    <row r="301" spans="4:5">
      <c r="D301" s="105"/>
      <c r="E301" s="105"/>
    </row>
    <row r="302" spans="4:5">
      <c r="D302" s="105"/>
      <c r="E302" s="105"/>
    </row>
    <row r="303" spans="4:5">
      <c r="D303" s="105"/>
      <c r="E303" s="105"/>
    </row>
    <row r="304" spans="4:5">
      <c r="D304" s="105"/>
      <c r="E304" s="105"/>
    </row>
    <row r="305" spans="4:5">
      <c r="D305" s="105"/>
      <c r="E305" s="105"/>
    </row>
    <row r="306" spans="4:5">
      <c r="D306" s="105"/>
      <c r="E306" s="105"/>
    </row>
    <row r="307" spans="4:5">
      <c r="D307" s="105"/>
      <c r="E307" s="105"/>
    </row>
    <row r="308" spans="4:5">
      <c r="D308" s="105"/>
      <c r="E308" s="105"/>
    </row>
    <row r="309" spans="4:5">
      <c r="D309" s="105"/>
      <c r="E309" s="105"/>
    </row>
    <row r="310" spans="4:5">
      <c r="D310" s="105"/>
      <c r="E310" s="105"/>
    </row>
    <row r="311" spans="4:5">
      <c r="D311" s="105"/>
      <c r="E311" s="105"/>
    </row>
    <row r="312" spans="4:5">
      <c r="D312" s="105"/>
      <c r="E312" s="105"/>
    </row>
    <row r="313" spans="4:5">
      <c r="D313" s="105"/>
      <c r="E313" s="105"/>
    </row>
    <row r="314" spans="4:5">
      <c r="D314" s="105"/>
      <c r="E314" s="105"/>
    </row>
    <row r="315" spans="4:5">
      <c r="D315" s="105"/>
      <c r="E315" s="105"/>
    </row>
    <row r="316" spans="4:5">
      <c r="D316" s="105"/>
      <c r="E316" s="105"/>
    </row>
    <row r="317" spans="4:5">
      <c r="D317" s="105"/>
      <c r="E317" s="105"/>
    </row>
    <row r="318" spans="4:5">
      <c r="D318" s="105"/>
      <c r="E318" s="105"/>
    </row>
    <row r="319" spans="4:5">
      <c r="D319" s="105"/>
      <c r="E319" s="105"/>
    </row>
    <row r="320" spans="4:5">
      <c r="D320" s="105"/>
      <c r="E320" s="105"/>
    </row>
    <row r="321" spans="4:5">
      <c r="D321" s="105"/>
      <c r="E321" s="105"/>
    </row>
    <row r="322" spans="4:5">
      <c r="D322" s="105"/>
      <c r="E322" s="105"/>
    </row>
    <row r="323" spans="4:5">
      <c r="D323" s="105"/>
      <c r="E323" s="105"/>
    </row>
    <row r="324" spans="4:5">
      <c r="D324" s="105"/>
      <c r="E324" s="105"/>
    </row>
    <row r="325" spans="4:5">
      <c r="D325" s="105"/>
      <c r="E325" s="105"/>
    </row>
    <row r="326" spans="4:5">
      <c r="D326" s="105"/>
      <c r="E326" s="105"/>
    </row>
    <row r="327" spans="4:5">
      <c r="D327" s="105"/>
      <c r="E327" s="105"/>
    </row>
    <row r="328" spans="4:5">
      <c r="D328" s="105"/>
      <c r="E328" s="105"/>
    </row>
    <row r="329" spans="4:5">
      <c r="D329" s="105"/>
      <c r="E329" s="105"/>
    </row>
    <row r="330" spans="4:5">
      <c r="D330" s="105"/>
      <c r="E330" s="105"/>
    </row>
    <row r="331" spans="4:5">
      <c r="D331" s="105"/>
      <c r="E331" s="105"/>
    </row>
    <row r="332" spans="4:5">
      <c r="D332" s="105"/>
      <c r="E332" s="105"/>
    </row>
    <row r="333" spans="4:5">
      <c r="D333" s="105"/>
      <c r="E333" s="105"/>
    </row>
    <row r="334" spans="4:5">
      <c r="D334" s="105"/>
      <c r="E334" s="105"/>
    </row>
    <row r="335" spans="4:5">
      <c r="D335" s="105"/>
      <c r="E335" s="105"/>
    </row>
    <row r="336" spans="4:5">
      <c r="D336" s="105"/>
      <c r="E336" s="105"/>
    </row>
    <row r="337" spans="4:5">
      <c r="D337" s="105"/>
      <c r="E337" s="105"/>
    </row>
    <row r="338" spans="4:5">
      <c r="D338" s="105"/>
      <c r="E338" s="105"/>
    </row>
    <row r="339" spans="4:5">
      <c r="D339" s="105"/>
      <c r="E339" s="105"/>
    </row>
    <row r="340" spans="4:5">
      <c r="D340" s="105"/>
      <c r="E340" s="105"/>
    </row>
    <row r="341" spans="4:5">
      <c r="D341" s="105"/>
      <c r="E341" s="105"/>
    </row>
    <row r="342" spans="4:5">
      <c r="D342" s="105"/>
      <c r="E342" s="105"/>
    </row>
    <row r="343" spans="4:5">
      <c r="D343" s="105"/>
      <c r="E343" s="105"/>
    </row>
    <row r="344" spans="4:5">
      <c r="D344" s="105"/>
      <c r="E344" s="105"/>
    </row>
    <row r="345" spans="4:5">
      <c r="D345" s="105"/>
      <c r="E345" s="105"/>
    </row>
    <row r="346" spans="4:5">
      <c r="D346" s="105"/>
      <c r="E346" s="105"/>
    </row>
    <row r="347" spans="4:5">
      <c r="D347" s="105"/>
      <c r="E347" s="105"/>
    </row>
    <row r="348" spans="4:5">
      <c r="D348" s="105"/>
      <c r="E348" s="105"/>
    </row>
    <row r="349" spans="4:5">
      <c r="D349" s="105"/>
      <c r="E349" s="105"/>
    </row>
    <row r="350" spans="4:5">
      <c r="D350" s="105"/>
      <c r="E350" s="105"/>
    </row>
    <row r="351" spans="4:5">
      <c r="D351" s="105"/>
      <c r="E351" s="105"/>
    </row>
    <row r="352" spans="4:5">
      <c r="D352" s="105"/>
      <c r="E352" s="105"/>
    </row>
    <row r="353" spans="4:5">
      <c r="D353" s="105"/>
      <c r="E353" s="105"/>
    </row>
    <row r="354" spans="4:5">
      <c r="D354" s="105"/>
      <c r="E354" s="105"/>
    </row>
    <row r="355" spans="4:5">
      <c r="D355" s="105"/>
      <c r="E355" s="105"/>
    </row>
    <row r="356" spans="4:5">
      <c r="D356" s="105"/>
      <c r="E356" s="105"/>
    </row>
    <row r="357" spans="4:5">
      <c r="D357" s="105"/>
      <c r="E357" s="105"/>
    </row>
    <row r="358" spans="4:5">
      <c r="D358" s="105"/>
      <c r="E358" s="105"/>
    </row>
    <row r="359" spans="4:5">
      <c r="D359" s="105"/>
      <c r="E359" s="105"/>
    </row>
    <row r="360" spans="4:5">
      <c r="D360" s="105"/>
      <c r="E360" s="105"/>
    </row>
    <row r="361" spans="4:5">
      <c r="D361" s="105"/>
      <c r="E361" s="105"/>
    </row>
    <row r="362" spans="4:5">
      <c r="D362" s="105"/>
      <c r="E362" s="105"/>
    </row>
    <row r="363" spans="4:5">
      <c r="D363" s="105"/>
      <c r="E363" s="105"/>
    </row>
    <row r="364" spans="4:5">
      <c r="D364" s="105"/>
      <c r="E364" s="105"/>
    </row>
    <row r="365" spans="4:5">
      <c r="D365" s="105"/>
      <c r="E365" s="105"/>
    </row>
    <row r="366" spans="4:5">
      <c r="D366" s="105"/>
      <c r="E366" s="105"/>
    </row>
    <row r="367" spans="4:5">
      <c r="D367" s="105"/>
      <c r="E367" s="105"/>
    </row>
    <row r="368" spans="4:5">
      <c r="D368" s="105"/>
      <c r="E368" s="105"/>
    </row>
    <row r="369" spans="4:5">
      <c r="D369" s="105"/>
      <c r="E369" s="105"/>
    </row>
    <row r="370" spans="4:5">
      <c r="D370" s="105"/>
      <c r="E370" s="105"/>
    </row>
    <row r="371" spans="4:5">
      <c r="D371" s="105"/>
      <c r="E371" s="105"/>
    </row>
    <row r="372" spans="4:5">
      <c r="D372" s="105"/>
      <c r="E372" s="105"/>
    </row>
    <row r="373" spans="4:5">
      <c r="D373" s="105"/>
      <c r="E373" s="105"/>
    </row>
    <row r="374" spans="4:5">
      <c r="D374" s="105"/>
      <c r="E374" s="105"/>
    </row>
    <row r="375" spans="4:5">
      <c r="D375" s="105"/>
      <c r="E375" s="105"/>
    </row>
    <row r="376" spans="4:5">
      <c r="D376" s="105"/>
      <c r="E376" s="105"/>
    </row>
    <row r="377" spans="4:5">
      <c r="D377" s="105"/>
      <c r="E377" s="105"/>
    </row>
    <row r="378" spans="4:5">
      <c r="D378" s="105"/>
      <c r="E378" s="105"/>
    </row>
    <row r="379" spans="4:5">
      <c r="D379" s="105"/>
      <c r="E379" s="105"/>
    </row>
    <row r="380" spans="4:5">
      <c r="D380" s="105"/>
      <c r="E380" s="105"/>
    </row>
    <row r="381" spans="4:5">
      <c r="D381" s="105"/>
      <c r="E381" s="105"/>
    </row>
    <row r="382" spans="4:5">
      <c r="D382" s="105"/>
      <c r="E382" s="105"/>
    </row>
    <row r="383" spans="4:5">
      <c r="D383" s="105"/>
      <c r="E383" s="105"/>
    </row>
    <row r="384" spans="4:5">
      <c r="D384" s="105"/>
      <c r="E384" s="105"/>
    </row>
    <row r="385" spans="4:5">
      <c r="D385" s="105"/>
      <c r="E385" s="105"/>
    </row>
    <row r="386" spans="4:5">
      <c r="D386" s="105"/>
      <c r="E386" s="105"/>
    </row>
    <row r="387" spans="4:5">
      <c r="D387" s="105"/>
      <c r="E387" s="105"/>
    </row>
    <row r="388" spans="4:5">
      <c r="D388" s="105"/>
      <c r="E388" s="105"/>
    </row>
    <row r="389" spans="4:5">
      <c r="D389" s="105"/>
      <c r="E389" s="105"/>
    </row>
    <row r="390" spans="4:5">
      <c r="D390" s="105"/>
      <c r="E390" s="105"/>
    </row>
    <row r="391" spans="4:5">
      <c r="D391" s="105"/>
      <c r="E391" s="105"/>
    </row>
    <row r="392" spans="4:5">
      <c r="D392" s="105"/>
      <c r="E392" s="105"/>
    </row>
    <row r="393" spans="4:5">
      <c r="D393" s="105"/>
      <c r="E393" s="105"/>
    </row>
    <row r="394" spans="4:5">
      <c r="D394" s="105"/>
      <c r="E394" s="105"/>
    </row>
    <row r="395" spans="4:5">
      <c r="D395" s="105"/>
      <c r="E395" s="105"/>
    </row>
    <row r="396" spans="4:5">
      <c r="D396" s="105"/>
      <c r="E396" s="105"/>
    </row>
    <row r="397" spans="4:5">
      <c r="D397" s="105"/>
      <c r="E397" s="105"/>
    </row>
    <row r="398" spans="4:5">
      <c r="D398" s="105"/>
      <c r="E398" s="105"/>
    </row>
    <row r="399" spans="4:5">
      <c r="D399" s="105"/>
      <c r="E399" s="105"/>
    </row>
    <row r="400" spans="4:5">
      <c r="D400" s="105"/>
      <c r="E400" s="105"/>
    </row>
    <row r="401" spans="4:5">
      <c r="D401" s="105"/>
      <c r="E401" s="105"/>
    </row>
    <row r="402" spans="4:5">
      <c r="D402" s="105"/>
      <c r="E402" s="105"/>
    </row>
    <row r="403" spans="4:5">
      <c r="D403" s="105"/>
      <c r="E403" s="105"/>
    </row>
    <row r="404" spans="4:5">
      <c r="D404" s="105"/>
      <c r="E404" s="105"/>
    </row>
    <row r="405" spans="4:5">
      <c r="D405" s="105"/>
      <c r="E405" s="105"/>
    </row>
    <row r="406" spans="4:5">
      <c r="D406" s="105"/>
      <c r="E406" s="105"/>
    </row>
    <row r="407" spans="4:5">
      <c r="D407" s="105"/>
      <c r="E407" s="105"/>
    </row>
    <row r="408" spans="4:5">
      <c r="D408" s="105"/>
      <c r="E408" s="105"/>
    </row>
    <row r="409" spans="4:5">
      <c r="D409" s="105"/>
      <c r="E409" s="105"/>
    </row>
    <row r="410" spans="4:5">
      <c r="D410" s="105"/>
      <c r="E410" s="105"/>
    </row>
    <row r="411" spans="4:5">
      <c r="D411" s="105"/>
      <c r="E411" s="105"/>
    </row>
    <row r="412" spans="4:5">
      <c r="D412" s="105"/>
      <c r="E412" s="105"/>
    </row>
    <row r="413" spans="4:5">
      <c r="D413" s="105"/>
      <c r="E413" s="105"/>
    </row>
    <row r="414" spans="4:5">
      <c r="D414" s="105"/>
      <c r="E414" s="105"/>
    </row>
    <row r="415" spans="4:5">
      <c r="D415" s="105"/>
      <c r="E415" s="105"/>
    </row>
    <row r="416" spans="4:5">
      <c r="D416" s="105"/>
      <c r="E416" s="105"/>
    </row>
    <row r="417" spans="4:5">
      <c r="D417" s="105"/>
      <c r="E417" s="105"/>
    </row>
    <row r="418" spans="4:5">
      <c r="D418" s="105"/>
      <c r="E418" s="105"/>
    </row>
    <row r="419" spans="4:5">
      <c r="D419" s="105"/>
      <c r="E419" s="105"/>
    </row>
    <row r="420" spans="4:5">
      <c r="D420" s="105"/>
      <c r="E420" s="105"/>
    </row>
    <row r="421" spans="4:5">
      <c r="D421" s="105"/>
      <c r="E421" s="105"/>
    </row>
    <row r="422" spans="4:5">
      <c r="D422" s="105"/>
      <c r="E422" s="105"/>
    </row>
    <row r="423" spans="4:5">
      <c r="D423" s="105"/>
      <c r="E423" s="105"/>
    </row>
    <row r="424" spans="4:5">
      <c r="D424" s="105"/>
      <c r="E424" s="105"/>
    </row>
    <row r="425" spans="4:5">
      <c r="D425" s="105"/>
      <c r="E425" s="105"/>
    </row>
    <row r="426" spans="4:5">
      <c r="D426" s="105"/>
      <c r="E426" s="105"/>
    </row>
    <row r="427" spans="4:5">
      <c r="D427" s="105"/>
      <c r="E427" s="105"/>
    </row>
    <row r="428" spans="4:5">
      <c r="D428" s="105"/>
      <c r="E428" s="105"/>
    </row>
    <row r="429" spans="4:5">
      <c r="D429" s="105"/>
      <c r="E429" s="105"/>
    </row>
    <row r="430" spans="4:5">
      <c r="D430" s="105"/>
      <c r="E430" s="105"/>
    </row>
    <row r="431" spans="4:5">
      <c r="D431" s="105"/>
      <c r="E431" s="105"/>
    </row>
    <row r="432" spans="4:5">
      <c r="D432" s="105"/>
      <c r="E432" s="105"/>
    </row>
    <row r="433" spans="4:5">
      <c r="D433" s="105"/>
      <c r="E433" s="105"/>
    </row>
    <row r="434" spans="4:5">
      <c r="D434" s="105"/>
      <c r="E434" s="105"/>
    </row>
    <row r="435" spans="4:5">
      <c r="D435" s="105"/>
      <c r="E435" s="105"/>
    </row>
    <row r="436" spans="4:5">
      <c r="D436" s="105"/>
      <c r="E436" s="105"/>
    </row>
    <row r="437" spans="4:5">
      <c r="D437" s="105"/>
      <c r="E437" s="105"/>
    </row>
    <row r="438" spans="4:5">
      <c r="D438" s="105"/>
      <c r="E438" s="105"/>
    </row>
    <row r="439" spans="4:5">
      <c r="D439" s="105"/>
      <c r="E439" s="105"/>
    </row>
    <row r="440" spans="4:5">
      <c r="D440" s="105"/>
      <c r="E440" s="105"/>
    </row>
    <row r="441" spans="4:5">
      <c r="D441" s="105"/>
      <c r="E441" s="105"/>
    </row>
    <row r="442" spans="4:5">
      <c r="D442" s="105"/>
      <c r="E442" s="105"/>
    </row>
    <row r="443" spans="4:5">
      <c r="D443" s="105"/>
      <c r="E443" s="105"/>
    </row>
    <row r="444" spans="4:5">
      <c r="D444" s="105"/>
      <c r="E444" s="105"/>
    </row>
    <row r="445" spans="4:5">
      <c r="D445" s="105"/>
      <c r="E445" s="105"/>
    </row>
    <row r="446" spans="4:5">
      <c r="D446" s="105"/>
      <c r="E446" s="105"/>
    </row>
    <row r="447" spans="4:5">
      <c r="D447" s="105"/>
      <c r="E447" s="105"/>
    </row>
    <row r="448" spans="4:5">
      <c r="D448" s="105"/>
      <c r="E448" s="105"/>
    </row>
    <row r="449" spans="4:5">
      <c r="D449" s="105"/>
      <c r="E449" s="105"/>
    </row>
    <row r="450" spans="4:5">
      <c r="D450" s="105"/>
      <c r="E450" s="105"/>
    </row>
    <row r="451" spans="4:5">
      <c r="D451" s="105"/>
      <c r="E451" s="105"/>
    </row>
    <row r="452" spans="4:5">
      <c r="D452" s="105"/>
      <c r="E452" s="105"/>
    </row>
    <row r="453" spans="4:5">
      <c r="D453" s="105"/>
      <c r="E453" s="105"/>
    </row>
    <row r="454" spans="4:5">
      <c r="D454" s="105"/>
      <c r="E454" s="105"/>
    </row>
    <row r="455" spans="4:5">
      <c r="D455" s="105"/>
      <c r="E455" s="105"/>
    </row>
    <row r="456" spans="4:5">
      <c r="D456" s="105"/>
      <c r="E456" s="105"/>
    </row>
    <row r="457" spans="4:5">
      <c r="D457" s="105"/>
      <c r="E457" s="105"/>
    </row>
    <row r="458" spans="4:5">
      <c r="D458" s="105"/>
      <c r="E458" s="105"/>
    </row>
    <row r="459" spans="4:5">
      <c r="D459" s="105"/>
      <c r="E459" s="105"/>
    </row>
    <row r="460" spans="4:5">
      <c r="D460" s="105"/>
      <c r="E460" s="105"/>
    </row>
    <row r="461" spans="4:5">
      <c r="D461" s="105"/>
      <c r="E461" s="105"/>
    </row>
    <row r="462" spans="4:5">
      <c r="D462" s="105"/>
      <c r="E462" s="105"/>
    </row>
    <row r="463" spans="4:5">
      <c r="D463" s="105"/>
      <c r="E463" s="105"/>
    </row>
    <row r="464" spans="4:5">
      <c r="D464" s="105"/>
      <c r="E464" s="105"/>
    </row>
    <row r="465" spans="4:5">
      <c r="D465" s="105"/>
      <c r="E465" s="105"/>
    </row>
    <row r="466" spans="4:5">
      <c r="D466" s="105"/>
      <c r="E466" s="105"/>
    </row>
    <row r="467" spans="4:5">
      <c r="D467" s="105"/>
      <c r="E467" s="105"/>
    </row>
    <row r="468" spans="4:5">
      <c r="D468" s="105"/>
      <c r="E468" s="105"/>
    </row>
    <row r="469" spans="4:5">
      <c r="D469" s="105"/>
      <c r="E469" s="105"/>
    </row>
    <row r="470" spans="4:5">
      <c r="D470" s="105"/>
      <c r="E470" s="105"/>
    </row>
    <row r="471" spans="4:5">
      <c r="D471" s="105"/>
      <c r="E471" s="105"/>
    </row>
    <row r="472" spans="4:5">
      <c r="D472" s="105"/>
      <c r="E472" s="105"/>
    </row>
    <row r="473" spans="4:5">
      <c r="D473" s="105"/>
      <c r="E473" s="105"/>
    </row>
    <row r="474" spans="4:5">
      <c r="D474" s="105"/>
      <c r="E474" s="105"/>
    </row>
    <row r="475" spans="4:5">
      <c r="D475" s="105"/>
      <c r="E475" s="105"/>
    </row>
    <row r="476" spans="4:5">
      <c r="D476" s="105"/>
      <c r="E476" s="105"/>
    </row>
    <row r="477" spans="4:5">
      <c r="D477" s="105"/>
      <c r="E477" s="105"/>
    </row>
    <row r="478" spans="4:5">
      <c r="D478" s="105"/>
      <c r="E478" s="105"/>
    </row>
    <row r="479" spans="4:5">
      <c r="D479" s="105"/>
      <c r="E479" s="105"/>
    </row>
    <row r="480" spans="4:5">
      <c r="D480" s="105"/>
      <c r="E480" s="105"/>
    </row>
    <row r="481" spans="4:5">
      <c r="D481" s="105"/>
      <c r="E481" s="105"/>
    </row>
    <row r="482" spans="4:5">
      <c r="D482" s="105"/>
      <c r="E482" s="105"/>
    </row>
    <row r="483" spans="4:5">
      <c r="D483" s="105"/>
      <c r="E483" s="105"/>
    </row>
    <row r="484" spans="4:5">
      <c r="D484" s="105"/>
      <c r="E484" s="105"/>
    </row>
    <row r="485" spans="4:5">
      <c r="D485" s="105"/>
      <c r="E485" s="105"/>
    </row>
    <row r="486" spans="4:5">
      <c r="D486" s="105"/>
      <c r="E486" s="105"/>
    </row>
    <row r="487" spans="4:5">
      <c r="D487" s="105"/>
      <c r="E487" s="105"/>
    </row>
    <row r="488" spans="4:5">
      <c r="D488" s="105"/>
      <c r="E488" s="105"/>
    </row>
    <row r="489" spans="4:5">
      <c r="D489" s="105"/>
      <c r="E489" s="105"/>
    </row>
    <row r="490" spans="4:5">
      <c r="D490" s="105"/>
      <c r="E490" s="105"/>
    </row>
    <row r="491" spans="4:5">
      <c r="D491" s="105"/>
      <c r="E491" s="105"/>
    </row>
    <row r="492" spans="4:5">
      <c r="D492" s="105"/>
      <c r="E492" s="105"/>
    </row>
    <row r="493" spans="4:5">
      <c r="D493" s="105"/>
      <c r="E493" s="105"/>
    </row>
    <row r="494" spans="4:5">
      <c r="D494" s="105"/>
      <c r="E494" s="105"/>
    </row>
    <row r="495" spans="4:5">
      <c r="D495" s="105"/>
      <c r="E495" s="105"/>
    </row>
    <row r="496" spans="4:5">
      <c r="D496" s="105"/>
      <c r="E496" s="105"/>
    </row>
    <row r="497" spans="4:5">
      <c r="D497" s="105"/>
      <c r="E497" s="105"/>
    </row>
    <row r="498" spans="4:5">
      <c r="D498" s="105"/>
      <c r="E498" s="105"/>
    </row>
    <row r="499" spans="4:5">
      <c r="D499" s="105"/>
      <c r="E499" s="105"/>
    </row>
    <row r="500" spans="4:5">
      <c r="D500" s="105"/>
      <c r="E500" s="105"/>
    </row>
    <row r="501" spans="4:5">
      <c r="D501" s="105"/>
      <c r="E501" s="105"/>
    </row>
    <row r="502" spans="4:5">
      <c r="D502" s="105"/>
      <c r="E502" s="105"/>
    </row>
    <row r="503" spans="4:5">
      <c r="D503" s="105"/>
      <c r="E503" s="105"/>
    </row>
    <row r="504" spans="4:5">
      <c r="D504" s="105"/>
      <c r="E504" s="105"/>
    </row>
    <row r="505" spans="4:5">
      <c r="D505" s="105"/>
      <c r="E505" s="105"/>
    </row>
    <row r="506" spans="4:5">
      <c r="D506" s="105"/>
      <c r="E506" s="105"/>
    </row>
    <row r="507" spans="4:5">
      <c r="D507" s="105"/>
      <c r="E507" s="105"/>
    </row>
    <row r="508" spans="4:5">
      <c r="D508" s="105"/>
      <c r="E508" s="105"/>
    </row>
    <row r="509" spans="4:5">
      <c r="D509" s="105"/>
      <c r="E509" s="105"/>
    </row>
    <row r="510" spans="4:5">
      <c r="D510" s="105"/>
      <c r="E510" s="105"/>
    </row>
    <row r="511" spans="4:5">
      <c r="D511" s="105"/>
      <c r="E511" s="105"/>
    </row>
    <row r="512" spans="4:5">
      <c r="D512" s="105"/>
      <c r="E512" s="105"/>
    </row>
    <row r="513" spans="4:5">
      <c r="D513" s="105"/>
      <c r="E513" s="105"/>
    </row>
    <row r="514" spans="4:5">
      <c r="D514" s="105"/>
      <c r="E514" s="105"/>
    </row>
    <row r="515" spans="4:5">
      <c r="D515" s="105"/>
      <c r="E515" s="105"/>
    </row>
    <row r="516" spans="4:5">
      <c r="D516" s="105"/>
      <c r="E516" s="105"/>
    </row>
    <row r="517" spans="4:5">
      <c r="D517" s="105"/>
      <c r="E517" s="105"/>
    </row>
    <row r="518" spans="4:5">
      <c r="D518" s="105"/>
      <c r="E518" s="105"/>
    </row>
    <row r="519" spans="4:5">
      <c r="D519" s="105"/>
      <c r="E519" s="105"/>
    </row>
    <row r="520" spans="4:5">
      <c r="D520" s="105"/>
      <c r="E520" s="105"/>
    </row>
    <row r="521" spans="4:5">
      <c r="D521" s="105"/>
      <c r="E521" s="105"/>
    </row>
    <row r="522" spans="4:5">
      <c r="D522" s="105"/>
      <c r="E522" s="105"/>
    </row>
    <row r="523" spans="4:5">
      <c r="D523" s="105"/>
      <c r="E523" s="105"/>
    </row>
    <row r="524" spans="4:5">
      <c r="D524" s="105"/>
      <c r="E524" s="105"/>
    </row>
    <row r="525" spans="4:5">
      <c r="D525" s="105"/>
      <c r="E525" s="105"/>
    </row>
    <row r="526" spans="4:5">
      <c r="D526" s="105"/>
      <c r="E526" s="105"/>
    </row>
    <row r="527" spans="4:5">
      <c r="D527" s="105"/>
      <c r="E527" s="105"/>
    </row>
    <row r="528" spans="4:5">
      <c r="D528" s="105"/>
      <c r="E528" s="105"/>
    </row>
    <row r="529" spans="4:5">
      <c r="D529" s="105"/>
      <c r="E529" s="105"/>
    </row>
    <row r="530" spans="4:5">
      <c r="D530" s="105"/>
      <c r="E530" s="105"/>
    </row>
    <row r="531" spans="4:5">
      <c r="D531" s="105"/>
      <c r="E531" s="105"/>
    </row>
    <row r="532" spans="4:5">
      <c r="D532" s="105"/>
      <c r="E532" s="105"/>
    </row>
    <row r="533" spans="4:5">
      <c r="D533" s="105"/>
      <c r="E533" s="105"/>
    </row>
    <row r="534" spans="4:5">
      <c r="D534" s="105"/>
      <c r="E534" s="105"/>
    </row>
    <row r="535" spans="4:5">
      <c r="D535" s="105"/>
      <c r="E535" s="105"/>
    </row>
    <row r="536" spans="4:5">
      <c r="D536" s="105"/>
      <c r="E536" s="105"/>
    </row>
    <row r="537" spans="4:5">
      <c r="D537" s="105"/>
      <c r="E537" s="105"/>
    </row>
    <row r="538" spans="4:5">
      <c r="D538" s="105"/>
      <c r="E538" s="105"/>
    </row>
    <row r="539" spans="4:5">
      <c r="D539" s="105"/>
      <c r="E539" s="105"/>
    </row>
    <row r="540" spans="4:5">
      <c r="D540" s="105"/>
      <c r="E540" s="105"/>
    </row>
    <row r="541" spans="4:5">
      <c r="D541" s="105"/>
      <c r="E541" s="105"/>
    </row>
    <row r="542" spans="4:5">
      <c r="D542" s="105"/>
      <c r="E542" s="105"/>
    </row>
    <row r="543" spans="4:5">
      <c r="D543" s="105"/>
      <c r="E543" s="105"/>
    </row>
    <row r="544" spans="4:5">
      <c r="D544" s="105"/>
      <c r="E544" s="105"/>
    </row>
    <row r="545" spans="4:5">
      <c r="D545" s="105"/>
      <c r="E545" s="105"/>
    </row>
    <row r="546" spans="4:5">
      <c r="D546" s="105"/>
      <c r="E546" s="105"/>
    </row>
    <row r="547" spans="4:5">
      <c r="D547" s="105"/>
      <c r="E547" s="105"/>
    </row>
    <row r="548" spans="4:5">
      <c r="D548" s="105"/>
      <c r="E548" s="105"/>
    </row>
    <row r="549" spans="4:5">
      <c r="D549" s="105"/>
      <c r="E549" s="105"/>
    </row>
    <row r="550" spans="4:5">
      <c r="D550" s="105"/>
      <c r="E550" s="105"/>
    </row>
    <row r="551" spans="4:5">
      <c r="D551" s="105"/>
      <c r="E551" s="105"/>
    </row>
    <row r="552" spans="4:5">
      <c r="D552" s="105"/>
      <c r="E552" s="105"/>
    </row>
    <row r="553" spans="4:5">
      <c r="D553" s="105"/>
      <c r="E553" s="105"/>
    </row>
    <row r="554" spans="4:5">
      <c r="D554" s="105"/>
      <c r="E554" s="105"/>
    </row>
    <row r="555" spans="4:5">
      <c r="D555" s="105"/>
      <c r="E555" s="105"/>
    </row>
    <row r="556" spans="4:5">
      <c r="D556" s="105"/>
      <c r="E556" s="105"/>
    </row>
    <row r="557" spans="4:5">
      <c r="D557" s="105"/>
      <c r="E557" s="105"/>
    </row>
    <row r="558" spans="4:5">
      <c r="D558" s="105"/>
      <c r="E558" s="105"/>
    </row>
    <row r="559" spans="4:5">
      <c r="D559" s="105"/>
      <c r="E559" s="105"/>
    </row>
    <row r="560" spans="4:5">
      <c r="D560" s="105"/>
      <c r="E560" s="105"/>
    </row>
    <row r="561" spans="4:5">
      <c r="D561" s="105"/>
      <c r="E561" s="105"/>
    </row>
    <row r="562" spans="4:5">
      <c r="D562" s="105"/>
      <c r="E562" s="105"/>
    </row>
    <row r="563" spans="4:5">
      <c r="D563" s="105"/>
      <c r="E563" s="105"/>
    </row>
    <row r="564" spans="4:5">
      <c r="D564" s="105"/>
      <c r="E564" s="105"/>
    </row>
    <row r="565" spans="4:5">
      <c r="D565" s="105"/>
      <c r="E565" s="105"/>
    </row>
    <row r="566" spans="4:5">
      <c r="D566" s="105"/>
      <c r="E566" s="105"/>
    </row>
    <row r="567" spans="4:5">
      <c r="D567" s="105"/>
      <c r="E567" s="105"/>
    </row>
    <row r="568" spans="4:5">
      <c r="D568" s="105"/>
      <c r="E568" s="105"/>
    </row>
    <row r="569" spans="4:5">
      <c r="D569" s="105"/>
      <c r="E569" s="105"/>
    </row>
    <row r="570" spans="4:5">
      <c r="D570" s="105"/>
      <c r="E570" s="105"/>
    </row>
    <row r="571" spans="4:5">
      <c r="D571" s="105"/>
      <c r="E571" s="105"/>
    </row>
    <row r="572" spans="4:5">
      <c r="D572" s="105"/>
      <c r="E572" s="105"/>
    </row>
    <row r="573" spans="4:5">
      <c r="D573" s="105"/>
      <c r="E573" s="105"/>
    </row>
    <row r="574" spans="4:5">
      <c r="D574" s="105"/>
      <c r="E574" s="105"/>
    </row>
    <row r="575" spans="4:5">
      <c r="D575" s="105"/>
      <c r="E575" s="105"/>
    </row>
    <row r="576" spans="4:5">
      <c r="D576" s="105"/>
      <c r="E576" s="105"/>
    </row>
    <row r="577" spans="4:5">
      <c r="D577" s="105"/>
      <c r="E577" s="105"/>
    </row>
    <row r="578" spans="4:5">
      <c r="D578" s="105"/>
      <c r="E578" s="105"/>
    </row>
    <row r="579" spans="4:5">
      <c r="D579" s="105"/>
      <c r="E579" s="105"/>
    </row>
    <row r="580" spans="4:5">
      <c r="D580" s="105"/>
      <c r="E580" s="105"/>
    </row>
    <row r="581" spans="4:5">
      <c r="D581" s="105"/>
      <c r="E581" s="105"/>
    </row>
    <row r="582" spans="4:5">
      <c r="D582" s="105"/>
      <c r="E582" s="105"/>
    </row>
    <row r="583" spans="4:5">
      <c r="D583" s="105"/>
      <c r="E583" s="105"/>
    </row>
  </sheetData>
  <mergeCells count="1">
    <mergeCell ref="E4:H4"/>
  </mergeCells>
  <conditionalFormatting sqref="J22:J142">
    <cfRule type="iconSet" priority="1">
      <iconSet iconSet="3Symbols" showValue="0">
        <cfvo type="percent" val="0"/>
        <cfvo type="num" val="0"/>
        <cfvo type="num" val="1"/>
      </iconSet>
    </cfRule>
  </conditionalFormatting>
  <hyperlinks>
    <hyperlink ref="BG2" r:id="rId1" xr:uid="{38570F94-8623-4552-951B-632CA33804E8}"/>
  </hyperlinks>
  <pageMargins left="0.7" right="0.7" top="0.75" bottom="0.75" header="0.3" footer="0.3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xr:uid="{A1B608CA-252C-4AF2-9BEB-3E2FF975AADB}">
          <x14:formula1>
            <xm:f>_xlfn.ANCHORARRAY('BD-Tercero Proveedores'!$N$6)</xm:f>
          </x14:formula1>
          <xm:sqref>H7</xm:sqref>
        </x14:dataValidation>
        <x14:dataValidation type="list" allowBlank="1" showInputMessage="1" xr:uid="{DFE85E81-0C86-4839-8846-ADD3FA2FCA29}">
          <x14:formula1>
            <xm:f>_xlfn.ANCHORARRAY(PUC!$DP$5)</xm:f>
          </x14:formula1>
          <xm:sqref>E11</xm:sqref>
        </x14:dataValidation>
        <x14:dataValidation type="list" allowBlank="1" showInputMessage="1" xr:uid="{F3A632F7-0809-4304-B86A-9E7FE932C2FE}">
          <x14:formula1>
            <xm:f>'Otras BD'!$G$6:$G$9</xm:f>
          </x14:formula1>
          <xm:sqref>E13</xm:sqref>
        </x14:dataValidation>
        <x14:dataValidation type="list" allowBlank="1" showInputMessage="1" xr:uid="{72753865-C9EF-465D-8560-AEEB112A1406}">
          <x14:formula1>
            <xm:f>'Otras BD'!$C$4:$C$12</xm:f>
          </x14:formula1>
          <xm:sqref>H9 H13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1A258C-E82E-4DE1-A322-4D0FAD87A022}">
  <sheetPr codeName="Hoja21"/>
  <dimension ref="D3:BQ190"/>
  <sheetViews>
    <sheetView showGridLines="0" workbookViewId="0">
      <selection activeCell="X81" sqref="X81"/>
    </sheetView>
  </sheetViews>
  <sheetFormatPr baseColWidth="10" defaultColWidth="12" defaultRowHeight="14.25"/>
  <cols>
    <col min="1" max="3" width="12" style="1"/>
    <col min="4" max="4" width="26.6640625" style="1" bestFit="1" customWidth="1"/>
    <col min="5" max="5" width="30.33203125" style="1" bestFit="1" customWidth="1"/>
    <col min="6" max="6" width="23.6640625" style="1" bestFit="1" customWidth="1"/>
    <col min="7" max="7" width="31.5" style="1" bestFit="1" customWidth="1"/>
    <col min="8" max="8" width="30.83203125" style="1" customWidth="1"/>
    <col min="9" max="9" width="46.6640625" style="1" customWidth="1"/>
    <col min="10" max="10" width="47.1640625" style="1" customWidth="1"/>
    <col min="11" max="11" width="17.1640625" style="1" bestFit="1" customWidth="1"/>
    <col min="12" max="12" width="17.5" style="1" customWidth="1"/>
    <col min="13" max="13" width="19.6640625" style="1" customWidth="1"/>
    <col min="14" max="14" width="20.5" style="1" customWidth="1"/>
    <col min="15" max="15" width="31.33203125" style="1" bestFit="1" customWidth="1"/>
    <col min="16" max="16" width="22.6640625" style="1" bestFit="1" customWidth="1"/>
    <col min="17" max="17" width="39" style="1" bestFit="1" customWidth="1"/>
    <col min="18" max="18" width="32.6640625" style="1" bestFit="1" customWidth="1"/>
    <col min="19" max="19" width="21.5" style="1" bestFit="1" customWidth="1"/>
    <col min="20" max="20" width="16.33203125" style="1" bestFit="1" customWidth="1"/>
    <col min="21" max="21" width="16.83203125" style="1" bestFit="1" customWidth="1"/>
    <col min="22" max="22" width="12" style="1"/>
    <col min="23" max="23" width="20.1640625" style="1" customWidth="1"/>
    <col min="24" max="24" width="65.6640625" style="1" bestFit="1" customWidth="1"/>
    <col min="25" max="25" width="23" style="1" bestFit="1" customWidth="1"/>
    <col min="26" max="27" width="28.1640625" style="1" bestFit="1" customWidth="1"/>
    <col min="28" max="29" width="21.6640625" style="1" bestFit="1" customWidth="1"/>
    <col min="30" max="30" width="15.33203125" style="1" customWidth="1"/>
    <col min="31" max="31" width="28.1640625" style="1" bestFit="1" customWidth="1"/>
    <col min="32" max="32" width="15.33203125" style="1" customWidth="1"/>
    <col min="33" max="34" width="12" style="1"/>
    <col min="35" max="36" width="24" style="1" bestFit="1" customWidth="1"/>
    <col min="37" max="37" width="30.33203125" style="1" bestFit="1" customWidth="1"/>
    <col min="38" max="38" width="60.83203125" style="1" customWidth="1"/>
    <col min="39" max="39" width="56.1640625" style="1" customWidth="1"/>
    <col min="40" max="40" width="31.5" style="1" bestFit="1" customWidth="1"/>
    <col min="41" max="41" width="35.33203125" style="1" bestFit="1" customWidth="1"/>
    <col min="42" max="42" width="59.1640625" style="1" customWidth="1"/>
    <col min="43" max="43" width="25.33203125" style="1" bestFit="1" customWidth="1"/>
    <col min="44" max="44" width="23.6640625" style="1" bestFit="1" customWidth="1"/>
    <col min="45" max="45" width="22.83203125" style="1" bestFit="1" customWidth="1"/>
    <col min="46" max="46" width="12" style="1"/>
    <col min="47" max="47" width="18.1640625" style="1" bestFit="1" customWidth="1"/>
    <col min="48" max="48" width="22.83203125" style="1" bestFit="1" customWidth="1"/>
    <col min="49" max="49" width="22.83203125" style="1" customWidth="1"/>
    <col min="50" max="50" width="12" style="1"/>
    <col min="51" max="51" width="53.83203125" style="1" bestFit="1" customWidth="1"/>
    <col min="52" max="52" width="56.5" style="1" bestFit="1" customWidth="1"/>
    <col min="53" max="53" width="24.6640625" style="1" bestFit="1" customWidth="1"/>
    <col min="54" max="54" width="28.1640625" style="1" bestFit="1" customWidth="1"/>
    <col min="55" max="56" width="43.5" style="1" bestFit="1" customWidth="1"/>
    <col min="57" max="57" width="45.33203125" style="1" customWidth="1"/>
    <col min="58" max="58" width="24.6640625" style="1" bestFit="1" customWidth="1"/>
    <col min="59" max="60" width="21.6640625" style="1" bestFit="1" customWidth="1"/>
    <col min="61" max="64" width="12" style="1"/>
    <col min="65" max="65" width="24.6640625" style="1" bestFit="1" customWidth="1"/>
    <col min="66" max="67" width="12" style="1"/>
    <col min="68" max="68" width="23.83203125" style="1" bestFit="1" customWidth="1"/>
    <col min="69" max="69" width="21" style="1" bestFit="1" customWidth="1"/>
    <col min="70" max="16384" width="12" style="1"/>
  </cols>
  <sheetData>
    <row r="3" spans="4:69" ht="36" customHeight="1">
      <c r="D3" s="251" t="s">
        <v>956</v>
      </c>
      <c r="E3" s="251"/>
      <c r="F3" s="146" t="e" vm="3">
        <v>#VALUE!</v>
      </c>
    </row>
    <row r="6" spans="4:69">
      <c r="D6" s="3" t="s">
        <v>9</v>
      </c>
      <c r="E6" s="3" t="s">
        <v>10</v>
      </c>
      <c r="F6" s="3" t="s">
        <v>818</v>
      </c>
      <c r="G6" s="3" t="s">
        <v>1029</v>
      </c>
      <c r="H6" s="1" t="s">
        <v>12</v>
      </c>
      <c r="I6" s="1" t="s">
        <v>767</v>
      </c>
      <c r="J6" s="1" t="s">
        <v>1025</v>
      </c>
      <c r="K6" s="3" t="s">
        <v>768</v>
      </c>
      <c r="L6" s="3" t="s">
        <v>1</v>
      </c>
      <c r="M6" s="3" t="s">
        <v>1003</v>
      </c>
      <c r="N6" s="3" t="s">
        <v>1182</v>
      </c>
      <c r="O6" s="3" t="s">
        <v>1183</v>
      </c>
      <c r="P6" s="1" t="s">
        <v>8</v>
      </c>
      <c r="Q6" s="1" t="s">
        <v>1121</v>
      </c>
      <c r="R6" s="1" t="s">
        <v>5</v>
      </c>
      <c r="S6" s="1" t="s">
        <v>6</v>
      </c>
      <c r="T6" s="1" t="s">
        <v>7</v>
      </c>
      <c r="U6" s="1" t="s">
        <v>11</v>
      </c>
      <c r="V6" s="1" t="s">
        <v>779</v>
      </c>
      <c r="W6" s="1" t="s">
        <v>782</v>
      </c>
      <c r="X6" s="1" t="s">
        <v>783</v>
      </c>
      <c r="Y6" s="1" t="s">
        <v>816</v>
      </c>
      <c r="Z6" s="1" t="s">
        <v>825</v>
      </c>
      <c r="AA6" s="1" t="s">
        <v>834</v>
      </c>
      <c r="AB6" s="1" t="s">
        <v>835</v>
      </c>
      <c r="AC6" s="1" t="s">
        <v>836</v>
      </c>
      <c r="AD6" s="1" t="s">
        <v>920</v>
      </c>
      <c r="AE6" s="1" t="s">
        <v>921</v>
      </c>
      <c r="AF6" s="1" t="s">
        <v>922</v>
      </c>
      <c r="AG6" s="1" t="s">
        <v>955</v>
      </c>
      <c r="AH6" s="1" t="s">
        <v>958</v>
      </c>
      <c r="AI6" s="1" t="s">
        <v>1310</v>
      </c>
      <c r="AJ6" s="1" t="s">
        <v>1312</v>
      </c>
      <c r="AO6" s="3" t="s">
        <v>9</v>
      </c>
      <c r="AP6" s="3" t="s">
        <v>10</v>
      </c>
      <c r="AQ6" s="3" t="s">
        <v>819</v>
      </c>
      <c r="AR6" s="3" t="s">
        <v>1029</v>
      </c>
      <c r="AS6" s="1" t="s">
        <v>12</v>
      </c>
      <c r="AT6" s="1" t="s">
        <v>767</v>
      </c>
      <c r="AU6" s="1" t="s">
        <v>1025</v>
      </c>
      <c r="AV6" s="3" t="s">
        <v>768</v>
      </c>
      <c r="AW6" s="3" t="s">
        <v>1</v>
      </c>
      <c r="AX6" s="3" t="s">
        <v>1003</v>
      </c>
      <c r="AY6" s="3" t="s">
        <v>1182</v>
      </c>
      <c r="AZ6" s="3" t="s">
        <v>1183</v>
      </c>
      <c r="BA6" s="1" t="s">
        <v>8</v>
      </c>
      <c r="BB6" s="1" t="s">
        <v>1120</v>
      </c>
      <c r="BC6" s="1" t="s">
        <v>5</v>
      </c>
      <c r="BD6" s="1" t="s">
        <v>6</v>
      </c>
      <c r="BE6" s="1" t="s">
        <v>7</v>
      </c>
      <c r="BF6" s="1" t="s">
        <v>11</v>
      </c>
      <c r="BG6" s="1" t="s">
        <v>779</v>
      </c>
      <c r="BH6" s="1" t="s">
        <v>781</v>
      </c>
      <c r="BI6" s="1" t="s">
        <v>782</v>
      </c>
      <c r="BJ6" s="1" t="s">
        <v>783</v>
      </c>
      <c r="BK6" s="1" t="s">
        <v>920</v>
      </c>
      <c r="BL6" s="1" t="s">
        <v>921</v>
      </c>
      <c r="BM6" s="1" t="s">
        <v>954</v>
      </c>
      <c r="BN6" s="1" t="s">
        <v>955</v>
      </c>
      <c r="BO6" s="1" t="s">
        <v>958</v>
      </c>
      <c r="BP6" s="1" t="s">
        <v>1311</v>
      </c>
      <c r="BQ6" s="1" t="s">
        <v>1313</v>
      </c>
    </row>
    <row r="7" spans="4:69">
      <c r="D7" s="31">
        <f>IF(Regcontabilizados[[#This Row],[Eliminado]]="si","",RegContabilizados2[[#This Row],[fecha Factura]])</f>
        <v>45658</v>
      </c>
      <c r="E7" s="31">
        <f>IF(Regcontabilizados[[#This Row],[Eliminado]]="si","",RegContabilizados2[[#This Row],[Fecha vencimiento]])</f>
        <v>45658</v>
      </c>
      <c r="F7" s="3" t="str">
        <f>IF(Regcontabilizados[[#This Row],[Eliminado]]="si","",RegContabilizados2[[#This Row],[Idenficador]])</f>
        <v>Comp.Cont.2-1</v>
      </c>
      <c r="G7" s="3">
        <f>IF(Regcontabilizados[[#This Row],[Eliminado]]="si","",RegContabilizados2[[#This Row],[N° de factura/Pago]])</f>
        <v>2</v>
      </c>
      <c r="H7" s="1" t="str">
        <f>IF(Regcontabilizados[[#This Row],[Eliminado]]="si","",RegContabilizados2[[#This Row],[Tipo de Factura]])</f>
        <v>Comp.Cont.</v>
      </c>
      <c r="I7" s="1">
        <f>IF(Regcontabilizados[[#This Row],[Eliminado]]="si","",RegContabilizados2[[#This Row],[ID Cliente]])</f>
        <v>333333</v>
      </c>
      <c r="J7" s="1">
        <f>IF(Regcontabilizados[[#This Row],[Eliminado]]="si","",RegContabilizados2[[#This Row],[ESTADO DEL IVA]])</f>
        <v>0</v>
      </c>
      <c r="K7" s="3" t="str">
        <f>IF(Regcontabilizados[[#This Row],[Eliminado]]="si","",RegContabilizados2[[#This Row],[ID Proveedor]])</f>
        <v>Banco 1</v>
      </c>
      <c r="L7" s="3" t="str">
        <f>IF(Regcontabilizados[[#This Row],[Eliminado]]="si","",RegContabilizados2[[#This Row],[Concepto]])</f>
        <v>Capital</v>
      </c>
      <c r="M7" s="3">
        <f>IF(Regcontabilizados[[#This Row],[Eliminado]]="si","",RegContabilizados2[[#This Row],[Categoría]])</f>
        <v>0</v>
      </c>
      <c r="N7" s="3">
        <f>IF(Regcontabilizados[[#This Row],[Eliminado]]="si","",RegContabilizados2[[#This Row],[Almacen]])</f>
        <v>0</v>
      </c>
      <c r="O7" s="3">
        <f>IF(Regcontabilizados[[#This Row],[Eliminado]]="si","",RegContabilizados2[[#This Row],[Tipo de movimiento]])</f>
        <v>0</v>
      </c>
      <c r="P7" s="1">
        <f>IF(Regcontabilizados[[#This Row],[Eliminado]]="si","",RegContabilizados2[[#This Row],[cantidad]])</f>
        <v>0</v>
      </c>
      <c r="Q7" s="1">
        <f>IF(Regcontabilizados[[#This Row],[Eliminado]]="si","",RegContabilizados2[[#This Row],[VR unitario]])</f>
        <v>0</v>
      </c>
      <c r="R7" s="1">
        <f>IF(Regcontabilizados[[#This Row],[Eliminado]]="si","",RegContabilizados2[[#This Row],[Subcuenta]])</f>
        <v>310510</v>
      </c>
      <c r="S7" s="1">
        <f>IF(Regcontabilizados[[#This Row],[Eliminado]]="si","",RegContabilizados2[[#This Row],[Debe]])</f>
        <v>0</v>
      </c>
      <c r="T7" s="1">
        <f>IF(Regcontabilizados[[#This Row],[Eliminado]]="si","",RegContabilizados2[[#This Row],[Haber]])</f>
        <v>10000000</v>
      </c>
      <c r="U7" s="1">
        <f>IFERROR((Regcontabilizados[[#This Row],[Debe]]-Regcontabilizados[[#This Row],[Haber]]),0)</f>
        <v>-10000000</v>
      </c>
      <c r="V7" s="1" t="str">
        <f>IFERROR((+_xlfn.XLOOKUP(Regcontabilizados[[#This Row],[Subcuenta]],Tabla11[Cuenta],Tabla11[Descripción],0)),0)</f>
        <v>Capital por suscribir (DB)</v>
      </c>
      <c r="W7" s="1" t="str">
        <f>IFERROR((_xlfn.XLOOKUP((VALUE(LEFT(Regcontabilizados[[#This Row],[Subcuenta]],4))),Tabla11[Cuenta],Tabla11[Descripción],0)),0)</f>
        <v>CAPITAL SUSCRITO Y PAGADO</v>
      </c>
      <c r="X7" s="1" t="str">
        <f>IFERROR((_xlfn.XLOOKUP(Regcontabilizados[[#This Row],[Subcuenta]],Tabla11[Cuenta],Tabla11[Descripción],0)),0)</f>
        <v>Capital por suscribir (DB)</v>
      </c>
      <c r="Y7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7" s="1" t="str">
        <f>_xlfn.XLOOKUP(Regcontabilizados[[#This Row],[Subcuenta]],Tabla11[Cuenta],Tabla11[TIPO],"")</f>
        <v>Patrimonio</v>
      </c>
      <c r="AA7" s="1" t="str">
        <f>IFERROR((Regcontabilizados[[#This Row],[Subcuenta]]&amp;" "&amp;_xlfn.XLOOKUP(Regcontabilizados[[#This Row],[Subcuenta]],Tabla11[Cuenta],Tabla11[Descripción],0)),0)</f>
        <v>310510 Capital por suscribir (DB)</v>
      </c>
      <c r="AB7" s="1" t="str">
        <f>IFERROR((VALUE(LEFT(Regcontabilizados[[#This Row],[Subcuenta]],2))&amp;" "&amp;_xlfn.XLOOKUP((VALUE(LEFT(Regcontabilizados[[#This Row],[Subcuenta]],2))),Tabla11[Cuenta],Tabla11[Descripción],0)),0)</f>
        <v>31 CAPITAL SOCIAL</v>
      </c>
      <c r="AC7" s="1" t="str">
        <f>IFERROR((VALUE(LEFT(Regcontabilizados[[#This Row],[Subcuenta]],4))&amp;" "&amp;_xlfn.XLOOKUP((VALUE(LEFT(Regcontabilizados[[#This Row],[Subcuenta]],4))),Tabla11[Cuenta],Tabla11[Descripción],0)),0)</f>
        <v>3105 CAPITAL SUSCRITO Y PAGADO</v>
      </c>
      <c r="AD7" s="1" t="str">
        <f>IF(Regcontabilizados[[#This Row],[Eliminado]]="si","",RegContabilizados2[[#This Row],[Estado de pago]])</f>
        <v>NO PAGADO</v>
      </c>
      <c r="AE7" s="1" t="str">
        <f>IF(Regcontabilizados[[#This Row],[Eliminado]]="si","",RegContabilizados2[[#This Row],[Colum. Aux. Estado]])</f>
        <v>Comp.Cont.2</v>
      </c>
      <c r="AF7" s="1">
        <f>IF(Regcontabilizados[[#This Row],[Eliminado]]="si","",RegContabilizados2[[#This Row],[Número de pago]])</f>
        <v>0</v>
      </c>
      <c r="AG7" s="1" t="str">
        <f>IF(Regcontabilizados[[#This Row],[Eliminado]]="si","",RegContabilizados2[[#This Row],[Elaborado por]])</f>
        <v>Responsable no especificado</v>
      </c>
      <c r="AH7" s="1" t="str">
        <f>IF(Regcontabilizados[[#This Row],[Eliminado]]="si","",RegContabilizados2[[#This Row],[Notas]])</f>
        <v>Pago de acciones</v>
      </c>
      <c r="AI7" s="1">
        <f>IF(Regcontabilizados[[#This Row],[Eliminado]]="si","",RegContabilizados2[[#This Row],[Método de pago]])</f>
        <v>0</v>
      </c>
      <c r="AJ7" s="1">
        <f>IF(Regcontabilizados[[#This Row],[Eliminado]]="si","",RegContabilizados2[[#This Row],[Cta. Bancaria]])</f>
        <v>0</v>
      </c>
      <c r="AO7" s="31">
        <v>45658</v>
      </c>
      <c r="AP7" s="31">
        <v>45658</v>
      </c>
      <c r="AQ7" s="3" t="s">
        <v>1359</v>
      </c>
      <c r="AR7" s="3">
        <v>2</v>
      </c>
      <c r="AS7" s="1" t="s">
        <v>1113</v>
      </c>
      <c r="AT7" s="1">
        <v>333333</v>
      </c>
      <c r="AV7" s="3" t="s">
        <v>848</v>
      </c>
      <c r="AW7" s="3" t="s">
        <v>1345</v>
      </c>
      <c r="AX7" s="3"/>
      <c r="AY7" s="3"/>
      <c r="AZ7" s="3"/>
      <c r="BC7" s="1">
        <v>310510</v>
      </c>
      <c r="BD7" s="1">
        <v>0</v>
      </c>
      <c r="BE7" s="1">
        <v>10000000</v>
      </c>
      <c r="BF7" s="1">
        <f>IFERROR((RegContabilizados2[[#This Row],[Debe]]-RegContabilizados2[[#This Row],[Haber]]),0)</f>
        <v>-10000000</v>
      </c>
      <c r="BG7" s="1" t="str">
        <f>IFERROR((+_xlfn.XLOOKUP(RegContabilizados2[[#This Row],[Subcuenta]],Tabla11[Cuenta],Tabla11[Descripción],0)),0)</f>
        <v>Capital por suscribir (DB)</v>
      </c>
      <c r="BH7" s="1" t="str">
        <f>IFERROR((VALUE(LEFT(RegContabilizados2[[#This Row],[Subcuenta]],2))&amp;" "&amp;_xlfn.XLOOKUP((VALUE(LEFT(RegContabilizados2[[#This Row],[Subcuenta]],2))),Tabla11[Cuenta],Tabla11[Descripción],0)),0)</f>
        <v>31 CAPITAL SOCIAL</v>
      </c>
      <c r="BI7" s="1" t="str">
        <f>IFERROR((VALUE(LEFT(RegContabilizados2[[#This Row],[Subcuenta]],4))&amp;" "&amp;_xlfn.XLOOKUP((VALUE(LEFT(RegContabilizados2[[#This Row],[Subcuenta]],4))),Tabla11[Cuenta],Tabla11[Descripción],0)),0)</f>
        <v>3105 CAPITAL SUSCRITO Y PAGADO</v>
      </c>
      <c r="BJ7" s="1" t="str">
        <f>IFERROR((RegContabilizados2[[#This Row],[Subcuenta]]&amp;" "&amp;_xlfn.XLOOKUP(RegContabilizados2[[#This Row],[Subcuenta]],Tabla11[Cuenta],Tabla11[Descripción],0)),0)</f>
        <v>310510 Capital por suscribir (DB)</v>
      </c>
      <c r="BK7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7" s="1" t="str">
        <f>IFERROR(LEFT(RegContabilizados2[[#This Row],[Idenficador]],SEARCH("-",RegContabilizados2[[#This Row],[Idenficador]])-1),0)</f>
        <v>Comp.Cont.2</v>
      </c>
      <c r="BN7" s="1" t="s">
        <v>1169</v>
      </c>
      <c r="BO7" s="1" t="s">
        <v>1369</v>
      </c>
    </row>
    <row r="8" spans="4:69">
      <c r="D8" s="31">
        <f>IF(Regcontabilizados[[#This Row],[Eliminado]]="si","",RegContabilizados2[[#This Row],[fecha Factura]])</f>
        <v>45658</v>
      </c>
      <c r="E8" s="31">
        <f>IF(Regcontabilizados[[#This Row],[Eliminado]]="si","",RegContabilizados2[[#This Row],[Fecha vencimiento]])</f>
        <v>45658</v>
      </c>
      <c r="F8" s="3" t="str">
        <f>IF(Regcontabilizados[[#This Row],[Eliminado]]="si","",RegContabilizados2[[#This Row],[Idenficador]])</f>
        <v>Comp.Cont.2-2</v>
      </c>
      <c r="G8" s="3">
        <f>IF(Regcontabilizados[[#This Row],[Eliminado]]="si","",RegContabilizados2[[#This Row],[N° de factura/Pago]])</f>
        <v>2</v>
      </c>
      <c r="H8" s="1" t="str">
        <f>IF(Regcontabilizados[[#This Row],[Eliminado]]="si","",RegContabilizados2[[#This Row],[Tipo de Factura]])</f>
        <v>Comp.Cont.</v>
      </c>
      <c r="I8" s="1">
        <f>IF(Regcontabilizados[[#This Row],[Eliminado]]="si","",RegContabilizados2[[#This Row],[ID Cliente]])</f>
        <v>333333</v>
      </c>
      <c r="J8" s="1">
        <f>IF(Regcontabilizados[[#This Row],[Eliminado]]="si","",RegContabilizados2[[#This Row],[ESTADO DEL IVA]])</f>
        <v>0</v>
      </c>
      <c r="K8" s="3" t="str">
        <f>IF(Regcontabilizados[[#This Row],[Eliminado]]="si","",RegContabilizados2[[#This Row],[ID Proveedor]])</f>
        <v>Banco 1</v>
      </c>
      <c r="L8" s="3" t="str">
        <f>IF(Regcontabilizados[[#This Row],[Eliminado]]="si","",RegContabilizados2[[#This Row],[Concepto]])</f>
        <v>Capital</v>
      </c>
      <c r="M8" s="3">
        <f>IF(Regcontabilizados[[#This Row],[Eliminado]]="si","",RegContabilizados2[[#This Row],[Categoría]])</f>
        <v>0</v>
      </c>
      <c r="N8" s="3">
        <f>IF(Regcontabilizados[[#This Row],[Eliminado]]="si","",RegContabilizados2[[#This Row],[Almacen]])</f>
        <v>0</v>
      </c>
      <c r="O8" s="3">
        <f>IF(Regcontabilizados[[#This Row],[Eliminado]]="si","",RegContabilizados2[[#This Row],[Tipo de movimiento]])</f>
        <v>0</v>
      </c>
      <c r="P8" s="1">
        <f>IF(Regcontabilizados[[#This Row],[Eliminado]]="si","",RegContabilizados2[[#This Row],[cantidad]])</f>
        <v>0</v>
      </c>
      <c r="Q8" s="1">
        <f>IF(Regcontabilizados[[#This Row],[Eliminado]]="si","",RegContabilizados2[[#This Row],[VR unitario]])</f>
        <v>0</v>
      </c>
      <c r="R8" s="1">
        <f>IF(Regcontabilizados[[#This Row],[Eliminado]]="si","",RegContabilizados2[[#This Row],[Subcuenta]])</f>
        <v>111005</v>
      </c>
      <c r="S8" s="1">
        <f>IF(Regcontabilizados[[#This Row],[Eliminado]]="si","",RegContabilizados2[[#This Row],[Debe]])</f>
        <v>10000000</v>
      </c>
      <c r="T8" s="1">
        <f>IF(Regcontabilizados[[#This Row],[Eliminado]]="si","",RegContabilizados2[[#This Row],[Haber]])</f>
        <v>0</v>
      </c>
      <c r="U8" s="1">
        <f>IFERROR((Regcontabilizados[[#This Row],[Debe]]-Regcontabilizados[[#This Row],[Haber]]),0)</f>
        <v>10000000</v>
      </c>
      <c r="V8" s="1" t="str">
        <f>IFERROR((+_xlfn.XLOOKUP(Regcontabilizados[[#This Row],[Subcuenta]],Tabla11[Cuenta],Tabla11[Descripción],0)),0)</f>
        <v>Banco 1</v>
      </c>
      <c r="W8" s="1" t="str">
        <f>IFERROR((_xlfn.XLOOKUP((VALUE(LEFT(Regcontabilizados[[#This Row],[Subcuenta]],4))),Tabla11[Cuenta],Tabla11[Descripción],0)),0)</f>
        <v>BANCOS</v>
      </c>
      <c r="X8" s="1" t="str">
        <f>IFERROR((_xlfn.XLOOKUP(Regcontabilizados[[#This Row],[Subcuenta]],Tabla11[Cuenta],Tabla11[Descripción],0)),0)</f>
        <v>Banco 1</v>
      </c>
      <c r="Y8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8" s="1" t="str">
        <f>_xlfn.XLOOKUP(Regcontabilizados[[#This Row],[Subcuenta]],Tabla11[Cuenta],Tabla11[TIPO],"")</f>
        <v>Activo Corriente</v>
      </c>
      <c r="AA8" s="1" t="str">
        <f>IFERROR((Regcontabilizados[[#This Row],[Subcuenta]]&amp;" "&amp;_xlfn.XLOOKUP(Regcontabilizados[[#This Row],[Subcuenta]],Tabla11[Cuenta],Tabla11[Descripción],0)),0)</f>
        <v>111005 Banco 1</v>
      </c>
      <c r="AB8" s="1" t="str">
        <f>IFERROR((VALUE(LEFT(Regcontabilizados[[#This Row],[Subcuenta]],2))&amp;" "&amp;_xlfn.XLOOKUP((VALUE(LEFT(Regcontabilizados[[#This Row],[Subcuenta]],2))),Tabla11[Cuenta],Tabla11[Descripción],0)),0)</f>
        <v>11 Efectivo y Equivalente al Efectivo</v>
      </c>
      <c r="AC8" s="1" t="str">
        <f>IFERROR((VALUE(LEFT(Regcontabilizados[[#This Row],[Subcuenta]],4))&amp;" "&amp;_xlfn.XLOOKUP((VALUE(LEFT(Regcontabilizados[[#This Row],[Subcuenta]],4))),Tabla11[Cuenta],Tabla11[Descripción],0)),0)</f>
        <v>1110 BANCOS</v>
      </c>
      <c r="AD8" s="1" t="str">
        <f>IF(Regcontabilizados[[#This Row],[Eliminado]]="si","",RegContabilizados2[[#This Row],[Estado de pago]])</f>
        <v>NO PAGADO</v>
      </c>
      <c r="AE8" s="1" t="str">
        <f>IF(Regcontabilizados[[#This Row],[Eliminado]]="si","",RegContabilizados2[[#This Row],[Colum. Aux. Estado]])</f>
        <v>Comp.Cont.2</v>
      </c>
      <c r="AF8" s="1">
        <f>IF(Regcontabilizados[[#This Row],[Eliminado]]="si","",RegContabilizados2[[#This Row],[Número de pago]])</f>
        <v>0</v>
      </c>
      <c r="AG8" s="1" t="str">
        <f>IF(Regcontabilizados[[#This Row],[Eliminado]]="si","",RegContabilizados2[[#This Row],[Elaborado por]])</f>
        <v>Responsable no especificado</v>
      </c>
      <c r="AH8" s="1" t="str">
        <f>IF(Regcontabilizados[[#This Row],[Eliminado]]="si","",RegContabilizados2[[#This Row],[Notas]])</f>
        <v>Pago de acciones</v>
      </c>
      <c r="AI8" s="1">
        <f>IF(Regcontabilizados[[#This Row],[Eliminado]]="si","",RegContabilizados2[[#This Row],[Método de pago]])</f>
        <v>0</v>
      </c>
      <c r="AJ8" s="1">
        <f>IF(Regcontabilizados[[#This Row],[Eliminado]]="si","",RegContabilizados2[[#This Row],[Cta. Bancaria]])</f>
        <v>0</v>
      </c>
      <c r="AO8" s="31">
        <v>45658</v>
      </c>
      <c r="AP8" s="31">
        <v>45658</v>
      </c>
      <c r="AQ8" s="3" t="s">
        <v>1360</v>
      </c>
      <c r="AR8" s="3">
        <v>2</v>
      </c>
      <c r="AS8" s="1" t="s">
        <v>1113</v>
      </c>
      <c r="AT8" s="1">
        <v>333333</v>
      </c>
      <c r="AV8" s="3" t="s">
        <v>848</v>
      </c>
      <c r="AW8" s="3" t="s">
        <v>1345</v>
      </c>
      <c r="AX8" s="3"/>
      <c r="AY8" s="3"/>
      <c r="AZ8" s="3"/>
      <c r="BC8" s="1">
        <v>111005</v>
      </c>
      <c r="BD8" s="1">
        <v>10000000</v>
      </c>
      <c r="BE8" s="1">
        <v>0</v>
      </c>
      <c r="BF8" s="1">
        <f>IFERROR((RegContabilizados2[[#This Row],[Debe]]-RegContabilizados2[[#This Row],[Haber]]),0)</f>
        <v>10000000</v>
      </c>
      <c r="BG8" s="1" t="str">
        <f>IFERROR((+_xlfn.XLOOKUP(RegContabilizados2[[#This Row],[Subcuenta]],Tabla11[Cuenta],Tabla11[Descripción],0)),0)</f>
        <v>Banco 1</v>
      </c>
      <c r="BH8" s="1" t="str">
        <f>IFERROR((VALUE(LEFT(RegContabilizados2[[#This Row],[Subcuenta]],2))&amp;" "&amp;_xlfn.XLOOKUP((VALUE(LEFT(RegContabilizados2[[#This Row],[Subcuenta]],2))),Tabla11[Cuenta],Tabla11[Descripción],0)),0)</f>
        <v>11 Efectivo y Equivalente al Efectivo</v>
      </c>
      <c r="BI8" s="1" t="str">
        <f>IFERROR((VALUE(LEFT(RegContabilizados2[[#This Row],[Subcuenta]],4))&amp;" "&amp;_xlfn.XLOOKUP((VALUE(LEFT(RegContabilizados2[[#This Row],[Subcuenta]],4))),Tabla11[Cuenta],Tabla11[Descripción],0)),0)</f>
        <v>1110 BANCOS</v>
      </c>
      <c r="BJ8" s="1" t="str">
        <f>IFERROR((RegContabilizados2[[#This Row],[Subcuenta]]&amp;" "&amp;_xlfn.XLOOKUP(RegContabilizados2[[#This Row],[Subcuenta]],Tabla11[Cuenta],Tabla11[Descripción],0)),0)</f>
        <v>111005 Banco 1</v>
      </c>
      <c r="BK8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8" s="1" t="str">
        <f>IFERROR(LEFT(RegContabilizados2[[#This Row],[Idenficador]],SEARCH("-",RegContabilizados2[[#This Row],[Idenficador]])-1),0)</f>
        <v>Comp.Cont.2</v>
      </c>
      <c r="BN8" s="1" t="s">
        <v>1169</v>
      </c>
      <c r="BO8" s="1" t="s">
        <v>1369</v>
      </c>
    </row>
    <row r="9" spans="4:69">
      <c r="D9" s="31">
        <f>IF(Regcontabilizados[[#This Row],[Eliminado]]="si","",RegContabilizados2[[#This Row],[fecha Factura]])</f>
        <v>45658</v>
      </c>
      <c r="E9" s="31">
        <f>IF(Regcontabilizados[[#This Row],[Eliminado]]="si","",RegContabilizados2[[#This Row],[Fecha vencimiento]])</f>
        <v>45658</v>
      </c>
      <c r="F9" s="3" t="str">
        <f>IF(Regcontabilizados[[#This Row],[Eliminado]]="si","",RegContabilizados2[[#This Row],[Idenficador]])</f>
        <v>Comp.Cont.2-3</v>
      </c>
      <c r="G9" s="3">
        <f>IF(Regcontabilizados[[#This Row],[Eliminado]]="si","",RegContabilizados2[[#This Row],[N° de factura/Pago]])</f>
        <v>2</v>
      </c>
      <c r="H9" s="1" t="str">
        <f>IF(Regcontabilizados[[#This Row],[Eliminado]]="si","",RegContabilizados2[[#This Row],[Tipo de Factura]])</f>
        <v>Comp.Cont.</v>
      </c>
      <c r="I9" s="1">
        <f>IF(Regcontabilizados[[#This Row],[Eliminado]]="si","",RegContabilizados2[[#This Row],[ID Cliente]])</f>
        <v>0</v>
      </c>
      <c r="J9" s="1">
        <f>IF(Regcontabilizados[[#This Row],[Eliminado]]="si","",RegContabilizados2[[#This Row],[ESTADO DEL IVA]])</f>
        <v>0</v>
      </c>
      <c r="K9" s="3">
        <f>IF(Regcontabilizados[[#This Row],[Eliminado]]="si","",RegContabilizados2[[#This Row],[ID Proveedor]])</f>
        <v>0</v>
      </c>
      <c r="L9" s="3">
        <f>IF(Regcontabilizados[[#This Row],[Eliminado]]="si","",RegContabilizados2[[#This Row],[Concepto]])</f>
        <v>0</v>
      </c>
      <c r="M9" s="3">
        <f>IF(Regcontabilizados[[#This Row],[Eliminado]]="si","",RegContabilizados2[[#This Row],[Categoría]])</f>
        <v>0</v>
      </c>
      <c r="N9" s="3">
        <f>IF(Regcontabilizados[[#This Row],[Eliminado]]="si","",RegContabilizados2[[#This Row],[Almacen]])</f>
        <v>0</v>
      </c>
      <c r="O9" s="3">
        <f>IF(Regcontabilizados[[#This Row],[Eliminado]]="si","",RegContabilizados2[[#This Row],[Tipo de movimiento]])</f>
        <v>0</v>
      </c>
      <c r="P9" s="1">
        <f>IF(Regcontabilizados[[#This Row],[Eliminado]]="si","",RegContabilizados2[[#This Row],[cantidad]])</f>
        <v>0</v>
      </c>
      <c r="Q9" s="1">
        <f>IF(Regcontabilizados[[#This Row],[Eliminado]]="si","",RegContabilizados2[[#This Row],[VR unitario]])</f>
        <v>0</v>
      </c>
      <c r="R9" s="1">
        <f>IF(Regcontabilizados[[#This Row],[Eliminado]]="si","",RegContabilizados2[[#This Row],[Subcuenta]])</f>
        <v>0</v>
      </c>
      <c r="S9" s="1">
        <f>IF(Regcontabilizados[[#This Row],[Eliminado]]="si","",RegContabilizados2[[#This Row],[Debe]])</f>
        <v>0</v>
      </c>
      <c r="T9" s="1">
        <f>IF(Regcontabilizados[[#This Row],[Eliminado]]="si","",RegContabilizados2[[#This Row],[Haber]])</f>
        <v>0</v>
      </c>
      <c r="U9" s="1">
        <f>IFERROR((Regcontabilizados[[#This Row],[Debe]]-Regcontabilizados[[#This Row],[Haber]]),0)</f>
        <v>0</v>
      </c>
      <c r="V9" s="1">
        <f>IFERROR((+_xlfn.XLOOKUP(Regcontabilizados[[#This Row],[Subcuenta]],Tabla11[Cuenta],Tabla11[Descripción],0)),0)</f>
        <v>0</v>
      </c>
      <c r="W9" s="1">
        <f>IFERROR((_xlfn.XLOOKUP((VALUE(LEFT(Regcontabilizados[[#This Row],[Subcuenta]],4))),Tabla11[Cuenta],Tabla11[Descripción],0)),0)</f>
        <v>0</v>
      </c>
      <c r="X9" s="1">
        <f>IFERROR((_xlfn.XLOOKUP(Regcontabilizados[[#This Row],[Subcuenta]],Tabla11[Cuenta],Tabla11[Descripción],0)),0)</f>
        <v>0</v>
      </c>
      <c r="Y9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9" s="1" t="str">
        <f>_xlfn.XLOOKUP(Regcontabilizados[[#This Row],[Subcuenta]],Tabla11[Cuenta],Tabla11[TIPO],"")</f>
        <v/>
      </c>
      <c r="AA9" s="1" t="str">
        <f>IFERROR((Regcontabilizados[[#This Row],[Subcuenta]]&amp;" "&amp;_xlfn.XLOOKUP(Regcontabilizados[[#This Row],[Subcuenta]],Tabla11[Cuenta],Tabla11[Descripción],0)),0)</f>
        <v>0 0</v>
      </c>
      <c r="AB9" s="1" t="str">
        <f>IFERROR((VALUE(LEFT(Regcontabilizados[[#This Row],[Subcuenta]],2))&amp;" "&amp;_xlfn.XLOOKUP((VALUE(LEFT(Regcontabilizados[[#This Row],[Subcuenta]],2))),Tabla11[Cuenta],Tabla11[Descripción],0)),0)</f>
        <v>0 0</v>
      </c>
      <c r="AC9" s="1" t="str">
        <f>IFERROR((VALUE(LEFT(Regcontabilizados[[#This Row],[Subcuenta]],4))&amp;" "&amp;_xlfn.XLOOKUP((VALUE(LEFT(Regcontabilizados[[#This Row],[Subcuenta]],4))),Tabla11[Cuenta],Tabla11[Descripción],0)),0)</f>
        <v>0 0</v>
      </c>
      <c r="AD9" s="1" t="str">
        <f>IF(Regcontabilizados[[#This Row],[Eliminado]]="si","",RegContabilizados2[[#This Row],[Estado de pago]])</f>
        <v>PAGADO</v>
      </c>
      <c r="AE9" s="1" t="str">
        <f>IF(Regcontabilizados[[#This Row],[Eliminado]]="si","",RegContabilizados2[[#This Row],[Colum. Aux. Estado]])</f>
        <v>Comp.Cont.2</v>
      </c>
      <c r="AF9" s="1">
        <f>IF(Regcontabilizados[[#This Row],[Eliminado]]="si","",RegContabilizados2[[#This Row],[Número de pago]])</f>
        <v>0</v>
      </c>
      <c r="AG9" s="1" t="str">
        <f>IF(Regcontabilizados[[#This Row],[Eliminado]]="si","",RegContabilizados2[[#This Row],[Elaborado por]])</f>
        <v>Responsable no especificado</v>
      </c>
      <c r="AH9" s="1" t="str">
        <f>IF(Regcontabilizados[[#This Row],[Eliminado]]="si","",RegContabilizados2[[#This Row],[Notas]])</f>
        <v>Pago de acciones</v>
      </c>
      <c r="AI9" s="1">
        <f>IF(Regcontabilizados[[#This Row],[Eliminado]]="si","",RegContabilizados2[[#This Row],[Método de pago]])</f>
        <v>0</v>
      </c>
      <c r="AJ9" s="1">
        <f>IF(Regcontabilizados[[#This Row],[Eliminado]]="si","",RegContabilizados2[[#This Row],[Cta. Bancaria]])</f>
        <v>0</v>
      </c>
      <c r="AO9" s="31">
        <v>45658</v>
      </c>
      <c r="AP9" s="31">
        <v>45658</v>
      </c>
      <c r="AQ9" s="3" t="s">
        <v>1361</v>
      </c>
      <c r="AR9" s="3">
        <v>2</v>
      </c>
      <c r="AS9" s="1" t="s">
        <v>1113</v>
      </c>
      <c r="AT9" s="1">
        <v>0</v>
      </c>
      <c r="AV9" s="3">
        <v>0</v>
      </c>
      <c r="AW9" s="3"/>
      <c r="AX9" s="3"/>
      <c r="AY9" s="3"/>
      <c r="AZ9" s="3"/>
      <c r="BC9" s="1">
        <v>0</v>
      </c>
      <c r="BD9" s="1">
        <v>0</v>
      </c>
      <c r="BE9" s="1">
        <v>0</v>
      </c>
      <c r="BF9" s="1">
        <f>IFERROR((RegContabilizados2[[#This Row],[Debe]]-RegContabilizados2[[#This Row],[Haber]]),0)</f>
        <v>0</v>
      </c>
      <c r="BG9" s="1">
        <f>IFERROR((+_xlfn.XLOOKUP(RegContabilizados2[[#This Row],[Subcuenta]],Tabla11[Cuenta],Tabla11[Descripción],0)),0)</f>
        <v>0</v>
      </c>
      <c r="BH9" s="1" t="str">
        <f>IFERROR((VALUE(LEFT(RegContabilizados2[[#This Row],[Subcuenta]],2))&amp;" "&amp;_xlfn.XLOOKUP((VALUE(LEFT(RegContabilizados2[[#This Row],[Subcuenta]],2))),Tabla11[Cuenta],Tabla11[Descripción],0)),0)</f>
        <v>0 0</v>
      </c>
      <c r="BI9" s="1" t="str">
        <f>IFERROR((VALUE(LEFT(RegContabilizados2[[#This Row],[Subcuenta]],4))&amp;" "&amp;_xlfn.XLOOKUP((VALUE(LEFT(RegContabilizados2[[#This Row],[Subcuenta]],4))),Tabla11[Cuenta],Tabla11[Descripción],0)),0)</f>
        <v>0 0</v>
      </c>
      <c r="BJ9" s="1" t="str">
        <f>IFERROR((RegContabilizados2[[#This Row],[Subcuenta]]&amp;" "&amp;_xlfn.XLOOKUP(RegContabilizados2[[#This Row],[Subcuenta]],Tabla11[Cuenta],Tabla11[Descripción],0)),0)</f>
        <v>0 0</v>
      </c>
      <c r="BK9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PAGADO</v>
      </c>
      <c r="BL9" s="1" t="str">
        <f>IFERROR(LEFT(RegContabilizados2[[#This Row],[Idenficador]],SEARCH("-",RegContabilizados2[[#This Row],[Idenficador]])-1),0)</f>
        <v>Comp.Cont.2</v>
      </c>
      <c r="BN9" s="1" t="s">
        <v>1169</v>
      </c>
      <c r="BO9" s="1" t="s">
        <v>1369</v>
      </c>
    </row>
    <row r="10" spans="4:69">
      <c r="D10" s="31">
        <f>IF(Regcontabilizados[[#This Row],[Eliminado]]="si","",RegContabilizados2[[#This Row],[fecha Factura]])</f>
        <v>45658</v>
      </c>
      <c r="E10" s="31">
        <f>IF(Regcontabilizados[[#This Row],[Eliminado]]="si","",RegContabilizados2[[#This Row],[Fecha vencimiento]])</f>
        <v>45658</v>
      </c>
      <c r="F10" s="3" t="str">
        <f>IF(Regcontabilizados[[#This Row],[Eliminado]]="si","",RegContabilizados2[[#This Row],[Idenficador]])</f>
        <v>Comp.Cont.2-4</v>
      </c>
      <c r="G10" s="3">
        <f>IF(Regcontabilizados[[#This Row],[Eliminado]]="si","",RegContabilizados2[[#This Row],[N° de factura/Pago]])</f>
        <v>2</v>
      </c>
      <c r="H10" s="1" t="str">
        <f>IF(Regcontabilizados[[#This Row],[Eliminado]]="si","",RegContabilizados2[[#This Row],[Tipo de Factura]])</f>
        <v>Comp.Cont.</v>
      </c>
      <c r="I10" s="1">
        <f>IF(Regcontabilizados[[#This Row],[Eliminado]]="si","",RegContabilizados2[[#This Row],[ID Cliente]])</f>
        <v>0</v>
      </c>
      <c r="J10" s="1">
        <f>IF(Regcontabilizados[[#This Row],[Eliminado]]="si","",RegContabilizados2[[#This Row],[ESTADO DEL IVA]])</f>
        <v>0</v>
      </c>
      <c r="K10" s="3">
        <f>IF(Regcontabilizados[[#This Row],[Eliminado]]="si","",RegContabilizados2[[#This Row],[ID Proveedor]])</f>
        <v>0</v>
      </c>
      <c r="L10" s="3">
        <f>IF(Regcontabilizados[[#This Row],[Eliminado]]="si","",RegContabilizados2[[#This Row],[Concepto]])</f>
        <v>0</v>
      </c>
      <c r="M10" s="3">
        <f>IF(Regcontabilizados[[#This Row],[Eliminado]]="si","",RegContabilizados2[[#This Row],[Categoría]])</f>
        <v>0</v>
      </c>
      <c r="N10" s="3">
        <f>IF(Regcontabilizados[[#This Row],[Eliminado]]="si","",RegContabilizados2[[#This Row],[Almacen]])</f>
        <v>0</v>
      </c>
      <c r="O10" s="3">
        <f>IF(Regcontabilizados[[#This Row],[Eliminado]]="si","",RegContabilizados2[[#This Row],[Tipo de movimiento]])</f>
        <v>0</v>
      </c>
      <c r="P10" s="1">
        <f>IF(Regcontabilizados[[#This Row],[Eliminado]]="si","",RegContabilizados2[[#This Row],[cantidad]])</f>
        <v>0</v>
      </c>
      <c r="Q10" s="1">
        <f>IF(Regcontabilizados[[#This Row],[Eliminado]]="si","",RegContabilizados2[[#This Row],[VR unitario]])</f>
        <v>0</v>
      </c>
      <c r="R10" s="1">
        <f>IF(Regcontabilizados[[#This Row],[Eliminado]]="si","",RegContabilizados2[[#This Row],[Subcuenta]])</f>
        <v>0</v>
      </c>
      <c r="S10" s="1">
        <f>IF(Regcontabilizados[[#This Row],[Eliminado]]="si","",RegContabilizados2[[#This Row],[Debe]])</f>
        <v>0</v>
      </c>
      <c r="T10" s="1">
        <f>IF(Regcontabilizados[[#This Row],[Eliminado]]="si","",RegContabilizados2[[#This Row],[Haber]])</f>
        <v>0</v>
      </c>
      <c r="U10" s="1">
        <f>IFERROR((Regcontabilizados[[#This Row],[Debe]]-Regcontabilizados[[#This Row],[Haber]]),0)</f>
        <v>0</v>
      </c>
      <c r="V10" s="1">
        <f>IFERROR((+_xlfn.XLOOKUP(Regcontabilizados[[#This Row],[Subcuenta]],Tabla11[Cuenta],Tabla11[Descripción],0)),0)</f>
        <v>0</v>
      </c>
      <c r="W10" s="1">
        <f>IFERROR((_xlfn.XLOOKUP((VALUE(LEFT(Regcontabilizados[[#This Row],[Subcuenta]],4))),Tabla11[Cuenta],Tabla11[Descripción],0)),0)</f>
        <v>0</v>
      </c>
      <c r="X10" s="1">
        <f>IFERROR((_xlfn.XLOOKUP(Regcontabilizados[[#This Row],[Subcuenta]],Tabla11[Cuenta],Tabla11[Descripción],0)),0)</f>
        <v>0</v>
      </c>
      <c r="Y10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10" s="1" t="str">
        <f>_xlfn.XLOOKUP(Regcontabilizados[[#This Row],[Subcuenta]],Tabla11[Cuenta],Tabla11[TIPO],"")</f>
        <v/>
      </c>
      <c r="AA10" s="1" t="str">
        <f>IFERROR((Regcontabilizados[[#This Row],[Subcuenta]]&amp;" "&amp;_xlfn.XLOOKUP(Regcontabilizados[[#This Row],[Subcuenta]],Tabla11[Cuenta],Tabla11[Descripción],0)),0)</f>
        <v>0 0</v>
      </c>
      <c r="AB10" s="1" t="str">
        <f>IFERROR((VALUE(LEFT(Regcontabilizados[[#This Row],[Subcuenta]],2))&amp;" "&amp;_xlfn.XLOOKUP((VALUE(LEFT(Regcontabilizados[[#This Row],[Subcuenta]],2))),Tabla11[Cuenta],Tabla11[Descripción],0)),0)</f>
        <v>0 0</v>
      </c>
      <c r="AC10" s="1" t="str">
        <f>IFERROR((VALUE(LEFT(Regcontabilizados[[#This Row],[Subcuenta]],4))&amp;" "&amp;_xlfn.XLOOKUP((VALUE(LEFT(Regcontabilizados[[#This Row],[Subcuenta]],4))),Tabla11[Cuenta],Tabla11[Descripción],0)),0)</f>
        <v>0 0</v>
      </c>
      <c r="AD10" s="1" t="str">
        <f>IF(Regcontabilizados[[#This Row],[Eliminado]]="si","",RegContabilizados2[[#This Row],[Estado de pago]])</f>
        <v>PAGADO</v>
      </c>
      <c r="AE10" s="1" t="str">
        <f>IF(Regcontabilizados[[#This Row],[Eliminado]]="si","",RegContabilizados2[[#This Row],[Colum. Aux. Estado]])</f>
        <v>Comp.Cont.2</v>
      </c>
      <c r="AF10" s="1">
        <f>IF(Regcontabilizados[[#This Row],[Eliminado]]="si","",RegContabilizados2[[#This Row],[Número de pago]])</f>
        <v>0</v>
      </c>
      <c r="AG10" s="1" t="str">
        <f>IF(Regcontabilizados[[#This Row],[Eliminado]]="si","",RegContabilizados2[[#This Row],[Elaborado por]])</f>
        <v>Responsable no especificado</v>
      </c>
      <c r="AH10" s="1" t="str">
        <f>IF(Regcontabilizados[[#This Row],[Eliminado]]="si","",RegContabilizados2[[#This Row],[Notas]])</f>
        <v>Pago de acciones</v>
      </c>
      <c r="AI10" s="1">
        <f>IF(Regcontabilizados[[#This Row],[Eliminado]]="si","",RegContabilizados2[[#This Row],[Método de pago]])</f>
        <v>0</v>
      </c>
      <c r="AJ10" s="1">
        <f>IF(Regcontabilizados[[#This Row],[Eliminado]]="si","",RegContabilizados2[[#This Row],[Cta. Bancaria]])</f>
        <v>0</v>
      </c>
      <c r="AO10" s="31">
        <v>45658</v>
      </c>
      <c r="AP10" s="31">
        <v>45658</v>
      </c>
      <c r="AQ10" s="3" t="s">
        <v>1362</v>
      </c>
      <c r="AR10" s="3">
        <v>2</v>
      </c>
      <c r="AS10" s="1" t="s">
        <v>1113</v>
      </c>
      <c r="AT10" s="1">
        <v>0</v>
      </c>
      <c r="AV10" s="3">
        <v>0</v>
      </c>
      <c r="AW10" s="3"/>
      <c r="AX10" s="3"/>
      <c r="AY10" s="3"/>
      <c r="AZ10" s="3"/>
      <c r="BC10" s="1">
        <v>0</v>
      </c>
      <c r="BD10" s="1">
        <v>0</v>
      </c>
      <c r="BE10" s="1">
        <v>0</v>
      </c>
      <c r="BF10" s="1">
        <f>IFERROR((RegContabilizados2[[#This Row],[Debe]]-RegContabilizados2[[#This Row],[Haber]]),0)</f>
        <v>0</v>
      </c>
      <c r="BG10" s="1">
        <f>IFERROR((+_xlfn.XLOOKUP(RegContabilizados2[[#This Row],[Subcuenta]],Tabla11[Cuenta],Tabla11[Descripción],0)),0)</f>
        <v>0</v>
      </c>
      <c r="BH10" s="1" t="str">
        <f>IFERROR((VALUE(LEFT(RegContabilizados2[[#This Row],[Subcuenta]],2))&amp;" "&amp;_xlfn.XLOOKUP((VALUE(LEFT(RegContabilizados2[[#This Row],[Subcuenta]],2))),Tabla11[Cuenta],Tabla11[Descripción],0)),0)</f>
        <v>0 0</v>
      </c>
      <c r="BI10" s="1" t="str">
        <f>IFERROR((VALUE(LEFT(RegContabilizados2[[#This Row],[Subcuenta]],4))&amp;" "&amp;_xlfn.XLOOKUP((VALUE(LEFT(RegContabilizados2[[#This Row],[Subcuenta]],4))),Tabla11[Cuenta],Tabla11[Descripción],0)),0)</f>
        <v>0 0</v>
      </c>
      <c r="BJ10" s="1" t="str">
        <f>IFERROR((RegContabilizados2[[#This Row],[Subcuenta]]&amp;" "&amp;_xlfn.XLOOKUP(RegContabilizados2[[#This Row],[Subcuenta]],Tabla11[Cuenta],Tabla11[Descripción],0)),0)</f>
        <v>0 0</v>
      </c>
      <c r="BK10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PAGADO</v>
      </c>
      <c r="BL10" s="1" t="str">
        <f>IFERROR(LEFT(RegContabilizados2[[#This Row],[Idenficador]],SEARCH("-",RegContabilizados2[[#This Row],[Idenficador]])-1),0)</f>
        <v>Comp.Cont.2</v>
      </c>
      <c r="BN10" s="1" t="s">
        <v>1169</v>
      </c>
      <c r="BO10" s="1" t="s">
        <v>1369</v>
      </c>
    </row>
    <row r="11" spans="4:69">
      <c r="D11" s="31">
        <f>IF(Regcontabilizados[[#This Row],[Eliminado]]="si","",RegContabilizados2[[#This Row],[fecha Factura]])</f>
        <v>45658</v>
      </c>
      <c r="E11" s="31">
        <f>IF(Regcontabilizados[[#This Row],[Eliminado]]="si","",RegContabilizados2[[#This Row],[Fecha vencimiento]])</f>
        <v>45658</v>
      </c>
      <c r="F11" s="3" t="str">
        <f>IF(Regcontabilizados[[#This Row],[Eliminado]]="si","",RegContabilizados2[[#This Row],[Idenficador]])</f>
        <v>Comp.Cont.2-5</v>
      </c>
      <c r="G11" s="3">
        <f>IF(Regcontabilizados[[#This Row],[Eliminado]]="si","",RegContabilizados2[[#This Row],[N° de factura/Pago]])</f>
        <v>2</v>
      </c>
      <c r="H11" s="1" t="str">
        <f>IF(Regcontabilizados[[#This Row],[Eliminado]]="si","",RegContabilizados2[[#This Row],[Tipo de Factura]])</f>
        <v>Comp.Cont.</v>
      </c>
      <c r="I11" s="1">
        <f>IF(Regcontabilizados[[#This Row],[Eliminado]]="si","",RegContabilizados2[[#This Row],[ID Cliente]])</f>
        <v>0</v>
      </c>
      <c r="J11" s="1">
        <f>IF(Regcontabilizados[[#This Row],[Eliminado]]="si","",RegContabilizados2[[#This Row],[ESTADO DEL IVA]])</f>
        <v>0</v>
      </c>
      <c r="K11" s="3">
        <f>IF(Regcontabilizados[[#This Row],[Eliminado]]="si","",RegContabilizados2[[#This Row],[ID Proveedor]])</f>
        <v>0</v>
      </c>
      <c r="L11" s="3">
        <f>IF(Regcontabilizados[[#This Row],[Eliminado]]="si","",RegContabilizados2[[#This Row],[Concepto]])</f>
        <v>0</v>
      </c>
      <c r="M11" s="3">
        <f>IF(Regcontabilizados[[#This Row],[Eliminado]]="si","",RegContabilizados2[[#This Row],[Categoría]])</f>
        <v>0</v>
      </c>
      <c r="N11" s="3">
        <f>IF(Regcontabilizados[[#This Row],[Eliminado]]="si","",RegContabilizados2[[#This Row],[Almacen]])</f>
        <v>0</v>
      </c>
      <c r="O11" s="3">
        <f>IF(Regcontabilizados[[#This Row],[Eliminado]]="si","",RegContabilizados2[[#This Row],[Tipo de movimiento]])</f>
        <v>0</v>
      </c>
      <c r="P11" s="1">
        <f>IF(Regcontabilizados[[#This Row],[Eliminado]]="si","",RegContabilizados2[[#This Row],[cantidad]])</f>
        <v>0</v>
      </c>
      <c r="Q11" s="1">
        <f>IF(Regcontabilizados[[#This Row],[Eliminado]]="si","",RegContabilizados2[[#This Row],[VR unitario]])</f>
        <v>0</v>
      </c>
      <c r="R11" s="1">
        <f>IF(Regcontabilizados[[#This Row],[Eliminado]]="si","",RegContabilizados2[[#This Row],[Subcuenta]])</f>
        <v>0</v>
      </c>
      <c r="S11" s="1">
        <f>IF(Regcontabilizados[[#This Row],[Eliminado]]="si","",RegContabilizados2[[#This Row],[Debe]])</f>
        <v>0</v>
      </c>
      <c r="T11" s="1">
        <f>IF(Regcontabilizados[[#This Row],[Eliminado]]="si","",RegContabilizados2[[#This Row],[Haber]])</f>
        <v>0</v>
      </c>
      <c r="U11" s="1">
        <f>IFERROR((Regcontabilizados[[#This Row],[Debe]]-Regcontabilizados[[#This Row],[Haber]]),0)</f>
        <v>0</v>
      </c>
      <c r="V11" s="1">
        <f>IFERROR((+_xlfn.XLOOKUP(Regcontabilizados[[#This Row],[Subcuenta]],Tabla11[Cuenta],Tabla11[Descripción],0)),0)</f>
        <v>0</v>
      </c>
      <c r="W11" s="1">
        <f>IFERROR((_xlfn.XLOOKUP((VALUE(LEFT(Regcontabilizados[[#This Row],[Subcuenta]],4))),Tabla11[Cuenta],Tabla11[Descripción],0)),0)</f>
        <v>0</v>
      </c>
      <c r="X11" s="1">
        <f>IFERROR((_xlfn.XLOOKUP(Regcontabilizados[[#This Row],[Subcuenta]],Tabla11[Cuenta],Tabla11[Descripción],0)),0)</f>
        <v>0</v>
      </c>
      <c r="Y11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11" s="1" t="str">
        <f>_xlfn.XLOOKUP(Regcontabilizados[[#This Row],[Subcuenta]],Tabla11[Cuenta],Tabla11[TIPO],"")</f>
        <v/>
      </c>
      <c r="AA11" s="1" t="str">
        <f>IFERROR((Regcontabilizados[[#This Row],[Subcuenta]]&amp;" "&amp;_xlfn.XLOOKUP(Regcontabilizados[[#This Row],[Subcuenta]],Tabla11[Cuenta],Tabla11[Descripción],0)),0)</f>
        <v>0 0</v>
      </c>
      <c r="AB11" s="1" t="str">
        <f>IFERROR((VALUE(LEFT(Regcontabilizados[[#This Row],[Subcuenta]],2))&amp;" "&amp;_xlfn.XLOOKUP((VALUE(LEFT(Regcontabilizados[[#This Row],[Subcuenta]],2))),Tabla11[Cuenta],Tabla11[Descripción],0)),0)</f>
        <v>0 0</v>
      </c>
      <c r="AC11" s="1" t="str">
        <f>IFERROR((VALUE(LEFT(Regcontabilizados[[#This Row],[Subcuenta]],4))&amp;" "&amp;_xlfn.XLOOKUP((VALUE(LEFT(Regcontabilizados[[#This Row],[Subcuenta]],4))),Tabla11[Cuenta],Tabla11[Descripción],0)),0)</f>
        <v>0 0</v>
      </c>
      <c r="AD11" s="1" t="str">
        <f>IF(Regcontabilizados[[#This Row],[Eliminado]]="si","",RegContabilizados2[[#This Row],[Estado de pago]])</f>
        <v>PAGADO</v>
      </c>
      <c r="AE11" s="1" t="str">
        <f>IF(Regcontabilizados[[#This Row],[Eliminado]]="si","",RegContabilizados2[[#This Row],[Colum. Aux. Estado]])</f>
        <v>Comp.Cont.2</v>
      </c>
      <c r="AF11" s="1">
        <f>IF(Regcontabilizados[[#This Row],[Eliminado]]="si","",RegContabilizados2[[#This Row],[Número de pago]])</f>
        <v>0</v>
      </c>
      <c r="AG11" s="1" t="str">
        <f>IF(Regcontabilizados[[#This Row],[Eliminado]]="si","",RegContabilizados2[[#This Row],[Elaborado por]])</f>
        <v>Responsable no especificado</v>
      </c>
      <c r="AH11" s="1" t="str">
        <f>IF(Regcontabilizados[[#This Row],[Eliminado]]="si","",RegContabilizados2[[#This Row],[Notas]])</f>
        <v>Pago de acciones</v>
      </c>
      <c r="AI11" s="1">
        <f>IF(Regcontabilizados[[#This Row],[Eliminado]]="si","",RegContabilizados2[[#This Row],[Método de pago]])</f>
        <v>0</v>
      </c>
      <c r="AJ11" s="1">
        <f>IF(Regcontabilizados[[#This Row],[Eliminado]]="si","",RegContabilizados2[[#This Row],[Cta. Bancaria]])</f>
        <v>0</v>
      </c>
      <c r="AO11" s="31">
        <v>45658</v>
      </c>
      <c r="AP11" s="31">
        <v>45658</v>
      </c>
      <c r="AQ11" s="3" t="s">
        <v>1363</v>
      </c>
      <c r="AR11" s="3">
        <v>2</v>
      </c>
      <c r="AS11" s="1" t="s">
        <v>1113</v>
      </c>
      <c r="AT11" s="1">
        <v>0</v>
      </c>
      <c r="AV11" s="3">
        <v>0</v>
      </c>
      <c r="AW11" s="3"/>
      <c r="AX11" s="3"/>
      <c r="AY11" s="3"/>
      <c r="AZ11" s="3"/>
      <c r="BC11" s="1">
        <v>0</v>
      </c>
      <c r="BD11" s="1">
        <v>0</v>
      </c>
      <c r="BE11" s="1">
        <v>0</v>
      </c>
      <c r="BF11" s="1">
        <f>IFERROR((RegContabilizados2[[#This Row],[Debe]]-RegContabilizados2[[#This Row],[Haber]]),0)</f>
        <v>0</v>
      </c>
      <c r="BG11" s="1">
        <f>IFERROR((+_xlfn.XLOOKUP(RegContabilizados2[[#This Row],[Subcuenta]],Tabla11[Cuenta],Tabla11[Descripción],0)),0)</f>
        <v>0</v>
      </c>
      <c r="BH11" s="1" t="str">
        <f>IFERROR((VALUE(LEFT(RegContabilizados2[[#This Row],[Subcuenta]],2))&amp;" "&amp;_xlfn.XLOOKUP((VALUE(LEFT(RegContabilizados2[[#This Row],[Subcuenta]],2))),Tabla11[Cuenta],Tabla11[Descripción],0)),0)</f>
        <v>0 0</v>
      </c>
      <c r="BI11" s="1" t="str">
        <f>IFERROR((VALUE(LEFT(RegContabilizados2[[#This Row],[Subcuenta]],4))&amp;" "&amp;_xlfn.XLOOKUP((VALUE(LEFT(RegContabilizados2[[#This Row],[Subcuenta]],4))),Tabla11[Cuenta],Tabla11[Descripción],0)),0)</f>
        <v>0 0</v>
      </c>
      <c r="BJ11" s="1" t="str">
        <f>IFERROR((RegContabilizados2[[#This Row],[Subcuenta]]&amp;" "&amp;_xlfn.XLOOKUP(RegContabilizados2[[#This Row],[Subcuenta]],Tabla11[Cuenta],Tabla11[Descripción],0)),0)</f>
        <v>0 0</v>
      </c>
      <c r="BK11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PAGADO</v>
      </c>
      <c r="BL11" s="1" t="str">
        <f>IFERROR(LEFT(RegContabilizados2[[#This Row],[Idenficador]],SEARCH("-",RegContabilizados2[[#This Row],[Idenficador]])-1),0)</f>
        <v>Comp.Cont.2</v>
      </c>
      <c r="BN11" s="1" t="s">
        <v>1169</v>
      </c>
      <c r="BO11" s="1" t="s">
        <v>1369</v>
      </c>
    </row>
    <row r="12" spans="4:69">
      <c r="D12" s="31">
        <f>IF(Regcontabilizados[[#This Row],[Eliminado]]="si","",RegContabilizados2[[#This Row],[fecha Factura]])</f>
        <v>45658</v>
      </c>
      <c r="E12" s="31">
        <f>IF(Regcontabilizados[[#This Row],[Eliminado]]="si","",RegContabilizados2[[#This Row],[Fecha vencimiento]])</f>
        <v>45658</v>
      </c>
      <c r="F12" s="3" t="str">
        <f>IF(Regcontabilizados[[#This Row],[Eliminado]]="si","",RegContabilizados2[[#This Row],[Idenficador]])</f>
        <v>Comp.Cont.2-6</v>
      </c>
      <c r="G12" s="3">
        <f>IF(Regcontabilizados[[#This Row],[Eliminado]]="si","",RegContabilizados2[[#This Row],[N° de factura/Pago]])</f>
        <v>2</v>
      </c>
      <c r="H12" s="1" t="str">
        <f>IF(Regcontabilizados[[#This Row],[Eliminado]]="si","",RegContabilizados2[[#This Row],[Tipo de Factura]])</f>
        <v>Comp.Cont.</v>
      </c>
      <c r="I12" s="1">
        <f>IF(Regcontabilizados[[#This Row],[Eliminado]]="si","",RegContabilizados2[[#This Row],[ID Cliente]])</f>
        <v>0</v>
      </c>
      <c r="J12" s="1">
        <f>IF(Regcontabilizados[[#This Row],[Eliminado]]="si","",RegContabilizados2[[#This Row],[ESTADO DEL IVA]])</f>
        <v>0</v>
      </c>
      <c r="K12" s="3">
        <f>IF(Regcontabilizados[[#This Row],[Eliminado]]="si","",RegContabilizados2[[#This Row],[ID Proveedor]])</f>
        <v>0</v>
      </c>
      <c r="L12" s="3">
        <f>IF(Regcontabilizados[[#This Row],[Eliminado]]="si","",RegContabilizados2[[#This Row],[Concepto]])</f>
        <v>0</v>
      </c>
      <c r="M12" s="3">
        <f>IF(Regcontabilizados[[#This Row],[Eliminado]]="si","",RegContabilizados2[[#This Row],[Categoría]])</f>
        <v>0</v>
      </c>
      <c r="N12" s="3">
        <f>IF(Regcontabilizados[[#This Row],[Eliminado]]="si","",RegContabilizados2[[#This Row],[Almacen]])</f>
        <v>0</v>
      </c>
      <c r="O12" s="3">
        <f>IF(Regcontabilizados[[#This Row],[Eliminado]]="si","",RegContabilizados2[[#This Row],[Tipo de movimiento]])</f>
        <v>0</v>
      </c>
      <c r="P12" s="1">
        <f>IF(Regcontabilizados[[#This Row],[Eliminado]]="si","",RegContabilizados2[[#This Row],[cantidad]])</f>
        <v>0</v>
      </c>
      <c r="Q12" s="1">
        <f>IF(Regcontabilizados[[#This Row],[Eliminado]]="si","",RegContabilizados2[[#This Row],[VR unitario]])</f>
        <v>0</v>
      </c>
      <c r="R12" s="1">
        <f>IF(Regcontabilizados[[#This Row],[Eliminado]]="si","",RegContabilizados2[[#This Row],[Subcuenta]])</f>
        <v>0</v>
      </c>
      <c r="S12" s="1">
        <f>IF(Regcontabilizados[[#This Row],[Eliminado]]="si","",RegContabilizados2[[#This Row],[Debe]])</f>
        <v>0</v>
      </c>
      <c r="T12" s="1">
        <f>IF(Regcontabilizados[[#This Row],[Eliminado]]="si","",RegContabilizados2[[#This Row],[Haber]])</f>
        <v>0</v>
      </c>
      <c r="U12" s="1">
        <f>IFERROR((Regcontabilizados[[#This Row],[Debe]]-Regcontabilizados[[#This Row],[Haber]]),0)</f>
        <v>0</v>
      </c>
      <c r="V12" s="1">
        <f>IFERROR((+_xlfn.XLOOKUP(Regcontabilizados[[#This Row],[Subcuenta]],Tabla11[Cuenta],Tabla11[Descripción],0)),0)</f>
        <v>0</v>
      </c>
      <c r="W12" s="1">
        <f>IFERROR((_xlfn.XLOOKUP((VALUE(LEFT(Regcontabilizados[[#This Row],[Subcuenta]],4))),Tabla11[Cuenta],Tabla11[Descripción],0)),0)</f>
        <v>0</v>
      </c>
      <c r="X12" s="1">
        <f>IFERROR((_xlfn.XLOOKUP(Regcontabilizados[[#This Row],[Subcuenta]],Tabla11[Cuenta],Tabla11[Descripción],0)),0)</f>
        <v>0</v>
      </c>
      <c r="Y12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12" s="1" t="str">
        <f>_xlfn.XLOOKUP(Regcontabilizados[[#This Row],[Subcuenta]],Tabla11[Cuenta],Tabla11[TIPO],"")</f>
        <v/>
      </c>
      <c r="AA12" s="1" t="str">
        <f>IFERROR((Regcontabilizados[[#This Row],[Subcuenta]]&amp;" "&amp;_xlfn.XLOOKUP(Regcontabilizados[[#This Row],[Subcuenta]],Tabla11[Cuenta],Tabla11[Descripción],0)),0)</f>
        <v>0 0</v>
      </c>
      <c r="AB12" s="1" t="str">
        <f>IFERROR((VALUE(LEFT(Regcontabilizados[[#This Row],[Subcuenta]],2))&amp;" "&amp;_xlfn.XLOOKUP((VALUE(LEFT(Regcontabilizados[[#This Row],[Subcuenta]],2))),Tabla11[Cuenta],Tabla11[Descripción],0)),0)</f>
        <v>0 0</v>
      </c>
      <c r="AC12" s="1" t="str">
        <f>IFERROR((VALUE(LEFT(Regcontabilizados[[#This Row],[Subcuenta]],4))&amp;" "&amp;_xlfn.XLOOKUP((VALUE(LEFT(Regcontabilizados[[#This Row],[Subcuenta]],4))),Tabla11[Cuenta],Tabla11[Descripción],0)),0)</f>
        <v>0 0</v>
      </c>
      <c r="AD12" s="1" t="str">
        <f>IF(Regcontabilizados[[#This Row],[Eliminado]]="si","",RegContabilizados2[[#This Row],[Estado de pago]])</f>
        <v>PAGADO</v>
      </c>
      <c r="AE12" s="1" t="str">
        <f>IF(Regcontabilizados[[#This Row],[Eliminado]]="si","",RegContabilizados2[[#This Row],[Colum. Aux. Estado]])</f>
        <v>Comp.Cont.2</v>
      </c>
      <c r="AF12" s="1">
        <f>IF(Regcontabilizados[[#This Row],[Eliminado]]="si","",RegContabilizados2[[#This Row],[Número de pago]])</f>
        <v>0</v>
      </c>
      <c r="AG12" s="1" t="str">
        <f>IF(Regcontabilizados[[#This Row],[Eliminado]]="si","",RegContabilizados2[[#This Row],[Elaborado por]])</f>
        <v>Responsable no especificado</v>
      </c>
      <c r="AH12" s="1" t="str">
        <f>IF(Regcontabilizados[[#This Row],[Eliminado]]="si","",RegContabilizados2[[#This Row],[Notas]])</f>
        <v>Pago de acciones</v>
      </c>
      <c r="AI12" s="1">
        <f>IF(Regcontabilizados[[#This Row],[Eliminado]]="si","",RegContabilizados2[[#This Row],[Método de pago]])</f>
        <v>0</v>
      </c>
      <c r="AJ12" s="1">
        <f>IF(Regcontabilizados[[#This Row],[Eliminado]]="si","",RegContabilizados2[[#This Row],[Cta. Bancaria]])</f>
        <v>0</v>
      </c>
      <c r="AO12" s="31">
        <v>45658</v>
      </c>
      <c r="AP12" s="31">
        <v>45658</v>
      </c>
      <c r="AQ12" s="3" t="s">
        <v>1364</v>
      </c>
      <c r="AR12" s="3">
        <v>2</v>
      </c>
      <c r="AS12" s="1" t="s">
        <v>1113</v>
      </c>
      <c r="AT12" s="1">
        <v>0</v>
      </c>
      <c r="AV12" s="3">
        <v>0</v>
      </c>
      <c r="AW12" s="3"/>
      <c r="AX12" s="3"/>
      <c r="AY12" s="3"/>
      <c r="AZ12" s="3"/>
      <c r="BC12" s="1">
        <v>0</v>
      </c>
      <c r="BD12" s="1">
        <v>0</v>
      </c>
      <c r="BE12" s="1">
        <v>0</v>
      </c>
      <c r="BF12" s="1">
        <f>IFERROR((RegContabilizados2[[#This Row],[Debe]]-RegContabilizados2[[#This Row],[Haber]]),0)</f>
        <v>0</v>
      </c>
      <c r="BG12" s="1">
        <f>IFERROR((+_xlfn.XLOOKUP(RegContabilizados2[[#This Row],[Subcuenta]],Tabla11[Cuenta],Tabla11[Descripción],0)),0)</f>
        <v>0</v>
      </c>
      <c r="BH12" s="1" t="str">
        <f>IFERROR((VALUE(LEFT(RegContabilizados2[[#This Row],[Subcuenta]],2))&amp;" "&amp;_xlfn.XLOOKUP((VALUE(LEFT(RegContabilizados2[[#This Row],[Subcuenta]],2))),Tabla11[Cuenta],Tabla11[Descripción],0)),0)</f>
        <v>0 0</v>
      </c>
      <c r="BI12" s="1" t="str">
        <f>IFERROR((VALUE(LEFT(RegContabilizados2[[#This Row],[Subcuenta]],4))&amp;" "&amp;_xlfn.XLOOKUP((VALUE(LEFT(RegContabilizados2[[#This Row],[Subcuenta]],4))),Tabla11[Cuenta],Tabla11[Descripción],0)),0)</f>
        <v>0 0</v>
      </c>
      <c r="BJ12" s="1" t="str">
        <f>IFERROR((RegContabilizados2[[#This Row],[Subcuenta]]&amp;" "&amp;_xlfn.XLOOKUP(RegContabilizados2[[#This Row],[Subcuenta]],Tabla11[Cuenta],Tabla11[Descripción],0)),0)</f>
        <v>0 0</v>
      </c>
      <c r="BK12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PAGADO</v>
      </c>
      <c r="BL12" s="1" t="str">
        <f>IFERROR(LEFT(RegContabilizados2[[#This Row],[Idenficador]],SEARCH("-",RegContabilizados2[[#This Row],[Idenficador]])-1),0)</f>
        <v>Comp.Cont.2</v>
      </c>
      <c r="BN12" s="1" t="s">
        <v>1169</v>
      </c>
      <c r="BO12" s="1" t="s">
        <v>1369</v>
      </c>
    </row>
    <row r="13" spans="4:69">
      <c r="D13" s="31">
        <f>IF(Regcontabilizados[[#This Row],[Eliminado]]="si","",RegContabilizados2[[#This Row],[fecha Factura]])</f>
        <v>45658</v>
      </c>
      <c r="E13" s="31">
        <f>IF(Regcontabilizados[[#This Row],[Eliminado]]="si","",RegContabilizados2[[#This Row],[Fecha vencimiento]])</f>
        <v>45658</v>
      </c>
      <c r="F13" s="3" t="str">
        <f>IF(Regcontabilizados[[#This Row],[Eliminado]]="si","",RegContabilizados2[[#This Row],[Idenficador]])</f>
        <v>Comp.Cont.2-7</v>
      </c>
      <c r="G13" s="3">
        <f>IF(Regcontabilizados[[#This Row],[Eliminado]]="si","",RegContabilizados2[[#This Row],[N° de factura/Pago]])</f>
        <v>2</v>
      </c>
      <c r="H13" s="1" t="str">
        <f>IF(Regcontabilizados[[#This Row],[Eliminado]]="si","",RegContabilizados2[[#This Row],[Tipo de Factura]])</f>
        <v>Comp.Cont.</v>
      </c>
      <c r="I13" s="1">
        <f>IF(Regcontabilizados[[#This Row],[Eliminado]]="si","",RegContabilizados2[[#This Row],[ID Cliente]])</f>
        <v>0</v>
      </c>
      <c r="J13" s="1">
        <f>IF(Regcontabilizados[[#This Row],[Eliminado]]="si","",RegContabilizados2[[#This Row],[ESTADO DEL IVA]])</f>
        <v>0</v>
      </c>
      <c r="K13" s="3">
        <f>IF(Regcontabilizados[[#This Row],[Eliminado]]="si","",RegContabilizados2[[#This Row],[ID Proveedor]])</f>
        <v>0</v>
      </c>
      <c r="L13" s="3">
        <f>IF(Regcontabilizados[[#This Row],[Eliminado]]="si","",RegContabilizados2[[#This Row],[Concepto]])</f>
        <v>0</v>
      </c>
      <c r="M13" s="3">
        <f>IF(Regcontabilizados[[#This Row],[Eliminado]]="si","",RegContabilizados2[[#This Row],[Categoría]])</f>
        <v>0</v>
      </c>
      <c r="N13" s="3">
        <f>IF(Regcontabilizados[[#This Row],[Eliminado]]="si","",RegContabilizados2[[#This Row],[Almacen]])</f>
        <v>0</v>
      </c>
      <c r="O13" s="3">
        <f>IF(Regcontabilizados[[#This Row],[Eliminado]]="si","",RegContabilizados2[[#This Row],[Tipo de movimiento]])</f>
        <v>0</v>
      </c>
      <c r="P13" s="1">
        <f>IF(Regcontabilizados[[#This Row],[Eliminado]]="si","",RegContabilizados2[[#This Row],[cantidad]])</f>
        <v>0</v>
      </c>
      <c r="Q13" s="1">
        <f>IF(Regcontabilizados[[#This Row],[Eliminado]]="si","",RegContabilizados2[[#This Row],[VR unitario]])</f>
        <v>0</v>
      </c>
      <c r="R13" s="1">
        <f>IF(Regcontabilizados[[#This Row],[Eliminado]]="si","",RegContabilizados2[[#This Row],[Subcuenta]])</f>
        <v>0</v>
      </c>
      <c r="S13" s="1">
        <f>IF(Regcontabilizados[[#This Row],[Eliminado]]="si","",RegContabilizados2[[#This Row],[Debe]])</f>
        <v>0</v>
      </c>
      <c r="T13" s="1">
        <f>IF(Regcontabilizados[[#This Row],[Eliminado]]="si","",RegContabilizados2[[#This Row],[Haber]])</f>
        <v>0</v>
      </c>
      <c r="U13" s="1">
        <f>IFERROR((Regcontabilizados[[#This Row],[Debe]]-Regcontabilizados[[#This Row],[Haber]]),0)</f>
        <v>0</v>
      </c>
      <c r="V13" s="1">
        <f>IFERROR((+_xlfn.XLOOKUP(Regcontabilizados[[#This Row],[Subcuenta]],Tabla11[Cuenta],Tabla11[Descripción],0)),0)</f>
        <v>0</v>
      </c>
      <c r="W13" s="1">
        <f>IFERROR((_xlfn.XLOOKUP((VALUE(LEFT(Regcontabilizados[[#This Row],[Subcuenta]],4))),Tabla11[Cuenta],Tabla11[Descripción],0)),0)</f>
        <v>0</v>
      </c>
      <c r="X13" s="1">
        <f>IFERROR((_xlfn.XLOOKUP(Regcontabilizados[[#This Row],[Subcuenta]],Tabla11[Cuenta],Tabla11[Descripción],0)),0)</f>
        <v>0</v>
      </c>
      <c r="Y13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13" s="1" t="str">
        <f>_xlfn.XLOOKUP(Regcontabilizados[[#This Row],[Subcuenta]],Tabla11[Cuenta],Tabla11[TIPO],"")</f>
        <v/>
      </c>
      <c r="AA13" s="1" t="str">
        <f>IFERROR((Regcontabilizados[[#This Row],[Subcuenta]]&amp;" "&amp;_xlfn.XLOOKUP(Regcontabilizados[[#This Row],[Subcuenta]],Tabla11[Cuenta],Tabla11[Descripción],0)),0)</f>
        <v>0 0</v>
      </c>
      <c r="AB13" s="1" t="str">
        <f>IFERROR((VALUE(LEFT(Regcontabilizados[[#This Row],[Subcuenta]],2))&amp;" "&amp;_xlfn.XLOOKUP((VALUE(LEFT(Regcontabilizados[[#This Row],[Subcuenta]],2))),Tabla11[Cuenta],Tabla11[Descripción],0)),0)</f>
        <v>0 0</v>
      </c>
      <c r="AC13" s="1" t="str">
        <f>IFERROR((VALUE(LEFT(Regcontabilizados[[#This Row],[Subcuenta]],4))&amp;" "&amp;_xlfn.XLOOKUP((VALUE(LEFT(Regcontabilizados[[#This Row],[Subcuenta]],4))),Tabla11[Cuenta],Tabla11[Descripción],0)),0)</f>
        <v>0 0</v>
      </c>
      <c r="AD13" s="1" t="str">
        <f>IF(Regcontabilizados[[#This Row],[Eliminado]]="si","",RegContabilizados2[[#This Row],[Estado de pago]])</f>
        <v>PAGADO</v>
      </c>
      <c r="AE13" s="1" t="str">
        <f>IF(Regcontabilizados[[#This Row],[Eliminado]]="si","",RegContabilizados2[[#This Row],[Colum. Aux. Estado]])</f>
        <v>Comp.Cont.2</v>
      </c>
      <c r="AF13" s="1">
        <f>IF(Regcontabilizados[[#This Row],[Eliminado]]="si","",RegContabilizados2[[#This Row],[Número de pago]])</f>
        <v>0</v>
      </c>
      <c r="AG13" s="1" t="str">
        <f>IF(Regcontabilizados[[#This Row],[Eliminado]]="si","",RegContabilizados2[[#This Row],[Elaborado por]])</f>
        <v>Responsable no especificado</v>
      </c>
      <c r="AH13" s="1" t="str">
        <f>IF(Regcontabilizados[[#This Row],[Eliminado]]="si","",RegContabilizados2[[#This Row],[Notas]])</f>
        <v>Pago de acciones</v>
      </c>
      <c r="AI13" s="1">
        <f>IF(Regcontabilizados[[#This Row],[Eliminado]]="si","",RegContabilizados2[[#This Row],[Método de pago]])</f>
        <v>0</v>
      </c>
      <c r="AJ13" s="1">
        <f>IF(Regcontabilizados[[#This Row],[Eliminado]]="si","",RegContabilizados2[[#This Row],[Cta. Bancaria]])</f>
        <v>0</v>
      </c>
      <c r="AO13" s="31">
        <v>45658</v>
      </c>
      <c r="AP13" s="31">
        <v>45658</v>
      </c>
      <c r="AQ13" s="3" t="s">
        <v>1365</v>
      </c>
      <c r="AR13" s="3">
        <v>2</v>
      </c>
      <c r="AS13" s="1" t="s">
        <v>1113</v>
      </c>
      <c r="AT13" s="1">
        <v>0</v>
      </c>
      <c r="AV13" s="3">
        <v>0</v>
      </c>
      <c r="AW13" s="3"/>
      <c r="AX13" s="3"/>
      <c r="AY13" s="3"/>
      <c r="AZ13" s="3"/>
      <c r="BC13" s="1">
        <v>0</v>
      </c>
      <c r="BD13" s="1">
        <v>0</v>
      </c>
      <c r="BE13" s="1">
        <v>0</v>
      </c>
      <c r="BF13" s="1">
        <f>IFERROR((RegContabilizados2[[#This Row],[Debe]]-RegContabilizados2[[#This Row],[Haber]]),0)</f>
        <v>0</v>
      </c>
      <c r="BG13" s="1">
        <f>IFERROR((+_xlfn.XLOOKUP(RegContabilizados2[[#This Row],[Subcuenta]],Tabla11[Cuenta],Tabla11[Descripción],0)),0)</f>
        <v>0</v>
      </c>
      <c r="BH13" s="1" t="str">
        <f>IFERROR((VALUE(LEFT(RegContabilizados2[[#This Row],[Subcuenta]],2))&amp;" "&amp;_xlfn.XLOOKUP((VALUE(LEFT(RegContabilizados2[[#This Row],[Subcuenta]],2))),Tabla11[Cuenta],Tabla11[Descripción],0)),0)</f>
        <v>0 0</v>
      </c>
      <c r="BI13" s="1" t="str">
        <f>IFERROR((VALUE(LEFT(RegContabilizados2[[#This Row],[Subcuenta]],4))&amp;" "&amp;_xlfn.XLOOKUP((VALUE(LEFT(RegContabilizados2[[#This Row],[Subcuenta]],4))),Tabla11[Cuenta],Tabla11[Descripción],0)),0)</f>
        <v>0 0</v>
      </c>
      <c r="BJ13" s="1" t="str">
        <f>IFERROR((RegContabilizados2[[#This Row],[Subcuenta]]&amp;" "&amp;_xlfn.XLOOKUP(RegContabilizados2[[#This Row],[Subcuenta]],Tabla11[Cuenta],Tabla11[Descripción],0)),0)</f>
        <v>0 0</v>
      </c>
      <c r="BK13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PAGADO</v>
      </c>
      <c r="BL13" s="1" t="str">
        <f>IFERROR(LEFT(RegContabilizados2[[#This Row],[Idenficador]],SEARCH("-",RegContabilizados2[[#This Row],[Idenficador]])-1),0)</f>
        <v>Comp.Cont.2</v>
      </c>
      <c r="BN13" s="1" t="s">
        <v>1169</v>
      </c>
      <c r="BO13" s="1" t="s">
        <v>1369</v>
      </c>
    </row>
    <row r="14" spans="4:69">
      <c r="D14" s="31">
        <f>IF(Regcontabilizados[[#This Row],[Eliminado]]="si","",RegContabilizados2[[#This Row],[fecha Factura]])</f>
        <v>45658</v>
      </c>
      <c r="E14" s="31">
        <f>IF(Regcontabilizados[[#This Row],[Eliminado]]="si","",RegContabilizados2[[#This Row],[Fecha vencimiento]])</f>
        <v>45658</v>
      </c>
      <c r="F14" s="3" t="str">
        <f>IF(Regcontabilizados[[#This Row],[Eliminado]]="si","",RegContabilizados2[[#This Row],[Idenficador]])</f>
        <v>Comp.Cont.2-8</v>
      </c>
      <c r="G14" s="3">
        <f>IF(Regcontabilizados[[#This Row],[Eliminado]]="si","",RegContabilizados2[[#This Row],[N° de factura/Pago]])</f>
        <v>2</v>
      </c>
      <c r="H14" s="1" t="str">
        <f>IF(Regcontabilizados[[#This Row],[Eliminado]]="si","",RegContabilizados2[[#This Row],[Tipo de Factura]])</f>
        <v>Comp.Cont.</v>
      </c>
      <c r="I14" s="1">
        <f>IF(Regcontabilizados[[#This Row],[Eliminado]]="si","",RegContabilizados2[[#This Row],[ID Cliente]])</f>
        <v>0</v>
      </c>
      <c r="J14" s="1">
        <f>IF(Regcontabilizados[[#This Row],[Eliminado]]="si","",RegContabilizados2[[#This Row],[ESTADO DEL IVA]])</f>
        <v>0</v>
      </c>
      <c r="K14" s="3">
        <f>IF(Regcontabilizados[[#This Row],[Eliminado]]="si","",RegContabilizados2[[#This Row],[ID Proveedor]])</f>
        <v>0</v>
      </c>
      <c r="L14" s="3">
        <f>IF(Regcontabilizados[[#This Row],[Eliminado]]="si","",RegContabilizados2[[#This Row],[Concepto]])</f>
        <v>0</v>
      </c>
      <c r="M14" s="3">
        <f>IF(Regcontabilizados[[#This Row],[Eliminado]]="si","",RegContabilizados2[[#This Row],[Categoría]])</f>
        <v>0</v>
      </c>
      <c r="N14" s="3">
        <f>IF(Regcontabilizados[[#This Row],[Eliminado]]="si","",RegContabilizados2[[#This Row],[Almacen]])</f>
        <v>0</v>
      </c>
      <c r="O14" s="3">
        <f>IF(Regcontabilizados[[#This Row],[Eliminado]]="si","",RegContabilizados2[[#This Row],[Tipo de movimiento]])</f>
        <v>0</v>
      </c>
      <c r="P14" s="1">
        <f>IF(Regcontabilizados[[#This Row],[Eliminado]]="si","",RegContabilizados2[[#This Row],[cantidad]])</f>
        <v>0</v>
      </c>
      <c r="Q14" s="1">
        <f>IF(Regcontabilizados[[#This Row],[Eliminado]]="si","",RegContabilizados2[[#This Row],[VR unitario]])</f>
        <v>0</v>
      </c>
      <c r="R14" s="1">
        <f>IF(Regcontabilizados[[#This Row],[Eliminado]]="si","",RegContabilizados2[[#This Row],[Subcuenta]])</f>
        <v>0</v>
      </c>
      <c r="S14" s="1">
        <f>IF(Regcontabilizados[[#This Row],[Eliminado]]="si","",RegContabilizados2[[#This Row],[Debe]])</f>
        <v>0</v>
      </c>
      <c r="T14" s="1">
        <f>IF(Regcontabilizados[[#This Row],[Eliminado]]="si","",RegContabilizados2[[#This Row],[Haber]])</f>
        <v>0</v>
      </c>
      <c r="U14" s="1">
        <f>IFERROR((Regcontabilizados[[#This Row],[Debe]]-Regcontabilizados[[#This Row],[Haber]]),0)</f>
        <v>0</v>
      </c>
      <c r="V14" s="1">
        <f>IFERROR((+_xlfn.XLOOKUP(Regcontabilizados[[#This Row],[Subcuenta]],Tabla11[Cuenta],Tabla11[Descripción],0)),0)</f>
        <v>0</v>
      </c>
      <c r="W14" s="1">
        <f>IFERROR((_xlfn.XLOOKUP((VALUE(LEFT(Regcontabilizados[[#This Row],[Subcuenta]],4))),Tabla11[Cuenta],Tabla11[Descripción],0)),0)</f>
        <v>0</v>
      </c>
      <c r="X14" s="1">
        <f>IFERROR((_xlfn.XLOOKUP(Regcontabilizados[[#This Row],[Subcuenta]],Tabla11[Cuenta],Tabla11[Descripción],0)),0)</f>
        <v>0</v>
      </c>
      <c r="Y14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14" s="1" t="str">
        <f>_xlfn.XLOOKUP(Regcontabilizados[[#This Row],[Subcuenta]],Tabla11[Cuenta],Tabla11[TIPO],"")</f>
        <v/>
      </c>
      <c r="AA14" s="1" t="str">
        <f>IFERROR((Regcontabilizados[[#This Row],[Subcuenta]]&amp;" "&amp;_xlfn.XLOOKUP(Regcontabilizados[[#This Row],[Subcuenta]],Tabla11[Cuenta],Tabla11[Descripción],0)),0)</f>
        <v>0 0</v>
      </c>
      <c r="AB14" s="1" t="str">
        <f>IFERROR((VALUE(LEFT(Regcontabilizados[[#This Row],[Subcuenta]],2))&amp;" "&amp;_xlfn.XLOOKUP((VALUE(LEFT(Regcontabilizados[[#This Row],[Subcuenta]],2))),Tabla11[Cuenta],Tabla11[Descripción],0)),0)</f>
        <v>0 0</v>
      </c>
      <c r="AC14" s="1" t="str">
        <f>IFERROR((VALUE(LEFT(Regcontabilizados[[#This Row],[Subcuenta]],4))&amp;" "&amp;_xlfn.XLOOKUP((VALUE(LEFT(Regcontabilizados[[#This Row],[Subcuenta]],4))),Tabla11[Cuenta],Tabla11[Descripción],0)),0)</f>
        <v>0 0</v>
      </c>
      <c r="AD14" s="1" t="str">
        <f>IF(Regcontabilizados[[#This Row],[Eliminado]]="si","",RegContabilizados2[[#This Row],[Estado de pago]])</f>
        <v>PAGADO</v>
      </c>
      <c r="AE14" s="1" t="str">
        <f>IF(Regcontabilizados[[#This Row],[Eliminado]]="si","",RegContabilizados2[[#This Row],[Colum. Aux. Estado]])</f>
        <v>Comp.Cont.2</v>
      </c>
      <c r="AF14" s="1">
        <f>IF(Regcontabilizados[[#This Row],[Eliminado]]="si","",RegContabilizados2[[#This Row],[Número de pago]])</f>
        <v>0</v>
      </c>
      <c r="AG14" s="1" t="str">
        <f>IF(Regcontabilizados[[#This Row],[Eliminado]]="si","",RegContabilizados2[[#This Row],[Elaborado por]])</f>
        <v>Responsable no especificado</v>
      </c>
      <c r="AH14" s="1" t="str">
        <f>IF(Regcontabilizados[[#This Row],[Eliminado]]="si","",RegContabilizados2[[#This Row],[Notas]])</f>
        <v>Pago de acciones</v>
      </c>
      <c r="AI14" s="1">
        <f>IF(Regcontabilizados[[#This Row],[Eliminado]]="si","",RegContabilizados2[[#This Row],[Método de pago]])</f>
        <v>0</v>
      </c>
      <c r="AJ14" s="1">
        <f>IF(Regcontabilizados[[#This Row],[Eliminado]]="si","",RegContabilizados2[[#This Row],[Cta. Bancaria]])</f>
        <v>0</v>
      </c>
      <c r="AO14" s="31">
        <v>45658</v>
      </c>
      <c r="AP14" s="31">
        <v>45658</v>
      </c>
      <c r="AQ14" s="3" t="s">
        <v>1366</v>
      </c>
      <c r="AR14" s="3">
        <v>2</v>
      </c>
      <c r="AS14" s="1" t="s">
        <v>1113</v>
      </c>
      <c r="AT14" s="1">
        <v>0</v>
      </c>
      <c r="AV14" s="3">
        <v>0</v>
      </c>
      <c r="AW14" s="3"/>
      <c r="AX14" s="3"/>
      <c r="AY14" s="3"/>
      <c r="AZ14" s="3"/>
      <c r="BC14" s="1">
        <v>0</v>
      </c>
      <c r="BD14" s="1">
        <v>0</v>
      </c>
      <c r="BE14" s="1">
        <v>0</v>
      </c>
      <c r="BF14" s="1">
        <f>IFERROR((RegContabilizados2[[#This Row],[Debe]]-RegContabilizados2[[#This Row],[Haber]]),0)</f>
        <v>0</v>
      </c>
      <c r="BG14" s="1">
        <f>IFERROR((+_xlfn.XLOOKUP(RegContabilizados2[[#This Row],[Subcuenta]],Tabla11[Cuenta],Tabla11[Descripción],0)),0)</f>
        <v>0</v>
      </c>
      <c r="BH14" s="1" t="str">
        <f>IFERROR((VALUE(LEFT(RegContabilizados2[[#This Row],[Subcuenta]],2))&amp;" "&amp;_xlfn.XLOOKUP((VALUE(LEFT(RegContabilizados2[[#This Row],[Subcuenta]],2))),Tabla11[Cuenta],Tabla11[Descripción],0)),0)</f>
        <v>0 0</v>
      </c>
      <c r="BI14" s="1" t="str">
        <f>IFERROR((VALUE(LEFT(RegContabilizados2[[#This Row],[Subcuenta]],4))&amp;" "&amp;_xlfn.XLOOKUP((VALUE(LEFT(RegContabilizados2[[#This Row],[Subcuenta]],4))),Tabla11[Cuenta],Tabla11[Descripción],0)),0)</f>
        <v>0 0</v>
      </c>
      <c r="BJ14" s="1" t="str">
        <f>IFERROR((RegContabilizados2[[#This Row],[Subcuenta]]&amp;" "&amp;_xlfn.XLOOKUP(RegContabilizados2[[#This Row],[Subcuenta]],Tabla11[Cuenta],Tabla11[Descripción],0)),0)</f>
        <v>0 0</v>
      </c>
      <c r="BK14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PAGADO</v>
      </c>
      <c r="BL14" s="1" t="str">
        <f>IFERROR(LEFT(RegContabilizados2[[#This Row],[Idenficador]],SEARCH("-",RegContabilizados2[[#This Row],[Idenficador]])-1),0)</f>
        <v>Comp.Cont.2</v>
      </c>
      <c r="BN14" s="1" t="s">
        <v>1169</v>
      </c>
      <c r="BO14" s="1" t="s">
        <v>1369</v>
      </c>
    </row>
    <row r="15" spans="4:69">
      <c r="D15" s="31">
        <f>IF(Regcontabilizados[[#This Row],[Eliminado]]="si","",RegContabilizados2[[#This Row],[fecha Factura]])</f>
        <v>45658</v>
      </c>
      <c r="E15" s="31">
        <f>IF(Regcontabilizados[[#This Row],[Eliminado]]="si","",RegContabilizados2[[#This Row],[Fecha vencimiento]])</f>
        <v>45658</v>
      </c>
      <c r="F15" s="3" t="str">
        <f>IF(Regcontabilizados[[#This Row],[Eliminado]]="si","",RegContabilizados2[[#This Row],[Idenficador]])</f>
        <v>Comp.Cont.2-9</v>
      </c>
      <c r="G15" s="3">
        <f>IF(Regcontabilizados[[#This Row],[Eliminado]]="si","",RegContabilizados2[[#This Row],[N° de factura/Pago]])</f>
        <v>2</v>
      </c>
      <c r="H15" s="1" t="str">
        <f>IF(Regcontabilizados[[#This Row],[Eliminado]]="si","",RegContabilizados2[[#This Row],[Tipo de Factura]])</f>
        <v>Comp.Cont.</v>
      </c>
      <c r="I15" s="1">
        <f>IF(Regcontabilizados[[#This Row],[Eliminado]]="si","",RegContabilizados2[[#This Row],[ID Cliente]])</f>
        <v>0</v>
      </c>
      <c r="J15" s="1">
        <f>IF(Regcontabilizados[[#This Row],[Eliminado]]="si","",RegContabilizados2[[#This Row],[ESTADO DEL IVA]])</f>
        <v>0</v>
      </c>
      <c r="K15" s="3">
        <f>IF(Regcontabilizados[[#This Row],[Eliminado]]="si","",RegContabilizados2[[#This Row],[ID Proveedor]])</f>
        <v>0</v>
      </c>
      <c r="L15" s="3">
        <f>IF(Regcontabilizados[[#This Row],[Eliminado]]="si","",RegContabilizados2[[#This Row],[Concepto]])</f>
        <v>0</v>
      </c>
      <c r="M15" s="3">
        <f>IF(Regcontabilizados[[#This Row],[Eliminado]]="si","",RegContabilizados2[[#This Row],[Categoría]])</f>
        <v>0</v>
      </c>
      <c r="N15" s="3">
        <f>IF(Regcontabilizados[[#This Row],[Eliminado]]="si","",RegContabilizados2[[#This Row],[Almacen]])</f>
        <v>0</v>
      </c>
      <c r="O15" s="3">
        <f>IF(Regcontabilizados[[#This Row],[Eliminado]]="si","",RegContabilizados2[[#This Row],[Tipo de movimiento]])</f>
        <v>0</v>
      </c>
      <c r="P15" s="1">
        <f>IF(Regcontabilizados[[#This Row],[Eliminado]]="si","",RegContabilizados2[[#This Row],[cantidad]])</f>
        <v>0</v>
      </c>
      <c r="Q15" s="1">
        <f>IF(Regcontabilizados[[#This Row],[Eliminado]]="si","",RegContabilizados2[[#This Row],[VR unitario]])</f>
        <v>0</v>
      </c>
      <c r="R15" s="1">
        <f>IF(Regcontabilizados[[#This Row],[Eliminado]]="si","",RegContabilizados2[[#This Row],[Subcuenta]])</f>
        <v>0</v>
      </c>
      <c r="S15" s="1">
        <f>IF(Regcontabilizados[[#This Row],[Eliminado]]="si","",RegContabilizados2[[#This Row],[Debe]])</f>
        <v>0</v>
      </c>
      <c r="T15" s="1">
        <f>IF(Regcontabilizados[[#This Row],[Eliminado]]="si","",RegContabilizados2[[#This Row],[Haber]])</f>
        <v>0</v>
      </c>
      <c r="U15" s="1">
        <f>IFERROR((Regcontabilizados[[#This Row],[Debe]]-Regcontabilizados[[#This Row],[Haber]]),0)</f>
        <v>0</v>
      </c>
      <c r="V15" s="1">
        <f>IFERROR((+_xlfn.XLOOKUP(Regcontabilizados[[#This Row],[Subcuenta]],Tabla11[Cuenta],Tabla11[Descripción],0)),0)</f>
        <v>0</v>
      </c>
      <c r="W15" s="1">
        <f>IFERROR((_xlfn.XLOOKUP((VALUE(LEFT(Regcontabilizados[[#This Row],[Subcuenta]],4))),Tabla11[Cuenta],Tabla11[Descripción],0)),0)</f>
        <v>0</v>
      </c>
      <c r="X15" s="1">
        <f>IFERROR((_xlfn.XLOOKUP(Regcontabilizados[[#This Row],[Subcuenta]],Tabla11[Cuenta],Tabla11[Descripción],0)),0)</f>
        <v>0</v>
      </c>
      <c r="Y15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15" s="1" t="str">
        <f>_xlfn.XLOOKUP(Regcontabilizados[[#This Row],[Subcuenta]],Tabla11[Cuenta],Tabla11[TIPO],"")</f>
        <v/>
      </c>
      <c r="AA15" s="1" t="str">
        <f>IFERROR((Regcontabilizados[[#This Row],[Subcuenta]]&amp;" "&amp;_xlfn.XLOOKUP(Regcontabilizados[[#This Row],[Subcuenta]],Tabla11[Cuenta],Tabla11[Descripción],0)),0)</f>
        <v>0 0</v>
      </c>
      <c r="AB15" s="1" t="str">
        <f>IFERROR((VALUE(LEFT(Regcontabilizados[[#This Row],[Subcuenta]],2))&amp;" "&amp;_xlfn.XLOOKUP((VALUE(LEFT(Regcontabilizados[[#This Row],[Subcuenta]],2))),Tabla11[Cuenta],Tabla11[Descripción],0)),0)</f>
        <v>0 0</v>
      </c>
      <c r="AC15" s="1" t="str">
        <f>IFERROR((VALUE(LEFT(Regcontabilizados[[#This Row],[Subcuenta]],4))&amp;" "&amp;_xlfn.XLOOKUP((VALUE(LEFT(Regcontabilizados[[#This Row],[Subcuenta]],4))),Tabla11[Cuenta],Tabla11[Descripción],0)),0)</f>
        <v>0 0</v>
      </c>
      <c r="AD15" s="1" t="str">
        <f>IF(Regcontabilizados[[#This Row],[Eliminado]]="si","",RegContabilizados2[[#This Row],[Estado de pago]])</f>
        <v>PAGADO</v>
      </c>
      <c r="AE15" s="1" t="str">
        <f>IF(Regcontabilizados[[#This Row],[Eliminado]]="si","",RegContabilizados2[[#This Row],[Colum. Aux. Estado]])</f>
        <v>Comp.Cont.2</v>
      </c>
      <c r="AF15" s="1">
        <f>IF(Regcontabilizados[[#This Row],[Eliminado]]="si","",RegContabilizados2[[#This Row],[Número de pago]])</f>
        <v>0</v>
      </c>
      <c r="AG15" s="1" t="str">
        <f>IF(Regcontabilizados[[#This Row],[Eliminado]]="si","",RegContabilizados2[[#This Row],[Elaborado por]])</f>
        <v>Responsable no especificado</v>
      </c>
      <c r="AH15" s="1" t="str">
        <f>IF(Regcontabilizados[[#This Row],[Eliminado]]="si","",RegContabilizados2[[#This Row],[Notas]])</f>
        <v>Pago de acciones</v>
      </c>
      <c r="AI15" s="1">
        <f>IF(Regcontabilizados[[#This Row],[Eliminado]]="si","",RegContabilizados2[[#This Row],[Método de pago]])</f>
        <v>0</v>
      </c>
      <c r="AJ15" s="1">
        <f>IF(Regcontabilizados[[#This Row],[Eliminado]]="si","",RegContabilizados2[[#This Row],[Cta. Bancaria]])</f>
        <v>0</v>
      </c>
      <c r="AO15" s="31">
        <v>45658</v>
      </c>
      <c r="AP15" s="31">
        <v>45658</v>
      </c>
      <c r="AQ15" s="3" t="s">
        <v>1367</v>
      </c>
      <c r="AR15" s="3">
        <v>2</v>
      </c>
      <c r="AS15" s="1" t="s">
        <v>1113</v>
      </c>
      <c r="AT15" s="1">
        <v>0</v>
      </c>
      <c r="AV15" s="3">
        <v>0</v>
      </c>
      <c r="AW15" s="3"/>
      <c r="AX15" s="3"/>
      <c r="AY15" s="3"/>
      <c r="AZ15" s="3"/>
      <c r="BC15" s="1">
        <v>0</v>
      </c>
      <c r="BD15" s="1">
        <v>0</v>
      </c>
      <c r="BE15" s="1">
        <v>0</v>
      </c>
      <c r="BF15" s="1">
        <f>IFERROR((RegContabilizados2[[#This Row],[Debe]]-RegContabilizados2[[#This Row],[Haber]]),0)</f>
        <v>0</v>
      </c>
      <c r="BG15" s="1">
        <f>IFERROR((+_xlfn.XLOOKUP(RegContabilizados2[[#This Row],[Subcuenta]],Tabla11[Cuenta],Tabla11[Descripción],0)),0)</f>
        <v>0</v>
      </c>
      <c r="BH15" s="1" t="str">
        <f>IFERROR((VALUE(LEFT(RegContabilizados2[[#This Row],[Subcuenta]],2))&amp;" "&amp;_xlfn.XLOOKUP((VALUE(LEFT(RegContabilizados2[[#This Row],[Subcuenta]],2))),Tabla11[Cuenta],Tabla11[Descripción],0)),0)</f>
        <v>0 0</v>
      </c>
      <c r="BI15" s="1" t="str">
        <f>IFERROR((VALUE(LEFT(RegContabilizados2[[#This Row],[Subcuenta]],4))&amp;" "&amp;_xlfn.XLOOKUP((VALUE(LEFT(RegContabilizados2[[#This Row],[Subcuenta]],4))),Tabla11[Cuenta],Tabla11[Descripción],0)),0)</f>
        <v>0 0</v>
      </c>
      <c r="BJ15" s="1" t="str">
        <f>IFERROR((RegContabilizados2[[#This Row],[Subcuenta]]&amp;" "&amp;_xlfn.XLOOKUP(RegContabilizados2[[#This Row],[Subcuenta]],Tabla11[Cuenta],Tabla11[Descripción],0)),0)</f>
        <v>0 0</v>
      </c>
      <c r="BK15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PAGADO</v>
      </c>
      <c r="BL15" s="1" t="str">
        <f>IFERROR(LEFT(RegContabilizados2[[#This Row],[Idenficador]],SEARCH("-",RegContabilizados2[[#This Row],[Idenficador]])-1),0)</f>
        <v>Comp.Cont.2</v>
      </c>
      <c r="BN15" s="1" t="s">
        <v>1169</v>
      </c>
      <c r="BO15" s="1" t="s">
        <v>1369</v>
      </c>
    </row>
    <row r="16" spans="4:69">
      <c r="D16" s="31">
        <f>IF(Regcontabilizados[[#This Row],[Eliminado]]="si","",RegContabilizados2[[#This Row],[fecha Factura]])</f>
        <v>45658</v>
      </c>
      <c r="E16" s="31">
        <f>IF(Regcontabilizados[[#This Row],[Eliminado]]="si","",RegContabilizados2[[#This Row],[Fecha vencimiento]])</f>
        <v>45658</v>
      </c>
      <c r="F16" s="3" t="str">
        <f>IF(Regcontabilizados[[#This Row],[Eliminado]]="si","",RegContabilizados2[[#This Row],[Idenficador]])</f>
        <v>Comp.Cont.2-10</v>
      </c>
      <c r="G16" s="3">
        <f>IF(Regcontabilizados[[#This Row],[Eliminado]]="si","",RegContabilizados2[[#This Row],[N° de factura/Pago]])</f>
        <v>2</v>
      </c>
      <c r="H16" s="1" t="str">
        <f>IF(Regcontabilizados[[#This Row],[Eliminado]]="si","",RegContabilizados2[[#This Row],[Tipo de Factura]])</f>
        <v>Comp.Cont.</v>
      </c>
      <c r="I16" s="1">
        <f>IF(Regcontabilizados[[#This Row],[Eliminado]]="si","",RegContabilizados2[[#This Row],[ID Cliente]])</f>
        <v>0</v>
      </c>
      <c r="J16" s="1">
        <f>IF(Regcontabilizados[[#This Row],[Eliminado]]="si","",RegContabilizados2[[#This Row],[ESTADO DEL IVA]])</f>
        <v>0</v>
      </c>
      <c r="K16" s="3">
        <f>IF(Regcontabilizados[[#This Row],[Eliminado]]="si","",RegContabilizados2[[#This Row],[ID Proveedor]])</f>
        <v>0</v>
      </c>
      <c r="L16" s="3">
        <f>IF(Regcontabilizados[[#This Row],[Eliminado]]="si","",RegContabilizados2[[#This Row],[Concepto]])</f>
        <v>0</v>
      </c>
      <c r="M16" s="3">
        <f>IF(Regcontabilizados[[#This Row],[Eliminado]]="si","",RegContabilizados2[[#This Row],[Categoría]])</f>
        <v>0</v>
      </c>
      <c r="N16" s="3">
        <f>IF(Regcontabilizados[[#This Row],[Eliminado]]="si","",RegContabilizados2[[#This Row],[Almacen]])</f>
        <v>0</v>
      </c>
      <c r="O16" s="3">
        <f>IF(Regcontabilizados[[#This Row],[Eliminado]]="si","",RegContabilizados2[[#This Row],[Tipo de movimiento]])</f>
        <v>0</v>
      </c>
      <c r="P16" s="1">
        <f>IF(Regcontabilizados[[#This Row],[Eliminado]]="si","",RegContabilizados2[[#This Row],[cantidad]])</f>
        <v>0</v>
      </c>
      <c r="Q16" s="1">
        <f>IF(Regcontabilizados[[#This Row],[Eliminado]]="si","",RegContabilizados2[[#This Row],[VR unitario]])</f>
        <v>0</v>
      </c>
      <c r="R16" s="1">
        <f>IF(Regcontabilizados[[#This Row],[Eliminado]]="si","",RegContabilizados2[[#This Row],[Subcuenta]])</f>
        <v>0</v>
      </c>
      <c r="S16" s="1">
        <f>IF(Regcontabilizados[[#This Row],[Eliminado]]="si","",RegContabilizados2[[#This Row],[Debe]])</f>
        <v>0</v>
      </c>
      <c r="T16" s="1">
        <f>IF(Regcontabilizados[[#This Row],[Eliminado]]="si","",RegContabilizados2[[#This Row],[Haber]])</f>
        <v>0</v>
      </c>
      <c r="U16" s="1">
        <f>IFERROR((Regcontabilizados[[#This Row],[Debe]]-Regcontabilizados[[#This Row],[Haber]]),0)</f>
        <v>0</v>
      </c>
      <c r="V16" s="1">
        <f>IFERROR((+_xlfn.XLOOKUP(Regcontabilizados[[#This Row],[Subcuenta]],Tabla11[Cuenta],Tabla11[Descripción],0)),0)</f>
        <v>0</v>
      </c>
      <c r="W16" s="1">
        <f>IFERROR((_xlfn.XLOOKUP((VALUE(LEFT(Regcontabilizados[[#This Row],[Subcuenta]],4))),Tabla11[Cuenta],Tabla11[Descripción],0)),0)</f>
        <v>0</v>
      </c>
      <c r="X16" s="1">
        <f>IFERROR((_xlfn.XLOOKUP(Regcontabilizados[[#This Row],[Subcuenta]],Tabla11[Cuenta],Tabla11[Descripción],0)),0)</f>
        <v>0</v>
      </c>
      <c r="Y16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16" s="1" t="str">
        <f>_xlfn.XLOOKUP(Regcontabilizados[[#This Row],[Subcuenta]],Tabla11[Cuenta],Tabla11[TIPO],"")</f>
        <v/>
      </c>
      <c r="AA16" s="1" t="str">
        <f>IFERROR((Regcontabilizados[[#This Row],[Subcuenta]]&amp;" "&amp;_xlfn.XLOOKUP(Regcontabilizados[[#This Row],[Subcuenta]],Tabla11[Cuenta],Tabla11[Descripción],0)),0)</f>
        <v>0 0</v>
      </c>
      <c r="AB16" s="1" t="str">
        <f>IFERROR((VALUE(LEFT(Regcontabilizados[[#This Row],[Subcuenta]],2))&amp;" "&amp;_xlfn.XLOOKUP((VALUE(LEFT(Regcontabilizados[[#This Row],[Subcuenta]],2))),Tabla11[Cuenta],Tabla11[Descripción],0)),0)</f>
        <v>0 0</v>
      </c>
      <c r="AC16" s="1" t="str">
        <f>IFERROR((VALUE(LEFT(Regcontabilizados[[#This Row],[Subcuenta]],4))&amp;" "&amp;_xlfn.XLOOKUP((VALUE(LEFT(Regcontabilizados[[#This Row],[Subcuenta]],4))),Tabla11[Cuenta],Tabla11[Descripción],0)),0)</f>
        <v>0 0</v>
      </c>
      <c r="AD16" s="1" t="str">
        <f>IF(Regcontabilizados[[#This Row],[Eliminado]]="si","",RegContabilizados2[[#This Row],[Estado de pago]])</f>
        <v>PAGADO</v>
      </c>
      <c r="AE16" s="1" t="str">
        <f>IF(Regcontabilizados[[#This Row],[Eliminado]]="si","",RegContabilizados2[[#This Row],[Colum. Aux. Estado]])</f>
        <v>Comp.Cont.2</v>
      </c>
      <c r="AF16" s="1">
        <f>IF(Regcontabilizados[[#This Row],[Eliminado]]="si","",RegContabilizados2[[#This Row],[Número de pago]])</f>
        <v>0</v>
      </c>
      <c r="AG16" s="1" t="str">
        <f>IF(Regcontabilizados[[#This Row],[Eliminado]]="si","",RegContabilizados2[[#This Row],[Elaborado por]])</f>
        <v>Responsable no especificado</v>
      </c>
      <c r="AH16" s="1" t="str">
        <f>IF(Regcontabilizados[[#This Row],[Eliminado]]="si","",RegContabilizados2[[#This Row],[Notas]])</f>
        <v>Pago de acciones</v>
      </c>
      <c r="AI16" s="1">
        <f>IF(Regcontabilizados[[#This Row],[Eliminado]]="si","",RegContabilizados2[[#This Row],[Método de pago]])</f>
        <v>0</v>
      </c>
      <c r="AJ16" s="1">
        <f>IF(Regcontabilizados[[#This Row],[Eliminado]]="si","",RegContabilizados2[[#This Row],[Cta. Bancaria]])</f>
        <v>0</v>
      </c>
      <c r="AO16" s="31">
        <v>45658</v>
      </c>
      <c r="AP16" s="31">
        <v>45658</v>
      </c>
      <c r="AQ16" s="3" t="s">
        <v>1368</v>
      </c>
      <c r="AR16" s="3">
        <v>2</v>
      </c>
      <c r="AS16" s="1" t="s">
        <v>1113</v>
      </c>
      <c r="AT16" s="1">
        <v>0</v>
      </c>
      <c r="AV16" s="3">
        <v>0</v>
      </c>
      <c r="AW16" s="3"/>
      <c r="AX16" s="3"/>
      <c r="AY16" s="3"/>
      <c r="AZ16" s="3"/>
      <c r="BC16" s="1">
        <v>0</v>
      </c>
      <c r="BD16" s="1">
        <v>0</v>
      </c>
      <c r="BE16" s="1">
        <v>0</v>
      </c>
      <c r="BF16" s="1">
        <f>IFERROR((RegContabilizados2[[#This Row],[Debe]]-RegContabilizados2[[#This Row],[Haber]]),0)</f>
        <v>0</v>
      </c>
      <c r="BG16" s="1">
        <f>IFERROR((+_xlfn.XLOOKUP(RegContabilizados2[[#This Row],[Subcuenta]],Tabla11[Cuenta],Tabla11[Descripción],0)),0)</f>
        <v>0</v>
      </c>
      <c r="BH16" s="1" t="str">
        <f>IFERROR((VALUE(LEFT(RegContabilizados2[[#This Row],[Subcuenta]],2))&amp;" "&amp;_xlfn.XLOOKUP((VALUE(LEFT(RegContabilizados2[[#This Row],[Subcuenta]],2))),Tabla11[Cuenta],Tabla11[Descripción],0)),0)</f>
        <v>0 0</v>
      </c>
      <c r="BI16" s="1" t="str">
        <f>IFERROR((VALUE(LEFT(RegContabilizados2[[#This Row],[Subcuenta]],4))&amp;" "&amp;_xlfn.XLOOKUP((VALUE(LEFT(RegContabilizados2[[#This Row],[Subcuenta]],4))),Tabla11[Cuenta],Tabla11[Descripción],0)),0)</f>
        <v>0 0</v>
      </c>
      <c r="BJ16" s="1" t="str">
        <f>IFERROR((RegContabilizados2[[#This Row],[Subcuenta]]&amp;" "&amp;_xlfn.XLOOKUP(RegContabilizados2[[#This Row],[Subcuenta]],Tabla11[Cuenta],Tabla11[Descripción],0)),0)</f>
        <v>0 0</v>
      </c>
      <c r="BK16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PAGADO</v>
      </c>
      <c r="BL16" s="1" t="str">
        <f>IFERROR(LEFT(RegContabilizados2[[#This Row],[Idenficador]],SEARCH("-",RegContabilizados2[[#This Row],[Idenficador]])-1),0)</f>
        <v>Comp.Cont.2</v>
      </c>
      <c r="BN16" s="1" t="s">
        <v>1169</v>
      </c>
      <c r="BO16" s="1" t="s">
        <v>1369</v>
      </c>
    </row>
    <row r="17" spans="4:69">
      <c r="D17" s="31">
        <f>IF(Regcontabilizados[[#This Row],[Eliminado]]="si","",RegContabilizados2[[#This Row],[fecha Factura]])</f>
        <v>45658</v>
      </c>
      <c r="E17" s="31">
        <f>IF(Regcontabilizados[[#This Row],[Eliminado]]="si","",RegContabilizados2[[#This Row],[Fecha vencimiento]])</f>
        <v>45658</v>
      </c>
      <c r="F17" s="3" t="str">
        <f>IF(Regcontabilizados[[#This Row],[Eliminado]]="si","",RegContabilizados2[[#This Row],[Idenficador]])</f>
        <v>Comp.Cont.1-1</v>
      </c>
      <c r="G17" s="3">
        <f>IF(Regcontabilizados[[#This Row],[Eliminado]]="si","",RegContabilizados2[[#This Row],[N° de factura/Pago]])</f>
        <v>1</v>
      </c>
      <c r="H17" s="1" t="str">
        <f>IF(Regcontabilizados[[#This Row],[Eliminado]]="si","",RegContabilizados2[[#This Row],[Tipo de Factura]])</f>
        <v>Comp.Cont.</v>
      </c>
      <c r="I17" s="1">
        <f>IF(Regcontabilizados[[#This Row],[Eliminado]]="si","",RegContabilizados2[[#This Row],[ID Cliente]])</f>
        <v>333333</v>
      </c>
      <c r="J17" s="1">
        <f>IF(Regcontabilizados[[#This Row],[Eliminado]]="si","",RegContabilizados2[[#This Row],[ESTADO DEL IVA]])</f>
        <v>0</v>
      </c>
      <c r="K17" s="3" t="str">
        <f>IF(Regcontabilizados[[#This Row],[Eliminado]]="si","",RegContabilizados2[[#This Row],[ID Proveedor]])</f>
        <v>Banco 1</v>
      </c>
      <c r="L17" s="3" t="str">
        <f>IF(Regcontabilizados[[#This Row],[Eliminado]]="si","",RegContabilizados2[[#This Row],[Concepto]])</f>
        <v>Capital</v>
      </c>
      <c r="M17" s="3">
        <f>IF(Regcontabilizados[[#This Row],[Eliminado]]="si","",RegContabilizados2[[#This Row],[Categoría]])</f>
        <v>0</v>
      </c>
      <c r="N17" s="3">
        <f>IF(Regcontabilizados[[#This Row],[Eliminado]]="si","",RegContabilizados2[[#This Row],[Almacen]])</f>
        <v>0</v>
      </c>
      <c r="O17" s="3">
        <f>IF(Regcontabilizados[[#This Row],[Eliminado]]="si","",RegContabilizados2[[#This Row],[Tipo de movimiento]])</f>
        <v>0</v>
      </c>
      <c r="P17" s="1">
        <f>IF(Regcontabilizados[[#This Row],[Eliminado]]="si","",RegContabilizados2[[#This Row],[cantidad]])</f>
        <v>0</v>
      </c>
      <c r="Q17" s="1">
        <f>IF(Regcontabilizados[[#This Row],[Eliminado]]="si","",RegContabilizados2[[#This Row],[VR unitario]])</f>
        <v>0</v>
      </c>
      <c r="R17" s="1">
        <f>IF(Regcontabilizados[[#This Row],[Eliminado]]="si","",RegContabilizados2[[#This Row],[Subcuenta]])</f>
        <v>310505</v>
      </c>
      <c r="S17" s="1">
        <f>IF(Regcontabilizados[[#This Row],[Eliminado]]="si","",RegContabilizados2[[#This Row],[Debe]])</f>
        <v>0</v>
      </c>
      <c r="T17" s="1">
        <f>IF(Regcontabilizados[[#This Row],[Eliminado]]="si","",RegContabilizados2[[#This Row],[Haber]])</f>
        <v>15000000</v>
      </c>
      <c r="U17" s="1">
        <f>IFERROR((Regcontabilizados[[#This Row],[Debe]]-Regcontabilizados[[#This Row],[Haber]]),0)</f>
        <v>-15000000</v>
      </c>
      <c r="V17" s="1" t="str">
        <f>IFERROR((+_xlfn.XLOOKUP(Regcontabilizados[[#This Row],[Subcuenta]],Tabla11[Cuenta],Tabla11[Descripción],0)),0)</f>
        <v>Capital autorizado</v>
      </c>
      <c r="W17" s="1" t="str">
        <f>IFERROR((_xlfn.XLOOKUP((VALUE(LEFT(Regcontabilizados[[#This Row],[Subcuenta]],4))),Tabla11[Cuenta],Tabla11[Descripción],0)),0)</f>
        <v>CAPITAL SUSCRITO Y PAGADO</v>
      </c>
      <c r="X17" s="1" t="str">
        <f>IFERROR((_xlfn.XLOOKUP(Regcontabilizados[[#This Row],[Subcuenta]],Tabla11[Cuenta],Tabla11[Descripción],0)),0)</f>
        <v>Capital autorizado</v>
      </c>
      <c r="Y17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17" s="1" t="str">
        <f>_xlfn.XLOOKUP(Regcontabilizados[[#This Row],[Subcuenta]],Tabla11[Cuenta],Tabla11[TIPO],"")</f>
        <v>Patrimonio</v>
      </c>
      <c r="AA17" s="1" t="str">
        <f>IFERROR((Regcontabilizados[[#This Row],[Subcuenta]]&amp;" "&amp;_xlfn.XLOOKUP(Regcontabilizados[[#This Row],[Subcuenta]],Tabla11[Cuenta],Tabla11[Descripción],0)),0)</f>
        <v>310505 Capital autorizado</v>
      </c>
      <c r="AB17" s="1" t="str">
        <f>IFERROR((VALUE(LEFT(Regcontabilizados[[#This Row],[Subcuenta]],2))&amp;" "&amp;_xlfn.XLOOKUP((VALUE(LEFT(Regcontabilizados[[#This Row],[Subcuenta]],2))),Tabla11[Cuenta],Tabla11[Descripción],0)),0)</f>
        <v>31 CAPITAL SOCIAL</v>
      </c>
      <c r="AC17" s="1" t="str">
        <f>IFERROR((VALUE(LEFT(Regcontabilizados[[#This Row],[Subcuenta]],4))&amp;" "&amp;_xlfn.XLOOKUP((VALUE(LEFT(Regcontabilizados[[#This Row],[Subcuenta]],4))),Tabla11[Cuenta],Tabla11[Descripción],0)),0)</f>
        <v>3105 CAPITAL SUSCRITO Y PAGADO</v>
      </c>
      <c r="AD17" s="1" t="str">
        <f>IF(Regcontabilizados[[#This Row],[Eliminado]]="si","",RegContabilizados2[[#This Row],[Estado de pago]])</f>
        <v>NO PAGADO</v>
      </c>
      <c r="AE17" s="1" t="str">
        <f>IF(Regcontabilizados[[#This Row],[Eliminado]]="si","",RegContabilizados2[[#This Row],[Colum. Aux. Estado]])</f>
        <v>Comp.Cont.1</v>
      </c>
      <c r="AF17" s="1">
        <f>IF(Regcontabilizados[[#This Row],[Eliminado]]="si","",RegContabilizados2[[#This Row],[Número de pago]])</f>
        <v>0</v>
      </c>
      <c r="AG17" s="1" t="str">
        <f>IF(Regcontabilizados[[#This Row],[Eliminado]]="si","",RegContabilizados2[[#This Row],[Elaborado por]])</f>
        <v>Responsable no especificado</v>
      </c>
      <c r="AH17" s="1">
        <f>IF(Regcontabilizados[[#This Row],[Eliminado]]="si","",RegContabilizados2[[#This Row],[Notas]])</f>
        <v>0</v>
      </c>
      <c r="AI17" s="1">
        <f>IF(Regcontabilizados[[#This Row],[Eliminado]]="si","",RegContabilizados2[[#This Row],[Método de pago]])</f>
        <v>0</v>
      </c>
      <c r="AJ17" s="1">
        <f>IF(Regcontabilizados[[#This Row],[Eliminado]]="si","",RegContabilizados2[[#This Row],[Cta. Bancaria]])</f>
        <v>0</v>
      </c>
      <c r="AO17" s="31">
        <v>45658</v>
      </c>
      <c r="AP17" s="31">
        <v>45658</v>
      </c>
      <c r="AQ17" s="3" t="s">
        <v>1349</v>
      </c>
      <c r="AR17" s="3">
        <v>1</v>
      </c>
      <c r="AS17" s="1" t="s">
        <v>1113</v>
      </c>
      <c r="AT17" s="1">
        <v>333333</v>
      </c>
      <c r="AV17" s="3" t="s">
        <v>848</v>
      </c>
      <c r="AW17" s="3" t="s">
        <v>1345</v>
      </c>
      <c r="AX17" s="3"/>
      <c r="AY17" s="3"/>
      <c r="AZ17" s="3"/>
      <c r="BC17" s="1">
        <v>310505</v>
      </c>
      <c r="BD17" s="1">
        <v>0</v>
      </c>
      <c r="BE17" s="1">
        <v>15000000</v>
      </c>
      <c r="BF17" s="1">
        <f>IFERROR((RegContabilizados2[[#This Row],[Debe]]-RegContabilizados2[[#This Row],[Haber]]),0)</f>
        <v>-15000000</v>
      </c>
      <c r="BG17" s="1" t="str">
        <f>IFERROR((+_xlfn.XLOOKUP(RegContabilizados2[[#This Row],[Subcuenta]],Tabla11[Cuenta],Tabla11[Descripción],0)),0)</f>
        <v>Capital autorizado</v>
      </c>
      <c r="BH17" s="1" t="str">
        <f>IFERROR((VALUE(LEFT(RegContabilizados2[[#This Row],[Subcuenta]],2))&amp;" "&amp;_xlfn.XLOOKUP((VALUE(LEFT(RegContabilizados2[[#This Row],[Subcuenta]],2))),Tabla11[Cuenta],Tabla11[Descripción],0)),0)</f>
        <v>31 CAPITAL SOCIAL</v>
      </c>
      <c r="BI17" s="1" t="str">
        <f>IFERROR((VALUE(LEFT(RegContabilizados2[[#This Row],[Subcuenta]],4))&amp;" "&amp;_xlfn.XLOOKUP((VALUE(LEFT(RegContabilizados2[[#This Row],[Subcuenta]],4))),Tabla11[Cuenta],Tabla11[Descripción],0)),0)</f>
        <v>3105 CAPITAL SUSCRITO Y PAGADO</v>
      </c>
      <c r="BJ17" s="1" t="str">
        <f>IFERROR((RegContabilizados2[[#This Row],[Subcuenta]]&amp;" "&amp;_xlfn.XLOOKUP(RegContabilizados2[[#This Row],[Subcuenta]],Tabla11[Cuenta],Tabla11[Descripción],0)),0)</f>
        <v>310505 Capital autorizado</v>
      </c>
      <c r="BK17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17" s="1" t="str">
        <f>IFERROR(LEFT(RegContabilizados2[[#This Row],[Idenficador]],SEARCH("-",RegContabilizados2[[#This Row],[Idenficador]])-1),0)</f>
        <v>Comp.Cont.1</v>
      </c>
      <c r="BN17" s="1" t="s">
        <v>1169</v>
      </c>
    </row>
    <row r="18" spans="4:69">
      <c r="D18" s="31">
        <f>IF(Regcontabilizados[[#This Row],[Eliminado]]="si","",RegContabilizados2[[#This Row],[fecha Factura]])</f>
        <v>45658</v>
      </c>
      <c r="E18" s="31">
        <f>IF(Regcontabilizados[[#This Row],[Eliminado]]="si","",RegContabilizados2[[#This Row],[Fecha vencimiento]])</f>
        <v>45658</v>
      </c>
      <c r="F18" s="3" t="str">
        <f>IF(Regcontabilizados[[#This Row],[Eliminado]]="si","",RegContabilizados2[[#This Row],[Idenficador]])</f>
        <v>Comp.Cont.1-2</v>
      </c>
      <c r="G18" s="3">
        <f>IF(Regcontabilizados[[#This Row],[Eliminado]]="si","",RegContabilizados2[[#This Row],[N° de factura/Pago]])</f>
        <v>1</v>
      </c>
      <c r="H18" s="1" t="str">
        <f>IF(Regcontabilizados[[#This Row],[Eliminado]]="si","",RegContabilizados2[[#This Row],[Tipo de Factura]])</f>
        <v>Comp.Cont.</v>
      </c>
      <c r="I18" s="1">
        <f>IF(Regcontabilizados[[#This Row],[Eliminado]]="si","",RegContabilizados2[[#This Row],[ID Cliente]])</f>
        <v>333333</v>
      </c>
      <c r="J18" s="1">
        <f>IF(Regcontabilizados[[#This Row],[Eliminado]]="si","",RegContabilizados2[[#This Row],[ESTADO DEL IVA]])</f>
        <v>0</v>
      </c>
      <c r="K18" s="3" t="str">
        <f>IF(Regcontabilizados[[#This Row],[Eliminado]]="si","",RegContabilizados2[[#This Row],[ID Proveedor]])</f>
        <v>Banco 1</v>
      </c>
      <c r="L18" s="3" t="str">
        <f>IF(Regcontabilizados[[#This Row],[Eliminado]]="si","",RegContabilizados2[[#This Row],[Concepto]])</f>
        <v>capital</v>
      </c>
      <c r="M18" s="3">
        <f>IF(Regcontabilizados[[#This Row],[Eliminado]]="si","",RegContabilizados2[[#This Row],[Categoría]])</f>
        <v>0</v>
      </c>
      <c r="N18" s="3">
        <f>IF(Regcontabilizados[[#This Row],[Eliminado]]="si","",RegContabilizados2[[#This Row],[Almacen]])</f>
        <v>0</v>
      </c>
      <c r="O18" s="3">
        <f>IF(Regcontabilizados[[#This Row],[Eliminado]]="si","",RegContabilizados2[[#This Row],[Tipo de movimiento]])</f>
        <v>0</v>
      </c>
      <c r="P18" s="1">
        <f>IF(Regcontabilizados[[#This Row],[Eliminado]]="si","",RegContabilizados2[[#This Row],[cantidad]])</f>
        <v>0</v>
      </c>
      <c r="Q18" s="1">
        <f>IF(Regcontabilizados[[#This Row],[Eliminado]]="si","",RegContabilizados2[[#This Row],[VR unitario]])</f>
        <v>0</v>
      </c>
      <c r="R18" s="1">
        <f>IF(Regcontabilizados[[#This Row],[Eliminado]]="si","",RegContabilizados2[[#This Row],[Subcuenta]])</f>
        <v>310510</v>
      </c>
      <c r="S18" s="1">
        <f>IF(Regcontabilizados[[#This Row],[Eliminado]]="si","",RegContabilizados2[[#This Row],[Debe]])</f>
        <v>15000000</v>
      </c>
      <c r="T18" s="1">
        <f>IF(Regcontabilizados[[#This Row],[Eliminado]]="si","",RegContabilizados2[[#This Row],[Haber]])</f>
        <v>0</v>
      </c>
      <c r="U18" s="1">
        <f>IFERROR((Regcontabilizados[[#This Row],[Debe]]-Regcontabilizados[[#This Row],[Haber]]),0)</f>
        <v>15000000</v>
      </c>
      <c r="V18" s="1" t="str">
        <f>IFERROR((+_xlfn.XLOOKUP(Regcontabilizados[[#This Row],[Subcuenta]],Tabla11[Cuenta],Tabla11[Descripción],0)),0)</f>
        <v>Capital por suscribir (DB)</v>
      </c>
      <c r="W18" s="1" t="str">
        <f>IFERROR((_xlfn.XLOOKUP((VALUE(LEFT(Regcontabilizados[[#This Row],[Subcuenta]],4))),Tabla11[Cuenta],Tabla11[Descripción],0)),0)</f>
        <v>CAPITAL SUSCRITO Y PAGADO</v>
      </c>
      <c r="X18" s="1" t="str">
        <f>IFERROR((_xlfn.XLOOKUP(Regcontabilizados[[#This Row],[Subcuenta]],Tabla11[Cuenta],Tabla11[Descripción],0)),0)</f>
        <v>Capital por suscribir (DB)</v>
      </c>
      <c r="Y18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18" s="1" t="str">
        <f>_xlfn.XLOOKUP(Regcontabilizados[[#This Row],[Subcuenta]],Tabla11[Cuenta],Tabla11[TIPO],"")</f>
        <v>Patrimonio</v>
      </c>
      <c r="AA18" s="1" t="str">
        <f>IFERROR((Regcontabilizados[[#This Row],[Subcuenta]]&amp;" "&amp;_xlfn.XLOOKUP(Regcontabilizados[[#This Row],[Subcuenta]],Tabla11[Cuenta],Tabla11[Descripción],0)),0)</f>
        <v>310510 Capital por suscribir (DB)</v>
      </c>
      <c r="AB18" s="1" t="str">
        <f>IFERROR((VALUE(LEFT(Regcontabilizados[[#This Row],[Subcuenta]],2))&amp;" "&amp;_xlfn.XLOOKUP((VALUE(LEFT(Regcontabilizados[[#This Row],[Subcuenta]],2))),Tabla11[Cuenta],Tabla11[Descripción],0)),0)</f>
        <v>31 CAPITAL SOCIAL</v>
      </c>
      <c r="AC18" s="1" t="str">
        <f>IFERROR((VALUE(LEFT(Regcontabilizados[[#This Row],[Subcuenta]],4))&amp;" "&amp;_xlfn.XLOOKUP((VALUE(LEFT(Regcontabilizados[[#This Row],[Subcuenta]],4))),Tabla11[Cuenta],Tabla11[Descripción],0)),0)</f>
        <v>3105 CAPITAL SUSCRITO Y PAGADO</v>
      </c>
      <c r="AD18" s="1" t="str">
        <f>IF(Regcontabilizados[[#This Row],[Eliminado]]="si","",RegContabilizados2[[#This Row],[Estado de pago]])</f>
        <v>NO PAGADO</v>
      </c>
      <c r="AE18" s="1" t="str">
        <f>IF(Regcontabilizados[[#This Row],[Eliminado]]="si","",RegContabilizados2[[#This Row],[Colum. Aux. Estado]])</f>
        <v>Comp.Cont.1</v>
      </c>
      <c r="AF18" s="1">
        <f>IF(Regcontabilizados[[#This Row],[Eliminado]]="si","",RegContabilizados2[[#This Row],[Número de pago]])</f>
        <v>0</v>
      </c>
      <c r="AG18" s="1" t="str">
        <f>IF(Regcontabilizados[[#This Row],[Eliminado]]="si","",RegContabilizados2[[#This Row],[Elaborado por]])</f>
        <v>Responsable no especificado</v>
      </c>
      <c r="AH18" s="1">
        <f>IF(Regcontabilizados[[#This Row],[Eliminado]]="si","",RegContabilizados2[[#This Row],[Notas]])</f>
        <v>0</v>
      </c>
      <c r="AI18" s="1">
        <f>IF(Regcontabilizados[[#This Row],[Eliminado]]="si","",RegContabilizados2[[#This Row],[Método de pago]])</f>
        <v>0</v>
      </c>
      <c r="AJ18" s="1">
        <f>IF(Regcontabilizados[[#This Row],[Eliminado]]="si","",RegContabilizados2[[#This Row],[Cta. Bancaria]])</f>
        <v>0</v>
      </c>
      <c r="AO18" s="31">
        <v>45658</v>
      </c>
      <c r="AP18" s="31">
        <v>45658</v>
      </c>
      <c r="AQ18" s="3" t="s">
        <v>1350</v>
      </c>
      <c r="AR18" s="3">
        <v>1</v>
      </c>
      <c r="AS18" s="1" t="s">
        <v>1113</v>
      </c>
      <c r="AT18" s="1">
        <v>333333</v>
      </c>
      <c r="AV18" s="3" t="s">
        <v>848</v>
      </c>
      <c r="AW18" s="3" t="s">
        <v>1347</v>
      </c>
      <c r="AX18" s="3"/>
      <c r="AY18" s="3"/>
      <c r="AZ18" s="3"/>
      <c r="BC18" s="1">
        <v>310510</v>
      </c>
      <c r="BD18" s="1">
        <v>15000000</v>
      </c>
      <c r="BE18" s="1">
        <v>0</v>
      </c>
      <c r="BF18" s="1">
        <f>IFERROR((RegContabilizados2[[#This Row],[Debe]]-RegContabilizados2[[#This Row],[Haber]]),0)</f>
        <v>15000000</v>
      </c>
      <c r="BG18" s="1" t="str">
        <f>IFERROR((+_xlfn.XLOOKUP(RegContabilizados2[[#This Row],[Subcuenta]],Tabla11[Cuenta],Tabla11[Descripción],0)),0)</f>
        <v>Capital por suscribir (DB)</v>
      </c>
      <c r="BH18" s="1" t="str">
        <f>IFERROR((VALUE(LEFT(RegContabilizados2[[#This Row],[Subcuenta]],2))&amp;" "&amp;_xlfn.XLOOKUP((VALUE(LEFT(RegContabilizados2[[#This Row],[Subcuenta]],2))),Tabla11[Cuenta],Tabla11[Descripción],0)),0)</f>
        <v>31 CAPITAL SOCIAL</v>
      </c>
      <c r="BI18" s="1" t="str">
        <f>IFERROR((VALUE(LEFT(RegContabilizados2[[#This Row],[Subcuenta]],4))&amp;" "&amp;_xlfn.XLOOKUP((VALUE(LEFT(RegContabilizados2[[#This Row],[Subcuenta]],4))),Tabla11[Cuenta],Tabla11[Descripción],0)),0)</f>
        <v>3105 CAPITAL SUSCRITO Y PAGADO</v>
      </c>
      <c r="BJ18" s="1" t="str">
        <f>IFERROR((RegContabilizados2[[#This Row],[Subcuenta]]&amp;" "&amp;_xlfn.XLOOKUP(RegContabilizados2[[#This Row],[Subcuenta]],Tabla11[Cuenta],Tabla11[Descripción],0)),0)</f>
        <v>310510 Capital por suscribir (DB)</v>
      </c>
      <c r="BK18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18" s="1" t="str">
        <f>IFERROR(LEFT(RegContabilizados2[[#This Row],[Idenficador]],SEARCH("-",RegContabilizados2[[#This Row],[Idenficador]])-1),0)</f>
        <v>Comp.Cont.1</v>
      </c>
      <c r="BN18" s="1" t="s">
        <v>1169</v>
      </c>
    </row>
    <row r="19" spans="4:69">
      <c r="D19" s="31">
        <f>IF(Regcontabilizados[[#This Row],[Eliminado]]="si","",RegContabilizados2[[#This Row],[fecha Factura]])</f>
        <v>45658</v>
      </c>
      <c r="E19" s="31">
        <f>IF(Regcontabilizados[[#This Row],[Eliminado]]="si","",RegContabilizados2[[#This Row],[Fecha vencimiento]])</f>
        <v>45658</v>
      </c>
      <c r="F19" s="3" t="str">
        <f>IF(Regcontabilizados[[#This Row],[Eliminado]]="si","",RegContabilizados2[[#This Row],[Idenficador]])</f>
        <v>Comp.Cont.1-3</v>
      </c>
      <c r="G19" s="3">
        <f>IF(Regcontabilizados[[#This Row],[Eliminado]]="si","",RegContabilizados2[[#This Row],[N° de factura/Pago]])</f>
        <v>1</v>
      </c>
      <c r="H19" s="1" t="str">
        <f>IF(Regcontabilizados[[#This Row],[Eliminado]]="si","",RegContabilizados2[[#This Row],[Tipo de Factura]])</f>
        <v>Comp.Cont.</v>
      </c>
      <c r="I19" s="1">
        <f>IF(Regcontabilizados[[#This Row],[Eliminado]]="si","",RegContabilizados2[[#This Row],[ID Cliente]])</f>
        <v>0</v>
      </c>
      <c r="J19" s="1">
        <f>IF(Regcontabilizados[[#This Row],[Eliminado]]="si","",RegContabilizados2[[#This Row],[ESTADO DEL IVA]])</f>
        <v>0</v>
      </c>
      <c r="K19" s="3">
        <f>IF(Regcontabilizados[[#This Row],[Eliminado]]="si","",RegContabilizados2[[#This Row],[ID Proveedor]])</f>
        <v>0</v>
      </c>
      <c r="L19" s="3">
        <f>IF(Regcontabilizados[[#This Row],[Eliminado]]="si","",RegContabilizados2[[#This Row],[Concepto]])</f>
        <v>0</v>
      </c>
      <c r="M19" s="3">
        <f>IF(Regcontabilizados[[#This Row],[Eliminado]]="si","",RegContabilizados2[[#This Row],[Categoría]])</f>
        <v>0</v>
      </c>
      <c r="N19" s="3">
        <f>IF(Regcontabilizados[[#This Row],[Eliminado]]="si","",RegContabilizados2[[#This Row],[Almacen]])</f>
        <v>0</v>
      </c>
      <c r="O19" s="3">
        <f>IF(Regcontabilizados[[#This Row],[Eliminado]]="si","",RegContabilizados2[[#This Row],[Tipo de movimiento]])</f>
        <v>0</v>
      </c>
      <c r="P19" s="1">
        <f>IF(Regcontabilizados[[#This Row],[Eliminado]]="si","",RegContabilizados2[[#This Row],[cantidad]])</f>
        <v>0</v>
      </c>
      <c r="Q19" s="1">
        <f>IF(Regcontabilizados[[#This Row],[Eliminado]]="si","",RegContabilizados2[[#This Row],[VR unitario]])</f>
        <v>0</v>
      </c>
      <c r="R19" s="1">
        <f>IF(Regcontabilizados[[#This Row],[Eliminado]]="si","",RegContabilizados2[[#This Row],[Subcuenta]])</f>
        <v>0</v>
      </c>
      <c r="S19" s="1">
        <f>IF(Regcontabilizados[[#This Row],[Eliminado]]="si","",RegContabilizados2[[#This Row],[Debe]])</f>
        <v>0</v>
      </c>
      <c r="T19" s="1">
        <f>IF(Regcontabilizados[[#This Row],[Eliminado]]="si","",RegContabilizados2[[#This Row],[Haber]])</f>
        <v>0</v>
      </c>
      <c r="U19" s="1">
        <f>IFERROR((Regcontabilizados[[#This Row],[Debe]]-Regcontabilizados[[#This Row],[Haber]]),0)</f>
        <v>0</v>
      </c>
      <c r="V19" s="1">
        <f>IFERROR((+_xlfn.XLOOKUP(Regcontabilizados[[#This Row],[Subcuenta]],Tabla11[Cuenta],Tabla11[Descripción],0)),0)</f>
        <v>0</v>
      </c>
      <c r="W19" s="1">
        <f>IFERROR((_xlfn.XLOOKUP((VALUE(LEFT(Regcontabilizados[[#This Row],[Subcuenta]],4))),Tabla11[Cuenta],Tabla11[Descripción],0)),0)</f>
        <v>0</v>
      </c>
      <c r="X19" s="1">
        <f>IFERROR((_xlfn.XLOOKUP(Regcontabilizados[[#This Row],[Subcuenta]],Tabla11[Cuenta],Tabla11[Descripción],0)),0)</f>
        <v>0</v>
      </c>
      <c r="Y19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19" s="1" t="str">
        <f>_xlfn.XLOOKUP(Regcontabilizados[[#This Row],[Subcuenta]],Tabla11[Cuenta],Tabla11[TIPO],"")</f>
        <v/>
      </c>
      <c r="AA19" s="1" t="str">
        <f>IFERROR((Regcontabilizados[[#This Row],[Subcuenta]]&amp;" "&amp;_xlfn.XLOOKUP(Regcontabilizados[[#This Row],[Subcuenta]],Tabla11[Cuenta],Tabla11[Descripción],0)),0)</f>
        <v>0 0</v>
      </c>
      <c r="AB19" s="1" t="str">
        <f>IFERROR((VALUE(LEFT(Regcontabilizados[[#This Row],[Subcuenta]],2))&amp;" "&amp;_xlfn.XLOOKUP((VALUE(LEFT(Regcontabilizados[[#This Row],[Subcuenta]],2))),Tabla11[Cuenta],Tabla11[Descripción],0)),0)</f>
        <v>0 0</v>
      </c>
      <c r="AC19" s="1" t="str">
        <f>IFERROR((VALUE(LEFT(Regcontabilizados[[#This Row],[Subcuenta]],4))&amp;" "&amp;_xlfn.XLOOKUP((VALUE(LEFT(Regcontabilizados[[#This Row],[Subcuenta]],4))),Tabla11[Cuenta],Tabla11[Descripción],0)),0)</f>
        <v>0 0</v>
      </c>
      <c r="AD19" s="1" t="str">
        <f>IF(Regcontabilizados[[#This Row],[Eliminado]]="si","",RegContabilizados2[[#This Row],[Estado de pago]])</f>
        <v>PAGADO</v>
      </c>
      <c r="AE19" s="1" t="str">
        <f>IF(Regcontabilizados[[#This Row],[Eliminado]]="si","",RegContabilizados2[[#This Row],[Colum. Aux. Estado]])</f>
        <v>Comp.Cont.1</v>
      </c>
      <c r="AF19" s="1">
        <f>IF(Regcontabilizados[[#This Row],[Eliminado]]="si","",RegContabilizados2[[#This Row],[Número de pago]])</f>
        <v>0</v>
      </c>
      <c r="AG19" s="1" t="str">
        <f>IF(Regcontabilizados[[#This Row],[Eliminado]]="si","",RegContabilizados2[[#This Row],[Elaborado por]])</f>
        <v>Responsable no especificado</v>
      </c>
      <c r="AH19" s="1">
        <f>IF(Regcontabilizados[[#This Row],[Eliminado]]="si","",RegContabilizados2[[#This Row],[Notas]])</f>
        <v>0</v>
      </c>
      <c r="AI19" s="1">
        <f>IF(Regcontabilizados[[#This Row],[Eliminado]]="si","",RegContabilizados2[[#This Row],[Método de pago]])</f>
        <v>0</v>
      </c>
      <c r="AJ19" s="1">
        <f>IF(Regcontabilizados[[#This Row],[Eliminado]]="si","",RegContabilizados2[[#This Row],[Cta. Bancaria]])</f>
        <v>0</v>
      </c>
      <c r="AO19" s="31">
        <v>45658</v>
      </c>
      <c r="AP19" s="31">
        <v>45658</v>
      </c>
      <c r="AQ19" s="3" t="s">
        <v>1351</v>
      </c>
      <c r="AR19" s="3">
        <v>1</v>
      </c>
      <c r="AS19" s="1" t="s">
        <v>1113</v>
      </c>
      <c r="AT19" s="1">
        <v>0</v>
      </c>
      <c r="AV19" s="3">
        <v>0</v>
      </c>
      <c r="AW19" s="3"/>
      <c r="AX19" s="3"/>
      <c r="AY19" s="3"/>
      <c r="AZ19" s="3"/>
      <c r="BC19" s="1">
        <v>0</v>
      </c>
      <c r="BD19" s="1">
        <v>0</v>
      </c>
      <c r="BE19" s="1">
        <v>0</v>
      </c>
      <c r="BF19" s="1">
        <f>IFERROR((RegContabilizados2[[#This Row],[Debe]]-RegContabilizados2[[#This Row],[Haber]]),0)</f>
        <v>0</v>
      </c>
      <c r="BG19" s="1">
        <f>IFERROR((+_xlfn.XLOOKUP(RegContabilizados2[[#This Row],[Subcuenta]],Tabla11[Cuenta],Tabla11[Descripción],0)),0)</f>
        <v>0</v>
      </c>
      <c r="BH19" s="1" t="str">
        <f>IFERROR((VALUE(LEFT(RegContabilizados2[[#This Row],[Subcuenta]],2))&amp;" "&amp;_xlfn.XLOOKUP((VALUE(LEFT(RegContabilizados2[[#This Row],[Subcuenta]],2))),Tabla11[Cuenta],Tabla11[Descripción],0)),0)</f>
        <v>0 0</v>
      </c>
      <c r="BI19" s="1" t="str">
        <f>IFERROR((VALUE(LEFT(RegContabilizados2[[#This Row],[Subcuenta]],4))&amp;" "&amp;_xlfn.XLOOKUP((VALUE(LEFT(RegContabilizados2[[#This Row],[Subcuenta]],4))),Tabla11[Cuenta],Tabla11[Descripción],0)),0)</f>
        <v>0 0</v>
      </c>
      <c r="BJ19" s="1" t="str">
        <f>IFERROR((RegContabilizados2[[#This Row],[Subcuenta]]&amp;" "&amp;_xlfn.XLOOKUP(RegContabilizados2[[#This Row],[Subcuenta]],Tabla11[Cuenta],Tabla11[Descripción],0)),0)</f>
        <v>0 0</v>
      </c>
      <c r="BK19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PAGADO</v>
      </c>
      <c r="BL19" s="1" t="str">
        <f>IFERROR(LEFT(RegContabilizados2[[#This Row],[Idenficador]],SEARCH("-",RegContabilizados2[[#This Row],[Idenficador]])-1),0)</f>
        <v>Comp.Cont.1</v>
      </c>
      <c r="BN19" s="1" t="s">
        <v>1169</v>
      </c>
    </row>
    <row r="20" spans="4:69">
      <c r="D20" s="31">
        <f>IF(Regcontabilizados[[#This Row],[Eliminado]]="si","",RegContabilizados2[[#This Row],[fecha Factura]])</f>
        <v>45658</v>
      </c>
      <c r="E20" s="31">
        <f>IF(Regcontabilizados[[#This Row],[Eliminado]]="si","",RegContabilizados2[[#This Row],[Fecha vencimiento]])</f>
        <v>45658</v>
      </c>
      <c r="F20" s="3" t="str">
        <f>IF(Regcontabilizados[[#This Row],[Eliminado]]="si","",RegContabilizados2[[#This Row],[Idenficador]])</f>
        <v>Comp.Cont.1-4</v>
      </c>
      <c r="G20" s="3">
        <f>IF(Regcontabilizados[[#This Row],[Eliminado]]="si","",RegContabilizados2[[#This Row],[N° de factura/Pago]])</f>
        <v>1</v>
      </c>
      <c r="H20" s="1" t="str">
        <f>IF(Regcontabilizados[[#This Row],[Eliminado]]="si","",RegContabilizados2[[#This Row],[Tipo de Factura]])</f>
        <v>Comp.Cont.</v>
      </c>
      <c r="I20" s="1">
        <f>IF(Regcontabilizados[[#This Row],[Eliminado]]="si","",RegContabilizados2[[#This Row],[ID Cliente]])</f>
        <v>0</v>
      </c>
      <c r="J20" s="1">
        <f>IF(Regcontabilizados[[#This Row],[Eliminado]]="si","",RegContabilizados2[[#This Row],[ESTADO DEL IVA]])</f>
        <v>0</v>
      </c>
      <c r="K20" s="3">
        <f>IF(Regcontabilizados[[#This Row],[Eliminado]]="si","",RegContabilizados2[[#This Row],[ID Proveedor]])</f>
        <v>0</v>
      </c>
      <c r="L20" s="3">
        <f>IF(Regcontabilizados[[#This Row],[Eliminado]]="si","",RegContabilizados2[[#This Row],[Concepto]])</f>
        <v>0</v>
      </c>
      <c r="M20" s="3">
        <f>IF(Regcontabilizados[[#This Row],[Eliminado]]="si","",RegContabilizados2[[#This Row],[Categoría]])</f>
        <v>0</v>
      </c>
      <c r="N20" s="3">
        <f>IF(Regcontabilizados[[#This Row],[Eliminado]]="si","",RegContabilizados2[[#This Row],[Almacen]])</f>
        <v>0</v>
      </c>
      <c r="O20" s="3">
        <f>IF(Regcontabilizados[[#This Row],[Eliminado]]="si","",RegContabilizados2[[#This Row],[Tipo de movimiento]])</f>
        <v>0</v>
      </c>
      <c r="P20" s="1">
        <f>IF(Regcontabilizados[[#This Row],[Eliminado]]="si","",RegContabilizados2[[#This Row],[cantidad]])</f>
        <v>0</v>
      </c>
      <c r="Q20" s="1">
        <f>IF(Regcontabilizados[[#This Row],[Eliminado]]="si","",RegContabilizados2[[#This Row],[VR unitario]])</f>
        <v>0</v>
      </c>
      <c r="R20" s="1">
        <f>IF(Regcontabilizados[[#This Row],[Eliminado]]="si","",RegContabilizados2[[#This Row],[Subcuenta]])</f>
        <v>0</v>
      </c>
      <c r="S20" s="1">
        <f>IF(Regcontabilizados[[#This Row],[Eliminado]]="si","",RegContabilizados2[[#This Row],[Debe]])</f>
        <v>0</v>
      </c>
      <c r="T20" s="1">
        <f>IF(Regcontabilizados[[#This Row],[Eliminado]]="si","",RegContabilizados2[[#This Row],[Haber]])</f>
        <v>0</v>
      </c>
      <c r="U20" s="1">
        <f>IFERROR((Regcontabilizados[[#This Row],[Debe]]-Regcontabilizados[[#This Row],[Haber]]),0)</f>
        <v>0</v>
      </c>
      <c r="V20" s="1">
        <f>IFERROR((+_xlfn.XLOOKUP(Regcontabilizados[[#This Row],[Subcuenta]],Tabla11[Cuenta],Tabla11[Descripción],0)),0)</f>
        <v>0</v>
      </c>
      <c r="W20" s="1">
        <f>IFERROR((_xlfn.XLOOKUP((VALUE(LEFT(Regcontabilizados[[#This Row],[Subcuenta]],4))),Tabla11[Cuenta],Tabla11[Descripción],0)),0)</f>
        <v>0</v>
      </c>
      <c r="X20" s="1">
        <f>IFERROR((_xlfn.XLOOKUP(Regcontabilizados[[#This Row],[Subcuenta]],Tabla11[Cuenta],Tabla11[Descripción],0)),0)</f>
        <v>0</v>
      </c>
      <c r="Y20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20" s="1" t="str">
        <f>_xlfn.XLOOKUP(Regcontabilizados[[#This Row],[Subcuenta]],Tabla11[Cuenta],Tabla11[TIPO],"")</f>
        <v/>
      </c>
      <c r="AA20" s="1" t="str">
        <f>IFERROR((Regcontabilizados[[#This Row],[Subcuenta]]&amp;" "&amp;_xlfn.XLOOKUP(Regcontabilizados[[#This Row],[Subcuenta]],Tabla11[Cuenta],Tabla11[Descripción],0)),0)</f>
        <v>0 0</v>
      </c>
      <c r="AB20" s="1" t="str">
        <f>IFERROR((VALUE(LEFT(Regcontabilizados[[#This Row],[Subcuenta]],2))&amp;" "&amp;_xlfn.XLOOKUP((VALUE(LEFT(Regcontabilizados[[#This Row],[Subcuenta]],2))),Tabla11[Cuenta],Tabla11[Descripción],0)),0)</f>
        <v>0 0</v>
      </c>
      <c r="AC20" s="1" t="str">
        <f>IFERROR((VALUE(LEFT(Regcontabilizados[[#This Row],[Subcuenta]],4))&amp;" "&amp;_xlfn.XLOOKUP((VALUE(LEFT(Regcontabilizados[[#This Row],[Subcuenta]],4))),Tabla11[Cuenta],Tabla11[Descripción],0)),0)</f>
        <v>0 0</v>
      </c>
      <c r="AD20" s="1" t="str">
        <f>IF(Regcontabilizados[[#This Row],[Eliminado]]="si","",RegContabilizados2[[#This Row],[Estado de pago]])</f>
        <v>PAGADO</v>
      </c>
      <c r="AE20" s="1" t="str">
        <f>IF(Regcontabilizados[[#This Row],[Eliminado]]="si","",RegContabilizados2[[#This Row],[Colum. Aux. Estado]])</f>
        <v>Comp.Cont.1</v>
      </c>
      <c r="AF20" s="1">
        <f>IF(Regcontabilizados[[#This Row],[Eliminado]]="si","",RegContabilizados2[[#This Row],[Número de pago]])</f>
        <v>0</v>
      </c>
      <c r="AG20" s="1" t="str">
        <f>IF(Regcontabilizados[[#This Row],[Eliminado]]="si","",RegContabilizados2[[#This Row],[Elaborado por]])</f>
        <v>Responsable no especificado</v>
      </c>
      <c r="AH20" s="1">
        <f>IF(Regcontabilizados[[#This Row],[Eliminado]]="si","",RegContabilizados2[[#This Row],[Notas]])</f>
        <v>0</v>
      </c>
      <c r="AI20" s="1">
        <f>IF(Regcontabilizados[[#This Row],[Eliminado]]="si","",RegContabilizados2[[#This Row],[Método de pago]])</f>
        <v>0</v>
      </c>
      <c r="AJ20" s="1">
        <f>IF(Regcontabilizados[[#This Row],[Eliminado]]="si","",RegContabilizados2[[#This Row],[Cta. Bancaria]])</f>
        <v>0</v>
      </c>
      <c r="AO20" s="31">
        <v>45658</v>
      </c>
      <c r="AP20" s="31">
        <v>45658</v>
      </c>
      <c r="AQ20" s="3" t="s">
        <v>1352</v>
      </c>
      <c r="AR20" s="3">
        <v>1</v>
      </c>
      <c r="AS20" s="1" t="s">
        <v>1113</v>
      </c>
      <c r="AT20" s="1">
        <v>0</v>
      </c>
      <c r="AV20" s="3">
        <v>0</v>
      </c>
      <c r="AW20" s="3"/>
      <c r="AX20" s="3"/>
      <c r="AY20" s="3"/>
      <c r="AZ20" s="3"/>
      <c r="BC20" s="1">
        <v>0</v>
      </c>
      <c r="BD20" s="1">
        <v>0</v>
      </c>
      <c r="BE20" s="1">
        <v>0</v>
      </c>
      <c r="BF20" s="1">
        <f>IFERROR((RegContabilizados2[[#This Row],[Debe]]-RegContabilizados2[[#This Row],[Haber]]),0)</f>
        <v>0</v>
      </c>
      <c r="BG20" s="1">
        <f>IFERROR((+_xlfn.XLOOKUP(RegContabilizados2[[#This Row],[Subcuenta]],Tabla11[Cuenta],Tabla11[Descripción],0)),0)</f>
        <v>0</v>
      </c>
      <c r="BH20" s="1" t="str">
        <f>IFERROR((VALUE(LEFT(RegContabilizados2[[#This Row],[Subcuenta]],2))&amp;" "&amp;_xlfn.XLOOKUP((VALUE(LEFT(RegContabilizados2[[#This Row],[Subcuenta]],2))),Tabla11[Cuenta],Tabla11[Descripción],0)),0)</f>
        <v>0 0</v>
      </c>
      <c r="BI20" s="1" t="str">
        <f>IFERROR((VALUE(LEFT(RegContabilizados2[[#This Row],[Subcuenta]],4))&amp;" "&amp;_xlfn.XLOOKUP((VALUE(LEFT(RegContabilizados2[[#This Row],[Subcuenta]],4))),Tabla11[Cuenta],Tabla11[Descripción],0)),0)</f>
        <v>0 0</v>
      </c>
      <c r="BJ20" s="1" t="str">
        <f>IFERROR((RegContabilizados2[[#This Row],[Subcuenta]]&amp;" "&amp;_xlfn.XLOOKUP(RegContabilizados2[[#This Row],[Subcuenta]],Tabla11[Cuenta],Tabla11[Descripción],0)),0)</f>
        <v>0 0</v>
      </c>
      <c r="BK20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PAGADO</v>
      </c>
      <c r="BL20" s="1" t="str">
        <f>IFERROR(LEFT(RegContabilizados2[[#This Row],[Idenficador]],SEARCH("-",RegContabilizados2[[#This Row],[Idenficador]])-1),0)</f>
        <v>Comp.Cont.1</v>
      </c>
      <c r="BN20" s="1" t="s">
        <v>1169</v>
      </c>
    </row>
    <row r="21" spans="4:69">
      <c r="D21" s="31">
        <f>IF(Regcontabilizados[[#This Row],[Eliminado]]="si","",RegContabilizados2[[#This Row],[fecha Factura]])</f>
        <v>45658</v>
      </c>
      <c r="E21" s="31">
        <f>IF(Regcontabilizados[[#This Row],[Eliminado]]="si","",RegContabilizados2[[#This Row],[Fecha vencimiento]])</f>
        <v>45658</v>
      </c>
      <c r="F21" s="3" t="str">
        <f>IF(Regcontabilizados[[#This Row],[Eliminado]]="si","",RegContabilizados2[[#This Row],[Idenficador]])</f>
        <v>Comp.Cont.1-5</v>
      </c>
      <c r="G21" s="3">
        <f>IF(Regcontabilizados[[#This Row],[Eliminado]]="si","",RegContabilizados2[[#This Row],[N° de factura/Pago]])</f>
        <v>1</v>
      </c>
      <c r="H21" s="1" t="str">
        <f>IF(Regcontabilizados[[#This Row],[Eliminado]]="si","",RegContabilizados2[[#This Row],[Tipo de Factura]])</f>
        <v>Comp.Cont.</v>
      </c>
      <c r="I21" s="1">
        <f>IF(Regcontabilizados[[#This Row],[Eliminado]]="si","",RegContabilizados2[[#This Row],[ID Cliente]])</f>
        <v>0</v>
      </c>
      <c r="J21" s="1">
        <f>IF(Regcontabilizados[[#This Row],[Eliminado]]="si","",RegContabilizados2[[#This Row],[ESTADO DEL IVA]])</f>
        <v>0</v>
      </c>
      <c r="K21" s="3">
        <f>IF(Regcontabilizados[[#This Row],[Eliminado]]="si","",RegContabilizados2[[#This Row],[ID Proveedor]])</f>
        <v>0</v>
      </c>
      <c r="L21" s="3">
        <f>IF(Regcontabilizados[[#This Row],[Eliminado]]="si","",RegContabilizados2[[#This Row],[Concepto]])</f>
        <v>0</v>
      </c>
      <c r="M21" s="3">
        <f>IF(Regcontabilizados[[#This Row],[Eliminado]]="si","",RegContabilizados2[[#This Row],[Categoría]])</f>
        <v>0</v>
      </c>
      <c r="N21" s="3">
        <f>IF(Regcontabilizados[[#This Row],[Eliminado]]="si","",RegContabilizados2[[#This Row],[Almacen]])</f>
        <v>0</v>
      </c>
      <c r="O21" s="3">
        <f>IF(Regcontabilizados[[#This Row],[Eliminado]]="si","",RegContabilizados2[[#This Row],[Tipo de movimiento]])</f>
        <v>0</v>
      </c>
      <c r="P21" s="1">
        <f>IF(Regcontabilizados[[#This Row],[Eliminado]]="si","",RegContabilizados2[[#This Row],[cantidad]])</f>
        <v>0</v>
      </c>
      <c r="Q21" s="1">
        <f>IF(Regcontabilizados[[#This Row],[Eliminado]]="si","",RegContabilizados2[[#This Row],[VR unitario]])</f>
        <v>0</v>
      </c>
      <c r="R21" s="1">
        <f>IF(Regcontabilizados[[#This Row],[Eliminado]]="si","",RegContabilizados2[[#This Row],[Subcuenta]])</f>
        <v>0</v>
      </c>
      <c r="S21" s="1">
        <f>IF(Regcontabilizados[[#This Row],[Eliminado]]="si","",RegContabilizados2[[#This Row],[Debe]])</f>
        <v>0</v>
      </c>
      <c r="T21" s="1">
        <f>IF(Regcontabilizados[[#This Row],[Eliminado]]="si","",RegContabilizados2[[#This Row],[Haber]])</f>
        <v>0</v>
      </c>
      <c r="U21" s="1">
        <f>IFERROR((Regcontabilizados[[#This Row],[Debe]]-Regcontabilizados[[#This Row],[Haber]]),0)</f>
        <v>0</v>
      </c>
      <c r="V21" s="1">
        <f>IFERROR((+_xlfn.XLOOKUP(Regcontabilizados[[#This Row],[Subcuenta]],Tabla11[Cuenta],Tabla11[Descripción],0)),0)</f>
        <v>0</v>
      </c>
      <c r="W21" s="1">
        <f>IFERROR((_xlfn.XLOOKUP((VALUE(LEFT(Regcontabilizados[[#This Row],[Subcuenta]],4))),Tabla11[Cuenta],Tabla11[Descripción],0)),0)</f>
        <v>0</v>
      </c>
      <c r="X21" s="1">
        <f>IFERROR((_xlfn.XLOOKUP(Regcontabilizados[[#This Row],[Subcuenta]],Tabla11[Cuenta],Tabla11[Descripción],0)),0)</f>
        <v>0</v>
      </c>
      <c r="Y21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21" s="1" t="str">
        <f>_xlfn.XLOOKUP(Regcontabilizados[[#This Row],[Subcuenta]],Tabla11[Cuenta],Tabla11[TIPO],"")</f>
        <v/>
      </c>
      <c r="AA21" s="1" t="str">
        <f>IFERROR((Regcontabilizados[[#This Row],[Subcuenta]]&amp;" "&amp;_xlfn.XLOOKUP(Regcontabilizados[[#This Row],[Subcuenta]],Tabla11[Cuenta],Tabla11[Descripción],0)),0)</f>
        <v>0 0</v>
      </c>
      <c r="AB21" s="1" t="str">
        <f>IFERROR((VALUE(LEFT(Regcontabilizados[[#This Row],[Subcuenta]],2))&amp;" "&amp;_xlfn.XLOOKUP((VALUE(LEFT(Regcontabilizados[[#This Row],[Subcuenta]],2))),Tabla11[Cuenta],Tabla11[Descripción],0)),0)</f>
        <v>0 0</v>
      </c>
      <c r="AC21" s="1" t="str">
        <f>IFERROR((VALUE(LEFT(Regcontabilizados[[#This Row],[Subcuenta]],4))&amp;" "&amp;_xlfn.XLOOKUP((VALUE(LEFT(Regcontabilizados[[#This Row],[Subcuenta]],4))),Tabla11[Cuenta],Tabla11[Descripción],0)),0)</f>
        <v>0 0</v>
      </c>
      <c r="AD21" s="1" t="str">
        <f>IF(Regcontabilizados[[#This Row],[Eliminado]]="si","",RegContabilizados2[[#This Row],[Estado de pago]])</f>
        <v>PAGADO</v>
      </c>
      <c r="AE21" s="1" t="str">
        <f>IF(Regcontabilizados[[#This Row],[Eliminado]]="si","",RegContabilizados2[[#This Row],[Colum. Aux. Estado]])</f>
        <v>Comp.Cont.1</v>
      </c>
      <c r="AF21" s="1">
        <f>IF(Regcontabilizados[[#This Row],[Eliminado]]="si","",RegContabilizados2[[#This Row],[Número de pago]])</f>
        <v>0</v>
      </c>
      <c r="AG21" s="1" t="str">
        <f>IF(Regcontabilizados[[#This Row],[Eliminado]]="si","",RegContabilizados2[[#This Row],[Elaborado por]])</f>
        <v>Responsable no especificado</v>
      </c>
      <c r="AH21" s="1">
        <f>IF(Regcontabilizados[[#This Row],[Eliminado]]="si","",RegContabilizados2[[#This Row],[Notas]])</f>
        <v>0</v>
      </c>
      <c r="AI21" s="1">
        <f>IF(Regcontabilizados[[#This Row],[Eliminado]]="si","",RegContabilizados2[[#This Row],[Método de pago]])</f>
        <v>0</v>
      </c>
      <c r="AJ21" s="1">
        <f>IF(Regcontabilizados[[#This Row],[Eliminado]]="si","",RegContabilizados2[[#This Row],[Cta. Bancaria]])</f>
        <v>0</v>
      </c>
      <c r="AO21" s="31">
        <v>45658</v>
      </c>
      <c r="AP21" s="31">
        <v>45658</v>
      </c>
      <c r="AQ21" s="3" t="s">
        <v>1353</v>
      </c>
      <c r="AR21" s="3">
        <v>1</v>
      </c>
      <c r="AS21" s="1" t="s">
        <v>1113</v>
      </c>
      <c r="AT21" s="1">
        <v>0</v>
      </c>
      <c r="AV21" s="3">
        <v>0</v>
      </c>
      <c r="AW21" s="3"/>
      <c r="AX21" s="3"/>
      <c r="AY21" s="3"/>
      <c r="AZ21" s="3"/>
      <c r="BC21" s="1">
        <v>0</v>
      </c>
      <c r="BD21" s="1">
        <v>0</v>
      </c>
      <c r="BE21" s="1">
        <v>0</v>
      </c>
      <c r="BF21" s="1">
        <f>IFERROR((RegContabilizados2[[#This Row],[Debe]]-RegContabilizados2[[#This Row],[Haber]]),0)</f>
        <v>0</v>
      </c>
      <c r="BG21" s="1">
        <f>IFERROR((+_xlfn.XLOOKUP(RegContabilizados2[[#This Row],[Subcuenta]],Tabla11[Cuenta],Tabla11[Descripción],0)),0)</f>
        <v>0</v>
      </c>
      <c r="BH21" s="1" t="str">
        <f>IFERROR((VALUE(LEFT(RegContabilizados2[[#This Row],[Subcuenta]],2))&amp;" "&amp;_xlfn.XLOOKUP((VALUE(LEFT(RegContabilizados2[[#This Row],[Subcuenta]],2))),Tabla11[Cuenta],Tabla11[Descripción],0)),0)</f>
        <v>0 0</v>
      </c>
      <c r="BI21" s="1" t="str">
        <f>IFERROR((VALUE(LEFT(RegContabilizados2[[#This Row],[Subcuenta]],4))&amp;" "&amp;_xlfn.XLOOKUP((VALUE(LEFT(RegContabilizados2[[#This Row],[Subcuenta]],4))),Tabla11[Cuenta],Tabla11[Descripción],0)),0)</f>
        <v>0 0</v>
      </c>
      <c r="BJ21" s="1" t="str">
        <f>IFERROR((RegContabilizados2[[#This Row],[Subcuenta]]&amp;" "&amp;_xlfn.XLOOKUP(RegContabilizados2[[#This Row],[Subcuenta]],Tabla11[Cuenta],Tabla11[Descripción],0)),0)</f>
        <v>0 0</v>
      </c>
      <c r="BK21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PAGADO</v>
      </c>
      <c r="BL21" s="1" t="str">
        <f>IFERROR(LEFT(RegContabilizados2[[#This Row],[Idenficador]],SEARCH("-",RegContabilizados2[[#This Row],[Idenficador]])-1),0)</f>
        <v>Comp.Cont.1</v>
      </c>
      <c r="BN21" s="1" t="s">
        <v>1169</v>
      </c>
    </row>
    <row r="22" spans="4:69">
      <c r="D22" s="31">
        <f>IF(Regcontabilizados[[#This Row],[Eliminado]]="si","",RegContabilizados2[[#This Row],[fecha Factura]])</f>
        <v>45658</v>
      </c>
      <c r="E22" s="31">
        <f>IF(Regcontabilizados[[#This Row],[Eliminado]]="si","",RegContabilizados2[[#This Row],[Fecha vencimiento]])</f>
        <v>45658</v>
      </c>
      <c r="F22" s="3" t="str">
        <f>IF(Regcontabilizados[[#This Row],[Eliminado]]="si","",RegContabilizados2[[#This Row],[Idenficador]])</f>
        <v>Comp.Cont.1-6</v>
      </c>
      <c r="G22" s="3">
        <f>IF(Regcontabilizados[[#This Row],[Eliminado]]="si","",RegContabilizados2[[#This Row],[N° de factura/Pago]])</f>
        <v>1</v>
      </c>
      <c r="H22" s="1" t="str">
        <f>IF(Regcontabilizados[[#This Row],[Eliminado]]="si","",RegContabilizados2[[#This Row],[Tipo de Factura]])</f>
        <v>Comp.Cont.</v>
      </c>
      <c r="I22" s="1">
        <f>IF(Regcontabilizados[[#This Row],[Eliminado]]="si","",RegContabilizados2[[#This Row],[ID Cliente]])</f>
        <v>0</v>
      </c>
      <c r="J22" s="1">
        <f>IF(Regcontabilizados[[#This Row],[Eliminado]]="si","",RegContabilizados2[[#This Row],[ESTADO DEL IVA]])</f>
        <v>0</v>
      </c>
      <c r="K22" s="3">
        <f>IF(Regcontabilizados[[#This Row],[Eliminado]]="si","",RegContabilizados2[[#This Row],[ID Proveedor]])</f>
        <v>0</v>
      </c>
      <c r="L22" s="3">
        <f>IF(Regcontabilizados[[#This Row],[Eliminado]]="si","",RegContabilizados2[[#This Row],[Concepto]])</f>
        <v>0</v>
      </c>
      <c r="M22" s="3">
        <f>IF(Regcontabilizados[[#This Row],[Eliminado]]="si","",RegContabilizados2[[#This Row],[Categoría]])</f>
        <v>0</v>
      </c>
      <c r="N22" s="3">
        <f>IF(Regcontabilizados[[#This Row],[Eliminado]]="si","",RegContabilizados2[[#This Row],[Almacen]])</f>
        <v>0</v>
      </c>
      <c r="O22" s="3">
        <f>IF(Regcontabilizados[[#This Row],[Eliminado]]="si","",RegContabilizados2[[#This Row],[Tipo de movimiento]])</f>
        <v>0</v>
      </c>
      <c r="P22" s="1">
        <f>IF(Regcontabilizados[[#This Row],[Eliminado]]="si","",RegContabilizados2[[#This Row],[cantidad]])</f>
        <v>0</v>
      </c>
      <c r="Q22" s="1">
        <f>IF(Regcontabilizados[[#This Row],[Eliminado]]="si","",RegContabilizados2[[#This Row],[VR unitario]])</f>
        <v>0</v>
      </c>
      <c r="R22" s="1">
        <f>IF(Regcontabilizados[[#This Row],[Eliminado]]="si","",RegContabilizados2[[#This Row],[Subcuenta]])</f>
        <v>0</v>
      </c>
      <c r="S22" s="1">
        <f>IF(Regcontabilizados[[#This Row],[Eliminado]]="si","",RegContabilizados2[[#This Row],[Debe]])</f>
        <v>0</v>
      </c>
      <c r="T22" s="1">
        <f>IF(Regcontabilizados[[#This Row],[Eliminado]]="si","",RegContabilizados2[[#This Row],[Haber]])</f>
        <v>0</v>
      </c>
      <c r="U22" s="1">
        <f>IFERROR((Regcontabilizados[[#This Row],[Debe]]-Regcontabilizados[[#This Row],[Haber]]),0)</f>
        <v>0</v>
      </c>
      <c r="V22" s="1">
        <f>IFERROR((+_xlfn.XLOOKUP(Regcontabilizados[[#This Row],[Subcuenta]],Tabla11[Cuenta],Tabla11[Descripción],0)),0)</f>
        <v>0</v>
      </c>
      <c r="W22" s="1">
        <f>IFERROR((_xlfn.XLOOKUP((VALUE(LEFT(Regcontabilizados[[#This Row],[Subcuenta]],4))),Tabla11[Cuenta],Tabla11[Descripción],0)),0)</f>
        <v>0</v>
      </c>
      <c r="X22" s="1">
        <f>IFERROR((_xlfn.XLOOKUP(Regcontabilizados[[#This Row],[Subcuenta]],Tabla11[Cuenta],Tabla11[Descripción],0)),0)</f>
        <v>0</v>
      </c>
      <c r="Y22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22" s="1" t="str">
        <f>_xlfn.XLOOKUP(Regcontabilizados[[#This Row],[Subcuenta]],Tabla11[Cuenta],Tabla11[TIPO],"")</f>
        <v/>
      </c>
      <c r="AA22" s="1" t="str">
        <f>IFERROR((Regcontabilizados[[#This Row],[Subcuenta]]&amp;" "&amp;_xlfn.XLOOKUP(Regcontabilizados[[#This Row],[Subcuenta]],Tabla11[Cuenta],Tabla11[Descripción],0)),0)</f>
        <v>0 0</v>
      </c>
      <c r="AB22" s="1" t="str">
        <f>IFERROR((VALUE(LEFT(Regcontabilizados[[#This Row],[Subcuenta]],2))&amp;" "&amp;_xlfn.XLOOKUP((VALUE(LEFT(Regcontabilizados[[#This Row],[Subcuenta]],2))),Tabla11[Cuenta],Tabla11[Descripción],0)),0)</f>
        <v>0 0</v>
      </c>
      <c r="AC22" s="1" t="str">
        <f>IFERROR((VALUE(LEFT(Regcontabilizados[[#This Row],[Subcuenta]],4))&amp;" "&amp;_xlfn.XLOOKUP((VALUE(LEFT(Regcontabilizados[[#This Row],[Subcuenta]],4))),Tabla11[Cuenta],Tabla11[Descripción],0)),0)</f>
        <v>0 0</v>
      </c>
      <c r="AD22" s="1" t="str">
        <f>IF(Regcontabilizados[[#This Row],[Eliminado]]="si","",RegContabilizados2[[#This Row],[Estado de pago]])</f>
        <v>PAGADO</v>
      </c>
      <c r="AE22" s="1" t="str">
        <f>IF(Regcontabilizados[[#This Row],[Eliminado]]="si","",RegContabilizados2[[#This Row],[Colum. Aux. Estado]])</f>
        <v>Comp.Cont.1</v>
      </c>
      <c r="AF22" s="1">
        <f>IF(Regcontabilizados[[#This Row],[Eliminado]]="si","",RegContabilizados2[[#This Row],[Número de pago]])</f>
        <v>0</v>
      </c>
      <c r="AG22" s="1" t="str">
        <f>IF(Regcontabilizados[[#This Row],[Eliminado]]="si","",RegContabilizados2[[#This Row],[Elaborado por]])</f>
        <v>Responsable no especificado</v>
      </c>
      <c r="AH22" s="1">
        <f>IF(Regcontabilizados[[#This Row],[Eliminado]]="si","",RegContabilizados2[[#This Row],[Notas]])</f>
        <v>0</v>
      </c>
      <c r="AI22" s="1">
        <f>IF(Regcontabilizados[[#This Row],[Eliminado]]="si","",RegContabilizados2[[#This Row],[Método de pago]])</f>
        <v>0</v>
      </c>
      <c r="AJ22" s="1">
        <f>IF(Regcontabilizados[[#This Row],[Eliminado]]="si","",RegContabilizados2[[#This Row],[Cta. Bancaria]])</f>
        <v>0</v>
      </c>
      <c r="AO22" s="31">
        <v>45658</v>
      </c>
      <c r="AP22" s="31">
        <v>45658</v>
      </c>
      <c r="AQ22" s="3" t="s">
        <v>1354</v>
      </c>
      <c r="AR22" s="3">
        <v>1</v>
      </c>
      <c r="AS22" s="1" t="s">
        <v>1113</v>
      </c>
      <c r="AT22" s="1">
        <v>0</v>
      </c>
      <c r="AV22" s="3">
        <v>0</v>
      </c>
      <c r="AW22" s="3"/>
      <c r="AX22" s="3"/>
      <c r="AY22" s="3"/>
      <c r="AZ22" s="3"/>
      <c r="BC22" s="1">
        <v>0</v>
      </c>
      <c r="BD22" s="1">
        <v>0</v>
      </c>
      <c r="BE22" s="1">
        <v>0</v>
      </c>
      <c r="BF22" s="1">
        <f>IFERROR((RegContabilizados2[[#This Row],[Debe]]-RegContabilizados2[[#This Row],[Haber]]),0)</f>
        <v>0</v>
      </c>
      <c r="BG22" s="1">
        <f>IFERROR((+_xlfn.XLOOKUP(RegContabilizados2[[#This Row],[Subcuenta]],Tabla11[Cuenta],Tabla11[Descripción],0)),0)</f>
        <v>0</v>
      </c>
      <c r="BH22" s="1" t="str">
        <f>IFERROR((VALUE(LEFT(RegContabilizados2[[#This Row],[Subcuenta]],2))&amp;" "&amp;_xlfn.XLOOKUP((VALUE(LEFT(RegContabilizados2[[#This Row],[Subcuenta]],2))),Tabla11[Cuenta],Tabla11[Descripción],0)),0)</f>
        <v>0 0</v>
      </c>
      <c r="BI22" s="1" t="str">
        <f>IFERROR((VALUE(LEFT(RegContabilizados2[[#This Row],[Subcuenta]],4))&amp;" "&amp;_xlfn.XLOOKUP((VALUE(LEFT(RegContabilizados2[[#This Row],[Subcuenta]],4))),Tabla11[Cuenta],Tabla11[Descripción],0)),0)</f>
        <v>0 0</v>
      </c>
      <c r="BJ22" s="1" t="str">
        <f>IFERROR((RegContabilizados2[[#This Row],[Subcuenta]]&amp;" "&amp;_xlfn.XLOOKUP(RegContabilizados2[[#This Row],[Subcuenta]],Tabla11[Cuenta],Tabla11[Descripción],0)),0)</f>
        <v>0 0</v>
      </c>
      <c r="BK22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PAGADO</v>
      </c>
      <c r="BL22" s="1" t="str">
        <f>IFERROR(LEFT(RegContabilizados2[[#This Row],[Idenficador]],SEARCH("-",RegContabilizados2[[#This Row],[Idenficador]])-1),0)</f>
        <v>Comp.Cont.1</v>
      </c>
      <c r="BN22" s="1" t="s">
        <v>1169</v>
      </c>
    </row>
    <row r="23" spans="4:69">
      <c r="D23" s="31">
        <f>IF(Regcontabilizados[[#This Row],[Eliminado]]="si","",RegContabilizados2[[#This Row],[fecha Factura]])</f>
        <v>45658</v>
      </c>
      <c r="E23" s="31">
        <f>IF(Regcontabilizados[[#This Row],[Eliminado]]="si","",RegContabilizados2[[#This Row],[Fecha vencimiento]])</f>
        <v>45658</v>
      </c>
      <c r="F23" s="3" t="str">
        <f>IF(Regcontabilizados[[#This Row],[Eliminado]]="si","",RegContabilizados2[[#This Row],[Idenficador]])</f>
        <v>Comp.Cont.1-7</v>
      </c>
      <c r="G23" s="3">
        <f>IF(Regcontabilizados[[#This Row],[Eliminado]]="si","",RegContabilizados2[[#This Row],[N° de factura/Pago]])</f>
        <v>1</v>
      </c>
      <c r="H23" s="1" t="str">
        <f>IF(Regcontabilizados[[#This Row],[Eliminado]]="si","",RegContabilizados2[[#This Row],[Tipo de Factura]])</f>
        <v>Comp.Cont.</v>
      </c>
      <c r="I23" s="1">
        <f>IF(Regcontabilizados[[#This Row],[Eliminado]]="si","",RegContabilizados2[[#This Row],[ID Cliente]])</f>
        <v>0</v>
      </c>
      <c r="J23" s="1">
        <f>IF(Regcontabilizados[[#This Row],[Eliminado]]="si","",RegContabilizados2[[#This Row],[ESTADO DEL IVA]])</f>
        <v>0</v>
      </c>
      <c r="K23" s="3">
        <f>IF(Regcontabilizados[[#This Row],[Eliminado]]="si","",RegContabilizados2[[#This Row],[ID Proveedor]])</f>
        <v>0</v>
      </c>
      <c r="L23" s="3">
        <f>IF(Regcontabilizados[[#This Row],[Eliminado]]="si","",RegContabilizados2[[#This Row],[Concepto]])</f>
        <v>0</v>
      </c>
      <c r="M23" s="3">
        <f>IF(Regcontabilizados[[#This Row],[Eliminado]]="si","",RegContabilizados2[[#This Row],[Categoría]])</f>
        <v>0</v>
      </c>
      <c r="N23" s="3">
        <f>IF(Regcontabilizados[[#This Row],[Eliminado]]="si","",RegContabilizados2[[#This Row],[Almacen]])</f>
        <v>0</v>
      </c>
      <c r="O23" s="3">
        <f>IF(Regcontabilizados[[#This Row],[Eliminado]]="si","",RegContabilizados2[[#This Row],[Tipo de movimiento]])</f>
        <v>0</v>
      </c>
      <c r="P23" s="1">
        <f>IF(Regcontabilizados[[#This Row],[Eliminado]]="si","",RegContabilizados2[[#This Row],[cantidad]])</f>
        <v>0</v>
      </c>
      <c r="Q23" s="1">
        <f>IF(Regcontabilizados[[#This Row],[Eliminado]]="si","",RegContabilizados2[[#This Row],[VR unitario]])</f>
        <v>0</v>
      </c>
      <c r="R23" s="1">
        <f>IF(Regcontabilizados[[#This Row],[Eliminado]]="si","",RegContabilizados2[[#This Row],[Subcuenta]])</f>
        <v>0</v>
      </c>
      <c r="S23" s="1">
        <f>IF(Regcontabilizados[[#This Row],[Eliminado]]="si","",RegContabilizados2[[#This Row],[Debe]])</f>
        <v>0</v>
      </c>
      <c r="T23" s="1">
        <f>IF(Regcontabilizados[[#This Row],[Eliminado]]="si","",RegContabilizados2[[#This Row],[Haber]])</f>
        <v>0</v>
      </c>
      <c r="U23" s="1">
        <f>IFERROR((Regcontabilizados[[#This Row],[Debe]]-Regcontabilizados[[#This Row],[Haber]]),0)</f>
        <v>0</v>
      </c>
      <c r="V23" s="1">
        <f>IFERROR((+_xlfn.XLOOKUP(Regcontabilizados[[#This Row],[Subcuenta]],Tabla11[Cuenta],Tabla11[Descripción],0)),0)</f>
        <v>0</v>
      </c>
      <c r="W23" s="1">
        <f>IFERROR((_xlfn.XLOOKUP((VALUE(LEFT(Regcontabilizados[[#This Row],[Subcuenta]],4))),Tabla11[Cuenta],Tabla11[Descripción],0)),0)</f>
        <v>0</v>
      </c>
      <c r="X23" s="1">
        <f>IFERROR((_xlfn.XLOOKUP(Regcontabilizados[[#This Row],[Subcuenta]],Tabla11[Cuenta],Tabla11[Descripción],0)),0)</f>
        <v>0</v>
      </c>
      <c r="Y23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23" s="1" t="str">
        <f>_xlfn.XLOOKUP(Regcontabilizados[[#This Row],[Subcuenta]],Tabla11[Cuenta],Tabla11[TIPO],"")</f>
        <v/>
      </c>
      <c r="AA23" s="1" t="str">
        <f>IFERROR((Regcontabilizados[[#This Row],[Subcuenta]]&amp;" "&amp;_xlfn.XLOOKUP(Regcontabilizados[[#This Row],[Subcuenta]],Tabla11[Cuenta],Tabla11[Descripción],0)),0)</f>
        <v>0 0</v>
      </c>
      <c r="AB23" s="1" t="str">
        <f>IFERROR((VALUE(LEFT(Regcontabilizados[[#This Row],[Subcuenta]],2))&amp;" "&amp;_xlfn.XLOOKUP((VALUE(LEFT(Regcontabilizados[[#This Row],[Subcuenta]],2))),Tabla11[Cuenta],Tabla11[Descripción],0)),0)</f>
        <v>0 0</v>
      </c>
      <c r="AC23" s="1" t="str">
        <f>IFERROR((VALUE(LEFT(Regcontabilizados[[#This Row],[Subcuenta]],4))&amp;" "&amp;_xlfn.XLOOKUP((VALUE(LEFT(Regcontabilizados[[#This Row],[Subcuenta]],4))),Tabla11[Cuenta],Tabla11[Descripción],0)),0)</f>
        <v>0 0</v>
      </c>
      <c r="AD23" s="1" t="str">
        <f>IF(Regcontabilizados[[#This Row],[Eliminado]]="si","",RegContabilizados2[[#This Row],[Estado de pago]])</f>
        <v>PAGADO</v>
      </c>
      <c r="AE23" s="1" t="str">
        <f>IF(Regcontabilizados[[#This Row],[Eliminado]]="si","",RegContabilizados2[[#This Row],[Colum. Aux. Estado]])</f>
        <v>Comp.Cont.1</v>
      </c>
      <c r="AF23" s="1">
        <f>IF(Regcontabilizados[[#This Row],[Eliminado]]="si","",RegContabilizados2[[#This Row],[Número de pago]])</f>
        <v>0</v>
      </c>
      <c r="AG23" s="1" t="str">
        <f>IF(Regcontabilizados[[#This Row],[Eliminado]]="si","",RegContabilizados2[[#This Row],[Elaborado por]])</f>
        <v>Responsable no especificado</v>
      </c>
      <c r="AH23" s="1">
        <f>IF(Regcontabilizados[[#This Row],[Eliminado]]="si","",RegContabilizados2[[#This Row],[Notas]])</f>
        <v>0</v>
      </c>
      <c r="AI23" s="1">
        <f>IF(Regcontabilizados[[#This Row],[Eliminado]]="si","",RegContabilizados2[[#This Row],[Método de pago]])</f>
        <v>0</v>
      </c>
      <c r="AJ23" s="1">
        <f>IF(Regcontabilizados[[#This Row],[Eliminado]]="si","",RegContabilizados2[[#This Row],[Cta. Bancaria]])</f>
        <v>0</v>
      </c>
      <c r="AO23" s="31">
        <v>45658</v>
      </c>
      <c r="AP23" s="31">
        <v>45658</v>
      </c>
      <c r="AQ23" s="3" t="s">
        <v>1355</v>
      </c>
      <c r="AR23" s="3">
        <v>1</v>
      </c>
      <c r="AS23" s="1" t="s">
        <v>1113</v>
      </c>
      <c r="AT23" s="1">
        <v>0</v>
      </c>
      <c r="AV23" s="3">
        <v>0</v>
      </c>
      <c r="AW23" s="3"/>
      <c r="AX23" s="3"/>
      <c r="AY23" s="3"/>
      <c r="AZ23" s="3"/>
      <c r="BC23" s="1">
        <v>0</v>
      </c>
      <c r="BD23" s="1">
        <v>0</v>
      </c>
      <c r="BE23" s="1">
        <v>0</v>
      </c>
      <c r="BF23" s="1">
        <f>IFERROR((RegContabilizados2[[#This Row],[Debe]]-RegContabilizados2[[#This Row],[Haber]]),0)</f>
        <v>0</v>
      </c>
      <c r="BG23" s="1">
        <f>IFERROR((+_xlfn.XLOOKUP(RegContabilizados2[[#This Row],[Subcuenta]],Tabla11[Cuenta],Tabla11[Descripción],0)),0)</f>
        <v>0</v>
      </c>
      <c r="BH23" s="1" t="str">
        <f>IFERROR((VALUE(LEFT(RegContabilizados2[[#This Row],[Subcuenta]],2))&amp;" "&amp;_xlfn.XLOOKUP((VALUE(LEFT(RegContabilizados2[[#This Row],[Subcuenta]],2))),Tabla11[Cuenta],Tabla11[Descripción],0)),0)</f>
        <v>0 0</v>
      </c>
      <c r="BI23" s="1" t="str">
        <f>IFERROR((VALUE(LEFT(RegContabilizados2[[#This Row],[Subcuenta]],4))&amp;" "&amp;_xlfn.XLOOKUP((VALUE(LEFT(RegContabilizados2[[#This Row],[Subcuenta]],4))),Tabla11[Cuenta],Tabla11[Descripción],0)),0)</f>
        <v>0 0</v>
      </c>
      <c r="BJ23" s="1" t="str">
        <f>IFERROR((RegContabilizados2[[#This Row],[Subcuenta]]&amp;" "&amp;_xlfn.XLOOKUP(RegContabilizados2[[#This Row],[Subcuenta]],Tabla11[Cuenta],Tabla11[Descripción],0)),0)</f>
        <v>0 0</v>
      </c>
      <c r="BK23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PAGADO</v>
      </c>
      <c r="BL23" s="1" t="str">
        <f>IFERROR(LEFT(RegContabilizados2[[#This Row],[Idenficador]],SEARCH("-",RegContabilizados2[[#This Row],[Idenficador]])-1),0)</f>
        <v>Comp.Cont.1</v>
      </c>
      <c r="BN23" s="1" t="s">
        <v>1169</v>
      </c>
    </row>
    <row r="24" spans="4:69">
      <c r="D24" s="31">
        <f>IF(Regcontabilizados[[#This Row],[Eliminado]]="si","",RegContabilizados2[[#This Row],[fecha Factura]])</f>
        <v>45658</v>
      </c>
      <c r="E24" s="31">
        <f>IF(Regcontabilizados[[#This Row],[Eliminado]]="si","",RegContabilizados2[[#This Row],[Fecha vencimiento]])</f>
        <v>45658</v>
      </c>
      <c r="F24" s="3" t="str">
        <f>IF(Regcontabilizados[[#This Row],[Eliminado]]="si","",RegContabilizados2[[#This Row],[Idenficador]])</f>
        <v>Comp.Cont.1-8</v>
      </c>
      <c r="G24" s="3">
        <f>IF(Regcontabilizados[[#This Row],[Eliminado]]="si","",RegContabilizados2[[#This Row],[N° de factura/Pago]])</f>
        <v>1</v>
      </c>
      <c r="H24" s="1" t="str">
        <f>IF(Regcontabilizados[[#This Row],[Eliminado]]="si","",RegContabilizados2[[#This Row],[Tipo de Factura]])</f>
        <v>Comp.Cont.</v>
      </c>
      <c r="I24" s="1">
        <f>IF(Regcontabilizados[[#This Row],[Eliminado]]="si","",RegContabilizados2[[#This Row],[ID Cliente]])</f>
        <v>0</v>
      </c>
      <c r="J24" s="1">
        <f>IF(Regcontabilizados[[#This Row],[Eliminado]]="si","",RegContabilizados2[[#This Row],[ESTADO DEL IVA]])</f>
        <v>0</v>
      </c>
      <c r="K24" s="3">
        <f>IF(Regcontabilizados[[#This Row],[Eliminado]]="si","",RegContabilizados2[[#This Row],[ID Proveedor]])</f>
        <v>0</v>
      </c>
      <c r="L24" s="3">
        <f>IF(Regcontabilizados[[#This Row],[Eliminado]]="si","",RegContabilizados2[[#This Row],[Concepto]])</f>
        <v>0</v>
      </c>
      <c r="M24" s="3">
        <f>IF(Regcontabilizados[[#This Row],[Eliminado]]="si","",RegContabilizados2[[#This Row],[Categoría]])</f>
        <v>0</v>
      </c>
      <c r="N24" s="3">
        <f>IF(Regcontabilizados[[#This Row],[Eliminado]]="si","",RegContabilizados2[[#This Row],[Almacen]])</f>
        <v>0</v>
      </c>
      <c r="O24" s="3">
        <f>IF(Regcontabilizados[[#This Row],[Eliminado]]="si","",RegContabilizados2[[#This Row],[Tipo de movimiento]])</f>
        <v>0</v>
      </c>
      <c r="P24" s="1">
        <f>IF(Regcontabilizados[[#This Row],[Eliminado]]="si","",RegContabilizados2[[#This Row],[cantidad]])</f>
        <v>0</v>
      </c>
      <c r="Q24" s="1">
        <f>IF(Regcontabilizados[[#This Row],[Eliminado]]="si","",RegContabilizados2[[#This Row],[VR unitario]])</f>
        <v>0</v>
      </c>
      <c r="R24" s="1">
        <f>IF(Regcontabilizados[[#This Row],[Eliminado]]="si","",RegContabilizados2[[#This Row],[Subcuenta]])</f>
        <v>0</v>
      </c>
      <c r="S24" s="1">
        <f>IF(Regcontabilizados[[#This Row],[Eliminado]]="si","",RegContabilizados2[[#This Row],[Debe]])</f>
        <v>0</v>
      </c>
      <c r="T24" s="1">
        <f>IF(Regcontabilizados[[#This Row],[Eliminado]]="si","",RegContabilizados2[[#This Row],[Haber]])</f>
        <v>0</v>
      </c>
      <c r="U24" s="1">
        <f>IFERROR((Regcontabilizados[[#This Row],[Debe]]-Regcontabilizados[[#This Row],[Haber]]),0)</f>
        <v>0</v>
      </c>
      <c r="V24" s="1">
        <f>IFERROR((+_xlfn.XLOOKUP(Regcontabilizados[[#This Row],[Subcuenta]],Tabla11[Cuenta],Tabla11[Descripción],0)),0)</f>
        <v>0</v>
      </c>
      <c r="W24" s="1">
        <f>IFERROR((_xlfn.XLOOKUP((VALUE(LEFT(Regcontabilizados[[#This Row],[Subcuenta]],4))),Tabla11[Cuenta],Tabla11[Descripción],0)),0)</f>
        <v>0</v>
      </c>
      <c r="X24" s="1">
        <f>IFERROR((_xlfn.XLOOKUP(Regcontabilizados[[#This Row],[Subcuenta]],Tabla11[Cuenta],Tabla11[Descripción],0)),0)</f>
        <v>0</v>
      </c>
      <c r="Y24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24" s="1" t="str">
        <f>_xlfn.XLOOKUP(Regcontabilizados[[#This Row],[Subcuenta]],Tabla11[Cuenta],Tabla11[TIPO],"")</f>
        <v/>
      </c>
      <c r="AA24" s="1" t="str">
        <f>IFERROR((Regcontabilizados[[#This Row],[Subcuenta]]&amp;" "&amp;_xlfn.XLOOKUP(Regcontabilizados[[#This Row],[Subcuenta]],Tabla11[Cuenta],Tabla11[Descripción],0)),0)</f>
        <v>0 0</v>
      </c>
      <c r="AB24" s="1" t="str">
        <f>IFERROR((VALUE(LEFT(Regcontabilizados[[#This Row],[Subcuenta]],2))&amp;" "&amp;_xlfn.XLOOKUP((VALUE(LEFT(Regcontabilizados[[#This Row],[Subcuenta]],2))),Tabla11[Cuenta],Tabla11[Descripción],0)),0)</f>
        <v>0 0</v>
      </c>
      <c r="AC24" s="1" t="str">
        <f>IFERROR((VALUE(LEFT(Regcontabilizados[[#This Row],[Subcuenta]],4))&amp;" "&amp;_xlfn.XLOOKUP((VALUE(LEFT(Regcontabilizados[[#This Row],[Subcuenta]],4))),Tabla11[Cuenta],Tabla11[Descripción],0)),0)</f>
        <v>0 0</v>
      </c>
      <c r="AD24" s="1" t="str">
        <f>IF(Regcontabilizados[[#This Row],[Eliminado]]="si","",RegContabilizados2[[#This Row],[Estado de pago]])</f>
        <v>PAGADO</v>
      </c>
      <c r="AE24" s="1" t="str">
        <f>IF(Regcontabilizados[[#This Row],[Eliminado]]="si","",RegContabilizados2[[#This Row],[Colum. Aux. Estado]])</f>
        <v>Comp.Cont.1</v>
      </c>
      <c r="AF24" s="1">
        <f>IF(Regcontabilizados[[#This Row],[Eliminado]]="si","",RegContabilizados2[[#This Row],[Número de pago]])</f>
        <v>0</v>
      </c>
      <c r="AG24" s="1" t="str">
        <f>IF(Regcontabilizados[[#This Row],[Eliminado]]="si","",RegContabilizados2[[#This Row],[Elaborado por]])</f>
        <v>Responsable no especificado</v>
      </c>
      <c r="AH24" s="1">
        <f>IF(Regcontabilizados[[#This Row],[Eliminado]]="si","",RegContabilizados2[[#This Row],[Notas]])</f>
        <v>0</v>
      </c>
      <c r="AI24" s="1">
        <f>IF(Regcontabilizados[[#This Row],[Eliminado]]="si","",RegContabilizados2[[#This Row],[Método de pago]])</f>
        <v>0</v>
      </c>
      <c r="AJ24" s="1">
        <f>IF(Regcontabilizados[[#This Row],[Eliminado]]="si","",RegContabilizados2[[#This Row],[Cta. Bancaria]])</f>
        <v>0</v>
      </c>
      <c r="AO24" s="31">
        <v>45658</v>
      </c>
      <c r="AP24" s="31">
        <v>45658</v>
      </c>
      <c r="AQ24" s="3" t="s">
        <v>1356</v>
      </c>
      <c r="AR24" s="3">
        <v>1</v>
      </c>
      <c r="AS24" s="1" t="s">
        <v>1113</v>
      </c>
      <c r="AT24" s="1">
        <v>0</v>
      </c>
      <c r="AV24" s="3">
        <v>0</v>
      </c>
      <c r="AW24" s="3"/>
      <c r="AX24" s="3"/>
      <c r="AY24" s="3"/>
      <c r="AZ24" s="3"/>
      <c r="BC24" s="1">
        <v>0</v>
      </c>
      <c r="BD24" s="1">
        <v>0</v>
      </c>
      <c r="BE24" s="1">
        <v>0</v>
      </c>
      <c r="BF24" s="1">
        <f>IFERROR((RegContabilizados2[[#This Row],[Debe]]-RegContabilizados2[[#This Row],[Haber]]),0)</f>
        <v>0</v>
      </c>
      <c r="BG24" s="1">
        <f>IFERROR((+_xlfn.XLOOKUP(RegContabilizados2[[#This Row],[Subcuenta]],Tabla11[Cuenta],Tabla11[Descripción],0)),0)</f>
        <v>0</v>
      </c>
      <c r="BH24" s="1" t="str">
        <f>IFERROR((VALUE(LEFT(RegContabilizados2[[#This Row],[Subcuenta]],2))&amp;" "&amp;_xlfn.XLOOKUP((VALUE(LEFT(RegContabilizados2[[#This Row],[Subcuenta]],2))),Tabla11[Cuenta],Tabla11[Descripción],0)),0)</f>
        <v>0 0</v>
      </c>
      <c r="BI24" s="1" t="str">
        <f>IFERROR((VALUE(LEFT(RegContabilizados2[[#This Row],[Subcuenta]],4))&amp;" "&amp;_xlfn.XLOOKUP((VALUE(LEFT(RegContabilizados2[[#This Row],[Subcuenta]],4))),Tabla11[Cuenta],Tabla11[Descripción],0)),0)</f>
        <v>0 0</v>
      </c>
      <c r="BJ24" s="1" t="str">
        <f>IFERROR((RegContabilizados2[[#This Row],[Subcuenta]]&amp;" "&amp;_xlfn.XLOOKUP(RegContabilizados2[[#This Row],[Subcuenta]],Tabla11[Cuenta],Tabla11[Descripción],0)),0)</f>
        <v>0 0</v>
      </c>
      <c r="BK24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PAGADO</v>
      </c>
      <c r="BL24" s="1" t="str">
        <f>IFERROR(LEFT(RegContabilizados2[[#This Row],[Idenficador]],SEARCH("-",RegContabilizados2[[#This Row],[Idenficador]])-1),0)</f>
        <v>Comp.Cont.1</v>
      </c>
      <c r="BN24" s="1" t="s">
        <v>1169</v>
      </c>
    </row>
    <row r="25" spans="4:69">
      <c r="D25" s="31">
        <f>IF(Regcontabilizados[[#This Row],[Eliminado]]="si","",RegContabilizados2[[#This Row],[fecha Factura]])</f>
        <v>45658</v>
      </c>
      <c r="E25" s="31">
        <f>IF(Regcontabilizados[[#This Row],[Eliminado]]="si","",RegContabilizados2[[#This Row],[Fecha vencimiento]])</f>
        <v>45658</v>
      </c>
      <c r="F25" s="3" t="str">
        <f>IF(Regcontabilizados[[#This Row],[Eliminado]]="si","",RegContabilizados2[[#This Row],[Idenficador]])</f>
        <v>Comp.Cont.1-9</v>
      </c>
      <c r="G25" s="3">
        <f>IF(Regcontabilizados[[#This Row],[Eliminado]]="si","",RegContabilizados2[[#This Row],[N° de factura/Pago]])</f>
        <v>1</v>
      </c>
      <c r="H25" s="1" t="str">
        <f>IF(Regcontabilizados[[#This Row],[Eliminado]]="si","",RegContabilizados2[[#This Row],[Tipo de Factura]])</f>
        <v>Comp.Cont.</v>
      </c>
      <c r="I25" s="1">
        <f>IF(Regcontabilizados[[#This Row],[Eliminado]]="si","",RegContabilizados2[[#This Row],[ID Cliente]])</f>
        <v>0</v>
      </c>
      <c r="J25" s="1">
        <f>IF(Regcontabilizados[[#This Row],[Eliminado]]="si","",RegContabilizados2[[#This Row],[ESTADO DEL IVA]])</f>
        <v>0</v>
      </c>
      <c r="K25" s="3">
        <f>IF(Regcontabilizados[[#This Row],[Eliminado]]="si","",RegContabilizados2[[#This Row],[ID Proveedor]])</f>
        <v>0</v>
      </c>
      <c r="L25" s="3">
        <f>IF(Regcontabilizados[[#This Row],[Eliminado]]="si","",RegContabilizados2[[#This Row],[Concepto]])</f>
        <v>0</v>
      </c>
      <c r="M25" s="3">
        <f>IF(Regcontabilizados[[#This Row],[Eliminado]]="si","",RegContabilizados2[[#This Row],[Categoría]])</f>
        <v>0</v>
      </c>
      <c r="N25" s="3">
        <f>IF(Regcontabilizados[[#This Row],[Eliminado]]="si","",RegContabilizados2[[#This Row],[Almacen]])</f>
        <v>0</v>
      </c>
      <c r="O25" s="3">
        <f>IF(Regcontabilizados[[#This Row],[Eliminado]]="si","",RegContabilizados2[[#This Row],[Tipo de movimiento]])</f>
        <v>0</v>
      </c>
      <c r="P25" s="1">
        <f>IF(Regcontabilizados[[#This Row],[Eliminado]]="si","",RegContabilizados2[[#This Row],[cantidad]])</f>
        <v>0</v>
      </c>
      <c r="Q25" s="1">
        <f>IF(Regcontabilizados[[#This Row],[Eliminado]]="si","",RegContabilizados2[[#This Row],[VR unitario]])</f>
        <v>0</v>
      </c>
      <c r="R25" s="1">
        <f>IF(Regcontabilizados[[#This Row],[Eliminado]]="si","",RegContabilizados2[[#This Row],[Subcuenta]])</f>
        <v>0</v>
      </c>
      <c r="S25" s="1">
        <f>IF(Regcontabilizados[[#This Row],[Eliminado]]="si","",RegContabilizados2[[#This Row],[Debe]])</f>
        <v>0</v>
      </c>
      <c r="T25" s="1">
        <f>IF(Regcontabilizados[[#This Row],[Eliminado]]="si","",RegContabilizados2[[#This Row],[Haber]])</f>
        <v>0</v>
      </c>
      <c r="U25" s="1">
        <f>IFERROR((Regcontabilizados[[#This Row],[Debe]]-Regcontabilizados[[#This Row],[Haber]]),0)</f>
        <v>0</v>
      </c>
      <c r="V25" s="1">
        <f>IFERROR((+_xlfn.XLOOKUP(Regcontabilizados[[#This Row],[Subcuenta]],Tabla11[Cuenta],Tabla11[Descripción],0)),0)</f>
        <v>0</v>
      </c>
      <c r="W25" s="1">
        <f>IFERROR((_xlfn.XLOOKUP((VALUE(LEFT(Regcontabilizados[[#This Row],[Subcuenta]],4))),Tabla11[Cuenta],Tabla11[Descripción],0)),0)</f>
        <v>0</v>
      </c>
      <c r="X25" s="1">
        <f>IFERROR((_xlfn.XLOOKUP(Regcontabilizados[[#This Row],[Subcuenta]],Tabla11[Cuenta],Tabla11[Descripción],0)),0)</f>
        <v>0</v>
      </c>
      <c r="Y25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25" s="1" t="str">
        <f>_xlfn.XLOOKUP(Regcontabilizados[[#This Row],[Subcuenta]],Tabla11[Cuenta],Tabla11[TIPO],"")</f>
        <v/>
      </c>
      <c r="AA25" s="1" t="str">
        <f>IFERROR((Regcontabilizados[[#This Row],[Subcuenta]]&amp;" "&amp;_xlfn.XLOOKUP(Regcontabilizados[[#This Row],[Subcuenta]],Tabla11[Cuenta],Tabla11[Descripción],0)),0)</f>
        <v>0 0</v>
      </c>
      <c r="AB25" s="1" t="str">
        <f>IFERROR((VALUE(LEFT(Regcontabilizados[[#This Row],[Subcuenta]],2))&amp;" "&amp;_xlfn.XLOOKUP((VALUE(LEFT(Regcontabilizados[[#This Row],[Subcuenta]],2))),Tabla11[Cuenta],Tabla11[Descripción],0)),0)</f>
        <v>0 0</v>
      </c>
      <c r="AC25" s="1" t="str">
        <f>IFERROR((VALUE(LEFT(Regcontabilizados[[#This Row],[Subcuenta]],4))&amp;" "&amp;_xlfn.XLOOKUP((VALUE(LEFT(Regcontabilizados[[#This Row],[Subcuenta]],4))),Tabla11[Cuenta],Tabla11[Descripción],0)),0)</f>
        <v>0 0</v>
      </c>
      <c r="AD25" s="1" t="str">
        <f>IF(Regcontabilizados[[#This Row],[Eliminado]]="si","",RegContabilizados2[[#This Row],[Estado de pago]])</f>
        <v>PAGADO</v>
      </c>
      <c r="AE25" s="1" t="str">
        <f>IF(Regcontabilizados[[#This Row],[Eliminado]]="si","",RegContabilizados2[[#This Row],[Colum. Aux. Estado]])</f>
        <v>Comp.Cont.1</v>
      </c>
      <c r="AF25" s="1">
        <f>IF(Regcontabilizados[[#This Row],[Eliminado]]="si","",RegContabilizados2[[#This Row],[Número de pago]])</f>
        <v>0</v>
      </c>
      <c r="AG25" s="1" t="str">
        <f>IF(Regcontabilizados[[#This Row],[Eliminado]]="si","",RegContabilizados2[[#This Row],[Elaborado por]])</f>
        <v>Responsable no especificado</v>
      </c>
      <c r="AH25" s="1">
        <f>IF(Regcontabilizados[[#This Row],[Eliminado]]="si","",RegContabilizados2[[#This Row],[Notas]])</f>
        <v>0</v>
      </c>
      <c r="AI25" s="1">
        <f>IF(Regcontabilizados[[#This Row],[Eliminado]]="si","",RegContabilizados2[[#This Row],[Método de pago]])</f>
        <v>0</v>
      </c>
      <c r="AJ25" s="1">
        <f>IF(Regcontabilizados[[#This Row],[Eliminado]]="si","",RegContabilizados2[[#This Row],[Cta. Bancaria]])</f>
        <v>0</v>
      </c>
      <c r="AO25" s="31">
        <v>45658</v>
      </c>
      <c r="AP25" s="31">
        <v>45658</v>
      </c>
      <c r="AQ25" s="3" t="s">
        <v>1357</v>
      </c>
      <c r="AR25" s="3">
        <v>1</v>
      </c>
      <c r="AS25" s="1" t="s">
        <v>1113</v>
      </c>
      <c r="AT25" s="1">
        <v>0</v>
      </c>
      <c r="AV25" s="3">
        <v>0</v>
      </c>
      <c r="AW25" s="3"/>
      <c r="AX25" s="3"/>
      <c r="AY25" s="3"/>
      <c r="AZ25" s="3"/>
      <c r="BC25" s="1">
        <v>0</v>
      </c>
      <c r="BD25" s="1">
        <v>0</v>
      </c>
      <c r="BE25" s="1">
        <v>0</v>
      </c>
      <c r="BF25" s="1">
        <f>IFERROR((RegContabilizados2[[#This Row],[Debe]]-RegContabilizados2[[#This Row],[Haber]]),0)</f>
        <v>0</v>
      </c>
      <c r="BG25" s="1">
        <f>IFERROR((+_xlfn.XLOOKUP(RegContabilizados2[[#This Row],[Subcuenta]],Tabla11[Cuenta],Tabla11[Descripción],0)),0)</f>
        <v>0</v>
      </c>
      <c r="BH25" s="1" t="str">
        <f>IFERROR((VALUE(LEFT(RegContabilizados2[[#This Row],[Subcuenta]],2))&amp;" "&amp;_xlfn.XLOOKUP((VALUE(LEFT(RegContabilizados2[[#This Row],[Subcuenta]],2))),Tabla11[Cuenta],Tabla11[Descripción],0)),0)</f>
        <v>0 0</v>
      </c>
      <c r="BI25" s="1" t="str">
        <f>IFERROR((VALUE(LEFT(RegContabilizados2[[#This Row],[Subcuenta]],4))&amp;" "&amp;_xlfn.XLOOKUP((VALUE(LEFT(RegContabilizados2[[#This Row],[Subcuenta]],4))),Tabla11[Cuenta],Tabla11[Descripción],0)),0)</f>
        <v>0 0</v>
      </c>
      <c r="BJ25" s="1" t="str">
        <f>IFERROR((RegContabilizados2[[#This Row],[Subcuenta]]&amp;" "&amp;_xlfn.XLOOKUP(RegContabilizados2[[#This Row],[Subcuenta]],Tabla11[Cuenta],Tabla11[Descripción],0)),0)</f>
        <v>0 0</v>
      </c>
      <c r="BK25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PAGADO</v>
      </c>
      <c r="BL25" s="1" t="str">
        <f>IFERROR(LEFT(RegContabilizados2[[#This Row],[Idenficador]],SEARCH("-",RegContabilizados2[[#This Row],[Idenficador]])-1),0)</f>
        <v>Comp.Cont.1</v>
      </c>
      <c r="BN25" s="1" t="s">
        <v>1169</v>
      </c>
    </row>
    <row r="26" spans="4:69">
      <c r="D26" s="31">
        <f>IF(Regcontabilizados[[#This Row],[Eliminado]]="si","",RegContabilizados2[[#This Row],[fecha Factura]])</f>
        <v>45658</v>
      </c>
      <c r="E26" s="31">
        <f>IF(Regcontabilizados[[#This Row],[Eliminado]]="si","",RegContabilizados2[[#This Row],[Fecha vencimiento]])</f>
        <v>45658</v>
      </c>
      <c r="F26" s="3" t="str">
        <f>IF(Regcontabilizados[[#This Row],[Eliminado]]="si","",RegContabilizados2[[#This Row],[Idenficador]])</f>
        <v>Comp.Cont.1-10</v>
      </c>
      <c r="G26" s="3">
        <f>IF(Regcontabilizados[[#This Row],[Eliminado]]="si","",RegContabilizados2[[#This Row],[N° de factura/Pago]])</f>
        <v>1</v>
      </c>
      <c r="H26" s="1" t="str">
        <f>IF(Regcontabilizados[[#This Row],[Eliminado]]="si","",RegContabilizados2[[#This Row],[Tipo de Factura]])</f>
        <v>Comp.Cont.</v>
      </c>
      <c r="I26" s="1">
        <f>IF(Regcontabilizados[[#This Row],[Eliminado]]="si","",RegContabilizados2[[#This Row],[ID Cliente]])</f>
        <v>0</v>
      </c>
      <c r="J26" s="1">
        <f>IF(Regcontabilizados[[#This Row],[Eliminado]]="si","",RegContabilizados2[[#This Row],[ESTADO DEL IVA]])</f>
        <v>0</v>
      </c>
      <c r="K26" s="3">
        <f>IF(Regcontabilizados[[#This Row],[Eliminado]]="si","",RegContabilizados2[[#This Row],[ID Proveedor]])</f>
        <v>0</v>
      </c>
      <c r="L26" s="3">
        <f>IF(Regcontabilizados[[#This Row],[Eliminado]]="si","",RegContabilizados2[[#This Row],[Concepto]])</f>
        <v>0</v>
      </c>
      <c r="M26" s="3">
        <f>IF(Regcontabilizados[[#This Row],[Eliminado]]="si","",RegContabilizados2[[#This Row],[Categoría]])</f>
        <v>0</v>
      </c>
      <c r="N26" s="3">
        <f>IF(Regcontabilizados[[#This Row],[Eliminado]]="si","",RegContabilizados2[[#This Row],[Almacen]])</f>
        <v>0</v>
      </c>
      <c r="O26" s="3">
        <f>IF(Regcontabilizados[[#This Row],[Eliminado]]="si","",RegContabilizados2[[#This Row],[Tipo de movimiento]])</f>
        <v>0</v>
      </c>
      <c r="P26" s="1">
        <f>IF(Regcontabilizados[[#This Row],[Eliminado]]="si","",RegContabilizados2[[#This Row],[cantidad]])</f>
        <v>0</v>
      </c>
      <c r="Q26" s="1">
        <f>IF(Regcontabilizados[[#This Row],[Eliminado]]="si","",RegContabilizados2[[#This Row],[VR unitario]])</f>
        <v>0</v>
      </c>
      <c r="R26" s="1">
        <f>IF(Regcontabilizados[[#This Row],[Eliminado]]="si","",RegContabilizados2[[#This Row],[Subcuenta]])</f>
        <v>0</v>
      </c>
      <c r="S26" s="1">
        <f>IF(Regcontabilizados[[#This Row],[Eliminado]]="si","",RegContabilizados2[[#This Row],[Debe]])</f>
        <v>0</v>
      </c>
      <c r="T26" s="1">
        <f>IF(Regcontabilizados[[#This Row],[Eliminado]]="si","",RegContabilizados2[[#This Row],[Haber]])</f>
        <v>0</v>
      </c>
      <c r="U26" s="1">
        <f>IFERROR((Regcontabilizados[[#This Row],[Debe]]-Regcontabilizados[[#This Row],[Haber]]),0)</f>
        <v>0</v>
      </c>
      <c r="V26" s="1">
        <f>IFERROR((+_xlfn.XLOOKUP(Regcontabilizados[[#This Row],[Subcuenta]],Tabla11[Cuenta],Tabla11[Descripción],0)),0)</f>
        <v>0</v>
      </c>
      <c r="W26" s="1">
        <f>IFERROR((_xlfn.XLOOKUP((VALUE(LEFT(Regcontabilizados[[#This Row],[Subcuenta]],4))),Tabla11[Cuenta],Tabla11[Descripción],0)),0)</f>
        <v>0</v>
      </c>
      <c r="X26" s="1">
        <f>IFERROR((_xlfn.XLOOKUP(Regcontabilizados[[#This Row],[Subcuenta]],Tabla11[Cuenta],Tabla11[Descripción],0)),0)</f>
        <v>0</v>
      </c>
      <c r="Y26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26" s="1" t="str">
        <f>_xlfn.XLOOKUP(Regcontabilizados[[#This Row],[Subcuenta]],Tabla11[Cuenta],Tabla11[TIPO],"")</f>
        <v/>
      </c>
      <c r="AA26" s="1" t="str">
        <f>IFERROR((Regcontabilizados[[#This Row],[Subcuenta]]&amp;" "&amp;_xlfn.XLOOKUP(Regcontabilizados[[#This Row],[Subcuenta]],Tabla11[Cuenta],Tabla11[Descripción],0)),0)</f>
        <v>0 0</v>
      </c>
      <c r="AB26" s="1" t="str">
        <f>IFERROR((VALUE(LEFT(Regcontabilizados[[#This Row],[Subcuenta]],2))&amp;" "&amp;_xlfn.XLOOKUP((VALUE(LEFT(Regcontabilizados[[#This Row],[Subcuenta]],2))),Tabla11[Cuenta],Tabla11[Descripción],0)),0)</f>
        <v>0 0</v>
      </c>
      <c r="AC26" s="1" t="str">
        <f>IFERROR((VALUE(LEFT(Regcontabilizados[[#This Row],[Subcuenta]],4))&amp;" "&amp;_xlfn.XLOOKUP((VALUE(LEFT(Regcontabilizados[[#This Row],[Subcuenta]],4))),Tabla11[Cuenta],Tabla11[Descripción],0)),0)</f>
        <v>0 0</v>
      </c>
      <c r="AD26" s="1" t="str">
        <f>IF(Regcontabilizados[[#This Row],[Eliminado]]="si","",RegContabilizados2[[#This Row],[Estado de pago]])</f>
        <v>PAGADO</v>
      </c>
      <c r="AE26" s="1" t="str">
        <f>IF(Regcontabilizados[[#This Row],[Eliminado]]="si","",RegContabilizados2[[#This Row],[Colum. Aux. Estado]])</f>
        <v>Comp.Cont.1</v>
      </c>
      <c r="AF26" s="1">
        <f>IF(Regcontabilizados[[#This Row],[Eliminado]]="si","",RegContabilizados2[[#This Row],[Número de pago]])</f>
        <v>0</v>
      </c>
      <c r="AG26" s="1" t="str">
        <f>IF(Regcontabilizados[[#This Row],[Eliminado]]="si","",RegContabilizados2[[#This Row],[Elaborado por]])</f>
        <v>Responsable no especificado</v>
      </c>
      <c r="AH26" s="1">
        <f>IF(Regcontabilizados[[#This Row],[Eliminado]]="si","",RegContabilizados2[[#This Row],[Notas]])</f>
        <v>0</v>
      </c>
      <c r="AI26" s="1">
        <f>IF(Regcontabilizados[[#This Row],[Eliminado]]="si","",RegContabilizados2[[#This Row],[Método de pago]])</f>
        <v>0</v>
      </c>
      <c r="AJ26" s="1">
        <f>IF(Regcontabilizados[[#This Row],[Eliminado]]="si","",RegContabilizados2[[#This Row],[Cta. Bancaria]])</f>
        <v>0</v>
      </c>
      <c r="AO26" s="31">
        <v>45658</v>
      </c>
      <c r="AP26" s="31">
        <v>45658</v>
      </c>
      <c r="AQ26" s="3" t="s">
        <v>1358</v>
      </c>
      <c r="AR26" s="3">
        <v>1</v>
      </c>
      <c r="AS26" s="1" t="s">
        <v>1113</v>
      </c>
      <c r="AT26" s="1">
        <v>0</v>
      </c>
      <c r="AV26" s="3">
        <v>0</v>
      </c>
      <c r="AW26" s="3"/>
      <c r="AX26" s="3"/>
      <c r="AY26" s="3"/>
      <c r="AZ26" s="3"/>
      <c r="BC26" s="1">
        <v>0</v>
      </c>
      <c r="BD26" s="1">
        <v>0</v>
      </c>
      <c r="BE26" s="1">
        <v>0</v>
      </c>
      <c r="BF26" s="1">
        <f>IFERROR((RegContabilizados2[[#This Row],[Debe]]-RegContabilizados2[[#This Row],[Haber]]),0)</f>
        <v>0</v>
      </c>
      <c r="BG26" s="1">
        <f>IFERROR((+_xlfn.XLOOKUP(RegContabilizados2[[#This Row],[Subcuenta]],Tabla11[Cuenta],Tabla11[Descripción],0)),0)</f>
        <v>0</v>
      </c>
      <c r="BH26" s="1" t="str">
        <f>IFERROR((VALUE(LEFT(RegContabilizados2[[#This Row],[Subcuenta]],2))&amp;" "&amp;_xlfn.XLOOKUP((VALUE(LEFT(RegContabilizados2[[#This Row],[Subcuenta]],2))),Tabla11[Cuenta],Tabla11[Descripción],0)),0)</f>
        <v>0 0</v>
      </c>
      <c r="BI26" s="1" t="str">
        <f>IFERROR((VALUE(LEFT(RegContabilizados2[[#This Row],[Subcuenta]],4))&amp;" "&amp;_xlfn.XLOOKUP((VALUE(LEFT(RegContabilizados2[[#This Row],[Subcuenta]],4))),Tabla11[Cuenta],Tabla11[Descripción],0)),0)</f>
        <v>0 0</v>
      </c>
      <c r="BJ26" s="1" t="str">
        <f>IFERROR((RegContabilizados2[[#This Row],[Subcuenta]]&amp;" "&amp;_xlfn.XLOOKUP(RegContabilizados2[[#This Row],[Subcuenta]],Tabla11[Cuenta],Tabla11[Descripción],0)),0)</f>
        <v>0 0</v>
      </c>
      <c r="BK26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PAGADO</v>
      </c>
      <c r="BL26" s="1" t="str">
        <f>IFERROR(LEFT(RegContabilizados2[[#This Row],[Idenficador]],SEARCH("-",RegContabilizados2[[#This Row],[Idenficador]])-1),0)</f>
        <v>Comp.Cont.1</v>
      </c>
      <c r="BN26" s="1" t="s">
        <v>1169</v>
      </c>
    </row>
    <row r="27" spans="4:69">
      <c r="D27" s="31">
        <f>IF(Regcontabilizados[[#This Row],[Eliminado]]="si","",RegContabilizados2[[#This Row],[fecha Factura]])</f>
        <v>46003</v>
      </c>
      <c r="E27" s="31">
        <f>IF(Regcontabilizados[[#This Row],[Eliminado]]="si","",RegContabilizados2[[#This Row],[Fecha vencimiento]])</f>
        <v>46003</v>
      </c>
      <c r="F27" s="31" t="str">
        <f>IF(Regcontabilizados[[#This Row],[Eliminado]]="si","",RegContabilizados2[[#This Row],[Idenficador]])</f>
        <v>546565Comp. Egreso564656-11</v>
      </c>
      <c r="G27" s="3">
        <f>IF(Regcontabilizados[[#This Row],[Eliminado]]="si","",RegContabilizados2[[#This Row],[N° de factura/Pago]])</f>
        <v>564656</v>
      </c>
      <c r="H27" s="1" t="str">
        <f>IF(Regcontabilizados[[#This Row],[Eliminado]]="si","",RegContabilizados2[[#This Row],[Tipo de Factura]])</f>
        <v>Comp. Egreso</v>
      </c>
      <c r="I27" s="1">
        <f>IF(Regcontabilizados[[#This Row],[Eliminado]]="si","",RegContabilizados2[[#This Row],[ID Cliente]])</f>
        <v>333333</v>
      </c>
      <c r="J27" s="1">
        <f>IF(Regcontabilizados[[#This Row],[Eliminado]]="si","",RegContabilizados2[[#This Row],[ESTADO DEL IVA]])</f>
        <v>0</v>
      </c>
      <c r="K27" s="3" t="str">
        <f>IF(Regcontabilizados[[#This Row],[Eliminado]]="si","",RegContabilizados2[[#This Row],[ID Proveedor]])</f>
        <v>Valentina</v>
      </c>
      <c r="L27" s="3">
        <f>IF(Regcontabilizados[[#This Row],[Eliminado]]="si","",RegContabilizados2[[#This Row],[Concepto]])</f>
        <v>0</v>
      </c>
      <c r="M27" s="3">
        <f>IF(Regcontabilizados[[#This Row],[Eliminado]]="si","",RegContabilizados2[[#This Row],[Categoría]])</f>
        <v>0</v>
      </c>
      <c r="N27" s="3">
        <f>IF(Regcontabilizados[[#This Row],[Eliminado]]="si","",RegContabilizados2[[#This Row],[Almacen]])</f>
        <v>0</v>
      </c>
      <c r="O27" s="3">
        <f>IF(Regcontabilizados[[#This Row],[Eliminado]]="si","",RegContabilizados2[[#This Row],[Tipo de movimiento]])</f>
        <v>0</v>
      </c>
      <c r="P27" s="1">
        <f>IF(Regcontabilizados[[#This Row],[Eliminado]]="si","",RegContabilizados2[[#This Row],[cantidad]])</f>
        <v>0</v>
      </c>
      <c r="Q27" s="1">
        <f>IF(Regcontabilizados[[#This Row],[Eliminado]]="si","",RegContabilizados2[[#This Row],[VR unitario]])</f>
        <v>0</v>
      </c>
      <c r="R27" s="1">
        <f>IF(Regcontabilizados[[#This Row],[Eliminado]]="si","",RegContabilizados2[[#This Row],[Subcuenta]])</f>
        <v>111005</v>
      </c>
      <c r="S27" s="1">
        <f>IF(Regcontabilizados[[#This Row],[Eliminado]]="si","",RegContabilizados2[[#This Row],[Debe]])</f>
        <v>0</v>
      </c>
      <c r="T27" s="1">
        <f>IF(Regcontabilizados[[#This Row],[Eliminado]]="si","",RegContabilizados2[[#This Row],[Haber]])</f>
        <v>413525</v>
      </c>
      <c r="U27" s="1">
        <f>IFERROR((Regcontabilizados[[#This Row],[Debe]]-Regcontabilizados[[#This Row],[Haber]]),0)</f>
        <v>-413525</v>
      </c>
      <c r="V27" s="1" t="str">
        <f>IFERROR((+_xlfn.XLOOKUP(Regcontabilizados[[#This Row],[Subcuenta]],Tabla11[Cuenta],Tabla11[Descripción],0)),0)</f>
        <v>Banco 1</v>
      </c>
      <c r="W27" s="1" t="str">
        <f>IFERROR((_xlfn.XLOOKUP((VALUE(LEFT(Regcontabilizados[[#This Row],[Subcuenta]],4))),Tabla11[Cuenta],Tabla11[Descripción],0)),0)</f>
        <v>BANCOS</v>
      </c>
      <c r="X27" s="1" t="str">
        <f>IFERROR((_xlfn.XLOOKUP(Regcontabilizados[[#This Row],[Subcuenta]],Tabla11[Cuenta],Tabla11[Descripción],0)),0)</f>
        <v>Banco 1</v>
      </c>
      <c r="Y27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27" s="1" t="str">
        <f>_xlfn.XLOOKUP(Regcontabilizados[[#This Row],[Subcuenta]],Tabla11[Cuenta],Tabla11[TIPO],"")</f>
        <v>Activo Corriente</v>
      </c>
      <c r="AA27" s="1" t="str">
        <f>IFERROR((Regcontabilizados[[#This Row],[Subcuenta]]&amp;" "&amp;_xlfn.XLOOKUP(Regcontabilizados[[#This Row],[Subcuenta]],Tabla11[Cuenta],Tabla11[Descripción],0)),0)</f>
        <v>111005 Banco 1</v>
      </c>
      <c r="AB27" s="1" t="str">
        <f>IFERROR((VALUE(LEFT(Regcontabilizados[[#This Row],[Subcuenta]],2))&amp;" "&amp;_xlfn.XLOOKUP((VALUE(LEFT(Regcontabilizados[[#This Row],[Subcuenta]],2))),Tabla11[Cuenta],Tabla11[Descripción],0)),0)</f>
        <v>11 Efectivo y Equivalente al Efectivo</v>
      </c>
      <c r="AC27" s="1" t="str">
        <f>IFERROR((VALUE(LEFT(Regcontabilizados[[#This Row],[Subcuenta]],4))&amp;" "&amp;_xlfn.XLOOKUP((VALUE(LEFT(Regcontabilizados[[#This Row],[Subcuenta]],4))),Tabla11[Cuenta],Tabla11[Descripción],0)),0)</f>
        <v>1110 BANCOS</v>
      </c>
      <c r="AD27" s="1" t="str">
        <f>IF(Regcontabilizados[[#This Row],[Eliminado]]="si","",RegContabilizados2[[#This Row],[Estado de pago]])</f>
        <v>NO PAGADO</v>
      </c>
      <c r="AE27" s="1" t="str">
        <f>IF(Regcontabilizados[[#This Row],[Eliminado]]="si","",RegContabilizados2[[#This Row],[Colum. Aux. Estado]])</f>
        <v>546565Comp. Egreso564656</v>
      </c>
      <c r="AF27" s="1">
        <f>IF(Regcontabilizados[[#This Row],[Eliminado]]="si","",RegContabilizados2[[#This Row],[Número de pago]])</f>
        <v>564656</v>
      </c>
      <c r="AG27" s="1" t="str">
        <f>IF(Regcontabilizados[[#This Row],[Eliminado]]="si","",RegContabilizados2[[#This Row],[Elaborado por]])</f>
        <v>Responsable no especificado</v>
      </c>
      <c r="AH27" s="1" t="str">
        <f>IF(Regcontabilizados[[#This Row],[Eliminado]]="si","",RegContabilizados2[[#This Row],[Notas]])</f>
        <v>Pago del 50%</v>
      </c>
      <c r="AI27" s="1" t="str">
        <f>IF(Regcontabilizados[[#This Row],[Eliminado]]="si","",RegContabilizados2[[#This Row],[Método de pago]])</f>
        <v>TRANSFERENCIA</v>
      </c>
      <c r="AJ27" s="1">
        <f>IF(Regcontabilizados[[#This Row],[Eliminado]]="si","",RegContabilizados2[[#This Row],[Cta. Bancaria]])</f>
        <v>111005</v>
      </c>
      <c r="AO27" s="31">
        <v>46003</v>
      </c>
      <c r="AP27" s="31">
        <v>46003</v>
      </c>
      <c r="AQ27" s="31" t="s">
        <v>1332</v>
      </c>
      <c r="AR27" s="3">
        <v>564656</v>
      </c>
      <c r="AS27" s="1" t="s">
        <v>1090</v>
      </c>
      <c r="AT27" s="1">
        <v>333333</v>
      </c>
      <c r="AV27" s="3" t="s">
        <v>907</v>
      </c>
      <c r="AW27" s="3"/>
      <c r="AX27" s="3"/>
      <c r="AY27" s="3"/>
      <c r="AZ27" s="3"/>
      <c r="BC27" s="1">
        <v>111005</v>
      </c>
      <c r="BE27" s="1">
        <v>413525</v>
      </c>
      <c r="BF27" s="1">
        <f>IFERROR((RegContabilizados2[[#This Row],[Debe]]-RegContabilizados2[[#This Row],[Haber]]),0)</f>
        <v>-413525</v>
      </c>
      <c r="BG27" s="1" t="str">
        <f>IFERROR((+_xlfn.XLOOKUP(RegContabilizados2[[#This Row],[Subcuenta]],Tabla11[Cuenta],Tabla11[Descripción],0)),0)</f>
        <v>Banco 1</v>
      </c>
      <c r="BH27" s="1" t="str">
        <f>IFERROR((VALUE(LEFT(RegContabilizados2[[#This Row],[Subcuenta]],2))&amp;" "&amp;_xlfn.XLOOKUP((VALUE(LEFT(RegContabilizados2[[#This Row],[Subcuenta]],2))),Tabla11[Cuenta],Tabla11[Descripción],0)),0)</f>
        <v>11 Efectivo y Equivalente al Efectivo</v>
      </c>
      <c r="BI27" s="1" t="str">
        <f>IFERROR((VALUE(LEFT(RegContabilizados2[[#This Row],[Subcuenta]],4))&amp;" "&amp;_xlfn.XLOOKUP((VALUE(LEFT(RegContabilizados2[[#This Row],[Subcuenta]],4))),Tabla11[Cuenta],Tabla11[Descripción],0)),0)</f>
        <v>1110 BANCOS</v>
      </c>
      <c r="BJ27" s="1" t="str">
        <f>IFERROR((RegContabilizados2[[#This Row],[Subcuenta]]&amp;" "&amp;_xlfn.XLOOKUP(RegContabilizados2[[#This Row],[Subcuenta]],Tabla11[Cuenta],Tabla11[Descripción],0)),0)</f>
        <v>111005 Banco 1</v>
      </c>
      <c r="BK27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27" s="1" t="str">
        <f>IFERROR(LEFT(RegContabilizados2[[#This Row],[Idenficador]],SEARCH("-",RegContabilizados2[[#This Row],[Idenficador]])-1),0)</f>
        <v>546565Comp. Egreso564656</v>
      </c>
      <c r="BM27" s="1">
        <v>564656</v>
      </c>
      <c r="BN27" s="1" t="s">
        <v>1169</v>
      </c>
      <c r="BO27" s="1" t="s">
        <v>1331</v>
      </c>
      <c r="BP27" s="1" t="s">
        <v>868</v>
      </c>
      <c r="BQ27" s="1">
        <v>111005</v>
      </c>
    </row>
    <row r="28" spans="4:69">
      <c r="D28" s="31">
        <f>IF(Regcontabilizados[[#This Row],[Eliminado]]="si","",RegContabilizados2[[#This Row],[fecha Factura]])</f>
        <v>46003</v>
      </c>
      <c r="E28" s="31">
        <f>IF(Regcontabilizados[[#This Row],[Eliminado]]="si","",RegContabilizados2[[#This Row],[Fecha vencimiento]])</f>
        <v>46003</v>
      </c>
      <c r="F28" s="31" t="str">
        <f>IF(Regcontabilizados[[#This Row],[Eliminado]]="si","",RegContabilizados2[[#This Row],[Idenficador]])</f>
        <v>546565Comp. Egreso564656-1</v>
      </c>
      <c r="G28" s="3">
        <f>IF(Regcontabilizados[[#This Row],[Eliminado]]="si","",RegContabilizados2[[#This Row],[N° de factura/Pago]])</f>
        <v>564656</v>
      </c>
      <c r="H28" s="1" t="str">
        <f>IF(Regcontabilizados[[#This Row],[Eliminado]]="si","",RegContabilizados2[[#This Row],[Tipo de Factura]])</f>
        <v>Comp. Egreso</v>
      </c>
      <c r="I28" s="1">
        <f>IF(Regcontabilizados[[#This Row],[Eliminado]]="si","",RegContabilizados2[[#This Row],[ID Cliente]])</f>
        <v>333333</v>
      </c>
      <c r="J28" s="1">
        <f>IF(Regcontabilizados[[#This Row],[Eliminado]]="si","",RegContabilizados2[[#This Row],[ESTADO DEL IVA]])</f>
        <v>0</v>
      </c>
      <c r="K28" s="3" t="str">
        <f>IF(Regcontabilizados[[#This Row],[Eliminado]]="si","",RegContabilizados2[[#This Row],[ID Proveedor]])</f>
        <v>Valentina</v>
      </c>
      <c r="L28" s="3">
        <f>IF(Regcontabilizados[[#This Row],[Eliminado]]="si","",RegContabilizados2[[#This Row],[Concepto]])</f>
        <v>0</v>
      </c>
      <c r="M28" s="3">
        <f>IF(Regcontabilizados[[#This Row],[Eliminado]]="si","",RegContabilizados2[[#This Row],[Categoría]])</f>
        <v>0</v>
      </c>
      <c r="N28" s="3">
        <f>IF(Regcontabilizados[[#This Row],[Eliminado]]="si","",RegContabilizados2[[#This Row],[Almacen]])</f>
        <v>0</v>
      </c>
      <c r="O28" s="3">
        <f>IF(Regcontabilizados[[#This Row],[Eliminado]]="si","",RegContabilizados2[[#This Row],[Tipo de movimiento]])</f>
        <v>0</v>
      </c>
      <c r="P28" s="1">
        <f>IF(Regcontabilizados[[#This Row],[Eliminado]]="si","",RegContabilizados2[[#This Row],[cantidad]])</f>
        <v>0</v>
      </c>
      <c r="Q28" s="1">
        <f>IF(Regcontabilizados[[#This Row],[Eliminado]]="si","",RegContabilizados2[[#This Row],[VR unitario]])</f>
        <v>0</v>
      </c>
      <c r="R28" s="1">
        <f>IF(Regcontabilizados[[#This Row],[Eliminado]]="si","",RegContabilizados2[[#This Row],[Subcuenta]])</f>
        <v>220505</v>
      </c>
      <c r="S28" s="1">
        <f>IF(Regcontabilizados[[#This Row],[Eliminado]]="si","",RegContabilizados2[[#This Row],[Debe]])</f>
        <v>413525</v>
      </c>
      <c r="T28" s="1">
        <f>IF(Regcontabilizados[[#This Row],[Eliminado]]="si","",RegContabilizados2[[#This Row],[Haber]])</f>
        <v>0</v>
      </c>
      <c r="U28" s="1">
        <f>IFERROR((Regcontabilizados[[#This Row],[Debe]]-Regcontabilizados[[#This Row],[Haber]]),0)</f>
        <v>413525</v>
      </c>
      <c r="V28" s="1" t="str">
        <f>IFERROR((+_xlfn.XLOOKUP(Regcontabilizados[[#This Row],[Subcuenta]],Tabla11[Cuenta],Tabla11[Descripción],0)),0)</f>
        <v>Proveedores Nacionales</v>
      </c>
      <c r="W28" s="1" t="str">
        <f>IFERROR((_xlfn.XLOOKUP((VALUE(LEFT(Regcontabilizados[[#This Row],[Subcuenta]],4))),Tabla11[Cuenta],Tabla11[Descripción],0)),0)</f>
        <v>NACIONALES</v>
      </c>
      <c r="X28" s="1" t="str">
        <f>IFERROR((_xlfn.XLOOKUP(Regcontabilizados[[#This Row],[Subcuenta]],Tabla11[Cuenta],Tabla11[Descripción],0)),0)</f>
        <v>Proveedores Nacionales</v>
      </c>
      <c r="Y28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28" s="1" t="str">
        <f>_xlfn.XLOOKUP(Regcontabilizados[[#This Row],[Subcuenta]],Tabla11[Cuenta],Tabla11[TIPO],"")</f>
        <v>Pasivo Corriente</v>
      </c>
      <c r="AA28" s="1" t="str">
        <f>IFERROR((Regcontabilizados[[#This Row],[Subcuenta]]&amp;" "&amp;_xlfn.XLOOKUP(Regcontabilizados[[#This Row],[Subcuenta]],Tabla11[Cuenta],Tabla11[Descripción],0)),0)</f>
        <v>220505 Proveedores Nacionales</v>
      </c>
      <c r="AB28" s="1" t="str">
        <f>IFERROR((VALUE(LEFT(Regcontabilizados[[#This Row],[Subcuenta]],2))&amp;" "&amp;_xlfn.XLOOKUP((VALUE(LEFT(Regcontabilizados[[#This Row],[Subcuenta]],2))),Tabla11[Cuenta],Tabla11[Descripción],0)),0)</f>
        <v>22 PROVEEDORES</v>
      </c>
      <c r="AC28" s="1" t="str">
        <f>IFERROR((VALUE(LEFT(Regcontabilizados[[#This Row],[Subcuenta]],4))&amp;" "&amp;_xlfn.XLOOKUP((VALUE(LEFT(Regcontabilizados[[#This Row],[Subcuenta]],4))),Tabla11[Cuenta],Tabla11[Descripción],0)),0)</f>
        <v>2205 NACIONALES</v>
      </c>
      <c r="AD28" s="1" t="str">
        <f>IF(Regcontabilizados[[#This Row],[Eliminado]]="si","",RegContabilizados2[[#This Row],[Estado de pago]])</f>
        <v>NO PAGADO</v>
      </c>
      <c r="AE28" s="1" t="str">
        <f>IF(Regcontabilizados[[#This Row],[Eliminado]]="si","",RegContabilizados2[[#This Row],[Colum. Aux. Estado]])</f>
        <v>546565Comp. Egreso564656</v>
      </c>
      <c r="AF28" s="1" t="str">
        <f>IF(Regcontabilizados[[#This Row],[Eliminado]]="si","",RegContabilizados2[[#This Row],[Número de pago]])</f>
        <v>546565F.C.9696955</v>
      </c>
      <c r="AG28" s="1" t="str">
        <f>IF(Regcontabilizados[[#This Row],[Eliminado]]="si","",RegContabilizados2[[#This Row],[Elaborado por]])</f>
        <v>Responsable no especificado</v>
      </c>
      <c r="AH28" s="1" t="str">
        <f>IF(Regcontabilizados[[#This Row],[Eliminado]]="si","",RegContabilizados2[[#This Row],[Notas]])</f>
        <v>Pago del 50%</v>
      </c>
      <c r="AI28" s="1" t="str">
        <f>IF(Regcontabilizados[[#This Row],[Eliminado]]="si","",RegContabilizados2[[#This Row],[Método de pago]])</f>
        <v>TRANSFERENCIA</v>
      </c>
      <c r="AJ28" s="1">
        <f>IF(Regcontabilizados[[#This Row],[Eliminado]]="si","",RegContabilizados2[[#This Row],[Cta. Bancaria]])</f>
        <v>111005</v>
      </c>
      <c r="AO28" s="31">
        <v>46003</v>
      </c>
      <c r="AP28" s="31">
        <v>46003</v>
      </c>
      <c r="AQ28" s="31" t="s">
        <v>1333</v>
      </c>
      <c r="AR28" s="3">
        <v>564656</v>
      </c>
      <c r="AS28" s="1" t="s">
        <v>1090</v>
      </c>
      <c r="AT28" s="1">
        <v>333333</v>
      </c>
      <c r="AV28" s="3" t="s">
        <v>907</v>
      </c>
      <c r="AW28" s="3"/>
      <c r="AX28" s="3"/>
      <c r="AY28" s="3"/>
      <c r="AZ28" s="3"/>
      <c r="BC28" s="1">
        <v>220505</v>
      </c>
      <c r="BD28" s="1">
        <v>413525</v>
      </c>
      <c r="BF28" s="1">
        <f>IFERROR((RegContabilizados2[[#This Row],[Debe]]-RegContabilizados2[[#This Row],[Haber]]),0)</f>
        <v>413525</v>
      </c>
      <c r="BG28" s="1" t="str">
        <f>IFERROR((+_xlfn.XLOOKUP(RegContabilizados2[[#This Row],[Subcuenta]],Tabla11[Cuenta],Tabla11[Descripción],0)),0)</f>
        <v>Proveedores Nacionales</v>
      </c>
      <c r="BH28" s="1" t="str">
        <f>IFERROR((VALUE(LEFT(RegContabilizados2[[#This Row],[Subcuenta]],2))&amp;" "&amp;_xlfn.XLOOKUP((VALUE(LEFT(RegContabilizados2[[#This Row],[Subcuenta]],2))),Tabla11[Cuenta],Tabla11[Descripción],0)),0)</f>
        <v>22 PROVEEDORES</v>
      </c>
      <c r="BI28" s="1" t="str">
        <f>IFERROR((VALUE(LEFT(RegContabilizados2[[#This Row],[Subcuenta]],4))&amp;" "&amp;_xlfn.XLOOKUP((VALUE(LEFT(RegContabilizados2[[#This Row],[Subcuenta]],4))),Tabla11[Cuenta],Tabla11[Descripción],0)),0)</f>
        <v>2205 NACIONALES</v>
      </c>
      <c r="BJ28" s="1" t="str">
        <f>IFERROR((RegContabilizados2[[#This Row],[Subcuenta]]&amp;" "&amp;_xlfn.XLOOKUP(RegContabilizados2[[#This Row],[Subcuenta]],Tabla11[Cuenta],Tabla11[Descripción],0)),0)</f>
        <v>220505 Proveedores Nacionales</v>
      </c>
      <c r="BK28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28" s="1" t="str">
        <f>IFERROR(LEFT(RegContabilizados2[[#This Row],[Idenficador]],SEARCH("-",RegContabilizados2[[#This Row],[Idenficador]])-1),0)</f>
        <v>546565Comp. Egreso564656</v>
      </c>
      <c r="BM28" s="1" t="s">
        <v>1329</v>
      </c>
      <c r="BN28" s="1" t="s">
        <v>1169</v>
      </c>
      <c r="BO28" s="1" t="s">
        <v>1331</v>
      </c>
      <c r="BP28" s="1" t="s">
        <v>868</v>
      </c>
      <c r="BQ28" s="1">
        <v>111005</v>
      </c>
    </row>
    <row r="29" spans="4:69">
      <c r="D29" s="31">
        <f>IF(Regcontabilizados[[#This Row],[Eliminado]]="si","",RegContabilizados2[[#This Row],[fecha Factura]])</f>
        <v>46003</v>
      </c>
      <c r="E29" s="31">
        <f>IF(Regcontabilizados[[#This Row],[Eliminado]]="si","",RegContabilizados2[[#This Row],[Fecha vencimiento]])</f>
        <v>46003</v>
      </c>
      <c r="F29" s="31" t="str">
        <f>IF(Regcontabilizados[[#This Row],[Eliminado]]="si","",RegContabilizados2[[#This Row],[Idenficador]])</f>
        <v>546565Comp. Egreso564656-2</v>
      </c>
      <c r="G29" s="3">
        <f>IF(Regcontabilizados[[#This Row],[Eliminado]]="si","",RegContabilizados2[[#This Row],[N° de factura/Pago]])</f>
        <v>564656</v>
      </c>
      <c r="H29" s="1" t="str">
        <f>IF(Regcontabilizados[[#This Row],[Eliminado]]="si","",RegContabilizados2[[#This Row],[Tipo de Factura]])</f>
        <v>Comp. Egreso</v>
      </c>
      <c r="I29" s="1">
        <f>IF(Regcontabilizados[[#This Row],[Eliminado]]="si","",RegContabilizados2[[#This Row],[ID Cliente]])</f>
        <v>333333</v>
      </c>
      <c r="J29" s="1">
        <f>IF(Regcontabilizados[[#This Row],[Eliminado]]="si","",RegContabilizados2[[#This Row],[ESTADO DEL IVA]])</f>
        <v>0</v>
      </c>
      <c r="K29" s="3" t="str">
        <f>IF(Regcontabilizados[[#This Row],[Eliminado]]="si","",RegContabilizados2[[#This Row],[ID Proveedor]])</f>
        <v>Valentina</v>
      </c>
      <c r="L29" s="3">
        <f>IF(Regcontabilizados[[#This Row],[Eliminado]]="si","",RegContabilizados2[[#This Row],[Concepto]])</f>
        <v>0</v>
      </c>
      <c r="M29" s="3">
        <f>IF(Regcontabilizados[[#This Row],[Eliminado]]="si","",RegContabilizados2[[#This Row],[Categoría]])</f>
        <v>0</v>
      </c>
      <c r="N29" s="3">
        <f>IF(Regcontabilizados[[#This Row],[Eliminado]]="si","",RegContabilizados2[[#This Row],[Almacen]])</f>
        <v>0</v>
      </c>
      <c r="O29" s="3">
        <f>IF(Regcontabilizados[[#This Row],[Eliminado]]="si","",RegContabilizados2[[#This Row],[Tipo de movimiento]])</f>
        <v>0</v>
      </c>
      <c r="P29" s="1">
        <f>IF(Regcontabilizados[[#This Row],[Eliminado]]="si","",RegContabilizados2[[#This Row],[cantidad]])</f>
        <v>0</v>
      </c>
      <c r="Q29" s="1">
        <f>IF(Regcontabilizados[[#This Row],[Eliminado]]="si","",RegContabilizados2[[#This Row],[VR unitario]])</f>
        <v>0</v>
      </c>
      <c r="R29" s="1">
        <f>IF(Regcontabilizados[[#This Row],[Eliminado]]="si","",RegContabilizados2[[#This Row],[Subcuenta]])</f>
        <v>0</v>
      </c>
      <c r="S29" s="1">
        <f>IF(Regcontabilizados[[#This Row],[Eliminado]]="si","",RegContabilizados2[[#This Row],[Debe]])</f>
        <v>0</v>
      </c>
      <c r="T29" s="1">
        <f>IF(Regcontabilizados[[#This Row],[Eliminado]]="si","",RegContabilizados2[[#This Row],[Haber]])</f>
        <v>0</v>
      </c>
      <c r="U29" s="1">
        <f>IFERROR((Regcontabilizados[[#This Row],[Debe]]-Regcontabilizados[[#This Row],[Haber]]),0)</f>
        <v>0</v>
      </c>
      <c r="V29" s="1">
        <f>IFERROR((+_xlfn.XLOOKUP(Regcontabilizados[[#This Row],[Subcuenta]],Tabla11[Cuenta],Tabla11[Descripción],0)),0)</f>
        <v>0</v>
      </c>
      <c r="W29" s="1">
        <f>IFERROR((_xlfn.XLOOKUP((VALUE(LEFT(Regcontabilizados[[#This Row],[Subcuenta]],4))),Tabla11[Cuenta],Tabla11[Descripción],0)),0)</f>
        <v>0</v>
      </c>
      <c r="X29" s="1">
        <f>IFERROR((_xlfn.XLOOKUP(Regcontabilizados[[#This Row],[Subcuenta]],Tabla11[Cuenta],Tabla11[Descripción],0)),0)</f>
        <v>0</v>
      </c>
      <c r="Y29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29" s="1" t="str">
        <f>_xlfn.XLOOKUP(Regcontabilizados[[#This Row],[Subcuenta]],Tabla11[Cuenta],Tabla11[TIPO],"")</f>
        <v/>
      </c>
      <c r="AA29" s="1" t="str">
        <f>IFERROR((Regcontabilizados[[#This Row],[Subcuenta]]&amp;" "&amp;_xlfn.XLOOKUP(Regcontabilizados[[#This Row],[Subcuenta]],Tabla11[Cuenta],Tabla11[Descripción],0)),0)</f>
        <v>0 0</v>
      </c>
      <c r="AB29" s="1" t="str">
        <f>IFERROR((VALUE(LEFT(Regcontabilizados[[#This Row],[Subcuenta]],2))&amp;" "&amp;_xlfn.XLOOKUP((VALUE(LEFT(Regcontabilizados[[#This Row],[Subcuenta]],2))),Tabla11[Cuenta],Tabla11[Descripción],0)),0)</f>
        <v>0 0</v>
      </c>
      <c r="AC29" s="1" t="str">
        <f>IFERROR((VALUE(LEFT(Regcontabilizados[[#This Row],[Subcuenta]],4))&amp;" "&amp;_xlfn.XLOOKUP((VALUE(LEFT(Regcontabilizados[[#This Row],[Subcuenta]],4))),Tabla11[Cuenta],Tabla11[Descripción],0)),0)</f>
        <v>0 0</v>
      </c>
      <c r="AD29" s="1" t="str">
        <f>IF(Regcontabilizados[[#This Row],[Eliminado]]="si","",RegContabilizados2[[#This Row],[Estado de pago]])</f>
        <v>NO PAGADO</v>
      </c>
      <c r="AE29" s="1" t="str">
        <f>IF(Regcontabilizados[[#This Row],[Eliminado]]="si","",RegContabilizados2[[#This Row],[Colum. Aux. Estado]])</f>
        <v>546565Comp. Egreso564656</v>
      </c>
      <c r="AF29" s="1">
        <f>IF(Regcontabilizados[[#This Row],[Eliminado]]="si","",RegContabilizados2[[#This Row],[Número de pago]])</f>
        <v>0</v>
      </c>
      <c r="AG29" s="1" t="str">
        <f>IF(Regcontabilizados[[#This Row],[Eliminado]]="si","",RegContabilizados2[[#This Row],[Elaborado por]])</f>
        <v>Responsable no especificado</v>
      </c>
      <c r="AH29" s="1" t="str">
        <f>IF(Regcontabilizados[[#This Row],[Eliminado]]="si","",RegContabilizados2[[#This Row],[Notas]])</f>
        <v>Pago del 50%</v>
      </c>
      <c r="AI29" s="1" t="str">
        <f>IF(Regcontabilizados[[#This Row],[Eliminado]]="si","",RegContabilizados2[[#This Row],[Método de pago]])</f>
        <v>TRANSFERENCIA</v>
      </c>
      <c r="AJ29" s="1">
        <f>IF(Regcontabilizados[[#This Row],[Eliminado]]="si","",RegContabilizados2[[#This Row],[Cta. Bancaria]])</f>
        <v>111005</v>
      </c>
      <c r="AO29" s="31">
        <v>46003</v>
      </c>
      <c r="AP29" s="31">
        <v>46003</v>
      </c>
      <c r="AQ29" s="31" t="s">
        <v>1334</v>
      </c>
      <c r="AR29" s="3">
        <v>564656</v>
      </c>
      <c r="AS29" s="1" t="s">
        <v>1090</v>
      </c>
      <c r="AT29" s="1">
        <v>333333</v>
      </c>
      <c r="AV29" s="3" t="s">
        <v>907</v>
      </c>
      <c r="AW29" s="3"/>
      <c r="AX29" s="3"/>
      <c r="AY29" s="3"/>
      <c r="AZ29" s="3"/>
      <c r="BF29" s="1">
        <f>IFERROR((RegContabilizados2[[#This Row],[Debe]]-RegContabilizados2[[#This Row],[Haber]]),0)</f>
        <v>0</v>
      </c>
      <c r="BG29" s="1">
        <f>IFERROR((+_xlfn.XLOOKUP(RegContabilizados2[[#This Row],[Subcuenta]],Tabla11[Cuenta],Tabla11[Descripción],0)),0)</f>
        <v>0</v>
      </c>
      <c r="BH29" s="1">
        <f>IFERROR((VALUE(LEFT(RegContabilizados2[[#This Row],[Subcuenta]],2))&amp;" "&amp;_xlfn.XLOOKUP((VALUE(LEFT(RegContabilizados2[[#This Row],[Subcuenta]],2))),Tabla11[Cuenta],Tabla11[Descripción],0)),0)</f>
        <v>0</v>
      </c>
      <c r="BI29" s="1">
        <f>IFERROR((VALUE(LEFT(RegContabilizados2[[#This Row],[Subcuenta]],4))&amp;" "&amp;_xlfn.XLOOKUP((VALUE(LEFT(RegContabilizados2[[#This Row],[Subcuenta]],4))),Tabla11[Cuenta],Tabla11[Descripción],0)),0)</f>
        <v>0</v>
      </c>
      <c r="BJ29" s="1" t="str">
        <f>IFERROR((RegContabilizados2[[#This Row],[Subcuenta]]&amp;" "&amp;_xlfn.XLOOKUP(RegContabilizados2[[#This Row],[Subcuenta]],Tabla11[Cuenta],Tabla11[Descripción],0)),0)</f>
        <v xml:space="preserve"> 0</v>
      </c>
      <c r="BK29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29" s="1" t="str">
        <f>IFERROR(LEFT(RegContabilizados2[[#This Row],[Idenficador]],SEARCH("-",RegContabilizados2[[#This Row],[Idenficador]])-1),0)</f>
        <v>546565Comp. Egreso564656</v>
      </c>
      <c r="BN29" s="1" t="s">
        <v>1169</v>
      </c>
      <c r="BO29" s="1" t="s">
        <v>1331</v>
      </c>
      <c r="BP29" s="1" t="s">
        <v>868</v>
      </c>
      <c r="BQ29" s="1">
        <v>111005</v>
      </c>
    </row>
    <row r="30" spans="4:69">
      <c r="D30" s="31">
        <f>IF(Regcontabilizados[[#This Row],[Eliminado]]="si","",RegContabilizados2[[#This Row],[fecha Factura]])</f>
        <v>46003</v>
      </c>
      <c r="E30" s="31">
        <f>IF(Regcontabilizados[[#This Row],[Eliminado]]="si","",RegContabilizados2[[#This Row],[Fecha vencimiento]])</f>
        <v>46003</v>
      </c>
      <c r="F30" s="31" t="str">
        <f>IF(Regcontabilizados[[#This Row],[Eliminado]]="si","",RegContabilizados2[[#This Row],[Idenficador]])</f>
        <v>546565Comp. Egreso564656-3</v>
      </c>
      <c r="G30" s="3">
        <f>IF(Regcontabilizados[[#This Row],[Eliminado]]="si","",RegContabilizados2[[#This Row],[N° de factura/Pago]])</f>
        <v>564656</v>
      </c>
      <c r="H30" s="1" t="str">
        <f>IF(Regcontabilizados[[#This Row],[Eliminado]]="si","",RegContabilizados2[[#This Row],[Tipo de Factura]])</f>
        <v>Comp. Egreso</v>
      </c>
      <c r="I30" s="1">
        <f>IF(Regcontabilizados[[#This Row],[Eliminado]]="si","",RegContabilizados2[[#This Row],[ID Cliente]])</f>
        <v>333333</v>
      </c>
      <c r="J30" s="1">
        <f>IF(Regcontabilizados[[#This Row],[Eliminado]]="si","",RegContabilizados2[[#This Row],[ESTADO DEL IVA]])</f>
        <v>0</v>
      </c>
      <c r="K30" s="3" t="str">
        <f>IF(Regcontabilizados[[#This Row],[Eliminado]]="si","",RegContabilizados2[[#This Row],[ID Proveedor]])</f>
        <v>Valentina</v>
      </c>
      <c r="L30" s="3">
        <f>IF(Regcontabilizados[[#This Row],[Eliminado]]="si","",RegContabilizados2[[#This Row],[Concepto]])</f>
        <v>0</v>
      </c>
      <c r="M30" s="3">
        <f>IF(Regcontabilizados[[#This Row],[Eliminado]]="si","",RegContabilizados2[[#This Row],[Categoría]])</f>
        <v>0</v>
      </c>
      <c r="N30" s="3">
        <f>IF(Regcontabilizados[[#This Row],[Eliminado]]="si","",RegContabilizados2[[#This Row],[Almacen]])</f>
        <v>0</v>
      </c>
      <c r="O30" s="3">
        <f>IF(Regcontabilizados[[#This Row],[Eliminado]]="si","",RegContabilizados2[[#This Row],[Tipo de movimiento]])</f>
        <v>0</v>
      </c>
      <c r="P30" s="1">
        <f>IF(Regcontabilizados[[#This Row],[Eliminado]]="si","",RegContabilizados2[[#This Row],[cantidad]])</f>
        <v>0</v>
      </c>
      <c r="Q30" s="1">
        <f>IF(Regcontabilizados[[#This Row],[Eliminado]]="si","",RegContabilizados2[[#This Row],[VR unitario]])</f>
        <v>0</v>
      </c>
      <c r="R30" s="1">
        <f>IF(Regcontabilizados[[#This Row],[Eliminado]]="si","",RegContabilizados2[[#This Row],[Subcuenta]])</f>
        <v>0</v>
      </c>
      <c r="S30" s="1">
        <f>IF(Regcontabilizados[[#This Row],[Eliminado]]="si","",RegContabilizados2[[#This Row],[Debe]])</f>
        <v>0</v>
      </c>
      <c r="T30" s="1">
        <f>IF(Regcontabilizados[[#This Row],[Eliminado]]="si","",RegContabilizados2[[#This Row],[Haber]])</f>
        <v>0</v>
      </c>
      <c r="U30" s="1">
        <f>IFERROR((Regcontabilizados[[#This Row],[Debe]]-Regcontabilizados[[#This Row],[Haber]]),0)</f>
        <v>0</v>
      </c>
      <c r="V30" s="1">
        <f>IFERROR((+_xlfn.XLOOKUP(Regcontabilizados[[#This Row],[Subcuenta]],Tabla11[Cuenta],Tabla11[Descripción],0)),0)</f>
        <v>0</v>
      </c>
      <c r="W30" s="1">
        <f>IFERROR((_xlfn.XLOOKUP((VALUE(LEFT(Regcontabilizados[[#This Row],[Subcuenta]],4))),Tabla11[Cuenta],Tabla11[Descripción],0)),0)</f>
        <v>0</v>
      </c>
      <c r="X30" s="1">
        <f>IFERROR((_xlfn.XLOOKUP(Regcontabilizados[[#This Row],[Subcuenta]],Tabla11[Cuenta],Tabla11[Descripción],0)),0)</f>
        <v>0</v>
      </c>
      <c r="Y30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30" s="1" t="str">
        <f>_xlfn.XLOOKUP(Regcontabilizados[[#This Row],[Subcuenta]],Tabla11[Cuenta],Tabla11[TIPO],"")</f>
        <v/>
      </c>
      <c r="AA30" s="1" t="str">
        <f>IFERROR((Regcontabilizados[[#This Row],[Subcuenta]]&amp;" "&amp;_xlfn.XLOOKUP(Regcontabilizados[[#This Row],[Subcuenta]],Tabla11[Cuenta],Tabla11[Descripción],0)),0)</f>
        <v>0 0</v>
      </c>
      <c r="AB30" s="1" t="str">
        <f>IFERROR((VALUE(LEFT(Regcontabilizados[[#This Row],[Subcuenta]],2))&amp;" "&amp;_xlfn.XLOOKUP((VALUE(LEFT(Regcontabilizados[[#This Row],[Subcuenta]],2))),Tabla11[Cuenta],Tabla11[Descripción],0)),0)</f>
        <v>0 0</v>
      </c>
      <c r="AC30" s="1" t="str">
        <f>IFERROR((VALUE(LEFT(Regcontabilizados[[#This Row],[Subcuenta]],4))&amp;" "&amp;_xlfn.XLOOKUP((VALUE(LEFT(Regcontabilizados[[#This Row],[Subcuenta]],4))),Tabla11[Cuenta],Tabla11[Descripción],0)),0)</f>
        <v>0 0</v>
      </c>
      <c r="AD30" s="1" t="str">
        <f>IF(Regcontabilizados[[#This Row],[Eliminado]]="si","",RegContabilizados2[[#This Row],[Estado de pago]])</f>
        <v>NO PAGADO</v>
      </c>
      <c r="AE30" s="1" t="str">
        <f>IF(Regcontabilizados[[#This Row],[Eliminado]]="si","",RegContabilizados2[[#This Row],[Colum. Aux. Estado]])</f>
        <v>546565Comp. Egreso564656</v>
      </c>
      <c r="AF30" s="1">
        <f>IF(Regcontabilizados[[#This Row],[Eliminado]]="si","",RegContabilizados2[[#This Row],[Número de pago]])</f>
        <v>0</v>
      </c>
      <c r="AG30" s="1" t="str">
        <f>IF(Regcontabilizados[[#This Row],[Eliminado]]="si","",RegContabilizados2[[#This Row],[Elaborado por]])</f>
        <v>Responsable no especificado</v>
      </c>
      <c r="AH30" s="1" t="str">
        <f>IF(Regcontabilizados[[#This Row],[Eliminado]]="si","",RegContabilizados2[[#This Row],[Notas]])</f>
        <v>Pago del 50%</v>
      </c>
      <c r="AI30" s="1" t="str">
        <f>IF(Regcontabilizados[[#This Row],[Eliminado]]="si","",RegContabilizados2[[#This Row],[Método de pago]])</f>
        <v>TRANSFERENCIA</v>
      </c>
      <c r="AJ30" s="1">
        <f>IF(Regcontabilizados[[#This Row],[Eliminado]]="si","",RegContabilizados2[[#This Row],[Cta. Bancaria]])</f>
        <v>111005</v>
      </c>
      <c r="AO30" s="31">
        <v>46003</v>
      </c>
      <c r="AP30" s="31">
        <v>46003</v>
      </c>
      <c r="AQ30" s="31" t="s">
        <v>1335</v>
      </c>
      <c r="AR30" s="3">
        <v>564656</v>
      </c>
      <c r="AS30" s="1" t="s">
        <v>1090</v>
      </c>
      <c r="AT30" s="1">
        <v>333333</v>
      </c>
      <c r="AV30" s="3" t="s">
        <v>907</v>
      </c>
      <c r="AW30" s="3"/>
      <c r="AX30" s="3"/>
      <c r="AY30" s="3"/>
      <c r="AZ30" s="3"/>
      <c r="BF30" s="1">
        <f>IFERROR((RegContabilizados2[[#This Row],[Debe]]-RegContabilizados2[[#This Row],[Haber]]),0)</f>
        <v>0</v>
      </c>
      <c r="BG30" s="1">
        <f>IFERROR((+_xlfn.XLOOKUP(RegContabilizados2[[#This Row],[Subcuenta]],Tabla11[Cuenta],Tabla11[Descripción],0)),0)</f>
        <v>0</v>
      </c>
      <c r="BH30" s="1">
        <f>IFERROR((VALUE(LEFT(RegContabilizados2[[#This Row],[Subcuenta]],2))&amp;" "&amp;_xlfn.XLOOKUP((VALUE(LEFT(RegContabilizados2[[#This Row],[Subcuenta]],2))),Tabla11[Cuenta],Tabla11[Descripción],0)),0)</f>
        <v>0</v>
      </c>
      <c r="BI30" s="1">
        <f>IFERROR((VALUE(LEFT(RegContabilizados2[[#This Row],[Subcuenta]],4))&amp;" "&amp;_xlfn.XLOOKUP((VALUE(LEFT(RegContabilizados2[[#This Row],[Subcuenta]],4))),Tabla11[Cuenta],Tabla11[Descripción],0)),0)</f>
        <v>0</v>
      </c>
      <c r="BJ30" s="1" t="str">
        <f>IFERROR((RegContabilizados2[[#This Row],[Subcuenta]]&amp;" "&amp;_xlfn.XLOOKUP(RegContabilizados2[[#This Row],[Subcuenta]],Tabla11[Cuenta],Tabla11[Descripción],0)),0)</f>
        <v xml:space="preserve"> 0</v>
      </c>
      <c r="BK30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30" s="1" t="str">
        <f>IFERROR(LEFT(RegContabilizados2[[#This Row],[Idenficador]],SEARCH("-",RegContabilizados2[[#This Row],[Idenficador]])-1),0)</f>
        <v>546565Comp. Egreso564656</v>
      </c>
      <c r="BN30" s="1" t="s">
        <v>1169</v>
      </c>
      <c r="BO30" s="1" t="s">
        <v>1331</v>
      </c>
      <c r="BP30" s="1" t="s">
        <v>868</v>
      </c>
      <c r="BQ30" s="1">
        <v>111005</v>
      </c>
    </row>
    <row r="31" spans="4:69">
      <c r="D31" s="31">
        <f>IF(Regcontabilizados[[#This Row],[Eliminado]]="si","",RegContabilizados2[[#This Row],[fecha Factura]])</f>
        <v>46003</v>
      </c>
      <c r="E31" s="31">
        <f>IF(Regcontabilizados[[#This Row],[Eliminado]]="si","",RegContabilizados2[[#This Row],[Fecha vencimiento]])</f>
        <v>46003</v>
      </c>
      <c r="F31" s="31" t="str">
        <f>IF(Regcontabilizados[[#This Row],[Eliminado]]="si","",RegContabilizados2[[#This Row],[Idenficador]])</f>
        <v>546565Comp. Egreso564656-4</v>
      </c>
      <c r="G31" s="3">
        <f>IF(Regcontabilizados[[#This Row],[Eliminado]]="si","",RegContabilizados2[[#This Row],[N° de factura/Pago]])</f>
        <v>564656</v>
      </c>
      <c r="H31" s="1" t="str">
        <f>IF(Regcontabilizados[[#This Row],[Eliminado]]="si","",RegContabilizados2[[#This Row],[Tipo de Factura]])</f>
        <v>Comp. Egreso</v>
      </c>
      <c r="I31" s="1">
        <f>IF(Regcontabilizados[[#This Row],[Eliminado]]="si","",RegContabilizados2[[#This Row],[ID Cliente]])</f>
        <v>333333</v>
      </c>
      <c r="J31" s="1">
        <f>IF(Regcontabilizados[[#This Row],[Eliminado]]="si","",RegContabilizados2[[#This Row],[ESTADO DEL IVA]])</f>
        <v>0</v>
      </c>
      <c r="K31" s="3" t="str">
        <f>IF(Regcontabilizados[[#This Row],[Eliminado]]="si","",RegContabilizados2[[#This Row],[ID Proveedor]])</f>
        <v>Valentina</v>
      </c>
      <c r="L31" s="3">
        <f>IF(Regcontabilizados[[#This Row],[Eliminado]]="si","",RegContabilizados2[[#This Row],[Concepto]])</f>
        <v>0</v>
      </c>
      <c r="M31" s="3">
        <f>IF(Regcontabilizados[[#This Row],[Eliminado]]="si","",RegContabilizados2[[#This Row],[Categoría]])</f>
        <v>0</v>
      </c>
      <c r="N31" s="3">
        <f>IF(Regcontabilizados[[#This Row],[Eliminado]]="si","",RegContabilizados2[[#This Row],[Almacen]])</f>
        <v>0</v>
      </c>
      <c r="O31" s="3">
        <f>IF(Regcontabilizados[[#This Row],[Eliminado]]="si","",RegContabilizados2[[#This Row],[Tipo de movimiento]])</f>
        <v>0</v>
      </c>
      <c r="P31" s="1">
        <f>IF(Regcontabilizados[[#This Row],[Eliminado]]="si","",RegContabilizados2[[#This Row],[cantidad]])</f>
        <v>0</v>
      </c>
      <c r="Q31" s="1">
        <f>IF(Regcontabilizados[[#This Row],[Eliminado]]="si","",RegContabilizados2[[#This Row],[VR unitario]])</f>
        <v>0</v>
      </c>
      <c r="R31" s="1">
        <f>IF(Regcontabilizados[[#This Row],[Eliminado]]="si","",RegContabilizados2[[#This Row],[Subcuenta]])</f>
        <v>0</v>
      </c>
      <c r="S31" s="1">
        <f>IF(Regcontabilizados[[#This Row],[Eliminado]]="si","",RegContabilizados2[[#This Row],[Debe]])</f>
        <v>0</v>
      </c>
      <c r="T31" s="1">
        <f>IF(Regcontabilizados[[#This Row],[Eliminado]]="si","",RegContabilizados2[[#This Row],[Haber]])</f>
        <v>0</v>
      </c>
      <c r="U31" s="1">
        <f>IFERROR((Regcontabilizados[[#This Row],[Debe]]-Regcontabilizados[[#This Row],[Haber]]),0)</f>
        <v>0</v>
      </c>
      <c r="V31" s="1">
        <f>IFERROR((+_xlfn.XLOOKUP(Regcontabilizados[[#This Row],[Subcuenta]],Tabla11[Cuenta],Tabla11[Descripción],0)),0)</f>
        <v>0</v>
      </c>
      <c r="W31" s="1">
        <f>IFERROR((_xlfn.XLOOKUP((VALUE(LEFT(Regcontabilizados[[#This Row],[Subcuenta]],4))),Tabla11[Cuenta],Tabla11[Descripción],0)),0)</f>
        <v>0</v>
      </c>
      <c r="X31" s="1">
        <f>IFERROR((_xlfn.XLOOKUP(Regcontabilizados[[#This Row],[Subcuenta]],Tabla11[Cuenta],Tabla11[Descripción],0)),0)</f>
        <v>0</v>
      </c>
      <c r="Y31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31" s="1" t="str">
        <f>_xlfn.XLOOKUP(Regcontabilizados[[#This Row],[Subcuenta]],Tabla11[Cuenta],Tabla11[TIPO],"")</f>
        <v/>
      </c>
      <c r="AA31" s="1" t="str">
        <f>IFERROR((Regcontabilizados[[#This Row],[Subcuenta]]&amp;" "&amp;_xlfn.XLOOKUP(Regcontabilizados[[#This Row],[Subcuenta]],Tabla11[Cuenta],Tabla11[Descripción],0)),0)</f>
        <v>0 0</v>
      </c>
      <c r="AB31" s="1" t="str">
        <f>IFERROR((VALUE(LEFT(Regcontabilizados[[#This Row],[Subcuenta]],2))&amp;" "&amp;_xlfn.XLOOKUP((VALUE(LEFT(Regcontabilizados[[#This Row],[Subcuenta]],2))),Tabla11[Cuenta],Tabla11[Descripción],0)),0)</f>
        <v>0 0</v>
      </c>
      <c r="AC31" s="1" t="str">
        <f>IFERROR((VALUE(LEFT(Regcontabilizados[[#This Row],[Subcuenta]],4))&amp;" "&amp;_xlfn.XLOOKUP((VALUE(LEFT(Regcontabilizados[[#This Row],[Subcuenta]],4))),Tabla11[Cuenta],Tabla11[Descripción],0)),0)</f>
        <v>0 0</v>
      </c>
      <c r="AD31" s="1" t="str">
        <f>IF(Regcontabilizados[[#This Row],[Eliminado]]="si","",RegContabilizados2[[#This Row],[Estado de pago]])</f>
        <v>NO PAGADO</v>
      </c>
      <c r="AE31" s="1" t="str">
        <f>IF(Regcontabilizados[[#This Row],[Eliminado]]="si","",RegContabilizados2[[#This Row],[Colum. Aux. Estado]])</f>
        <v>546565Comp. Egreso564656</v>
      </c>
      <c r="AF31" s="1">
        <f>IF(Regcontabilizados[[#This Row],[Eliminado]]="si","",RegContabilizados2[[#This Row],[Número de pago]])</f>
        <v>0</v>
      </c>
      <c r="AG31" s="1" t="str">
        <f>IF(Regcontabilizados[[#This Row],[Eliminado]]="si","",RegContabilizados2[[#This Row],[Elaborado por]])</f>
        <v>Responsable no especificado</v>
      </c>
      <c r="AH31" s="1" t="str">
        <f>IF(Regcontabilizados[[#This Row],[Eliminado]]="si","",RegContabilizados2[[#This Row],[Notas]])</f>
        <v>Pago del 50%</v>
      </c>
      <c r="AI31" s="1" t="str">
        <f>IF(Regcontabilizados[[#This Row],[Eliminado]]="si","",RegContabilizados2[[#This Row],[Método de pago]])</f>
        <v>TRANSFERENCIA</v>
      </c>
      <c r="AJ31" s="1">
        <f>IF(Regcontabilizados[[#This Row],[Eliminado]]="si","",RegContabilizados2[[#This Row],[Cta. Bancaria]])</f>
        <v>111005</v>
      </c>
      <c r="AO31" s="31">
        <v>46003</v>
      </c>
      <c r="AP31" s="31">
        <v>46003</v>
      </c>
      <c r="AQ31" s="31" t="s">
        <v>1336</v>
      </c>
      <c r="AR31" s="3">
        <v>564656</v>
      </c>
      <c r="AS31" s="1" t="s">
        <v>1090</v>
      </c>
      <c r="AT31" s="1">
        <v>333333</v>
      </c>
      <c r="AV31" s="3" t="s">
        <v>907</v>
      </c>
      <c r="AW31" s="3"/>
      <c r="AX31" s="3"/>
      <c r="AY31" s="3"/>
      <c r="AZ31" s="3"/>
      <c r="BF31" s="1">
        <f>IFERROR((RegContabilizados2[[#This Row],[Debe]]-RegContabilizados2[[#This Row],[Haber]]),0)</f>
        <v>0</v>
      </c>
      <c r="BG31" s="1">
        <f>IFERROR((+_xlfn.XLOOKUP(RegContabilizados2[[#This Row],[Subcuenta]],Tabla11[Cuenta],Tabla11[Descripción],0)),0)</f>
        <v>0</v>
      </c>
      <c r="BH31" s="1">
        <f>IFERROR((VALUE(LEFT(RegContabilizados2[[#This Row],[Subcuenta]],2))&amp;" "&amp;_xlfn.XLOOKUP((VALUE(LEFT(RegContabilizados2[[#This Row],[Subcuenta]],2))),Tabla11[Cuenta],Tabla11[Descripción],0)),0)</f>
        <v>0</v>
      </c>
      <c r="BI31" s="1">
        <f>IFERROR((VALUE(LEFT(RegContabilizados2[[#This Row],[Subcuenta]],4))&amp;" "&amp;_xlfn.XLOOKUP((VALUE(LEFT(RegContabilizados2[[#This Row],[Subcuenta]],4))),Tabla11[Cuenta],Tabla11[Descripción],0)),0)</f>
        <v>0</v>
      </c>
      <c r="BJ31" s="1" t="str">
        <f>IFERROR((RegContabilizados2[[#This Row],[Subcuenta]]&amp;" "&amp;_xlfn.XLOOKUP(RegContabilizados2[[#This Row],[Subcuenta]],Tabla11[Cuenta],Tabla11[Descripción],0)),0)</f>
        <v xml:space="preserve"> 0</v>
      </c>
      <c r="BK31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31" s="1" t="str">
        <f>IFERROR(LEFT(RegContabilizados2[[#This Row],[Idenficador]],SEARCH("-",RegContabilizados2[[#This Row],[Idenficador]])-1),0)</f>
        <v>546565Comp. Egreso564656</v>
      </c>
      <c r="BN31" s="1" t="s">
        <v>1169</v>
      </c>
      <c r="BO31" s="1" t="s">
        <v>1331</v>
      </c>
      <c r="BP31" s="1" t="s">
        <v>868</v>
      </c>
      <c r="BQ31" s="1">
        <v>111005</v>
      </c>
    </row>
    <row r="32" spans="4:69">
      <c r="D32" s="31">
        <f>IF(Regcontabilizados[[#This Row],[Eliminado]]="si","",RegContabilizados2[[#This Row],[fecha Factura]])</f>
        <v>46003</v>
      </c>
      <c r="E32" s="31">
        <f>IF(Regcontabilizados[[#This Row],[Eliminado]]="si","",RegContabilizados2[[#This Row],[Fecha vencimiento]])</f>
        <v>46003</v>
      </c>
      <c r="F32" s="31" t="str">
        <f>IF(Regcontabilizados[[#This Row],[Eliminado]]="si","",RegContabilizados2[[#This Row],[Idenficador]])</f>
        <v>546565Comp. Egreso564656-5</v>
      </c>
      <c r="G32" s="3">
        <f>IF(Regcontabilizados[[#This Row],[Eliminado]]="si","",RegContabilizados2[[#This Row],[N° de factura/Pago]])</f>
        <v>564656</v>
      </c>
      <c r="H32" s="1" t="str">
        <f>IF(Regcontabilizados[[#This Row],[Eliminado]]="si","",RegContabilizados2[[#This Row],[Tipo de Factura]])</f>
        <v>Comp. Egreso</v>
      </c>
      <c r="I32" s="1">
        <f>IF(Regcontabilizados[[#This Row],[Eliminado]]="si","",RegContabilizados2[[#This Row],[ID Cliente]])</f>
        <v>333333</v>
      </c>
      <c r="J32" s="1">
        <f>IF(Regcontabilizados[[#This Row],[Eliminado]]="si","",RegContabilizados2[[#This Row],[ESTADO DEL IVA]])</f>
        <v>0</v>
      </c>
      <c r="K32" s="3" t="str">
        <f>IF(Regcontabilizados[[#This Row],[Eliminado]]="si","",RegContabilizados2[[#This Row],[ID Proveedor]])</f>
        <v>Valentina</v>
      </c>
      <c r="L32" s="3">
        <f>IF(Regcontabilizados[[#This Row],[Eliminado]]="si","",RegContabilizados2[[#This Row],[Concepto]])</f>
        <v>0</v>
      </c>
      <c r="M32" s="3">
        <f>IF(Regcontabilizados[[#This Row],[Eliminado]]="si","",RegContabilizados2[[#This Row],[Categoría]])</f>
        <v>0</v>
      </c>
      <c r="N32" s="3">
        <f>IF(Regcontabilizados[[#This Row],[Eliminado]]="si","",RegContabilizados2[[#This Row],[Almacen]])</f>
        <v>0</v>
      </c>
      <c r="O32" s="3">
        <f>IF(Regcontabilizados[[#This Row],[Eliminado]]="si","",RegContabilizados2[[#This Row],[Tipo de movimiento]])</f>
        <v>0</v>
      </c>
      <c r="P32" s="1">
        <f>IF(Regcontabilizados[[#This Row],[Eliminado]]="si","",RegContabilizados2[[#This Row],[cantidad]])</f>
        <v>0</v>
      </c>
      <c r="Q32" s="1">
        <f>IF(Regcontabilizados[[#This Row],[Eliminado]]="si","",RegContabilizados2[[#This Row],[VR unitario]])</f>
        <v>0</v>
      </c>
      <c r="R32" s="1">
        <f>IF(Regcontabilizados[[#This Row],[Eliminado]]="si","",RegContabilizados2[[#This Row],[Subcuenta]])</f>
        <v>0</v>
      </c>
      <c r="S32" s="1">
        <f>IF(Regcontabilizados[[#This Row],[Eliminado]]="si","",RegContabilizados2[[#This Row],[Debe]])</f>
        <v>0</v>
      </c>
      <c r="T32" s="1">
        <f>IF(Regcontabilizados[[#This Row],[Eliminado]]="si","",RegContabilizados2[[#This Row],[Haber]])</f>
        <v>0</v>
      </c>
      <c r="U32" s="1">
        <f>IFERROR((Regcontabilizados[[#This Row],[Debe]]-Regcontabilizados[[#This Row],[Haber]]),0)</f>
        <v>0</v>
      </c>
      <c r="V32" s="1">
        <f>IFERROR((+_xlfn.XLOOKUP(Regcontabilizados[[#This Row],[Subcuenta]],Tabla11[Cuenta],Tabla11[Descripción],0)),0)</f>
        <v>0</v>
      </c>
      <c r="W32" s="1">
        <f>IFERROR((_xlfn.XLOOKUP((VALUE(LEFT(Regcontabilizados[[#This Row],[Subcuenta]],4))),Tabla11[Cuenta],Tabla11[Descripción],0)),0)</f>
        <v>0</v>
      </c>
      <c r="X32" s="1">
        <f>IFERROR((_xlfn.XLOOKUP(Regcontabilizados[[#This Row],[Subcuenta]],Tabla11[Cuenta],Tabla11[Descripción],0)),0)</f>
        <v>0</v>
      </c>
      <c r="Y32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32" s="1" t="str">
        <f>_xlfn.XLOOKUP(Regcontabilizados[[#This Row],[Subcuenta]],Tabla11[Cuenta],Tabla11[TIPO],"")</f>
        <v/>
      </c>
      <c r="AA32" s="1" t="str">
        <f>IFERROR((Regcontabilizados[[#This Row],[Subcuenta]]&amp;" "&amp;_xlfn.XLOOKUP(Regcontabilizados[[#This Row],[Subcuenta]],Tabla11[Cuenta],Tabla11[Descripción],0)),0)</f>
        <v>0 0</v>
      </c>
      <c r="AB32" s="1" t="str">
        <f>IFERROR((VALUE(LEFT(Regcontabilizados[[#This Row],[Subcuenta]],2))&amp;" "&amp;_xlfn.XLOOKUP((VALUE(LEFT(Regcontabilizados[[#This Row],[Subcuenta]],2))),Tabla11[Cuenta],Tabla11[Descripción],0)),0)</f>
        <v>0 0</v>
      </c>
      <c r="AC32" s="1" t="str">
        <f>IFERROR((VALUE(LEFT(Regcontabilizados[[#This Row],[Subcuenta]],4))&amp;" "&amp;_xlfn.XLOOKUP((VALUE(LEFT(Regcontabilizados[[#This Row],[Subcuenta]],4))),Tabla11[Cuenta],Tabla11[Descripción],0)),0)</f>
        <v>0 0</v>
      </c>
      <c r="AD32" s="1" t="str">
        <f>IF(Regcontabilizados[[#This Row],[Eliminado]]="si","",RegContabilizados2[[#This Row],[Estado de pago]])</f>
        <v>NO PAGADO</v>
      </c>
      <c r="AE32" s="1" t="str">
        <f>IF(Regcontabilizados[[#This Row],[Eliminado]]="si","",RegContabilizados2[[#This Row],[Colum. Aux. Estado]])</f>
        <v>546565Comp. Egreso564656</v>
      </c>
      <c r="AF32" s="1">
        <f>IF(Regcontabilizados[[#This Row],[Eliminado]]="si","",RegContabilizados2[[#This Row],[Número de pago]])</f>
        <v>0</v>
      </c>
      <c r="AG32" s="1" t="str">
        <f>IF(Regcontabilizados[[#This Row],[Eliminado]]="si","",RegContabilizados2[[#This Row],[Elaborado por]])</f>
        <v>Responsable no especificado</v>
      </c>
      <c r="AH32" s="1" t="str">
        <f>IF(Regcontabilizados[[#This Row],[Eliminado]]="si","",RegContabilizados2[[#This Row],[Notas]])</f>
        <v>Pago del 50%</v>
      </c>
      <c r="AI32" s="1" t="str">
        <f>IF(Regcontabilizados[[#This Row],[Eliminado]]="si","",RegContabilizados2[[#This Row],[Método de pago]])</f>
        <v>TRANSFERENCIA</v>
      </c>
      <c r="AJ32" s="1">
        <f>IF(Regcontabilizados[[#This Row],[Eliminado]]="si","",RegContabilizados2[[#This Row],[Cta. Bancaria]])</f>
        <v>111005</v>
      </c>
      <c r="AO32" s="31">
        <v>46003</v>
      </c>
      <c r="AP32" s="31">
        <v>46003</v>
      </c>
      <c r="AQ32" s="31" t="s">
        <v>1337</v>
      </c>
      <c r="AR32" s="3">
        <v>564656</v>
      </c>
      <c r="AS32" s="1" t="s">
        <v>1090</v>
      </c>
      <c r="AT32" s="1">
        <v>333333</v>
      </c>
      <c r="AV32" s="3" t="s">
        <v>907</v>
      </c>
      <c r="AW32" s="3"/>
      <c r="AX32" s="3"/>
      <c r="AY32" s="3"/>
      <c r="AZ32" s="3"/>
      <c r="BF32" s="1">
        <f>IFERROR((RegContabilizados2[[#This Row],[Debe]]-RegContabilizados2[[#This Row],[Haber]]),0)</f>
        <v>0</v>
      </c>
      <c r="BG32" s="1">
        <f>IFERROR((+_xlfn.XLOOKUP(RegContabilizados2[[#This Row],[Subcuenta]],Tabla11[Cuenta],Tabla11[Descripción],0)),0)</f>
        <v>0</v>
      </c>
      <c r="BH32" s="1">
        <f>IFERROR((VALUE(LEFT(RegContabilizados2[[#This Row],[Subcuenta]],2))&amp;" "&amp;_xlfn.XLOOKUP((VALUE(LEFT(RegContabilizados2[[#This Row],[Subcuenta]],2))),Tabla11[Cuenta],Tabla11[Descripción],0)),0)</f>
        <v>0</v>
      </c>
      <c r="BI32" s="1">
        <f>IFERROR((VALUE(LEFT(RegContabilizados2[[#This Row],[Subcuenta]],4))&amp;" "&amp;_xlfn.XLOOKUP((VALUE(LEFT(RegContabilizados2[[#This Row],[Subcuenta]],4))),Tabla11[Cuenta],Tabla11[Descripción],0)),0)</f>
        <v>0</v>
      </c>
      <c r="BJ32" s="1" t="str">
        <f>IFERROR((RegContabilizados2[[#This Row],[Subcuenta]]&amp;" "&amp;_xlfn.XLOOKUP(RegContabilizados2[[#This Row],[Subcuenta]],Tabla11[Cuenta],Tabla11[Descripción],0)),0)</f>
        <v xml:space="preserve"> 0</v>
      </c>
      <c r="BK32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32" s="1" t="str">
        <f>IFERROR(LEFT(RegContabilizados2[[#This Row],[Idenficador]],SEARCH("-",RegContabilizados2[[#This Row],[Idenficador]])-1),0)</f>
        <v>546565Comp. Egreso564656</v>
      </c>
      <c r="BN32" s="1" t="s">
        <v>1169</v>
      </c>
      <c r="BO32" s="1" t="s">
        <v>1331</v>
      </c>
      <c r="BP32" s="1" t="s">
        <v>868</v>
      </c>
      <c r="BQ32" s="1">
        <v>111005</v>
      </c>
    </row>
    <row r="33" spans="4:69">
      <c r="D33" s="31">
        <f>IF(Regcontabilizados[[#This Row],[Eliminado]]="si","",RegContabilizados2[[#This Row],[fecha Factura]])</f>
        <v>46003</v>
      </c>
      <c r="E33" s="31">
        <f>IF(Regcontabilizados[[#This Row],[Eliminado]]="si","",RegContabilizados2[[#This Row],[Fecha vencimiento]])</f>
        <v>46003</v>
      </c>
      <c r="F33" s="31" t="str">
        <f>IF(Regcontabilizados[[#This Row],[Eliminado]]="si","",RegContabilizados2[[#This Row],[Idenficador]])</f>
        <v>546565Comp. Egreso564656-6</v>
      </c>
      <c r="G33" s="3">
        <f>IF(Regcontabilizados[[#This Row],[Eliminado]]="si","",RegContabilizados2[[#This Row],[N° de factura/Pago]])</f>
        <v>564656</v>
      </c>
      <c r="H33" s="1" t="str">
        <f>IF(Regcontabilizados[[#This Row],[Eliminado]]="si","",RegContabilizados2[[#This Row],[Tipo de Factura]])</f>
        <v>Comp. Egreso</v>
      </c>
      <c r="I33" s="1">
        <f>IF(Regcontabilizados[[#This Row],[Eliminado]]="si","",RegContabilizados2[[#This Row],[ID Cliente]])</f>
        <v>333333</v>
      </c>
      <c r="J33" s="1">
        <f>IF(Regcontabilizados[[#This Row],[Eliminado]]="si","",RegContabilizados2[[#This Row],[ESTADO DEL IVA]])</f>
        <v>0</v>
      </c>
      <c r="K33" s="3" t="str">
        <f>IF(Regcontabilizados[[#This Row],[Eliminado]]="si","",RegContabilizados2[[#This Row],[ID Proveedor]])</f>
        <v>Valentina</v>
      </c>
      <c r="L33" s="3">
        <f>IF(Regcontabilizados[[#This Row],[Eliminado]]="si","",RegContabilizados2[[#This Row],[Concepto]])</f>
        <v>0</v>
      </c>
      <c r="M33" s="3">
        <f>IF(Regcontabilizados[[#This Row],[Eliminado]]="si","",RegContabilizados2[[#This Row],[Categoría]])</f>
        <v>0</v>
      </c>
      <c r="N33" s="3">
        <f>IF(Regcontabilizados[[#This Row],[Eliminado]]="si","",RegContabilizados2[[#This Row],[Almacen]])</f>
        <v>0</v>
      </c>
      <c r="O33" s="3">
        <f>IF(Regcontabilizados[[#This Row],[Eliminado]]="si","",RegContabilizados2[[#This Row],[Tipo de movimiento]])</f>
        <v>0</v>
      </c>
      <c r="P33" s="1">
        <f>IF(Regcontabilizados[[#This Row],[Eliminado]]="si","",RegContabilizados2[[#This Row],[cantidad]])</f>
        <v>0</v>
      </c>
      <c r="Q33" s="1">
        <f>IF(Regcontabilizados[[#This Row],[Eliminado]]="si","",RegContabilizados2[[#This Row],[VR unitario]])</f>
        <v>0</v>
      </c>
      <c r="R33" s="1">
        <f>IF(Regcontabilizados[[#This Row],[Eliminado]]="si","",RegContabilizados2[[#This Row],[Subcuenta]])</f>
        <v>0</v>
      </c>
      <c r="S33" s="1">
        <f>IF(Regcontabilizados[[#This Row],[Eliminado]]="si","",RegContabilizados2[[#This Row],[Debe]])</f>
        <v>0</v>
      </c>
      <c r="T33" s="1">
        <f>IF(Regcontabilizados[[#This Row],[Eliminado]]="si","",RegContabilizados2[[#This Row],[Haber]])</f>
        <v>0</v>
      </c>
      <c r="U33" s="1">
        <f>IFERROR((Regcontabilizados[[#This Row],[Debe]]-Regcontabilizados[[#This Row],[Haber]]),0)</f>
        <v>0</v>
      </c>
      <c r="V33" s="1">
        <f>IFERROR((+_xlfn.XLOOKUP(Regcontabilizados[[#This Row],[Subcuenta]],Tabla11[Cuenta],Tabla11[Descripción],0)),0)</f>
        <v>0</v>
      </c>
      <c r="W33" s="1">
        <f>IFERROR((_xlfn.XLOOKUP((VALUE(LEFT(Regcontabilizados[[#This Row],[Subcuenta]],4))),Tabla11[Cuenta],Tabla11[Descripción],0)),0)</f>
        <v>0</v>
      </c>
      <c r="X33" s="1">
        <f>IFERROR((_xlfn.XLOOKUP(Regcontabilizados[[#This Row],[Subcuenta]],Tabla11[Cuenta],Tabla11[Descripción],0)),0)</f>
        <v>0</v>
      </c>
      <c r="Y33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33" s="1" t="str">
        <f>_xlfn.XLOOKUP(Regcontabilizados[[#This Row],[Subcuenta]],Tabla11[Cuenta],Tabla11[TIPO],"")</f>
        <v/>
      </c>
      <c r="AA33" s="1" t="str">
        <f>IFERROR((Regcontabilizados[[#This Row],[Subcuenta]]&amp;" "&amp;_xlfn.XLOOKUP(Regcontabilizados[[#This Row],[Subcuenta]],Tabla11[Cuenta],Tabla11[Descripción],0)),0)</f>
        <v>0 0</v>
      </c>
      <c r="AB33" s="1" t="str">
        <f>IFERROR((VALUE(LEFT(Regcontabilizados[[#This Row],[Subcuenta]],2))&amp;" "&amp;_xlfn.XLOOKUP((VALUE(LEFT(Regcontabilizados[[#This Row],[Subcuenta]],2))),Tabla11[Cuenta],Tabla11[Descripción],0)),0)</f>
        <v>0 0</v>
      </c>
      <c r="AC33" s="1" t="str">
        <f>IFERROR((VALUE(LEFT(Regcontabilizados[[#This Row],[Subcuenta]],4))&amp;" "&amp;_xlfn.XLOOKUP((VALUE(LEFT(Regcontabilizados[[#This Row],[Subcuenta]],4))),Tabla11[Cuenta],Tabla11[Descripción],0)),0)</f>
        <v>0 0</v>
      </c>
      <c r="AD33" s="1" t="str">
        <f>IF(Regcontabilizados[[#This Row],[Eliminado]]="si","",RegContabilizados2[[#This Row],[Estado de pago]])</f>
        <v>NO PAGADO</v>
      </c>
      <c r="AE33" s="1" t="str">
        <f>IF(Regcontabilizados[[#This Row],[Eliminado]]="si","",RegContabilizados2[[#This Row],[Colum. Aux. Estado]])</f>
        <v>546565Comp. Egreso564656</v>
      </c>
      <c r="AF33" s="1">
        <f>IF(Regcontabilizados[[#This Row],[Eliminado]]="si","",RegContabilizados2[[#This Row],[Número de pago]])</f>
        <v>0</v>
      </c>
      <c r="AG33" s="1" t="str">
        <f>IF(Regcontabilizados[[#This Row],[Eliminado]]="si","",RegContabilizados2[[#This Row],[Elaborado por]])</f>
        <v>Responsable no especificado</v>
      </c>
      <c r="AH33" s="1" t="str">
        <f>IF(Regcontabilizados[[#This Row],[Eliminado]]="si","",RegContabilizados2[[#This Row],[Notas]])</f>
        <v>Pago del 50%</v>
      </c>
      <c r="AI33" s="1" t="str">
        <f>IF(Regcontabilizados[[#This Row],[Eliminado]]="si","",RegContabilizados2[[#This Row],[Método de pago]])</f>
        <v>TRANSFERENCIA</v>
      </c>
      <c r="AJ33" s="1">
        <f>IF(Regcontabilizados[[#This Row],[Eliminado]]="si","",RegContabilizados2[[#This Row],[Cta. Bancaria]])</f>
        <v>111005</v>
      </c>
      <c r="AO33" s="31">
        <v>46003</v>
      </c>
      <c r="AP33" s="31">
        <v>46003</v>
      </c>
      <c r="AQ33" s="31" t="s">
        <v>1338</v>
      </c>
      <c r="AR33" s="3">
        <v>564656</v>
      </c>
      <c r="AS33" s="1" t="s">
        <v>1090</v>
      </c>
      <c r="AT33" s="1">
        <v>333333</v>
      </c>
      <c r="AV33" s="3" t="s">
        <v>907</v>
      </c>
      <c r="AW33" s="3"/>
      <c r="AX33" s="3"/>
      <c r="AY33" s="3"/>
      <c r="AZ33" s="3"/>
      <c r="BF33" s="1">
        <f>IFERROR((RegContabilizados2[[#This Row],[Debe]]-RegContabilizados2[[#This Row],[Haber]]),0)</f>
        <v>0</v>
      </c>
      <c r="BG33" s="1">
        <f>IFERROR((+_xlfn.XLOOKUP(RegContabilizados2[[#This Row],[Subcuenta]],Tabla11[Cuenta],Tabla11[Descripción],0)),0)</f>
        <v>0</v>
      </c>
      <c r="BH33" s="1">
        <f>IFERROR((VALUE(LEFT(RegContabilizados2[[#This Row],[Subcuenta]],2))&amp;" "&amp;_xlfn.XLOOKUP((VALUE(LEFT(RegContabilizados2[[#This Row],[Subcuenta]],2))),Tabla11[Cuenta],Tabla11[Descripción],0)),0)</f>
        <v>0</v>
      </c>
      <c r="BI33" s="1">
        <f>IFERROR((VALUE(LEFT(RegContabilizados2[[#This Row],[Subcuenta]],4))&amp;" "&amp;_xlfn.XLOOKUP((VALUE(LEFT(RegContabilizados2[[#This Row],[Subcuenta]],4))),Tabla11[Cuenta],Tabla11[Descripción],0)),0)</f>
        <v>0</v>
      </c>
      <c r="BJ33" s="1" t="str">
        <f>IFERROR((RegContabilizados2[[#This Row],[Subcuenta]]&amp;" "&amp;_xlfn.XLOOKUP(RegContabilizados2[[#This Row],[Subcuenta]],Tabla11[Cuenta],Tabla11[Descripción],0)),0)</f>
        <v xml:space="preserve"> 0</v>
      </c>
      <c r="BK33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33" s="1" t="str">
        <f>IFERROR(LEFT(RegContabilizados2[[#This Row],[Idenficador]],SEARCH("-",RegContabilizados2[[#This Row],[Idenficador]])-1),0)</f>
        <v>546565Comp. Egreso564656</v>
      </c>
      <c r="BN33" s="1" t="s">
        <v>1169</v>
      </c>
      <c r="BO33" s="1" t="s">
        <v>1331</v>
      </c>
      <c r="BP33" s="1" t="s">
        <v>868</v>
      </c>
      <c r="BQ33" s="1">
        <v>111005</v>
      </c>
    </row>
    <row r="34" spans="4:69">
      <c r="D34" s="31">
        <f>IF(Regcontabilizados[[#This Row],[Eliminado]]="si","",RegContabilizados2[[#This Row],[fecha Factura]])</f>
        <v>46003</v>
      </c>
      <c r="E34" s="31">
        <f>IF(Regcontabilizados[[#This Row],[Eliminado]]="si","",RegContabilizados2[[#This Row],[Fecha vencimiento]])</f>
        <v>46003</v>
      </c>
      <c r="F34" s="31" t="str">
        <f>IF(Regcontabilizados[[#This Row],[Eliminado]]="si","",RegContabilizados2[[#This Row],[Idenficador]])</f>
        <v>546565Comp. Egreso564656-7</v>
      </c>
      <c r="G34" s="3">
        <f>IF(Regcontabilizados[[#This Row],[Eliminado]]="si","",RegContabilizados2[[#This Row],[N° de factura/Pago]])</f>
        <v>564656</v>
      </c>
      <c r="H34" s="1" t="str">
        <f>IF(Regcontabilizados[[#This Row],[Eliminado]]="si","",RegContabilizados2[[#This Row],[Tipo de Factura]])</f>
        <v>Comp. Egreso</v>
      </c>
      <c r="I34" s="1">
        <f>IF(Regcontabilizados[[#This Row],[Eliminado]]="si","",RegContabilizados2[[#This Row],[ID Cliente]])</f>
        <v>333333</v>
      </c>
      <c r="J34" s="1">
        <f>IF(Regcontabilizados[[#This Row],[Eliminado]]="si","",RegContabilizados2[[#This Row],[ESTADO DEL IVA]])</f>
        <v>0</v>
      </c>
      <c r="K34" s="3" t="str">
        <f>IF(Regcontabilizados[[#This Row],[Eliminado]]="si","",RegContabilizados2[[#This Row],[ID Proveedor]])</f>
        <v>Valentina</v>
      </c>
      <c r="L34" s="3">
        <f>IF(Regcontabilizados[[#This Row],[Eliminado]]="si","",RegContabilizados2[[#This Row],[Concepto]])</f>
        <v>0</v>
      </c>
      <c r="M34" s="3">
        <f>IF(Regcontabilizados[[#This Row],[Eliminado]]="si","",RegContabilizados2[[#This Row],[Categoría]])</f>
        <v>0</v>
      </c>
      <c r="N34" s="3">
        <f>IF(Regcontabilizados[[#This Row],[Eliminado]]="si","",RegContabilizados2[[#This Row],[Almacen]])</f>
        <v>0</v>
      </c>
      <c r="O34" s="3">
        <f>IF(Regcontabilizados[[#This Row],[Eliminado]]="si","",RegContabilizados2[[#This Row],[Tipo de movimiento]])</f>
        <v>0</v>
      </c>
      <c r="P34" s="1">
        <f>IF(Regcontabilizados[[#This Row],[Eliminado]]="si","",RegContabilizados2[[#This Row],[cantidad]])</f>
        <v>0</v>
      </c>
      <c r="Q34" s="1">
        <f>IF(Regcontabilizados[[#This Row],[Eliminado]]="si","",RegContabilizados2[[#This Row],[VR unitario]])</f>
        <v>0</v>
      </c>
      <c r="R34" s="1">
        <f>IF(Regcontabilizados[[#This Row],[Eliminado]]="si","",RegContabilizados2[[#This Row],[Subcuenta]])</f>
        <v>0</v>
      </c>
      <c r="S34" s="1">
        <f>IF(Regcontabilizados[[#This Row],[Eliminado]]="si","",RegContabilizados2[[#This Row],[Debe]])</f>
        <v>0</v>
      </c>
      <c r="T34" s="1">
        <f>IF(Regcontabilizados[[#This Row],[Eliminado]]="si","",RegContabilizados2[[#This Row],[Haber]])</f>
        <v>0</v>
      </c>
      <c r="U34" s="1">
        <f>IFERROR((Regcontabilizados[[#This Row],[Debe]]-Regcontabilizados[[#This Row],[Haber]]),0)</f>
        <v>0</v>
      </c>
      <c r="V34" s="1">
        <f>IFERROR((+_xlfn.XLOOKUP(Regcontabilizados[[#This Row],[Subcuenta]],Tabla11[Cuenta],Tabla11[Descripción],0)),0)</f>
        <v>0</v>
      </c>
      <c r="W34" s="1">
        <f>IFERROR((_xlfn.XLOOKUP((VALUE(LEFT(Regcontabilizados[[#This Row],[Subcuenta]],4))),Tabla11[Cuenta],Tabla11[Descripción],0)),0)</f>
        <v>0</v>
      </c>
      <c r="X34" s="1">
        <f>IFERROR((_xlfn.XLOOKUP(Regcontabilizados[[#This Row],[Subcuenta]],Tabla11[Cuenta],Tabla11[Descripción],0)),0)</f>
        <v>0</v>
      </c>
      <c r="Y34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34" s="1" t="str">
        <f>_xlfn.XLOOKUP(Regcontabilizados[[#This Row],[Subcuenta]],Tabla11[Cuenta],Tabla11[TIPO],"")</f>
        <v/>
      </c>
      <c r="AA34" s="1" t="str">
        <f>IFERROR((Regcontabilizados[[#This Row],[Subcuenta]]&amp;" "&amp;_xlfn.XLOOKUP(Regcontabilizados[[#This Row],[Subcuenta]],Tabla11[Cuenta],Tabla11[Descripción],0)),0)</f>
        <v>0 0</v>
      </c>
      <c r="AB34" s="1" t="str">
        <f>IFERROR((VALUE(LEFT(Regcontabilizados[[#This Row],[Subcuenta]],2))&amp;" "&amp;_xlfn.XLOOKUP((VALUE(LEFT(Regcontabilizados[[#This Row],[Subcuenta]],2))),Tabla11[Cuenta],Tabla11[Descripción],0)),0)</f>
        <v>0 0</v>
      </c>
      <c r="AC34" s="1" t="str">
        <f>IFERROR((VALUE(LEFT(Regcontabilizados[[#This Row],[Subcuenta]],4))&amp;" "&amp;_xlfn.XLOOKUP((VALUE(LEFT(Regcontabilizados[[#This Row],[Subcuenta]],4))),Tabla11[Cuenta],Tabla11[Descripción],0)),0)</f>
        <v>0 0</v>
      </c>
      <c r="AD34" s="1" t="str">
        <f>IF(Regcontabilizados[[#This Row],[Eliminado]]="si","",RegContabilizados2[[#This Row],[Estado de pago]])</f>
        <v>NO PAGADO</v>
      </c>
      <c r="AE34" s="1" t="str">
        <f>IF(Regcontabilizados[[#This Row],[Eliminado]]="si","",RegContabilizados2[[#This Row],[Colum. Aux. Estado]])</f>
        <v>546565Comp. Egreso564656</v>
      </c>
      <c r="AF34" s="1">
        <f>IF(Regcontabilizados[[#This Row],[Eliminado]]="si","",RegContabilizados2[[#This Row],[Número de pago]])</f>
        <v>0</v>
      </c>
      <c r="AG34" s="1" t="str">
        <f>IF(Regcontabilizados[[#This Row],[Eliminado]]="si","",RegContabilizados2[[#This Row],[Elaborado por]])</f>
        <v>Responsable no especificado</v>
      </c>
      <c r="AH34" s="1" t="str">
        <f>IF(Regcontabilizados[[#This Row],[Eliminado]]="si","",RegContabilizados2[[#This Row],[Notas]])</f>
        <v>Pago del 50%</v>
      </c>
      <c r="AI34" s="1" t="str">
        <f>IF(Regcontabilizados[[#This Row],[Eliminado]]="si","",RegContabilizados2[[#This Row],[Método de pago]])</f>
        <v>TRANSFERENCIA</v>
      </c>
      <c r="AJ34" s="1">
        <f>IF(Regcontabilizados[[#This Row],[Eliminado]]="si","",RegContabilizados2[[#This Row],[Cta. Bancaria]])</f>
        <v>111005</v>
      </c>
      <c r="AO34" s="31">
        <v>46003</v>
      </c>
      <c r="AP34" s="31">
        <v>46003</v>
      </c>
      <c r="AQ34" s="31" t="s">
        <v>1339</v>
      </c>
      <c r="AR34" s="3">
        <v>564656</v>
      </c>
      <c r="AS34" s="1" t="s">
        <v>1090</v>
      </c>
      <c r="AT34" s="1">
        <v>333333</v>
      </c>
      <c r="AV34" s="3" t="s">
        <v>907</v>
      </c>
      <c r="AW34" s="3"/>
      <c r="AX34" s="3"/>
      <c r="AY34" s="3"/>
      <c r="AZ34" s="3"/>
      <c r="BF34" s="1">
        <f>IFERROR((RegContabilizados2[[#This Row],[Debe]]-RegContabilizados2[[#This Row],[Haber]]),0)</f>
        <v>0</v>
      </c>
      <c r="BG34" s="1">
        <f>IFERROR((+_xlfn.XLOOKUP(RegContabilizados2[[#This Row],[Subcuenta]],Tabla11[Cuenta],Tabla11[Descripción],0)),0)</f>
        <v>0</v>
      </c>
      <c r="BH34" s="1">
        <f>IFERROR((VALUE(LEFT(RegContabilizados2[[#This Row],[Subcuenta]],2))&amp;" "&amp;_xlfn.XLOOKUP((VALUE(LEFT(RegContabilizados2[[#This Row],[Subcuenta]],2))),Tabla11[Cuenta],Tabla11[Descripción],0)),0)</f>
        <v>0</v>
      </c>
      <c r="BI34" s="1">
        <f>IFERROR((VALUE(LEFT(RegContabilizados2[[#This Row],[Subcuenta]],4))&amp;" "&amp;_xlfn.XLOOKUP((VALUE(LEFT(RegContabilizados2[[#This Row],[Subcuenta]],4))),Tabla11[Cuenta],Tabla11[Descripción],0)),0)</f>
        <v>0</v>
      </c>
      <c r="BJ34" s="1" t="str">
        <f>IFERROR((RegContabilizados2[[#This Row],[Subcuenta]]&amp;" "&amp;_xlfn.XLOOKUP(RegContabilizados2[[#This Row],[Subcuenta]],Tabla11[Cuenta],Tabla11[Descripción],0)),0)</f>
        <v xml:space="preserve"> 0</v>
      </c>
      <c r="BK34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34" s="1" t="str">
        <f>IFERROR(LEFT(RegContabilizados2[[#This Row],[Idenficador]],SEARCH("-",RegContabilizados2[[#This Row],[Idenficador]])-1),0)</f>
        <v>546565Comp. Egreso564656</v>
      </c>
      <c r="BN34" s="1" t="s">
        <v>1169</v>
      </c>
      <c r="BO34" s="1" t="s">
        <v>1331</v>
      </c>
      <c r="BP34" s="1" t="s">
        <v>868</v>
      </c>
      <c r="BQ34" s="1">
        <v>111005</v>
      </c>
    </row>
    <row r="35" spans="4:69">
      <c r="D35" s="31">
        <f>IF(Regcontabilizados[[#This Row],[Eliminado]]="si","",RegContabilizados2[[#This Row],[fecha Factura]])</f>
        <v>46003</v>
      </c>
      <c r="E35" s="31">
        <f>IF(Regcontabilizados[[#This Row],[Eliminado]]="si","",RegContabilizados2[[#This Row],[Fecha vencimiento]])</f>
        <v>46003</v>
      </c>
      <c r="F35" s="31" t="str">
        <f>IF(Regcontabilizados[[#This Row],[Eliminado]]="si","",RegContabilizados2[[#This Row],[Idenficador]])</f>
        <v>546565Comp. Egreso564656-8</v>
      </c>
      <c r="G35" s="3">
        <f>IF(Regcontabilizados[[#This Row],[Eliminado]]="si","",RegContabilizados2[[#This Row],[N° de factura/Pago]])</f>
        <v>564656</v>
      </c>
      <c r="H35" s="1" t="str">
        <f>IF(Regcontabilizados[[#This Row],[Eliminado]]="si","",RegContabilizados2[[#This Row],[Tipo de Factura]])</f>
        <v>Comp. Egreso</v>
      </c>
      <c r="I35" s="1">
        <f>IF(Regcontabilizados[[#This Row],[Eliminado]]="si","",RegContabilizados2[[#This Row],[ID Cliente]])</f>
        <v>333333</v>
      </c>
      <c r="J35" s="1">
        <f>IF(Regcontabilizados[[#This Row],[Eliminado]]="si","",RegContabilizados2[[#This Row],[ESTADO DEL IVA]])</f>
        <v>0</v>
      </c>
      <c r="K35" s="3" t="str">
        <f>IF(Regcontabilizados[[#This Row],[Eliminado]]="si","",RegContabilizados2[[#This Row],[ID Proveedor]])</f>
        <v>Valentina</v>
      </c>
      <c r="L35" s="3">
        <f>IF(Regcontabilizados[[#This Row],[Eliminado]]="si","",RegContabilizados2[[#This Row],[Concepto]])</f>
        <v>0</v>
      </c>
      <c r="M35" s="3">
        <f>IF(Regcontabilizados[[#This Row],[Eliminado]]="si","",RegContabilizados2[[#This Row],[Categoría]])</f>
        <v>0</v>
      </c>
      <c r="N35" s="3">
        <f>IF(Regcontabilizados[[#This Row],[Eliminado]]="si","",RegContabilizados2[[#This Row],[Almacen]])</f>
        <v>0</v>
      </c>
      <c r="O35" s="3">
        <f>IF(Regcontabilizados[[#This Row],[Eliminado]]="si","",RegContabilizados2[[#This Row],[Tipo de movimiento]])</f>
        <v>0</v>
      </c>
      <c r="P35" s="1">
        <f>IF(Regcontabilizados[[#This Row],[Eliminado]]="si","",RegContabilizados2[[#This Row],[cantidad]])</f>
        <v>0</v>
      </c>
      <c r="Q35" s="1">
        <f>IF(Regcontabilizados[[#This Row],[Eliminado]]="si","",RegContabilizados2[[#This Row],[VR unitario]])</f>
        <v>0</v>
      </c>
      <c r="R35" s="1">
        <f>IF(Regcontabilizados[[#This Row],[Eliminado]]="si","",RegContabilizados2[[#This Row],[Subcuenta]])</f>
        <v>0</v>
      </c>
      <c r="S35" s="1">
        <f>IF(Regcontabilizados[[#This Row],[Eliminado]]="si","",RegContabilizados2[[#This Row],[Debe]])</f>
        <v>0</v>
      </c>
      <c r="T35" s="1">
        <f>IF(Regcontabilizados[[#This Row],[Eliminado]]="si","",RegContabilizados2[[#This Row],[Haber]])</f>
        <v>0</v>
      </c>
      <c r="U35" s="1">
        <f>IFERROR((Regcontabilizados[[#This Row],[Debe]]-Regcontabilizados[[#This Row],[Haber]]),0)</f>
        <v>0</v>
      </c>
      <c r="V35" s="1">
        <f>IFERROR((+_xlfn.XLOOKUP(Regcontabilizados[[#This Row],[Subcuenta]],Tabla11[Cuenta],Tabla11[Descripción],0)),0)</f>
        <v>0</v>
      </c>
      <c r="W35" s="1">
        <f>IFERROR((_xlfn.XLOOKUP((VALUE(LEFT(Regcontabilizados[[#This Row],[Subcuenta]],4))),Tabla11[Cuenta],Tabla11[Descripción],0)),0)</f>
        <v>0</v>
      </c>
      <c r="X35" s="1">
        <f>IFERROR((_xlfn.XLOOKUP(Regcontabilizados[[#This Row],[Subcuenta]],Tabla11[Cuenta],Tabla11[Descripción],0)),0)</f>
        <v>0</v>
      </c>
      <c r="Y35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35" s="1" t="str">
        <f>_xlfn.XLOOKUP(Regcontabilizados[[#This Row],[Subcuenta]],Tabla11[Cuenta],Tabla11[TIPO],"")</f>
        <v/>
      </c>
      <c r="AA35" s="1" t="str">
        <f>IFERROR((Regcontabilizados[[#This Row],[Subcuenta]]&amp;" "&amp;_xlfn.XLOOKUP(Regcontabilizados[[#This Row],[Subcuenta]],Tabla11[Cuenta],Tabla11[Descripción],0)),0)</f>
        <v>0 0</v>
      </c>
      <c r="AB35" s="1" t="str">
        <f>IFERROR((VALUE(LEFT(Regcontabilizados[[#This Row],[Subcuenta]],2))&amp;" "&amp;_xlfn.XLOOKUP((VALUE(LEFT(Regcontabilizados[[#This Row],[Subcuenta]],2))),Tabla11[Cuenta],Tabla11[Descripción],0)),0)</f>
        <v>0 0</v>
      </c>
      <c r="AC35" s="1" t="str">
        <f>IFERROR((VALUE(LEFT(Regcontabilizados[[#This Row],[Subcuenta]],4))&amp;" "&amp;_xlfn.XLOOKUP((VALUE(LEFT(Regcontabilizados[[#This Row],[Subcuenta]],4))),Tabla11[Cuenta],Tabla11[Descripción],0)),0)</f>
        <v>0 0</v>
      </c>
      <c r="AD35" s="1" t="str">
        <f>IF(Regcontabilizados[[#This Row],[Eliminado]]="si","",RegContabilizados2[[#This Row],[Estado de pago]])</f>
        <v>NO PAGADO</v>
      </c>
      <c r="AE35" s="1" t="str">
        <f>IF(Regcontabilizados[[#This Row],[Eliminado]]="si","",RegContabilizados2[[#This Row],[Colum. Aux. Estado]])</f>
        <v>546565Comp. Egreso564656</v>
      </c>
      <c r="AF35" s="1">
        <f>IF(Regcontabilizados[[#This Row],[Eliminado]]="si","",RegContabilizados2[[#This Row],[Número de pago]])</f>
        <v>0</v>
      </c>
      <c r="AG35" s="1" t="str">
        <f>IF(Regcontabilizados[[#This Row],[Eliminado]]="si","",RegContabilizados2[[#This Row],[Elaborado por]])</f>
        <v>Responsable no especificado</v>
      </c>
      <c r="AH35" s="1" t="str">
        <f>IF(Regcontabilizados[[#This Row],[Eliminado]]="si","",RegContabilizados2[[#This Row],[Notas]])</f>
        <v>Pago del 50%</v>
      </c>
      <c r="AI35" s="1" t="str">
        <f>IF(Regcontabilizados[[#This Row],[Eliminado]]="si","",RegContabilizados2[[#This Row],[Método de pago]])</f>
        <v>TRANSFERENCIA</v>
      </c>
      <c r="AJ35" s="1">
        <f>IF(Regcontabilizados[[#This Row],[Eliminado]]="si","",RegContabilizados2[[#This Row],[Cta. Bancaria]])</f>
        <v>111005</v>
      </c>
      <c r="AO35" s="31">
        <v>46003</v>
      </c>
      <c r="AP35" s="31">
        <v>46003</v>
      </c>
      <c r="AQ35" s="31" t="s">
        <v>1340</v>
      </c>
      <c r="AR35" s="3">
        <v>564656</v>
      </c>
      <c r="AS35" s="1" t="s">
        <v>1090</v>
      </c>
      <c r="AT35" s="1">
        <v>333333</v>
      </c>
      <c r="AV35" s="3" t="s">
        <v>907</v>
      </c>
      <c r="AW35" s="3"/>
      <c r="AX35" s="3"/>
      <c r="AY35" s="3"/>
      <c r="AZ35" s="3"/>
      <c r="BF35" s="1">
        <f>IFERROR((RegContabilizados2[[#This Row],[Debe]]-RegContabilizados2[[#This Row],[Haber]]),0)</f>
        <v>0</v>
      </c>
      <c r="BG35" s="1">
        <f>IFERROR((+_xlfn.XLOOKUP(RegContabilizados2[[#This Row],[Subcuenta]],Tabla11[Cuenta],Tabla11[Descripción],0)),0)</f>
        <v>0</v>
      </c>
      <c r="BH35" s="1">
        <f>IFERROR((VALUE(LEFT(RegContabilizados2[[#This Row],[Subcuenta]],2))&amp;" "&amp;_xlfn.XLOOKUP((VALUE(LEFT(RegContabilizados2[[#This Row],[Subcuenta]],2))),Tabla11[Cuenta],Tabla11[Descripción],0)),0)</f>
        <v>0</v>
      </c>
      <c r="BI35" s="1">
        <f>IFERROR((VALUE(LEFT(RegContabilizados2[[#This Row],[Subcuenta]],4))&amp;" "&amp;_xlfn.XLOOKUP((VALUE(LEFT(RegContabilizados2[[#This Row],[Subcuenta]],4))),Tabla11[Cuenta],Tabla11[Descripción],0)),0)</f>
        <v>0</v>
      </c>
      <c r="BJ35" s="1" t="str">
        <f>IFERROR((RegContabilizados2[[#This Row],[Subcuenta]]&amp;" "&amp;_xlfn.XLOOKUP(RegContabilizados2[[#This Row],[Subcuenta]],Tabla11[Cuenta],Tabla11[Descripción],0)),0)</f>
        <v xml:space="preserve"> 0</v>
      </c>
      <c r="BK35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35" s="1" t="str">
        <f>IFERROR(LEFT(RegContabilizados2[[#This Row],[Idenficador]],SEARCH("-",RegContabilizados2[[#This Row],[Idenficador]])-1),0)</f>
        <v>546565Comp. Egreso564656</v>
      </c>
      <c r="BN35" s="1" t="s">
        <v>1169</v>
      </c>
      <c r="BO35" s="1" t="s">
        <v>1331</v>
      </c>
      <c r="BP35" s="1" t="s">
        <v>868</v>
      </c>
      <c r="BQ35" s="1">
        <v>111005</v>
      </c>
    </row>
    <row r="36" spans="4:69">
      <c r="D36" s="31">
        <f>IF(Regcontabilizados[[#This Row],[Eliminado]]="si","",RegContabilizados2[[#This Row],[fecha Factura]])</f>
        <v>46003</v>
      </c>
      <c r="E36" s="31">
        <f>IF(Regcontabilizados[[#This Row],[Eliminado]]="si","",RegContabilizados2[[#This Row],[Fecha vencimiento]])</f>
        <v>46003</v>
      </c>
      <c r="F36" s="31" t="str">
        <f>IF(Regcontabilizados[[#This Row],[Eliminado]]="si","",RegContabilizados2[[#This Row],[Idenficador]])</f>
        <v>546565Comp. Egreso564656-9</v>
      </c>
      <c r="G36" s="3">
        <f>IF(Regcontabilizados[[#This Row],[Eliminado]]="si","",RegContabilizados2[[#This Row],[N° de factura/Pago]])</f>
        <v>564656</v>
      </c>
      <c r="H36" s="1" t="str">
        <f>IF(Regcontabilizados[[#This Row],[Eliminado]]="si","",RegContabilizados2[[#This Row],[Tipo de Factura]])</f>
        <v>Comp. Egreso</v>
      </c>
      <c r="I36" s="1">
        <f>IF(Regcontabilizados[[#This Row],[Eliminado]]="si","",RegContabilizados2[[#This Row],[ID Cliente]])</f>
        <v>333333</v>
      </c>
      <c r="J36" s="1">
        <f>IF(Regcontabilizados[[#This Row],[Eliminado]]="si","",RegContabilizados2[[#This Row],[ESTADO DEL IVA]])</f>
        <v>0</v>
      </c>
      <c r="K36" s="3" t="str">
        <f>IF(Regcontabilizados[[#This Row],[Eliminado]]="si","",RegContabilizados2[[#This Row],[ID Proveedor]])</f>
        <v>Valentina</v>
      </c>
      <c r="L36" s="3">
        <f>IF(Regcontabilizados[[#This Row],[Eliminado]]="si","",RegContabilizados2[[#This Row],[Concepto]])</f>
        <v>0</v>
      </c>
      <c r="M36" s="3">
        <f>IF(Regcontabilizados[[#This Row],[Eliminado]]="si","",RegContabilizados2[[#This Row],[Categoría]])</f>
        <v>0</v>
      </c>
      <c r="N36" s="3">
        <f>IF(Regcontabilizados[[#This Row],[Eliminado]]="si","",RegContabilizados2[[#This Row],[Almacen]])</f>
        <v>0</v>
      </c>
      <c r="O36" s="3">
        <f>IF(Regcontabilizados[[#This Row],[Eliminado]]="si","",RegContabilizados2[[#This Row],[Tipo de movimiento]])</f>
        <v>0</v>
      </c>
      <c r="P36" s="1">
        <f>IF(Regcontabilizados[[#This Row],[Eliminado]]="si","",RegContabilizados2[[#This Row],[cantidad]])</f>
        <v>0</v>
      </c>
      <c r="Q36" s="1">
        <f>IF(Regcontabilizados[[#This Row],[Eliminado]]="si","",RegContabilizados2[[#This Row],[VR unitario]])</f>
        <v>0</v>
      </c>
      <c r="R36" s="1">
        <f>IF(Regcontabilizados[[#This Row],[Eliminado]]="si","",RegContabilizados2[[#This Row],[Subcuenta]])</f>
        <v>0</v>
      </c>
      <c r="S36" s="1">
        <f>IF(Regcontabilizados[[#This Row],[Eliminado]]="si","",RegContabilizados2[[#This Row],[Debe]])</f>
        <v>0</v>
      </c>
      <c r="T36" s="1">
        <f>IF(Regcontabilizados[[#This Row],[Eliminado]]="si","",RegContabilizados2[[#This Row],[Haber]])</f>
        <v>0</v>
      </c>
      <c r="U36" s="1">
        <f>IFERROR((Regcontabilizados[[#This Row],[Debe]]-Regcontabilizados[[#This Row],[Haber]]),0)</f>
        <v>0</v>
      </c>
      <c r="V36" s="1">
        <f>IFERROR((+_xlfn.XLOOKUP(Regcontabilizados[[#This Row],[Subcuenta]],Tabla11[Cuenta],Tabla11[Descripción],0)),0)</f>
        <v>0</v>
      </c>
      <c r="W36" s="1">
        <f>IFERROR((_xlfn.XLOOKUP((VALUE(LEFT(Regcontabilizados[[#This Row],[Subcuenta]],4))),Tabla11[Cuenta],Tabla11[Descripción],0)),0)</f>
        <v>0</v>
      </c>
      <c r="X36" s="1">
        <f>IFERROR((_xlfn.XLOOKUP(Regcontabilizados[[#This Row],[Subcuenta]],Tabla11[Cuenta],Tabla11[Descripción],0)),0)</f>
        <v>0</v>
      </c>
      <c r="Y36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36" s="1" t="str">
        <f>_xlfn.XLOOKUP(Regcontabilizados[[#This Row],[Subcuenta]],Tabla11[Cuenta],Tabla11[TIPO],"")</f>
        <v/>
      </c>
      <c r="AA36" s="1" t="str">
        <f>IFERROR((Regcontabilizados[[#This Row],[Subcuenta]]&amp;" "&amp;_xlfn.XLOOKUP(Regcontabilizados[[#This Row],[Subcuenta]],Tabla11[Cuenta],Tabla11[Descripción],0)),0)</f>
        <v>0 0</v>
      </c>
      <c r="AB36" s="1" t="str">
        <f>IFERROR((VALUE(LEFT(Regcontabilizados[[#This Row],[Subcuenta]],2))&amp;" "&amp;_xlfn.XLOOKUP((VALUE(LEFT(Regcontabilizados[[#This Row],[Subcuenta]],2))),Tabla11[Cuenta],Tabla11[Descripción],0)),0)</f>
        <v>0 0</v>
      </c>
      <c r="AC36" s="1" t="str">
        <f>IFERROR((VALUE(LEFT(Regcontabilizados[[#This Row],[Subcuenta]],4))&amp;" "&amp;_xlfn.XLOOKUP((VALUE(LEFT(Regcontabilizados[[#This Row],[Subcuenta]],4))),Tabla11[Cuenta],Tabla11[Descripción],0)),0)</f>
        <v>0 0</v>
      </c>
      <c r="AD36" s="1" t="str">
        <f>IF(Regcontabilizados[[#This Row],[Eliminado]]="si","",RegContabilizados2[[#This Row],[Estado de pago]])</f>
        <v>NO PAGADO</v>
      </c>
      <c r="AE36" s="1" t="str">
        <f>IF(Regcontabilizados[[#This Row],[Eliminado]]="si","",RegContabilizados2[[#This Row],[Colum. Aux. Estado]])</f>
        <v>546565Comp. Egreso564656</v>
      </c>
      <c r="AF36" s="1">
        <f>IF(Regcontabilizados[[#This Row],[Eliminado]]="si","",RegContabilizados2[[#This Row],[Número de pago]])</f>
        <v>0</v>
      </c>
      <c r="AG36" s="1" t="str">
        <f>IF(Regcontabilizados[[#This Row],[Eliminado]]="si","",RegContabilizados2[[#This Row],[Elaborado por]])</f>
        <v>Responsable no especificado</v>
      </c>
      <c r="AH36" s="1" t="str">
        <f>IF(Regcontabilizados[[#This Row],[Eliminado]]="si","",RegContabilizados2[[#This Row],[Notas]])</f>
        <v>Pago del 50%</v>
      </c>
      <c r="AI36" s="1" t="str">
        <f>IF(Regcontabilizados[[#This Row],[Eliminado]]="si","",RegContabilizados2[[#This Row],[Método de pago]])</f>
        <v>TRANSFERENCIA</v>
      </c>
      <c r="AJ36" s="1">
        <f>IF(Regcontabilizados[[#This Row],[Eliminado]]="si","",RegContabilizados2[[#This Row],[Cta. Bancaria]])</f>
        <v>111005</v>
      </c>
      <c r="AO36" s="31">
        <v>46003</v>
      </c>
      <c r="AP36" s="31">
        <v>46003</v>
      </c>
      <c r="AQ36" s="31" t="s">
        <v>1341</v>
      </c>
      <c r="AR36" s="3">
        <v>564656</v>
      </c>
      <c r="AS36" s="1" t="s">
        <v>1090</v>
      </c>
      <c r="AT36" s="1">
        <v>333333</v>
      </c>
      <c r="AV36" s="3" t="s">
        <v>907</v>
      </c>
      <c r="AW36" s="3"/>
      <c r="AX36" s="3"/>
      <c r="AY36" s="3"/>
      <c r="AZ36" s="3"/>
      <c r="BF36" s="1">
        <f>IFERROR((RegContabilizados2[[#This Row],[Debe]]-RegContabilizados2[[#This Row],[Haber]]),0)</f>
        <v>0</v>
      </c>
      <c r="BG36" s="1">
        <f>IFERROR((+_xlfn.XLOOKUP(RegContabilizados2[[#This Row],[Subcuenta]],Tabla11[Cuenta],Tabla11[Descripción],0)),0)</f>
        <v>0</v>
      </c>
      <c r="BH36" s="1">
        <f>IFERROR((VALUE(LEFT(RegContabilizados2[[#This Row],[Subcuenta]],2))&amp;" "&amp;_xlfn.XLOOKUP((VALUE(LEFT(RegContabilizados2[[#This Row],[Subcuenta]],2))),Tabla11[Cuenta],Tabla11[Descripción],0)),0)</f>
        <v>0</v>
      </c>
      <c r="BI36" s="1">
        <f>IFERROR((VALUE(LEFT(RegContabilizados2[[#This Row],[Subcuenta]],4))&amp;" "&amp;_xlfn.XLOOKUP((VALUE(LEFT(RegContabilizados2[[#This Row],[Subcuenta]],4))),Tabla11[Cuenta],Tabla11[Descripción],0)),0)</f>
        <v>0</v>
      </c>
      <c r="BJ36" s="1" t="str">
        <f>IFERROR((RegContabilizados2[[#This Row],[Subcuenta]]&amp;" "&amp;_xlfn.XLOOKUP(RegContabilizados2[[#This Row],[Subcuenta]],Tabla11[Cuenta],Tabla11[Descripción],0)),0)</f>
        <v xml:space="preserve"> 0</v>
      </c>
      <c r="BK36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36" s="1" t="str">
        <f>IFERROR(LEFT(RegContabilizados2[[#This Row],[Idenficador]],SEARCH("-",RegContabilizados2[[#This Row],[Idenficador]])-1),0)</f>
        <v>546565Comp. Egreso564656</v>
      </c>
      <c r="BN36" s="1" t="s">
        <v>1169</v>
      </c>
      <c r="BO36" s="1" t="s">
        <v>1331</v>
      </c>
      <c r="BP36" s="1" t="s">
        <v>868</v>
      </c>
      <c r="BQ36" s="1">
        <v>111005</v>
      </c>
    </row>
    <row r="37" spans="4:69">
      <c r="D37" s="31">
        <f>IF(Regcontabilizados[[#This Row],[Eliminado]]="si","",RegContabilizados2[[#This Row],[fecha Factura]])</f>
        <v>46003</v>
      </c>
      <c r="E37" s="31">
        <f>IF(Regcontabilizados[[#This Row],[Eliminado]]="si","",RegContabilizados2[[#This Row],[Fecha vencimiento]])</f>
        <v>46003</v>
      </c>
      <c r="F37" s="31" t="str">
        <f>IF(Regcontabilizados[[#This Row],[Eliminado]]="si","",RegContabilizados2[[#This Row],[Idenficador]])</f>
        <v>546565Comp. Egreso564656-10</v>
      </c>
      <c r="G37" s="3">
        <f>IF(Regcontabilizados[[#This Row],[Eliminado]]="si","",RegContabilizados2[[#This Row],[N° de factura/Pago]])</f>
        <v>564656</v>
      </c>
      <c r="H37" s="1" t="str">
        <f>IF(Regcontabilizados[[#This Row],[Eliminado]]="si","",RegContabilizados2[[#This Row],[Tipo de Factura]])</f>
        <v>Comp. Egreso</v>
      </c>
      <c r="I37" s="1">
        <f>IF(Regcontabilizados[[#This Row],[Eliminado]]="si","",RegContabilizados2[[#This Row],[ID Cliente]])</f>
        <v>333333</v>
      </c>
      <c r="J37" s="1">
        <f>IF(Regcontabilizados[[#This Row],[Eliminado]]="si","",RegContabilizados2[[#This Row],[ESTADO DEL IVA]])</f>
        <v>0</v>
      </c>
      <c r="K37" s="3" t="str">
        <f>IF(Regcontabilizados[[#This Row],[Eliminado]]="si","",RegContabilizados2[[#This Row],[ID Proveedor]])</f>
        <v>Valentina</v>
      </c>
      <c r="L37" s="3">
        <f>IF(Regcontabilizados[[#This Row],[Eliminado]]="si","",RegContabilizados2[[#This Row],[Concepto]])</f>
        <v>0</v>
      </c>
      <c r="M37" s="3">
        <f>IF(Regcontabilizados[[#This Row],[Eliminado]]="si","",RegContabilizados2[[#This Row],[Categoría]])</f>
        <v>0</v>
      </c>
      <c r="N37" s="3">
        <f>IF(Regcontabilizados[[#This Row],[Eliminado]]="si","",RegContabilizados2[[#This Row],[Almacen]])</f>
        <v>0</v>
      </c>
      <c r="O37" s="3">
        <f>IF(Regcontabilizados[[#This Row],[Eliminado]]="si","",RegContabilizados2[[#This Row],[Tipo de movimiento]])</f>
        <v>0</v>
      </c>
      <c r="P37" s="1">
        <f>IF(Regcontabilizados[[#This Row],[Eliminado]]="si","",RegContabilizados2[[#This Row],[cantidad]])</f>
        <v>0</v>
      </c>
      <c r="Q37" s="1">
        <f>IF(Regcontabilizados[[#This Row],[Eliminado]]="si","",RegContabilizados2[[#This Row],[VR unitario]])</f>
        <v>0</v>
      </c>
      <c r="R37" s="1">
        <f>IF(Regcontabilizados[[#This Row],[Eliminado]]="si","",RegContabilizados2[[#This Row],[Subcuenta]])</f>
        <v>0</v>
      </c>
      <c r="S37" s="1">
        <f>IF(Regcontabilizados[[#This Row],[Eliminado]]="si","",RegContabilizados2[[#This Row],[Debe]])</f>
        <v>0</v>
      </c>
      <c r="T37" s="1">
        <f>IF(Regcontabilizados[[#This Row],[Eliminado]]="si","",RegContabilizados2[[#This Row],[Haber]])</f>
        <v>0</v>
      </c>
      <c r="U37" s="1">
        <f>IFERROR((Regcontabilizados[[#This Row],[Debe]]-Regcontabilizados[[#This Row],[Haber]]),0)</f>
        <v>0</v>
      </c>
      <c r="V37" s="1">
        <f>IFERROR((+_xlfn.XLOOKUP(Regcontabilizados[[#This Row],[Subcuenta]],Tabla11[Cuenta],Tabla11[Descripción],0)),0)</f>
        <v>0</v>
      </c>
      <c r="W37" s="1">
        <f>IFERROR((_xlfn.XLOOKUP((VALUE(LEFT(Regcontabilizados[[#This Row],[Subcuenta]],4))),Tabla11[Cuenta],Tabla11[Descripción],0)),0)</f>
        <v>0</v>
      </c>
      <c r="X37" s="1">
        <f>IFERROR((_xlfn.XLOOKUP(Regcontabilizados[[#This Row],[Subcuenta]],Tabla11[Cuenta],Tabla11[Descripción],0)),0)</f>
        <v>0</v>
      </c>
      <c r="Y37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37" s="1" t="str">
        <f>_xlfn.XLOOKUP(Regcontabilizados[[#This Row],[Subcuenta]],Tabla11[Cuenta],Tabla11[TIPO],"")</f>
        <v/>
      </c>
      <c r="AA37" s="1" t="str">
        <f>IFERROR((Regcontabilizados[[#This Row],[Subcuenta]]&amp;" "&amp;_xlfn.XLOOKUP(Regcontabilizados[[#This Row],[Subcuenta]],Tabla11[Cuenta],Tabla11[Descripción],0)),0)</f>
        <v>0 0</v>
      </c>
      <c r="AB37" s="1" t="str">
        <f>IFERROR((VALUE(LEFT(Regcontabilizados[[#This Row],[Subcuenta]],2))&amp;" "&amp;_xlfn.XLOOKUP((VALUE(LEFT(Regcontabilizados[[#This Row],[Subcuenta]],2))),Tabla11[Cuenta],Tabla11[Descripción],0)),0)</f>
        <v>0 0</v>
      </c>
      <c r="AC37" s="1" t="str">
        <f>IFERROR((VALUE(LEFT(Regcontabilizados[[#This Row],[Subcuenta]],4))&amp;" "&amp;_xlfn.XLOOKUP((VALUE(LEFT(Regcontabilizados[[#This Row],[Subcuenta]],4))),Tabla11[Cuenta],Tabla11[Descripción],0)),0)</f>
        <v>0 0</v>
      </c>
      <c r="AD37" s="1" t="str">
        <f>IF(Regcontabilizados[[#This Row],[Eliminado]]="si","",RegContabilizados2[[#This Row],[Estado de pago]])</f>
        <v>NO PAGADO</v>
      </c>
      <c r="AE37" s="1" t="str">
        <f>IF(Regcontabilizados[[#This Row],[Eliminado]]="si","",RegContabilizados2[[#This Row],[Colum. Aux. Estado]])</f>
        <v>546565Comp. Egreso564656</v>
      </c>
      <c r="AF37" s="1">
        <f>IF(Regcontabilizados[[#This Row],[Eliminado]]="si","",RegContabilizados2[[#This Row],[Número de pago]])</f>
        <v>0</v>
      </c>
      <c r="AG37" s="1" t="str">
        <f>IF(Regcontabilizados[[#This Row],[Eliminado]]="si","",RegContabilizados2[[#This Row],[Elaborado por]])</f>
        <v>Responsable no especificado</v>
      </c>
      <c r="AH37" s="1" t="str">
        <f>IF(Regcontabilizados[[#This Row],[Eliminado]]="si","",RegContabilizados2[[#This Row],[Notas]])</f>
        <v>Pago del 50%</v>
      </c>
      <c r="AI37" s="1" t="str">
        <f>IF(Regcontabilizados[[#This Row],[Eliminado]]="si","",RegContabilizados2[[#This Row],[Método de pago]])</f>
        <v>TRANSFERENCIA</v>
      </c>
      <c r="AJ37" s="1">
        <f>IF(Regcontabilizados[[#This Row],[Eliminado]]="si","",RegContabilizados2[[#This Row],[Cta. Bancaria]])</f>
        <v>111005</v>
      </c>
      <c r="AO37" s="31">
        <v>46003</v>
      </c>
      <c r="AP37" s="31">
        <v>46003</v>
      </c>
      <c r="AQ37" s="31" t="s">
        <v>1342</v>
      </c>
      <c r="AR37" s="3">
        <v>564656</v>
      </c>
      <c r="AS37" s="1" t="s">
        <v>1090</v>
      </c>
      <c r="AT37" s="1">
        <v>333333</v>
      </c>
      <c r="AV37" s="3" t="s">
        <v>907</v>
      </c>
      <c r="AW37" s="3"/>
      <c r="AX37" s="3"/>
      <c r="AY37" s="3"/>
      <c r="AZ37" s="3"/>
      <c r="BF37" s="1">
        <f>IFERROR((RegContabilizados2[[#This Row],[Debe]]-RegContabilizados2[[#This Row],[Haber]]),0)</f>
        <v>0</v>
      </c>
      <c r="BG37" s="1">
        <f>IFERROR((+_xlfn.XLOOKUP(RegContabilizados2[[#This Row],[Subcuenta]],Tabla11[Cuenta],Tabla11[Descripción],0)),0)</f>
        <v>0</v>
      </c>
      <c r="BH37" s="1">
        <f>IFERROR((VALUE(LEFT(RegContabilizados2[[#This Row],[Subcuenta]],2))&amp;" "&amp;_xlfn.XLOOKUP((VALUE(LEFT(RegContabilizados2[[#This Row],[Subcuenta]],2))),Tabla11[Cuenta],Tabla11[Descripción],0)),0)</f>
        <v>0</v>
      </c>
      <c r="BI37" s="1">
        <f>IFERROR((VALUE(LEFT(RegContabilizados2[[#This Row],[Subcuenta]],4))&amp;" "&amp;_xlfn.XLOOKUP((VALUE(LEFT(RegContabilizados2[[#This Row],[Subcuenta]],4))),Tabla11[Cuenta],Tabla11[Descripción],0)),0)</f>
        <v>0</v>
      </c>
      <c r="BJ37" s="1" t="str">
        <f>IFERROR((RegContabilizados2[[#This Row],[Subcuenta]]&amp;" "&amp;_xlfn.XLOOKUP(RegContabilizados2[[#This Row],[Subcuenta]],Tabla11[Cuenta],Tabla11[Descripción],0)),0)</f>
        <v xml:space="preserve"> 0</v>
      </c>
      <c r="BK37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37" s="1" t="str">
        <f>IFERROR(LEFT(RegContabilizados2[[#This Row],[Idenficador]],SEARCH("-",RegContabilizados2[[#This Row],[Idenficador]])-1),0)</f>
        <v>546565Comp. Egreso564656</v>
      </c>
      <c r="BN37" s="1" t="s">
        <v>1169</v>
      </c>
      <c r="BO37" s="1" t="s">
        <v>1331</v>
      </c>
      <c r="BP37" s="1" t="s">
        <v>868</v>
      </c>
      <c r="BQ37" s="1">
        <v>111005</v>
      </c>
    </row>
    <row r="38" spans="4:69">
      <c r="D38" s="31" t="str">
        <f>IF(Regcontabilizados[[#This Row],[Eliminado]]="si","",RegContabilizados2[[#This Row],[fecha Factura]])</f>
        <v/>
      </c>
      <c r="E38" s="31" t="str">
        <f>IF(Regcontabilizados[[#This Row],[Eliminado]]="si","",RegContabilizados2[[#This Row],[Fecha vencimiento]])</f>
        <v/>
      </c>
      <c r="F38" s="3" t="str">
        <f>IF(Regcontabilizados[[#This Row],[Eliminado]]="si","",RegContabilizados2[[#This Row],[Idenficador]])</f>
        <v/>
      </c>
      <c r="G38" s="3" t="str">
        <f>IF(Regcontabilizados[[#This Row],[Eliminado]]="si","",RegContabilizados2[[#This Row],[N° de factura/Pago]])</f>
        <v/>
      </c>
      <c r="H38" s="1" t="str">
        <f>IF(Regcontabilizados[[#This Row],[Eliminado]]="si","",RegContabilizados2[[#This Row],[Tipo de Factura]])</f>
        <v/>
      </c>
      <c r="I38" s="1" t="str">
        <f>IF(Regcontabilizados[[#This Row],[Eliminado]]="si","",RegContabilizados2[[#This Row],[ID Cliente]])</f>
        <v/>
      </c>
      <c r="J38" s="1" t="str">
        <f>IF(Regcontabilizados[[#This Row],[Eliminado]]="si","",RegContabilizados2[[#This Row],[ESTADO DEL IVA]])</f>
        <v/>
      </c>
      <c r="K38" s="3" t="str">
        <f>IF(Regcontabilizados[[#This Row],[Eliminado]]="si","",RegContabilizados2[[#This Row],[ID Proveedor]])</f>
        <v/>
      </c>
      <c r="L38" s="3" t="str">
        <f>IF(Regcontabilizados[[#This Row],[Eliminado]]="si","",RegContabilizados2[[#This Row],[Concepto]])</f>
        <v/>
      </c>
      <c r="M38" s="3" t="str">
        <f>IF(Regcontabilizados[[#This Row],[Eliminado]]="si","",RegContabilizados2[[#This Row],[Categoría]])</f>
        <v/>
      </c>
      <c r="N38" s="3" t="str">
        <f>IF(Regcontabilizados[[#This Row],[Eliminado]]="si","",RegContabilizados2[[#This Row],[Almacen]])</f>
        <v/>
      </c>
      <c r="O38" s="3" t="str">
        <f>IF(Regcontabilizados[[#This Row],[Eliminado]]="si","",RegContabilizados2[[#This Row],[Tipo de movimiento]])</f>
        <v/>
      </c>
      <c r="P38" s="1" t="str">
        <f>IF(Regcontabilizados[[#This Row],[Eliminado]]="si","",RegContabilizados2[[#This Row],[cantidad]])</f>
        <v/>
      </c>
      <c r="Q38" s="1" t="str">
        <f>IF(Regcontabilizados[[#This Row],[Eliminado]]="si","",RegContabilizados2[[#This Row],[VR unitario]])</f>
        <v/>
      </c>
      <c r="R38" s="1" t="str">
        <f>IF(Regcontabilizados[[#This Row],[Eliminado]]="si","",RegContabilizados2[[#This Row],[Subcuenta]])</f>
        <v/>
      </c>
      <c r="S38" s="1" t="str">
        <f>IF(Regcontabilizados[[#This Row],[Eliminado]]="si","",RegContabilizados2[[#This Row],[Debe]])</f>
        <v/>
      </c>
      <c r="T38" s="1" t="str">
        <f>IF(Regcontabilizados[[#This Row],[Eliminado]]="si","",RegContabilizados2[[#This Row],[Haber]])</f>
        <v/>
      </c>
      <c r="U38" s="1">
        <f>IFERROR((Regcontabilizados[[#This Row],[Debe]]-Regcontabilizados[[#This Row],[Haber]]),0)</f>
        <v>0</v>
      </c>
      <c r="V38" s="1">
        <f>IFERROR((+_xlfn.XLOOKUP(Regcontabilizados[[#This Row],[Subcuenta]],Tabla11[Cuenta],Tabla11[Descripción],0)),0)</f>
        <v>0</v>
      </c>
      <c r="W38" s="1">
        <f>IFERROR((_xlfn.XLOOKUP((VALUE(LEFT(Regcontabilizados[[#This Row],[Subcuenta]],4))),Tabla11[Cuenta],Tabla11[Descripción],0)),0)</f>
        <v>0</v>
      </c>
      <c r="X38" s="1">
        <f>IFERROR((_xlfn.XLOOKUP(Regcontabilizados[[#This Row],[Subcuenta]],Tabla11[Cuenta],Tabla11[Descripción],0)),0)</f>
        <v>0</v>
      </c>
      <c r="Y38" s="1" t="str">
        <f>IF((IFERROR((FIND((_xlfn.XLOOKUP(RegContabilizados2[[#This Row],[Idenficador]],FormtBorrados[formatos borrados],FormtBorrados[formatos borrados],0)),RegContabilizados2[[#This Row],[Idenficador]])),0))=1,"si","no")</f>
        <v>si</v>
      </c>
      <c r="Z38" s="1" t="str">
        <f>_xlfn.XLOOKUP(Regcontabilizados[[#This Row],[Subcuenta]],Tabla11[Cuenta],Tabla11[TIPO],"")</f>
        <v/>
      </c>
      <c r="AA38" s="1" t="str">
        <f>IFERROR((Regcontabilizados[[#This Row],[Subcuenta]]&amp;" "&amp;_xlfn.XLOOKUP(Regcontabilizados[[#This Row],[Subcuenta]],Tabla11[Cuenta],Tabla11[Descripción],0)),0)</f>
        <v xml:space="preserve"> 0</v>
      </c>
      <c r="AB38" s="1">
        <f>IFERROR((VALUE(LEFT(Regcontabilizados[[#This Row],[Subcuenta]],2))&amp;" "&amp;_xlfn.XLOOKUP((VALUE(LEFT(Regcontabilizados[[#This Row],[Subcuenta]],2))),Tabla11[Cuenta],Tabla11[Descripción],0)),0)</f>
        <v>0</v>
      </c>
      <c r="AC38" s="1">
        <f>IFERROR((VALUE(LEFT(Regcontabilizados[[#This Row],[Subcuenta]],4))&amp;" "&amp;_xlfn.XLOOKUP((VALUE(LEFT(Regcontabilizados[[#This Row],[Subcuenta]],4))),Tabla11[Cuenta],Tabla11[Descripción],0)),0)</f>
        <v>0</v>
      </c>
      <c r="AD38" s="1" t="str">
        <f>IF(Regcontabilizados[[#This Row],[Eliminado]]="si","",RegContabilizados2[[#This Row],[Estado de pago]])</f>
        <v/>
      </c>
      <c r="AE38" s="1" t="str">
        <f>IF(Regcontabilizados[[#This Row],[Eliminado]]="si","",RegContabilizados2[[#This Row],[Colum. Aux. Estado]])</f>
        <v/>
      </c>
      <c r="AF38" s="1" t="str">
        <f>IF(Regcontabilizados[[#This Row],[Eliminado]]="si","",RegContabilizados2[[#This Row],[Número de pago]])</f>
        <v/>
      </c>
      <c r="AG38" s="1" t="str">
        <f>IF(Regcontabilizados[[#This Row],[Eliminado]]="si","",RegContabilizados2[[#This Row],[Elaborado por]])</f>
        <v/>
      </c>
      <c r="AH38" s="1" t="str">
        <f>IF(Regcontabilizados[[#This Row],[Eliminado]]="si","",RegContabilizados2[[#This Row],[Notas]])</f>
        <v/>
      </c>
      <c r="AI38" s="1" t="str">
        <f>IF(Regcontabilizados[[#This Row],[Eliminado]]="si","",RegContabilizados2[[#This Row],[Método de pago]])</f>
        <v/>
      </c>
      <c r="AJ38" s="1" t="str">
        <f>IF(Regcontabilizados[[#This Row],[Eliminado]]="si","",RegContabilizados2[[#This Row],[Cta. Bancaria]])</f>
        <v/>
      </c>
      <c r="AO38" s="31">
        <v>46003</v>
      </c>
      <c r="AP38" s="31">
        <v>46003</v>
      </c>
      <c r="AQ38" s="3" t="s">
        <v>1318</v>
      </c>
      <c r="AR38" s="3">
        <v>455441</v>
      </c>
      <c r="AS38" s="1" t="s">
        <v>1090</v>
      </c>
      <c r="AT38" s="1">
        <v>333333</v>
      </c>
      <c r="AV38" s="3" t="s">
        <v>907</v>
      </c>
      <c r="AW38" s="3"/>
      <c r="AX38" s="3"/>
      <c r="AY38" s="3"/>
      <c r="AZ38" s="3"/>
      <c r="BC38" s="1">
        <v>111005</v>
      </c>
      <c r="BE38" s="1">
        <v>413525</v>
      </c>
      <c r="BF38" s="1">
        <f>IFERROR((RegContabilizados2[[#This Row],[Debe]]-RegContabilizados2[[#This Row],[Haber]]),0)</f>
        <v>-413525</v>
      </c>
      <c r="BG38" s="1" t="str">
        <f>IFERROR((+_xlfn.XLOOKUP(RegContabilizados2[[#This Row],[Subcuenta]],Tabla11[Cuenta],Tabla11[Descripción],0)),0)</f>
        <v>Banco 1</v>
      </c>
      <c r="BH38" s="1" t="str">
        <f>IFERROR((VALUE(LEFT(RegContabilizados2[[#This Row],[Subcuenta]],2))&amp;" "&amp;_xlfn.XLOOKUP((VALUE(LEFT(RegContabilizados2[[#This Row],[Subcuenta]],2))),Tabla11[Cuenta],Tabla11[Descripción],0)),0)</f>
        <v>11 Efectivo y Equivalente al Efectivo</v>
      </c>
      <c r="BI38" s="1" t="str">
        <f>IFERROR((VALUE(LEFT(RegContabilizados2[[#This Row],[Subcuenta]],4))&amp;" "&amp;_xlfn.XLOOKUP((VALUE(LEFT(RegContabilizados2[[#This Row],[Subcuenta]],4))),Tabla11[Cuenta],Tabla11[Descripción],0)),0)</f>
        <v>1110 BANCOS</v>
      </c>
      <c r="BJ38" s="1" t="str">
        <f>IFERROR((RegContabilizados2[[#This Row],[Subcuenta]]&amp;" "&amp;_xlfn.XLOOKUP(RegContabilizados2[[#This Row],[Subcuenta]],Tabla11[Cuenta],Tabla11[Descripción],0)),0)</f>
        <v>111005 Banco 1</v>
      </c>
      <c r="BK38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PAGADO</v>
      </c>
      <c r="BL38" s="1" t="str">
        <f>IFERROR(LEFT(RegContabilizados2[[#This Row],[Idenficador]],SEARCH("-",RegContabilizados2[[#This Row],[Idenficador]])-1),0)</f>
        <v>Valentina455441Comp. Egreso</v>
      </c>
      <c r="BM38" s="1">
        <v>455441</v>
      </c>
      <c r="BO38" s="1" t="s">
        <v>1317</v>
      </c>
      <c r="BP38" s="1" t="s">
        <v>868</v>
      </c>
      <c r="BQ38" s="1">
        <v>111005</v>
      </c>
    </row>
    <row r="39" spans="4:69">
      <c r="D39" s="31" t="str">
        <f>IF(Regcontabilizados[[#This Row],[Eliminado]]="si","",RegContabilizados2[[#This Row],[fecha Factura]])</f>
        <v/>
      </c>
      <c r="E39" s="31" t="str">
        <f>IF(Regcontabilizados[[#This Row],[Eliminado]]="si","",RegContabilizados2[[#This Row],[Fecha vencimiento]])</f>
        <v/>
      </c>
      <c r="F39" s="3" t="str">
        <f>IF(Regcontabilizados[[#This Row],[Eliminado]]="si","",RegContabilizados2[[#This Row],[Idenficador]])</f>
        <v/>
      </c>
      <c r="G39" s="3" t="str">
        <f>IF(Regcontabilizados[[#This Row],[Eliminado]]="si","",RegContabilizados2[[#This Row],[N° de factura/Pago]])</f>
        <v/>
      </c>
      <c r="H39" s="1" t="str">
        <f>IF(Regcontabilizados[[#This Row],[Eliminado]]="si","",RegContabilizados2[[#This Row],[Tipo de Factura]])</f>
        <v/>
      </c>
      <c r="I39" s="1" t="str">
        <f>IF(Regcontabilizados[[#This Row],[Eliminado]]="si","",RegContabilizados2[[#This Row],[ID Cliente]])</f>
        <v/>
      </c>
      <c r="J39" s="1" t="str">
        <f>IF(Regcontabilizados[[#This Row],[Eliminado]]="si","",RegContabilizados2[[#This Row],[ESTADO DEL IVA]])</f>
        <v/>
      </c>
      <c r="K39" s="3" t="str">
        <f>IF(Regcontabilizados[[#This Row],[Eliminado]]="si","",RegContabilizados2[[#This Row],[ID Proveedor]])</f>
        <v/>
      </c>
      <c r="L39" s="3" t="str">
        <f>IF(Regcontabilizados[[#This Row],[Eliminado]]="si","",RegContabilizados2[[#This Row],[Concepto]])</f>
        <v/>
      </c>
      <c r="M39" s="3" t="str">
        <f>IF(Regcontabilizados[[#This Row],[Eliminado]]="si","",RegContabilizados2[[#This Row],[Categoría]])</f>
        <v/>
      </c>
      <c r="N39" s="3" t="str">
        <f>IF(Regcontabilizados[[#This Row],[Eliminado]]="si","",RegContabilizados2[[#This Row],[Almacen]])</f>
        <v/>
      </c>
      <c r="O39" s="3" t="str">
        <f>IF(Regcontabilizados[[#This Row],[Eliminado]]="si","",RegContabilizados2[[#This Row],[Tipo de movimiento]])</f>
        <v/>
      </c>
      <c r="P39" s="1" t="str">
        <f>IF(Regcontabilizados[[#This Row],[Eliminado]]="si","",RegContabilizados2[[#This Row],[cantidad]])</f>
        <v/>
      </c>
      <c r="Q39" s="1" t="str">
        <f>IF(Regcontabilizados[[#This Row],[Eliminado]]="si","",RegContabilizados2[[#This Row],[VR unitario]])</f>
        <v/>
      </c>
      <c r="R39" s="1" t="str">
        <f>IF(Regcontabilizados[[#This Row],[Eliminado]]="si","",RegContabilizados2[[#This Row],[Subcuenta]])</f>
        <v/>
      </c>
      <c r="S39" s="1" t="str">
        <f>IF(Regcontabilizados[[#This Row],[Eliminado]]="si","",RegContabilizados2[[#This Row],[Debe]])</f>
        <v/>
      </c>
      <c r="T39" s="1" t="str">
        <f>IF(Regcontabilizados[[#This Row],[Eliminado]]="si","",RegContabilizados2[[#This Row],[Haber]])</f>
        <v/>
      </c>
      <c r="U39" s="1">
        <f>IFERROR((Regcontabilizados[[#This Row],[Debe]]-Regcontabilizados[[#This Row],[Haber]]),0)</f>
        <v>0</v>
      </c>
      <c r="V39" s="1">
        <f>IFERROR((+_xlfn.XLOOKUP(Regcontabilizados[[#This Row],[Subcuenta]],Tabla11[Cuenta],Tabla11[Descripción],0)),0)</f>
        <v>0</v>
      </c>
      <c r="W39" s="1">
        <f>IFERROR((_xlfn.XLOOKUP((VALUE(LEFT(Regcontabilizados[[#This Row],[Subcuenta]],4))),Tabla11[Cuenta],Tabla11[Descripción],0)),0)</f>
        <v>0</v>
      </c>
      <c r="X39" s="1">
        <f>IFERROR((_xlfn.XLOOKUP(Regcontabilizados[[#This Row],[Subcuenta]],Tabla11[Cuenta],Tabla11[Descripción],0)),0)</f>
        <v>0</v>
      </c>
      <c r="Y39" s="1" t="str">
        <f>IF((IFERROR((FIND((_xlfn.XLOOKUP(RegContabilizados2[[#This Row],[Idenficador]],FormtBorrados[formatos borrados],FormtBorrados[formatos borrados],0)),RegContabilizados2[[#This Row],[Idenficador]])),0))=1,"si","no")</f>
        <v>si</v>
      </c>
      <c r="Z39" s="1" t="str">
        <f>_xlfn.XLOOKUP(Regcontabilizados[[#This Row],[Subcuenta]],Tabla11[Cuenta],Tabla11[TIPO],"")</f>
        <v/>
      </c>
      <c r="AA39" s="1" t="str">
        <f>IFERROR((Regcontabilizados[[#This Row],[Subcuenta]]&amp;" "&amp;_xlfn.XLOOKUP(Regcontabilizados[[#This Row],[Subcuenta]],Tabla11[Cuenta],Tabla11[Descripción],0)),0)</f>
        <v xml:space="preserve"> 0</v>
      </c>
      <c r="AB39" s="1">
        <f>IFERROR((VALUE(LEFT(Regcontabilizados[[#This Row],[Subcuenta]],2))&amp;" "&amp;_xlfn.XLOOKUP((VALUE(LEFT(Regcontabilizados[[#This Row],[Subcuenta]],2))),Tabla11[Cuenta],Tabla11[Descripción],0)),0)</f>
        <v>0</v>
      </c>
      <c r="AC39" s="1">
        <f>IFERROR((VALUE(LEFT(Regcontabilizados[[#This Row],[Subcuenta]],4))&amp;" "&amp;_xlfn.XLOOKUP((VALUE(LEFT(Regcontabilizados[[#This Row],[Subcuenta]],4))),Tabla11[Cuenta],Tabla11[Descripción],0)),0)</f>
        <v>0</v>
      </c>
      <c r="AD39" s="1" t="str">
        <f>IF(Regcontabilizados[[#This Row],[Eliminado]]="si","",RegContabilizados2[[#This Row],[Estado de pago]])</f>
        <v/>
      </c>
      <c r="AE39" s="1" t="str">
        <f>IF(Regcontabilizados[[#This Row],[Eliminado]]="si","",RegContabilizados2[[#This Row],[Colum. Aux. Estado]])</f>
        <v/>
      </c>
      <c r="AF39" s="1" t="str">
        <f>IF(Regcontabilizados[[#This Row],[Eliminado]]="si","",RegContabilizados2[[#This Row],[Número de pago]])</f>
        <v/>
      </c>
      <c r="AG39" s="1" t="str">
        <f>IF(Regcontabilizados[[#This Row],[Eliminado]]="si","",RegContabilizados2[[#This Row],[Elaborado por]])</f>
        <v/>
      </c>
      <c r="AH39" s="1" t="str">
        <f>IF(Regcontabilizados[[#This Row],[Eliminado]]="si","",RegContabilizados2[[#This Row],[Notas]])</f>
        <v/>
      </c>
      <c r="AI39" s="1" t="str">
        <f>IF(Regcontabilizados[[#This Row],[Eliminado]]="si","",RegContabilizados2[[#This Row],[Método de pago]])</f>
        <v/>
      </c>
      <c r="AJ39" s="1" t="str">
        <f>IF(Regcontabilizados[[#This Row],[Eliminado]]="si","",RegContabilizados2[[#This Row],[Cta. Bancaria]])</f>
        <v/>
      </c>
      <c r="AO39" s="31">
        <v>46003</v>
      </c>
      <c r="AP39" s="31">
        <v>46003</v>
      </c>
      <c r="AQ39" s="3" t="s">
        <v>1319</v>
      </c>
      <c r="AR39" s="3">
        <v>455441</v>
      </c>
      <c r="AS39" s="1" t="s">
        <v>1090</v>
      </c>
      <c r="AT39" s="1">
        <v>333333</v>
      </c>
      <c r="AV39" s="3" t="s">
        <v>907</v>
      </c>
      <c r="AW39" s="3"/>
      <c r="AX39" s="3"/>
      <c r="AY39" s="3"/>
      <c r="AZ39" s="3"/>
      <c r="BC39" s="1">
        <v>220505</v>
      </c>
      <c r="BD39" s="1">
        <v>413525</v>
      </c>
      <c r="BF39" s="1">
        <f>IFERROR((RegContabilizados2[[#This Row],[Debe]]-RegContabilizados2[[#This Row],[Haber]]),0)</f>
        <v>413525</v>
      </c>
      <c r="BG39" s="1" t="str">
        <f>IFERROR((+_xlfn.XLOOKUP(RegContabilizados2[[#This Row],[Subcuenta]],Tabla11[Cuenta],Tabla11[Descripción],0)),0)</f>
        <v>Proveedores Nacionales</v>
      </c>
      <c r="BH39" s="1" t="str">
        <f>IFERROR((VALUE(LEFT(RegContabilizados2[[#This Row],[Subcuenta]],2))&amp;" "&amp;_xlfn.XLOOKUP((VALUE(LEFT(RegContabilizados2[[#This Row],[Subcuenta]],2))),Tabla11[Cuenta],Tabla11[Descripción],0)),0)</f>
        <v>22 PROVEEDORES</v>
      </c>
      <c r="BI39" s="1" t="str">
        <f>IFERROR((VALUE(LEFT(RegContabilizados2[[#This Row],[Subcuenta]],4))&amp;" "&amp;_xlfn.XLOOKUP((VALUE(LEFT(RegContabilizados2[[#This Row],[Subcuenta]],4))),Tabla11[Cuenta],Tabla11[Descripción],0)),0)</f>
        <v>2205 NACIONALES</v>
      </c>
      <c r="BJ39" s="1" t="str">
        <f>IFERROR((RegContabilizados2[[#This Row],[Subcuenta]]&amp;" "&amp;_xlfn.XLOOKUP(RegContabilizados2[[#This Row],[Subcuenta]],Tabla11[Cuenta],Tabla11[Descripción],0)),0)</f>
        <v>220505 Proveedores Nacionales</v>
      </c>
      <c r="BK39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PAGADO</v>
      </c>
      <c r="BL39" s="1" t="str">
        <f>IFERROR(LEFT(RegContabilizados2[[#This Row],[Idenficador]],SEARCH("-",RegContabilizados2[[#This Row],[Idenficador]])-1),0)</f>
        <v>546565Comp. Egreso455441</v>
      </c>
      <c r="BM39" s="1" t="s">
        <v>1329</v>
      </c>
      <c r="BO39" s="1" t="s">
        <v>1317</v>
      </c>
      <c r="BP39" s="1" t="s">
        <v>868</v>
      </c>
      <c r="BQ39" s="1">
        <v>111005</v>
      </c>
    </row>
    <row r="40" spans="4:69">
      <c r="D40" s="31" t="str">
        <f>IF(Regcontabilizados[[#This Row],[Eliminado]]="si","",RegContabilizados2[[#This Row],[fecha Factura]])</f>
        <v/>
      </c>
      <c r="E40" s="31" t="str">
        <f>IF(Regcontabilizados[[#This Row],[Eliminado]]="si","",RegContabilizados2[[#This Row],[Fecha vencimiento]])</f>
        <v/>
      </c>
      <c r="F40" s="3" t="str">
        <f>IF(Regcontabilizados[[#This Row],[Eliminado]]="si","",RegContabilizados2[[#This Row],[Idenficador]])</f>
        <v/>
      </c>
      <c r="G40" s="3" t="str">
        <f>IF(Regcontabilizados[[#This Row],[Eliminado]]="si","",RegContabilizados2[[#This Row],[N° de factura/Pago]])</f>
        <v/>
      </c>
      <c r="H40" s="1" t="str">
        <f>IF(Regcontabilizados[[#This Row],[Eliminado]]="si","",RegContabilizados2[[#This Row],[Tipo de Factura]])</f>
        <v/>
      </c>
      <c r="I40" s="1" t="str">
        <f>IF(Regcontabilizados[[#This Row],[Eliminado]]="si","",RegContabilizados2[[#This Row],[ID Cliente]])</f>
        <v/>
      </c>
      <c r="J40" s="1" t="str">
        <f>IF(Regcontabilizados[[#This Row],[Eliminado]]="si","",RegContabilizados2[[#This Row],[ESTADO DEL IVA]])</f>
        <v/>
      </c>
      <c r="K40" s="3" t="str">
        <f>IF(Regcontabilizados[[#This Row],[Eliminado]]="si","",RegContabilizados2[[#This Row],[ID Proveedor]])</f>
        <v/>
      </c>
      <c r="L40" s="3" t="str">
        <f>IF(Regcontabilizados[[#This Row],[Eliminado]]="si","",RegContabilizados2[[#This Row],[Concepto]])</f>
        <v/>
      </c>
      <c r="M40" s="3" t="str">
        <f>IF(Regcontabilizados[[#This Row],[Eliminado]]="si","",RegContabilizados2[[#This Row],[Categoría]])</f>
        <v/>
      </c>
      <c r="N40" s="3" t="str">
        <f>IF(Regcontabilizados[[#This Row],[Eliminado]]="si","",RegContabilizados2[[#This Row],[Almacen]])</f>
        <v/>
      </c>
      <c r="O40" s="3" t="str">
        <f>IF(Regcontabilizados[[#This Row],[Eliminado]]="si","",RegContabilizados2[[#This Row],[Tipo de movimiento]])</f>
        <v/>
      </c>
      <c r="P40" s="1" t="str">
        <f>IF(Regcontabilizados[[#This Row],[Eliminado]]="si","",RegContabilizados2[[#This Row],[cantidad]])</f>
        <v/>
      </c>
      <c r="Q40" s="1" t="str">
        <f>IF(Regcontabilizados[[#This Row],[Eliminado]]="si","",RegContabilizados2[[#This Row],[VR unitario]])</f>
        <v/>
      </c>
      <c r="R40" s="1" t="str">
        <f>IF(Regcontabilizados[[#This Row],[Eliminado]]="si","",RegContabilizados2[[#This Row],[Subcuenta]])</f>
        <v/>
      </c>
      <c r="S40" s="1" t="str">
        <f>IF(Regcontabilizados[[#This Row],[Eliminado]]="si","",RegContabilizados2[[#This Row],[Debe]])</f>
        <v/>
      </c>
      <c r="T40" s="1" t="str">
        <f>IF(Regcontabilizados[[#This Row],[Eliminado]]="si","",RegContabilizados2[[#This Row],[Haber]])</f>
        <v/>
      </c>
      <c r="U40" s="1">
        <f>IFERROR((Regcontabilizados[[#This Row],[Debe]]-Regcontabilizados[[#This Row],[Haber]]),0)</f>
        <v>0</v>
      </c>
      <c r="V40" s="1">
        <f>IFERROR((+_xlfn.XLOOKUP(Regcontabilizados[[#This Row],[Subcuenta]],Tabla11[Cuenta],Tabla11[Descripción],0)),0)</f>
        <v>0</v>
      </c>
      <c r="W40" s="1">
        <f>IFERROR((_xlfn.XLOOKUP((VALUE(LEFT(Regcontabilizados[[#This Row],[Subcuenta]],4))),Tabla11[Cuenta],Tabla11[Descripción],0)),0)</f>
        <v>0</v>
      </c>
      <c r="X40" s="1">
        <f>IFERROR((_xlfn.XLOOKUP(Regcontabilizados[[#This Row],[Subcuenta]],Tabla11[Cuenta],Tabla11[Descripción],0)),0)</f>
        <v>0</v>
      </c>
      <c r="Y40" s="1" t="str">
        <f>IF((IFERROR((FIND((_xlfn.XLOOKUP(RegContabilizados2[[#This Row],[Idenficador]],FormtBorrados[formatos borrados],FormtBorrados[formatos borrados],0)),RegContabilizados2[[#This Row],[Idenficador]])),0))=1,"si","no")</f>
        <v>si</v>
      </c>
      <c r="Z40" s="1" t="str">
        <f>_xlfn.XLOOKUP(Regcontabilizados[[#This Row],[Subcuenta]],Tabla11[Cuenta],Tabla11[TIPO],"")</f>
        <v/>
      </c>
      <c r="AA40" s="1" t="str">
        <f>IFERROR((Regcontabilizados[[#This Row],[Subcuenta]]&amp;" "&amp;_xlfn.XLOOKUP(Regcontabilizados[[#This Row],[Subcuenta]],Tabla11[Cuenta],Tabla11[Descripción],0)),0)</f>
        <v xml:space="preserve"> 0</v>
      </c>
      <c r="AB40" s="1">
        <f>IFERROR((VALUE(LEFT(Regcontabilizados[[#This Row],[Subcuenta]],2))&amp;" "&amp;_xlfn.XLOOKUP((VALUE(LEFT(Regcontabilizados[[#This Row],[Subcuenta]],2))),Tabla11[Cuenta],Tabla11[Descripción],0)),0)</f>
        <v>0</v>
      </c>
      <c r="AC40" s="1">
        <f>IFERROR((VALUE(LEFT(Regcontabilizados[[#This Row],[Subcuenta]],4))&amp;" "&amp;_xlfn.XLOOKUP((VALUE(LEFT(Regcontabilizados[[#This Row],[Subcuenta]],4))),Tabla11[Cuenta],Tabla11[Descripción],0)),0)</f>
        <v>0</v>
      </c>
      <c r="AD40" s="1" t="str">
        <f>IF(Regcontabilizados[[#This Row],[Eliminado]]="si","",RegContabilizados2[[#This Row],[Estado de pago]])</f>
        <v/>
      </c>
      <c r="AE40" s="1" t="str">
        <f>IF(Regcontabilizados[[#This Row],[Eliminado]]="si","",RegContabilizados2[[#This Row],[Colum. Aux. Estado]])</f>
        <v/>
      </c>
      <c r="AF40" s="1" t="str">
        <f>IF(Regcontabilizados[[#This Row],[Eliminado]]="si","",RegContabilizados2[[#This Row],[Número de pago]])</f>
        <v/>
      </c>
      <c r="AG40" s="1" t="str">
        <f>IF(Regcontabilizados[[#This Row],[Eliminado]]="si","",RegContabilizados2[[#This Row],[Elaborado por]])</f>
        <v/>
      </c>
      <c r="AH40" s="1" t="str">
        <f>IF(Regcontabilizados[[#This Row],[Eliminado]]="si","",RegContabilizados2[[#This Row],[Notas]])</f>
        <v/>
      </c>
      <c r="AI40" s="1" t="str">
        <f>IF(Regcontabilizados[[#This Row],[Eliminado]]="si","",RegContabilizados2[[#This Row],[Método de pago]])</f>
        <v/>
      </c>
      <c r="AJ40" s="1" t="str">
        <f>IF(Regcontabilizados[[#This Row],[Eliminado]]="si","",RegContabilizados2[[#This Row],[Cta. Bancaria]])</f>
        <v/>
      </c>
      <c r="AO40" s="31">
        <v>46003</v>
      </c>
      <c r="AP40" s="31">
        <v>46003</v>
      </c>
      <c r="AQ40" s="3" t="s">
        <v>1320</v>
      </c>
      <c r="AR40" s="3">
        <v>455441</v>
      </c>
      <c r="AS40" s="1" t="s">
        <v>1090</v>
      </c>
      <c r="AT40" s="1">
        <v>333333</v>
      </c>
      <c r="AV40" s="3" t="s">
        <v>907</v>
      </c>
      <c r="AW40" s="3"/>
      <c r="AX40" s="3"/>
      <c r="AY40" s="3"/>
      <c r="AZ40" s="3"/>
      <c r="BF40" s="1">
        <f>IFERROR((RegContabilizados2[[#This Row],[Debe]]-RegContabilizados2[[#This Row],[Haber]]),0)</f>
        <v>0</v>
      </c>
      <c r="BG40" s="1">
        <f>IFERROR((+_xlfn.XLOOKUP(RegContabilizados2[[#This Row],[Subcuenta]],Tabla11[Cuenta],Tabla11[Descripción],0)),0)</f>
        <v>0</v>
      </c>
      <c r="BH40" s="1">
        <f>IFERROR((VALUE(LEFT(RegContabilizados2[[#This Row],[Subcuenta]],2))&amp;" "&amp;_xlfn.XLOOKUP((VALUE(LEFT(RegContabilizados2[[#This Row],[Subcuenta]],2))),Tabla11[Cuenta],Tabla11[Descripción],0)),0)</f>
        <v>0</v>
      </c>
      <c r="BI40" s="1">
        <f>IFERROR((VALUE(LEFT(RegContabilizados2[[#This Row],[Subcuenta]],4))&amp;" "&amp;_xlfn.XLOOKUP((VALUE(LEFT(RegContabilizados2[[#This Row],[Subcuenta]],4))),Tabla11[Cuenta],Tabla11[Descripción],0)),0)</f>
        <v>0</v>
      </c>
      <c r="BJ40" s="1" t="str">
        <f>IFERROR((RegContabilizados2[[#This Row],[Subcuenta]]&amp;" "&amp;_xlfn.XLOOKUP(RegContabilizados2[[#This Row],[Subcuenta]],Tabla11[Cuenta],Tabla11[Descripción],0)),0)</f>
        <v xml:space="preserve"> 0</v>
      </c>
      <c r="BK40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PAGADO</v>
      </c>
      <c r="BL40" s="1" t="str">
        <f>IFERROR(LEFT(RegContabilizados2[[#This Row],[Idenficador]],SEARCH("-",RegContabilizados2[[#This Row],[Idenficador]])-1),0)</f>
        <v>546565Comp. Egreso455441</v>
      </c>
      <c r="BO40" s="1" t="s">
        <v>1317</v>
      </c>
      <c r="BP40" s="1" t="s">
        <v>868</v>
      </c>
      <c r="BQ40" s="1">
        <v>111005</v>
      </c>
    </row>
    <row r="41" spans="4:69">
      <c r="D41" s="31" t="str">
        <f>IF(Regcontabilizados[[#This Row],[Eliminado]]="si","",RegContabilizados2[[#This Row],[fecha Factura]])</f>
        <v/>
      </c>
      <c r="E41" s="31" t="str">
        <f>IF(Regcontabilizados[[#This Row],[Eliminado]]="si","",RegContabilizados2[[#This Row],[Fecha vencimiento]])</f>
        <v/>
      </c>
      <c r="F41" s="3" t="str">
        <f>IF(Regcontabilizados[[#This Row],[Eliminado]]="si","",RegContabilizados2[[#This Row],[Idenficador]])</f>
        <v/>
      </c>
      <c r="G41" s="3" t="str">
        <f>IF(Regcontabilizados[[#This Row],[Eliminado]]="si","",RegContabilizados2[[#This Row],[N° de factura/Pago]])</f>
        <v/>
      </c>
      <c r="H41" s="1" t="str">
        <f>IF(Regcontabilizados[[#This Row],[Eliminado]]="si","",RegContabilizados2[[#This Row],[Tipo de Factura]])</f>
        <v/>
      </c>
      <c r="I41" s="1" t="str">
        <f>IF(Regcontabilizados[[#This Row],[Eliminado]]="si","",RegContabilizados2[[#This Row],[ID Cliente]])</f>
        <v/>
      </c>
      <c r="J41" s="1" t="str">
        <f>IF(Regcontabilizados[[#This Row],[Eliminado]]="si","",RegContabilizados2[[#This Row],[ESTADO DEL IVA]])</f>
        <v/>
      </c>
      <c r="K41" s="3" t="str">
        <f>IF(Regcontabilizados[[#This Row],[Eliminado]]="si","",RegContabilizados2[[#This Row],[ID Proveedor]])</f>
        <v/>
      </c>
      <c r="L41" s="3" t="str">
        <f>IF(Regcontabilizados[[#This Row],[Eliminado]]="si","",RegContabilizados2[[#This Row],[Concepto]])</f>
        <v/>
      </c>
      <c r="M41" s="3" t="str">
        <f>IF(Regcontabilizados[[#This Row],[Eliminado]]="si","",RegContabilizados2[[#This Row],[Categoría]])</f>
        <v/>
      </c>
      <c r="N41" s="3" t="str">
        <f>IF(Regcontabilizados[[#This Row],[Eliminado]]="si","",RegContabilizados2[[#This Row],[Almacen]])</f>
        <v/>
      </c>
      <c r="O41" s="3" t="str">
        <f>IF(Regcontabilizados[[#This Row],[Eliminado]]="si","",RegContabilizados2[[#This Row],[Tipo de movimiento]])</f>
        <v/>
      </c>
      <c r="P41" s="1" t="str">
        <f>IF(Regcontabilizados[[#This Row],[Eliminado]]="si","",RegContabilizados2[[#This Row],[cantidad]])</f>
        <v/>
      </c>
      <c r="Q41" s="1" t="str">
        <f>IF(Regcontabilizados[[#This Row],[Eliminado]]="si","",RegContabilizados2[[#This Row],[VR unitario]])</f>
        <v/>
      </c>
      <c r="R41" s="1" t="str">
        <f>IF(Regcontabilizados[[#This Row],[Eliminado]]="si","",RegContabilizados2[[#This Row],[Subcuenta]])</f>
        <v/>
      </c>
      <c r="S41" s="1" t="str">
        <f>IF(Regcontabilizados[[#This Row],[Eliminado]]="si","",RegContabilizados2[[#This Row],[Debe]])</f>
        <v/>
      </c>
      <c r="T41" s="1" t="str">
        <f>IF(Regcontabilizados[[#This Row],[Eliminado]]="si","",RegContabilizados2[[#This Row],[Haber]])</f>
        <v/>
      </c>
      <c r="U41" s="1">
        <f>IFERROR((Regcontabilizados[[#This Row],[Debe]]-Regcontabilizados[[#This Row],[Haber]]),0)</f>
        <v>0</v>
      </c>
      <c r="V41" s="1">
        <f>IFERROR((+_xlfn.XLOOKUP(Regcontabilizados[[#This Row],[Subcuenta]],Tabla11[Cuenta],Tabla11[Descripción],0)),0)</f>
        <v>0</v>
      </c>
      <c r="W41" s="1">
        <f>IFERROR((_xlfn.XLOOKUP((VALUE(LEFT(Regcontabilizados[[#This Row],[Subcuenta]],4))),Tabla11[Cuenta],Tabla11[Descripción],0)),0)</f>
        <v>0</v>
      </c>
      <c r="X41" s="1">
        <f>IFERROR((_xlfn.XLOOKUP(Regcontabilizados[[#This Row],[Subcuenta]],Tabla11[Cuenta],Tabla11[Descripción],0)),0)</f>
        <v>0</v>
      </c>
      <c r="Y41" s="1" t="str">
        <f>IF((IFERROR((FIND((_xlfn.XLOOKUP(RegContabilizados2[[#This Row],[Idenficador]],FormtBorrados[formatos borrados],FormtBorrados[formatos borrados],0)),RegContabilizados2[[#This Row],[Idenficador]])),0))=1,"si","no")</f>
        <v>si</v>
      </c>
      <c r="Z41" s="1" t="str">
        <f>_xlfn.XLOOKUP(Regcontabilizados[[#This Row],[Subcuenta]],Tabla11[Cuenta],Tabla11[TIPO],"")</f>
        <v/>
      </c>
      <c r="AA41" s="1" t="str">
        <f>IFERROR((Regcontabilizados[[#This Row],[Subcuenta]]&amp;" "&amp;_xlfn.XLOOKUP(Regcontabilizados[[#This Row],[Subcuenta]],Tabla11[Cuenta],Tabla11[Descripción],0)),0)</f>
        <v xml:space="preserve"> 0</v>
      </c>
      <c r="AB41" s="1">
        <f>IFERROR((VALUE(LEFT(Regcontabilizados[[#This Row],[Subcuenta]],2))&amp;" "&amp;_xlfn.XLOOKUP((VALUE(LEFT(Regcontabilizados[[#This Row],[Subcuenta]],2))),Tabla11[Cuenta],Tabla11[Descripción],0)),0)</f>
        <v>0</v>
      </c>
      <c r="AC41" s="1">
        <f>IFERROR((VALUE(LEFT(Regcontabilizados[[#This Row],[Subcuenta]],4))&amp;" "&amp;_xlfn.XLOOKUP((VALUE(LEFT(Regcontabilizados[[#This Row],[Subcuenta]],4))),Tabla11[Cuenta],Tabla11[Descripción],0)),0)</f>
        <v>0</v>
      </c>
      <c r="AD41" s="1" t="str">
        <f>IF(Regcontabilizados[[#This Row],[Eliminado]]="si","",RegContabilizados2[[#This Row],[Estado de pago]])</f>
        <v/>
      </c>
      <c r="AE41" s="1" t="str">
        <f>IF(Regcontabilizados[[#This Row],[Eliminado]]="si","",RegContabilizados2[[#This Row],[Colum. Aux. Estado]])</f>
        <v/>
      </c>
      <c r="AF41" s="1" t="str">
        <f>IF(Regcontabilizados[[#This Row],[Eliminado]]="si","",RegContabilizados2[[#This Row],[Número de pago]])</f>
        <v/>
      </c>
      <c r="AG41" s="1" t="str">
        <f>IF(Regcontabilizados[[#This Row],[Eliminado]]="si","",RegContabilizados2[[#This Row],[Elaborado por]])</f>
        <v/>
      </c>
      <c r="AH41" s="1" t="str">
        <f>IF(Regcontabilizados[[#This Row],[Eliminado]]="si","",RegContabilizados2[[#This Row],[Notas]])</f>
        <v/>
      </c>
      <c r="AI41" s="1" t="str">
        <f>IF(Regcontabilizados[[#This Row],[Eliminado]]="si","",RegContabilizados2[[#This Row],[Método de pago]])</f>
        <v/>
      </c>
      <c r="AJ41" s="1" t="str">
        <f>IF(Regcontabilizados[[#This Row],[Eliminado]]="si","",RegContabilizados2[[#This Row],[Cta. Bancaria]])</f>
        <v/>
      </c>
      <c r="AO41" s="31">
        <v>46003</v>
      </c>
      <c r="AP41" s="31">
        <v>46003</v>
      </c>
      <c r="AQ41" s="3" t="s">
        <v>1321</v>
      </c>
      <c r="AR41" s="3">
        <v>455441</v>
      </c>
      <c r="AS41" s="1" t="s">
        <v>1090</v>
      </c>
      <c r="AT41" s="1">
        <v>333333</v>
      </c>
      <c r="AV41" s="3" t="s">
        <v>907</v>
      </c>
      <c r="AW41" s="3"/>
      <c r="AX41" s="3"/>
      <c r="AY41" s="3"/>
      <c r="AZ41" s="3"/>
      <c r="BF41" s="1">
        <f>IFERROR((RegContabilizados2[[#This Row],[Debe]]-RegContabilizados2[[#This Row],[Haber]]),0)</f>
        <v>0</v>
      </c>
      <c r="BG41" s="1">
        <f>IFERROR((+_xlfn.XLOOKUP(RegContabilizados2[[#This Row],[Subcuenta]],Tabla11[Cuenta],Tabla11[Descripción],0)),0)</f>
        <v>0</v>
      </c>
      <c r="BH41" s="1">
        <f>IFERROR((VALUE(LEFT(RegContabilizados2[[#This Row],[Subcuenta]],2))&amp;" "&amp;_xlfn.XLOOKUP((VALUE(LEFT(RegContabilizados2[[#This Row],[Subcuenta]],2))),Tabla11[Cuenta],Tabla11[Descripción],0)),0)</f>
        <v>0</v>
      </c>
      <c r="BI41" s="1">
        <f>IFERROR((VALUE(LEFT(RegContabilizados2[[#This Row],[Subcuenta]],4))&amp;" "&amp;_xlfn.XLOOKUP((VALUE(LEFT(RegContabilizados2[[#This Row],[Subcuenta]],4))),Tabla11[Cuenta],Tabla11[Descripción],0)),0)</f>
        <v>0</v>
      </c>
      <c r="BJ41" s="1" t="str">
        <f>IFERROR((RegContabilizados2[[#This Row],[Subcuenta]]&amp;" "&amp;_xlfn.XLOOKUP(RegContabilizados2[[#This Row],[Subcuenta]],Tabla11[Cuenta],Tabla11[Descripción],0)),0)</f>
        <v xml:space="preserve"> 0</v>
      </c>
      <c r="BK41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PAGADO</v>
      </c>
      <c r="BL41" s="1" t="str">
        <f>IFERROR(LEFT(RegContabilizados2[[#This Row],[Idenficador]],SEARCH("-",RegContabilizados2[[#This Row],[Idenficador]])-1),0)</f>
        <v>546565Comp. Egreso455441</v>
      </c>
      <c r="BO41" s="1" t="s">
        <v>1317</v>
      </c>
      <c r="BP41" s="1" t="s">
        <v>868</v>
      </c>
      <c r="BQ41" s="1">
        <v>111005</v>
      </c>
    </row>
    <row r="42" spans="4:69">
      <c r="D42" s="31" t="str">
        <f>IF(Regcontabilizados[[#This Row],[Eliminado]]="si","",RegContabilizados2[[#This Row],[fecha Factura]])</f>
        <v/>
      </c>
      <c r="E42" s="31" t="str">
        <f>IF(Regcontabilizados[[#This Row],[Eliminado]]="si","",RegContabilizados2[[#This Row],[Fecha vencimiento]])</f>
        <v/>
      </c>
      <c r="F42" s="3" t="str">
        <f>IF(Regcontabilizados[[#This Row],[Eliminado]]="si","",RegContabilizados2[[#This Row],[Idenficador]])</f>
        <v/>
      </c>
      <c r="G42" s="3" t="str">
        <f>IF(Regcontabilizados[[#This Row],[Eliminado]]="si","",RegContabilizados2[[#This Row],[N° de factura/Pago]])</f>
        <v/>
      </c>
      <c r="H42" s="1" t="str">
        <f>IF(Regcontabilizados[[#This Row],[Eliminado]]="si","",RegContabilizados2[[#This Row],[Tipo de Factura]])</f>
        <v/>
      </c>
      <c r="I42" s="1" t="str">
        <f>IF(Regcontabilizados[[#This Row],[Eliminado]]="si","",RegContabilizados2[[#This Row],[ID Cliente]])</f>
        <v/>
      </c>
      <c r="J42" s="1" t="str">
        <f>IF(Regcontabilizados[[#This Row],[Eliminado]]="si","",RegContabilizados2[[#This Row],[ESTADO DEL IVA]])</f>
        <v/>
      </c>
      <c r="K42" s="3" t="str">
        <f>IF(Regcontabilizados[[#This Row],[Eliminado]]="si","",RegContabilizados2[[#This Row],[ID Proveedor]])</f>
        <v/>
      </c>
      <c r="L42" s="3" t="str">
        <f>IF(Regcontabilizados[[#This Row],[Eliminado]]="si","",RegContabilizados2[[#This Row],[Concepto]])</f>
        <v/>
      </c>
      <c r="M42" s="3" t="str">
        <f>IF(Regcontabilizados[[#This Row],[Eliminado]]="si","",RegContabilizados2[[#This Row],[Categoría]])</f>
        <v/>
      </c>
      <c r="N42" s="3" t="str">
        <f>IF(Regcontabilizados[[#This Row],[Eliminado]]="si","",RegContabilizados2[[#This Row],[Almacen]])</f>
        <v/>
      </c>
      <c r="O42" s="3" t="str">
        <f>IF(Regcontabilizados[[#This Row],[Eliminado]]="si","",RegContabilizados2[[#This Row],[Tipo de movimiento]])</f>
        <v/>
      </c>
      <c r="P42" s="1" t="str">
        <f>IF(Regcontabilizados[[#This Row],[Eliminado]]="si","",RegContabilizados2[[#This Row],[cantidad]])</f>
        <v/>
      </c>
      <c r="Q42" s="1" t="str">
        <f>IF(Regcontabilizados[[#This Row],[Eliminado]]="si","",RegContabilizados2[[#This Row],[VR unitario]])</f>
        <v/>
      </c>
      <c r="R42" s="1" t="str">
        <f>IF(Regcontabilizados[[#This Row],[Eliminado]]="si","",RegContabilizados2[[#This Row],[Subcuenta]])</f>
        <v/>
      </c>
      <c r="S42" s="1" t="str">
        <f>IF(Regcontabilizados[[#This Row],[Eliminado]]="si","",RegContabilizados2[[#This Row],[Debe]])</f>
        <v/>
      </c>
      <c r="T42" s="1" t="str">
        <f>IF(Regcontabilizados[[#This Row],[Eliminado]]="si","",RegContabilizados2[[#This Row],[Haber]])</f>
        <v/>
      </c>
      <c r="U42" s="1">
        <f>IFERROR((Regcontabilizados[[#This Row],[Debe]]-Regcontabilizados[[#This Row],[Haber]]),0)</f>
        <v>0</v>
      </c>
      <c r="V42" s="1">
        <f>IFERROR((+_xlfn.XLOOKUP(Regcontabilizados[[#This Row],[Subcuenta]],Tabla11[Cuenta],Tabla11[Descripción],0)),0)</f>
        <v>0</v>
      </c>
      <c r="W42" s="1">
        <f>IFERROR((_xlfn.XLOOKUP((VALUE(LEFT(Regcontabilizados[[#This Row],[Subcuenta]],4))),Tabla11[Cuenta],Tabla11[Descripción],0)),0)</f>
        <v>0</v>
      </c>
      <c r="X42" s="1">
        <f>IFERROR((_xlfn.XLOOKUP(Regcontabilizados[[#This Row],[Subcuenta]],Tabla11[Cuenta],Tabla11[Descripción],0)),0)</f>
        <v>0</v>
      </c>
      <c r="Y42" s="1" t="str">
        <f>IF((IFERROR((FIND((_xlfn.XLOOKUP(RegContabilizados2[[#This Row],[Idenficador]],FormtBorrados[formatos borrados],FormtBorrados[formatos borrados],0)),RegContabilizados2[[#This Row],[Idenficador]])),0))=1,"si","no")</f>
        <v>si</v>
      </c>
      <c r="Z42" s="1" t="str">
        <f>_xlfn.XLOOKUP(Regcontabilizados[[#This Row],[Subcuenta]],Tabla11[Cuenta],Tabla11[TIPO],"")</f>
        <v/>
      </c>
      <c r="AA42" s="1" t="str">
        <f>IFERROR((Regcontabilizados[[#This Row],[Subcuenta]]&amp;" "&amp;_xlfn.XLOOKUP(Regcontabilizados[[#This Row],[Subcuenta]],Tabla11[Cuenta],Tabla11[Descripción],0)),0)</f>
        <v xml:space="preserve"> 0</v>
      </c>
      <c r="AB42" s="1">
        <f>IFERROR((VALUE(LEFT(Regcontabilizados[[#This Row],[Subcuenta]],2))&amp;" "&amp;_xlfn.XLOOKUP((VALUE(LEFT(Regcontabilizados[[#This Row],[Subcuenta]],2))),Tabla11[Cuenta],Tabla11[Descripción],0)),0)</f>
        <v>0</v>
      </c>
      <c r="AC42" s="1">
        <f>IFERROR((VALUE(LEFT(Regcontabilizados[[#This Row],[Subcuenta]],4))&amp;" "&amp;_xlfn.XLOOKUP((VALUE(LEFT(Regcontabilizados[[#This Row],[Subcuenta]],4))),Tabla11[Cuenta],Tabla11[Descripción],0)),0)</f>
        <v>0</v>
      </c>
      <c r="AD42" s="1" t="str">
        <f>IF(Regcontabilizados[[#This Row],[Eliminado]]="si","",RegContabilizados2[[#This Row],[Estado de pago]])</f>
        <v/>
      </c>
      <c r="AE42" s="1" t="str">
        <f>IF(Regcontabilizados[[#This Row],[Eliminado]]="si","",RegContabilizados2[[#This Row],[Colum. Aux. Estado]])</f>
        <v/>
      </c>
      <c r="AF42" s="1" t="str">
        <f>IF(Regcontabilizados[[#This Row],[Eliminado]]="si","",RegContabilizados2[[#This Row],[Número de pago]])</f>
        <v/>
      </c>
      <c r="AG42" s="1" t="str">
        <f>IF(Regcontabilizados[[#This Row],[Eliminado]]="si","",RegContabilizados2[[#This Row],[Elaborado por]])</f>
        <v/>
      </c>
      <c r="AH42" s="1" t="str">
        <f>IF(Regcontabilizados[[#This Row],[Eliminado]]="si","",RegContabilizados2[[#This Row],[Notas]])</f>
        <v/>
      </c>
      <c r="AI42" s="1" t="str">
        <f>IF(Regcontabilizados[[#This Row],[Eliminado]]="si","",RegContabilizados2[[#This Row],[Método de pago]])</f>
        <v/>
      </c>
      <c r="AJ42" s="1" t="str">
        <f>IF(Regcontabilizados[[#This Row],[Eliminado]]="si","",RegContabilizados2[[#This Row],[Cta. Bancaria]])</f>
        <v/>
      </c>
      <c r="AO42" s="31">
        <v>46003</v>
      </c>
      <c r="AP42" s="31">
        <v>46003</v>
      </c>
      <c r="AQ42" s="3" t="s">
        <v>1322</v>
      </c>
      <c r="AR42" s="3">
        <v>455441</v>
      </c>
      <c r="AS42" s="1" t="s">
        <v>1090</v>
      </c>
      <c r="AT42" s="1">
        <v>333333</v>
      </c>
      <c r="AV42" s="3" t="s">
        <v>907</v>
      </c>
      <c r="AW42" s="3"/>
      <c r="AX42" s="3"/>
      <c r="AY42" s="3"/>
      <c r="AZ42" s="3"/>
      <c r="BF42" s="1">
        <f>IFERROR((RegContabilizados2[[#This Row],[Debe]]-RegContabilizados2[[#This Row],[Haber]]),0)</f>
        <v>0</v>
      </c>
      <c r="BG42" s="1">
        <f>IFERROR((+_xlfn.XLOOKUP(RegContabilizados2[[#This Row],[Subcuenta]],Tabla11[Cuenta],Tabla11[Descripción],0)),0)</f>
        <v>0</v>
      </c>
      <c r="BH42" s="1">
        <f>IFERROR((VALUE(LEFT(RegContabilizados2[[#This Row],[Subcuenta]],2))&amp;" "&amp;_xlfn.XLOOKUP((VALUE(LEFT(RegContabilizados2[[#This Row],[Subcuenta]],2))),Tabla11[Cuenta],Tabla11[Descripción],0)),0)</f>
        <v>0</v>
      </c>
      <c r="BI42" s="1">
        <f>IFERROR((VALUE(LEFT(RegContabilizados2[[#This Row],[Subcuenta]],4))&amp;" "&amp;_xlfn.XLOOKUP((VALUE(LEFT(RegContabilizados2[[#This Row],[Subcuenta]],4))),Tabla11[Cuenta],Tabla11[Descripción],0)),0)</f>
        <v>0</v>
      </c>
      <c r="BJ42" s="1" t="str">
        <f>IFERROR((RegContabilizados2[[#This Row],[Subcuenta]]&amp;" "&amp;_xlfn.XLOOKUP(RegContabilizados2[[#This Row],[Subcuenta]],Tabla11[Cuenta],Tabla11[Descripción],0)),0)</f>
        <v xml:space="preserve"> 0</v>
      </c>
      <c r="BK42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PAGADO</v>
      </c>
      <c r="BL42" s="1" t="str">
        <f>IFERROR(LEFT(RegContabilizados2[[#This Row],[Idenficador]],SEARCH("-",RegContabilizados2[[#This Row],[Idenficador]])-1),0)</f>
        <v>546565Comp. Egreso455441</v>
      </c>
      <c r="BO42" s="1" t="s">
        <v>1317</v>
      </c>
      <c r="BP42" s="1" t="s">
        <v>868</v>
      </c>
      <c r="BQ42" s="1">
        <v>111005</v>
      </c>
    </row>
    <row r="43" spans="4:69">
      <c r="D43" s="31" t="str">
        <f>IF(Regcontabilizados[[#This Row],[Eliminado]]="si","",RegContabilizados2[[#This Row],[fecha Factura]])</f>
        <v/>
      </c>
      <c r="E43" s="31" t="str">
        <f>IF(Regcontabilizados[[#This Row],[Eliminado]]="si","",RegContabilizados2[[#This Row],[Fecha vencimiento]])</f>
        <v/>
      </c>
      <c r="F43" s="3" t="str">
        <f>IF(Regcontabilizados[[#This Row],[Eliminado]]="si","",RegContabilizados2[[#This Row],[Idenficador]])</f>
        <v/>
      </c>
      <c r="G43" s="3" t="str">
        <f>IF(Regcontabilizados[[#This Row],[Eliminado]]="si","",RegContabilizados2[[#This Row],[N° de factura/Pago]])</f>
        <v/>
      </c>
      <c r="H43" s="1" t="str">
        <f>IF(Regcontabilizados[[#This Row],[Eliminado]]="si","",RegContabilizados2[[#This Row],[Tipo de Factura]])</f>
        <v/>
      </c>
      <c r="I43" s="1" t="str">
        <f>IF(Regcontabilizados[[#This Row],[Eliminado]]="si","",RegContabilizados2[[#This Row],[ID Cliente]])</f>
        <v/>
      </c>
      <c r="J43" s="1" t="str">
        <f>IF(Regcontabilizados[[#This Row],[Eliminado]]="si","",RegContabilizados2[[#This Row],[ESTADO DEL IVA]])</f>
        <v/>
      </c>
      <c r="K43" s="3" t="str">
        <f>IF(Regcontabilizados[[#This Row],[Eliminado]]="si","",RegContabilizados2[[#This Row],[ID Proveedor]])</f>
        <v/>
      </c>
      <c r="L43" s="3" t="str">
        <f>IF(Regcontabilizados[[#This Row],[Eliminado]]="si","",RegContabilizados2[[#This Row],[Concepto]])</f>
        <v/>
      </c>
      <c r="M43" s="3" t="str">
        <f>IF(Regcontabilizados[[#This Row],[Eliminado]]="si","",RegContabilizados2[[#This Row],[Categoría]])</f>
        <v/>
      </c>
      <c r="N43" s="3" t="str">
        <f>IF(Regcontabilizados[[#This Row],[Eliminado]]="si","",RegContabilizados2[[#This Row],[Almacen]])</f>
        <v/>
      </c>
      <c r="O43" s="3" t="str">
        <f>IF(Regcontabilizados[[#This Row],[Eliminado]]="si","",RegContabilizados2[[#This Row],[Tipo de movimiento]])</f>
        <v/>
      </c>
      <c r="P43" s="1" t="str">
        <f>IF(Regcontabilizados[[#This Row],[Eliminado]]="si","",RegContabilizados2[[#This Row],[cantidad]])</f>
        <v/>
      </c>
      <c r="Q43" s="1" t="str">
        <f>IF(Regcontabilizados[[#This Row],[Eliminado]]="si","",RegContabilizados2[[#This Row],[VR unitario]])</f>
        <v/>
      </c>
      <c r="R43" s="1" t="str">
        <f>IF(Regcontabilizados[[#This Row],[Eliminado]]="si","",RegContabilizados2[[#This Row],[Subcuenta]])</f>
        <v/>
      </c>
      <c r="S43" s="1" t="str">
        <f>IF(Regcontabilizados[[#This Row],[Eliminado]]="si","",RegContabilizados2[[#This Row],[Debe]])</f>
        <v/>
      </c>
      <c r="T43" s="1" t="str">
        <f>IF(Regcontabilizados[[#This Row],[Eliminado]]="si","",RegContabilizados2[[#This Row],[Haber]])</f>
        <v/>
      </c>
      <c r="U43" s="1">
        <f>IFERROR((Regcontabilizados[[#This Row],[Debe]]-Regcontabilizados[[#This Row],[Haber]]),0)</f>
        <v>0</v>
      </c>
      <c r="V43" s="1">
        <f>IFERROR((+_xlfn.XLOOKUP(Regcontabilizados[[#This Row],[Subcuenta]],Tabla11[Cuenta],Tabla11[Descripción],0)),0)</f>
        <v>0</v>
      </c>
      <c r="W43" s="1">
        <f>IFERROR((_xlfn.XLOOKUP((VALUE(LEFT(Regcontabilizados[[#This Row],[Subcuenta]],4))),Tabla11[Cuenta],Tabla11[Descripción],0)),0)</f>
        <v>0</v>
      </c>
      <c r="X43" s="1">
        <f>IFERROR((_xlfn.XLOOKUP(Regcontabilizados[[#This Row],[Subcuenta]],Tabla11[Cuenta],Tabla11[Descripción],0)),0)</f>
        <v>0</v>
      </c>
      <c r="Y43" s="1" t="str">
        <f>IF((IFERROR((FIND((_xlfn.XLOOKUP(RegContabilizados2[[#This Row],[Idenficador]],FormtBorrados[formatos borrados],FormtBorrados[formatos borrados],0)),RegContabilizados2[[#This Row],[Idenficador]])),0))=1,"si","no")</f>
        <v>si</v>
      </c>
      <c r="Z43" s="1" t="str">
        <f>_xlfn.XLOOKUP(Regcontabilizados[[#This Row],[Subcuenta]],Tabla11[Cuenta],Tabla11[TIPO],"")</f>
        <v/>
      </c>
      <c r="AA43" s="1" t="str">
        <f>IFERROR((Regcontabilizados[[#This Row],[Subcuenta]]&amp;" "&amp;_xlfn.XLOOKUP(Regcontabilizados[[#This Row],[Subcuenta]],Tabla11[Cuenta],Tabla11[Descripción],0)),0)</f>
        <v xml:space="preserve"> 0</v>
      </c>
      <c r="AB43" s="1">
        <f>IFERROR((VALUE(LEFT(Regcontabilizados[[#This Row],[Subcuenta]],2))&amp;" "&amp;_xlfn.XLOOKUP((VALUE(LEFT(Regcontabilizados[[#This Row],[Subcuenta]],2))),Tabla11[Cuenta],Tabla11[Descripción],0)),0)</f>
        <v>0</v>
      </c>
      <c r="AC43" s="1">
        <f>IFERROR((VALUE(LEFT(Regcontabilizados[[#This Row],[Subcuenta]],4))&amp;" "&amp;_xlfn.XLOOKUP((VALUE(LEFT(Regcontabilizados[[#This Row],[Subcuenta]],4))),Tabla11[Cuenta],Tabla11[Descripción],0)),0)</f>
        <v>0</v>
      </c>
      <c r="AD43" s="1" t="str">
        <f>IF(Regcontabilizados[[#This Row],[Eliminado]]="si","",RegContabilizados2[[#This Row],[Estado de pago]])</f>
        <v/>
      </c>
      <c r="AE43" s="1" t="str">
        <f>IF(Regcontabilizados[[#This Row],[Eliminado]]="si","",RegContabilizados2[[#This Row],[Colum. Aux. Estado]])</f>
        <v/>
      </c>
      <c r="AF43" s="1" t="str">
        <f>IF(Regcontabilizados[[#This Row],[Eliminado]]="si","",RegContabilizados2[[#This Row],[Número de pago]])</f>
        <v/>
      </c>
      <c r="AG43" s="1" t="str">
        <f>IF(Regcontabilizados[[#This Row],[Eliminado]]="si","",RegContabilizados2[[#This Row],[Elaborado por]])</f>
        <v/>
      </c>
      <c r="AH43" s="1" t="str">
        <f>IF(Regcontabilizados[[#This Row],[Eliminado]]="si","",RegContabilizados2[[#This Row],[Notas]])</f>
        <v/>
      </c>
      <c r="AI43" s="1" t="str">
        <f>IF(Regcontabilizados[[#This Row],[Eliminado]]="si","",RegContabilizados2[[#This Row],[Método de pago]])</f>
        <v/>
      </c>
      <c r="AJ43" s="1" t="str">
        <f>IF(Regcontabilizados[[#This Row],[Eliminado]]="si","",RegContabilizados2[[#This Row],[Cta. Bancaria]])</f>
        <v/>
      </c>
      <c r="AO43" s="31">
        <v>46003</v>
      </c>
      <c r="AP43" s="31">
        <v>46003</v>
      </c>
      <c r="AQ43" s="3" t="s">
        <v>1323</v>
      </c>
      <c r="AR43" s="3">
        <v>455441</v>
      </c>
      <c r="AS43" s="1" t="s">
        <v>1090</v>
      </c>
      <c r="AT43" s="1">
        <v>333333</v>
      </c>
      <c r="AV43" s="3" t="s">
        <v>907</v>
      </c>
      <c r="AW43" s="3"/>
      <c r="AX43" s="3"/>
      <c r="AY43" s="3"/>
      <c r="AZ43" s="3"/>
      <c r="BF43" s="1">
        <f>IFERROR((RegContabilizados2[[#This Row],[Debe]]-RegContabilizados2[[#This Row],[Haber]]),0)</f>
        <v>0</v>
      </c>
      <c r="BG43" s="1">
        <f>IFERROR((+_xlfn.XLOOKUP(RegContabilizados2[[#This Row],[Subcuenta]],Tabla11[Cuenta],Tabla11[Descripción],0)),0)</f>
        <v>0</v>
      </c>
      <c r="BH43" s="1">
        <f>IFERROR((VALUE(LEFT(RegContabilizados2[[#This Row],[Subcuenta]],2))&amp;" "&amp;_xlfn.XLOOKUP((VALUE(LEFT(RegContabilizados2[[#This Row],[Subcuenta]],2))),Tabla11[Cuenta],Tabla11[Descripción],0)),0)</f>
        <v>0</v>
      </c>
      <c r="BI43" s="1">
        <f>IFERROR((VALUE(LEFT(RegContabilizados2[[#This Row],[Subcuenta]],4))&amp;" "&amp;_xlfn.XLOOKUP((VALUE(LEFT(RegContabilizados2[[#This Row],[Subcuenta]],4))),Tabla11[Cuenta],Tabla11[Descripción],0)),0)</f>
        <v>0</v>
      </c>
      <c r="BJ43" s="1" t="str">
        <f>IFERROR((RegContabilizados2[[#This Row],[Subcuenta]]&amp;" "&amp;_xlfn.XLOOKUP(RegContabilizados2[[#This Row],[Subcuenta]],Tabla11[Cuenta],Tabla11[Descripción],0)),0)</f>
        <v xml:space="preserve"> 0</v>
      </c>
      <c r="BK43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PAGADO</v>
      </c>
      <c r="BL43" s="1" t="str">
        <f>IFERROR(LEFT(RegContabilizados2[[#This Row],[Idenficador]],SEARCH("-",RegContabilizados2[[#This Row],[Idenficador]])-1),0)</f>
        <v>546565Comp. Egreso455441</v>
      </c>
      <c r="BO43" s="1" t="s">
        <v>1317</v>
      </c>
      <c r="BP43" s="1" t="s">
        <v>868</v>
      </c>
      <c r="BQ43" s="1">
        <v>111005</v>
      </c>
    </row>
    <row r="44" spans="4:69">
      <c r="D44" s="31" t="str">
        <f>IF(Regcontabilizados[[#This Row],[Eliminado]]="si","",RegContabilizados2[[#This Row],[fecha Factura]])</f>
        <v/>
      </c>
      <c r="E44" s="31" t="str">
        <f>IF(Regcontabilizados[[#This Row],[Eliminado]]="si","",RegContabilizados2[[#This Row],[Fecha vencimiento]])</f>
        <v/>
      </c>
      <c r="F44" s="3" t="str">
        <f>IF(Regcontabilizados[[#This Row],[Eliminado]]="si","",RegContabilizados2[[#This Row],[Idenficador]])</f>
        <v/>
      </c>
      <c r="G44" s="3" t="str">
        <f>IF(Regcontabilizados[[#This Row],[Eliminado]]="si","",RegContabilizados2[[#This Row],[N° de factura/Pago]])</f>
        <v/>
      </c>
      <c r="H44" s="1" t="str">
        <f>IF(Regcontabilizados[[#This Row],[Eliminado]]="si","",RegContabilizados2[[#This Row],[Tipo de Factura]])</f>
        <v/>
      </c>
      <c r="I44" s="1" t="str">
        <f>IF(Regcontabilizados[[#This Row],[Eliminado]]="si","",RegContabilizados2[[#This Row],[ID Cliente]])</f>
        <v/>
      </c>
      <c r="J44" s="1" t="str">
        <f>IF(Regcontabilizados[[#This Row],[Eliminado]]="si","",RegContabilizados2[[#This Row],[ESTADO DEL IVA]])</f>
        <v/>
      </c>
      <c r="K44" s="3" t="str">
        <f>IF(Regcontabilizados[[#This Row],[Eliminado]]="si","",RegContabilizados2[[#This Row],[ID Proveedor]])</f>
        <v/>
      </c>
      <c r="L44" s="3" t="str">
        <f>IF(Regcontabilizados[[#This Row],[Eliminado]]="si","",RegContabilizados2[[#This Row],[Concepto]])</f>
        <v/>
      </c>
      <c r="M44" s="3" t="str">
        <f>IF(Regcontabilizados[[#This Row],[Eliminado]]="si","",RegContabilizados2[[#This Row],[Categoría]])</f>
        <v/>
      </c>
      <c r="N44" s="3" t="str">
        <f>IF(Regcontabilizados[[#This Row],[Eliminado]]="si","",RegContabilizados2[[#This Row],[Almacen]])</f>
        <v/>
      </c>
      <c r="O44" s="3" t="str">
        <f>IF(Regcontabilizados[[#This Row],[Eliminado]]="si","",RegContabilizados2[[#This Row],[Tipo de movimiento]])</f>
        <v/>
      </c>
      <c r="P44" s="1" t="str">
        <f>IF(Regcontabilizados[[#This Row],[Eliminado]]="si","",RegContabilizados2[[#This Row],[cantidad]])</f>
        <v/>
      </c>
      <c r="Q44" s="1" t="str">
        <f>IF(Regcontabilizados[[#This Row],[Eliminado]]="si","",RegContabilizados2[[#This Row],[VR unitario]])</f>
        <v/>
      </c>
      <c r="R44" s="1" t="str">
        <f>IF(Regcontabilizados[[#This Row],[Eliminado]]="si","",RegContabilizados2[[#This Row],[Subcuenta]])</f>
        <v/>
      </c>
      <c r="S44" s="1" t="str">
        <f>IF(Regcontabilizados[[#This Row],[Eliminado]]="si","",RegContabilizados2[[#This Row],[Debe]])</f>
        <v/>
      </c>
      <c r="T44" s="1" t="str">
        <f>IF(Regcontabilizados[[#This Row],[Eliminado]]="si","",RegContabilizados2[[#This Row],[Haber]])</f>
        <v/>
      </c>
      <c r="U44" s="1">
        <f>IFERROR((Regcontabilizados[[#This Row],[Debe]]-Regcontabilizados[[#This Row],[Haber]]),0)</f>
        <v>0</v>
      </c>
      <c r="V44" s="1">
        <f>IFERROR((+_xlfn.XLOOKUP(Regcontabilizados[[#This Row],[Subcuenta]],Tabla11[Cuenta],Tabla11[Descripción],0)),0)</f>
        <v>0</v>
      </c>
      <c r="W44" s="1">
        <f>IFERROR((_xlfn.XLOOKUP((VALUE(LEFT(Regcontabilizados[[#This Row],[Subcuenta]],4))),Tabla11[Cuenta],Tabla11[Descripción],0)),0)</f>
        <v>0</v>
      </c>
      <c r="X44" s="1">
        <f>IFERROR((_xlfn.XLOOKUP(Regcontabilizados[[#This Row],[Subcuenta]],Tabla11[Cuenta],Tabla11[Descripción],0)),0)</f>
        <v>0</v>
      </c>
      <c r="Y44" s="1" t="str">
        <f>IF((IFERROR((FIND((_xlfn.XLOOKUP(RegContabilizados2[[#This Row],[Idenficador]],FormtBorrados[formatos borrados],FormtBorrados[formatos borrados],0)),RegContabilizados2[[#This Row],[Idenficador]])),0))=1,"si","no")</f>
        <v>si</v>
      </c>
      <c r="Z44" s="1" t="str">
        <f>_xlfn.XLOOKUP(Regcontabilizados[[#This Row],[Subcuenta]],Tabla11[Cuenta],Tabla11[TIPO],"")</f>
        <v/>
      </c>
      <c r="AA44" s="1" t="str">
        <f>IFERROR((Regcontabilizados[[#This Row],[Subcuenta]]&amp;" "&amp;_xlfn.XLOOKUP(Regcontabilizados[[#This Row],[Subcuenta]],Tabla11[Cuenta],Tabla11[Descripción],0)),0)</f>
        <v xml:space="preserve"> 0</v>
      </c>
      <c r="AB44" s="1">
        <f>IFERROR((VALUE(LEFT(Regcontabilizados[[#This Row],[Subcuenta]],2))&amp;" "&amp;_xlfn.XLOOKUP((VALUE(LEFT(Regcontabilizados[[#This Row],[Subcuenta]],2))),Tabla11[Cuenta],Tabla11[Descripción],0)),0)</f>
        <v>0</v>
      </c>
      <c r="AC44" s="1">
        <f>IFERROR((VALUE(LEFT(Regcontabilizados[[#This Row],[Subcuenta]],4))&amp;" "&amp;_xlfn.XLOOKUP((VALUE(LEFT(Regcontabilizados[[#This Row],[Subcuenta]],4))),Tabla11[Cuenta],Tabla11[Descripción],0)),0)</f>
        <v>0</v>
      </c>
      <c r="AD44" s="1" t="str">
        <f>IF(Regcontabilizados[[#This Row],[Eliminado]]="si","",RegContabilizados2[[#This Row],[Estado de pago]])</f>
        <v/>
      </c>
      <c r="AE44" s="1" t="str">
        <f>IF(Regcontabilizados[[#This Row],[Eliminado]]="si","",RegContabilizados2[[#This Row],[Colum. Aux. Estado]])</f>
        <v/>
      </c>
      <c r="AF44" s="1" t="str">
        <f>IF(Regcontabilizados[[#This Row],[Eliminado]]="si","",RegContabilizados2[[#This Row],[Número de pago]])</f>
        <v/>
      </c>
      <c r="AG44" s="1" t="str">
        <f>IF(Regcontabilizados[[#This Row],[Eliminado]]="si","",RegContabilizados2[[#This Row],[Elaborado por]])</f>
        <v/>
      </c>
      <c r="AH44" s="1" t="str">
        <f>IF(Regcontabilizados[[#This Row],[Eliminado]]="si","",RegContabilizados2[[#This Row],[Notas]])</f>
        <v/>
      </c>
      <c r="AI44" s="1" t="str">
        <f>IF(Regcontabilizados[[#This Row],[Eliminado]]="si","",RegContabilizados2[[#This Row],[Método de pago]])</f>
        <v/>
      </c>
      <c r="AJ44" s="1" t="str">
        <f>IF(Regcontabilizados[[#This Row],[Eliminado]]="si","",RegContabilizados2[[#This Row],[Cta. Bancaria]])</f>
        <v/>
      </c>
      <c r="AO44" s="31">
        <v>46003</v>
      </c>
      <c r="AP44" s="31">
        <v>46003</v>
      </c>
      <c r="AQ44" s="3" t="s">
        <v>1324</v>
      </c>
      <c r="AR44" s="3">
        <v>455441</v>
      </c>
      <c r="AS44" s="1" t="s">
        <v>1090</v>
      </c>
      <c r="AT44" s="1">
        <v>333333</v>
      </c>
      <c r="AV44" s="3" t="s">
        <v>907</v>
      </c>
      <c r="AW44" s="3"/>
      <c r="AX44" s="3"/>
      <c r="AY44" s="3"/>
      <c r="AZ44" s="3"/>
      <c r="BF44" s="1">
        <f>IFERROR((RegContabilizados2[[#This Row],[Debe]]-RegContabilizados2[[#This Row],[Haber]]),0)</f>
        <v>0</v>
      </c>
      <c r="BG44" s="1">
        <f>IFERROR((+_xlfn.XLOOKUP(RegContabilizados2[[#This Row],[Subcuenta]],Tabla11[Cuenta],Tabla11[Descripción],0)),0)</f>
        <v>0</v>
      </c>
      <c r="BH44" s="1">
        <f>IFERROR((VALUE(LEFT(RegContabilizados2[[#This Row],[Subcuenta]],2))&amp;" "&amp;_xlfn.XLOOKUP((VALUE(LEFT(RegContabilizados2[[#This Row],[Subcuenta]],2))),Tabla11[Cuenta],Tabla11[Descripción],0)),0)</f>
        <v>0</v>
      </c>
      <c r="BI44" s="1">
        <f>IFERROR((VALUE(LEFT(RegContabilizados2[[#This Row],[Subcuenta]],4))&amp;" "&amp;_xlfn.XLOOKUP((VALUE(LEFT(RegContabilizados2[[#This Row],[Subcuenta]],4))),Tabla11[Cuenta],Tabla11[Descripción],0)),0)</f>
        <v>0</v>
      </c>
      <c r="BJ44" s="1" t="str">
        <f>IFERROR((RegContabilizados2[[#This Row],[Subcuenta]]&amp;" "&amp;_xlfn.XLOOKUP(RegContabilizados2[[#This Row],[Subcuenta]],Tabla11[Cuenta],Tabla11[Descripción],0)),0)</f>
        <v xml:space="preserve"> 0</v>
      </c>
      <c r="BK44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PAGADO</v>
      </c>
      <c r="BL44" s="1" t="str">
        <f>IFERROR(LEFT(RegContabilizados2[[#This Row],[Idenficador]],SEARCH("-",RegContabilizados2[[#This Row],[Idenficador]])-1),0)</f>
        <v>546565Comp. Egreso455441</v>
      </c>
      <c r="BO44" s="1" t="s">
        <v>1317</v>
      </c>
      <c r="BP44" s="1" t="s">
        <v>868</v>
      </c>
      <c r="BQ44" s="1">
        <v>111005</v>
      </c>
    </row>
    <row r="45" spans="4:69">
      <c r="D45" s="31" t="str">
        <f>IF(Regcontabilizados[[#This Row],[Eliminado]]="si","",RegContabilizados2[[#This Row],[fecha Factura]])</f>
        <v/>
      </c>
      <c r="E45" s="31" t="str">
        <f>IF(Regcontabilizados[[#This Row],[Eliminado]]="si","",RegContabilizados2[[#This Row],[Fecha vencimiento]])</f>
        <v/>
      </c>
      <c r="F45" s="3" t="str">
        <f>IF(Regcontabilizados[[#This Row],[Eliminado]]="si","",RegContabilizados2[[#This Row],[Idenficador]])</f>
        <v/>
      </c>
      <c r="G45" s="3" t="str">
        <f>IF(Regcontabilizados[[#This Row],[Eliminado]]="si","",RegContabilizados2[[#This Row],[N° de factura/Pago]])</f>
        <v/>
      </c>
      <c r="H45" s="1" t="str">
        <f>IF(Regcontabilizados[[#This Row],[Eliminado]]="si","",RegContabilizados2[[#This Row],[Tipo de Factura]])</f>
        <v/>
      </c>
      <c r="I45" s="1" t="str">
        <f>IF(Regcontabilizados[[#This Row],[Eliminado]]="si","",RegContabilizados2[[#This Row],[ID Cliente]])</f>
        <v/>
      </c>
      <c r="J45" s="1" t="str">
        <f>IF(Regcontabilizados[[#This Row],[Eliminado]]="si","",RegContabilizados2[[#This Row],[ESTADO DEL IVA]])</f>
        <v/>
      </c>
      <c r="K45" s="3" t="str">
        <f>IF(Regcontabilizados[[#This Row],[Eliminado]]="si","",RegContabilizados2[[#This Row],[ID Proveedor]])</f>
        <v/>
      </c>
      <c r="L45" s="3" t="str">
        <f>IF(Regcontabilizados[[#This Row],[Eliminado]]="si","",RegContabilizados2[[#This Row],[Concepto]])</f>
        <v/>
      </c>
      <c r="M45" s="3" t="str">
        <f>IF(Regcontabilizados[[#This Row],[Eliminado]]="si","",RegContabilizados2[[#This Row],[Categoría]])</f>
        <v/>
      </c>
      <c r="N45" s="3" t="str">
        <f>IF(Regcontabilizados[[#This Row],[Eliminado]]="si","",RegContabilizados2[[#This Row],[Almacen]])</f>
        <v/>
      </c>
      <c r="O45" s="3" t="str">
        <f>IF(Regcontabilizados[[#This Row],[Eliminado]]="si","",RegContabilizados2[[#This Row],[Tipo de movimiento]])</f>
        <v/>
      </c>
      <c r="P45" s="1" t="str">
        <f>IF(Regcontabilizados[[#This Row],[Eliminado]]="si","",RegContabilizados2[[#This Row],[cantidad]])</f>
        <v/>
      </c>
      <c r="Q45" s="1" t="str">
        <f>IF(Regcontabilizados[[#This Row],[Eliminado]]="si","",RegContabilizados2[[#This Row],[VR unitario]])</f>
        <v/>
      </c>
      <c r="R45" s="1" t="str">
        <f>IF(Regcontabilizados[[#This Row],[Eliminado]]="si","",RegContabilizados2[[#This Row],[Subcuenta]])</f>
        <v/>
      </c>
      <c r="S45" s="1" t="str">
        <f>IF(Regcontabilizados[[#This Row],[Eliminado]]="si","",RegContabilizados2[[#This Row],[Debe]])</f>
        <v/>
      </c>
      <c r="T45" s="1" t="str">
        <f>IF(Regcontabilizados[[#This Row],[Eliminado]]="si","",RegContabilizados2[[#This Row],[Haber]])</f>
        <v/>
      </c>
      <c r="U45" s="1">
        <f>IFERROR((Regcontabilizados[[#This Row],[Debe]]-Regcontabilizados[[#This Row],[Haber]]),0)</f>
        <v>0</v>
      </c>
      <c r="V45" s="1">
        <f>IFERROR((+_xlfn.XLOOKUP(Regcontabilizados[[#This Row],[Subcuenta]],Tabla11[Cuenta],Tabla11[Descripción],0)),0)</f>
        <v>0</v>
      </c>
      <c r="W45" s="1">
        <f>IFERROR((_xlfn.XLOOKUP((VALUE(LEFT(Regcontabilizados[[#This Row],[Subcuenta]],4))),Tabla11[Cuenta],Tabla11[Descripción],0)),0)</f>
        <v>0</v>
      </c>
      <c r="X45" s="1">
        <f>IFERROR((_xlfn.XLOOKUP(Regcontabilizados[[#This Row],[Subcuenta]],Tabla11[Cuenta],Tabla11[Descripción],0)),0)</f>
        <v>0</v>
      </c>
      <c r="Y45" s="1" t="str">
        <f>IF((IFERROR((FIND((_xlfn.XLOOKUP(RegContabilizados2[[#This Row],[Idenficador]],FormtBorrados[formatos borrados],FormtBorrados[formatos borrados],0)),RegContabilizados2[[#This Row],[Idenficador]])),0))=1,"si","no")</f>
        <v>si</v>
      </c>
      <c r="Z45" s="1" t="str">
        <f>_xlfn.XLOOKUP(Regcontabilizados[[#This Row],[Subcuenta]],Tabla11[Cuenta],Tabla11[TIPO],"")</f>
        <v/>
      </c>
      <c r="AA45" s="1" t="str">
        <f>IFERROR((Regcontabilizados[[#This Row],[Subcuenta]]&amp;" "&amp;_xlfn.XLOOKUP(Regcontabilizados[[#This Row],[Subcuenta]],Tabla11[Cuenta],Tabla11[Descripción],0)),0)</f>
        <v xml:space="preserve"> 0</v>
      </c>
      <c r="AB45" s="1">
        <f>IFERROR((VALUE(LEFT(Regcontabilizados[[#This Row],[Subcuenta]],2))&amp;" "&amp;_xlfn.XLOOKUP((VALUE(LEFT(Regcontabilizados[[#This Row],[Subcuenta]],2))),Tabla11[Cuenta],Tabla11[Descripción],0)),0)</f>
        <v>0</v>
      </c>
      <c r="AC45" s="1">
        <f>IFERROR((VALUE(LEFT(Regcontabilizados[[#This Row],[Subcuenta]],4))&amp;" "&amp;_xlfn.XLOOKUP((VALUE(LEFT(Regcontabilizados[[#This Row],[Subcuenta]],4))),Tabla11[Cuenta],Tabla11[Descripción],0)),0)</f>
        <v>0</v>
      </c>
      <c r="AD45" s="1" t="str">
        <f>IF(Regcontabilizados[[#This Row],[Eliminado]]="si","",RegContabilizados2[[#This Row],[Estado de pago]])</f>
        <v/>
      </c>
      <c r="AE45" s="1" t="str">
        <f>IF(Regcontabilizados[[#This Row],[Eliminado]]="si","",RegContabilizados2[[#This Row],[Colum. Aux. Estado]])</f>
        <v/>
      </c>
      <c r="AF45" s="1" t="str">
        <f>IF(Regcontabilizados[[#This Row],[Eliminado]]="si","",RegContabilizados2[[#This Row],[Número de pago]])</f>
        <v/>
      </c>
      <c r="AG45" s="1" t="str">
        <f>IF(Regcontabilizados[[#This Row],[Eliminado]]="si","",RegContabilizados2[[#This Row],[Elaborado por]])</f>
        <v/>
      </c>
      <c r="AH45" s="1" t="str">
        <f>IF(Regcontabilizados[[#This Row],[Eliminado]]="si","",RegContabilizados2[[#This Row],[Notas]])</f>
        <v/>
      </c>
      <c r="AI45" s="1" t="str">
        <f>IF(Regcontabilizados[[#This Row],[Eliminado]]="si","",RegContabilizados2[[#This Row],[Método de pago]])</f>
        <v/>
      </c>
      <c r="AJ45" s="1" t="str">
        <f>IF(Regcontabilizados[[#This Row],[Eliminado]]="si","",RegContabilizados2[[#This Row],[Cta. Bancaria]])</f>
        <v/>
      </c>
      <c r="AO45" s="31">
        <v>46003</v>
      </c>
      <c r="AP45" s="31">
        <v>46003</v>
      </c>
      <c r="AQ45" s="3" t="s">
        <v>1325</v>
      </c>
      <c r="AR45" s="3">
        <v>455441</v>
      </c>
      <c r="AS45" s="1" t="s">
        <v>1090</v>
      </c>
      <c r="AT45" s="1">
        <v>333333</v>
      </c>
      <c r="AV45" s="3" t="s">
        <v>907</v>
      </c>
      <c r="AW45" s="3"/>
      <c r="AX45" s="3"/>
      <c r="AY45" s="3"/>
      <c r="AZ45" s="3"/>
      <c r="BF45" s="1">
        <f>IFERROR((RegContabilizados2[[#This Row],[Debe]]-RegContabilizados2[[#This Row],[Haber]]),0)</f>
        <v>0</v>
      </c>
      <c r="BG45" s="1">
        <f>IFERROR((+_xlfn.XLOOKUP(RegContabilizados2[[#This Row],[Subcuenta]],Tabla11[Cuenta],Tabla11[Descripción],0)),0)</f>
        <v>0</v>
      </c>
      <c r="BH45" s="1">
        <f>IFERROR((VALUE(LEFT(RegContabilizados2[[#This Row],[Subcuenta]],2))&amp;" "&amp;_xlfn.XLOOKUP((VALUE(LEFT(RegContabilizados2[[#This Row],[Subcuenta]],2))),Tabla11[Cuenta],Tabla11[Descripción],0)),0)</f>
        <v>0</v>
      </c>
      <c r="BI45" s="1">
        <f>IFERROR((VALUE(LEFT(RegContabilizados2[[#This Row],[Subcuenta]],4))&amp;" "&amp;_xlfn.XLOOKUP((VALUE(LEFT(RegContabilizados2[[#This Row],[Subcuenta]],4))),Tabla11[Cuenta],Tabla11[Descripción],0)),0)</f>
        <v>0</v>
      </c>
      <c r="BJ45" s="1" t="str">
        <f>IFERROR((RegContabilizados2[[#This Row],[Subcuenta]]&amp;" "&amp;_xlfn.XLOOKUP(RegContabilizados2[[#This Row],[Subcuenta]],Tabla11[Cuenta],Tabla11[Descripción],0)),0)</f>
        <v xml:space="preserve"> 0</v>
      </c>
      <c r="BK45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PAGADO</v>
      </c>
      <c r="BL45" s="1" t="str">
        <f>IFERROR(LEFT(RegContabilizados2[[#This Row],[Idenficador]],SEARCH("-",RegContabilizados2[[#This Row],[Idenficador]])-1),0)</f>
        <v>546565Comp. Egreso455441</v>
      </c>
      <c r="BO45" s="1" t="s">
        <v>1317</v>
      </c>
      <c r="BP45" s="1" t="s">
        <v>868</v>
      </c>
      <c r="BQ45" s="1">
        <v>111005</v>
      </c>
    </row>
    <row r="46" spans="4:69">
      <c r="D46" s="31" t="str">
        <f>IF(Regcontabilizados[[#This Row],[Eliminado]]="si","",RegContabilizados2[[#This Row],[fecha Factura]])</f>
        <v/>
      </c>
      <c r="E46" s="31" t="str">
        <f>IF(Regcontabilizados[[#This Row],[Eliminado]]="si","",RegContabilizados2[[#This Row],[Fecha vencimiento]])</f>
        <v/>
      </c>
      <c r="F46" s="3" t="str">
        <f>IF(Regcontabilizados[[#This Row],[Eliminado]]="si","",RegContabilizados2[[#This Row],[Idenficador]])</f>
        <v/>
      </c>
      <c r="G46" s="3" t="str">
        <f>IF(Regcontabilizados[[#This Row],[Eliminado]]="si","",RegContabilizados2[[#This Row],[N° de factura/Pago]])</f>
        <v/>
      </c>
      <c r="H46" s="1" t="str">
        <f>IF(Regcontabilizados[[#This Row],[Eliminado]]="si","",RegContabilizados2[[#This Row],[Tipo de Factura]])</f>
        <v/>
      </c>
      <c r="I46" s="1" t="str">
        <f>IF(Regcontabilizados[[#This Row],[Eliminado]]="si","",RegContabilizados2[[#This Row],[ID Cliente]])</f>
        <v/>
      </c>
      <c r="J46" s="1" t="str">
        <f>IF(Regcontabilizados[[#This Row],[Eliminado]]="si","",RegContabilizados2[[#This Row],[ESTADO DEL IVA]])</f>
        <v/>
      </c>
      <c r="K46" s="3" t="str">
        <f>IF(Regcontabilizados[[#This Row],[Eliminado]]="si","",RegContabilizados2[[#This Row],[ID Proveedor]])</f>
        <v/>
      </c>
      <c r="L46" s="3" t="str">
        <f>IF(Regcontabilizados[[#This Row],[Eliminado]]="si","",RegContabilizados2[[#This Row],[Concepto]])</f>
        <v/>
      </c>
      <c r="M46" s="3" t="str">
        <f>IF(Regcontabilizados[[#This Row],[Eliminado]]="si","",RegContabilizados2[[#This Row],[Categoría]])</f>
        <v/>
      </c>
      <c r="N46" s="3" t="str">
        <f>IF(Regcontabilizados[[#This Row],[Eliminado]]="si","",RegContabilizados2[[#This Row],[Almacen]])</f>
        <v/>
      </c>
      <c r="O46" s="3" t="str">
        <f>IF(Regcontabilizados[[#This Row],[Eliminado]]="si","",RegContabilizados2[[#This Row],[Tipo de movimiento]])</f>
        <v/>
      </c>
      <c r="P46" s="1" t="str">
        <f>IF(Regcontabilizados[[#This Row],[Eliminado]]="si","",RegContabilizados2[[#This Row],[cantidad]])</f>
        <v/>
      </c>
      <c r="Q46" s="1" t="str">
        <f>IF(Regcontabilizados[[#This Row],[Eliminado]]="si","",RegContabilizados2[[#This Row],[VR unitario]])</f>
        <v/>
      </c>
      <c r="R46" s="1" t="str">
        <f>IF(Regcontabilizados[[#This Row],[Eliminado]]="si","",RegContabilizados2[[#This Row],[Subcuenta]])</f>
        <v/>
      </c>
      <c r="S46" s="1" t="str">
        <f>IF(Regcontabilizados[[#This Row],[Eliminado]]="si","",RegContabilizados2[[#This Row],[Debe]])</f>
        <v/>
      </c>
      <c r="T46" s="1" t="str">
        <f>IF(Regcontabilizados[[#This Row],[Eliminado]]="si","",RegContabilizados2[[#This Row],[Haber]])</f>
        <v/>
      </c>
      <c r="U46" s="1">
        <f>IFERROR((Regcontabilizados[[#This Row],[Debe]]-Regcontabilizados[[#This Row],[Haber]]),0)</f>
        <v>0</v>
      </c>
      <c r="V46" s="1">
        <f>IFERROR((+_xlfn.XLOOKUP(Regcontabilizados[[#This Row],[Subcuenta]],Tabla11[Cuenta],Tabla11[Descripción],0)),0)</f>
        <v>0</v>
      </c>
      <c r="W46" s="1">
        <f>IFERROR((_xlfn.XLOOKUP((VALUE(LEFT(Regcontabilizados[[#This Row],[Subcuenta]],4))),Tabla11[Cuenta],Tabla11[Descripción],0)),0)</f>
        <v>0</v>
      </c>
      <c r="X46" s="1">
        <f>IFERROR((_xlfn.XLOOKUP(Regcontabilizados[[#This Row],[Subcuenta]],Tabla11[Cuenta],Tabla11[Descripción],0)),0)</f>
        <v>0</v>
      </c>
      <c r="Y46" s="1" t="str">
        <f>IF((IFERROR((FIND((_xlfn.XLOOKUP(RegContabilizados2[[#This Row],[Idenficador]],FormtBorrados[formatos borrados],FormtBorrados[formatos borrados],0)),RegContabilizados2[[#This Row],[Idenficador]])),0))=1,"si","no")</f>
        <v>si</v>
      </c>
      <c r="Z46" s="1" t="str">
        <f>_xlfn.XLOOKUP(Regcontabilizados[[#This Row],[Subcuenta]],Tabla11[Cuenta],Tabla11[TIPO],"")</f>
        <v/>
      </c>
      <c r="AA46" s="1" t="str">
        <f>IFERROR((Regcontabilizados[[#This Row],[Subcuenta]]&amp;" "&amp;_xlfn.XLOOKUP(Regcontabilizados[[#This Row],[Subcuenta]],Tabla11[Cuenta],Tabla11[Descripción],0)),0)</f>
        <v xml:space="preserve"> 0</v>
      </c>
      <c r="AB46" s="1">
        <f>IFERROR((VALUE(LEFT(Regcontabilizados[[#This Row],[Subcuenta]],2))&amp;" "&amp;_xlfn.XLOOKUP((VALUE(LEFT(Regcontabilizados[[#This Row],[Subcuenta]],2))),Tabla11[Cuenta],Tabla11[Descripción],0)),0)</f>
        <v>0</v>
      </c>
      <c r="AC46" s="1">
        <f>IFERROR((VALUE(LEFT(Regcontabilizados[[#This Row],[Subcuenta]],4))&amp;" "&amp;_xlfn.XLOOKUP((VALUE(LEFT(Regcontabilizados[[#This Row],[Subcuenta]],4))),Tabla11[Cuenta],Tabla11[Descripción],0)),0)</f>
        <v>0</v>
      </c>
      <c r="AD46" s="1" t="str">
        <f>IF(Regcontabilizados[[#This Row],[Eliminado]]="si","",RegContabilizados2[[#This Row],[Estado de pago]])</f>
        <v/>
      </c>
      <c r="AE46" s="1" t="str">
        <f>IF(Regcontabilizados[[#This Row],[Eliminado]]="si","",RegContabilizados2[[#This Row],[Colum. Aux. Estado]])</f>
        <v/>
      </c>
      <c r="AF46" s="1" t="str">
        <f>IF(Regcontabilizados[[#This Row],[Eliminado]]="si","",RegContabilizados2[[#This Row],[Número de pago]])</f>
        <v/>
      </c>
      <c r="AG46" s="1" t="str">
        <f>IF(Regcontabilizados[[#This Row],[Eliminado]]="si","",RegContabilizados2[[#This Row],[Elaborado por]])</f>
        <v/>
      </c>
      <c r="AH46" s="1" t="str">
        <f>IF(Regcontabilizados[[#This Row],[Eliminado]]="si","",RegContabilizados2[[#This Row],[Notas]])</f>
        <v/>
      </c>
      <c r="AI46" s="1" t="str">
        <f>IF(Regcontabilizados[[#This Row],[Eliminado]]="si","",RegContabilizados2[[#This Row],[Método de pago]])</f>
        <v/>
      </c>
      <c r="AJ46" s="1" t="str">
        <f>IF(Regcontabilizados[[#This Row],[Eliminado]]="si","",RegContabilizados2[[#This Row],[Cta. Bancaria]])</f>
        <v/>
      </c>
      <c r="AO46" s="31">
        <v>46003</v>
      </c>
      <c r="AP46" s="31">
        <v>46003</v>
      </c>
      <c r="AQ46" s="3" t="s">
        <v>1326</v>
      </c>
      <c r="AR46" s="3">
        <v>455441</v>
      </c>
      <c r="AS46" s="1" t="s">
        <v>1090</v>
      </c>
      <c r="AT46" s="1">
        <v>333333</v>
      </c>
      <c r="AV46" s="3" t="s">
        <v>907</v>
      </c>
      <c r="AW46" s="3"/>
      <c r="AX46" s="3"/>
      <c r="AY46" s="3"/>
      <c r="AZ46" s="3"/>
      <c r="BF46" s="1">
        <f>IFERROR((RegContabilizados2[[#This Row],[Debe]]-RegContabilizados2[[#This Row],[Haber]]),0)</f>
        <v>0</v>
      </c>
      <c r="BG46" s="1">
        <f>IFERROR((+_xlfn.XLOOKUP(RegContabilizados2[[#This Row],[Subcuenta]],Tabla11[Cuenta],Tabla11[Descripción],0)),0)</f>
        <v>0</v>
      </c>
      <c r="BH46" s="1">
        <f>IFERROR((VALUE(LEFT(RegContabilizados2[[#This Row],[Subcuenta]],2))&amp;" "&amp;_xlfn.XLOOKUP((VALUE(LEFT(RegContabilizados2[[#This Row],[Subcuenta]],2))),Tabla11[Cuenta],Tabla11[Descripción],0)),0)</f>
        <v>0</v>
      </c>
      <c r="BI46" s="1">
        <f>IFERROR((VALUE(LEFT(RegContabilizados2[[#This Row],[Subcuenta]],4))&amp;" "&amp;_xlfn.XLOOKUP((VALUE(LEFT(RegContabilizados2[[#This Row],[Subcuenta]],4))),Tabla11[Cuenta],Tabla11[Descripción],0)),0)</f>
        <v>0</v>
      </c>
      <c r="BJ46" s="1" t="str">
        <f>IFERROR((RegContabilizados2[[#This Row],[Subcuenta]]&amp;" "&amp;_xlfn.XLOOKUP(RegContabilizados2[[#This Row],[Subcuenta]],Tabla11[Cuenta],Tabla11[Descripción],0)),0)</f>
        <v xml:space="preserve"> 0</v>
      </c>
      <c r="BK46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PAGADO</v>
      </c>
      <c r="BL46" s="1" t="str">
        <f>IFERROR(LEFT(RegContabilizados2[[#This Row],[Idenficador]],SEARCH("-",RegContabilizados2[[#This Row],[Idenficador]])-1),0)</f>
        <v>546565Comp. Egreso455441</v>
      </c>
      <c r="BO46" s="1" t="s">
        <v>1317</v>
      </c>
      <c r="BP46" s="1" t="s">
        <v>868</v>
      </c>
      <c r="BQ46" s="1">
        <v>111005</v>
      </c>
    </row>
    <row r="47" spans="4:69">
      <c r="D47" s="31" t="str">
        <f>IF(Regcontabilizados[[#This Row],[Eliminado]]="si","",RegContabilizados2[[#This Row],[fecha Factura]])</f>
        <v/>
      </c>
      <c r="E47" s="31" t="str">
        <f>IF(Regcontabilizados[[#This Row],[Eliminado]]="si","",RegContabilizados2[[#This Row],[Fecha vencimiento]])</f>
        <v/>
      </c>
      <c r="F47" s="3" t="str">
        <f>IF(Regcontabilizados[[#This Row],[Eliminado]]="si","",RegContabilizados2[[#This Row],[Idenficador]])</f>
        <v/>
      </c>
      <c r="G47" s="3" t="str">
        <f>IF(Regcontabilizados[[#This Row],[Eliminado]]="si","",RegContabilizados2[[#This Row],[N° de factura/Pago]])</f>
        <v/>
      </c>
      <c r="H47" s="1" t="str">
        <f>IF(Regcontabilizados[[#This Row],[Eliminado]]="si","",RegContabilizados2[[#This Row],[Tipo de Factura]])</f>
        <v/>
      </c>
      <c r="I47" s="1" t="str">
        <f>IF(Regcontabilizados[[#This Row],[Eliminado]]="si","",RegContabilizados2[[#This Row],[ID Cliente]])</f>
        <v/>
      </c>
      <c r="J47" s="1" t="str">
        <f>IF(Regcontabilizados[[#This Row],[Eliminado]]="si","",RegContabilizados2[[#This Row],[ESTADO DEL IVA]])</f>
        <v/>
      </c>
      <c r="K47" s="3" t="str">
        <f>IF(Regcontabilizados[[#This Row],[Eliminado]]="si","",RegContabilizados2[[#This Row],[ID Proveedor]])</f>
        <v/>
      </c>
      <c r="L47" s="3" t="str">
        <f>IF(Regcontabilizados[[#This Row],[Eliminado]]="si","",RegContabilizados2[[#This Row],[Concepto]])</f>
        <v/>
      </c>
      <c r="M47" s="3" t="str">
        <f>IF(Regcontabilizados[[#This Row],[Eliminado]]="si","",RegContabilizados2[[#This Row],[Categoría]])</f>
        <v/>
      </c>
      <c r="N47" s="3" t="str">
        <f>IF(Regcontabilizados[[#This Row],[Eliminado]]="si","",RegContabilizados2[[#This Row],[Almacen]])</f>
        <v/>
      </c>
      <c r="O47" s="3" t="str">
        <f>IF(Regcontabilizados[[#This Row],[Eliminado]]="si","",RegContabilizados2[[#This Row],[Tipo de movimiento]])</f>
        <v/>
      </c>
      <c r="P47" s="1" t="str">
        <f>IF(Regcontabilizados[[#This Row],[Eliminado]]="si","",RegContabilizados2[[#This Row],[cantidad]])</f>
        <v/>
      </c>
      <c r="Q47" s="1" t="str">
        <f>IF(Regcontabilizados[[#This Row],[Eliminado]]="si","",RegContabilizados2[[#This Row],[VR unitario]])</f>
        <v/>
      </c>
      <c r="R47" s="1" t="str">
        <f>IF(Regcontabilizados[[#This Row],[Eliminado]]="si","",RegContabilizados2[[#This Row],[Subcuenta]])</f>
        <v/>
      </c>
      <c r="S47" s="1" t="str">
        <f>IF(Regcontabilizados[[#This Row],[Eliminado]]="si","",RegContabilizados2[[#This Row],[Debe]])</f>
        <v/>
      </c>
      <c r="T47" s="1" t="str">
        <f>IF(Regcontabilizados[[#This Row],[Eliminado]]="si","",RegContabilizados2[[#This Row],[Haber]])</f>
        <v/>
      </c>
      <c r="U47" s="1">
        <f>IFERROR((Regcontabilizados[[#This Row],[Debe]]-Regcontabilizados[[#This Row],[Haber]]),0)</f>
        <v>0</v>
      </c>
      <c r="V47" s="1">
        <f>IFERROR((+_xlfn.XLOOKUP(Regcontabilizados[[#This Row],[Subcuenta]],Tabla11[Cuenta],Tabla11[Descripción],0)),0)</f>
        <v>0</v>
      </c>
      <c r="W47" s="1">
        <f>IFERROR((_xlfn.XLOOKUP((VALUE(LEFT(Regcontabilizados[[#This Row],[Subcuenta]],4))),Tabla11[Cuenta],Tabla11[Descripción],0)),0)</f>
        <v>0</v>
      </c>
      <c r="X47" s="1">
        <f>IFERROR((_xlfn.XLOOKUP(Regcontabilizados[[#This Row],[Subcuenta]],Tabla11[Cuenta],Tabla11[Descripción],0)),0)</f>
        <v>0</v>
      </c>
      <c r="Y47" s="1" t="str">
        <f>IF((IFERROR((FIND((_xlfn.XLOOKUP(RegContabilizados2[[#This Row],[Idenficador]],FormtBorrados[formatos borrados],FormtBorrados[formatos borrados],0)),RegContabilizados2[[#This Row],[Idenficador]])),0))=1,"si","no")</f>
        <v>si</v>
      </c>
      <c r="Z47" s="1" t="str">
        <f>_xlfn.XLOOKUP(Regcontabilizados[[#This Row],[Subcuenta]],Tabla11[Cuenta],Tabla11[TIPO],"")</f>
        <v/>
      </c>
      <c r="AA47" s="1" t="str">
        <f>IFERROR((Regcontabilizados[[#This Row],[Subcuenta]]&amp;" "&amp;_xlfn.XLOOKUP(Regcontabilizados[[#This Row],[Subcuenta]],Tabla11[Cuenta],Tabla11[Descripción],0)),0)</f>
        <v xml:space="preserve"> 0</v>
      </c>
      <c r="AB47" s="1">
        <f>IFERROR((VALUE(LEFT(Regcontabilizados[[#This Row],[Subcuenta]],2))&amp;" "&amp;_xlfn.XLOOKUP((VALUE(LEFT(Regcontabilizados[[#This Row],[Subcuenta]],2))),Tabla11[Cuenta],Tabla11[Descripción],0)),0)</f>
        <v>0</v>
      </c>
      <c r="AC47" s="1">
        <f>IFERROR((VALUE(LEFT(Regcontabilizados[[#This Row],[Subcuenta]],4))&amp;" "&amp;_xlfn.XLOOKUP((VALUE(LEFT(Regcontabilizados[[#This Row],[Subcuenta]],4))),Tabla11[Cuenta],Tabla11[Descripción],0)),0)</f>
        <v>0</v>
      </c>
      <c r="AD47" s="1" t="str">
        <f>IF(Regcontabilizados[[#This Row],[Eliminado]]="si","",RegContabilizados2[[#This Row],[Estado de pago]])</f>
        <v/>
      </c>
      <c r="AE47" s="1" t="str">
        <f>IF(Regcontabilizados[[#This Row],[Eliminado]]="si","",RegContabilizados2[[#This Row],[Colum. Aux. Estado]])</f>
        <v/>
      </c>
      <c r="AF47" s="1" t="str">
        <f>IF(Regcontabilizados[[#This Row],[Eliminado]]="si","",RegContabilizados2[[#This Row],[Número de pago]])</f>
        <v/>
      </c>
      <c r="AG47" s="1" t="str">
        <f>IF(Regcontabilizados[[#This Row],[Eliminado]]="si","",RegContabilizados2[[#This Row],[Elaborado por]])</f>
        <v/>
      </c>
      <c r="AH47" s="1" t="str">
        <f>IF(Regcontabilizados[[#This Row],[Eliminado]]="si","",RegContabilizados2[[#This Row],[Notas]])</f>
        <v/>
      </c>
      <c r="AI47" s="1" t="str">
        <f>IF(Regcontabilizados[[#This Row],[Eliminado]]="si","",RegContabilizados2[[#This Row],[Método de pago]])</f>
        <v/>
      </c>
      <c r="AJ47" s="1" t="str">
        <f>IF(Regcontabilizados[[#This Row],[Eliminado]]="si","",RegContabilizados2[[#This Row],[Cta. Bancaria]])</f>
        <v/>
      </c>
      <c r="AO47" s="31">
        <v>46003</v>
      </c>
      <c r="AP47" s="31">
        <v>46003</v>
      </c>
      <c r="AQ47" s="3" t="s">
        <v>1327</v>
      </c>
      <c r="AR47" s="3">
        <v>455441</v>
      </c>
      <c r="AS47" s="1" t="s">
        <v>1090</v>
      </c>
      <c r="AT47" s="1">
        <v>333333</v>
      </c>
      <c r="AV47" s="3" t="s">
        <v>907</v>
      </c>
      <c r="AW47" s="3"/>
      <c r="AX47" s="3"/>
      <c r="AY47" s="3"/>
      <c r="AZ47" s="3"/>
      <c r="BF47" s="1">
        <f>IFERROR((RegContabilizados2[[#This Row],[Debe]]-RegContabilizados2[[#This Row],[Haber]]),0)</f>
        <v>0</v>
      </c>
      <c r="BG47" s="1">
        <f>IFERROR((+_xlfn.XLOOKUP(RegContabilizados2[[#This Row],[Subcuenta]],Tabla11[Cuenta],Tabla11[Descripción],0)),0)</f>
        <v>0</v>
      </c>
      <c r="BH47" s="1">
        <f>IFERROR((VALUE(LEFT(RegContabilizados2[[#This Row],[Subcuenta]],2))&amp;" "&amp;_xlfn.XLOOKUP((VALUE(LEFT(RegContabilizados2[[#This Row],[Subcuenta]],2))),Tabla11[Cuenta],Tabla11[Descripción],0)),0)</f>
        <v>0</v>
      </c>
      <c r="BI47" s="1">
        <f>IFERROR((VALUE(LEFT(RegContabilizados2[[#This Row],[Subcuenta]],4))&amp;" "&amp;_xlfn.XLOOKUP((VALUE(LEFT(RegContabilizados2[[#This Row],[Subcuenta]],4))),Tabla11[Cuenta],Tabla11[Descripción],0)),0)</f>
        <v>0</v>
      </c>
      <c r="BJ47" s="1" t="str">
        <f>IFERROR((RegContabilizados2[[#This Row],[Subcuenta]]&amp;" "&amp;_xlfn.XLOOKUP(RegContabilizados2[[#This Row],[Subcuenta]],Tabla11[Cuenta],Tabla11[Descripción],0)),0)</f>
        <v xml:space="preserve"> 0</v>
      </c>
      <c r="BK47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PAGADO</v>
      </c>
      <c r="BL47" s="1" t="str">
        <f>IFERROR(LEFT(RegContabilizados2[[#This Row],[Idenficador]],SEARCH("-",RegContabilizados2[[#This Row],[Idenficador]])-1),0)</f>
        <v>546565Comp. Egreso455441</v>
      </c>
      <c r="BO47" s="1" t="s">
        <v>1317</v>
      </c>
      <c r="BP47" s="1" t="s">
        <v>868</v>
      </c>
      <c r="BQ47" s="1">
        <v>111005</v>
      </c>
    </row>
    <row r="48" spans="4:69">
      <c r="D48" s="31" t="str">
        <f>IF(Regcontabilizados[[#This Row],[Eliminado]]="si","",RegContabilizados2[[#This Row],[fecha Factura]])</f>
        <v/>
      </c>
      <c r="E48" s="31" t="str">
        <f>IF(Regcontabilizados[[#This Row],[Eliminado]]="si","",RegContabilizados2[[#This Row],[Fecha vencimiento]])</f>
        <v/>
      </c>
      <c r="F48" s="3" t="str">
        <f>IF(Regcontabilizados[[#This Row],[Eliminado]]="si","",RegContabilizados2[[#This Row],[Idenficador]])</f>
        <v/>
      </c>
      <c r="G48" s="3" t="str">
        <f>IF(Regcontabilizados[[#This Row],[Eliminado]]="si","",RegContabilizados2[[#This Row],[N° de factura/Pago]])</f>
        <v/>
      </c>
      <c r="H48" s="1" t="str">
        <f>IF(Regcontabilizados[[#This Row],[Eliminado]]="si","",RegContabilizados2[[#This Row],[Tipo de Factura]])</f>
        <v/>
      </c>
      <c r="I48" s="1" t="str">
        <f>IF(Regcontabilizados[[#This Row],[Eliminado]]="si","",RegContabilizados2[[#This Row],[ID Cliente]])</f>
        <v/>
      </c>
      <c r="J48" s="1" t="str">
        <f>IF(Regcontabilizados[[#This Row],[Eliminado]]="si","",RegContabilizados2[[#This Row],[ESTADO DEL IVA]])</f>
        <v/>
      </c>
      <c r="K48" s="3" t="str">
        <f>IF(Regcontabilizados[[#This Row],[Eliminado]]="si","",RegContabilizados2[[#This Row],[ID Proveedor]])</f>
        <v/>
      </c>
      <c r="L48" s="3" t="str">
        <f>IF(Regcontabilizados[[#This Row],[Eliminado]]="si","",RegContabilizados2[[#This Row],[Concepto]])</f>
        <v/>
      </c>
      <c r="M48" s="3" t="str">
        <f>IF(Regcontabilizados[[#This Row],[Eliminado]]="si","",RegContabilizados2[[#This Row],[Categoría]])</f>
        <v/>
      </c>
      <c r="N48" s="3" t="str">
        <f>IF(Regcontabilizados[[#This Row],[Eliminado]]="si","",RegContabilizados2[[#This Row],[Almacen]])</f>
        <v/>
      </c>
      <c r="O48" s="3" t="str">
        <f>IF(Regcontabilizados[[#This Row],[Eliminado]]="si","",RegContabilizados2[[#This Row],[Tipo de movimiento]])</f>
        <v/>
      </c>
      <c r="P48" s="1" t="str">
        <f>IF(Regcontabilizados[[#This Row],[Eliminado]]="si","",RegContabilizados2[[#This Row],[cantidad]])</f>
        <v/>
      </c>
      <c r="Q48" s="1" t="str">
        <f>IF(Regcontabilizados[[#This Row],[Eliminado]]="si","",RegContabilizados2[[#This Row],[VR unitario]])</f>
        <v/>
      </c>
      <c r="R48" s="1" t="str">
        <f>IF(Regcontabilizados[[#This Row],[Eliminado]]="si","",RegContabilizados2[[#This Row],[Subcuenta]])</f>
        <v/>
      </c>
      <c r="S48" s="1" t="str">
        <f>IF(Regcontabilizados[[#This Row],[Eliminado]]="si","",RegContabilizados2[[#This Row],[Debe]])</f>
        <v/>
      </c>
      <c r="T48" s="1" t="str">
        <f>IF(Regcontabilizados[[#This Row],[Eliminado]]="si","",RegContabilizados2[[#This Row],[Haber]])</f>
        <v/>
      </c>
      <c r="U48" s="1">
        <f>IFERROR((Regcontabilizados[[#This Row],[Debe]]-Regcontabilizados[[#This Row],[Haber]]),0)</f>
        <v>0</v>
      </c>
      <c r="V48" s="1">
        <f>IFERROR((+_xlfn.XLOOKUP(Regcontabilizados[[#This Row],[Subcuenta]],Tabla11[Cuenta],Tabla11[Descripción],0)),0)</f>
        <v>0</v>
      </c>
      <c r="W48" s="1">
        <f>IFERROR((_xlfn.XLOOKUP((VALUE(LEFT(Regcontabilizados[[#This Row],[Subcuenta]],4))),Tabla11[Cuenta],Tabla11[Descripción],0)),0)</f>
        <v>0</v>
      </c>
      <c r="X48" s="1">
        <f>IFERROR((_xlfn.XLOOKUP(Regcontabilizados[[#This Row],[Subcuenta]],Tabla11[Cuenta],Tabla11[Descripción],0)),0)</f>
        <v>0</v>
      </c>
      <c r="Y48" s="1" t="str">
        <f>IF((IFERROR((FIND((_xlfn.XLOOKUP(RegContabilizados2[[#This Row],[Idenficador]],FormtBorrados[formatos borrados],FormtBorrados[formatos borrados],0)),RegContabilizados2[[#This Row],[Idenficador]])),0))=1,"si","no")</f>
        <v>si</v>
      </c>
      <c r="Z48" s="1" t="str">
        <f>_xlfn.XLOOKUP(Regcontabilizados[[#This Row],[Subcuenta]],Tabla11[Cuenta],Tabla11[TIPO],"")</f>
        <v/>
      </c>
      <c r="AA48" s="1" t="str">
        <f>IFERROR((Regcontabilizados[[#This Row],[Subcuenta]]&amp;" "&amp;_xlfn.XLOOKUP(Regcontabilizados[[#This Row],[Subcuenta]],Tabla11[Cuenta],Tabla11[Descripción],0)),0)</f>
        <v xml:space="preserve"> 0</v>
      </c>
      <c r="AB48" s="1">
        <f>IFERROR((VALUE(LEFT(Regcontabilizados[[#This Row],[Subcuenta]],2))&amp;" "&amp;_xlfn.XLOOKUP((VALUE(LEFT(Regcontabilizados[[#This Row],[Subcuenta]],2))),Tabla11[Cuenta],Tabla11[Descripción],0)),0)</f>
        <v>0</v>
      </c>
      <c r="AC48" s="1">
        <f>IFERROR((VALUE(LEFT(Regcontabilizados[[#This Row],[Subcuenta]],4))&amp;" "&amp;_xlfn.XLOOKUP((VALUE(LEFT(Regcontabilizados[[#This Row],[Subcuenta]],4))),Tabla11[Cuenta],Tabla11[Descripción],0)),0)</f>
        <v>0</v>
      </c>
      <c r="AD48" s="1" t="str">
        <f>IF(Regcontabilizados[[#This Row],[Eliminado]]="si","",RegContabilizados2[[#This Row],[Estado de pago]])</f>
        <v/>
      </c>
      <c r="AE48" s="1" t="str">
        <f>IF(Regcontabilizados[[#This Row],[Eliminado]]="si","",RegContabilizados2[[#This Row],[Colum. Aux. Estado]])</f>
        <v/>
      </c>
      <c r="AF48" s="1" t="str">
        <f>IF(Regcontabilizados[[#This Row],[Eliminado]]="si","",RegContabilizados2[[#This Row],[Número de pago]])</f>
        <v/>
      </c>
      <c r="AG48" s="1" t="str">
        <f>IF(Regcontabilizados[[#This Row],[Eliminado]]="si","",RegContabilizados2[[#This Row],[Elaborado por]])</f>
        <v/>
      </c>
      <c r="AH48" s="1" t="str">
        <f>IF(Regcontabilizados[[#This Row],[Eliminado]]="si","",RegContabilizados2[[#This Row],[Notas]])</f>
        <v/>
      </c>
      <c r="AI48" s="1" t="str">
        <f>IF(Regcontabilizados[[#This Row],[Eliminado]]="si","",RegContabilizados2[[#This Row],[Método de pago]])</f>
        <v/>
      </c>
      <c r="AJ48" s="1" t="str">
        <f>IF(Regcontabilizados[[#This Row],[Eliminado]]="si","",RegContabilizados2[[#This Row],[Cta. Bancaria]])</f>
        <v/>
      </c>
      <c r="AO48" s="31">
        <v>46003</v>
      </c>
      <c r="AP48" s="31">
        <v>46003</v>
      </c>
      <c r="AQ48" s="3" t="s">
        <v>1328</v>
      </c>
      <c r="AR48" s="3">
        <v>455441</v>
      </c>
      <c r="AS48" s="1" t="s">
        <v>1090</v>
      </c>
      <c r="AT48" s="1">
        <v>333333</v>
      </c>
      <c r="AV48" s="3" t="s">
        <v>907</v>
      </c>
      <c r="AW48" s="3"/>
      <c r="AX48" s="3"/>
      <c r="AY48" s="3"/>
      <c r="AZ48" s="3"/>
      <c r="BF48" s="1">
        <f>IFERROR((RegContabilizados2[[#This Row],[Debe]]-RegContabilizados2[[#This Row],[Haber]]),0)</f>
        <v>0</v>
      </c>
      <c r="BG48" s="1">
        <f>IFERROR((+_xlfn.XLOOKUP(RegContabilizados2[[#This Row],[Subcuenta]],Tabla11[Cuenta],Tabla11[Descripción],0)),0)</f>
        <v>0</v>
      </c>
      <c r="BH48" s="1">
        <f>IFERROR((VALUE(LEFT(RegContabilizados2[[#This Row],[Subcuenta]],2))&amp;" "&amp;_xlfn.XLOOKUP((VALUE(LEFT(RegContabilizados2[[#This Row],[Subcuenta]],2))),Tabla11[Cuenta],Tabla11[Descripción],0)),0)</f>
        <v>0</v>
      </c>
      <c r="BI48" s="1">
        <f>IFERROR((VALUE(LEFT(RegContabilizados2[[#This Row],[Subcuenta]],4))&amp;" "&amp;_xlfn.XLOOKUP((VALUE(LEFT(RegContabilizados2[[#This Row],[Subcuenta]],4))),Tabla11[Cuenta],Tabla11[Descripción],0)),0)</f>
        <v>0</v>
      </c>
      <c r="BJ48" s="1" t="str">
        <f>IFERROR((RegContabilizados2[[#This Row],[Subcuenta]]&amp;" "&amp;_xlfn.XLOOKUP(RegContabilizados2[[#This Row],[Subcuenta]],Tabla11[Cuenta],Tabla11[Descripción],0)),0)</f>
        <v xml:space="preserve"> 0</v>
      </c>
      <c r="BK48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PAGADO</v>
      </c>
      <c r="BL48" s="1" t="str">
        <f>IFERROR(LEFT(RegContabilizados2[[#This Row],[Idenficador]],SEARCH("-",RegContabilizados2[[#This Row],[Idenficador]])-1),0)</f>
        <v>546565Comp. Egreso455441</v>
      </c>
      <c r="BO48" s="1" t="s">
        <v>1317</v>
      </c>
      <c r="BP48" s="1" t="s">
        <v>868</v>
      </c>
      <c r="BQ48" s="1">
        <v>111005</v>
      </c>
    </row>
    <row r="49" spans="4:69">
      <c r="D49" s="31">
        <f>IF(Regcontabilizados[[#This Row],[Eliminado]]="si","",RegContabilizados2[[#This Row],[fecha Factura]])</f>
        <v>45995</v>
      </c>
      <c r="E49" s="31">
        <f>IF(Regcontabilizados[[#This Row],[Eliminado]]="si","",RegContabilizados2[[#This Row],[Fecha vencimiento]])</f>
        <v>45995</v>
      </c>
      <c r="F49" s="3" t="str">
        <f>IF(Regcontabilizados[[#This Row],[Eliminado]]="si","",RegContabilizados2[[#This Row],[Idenficador]])</f>
        <v>4656566Comp. Ingreso232424-11</v>
      </c>
      <c r="G49" s="3">
        <f>IF(Regcontabilizados[[#This Row],[Eliminado]]="si","",RegContabilizados2[[#This Row],[N° de factura/Pago]])</f>
        <v>232424</v>
      </c>
      <c r="H49" s="1" t="str">
        <f>IF(Regcontabilizados[[#This Row],[Eliminado]]="si","",RegContabilizados2[[#This Row],[Tipo de Factura]])</f>
        <v>Comp. Ingreso</v>
      </c>
      <c r="I49" s="1" t="str">
        <f>IF(Regcontabilizados[[#This Row],[Eliminado]]="si","",RegContabilizados2[[#This Row],[ID Cliente]])</f>
        <v>CLIENTE 1</v>
      </c>
      <c r="J49" s="1">
        <f>IF(Regcontabilizados[[#This Row],[Eliminado]]="si","",RegContabilizados2[[#This Row],[ESTADO DEL IVA]])</f>
        <v>0</v>
      </c>
      <c r="K49" s="3">
        <f>IF(Regcontabilizados[[#This Row],[Eliminado]]="si","",RegContabilizados2[[#This Row],[ID Proveedor]])</f>
        <v>333333</v>
      </c>
      <c r="L49" s="3">
        <f>IF(Regcontabilizados[[#This Row],[Eliminado]]="si","",RegContabilizados2[[#This Row],[Concepto]])</f>
        <v>0</v>
      </c>
      <c r="M49" s="3">
        <f>IF(Regcontabilizados[[#This Row],[Eliminado]]="si","",RegContabilizados2[[#This Row],[Categoría]])</f>
        <v>0</v>
      </c>
      <c r="N49" s="3">
        <f>IF(Regcontabilizados[[#This Row],[Eliminado]]="si","",RegContabilizados2[[#This Row],[Almacen]])</f>
        <v>0</v>
      </c>
      <c r="O49" s="3">
        <f>IF(Regcontabilizados[[#This Row],[Eliminado]]="si","",RegContabilizados2[[#This Row],[Tipo de movimiento]])</f>
        <v>0</v>
      </c>
      <c r="P49" s="1">
        <f>IF(Regcontabilizados[[#This Row],[Eliminado]]="si","",RegContabilizados2[[#This Row],[cantidad]])</f>
        <v>0</v>
      </c>
      <c r="Q49" s="1">
        <f>IF(Regcontabilizados[[#This Row],[Eliminado]]="si","",RegContabilizados2[[#This Row],[VR unitario]])</f>
        <v>0</v>
      </c>
      <c r="R49" s="1">
        <f>IF(Regcontabilizados[[#This Row],[Eliminado]]="si","",RegContabilizados2[[#This Row],[Subcuenta]])</f>
        <v>111005</v>
      </c>
      <c r="S49" s="1">
        <f>IF(Regcontabilizados[[#This Row],[Eliminado]]="si","",RegContabilizados2[[#This Row],[Debe]])</f>
        <v>50000</v>
      </c>
      <c r="T49" s="1">
        <f>IF(Regcontabilizados[[#This Row],[Eliminado]]="si","",RegContabilizados2[[#This Row],[Haber]])</f>
        <v>0</v>
      </c>
      <c r="U49" s="1">
        <f>IFERROR((Regcontabilizados[[#This Row],[Debe]]-Regcontabilizados[[#This Row],[Haber]]),0)</f>
        <v>50000</v>
      </c>
      <c r="V49" s="1" t="str">
        <f>IFERROR((+_xlfn.XLOOKUP(Regcontabilizados[[#This Row],[Subcuenta]],Tabla11[Cuenta],Tabla11[Descripción],0)),0)</f>
        <v>Banco 1</v>
      </c>
      <c r="W49" s="1" t="str">
        <f>IFERROR((_xlfn.XLOOKUP((VALUE(LEFT(Regcontabilizados[[#This Row],[Subcuenta]],4))),Tabla11[Cuenta],Tabla11[Descripción],0)),0)</f>
        <v>BANCOS</v>
      </c>
      <c r="X49" s="1" t="str">
        <f>IFERROR((_xlfn.XLOOKUP(Regcontabilizados[[#This Row],[Subcuenta]],Tabla11[Cuenta],Tabla11[Descripción],0)),0)</f>
        <v>Banco 1</v>
      </c>
      <c r="Y49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49" s="1" t="str">
        <f>_xlfn.XLOOKUP(Regcontabilizados[[#This Row],[Subcuenta]],Tabla11[Cuenta],Tabla11[TIPO],"")</f>
        <v>Activo Corriente</v>
      </c>
      <c r="AA49" s="1" t="str">
        <f>IFERROR((Regcontabilizados[[#This Row],[Subcuenta]]&amp;" "&amp;_xlfn.XLOOKUP(Regcontabilizados[[#This Row],[Subcuenta]],Tabla11[Cuenta],Tabla11[Descripción],0)),0)</f>
        <v>111005 Banco 1</v>
      </c>
      <c r="AB49" s="1" t="str">
        <f>IFERROR((VALUE(LEFT(Regcontabilizados[[#This Row],[Subcuenta]],2))&amp;" "&amp;_xlfn.XLOOKUP((VALUE(LEFT(Regcontabilizados[[#This Row],[Subcuenta]],2))),Tabla11[Cuenta],Tabla11[Descripción],0)),0)</f>
        <v>11 Efectivo y Equivalente al Efectivo</v>
      </c>
      <c r="AC49" s="1" t="str">
        <f>IFERROR((VALUE(LEFT(Regcontabilizados[[#This Row],[Subcuenta]],4))&amp;" "&amp;_xlfn.XLOOKUP((VALUE(LEFT(Regcontabilizados[[#This Row],[Subcuenta]],4))),Tabla11[Cuenta],Tabla11[Descripción],0)),0)</f>
        <v>1110 BANCOS</v>
      </c>
      <c r="AD49" s="1" t="str">
        <f>IF(Regcontabilizados[[#This Row],[Eliminado]]="si","",RegContabilizados2[[#This Row],[Estado de pago]])</f>
        <v>NO PAGADO</v>
      </c>
      <c r="AE49" s="1" t="str">
        <f>IF(Regcontabilizados[[#This Row],[Eliminado]]="si","",RegContabilizados2[[#This Row],[Colum. Aux. Estado]])</f>
        <v>4656566Comp. Ingreso232424</v>
      </c>
      <c r="AF49" s="1">
        <f>IF(Regcontabilizados[[#This Row],[Eliminado]]="si","",RegContabilizados2[[#This Row],[Número de pago]])</f>
        <v>232424</v>
      </c>
      <c r="AG49" s="1">
        <f>IF(Regcontabilizados[[#This Row],[Eliminado]]="si","",RegContabilizados2[[#This Row],[Elaborado por]])</f>
        <v>0</v>
      </c>
      <c r="AH49" s="1" t="str">
        <f>IF(Regcontabilizados[[#This Row],[Eliminado]]="si","",RegContabilizados2[[#This Row],[Notas]])</f>
        <v>Se recaudó el 50% de la fact.</v>
      </c>
      <c r="AI49" s="1" t="str">
        <f>IF(Regcontabilizados[[#This Row],[Eliminado]]="si","",RegContabilizados2[[#This Row],[Método de pago]])</f>
        <v>TRANSFERENCIA</v>
      </c>
      <c r="AJ49" s="1">
        <f>IF(Regcontabilizados[[#This Row],[Eliminado]]="si","",RegContabilizados2[[#This Row],[Cta. Bancaria]])</f>
        <v>111005</v>
      </c>
      <c r="AO49" s="31">
        <v>45995</v>
      </c>
      <c r="AP49" s="31">
        <v>45995</v>
      </c>
      <c r="AQ49" s="3" t="s">
        <v>1299</v>
      </c>
      <c r="AR49" s="3">
        <v>232424</v>
      </c>
      <c r="AS49" s="1" t="s">
        <v>1091</v>
      </c>
      <c r="AT49" s="1" t="s">
        <v>901</v>
      </c>
      <c r="AV49" s="3">
        <v>333333</v>
      </c>
      <c r="AW49" s="3"/>
      <c r="AX49" s="3"/>
      <c r="AY49" s="3"/>
      <c r="AZ49" s="3"/>
      <c r="BC49" s="1">
        <v>111005</v>
      </c>
      <c r="BD49" s="1">
        <v>50000</v>
      </c>
      <c r="BF49" s="1">
        <f>IFERROR((RegContabilizados2[[#This Row],[Debe]]-RegContabilizados2[[#This Row],[Haber]]),0)</f>
        <v>50000</v>
      </c>
      <c r="BG49" s="1" t="str">
        <f>IFERROR((+_xlfn.XLOOKUP(RegContabilizados2[[#This Row],[Subcuenta]],Tabla11[Cuenta],Tabla11[Descripción],0)),0)</f>
        <v>Banco 1</v>
      </c>
      <c r="BH49" s="1" t="str">
        <f>IFERROR((VALUE(LEFT(RegContabilizados2[[#This Row],[Subcuenta]],2))&amp;" "&amp;_xlfn.XLOOKUP((VALUE(LEFT(RegContabilizados2[[#This Row],[Subcuenta]],2))),Tabla11[Cuenta],Tabla11[Descripción],0)),0)</f>
        <v>11 Efectivo y Equivalente al Efectivo</v>
      </c>
      <c r="BI49" s="1" t="str">
        <f>IFERROR((VALUE(LEFT(RegContabilizados2[[#This Row],[Subcuenta]],4))&amp;" "&amp;_xlfn.XLOOKUP((VALUE(LEFT(RegContabilizados2[[#This Row],[Subcuenta]],4))),Tabla11[Cuenta],Tabla11[Descripción],0)),0)</f>
        <v>1110 BANCOS</v>
      </c>
      <c r="BJ49" s="1" t="str">
        <f>IFERROR((RegContabilizados2[[#This Row],[Subcuenta]]&amp;" "&amp;_xlfn.XLOOKUP(RegContabilizados2[[#This Row],[Subcuenta]],Tabla11[Cuenta],Tabla11[Descripción],0)),0)</f>
        <v>111005 Banco 1</v>
      </c>
      <c r="BK49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49" s="1" t="str">
        <f>IFERROR(LEFT(RegContabilizados2[[#This Row],[Idenficador]],SEARCH("-",RegContabilizados2[[#This Row],[Idenficador]])-1),0)</f>
        <v>4656566Comp. Ingreso232424</v>
      </c>
      <c r="BM49" s="1">
        <v>232424</v>
      </c>
      <c r="BO49" s="1" t="s">
        <v>1298</v>
      </c>
      <c r="BP49" s="1" t="s">
        <v>868</v>
      </c>
      <c r="BQ49" s="1">
        <v>111005</v>
      </c>
    </row>
    <row r="50" spans="4:69">
      <c r="D50" s="31">
        <f>IF(Regcontabilizados[[#This Row],[Eliminado]]="si","",RegContabilizados2[[#This Row],[fecha Factura]])</f>
        <v>45995</v>
      </c>
      <c r="E50" s="31">
        <f>IF(Regcontabilizados[[#This Row],[Eliminado]]="si","",RegContabilizados2[[#This Row],[Fecha vencimiento]])</f>
        <v>45995</v>
      </c>
      <c r="F50" s="3" t="str">
        <f>IF(Regcontabilizados[[#This Row],[Eliminado]]="si","",RegContabilizados2[[#This Row],[Idenficador]])</f>
        <v>4656566Comp. Ingreso232424-1</v>
      </c>
      <c r="G50" s="3">
        <f>IF(Regcontabilizados[[#This Row],[Eliminado]]="si","",RegContabilizados2[[#This Row],[N° de factura/Pago]])</f>
        <v>232424</v>
      </c>
      <c r="H50" s="1" t="str">
        <f>IF(Regcontabilizados[[#This Row],[Eliminado]]="si","",RegContabilizados2[[#This Row],[Tipo de Factura]])</f>
        <v>Comp. Ingreso</v>
      </c>
      <c r="I50" s="1" t="str">
        <f>IF(Regcontabilizados[[#This Row],[Eliminado]]="si","",RegContabilizados2[[#This Row],[ID Cliente]])</f>
        <v>CLIENTE 1</v>
      </c>
      <c r="J50" s="1">
        <f>IF(Regcontabilizados[[#This Row],[Eliminado]]="si","",RegContabilizados2[[#This Row],[ESTADO DEL IVA]])</f>
        <v>0</v>
      </c>
      <c r="K50" s="3">
        <f>IF(Regcontabilizados[[#This Row],[Eliminado]]="si","",RegContabilizados2[[#This Row],[ID Proveedor]])</f>
        <v>333333</v>
      </c>
      <c r="L50" s="3">
        <f>IF(Regcontabilizados[[#This Row],[Eliminado]]="si","",RegContabilizados2[[#This Row],[Concepto]])</f>
        <v>0</v>
      </c>
      <c r="M50" s="3">
        <f>IF(Regcontabilizados[[#This Row],[Eliminado]]="si","",RegContabilizados2[[#This Row],[Categoría]])</f>
        <v>0</v>
      </c>
      <c r="N50" s="3">
        <f>IF(Regcontabilizados[[#This Row],[Eliminado]]="si","",RegContabilizados2[[#This Row],[Almacen]])</f>
        <v>0</v>
      </c>
      <c r="O50" s="3">
        <f>IF(Regcontabilizados[[#This Row],[Eliminado]]="si","",RegContabilizados2[[#This Row],[Tipo de movimiento]])</f>
        <v>0</v>
      </c>
      <c r="P50" s="1">
        <f>IF(Regcontabilizados[[#This Row],[Eliminado]]="si","",RegContabilizados2[[#This Row],[cantidad]])</f>
        <v>0</v>
      </c>
      <c r="Q50" s="1">
        <f>IF(Regcontabilizados[[#This Row],[Eliminado]]="si","",RegContabilizados2[[#This Row],[VR unitario]])</f>
        <v>0</v>
      </c>
      <c r="R50" s="1">
        <f>IF(Regcontabilizados[[#This Row],[Eliminado]]="si","",RegContabilizados2[[#This Row],[Subcuenta]])</f>
        <v>130505</v>
      </c>
      <c r="S50" s="1">
        <f>IF(Regcontabilizados[[#This Row],[Eliminado]]="si","",RegContabilizados2[[#This Row],[Debe]])</f>
        <v>0</v>
      </c>
      <c r="T50" s="1">
        <f>IF(Regcontabilizados[[#This Row],[Eliminado]]="si","",RegContabilizados2[[#This Row],[Haber]])</f>
        <v>50000</v>
      </c>
      <c r="U50" s="1">
        <f>IFERROR((Regcontabilizados[[#This Row],[Debe]]-Regcontabilizados[[#This Row],[Haber]]),0)</f>
        <v>-50000</v>
      </c>
      <c r="V50" s="1" t="str">
        <f>IFERROR((+_xlfn.XLOOKUP(Regcontabilizados[[#This Row],[Subcuenta]],Tabla11[Cuenta],Tabla11[Descripción],0)),0)</f>
        <v>Nacionales</v>
      </c>
      <c r="W50" s="1" t="str">
        <f>IFERROR((_xlfn.XLOOKUP((VALUE(LEFT(Regcontabilizados[[#This Row],[Subcuenta]],4))),Tabla11[Cuenta],Tabla11[Descripción],0)),0)</f>
        <v>CLIENTES</v>
      </c>
      <c r="X50" s="1" t="str">
        <f>IFERROR((_xlfn.XLOOKUP(Regcontabilizados[[#This Row],[Subcuenta]],Tabla11[Cuenta],Tabla11[Descripción],0)),0)</f>
        <v>Nacionales</v>
      </c>
      <c r="Y50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50" s="1" t="str">
        <f>_xlfn.XLOOKUP(Regcontabilizados[[#This Row],[Subcuenta]],Tabla11[Cuenta],Tabla11[TIPO],"")</f>
        <v>Activo Corriente</v>
      </c>
      <c r="AA50" s="1" t="str">
        <f>IFERROR((Regcontabilizados[[#This Row],[Subcuenta]]&amp;" "&amp;_xlfn.XLOOKUP(Regcontabilizados[[#This Row],[Subcuenta]],Tabla11[Cuenta],Tabla11[Descripción],0)),0)</f>
        <v>130505 Nacionales</v>
      </c>
      <c r="AB50" s="1" t="str">
        <f>IFERROR((VALUE(LEFT(Regcontabilizados[[#This Row],[Subcuenta]],2))&amp;" "&amp;_xlfn.XLOOKUP((VALUE(LEFT(Regcontabilizados[[#This Row],[Subcuenta]],2))),Tabla11[Cuenta],Tabla11[Descripción],0)),0)</f>
        <v>13 DEUDORES</v>
      </c>
      <c r="AC50" s="1" t="str">
        <f>IFERROR((VALUE(LEFT(Regcontabilizados[[#This Row],[Subcuenta]],4))&amp;" "&amp;_xlfn.XLOOKUP((VALUE(LEFT(Regcontabilizados[[#This Row],[Subcuenta]],4))),Tabla11[Cuenta],Tabla11[Descripción],0)),0)</f>
        <v>1305 CLIENTES</v>
      </c>
      <c r="AD50" s="1" t="str">
        <f>IF(Regcontabilizados[[#This Row],[Eliminado]]="si","",RegContabilizados2[[#This Row],[Estado de pago]])</f>
        <v>NO PAGADO</v>
      </c>
      <c r="AE50" s="1" t="str">
        <f>IF(Regcontabilizados[[#This Row],[Eliminado]]="si","",RegContabilizados2[[#This Row],[Colum. Aux. Estado]])</f>
        <v>4656566Comp. Ingreso232424</v>
      </c>
      <c r="AF50" s="1" t="str">
        <f>IF(Regcontabilizados[[#This Row],[Eliminado]]="si","",RegContabilizados2[[#This Row],[Número de pago]])</f>
        <v>4656566F. V.3</v>
      </c>
      <c r="AG50" s="1">
        <f>IF(Regcontabilizados[[#This Row],[Eliminado]]="si","",RegContabilizados2[[#This Row],[Elaborado por]])</f>
        <v>0</v>
      </c>
      <c r="AH50" s="1" t="str">
        <f>IF(Regcontabilizados[[#This Row],[Eliminado]]="si","",RegContabilizados2[[#This Row],[Notas]])</f>
        <v>Se recaudó el 50% de la fact.</v>
      </c>
      <c r="AI50" s="1" t="str">
        <f>IF(Regcontabilizados[[#This Row],[Eliminado]]="si","",RegContabilizados2[[#This Row],[Método de pago]])</f>
        <v>TRANSFERENCIA</v>
      </c>
      <c r="AJ50" s="1">
        <f>IF(Regcontabilizados[[#This Row],[Eliminado]]="si","",RegContabilizados2[[#This Row],[Cta. Bancaria]])</f>
        <v>111005</v>
      </c>
      <c r="AO50" s="31">
        <v>45995</v>
      </c>
      <c r="AP50" s="31">
        <v>45995</v>
      </c>
      <c r="AQ50" s="3" t="s">
        <v>1300</v>
      </c>
      <c r="AR50" s="3">
        <v>232424</v>
      </c>
      <c r="AS50" s="1" t="s">
        <v>1091</v>
      </c>
      <c r="AT50" s="1" t="s">
        <v>901</v>
      </c>
      <c r="AV50" s="3">
        <v>333333</v>
      </c>
      <c r="AW50" s="3"/>
      <c r="AX50" s="3"/>
      <c r="AY50" s="3"/>
      <c r="AZ50" s="3"/>
      <c r="BC50" s="1">
        <v>130505</v>
      </c>
      <c r="BE50" s="1">
        <v>50000</v>
      </c>
      <c r="BF50" s="1">
        <f>IFERROR((RegContabilizados2[[#This Row],[Debe]]-RegContabilizados2[[#This Row],[Haber]]),0)</f>
        <v>-50000</v>
      </c>
      <c r="BG50" s="1" t="str">
        <f>IFERROR((+_xlfn.XLOOKUP(RegContabilizados2[[#This Row],[Subcuenta]],Tabla11[Cuenta],Tabla11[Descripción],0)),0)</f>
        <v>Nacionales</v>
      </c>
      <c r="BH50" s="1" t="str">
        <f>IFERROR((VALUE(LEFT(RegContabilizados2[[#This Row],[Subcuenta]],2))&amp;" "&amp;_xlfn.XLOOKUP((VALUE(LEFT(RegContabilizados2[[#This Row],[Subcuenta]],2))),Tabla11[Cuenta],Tabla11[Descripción],0)),0)</f>
        <v>13 DEUDORES</v>
      </c>
      <c r="BI50" s="1" t="str">
        <f>IFERROR((VALUE(LEFT(RegContabilizados2[[#This Row],[Subcuenta]],4))&amp;" "&amp;_xlfn.XLOOKUP((VALUE(LEFT(RegContabilizados2[[#This Row],[Subcuenta]],4))),Tabla11[Cuenta],Tabla11[Descripción],0)),0)</f>
        <v>1305 CLIENTES</v>
      </c>
      <c r="BJ50" s="1" t="str">
        <f>IFERROR((RegContabilizados2[[#This Row],[Subcuenta]]&amp;" "&amp;_xlfn.XLOOKUP(RegContabilizados2[[#This Row],[Subcuenta]],Tabla11[Cuenta],Tabla11[Descripción],0)),0)</f>
        <v>130505 Nacionales</v>
      </c>
      <c r="BK50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50" s="1" t="str">
        <f>IFERROR(LEFT(RegContabilizados2[[#This Row],[Idenficador]],SEARCH("-",RegContabilizados2[[#This Row],[Idenficador]])-1),0)</f>
        <v>4656566Comp. Ingreso232424</v>
      </c>
      <c r="BM50" s="1" t="s">
        <v>1314</v>
      </c>
      <c r="BO50" s="1" t="s">
        <v>1298</v>
      </c>
      <c r="BP50" s="1" t="s">
        <v>868</v>
      </c>
      <c r="BQ50" s="1">
        <v>111005</v>
      </c>
    </row>
    <row r="51" spans="4:69">
      <c r="D51" s="31">
        <f>IF(Regcontabilizados[[#This Row],[Eliminado]]="si","",RegContabilizados2[[#This Row],[fecha Factura]])</f>
        <v>45995</v>
      </c>
      <c r="E51" s="31">
        <f>IF(Regcontabilizados[[#This Row],[Eliminado]]="si","",RegContabilizados2[[#This Row],[Fecha vencimiento]])</f>
        <v>45995</v>
      </c>
      <c r="F51" s="3" t="str">
        <f>IF(Regcontabilizados[[#This Row],[Eliminado]]="si","",RegContabilizados2[[#This Row],[Idenficador]])</f>
        <v>4656566Comp. Ingreso232424-2</v>
      </c>
      <c r="G51" s="3">
        <f>IF(Regcontabilizados[[#This Row],[Eliminado]]="si","",RegContabilizados2[[#This Row],[N° de factura/Pago]])</f>
        <v>232424</v>
      </c>
      <c r="H51" s="1" t="str">
        <f>IF(Regcontabilizados[[#This Row],[Eliminado]]="si","",RegContabilizados2[[#This Row],[Tipo de Factura]])</f>
        <v>Comp. Ingreso</v>
      </c>
      <c r="I51" s="1" t="str">
        <f>IF(Regcontabilizados[[#This Row],[Eliminado]]="si","",RegContabilizados2[[#This Row],[ID Cliente]])</f>
        <v>CLIENTE 1</v>
      </c>
      <c r="J51" s="1">
        <f>IF(Regcontabilizados[[#This Row],[Eliminado]]="si","",RegContabilizados2[[#This Row],[ESTADO DEL IVA]])</f>
        <v>0</v>
      </c>
      <c r="K51" s="3">
        <f>IF(Regcontabilizados[[#This Row],[Eliminado]]="si","",RegContabilizados2[[#This Row],[ID Proveedor]])</f>
        <v>333333</v>
      </c>
      <c r="L51" s="3">
        <f>IF(Regcontabilizados[[#This Row],[Eliminado]]="si","",RegContabilizados2[[#This Row],[Concepto]])</f>
        <v>0</v>
      </c>
      <c r="M51" s="3">
        <f>IF(Regcontabilizados[[#This Row],[Eliminado]]="si","",RegContabilizados2[[#This Row],[Categoría]])</f>
        <v>0</v>
      </c>
      <c r="N51" s="3">
        <f>IF(Regcontabilizados[[#This Row],[Eliminado]]="si","",RegContabilizados2[[#This Row],[Almacen]])</f>
        <v>0</v>
      </c>
      <c r="O51" s="3">
        <f>IF(Regcontabilizados[[#This Row],[Eliminado]]="si","",RegContabilizados2[[#This Row],[Tipo de movimiento]])</f>
        <v>0</v>
      </c>
      <c r="P51" s="1">
        <f>IF(Regcontabilizados[[#This Row],[Eliminado]]="si","",RegContabilizados2[[#This Row],[cantidad]])</f>
        <v>0</v>
      </c>
      <c r="Q51" s="1">
        <f>IF(Regcontabilizados[[#This Row],[Eliminado]]="si","",RegContabilizados2[[#This Row],[VR unitario]])</f>
        <v>0</v>
      </c>
      <c r="R51" s="1">
        <f>IF(Regcontabilizados[[#This Row],[Eliminado]]="si","",RegContabilizados2[[#This Row],[Subcuenta]])</f>
        <v>0</v>
      </c>
      <c r="S51" s="1">
        <f>IF(Regcontabilizados[[#This Row],[Eliminado]]="si","",RegContabilizados2[[#This Row],[Debe]])</f>
        <v>0</v>
      </c>
      <c r="T51" s="1">
        <f>IF(Regcontabilizados[[#This Row],[Eliminado]]="si","",RegContabilizados2[[#This Row],[Haber]])</f>
        <v>0</v>
      </c>
      <c r="U51" s="1">
        <f>IFERROR((Regcontabilizados[[#This Row],[Debe]]-Regcontabilizados[[#This Row],[Haber]]),0)</f>
        <v>0</v>
      </c>
      <c r="V51" s="1">
        <f>IFERROR((+_xlfn.XLOOKUP(Regcontabilizados[[#This Row],[Subcuenta]],Tabla11[Cuenta],Tabla11[Descripción],0)),0)</f>
        <v>0</v>
      </c>
      <c r="W51" s="1">
        <f>IFERROR((_xlfn.XLOOKUP((VALUE(LEFT(Regcontabilizados[[#This Row],[Subcuenta]],4))),Tabla11[Cuenta],Tabla11[Descripción],0)),0)</f>
        <v>0</v>
      </c>
      <c r="X51" s="1">
        <f>IFERROR((_xlfn.XLOOKUP(Regcontabilizados[[#This Row],[Subcuenta]],Tabla11[Cuenta],Tabla11[Descripción],0)),0)</f>
        <v>0</v>
      </c>
      <c r="Y51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51" s="1" t="str">
        <f>_xlfn.XLOOKUP(Regcontabilizados[[#This Row],[Subcuenta]],Tabla11[Cuenta],Tabla11[TIPO],"")</f>
        <v/>
      </c>
      <c r="AA51" s="1" t="str">
        <f>IFERROR((Regcontabilizados[[#This Row],[Subcuenta]]&amp;" "&amp;_xlfn.XLOOKUP(Regcontabilizados[[#This Row],[Subcuenta]],Tabla11[Cuenta],Tabla11[Descripción],0)),0)</f>
        <v>0 0</v>
      </c>
      <c r="AB51" s="1" t="str">
        <f>IFERROR((VALUE(LEFT(Regcontabilizados[[#This Row],[Subcuenta]],2))&amp;" "&amp;_xlfn.XLOOKUP((VALUE(LEFT(Regcontabilizados[[#This Row],[Subcuenta]],2))),Tabla11[Cuenta],Tabla11[Descripción],0)),0)</f>
        <v>0 0</v>
      </c>
      <c r="AC51" s="1" t="str">
        <f>IFERROR((VALUE(LEFT(Regcontabilizados[[#This Row],[Subcuenta]],4))&amp;" "&amp;_xlfn.XLOOKUP((VALUE(LEFT(Regcontabilizados[[#This Row],[Subcuenta]],4))),Tabla11[Cuenta],Tabla11[Descripción],0)),0)</f>
        <v>0 0</v>
      </c>
      <c r="AD51" s="1" t="str">
        <f>IF(Regcontabilizados[[#This Row],[Eliminado]]="si","",RegContabilizados2[[#This Row],[Estado de pago]])</f>
        <v>NO PAGADO</v>
      </c>
      <c r="AE51" s="1" t="str">
        <f>IF(Regcontabilizados[[#This Row],[Eliminado]]="si","",RegContabilizados2[[#This Row],[Colum. Aux. Estado]])</f>
        <v>4656566Comp. Ingreso232424</v>
      </c>
      <c r="AF51" s="1">
        <f>IF(Regcontabilizados[[#This Row],[Eliminado]]="si","",RegContabilizados2[[#This Row],[Número de pago]])</f>
        <v>0</v>
      </c>
      <c r="AG51" s="1">
        <f>IF(Regcontabilizados[[#This Row],[Eliminado]]="si","",RegContabilizados2[[#This Row],[Elaborado por]])</f>
        <v>0</v>
      </c>
      <c r="AH51" s="1" t="str">
        <f>IF(Regcontabilizados[[#This Row],[Eliminado]]="si","",RegContabilizados2[[#This Row],[Notas]])</f>
        <v>Se recaudó el 50% de la fact.</v>
      </c>
      <c r="AI51" s="1" t="str">
        <f>IF(Regcontabilizados[[#This Row],[Eliminado]]="si","",RegContabilizados2[[#This Row],[Método de pago]])</f>
        <v>TRANSFERENCIA</v>
      </c>
      <c r="AJ51" s="1">
        <f>IF(Regcontabilizados[[#This Row],[Eliminado]]="si","",RegContabilizados2[[#This Row],[Cta. Bancaria]])</f>
        <v>111005</v>
      </c>
      <c r="AO51" s="31">
        <v>45995</v>
      </c>
      <c r="AP51" s="31">
        <v>45995</v>
      </c>
      <c r="AQ51" s="3" t="s">
        <v>1301</v>
      </c>
      <c r="AR51" s="3">
        <v>232424</v>
      </c>
      <c r="AS51" s="1" t="s">
        <v>1091</v>
      </c>
      <c r="AT51" s="1" t="s">
        <v>901</v>
      </c>
      <c r="AV51" s="3">
        <v>333333</v>
      </c>
      <c r="AW51" s="3"/>
      <c r="AX51" s="3"/>
      <c r="AY51" s="3"/>
      <c r="AZ51" s="3"/>
      <c r="BF51" s="1">
        <f>IFERROR((RegContabilizados2[[#This Row],[Debe]]-RegContabilizados2[[#This Row],[Haber]]),0)</f>
        <v>0</v>
      </c>
      <c r="BG51" s="1">
        <f>IFERROR((+_xlfn.XLOOKUP(RegContabilizados2[[#This Row],[Subcuenta]],Tabla11[Cuenta],Tabla11[Descripción],0)),0)</f>
        <v>0</v>
      </c>
      <c r="BH51" s="1">
        <f>IFERROR((VALUE(LEFT(RegContabilizados2[[#This Row],[Subcuenta]],2))&amp;" "&amp;_xlfn.XLOOKUP((VALUE(LEFT(RegContabilizados2[[#This Row],[Subcuenta]],2))),Tabla11[Cuenta],Tabla11[Descripción],0)),0)</f>
        <v>0</v>
      </c>
      <c r="BI51" s="1">
        <f>IFERROR((VALUE(LEFT(RegContabilizados2[[#This Row],[Subcuenta]],4))&amp;" "&amp;_xlfn.XLOOKUP((VALUE(LEFT(RegContabilizados2[[#This Row],[Subcuenta]],4))),Tabla11[Cuenta],Tabla11[Descripción],0)),0)</f>
        <v>0</v>
      </c>
      <c r="BJ51" s="1" t="str">
        <f>IFERROR((RegContabilizados2[[#This Row],[Subcuenta]]&amp;" "&amp;_xlfn.XLOOKUP(RegContabilizados2[[#This Row],[Subcuenta]],Tabla11[Cuenta],Tabla11[Descripción],0)),0)</f>
        <v xml:space="preserve"> 0</v>
      </c>
      <c r="BK51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51" s="1" t="str">
        <f>IFERROR(LEFT(RegContabilizados2[[#This Row],[Idenficador]],SEARCH("-",RegContabilizados2[[#This Row],[Idenficador]])-1),0)</f>
        <v>4656566Comp. Ingreso232424</v>
      </c>
      <c r="BO51" s="1" t="s">
        <v>1298</v>
      </c>
      <c r="BP51" s="1" t="s">
        <v>868</v>
      </c>
      <c r="BQ51" s="1">
        <v>111005</v>
      </c>
    </row>
    <row r="52" spans="4:69">
      <c r="D52" s="31">
        <f>IF(Regcontabilizados[[#This Row],[Eliminado]]="si","",RegContabilizados2[[#This Row],[fecha Factura]])</f>
        <v>45995</v>
      </c>
      <c r="E52" s="31">
        <f>IF(Regcontabilizados[[#This Row],[Eliminado]]="si","",RegContabilizados2[[#This Row],[Fecha vencimiento]])</f>
        <v>45995</v>
      </c>
      <c r="F52" s="3" t="str">
        <f>IF(Regcontabilizados[[#This Row],[Eliminado]]="si","",RegContabilizados2[[#This Row],[Idenficador]])</f>
        <v>4656566Comp. Ingreso232424-3</v>
      </c>
      <c r="G52" s="3">
        <f>IF(Regcontabilizados[[#This Row],[Eliminado]]="si","",RegContabilizados2[[#This Row],[N° de factura/Pago]])</f>
        <v>232424</v>
      </c>
      <c r="H52" s="1" t="str">
        <f>IF(Regcontabilizados[[#This Row],[Eliminado]]="si","",RegContabilizados2[[#This Row],[Tipo de Factura]])</f>
        <v>Comp. Ingreso</v>
      </c>
      <c r="I52" s="1" t="str">
        <f>IF(Regcontabilizados[[#This Row],[Eliminado]]="si","",RegContabilizados2[[#This Row],[ID Cliente]])</f>
        <v>CLIENTE 1</v>
      </c>
      <c r="J52" s="1">
        <f>IF(Regcontabilizados[[#This Row],[Eliminado]]="si","",RegContabilizados2[[#This Row],[ESTADO DEL IVA]])</f>
        <v>0</v>
      </c>
      <c r="K52" s="3">
        <f>IF(Regcontabilizados[[#This Row],[Eliminado]]="si","",RegContabilizados2[[#This Row],[ID Proveedor]])</f>
        <v>333333</v>
      </c>
      <c r="L52" s="3">
        <f>IF(Regcontabilizados[[#This Row],[Eliminado]]="si","",RegContabilizados2[[#This Row],[Concepto]])</f>
        <v>0</v>
      </c>
      <c r="M52" s="3">
        <f>IF(Regcontabilizados[[#This Row],[Eliminado]]="si","",RegContabilizados2[[#This Row],[Categoría]])</f>
        <v>0</v>
      </c>
      <c r="N52" s="3">
        <f>IF(Regcontabilizados[[#This Row],[Eliminado]]="si","",RegContabilizados2[[#This Row],[Almacen]])</f>
        <v>0</v>
      </c>
      <c r="O52" s="3">
        <f>IF(Regcontabilizados[[#This Row],[Eliminado]]="si","",RegContabilizados2[[#This Row],[Tipo de movimiento]])</f>
        <v>0</v>
      </c>
      <c r="P52" s="1">
        <f>IF(Regcontabilizados[[#This Row],[Eliminado]]="si","",RegContabilizados2[[#This Row],[cantidad]])</f>
        <v>0</v>
      </c>
      <c r="Q52" s="1">
        <f>IF(Regcontabilizados[[#This Row],[Eliminado]]="si","",RegContabilizados2[[#This Row],[VR unitario]])</f>
        <v>0</v>
      </c>
      <c r="R52" s="1">
        <f>IF(Regcontabilizados[[#This Row],[Eliminado]]="si","",RegContabilizados2[[#This Row],[Subcuenta]])</f>
        <v>0</v>
      </c>
      <c r="S52" s="1">
        <f>IF(Regcontabilizados[[#This Row],[Eliminado]]="si","",RegContabilizados2[[#This Row],[Debe]])</f>
        <v>0</v>
      </c>
      <c r="T52" s="1">
        <f>IF(Regcontabilizados[[#This Row],[Eliminado]]="si","",RegContabilizados2[[#This Row],[Haber]])</f>
        <v>0</v>
      </c>
      <c r="U52" s="1">
        <f>IFERROR((Regcontabilizados[[#This Row],[Debe]]-Regcontabilizados[[#This Row],[Haber]]),0)</f>
        <v>0</v>
      </c>
      <c r="V52" s="1">
        <f>IFERROR((+_xlfn.XLOOKUP(Regcontabilizados[[#This Row],[Subcuenta]],Tabla11[Cuenta],Tabla11[Descripción],0)),0)</f>
        <v>0</v>
      </c>
      <c r="W52" s="1">
        <f>IFERROR((_xlfn.XLOOKUP((VALUE(LEFT(Regcontabilizados[[#This Row],[Subcuenta]],4))),Tabla11[Cuenta],Tabla11[Descripción],0)),0)</f>
        <v>0</v>
      </c>
      <c r="X52" s="1">
        <f>IFERROR((_xlfn.XLOOKUP(Regcontabilizados[[#This Row],[Subcuenta]],Tabla11[Cuenta],Tabla11[Descripción],0)),0)</f>
        <v>0</v>
      </c>
      <c r="Y52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52" s="1" t="str">
        <f>_xlfn.XLOOKUP(Regcontabilizados[[#This Row],[Subcuenta]],Tabla11[Cuenta],Tabla11[TIPO],"")</f>
        <v/>
      </c>
      <c r="AA52" s="1" t="str">
        <f>IFERROR((Regcontabilizados[[#This Row],[Subcuenta]]&amp;" "&amp;_xlfn.XLOOKUP(Regcontabilizados[[#This Row],[Subcuenta]],Tabla11[Cuenta],Tabla11[Descripción],0)),0)</f>
        <v>0 0</v>
      </c>
      <c r="AB52" s="1" t="str">
        <f>IFERROR((VALUE(LEFT(Regcontabilizados[[#This Row],[Subcuenta]],2))&amp;" "&amp;_xlfn.XLOOKUP((VALUE(LEFT(Regcontabilizados[[#This Row],[Subcuenta]],2))),Tabla11[Cuenta],Tabla11[Descripción],0)),0)</f>
        <v>0 0</v>
      </c>
      <c r="AC52" s="1" t="str">
        <f>IFERROR((VALUE(LEFT(Regcontabilizados[[#This Row],[Subcuenta]],4))&amp;" "&amp;_xlfn.XLOOKUP((VALUE(LEFT(Regcontabilizados[[#This Row],[Subcuenta]],4))),Tabla11[Cuenta],Tabla11[Descripción],0)),0)</f>
        <v>0 0</v>
      </c>
      <c r="AD52" s="1" t="str">
        <f>IF(Regcontabilizados[[#This Row],[Eliminado]]="si","",RegContabilizados2[[#This Row],[Estado de pago]])</f>
        <v>NO PAGADO</v>
      </c>
      <c r="AE52" s="1" t="str">
        <f>IF(Regcontabilizados[[#This Row],[Eliminado]]="si","",RegContabilizados2[[#This Row],[Colum. Aux. Estado]])</f>
        <v>4656566Comp. Ingreso232424</v>
      </c>
      <c r="AF52" s="1">
        <f>IF(Regcontabilizados[[#This Row],[Eliminado]]="si","",RegContabilizados2[[#This Row],[Número de pago]])</f>
        <v>0</v>
      </c>
      <c r="AG52" s="1">
        <f>IF(Regcontabilizados[[#This Row],[Eliminado]]="si","",RegContabilizados2[[#This Row],[Elaborado por]])</f>
        <v>0</v>
      </c>
      <c r="AH52" s="1" t="str">
        <f>IF(Regcontabilizados[[#This Row],[Eliminado]]="si","",RegContabilizados2[[#This Row],[Notas]])</f>
        <v>Se recaudó el 50% de la fact.</v>
      </c>
      <c r="AI52" s="1" t="str">
        <f>IF(Regcontabilizados[[#This Row],[Eliminado]]="si","",RegContabilizados2[[#This Row],[Método de pago]])</f>
        <v>TRANSFERENCIA</v>
      </c>
      <c r="AJ52" s="1">
        <f>IF(Regcontabilizados[[#This Row],[Eliminado]]="si","",RegContabilizados2[[#This Row],[Cta. Bancaria]])</f>
        <v>111005</v>
      </c>
      <c r="AO52" s="31">
        <v>45995</v>
      </c>
      <c r="AP52" s="31">
        <v>45995</v>
      </c>
      <c r="AQ52" s="3" t="s">
        <v>1302</v>
      </c>
      <c r="AR52" s="3">
        <v>232424</v>
      </c>
      <c r="AS52" s="1" t="s">
        <v>1091</v>
      </c>
      <c r="AT52" s="1" t="s">
        <v>901</v>
      </c>
      <c r="AV52" s="3">
        <v>333333</v>
      </c>
      <c r="AW52" s="3"/>
      <c r="AX52" s="3"/>
      <c r="AY52" s="3"/>
      <c r="AZ52" s="3"/>
      <c r="BF52" s="1">
        <f>IFERROR((RegContabilizados2[[#This Row],[Debe]]-RegContabilizados2[[#This Row],[Haber]]),0)</f>
        <v>0</v>
      </c>
      <c r="BG52" s="1">
        <f>IFERROR((+_xlfn.XLOOKUP(RegContabilizados2[[#This Row],[Subcuenta]],Tabla11[Cuenta],Tabla11[Descripción],0)),0)</f>
        <v>0</v>
      </c>
      <c r="BH52" s="1">
        <f>IFERROR((VALUE(LEFT(RegContabilizados2[[#This Row],[Subcuenta]],2))&amp;" "&amp;_xlfn.XLOOKUP((VALUE(LEFT(RegContabilizados2[[#This Row],[Subcuenta]],2))),Tabla11[Cuenta],Tabla11[Descripción],0)),0)</f>
        <v>0</v>
      </c>
      <c r="BI52" s="1">
        <f>IFERROR((VALUE(LEFT(RegContabilizados2[[#This Row],[Subcuenta]],4))&amp;" "&amp;_xlfn.XLOOKUP((VALUE(LEFT(RegContabilizados2[[#This Row],[Subcuenta]],4))),Tabla11[Cuenta],Tabla11[Descripción],0)),0)</f>
        <v>0</v>
      </c>
      <c r="BJ52" s="1" t="str">
        <f>IFERROR((RegContabilizados2[[#This Row],[Subcuenta]]&amp;" "&amp;_xlfn.XLOOKUP(RegContabilizados2[[#This Row],[Subcuenta]],Tabla11[Cuenta],Tabla11[Descripción],0)),0)</f>
        <v xml:space="preserve"> 0</v>
      </c>
      <c r="BK52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52" s="1" t="str">
        <f>IFERROR(LEFT(RegContabilizados2[[#This Row],[Idenficador]],SEARCH("-",RegContabilizados2[[#This Row],[Idenficador]])-1),0)</f>
        <v>4656566Comp. Ingreso232424</v>
      </c>
      <c r="BO52" s="1" t="s">
        <v>1298</v>
      </c>
      <c r="BP52" s="1" t="s">
        <v>868</v>
      </c>
      <c r="BQ52" s="1">
        <v>111005</v>
      </c>
    </row>
    <row r="53" spans="4:69">
      <c r="D53" s="31">
        <f>IF(Regcontabilizados[[#This Row],[Eliminado]]="si","",RegContabilizados2[[#This Row],[fecha Factura]])</f>
        <v>45995</v>
      </c>
      <c r="E53" s="31">
        <f>IF(Regcontabilizados[[#This Row],[Eliminado]]="si","",RegContabilizados2[[#This Row],[Fecha vencimiento]])</f>
        <v>45995</v>
      </c>
      <c r="F53" s="3" t="str">
        <f>IF(Regcontabilizados[[#This Row],[Eliminado]]="si","",RegContabilizados2[[#This Row],[Idenficador]])</f>
        <v>4656566Comp. Ingreso232424-4</v>
      </c>
      <c r="G53" s="3">
        <f>IF(Regcontabilizados[[#This Row],[Eliminado]]="si","",RegContabilizados2[[#This Row],[N° de factura/Pago]])</f>
        <v>232424</v>
      </c>
      <c r="H53" s="1" t="str">
        <f>IF(Regcontabilizados[[#This Row],[Eliminado]]="si","",RegContabilizados2[[#This Row],[Tipo de Factura]])</f>
        <v>Comp. Ingreso</v>
      </c>
      <c r="I53" s="1" t="str">
        <f>IF(Regcontabilizados[[#This Row],[Eliminado]]="si","",RegContabilizados2[[#This Row],[ID Cliente]])</f>
        <v>CLIENTE 1</v>
      </c>
      <c r="J53" s="1">
        <f>IF(Regcontabilizados[[#This Row],[Eliminado]]="si","",RegContabilizados2[[#This Row],[ESTADO DEL IVA]])</f>
        <v>0</v>
      </c>
      <c r="K53" s="3">
        <f>IF(Regcontabilizados[[#This Row],[Eliminado]]="si","",RegContabilizados2[[#This Row],[ID Proveedor]])</f>
        <v>333333</v>
      </c>
      <c r="L53" s="3">
        <f>IF(Regcontabilizados[[#This Row],[Eliminado]]="si","",RegContabilizados2[[#This Row],[Concepto]])</f>
        <v>0</v>
      </c>
      <c r="M53" s="3">
        <f>IF(Regcontabilizados[[#This Row],[Eliminado]]="si","",RegContabilizados2[[#This Row],[Categoría]])</f>
        <v>0</v>
      </c>
      <c r="N53" s="3">
        <f>IF(Regcontabilizados[[#This Row],[Eliminado]]="si","",RegContabilizados2[[#This Row],[Almacen]])</f>
        <v>0</v>
      </c>
      <c r="O53" s="3">
        <f>IF(Regcontabilizados[[#This Row],[Eliminado]]="si","",RegContabilizados2[[#This Row],[Tipo de movimiento]])</f>
        <v>0</v>
      </c>
      <c r="P53" s="1">
        <f>IF(Regcontabilizados[[#This Row],[Eliminado]]="si","",RegContabilizados2[[#This Row],[cantidad]])</f>
        <v>0</v>
      </c>
      <c r="Q53" s="1">
        <f>IF(Regcontabilizados[[#This Row],[Eliminado]]="si","",RegContabilizados2[[#This Row],[VR unitario]])</f>
        <v>0</v>
      </c>
      <c r="R53" s="1">
        <f>IF(Regcontabilizados[[#This Row],[Eliminado]]="si","",RegContabilizados2[[#This Row],[Subcuenta]])</f>
        <v>0</v>
      </c>
      <c r="S53" s="1">
        <f>IF(Regcontabilizados[[#This Row],[Eliminado]]="si","",RegContabilizados2[[#This Row],[Debe]])</f>
        <v>0</v>
      </c>
      <c r="T53" s="1">
        <f>IF(Regcontabilizados[[#This Row],[Eliminado]]="si","",RegContabilizados2[[#This Row],[Haber]])</f>
        <v>0</v>
      </c>
      <c r="U53" s="1">
        <f>IFERROR((Regcontabilizados[[#This Row],[Debe]]-Regcontabilizados[[#This Row],[Haber]]),0)</f>
        <v>0</v>
      </c>
      <c r="V53" s="1">
        <f>IFERROR((+_xlfn.XLOOKUP(Regcontabilizados[[#This Row],[Subcuenta]],Tabla11[Cuenta],Tabla11[Descripción],0)),0)</f>
        <v>0</v>
      </c>
      <c r="W53" s="1">
        <f>IFERROR((_xlfn.XLOOKUP((VALUE(LEFT(Regcontabilizados[[#This Row],[Subcuenta]],4))),Tabla11[Cuenta],Tabla11[Descripción],0)),0)</f>
        <v>0</v>
      </c>
      <c r="X53" s="1">
        <f>IFERROR((_xlfn.XLOOKUP(Regcontabilizados[[#This Row],[Subcuenta]],Tabla11[Cuenta],Tabla11[Descripción],0)),0)</f>
        <v>0</v>
      </c>
      <c r="Y53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53" s="1" t="str">
        <f>_xlfn.XLOOKUP(Regcontabilizados[[#This Row],[Subcuenta]],Tabla11[Cuenta],Tabla11[TIPO],"")</f>
        <v/>
      </c>
      <c r="AA53" s="1" t="str">
        <f>IFERROR((Regcontabilizados[[#This Row],[Subcuenta]]&amp;" "&amp;_xlfn.XLOOKUP(Regcontabilizados[[#This Row],[Subcuenta]],Tabla11[Cuenta],Tabla11[Descripción],0)),0)</f>
        <v>0 0</v>
      </c>
      <c r="AB53" s="1" t="str">
        <f>IFERROR((VALUE(LEFT(Regcontabilizados[[#This Row],[Subcuenta]],2))&amp;" "&amp;_xlfn.XLOOKUP((VALUE(LEFT(Regcontabilizados[[#This Row],[Subcuenta]],2))),Tabla11[Cuenta],Tabla11[Descripción],0)),0)</f>
        <v>0 0</v>
      </c>
      <c r="AC53" s="1" t="str">
        <f>IFERROR((VALUE(LEFT(Regcontabilizados[[#This Row],[Subcuenta]],4))&amp;" "&amp;_xlfn.XLOOKUP((VALUE(LEFT(Regcontabilizados[[#This Row],[Subcuenta]],4))),Tabla11[Cuenta],Tabla11[Descripción],0)),0)</f>
        <v>0 0</v>
      </c>
      <c r="AD53" s="1" t="str">
        <f>IF(Regcontabilizados[[#This Row],[Eliminado]]="si","",RegContabilizados2[[#This Row],[Estado de pago]])</f>
        <v>NO PAGADO</v>
      </c>
      <c r="AE53" s="1" t="str">
        <f>IF(Regcontabilizados[[#This Row],[Eliminado]]="si","",RegContabilizados2[[#This Row],[Colum. Aux. Estado]])</f>
        <v>4656566Comp. Ingreso232424</v>
      </c>
      <c r="AF53" s="1">
        <f>IF(Regcontabilizados[[#This Row],[Eliminado]]="si","",RegContabilizados2[[#This Row],[Número de pago]])</f>
        <v>0</v>
      </c>
      <c r="AG53" s="1">
        <f>IF(Regcontabilizados[[#This Row],[Eliminado]]="si","",RegContabilizados2[[#This Row],[Elaborado por]])</f>
        <v>0</v>
      </c>
      <c r="AH53" s="1" t="str">
        <f>IF(Regcontabilizados[[#This Row],[Eliminado]]="si","",RegContabilizados2[[#This Row],[Notas]])</f>
        <v>Se recaudó el 50% de la fact.</v>
      </c>
      <c r="AI53" s="1" t="str">
        <f>IF(Regcontabilizados[[#This Row],[Eliminado]]="si","",RegContabilizados2[[#This Row],[Método de pago]])</f>
        <v>TRANSFERENCIA</v>
      </c>
      <c r="AJ53" s="1">
        <f>IF(Regcontabilizados[[#This Row],[Eliminado]]="si","",RegContabilizados2[[#This Row],[Cta. Bancaria]])</f>
        <v>111005</v>
      </c>
      <c r="AO53" s="31">
        <v>45995</v>
      </c>
      <c r="AP53" s="31">
        <v>45995</v>
      </c>
      <c r="AQ53" s="3" t="s">
        <v>1303</v>
      </c>
      <c r="AR53" s="3">
        <v>232424</v>
      </c>
      <c r="AS53" s="1" t="s">
        <v>1091</v>
      </c>
      <c r="AT53" s="1" t="s">
        <v>901</v>
      </c>
      <c r="AV53" s="3">
        <v>333333</v>
      </c>
      <c r="AW53" s="3"/>
      <c r="AX53" s="3"/>
      <c r="AY53" s="3"/>
      <c r="AZ53" s="3"/>
      <c r="BF53" s="1">
        <f>IFERROR((RegContabilizados2[[#This Row],[Debe]]-RegContabilizados2[[#This Row],[Haber]]),0)</f>
        <v>0</v>
      </c>
      <c r="BG53" s="1">
        <f>IFERROR((+_xlfn.XLOOKUP(RegContabilizados2[[#This Row],[Subcuenta]],Tabla11[Cuenta],Tabla11[Descripción],0)),0)</f>
        <v>0</v>
      </c>
      <c r="BH53" s="1">
        <f>IFERROR((VALUE(LEFT(RegContabilizados2[[#This Row],[Subcuenta]],2))&amp;" "&amp;_xlfn.XLOOKUP((VALUE(LEFT(RegContabilizados2[[#This Row],[Subcuenta]],2))),Tabla11[Cuenta],Tabla11[Descripción],0)),0)</f>
        <v>0</v>
      </c>
      <c r="BI53" s="1">
        <f>IFERROR((VALUE(LEFT(RegContabilizados2[[#This Row],[Subcuenta]],4))&amp;" "&amp;_xlfn.XLOOKUP((VALUE(LEFT(RegContabilizados2[[#This Row],[Subcuenta]],4))),Tabla11[Cuenta],Tabla11[Descripción],0)),0)</f>
        <v>0</v>
      </c>
      <c r="BJ53" s="1" t="str">
        <f>IFERROR((RegContabilizados2[[#This Row],[Subcuenta]]&amp;" "&amp;_xlfn.XLOOKUP(RegContabilizados2[[#This Row],[Subcuenta]],Tabla11[Cuenta],Tabla11[Descripción],0)),0)</f>
        <v xml:space="preserve"> 0</v>
      </c>
      <c r="BK53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53" s="1" t="str">
        <f>IFERROR(LEFT(RegContabilizados2[[#This Row],[Idenficador]],SEARCH("-",RegContabilizados2[[#This Row],[Idenficador]])-1),0)</f>
        <v>4656566Comp. Ingreso232424</v>
      </c>
      <c r="BO53" s="1" t="s">
        <v>1298</v>
      </c>
      <c r="BP53" s="1" t="s">
        <v>868</v>
      </c>
      <c r="BQ53" s="1">
        <v>111005</v>
      </c>
    </row>
    <row r="54" spans="4:69">
      <c r="D54" s="31">
        <f>IF(Regcontabilizados[[#This Row],[Eliminado]]="si","",RegContabilizados2[[#This Row],[fecha Factura]])</f>
        <v>45995</v>
      </c>
      <c r="E54" s="31">
        <f>IF(Regcontabilizados[[#This Row],[Eliminado]]="si","",RegContabilizados2[[#This Row],[Fecha vencimiento]])</f>
        <v>45995</v>
      </c>
      <c r="F54" s="3" t="str">
        <f>IF(Regcontabilizados[[#This Row],[Eliminado]]="si","",RegContabilizados2[[#This Row],[Idenficador]])</f>
        <v>4656566Comp. Ingreso232424-5</v>
      </c>
      <c r="G54" s="3">
        <f>IF(Regcontabilizados[[#This Row],[Eliminado]]="si","",RegContabilizados2[[#This Row],[N° de factura/Pago]])</f>
        <v>232424</v>
      </c>
      <c r="H54" s="1" t="str">
        <f>IF(Regcontabilizados[[#This Row],[Eliminado]]="si","",RegContabilizados2[[#This Row],[Tipo de Factura]])</f>
        <v>Comp. Ingreso</v>
      </c>
      <c r="I54" s="1" t="str">
        <f>IF(Regcontabilizados[[#This Row],[Eliminado]]="si","",RegContabilizados2[[#This Row],[ID Cliente]])</f>
        <v>CLIENTE 1</v>
      </c>
      <c r="J54" s="1">
        <f>IF(Regcontabilizados[[#This Row],[Eliminado]]="si","",RegContabilizados2[[#This Row],[ESTADO DEL IVA]])</f>
        <v>0</v>
      </c>
      <c r="K54" s="3">
        <f>IF(Regcontabilizados[[#This Row],[Eliminado]]="si","",RegContabilizados2[[#This Row],[ID Proveedor]])</f>
        <v>333333</v>
      </c>
      <c r="L54" s="3">
        <f>IF(Regcontabilizados[[#This Row],[Eliminado]]="si","",RegContabilizados2[[#This Row],[Concepto]])</f>
        <v>0</v>
      </c>
      <c r="M54" s="3">
        <f>IF(Regcontabilizados[[#This Row],[Eliminado]]="si","",RegContabilizados2[[#This Row],[Categoría]])</f>
        <v>0</v>
      </c>
      <c r="N54" s="3">
        <f>IF(Regcontabilizados[[#This Row],[Eliminado]]="si","",RegContabilizados2[[#This Row],[Almacen]])</f>
        <v>0</v>
      </c>
      <c r="O54" s="3">
        <f>IF(Regcontabilizados[[#This Row],[Eliminado]]="si","",RegContabilizados2[[#This Row],[Tipo de movimiento]])</f>
        <v>0</v>
      </c>
      <c r="P54" s="1">
        <f>IF(Regcontabilizados[[#This Row],[Eliminado]]="si","",RegContabilizados2[[#This Row],[cantidad]])</f>
        <v>0</v>
      </c>
      <c r="Q54" s="1">
        <f>IF(Regcontabilizados[[#This Row],[Eliminado]]="si","",RegContabilizados2[[#This Row],[VR unitario]])</f>
        <v>0</v>
      </c>
      <c r="R54" s="1">
        <f>IF(Regcontabilizados[[#This Row],[Eliminado]]="si","",RegContabilizados2[[#This Row],[Subcuenta]])</f>
        <v>0</v>
      </c>
      <c r="S54" s="1">
        <f>IF(Regcontabilizados[[#This Row],[Eliminado]]="si","",RegContabilizados2[[#This Row],[Debe]])</f>
        <v>0</v>
      </c>
      <c r="T54" s="1">
        <f>IF(Regcontabilizados[[#This Row],[Eliminado]]="si","",RegContabilizados2[[#This Row],[Haber]])</f>
        <v>0</v>
      </c>
      <c r="U54" s="1">
        <f>IFERROR((Regcontabilizados[[#This Row],[Debe]]-Regcontabilizados[[#This Row],[Haber]]),0)</f>
        <v>0</v>
      </c>
      <c r="V54" s="1">
        <f>IFERROR((+_xlfn.XLOOKUP(Regcontabilizados[[#This Row],[Subcuenta]],Tabla11[Cuenta],Tabla11[Descripción],0)),0)</f>
        <v>0</v>
      </c>
      <c r="W54" s="1">
        <f>IFERROR((_xlfn.XLOOKUP((VALUE(LEFT(Regcontabilizados[[#This Row],[Subcuenta]],4))),Tabla11[Cuenta],Tabla11[Descripción],0)),0)</f>
        <v>0</v>
      </c>
      <c r="X54" s="1">
        <f>IFERROR((_xlfn.XLOOKUP(Regcontabilizados[[#This Row],[Subcuenta]],Tabla11[Cuenta],Tabla11[Descripción],0)),0)</f>
        <v>0</v>
      </c>
      <c r="Y54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54" s="1" t="str">
        <f>_xlfn.XLOOKUP(Regcontabilizados[[#This Row],[Subcuenta]],Tabla11[Cuenta],Tabla11[TIPO],"")</f>
        <v/>
      </c>
      <c r="AA54" s="1" t="str">
        <f>IFERROR((Regcontabilizados[[#This Row],[Subcuenta]]&amp;" "&amp;_xlfn.XLOOKUP(Regcontabilizados[[#This Row],[Subcuenta]],Tabla11[Cuenta],Tabla11[Descripción],0)),0)</f>
        <v>0 0</v>
      </c>
      <c r="AB54" s="1" t="str">
        <f>IFERROR((VALUE(LEFT(Regcontabilizados[[#This Row],[Subcuenta]],2))&amp;" "&amp;_xlfn.XLOOKUP((VALUE(LEFT(Regcontabilizados[[#This Row],[Subcuenta]],2))),Tabla11[Cuenta],Tabla11[Descripción],0)),0)</f>
        <v>0 0</v>
      </c>
      <c r="AC54" s="1" t="str">
        <f>IFERROR((VALUE(LEFT(Regcontabilizados[[#This Row],[Subcuenta]],4))&amp;" "&amp;_xlfn.XLOOKUP((VALUE(LEFT(Regcontabilizados[[#This Row],[Subcuenta]],4))),Tabla11[Cuenta],Tabla11[Descripción],0)),0)</f>
        <v>0 0</v>
      </c>
      <c r="AD54" s="1" t="str">
        <f>IF(Regcontabilizados[[#This Row],[Eliminado]]="si","",RegContabilizados2[[#This Row],[Estado de pago]])</f>
        <v>NO PAGADO</v>
      </c>
      <c r="AE54" s="1" t="str">
        <f>IF(Regcontabilizados[[#This Row],[Eliminado]]="si","",RegContabilizados2[[#This Row],[Colum. Aux. Estado]])</f>
        <v>4656566Comp. Ingreso232424</v>
      </c>
      <c r="AF54" s="1">
        <f>IF(Regcontabilizados[[#This Row],[Eliminado]]="si","",RegContabilizados2[[#This Row],[Número de pago]])</f>
        <v>0</v>
      </c>
      <c r="AG54" s="1">
        <f>IF(Regcontabilizados[[#This Row],[Eliminado]]="si","",RegContabilizados2[[#This Row],[Elaborado por]])</f>
        <v>0</v>
      </c>
      <c r="AH54" s="1" t="str">
        <f>IF(Regcontabilizados[[#This Row],[Eliminado]]="si","",RegContabilizados2[[#This Row],[Notas]])</f>
        <v>Se recaudó el 50% de la fact.</v>
      </c>
      <c r="AI54" s="1" t="str">
        <f>IF(Regcontabilizados[[#This Row],[Eliminado]]="si","",RegContabilizados2[[#This Row],[Método de pago]])</f>
        <v>TRANSFERENCIA</v>
      </c>
      <c r="AJ54" s="1">
        <f>IF(Regcontabilizados[[#This Row],[Eliminado]]="si","",RegContabilizados2[[#This Row],[Cta. Bancaria]])</f>
        <v>111005</v>
      </c>
      <c r="AO54" s="31">
        <v>45995</v>
      </c>
      <c r="AP54" s="31">
        <v>45995</v>
      </c>
      <c r="AQ54" s="3" t="s">
        <v>1304</v>
      </c>
      <c r="AR54" s="3">
        <v>232424</v>
      </c>
      <c r="AS54" s="1" t="s">
        <v>1091</v>
      </c>
      <c r="AT54" s="1" t="s">
        <v>901</v>
      </c>
      <c r="AV54" s="3">
        <v>333333</v>
      </c>
      <c r="AW54" s="3"/>
      <c r="AX54" s="3"/>
      <c r="AY54" s="3"/>
      <c r="AZ54" s="3"/>
      <c r="BF54" s="1">
        <f>IFERROR((RegContabilizados2[[#This Row],[Debe]]-RegContabilizados2[[#This Row],[Haber]]),0)</f>
        <v>0</v>
      </c>
      <c r="BG54" s="1">
        <f>IFERROR((+_xlfn.XLOOKUP(RegContabilizados2[[#This Row],[Subcuenta]],Tabla11[Cuenta],Tabla11[Descripción],0)),0)</f>
        <v>0</v>
      </c>
      <c r="BH54" s="1">
        <f>IFERROR((VALUE(LEFT(RegContabilizados2[[#This Row],[Subcuenta]],2))&amp;" "&amp;_xlfn.XLOOKUP((VALUE(LEFT(RegContabilizados2[[#This Row],[Subcuenta]],2))),Tabla11[Cuenta],Tabla11[Descripción],0)),0)</f>
        <v>0</v>
      </c>
      <c r="BI54" s="1">
        <f>IFERROR((VALUE(LEFT(RegContabilizados2[[#This Row],[Subcuenta]],4))&amp;" "&amp;_xlfn.XLOOKUP((VALUE(LEFT(RegContabilizados2[[#This Row],[Subcuenta]],4))),Tabla11[Cuenta],Tabla11[Descripción],0)),0)</f>
        <v>0</v>
      </c>
      <c r="BJ54" s="1" t="str">
        <f>IFERROR((RegContabilizados2[[#This Row],[Subcuenta]]&amp;" "&amp;_xlfn.XLOOKUP(RegContabilizados2[[#This Row],[Subcuenta]],Tabla11[Cuenta],Tabla11[Descripción],0)),0)</f>
        <v xml:space="preserve"> 0</v>
      </c>
      <c r="BK54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54" s="1" t="str">
        <f>IFERROR(LEFT(RegContabilizados2[[#This Row],[Idenficador]],SEARCH("-",RegContabilizados2[[#This Row],[Idenficador]])-1),0)</f>
        <v>4656566Comp. Ingreso232424</v>
      </c>
      <c r="BO54" s="1" t="s">
        <v>1298</v>
      </c>
      <c r="BP54" s="1" t="s">
        <v>868</v>
      </c>
      <c r="BQ54" s="1">
        <v>111005</v>
      </c>
    </row>
    <row r="55" spans="4:69">
      <c r="D55" s="31">
        <f>IF(Regcontabilizados[[#This Row],[Eliminado]]="si","",RegContabilizados2[[#This Row],[fecha Factura]])</f>
        <v>45995</v>
      </c>
      <c r="E55" s="31">
        <f>IF(Regcontabilizados[[#This Row],[Eliminado]]="si","",RegContabilizados2[[#This Row],[Fecha vencimiento]])</f>
        <v>45995</v>
      </c>
      <c r="F55" s="3" t="str">
        <f>IF(Regcontabilizados[[#This Row],[Eliminado]]="si","",RegContabilizados2[[#This Row],[Idenficador]])</f>
        <v>4656566Comp. Ingreso232424-6</v>
      </c>
      <c r="G55" s="3">
        <f>IF(Regcontabilizados[[#This Row],[Eliminado]]="si","",RegContabilizados2[[#This Row],[N° de factura/Pago]])</f>
        <v>232424</v>
      </c>
      <c r="H55" s="1" t="str">
        <f>IF(Regcontabilizados[[#This Row],[Eliminado]]="si","",RegContabilizados2[[#This Row],[Tipo de Factura]])</f>
        <v>Comp. Ingreso</v>
      </c>
      <c r="I55" s="1" t="str">
        <f>IF(Regcontabilizados[[#This Row],[Eliminado]]="si","",RegContabilizados2[[#This Row],[ID Cliente]])</f>
        <v>CLIENTE 1</v>
      </c>
      <c r="J55" s="1">
        <f>IF(Regcontabilizados[[#This Row],[Eliminado]]="si","",RegContabilizados2[[#This Row],[ESTADO DEL IVA]])</f>
        <v>0</v>
      </c>
      <c r="K55" s="3">
        <f>IF(Regcontabilizados[[#This Row],[Eliminado]]="si","",RegContabilizados2[[#This Row],[ID Proveedor]])</f>
        <v>333333</v>
      </c>
      <c r="L55" s="3">
        <f>IF(Regcontabilizados[[#This Row],[Eliminado]]="si","",RegContabilizados2[[#This Row],[Concepto]])</f>
        <v>0</v>
      </c>
      <c r="M55" s="3">
        <f>IF(Regcontabilizados[[#This Row],[Eliminado]]="si","",RegContabilizados2[[#This Row],[Categoría]])</f>
        <v>0</v>
      </c>
      <c r="N55" s="3">
        <f>IF(Regcontabilizados[[#This Row],[Eliminado]]="si","",RegContabilizados2[[#This Row],[Almacen]])</f>
        <v>0</v>
      </c>
      <c r="O55" s="3">
        <f>IF(Regcontabilizados[[#This Row],[Eliminado]]="si","",RegContabilizados2[[#This Row],[Tipo de movimiento]])</f>
        <v>0</v>
      </c>
      <c r="P55" s="1">
        <f>IF(Regcontabilizados[[#This Row],[Eliminado]]="si","",RegContabilizados2[[#This Row],[cantidad]])</f>
        <v>0</v>
      </c>
      <c r="Q55" s="1">
        <f>IF(Regcontabilizados[[#This Row],[Eliminado]]="si","",RegContabilizados2[[#This Row],[VR unitario]])</f>
        <v>0</v>
      </c>
      <c r="R55" s="1">
        <f>IF(Regcontabilizados[[#This Row],[Eliminado]]="si","",RegContabilizados2[[#This Row],[Subcuenta]])</f>
        <v>0</v>
      </c>
      <c r="S55" s="1">
        <f>IF(Regcontabilizados[[#This Row],[Eliminado]]="si","",RegContabilizados2[[#This Row],[Debe]])</f>
        <v>0</v>
      </c>
      <c r="T55" s="1">
        <f>IF(Regcontabilizados[[#This Row],[Eliminado]]="si","",RegContabilizados2[[#This Row],[Haber]])</f>
        <v>0</v>
      </c>
      <c r="U55" s="1">
        <f>IFERROR((Regcontabilizados[[#This Row],[Debe]]-Regcontabilizados[[#This Row],[Haber]]),0)</f>
        <v>0</v>
      </c>
      <c r="V55" s="1">
        <f>IFERROR((+_xlfn.XLOOKUP(Regcontabilizados[[#This Row],[Subcuenta]],Tabla11[Cuenta],Tabla11[Descripción],0)),0)</f>
        <v>0</v>
      </c>
      <c r="W55" s="1">
        <f>IFERROR((_xlfn.XLOOKUP((VALUE(LEFT(Regcontabilizados[[#This Row],[Subcuenta]],4))),Tabla11[Cuenta],Tabla11[Descripción],0)),0)</f>
        <v>0</v>
      </c>
      <c r="X55" s="1">
        <f>IFERROR((_xlfn.XLOOKUP(Regcontabilizados[[#This Row],[Subcuenta]],Tabla11[Cuenta],Tabla11[Descripción],0)),0)</f>
        <v>0</v>
      </c>
      <c r="Y55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55" s="1" t="str">
        <f>_xlfn.XLOOKUP(Regcontabilizados[[#This Row],[Subcuenta]],Tabla11[Cuenta],Tabla11[TIPO],"")</f>
        <v/>
      </c>
      <c r="AA55" s="1" t="str">
        <f>IFERROR((Regcontabilizados[[#This Row],[Subcuenta]]&amp;" "&amp;_xlfn.XLOOKUP(Regcontabilizados[[#This Row],[Subcuenta]],Tabla11[Cuenta],Tabla11[Descripción],0)),0)</f>
        <v>0 0</v>
      </c>
      <c r="AB55" s="1" t="str">
        <f>IFERROR((VALUE(LEFT(Regcontabilizados[[#This Row],[Subcuenta]],2))&amp;" "&amp;_xlfn.XLOOKUP((VALUE(LEFT(Regcontabilizados[[#This Row],[Subcuenta]],2))),Tabla11[Cuenta],Tabla11[Descripción],0)),0)</f>
        <v>0 0</v>
      </c>
      <c r="AC55" s="1" t="str">
        <f>IFERROR((VALUE(LEFT(Regcontabilizados[[#This Row],[Subcuenta]],4))&amp;" "&amp;_xlfn.XLOOKUP((VALUE(LEFT(Regcontabilizados[[#This Row],[Subcuenta]],4))),Tabla11[Cuenta],Tabla11[Descripción],0)),0)</f>
        <v>0 0</v>
      </c>
      <c r="AD55" s="1" t="str">
        <f>IF(Regcontabilizados[[#This Row],[Eliminado]]="si","",RegContabilizados2[[#This Row],[Estado de pago]])</f>
        <v>NO PAGADO</v>
      </c>
      <c r="AE55" s="1" t="str">
        <f>IF(Regcontabilizados[[#This Row],[Eliminado]]="si","",RegContabilizados2[[#This Row],[Colum. Aux. Estado]])</f>
        <v>4656566Comp. Ingreso232424</v>
      </c>
      <c r="AF55" s="1">
        <f>IF(Regcontabilizados[[#This Row],[Eliminado]]="si","",RegContabilizados2[[#This Row],[Número de pago]])</f>
        <v>0</v>
      </c>
      <c r="AG55" s="1">
        <f>IF(Regcontabilizados[[#This Row],[Eliminado]]="si","",RegContabilizados2[[#This Row],[Elaborado por]])</f>
        <v>0</v>
      </c>
      <c r="AH55" s="1" t="str">
        <f>IF(Regcontabilizados[[#This Row],[Eliminado]]="si","",RegContabilizados2[[#This Row],[Notas]])</f>
        <v>Se recaudó el 50% de la fact.</v>
      </c>
      <c r="AI55" s="1" t="str">
        <f>IF(Regcontabilizados[[#This Row],[Eliminado]]="si","",RegContabilizados2[[#This Row],[Método de pago]])</f>
        <v>TRANSFERENCIA</v>
      </c>
      <c r="AJ55" s="1">
        <f>IF(Regcontabilizados[[#This Row],[Eliminado]]="si","",RegContabilizados2[[#This Row],[Cta. Bancaria]])</f>
        <v>111005</v>
      </c>
      <c r="AO55" s="31">
        <v>45995</v>
      </c>
      <c r="AP55" s="31">
        <v>45995</v>
      </c>
      <c r="AQ55" s="3" t="s">
        <v>1305</v>
      </c>
      <c r="AR55" s="3">
        <v>232424</v>
      </c>
      <c r="AS55" s="1" t="s">
        <v>1091</v>
      </c>
      <c r="AT55" s="1" t="s">
        <v>901</v>
      </c>
      <c r="AV55" s="3">
        <v>333333</v>
      </c>
      <c r="AW55" s="3"/>
      <c r="AX55" s="3"/>
      <c r="AY55" s="3"/>
      <c r="AZ55" s="3"/>
      <c r="BF55" s="1">
        <f>IFERROR((RegContabilizados2[[#This Row],[Debe]]-RegContabilizados2[[#This Row],[Haber]]),0)</f>
        <v>0</v>
      </c>
      <c r="BG55" s="1">
        <f>IFERROR((+_xlfn.XLOOKUP(RegContabilizados2[[#This Row],[Subcuenta]],Tabla11[Cuenta],Tabla11[Descripción],0)),0)</f>
        <v>0</v>
      </c>
      <c r="BH55" s="1">
        <f>IFERROR((VALUE(LEFT(RegContabilizados2[[#This Row],[Subcuenta]],2))&amp;" "&amp;_xlfn.XLOOKUP((VALUE(LEFT(RegContabilizados2[[#This Row],[Subcuenta]],2))),Tabla11[Cuenta],Tabla11[Descripción],0)),0)</f>
        <v>0</v>
      </c>
      <c r="BI55" s="1">
        <f>IFERROR((VALUE(LEFT(RegContabilizados2[[#This Row],[Subcuenta]],4))&amp;" "&amp;_xlfn.XLOOKUP((VALUE(LEFT(RegContabilizados2[[#This Row],[Subcuenta]],4))),Tabla11[Cuenta],Tabla11[Descripción],0)),0)</f>
        <v>0</v>
      </c>
      <c r="BJ55" s="1" t="str">
        <f>IFERROR((RegContabilizados2[[#This Row],[Subcuenta]]&amp;" "&amp;_xlfn.XLOOKUP(RegContabilizados2[[#This Row],[Subcuenta]],Tabla11[Cuenta],Tabla11[Descripción],0)),0)</f>
        <v xml:space="preserve"> 0</v>
      </c>
      <c r="BK55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55" s="1" t="str">
        <f>IFERROR(LEFT(RegContabilizados2[[#This Row],[Idenficador]],SEARCH("-",RegContabilizados2[[#This Row],[Idenficador]])-1),0)</f>
        <v>4656566Comp. Ingreso232424</v>
      </c>
      <c r="BO55" s="1" t="s">
        <v>1298</v>
      </c>
      <c r="BP55" s="1" t="s">
        <v>868</v>
      </c>
      <c r="BQ55" s="1">
        <v>111005</v>
      </c>
    </row>
    <row r="56" spans="4:69">
      <c r="D56" s="31">
        <f>IF(Regcontabilizados[[#This Row],[Eliminado]]="si","",RegContabilizados2[[#This Row],[fecha Factura]])</f>
        <v>45995</v>
      </c>
      <c r="E56" s="31">
        <f>IF(Regcontabilizados[[#This Row],[Eliminado]]="si","",RegContabilizados2[[#This Row],[Fecha vencimiento]])</f>
        <v>45995</v>
      </c>
      <c r="F56" s="3" t="str">
        <f>IF(Regcontabilizados[[#This Row],[Eliminado]]="si","",RegContabilizados2[[#This Row],[Idenficador]])</f>
        <v>4656566Comp. Ingreso232424-7</v>
      </c>
      <c r="G56" s="3">
        <f>IF(Regcontabilizados[[#This Row],[Eliminado]]="si","",RegContabilizados2[[#This Row],[N° de factura/Pago]])</f>
        <v>232424</v>
      </c>
      <c r="H56" s="1" t="str">
        <f>IF(Regcontabilizados[[#This Row],[Eliminado]]="si","",RegContabilizados2[[#This Row],[Tipo de Factura]])</f>
        <v>Comp. Ingreso</v>
      </c>
      <c r="I56" s="1" t="str">
        <f>IF(Regcontabilizados[[#This Row],[Eliminado]]="si","",RegContabilizados2[[#This Row],[ID Cliente]])</f>
        <v>CLIENTE 1</v>
      </c>
      <c r="J56" s="1">
        <f>IF(Regcontabilizados[[#This Row],[Eliminado]]="si","",RegContabilizados2[[#This Row],[ESTADO DEL IVA]])</f>
        <v>0</v>
      </c>
      <c r="K56" s="3">
        <f>IF(Regcontabilizados[[#This Row],[Eliminado]]="si","",RegContabilizados2[[#This Row],[ID Proveedor]])</f>
        <v>333333</v>
      </c>
      <c r="L56" s="3">
        <f>IF(Regcontabilizados[[#This Row],[Eliminado]]="si","",RegContabilizados2[[#This Row],[Concepto]])</f>
        <v>0</v>
      </c>
      <c r="M56" s="3">
        <f>IF(Regcontabilizados[[#This Row],[Eliminado]]="si","",RegContabilizados2[[#This Row],[Categoría]])</f>
        <v>0</v>
      </c>
      <c r="N56" s="3">
        <f>IF(Regcontabilizados[[#This Row],[Eliminado]]="si","",RegContabilizados2[[#This Row],[Almacen]])</f>
        <v>0</v>
      </c>
      <c r="O56" s="3">
        <f>IF(Regcontabilizados[[#This Row],[Eliminado]]="si","",RegContabilizados2[[#This Row],[Tipo de movimiento]])</f>
        <v>0</v>
      </c>
      <c r="P56" s="1">
        <f>IF(Regcontabilizados[[#This Row],[Eliminado]]="si","",RegContabilizados2[[#This Row],[cantidad]])</f>
        <v>0</v>
      </c>
      <c r="Q56" s="1">
        <f>IF(Regcontabilizados[[#This Row],[Eliminado]]="si","",RegContabilizados2[[#This Row],[VR unitario]])</f>
        <v>0</v>
      </c>
      <c r="R56" s="1">
        <f>IF(Regcontabilizados[[#This Row],[Eliminado]]="si","",RegContabilizados2[[#This Row],[Subcuenta]])</f>
        <v>0</v>
      </c>
      <c r="S56" s="1">
        <f>IF(Regcontabilizados[[#This Row],[Eliminado]]="si","",RegContabilizados2[[#This Row],[Debe]])</f>
        <v>0</v>
      </c>
      <c r="T56" s="1">
        <f>IF(Regcontabilizados[[#This Row],[Eliminado]]="si","",RegContabilizados2[[#This Row],[Haber]])</f>
        <v>0</v>
      </c>
      <c r="U56" s="1">
        <f>IFERROR((Regcontabilizados[[#This Row],[Debe]]-Regcontabilizados[[#This Row],[Haber]]),0)</f>
        <v>0</v>
      </c>
      <c r="V56" s="1">
        <f>IFERROR((+_xlfn.XLOOKUP(Regcontabilizados[[#This Row],[Subcuenta]],Tabla11[Cuenta],Tabla11[Descripción],0)),0)</f>
        <v>0</v>
      </c>
      <c r="W56" s="1">
        <f>IFERROR((_xlfn.XLOOKUP((VALUE(LEFT(Regcontabilizados[[#This Row],[Subcuenta]],4))),Tabla11[Cuenta],Tabla11[Descripción],0)),0)</f>
        <v>0</v>
      </c>
      <c r="X56" s="1">
        <f>IFERROR((_xlfn.XLOOKUP(Regcontabilizados[[#This Row],[Subcuenta]],Tabla11[Cuenta],Tabla11[Descripción],0)),0)</f>
        <v>0</v>
      </c>
      <c r="Y56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56" s="1" t="str">
        <f>_xlfn.XLOOKUP(Regcontabilizados[[#This Row],[Subcuenta]],Tabla11[Cuenta],Tabla11[TIPO],"")</f>
        <v/>
      </c>
      <c r="AA56" s="1" t="str">
        <f>IFERROR((Regcontabilizados[[#This Row],[Subcuenta]]&amp;" "&amp;_xlfn.XLOOKUP(Regcontabilizados[[#This Row],[Subcuenta]],Tabla11[Cuenta],Tabla11[Descripción],0)),0)</f>
        <v>0 0</v>
      </c>
      <c r="AB56" s="1" t="str">
        <f>IFERROR((VALUE(LEFT(Regcontabilizados[[#This Row],[Subcuenta]],2))&amp;" "&amp;_xlfn.XLOOKUP((VALUE(LEFT(Regcontabilizados[[#This Row],[Subcuenta]],2))),Tabla11[Cuenta],Tabla11[Descripción],0)),0)</f>
        <v>0 0</v>
      </c>
      <c r="AC56" s="1" t="str">
        <f>IFERROR((VALUE(LEFT(Regcontabilizados[[#This Row],[Subcuenta]],4))&amp;" "&amp;_xlfn.XLOOKUP((VALUE(LEFT(Regcontabilizados[[#This Row],[Subcuenta]],4))),Tabla11[Cuenta],Tabla11[Descripción],0)),0)</f>
        <v>0 0</v>
      </c>
      <c r="AD56" s="1" t="str">
        <f>IF(Regcontabilizados[[#This Row],[Eliminado]]="si","",RegContabilizados2[[#This Row],[Estado de pago]])</f>
        <v>NO PAGADO</v>
      </c>
      <c r="AE56" s="1" t="str">
        <f>IF(Regcontabilizados[[#This Row],[Eliminado]]="si","",RegContabilizados2[[#This Row],[Colum. Aux. Estado]])</f>
        <v>4656566Comp. Ingreso232424</v>
      </c>
      <c r="AF56" s="1">
        <f>IF(Regcontabilizados[[#This Row],[Eliminado]]="si","",RegContabilizados2[[#This Row],[Número de pago]])</f>
        <v>0</v>
      </c>
      <c r="AG56" s="1">
        <f>IF(Regcontabilizados[[#This Row],[Eliminado]]="si","",RegContabilizados2[[#This Row],[Elaborado por]])</f>
        <v>0</v>
      </c>
      <c r="AH56" s="1" t="str">
        <f>IF(Regcontabilizados[[#This Row],[Eliminado]]="si","",RegContabilizados2[[#This Row],[Notas]])</f>
        <v>Se recaudó el 50% de la fact.</v>
      </c>
      <c r="AI56" s="1" t="str">
        <f>IF(Regcontabilizados[[#This Row],[Eliminado]]="si","",RegContabilizados2[[#This Row],[Método de pago]])</f>
        <v>TRANSFERENCIA</v>
      </c>
      <c r="AJ56" s="1">
        <f>IF(Regcontabilizados[[#This Row],[Eliminado]]="si","",RegContabilizados2[[#This Row],[Cta. Bancaria]])</f>
        <v>111005</v>
      </c>
      <c r="AO56" s="31">
        <v>45995</v>
      </c>
      <c r="AP56" s="31">
        <v>45995</v>
      </c>
      <c r="AQ56" s="3" t="s">
        <v>1306</v>
      </c>
      <c r="AR56" s="3">
        <v>232424</v>
      </c>
      <c r="AS56" s="1" t="s">
        <v>1091</v>
      </c>
      <c r="AT56" s="1" t="s">
        <v>901</v>
      </c>
      <c r="AV56" s="3">
        <v>333333</v>
      </c>
      <c r="AW56" s="3"/>
      <c r="AX56" s="3"/>
      <c r="AY56" s="3"/>
      <c r="AZ56" s="3"/>
      <c r="BF56" s="1">
        <f>IFERROR((RegContabilizados2[[#This Row],[Debe]]-RegContabilizados2[[#This Row],[Haber]]),0)</f>
        <v>0</v>
      </c>
      <c r="BG56" s="1">
        <f>IFERROR((+_xlfn.XLOOKUP(RegContabilizados2[[#This Row],[Subcuenta]],Tabla11[Cuenta],Tabla11[Descripción],0)),0)</f>
        <v>0</v>
      </c>
      <c r="BH56" s="1">
        <f>IFERROR((VALUE(LEFT(RegContabilizados2[[#This Row],[Subcuenta]],2))&amp;" "&amp;_xlfn.XLOOKUP((VALUE(LEFT(RegContabilizados2[[#This Row],[Subcuenta]],2))),Tabla11[Cuenta],Tabla11[Descripción],0)),0)</f>
        <v>0</v>
      </c>
      <c r="BI56" s="1">
        <f>IFERROR((VALUE(LEFT(RegContabilizados2[[#This Row],[Subcuenta]],4))&amp;" "&amp;_xlfn.XLOOKUP((VALUE(LEFT(RegContabilizados2[[#This Row],[Subcuenta]],4))),Tabla11[Cuenta],Tabla11[Descripción],0)),0)</f>
        <v>0</v>
      </c>
      <c r="BJ56" s="1" t="str">
        <f>IFERROR((RegContabilizados2[[#This Row],[Subcuenta]]&amp;" "&amp;_xlfn.XLOOKUP(RegContabilizados2[[#This Row],[Subcuenta]],Tabla11[Cuenta],Tabla11[Descripción],0)),0)</f>
        <v xml:space="preserve"> 0</v>
      </c>
      <c r="BK56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56" s="1" t="str">
        <f>IFERROR(LEFT(RegContabilizados2[[#This Row],[Idenficador]],SEARCH("-",RegContabilizados2[[#This Row],[Idenficador]])-1),0)</f>
        <v>4656566Comp. Ingreso232424</v>
      </c>
      <c r="BO56" s="1" t="s">
        <v>1298</v>
      </c>
      <c r="BP56" s="1" t="s">
        <v>868</v>
      </c>
      <c r="BQ56" s="1">
        <v>111005</v>
      </c>
    </row>
    <row r="57" spans="4:69">
      <c r="D57" s="31">
        <f>IF(Regcontabilizados[[#This Row],[Eliminado]]="si","",RegContabilizados2[[#This Row],[fecha Factura]])</f>
        <v>45995</v>
      </c>
      <c r="E57" s="31">
        <f>IF(Regcontabilizados[[#This Row],[Eliminado]]="si","",RegContabilizados2[[#This Row],[Fecha vencimiento]])</f>
        <v>45995</v>
      </c>
      <c r="F57" s="3" t="str">
        <f>IF(Regcontabilizados[[#This Row],[Eliminado]]="si","",RegContabilizados2[[#This Row],[Idenficador]])</f>
        <v>4656566Comp. Ingreso232424-8</v>
      </c>
      <c r="G57" s="3">
        <f>IF(Regcontabilizados[[#This Row],[Eliminado]]="si","",RegContabilizados2[[#This Row],[N° de factura/Pago]])</f>
        <v>232424</v>
      </c>
      <c r="H57" s="1" t="str">
        <f>IF(Regcontabilizados[[#This Row],[Eliminado]]="si","",RegContabilizados2[[#This Row],[Tipo de Factura]])</f>
        <v>Comp. Ingreso</v>
      </c>
      <c r="I57" s="1" t="str">
        <f>IF(Regcontabilizados[[#This Row],[Eliminado]]="si","",RegContabilizados2[[#This Row],[ID Cliente]])</f>
        <v>CLIENTE 1</v>
      </c>
      <c r="J57" s="1">
        <f>IF(Regcontabilizados[[#This Row],[Eliminado]]="si","",RegContabilizados2[[#This Row],[ESTADO DEL IVA]])</f>
        <v>0</v>
      </c>
      <c r="K57" s="3">
        <f>IF(Regcontabilizados[[#This Row],[Eliminado]]="si","",RegContabilizados2[[#This Row],[ID Proveedor]])</f>
        <v>333333</v>
      </c>
      <c r="L57" s="3">
        <f>IF(Regcontabilizados[[#This Row],[Eliminado]]="si","",RegContabilizados2[[#This Row],[Concepto]])</f>
        <v>0</v>
      </c>
      <c r="M57" s="3">
        <f>IF(Regcontabilizados[[#This Row],[Eliminado]]="si","",RegContabilizados2[[#This Row],[Categoría]])</f>
        <v>0</v>
      </c>
      <c r="N57" s="3">
        <f>IF(Regcontabilizados[[#This Row],[Eliminado]]="si","",RegContabilizados2[[#This Row],[Almacen]])</f>
        <v>0</v>
      </c>
      <c r="O57" s="3">
        <f>IF(Regcontabilizados[[#This Row],[Eliminado]]="si","",RegContabilizados2[[#This Row],[Tipo de movimiento]])</f>
        <v>0</v>
      </c>
      <c r="P57" s="1">
        <f>IF(Regcontabilizados[[#This Row],[Eliminado]]="si","",RegContabilizados2[[#This Row],[cantidad]])</f>
        <v>0</v>
      </c>
      <c r="Q57" s="1">
        <f>IF(Regcontabilizados[[#This Row],[Eliminado]]="si","",RegContabilizados2[[#This Row],[VR unitario]])</f>
        <v>0</v>
      </c>
      <c r="R57" s="1">
        <f>IF(Regcontabilizados[[#This Row],[Eliminado]]="si","",RegContabilizados2[[#This Row],[Subcuenta]])</f>
        <v>0</v>
      </c>
      <c r="S57" s="1">
        <f>IF(Regcontabilizados[[#This Row],[Eliminado]]="si","",RegContabilizados2[[#This Row],[Debe]])</f>
        <v>0</v>
      </c>
      <c r="T57" s="1">
        <f>IF(Regcontabilizados[[#This Row],[Eliminado]]="si","",RegContabilizados2[[#This Row],[Haber]])</f>
        <v>0</v>
      </c>
      <c r="U57" s="1">
        <f>IFERROR((Regcontabilizados[[#This Row],[Debe]]-Regcontabilizados[[#This Row],[Haber]]),0)</f>
        <v>0</v>
      </c>
      <c r="V57" s="1">
        <f>IFERROR((+_xlfn.XLOOKUP(Regcontabilizados[[#This Row],[Subcuenta]],Tabla11[Cuenta],Tabla11[Descripción],0)),0)</f>
        <v>0</v>
      </c>
      <c r="W57" s="1">
        <f>IFERROR((_xlfn.XLOOKUP((VALUE(LEFT(Regcontabilizados[[#This Row],[Subcuenta]],4))),Tabla11[Cuenta],Tabla11[Descripción],0)),0)</f>
        <v>0</v>
      </c>
      <c r="X57" s="1">
        <f>IFERROR((_xlfn.XLOOKUP(Regcontabilizados[[#This Row],[Subcuenta]],Tabla11[Cuenta],Tabla11[Descripción],0)),0)</f>
        <v>0</v>
      </c>
      <c r="Y57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57" s="1" t="str">
        <f>_xlfn.XLOOKUP(Regcontabilizados[[#This Row],[Subcuenta]],Tabla11[Cuenta],Tabla11[TIPO],"")</f>
        <v/>
      </c>
      <c r="AA57" s="1" t="str">
        <f>IFERROR((Regcontabilizados[[#This Row],[Subcuenta]]&amp;" "&amp;_xlfn.XLOOKUP(Regcontabilizados[[#This Row],[Subcuenta]],Tabla11[Cuenta],Tabla11[Descripción],0)),0)</f>
        <v>0 0</v>
      </c>
      <c r="AB57" s="1" t="str">
        <f>IFERROR((VALUE(LEFT(Regcontabilizados[[#This Row],[Subcuenta]],2))&amp;" "&amp;_xlfn.XLOOKUP((VALUE(LEFT(Regcontabilizados[[#This Row],[Subcuenta]],2))),Tabla11[Cuenta],Tabla11[Descripción],0)),0)</f>
        <v>0 0</v>
      </c>
      <c r="AC57" s="1" t="str">
        <f>IFERROR((VALUE(LEFT(Regcontabilizados[[#This Row],[Subcuenta]],4))&amp;" "&amp;_xlfn.XLOOKUP((VALUE(LEFT(Regcontabilizados[[#This Row],[Subcuenta]],4))),Tabla11[Cuenta],Tabla11[Descripción],0)),0)</f>
        <v>0 0</v>
      </c>
      <c r="AD57" s="1" t="str">
        <f>IF(Regcontabilizados[[#This Row],[Eliminado]]="si","",RegContabilizados2[[#This Row],[Estado de pago]])</f>
        <v>NO PAGADO</v>
      </c>
      <c r="AE57" s="1" t="str">
        <f>IF(Regcontabilizados[[#This Row],[Eliminado]]="si","",RegContabilizados2[[#This Row],[Colum. Aux. Estado]])</f>
        <v>4656566Comp. Ingreso232424</v>
      </c>
      <c r="AF57" s="1">
        <f>IF(Regcontabilizados[[#This Row],[Eliminado]]="si","",RegContabilizados2[[#This Row],[Número de pago]])</f>
        <v>0</v>
      </c>
      <c r="AG57" s="1">
        <f>IF(Regcontabilizados[[#This Row],[Eliminado]]="si","",RegContabilizados2[[#This Row],[Elaborado por]])</f>
        <v>0</v>
      </c>
      <c r="AH57" s="1" t="str">
        <f>IF(Regcontabilizados[[#This Row],[Eliminado]]="si","",RegContabilizados2[[#This Row],[Notas]])</f>
        <v>Se recaudó el 50% de la fact.</v>
      </c>
      <c r="AI57" s="1" t="str">
        <f>IF(Regcontabilizados[[#This Row],[Eliminado]]="si","",RegContabilizados2[[#This Row],[Método de pago]])</f>
        <v>TRANSFERENCIA</v>
      </c>
      <c r="AJ57" s="1">
        <f>IF(Regcontabilizados[[#This Row],[Eliminado]]="si","",RegContabilizados2[[#This Row],[Cta. Bancaria]])</f>
        <v>111005</v>
      </c>
      <c r="AO57" s="31">
        <v>45995</v>
      </c>
      <c r="AP57" s="31">
        <v>45995</v>
      </c>
      <c r="AQ57" s="3" t="s">
        <v>1307</v>
      </c>
      <c r="AR57" s="3">
        <v>232424</v>
      </c>
      <c r="AS57" s="1" t="s">
        <v>1091</v>
      </c>
      <c r="AT57" s="1" t="s">
        <v>901</v>
      </c>
      <c r="AV57" s="3">
        <v>333333</v>
      </c>
      <c r="AW57" s="3"/>
      <c r="AX57" s="3"/>
      <c r="AY57" s="3"/>
      <c r="AZ57" s="3"/>
      <c r="BF57" s="1">
        <f>IFERROR((RegContabilizados2[[#This Row],[Debe]]-RegContabilizados2[[#This Row],[Haber]]),0)</f>
        <v>0</v>
      </c>
      <c r="BG57" s="1">
        <f>IFERROR((+_xlfn.XLOOKUP(RegContabilizados2[[#This Row],[Subcuenta]],Tabla11[Cuenta],Tabla11[Descripción],0)),0)</f>
        <v>0</v>
      </c>
      <c r="BH57" s="1">
        <f>IFERROR((VALUE(LEFT(RegContabilizados2[[#This Row],[Subcuenta]],2))&amp;" "&amp;_xlfn.XLOOKUP((VALUE(LEFT(RegContabilizados2[[#This Row],[Subcuenta]],2))),Tabla11[Cuenta],Tabla11[Descripción],0)),0)</f>
        <v>0</v>
      </c>
      <c r="BI57" s="1">
        <f>IFERROR((VALUE(LEFT(RegContabilizados2[[#This Row],[Subcuenta]],4))&amp;" "&amp;_xlfn.XLOOKUP((VALUE(LEFT(RegContabilizados2[[#This Row],[Subcuenta]],4))),Tabla11[Cuenta],Tabla11[Descripción],0)),0)</f>
        <v>0</v>
      </c>
      <c r="BJ57" s="1" t="str">
        <f>IFERROR((RegContabilizados2[[#This Row],[Subcuenta]]&amp;" "&amp;_xlfn.XLOOKUP(RegContabilizados2[[#This Row],[Subcuenta]],Tabla11[Cuenta],Tabla11[Descripción],0)),0)</f>
        <v xml:space="preserve"> 0</v>
      </c>
      <c r="BK57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57" s="1" t="str">
        <f>IFERROR(LEFT(RegContabilizados2[[#This Row],[Idenficador]],SEARCH("-",RegContabilizados2[[#This Row],[Idenficador]])-1),0)</f>
        <v>4656566Comp. Ingreso232424</v>
      </c>
      <c r="BO57" s="1" t="s">
        <v>1298</v>
      </c>
      <c r="BP57" s="1" t="s">
        <v>868</v>
      </c>
      <c r="BQ57" s="1">
        <v>111005</v>
      </c>
    </row>
    <row r="58" spans="4:69">
      <c r="D58" s="31">
        <f>IF(Regcontabilizados[[#This Row],[Eliminado]]="si","",RegContabilizados2[[#This Row],[fecha Factura]])</f>
        <v>45995</v>
      </c>
      <c r="E58" s="31">
        <f>IF(Regcontabilizados[[#This Row],[Eliminado]]="si","",RegContabilizados2[[#This Row],[Fecha vencimiento]])</f>
        <v>45995</v>
      </c>
      <c r="F58" s="3" t="str">
        <f>IF(Regcontabilizados[[#This Row],[Eliminado]]="si","",RegContabilizados2[[#This Row],[Idenficador]])</f>
        <v>4656566Comp. Ingreso232424-9</v>
      </c>
      <c r="G58" s="3">
        <f>IF(Regcontabilizados[[#This Row],[Eliminado]]="si","",RegContabilizados2[[#This Row],[N° de factura/Pago]])</f>
        <v>232424</v>
      </c>
      <c r="H58" s="1" t="str">
        <f>IF(Regcontabilizados[[#This Row],[Eliminado]]="si","",RegContabilizados2[[#This Row],[Tipo de Factura]])</f>
        <v>Comp. Ingreso</v>
      </c>
      <c r="I58" s="1" t="str">
        <f>IF(Regcontabilizados[[#This Row],[Eliminado]]="si","",RegContabilizados2[[#This Row],[ID Cliente]])</f>
        <v>CLIENTE 1</v>
      </c>
      <c r="J58" s="1">
        <f>IF(Regcontabilizados[[#This Row],[Eliminado]]="si","",RegContabilizados2[[#This Row],[ESTADO DEL IVA]])</f>
        <v>0</v>
      </c>
      <c r="K58" s="3">
        <f>IF(Regcontabilizados[[#This Row],[Eliminado]]="si","",RegContabilizados2[[#This Row],[ID Proveedor]])</f>
        <v>333333</v>
      </c>
      <c r="L58" s="3">
        <f>IF(Regcontabilizados[[#This Row],[Eliminado]]="si","",RegContabilizados2[[#This Row],[Concepto]])</f>
        <v>0</v>
      </c>
      <c r="M58" s="3">
        <f>IF(Regcontabilizados[[#This Row],[Eliminado]]="si","",RegContabilizados2[[#This Row],[Categoría]])</f>
        <v>0</v>
      </c>
      <c r="N58" s="3">
        <f>IF(Regcontabilizados[[#This Row],[Eliminado]]="si","",RegContabilizados2[[#This Row],[Almacen]])</f>
        <v>0</v>
      </c>
      <c r="O58" s="3">
        <f>IF(Regcontabilizados[[#This Row],[Eliminado]]="si","",RegContabilizados2[[#This Row],[Tipo de movimiento]])</f>
        <v>0</v>
      </c>
      <c r="P58" s="1">
        <f>IF(Regcontabilizados[[#This Row],[Eliminado]]="si","",RegContabilizados2[[#This Row],[cantidad]])</f>
        <v>0</v>
      </c>
      <c r="Q58" s="1">
        <f>IF(Regcontabilizados[[#This Row],[Eliminado]]="si","",RegContabilizados2[[#This Row],[VR unitario]])</f>
        <v>0</v>
      </c>
      <c r="R58" s="1">
        <f>IF(Regcontabilizados[[#This Row],[Eliminado]]="si","",RegContabilizados2[[#This Row],[Subcuenta]])</f>
        <v>0</v>
      </c>
      <c r="S58" s="1">
        <f>IF(Regcontabilizados[[#This Row],[Eliminado]]="si","",RegContabilizados2[[#This Row],[Debe]])</f>
        <v>0</v>
      </c>
      <c r="T58" s="1">
        <f>IF(Regcontabilizados[[#This Row],[Eliminado]]="si","",RegContabilizados2[[#This Row],[Haber]])</f>
        <v>0</v>
      </c>
      <c r="U58" s="1">
        <f>IFERROR((Regcontabilizados[[#This Row],[Debe]]-Regcontabilizados[[#This Row],[Haber]]),0)</f>
        <v>0</v>
      </c>
      <c r="V58" s="1">
        <f>IFERROR((+_xlfn.XLOOKUP(Regcontabilizados[[#This Row],[Subcuenta]],Tabla11[Cuenta],Tabla11[Descripción],0)),0)</f>
        <v>0</v>
      </c>
      <c r="W58" s="1">
        <f>IFERROR((_xlfn.XLOOKUP((VALUE(LEFT(Regcontabilizados[[#This Row],[Subcuenta]],4))),Tabla11[Cuenta],Tabla11[Descripción],0)),0)</f>
        <v>0</v>
      </c>
      <c r="X58" s="1">
        <f>IFERROR((_xlfn.XLOOKUP(Regcontabilizados[[#This Row],[Subcuenta]],Tabla11[Cuenta],Tabla11[Descripción],0)),0)</f>
        <v>0</v>
      </c>
      <c r="Y58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58" s="1" t="str">
        <f>_xlfn.XLOOKUP(Regcontabilizados[[#This Row],[Subcuenta]],Tabla11[Cuenta],Tabla11[TIPO],"")</f>
        <v/>
      </c>
      <c r="AA58" s="1" t="str">
        <f>IFERROR((Regcontabilizados[[#This Row],[Subcuenta]]&amp;" "&amp;_xlfn.XLOOKUP(Regcontabilizados[[#This Row],[Subcuenta]],Tabla11[Cuenta],Tabla11[Descripción],0)),0)</f>
        <v>0 0</v>
      </c>
      <c r="AB58" s="1" t="str">
        <f>IFERROR((VALUE(LEFT(Regcontabilizados[[#This Row],[Subcuenta]],2))&amp;" "&amp;_xlfn.XLOOKUP((VALUE(LEFT(Regcontabilizados[[#This Row],[Subcuenta]],2))),Tabla11[Cuenta],Tabla11[Descripción],0)),0)</f>
        <v>0 0</v>
      </c>
      <c r="AC58" s="1" t="str">
        <f>IFERROR((VALUE(LEFT(Regcontabilizados[[#This Row],[Subcuenta]],4))&amp;" "&amp;_xlfn.XLOOKUP((VALUE(LEFT(Regcontabilizados[[#This Row],[Subcuenta]],4))),Tabla11[Cuenta],Tabla11[Descripción],0)),0)</f>
        <v>0 0</v>
      </c>
      <c r="AD58" s="1" t="str">
        <f>IF(Regcontabilizados[[#This Row],[Eliminado]]="si","",RegContabilizados2[[#This Row],[Estado de pago]])</f>
        <v>NO PAGADO</v>
      </c>
      <c r="AE58" s="1" t="str">
        <f>IF(Regcontabilizados[[#This Row],[Eliminado]]="si","",RegContabilizados2[[#This Row],[Colum. Aux. Estado]])</f>
        <v>4656566Comp. Ingreso232424</v>
      </c>
      <c r="AF58" s="1">
        <f>IF(Regcontabilizados[[#This Row],[Eliminado]]="si","",RegContabilizados2[[#This Row],[Número de pago]])</f>
        <v>0</v>
      </c>
      <c r="AG58" s="1">
        <f>IF(Regcontabilizados[[#This Row],[Eliminado]]="si","",RegContabilizados2[[#This Row],[Elaborado por]])</f>
        <v>0</v>
      </c>
      <c r="AH58" s="1" t="str">
        <f>IF(Regcontabilizados[[#This Row],[Eliminado]]="si","",RegContabilizados2[[#This Row],[Notas]])</f>
        <v>Se recaudó el 50% de la fact.</v>
      </c>
      <c r="AI58" s="1" t="str">
        <f>IF(Regcontabilizados[[#This Row],[Eliminado]]="si","",RegContabilizados2[[#This Row],[Método de pago]])</f>
        <v>TRANSFERENCIA</v>
      </c>
      <c r="AJ58" s="1">
        <f>IF(Regcontabilizados[[#This Row],[Eliminado]]="si","",RegContabilizados2[[#This Row],[Cta. Bancaria]])</f>
        <v>111005</v>
      </c>
      <c r="AO58" s="31">
        <v>45995</v>
      </c>
      <c r="AP58" s="31">
        <v>45995</v>
      </c>
      <c r="AQ58" s="3" t="s">
        <v>1308</v>
      </c>
      <c r="AR58" s="3">
        <v>232424</v>
      </c>
      <c r="AS58" s="1" t="s">
        <v>1091</v>
      </c>
      <c r="AT58" s="1" t="s">
        <v>901</v>
      </c>
      <c r="AV58" s="3">
        <v>333333</v>
      </c>
      <c r="AW58" s="3"/>
      <c r="AX58" s="3"/>
      <c r="AY58" s="3"/>
      <c r="AZ58" s="3"/>
      <c r="BF58" s="1">
        <f>IFERROR((RegContabilizados2[[#This Row],[Debe]]-RegContabilizados2[[#This Row],[Haber]]),0)</f>
        <v>0</v>
      </c>
      <c r="BG58" s="1">
        <f>IFERROR((+_xlfn.XLOOKUP(RegContabilizados2[[#This Row],[Subcuenta]],Tabla11[Cuenta],Tabla11[Descripción],0)),0)</f>
        <v>0</v>
      </c>
      <c r="BH58" s="1">
        <f>IFERROR((VALUE(LEFT(RegContabilizados2[[#This Row],[Subcuenta]],2))&amp;" "&amp;_xlfn.XLOOKUP((VALUE(LEFT(RegContabilizados2[[#This Row],[Subcuenta]],2))),Tabla11[Cuenta],Tabla11[Descripción],0)),0)</f>
        <v>0</v>
      </c>
      <c r="BI58" s="1">
        <f>IFERROR((VALUE(LEFT(RegContabilizados2[[#This Row],[Subcuenta]],4))&amp;" "&amp;_xlfn.XLOOKUP((VALUE(LEFT(RegContabilizados2[[#This Row],[Subcuenta]],4))),Tabla11[Cuenta],Tabla11[Descripción],0)),0)</f>
        <v>0</v>
      </c>
      <c r="BJ58" s="1" t="str">
        <f>IFERROR((RegContabilizados2[[#This Row],[Subcuenta]]&amp;" "&amp;_xlfn.XLOOKUP(RegContabilizados2[[#This Row],[Subcuenta]],Tabla11[Cuenta],Tabla11[Descripción],0)),0)</f>
        <v xml:space="preserve"> 0</v>
      </c>
      <c r="BK58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58" s="1" t="str">
        <f>IFERROR(LEFT(RegContabilizados2[[#This Row],[Idenficador]],SEARCH("-",RegContabilizados2[[#This Row],[Idenficador]])-1),0)</f>
        <v>4656566Comp. Ingreso232424</v>
      </c>
      <c r="BO58" s="1" t="s">
        <v>1298</v>
      </c>
      <c r="BP58" s="1" t="s">
        <v>868</v>
      </c>
      <c r="BQ58" s="1">
        <v>111005</v>
      </c>
    </row>
    <row r="59" spans="4:69">
      <c r="D59" s="31">
        <f>IF(Regcontabilizados[[#This Row],[Eliminado]]="si","",RegContabilizados2[[#This Row],[fecha Factura]])</f>
        <v>45995</v>
      </c>
      <c r="E59" s="31">
        <f>IF(Regcontabilizados[[#This Row],[Eliminado]]="si","",RegContabilizados2[[#This Row],[Fecha vencimiento]])</f>
        <v>45995</v>
      </c>
      <c r="F59" s="3" t="str">
        <f>IF(Regcontabilizados[[#This Row],[Eliminado]]="si","",RegContabilizados2[[#This Row],[Idenficador]])</f>
        <v>4656566Comp. Ingreso232424-10</v>
      </c>
      <c r="G59" s="3">
        <f>IF(Regcontabilizados[[#This Row],[Eliminado]]="si","",RegContabilizados2[[#This Row],[N° de factura/Pago]])</f>
        <v>232424</v>
      </c>
      <c r="H59" s="1" t="str">
        <f>IF(Regcontabilizados[[#This Row],[Eliminado]]="si","",RegContabilizados2[[#This Row],[Tipo de Factura]])</f>
        <v>Comp. Ingreso</v>
      </c>
      <c r="I59" s="1" t="str">
        <f>IF(Regcontabilizados[[#This Row],[Eliminado]]="si","",RegContabilizados2[[#This Row],[ID Cliente]])</f>
        <v>CLIENTE 1</v>
      </c>
      <c r="J59" s="1">
        <f>IF(Regcontabilizados[[#This Row],[Eliminado]]="si","",RegContabilizados2[[#This Row],[ESTADO DEL IVA]])</f>
        <v>0</v>
      </c>
      <c r="K59" s="3">
        <f>IF(Regcontabilizados[[#This Row],[Eliminado]]="si","",RegContabilizados2[[#This Row],[ID Proveedor]])</f>
        <v>333333</v>
      </c>
      <c r="L59" s="3">
        <f>IF(Regcontabilizados[[#This Row],[Eliminado]]="si","",RegContabilizados2[[#This Row],[Concepto]])</f>
        <v>0</v>
      </c>
      <c r="M59" s="3">
        <f>IF(Regcontabilizados[[#This Row],[Eliminado]]="si","",RegContabilizados2[[#This Row],[Categoría]])</f>
        <v>0</v>
      </c>
      <c r="N59" s="3">
        <f>IF(Regcontabilizados[[#This Row],[Eliminado]]="si","",RegContabilizados2[[#This Row],[Almacen]])</f>
        <v>0</v>
      </c>
      <c r="O59" s="3">
        <f>IF(Regcontabilizados[[#This Row],[Eliminado]]="si","",RegContabilizados2[[#This Row],[Tipo de movimiento]])</f>
        <v>0</v>
      </c>
      <c r="P59" s="1">
        <f>IF(Regcontabilizados[[#This Row],[Eliminado]]="si","",RegContabilizados2[[#This Row],[cantidad]])</f>
        <v>0</v>
      </c>
      <c r="Q59" s="1">
        <f>IF(Regcontabilizados[[#This Row],[Eliminado]]="si","",RegContabilizados2[[#This Row],[VR unitario]])</f>
        <v>0</v>
      </c>
      <c r="R59" s="1">
        <f>IF(Regcontabilizados[[#This Row],[Eliminado]]="si","",RegContabilizados2[[#This Row],[Subcuenta]])</f>
        <v>0</v>
      </c>
      <c r="S59" s="1">
        <f>IF(Regcontabilizados[[#This Row],[Eliminado]]="si","",RegContabilizados2[[#This Row],[Debe]])</f>
        <v>0</v>
      </c>
      <c r="T59" s="1">
        <f>IF(Regcontabilizados[[#This Row],[Eliminado]]="si","",RegContabilizados2[[#This Row],[Haber]])</f>
        <v>0</v>
      </c>
      <c r="U59" s="1">
        <f>IFERROR((Regcontabilizados[[#This Row],[Debe]]-Regcontabilizados[[#This Row],[Haber]]),0)</f>
        <v>0</v>
      </c>
      <c r="V59" s="1">
        <f>IFERROR((+_xlfn.XLOOKUP(Regcontabilizados[[#This Row],[Subcuenta]],Tabla11[Cuenta],Tabla11[Descripción],0)),0)</f>
        <v>0</v>
      </c>
      <c r="W59" s="1">
        <f>IFERROR((_xlfn.XLOOKUP((VALUE(LEFT(Regcontabilizados[[#This Row],[Subcuenta]],4))),Tabla11[Cuenta],Tabla11[Descripción],0)),0)</f>
        <v>0</v>
      </c>
      <c r="X59" s="1">
        <f>IFERROR((_xlfn.XLOOKUP(Regcontabilizados[[#This Row],[Subcuenta]],Tabla11[Cuenta],Tabla11[Descripción],0)),0)</f>
        <v>0</v>
      </c>
      <c r="Y59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59" s="1" t="str">
        <f>_xlfn.XLOOKUP(Regcontabilizados[[#This Row],[Subcuenta]],Tabla11[Cuenta],Tabla11[TIPO],"")</f>
        <v/>
      </c>
      <c r="AA59" s="1" t="str">
        <f>IFERROR((Regcontabilizados[[#This Row],[Subcuenta]]&amp;" "&amp;_xlfn.XLOOKUP(Regcontabilizados[[#This Row],[Subcuenta]],Tabla11[Cuenta],Tabla11[Descripción],0)),0)</f>
        <v>0 0</v>
      </c>
      <c r="AB59" s="1" t="str">
        <f>IFERROR((VALUE(LEFT(Regcontabilizados[[#This Row],[Subcuenta]],2))&amp;" "&amp;_xlfn.XLOOKUP((VALUE(LEFT(Regcontabilizados[[#This Row],[Subcuenta]],2))),Tabla11[Cuenta],Tabla11[Descripción],0)),0)</f>
        <v>0 0</v>
      </c>
      <c r="AC59" s="1" t="str">
        <f>IFERROR((VALUE(LEFT(Regcontabilizados[[#This Row],[Subcuenta]],4))&amp;" "&amp;_xlfn.XLOOKUP((VALUE(LEFT(Regcontabilizados[[#This Row],[Subcuenta]],4))),Tabla11[Cuenta],Tabla11[Descripción],0)),0)</f>
        <v>0 0</v>
      </c>
      <c r="AD59" s="1" t="str">
        <f>IF(Regcontabilizados[[#This Row],[Eliminado]]="si","",RegContabilizados2[[#This Row],[Estado de pago]])</f>
        <v>NO PAGADO</v>
      </c>
      <c r="AE59" s="1" t="str">
        <f>IF(Regcontabilizados[[#This Row],[Eliminado]]="si","",RegContabilizados2[[#This Row],[Colum. Aux. Estado]])</f>
        <v>4656566Comp. Ingreso232424</v>
      </c>
      <c r="AF59" s="1">
        <f>IF(Regcontabilizados[[#This Row],[Eliminado]]="si","",RegContabilizados2[[#This Row],[Número de pago]])</f>
        <v>0</v>
      </c>
      <c r="AG59" s="1">
        <f>IF(Regcontabilizados[[#This Row],[Eliminado]]="si","",RegContabilizados2[[#This Row],[Elaborado por]])</f>
        <v>0</v>
      </c>
      <c r="AH59" s="1" t="str">
        <f>IF(Regcontabilizados[[#This Row],[Eliminado]]="si","",RegContabilizados2[[#This Row],[Notas]])</f>
        <v>Se recaudó el 50% de la fact.</v>
      </c>
      <c r="AI59" s="1" t="str">
        <f>IF(Regcontabilizados[[#This Row],[Eliminado]]="si","",RegContabilizados2[[#This Row],[Método de pago]])</f>
        <v>TRANSFERENCIA</v>
      </c>
      <c r="AJ59" s="1">
        <f>IF(Regcontabilizados[[#This Row],[Eliminado]]="si","",RegContabilizados2[[#This Row],[Cta. Bancaria]])</f>
        <v>111005</v>
      </c>
      <c r="AO59" s="31">
        <v>45995</v>
      </c>
      <c r="AP59" s="31">
        <v>45995</v>
      </c>
      <c r="AQ59" s="3" t="s">
        <v>1309</v>
      </c>
      <c r="AR59" s="3">
        <v>232424</v>
      </c>
      <c r="AS59" s="1" t="s">
        <v>1091</v>
      </c>
      <c r="AT59" s="1" t="s">
        <v>901</v>
      </c>
      <c r="AV59" s="3">
        <v>333333</v>
      </c>
      <c r="AW59" s="3"/>
      <c r="AX59" s="3"/>
      <c r="AY59" s="3"/>
      <c r="AZ59" s="3"/>
      <c r="BF59" s="1">
        <f>IFERROR((RegContabilizados2[[#This Row],[Debe]]-RegContabilizados2[[#This Row],[Haber]]),0)</f>
        <v>0</v>
      </c>
      <c r="BG59" s="1">
        <f>IFERROR((+_xlfn.XLOOKUP(RegContabilizados2[[#This Row],[Subcuenta]],Tabla11[Cuenta],Tabla11[Descripción],0)),0)</f>
        <v>0</v>
      </c>
      <c r="BH59" s="1">
        <f>IFERROR((VALUE(LEFT(RegContabilizados2[[#This Row],[Subcuenta]],2))&amp;" "&amp;_xlfn.XLOOKUP((VALUE(LEFT(RegContabilizados2[[#This Row],[Subcuenta]],2))),Tabla11[Cuenta],Tabla11[Descripción],0)),0)</f>
        <v>0</v>
      </c>
      <c r="BI59" s="1">
        <f>IFERROR((VALUE(LEFT(RegContabilizados2[[#This Row],[Subcuenta]],4))&amp;" "&amp;_xlfn.XLOOKUP((VALUE(LEFT(RegContabilizados2[[#This Row],[Subcuenta]],4))),Tabla11[Cuenta],Tabla11[Descripción],0)),0)</f>
        <v>0</v>
      </c>
      <c r="BJ59" s="1" t="str">
        <f>IFERROR((RegContabilizados2[[#This Row],[Subcuenta]]&amp;" "&amp;_xlfn.XLOOKUP(RegContabilizados2[[#This Row],[Subcuenta]],Tabla11[Cuenta],Tabla11[Descripción],0)),0)</f>
        <v xml:space="preserve"> 0</v>
      </c>
      <c r="BK59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59" s="1" t="str">
        <f>IFERROR(LEFT(RegContabilizados2[[#This Row],[Idenficador]],SEARCH("-",RegContabilizados2[[#This Row],[Idenficador]])-1),0)</f>
        <v>4656566Comp. Ingreso232424</v>
      </c>
      <c r="BO59" s="1" t="s">
        <v>1298</v>
      </c>
      <c r="BP59" s="1" t="s">
        <v>868</v>
      </c>
      <c r="BQ59" s="1">
        <v>111005</v>
      </c>
    </row>
    <row r="60" spans="4:69">
      <c r="D60" s="31">
        <f>IF(Regcontabilizados[[#This Row],[Eliminado]]="si","",RegContabilizados2[[#This Row],[fecha Factura]])</f>
        <v>45993</v>
      </c>
      <c r="E60" s="31">
        <f>IF(Regcontabilizados[[#This Row],[Eliminado]]="si","",RegContabilizados2[[#This Row],[Fecha vencimiento]])</f>
        <v>45993</v>
      </c>
      <c r="F60" s="31" t="str">
        <f>IF(Regcontabilizados[[#This Row],[Eliminado]]="si","",RegContabilizados2[[#This Row],[Idenficador]])</f>
        <v>4656566F. V.3-1</v>
      </c>
      <c r="G60" s="3">
        <f>IF(Regcontabilizados[[#This Row],[Eliminado]]="si","",RegContabilizados2[[#This Row],[N° de factura/Pago]])</f>
        <v>3</v>
      </c>
      <c r="H60" s="1" t="str">
        <f>IF(Regcontabilizados[[#This Row],[Eliminado]]="si","",RegContabilizados2[[#This Row],[Tipo de Factura]])</f>
        <v>F. V.</v>
      </c>
      <c r="I60" s="1" t="str">
        <f>IF(Regcontabilizados[[#This Row],[Eliminado]]="si","",RegContabilizados2[[#This Row],[ID Cliente]])</f>
        <v>CLIENTE 1</v>
      </c>
      <c r="J60" s="1">
        <f>IF(Regcontabilizados[[#This Row],[Eliminado]]="si","",RegContabilizados2[[#This Row],[ESTADO DEL IVA]])</f>
        <v>0</v>
      </c>
      <c r="K60" s="3">
        <f>IF(Regcontabilizados[[#This Row],[Eliminado]]="si","",RegContabilizados2[[#This Row],[ID Proveedor]])</f>
        <v>333333</v>
      </c>
      <c r="L60" s="3" t="str">
        <f>IF(Regcontabilizados[[#This Row],[Eliminado]]="si","",RegContabilizados2[[#This Row],[Concepto]])</f>
        <v>C12345-Zapatos</v>
      </c>
      <c r="M60" s="3" t="str">
        <f>IF(Regcontabilizados[[#This Row],[Eliminado]]="si","",RegContabilizados2[[#This Row],[Categoría]])</f>
        <v>Caballero</v>
      </c>
      <c r="N60" s="3" t="str">
        <f>IF(Regcontabilizados[[#This Row],[Eliminado]]="si","",RegContabilizados2[[#This Row],[Almacen]])</f>
        <v>Principal</v>
      </c>
      <c r="O60" s="3" t="str">
        <f>IF(Regcontabilizados[[#This Row],[Eliminado]]="si","",RegContabilizados2[[#This Row],[Tipo de movimiento]])</f>
        <v>Salida</v>
      </c>
      <c r="P60" s="1">
        <f>IF(Regcontabilizados[[#This Row],[Eliminado]]="si","",RegContabilizados2[[#This Row],[cantidad]])</f>
        <v>2</v>
      </c>
      <c r="Q60" s="1">
        <f>IF(Regcontabilizados[[#This Row],[Eliminado]]="si","",RegContabilizados2[[#This Row],[VR unitario]])</f>
        <v>100000</v>
      </c>
      <c r="R60" s="1">
        <f>IF(Regcontabilizados[[#This Row],[Eliminado]]="si","",RegContabilizados2[[#This Row],[Subcuenta]])</f>
        <v>130505</v>
      </c>
      <c r="S60" s="1">
        <f>IF(Regcontabilizados[[#This Row],[Eliminado]]="si","",RegContabilizados2[[#This Row],[Debe]])</f>
        <v>200000</v>
      </c>
      <c r="T60" s="1">
        <f>IF(Regcontabilizados[[#This Row],[Eliminado]]="si","",RegContabilizados2[[#This Row],[Haber]])</f>
        <v>0</v>
      </c>
      <c r="U60" s="1">
        <f>IFERROR((Regcontabilizados[[#This Row],[Debe]]-Regcontabilizados[[#This Row],[Haber]]),0)</f>
        <v>200000</v>
      </c>
      <c r="V60" s="1" t="str">
        <f>IFERROR((+_xlfn.XLOOKUP(Regcontabilizados[[#This Row],[Subcuenta]],Tabla11[Cuenta],Tabla11[Descripción],0)),0)</f>
        <v>Nacionales</v>
      </c>
      <c r="W60" s="1" t="str">
        <f>IFERROR((_xlfn.XLOOKUP((VALUE(LEFT(Regcontabilizados[[#This Row],[Subcuenta]],4))),Tabla11[Cuenta],Tabla11[Descripción],0)),0)</f>
        <v>CLIENTES</v>
      </c>
      <c r="X60" s="1" t="str">
        <f>IFERROR((_xlfn.XLOOKUP(Regcontabilizados[[#This Row],[Subcuenta]],Tabla11[Cuenta],Tabla11[Descripción],0)),0)</f>
        <v>Nacionales</v>
      </c>
      <c r="Y60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60" s="1" t="str">
        <f>_xlfn.XLOOKUP(Regcontabilizados[[#This Row],[Subcuenta]],Tabla11[Cuenta],Tabla11[TIPO],"")</f>
        <v>Activo Corriente</v>
      </c>
      <c r="AA60" s="1" t="str">
        <f>IFERROR((Regcontabilizados[[#This Row],[Subcuenta]]&amp;" "&amp;_xlfn.XLOOKUP(Regcontabilizados[[#This Row],[Subcuenta]],Tabla11[Cuenta],Tabla11[Descripción],0)),0)</f>
        <v>130505 Nacionales</v>
      </c>
      <c r="AB60" s="1" t="str">
        <f>IFERROR((VALUE(LEFT(Regcontabilizados[[#This Row],[Subcuenta]],2))&amp;" "&amp;_xlfn.XLOOKUP((VALUE(LEFT(Regcontabilizados[[#This Row],[Subcuenta]],2))),Tabla11[Cuenta],Tabla11[Descripción],0)),0)</f>
        <v>13 DEUDORES</v>
      </c>
      <c r="AC60" s="1" t="str">
        <f>IFERROR((VALUE(LEFT(Regcontabilizados[[#This Row],[Subcuenta]],4))&amp;" "&amp;_xlfn.XLOOKUP((VALUE(LEFT(Regcontabilizados[[#This Row],[Subcuenta]],4))),Tabla11[Cuenta],Tabla11[Descripción],0)),0)</f>
        <v>1305 CLIENTES</v>
      </c>
      <c r="AD60" s="1" t="str">
        <f>IF(Regcontabilizados[[#This Row],[Eliminado]]="si","",RegContabilizados2[[#This Row],[Estado de pago]])</f>
        <v>NO PAGADO</v>
      </c>
      <c r="AE60" s="1" t="str">
        <f>IF(Regcontabilizados[[#This Row],[Eliminado]]="si","",RegContabilizados2[[#This Row],[Colum. Aux. Estado]])</f>
        <v>4656566F. V.3</v>
      </c>
      <c r="AF60" s="1">
        <f>IF(Regcontabilizados[[#This Row],[Eliminado]]="si","",RegContabilizados2[[#This Row],[Número de pago]])</f>
        <v>0</v>
      </c>
      <c r="AG60" s="1" t="str">
        <f>IF(Regcontabilizados[[#This Row],[Eliminado]]="si","",RegContabilizados2[[#This Row],[Elaborado por]])</f>
        <v>oscar colmenares</v>
      </c>
      <c r="AH60" s="1" t="str">
        <f>IF(Regcontabilizados[[#This Row],[Eliminado]]="si","",RegContabilizados2[[#This Row],[Notas]])</f>
        <v>Vendi de contado</v>
      </c>
      <c r="AI60" s="1">
        <f>IF(Regcontabilizados[[#This Row],[Eliminado]]="si","",RegContabilizados2[[#This Row],[Método de pago]])</f>
        <v>0</v>
      </c>
      <c r="AJ60" s="1">
        <f>IF(Regcontabilizados[[#This Row],[Eliminado]]="si","",RegContabilizados2[[#This Row],[Cta. Bancaria]])</f>
        <v>0</v>
      </c>
      <c r="AO60" s="31">
        <v>45993</v>
      </c>
      <c r="AP60" s="31">
        <v>45993</v>
      </c>
      <c r="AQ60" s="31" t="s">
        <v>1276</v>
      </c>
      <c r="AR60" s="3">
        <v>3</v>
      </c>
      <c r="AS60" s="1" t="s">
        <v>766</v>
      </c>
      <c r="AT60" s="1" t="s">
        <v>901</v>
      </c>
      <c r="AV60" s="3">
        <v>333333</v>
      </c>
      <c r="AW60" s="3" t="s">
        <v>1104</v>
      </c>
      <c r="AX60" s="3" t="s">
        <v>1000</v>
      </c>
      <c r="AY60" s="3" t="s">
        <v>1001</v>
      </c>
      <c r="AZ60" s="3" t="s">
        <v>975</v>
      </c>
      <c r="BA60" s="1">
        <v>2</v>
      </c>
      <c r="BB60" s="1">
        <v>100000</v>
      </c>
      <c r="BC60" s="1">
        <v>130505</v>
      </c>
      <c r="BD60" s="1">
        <v>200000</v>
      </c>
      <c r="BE60" s="1">
        <v>0</v>
      </c>
      <c r="BF60" s="1">
        <f>IFERROR((RegContabilizados2[[#This Row],[Debe]]-RegContabilizados2[[#This Row],[Haber]]),0)</f>
        <v>200000</v>
      </c>
      <c r="BG60" s="1" t="str">
        <f>IFERROR((+_xlfn.XLOOKUP(RegContabilizados2[[#This Row],[Subcuenta]],Tabla11[Cuenta],Tabla11[Descripción],0)),0)</f>
        <v>Nacionales</v>
      </c>
      <c r="BH60" s="1" t="str">
        <f>IFERROR((VALUE(LEFT(RegContabilizados2[[#This Row],[Subcuenta]],2))&amp;" "&amp;_xlfn.XLOOKUP((VALUE(LEFT(RegContabilizados2[[#This Row],[Subcuenta]],2))),Tabla11[Cuenta],Tabla11[Descripción],0)),0)</f>
        <v>13 DEUDORES</v>
      </c>
      <c r="BI60" s="1" t="str">
        <f>IFERROR((VALUE(LEFT(RegContabilizados2[[#This Row],[Subcuenta]],4))&amp;" "&amp;_xlfn.XLOOKUP((VALUE(LEFT(RegContabilizados2[[#This Row],[Subcuenta]],4))),Tabla11[Cuenta],Tabla11[Descripción],0)),0)</f>
        <v>1305 CLIENTES</v>
      </c>
      <c r="BJ60" s="1" t="str">
        <f>IFERROR((RegContabilizados2[[#This Row],[Subcuenta]]&amp;" "&amp;_xlfn.XLOOKUP(RegContabilizados2[[#This Row],[Subcuenta]],Tabla11[Cuenta],Tabla11[Descripción],0)),0)</f>
        <v>130505 Nacionales</v>
      </c>
      <c r="BK60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60" s="1" t="str">
        <f>IFERROR(LEFT(RegContabilizados2[[#This Row],[Idenficador]],SEARCH("-",RegContabilizados2[[#This Row],[Idenficador]])-1),0)</f>
        <v>4656566F. V.3</v>
      </c>
      <c r="BN60" s="1" t="s">
        <v>1273</v>
      </c>
      <c r="BO60" s="1" t="s">
        <v>1274</v>
      </c>
    </row>
    <row r="61" spans="4:69">
      <c r="D61" s="31">
        <f>IF(Regcontabilizados[[#This Row],[Eliminado]]="si","",RegContabilizados2[[#This Row],[fecha Factura]])</f>
        <v>45993</v>
      </c>
      <c r="E61" s="31">
        <f>IF(Regcontabilizados[[#This Row],[Eliminado]]="si","",RegContabilizados2[[#This Row],[Fecha vencimiento]])</f>
        <v>45993</v>
      </c>
      <c r="F61" s="31" t="str">
        <f>IF(Regcontabilizados[[#This Row],[Eliminado]]="si","",RegContabilizados2[[#This Row],[Idenficador]])</f>
        <v>4656566F. V.3-2</v>
      </c>
      <c r="G61" s="3">
        <f>IF(Regcontabilizados[[#This Row],[Eliminado]]="si","",RegContabilizados2[[#This Row],[N° de factura/Pago]])</f>
        <v>3</v>
      </c>
      <c r="H61" s="1" t="str">
        <f>IF(Regcontabilizados[[#This Row],[Eliminado]]="si","",RegContabilizados2[[#This Row],[Tipo de Factura]])</f>
        <v>F. V.</v>
      </c>
      <c r="I61" s="1" t="str">
        <f>IF(Regcontabilizados[[#This Row],[Eliminado]]="si","",RegContabilizados2[[#This Row],[ID Cliente]])</f>
        <v>CLIENTE 1</v>
      </c>
      <c r="J61" s="1">
        <f>IF(Regcontabilizados[[#This Row],[Eliminado]]="si","",RegContabilizados2[[#This Row],[ESTADO DEL IVA]])</f>
        <v>0</v>
      </c>
      <c r="K61" s="3">
        <f>IF(Regcontabilizados[[#This Row],[Eliminado]]="si","",RegContabilizados2[[#This Row],[ID Proveedor]])</f>
        <v>333333</v>
      </c>
      <c r="L61" s="3">
        <f>IF(Regcontabilizados[[#This Row],[Eliminado]]="si","",RegContabilizados2[[#This Row],[Concepto]])</f>
        <v>0</v>
      </c>
      <c r="M61" s="3">
        <f>IF(Regcontabilizados[[#This Row],[Eliminado]]="si","",RegContabilizados2[[#This Row],[Categoría]])</f>
        <v>0</v>
      </c>
      <c r="N61" s="3" t="str">
        <f>IF(Regcontabilizados[[#This Row],[Eliminado]]="si","",RegContabilizados2[[#This Row],[Almacen]])</f>
        <v>Principal</v>
      </c>
      <c r="O61" s="3" t="str">
        <f>IF(Regcontabilizados[[#This Row],[Eliminado]]="si","",RegContabilizados2[[#This Row],[Tipo de movimiento]])</f>
        <v>Salida</v>
      </c>
      <c r="P61" s="1">
        <f>IF(Regcontabilizados[[#This Row],[Eliminado]]="si","",RegContabilizados2[[#This Row],[cantidad]])</f>
        <v>0</v>
      </c>
      <c r="Q61" s="1">
        <f>IF(Regcontabilizados[[#This Row],[Eliminado]]="si","",RegContabilizados2[[#This Row],[VR unitario]])</f>
        <v>0</v>
      </c>
      <c r="R61" s="1" t="str">
        <f>IF(Regcontabilizados[[#This Row],[Eliminado]]="si","",RegContabilizados2[[#This Row],[Subcuenta]])</f>
        <v/>
      </c>
      <c r="S61" s="1">
        <f>IF(Regcontabilizados[[#This Row],[Eliminado]]="si","",RegContabilizados2[[#This Row],[Debe]])</f>
        <v>0</v>
      </c>
      <c r="T61" s="1">
        <f>IF(Regcontabilizados[[#This Row],[Eliminado]]="si","",RegContabilizados2[[#This Row],[Haber]])</f>
        <v>0</v>
      </c>
      <c r="U61" s="1">
        <f>IFERROR((Regcontabilizados[[#This Row],[Debe]]-Regcontabilizados[[#This Row],[Haber]]),0)</f>
        <v>0</v>
      </c>
      <c r="V61" s="1">
        <f>IFERROR((+_xlfn.XLOOKUP(Regcontabilizados[[#This Row],[Subcuenta]],Tabla11[Cuenta],Tabla11[Descripción],0)),0)</f>
        <v>0</v>
      </c>
      <c r="W61" s="1">
        <f>IFERROR((_xlfn.XLOOKUP((VALUE(LEFT(Regcontabilizados[[#This Row],[Subcuenta]],4))),Tabla11[Cuenta],Tabla11[Descripción],0)),0)</f>
        <v>0</v>
      </c>
      <c r="X61" s="1">
        <f>IFERROR((_xlfn.XLOOKUP(Regcontabilizados[[#This Row],[Subcuenta]],Tabla11[Cuenta],Tabla11[Descripción],0)),0)</f>
        <v>0</v>
      </c>
      <c r="Y61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61" s="1" t="str">
        <f>_xlfn.XLOOKUP(Regcontabilizados[[#This Row],[Subcuenta]],Tabla11[Cuenta],Tabla11[TIPO],"")</f>
        <v/>
      </c>
      <c r="AA61" s="1" t="str">
        <f>IFERROR((Regcontabilizados[[#This Row],[Subcuenta]]&amp;" "&amp;_xlfn.XLOOKUP(Regcontabilizados[[#This Row],[Subcuenta]],Tabla11[Cuenta],Tabla11[Descripción],0)),0)</f>
        <v xml:space="preserve"> 0</v>
      </c>
      <c r="AB61" s="1">
        <f>IFERROR((VALUE(LEFT(Regcontabilizados[[#This Row],[Subcuenta]],2))&amp;" "&amp;_xlfn.XLOOKUP((VALUE(LEFT(Regcontabilizados[[#This Row],[Subcuenta]],2))),Tabla11[Cuenta],Tabla11[Descripción],0)),0)</f>
        <v>0</v>
      </c>
      <c r="AC61" s="1">
        <f>IFERROR((VALUE(LEFT(Regcontabilizados[[#This Row],[Subcuenta]],4))&amp;" "&amp;_xlfn.XLOOKUP((VALUE(LEFT(Regcontabilizados[[#This Row],[Subcuenta]],4))),Tabla11[Cuenta],Tabla11[Descripción],0)),0)</f>
        <v>0</v>
      </c>
      <c r="AD61" s="1" t="str">
        <f>IF(Regcontabilizados[[#This Row],[Eliminado]]="si","",RegContabilizados2[[#This Row],[Estado de pago]])</f>
        <v>NO PAGADO</v>
      </c>
      <c r="AE61" s="1" t="str">
        <f>IF(Regcontabilizados[[#This Row],[Eliminado]]="si","",RegContabilizados2[[#This Row],[Colum. Aux. Estado]])</f>
        <v>4656566F. V.3</v>
      </c>
      <c r="AF61" s="1">
        <f>IF(Regcontabilizados[[#This Row],[Eliminado]]="si","",RegContabilizados2[[#This Row],[Número de pago]])</f>
        <v>0</v>
      </c>
      <c r="AG61" s="1" t="str">
        <f>IF(Regcontabilizados[[#This Row],[Eliminado]]="si","",RegContabilizados2[[#This Row],[Elaborado por]])</f>
        <v>oscar colmenares</v>
      </c>
      <c r="AH61" s="1" t="str">
        <f>IF(Regcontabilizados[[#This Row],[Eliminado]]="si","",RegContabilizados2[[#This Row],[Notas]])</f>
        <v>Vendi de contado</v>
      </c>
      <c r="AI61" s="1">
        <f>IF(Regcontabilizados[[#This Row],[Eliminado]]="si","",RegContabilizados2[[#This Row],[Método de pago]])</f>
        <v>0</v>
      </c>
      <c r="AJ61" s="1">
        <f>IF(Regcontabilizados[[#This Row],[Eliminado]]="si","",RegContabilizados2[[#This Row],[Cta. Bancaria]])</f>
        <v>0</v>
      </c>
      <c r="AO61" s="31">
        <v>45993</v>
      </c>
      <c r="AP61" s="31">
        <v>45993</v>
      </c>
      <c r="AQ61" s="31" t="s">
        <v>1277</v>
      </c>
      <c r="AR61" s="3">
        <v>3</v>
      </c>
      <c r="AS61" s="1" t="s">
        <v>766</v>
      </c>
      <c r="AT61" s="1" t="s">
        <v>901</v>
      </c>
      <c r="AV61" s="3">
        <v>333333</v>
      </c>
      <c r="AW61" s="3"/>
      <c r="AX61" s="3">
        <v>0</v>
      </c>
      <c r="AY61" s="3" t="s">
        <v>1001</v>
      </c>
      <c r="AZ61" s="3" t="s">
        <v>975</v>
      </c>
      <c r="BB61" s="1">
        <v>0</v>
      </c>
      <c r="BC61" s="1" t="s">
        <v>1168</v>
      </c>
      <c r="BD61" s="1">
        <v>0</v>
      </c>
      <c r="BE61" s="1">
        <v>0</v>
      </c>
      <c r="BF61" s="1">
        <f>IFERROR((RegContabilizados2[[#This Row],[Debe]]-RegContabilizados2[[#This Row],[Haber]]),0)</f>
        <v>0</v>
      </c>
      <c r="BG61" s="1">
        <f>IFERROR((+_xlfn.XLOOKUP(RegContabilizados2[[#This Row],[Subcuenta]],Tabla11[Cuenta],Tabla11[Descripción],0)),0)</f>
        <v>0</v>
      </c>
      <c r="BH61" s="1">
        <f>IFERROR((VALUE(LEFT(RegContabilizados2[[#This Row],[Subcuenta]],2))&amp;" "&amp;_xlfn.XLOOKUP((VALUE(LEFT(RegContabilizados2[[#This Row],[Subcuenta]],2))),Tabla11[Cuenta],Tabla11[Descripción],0)),0)</f>
        <v>0</v>
      </c>
      <c r="BI61" s="1">
        <f>IFERROR((VALUE(LEFT(RegContabilizados2[[#This Row],[Subcuenta]],4))&amp;" "&amp;_xlfn.XLOOKUP((VALUE(LEFT(RegContabilizados2[[#This Row],[Subcuenta]],4))),Tabla11[Cuenta],Tabla11[Descripción],0)),0)</f>
        <v>0</v>
      </c>
      <c r="BJ61" s="1" t="str">
        <f>IFERROR((RegContabilizados2[[#This Row],[Subcuenta]]&amp;" "&amp;_xlfn.XLOOKUP(RegContabilizados2[[#This Row],[Subcuenta]],Tabla11[Cuenta],Tabla11[Descripción],0)),0)</f>
        <v xml:space="preserve"> 0</v>
      </c>
      <c r="BK61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61" s="1" t="str">
        <f>IFERROR(LEFT(RegContabilizados2[[#This Row],[Idenficador]],SEARCH("-",RegContabilizados2[[#This Row],[Idenficador]])-1),0)</f>
        <v>4656566F. V.3</v>
      </c>
      <c r="BN61" s="1" t="s">
        <v>1273</v>
      </c>
      <c r="BO61" s="1" t="s">
        <v>1274</v>
      </c>
    </row>
    <row r="62" spans="4:69">
      <c r="D62" s="31">
        <f>IF(Regcontabilizados[[#This Row],[Eliminado]]="si","",RegContabilizados2[[#This Row],[fecha Factura]])</f>
        <v>45993</v>
      </c>
      <c r="E62" s="31">
        <f>IF(Regcontabilizados[[#This Row],[Eliminado]]="si","",RegContabilizados2[[#This Row],[Fecha vencimiento]])</f>
        <v>45993</v>
      </c>
      <c r="F62" s="31" t="str">
        <f>IF(Regcontabilizados[[#This Row],[Eliminado]]="si","",RegContabilizados2[[#This Row],[Idenficador]])</f>
        <v>4656566F. V.3-3</v>
      </c>
      <c r="G62" s="3">
        <f>IF(Regcontabilizados[[#This Row],[Eliminado]]="si","",RegContabilizados2[[#This Row],[N° de factura/Pago]])</f>
        <v>3</v>
      </c>
      <c r="H62" s="1" t="str">
        <f>IF(Regcontabilizados[[#This Row],[Eliminado]]="si","",RegContabilizados2[[#This Row],[Tipo de Factura]])</f>
        <v>F. V.</v>
      </c>
      <c r="I62" s="1" t="str">
        <f>IF(Regcontabilizados[[#This Row],[Eliminado]]="si","",RegContabilizados2[[#This Row],[ID Cliente]])</f>
        <v>CLIENTE 1</v>
      </c>
      <c r="J62" s="1">
        <f>IF(Regcontabilizados[[#This Row],[Eliminado]]="si","",RegContabilizados2[[#This Row],[ESTADO DEL IVA]])</f>
        <v>0</v>
      </c>
      <c r="K62" s="3">
        <f>IF(Regcontabilizados[[#This Row],[Eliminado]]="si","",RegContabilizados2[[#This Row],[ID Proveedor]])</f>
        <v>333333</v>
      </c>
      <c r="L62" s="3">
        <f>IF(Regcontabilizados[[#This Row],[Eliminado]]="si","",RegContabilizados2[[#This Row],[Concepto]])</f>
        <v>0</v>
      </c>
      <c r="M62" s="3">
        <f>IF(Regcontabilizados[[#This Row],[Eliminado]]="si","",RegContabilizados2[[#This Row],[Categoría]])</f>
        <v>0</v>
      </c>
      <c r="N62" s="3" t="str">
        <f>IF(Regcontabilizados[[#This Row],[Eliminado]]="si","",RegContabilizados2[[#This Row],[Almacen]])</f>
        <v>Principal</v>
      </c>
      <c r="O62" s="3" t="str">
        <f>IF(Regcontabilizados[[#This Row],[Eliminado]]="si","",RegContabilizados2[[#This Row],[Tipo de movimiento]])</f>
        <v>Salida</v>
      </c>
      <c r="P62" s="1">
        <f>IF(Regcontabilizados[[#This Row],[Eliminado]]="si","",RegContabilizados2[[#This Row],[cantidad]])</f>
        <v>0</v>
      </c>
      <c r="Q62" s="1">
        <f>IF(Regcontabilizados[[#This Row],[Eliminado]]="si","",RegContabilizados2[[#This Row],[VR unitario]])</f>
        <v>0</v>
      </c>
      <c r="R62" s="1" t="str">
        <f>IF(Regcontabilizados[[#This Row],[Eliminado]]="si","",RegContabilizados2[[#This Row],[Subcuenta]])</f>
        <v/>
      </c>
      <c r="S62" s="1">
        <f>IF(Regcontabilizados[[#This Row],[Eliminado]]="si","",RegContabilizados2[[#This Row],[Debe]])</f>
        <v>0</v>
      </c>
      <c r="T62" s="1">
        <f>IF(Regcontabilizados[[#This Row],[Eliminado]]="si","",RegContabilizados2[[#This Row],[Haber]])</f>
        <v>0</v>
      </c>
      <c r="U62" s="1">
        <f>IFERROR((Regcontabilizados[[#This Row],[Debe]]-Regcontabilizados[[#This Row],[Haber]]),0)</f>
        <v>0</v>
      </c>
      <c r="V62" s="1">
        <f>IFERROR((+_xlfn.XLOOKUP(Regcontabilizados[[#This Row],[Subcuenta]],Tabla11[Cuenta],Tabla11[Descripción],0)),0)</f>
        <v>0</v>
      </c>
      <c r="W62" s="1">
        <f>IFERROR((_xlfn.XLOOKUP((VALUE(LEFT(Regcontabilizados[[#This Row],[Subcuenta]],4))),Tabla11[Cuenta],Tabla11[Descripción],0)),0)</f>
        <v>0</v>
      </c>
      <c r="X62" s="1">
        <f>IFERROR((_xlfn.XLOOKUP(Regcontabilizados[[#This Row],[Subcuenta]],Tabla11[Cuenta],Tabla11[Descripción],0)),0)</f>
        <v>0</v>
      </c>
      <c r="Y62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62" s="1" t="str">
        <f>_xlfn.XLOOKUP(Regcontabilizados[[#This Row],[Subcuenta]],Tabla11[Cuenta],Tabla11[TIPO],"")</f>
        <v/>
      </c>
      <c r="AA62" s="1" t="str">
        <f>IFERROR((Regcontabilizados[[#This Row],[Subcuenta]]&amp;" "&amp;_xlfn.XLOOKUP(Regcontabilizados[[#This Row],[Subcuenta]],Tabla11[Cuenta],Tabla11[Descripción],0)),0)</f>
        <v xml:space="preserve"> 0</v>
      </c>
      <c r="AB62" s="1">
        <f>IFERROR((VALUE(LEFT(Regcontabilizados[[#This Row],[Subcuenta]],2))&amp;" "&amp;_xlfn.XLOOKUP((VALUE(LEFT(Regcontabilizados[[#This Row],[Subcuenta]],2))),Tabla11[Cuenta],Tabla11[Descripción],0)),0)</f>
        <v>0</v>
      </c>
      <c r="AC62" s="1">
        <f>IFERROR((VALUE(LEFT(Regcontabilizados[[#This Row],[Subcuenta]],4))&amp;" "&amp;_xlfn.XLOOKUP((VALUE(LEFT(Regcontabilizados[[#This Row],[Subcuenta]],4))),Tabla11[Cuenta],Tabla11[Descripción],0)),0)</f>
        <v>0</v>
      </c>
      <c r="AD62" s="1" t="str">
        <f>IF(Regcontabilizados[[#This Row],[Eliminado]]="si","",RegContabilizados2[[#This Row],[Estado de pago]])</f>
        <v>NO PAGADO</v>
      </c>
      <c r="AE62" s="1" t="str">
        <f>IF(Regcontabilizados[[#This Row],[Eliminado]]="si","",RegContabilizados2[[#This Row],[Colum. Aux. Estado]])</f>
        <v>4656566F. V.3</v>
      </c>
      <c r="AF62" s="1">
        <f>IF(Regcontabilizados[[#This Row],[Eliminado]]="si","",RegContabilizados2[[#This Row],[Número de pago]])</f>
        <v>0</v>
      </c>
      <c r="AG62" s="1" t="str">
        <f>IF(Regcontabilizados[[#This Row],[Eliminado]]="si","",RegContabilizados2[[#This Row],[Elaborado por]])</f>
        <v>oscar colmenares</v>
      </c>
      <c r="AH62" s="1" t="str">
        <f>IF(Regcontabilizados[[#This Row],[Eliminado]]="si","",RegContabilizados2[[#This Row],[Notas]])</f>
        <v>Vendi de contado</v>
      </c>
      <c r="AI62" s="1">
        <f>IF(Regcontabilizados[[#This Row],[Eliminado]]="si","",RegContabilizados2[[#This Row],[Método de pago]])</f>
        <v>0</v>
      </c>
      <c r="AJ62" s="1">
        <f>IF(Regcontabilizados[[#This Row],[Eliminado]]="si","",RegContabilizados2[[#This Row],[Cta. Bancaria]])</f>
        <v>0</v>
      </c>
      <c r="AO62" s="31">
        <v>45993</v>
      </c>
      <c r="AP62" s="31">
        <v>45993</v>
      </c>
      <c r="AQ62" s="31" t="s">
        <v>1278</v>
      </c>
      <c r="AR62" s="3">
        <v>3</v>
      </c>
      <c r="AS62" s="1" t="s">
        <v>766</v>
      </c>
      <c r="AT62" s="1" t="s">
        <v>901</v>
      </c>
      <c r="AV62" s="3">
        <v>333333</v>
      </c>
      <c r="AW62" s="3"/>
      <c r="AX62" s="3">
        <v>0</v>
      </c>
      <c r="AY62" s="3" t="s">
        <v>1001</v>
      </c>
      <c r="AZ62" s="3" t="s">
        <v>975</v>
      </c>
      <c r="BB62" s="1">
        <v>0</v>
      </c>
      <c r="BC62" s="1" t="s">
        <v>1168</v>
      </c>
      <c r="BD62" s="1">
        <v>0</v>
      </c>
      <c r="BE62" s="1">
        <v>0</v>
      </c>
      <c r="BF62" s="1">
        <f>IFERROR((RegContabilizados2[[#This Row],[Debe]]-RegContabilizados2[[#This Row],[Haber]]),0)</f>
        <v>0</v>
      </c>
      <c r="BG62" s="1">
        <f>IFERROR((+_xlfn.XLOOKUP(RegContabilizados2[[#This Row],[Subcuenta]],Tabla11[Cuenta],Tabla11[Descripción],0)),0)</f>
        <v>0</v>
      </c>
      <c r="BH62" s="1">
        <f>IFERROR((VALUE(LEFT(RegContabilizados2[[#This Row],[Subcuenta]],2))&amp;" "&amp;_xlfn.XLOOKUP((VALUE(LEFT(RegContabilizados2[[#This Row],[Subcuenta]],2))),Tabla11[Cuenta],Tabla11[Descripción],0)),0)</f>
        <v>0</v>
      </c>
      <c r="BI62" s="1">
        <f>IFERROR((VALUE(LEFT(RegContabilizados2[[#This Row],[Subcuenta]],4))&amp;" "&amp;_xlfn.XLOOKUP((VALUE(LEFT(RegContabilizados2[[#This Row],[Subcuenta]],4))),Tabla11[Cuenta],Tabla11[Descripción],0)),0)</f>
        <v>0</v>
      </c>
      <c r="BJ62" s="1" t="str">
        <f>IFERROR((RegContabilizados2[[#This Row],[Subcuenta]]&amp;" "&amp;_xlfn.XLOOKUP(RegContabilizados2[[#This Row],[Subcuenta]],Tabla11[Cuenta],Tabla11[Descripción],0)),0)</f>
        <v xml:space="preserve"> 0</v>
      </c>
      <c r="BK62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62" s="1" t="str">
        <f>IFERROR(LEFT(RegContabilizados2[[#This Row],[Idenficador]],SEARCH("-",RegContabilizados2[[#This Row],[Idenficador]])-1),0)</f>
        <v>4656566F. V.3</v>
      </c>
      <c r="BN62" s="1" t="s">
        <v>1273</v>
      </c>
      <c r="BO62" s="1" t="s">
        <v>1274</v>
      </c>
    </row>
    <row r="63" spans="4:69">
      <c r="D63" s="31">
        <f>IF(Regcontabilizados[[#This Row],[Eliminado]]="si","",RegContabilizados2[[#This Row],[fecha Factura]])</f>
        <v>45993</v>
      </c>
      <c r="E63" s="31">
        <f>IF(Regcontabilizados[[#This Row],[Eliminado]]="si","",RegContabilizados2[[#This Row],[Fecha vencimiento]])</f>
        <v>45993</v>
      </c>
      <c r="F63" s="31" t="str">
        <f>IF(Regcontabilizados[[#This Row],[Eliminado]]="si","",RegContabilizados2[[#This Row],[Idenficador]])</f>
        <v>4656566F. V.3-4</v>
      </c>
      <c r="G63" s="3">
        <f>IF(Regcontabilizados[[#This Row],[Eliminado]]="si","",RegContabilizados2[[#This Row],[N° de factura/Pago]])</f>
        <v>3</v>
      </c>
      <c r="H63" s="1" t="str">
        <f>IF(Regcontabilizados[[#This Row],[Eliminado]]="si","",RegContabilizados2[[#This Row],[Tipo de Factura]])</f>
        <v>F. V.</v>
      </c>
      <c r="I63" s="1" t="str">
        <f>IF(Regcontabilizados[[#This Row],[Eliminado]]="si","",RegContabilizados2[[#This Row],[ID Cliente]])</f>
        <v>CLIENTE 1</v>
      </c>
      <c r="J63" s="1">
        <f>IF(Regcontabilizados[[#This Row],[Eliminado]]="si","",RegContabilizados2[[#This Row],[ESTADO DEL IVA]])</f>
        <v>0</v>
      </c>
      <c r="K63" s="3">
        <f>IF(Regcontabilizados[[#This Row],[Eliminado]]="si","",RegContabilizados2[[#This Row],[ID Proveedor]])</f>
        <v>333333</v>
      </c>
      <c r="L63" s="3">
        <f>IF(Regcontabilizados[[#This Row],[Eliminado]]="si","",RegContabilizados2[[#This Row],[Concepto]])</f>
        <v>0</v>
      </c>
      <c r="M63" s="3">
        <f>IF(Regcontabilizados[[#This Row],[Eliminado]]="si","",RegContabilizados2[[#This Row],[Categoría]])</f>
        <v>0</v>
      </c>
      <c r="N63" s="3" t="str">
        <f>IF(Regcontabilizados[[#This Row],[Eliminado]]="si","",RegContabilizados2[[#This Row],[Almacen]])</f>
        <v>Principal</v>
      </c>
      <c r="O63" s="3" t="str">
        <f>IF(Regcontabilizados[[#This Row],[Eliminado]]="si","",RegContabilizados2[[#This Row],[Tipo de movimiento]])</f>
        <v>Salida</v>
      </c>
      <c r="P63" s="1">
        <f>IF(Regcontabilizados[[#This Row],[Eliminado]]="si","",RegContabilizados2[[#This Row],[cantidad]])</f>
        <v>0</v>
      </c>
      <c r="Q63" s="1">
        <f>IF(Regcontabilizados[[#This Row],[Eliminado]]="si","",RegContabilizados2[[#This Row],[VR unitario]])</f>
        <v>0</v>
      </c>
      <c r="R63" s="1" t="str">
        <f>IF(Regcontabilizados[[#This Row],[Eliminado]]="si","",RegContabilizados2[[#This Row],[Subcuenta]])</f>
        <v/>
      </c>
      <c r="S63" s="1">
        <f>IF(Regcontabilizados[[#This Row],[Eliminado]]="si","",RegContabilizados2[[#This Row],[Debe]])</f>
        <v>0</v>
      </c>
      <c r="T63" s="1">
        <f>IF(Regcontabilizados[[#This Row],[Eliminado]]="si","",RegContabilizados2[[#This Row],[Haber]])</f>
        <v>0</v>
      </c>
      <c r="U63" s="1">
        <f>IFERROR((Regcontabilizados[[#This Row],[Debe]]-Regcontabilizados[[#This Row],[Haber]]),0)</f>
        <v>0</v>
      </c>
      <c r="V63" s="1">
        <f>IFERROR((+_xlfn.XLOOKUP(Regcontabilizados[[#This Row],[Subcuenta]],Tabla11[Cuenta],Tabla11[Descripción],0)),0)</f>
        <v>0</v>
      </c>
      <c r="W63" s="1">
        <f>IFERROR((_xlfn.XLOOKUP((VALUE(LEFT(Regcontabilizados[[#This Row],[Subcuenta]],4))),Tabla11[Cuenta],Tabla11[Descripción],0)),0)</f>
        <v>0</v>
      </c>
      <c r="X63" s="1">
        <f>IFERROR((_xlfn.XLOOKUP(Regcontabilizados[[#This Row],[Subcuenta]],Tabla11[Cuenta],Tabla11[Descripción],0)),0)</f>
        <v>0</v>
      </c>
      <c r="Y63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63" s="1" t="str">
        <f>_xlfn.XLOOKUP(Regcontabilizados[[#This Row],[Subcuenta]],Tabla11[Cuenta],Tabla11[TIPO],"")</f>
        <v/>
      </c>
      <c r="AA63" s="1" t="str">
        <f>IFERROR((Regcontabilizados[[#This Row],[Subcuenta]]&amp;" "&amp;_xlfn.XLOOKUP(Regcontabilizados[[#This Row],[Subcuenta]],Tabla11[Cuenta],Tabla11[Descripción],0)),0)</f>
        <v xml:space="preserve"> 0</v>
      </c>
      <c r="AB63" s="1">
        <f>IFERROR((VALUE(LEFT(Regcontabilizados[[#This Row],[Subcuenta]],2))&amp;" "&amp;_xlfn.XLOOKUP((VALUE(LEFT(Regcontabilizados[[#This Row],[Subcuenta]],2))),Tabla11[Cuenta],Tabla11[Descripción],0)),0)</f>
        <v>0</v>
      </c>
      <c r="AC63" s="1">
        <f>IFERROR((VALUE(LEFT(Regcontabilizados[[#This Row],[Subcuenta]],4))&amp;" "&amp;_xlfn.XLOOKUP((VALUE(LEFT(Regcontabilizados[[#This Row],[Subcuenta]],4))),Tabla11[Cuenta],Tabla11[Descripción],0)),0)</f>
        <v>0</v>
      </c>
      <c r="AD63" s="1" t="str">
        <f>IF(Regcontabilizados[[#This Row],[Eliminado]]="si","",RegContabilizados2[[#This Row],[Estado de pago]])</f>
        <v>NO PAGADO</v>
      </c>
      <c r="AE63" s="1" t="str">
        <f>IF(Regcontabilizados[[#This Row],[Eliminado]]="si","",RegContabilizados2[[#This Row],[Colum. Aux. Estado]])</f>
        <v>4656566F. V.3</v>
      </c>
      <c r="AF63" s="1">
        <f>IF(Regcontabilizados[[#This Row],[Eliminado]]="si","",RegContabilizados2[[#This Row],[Número de pago]])</f>
        <v>0</v>
      </c>
      <c r="AG63" s="1" t="str">
        <f>IF(Regcontabilizados[[#This Row],[Eliminado]]="si","",RegContabilizados2[[#This Row],[Elaborado por]])</f>
        <v>oscar colmenares</v>
      </c>
      <c r="AH63" s="1" t="str">
        <f>IF(Regcontabilizados[[#This Row],[Eliminado]]="si","",RegContabilizados2[[#This Row],[Notas]])</f>
        <v>Vendi de contado</v>
      </c>
      <c r="AI63" s="1">
        <f>IF(Regcontabilizados[[#This Row],[Eliminado]]="si","",RegContabilizados2[[#This Row],[Método de pago]])</f>
        <v>0</v>
      </c>
      <c r="AJ63" s="1">
        <f>IF(Regcontabilizados[[#This Row],[Eliminado]]="si","",RegContabilizados2[[#This Row],[Cta. Bancaria]])</f>
        <v>0</v>
      </c>
      <c r="AO63" s="31">
        <v>45993</v>
      </c>
      <c r="AP63" s="31">
        <v>45993</v>
      </c>
      <c r="AQ63" s="31" t="s">
        <v>1279</v>
      </c>
      <c r="AR63" s="3">
        <v>3</v>
      </c>
      <c r="AS63" s="1" t="s">
        <v>766</v>
      </c>
      <c r="AT63" s="1" t="s">
        <v>901</v>
      </c>
      <c r="AV63" s="3">
        <v>333333</v>
      </c>
      <c r="AW63" s="3"/>
      <c r="AX63" s="3">
        <v>0</v>
      </c>
      <c r="AY63" s="3" t="s">
        <v>1001</v>
      </c>
      <c r="AZ63" s="3" t="s">
        <v>975</v>
      </c>
      <c r="BB63" s="1">
        <v>0</v>
      </c>
      <c r="BC63" s="1" t="s">
        <v>1168</v>
      </c>
      <c r="BD63" s="1">
        <v>0</v>
      </c>
      <c r="BE63" s="1">
        <v>0</v>
      </c>
      <c r="BF63" s="1">
        <f>IFERROR((RegContabilizados2[[#This Row],[Debe]]-RegContabilizados2[[#This Row],[Haber]]),0)</f>
        <v>0</v>
      </c>
      <c r="BG63" s="1">
        <f>IFERROR((+_xlfn.XLOOKUP(RegContabilizados2[[#This Row],[Subcuenta]],Tabla11[Cuenta],Tabla11[Descripción],0)),0)</f>
        <v>0</v>
      </c>
      <c r="BH63" s="1">
        <f>IFERROR((VALUE(LEFT(RegContabilizados2[[#This Row],[Subcuenta]],2))&amp;" "&amp;_xlfn.XLOOKUP((VALUE(LEFT(RegContabilizados2[[#This Row],[Subcuenta]],2))),Tabla11[Cuenta],Tabla11[Descripción],0)),0)</f>
        <v>0</v>
      </c>
      <c r="BI63" s="1">
        <f>IFERROR((VALUE(LEFT(RegContabilizados2[[#This Row],[Subcuenta]],4))&amp;" "&amp;_xlfn.XLOOKUP((VALUE(LEFT(RegContabilizados2[[#This Row],[Subcuenta]],4))),Tabla11[Cuenta],Tabla11[Descripción],0)),0)</f>
        <v>0</v>
      </c>
      <c r="BJ63" s="1" t="str">
        <f>IFERROR((RegContabilizados2[[#This Row],[Subcuenta]]&amp;" "&amp;_xlfn.XLOOKUP(RegContabilizados2[[#This Row],[Subcuenta]],Tabla11[Cuenta],Tabla11[Descripción],0)),0)</f>
        <v xml:space="preserve"> 0</v>
      </c>
      <c r="BK63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63" s="1" t="str">
        <f>IFERROR(LEFT(RegContabilizados2[[#This Row],[Idenficador]],SEARCH("-",RegContabilizados2[[#This Row],[Idenficador]])-1),0)</f>
        <v>4656566F. V.3</v>
      </c>
      <c r="BN63" s="1" t="s">
        <v>1273</v>
      </c>
      <c r="BO63" s="1" t="s">
        <v>1274</v>
      </c>
    </row>
    <row r="64" spans="4:69">
      <c r="D64" s="31">
        <f>IF(Regcontabilizados[[#This Row],[Eliminado]]="si","",RegContabilizados2[[#This Row],[fecha Factura]])</f>
        <v>45993</v>
      </c>
      <c r="E64" s="31">
        <f>IF(Regcontabilizados[[#This Row],[Eliminado]]="si","",RegContabilizados2[[#This Row],[Fecha vencimiento]])</f>
        <v>45993</v>
      </c>
      <c r="F64" s="31" t="str">
        <f>IF(Regcontabilizados[[#This Row],[Eliminado]]="si","",RegContabilizados2[[#This Row],[Idenficador]])</f>
        <v>4656566F. V.3-5</v>
      </c>
      <c r="G64" s="3">
        <f>IF(Regcontabilizados[[#This Row],[Eliminado]]="si","",RegContabilizados2[[#This Row],[N° de factura/Pago]])</f>
        <v>3</v>
      </c>
      <c r="H64" s="1" t="str">
        <f>IF(Regcontabilizados[[#This Row],[Eliminado]]="si","",RegContabilizados2[[#This Row],[Tipo de Factura]])</f>
        <v>F. V.</v>
      </c>
      <c r="I64" s="1" t="str">
        <f>IF(Regcontabilizados[[#This Row],[Eliminado]]="si","",RegContabilizados2[[#This Row],[ID Cliente]])</f>
        <v>CLIENTE 1</v>
      </c>
      <c r="J64" s="1">
        <f>IF(Regcontabilizados[[#This Row],[Eliminado]]="si","",RegContabilizados2[[#This Row],[ESTADO DEL IVA]])</f>
        <v>0</v>
      </c>
      <c r="K64" s="3">
        <f>IF(Regcontabilizados[[#This Row],[Eliminado]]="si","",RegContabilizados2[[#This Row],[ID Proveedor]])</f>
        <v>333333</v>
      </c>
      <c r="L64" s="3">
        <f>IF(Regcontabilizados[[#This Row],[Eliminado]]="si","",RegContabilizados2[[#This Row],[Concepto]])</f>
        <v>0</v>
      </c>
      <c r="M64" s="3">
        <f>IF(Regcontabilizados[[#This Row],[Eliminado]]="si","",RegContabilizados2[[#This Row],[Categoría]])</f>
        <v>0</v>
      </c>
      <c r="N64" s="3" t="str">
        <f>IF(Regcontabilizados[[#This Row],[Eliminado]]="si","",RegContabilizados2[[#This Row],[Almacen]])</f>
        <v>Principal</v>
      </c>
      <c r="O64" s="3" t="str">
        <f>IF(Regcontabilizados[[#This Row],[Eliminado]]="si","",RegContabilizados2[[#This Row],[Tipo de movimiento]])</f>
        <v>Salida</v>
      </c>
      <c r="P64" s="1">
        <f>IF(Regcontabilizados[[#This Row],[Eliminado]]="si","",RegContabilizados2[[#This Row],[cantidad]])</f>
        <v>0</v>
      </c>
      <c r="Q64" s="1">
        <f>IF(Regcontabilizados[[#This Row],[Eliminado]]="si","",RegContabilizados2[[#This Row],[VR unitario]])</f>
        <v>0</v>
      </c>
      <c r="R64" s="1" t="str">
        <f>IF(Regcontabilizados[[#This Row],[Eliminado]]="si","",RegContabilizados2[[#This Row],[Subcuenta]])</f>
        <v/>
      </c>
      <c r="S64" s="1">
        <f>IF(Regcontabilizados[[#This Row],[Eliminado]]="si","",RegContabilizados2[[#This Row],[Debe]])</f>
        <v>0</v>
      </c>
      <c r="T64" s="1">
        <f>IF(Regcontabilizados[[#This Row],[Eliminado]]="si","",RegContabilizados2[[#This Row],[Haber]])</f>
        <v>0</v>
      </c>
      <c r="U64" s="1">
        <f>IFERROR((Regcontabilizados[[#This Row],[Debe]]-Regcontabilizados[[#This Row],[Haber]]),0)</f>
        <v>0</v>
      </c>
      <c r="V64" s="1">
        <f>IFERROR((+_xlfn.XLOOKUP(Regcontabilizados[[#This Row],[Subcuenta]],Tabla11[Cuenta],Tabla11[Descripción],0)),0)</f>
        <v>0</v>
      </c>
      <c r="W64" s="1">
        <f>IFERROR((_xlfn.XLOOKUP((VALUE(LEFT(Regcontabilizados[[#This Row],[Subcuenta]],4))),Tabla11[Cuenta],Tabla11[Descripción],0)),0)</f>
        <v>0</v>
      </c>
      <c r="X64" s="1">
        <f>IFERROR((_xlfn.XLOOKUP(Regcontabilizados[[#This Row],[Subcuenta]],Tabla11[Cuenta],Tabla11[Descripción],0)),0)</f>
        <v>0</v>
      </c>
      <c r="Y64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64" s="1" t="str">
        <f>_xlfn.XLOOKUP(Regcontabilizados[[#This Row],[Subcuenta]],Tabla11[Cuenta],Tabla11[TIPO],"")</f>
        <v/>
      </c>
      <c r="AA64" s="1" t="str">
        <f>IFERROR((Regcontabilizados[[#This Row],[Subcuenta]]&amp;" "&amp;_xlfn.XLOOKUP(Regcontabilizados[[#This Row],[Subcuenta]],Tabla11[Cuenta],Tabla11[Descripción],0)),0)</f>
        <v xml:space="preserve"> 0</v>
      </c>
      <c r="AB64" s="1">
        <f>IFERROR((VALUE(LEFT(Regcontabilizados[[#This Row],[Subcuenta]],2))&amp;" "&amp;_xlfn.XLOOKUP((VALUE(LEFT(Regcontabilizados[[#This Row],[Subcuenta]],2))),Tabla11[Cuenta],Tabla11[Descripción],0)),0)</f>
        <v>0</v>
      </c>
      <c r="AC64" s="1">
        <f>IFERROR((VALUE(LEFT(Regcontabilizados[[#This Row],[Subcuenta]],4))&amp;" "&amp;_xlfn.XLOOKUP((VALUE(LEFT(Regcontabilizados[[#This Row],[Subcuenta]],4))),Tabla11[Cuenta],Tabla11[Descripción],0)),0)</f>
        <v>0</v>
      </c>
      <c r="AD64" s="1" t="str">
        <f>IF(Regcontabilizados[[#This Row],[Eliminado]]="si","",RegContabilizados2[[#This Row],[Estado de pago]])</f>
        <v>NO PAGADO</v>
      </c>
      <c r="AE64" s="1" t="str">
        <f>IF(Regcontabilizados[[#This Row],[Eliminado]]="si","",RegContabilizados2[[#This Row],[Colum. Aux. Estado]])</f>
        <v>4656566F. V.3</v>
      </c>
      <c r="AF64" s="1">
        <f>IF(Regcontabilizados[[#This Row],[Eliminado]]="si","",RegContabilizados2[[#This Row],[Número de pago]])</f>
        <v>0</v>
      </c>
      <c r="AG64" s="1" t="str">
        <f>IF(Regcontabilizados[[#This Row],[Eliminado]]="si","",RegContabilizados2[[#This Row],[Elaborado por]])</f>
        <v>oscar colmenares</v>
      </c>
      <c r="AH64" s="1" t="str">
        <f>IF(Regcontabilizados[[#This Row],[Eliminado]]="si","",RegContabilizados2[[#This Row],[Notas]])</f>
        <v>Vendi de contado</v>
      </c>
      <c r="AI64" s="1">
        <f>IF(Regcontabilizados[[#This Row],[Eliminado]]="si","",RegContabilizados2[[#This Row],[Método de pago]])</f>
        <v>0</v>
      </c>
      <c r="AJ64" s="1">
        <f>IF(Regcontabilizados[[#This Row],[Eliminado]]="si","",RegContabilizados2[[#This Row],[Cta. Bancaria]])</f>
        <v>0</v>
      </c>
      <c r="AO64" s="31">
        <v>45993</v>
      </c>
      <c r="AP64" s="31">
        <v>45993</v>
      </c>
      <c r="AQ64" s="31" t="s">
        <v>1280</v>
      </c>
      <c r="AR64" s="3">
        <v>3</v>
      </c>
      <c r="AS64" s="1" t="s">
        <v>766</v>
      </c>
      <c r="AT64" s="1" t="s">
        <v>901</v>
      </c>
      <c r="AV64" s="3">
        <v>333333</v>
      </c>
      <c r="AW64" s="3"/>
      <c r="AX64" s="3">
        <v>0</v>
      </c>
      <c r="AY64" s="3" t="s">
        <v>1001</v>
      </c>
      <c r="AZ64" s="3" t="s">
        <v>975</v>
      </c>
      <c r="BB64" s="1">
        <v>0</v>
      </c>
      <c r="BC64" s="1" t="s">
        <v>1168</v>
      </c>
      <c r="BD64" s="1">
        <v>0</v>
      </c>
      <c r="BE64" s="1">
        <v>0</v>
      </c>
      <c r="BF64" s="1">
        <f>IFERROR((RegContabilizados2[[#This Row],[Debe]]-RegContabilizados2[[#This Row],[Haber]]),0)</f>
        <v>0</v>
      </c>
      <c r="BG64" s="1">
        <f>IFERROR((+_xlfn.XLOOKUP(RegContabilizados2[[#This Row],[Subcuenta]],Tabla11[Cuenta],Tabla11[Descripción],0)),0)</f>
        <v>0</v>
      </c>
      <c r="BH64" s="1">
        <f>IFERROR((VALUE(LEFT(RegContabilizados2[[#This Row],[Subcuenta]],2))&amp;" "&amp;_xlfn.XLOOKUP((VALUE(LEFT(RegContabilizados2[[#This Row],[Subcuenta]],2))),Tabla11[Cuenta],Tabla11[Descripción],0)),0)</f>
        <v>0</v>
      </c>
      <c r="BI64" s="1">
        <f>IFERROR((VALUE(LEFT(RegContabilizados2[[#This Row],[Subcuenta]],4))&amp;" "&amp;_xlfn.XLOOKUP((VALUE(LEFT(RegContabilizados2[[#This Row],[Subcuenta]],4))),Tabla11[Cuenta],Tabla11[Descripción],0)),0)</f>
        <v>0</v>
      </c>
      <c r="BJ64" s="1" t="str">
        <f>IFERROR((RegContabilizados2[[#This Row],[Subcuenta]]&amp;" "&amp;_xlfn.XLOOKUP(RegContabilizados2[[#This Row],[Subcuenta]],Tabla11[Cuenta],Tabla11[Descripción],0)),0)</f>
        <v xml:space="preserve"> 0</v>
      </c>
      <c r="BK64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64" s="1" t="str">
        <f>IFERROR(LEFT(RegContabilizados2[[#This Row],[Idenficador]],SEARCH("-",RegContabilizados2[[#This Row],[Idenficador]])-1),0)</f>
        <v>4656566F. V.3</v>
      </c>
      <c r="BN64" s="1" t="s">
        <v>1273</v>
      </c>
      <c r="BO64" s="1" t="s">
        <v>1274</v>
      </c>
    </row>
    <row r="65" spans="4:67">
      <c r="D65" s="31">
        <f>IF(Regcontabilizados[[#This Row],[Eliminado]]="si","",RegContabilizados2[[#This Row],[fecha Factura]])</f>
        <v>45993</v>
      </c>
      <c r="E65" s="31">
        <f>IF(Regcontabilizados[[#This Row],[Eliminado]]="si","",RegContabilizados2[[#This Row],[Fecha vencimiento]])</f>
        <v>45993</v>
      </c>
      <c r="F65" s="31" t="str">
        <f>IF(Regcontabilizados[[#This Row],[Eliminado]]="si","",RegContabilizados2[[#This Row],[Idenficador]])</f>
        <v>4656566F. V.3-6</v>
      </c>
      <c r="G65" s="3">
        <f>IF(Regcontabilizados[[#This Row],[Eliminado]]="si","",RegContabilizados2[[#This Row],[N° de factura/Pago]])</f>
        <v>3</v>
      </c>
      <c r="H65" s="1" t="str">
        <f>IF(Regcontabilizados[[#This Row],[Eliminado]]="si","",RegContabilizados2[[#This Row],[Tipo de Factura]])</f>
        <v>F. V.</v>
      </c>
      <c r="I65" s="1" t="str">
        <f>IF(Regcontabilizados[[#This Row],[Eliminado]]="si","",RegContabilizados2[[#This Row],[ID Cliente]])</f>
        <v>CLIENTE 1</v>
      </c>
      <c r="J65" s="1">
        <f>IF(Regcontabilizados[[#This Row],[Eliminado]]="si","",RegContabilizados2[[#This Row],[ESTADO DEL IVA]])</f>
        <v>0</v>
      </c>
      <c r="K65" s="3">
        <f>IF(Regcontabilizados[[#This Row],[Eliminado]]="si","",RegContabilizados2[[#This Row],[ID Proveedor]])</f>
        <v>333333</v>
      </c>
      <c r="L65" s="3">
        <f>IF(Regcontabilizados[[#This Row],[Eliminado]]="si","",RegContabilizados2[[#This Row],[Concepto]])</f>
        <v>0</v>
      </c>
      <c r="M65" s="3">
        <f>IF(Regcontabilizados[[#This Row],[Eliminado]]="si","",RegContabilizados2[[#This Row],[Categoría]])</f>
        <v>0</v>
      </c>
      <c r="N65" s="3" t="str">
        <f>IF(Regcontabilizados[[#This Row],[Eliminado]]="si","",RegContabilizados2[[#This Row],[Almacen]])</f>
        <v>Principal</v>
      </c>
      <c r="O65" s="3" t="str">
        <f>IF(Regcontabilizados[[#This Row],[Eliminado]]="si","",RegContabilizados2[[#This Row],[Tipo de movimiento]])</f>
        <v>Salida</v>
      </c>
      <c r="P65" s="1">
        <f>IF(Regcontabilizados[[#This Row],[Eliminado]]="si","",RegContabilizados2[[#This Row],[cantidad]])</f>
        <v>0</v>
      </c>
      <c r="Q65" s="1">
        <f>IF(Regcontabilizados[[#This Row],[Eliminado]]="si","",RegContabilizados2[[#This Row],[VR unitario]])</f>
        <v>0</v>
      </c>
      <c r="R65" s="1" t="str">
        <f>IF(Regcontabilizados[[#This Row],[Eliminado]]="si","",RegContabilizados2[[#This Row],[Subcuenta]])</f>
        <v/>
      </c>
      <c r="S65" s="1">
        <f>IF(Regcontabilizados[[#This Row],[Eliminado]]="si","",RegContabilizados2[[#This Row],[Debe]])</f>
        <v>0</v>
      </c>
      <c r="T65" s="1">
        <f>IF(Regcontabilizados[[#This Row],[Eliminado]]="si","",RegContabilizados2[[#This Row],[Haber]])</f>
        <v>0</v>
      </c>
      <c r="U65" s="1">
        <f>IFERROR((Regcontabilizados[[#This Row],[Debe]]-Regcontabilizados[[#This Row],[Haber]]),0)</f>
        <v>0</v>
      </c>
      <c r="V65" s="1">
        <f>IFERROR((+_xlfn.XLOOKUP(Regcontabilizados[[#This Row],[Subcuenta]],Tabla11[Cuenta],Tabla11[Descripción],0)),0)</f>
        <v>0</v>
      </c>
      <c r="W65" s="1">
        <f>IFERROR((_xlfn.XLOOKUP((VALUE(LEFT(Regcontabilizados[[#This Row],[Subcuenta]],4))),Tabla11[Cuenta],Tabla11[Descripción],0)),0)</f>
        <v>0</v>
      </c>
      <c r="X65" s="1">
        <f>IFERROR((_xlfn.XLOOKUP(Regcontabilizados[[#This Row],[Subcuenta]],Tabla11[Cuenta],Tabla11[Descripción],0)),0)</f>
        <v>0</v>
      </c>
      <c r="Y65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65" s="1" t="str">
        <f>_xlfn.XLOOKUP(Regcontabilizados[[#This Row],[Subcuenta]],Tabla11[Cuenta],Tabla11[TIPO],"")</f>
        <v/>
      </c>
      <c r="AA65" s="1" t="str">
        <f>IFERROR((Regcontabilizados[[#This Row],[Subcuenta]]&amp;" "&amp;_xlfn.XLOOKUP(Regcontabilizados[[#This Row],[Subcuenta]],Tabla11[Cuenta],Tabla11[Descripción],0)),0)</f>
        <v xml:space="preserve"> 0</v>
      </c>
      <c r="AB65" s="1">
        <f>IFERROR((VALUE(LEFT(Regcontabilizados[[#This Row],[Subcuenta]],2))&amp;" "&amp;_xlfn.XLOOKUP((VALUE(LEFT(Regcontabilizados[[#This Row],[Subcuenta]],2))),Tabla11[Cuenta],Tabla11[Descripción],0)),0)</f>
        <v>0</v>
      </c>
      <c r="AC65" s="1">
        <f>IFERROR((VALUE(LEFT(Regcontabilizados[[#This Row],[Subcuenta]],4))&amp;" "&amp;_xlfn.XLOOKUP((VALUE(LEFT(Regcontabilizados[[#This Row],[Subcuenta]],4))),Tabla11[Cuenta],Tabla11[Descripción],0)),0)</f>
        <v>0</v>
      </c>
      <c r="AD65" s="1" t="str">
        <f>IF(Regcontabilizados[[#This Row],[Eliminado]]="si","",RegContabilizados2[[#This Row],[Estado de pago]])</f>
        <v>NO PAGADO</v>
      </c>
      <c r="AE65" s="1" t="str">
        <f>IF(Regcontabilizados[[#This Row],[Eliminado]]="si","",RegContabilizados2[[#This Row],[Colum. Aux. Estado]])</f>
        <v>4656566F. V.3</v>
      </c>
      <c r="AF65" s="1">
        <f>IF(Regcontabilizados[[#This Row],[Eliminado]]="si","",RegContabilizados2[[#This Row],[Número de pago]])</f>
        <v>0</v>
      </c>
      <c r="AG65" s="1" t="str">
        <f>IF(Regcontabilizados[[#This Row],[Eliminado]]="si","",RegContabilizados2[[#This Row],[Elaborado por]])</f>
        <v>oscar colmenares</v>
      </c>
      <c r="AH65" s="1" t="str">
        <f>IF(Regcontabilizados[[#This Row],[Eliminado]]="si","",RegContabilizados2[[#This Row],[Notas]])</f>
        <v>Vendi de contado</v>
      </c>
      <c r="AI65" s="1">
        <f>IF(Regcontabilizados[[#This Row],[Eliminado]]="si","",RegContabilizados2[[#This Row],[Método de pago]])</f>
        <v>0</v>
      </c>
      <c r="AJ65" s="1">
        <f>IF(Regcontabilizados[[#This Row],[Eliminado]]="si","",RegContabilizados2[[#This Row],[Cta. Bancaria]])</f>
        <v>0</v>
      </c>
      <c r="AO65" s="31">
        <v>45993</v>
      </c>
      <c r="AP65" s="31">
        <v>45993</v>
      </c>
      <c r="AQ65" s="31" t="s">
        <v>1281</v>
      </c>
      <c r="AR65" s="3">
        <v>3</v>
      </c>
      <c r="AS65" s="1" t="s">
        <v>766</v>
      </c>
      <c r="AT65" s="1" t="s">
        <v>901</v>
      </c>
      <c r="AV65" s="3">
        <v>333333</v>
      </c>
      <c r="AW65" s="3"/>
      <c r="AX65" s="3">
        <v>0</v>
      </c>
      <c r="AY65" s="3" t="s">
        <v>1001</v>
      </c>
      <c r="AZ65" s="3" t="s">
        <v>975</v>
      </c>
      <c r="BB65" s="1">
        <v>0</v>
      </c>
      <c r="BC65" s="1" t="s">
        <v>1168</v>
      </c>
      <c r="BD65" s="1">
        <v>0</v>
      </c>
      <c r="BE65" s="1">
        <v>0</v>
      </c>
      <c r="BF65" s="1">
        <f>IFERROR((RegContabilizados2[[#This Row],[Debe]]-RegContabilizados2[[#This Row],[Haber]]),0)</f>
        <v>0</v>
      </c>
      <c r="BG65" s="1">
        <f>IFERROR((+_xlfn.XLOOKUP(RegContabilizados2[[#This Row],[Subcuenta]],Tabla11[Cuenta],Tabla11[Descripción],0)),0)</f>
        <v>0</v>
      </c>
      <c r="BH65" s="1">
        <f>IFERROR((VALUE(LEFT(RegContabilizados2[[#This Row],[Subcuenta]],2))&amp;" "&amp;_xlfn.XLOOKUP((VALUE(LEFT(RegContabilizados2[[#This Row],[Subcuenta]],2))),Tabla11[Cuenta],Tabla11[Descripción],0)),0)</f>
        <v>0</v>
      </c>
      <c r="BI65" s="1">
        <f>IFERROR((VALUE(LEFT(RegContabilizados2[[#This Row],[Subcuenta]],4))&amp;" "&amp;_xlfn.XLOOKUP((VALUE(LEFT(RegContabilizados2[[#This Row],[Subcuenta]],4))),Tabla11[Cuenta],Tabla11[Descripción],0)),0)</f>
        <v>0</v>
      </c>
      <c r="BJ65" s="1" t="str">
        <f>IFERROR((RegContabilizados2[[#This Row],[Subcuenta]]&amp;" "&amp;_xlfn.XLOOKUP(RegContabilizados2[[#This Row],[Subcuenta]],Tabla11[Cuenta],Tabla11[Descripción],0)),0)</f>
        <v xml:space="preserve"> 0</v>
      </c>
      <c r="BK65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65" s="1" t="str">
        <f>IFERROR(LEFT(RegContabilizados2[[#This Row],[Idenficador]],SEARCH("-",RegContabilizados2[[#This Row],[Idenficador]])-1),0)</f>
        <v>4656566F. V.3</v>
      </c>
      <c r="BN65" s="1" t="s">
        <v>1273</v>
      </c>
      <c r="BO65" s="1" t="s">
        <v>1274</v>
      </c>
    </row>
    <row r="66" spans="4:67">
      <c r="D66" s="31">
        <f>IF(Regcontabilizados[[#This Row],[Eliminado]]="si","",RegContabilizados2[[#This Row],[fecha Factura]])</f>
        <v>45993</v>
      </c>
      <c r="E66" s="31">
        <f>IF(Regcontabilizados[[#This Row],[Eliminado]]="si","",RegContabilizados2[[#This Row],[Fecha vencimiento]])</f>
        <v>45993</v>
      </c>
      <c r="F66" s="31" t="str">
        <f>IF(Regcontabilizados[[#This Row],[Eliminado]]="si","",RegContabilizados2[[#This Row],[Idenficador]])</f>
        <v>4656566F. V.3-7</v>
      </c>
      <c r="G66" s="3">
        <f>IF(Regcontabilizados[[#This Row],[Eliminado]]="si","",RegContabilizados2[[#This Row],[N° de factura/Pago]])</f>
        <v>3</v>
      </c>
      <c r="H66" s="1" t="str">
        <f>IF(Regcontabilizados[[#This Row],[Eliminado]]="si","",RegContabilizados2[[#This Row],[Tipo de Factura]])</f>
        <v>F. V.</v>
      </c>
      <c r="I66" s="1" t="str">
        <f>IF(Regcontabilizados[[#This Row],[Eliminado]]="si","",RegContabilizados2[[#This Row],[ID Cliente]])</f>
        <v>CLIENTE 1</v>
      </c>
      <c r="J66" s="1">
        <f>IF(Regcontabilizados[[#This Row],[Eliminado]]="si","",RegContabilizados2[[#This Row],[ESTADO DEL IVA]])</f>
        <v>0</v>
      </c>
      <c r="K66" s="3">
        <f>IF(Regcontabilizados[[#This Row],[Eliminado]]="si","",RegContabilizados2[[#This Row],[ID Proveedor]])</f>
        <v>333333</v>
      </c>
      <c r="L66" s="3">
        <f>IF(Regcontabilizados[[#This Row],[Eliminado]]="si","",RegContabilizados2[[#This Row],[Concepto]])</f>
        <v>0</v>
      </c>
      <c r="M66" s="3">
        <f>IF(Regcontabilizados[[#This Row],[Eliminado]]="si","",RegContabilizados2[[#This Row],[Categoría]])</f>
        <v>0</v>
      </c>
      <c r="N66" s="3" t="str">
        <f>IF(Regcontabilizados[[#This Row],[Eliminado]]="si","",RegContabilizados2[[#This Row],[Almacen]])</f>
        <v>Principal</v>
      </c>
      <c r="O66" s="3" t="str">
        <f>IF(Regcontabilizados[[#This Row],[Eliminado]]="si","",RegContabilizados2[[#This Row],[Tipo de movimiento]])</f>
        <v>Salida</v>
      </c>
      <c r="P66" s="1">
        <f>IF(Regcontabilizados[[#This Row],[Eliminado]]="si","",RegContabilizados2[[#This Row],[cantidad]])</f>
        <v>0</v>
      </c>
      <c r="Q66" s="1">
        <f>IF(Regcontabilizados[[#This Row],[Eliminado]]="si","",RegContabilizados2[[#This Row],[VR unitario]])</f>
        <v>0</v>
      </c>
      <c r="R66" s="1" t="str">
        <f>IF(Regcontabilizados[[#This Row],[Eliminado]]="si","",RegContabilizados2[[#This Row],[Subcuenta]])</f>
        <v/>
      </c>
      <c r="S66" s="1">
        <f>IF(Regcontabilizados[[#This Row],[Eliminado]]="si","",RegContabilizados2[[#This Row],[Debe]])</f>
        <v>0</v>
      </c>
      <c r="T66" s="1">
        <f>IF(Regcontabilizados[[#This Row],[Eliminado]]="si","",RegContabilizados2[[#This Row],[Haber]])</f>
        <v>0</v>
      </c>
      <c r="U66" s="1">
        <f>IFERROR((Regcontabilizados[[#This Row],[Debe]]-Regcontabilizados[[#This Row],[Haber]]),0)</f>
        <v>0</v>
      </c>
      <c r="V66" s="1">
        <f>IFERROR((+_xlfn.XLOOKUP(Regcontabilizados[[#This Row],[Subcuenta]],Tabla11[Cuenta],Tabla11[Descripción],0)),0)</f>
        <v>0</v>
      </c>
      <c r="W66" s="1">
        <f>IFERROR((_xlfn.XLOOKUP((VALUE(LEFT(Regcontabilizados[[#This Row],[Subcuenta]],4))),Tabla11[Cuenta],Tabla11[Descripción],0)),0)</f>
        <v>0</v>
      </c>
      <c r="X66" s="1">
        <f>IFERROR((_xlfn.XLOOKUP(Regcontabilizados[[#This Row],[Subcuenta]],Tabla11[Cuenta],Tabla11[Descripción],0)),0)</f>
        <v>0</v>
      </c>
      <c r="Y66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66" s="1" t="str">
        <f>_xlfn.XLOOKUP(Regcontabilizados[[#This Row],[Subcuenta]],Tabla11[Cuenta],Tabla11[TIPO],"")</f>
        <v/>
      </c>
      <c r="AA66" s="1" t="str">
        <f>IFERROR((Regcontabilizados[[#This Row],[Subcuenta]]&amp;" "&amp;_xlfn.XLOOKUP(Regcontabilizados[[#This Row],[Subcuenta]],Tabla11[Cuenta],Tabla11[Descripción],0)),0)</f>
        <v xml:space="preserve"> 0</v>
      </c>
      <c r="AB66" s="1">
        <f>IFERROR((VALUE(LEFT(Regcontabilizados[[#This Row],[Subcuenta]],2))&amp;" "&amp;_xlfn.XLOOKUP((VALUE(LEFT(Regcontabilizados[[#This Row],[Subcuenta]],2))),Tabla11[Cuenta],Tabla11[Descripción],0)),0)</f>
        <v>0</v>
      </c>
      <c r="AC66" s="1">
        <f>IFERROR((VALUE(LEFT(Regcontabilizados[[#This Row],[Subcuenta]],4))&amp;" "&amp;_xlfn.XLOOKUP((VALUE(LEFT(Regcontabilizados[[#This Row],[Subcuenta]],4))),Tabla11[Cuenta],Tabla11[Descripción],0)),0)</f>
        <v>0</v>
      </c>
      <c r="AD66" s="1" t="str">
        <f>IF(Regcontabilizados[[#This Row],[Eliminado]]="si","",RegContabilizados2[[#This Row],[Estado de pago]])</f>
        <v>NO PAGADO</v>
      </c>
      <c r="AE66" s="1" t="str">
        <f>IF(Regcontabilizados[[#This Row],[Eliminado]]="si","",RegContabilizados2[[#This Row],[Colum. Aux. Estado]])</f>
        <v>4656566F. V.3</v>
      </c>
      <c r="AF66" s="1">
        <f>IF(Regcontabilizados[[#This Row],[Eliminado]]="si","",RegContabilizados2[[#This Row],[Número de pago]])</f>
        <v>0</v>
      </c>
      <c r="AG66" s="1" t="str">
        <f>IF(Regcontabilizados[[#This Row],[Eliminado]]="si","",RegContabilizados2[[#This Row],[Elaborado por]])</f>
        <v>oscar colmenares</v>
      </c>
      <c r="AH66" s="1" t="str">
        <f>IF(Regcontabilizados[[#This Row],[Eliminado]]="si","",RegContabilizados2[[#This Row],[Notas]])</f>
        <v>Vendi de contado</v>
      </c>
      <c r="AI66" s="1">
        <f>IF(Regcontabilizados[[#This Row],[Eliminado]]="si","",RegContabilizados2[[#This Row],[Método de pago]])</f>
        <v>0</v>
      </c>
      <c r="AJ66" s="1">
        <f>IF(Regcontabilizados[[#This Row],[Eliminado]]="si","",RegContabilizados2[[#This Row],[Cta. Bancaria]])</f>
        <v>0</v>
      </c>
      <c r="AO66" s="31">
        <v>45993</v>
      </c>
      <c r="AP66" s="31">
        <v>45993</v>
      </c>
      <c r="AQ66" s="31" t="s">
        <v>1282</v>
      </c>
      <c r="AR66" s="3">
        <v>3</v>
      </c>
      <c r="AS66" s="1" t="s">
        <v>766</v>
      </c>
      <c r="AT66" s="1" t="s">
        <v>901</v>
      </c>
      <c r="AV66" s="3">
        <v>333333</v>
      </c>
      <c r="AW66" s="3"/>
      <c r="AX66" s="3">
        <v>0</v>
      </c>
      <c r="AY66" s="3" t="s">
        <v>1001</v>
      </c>
      <c r="AZ66" s="3" t="s">
        <v>975</v>
      </c>
      <c r="BB66" s="1">
        <v>0</v>
      </c>
      <c r="BC66" s="1" t="s">
        <v>1168</v>
      </c>
      <c r="BD66" s="1">
        <v>0</v>
      </c>
      <c r="BE66" s="1">
        <v>0</v>
      </c>
      <c r="BF66" s="1">
        <f>IFERROR((RegContabilizados2[[#This Row],[Debe]]-RegContabilizados2[[#This Row],[Haber]]),0)</f>
        <v>0</v>
      </c>
      <c r="BG66" s="1">
        <f>IFERROR((+_xlfn.XLOOKUP(RegContabilizados2[[#This Row],[Subcuenta]],Tabla11[Cuenta],Tabla11[Descripción],0)),0)</f>
        <v>0</v>
      </c>
      <c r="BH66" s="1">
        <f>IFERROR((VALUE(LEFT(RegContabilizados2[[#This Row],[Subcuenta]],2))&amp;" "&amp;_xlfn.XLOOKUP((VALUE(LEFT(RegContabilizados2[[#This Row],[Subcuenta]],2))),Tabla11[Cuenta],Tabla11[Descripción],0)),0)</f>
        <v>0</v>
      </c>
      <c r="BI66" s="1">
        <f>IFERROR((VALUE(LEFT(RegContabilizados2[[#This Row],[Subcuenta]],4))&amp;" "&amp;_xlfn.XLOOKUP((VALUE(LEFT(RegContabilizados2[[#This Row],[Subcuenta]],4))),Tabla11[Cuenta],Tabla11[Descripción],0)),0)</f>
        <v>0</v>
      </c>
      <c r="BJ66" s="1" t="str">
        <f>IFERROR((RegContabilizados2[[#This Row],[Subcuenta]]&amp;" "&amp;_xlfn.XLOOKUP(RegContabilizados2[[#This Row],[Subcuenta]],Tabla11[Cuenta],Tabla11[Descripción],0)),0)</f>
        <v xml:space="preserve"> 0</v>
      </c>
      <c r="BK66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66" s="1" t="str">
        <f>IFERROR(LEFT(RegContabilizados2[[#This Row],[Idenficador]],SEARCH("-",RegContabilizados2[[#This Row],[Idenficador]])-1),0)</f>
        <v>4656566F. V.3</v>
      </c>
      <c r="BN66" s="1" t="s">
        <v>1273</v>
      </c>
      <c r="BO66" s="1" t="s">
        <v>1274</v>
      </c>
    </row>
    <row r="67" spans="4:67">
      <c r="D67" s="31">
        <f>IF(Regcontabilizados[[#This Row],[Eliminado]]="si","",RegContabilizados2[[#This Row],[fecha Factura]])</f>
        <v>45993</v>
      </c>
      <c r="E67" s="31">
        <f>IF(Regcontabilizados[[#This Row],[Eliminado]]="si","",RegContabilizados2[[#This Row],[Fecha vencimiento]])</f>
        <v>45993</v>
      </c>
      <c r="F67" s="31" t="str">
        <f>IF(Regcontabilizados[[#This Row],[Eliminado]]="si","",RegContabilizados2[[#This Row],[Idenficador]])</f>
        <v>4656566F. V.3-8</v>
      </c>
      <c r="G67" s="3">
        <f>IF(Regcontabilizados[[#This Row],[Eliminado]]="si","",RegContabilizados2[[#This Row],[N° de factura/Pago]])</f>
        <v>3</v>
      </c>
      <c r="H67" s="1" t="str">
        <f>IF(Regcontabilizados[[#This Row],[Eliminado]]="si","",RegContabilizados2[[#This Row],[Tipo de Factura]])</f>
        <v>F. V.</v>
      </c>
      <c r="I67" s="1" t="str">
        <f>IF(Regcontabilizados[[#This Row],[Eliminado]]="si","",RegContabilizados2[[#This Row],[ID Cliente]])</f>
        <v>CLIENTE 1</v>
      </c>
      <c r="J67" s="1">
        <f>IF(Regcontabilizados[[#This Row],[Eliminado]]="si","",RegContabilizados2[[#This Row],[ESTADO DEL IVA]])</f>
        <v>0</v>
      </c>
      <c r="K67" s="3">
        <f>IF(Regcontabilizados[[#This Row],[Eliminado]]="si","",RegContabilizados2[[#This Row],[ID Proveedor]])</f>
        <v>333333</v>
      </c>
      <c r="L67" s="3">
        <f>IF(Regcontabilizados[[#This Row],[Eliminado]]="si","",RegContabilizados2[[#This Row],[Concepto]])</f>
        <v>0</v>
      </c>
      <c r="M67" s="3">
        <f>IF(Regcontabilizados[[#This Row],[Eliminado]]="si","",RegContabilizados2[[#This Row],[Categoría]])</f>
        <v>0</v>
      </c>
      <c r="N67" s="3" t="str">
        <f>IF(Regcontabilizados[[#This Row],[Eliminado]]="si","",RegContabilizados2[[#This Row],[Almacen]])</f>
        <v>Principal</v>
      </c>
      <c r="O67" s="3" t="str">
        <f>IF(Regcontabilizados[[#This Row],[Eliminado]]="si","",RegContabilizados2[[#This Row],[Tipo de movimiento]])</f>
        <v>Salida</v>
      </c>
      <c r="P67" s="1">
        <f>IF(Regcontabilizados[[#This Row],[Eliminado]]="si","",RegContabilizados2[[#This Row],[cantidad]])</f>
        <v>0</v>
      </c>
      <c r="Q67" s="1">
        <f>IF(Regcontabilizados[[#This Row],[Eliminado]]="si","",RegContabilizados2[[#This Row],[VR unitario]])</f>
        <v>0</v>
      </c>
      <c r="R67" s="1" t="str">
        <f>IF(Regcontabilizados[[#This Row],[Eliminado]]="si","",RegContabilizados2[[#This Row],[Subcuenta]])</f>
        <v/>
      </c>
      <c r="S67" s="1">
        <f>IF(Regcontabilizados[[#This Row],[Eliminado]]="si","",RegContabilizados2[[#This Row],[Debe]])</f>
        <v>0</v>
      </c>
      <c r="T67" s="1">
        <f>IF(Regcontabilizados[[#This Row],[Eliminado]]="si","",RegContabilizados2[[#This Row],[Haber]])</f>
        <v>0</v>
      </c>
      <c r="U67" s="1">
        <f>IFERROR((Regcontabilizados[[#This Row],[Debe]]-Regcontabilizados[[#This Row],[Haber]]),0)</f>
        <v>0</v>
      </c>
      <c r="V67" s="1">
        <f>IFERROR((+_xlfn.XLOOKUP(Regcontabilizados[[#This Row],[Subcuenta]],Tabla11[Cuenta],Tabla11[Descripción],0)),0)</f>
        <v>0</v>
      </c>
      <c r="W67" s="1">
        <f>IFERROR((_xlfn.XLOOKUP((VALUE(LEFT(Regcontabilizados[[#This Row],[Subcuenta]],4))),Tabla11[Cuenta],Tabla11[Descripción],0)),0)</f>
        <v>0</v>
      </c>
      <c r="X67" s="1">
        <f>IFERROR((_xlfn.XLOOKUP(Regcontabilizados[[#This Row],[Subcuenta]],Tabla11[Cuenta],Tabla11[Descripción],0)),0)</f>
        <v>0</v>
      </c>
      <c r="Y67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67" s="1" t="str">
        <f>_xlfn.XLOOKUP(Regcontabilizados[[#This Row],[Subcuenta]],Tabla11[Cuenta],Tabla11[TIPO],"")</f>
        <v/>
      </c>
      <c r="AA67" s="1" t="str">
        <f>IFERROR((Regcontabilizados[[#This Row],[Subcuenta]]&amp;" "&amp;_xlfn.XLOOKUP(Regcontabilizados[[#This Row],[Subcuenta]],Tabla11[Cuenta],Tabla11[Descripción],0)),0)</f>
        <v xml:space="preserve"> 0</v>
      </c>
      <c r="AB67" s="1">
        <f>IFERROR((VALUE(LEFT(Regcontabilizados[[#This Row],[Subcuenta]],2))&amp;" "&amp;_xlfn.XLOOKUP((VALUE(LEFT(Regcontabilizados[[#This Row],[Subcuenta]],2))),Tabla11[Cuenta],Tabla11[Descripción],0)),0)</f>
        <v>0</v>
      </c>
      <c r="AC67" s="1">
        <f>IFERROR((VALUE(LEFT(Regcontabilizados[[#This Row],[Subcuenta]],4))&amp;" "&amp;_xlfn.XLOOKUP((VALUE(LEFT(Regcontabilizados[[#This Row],[Subcuenta]],4))),Tabla11[Cuenta],Tabla11[Descripción],0)),0)</f>
        <v>0</v>
      </c>
      <c r="AD67" s="1" t="str">
        <f>IF(Regcontabilizados[[#This Row],[Eliminado]]="si","",RegContabilizados2[[#This Row],[Estado de pago]])</f>
        <v>NO PAGADO</v>
      </c>
      <c r="AE67" s="1" t="str">
        <f>IF(Regcontabilizados[[#This Row],[Eliminado]]="si","",RegContabilizados2[[#This Row],[Colum. Aux. Estado]])</f>
        <v>4656566F. V.3</v>
      </c>
      <c r="AF67" s="1">
        <f>IF(Regcontabilizados[[#This Row],[Eliminado]]="si","",RegContabilizados2[[#This Row],[Número de pago]])</f>
        <v>0</v>
      </c>
      <c r="AG67" s="1" t="str">
        <f>IF(Regcontabilizados[[#This Row],[Eliminado]]="si","",RegContabilizados2[[#This Row],[Elaborado por]])</f>
        <v>oscar colmenares</v>
      </c>
      <c r="AH67" s="1" t="str">
        <f>IF(Regcontabilizados[[#This Row],[Eliminado]]="si","",RegContabilizados2[[#This Row],[Notas]])</f>
        <v>Vendi de contado</v>
      </c>
      <c r="AI67" s="1">
        <f>IF(Regcontabilizados[[#This Row],[Eliminado]]="si","",RegContabilizados2[[#This Row],[Método de pago]])</f>
        <v>0</v>
      </c>
      <c r="AJ67" s="1">
        <f>IF(Regcontabilizados[[#This Row],[Eliminado]]="si","",RegContabilizados2[[#This Row],[Cta. Bancaria]])</f>
        <v>0</v>
      </c>
      <c r="AO67" s="31">
        <v>45993</v>
      </c>
      <c r="AP67" s="31">
        <v>45993</v>
      </c>
      <c r="AQ67" s="31" t="s">
        <v>1283</v>
      </c>
      <c r="AR67" s="3">
        <v>3</v>
      </c>
      <c r="AS67" s="1" t="s">
        <v>766</v>
      </c>
      <c r="AT67" s="1" t="s">
        <v>901</v>
      </c>
      <c r="AV67" s="3">
        <v>333333</v>
      </c>
      <c r="AW67" s="3"/>
      <c r="AX67" s="3">
        <v>0</v>
      </c>
      <c r="AY67" s="3" t="s">
        <v>1001</v>
      </c>
      <c r="AZ67" s="3" t="s">
        <v>975</v>
      </c>
      <c r="BB67" s="1">
        <v>0</v>
      </c>
      <c r="BC67" s="1" t="s">
        <v>1168</v>
      </c>
      <c r="BD67" s="1">
        <v>0</v>
      </c>
      <c r="BE67" s="1">
        <v>0</v>
      </c>
      <c r="BF67" s="1">
        <f>IFERROR((RegContabilizados2[[#This Row],[Debe]]-RegContabilizados2[[#This Row],[Haber]]),0)</f>
        <v>0</v>
      </c>
      <c r="BG67" s="1">
        <f>IFERROR((+_xlfn.XLOOKUP(RegContabilizados2[[#This Row],[Subcuenta]],Tabla11[Cuenta],Tabla11[Descripción],0)),0)</f>
        <v>0</v>
      </c>
      <c r="BH67" s="1">
        <f>IFERROR((VALUE(LEFT(RegContabilizados2[[#This Row],[Subcuenta]],2))&amp;" "&amp;_xlfn.XLOOKUP((VALUE(LEFT(RegContabilizados2[[#This Row],[Subcuenta]],2))),Tabla11[Cuenta],Tabla11[Descripción],0)),0)</f>
        <v>0</v>
      </c>
      <c r="BI67" s="1">
        <f>IFERROR((VALUE(LEFT(RegContabilizados2[[#This Row],[Subcuenta]],4))&amp;" "&amp;_xlfn.XLOOKUP((VALUE(LEFT(RegContabilizados2[[#This Row],[Subcuenta]],4))),Tabla11[Cuenta],Tabla11[Descripción],0)),0)</f>
        <v>0</v>
      </c>
      <c r="BJ67" s="1" t="str">
        <f>IFERROR((RegContabilizados2[[#This Row],[Subcuenta]]&amp;" "&amp;_xlfn.XLOOKUP(RegContabilizados2[[#This Row],[Subcuenta]],Tabla11[Cuenta],Tabla11[Descripción],0)),0)</f>
        <v xml:space="preserve"> 0</v>
      </c>
      <c r="BK67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67" s="1" t="str">
        <f>IFERROR(LEFT(RegContabilizados2[[#This Row],[Idenficador]],SEARCH("-",RegContabilizados2[[#This Row],[Idenficador]])-1),0)</f>
        <v>4656566F. V.3</v>
      </c>
      <c r="BN67" s="1" t="s">
        <v>1273</v>
      </c>
      <c r="BO67" s="1" t="s">
        <v>1274</v>
      </c>
    </row>
    <row r="68" spans="4:67">
      <c r="D68" s="31">
        <f>IF(Regcontabilizados[[#This Row],[Eliminado]]="si","",RegContabilizados2[[#This Row],[fecha Factura]])</f>
        <v>45993</v>
      </c>
      <c r="E68" s="31">
        <f>IF(Regcontabilizados[[#This Row],[Eliminado]]="si","",RegContabilizados2[[#This Row],[Fecha vencimiento]])</f>
        <v>45993</v>
      </c>
      <c r="F68" s="31" t="str">
        <f>IF(Regcontabilizados[[#This Row],[Eliminado]]="si","",RegContabilizados2[[#This Row],[Idenficador]])</f>
        <v>4656566F. V.3-9</v>
      </c>
      <c r="G68" s="3">
        <f>IF(Regcontabilizados[[#This Row],[Eliminado]]="si","",RegContabilizados2[[#This Row],[N° de factura/Pago]])</f>
        <v>3</v>
      </c>
      <c r="H68" s="1" t="str">
        <f>IF(Regcontabilizados[[#This Row],[Eliminado]]="si","",RegContabilizados2[[#This Row],[Tipo de Factura]])</f>
        <v>F. V.</v>
      </c>
      <c r="I68" s="1" t="str">
        <f>IF(Regcontabilizados[[#This Row],[Eliminado]]="si","",RegContabilizados2[[#This Row],[ID Cliente]])</f>
        <v>CLIENTE 1</v>
      </c>
      <c r="J68" s="1">
        <f>IF(Regcontabilizados[[#This Row],[Eliminado]]="si","",RegContabilizados2[[#This Row],[ESTADO DEL IVA]])</f>
        <v>0</v>
      </c>
      <c r="K68" s="3">
        <f>IF(Regcontabilizados[[#This Row],[Eliminado]]="si","",RegContabilizados2[[#This Row],[ID Proveedor]])</f>
        <v>333333</v>
      </c>
      <c r="L68" s="3">
        <f>IF(Regcontabilizados[[#This Row],[Eliminado]]="si","",RegContabilizados2[[#This Row],[Concepto]])</f>
        <v>0</v>
      </c>
      <c r="M68" s="3">
        <f>IF(Regcontabilizados[[#This Row],[Eliminado]]="si","",RegContabilizados2[[#This Row],[Categoría]])</f>
        <v>0</v>
      </c>
      <c r="N68" s="3" t="str">
        <f>IF(Regcontabilizados[[#This Row],[Eliminado]]="si","",RegContabilizados2[[#This Row],[Almacen]])</f>
        <v>Principal</v>
      </c>
      <c r="O68" s="3" t="str">
        <f>IF(Regcontabilizados[[#This Row],[Eliminado]]="si","",RegContabilizados2[[#This Row],[Tipo de movimiento]])</f>
        <v>Salida</v>
      </c>
      <c r="P68" s="1">
        <f>IF(Regcontabilizados[[#This Row],[Eliminado]]="si","",RegContabilizados2[[#This Row],[cantidad]])</f>
        <v>0</v>
      </c>
      <c r="Q68" s="1">
        <f>IF(Regcontabilizados[[#This Row],[Eliminado]]="si","",RegContabilizados2[[#This Row],[VR unitario]])</f>
        <v>0</v>
      </c>
      <c r="R68" s="1" t="str">
        <f>IF(Regcontabilizados[[#This Row],[Eliminado]]="si","",RegContabilizados2[[#This Row],[Subcuenta]])</f>
        <v/>
      </c>
      <c r="S68" s="1">
        <f>IF(Regcontabilizados[[#This Row],[Eliminado]]="si","",RegContabilizados2[[#This Row],[Debe]])</f>
        <v>0</v>
      </c>
      <c r="T68" s="1">
        <f>IF(Regcontabilizados[[#This Row],[Eliminado]]="si","",RegContabilizados2[[#This Row],[Haber]])</f>
        <v>0</v>
      </c>
      <c r="U68" s="1">
        <f>IFERROR((Regcontabilizados[[#This Row],[Debe]]-Regcontabilizados[[#This Row],[Haber]]),0)</f>
        <v>0</v>
      </c>
      <c r="V68" s="1">
        <f>IFERROR((+_xlfn.XLOOKUP(Regcontabilizados[[#This Row],[Subcuenta]],Tabla11[Cuenta],Tabla11[Descripción],0)),0)</f>
        <v>0</v>
      </c>
      <c r="W68" s="1">
        <f>IFERROR((_xlfn.XLOOKUP((VALUE(LEFT(Regcontabilizados[[#This Row],[Subcuenta]],4))),Tabla11[Cuenta],Tabla11[Descripción],0)),0)</f>
        <v>0</v>
      </c>
      <c r="X68" s="1">
        <f>IFERROR((_xlfn.XLOOKUP(Regcontabilizados[[#This Row],[Subcuenta]],Tabla11[Cuenta],Tabla11[Descripción],0)),0)</f>
        <v>0</v>
      </c>
      <c r="Y68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68" s="1" t="str">
        <f>_xlfn.XLOOKUP(Regcontabilizados[[#This Row],[Subcuenta]],Tabla11[Cuenta],Tabla11[TIPO],"")</f>
        <v/>
      </c>
      <c r="AA68" s="1" t="str">
        <f>IFERROR((Regcontabilizados[[#This Row],[Subcuenta]]&amp;" "&amp;_xlfn.XLOOKUP(Regcontabilizados[[#This Row],[Subcuenta]],Tabla11[Cuenta],Tabla11[Descripción],0)),0)</f>
        <v xml:space="preserve"> 0</v>
      </c>
      <c r="AB68" s="1">
        <f>IFERROR((VALUE(LEFT(Regcontabilizados[[#This Row],[Subcuenta]],2))&amp;" "&amp;_xlfn.XLOOKUP((VALUE(LEFT(Regcontabilizados[[#This Row],[Subcuenta]],2))),Tabla11[Cuenta],Tabla11[Descripción],0)),0)</f>
        <v>0</v>
      </c>
      <c r="AC68" s="1">
        <f>IFERROR((VALUE(LEFT(Regcontabilizados[[#This Row],[Subcuenta]],4))&amp;" "&amp;_xlfn.XLOOKUP((VALUE(LEFT(Regcontabilizados[[#This Row],[Subcuenta]],4))),Tabla11[Cuenta],Tabla11[Descripción],0)),0)</f>
        <v>0</v>
      </c>
      <c r="AD68" s="1" t="str">
        <f>IF(Regcontabilizados[[#This Row],[Eliminado]]="si","",RegContabilizados2[[#This Row],[Estado de pago]])</f>
        <v>NO PAGADO</v>
      </c>
      <c r="AE68" s="1" t="str">
        <f>IF(Regcontabilizados[[#This Row],[Eliminado]]="si","",RegContabilizados2[[#This Row],[Colum. Aux. Estado]])</f>
        <v>4656566F. V.3</v>
      </c>
      <c r="AF68" s="1">
        <f>IF(Regcontabilizados[[#This Row],[Eliminado]]="si","",RegContabilizados2[[#This Row],[Número de pago]])</f>
        <v>0</v>
      </c>
      <c r="AG68" s="1" t="str">
        <f>IF(Regcontabilizados[[#This Row],[Eliminado]]="si","",RegContabilizados2[[#This Row],[Elaborado por]])</f>
        <v>oscar colmenares</v>
      </c>
      <c r="AH68" s="1" t="str">
        <f>IF(Regcontabilizados[[#This Row],[Eliminado]]="si","",RegContabilizados2[[#This Row],[Notas]])</f>
        <v>Vendi de contado</v>
      </c>
      <c r="AI68" s="1">
        <f>IF(Regcontabilizados[[#This Row],[Eliminado]]="si","",RegContabilizados2[[#This Row],[Método de pago]])</f>
        <v>0</v>
      </c>
      <c r="AJ68" s="1">
        <f>IF(Regcontabilizados[[#This Row],[Eliminado]]="si","",RegContabilizados2[[#This Row],[Cta. Bancaria]])</f>
        <v>0</v>
      </c>
      <c r="AO68" s="31">
        <v>45993</v>
      </c>
      <c r="AP68" s="31">
        <v>45993</v>
      </c>
      <c r="AQ68" s="31" t="s">
        <v>1284</v>
      </c>
      <c r="AR68" s="3">
        <v>3</v>
      </c>
      <c r="AS68" s="1" t="s">
        <v>766</v>
      </c>
      <c r="AT68" s="1" t="s">
        <v>901</v>
      </c>
      <c r="AV68" s="3">
        <v>333333</v>
      </c>
      <c r="AW68" s="3"/>
      <c r="AX68" s="3">
        <v>0</v>
      </c>
      <c r="AY68" s="3" t="s">
        <v>1001</v>
      </c>
      <c r="AZ68" s="3" t="s">
        <v>975</v>
      </c>
      <c r="BB68" s="1">
        <v>0</v>
      </c>
      <c r="BC68" s="1" t="s">
        <v>1168</v>
      </c>
      <c r="BD68" s="1">
        <v>0</v>
      </c>
      <c r="BE68" s="1">
        <v>0</v>
      </c>
      <c r="BF68" s="1">
        <f>IFERROR((RegContabilizados2[[#This Row],[Debe]]-RegContabilizados2[[#This Row],[Haber]]),0)</f>
        <v>0</v>
      </c>
      <c r="BG68" s="1">
        <f>IFERROR((+_xlfn.XLOOKUP(RegContabilizados2[[#This Row],[Subcuenta]],Tabla11[Cuenta],Tabla11[Descripción],0)),0)</f>
        <v>0</v>
      </c>
      <c r="BH68" s="1">
        <f>IFERROR((VALUE(LEFT(RegContabilizados2[[#This Row],[Subcuenta]],2))&amp;" "&amp;_xlfn.XLOOKUP((VALUE(LEFT(RegContabilizados2[[#This Row],[Subcuenta]],2))),Tabla11[Cuenta],Tabla11[Descripción],0)),0)</f>
        <v>0</v>
      </c>
      <c r="BI68" s="1">
        <f>IFERROR((VALUE(LEFT(RegContabilizados2[[#This Row],[Subcuenta]],4))&amp;" "&amp;_xlfn.XLOOKUP((VALUE(LEFT(RegContabilizados2[[#This Row],[Subcuenta]],4))),Tabla11[Cuenta],Tabla11[Descripción],0)),0)</f>
        <v>0</v>
      </c>
      <c r="BJ68" s="1" t="str">
        <f>IFERROR((RegContabilizados2[[#This Row],[Subcuenta]]&amp;" "&amp;_xlfn.XLOOKUP(RegContabilizados2[[#This Row],[Subcuenta]],Tabla11[Cuenta],Tabla11[Descripción],0)),0)</f>
        <v xml:space="preserve"> 0</v>
      </c>
      <c r="BK68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68" s="1" t="str">
        <f>IFERROR(LEFT(RegContabilizados2[[#This Row],[Idenficador]],SEARCH("-",RegContabilizados2[[#This Row],[Idenficador]])-1),0)</f>
        <v>4656566F. V.3</v>
      </c>
      <c r="BN68" s="1" t="s">
        <v>1273</v>
      </c>
      <c r="BO68" s="1" t="s">
        <v>1274</v>
      </c>
    </row>
    <row r="69" spans="4:67">
      <c r="D69" s="31">
        <f>IF(Regcontabilizados[[#This Row],[Eliminado]]="si","",RegContabilizados2[[#This Row],[fecha Factura]])</f>
        <v>45993</v>
      </c>
      <c r="E69" s="31">
        <f>IF(Regcontabilizados[[#This Row],[Eliminado]]="si","",RegContabilizados2[[#This Row],[Fecha vencimiento]])</f>
        <v>45993</v>
      </c>
      <c r="F69" s="31" t="str">
        <f>IF(Regcontabilizados[[#This Row],[Eliminado]]="si","",RegContabilizados2[[#This Row],[Idenficador]])</f>
        <v>4656566F. V.3-10</v>
      </c>
      <c r="G69" s="3">
        <f>IF(Regcontabilizados[[#This Row],[Eliminado]]="si","",RegContabilizados2[[#This Row],[N° de factura/Pago]])</f>
        <v>3</v>
      </c>
      <c r="H69" s="1" t="str">
        <f>IF(Regcontabilizados[[#This Row],[Eliminado]]="si","",RegContabilizados2[[#This Row],[Tipo de Factura]])</f>
        <v>F. V.</v>
      </c>
      <c r="I69" s="1" t="str">
        <f>IF(Regcontabilizados[[#This Row],[Eliminado]]="si","",RegContabilizados2[[#This Row],[ID Cliente]])</f>
        <v>CLIENTE 1</v>
      </c>
      <c r="J69" s="1">
        <f>IF(Regcontabilizados[[#This Row],[Eliminado]]="si","",RegContabilizados2[[#This Row],[ESTADO DEL IVA]])</f>
        <v>0</v>
      </c>
      <c r="K69" s="3">
        <f>IF(Regcontabilizados[[#This Row],[Eliminado]]="si","",RegContabilizados2[[#This Row],[ID Proveedor]])</f>
        <v>333333</v>
      </c>
      <c r="L69" s="3">
        <f>IF(Regcontabilizados[[#This Row],[Eliminado]]="si","",RegContabilizados2[[#This Row],[Concepto]])</f>
        <v>0</v>
      </c>
      <c r="M69" s="3">
        <f>IF(Regcontabilizados[[#This Row],[Eliminado]]="si","",RegContabilizados2[[#This Row],[Categoría]])</f>
        <v>0</v>
      </c>
      <c r="N69" s="3" t="str">
        <f>IF(Regcontabilizados[[#This Row],[Eliminado]]="si","",RegContabilizados2[[#This Row],[Almacen]])</f>
        <v>Principal</v>
      </c>
      <c r="O69" s="3" t="str">
        <f>IF(Regcontabilizados[[#This Row],[Eliminado]]="si","",RegContabilizados2[[#This Row],[Tipo de movimiento]])</f>
        <v>Salida</v>
      </c>
      <c r="P69" s="1">
        <f>IF(Regcontabilizados[[#This Row],[Eliminado]]="si","",RegContabilizados2[[#This Row],[cantidad]])</f>
        <v>1</v>
      </c>
      <c r="Q69" s="1">
        <f>IF(Regcontabilizados[[#This Row],[Eliminado]]="si","",RegContabilizados2[[#This Row],[VR unitario]])</f>
        <v>0</v>
      </c>
      <c r="R69" s="1">
        <f>IF(Regcontabilizados[[#This Row],[Eliminado]]="si","",RegContabilizados2[[#This Row],[Subcuenta]])</f>
        <v>413524</v>
      </c>
      <c r="S69" s="1">
        <f>IF(Regcontabilizados[[#This Row],[Eliminado]]="si","",RegContabilizados2[[#This Row],[Debe]])</f>
        <v>0</v>
      </c>
      <c r="T69" s="1">
        <f>IF(Regcontabilizados[[#This Row],[Eliminado]]="si","",RegContabilizados2[[#This Row],[Haber]])</f>
        <v>200000</v>
      </c>
      <c r="U69" s="1">
        <f>IFERROR((Regcontabilizados[[#This Row],[Debe]]-Regcontabilizados[[#This Row],[Haber]]),0)</f>
        <v>-200000</v>
      </c>
      <c r="V69" s="1" t="str">
        <f>IFERROR((+_xlfn.XLOOKUP(Regcontabilizados[[#This Row],[Subcuenta]],Tabla11[Cuenta],Tabla11[Descripción],0)),0)</f>
        <v>Venta de productos textiles, de vestir, de cuero y calzado</v>
      </c>
      <c r="W69" s="1" t="str">
        <f>IFERROR((_xlfn.XLOOKUP((VALUE(LEFT(Regcontabilizados[[#This Row],[Subcuenta]],4))),Tabla11[Cuenta],Tabla11[Descripción],0)),0)</f>
        <v>COMERCIO AL POR MAYOR Y AL POR MENOR</v>
      </c>
      <c r="X69" s="1" t="str">
        <f>IFERROR((_xlfn.XLOOKUP(Regcontabilizados[[#This Row],[Subcuenta]],Tabla11[Cuenta],Tabla11[Descripción],0)),0)</f>
        <v>Venta de productos textiles, de vestir, de cuero y calzado</v>
      </c>
      <c r="Y69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69" s="1" t="str">
        <f>_xlfn.XLOOKUP(Regcontabilizados[[#This Row],[Subcuenta]],Tabla11[Cuenta],Tabla11[TIPO],"")</f>
        <v>Ingresos</v>
      </c>
      <c r="AA69" s="1" t="str">
        <f>IFERROR((Regcontabilizados[[#This Row],[Subcuenta]]&amp;" "&amp;_xlfn.XLOOKUP(Regcontabilizados[[#This Row],[Subcuenta]],Tabla11[Cuenta],Tabla11[Descripción],0)),0)</f>
        <v>413524 Venta de productos textiles, de vestir, de cuero y calzado</v>
      </c>
      <c r="AB69" s="1" t="str">
        <f>IFERROR((VALUE(LEFT(Regcontabilizados[[#This Row],[Subcuenta]],2))&amp;" "&amp;_xlfn.XLOOKUP((VALUE(LEFT(Regcontabilizados[[#This Row],[Subcuenta]],2))),Tabla11[Cuenta],Tabla11[Descripción],0)),0)</f>
        <v>41 OPERACIONALES</v>
      </c>
      <c r="AC69" s="1" t="str">
        <f>IFERROR((VALUE(LEFT(Regcontabilizados[[#This Row],[Subcuenta]],4))&amp;" "&amp;_xlfn.XLOOKUP((VALUE(LEFT(Regcontabilizados[[#This Row],[Subcuenta]],4))),Tabla11[Cuenta],Tabla11[Descripción],0)),0)</f>
        <v>4135 COMERCIO AL POR MAYOR Y AL POR MENOR</v>
      </c>
      <c r="AD69" s="1" t="str">
        <f>IF(Regcontabilizados[[#This Row],[Eliminado]]="si","",RegContabilizados2[[#This Row],[Estado de pago]])</f>
        <v>NO PAGADO</v>
      </c>
      <c r="AE69" s="1" t="str">
        <f>IF(Regcontabilizados[[#This Row],[Eliminado]]="si","",RegContabilizados2[[#This Row],[Colum. Aux. Estado]])</f>
        <v>4656566F. V.3</v>
      </c>
      <c r="AF69" s="1">
        <f>IF(Regcontabilizados[[#This Row],[Eliminado]]="si","",RegContabilizados2[[#This Row],[Número de pago]])</f>
        <v>0</v>
      </c>
      <c r="AG69" s="1" t="str">
        <f>IF(Regcontabilizados[[#This Row],[Eliminado]]="si","",RegContabilizados2[[#This Row],[Elaborado por]])</f>
        <v>oscar colmenares</v>
      </c>
      <c r="AH69" s="1" t="str">
        <f>IF(Regcontabilizados[[#This Row],[Eliminado]]="si","",RegContabilizados2[[#This Row],[Notas]])</f>
        <v>Vendi de contado</v>
      </c>
      <c r="AI69" s="1">
        <f>IF(Regcontabilizados[[#This Row],[Eliminado]]="si","",RegContabilizados2[[#This Row],[Método de pago]])</f>
        <v>0</v>
      </c>
      <c r="AJ69" s="1">
        <f>IF(Regcontabilizados[[#This Row],[Eliminado]]="si","",RegContabilizados2[[#This Row],[Cta. Bancaria]])</f>
        <v>0</v>
      </c>
      <c r="AO69" s="31">
        <v>45993</v>
      </c>
      <c r="AP69" s="31">
        <v>45993</v>
      </c>
      <c r="AQ69" s="31" t="s">
        <v>1285</v>
      </c>
      <c r="AR69" s="3">
        <v>3</v>
      </c>
      <c r="AS69" s="1" t="s">
        <v>766</v>
      </c>
      <c r="AT69" s="1" t="s">
        <v>901</v>
      </c>
      <c r="AV69" s="3">
        <v>333333</v>
      </c>
      <c r="AW69" s="3"/>
      <c r="AX69" s="3"/>
      <c r="AY69" s="3" t="s">
        <v>1001</v>
      </c>
      <c r="AZ69" s="3" t="s">
        <v>975</v>
      </c>
      <c r="BA69" s="1">
        <v>1</v>
      </c>
      <c r="BC69" s="1">
        <v>413524</v>
      </c>
      <c r="BD69" s="1">
        <v>0</v>
      </c>
      <c r="BE69" s="1">
        <v>200000</v>
      </c>
      <c r="BF69" s="1">
        <f>IFERROR((RegContabilizados2[[#This Row],[Debe]]-RegContabilizados2[[#This Row],[Haber]]),0)</f>
        <v>-200000</v>
      </c>
      <c r="BG69" s="1" t="str">
        <f>IFERROR((+_xlfn.XLOOKUP(RegContabilizados2[[#This Row],[Subcuenta]],Tabla11[Cuenta],Tabla11[Descripción],0)),0)</f>
        <v>Venta de productos textiles, de vestir, de cuero y calzado</v>
      </c>
      <c r="BH69" s="1" t="str">
        <f>IFERROR((VALUE(LEFT(RegContabilizados2[[#This Row],[Subcuenta]],2))&amp;" "&amp;_xlfn.XLOOKUP((VALUE(LEFT(RegContabilizados2[[#This Row],[Subcuenta]],2))),Tabla11[Cuenta],Tabla11[Descripción],0)),0)</f>
        <v>41 OPERACIONALES</v>
      </c>
      <c r="BI69" s="1" t="str">
        <f>IFERROR((VALUE(LEFT(RegContabilizados2[[#This Row],[Subcuenta]],4))&amp;" "&amp;_xlfn.XLOOKUP((VALUE(LEFT(RegContabilizados2[[#This Row],[Subcuenta]],4))),Tabla11[Cuenta],Tabla11[Descripción],0)),0)</f>
        <v>4135 COMERCIO AL POR MAYOR Y AL POR MENOR</v>
      </c>
      <c r="BJ69" s="1" t="str">
        <f>IFERROR((RegContabilizados2[[#This Row],[Subcuenta]]&amp;" "&amp;_xlfn.XLOOKUP(RegContabilizados2[[#This Row],[Subcuenta]],Tabla11[Cuenta],Tabla11[Descripción],0)),0)</f>
        <v>413524 Venta de productos textiles, de vestir, de cuero y calzado</v>
      </c>
      <c r="BK69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69" s="1" t="str">
        <f>IFERROR(LEFT(RegContabilizados2[[#This Row],[Idenficador]],SEARCH("-",RegContabilizados2[[#This Row],[Idenficador]])-1),0)</f>
        <v>4656566F. V.3</v>
      </c>
      <c r="BN69" s="1" t="s">
        <v>1273</v>
      </c>
      <c r="BO69" s="1" t="s">
        <v>1274</v>
      </c>
    </row>
    <row r="70" spans="4:67">
      <c r="D70" s="31">
        <f>IF(Regcontabilizados[[#This Row],[Eliminado]]="si","",RegContabilizados2[[#This Row],[fecha Factura]])</f>
        <v>45993</v>
      </c>
      <c r="E70" s="31">
        <f>IF(Regcontabilizados[[#This Row],[Eliminado]]="si","",RegContabilizados2[[#This Row],[Fecha vencimiento]])</f>
        <v>45993</v>
      </c>
      <c r="F70" s="31" t="str">
        <f>IF(Regcontabilizados[[#This Row],[Eliminado]]="si","",RegContabilizados2[[#This Row],[Idenficador]])</f>
        <v>4656566F. V.3-IVA</v>
      </c>
      <c r="G70" s="3">
        <f>IF(Regcontabilizados[[#This Row],[Eliminado]]="si","",RegContabilizados2[[#This Row],[N° de factura/Pago]])</f>
        <v>3</v>
      </c>
      <c r="H70" s="1" t="str">
        <f>IF(Regcontabilizados[[#This Row],[Eliminado]]="si","",RegContabilizados2[[#This Row],[Tipo de Factura]])</f>
        <v>F. V.</v>
      </c>
      <c r="I70" s="1" t="str">
        <f>IF(Regcontabilizados[[#This Row],[Eliminado]]="si","",RegContabilizados2[[#This Row],[ID Cliente]])</f>
        <v>CLIENTE 1</v>
      </c>
      <c r="J70" s="1">
        <f>IF(Regcontabilizados[[#This Row],[Eliminado]]="si","",RegContabilizados2[[#This Row],[ESTADO DEL IVA]])</f>
        <v>0</v>
      </c>
      <c r="K70" s="3">
        <f>IF(Regcontabilizados[[#This Row],[Eliminado]]="si","",RegContabilizados2[[#This Row],[ID Proveedor]])</f>
        <v>333333</v>
      </c>
      <c r="L70" s="3">
        <f>IF(Regcontabilizados[[#This Row],[Eliminado]]="si","",RegContabilizados2[[#This Row],[Concepto]])</f>
        <v>0</v>
      </c>
      <c r="M70" s="3">
        <f>IF(Regcontabilizados[[#This Row],[Eliminado]]="si","",RegContabilizados2[[#This Row],[Categoría]])</f>
        <v>0</v>
      </c>
      <c r="N70" s="3" t="str">
        <f>IF(Regcontabilizados[[#This Row],[Eliminado]]="si","",RegContabilizados2[[#This Row],[Almacen]])</f>
        <v>Principal</v>
      </c>
      <c r="O70" s="3" t="str">
        <f>IF(Regcontabilizados[[#This Row],[Eliminado]]="si","",RegContabilizados2[[#This Row],[Tipo de movimiento]])</f>
        <v>Salida</v>
      </c>
      <c r="P70" s="1">
        <f>IF(Regcontabilizados[[#This Row],[Eliminado]]="si","",RegContabilizados2[[#This Row],[cantidad]])</f>
        <v>1</v>
      </c>
      <c r="Q70" s="1">
        <f>IF(Regcontabilizados[[#This Row],[Eliminado]]="si","",RegContabilizados2[[#This Row],[VR unitario]])</f>
        <v>0</v>
      </c>
      <c r="R70" s="1">
        <f>IF(Regcontabilizados[[#This Row],[Eliminado]]="si","",RegContabilizados2[[#This Row],[Subcuenta]])</f>
        <v>240805</v>
      </c>
      <c r="S70" s="1">
        <f>IF(Regcontabilizados[[#This Row],[Eliminado]]="si","",RegContabilizados2[[#This Row],[Debe]])</f>
        <v>0</v>
      </c>
      <c r="T70" s="1">
        <f>IF(Regcontabilizados[[#This Row],[Eliminado]]="si","",RegContabilizados2[[#This Row],[Haber]])</f>
        <v>0</v>
      </c>
      <c r="U70" s="1">
        <f>IFERROR((Regcontabilizados[[#This Row],[Debe]]-Regcontabilizados[[#This Row],[Haber]]),0)</f>
        <v>0</v>
      </c>
      <c r="V70" s="1" t="str">
        <f>IFERROR((+_xlfn.XLOOKUP(Regcontabilizados[[#This Row],[Subcuenta]],Tabla11[Cuenta],Tabla11[Descripción],0)),0)</f>
        <v>IMPUESTO SOBRE LAS VENTAS POR PAGAR</v>
      </c>
      <c r="W70" s="1" t="str">
        <f>IFERROR((_xlfn.XLOOKUP((VALUE(LEFT(Regcontabilizados[[#This Row],[Subcuenta]],4))),Tabla11[Cuenta],Tabla11[Descripción],0)),0)</f>
        <v>IMPUESTO SOBRE LAS VENTAS POR PAGAR</v>
      </c>
      <c r="X70" s="1" t="str">
        <f>IFERROR((_xlfn.XLOOKUP(Regcontabilizados[[#This Row],[Subcuenta]],Tabla11[Cuenta],Tabla11[Descripción],0)),0)</f>
        <v>IMPUESTO SOBRE LAS VENTAS POR PAGAR</v>
      </c>
      <c r="Y70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70" s="1" t="str">
        <f>_xlfn.XLOOKUP(Regcontabilizados[[#This Row],[Subcuenta]],Tabla11[Cuenta],Tabla11[TIPO],"")</f>
        <v>Pasivo Corriente</v>
      </c>
      <c r="AA70" s="1" t="str">
        <f>IFERROR((Regcontabilizados[[#This Row],[Subcuenta]]&amp;" "&amp;_xlfn.XLOOKUP(Regcontabilizados[[#This Row],[Subcuenta]],Tabla11[Cuenta],Tabla11[Descripción],0)),0)</f>
        <v>240805 IMPUESTO SOBRE LAS VENTAS POR PAGAR</v>
      </c>
      <c r="AB70" s="1" t="str">
        <f>IFERROR((VALUE(LEFT(Regcontabilizados[[#This Row],[Subcuenta]],2))&amp;" "&amp;_xlfn.XLOOKUP((VALUE(LEFT(Regcontabilizados[[#This Row],[Subcuenta]],2))),Tabla11[Cuenta],Tabla11[Descripción],0)),0)</f>
        <v>24 IMPUESTOS, GRAVÁMENES Y TASAS</v>
      </c>
      <c r="AC70" s="1" t="str">
        <f>IFERROR((VALUE(LEFT(Regcontabilizados[[#This Row],[Subcuenta]],4))&amp;" "&amp;_xlfn.XLOOKUP((VALUE(LEFT(Regcontabilizados[[#This Row],[Subcuenta]],4))),Tabla11[Cuenta],Tabla11[Descripción],0)),0)</f>
        <v>2408 IMPUESTO SOBRE LAS VENTAS POR PAGAR</v>
      </c>
      <c r="AD70" s="1" t="str">
        <f>IF(Regcontabilizados[[#This Row],[Eliminado]]="si","",RegContabilizados2[[#This Row],[Estado de pago]])</f>
        <v>NO PAGADO</v>
      </c>
      <c r="AE70" s="1" t="str">
        <f>IF(Regcontabilizados[[#This Row],[Eliminado]]="si","",RegContabilizados2[[#This Row],[Colum. Aux. Estado]])</f>
        <v>4656566F. V.3</v>
      </c>
      <c r="AF70" s="1">
        <f>IF(Regcontabilizados[[#This Row],[Eliminado]]="si","",RegContabilizados2[[#This Row],[Número de pago]])</f>
        <v>0</v>
      </c>
      <c r="AG70" s="1" t="str">
        <f>IF(Regcontabilizados[[#This Row],[Eliminado]]="si","",RegContabilizados2[[#This Row],[Elaborado por]])</f>
        <v>oscar colmenares</v>
      </c>
      <c r="AH70" s="1" t="str">
        <f>IF(Regcontabilizados[[#This Row],[Eliminado]]="si","",RegContabilizados2[[#This Row],[Notas]])</f>
        <v>Vendi de contado</v>
      </c>
      <c r="AI70" s="1">
        <f>IF(Regcontabilizados[[#This Row],[Eliminado]]="si","",RegContabilizados2[[#This Row],[Método de pago]])</f>
        <v>0</v>
      </c>
      <c r="AJ70" s="1">
        <f>IF(Regcontabilizados[[#This Row],[Eliminado]]="si","",RegContabilizados2[[#This Row],[Cta. Bancaria]])</f>
        <v>0</v>
      </c>
      <c r="AO70" s="31">
        <v>45993</v>
      </c>
      <c r="AP70" s="31">
        <v>45993</v>
      </c>
      <c r="AQ70" s="31" t="s">
        <v>1286</v>
      </c>
      <c r="AR70" s="3">
        <v>3</v>
      </c>
      <c r="AS70" s="1" t="s">
        <v>766</v>
      </c>
      <c r="AT70" s="1" t="s">
        <v>901</v>
      </c>
      <c r="AV70" s="3">
        <v>333333</v>
      </c>
      <c r="AW70" s="3"/>
      <c r="AX70" s="3"/>
      <c r="AY70" s="3" t="s">
        <v>1001</v>
      </c>
      <c r="AZ70" s="3" t="s">
        <v>975</v>
      </c>
      <c r="BA70" s="1">
        <v>1</v>
      </c>
      <c r="BB70" s="1">
        <v>0</v>
      </c>
      <c r="BC70" s="1">
        <v>240805</v>
      </c>
      <c r="BD70" s="1">
        <v>0</v>
      </c>
      <c r="BE70" s="1">
        <v>0</v>
      </c>
      <c r="BF70" s="1">
        <f>IFERROR((RegContabilizados2[[#This Row],[Debe]]-RegContabilizados2[[#This Row],[Haber]]),0)</f>
        <v>0</v>
      </c>
      <c r="BG70" s="1" t="str">
        <f>IFERROR((+_xlfn.XLOOKUP(RegContabilizados2[[#This Row],[Subcuenta]],Tabla11[Cuenta],Tabla11[Descripción],0)),0)</f>
        <v>IMPUESTO SOBRE LAS VENTAS POR PAGAR</v>
      </c>
      <c r="BH70" s="1" t="str">
        <f>IFERROR((VALUE(LEFT(RegContabilizados2[[#This Row],[Subcuenta]],2))&amp;" "&amp;_xlfn.XLOOKUP((VALUE(LEFT(RegContabilizados2[[#This Row],[Subcuenta]],2))),Tabla11[Cuenta],Tabla11[Descripción],0)),0)</f>
        <v>24 IMPUESTOS, GRAVÁMENES Y TASAS</v>
      </c>
      <c r="BI70" s="1" t="str">
        <f>IFERROR((VALUE(LEFT(RegContabilizados2[[#This Row],[Subcuenta]],4))&amp;" "&amp;_xlfn.XLOOKUP((VALUE(LEFT(RegContabilizados2[[#This Row],[Subcuenta]],4))),Tabla11[Cuenta],Tabla11[Descripción],0)),0)</f>
        <v>2408 IMPUESTO SOBRE LAS VENTAS POR PAGAR</v>
      </c>
      <c r="BJ70" s="1" t="str">
        <f>IFERROR((RegContabilizados2[[#This Row],[Subcuenta]]&amp;" "&amp;_xlfn.XLOOKUP(RegContabilizados2[[#This Row],[Subcuenta]],Tabla11[Cuenta],Tabla11[Descripción],0)),0)</f>
        <v>240805 IMPUESTO SOBRE LAS VENTAS POR PAGAR</v>
      </c>
      <c r="BK70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70" s="1" t="str">
        <f>IFERROR(LEFT(RegContabilizados2[[#This Row],[Idenficador]],SEARCH("-",RegContabilizados2[[#This Row],[Idenficador]])-1),0)</f>
        <v>4656566F. V.3</v>
      </c>
      <c r="BN70" s="1" t="s">
        <v>1273</v>
      </c>
      <c r="BO70" s="1" t="s">
        <v>1274</v>
      </c>
    </row>
    <row r="71" spans="4:67">
      <c r="D71" s="31">
        <f>IF(Regcontabilizados[[#This Row],[Eliminado]]="si","",RegContabilizados2[[#This Row],[fecha Factura]])</f>
        <v>45993</v>
      </c>
      <c r="E71" s="31">
        <f>IF(Regcontabilizados[[#This Row],[Eliminado]]="si","",RegContabilizados2[[#This Row],[Fecha vencimiento]])</f>
        <v>45993</v>
      </c>
      <c r="F71" s="31" t="str">
        <f>IF(Regcontabilizados[[#This Row],[Eliminado]]="si","",RegContabilizados2[[#This Row],[Idenficador]])</f>
        <v>4656566F. V.3-INC</v>
      </c>
      <c r="G71" s="3">
        <f>IF(Regcontabilizados[[#This Row],[Eliminado]]="si","",RegContabilizados2[[#This Row],[N° de factura/Pago]])</f>
        <v>3</v>
      </c>
      <c r="H71" s="1" t="str">
        <f>IF(Regcontabilizados[[#This Row],[Eliminado]]="si","",RegContabilizados2[[#This Row],[Tipo de Factura]])</f>
        <v>F. V.</v>
      </c>
      <c r="I71" s="1" t="str">
        <f>IF(Regcontabilizados[[#This Row],[Eliminado]]="si","",RegContabilizados2[[#This Row],[ID Cliente]])</f>
        <v>CLIENTE 1</v>
      </c>
      <c r="J71" s="1">
        <f>IF(Regcontabilizados[[#This Row],[Eliminado]]="si","",RegContabilizados2[[#This Row],[ESTADO DEL IVA]])</f>
        <v>0</v>
      </c>
      <c r="K71" s="3">
        <f>IF(Regcontabilizados[[#This Row],[Eliminado]]="si","",RegContabilizados2[[#This Row],[ID Proveedor]])</f>
        <v>333333</v>
      </c>
      <c r="L71" s="3">
        <f>IF(Regcontabilizados[[#This Row],[Eliminado]]="si","",RegContabilizados2[[#This Row],[Concepto]])</f>
        <v>0</v>
      </c>
      <c r="M71" s="3">
        <f>IF(Regcontabilizados[[#This Row],[Eliminado]]="si","",RegContabilizados2[[#This Row],[Categoría]])</f>
        <v>0</v>
      </c>
      <c r="N71" s="3" t="str">
        <f>IF(Regcontabilizados[[#This Row],[Eliminado]]="si","",RegContabilizados2[[#This Row],[Almacen]])</f>
        <v>Principal</v>
      </c>
      <c r="O71" s="3" t="str">
        <f>IF(Regcontabilizados[[#This Row],[Eliminado]]="si","",RegContabilizados2[[#This Row],[Tipo de movimiento]])</f>
        <v>Salida</v>
      </c>
      <c r="P71" s="1">
        <f>IF(Regcontabilizados[[#This Row],[Eliminado]]="si","",RegContabilizados2[[#This Row],[cantidad]])</f>
        <v>1</v>
      </c>
      <c r="Q71" s="1">
        <f>IF(Regcontabilizados[[#This Row],[Eliminado]]="si","",RegContabilizados2[[#This Row],[VR unitario]])</f>
        <v>0</v>
      </c>
      <c r="R71" s="1">
        <f>IF(Regcontabilizados[[#This Row],[Eliminado]]="si","",RegContabilizados2[[#This Row],[Subcuenta]])</f>
        <v>246505</v>
      </c>
      <c r="S71" s="1">
        <f>IF(Regcontabilizados[[#This Row],[Eliminado]]="si","",RegContabilizados2[[#This Row],[Debe]])</f>
        <v>0</v>
      </c>
      <c r="T71" s="1">
        <f>IF(Regcontabilizados[[#This Row],[Eliminado]]="si","",RegContabilizados2[[#This Row],[Haber]])</f>
        <v>0</v>
      </c>
      <c r="U71" s="1">
        <f>IFERROR((Regcontabilizados[[#This Row],[Debe]]-Regcontabilizados[[#This Row],[Haber]]),0)</f>
        <v>0</v>
      </c>
      <c r="V71" s="1" t="str">
        <f>IFERROR((+_xlfn.XLOOKUP(Regcontabilizados[[#This Row],[Subcuenta]],Tabla11[Cuenta],Tabla11[Descripción],0)),0)</f>
        <v>INC - Restaurantes</v>
      </c>
      <c r="W71" s="1" t="str">
        <f>IFERROR((_xlfn.XLOOKUP((VALUE(LEFT(Regcontabilizados[[#This Row],[Subcuenta]],4))),Tabla11[Cuenta],Tabla11[Descripción],0)),0)</f>
        <v>IMPUESTO NACIONAL AL CONSUMO</v>
      </c>
      <c r="X71" s="1" t="str">
        <f>IFERROR((_xlfn.XLOOKUP(Regcontabilizados[[#This Row],[Subcuenta]],Tabla11[Cuenta],Tabla11[Descripción],0)),0)</f>
        <v>INC - Restaurantes</v>
      </c>
      <c r="Y71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71" s="1" t="str">
        <f>_xlfn.XLOOKUP(Regcontabilizados[[#This Row],[Subcuenta]],Tabla11[Cuenta],Tabla11[TIPO],"")</f>
        <v>Pasivo Corriente</v>
      </c>
      <c r="AA71" s="1" t="str">
        <f>IFERROR((Regcontabilizados[[#This Row],[Subcuenta]]&amp;" "&amp;_xlfn.XLOOKUP(Regcontabilizados[[#This Row],[Subcuenta]],Tabla11[Cuenta],Tabla11[Descripción],0)),0)</f>
        <v>246505 INC - Restaurantes</v>
      </c>
      <c r="AB71" s="1" t="str">
        <f>IFERROR((VALUE(LEFT(Regcontabilizados[[#This Row],[Subcuenta]],2))&amp;" "&amp;_xlfn.XLOOKUP((VALUE(LEFT(Regcontabilizados[[#This Row],[Subcuenta]],2))),Tabla11[Cuenta],Tabla11[Descripción],0)),0)</f>
        <v>24 IMPUESTOS, GRAVÁMENES Y TASAS</v>
      </c>
      <c r="AC71" s="1" t="str">
        <f>IFERROR((VALUE(LEFT(Regcontabilizados[[#This Row],[Subcuenta]],4))&amp;" "&amp;_xlfn.XLOOKUP((VALUE(LEFT(Regcontabilizados[[#This Row],[Subcuenta]],4))),Tabla11[Cuenta],Tabla11[Descripción],0)),0)</f>
        <v>2465 IMPUESTO NACIONAL AL CONSUMO</v>
      </c>
      <c r="AD71" s="1" t="str">
        <f>IF(Regcontabilizados[[#This Row],[Eliminado]]="si","",RegContabilizados2[[#This Row],[Estado de pago]])</f>
        <v>NO PAGADO</v>
      </c>
      <c r="AE71" s="1" t="str">
        <f>IF(Regcontabilizados[[#This Row],[Eliminado]]="si","",RegContabilizados2[[#This Row],[Colum. Aux. Estado]])</f>
        <v>4656566F. V.3</v>
      </c>
      <c r="AF71" s="1">
        <f>IF(Regcontabilizados[[#This Row],[Eliminado]]="si","",RegContabilizados2[[#This Row],[Número de pago]])</f>
        <v>0</v>
      </c>
      <c r="AG71" s="1" t="str">
        <f>IF(Regcontabilizados[[#This Row],[Eliminado]]="si","",RegContabilizados2[[#This Row],[Elaborado por]])</f>
        <v>oscar colmenares</v>
      </c>
      <c r="AH71" s="1" t="str">
        <f>IF(Regcontabilizados[[#This Row],[Eliminado]]="si","",RegContabilizados2[[#This Row],[Notas]])</f>
        <v>Vendi de contado</v>
      </c>
      <c r="AI71" s="1">
        <f>IF(Regcontabilizados[[#This Row],[Eliminado]]="si","",RegContabilizados2[[#This Row],[Método de pago]])</f>
        <v>0</v>
      </c>
      <c r="AJ71" s="1">
        <f>IF(Regcontabilizados[[#This Row],[Eliminado]]="si","",RegContabilizados2[[#This Row],[Cta. Bancaria]])</f>
        <v>0</v>
      </c>
      <c r="AO71" s="31">
        <v>45993</v>
      </c>
      <c r="AP71" s="31">
        <v>45993</v>
      </c>
      <c r="AQ71" s="31" t="s">
        <v>1287</v>
      </c>
      <c r="AR71" s="3">
        <v>3</v>
      </c>
      <c r="AS71" s="1" t="s">
        <v>766</v>
      </c>
      <c r="AT71" s="1" t="s">
        <v>901</v>
      </c>
      <c r="AV71" s="3">
        <v>333333</v>
      </c>
      <c r="AW71" s="3"/>
      <c r="AX71" s="3"/>
      <c r="AY71" s="3" t="s">
        <v>1001</v>
      </c>
      <c r="AZ71" s="3" t="s">
        <v>975</v>
      </c>
      <c r="BA71" s="1">
        <v>1</v>
      </c>
      <c r="BB71" s="1">
        <v>0</v>
      </c>
      <c r="BC71" s="1">
        <v>246505</v>
      </c>
      <c r="BD71" s="1">
        <v>0</v>
      </c>
      <c r="BE71" s="1">
        <v>0</v>
      </c>
      <c r="BF71" s="1">
        <f>IFERROR((RegContabilizados2[[#This Row],[Debe]]-RegContabilizados2[[#This Row],[Haber]]),0)</f>
        <v>0</v>
      </c>
      <c r="BG71" s="1" t="str">
        <f>IFERROR((+_xlfn.XLOOKUP(RegContabilizados2[[#This Row],[Subcuenta]],Tabla11[Cuenta],Tabla11[Descripción],0)),0)</f>
        <v>INC - Restaurantes</v>
      </c>
      <c r="BH71" s="1" t="str">
        <f>IFERROR((VALUE(LEFT(RegContabilizados2[[#This Row],[Subcuenta]],2))&amp;" "&amp;_xlfn.XLOOKUP((VALUE(LEFT(RegContabilizados2[[#This Row],[Subcuenta]],2))),Tabla11[Cuenta],Tabla11[Descripción],0)),0)</f>
        <v>24 IMPUESTOS, GRAVÁMENES Y TASAS</v>
      </c>
      <c r="BI71" s="1" t="str">
        <f>IFERROR((VALUE(LEFT(RegContabilizados2[[#This Row],[Subcuenta]],4))&amp;" "&amp;_xlfn.XLOOKUP((VALUE(LEFT(RegContabilizados2[[#This Row],[Subcuenta]],4))),Tabla11[Cuenta],Tabla11[Descripción],0)),0)</f>
        <v>2465 IMPUESTO NACIONAL AL CONSUMO</v>
      </c>
      <c r="BJ71" s="1" t="str">
        <f>IFERROR((RegContabilizados2[[#This Row],[Subcuenta]]&amp;" "&amp;_xlfn.XLOOKUP(RegContabilizados2[[#This Row],[Subcuenta]],Tabla11[Cuenta],Tabla11[Descripción],0)),0)</f>
        <v>246505 INC - Restaurantes</v>
      </c>
      <c r="BK71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71" s="1" t="str">
        <f>IFERROR(LEFT(RegContabilizados2[[#This Row],[Idenficador]],SEARCH("-",RegContabilizados2[[#This Row],[Idenficador]])-1),0)</f>
        <v>4656566F. V.3</v>
      </c>
      <c r="BN71" s="1" t="s">
        <v>1273</v>
      </c>
      <c r="BO71" s="1" t="s">
        <v>1274</v>
      </c>
    </row>
    <row r="72" spans="4:67">
      <c r="D72" s="31">
        <f>IF(Regcontabilizados[[#This Row],[Eliminado]]="si","",RegContabilizados2[[#This Row],[fecha Factura]])</f>
        <v>45993</v>
      </c>
      <c r="E72" s="31">
        <f>IF(Regcontabilizados[[#This Row],[Eliminado]]="si","",RegContabilizados2[[#This Row],[Fecha vencimiento]])</f>
        <v>45993</v>
      </c>
      <c r="F72" s="31" t="str">
        <f>IF(Regcontabilizados[[#This Row],[Eliminado]]="si","",RegContabilizados2[[#This Row],[Idenficador]])</f>
        <v>4656566F. V.3-13</v>
      </c>
      <c r="G72" s="3">
        <f>IF(Regcontabilizados[[#This Row],[Eliminado]]="si","",RegContabilizados2[[#This Row],[N° de factura/Pago]])</f>
        <v>3</v>
      </c>
      <c r="H72" s="1" t="str">
        <f>IF(Regcontabilizados[[#This Row],[Eliminado]]="si","",RegContabilizados2[[#This Row],[Tipo de Factura]])</f>
        <v>F. V.</v>
      </c>
      <c r="I72" s="1" t="str">
        <f>IF(Regcontabilizados[[#This Row],[Eliminado]]="si","",RegContabilizados2[[#This Row],[ID Cliente]])</f>
        <v>CLIENTE 1</v>
      </c>
      <c r="J72" s="1">
        <f>IF(Regcontabilizados[[#This Row],[Eliminado]]="si","",RegContabilizados2[[#This Row],[ESTADO DEL IVA]])</f>
        <v>0</v>
      </c>
      <c r="K72" s="3">
        <f>IF(Regcontabilizados[[#This Row],[Eliminado]]="si","",RegContabilizados2[[#This Row],[ID Proveedor]])</f>
        <v>333333</v>
      </c>
      <c r="L72" s="3">
        <f>IF(Regcontabilizados[[#This Row],[Eliminado]]="si","",RegContabilizados2[[#This Row],[Concepto]])</f>
        <v>0</v>
      </c>
      <c r="M72" s="3">
        <f>IF(Regcontabilizados[[#This Row],[Eliminado]]="si","",RegContabilizados2[[#This Row],[Categoría]])</f>
        <v>0</v>
      </c>
      <c r="N72" s="3" t="str">
        <f>IF(Regcontabilizados[[#This Row],[Eliminado]]="si","",RegContabilizados2[[#This Row],[Almacen]])</f>
        <v>Principal</v>
      </c>
      <c r="O72" s="3" t="str">
        <f>IF(Regcontabilizados[[#This Row],[Eliminado]]="si","",RegContabilizados2[[#This Row],[Tipo de movimiento]])</f>
        <v>Salida</v>
      </c>
      <c r="P72" s="1">
        <f>IF(Regcontabilizados[[#This Row],[Eliminado]]="si","",RegContabilizados2[[#This Row],[cantidad]])</f>
        <v>1</v>
      </c>
      <c r="Q72" s="1">
        <f>IF(Regcontabilizados[[#This Row],[Eliminado]]="si","",RegContabilizados2[[#This Row],[VR unitario]])</f>
        <v>26538.461538461539</v>
      </c>
      <c r="R72" s="1">
        <f>IF(Regcontabilizados[[#This Row],[Eliminado]]="si","",RegContabilizados2[[#This Row],[Subcuenta]])</f>
        <v>143505</v>
      </c>
      <c r="S72" s="1">
        <f>IF(Regcontabilizados[[#This Row],[Eliminado]]="si","",RegContabilizados2[[#This Row],[Debe]])</f>
        <v>0</v>
      </c>
      <c r="T72" s="1">
        <f>IF(Regcontabilizados[[#This Row],[Eliminado]]="si","",RegContabilizados2[[#This Row],[Haber]])</f>
        <v>53076.923076923078</v>
      </c>
      <c r="U72" s="1">
        <f>IFERROR((Regcontabilizados[[#This Row],[Debe]]-Regcontabilizados[[#This Row],[Haber]]),0)</f>
        <v>-53076.923076923078</v>
      </c>
      <c r="V72" s="1" t="str">
        <f>IFERROR((+_xlfn.XLOOKUP(Regcontabilizados[[#This Row],[Subcuenta]],Tabla11[Cuenta],Tabla11[Descripción],0)),0)</f>
        <v>MERCANCÍAS DETAL</v>
      </c>
      <c r="W72" s="1" t="str">
        <f>IFERROR((_xlfn.XLOOKUP((VALUE(LEFT(Regcontabilizados[[#This Row],[Subcuenta]],4))),Tabla11[Cuenta],Tabla11[Descripción],0)),0)</f>
        <v>MERCANCÍAS NO FABRICADAS POR LA EMPRESA</v>
      </c>
      <c r="X72" s="1" t="str">
        <f>IFERROR((_xlfn.XLOOKUP(Regcontabilizados[[#This Row],[Subcuenta]],Tabla11[Cuenta],Tabla11[Descripción],0)),0)</f>
        <v>MERCANCÍAS DETAL</v>
      </c>
      <c r="Y72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72" s="1" t="str">
        <f>_xlfn.XLOOKUP(Regcontabilizados[[#This Row],[Subcuenta]],Tabla11[Cuenta],Tabla11[TIPO],"")</f>
        <v>Activo Corriente</v>
      </c>
      <c r="AA72" s="1" t="str">
        <f>IFERROR((Regcontabilizados[[#This Row],[Subcuenta]]&amp;" "&amp;_xlfn.XLOOKUP(Regcontabilizados[[#This Row],[Subcuenta]],Tabla11[Cuenta],Tabla11[Descripción],0)),0)</f>
        <v>143505 MERCANCÍAS DETAL</v>
      </c>
      <c r="AB72" s="1" t="str">
        <f>IFERROR((VALUE(LEFT(Regcontabilizados[[#This Row],[Subcuenta]],2))&amp;" "&amp;_xlfn.XLOOKUP((VALUE(LEFT(Regcontabilizados[[#This Row],[Subcuenta]],2))),Tabla11[Cuenta],Tabla11[Descripción],0)),0)</f>
        <v>14 INVENTARIOS</v>
      </c>
      <c r="AC72" s="1" t="str">
        <f>IFERROR((VALUE(LEFT(Regcontabilizados[[#This Row],[Subcuenta]],4))&amp;" "&amp;_xlfn.XLOOKUP((VALUE(LEFT(Regcontabilizados[[#This Row],[Subcuenta]],4))),Tabla11[Cuenta],Tabla11[Descripción],0)),0)</f>
        <v>1435 MERCANCÍAS NO FABRICADAS POR LA EMPRESA</v>
      </c>
      <c r="AD72" s="1" t="str">
        <f>IF(Regcontabilizados[[#This Row],[Eliminado]]="si","",RegContabilizados2[[#This Row],[Estado de pago]])</f>
        <v>NO PAGADO</v>
      </c>
      <c r="AE72" s="1" t="str">
        <f>IF(Regcontabilizados[[#This Row],[Eliminado]]="si","",RegContabilizados2[[#This Row],[Colum. Aux. Estado]])</f>
        <v>4656566F. V.3</v>
      </c>
      <c r="AF72" s="1">
        <f>IF(Regcontabilizados[[#This Row],[Eliminado]]="si","",RegContabilizados2[[#This Row],[Número de pago]])</f>
        <v>0</v>
      </c>
      <c r="AG72" s="1" t="str">
        <f>IF(Regcontabilizados[[#This Row],[Eliminado]]="si","",RegContabilizados2[[#This Row],[Elaborado por]])</f>
        <v>oscar colmenares</v>
      </c>
      <c r="AH72" s="1" t="str">
        <f>IF(Regcontabilizados[[#This Row],[Eliminado]]="si","",RegContabilizados2[[#This Row],[Notas]])</f>
        <v>Vendi de contado</v>
      </c>
      <c r="AI72" s="1">
        <f>IF(Regcontabilizados[[#This Row],[Eliminado]]="si","",RegContabilizados2[[#This Row],[Método de pago]])</f>
        <v>0</v>
      </c>
      <c r="AJ72" s="1">
        <f>IF(Regcontabilizados[[#This Row],[Eliminado]]="si","",RegContabilizados2[[#This Row],[Cta. Bancaria]])</f>
        <v>0</v>
      </c>
      <c r="AO72" s="31">
        <v>45993</v>
      </c>
      <c r="AP72" s="31">
        <v>45993</v>
      </c>
      <c r="AQ72" s="31" t="s">
        <v>1288</v>
      </c>
      <c r="AR72" s="3">
        <v>3</v>
      </c>
      <c r="AS72" s="1" t="s">
        <v>766</v>
      </c>
      <c r="AT72" s="1" t="s">
        <v>901</v>
      </c>
      <c r="AV72" s="3">
        <v>333333</v>
      </c>
      <c r="AW72" s="3"/>
      <c r="AX72" s="3"/>
      <c r="AY72" s="3" t="s">
        <v>1001</v>
      </c>
      <c r="AZ72" s="3" t="s">
        <v>975</v>
      </c>
      <c r="BA72" s="1">
        <v>1</v>
      </c>
      <c r="BB72" s="1">
        <v>26538.461538461539</v>
      </c>
      <c r="BC72" s="1">
        <v>143505</v>
      </c>
      <c r="BD72" s="1">
        <v>0</v>
      </c>
      <c r="BE72" s="1">
        <v>53076.923076923078</v>
      </c>
      <c r="BF72" s="1">
        <f>IFERROR((RegContabilizados2[[#This Row],[Debe]]-RegContabilizados2[[#This Row],[Haber]]),0)</f>
        <v>-53076.923076923078</v>
      </c>
      <c r="BG72" s="1" t="str">
        <f>IFERROR((+_xlfn.XLOOKUP(RegContabilizados2[[#This Row],[Subcuenta]],Tabla11[Cuenta],Tabla11[Descripción],0)),0)</f>
        <v>MERCANCÍAS DETAL</v>
      </c>
      <c r="BH72" s="1" t="str">
        <f>IFERROR((VALUE(LEFT(RegContabilizados2[[#This Row],[Subcuenta]],2))&amp;" "&amp;_xlfn.XLOOKUP((VALUE(LEFT(RegContabilizados2[[#This Row],[Subcuenta]],2))),Tabla11[Cuenta],Tabla11[Descripción],0)),0)</f>
        <v>14 INVENTARIOS</v>
      </c>
      <c r="BI72" s="1" t="str">
        <f>IFERROR((VALUE(LEFT(RegContabilizados2[[#This Row],[Subcuenta]],4))&amp;" "&amp;_xlfn.XLOOKUP((VALUE(LEFT(RegContabilizados2[[#This Row],[Subcuenta]],4))),Tabla11[Cuenta],Tabla11[Descripción],0)),0)</f>
        <v>1435 MERCANCÍAS NO FABRICADAS POR LA EMPRESA</v>
      </c>
      <c r="BJ72" s="1" t="str">
        <f>IFERROR((RegContabilizados2[[#This Row],[Subcuenta]]&amp;" "&amp;_xlfn.XLOOKUP(RegContabilizados2[[#This Row],[Subcuenta]],Tabla11[Cuenta],Tabla11[Descripción],0)),0)</f>
        <v>143505 MERCANCÍAS DETAL</v>
      </c>
      <c r="BK72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72" s="1" t="str">
        <f>IFERROR(LEFT(RegContabilizados2[[#This Row],[Idenficador]],SEARCH("-",RegContabilizados2[[#This Row],[Idenficador]])-1),0)</f>
        <v>4656566F. V.3</v>
      </c>
      <c r="BN72" s="1" t="s">
        <v>1273</v>
      </c>
      <c r="BO72" s="1" t="s">
        <v>1274</v>
      </c>
    </row>
    <row r="73" spans="4:67">
      <c r="D73" s="31">
        <f>IF(Regcontabilizados[[#This Row],[Eliminado]]="si","",RegContabilizados2[[#This Row],[fecha Factura]])</f>
        <v>45993</v>
      </c>
      <c r="E73" s="31">
        <f>IF(Regcontabilizados[[#This Row],[Eliminado]]="si","",RegContabilizados2[[#This Row],[Fecha vencimiento]])</f>
        <v>45993</v>
      </c>
      <c r="F73" s="31" t="str">
        <f>IF(Regcontabilizados[[#This Row],[Eliminado]]="si","",RegContabilizados2[[#This Row],[Idenficador]])</f>
        <v>4656566F. V.3-14</v>
      </c>
      <c r="G73" s="3">
        <f>IF(Regcontabilizados[[#This Row],[Eliminado]]="si","",RegContabilizados2[[#This Row],[N° de factura/Pago]])</f>
        <v>3</v>
      </c>
      <c r="H73" s="1" t="str">
        <f>IF(Regcontabilizados[[#This Row],[Eliminado]]="si","",RegContabilizados2[[#This Row],[Tipo de Factura]])</f>
        <v>F. V.</v>
      </c>
      <c r="I73" s="1" t="str">
        <f>IF(Regcontabilizados[[#This Row],[Eliminado]]="si","",RegContabilizados2[[#This Row],[ID Cliente]])</f>
        <v>CLIENTE 1</v>
      </c>
      <c r="J73" s="1">
        <f>IF(Regcontabilizados[[#This Row],[Eliminado]]="si","",RegContabilizados2[[#This Row],[ESTADO DEL IVA]])</f>
        <v>0</v>
      </c>
      <c r="K73" s="3">
        <f>IF(Regcontabilizados[[#This Row],[Eliminado]]="si","",RegContabilizados2[[#This Row],[ID Proveedor]])</f>
        <v>333333</v>
      </c>
      <c r="L73" s="3">
        <f>IF(Regcontabilizados[[#This Row],[Eliminado]]="si","",RegContabilizados2[[#This Row],[Concepto]])</f>
        <v>0</v>
      </c>
      <c r="M73" s="3">
        <f>IF(Regcontabilizados[[#This Row],[Eliminado]]="si","",RegContabilizados2[[#This Row],[Categoría]])</f>
        <v>0</v>
      </c>
      <c r="N73" s="3" t="str">
        <f>IF(Regcontabilizados[[#This Row],[Eliminado]]="si","",RegContabilizados2[[#This Row],[Almacen]])</f>
        <v>Principal</v>
      </c>
      <c r="O73" s="3" t="str">
        <f>IF(Regcontabilizados[[#This Row],[Eliminado]]="si","",RegContabilizados2[[#This Row],[Tipo de movimiento]])</f>
        <v>Salida</v>
      </c>
      <c r="P73" s="1">
        <f>IF(Regcontabilizados[[#This Row],[Eliminado]]="si","",RegContabilizados2[[#This Row],[cantidad]])</f>
        <v>1</v>
      </c>
      <c r="Q73" s="1">
        <f>IF(Regcontabilizados[[#This Row],[Eliminado]]="si","",RegContabilizados2[[#This Row],[VR unitario]])</f>
        <v>0</v>
      </c>
      <c r="R73" s="1" t="str">
        <f>IF(Regcontabilizados[[#This Row],[Eliminado]]="si","",RegContabilizados2[[#This Row],[Subcuenta]])</f>
        <v/>
      </c>
      <c r="S73" s="1">
        <f>IF(Regcontabilizados[[#This Row],[Eliminado]]="si","",RegContabilizados2[[#This Row],[Debe]])</f>
        <v>0</v>
      </c>
      <c r="T73" s="1">
        <f>IF(Regcontabilizados[[#This Row],[Eliminado]]="si","",RegContabilizados2[[#This Row],[Haber]])</f>
        <v>0</v>
      </c>
      <c r="U73" s="1">
        <f>IFERROR((Regcontabilizados[[#This Row],[Debe]]-Regcontabilizados[[#This Row],[Haber]]),0)</f>
        <v>0</v>
      </c>
      <c r="V73" s="1">
        <f>IFERROR((+_xlfn.XLOOKUP(Regcontabilizados[[#This Row],[Subcuenta]],Tabla11[Cuenta],Tabla11[Descripción],0)),0)</f>
        <v>0</v>
      </c>
      <c r="W73" s="1">
        <f>IFERROR((_xlfn.XLOOKUP((VALUE(LEFT(Regcontabilizados[[#This Row],[Subcuenta]],4))),Tabla11[Cuenta],Tabla11[Descripción],0)),0)</f>
        <v>0</v>
      </c>
      <c r="X73" s="1">
        <f>IFERROR((_xlfn.XLOOKUP(Regcontabilizados[[#This Row],[Subcuenta]],Tabla11[Cuenta],Tabla11[Descripción],0)),0)</f>
        <v>0</v>
      </c>
      <c r="Y73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73" s="1" t="str">
        <f>_xlfn.XLOOKUP(Regcontabilizados[[#This Row],[Subcuenta]],Tabla11[Cuenta],Tabla11[TIPO],"")</f>
        <v/>
      </c>
      <c r="AA73" s="1" t="str">
        <f>IFERROR((Regcontabilizados[[#This Row],[Subcuenta]]&amp;" "&amp;_xlfn.XLOOKUP(Regcontabilizados[[#This Row],[Subcuenta]],Tabla11[Cuenta],Tabla11[Descripción],0)),0)</f>
        <v xml:space="preserve"> 0</v>
      </c>
      <c r="AB73" s="1">
        <f>IFERROR((VALUE(LEFT(Regcontabilizados[[#This Row],[Subcuenta]],2))&amp;" "&amp;_xlfn.XLOOKUP((VALUE(LEFT(Regcontabilizados[[#This Row],[Subcuenta]],2))),Tabla11[Cuenta],Tabla11[Descripción],0)),0)</f>
        <v>0</v>
      </c>
      <c r="AC73" s="1">
        <f>IFERROR((VALUE(LEFT(Regcontabilizados[[#This Row],[Subcuenta]],4))&amp;" "&amp;_xlfn.XLOOKUP((VALUE(LEFT(Regcontabilizados[[#This Row],[Subcuenta]],4))),Tabla11[Cuenta],Tabla11[Descripción],0)),0)</f>
        <v>0</v>
      </c>
      <c r="AD73" s="1" t="str">
        <f>IF(Regcontabilizados[[#This Row],[Eliminado]]="si","",RegContabilizados2[[#This Row],[Estado de pago]])</f>
        <v>NO PAGADO</v>
      </c>
      <c r="AE73" s="1" t="str">
        <f>IF(Regcontabilizados[[#This Row],[Eliminado]]="si","",RegContabilizados2[[#This Row],[Colum. Aux. Estado]])</f>
        <v>4656566F. V.3</v>
      </c>
      <c r="AF73" s="1">
        <f>IF(Regcontabilizados[[#This Row],[Eliminado]]="si","",RegContabilizados2[[#This Row],[Número de pago]])</f>
        <v>0</v>
      </c>
      <c r="AG73" s="1" t="str">
        <f>IF(Regcontabilizados[[#This Row],[Eliminado]]="si","",RegContabilizados2[[#This Row],[Elaborado por]])</f>
        <v>oscar colmenares</v>
      </c>
      <c r="AH73" s="1" t="str">
        <f>IF(Regcontabilizados[[#This Row],[Eliminado]]="si","",RegContabilizados2[[#This Row],[Notas]])</f>
        <v>Vendi de contado</v>
      </c>
      <c r="AI73" s="1">
        <f>IF(Regcontabilizados[[#This Row],[Eliminado]]="si","",RegContabilizados2[[#This Row],[Método de pago]])</f>
        <v>0</v>
      </c>
      <c r="AJ73" s="1">
        <f>IF(Regcontabilizados[[#This Row],[Eliminado]]="si","",RegContabilizados2[[#This Row],[Cta. Bancaria]])</f>
        <v>0</v>
      </c>
      <c r="AO73" s="31">
        <v>45993</v>
      </c>
      <c r="AP73" s="31">
        <v>45993</v>
      </c>
      <c r="AQ73" s="31" t="s">
        <v>1289</v>
      </c>
      <c r="AR73" s="3">
        <v>3</v>
      </c>
      <c r="AS73" s="1" t="s">
        <v>766</v>
      </c>
      <c r="AT73" s="1" t="s">
        <v>901</v>
      </c>
      <c r="AV73" s="3">
        <v>333333</v>
      </c>
      <c r="AW73" s="3"/>
      <c r="AX73" s="3"/>
      <c r="AY73" s="3" t="s">
        <v>1001</v>
      </c>
      <c r="AZ73" s="3" t="s">
        <v>975</v>
      </c>
      <c r="BA73" s="1">
        <v>1</v>
      </c>
      <c r="BB73" s="1">
        <v>0</v>
      </c>
      <c r="BC73" s="1" t="s">
        <v>1168</v>
      </c>
      <c r="BD73" s="1">
        <v>0</v>
      </c>
      <c r="BE73" s="1">
        <v>0</v>
      </c>
      <c r="BF73" s="1">
        <f>IFERROR((RegContabilizados2[[#This Row],[Debe]]-RegContabilizados2[[#This Row],[Haber]]),0)</f>
        <v>0</v>
      </c>
      <c r="BG73" s="1">
        <f>IFERROR((+_xlfn.XLOOKUP(RegContabilizados2[[#This Row],[Subcuenta]],Tabla11[Cuenta],Tabla11[Descripción],0)),0)</f>
        <v>0</v>
      </c>
      <c r="BH73" s="1">
        <f>IFERROR((VALUE(LEFT(RegContabilizados2[[#This Row],[Subcuenta]],2))&amp;" "&amp;_xlfn.XLOOKUP((VALUE(LEFT(RegContabilizados2[[#This Row],[Subcuenta]],2))),Tabla11[Cuenta],Tabla11[Descripción],0)),0)</f>
        <v>0</v>
      </c>
      <c r="BI73" s="1">
        <f>IFERROR((VALUE(LEFT(RegContabilizados2[[#This Row],[Subcuenta]],4))&amp;" "&amp;_xlfn.XLOOKUP((VALUE(LEFT(RegContabilizados2[[#This Row],[Subcuenta]],4))),Tabla11[Cuenta],Tabla11[Descripción],0)),0)</f>
        <v>0</v>
      </c>
      <c r="BJ73" s="1" t="str">
        <f>IFERROR((RegContabilizados2[[#This Row],[Subcuenta]]&amp;" "&amp;_xlfn.XLOOKUP(RegContabilizados2[[#This Row],[Subcuenta]],Tabla11[Cuenta],Tabla11[Descripción],0)),0)</f>
        <v xml:space="preserve"> 0</v>
      </c>
      <c r="BK73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73" s="1" t="str">
        <f>IFERROR(LEFT(RegContabilizados2[[#This Row],[Idenficador]],SEARCH("-",RegContabilizados2[[#This Row],[Idenficador]])-1),0)</f>
        <v>4656566F. V.3</v>
      </c>
      <c r="BN73" s="1" t="s">
        <v>1273</v>
      </c>
      <c r="BO73" s="1" t="s">
        <v>1274</v>
      </c>
    </row>
    <row r="74" spans="4:67">
      <c r="D74" s="31">
        <f>IF(Regcontabilizados[[#This Row],[Eliminado]]="si","",RegContabilizados2[[#This Row],[fecha Factura]])</f>
        <v>45993</v>
      </c>
      <c r="E74" s="31">
        <f>IF(Regcontabilizados[[#This Row],[Eliminado]]="si","",RegContabilizados2[[#This Row],[Fecha vencimiento]])</f>
        <v>45993</v>
      </c>
      <c r="F74" s="31" t="str">
        <f>IF(Regcontabilizados[[#This Row],[Eliminado]]="si","",RegContabilizados2[[#This Row],[Idenficador]])</f>
        <v>4656566F. V.3-15</v>
      </c>
      <c r="G74" s="3">
        <f>IF(Regcontabilizados[[#This Row],[Eliminado]]="si","",RegContabilizados2[[#This Row],[N° de factura/Pago]])</f>
        <v>3</v>
      </c>
      <c r="H74" s="1" t="str">
        <f>IF(Regcontabilizados[[#This Row],[Eliminado]]="si","",RegContabilizados2[[#This Row],[Tipo de Factura]])</f>
        <v>F. V.</v>
      </c>
      <c r="I74" s="1" t="str">
        <f>IF(Regcontabilizados[[#This Row],[Eliminado]]="si","",RegContabilizados2[[#This Row],[ID Cliente]])</f>
        <v>CLIENTE 1</v>
      </c>
      <c r="J74" s="1">
        <f>IF(Regcontabilizados[[#This Row],[Eliminado]]="si","",RegContabilizados2[[#This Row],[ESTADO DEL IVA]])</f>
        <v>0</v>
      </c>
      <c r="K74" s="3">
        <f>IF(Regcontabilizados[[#This Row],[Eliminado]]="si","",RegContabilizados2[[#This Row],[ID Proveedor]])</f>
        <v>333333</v>
      </c>
      <c r="L74" s="3">
        <f>IF(Regcontabilizados[[#This Row],[Eliminado]]="si","",RegContabilizados2[[#This Row],[Concepto]])</f>
        <v>0</v>
      </c>
      <c r="M74" s="3">
        <f>IF(Regcontabilizados[[#This Row],[Eliminado]]="si","",RegContabilizados2[[#This Row],[Categoría]])</f>
        <v>0</v>
      </c>
      <c r="N74" s="3" t="str">
        <f>IF(Regcontabilizados[[#This Row],[Eliminado]]="si","",RegContabilizados2[[#This Row],[Almacen]])</f>
        <v>Principal</v>
      </c>
      <c r="O74" s="3" t="str">
        <f>IF(Regcontabilizados[[#This Row],[Eliminado]]="si","",RegContabilizados2[[#This Row],[Tipo de movimiento]])</f>
        <v>Salida</v>
      </c>
      <c r="P74" s="1">
        <f>IF(Regcontabilizados[[#This Row],[Eliminado]]="si","",RegContabilizados2[[#This Row],[cantidad]])</f>
        <v>1</v>
      </c>
      <c r="Q74" s="1">
        <f>IF(Regcontabilizados[[#This Row],[Eliminado]]="si","",RegContabilizados2[[#This Row],[VR unitario]])</f>
        <v>0</v>
      </c>
      <c r="R74" s="1" t="str">
        <f>IF(Regcontabilizados[[#This Row],[Eliminado]]="si","",RegContabilizados2[[#This Row],[Subcuenta]])</f>
        <v/>
      </c>
      <c r="S74" s="1">
        <f>IF(Regcontabilizados[[#This Row],[Eliminado]]="si","",RegContabilizados2[[#This Row],[Debe]])</f>
        <v>0</v>
      </c>
      <c r="T74" s="1">
        <f>IF(Regcontabilizados[[#This Row],[Eliminado]]="si","",RegContabilizados2[[#This Row],[Haber]])</f>
        <v>0</v>
      </c>
      <c r="U74" s="1">
        <f>IFERROR((Regcontabilizados[[#This Row],[Debe]]-Regcontabilizados[[#This Row],[Haber]]),0)</f>
        <v>0</v>
      </c>
      <c r="V74" s="1">
        <f>IFERROR((+_xlfn.XLOOKUP(Regcontabilizados[[#This Row],[Subcuenta]],Tabla11[Cuenta],Tabla11[Descripción],0)),0)</f>
        <v>0</v>
      </c>
      <c r="W74" s="1">
        <f>IFERROR((_xlfn.XLOOKUP((VALUE(LEFT(Regcontabilizados[[#This Row],[Subcuenta]],4))),Tabla11[Cuenta],Tabla11[Descripción],0)),0)</f>
        <v>0</v>
      </c>
      <c r="X74" s="1">
        <f>IFERROR((_xlfn.XLOOKUP(Regcontabilizados[[#This Row],[Subcuenta]],Tabla11[Cuenta],Tabla11[Descripción],0)),0)</f>
        <v>0</v>
      </c>
      <c r="Y74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74" s="1" t="str">
        <f>_xlfn.XLOOKUP(Regcontabilizados[[#This Row],[Subcuenta]],Tabla11[Cuenta],Tabla11[TIPO],"")</f>
        <v/>
      </c>
      <c r="AA74" s="1" t="str">
        <f>IFERROR((Regcontabilizados[[#This Row],[Subcuenta]]&amp;" "&amp;_xlfn.XLOOKUP(Regcontabilizados[[#This Row],[Subcuenta]],Tabla11[Cuenta],Tabla11[Descripción],0)),0)</f>
        <v xml:space="preserve"> 0</v>
      </c>
      <c r="AB74" s="1">
        <f>IFERROR((VALUE(LEFT(Regcontabilizados[[#This Row],[Subcuenta]],2))&amp;" "&amp;_xlfn.XLOOKUP((VALUE(LEFT(Regcontabilizados[[#This Row],[Subcuenta]],2))),Tabla11[Cuenta],Tabla11[Descripción],0)),0)</f>
        <v>0</v>
      </c>
      <c r="AC74" s="1">
        <f>IFERROR((VALUE(LEFT(Regcontabilizados[[#This Row],[Subcuenta]],4))&amp;" "&amp;_xlfn.XLOOKUP((VALUE(LEFT(Regcontabilizados[[#This Row],[Subcuenta]],4))),Tabla11[Cuenta],Tabla11[Descripción],0)),0)</f>
        <v>0</v>
      </c>
      <c r="AD74" s="1" t="str">
        <f>IF(Regcontabilizados[[#This Row],[Eliminado]]="si","",RegContabilizados2[[#This Row],[Estado de pago]])</f>
        <v>NO PAGADO</v>
      </c>
      <c r="AE74" s="1" t="str">
        <f>IF(Regcontabilizados[[#This Row],[Eliminado]]="si","",RegContabilizados2[[#This Row],[Colum. Aux. Estado]])</f>
        <v>4656566F. V.3</v>
      </c>
      <c r="AF74" s="1">
        <f>IF(Regcontabilizados[[#This Row],[Eliminado]]="si","",RegContabilizados2[[#This Row],[Número de pago]])</f>
        <v>0</v>
      </c>
      <c r="AG74" s="1" t="str">
        <f>IF(Regcontabilizados[[#This Row],[Eliminado]]="si","",RegContabilizados2[[#This Row],[Elaborado por]])</f>
        <v>oscar colmenares</v>
      </c>
      <c r="AH74" s="1" t="str">
        <f>IF(Regcontabilizados[[#This Row],[Eliminado]]="si","",RegContabilizados2[[#This Row],[Notas]])</f>
        <v>Vendi de contado</v>
      </c>
      <c r="AI74" s="1">
        <f>IF(Regcontabilizados[[#This Row],[Eliminado]]="si","",RegContabilizados2[[#This Row],[Método de pago]])</f>
        <v>0</v>
      </c>
      <c r="AJ74" s="1">
        <f>IF(Regcontabilizados[[#This Row],[Eliminado]]="si","",RegContabilizados2[[#This Row],[Cta. Bancaria]])</f>
        <v>0</v>
      </c>
      <c r="AO74" s="31">
        <v>45993</v>
      </c>
      <c r="AP74" s="31">
        <v>45993</v>
      </c>
      <c r="AQ74" s="31" t="s">
        <v>1290</v>
      </c>
      <c r="AR74" s="3">
        <v>3</v>
      </c>
      <c r="AS74" s="1" t="s">
        <v>766</v>
      </c>
      <c r="AT74" s="1" t="s">
        <v>901</v>
      </c>
      <c r="AV74" s="3">
        <v>333333</v>
      </c>
      <c r="AW74" s="3"/>
      <c r="AX74" s="3"/>
      <c r="AY74" s="3" t="s">
        <v>1001</v>
      </c>
      <c r="AZ74" s="3" t="s">
        <v>975</v>
      </c>
      <c r="BA74" s="1">
        <v>1</v>
      </c>
      <c r="BB74" s="1">
        <v>0</v>
      </c>
      <c r="BC74" s="1" t="s">
        <v>1168</v>
      </c>
      <c r="BD74" s="1">
        <v>0</v>
      </c>
      <c r="BE74" s="1">
        <v>0</v>
      </c>
      <c r="BF74" s="1">
        <f>IFERROR((RegContabilizados2[[#This Row],[Debe]]-RegContabilizados2[[#This Row],[Haber]]),0)</f>
        <v>0</v>
      </c>
      <c r="BG74" s="1">
        <f>IFERROR((+_xlfn.XLOOKUP(RegContabilizados2[[#This Row],[Subcuenta]],Tabla11[Cuenta],Tabla11[Descripción],0)),0)</f>
        <v>0</v>
      </c>
      <c r="BH74" s="1">
        <f>IFERROR((VALUE(LEFT(RegContabilizados2[[#This Row],[Subcuenta]],2))&amp;" "&amp;_xlfn.XLOOKUP((VALUE(LEFT(RegContabilizados2[[#This Row],[Subcuenta]],2))),Tabla11[Cuenta],Tabla11[Descripción],0)),0)</f>
        <v>0</v>
      </c>
      <c r="BI74" s="1">
        <f>IFERROR((VALUE(LEFT(RegContabilizados2[[#This Row],[Subcuenta]],4))&amp;" "&amp;_xlfn.XLOOKUP((VALUE(LEFT(RegContabilizados2[[#This Row],[Subcuenta]],4))),Tabla11[Cuenta],Tabla11[Descripción],0)),0)</f>
        <v>0</v>
      </c>
      <c r="BJ74" s="1" t="str">
        <f>IFERROR((RegContabilizados2[[#This Row],[Subcuenta]]&amp;" "&amp;_xlfn.XLOOKUP(RegContabilizados2[[#This Row],[Subcuenta]],Tabla11[Cuenta],Tabla11[Descripción],0)),0)</f>
        <v xml:space="preserve"> 0</v>
      </c>
      <c r="BK74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74" s="1" t="str">
        <f>IFERROR(LEFT(RegContabilizados2[[#This Row],[Idenficador]],SEARCH("-",RegContabilizados2[[#This Row],[Idenficador]])-1),0)</f>
        <v>4656566F. V.3</v>
      </c>
      <c r="BN74" s="1" t="s">
        <v>1273</v>
      </c>
      <c r="BO74" s="1" t="s">
        <v>1274</v>
      </c>
    </row>
    <row r="75" spans="4:67">
      <c r="D75" s="31">
        <f>IF(Regcontabilizados[[#This Row],[Eliminado]]="si","",RegContabilizados2[[#This Row],[fecha Factura]])</f>
        <v>45993</v>
      </c>
      <c r="E75" s="31">
        <f>IF(Regcontabilizados[[#This Row],[Eliminado]]="si","",RegContabilizados2[[#This Row],[Fecha vencimiento]])</f>
        <v>45993</v>
      </c>
      <c r="F75" s="31" t="str">
        <f>IF(Regcontabilizados[[#This Row],[Eliminado]]="si","",RegContabilizados2[[#This Row],[Idenficador]])</f>
        <v>4656566F. V.3-16</v>
      </c>
      <c r="G75" s="3">
        <f>IF(Regcontabilizados[[#This Row],[Eliminado]]="si","",RegContabilizados2[[#This Row],[N° de factura/Pago]])</f>
        <v>3</v>
      </c>
      <c r="H75" s="1" t="str">
        <f>IF(Regcontabilizados[[#This Row],[Eliminado]]="si","",RegContabilizados2[[#This Row],[Tipo de Factura]])</f>
        <v>F. V.</v>
      </c>
      <c r="I75" s="1" t="str">
        <f>IF(Regcontabilizados[[#This Row],[Eliminado]]="si","",RegContabilizados2[[#This Row],[ID Cliente]])</f>
        <v>CLIENTE 1</v>
      </c>
      <c r="J75" s="1">
        <f>IF(Regcontabilizados[[#This Row],[Eliminado]]="si","",RegContabilizados2[[#This Row],[ESTADO DEL IVA]])</f>
        <v>0</v>
      </c>
      <c r="K75" s="3">
        <f>IF(Regcontabilizados[[#This Row],[Eliminado]]="si","",RegContabilizados2[[#This Row],[ID Proveedor]])</f>
        <v>333333</v>
      </c>
      <c r="L75" s="3">
        <f>IF(Regcontabilizados[[#This Row],[Eliminado]]="si","",RegContabilizados2[[#This Row],[Concepto]])</f>
        <v>0</v>
      </c>
      <c r="M75" s="3">
        <f>IF(Regcontabilizados[[#This Row],[Eliminado]]="si","",RegContabilizados2[[#This Row],[Categoría]])</f>
        <v>0</v>
      </c>
      <c r="N75" s="3" t="str">
        <f>IF(Regcontabilizados[[#This Row],[Eliminado]]="si","",RegContabilizados2[[#This Row],[Almacen]])</f>
        <v>Principal</v>
      </c>
      <c r="O75" s="3" t="str">
        <f>IF(Regcontabilizados[[#This Row],[Eliminado]]="si","",RegContabilizados2[[#This Row],[Tipo de movimiento]])</f>
        <v>Salida</v>
      </c>
      <c r="P75" s="1">
        <f>IF(Regcontabilizados[[#This Row],[Eliminado]]="si","",RegContabilizados2[[#This Row],[cantidad]])</f>
        <v>1</v>
      </c>
      <c r="Q75" s="1">
        <f>IF(Regcontabilizados[[#This Row],[Eliminado]]="si","",RegContabilizados2[[#This Row],[VR unitario]])</f>
        <v>0</v>
      </c>
      <c r="R75" s="1" t="str">
        <f>IF(Regcontabilizados[[#This Row],[Eliminado]]="si","",RegContabilizados2[[#This Row],[Subcuenta]])</f>
        <v/>
      </c>
      <c r="S75" s="1">
        <f>IF(Regcontabilizados[[#This Row],[Eliminado]]="si","",RegContabilizados2[[#This Row],[Debe]])</f>
        <v>0</v>
      </c>
      <c r="T75" s="1">
        <f>IF(Regcontabilizados[[#This Row],[Eliminado]]="si","",RegContabilizados2[[#This Row],[Haber]])</f>
        <v>0</v>
      </c>
      <c r="U75" s="1">
        <f>IFERROR((Regcontabilizados[[#This Row],[Debe]]-Regcontabilizados[[#This Row],[Haber]]),0)</f>
        <v>0</v>
      </c>
      <c r="V75" s="1">
        <f>IFERROR((+_xlfn.XLOOKUP(Regcontabilizados[[#This Row],[Subcuenta]],Tabla11[Cuenta],Tabla11[Descripción],0)),0)</f>
        <v>0</v>
      </c>
      <c r="W75" s="1">
        <f>IFERROR((_xlfn.XLOOKUP((VALUE(LEFT(Regcontabilizados[[#This Row],[Subcuenta]],4))),Tabla11[Cuenta],Tabla11[Descripción],0)),0)</f>
        <v>0</v>
      </c>
      <c r="X75" s="1">
        <f>IFERROR((_xlfn.XLOOKUP(Regcontabilizados[[#This Row],[Subcuenta]],Tabla11[Cuenta],Tabla11[Descripción],0)),0)</f>
        <v>0</v>
      </c>
      <c r="Y75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75" s="1" t="str">
        <f>_xlfn.XLOOKUP(Regcontabilizados[[#This Row],[Subcuenta]],Tabla11[Cuenta],Tabla11[TIPO],"")</f>
        <v/>
      </c>
      <c r="AA75" s="1" t="str">
        <f>IFERROR((Regcontabilizados[[#This Row],[Subcuenta]]&amp;" "&amp;_xlfn.XLOOKUP(Regcontabilizados[[#This Row],[Subcuenta]],Tabla11[Cuenta],Tabla11[Descripción],0)),0)</f>
        <v xml:space="preserve"> 0</v>
      </c>
      <c r="AB75" s="1">
        <f>IFERROR((VALUE(LEFT(Regcontabilizados[[#This Row],[Subcuenta]],2))&amp;" "&amp;_xlfn.XLOOKUP((VALUE(LEFT(Regcontabilizados[[#This Row],[Subcuenta]],2))),Tabla11[Cuenta],Tabla11[Descripción],0)),0)</f>
        <v>0</v>
      </c>
      <c r="AC75" s="1">
        <f>IFERROR((VALUE(LEFT(Regcontabilizados[[#This Row],[Subcuenta]],4))&amp;" "&amp;_xlfn.XLOOKUP((VALUE(LEFT(Regcontabilizados[[#This Row],[Subcuenta]],4))),Tabla11[Cuenta],Tabla11[Descripción],0)),0)</f>
        <v>0</v>
      </c>
      <c r="AD75" s="1" t="str">
        <f>IF(Regcontabilizados[[#This Row],[Eliminado]]="si","",RegContabilizados2[[#This Row],[Estado de pago]])</f>
        <v>NO PAGADO</v>
      </c>
      <c r="AE75" s="1" t="str">
        <f>IF(Regcontabilizados[[#This Row],[Eliminado]]="si","",RegContabilizados2[[#This Row],[Colum. Aux. Estado]])</f>
        <v>4656566F. V.3</v>
      </c>
      <c r="AF75" s="1">
        <f>IF(Regcontabilizados[[#This Row],[Eliminado]]="si","",RegContabilizados2[[#This Row],[Número de pago]])</f>
        <v>0</v>
      </c>
      <c r="AG75" s="1" t="str">
        <f>IF(Regcontabilizados[[#This Row],[Eliminado]]="si","",RegContabilizados2[[#This Row],[Elaborado por]])</f>
        <v>oscar colmenares</v>
      </c>
      <c r="AH75" s="1" t="str">
        <f>IF(Regcontabilizados[[#This Row],[Eliminado]]="si","",RegContabilizados2[[#This Row],[Notas]])</f>
        <v>Vendi de contado</v>
      </c>
      <c r="AI75" s="1">
        <f>IF(Regcontabilizados[[#This Row],[Eliminado]]="si","",RegContabilizados2[[#This Row],[Método de pago]])</f>
        <v>0</v>
      </c>
      <c r="AJ75" s="1">
        <f>IF(Regcontabilizados[[#This Row],[Eliminado]]="si","",RegContabilizados2[[#This Row],[Cta. Bancaria]])</f>
        <v>0</v>
      </c>
      <c r="AO75" s="31">
        <v>45993</v>
      </c>
      <c r="AP75" s="31">
        <v>45993</v>
      </c>
      <c r="AQ75" s="31" t="s">
        <v>1291</v>
      </c>
      <c r="AR75" s="3">
        <v>3</v>
      </c>
      <c r="AS75" s="1" t="s">
        <v>766</v>
      </c>
      <c r="AT75" s="1" t="s">
        <v>901</v>
      </c>
      <c r="AV75" s="3">
        <v>333333</v>
      </c>
      <c r="AW75" s="3"/>
      <c r="AX75" s="3"/>
      <c r="AY75" s="3" t="s">
        <v>1001</v>
      </c>
      <c r="AZ75" s="3" t="s">
        <v>975</v>
      </c>
      <c r="BA75" s="1">
        <v>1</v>
      </c>
      <c r="BB75" s="1">
        <v>0</v>
      </c>
      <c r="BC75" s="1" t="s">
        <v>1168</v>
      </c>
      <c r="BD75" s="1">
        <v>0</v>
      </c>
      <c r="BE75" s="1">
        <v>0</v>
      </c>
      <c r="BF75" s="1">
        <f>IFERROR((RegContabilizados2[[#This Row],[Debe]]-RegContabilizados2[[#This Row],[Haber]]),0)</f>
        <v>0</v>
      </c>
      <c r="BG75" s="1">
        <f>IFERROR((+_xlfn.XLOOKUP(RegContabilizados2[[#This Row],[Subcuenta]],Tabla11[Cuenta],Tabla11[Descripción],0)),0)</f>
        <v>0</v>
      </c>
      <c r="BH75" s="1">
        <f>IFERROR((VALUE(LEFT(RegContabilizados2[[#This Row],[Subcuenta]],2))&amp;" "&amp;_xlfn.XLOOKUP((VALUE(LEFT(RegContabilizados2[[#This Row],[Subcuenta]],2))),Tabla11[Cuenta],Tabla11[Descripción],0)),0)</f>
        <v>0</v>
      </c>
      <c r="BI75" s="1">
        <f>IFERROR((VALUE(LEFT(RegContabilizados2[[#This Row],[Subcuenta]],4))&amp;" "&amp;_xlfn.XLOOKUP((VALUE(LEFT(RegContabilizados2[[#This Row],[Subcuenta]],4))),Tabla11[Cuenta],Tabla11[Descripción],0)),0)</f>
        <v>0</v>
      </c>
      <c r="BJ75" s="1" t="str">
        <f>IFERROR((RegContabilizados2[[#This Row],[Subcuenta]]&amp;" "&amp;_xlfn.XLOOKUP(RegContabilizados2[[#This Row],[Subcuenta]],Tabla11[Cuenta],Tabla11[Descripción],0)),0)</f>
        <v xml:space="preserve"> 0</v>
      </c>
      <c r="BK75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75" s="1" t="str">
        <f>IFERROR(LEFT(RegContabilizados2[[#This Row],[Idenficador]],SEARCH("-",RegContabilizados2[[#This Row],[Idenficador]])-1),0)</f>
        <v>4656566F. V.3</v>
      </c>
      <c r="BN75" s="1" t="s">
        <v>1273</v>
      </c>
      <c r="BO75" s="1" t="s">
        <v>1274</v>
      </c>
    </row>
    <row r="76" spans="4:67">
      <c r="D76" s="31">
        <f>IF(Regcontabilizados[[#This Row],[Eliminado]]="si","",RegContabilizados2[[#This Row],[fecha Factura]])</f>
        <v>45993</v>
      </c>
      <c r="E76" s="31">
        <f>IF(Regcontabilizados[[#This Row],[Eliminado]]="si","",RegContabilizados2[[#This Row],[Fecha vencimiento]])</f>
        <v>45993</v>
      </c>
      <c r="F76" s="31" t="str">
        <f>IF(Regcontabilizados[[#This Row],[Eliminado]]="si","",RegContabilizados2[[#This Row],[Idenficador]])</f>
        <v>4656566F. V.3-17</v>
      </c>
      <c r="G76" s="3">
        <f>IF(Regcontabilizados[[#This Row],[Eliminado]]="si","",RegContabilizados2[[#This Row],[N° de factura/Pago]])</f>
        <v>3</v>
      </c>
      <c r="H76" s="1" t="str">
        <f>IF(Regcontabilizados[[#This Row],[Eliminado]]="si","",RegContabilizados2[[#This Row],[Tipo de Factura]])</f>
        <v>F. V.</v>
      </c>
      <c r="I76" s="1" t="str">
        <f>IF(Regcontabilizados[[#This Row],[Eliminado]]="si","",RegContabilizados2[[#This Row],[ID Cliente]])</f>
        <v>CLIENTE 1</v>
      </c>
      <c r="J76" s="1">
        <f>IF(Regcontabilizados[[#This Row],[Eliminado]]="si","",RegContabilizados2[[#This Row],[ESTADO DEL IVA]])</f>
        <v>0</v>
      </c>
      <c r="K76" s="3">
        <f>IF(Regcontabilizados[[#This Row],[Eliminado]]="si","",RegContabilizados2[[#This Row],[ID Proveedor]])</f>
        <v>333333</v>
      </c>
      <c r="L76" s="3">
        <f>IF(Regcontabilizados[[#This Row],[Eliminado]]="si","",RegContabilizados2[[#This Row],[Concepto]])</f>
        <v>0</v>
      </c>
      <c r="M76" s="3">
        <f>IF(Regcontabilizados[[#This Row],[Eliminado]]="si","",RegContabilizados2[[#This Row],[Categoría]])</f>
        <v>0</v>
      </c>
      <c r="N76" s="3" t="str">
        <f>IF(Regcontabilizados[[#This Row],[Eliminado]]="si","",RegContabilizados2[[#This Row],[Almacen]])</f>
        <v>Principal</v>
      </c>
      <c r="O76" s="3" t="str">
        <f>IF(Regcontabilizados[[#This Row],[Eliminado]]="si","",RegContabilizados2[[#This Row],[Tipo de movimiento]])</f>
        <v>Salida</v>
      </c>
      <c r="P76" s="1">
        <f>IF(Regcontabilizados[[#This Row],[Eliminado]]="si","",RegContabilizados2[[#This Row],[cantidad]])</f>
        <v>1</v>
      </c>
      <c r="Q76" s="1">
        <f>IF(Regcontabilizados[[#This Row],[Eliminado]]="si","",RegContabilizados2[[#This Row],[VR unitario]])</f>
        <v>0</v>
      </c>
      <c r="R76" s="1" t="str">
        <f>IF(Regcontabilizados[[#This Row],[Eliminado]]="si","",RegContabilizados2[[#This Row],[Subcuenta]])</f>
        <v/>
      </c>
      <c r="S76" s="1">
        <f>IF(Regcontabilizados[[#This Row],[Eliminado]]="si","",RegContabilizados2[[#This Row],[Debe]])</f>
        <v>0</v>
      </c>
      <c r="T76" s="1">
        <f>IF(Regcontabilizados[[#This Row],[Eliminado]]="si","",RegContabilizados2[[#This Row],[Haber]])</f>
        <v>0</v>
      </c>
      <c r="U76" s="1">
        <f>IFERROR((Regcontabilizados[[#This Row],[Debe]]-Regcontabilizados[[#This Row],[Haber]]),0)</f>
        <v>0</v>
      </c>
      <c r="V76" s="1">
        <f>IFERROR((+_xlfn.XLOOKUP(Regcontabilizados[[#This Row],[Subcuenta]],Tabla11[Cuenta],Tabla11[Descripción],0)),0)</f>
        <v>0</v>
      </c>
      <c r="W76" s="1">
        <f>IFERROR((_xlfn.XLOOKUP((VALUE(LEFT(Regcontabilizados[[#This Row],[Subcuenta]],4))),Tabla11[Cuenta],Tabla11[Descripción],0)),0)</f>
        <v>0</v>
      </c>
      <c r="X76" s="1">
        <f>IFERROR((_xlfn.XLOOKUP(Regcontabilizados[[#This Row],[Subcuenta]],Tabla11[Cuenta],Tabla11[Descripción],0)),0)</f>
        <v>0</v>
      </c>
      <c r="Y76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76" s="1" t="str">
        <f>_xlfn.XLOOKUP(Regcontabilizados[[#This Row],[Subcuenta]],Tabla11[Cuenta],Tabla11[TIPO],"")</f>
        <v/>
      </c>
      <c r="AA76" s="1" t="str">
        <f>IFERROR((Regcontabilizados[[#This Row],[Subcuenta]]&amp;" "&amp;_xlfn.XLOOKUP(Regcontabilizados[[#This Row],[Subcuenta]],Tabla11[Cuenta],Tabla11[Descripción],0)),0)</f>
        <v xml:space="preserve"> 0</v>
      </c>
      <c r="AB76" s="1">
        <f>IFERROR((VALUE(LEFT(Regcontabilizados[[#This Row],[Subcuenta]],2))&amp;" "&amp;_xlfn.XLOOKUP((VALUE(LEFT(Regcontabilizados[[#This Row],[Subcuenta]],2))),Tabla11[Cuenta],Tabla11[Descripción],0)),0)</f>
        <v>0</v>
      </c>
      <c r="AC76" s="1">
        <f>IFERROR((VALUE(LEFT(Regcontabilizados[[#This Row],[Subcuenta]],4))&amp;" "&amp;_xlfn.XLOOKUP((VALUE(LEFT(Regcontabilizados[[#This Row],[Subcuenta]],4))),Tabla11[Cuenta],Tabla11[Descripción],0)),0)</f>
        <v>0</v>
      </c>
      <c r="AD76" s="1" t="str">
        <f>IF(Regcontabilizados[[#This Row],[Eliminado]]="si","",RegContabilizados2[[#This Row],[Estado de pago]])</f>
        <v>NO PAGADO</v>
      </c>
      <c r="AE76" s="1" t="str">
        <f>IF(Regcontabilizados[[#This Row],[Eliminado]]="si","",RegContabilizados2[[#This Row],[Colum. Aux. Estado]])</f>
        <v>4656566F. V.3</v>
      </c>
      <c r="AF76" s="1">
        <f>IF(Regcontabilizados[[#This Row],[Eliminado]]="si","",RegContabilizados2[[#This Row],[Número de pago]])</f>
        <v>0</v>
      </c>
      <c r="AG76" s="1" t="str">
        <f>IF(Regcontabilizados[[#This Row],[Eliminado]]="si","",RegContabilizados2[[#This Row],[Elaborado por]])</f>
        <v>oscar colmenares</v>
      </c>
      <c r="AH76" s="1" t="str">
        <f>IF(Regcontabilizados[[#This Row],[Eliminado]]="si","",RegContabilizados2[[#This Row],[Notas]])</f>
        <v>Vendi de contado</v>
      </c>
      <c r="AI76" s="1">
        <f>IF(Regcontabilizados[[#This Row],[Eliminado]]="si","",RegContabilizados2[[#This Row],[Método de pago]])</f>
        <v>0</v>
      </c>
      <c r="AJ76" s="1">
        <f>IF(Regcontabilizados[[#This Row],[Eliminado]]="si","",RegContabilizados2[[#This Row],[Cta. Bancaria]])</f>
        <v>0</v>
      </c>
      <c r="AO76" s="31">
        <v>45993</v>
      </c>
      <c r="AP76" s="31">
        <v>45993</v>
      </c>
      <c r="AQ76" s="31" t="s">
        <v>1292</v>
      </c>
      <c r="AR76" s="3">
        <v>3</v>
      </c>
      <c r="AS76" s="1" t="s">
        <v>766</v>
      </c>
      <c r="AT76" s="1" t="s">
        <v>901</v>
      </c>
      <c r="AV76" s="3">
        <v>333333</v>
      </c>
      <c r="AW76" s="3"/>
      <c r="AX76" s="3"/>
      <c r="AY76" s="3" t="s">
        <v>1001</v>
      </c>
      <c r="AZ76" s="3" t="s">
        <v>975</v>
      </c>
      <c r="BA76" s="1">
        <v>1</v>
      </c>
      <c r="BB76" s="1">
        <v>0</v>
      </c>
      <c r="BC76" s="1" t="s">
        <v>1168</v>
      </c>
      <c r="BD76" s="1">
        <v>0</v>
      </c>
      <c r="BE76" s="1">
        <v>0</v>
      </c>
      <c r="BF76" s="1">
        <f>IFERROR((RegContabilizados2[[#This Row],[Debe]]-RegContabilizados2[[#This Row],[Haber]]),0)</f>
        <v>0</v>
      </c>
      <c r="BG76" s="1">
        <f>IFERROR((+_xlfn.XLOOKUP(RegContabilizados2[[#This Row],[Subcuenta]],Tabla11[Cuenta],Tabla11[Descripción],0)),0)</f>
        <v>0</v>
      </c>
      <c r="BH76" s="1">
        <f>IFERROR((VALUE(LEFT(RegContabilizados2[[#This Row],[Subcuenta]],2))&amp;" "&amp;_xlfn.XLOOKUP((VALUE(LEFT(RegContabilizados2[[#This Row],[Subcuenta]],2))),Tabla11[Cuenta],Tabla11[Descripción],0)),0)</f>
        <v>0</v>
      </c>
      <c r="BI76" s="1">
        <f>IFERROR((VALUE(LEFT(RegContabilizados2[[#This Row],[Subcuenta]],4))&amp;" "&amp;_xlfn.XLOOKUP((VALUE(LEFT(RegContabilizados2[[#This Row],[Subcuenta]],4))),Tabla11[Cuenta],Tabla11[Descripción],0)),0)</f>
        <v>0</v>
      </c>
      <c r="BJ76" s="1" t="str">
        <f>IFERROR((RegContabilizados2[[#This Row],[Subcuenta]]&amp;" "&amp;_xlfn.XLOOKUP(RegContabilizados2[[#This Row],[Subcuenta]],Tabla11[Cuenta],Tabla11[Descripción],0)),0)</f>
        <v xml:space="preserve"> 0</v>
      </c>
      <c r="BK76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76" s="1" t="str">
        <f>IFERROR(LEFT(RegContabilizados2[[#This Row],[Idenficador]],SEARCH("-",RegContabilizados2[[#This Row],[Idenficador]])-1),0)</f>
        <v>4656566F. V.3</v>
      </c>
      <c r="BN76" s="1" t="s">
        <v>1273</v>
      </c>
      <c r="BO76" s="1" t="s">
        <v>1274</v>
      </c>
    </row>
    <row r="77" spans="4:67">
      <c r="D77" s="31">
        <f>IF(Regcontabilizados[[#This Row],[Eliminado]]="si","",RegContabilizados2[[#This Row],[fecha Factura]])</f>
        <v>45993</v>
      </c>
      <c r="E77" s="31">
        <f>IF(Regcontabilizados[[#This Row],[Eliminado]]="si","",RegContabilizados2[[#This Row],[Fecha vencimiento]])</f>
        <v>45993</v>
      </c>
      <c r="F77" s="31" t="str">
        <f>IF(Regcontabilizados[[#This Row],[Eliminado]]="si","",RegContabilizados2[[#This Row],[Idenficador]])</f>
        <v>4656566F. V.3-18</v>
      </c>
      <c r="G77" s="3">
        <f>IF(Regcontabilizados[[#This Row],[Eliminado]]="si","",RegContabilizados2[[#This Row],[N° de factura/Pago]])</f>
        <v>3</v>
      </c>
      <c r="H77" s="1" t="str">
        <f>IF(Regcontabilizados[[#This Row],[Eliminado]]="si","",RegContabilizados2[[#This Row],[Tipo de Factura]])</f>
        <v>F. V.</v>
      </c>
      <c r="I77" s="1" t="str">
        <f>IF(Regcontabilizados[[#This Row],[Eliminado]]="si","",RegContabilizados2[[#This Row],[ID Cliente]])</f>
        <v>CLIENTE 1</v>
      </c>
      <c r="J77" s="1">
        <f>IF(Regcontabilizados[[#This Row],[Eliminado]]="si","",RegContabilizados2[[#This Row],[ESTADO DEL IVA]])</f>
        <v>0</v>
      </c>
      <c r="K77" s="3">
        <f>IF(Regcontabilizados[[#This Row],[Eliminado]]="si","",RegContabilizados2[[#This Row],[ID Proveedor]])</f>
        <v>333333</v>
      </c>
      <c r="L77" s="3">
        <f>IF(Regcontabilizados[[#This Row],[Eliminado]]="si","",RegContabilizados2[[#This Row],[Concepto]])</f>
        <v>0</v>
      </c>
      <c r="M77" s="3">
        <f>IF(Regcontabilizados[[#This Row],[Eliminado]]="si","",RegContabilizados2[[#This Row],[Categoría]])</f>
        <v>0</v>
      </c>
      <c r="N77" s="3" t="str">
        <f>IF(Regcontabilizados[[#This Row],[Eliminado]]="si","",RegContabilizados2[[#This Row],[Almacen]])</f>
        <v>Principal</v>
      </c>
      <c r="O77" s="3" t="str">
        <f>IF(Regcontabilizados[[#This Row],[Eliminado]]="si","",RegContabilizados2[[#This Row],[Tipo de movimiento]])</f>
        <v>Salida</v>
      </c>
      <c r="P77" s="1">
        <f>IF(Regcontabilizados[[#This Row],[Eliminado]]="si","",RegContabilizados2[[#This Row],[cantidad]])</f>
        <v>1</v>
      </c>
      <c r="Q77" s="1">
        <f>IF(Regcontabilizados[[#This Row],[Eliminado]]="si","",RegContabilizados2[[#This Row],[VR unitario]])</f>
        <v>0</v>
      </c>
      <c r="R77" s="1" t="str">
        <f>IF(Regcontabilizados[[#This Row],[Eliminado]]="si","",RegContabilizados2[[#This Row],[Subcuenta]])</f>
        <v/>
      </c>
      <c r="S77" s="1">
        <f>IF(Regcontabilizados[[#This Row],[Eliminado]]="si","",RegContabilizados2[[#This Row],[Debe]])</f>
        <v>0</v>
      </c>
      <c r="T77" s="1">
        <f>IF(Regcontabilizados[[#This Row],[Eliminado]]="si","",RegContabilizados2[[#This Row],[Haber]])</f>
        <v>0</v>
      </c>
      <c r="U77" s="1">
        <f>IFERROR((Regcontabilizados[[#This Row],[Debe]]-Regcontabilizados[[#This Row],[Haber]]),0)</f>
        <v>0</v>
      </c>
      <c r="V77" s="1">
        <f>IFERROR((+_xlfn.XLOOKUP(Regcontabilizados[[#This Row],[Subcuenta]],Tabla11[Cuenta],Tabla11[Descripción],0)),0)</f>
        <v>0</v>
      </c>
      <c r="W77" s="1">
        <f>IFERROR((_xlfn.XLOOKUP((VALUE(LEFT(Regcontabilizados[[#This Row],[Subcuenta]],4))),Tabla11[Cuenta],Tabla11[Descripción],0)),0)</f>
        <v>0</v>
      </c>
      <c r="X77" s="1">
        <f>IFERROR((_xlfn.XLOOKUP(Regcontabilizados[[#This Row],[Subcuenta]],Tabla11[Cuenta],Tabla11[Descripción],0)),0)</f>
        <v>0</v>
      </c>
      <c r="Y77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77" s="1" t="str">
        <f>_xlfn.XLOOKUP(Regcontabilizados[[#This Row],[Subcuenta]],Tabla11[Cuenta],Tabla11[TIPO],"")</f>
        <v/>
      </c>
      <c r="AA77" s="1" t="str">
        <f>IFERROR((Regcontabilizados[[#This Row],[Subcuenta]]&amp;" "&amp;_xlfn.XLOOKUP(Regcontabilizados[[#This Row],[Subcuenta]],Tabla11[Cuenta],Tabla11[Descripción],0)),0)</f>
        <v xml:space="preserve"> 0</v>
      </c>
      <c r="AB77" s="1">
        <f>IFERROR((VALUE(LEFT(Regcontabilizados[[#This Row],[Subcuenta]],2))&amp;" "&amp;_xlfn.XLOOKUP((VALUE(LEFT(Regcontabilizados[[#This Row],[Subcuenta]],2))),Tabla11[Cuenta],Tabla11[Descripción],0)),0)</f>
        <v>0</v>
      </c>
      <c r="AC77" s="1">
        <f>IFERROR((VALUE(LEFT(Regcontabilizados[[#This Row],[Subcuenta]],4))&amp;" "&amp;_xlfn.XLOOKUP((VALUE(LEFT(Regcontabilizados[[#This Row],[Subcuenta]],4))),Tabla11[Cuenta],Tabla11[Descripción],0)),0)</f>
        <v>0</v>
      </c>
      <c r="AD77" s="1" t="str">
        <f>IF(Regcontabilizados[[#This Row],[Eliminado]]="si","",RegContabilizados2[[#This Row],[Estado de pago]])</f>
        <v>NO PAGADO</v>
      </c>
      <c r="AE77" s="1" t="str">
        <f>IF(Regcontabilizados[[#This Row],[Eliminado]]="si","",RegContabilizados2[[#This Row],[Colum. Aux. Estado]])</f>
        <v>4656566F. V.3</v>
      </c>
      <c r="AF77" s="1">
        <f>IF(Regcontabilizados[[#This Row],[Eliminado]]="si","",RegContabilizados2[[#This Row],[Número de pago]])</f>
        <v>0</v>
      </c>
      <c r="AG77" s="1" t="str">
        <f>IF(Regcontabilizados[[#This Row],[Eliminado]]="si","",RegContabilizados2[[#This Row],[Elaborado por]])</f>
        <v>oscar colmenares</v>
      </c>
      <c r="AH77" s="1" t="str">
        <f>IF(Regcontabilizados[[#This Row],[Eliminado]]="si","",RegContabilizados2[[#This Row],[Notas]])</f>
        <v>Vendi de contado</v>
      </c>
      <c r="AI77" s="1">
        <f>IF(Regcontabilizados[[#This Row],[Eliminado]]="si","",RegContabilizados2[[#This Row],[Método de pago]])</f>
        <v>0</v>
      </c>
      <c r="AJ77" s="1">
        <f>IF(Regcontabilizados[[#This Row],[Eliminado]]="si","",RegContabilizados2[[#This Row],[Cta. Bancaria]])</f>
        <v>0</v>
      </c>
      <c r="AO77" s="31">
        <v>45993</v>
      </c>
      <c r="AP77" s="31">
        <v>45993</v>
      </c>
      <c r="AQ77" s="31" t="s">
        <v>1293</v>
      </c>
      <c r="AR77" s="3">
        <v>3</v>
      </c>
      <c r="AS77" s="1" t="s">
        <v>766</v>
      </c>
      <c r="AT77" s="1" t="s">
        <v>901</v>
      </c>
      <c r="AV77" s="3">
        <v>333333</v>
      </c>
      <c r="AW77" s="3"/>
      <c r="AX77" s="3"/>
      <c r="AY77" s="3" t="s">
        <v>1001</v>
      </c>
      <c r="AZ77" s="3" t="s">
        <v>975</v>
      </c>
      <c r="BA77" s="1">
        <v>1</v>
      </c>
      <c r="BB77" s="1">
        <v>0</v>
      </c>
      <c r="BC77" s="1" t="s">
        <v>1168</v>
      </c>
      <c r="BD77" s="1">
        <v>0</v>
      </c>
      <c r="BE77" s="1">
        <v>0</v>
      </c>
      <c r="BF77" s="1">
        <f>IFERROR((RegContabilizados2[[#This Row],[Debe]]-RegContabilizados2[[#This Row],[Haber]]),0)</f>
        <v>0</v>
      </c>
      <c r="BG77" s="1">
        <f>IFERROR((+_xlfn.XLOOKUP(RegContabilizados2[[#This Row],[Subcuenta]],Tabla11[Cuenta],Tabla11[Descripción],0)),0)</f>
        <v>0</v>
      </c>
      <c r="BH77" s="1">
        <f>IFERROR((VALUE(LEFT(RegContabilizados2[[#This Row],[Subcuenta]],2))&amp;" "&amp;_xlfn.XLOOKUP((VALUE(LEFT(RegContabilizados2[[#This Row],[Subcuenta]],2))),Tabla11[Cuenta],Tabla11[Descripción],0)),0)</f>
        <v>0</v>
      </c>
      <c r="BI77" s="1">
        <f>IFERROR((VALUE(LEFT(RegContabilizados2[[#This Row],[Subcuenta]],4))&amp;" "&amp;_xlfn.XLOOKUP((VALUE(LEFT(RegContabilizados2[[#This Row],[Subcuenta]],4))),Tabla11[Cuenta],Tabla11[Descripción],0)),0)</f>
        <v>0</v>
      </c>
      <c r="BJ77" s="1" t="str">
        <f>IFERROR((RegContabilizados2[[#This Row],[Subcuenta]]&amp;" "&amp;_xlfn.XLOOKUP(RegContabilizados2[[#This Row],[Subcuenta]],Tabla11[Cuenta],Tabla11[Descripción],0)),0)</f>
        <v xml:space="preserve"> 0</v>
      </c>
      <c r="BK77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77" s="1" t="str">
        <f>IFERROR(LEFT(RegContabilizados2[[#This Row],[Idenficador]],SEARCH("-",RegContabilizados2[[#This Row],[Idenficador]])-1),0)</f>
        <v>4656566F. V.3</v>
      </c>
      <c r="BN77" s="1" t="s">
        <v>1273</v>
      </c>
      <c r="BO77" s="1" t="s">
        <v>1274</v>
      </c>
    </row>
    <row r="78" spans="4:67">
      <c r="D78" s="31">
        <f>IF(Regcontabilizados[[#This Row],[Eliminado]]="si","",RegContabilizados2[[#This Row],[fecha Factura]])</f>
        <v>45993</v>
      </c>
      <c r="E78" s="31">
        <f>IF(Regcontabilizados[[#This Row],[Eliminado]]="si","",RegContabilizados2[[#This Row],[Fecha vencimiento]])</f>
        <v>45993</v>
      </c>
      <c r="F78" s="31" t="str">
        <f>IF(Regcontabilizados[[#This Row],[Eliminado]]="si","",RegContabilizados2[[#This Row],[Idenficador]])</f>
        <v>4656566F. V.3-19</v>
      </c>
      <c r="G78" s="3">
        <f>IF(Regcontabilizados[[#This Row],[Eliminado]]="si","",RegContabilizados2[[#This Row],[N° de factura/Pago]])</f>
        <v>3</v>
      </c>
      <c r="H78" s="1" t="str">
        <f>IF(Regcontabilizados[[#This Row],[Eliminado]]="si","",RegContabilizados2[[#This Row],[Tipo de Factura]])</f>
        <v>F. V.</v>
      </c>
      <c r="I78" s="1" t="str">
        <f>IF(Regcontabilizados[[#This Row],[Eliminado]]="si","",RegContabilizados2[[#This Row],[ID Cliente]])</f>
        <v>CLIENTE 1</v>
      </c>
      <c r="J78" s="1">
        <f>IF(Regcontabilizados[[#This Row],[Eliminado]]="si","",RegContabilizados2[[#This Row],[ESTADO DEL IVA]])</f>
        <v>0</v>
      </c>
      <c r="K78" s="3">
        <f>IF(Regcontabilizados[[#This Row],[Eliminado]]="si","",RegContabilizados2[[#This Row],[ID Proveedor]])</f>
        <v>333333</v>
      </c>
      <c r="L78" s="3">
        <f>IF(Regcontabilizados[[#This Row],[Eliminado]]="si","",RegContabilizados2[[#This Row],[Concepto]])</f>
        <v>0</v>
      </c>
      <c r="M78" s="3">
        <f>IF(Regcontabilizados[[#This Row],[Eliminado]]="si","",RegContabilizados2[[#This Row],[Categoría]])</f>
        <v>0</v>
      </c>
      <c r="N78" s="3" t="str">
        <f>IF(Regcontabilizados[[#This Row],[Eliminado]]="si","",RegContabilizados2[[#This Row],[Almacen]])</f>
        <v>Principal</v>
      </c>
      <c r="O78" s="3" t="str">
        <f>IF(Regcontabilizados[[#This Row],[Eliminado]]="si","",RegContabilizados2[[#This Row],[Tipo de movimiento]])</f>
        <v>Salida</v>
      </c>
      <c r="P78" s="1">
        <f>IF(Regcontabilizados[[#This Row],[Eliminado]]="si","",RegContabilizados2[[#This Row],[cantidad]])</f>
        <v>1</v>
      </c>
      <c r="Q78" s="1">
        <f>IF(Regcontabilizados[[#This Row],[Eliminado]]="si","",RegContabilizados2[[#This Row],[VR unitario]])</f>
        <v>0</v>
      </c>
      <c r="R78" s="1" t="str">
        <f>IF(Regcontabilizados[[#This Row],[Eliminado]]="si","",RegContabilizados2[[#This Row],[Subcuenta]])</f>
        <v/>
      </c>
      <c r="S78" s="1">
        <f>IF(Regcontabilizados[[#This Row],[Eliminado]]="si","",RegContabilizados2[[#This Row],[Debe]])</f>
        <v>0</v>
      </c>
      <c r="T78" s="1">
        <f>IF(Regcontabilizados[[#This Row],[Eliminado]]="si","",RegContabilizados2[[#This Row],[Haber]])</f>
        <v>0</v>
      </c>
      <c r="U78" s="1">
        <f>IFERROR((Regcontabilizados[[#This Row],[Debe]]-Regcontabilizados[[#This Row],[Haber]]),0)</f>
        <v>0</v>
      </c>
      <c r="V78" s="1">
        <f>IFERROR((+_xlfn.XLOOKUP(Regcontabilizados[[#This Row],[Subcuenta]],Tabla11[Cuenta],Tabla11[Descripción],0)),0)</f>
        <v>0</v>
      </c>
      <c r="W78" s="1">
        <f>IFERROR((_xlfn.XLOOKUP((VALUE(LEFT(Regcontabilizados[[#This Row],[Subcuenta]],4))),Tabla11[Cuenta],Tabla11[Descripción],0)),0)</f>
        <v>0</v>
      </c>
      <c r="X78" s="1">
        <f>IFERROR((_xlfn.XLOOKUP(Regcontabilizados[[#This Row],[Subcuenta]],Tabla11[Cuenta],Tabla11[Descripción],0)),0)</f>
        <v>0</v>
      </c>
      <c r="Y78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78" s="1" t="str">
        <f>_xlfn.XLOOKUP(Regcontabilizados[[#This Row],[Subcuenta]],Tabla11[Cuenta],Tabla11[TIPO],"")</f>
        <v/>
      </c>
      <c r="AA78" s="1" t="str">
        <f>IFERROR((Regcontabilizados[[#This Row],[Subcuenta]]&amp;" "&amp;_xlfn.XLOOKUP(Regcontabilizados[[#This Row],[Subcuenta]],Tabla11[Cuenta],Tabla11[Descripción],0)),0)</f>
        <v xml:space="preserve"> 0</v>
      </c>
      <c r="AB78" s="1">
        <f>IFERROR((VALUE(LEFT(Regcontabilizados[[#This Row],[Subcuenta]],2))&amp;" "&amp;_xlfn.XLOOKUP((VALUE(LEFT(Regcontabilizados[[#This Row],[Subcuenta]],2))),Tabla11[Cuenta],Tabla11[Descripción],0)),0)</f>
        <v>0</v>
      </c>
      <c r="AC78" s="1">
        <f>IFERROR((VALUE(LEFT(Regcontabilizados[[#This Row],[Subcuenta]],4))&amp;" "&amp;_xlfn.XLOOKUP((VALUE(LEFT(Regcontabilizados[[#This Row],[Subcuenta]],4))),Tabla11[Cuenta],Tabla11[Descripción],0)),0)</f>
        <v>0</v>
      </c>
      <c r="AD78" s="1" t="str">
        <f>IF(Regcontabilizados[[#This Row],[Eliminado]]="si","",RegContabilizados2[[#This Row],[Estado de pago]])</f>
        <v>NO PAGADO</v>
      </c>
      <c r="AE78" s="1" t="str">
        <f>IF(Regcontabilizados[[#This Row],[Eliminado]]="si","",RegContabilizados2[[#This Row],[Colum. Aux. Estado]])</f>
        <v>4656566F. V.3</v>
      </c>
      <c r="AF78" s="1">
        <f>IF(Regcontabilizados[[#This Row],[Eliminado]]="si","",RegContabilizados2[[#This Row],[Número de pago]])</f>
        <v>0</v>
      </c>
      <c r="AG78" s="1" t="str">
        <f>IF(Regcontabilizados[[#This Row],[Eliminado]]="si","",RegContabilizados2[[#This Row],[Elaborado por]])</f>
        <v>oscar colmenares</v>
      </c>
      <c r="AH78" s="1" t="str">
        <f>IF(Regcontabilizados[[#This Row],[Eliminado]]="si","",RegContabilizados2[[#This Row],[Notas]])</f>
        <v>Vendi de contado</v>
      </c>
      <c r="AI78" s="1">
        <f>IF(Regcontabilizados[[#This Row],[Eliminado]]="si","",RegContabilizados2[[#This Row],[Método de pago]])</f>
        <v>0</v>
      </c>
      <c r="AJ78" s="1">
        <f>IF(Regcontabilizados[[#This Row],[Eliminado]]="si","",RegContabilizados2[[#This Row],[Cta. Bancaria]])</f>
        <v>0</v>
      </c>
      <c r="AO78" s="31">
        <v>45993</v>
      </c>
      <c r="AP78" s="31">
        <v>45993</v>
      </c>
      <c r="AQ78" s="31" t="s">
        <v>1294</v>
      </c>
      <c r="AR78" s="3">
        <v>3</v>
      </c>
      <c r="AS78" s="1" t="s">
        <v>766</v>
      </c>
      <c r="AT78" s="1" t="s">
        <v>901</v>
      </c>
      <c r="AV78" s="3">
        <v>333333</v>
      </c>
      <c r="AW78" s="3"/>
      <c r="AX78" s="3"/>
      <c r="AY78" s="3" t="s">
        <v>1001</v>
      </c>
      <c r="AZ78" s="3" t="s">
        <v>975</v>
      </c>
      <c r="BA78" s="1">
        <v>1</v>
      </c>
      <c r="BB78" s="1">
        <v>0</v>
      </c>
      <c r="BC78" s="1" t="s">
        <v>1168</v>
      </c>
      <c r="BD78" s="1">
        <v>0</v>
      </c>
      <c r="BE78" s="1">
        <v>0</v>
      </c>
      <c r="BF78" s="1">
        <f>IFERROR((RegContabilizados2[[#This Row],[Debe]]-RegContabilizados2[[#This Row],[Haber]]),0)</f>
        <v>0</v>
      </c>
      <c r="BG78" s="1">
        <f>IFERROR((+_xlfn.XLOOKUP(RegContabilizados2[[#This Row],[Subcuenta]],Tabla11[Cuenta],Tabla11[Descripción],0)),0)</f>
        <v>0</v>
      </c>
      <c r="BH78" s="1">
        <f>IFERROR((VALUE(LEFT(RegContabilizados2[[#This Row],[Subcuenta]],2))&amp;" "&amp;_xlfn.XLOOKUP((VALUE(LEFT(RegContabilizados2[[#This Row],[Subcuenta]],2))),Tabla11[Cuenta],Tabla11[Descripción],0)),0)</f>
        <v>0</v>
      </c>
      <c r="BI78" s="1">
        <f>IFERROR((VALUE(LEFT(RegContabilizados2[[#This Row],[Subcuenta]],4))&amp;" "&amp;_xlfn.XLOOKUP((VALUE(LEFT(RegContabilizados2[[#This Row],[Subcuenta]],4))),Tabla11[Cuenta],Tabla11[Descripción],0)),0)</f>
        <v>0</v>
      </c>
      <c r="BJ78" s="1" t="str">
        <f>IFERROR((RegContabilizados2[[#This Row],[Subcuenta]]&amp;" "&amp;_xlfn.XLOOKUP(RegContabilizados2[[#This Row],[Subcuenta]],Tabla11[Cuenta],Tabla11[Descripción],0)),0)</f>
        <v xml:space="preserve"> 0</v>
      </c>
      <c r="BK78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78" s="1" t="str">
        <f>IFERROR(LEFT(RegContabilizados2[[#This Row],[Idenficador]],SEARCH("-",RegContabilizados2[[#This Row],[Idenficador]])-1),0)</f>
        <v>4656566F. V.3</v>
      </c>
      <c r="BN78" s="1" t="s">
        <v>1273</v>
      </c>
      <c r="BO78" s="1" t="s">
        <v>1274</v>
      </c>
    </row>
    <row r="79" spans="4:67">
      <c r="D79" s="31">
        <f>IF(Regcontabilizados[[#This Row],[Eliminado]]="si","",RegContabilizados2[[#This Row],[fecha Factura]])</f>
        <v>45993</v>
      </c>
      <c r="E79" s="31">
        <f>IF(Regcontabilizados[[#This Row],[Eliminado]]="si","",RegContabilizados2[[#This Row],[Fecha vencimiento]])</f>
        <v>45993</v>
      </c>
      <c r="F79" s="31" t="str">
        <f>IF(Regcontabilizados[[#This Row],[Eliminado]]="si","",RegContabilizados2[[#This Row],[Idenficador]])</f>
        <v>4656566F. V.3-20</v>
      </c>
      <c r="G79" s="3">
        <f>IF(Regcontabilizados[[#This Row],[Eliminado]]="si","",RegContabilizados2[[#This Row],[N° de factura/Pago]])</f>
        <v>3</v>
      </c>
      <c r="H79" s="1" t="str">
        <f>IF(Regcontabilizados[[#This Row],[Eliminado]]="si","",RegContabilizados2[[#This Row],[Tipo de Factura]])</f>
        <v>F. V.</v>
      </c>
      <c r="I79" s="1" t="str">
        <f>IF(Regcontabilizados[[#This Row],[Eliminado]]="si","",RegContabilizados2[[#This Row],[ID Cliente]])</f>
        <v>CLIENTE 1</v>
      </c>
      <c r="J79" s="1">
        <f>IF(Regcontabilizados[[#This Row],[Eliminado]]="si","",RegContabilizados2[[#This Row],[ESTADO DEL IVA]])</f>
        <v>0</v>
      </c>
      <c r="K79" s="3">
        <f>IF(Regcontabilizados[[#This Row],[Eliminado]]="si","",RegContabilizados2[[#This Row],[ID Proveedor]])</f>
        <v>333333</v>
      </c>
      <c r="L79" s="3">
        <f>IF(Regcontabilizados[[#This Row],[Eliminado]]="si","",RegContabilizados2[[#This Row],[Concepto]])</f>
        <v>0</v>
      </c>
      <c r="M79" s="3">
        <f>IF(Regcontabilizados[[#This Row],[Eliminado]]="si","",RegContabilizados2[[#This Row],[Categoría]])</f>
        <v>0</v>
      </c>
      <c r="N79" s="3" t="str">
        <f>IF(Regcontabilizados[[#This Row],[Eliminado]]="si","",RegContabilizados2[[#This Row],[Almacen]])</f>
        <v>Principal</v>
      </c>
      <c r="O79" s="3" t="str">
        <f>IF(Regcontabilizados[[#This Row],[Eliminado]]="si","",RegContabilizados2[[#This Row],[Tipo de movimiento]])</f>
        <v>Salida</v>
      </c>
      <c r="P79" s="1">
        <f>IF(Regcontabilizados[[#This Row],[Eliminado]]="si","",RegContabilizados2[[#This Row],[cantidad]])</f>
        <v>1</v>
      </c>
      <c r="Q79" s="1">
        <f>IF(Regcontabilizados[[#This Row],[Eliminado]]="si","",RegContabilizados2[[#This Row],[VR unitario]])</f>
        <v>0</v>
      </c>
      <c r="R79" s="1" t="str">
        <f>IF(Regcontabilizados[[#This Row],[Eliminado]]="si","",RegContabilizados2[[#This Row],[Subcuenta]])</f>
        <v/>
      </c>
      <c r="S79" s="1">
        <f>IF(Regcontabilizados[[#This Row],[Eliminado]]="si","",RegContabilizados2[[#This Row],[Debe]])</f>
        <v>0</v>
      </c>
      <c r="T79" s="1">
        <f>IF(Regcontabilizados[[#This Row],[Eliminado]]="si","",RegContabilizados2[[#This Row],[Haber]])</f>
        <v>0</v>
      </c>
      <c r="U79" s="1">
        <f>IFERROR((Regcontabilizados[[#This Row],[Debe]]-Regcontabilizados[[#This Row],[Haber]]),0)</f>
        <v>0</v>
      </c>
      <c r="V79" s="1">
        <f>IFERROR((+_xlfn.XLOOKUP(Regcontabilizados[[#This Row],[Subcuenta]],Tabla11[Cuenta],Tabla11[Descripción],0)),0)</f>
        <v>0</v>
      </c>
      <c r="W79" s="1">
        <f>IFERROR((_xlfn.XLOOKUP((VALUE(LEFT(Regcontabilizados[[#This Row],[Subcuenta]],4))),Tabla11[Cuenta],Tabla11[Descripción],0)),0)</f>
        <v>0</v>
      </c>
      <c r="X79" s="1">
        <f>IFERROR((_xlfn.XLOOKUP(Regcontabilizados[[#This Row],[Subcuenta]],Tabla11[Cuenta],Tabla11[Descripción],0)),0)</f>
        <v>0</v>
      </c>
      <c r="Y79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79" s="1" t="str">
        <f>_xlfn.XLOOKUP(Regcontabilizados[[#This Row],[Subcuenta]],Tabla11[Cuenta],Tabla11[TIPO],"")</f>
        <v/>
      </c>
      <c r="AA79" s="1" t="str">
        <f>IFERROR((Regcontabilizados[[#This Row],[Subcuenta]]&amp;" "&amp;_xlfn.XLOOKUP(Regcontabilizados[[#This Row],[Subcuenta]],Tabla11[Cuenta],Tabla11[Descripción],0)),0)</f>
        <v xml:space="preserve"> 0</v>
      </c>
      <c r="AB79" s="1">
        <f>IFERROR((VALUE(LEFT(Regcontabilizados[[#This Row],[Subcuenta]],2))&amp;" "&amp;_xlfn.XLOOKUP((VALUE(LEFT(Regcontabilizados[[#This Row],[Subcuenta]],2))),Tabla11[Cuenta],Tabla11[Descripción],0)),0)</f>
        <v>0</v>
      </c>
      <c r="AC79" s="1">
        <f>IFERROR((VALUE(LEFT(Regcontabilizados[[#This Row],[Subcuenta]],4))&amp;" "&amp;_xlfn.XLOOKUP((VALUE(LEFT(Regcontabilizados[[#This Row],[Subcuenta]],4))),Tabla11[Cuenta],Tabla11[Descripción],0)),0)</f>
        <v>0</v>
      </c>
      <c r="AD79" s="1" t="str">
        <f>IF(Regcontabilizados[[#This Row],[Eliminado]]="si","",RegContabilizados2[[#This Row],[Estado de pago]])</f>
        <v>NO PAGADO</v>
      </c>
      <c r="AE79" s="1" t="str">
        <f>IF(Regcontabilizados[[#This Row],[Eliminado]]="si","",RegContabilizados2[[#This Row],[Colum. Aux. Estado]])</f>
        <v>4656566F. V.3</v>
      </c>
      <c r="AF79" s="1">
        <f>IF(Regcontabilizados[[#This Row],[Eliminado]]="si","",RegContabilizados2[[#This Row],[Número de pago]])</f>
        <v>0</v>
      </c>
      <c r="AG79" s="1" t="str">
        <f>IF(Regcontabilizados[[#This Row],[Eliminado]]="si","",RegContabilizados2[[#This Row],[Elaborado por]])</f>
        <v>oscar colmenares</v>
      </c>
      <c r="AH79" s="1" t="str">
        <f>IF(Regcontabilizados[[#This Row],[Eliminado]]="si","",RegContabilizados2[[#This Row],[Notas]])</f>
        <v>Vendi de contado</v>
      </c>
      <c r="AI79" s="1">
        <f>IF(Regcontabilizados[[#This Row],[Eliminado]]="si","",RegContabilizados2[[#This Row],[Método de pago]])</f>
        <v>0</v>
      </c>
      <c r="AJ79" s="1">
        <f>IF(Regcontabilizados[[#This Row],[Eliminado]]="si","",RegContabilizados2[[#This Row],[Cta. Bancaria]])</f>
        <v>0</v>
      </c>
      <c r="AO79" s="31">
        <v>45993</v>
      </c>
      <c r="AP79" s="31">
        <v>45993</v>
      </c>
      <c r="AQ79" s="31" t="s">
        <v>1295</v>
      </c>
      <c r="AR79" s="3">
        <v>3</v>
      </c>
      <c r="AS79" s="1" t="s">
        <v>766</v>
      </c>
      <c r="AT79" s="1" t="s">
        <v>901</v>
      </c>
      <c r="AV79" s="3">
        <v>333333</v>
      </c>
      <c r="AW79" s="3"/>
      <c r="AX79" s="3"/>
      <c r="AY79" s="3" t="s">
        <v>1001</v>
      </c>
      <c r="AZ79" s="3" t="s">
        <v>975</v>
      </c>
      <c r="BA79" s="1">
        <v>1</v>
      </c>
      <c r="BB79" s="1">
        <v>0</v>
      </c>
      <c r="BC79" s="1" t="s">
        <v>1168</v>
      </c>
      <c r="BD79" s="1">
        <v>0</v>
      </c>
      <c r="BE79" s="1">
        <v>0</v>
      </c>
      <c r="BF79" s="1">
        <f>IFERROR((RegContabilizados2[[#This Row],[Debe]]-RegContabilizados2[[#This Row],[Haber]]),0)</f>
        <v>0</v>
      </c>
      <c r="BG79" s="1">
        <f>IFERROR((+_xlfn.XLOOKUP(RegContabilizados2[[#This Row],[Subcuenta]],Tabla11[Cuenta],Tabla11[Descripción],0)),0)</f>
        <v>0</v>
      </c>
      <c r="BH79" s="1">
        <f>IFERROR((VALUE(LEFT(RegContabilizados2[[#This Row],[Subcuenta]],2))&amp;" "&amp;_xlfn.XLOOKUP((VALUE(LEFT(RegContabilizados2[[#This Row],[Subcuenta]],2))),Tabla11[Cuenta],Tabla11[Descripción],0)),0)</f>
        <v>0</v>
      </c>
      <c r="BI79" s="1">
        <f>IFERROR((VALUE(LEFT(RegContabilizados2[[#This Row],[Subcuenta]],4))&amp;" "&amp;_xlfn.XLOOKUP((VALUE(LEFT(RegContabilizados2[[#This Row],[Subcuenta]],4))),Tabla11[Cuenta],Tabla11[Descripción],0)),0)</f>
        <v>0</v>
      </c>
      <c r="BJ79" s="1" t="str">
        <f>IFERROR((RegContabilizados2[[#This Row],[Subcuenta]]&amp;" "&amp;_xlfn.XLOOKUP(RegContabilizados2[[#This Row],[Subcuenta]],Tabla11[Cuenta],Tabla11[Descripción],0)),0)</f>
        <v xml:space="preserve"> 0</v>
      </c>
      <c r="BK79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79" s="1" t="str">
        <f>IFERROR(LEFT(RegContabilizados2[[#This Row],[Idenficador]],SEARCH("-",RegContabilizados2[[#This Row],[Idenficador]])-1),0)</f>
        <v>4656566F. V.3</v>
      </c>
      <c r="BN79" s="1" t="s">
        <v>1273</v>
      </c>
      <c r="BO79" s="1" t="s">
        <v>1274</v>
      </c>
    </row>
    <row r="80" spans="4:67">
      <c r="D80" s="31">
        <f>IF(Regcontabilizados[[#This Row],[Eliminado]]="si","",RegContabilizados2[[#This Row],[fecha Factura]])</f>
        <v>45993</v>
      </c>
      <c r="E80" s="31">
        <f>IF(Regcontabilizados[[#This Row],[Eliminado]]="si","",RegContabilizados2[[#This Row],[Fecha vencimiento]])</f>
        <v>45993</v>
      </c>
      <c r="F80" s="31" t="str">
        <f>IF(Regcontabilizados[[#This Row],[Eliminado]]="si","",RegContabilizados2[[#This Row],[Idenficador]])</f>
        <v>4656566F. V.3-21</v>
      </c>
      <c r="G80" s="3">
        <f>IF(Regcontabilizados[[#This Row],[Eliminado]]="si","",RegContabilizados2[[#This Row],[N° de factura/Pago]])</f>
        <v>3</v>
      </c>
      <c r="H80" s="1" t="str">
        <f>IF(Regcontabilizados[[#This Row],[Eliminado]]="si","",RegContabilizados2[[#This Row],[Tipo de Factura]])</f>
        <v>F. V.</v>
      </c>
      <c r="I80" s="1" t="str">
        <f>IF(Regcontabilizados[[#This Row],[Eliminado]]="si","",RegContabilizados2[[#This Row],[ID Cliente]])</f>
        <v>CLIENTE 1</v>
      </c>
      <c r="J80" s="1">
        <f>IF(Regcontabilizados[[#This Row],[Eliminado]]="si","",RegContabilizados2[[#This Row],[ESTADO DEL IVA]])</f>
        <v>0</v>
      </c>
      <c r="K80" s="3">
        <f>IF(Regcontabilizados[[#This Row],[Eliminado]]="si","",RegContabilizados2[[#This Row],[ID Proveedor]])</f>
        <v>333333</v>
      </c>
      <c r="L80" s="3">
        <f>IF(Regcontabilizados[[#This Row],[Eliminado]]="si","",RegContabilizados2[[#This Row],[Concepto]])</f>
        <v>0</v>
      </c>
      <c r="M80" s="3">
        <f>IF(Regcontabilizados[[#This Row],[Eliminado]]="si","",RegContabilizados2[[#This Row],[Categoría]])</f>
        <v>0</v>
      </c>
      <c r="N80" s="3" t="str">
        <f>IF(Regcontabilizados[[#This Row],[Eliminado]]="si","",RegContabilizados2[[#This Row],[Almacen]])</f>
        <v>Principal</v>
      </c>
      <c r="O80" s="3" t="str">
        <f>IF(Regcontabilizados[[#This Row],[Eliminado]]="si","",RegContabilizados2[[#This Row],[Tipo de movimiento]])</f>
        <v>Salida</v>
      </c>
      <c r="P80" s="1">
        <f>IF(Regcontabilizados[[#This Row],[Eliminado]]="si","",RegContabilizados2[[#This Row],[cantidad]])</f>
        <v>1</v>
      </c>
      <c r="Q80" s="1">
        <f>IF(Regcontabilizados[[#This Row],[Eliminado]]="si","",RegContabilizados2[[#This Row],[VR unitario]])</f>
        <v>0</v>
      </c>
      <c r="R80" s="1" t="str">
        <f>IF(Regcontabilizados[[#This Row],[Eliminado]]="si","",RegContabilizados2[[#This Row],[Subcuenta]])</f>
        <v/>
      </c>
      <c r="S80" s="1">
        <f>IF(Regcontabilizados[[#This Row],[Eliminado]]="si","",RegContabilizados2[[#This Row],[Debe]])</f>
        <v>0</v>
      </c>
      <c r="T80" s="1">
        <f>IF(Regcontabilizados[[#This Row],[Eliminado]]="si","",RegContabilizados2[[#This Row],[Haber]])</f>
        <v>0</v>
      </c>
      <c r="U80" s="1">
        <f>IFERROR((Regcontabilizados[[#This Row],[Debe]]-Regcontabilizados[[#This Row],[Haber]]),0)</f>
        <v>0</v>
      </c>
      <c r="V80" s="1">
        <f>IFERROR((+_xlfn.XLOOKUP(Regcontabilizados[[#This Row],[Subcuenta]],Tabla11[Cuenta],Tabla11[Descripción],0)),0)</f>
        <v>0</v>
      </c>
      <c r="W80" s="1">
        <f>IFERROR((_xlfn.XLOOKUP((VALUE(LEFT(Regcontabilizados[[#This Row],[Subcuenta]],4))),Tabla11[Cuenta],Tabla11[Descripción],0)),0)</f>
        <v>0</v>
      </c>
      <c r="X80" s="1">
        <f>IFERROR((_xlfn.XLOOKUP(Regcontabilizados[[#This Row],[Subcuenta]],Tabla11[Cuenta],Tabla11[Descripción],0)),0)</f>
        <v>0</v>
      </c>
      <c r="Y80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80" s="1" t="str">
        <f>_xlfn.XLOOKUP(Regcontabilizados[[#This Row],[Subcuenta]],Tabla11[Cuenta],Tabla11[TIPO],"")</f>
        <v/>
      </c>
      <c r="AA80" s="1" t="str">
        <f>IFERROR((Regcontabilizados[[#This Row],[Subcuenta]]&amp;" "&amp;_xlfn.XLOOKUP(Regcontabilizados[[#This Row],[Subcuenta]],Tabla11[Cuenta],Tabla11[Descripción],0)),0)</f>
        <v xml:space="preserve"> 0</v>
      </c>
      <c r="AB80" s="1">
        <f>IFERROR((VALUE(LEFT(Regcontabilizados[[#This Row],[Subcuenta]],2))&amp;" "&amp;_xlfn.XLOOKUP((VALUE(LEFT(Regcontabilizados[[#This Row],[Subcuenta]],2))),Tabla11[Cuenta],Tabla11[Descripción],0)),0)</f>
        <v>0</v>
      </c>
      <c r="AC80" s="1">
        <f>IFERROR((VALUE(LEFT(Regcontabilizados[[#This Row],[Subcuenta]],4))&amp;" "&amp;_xlfn.XLOOKUP((VALUE(LEFT(Regcontabilizados[[#This Row],[Subcuenta]],4))),Tabla11[Cuenta],Tabla11[Descripción],0)),0)</f>
        <v>0</v>
      </c>
      <c r="AD80" s="1" t="str">
        <f>IF(Regcontabilizados[[#This Row],[Eliminado]]="si","",RegContabilizados2[[#This Row],[Estado de pago]])</f>
        <v>NO PAGADO</v>
      </c>
      <c r="AE80" s="1" t="str">
        <f>IF(Regcontabilizados[[#This Row],[Eliminado]]="si","",RegContabilizados2[[#This Row],[Colum. Aux. Estado]])</f>
        <v>4656566F. V.3</v>
      </c>
      <c r="AF80" s="1">
        <f>IF(Regcontabilizados[[#This Row],[Eliminado]]="si","",RegContabilizados2[[#This Row],[Número de pago]])</f>
        <v>0</v>
      </c>
      <c r="AG80" s="1" t="str">
        <f>IF(Regcontabilizados[[#This Row],[Eliminado]]="si","",RegContabilizados2[[#This Row],[Elaborado por]])</f>
        <v>oscar colmenares</v>
      </c>
      <c r="AH80" s="1" t="str">
        <f>IF(Regcontabilizados[[#This Row],[Eliminado]]="si","",RegContabilizados2[[#This Row],[Notas]])</f>
        <v>Vendi de contado</v>
      </c>
      <c r="AI80" s="1">
        <f>IF(Regcontabilizados[[#This Row],[Eliminado]]="si","",RegContabilizados2[[#This Row],[Método de pago]])</f>
        <v>0</v>
      </c>
      <c r="AJ80" s="1">
        <f>IF(Regcontabilizados[[#This Row],[Eliminado]]="si","",RegContabilizados2[[#This Row],[Cta. Bancaria]])</f>
        <v>0</v>
      </c>
      <c r="AO80" s="31">
        <v>45993</v>
      </c>
      <c r="AP80" s="31">
        <v>45993</v>
      </c>
      <c r="AQ80" s="31" t="s">
        <v>1296</v>
      </c>
      <c r="AR80" s="3">
        <v>3</v>
      </c>
      <c r="AS80" s="1" t="s">
        <v>766</v>
      </c>
      <c r="AT80" s="1" t="s">
        <v>901</v>
      </c>
      <c r="AV80" s="3">
        <v>333333</v>
      </c>
      <c r="AW80" s="3"/>
      <c r="AX80" s="3"/>
      <c r="AY80" s="3" t="s">
        <v>1001</v>
      </c>
      <c r="AZ80" s="3" t="s">
        <v>975</v>
      </c>
      <c r="BA80" s="1">
        <v>1</v>
      </c>
      <c r="BB80" s="1">
        <v>0</v>
      </c>
      <c r="BC80" s="1" t="s">
        <v>1168</v>
      </c>
      <c r="BD80" s="1">
        <v>0</v>
      </c>
      <c r="BE80" s="1">
        <v>0</v>
      </c>
      <c r="BF80" s="1">
        <f>IFERROR((RegContabilizados2[[#This Row],[Debe]]-RegContabilizados2[[#This Row],[Haber]]),0)</f>
        <v>0</v>
      </c>
      <c r="BG80" s="1">
        <f>IFERROR((+_xlfn.XLOOKUP(RegContabilizados2[[#This Row],[Subcuenta]],Tabla11[Cuenta],Tabla11[Descripción],0)),0)</f>
        <v>0</v>
      </c>
      <c r="BH80" s="1">
        <f>IFERROR((VALUE(LEFT(RegContabilizados2[[#This Row],[Subcuenta]],2))&amp;" "&amp;_xlfn.XLOOKUP((VALUE(LEFT(RegContabilizados2[[#This Row],[Subcuenta]],2))),Tabla11[Cuenta],Tabla11[Descripción],0)),0)</f>
        <v>0</v>
      </c>
      <c r="BI80" s="1">
        <f>IFERROR((VALUE(LEFT(RegContabilizados2[[#This Row],[Subcuenta]],4))&amp;" "&amp;_xlfn.XLOOKUP((VALUE(LEFT(RegContabilizados2[[#This Row],[Subcuenta]],4))),Tabla11[Cuenta],Tabla11[Descripción],0)),0)</f>
        <v>0</v>
      </c>
      <c r="BJ80" s="1" t="str">
        <f>IFERROR((RegContabilizados2[[#This Row],[Subcuenta]]&amp;" "&amp;_xlfn.XLOOKUP(RegContabilizados2[[#This Row],[Subcuenta]],Tabla11[Cuenta],Tabla11[Descripción],0)),0)</f>
        <v xml:space="preserve"> 0</v>
      </c>
      <c r="BK80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80" s="1" t="str">
        <f>IFERROR(LEFT(RegContabilizados2[[#This Row],[Idenficador]],SEARCH("-",RegContabilizados2[[#This Row],[Idenficador]])-1),0)</f>
        <v>4656566F. V.3</v>
      </c>
      <c r="BN80" s="1" t="s">
        <v>1273</v>
      </c>
      <c r="BO80" s="1" t="s">
        <v>1274</v>
      </c>
    </row>
    <row r="81" spans="4:67">
      <c r="D81" s="31">
        <f>IF(Regcontabilizados[[#This Row],[Eliminado]]="si","",RegContabilizados2[[#This Row],[fecha Factura]])</f>
        <v>45993</v>
      </c>
      <c r="E81" s="31">
        <f>IF(Regcontabilizados[[#This Row],[Eliminado]]="si","",RegContabilizados2[[#This Row],[Fecha vencimiento]])</f>
        <v>45993</v>
      </c>
      <c r="F81" s="31" t="str">
        <f>IF(Regcontabilizados[[#This Row],[Eliminado]]="si","",RegContabilizados2[[#This Row],[Idenficador]])</f>
        <v>4656566F. V.3-22</v>
      </c>
      <c r="G81" s="3">
        <f>IF(Regcontabilizados[[#This Row],[Eliminado]]="si","",RegContabilizados2[[#This Row],[N° de factura/Pago]])</f>
        <v>3</v>
      </c>
      <c r="H81" s="1" t="str">
        <f>IF(Regcontabilizados[[#This Row],[Eliminado]]="si","",RegContabilizados2[[#This Row],[Tipo de Factura]])</f>
        <v>F. V.</v>
      </c>
      <c r="I81" s="1" t="str">
        <f>IF(Regcontabilizados[[#This Row],[Eliminado]]="si","",RegContabilizados2[[#This Row],[ID Cliente]])</f>
        <v>CLIENTE 1</v>
      </c>
      <c r="J81" s="1">
        <f>IF(Regcontabilizados[[#This Row],[Eliminado]]="si","",RegContabilizados2[[#This Row],[ESTADO DEL IVA]])</f>
        <v>0</v>
      </c>
      <c r="K81" s="3">
        <f>IF(Regcontabilizados[[#This Row],[Eliminado]]="si","",RegContabilizados2[[#This Row],[ID Proveedor]])</f>
        <v>333333</v>
      </c>
      <c r="L81" s="3">
        <f>IF(Regcontabilizados[[#This Row],[Eliminado]]="si","",RegContabilizados2[[#This Row],[Concepto]])</f>
        <v>0</v>
      </c>
      <c r="M81" s="3">
        <f>IF(Regcontabilizados[[#This Row],[Eliminado]]="si","",RegContabilizados2[[#This Row],[Categoría]])</f>
        <v>0</v>
      </c>
      <c r="N81" s="3" t="str">
        <f>IF(Regcontabilizados[[#This Row],[Eliminado]]="si","",RegContabilizados2[[#This Row],[Almacen]])</f>
        <v>Principal</v>
      </c>
      <c r="O81" s="3" t="str">
        <f>IF(Regcontabilizados[[#This Row],[Eliminado]]="si","",RegContabilizados2[[#This Row],[Tipo de movimiento]])</f>
        <v>Salida</v>
      </c>
      <c r="P81" s="1">
        <f>IF(Regcontabilizados[[#This Row],[Eliminado]]="si","",RegContabilizados2[[#This Row],[cantidad]])</f>
        <v>0</v>
      </c>
      <c r="Q81" s="1">
        <f>IF(Regcontabilizados[[#This Row],[Eliminado]]="si","",RegContabilizados2[[#This Row],[VR unitario]])</f>
        <v>53076.923076923078</v>
      </c>
      <c r="R81" s="1">
        <f>IF(Regcontabilizados[[#This Row],[Eliminado]]="si","",RegContabilizados2[[#This Row],[Subcuenta]])</f>
        <v>610505</v>
      </c>
      <c r="S81" s="1">
        <f>IF(Regcontabilizados[[#This Row],[Eliminado]]="si","",RegContabilizados2[[#This Row],[Debe]])</f>
        <v>53076.923076923078</v>
      </c>
      <c r="T81" s="1">
        <f>IF(Regcontabilizados[[#This Row],[Eliminado]]="si","",RegContabilizados2[[#This Row],[Haber]])</f>
        <v>0</v>
      </c>
      <c r="U81" s="1">
        <f>IFERROR((Regcontabilizados[[#This Row],[Debe]]-Regcontabilizados[[#This Row],[Haber]]),0)</f>
        <v>53076.923076923078</v>
      </c>
      <c r="V81" s="1" t="str">
        <f>IFERROR((+_xlfn.XLOOKUP(Regcontabilizados[[#This Row],[Subcuenta]],Tabla11[Cuenta],Tabla11[Descripción],0)),0)</f>
        <v>Costos de Ventas</v>
      </c>
      <c r="W81" s="1" t="str">
        <f>IFERROR((_xlfn.XLOOKUP((VALUE(LEFT(Regcontabilizados[[#This Row],[Subcuenta]],4))),Tabla11[Cuenta],Tabla11[Descripción],0)),0)</f>
        <v>Costos de Ventas</v>
      </c>
      <c r="X81" s="1" t="str">
        <f>IFERROR((_xlfn.XLOOKUP(Regcontabilizados[[#This Row],[Subcuenta]],Tabla11[Cuenta],Tabla11[Descripción],0)),0)</f>
        <v>Costos de Ventas</v>
      </c>
      <c r="Y81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81" s="1" t="str">
        <f>_xlfn.XLOOKUP(Regcontabilizados[[#This Row],[Subcuenta]],Tabla11[Cuenta],Tabla11[TIPO],"")</f>
        <v>Costos</v>
      </c>
      <c r="AA81" s="1" t="str">
        <f>IFERROR((Regcontabilizados[[#This Row],[Subcuenta]]&amp;" "&amp;_xlfn.XLOOKUP(Regcontabilizados[[#This Row],[Subcuenta]],Tabla11[Cuenta],Tabla11[Descripción],0)),0)</f>
        <v>610505 Costos de Ventas</v>
      </c>
      <c r="AB81" s="1" t="str">
        <f>IFERROR((VALUE(LEFT(Regcontabilizados[[#This Row],[Subcuenta]],2))&amp;" "&amp;_xlfn.XLOOKUP((VALUE(LEFT(Regcontabilizados[[#This Row],[Subcuenta]],2))),Tabla11[Cuenta],Tabla11[Descripción],0)),0)</f>
        <v>61 COSTO DE VENTAS Y DE PRESTACIÓN DE SERVI</v>
      </c>
      <c r="AC81" s="1" t="str">
        <f>IFERROR((VALUE(LEFT(Regcontabilizados[[#This Row],[Subcuenta]],4))&amp;" "&amp;_xlfn.XLOOKUP((VALUE(LEFT(Regcontabilizados[[#This Row],[Subcuenta]],4))),Tabla11[Cuenta],Tabla11[Descripción],0)),0)</f>
        <v>6105 Costos de Ventas</v>
      </c>
      <c r="AD81" s="1" t="str">
        <f>IF(Regcontabilizados[[#This Row],[Eliminado]]="si","",RegContabilizados2[[#This Row],[Estado de pago]])</f>
        <v>NO PAGADO</v>
      </c>
      <c r="AE81" s="1" t="str">
        <f>IF(Regcontabilizados[[#This Row],[Eliminado]]="si","",RegContabilizados2[[#This Row],[Colum. Aux. Estado]])</f>
        <v>4656566F. V.3</v>
      </c>
      <c r="AF81" s="1">
        <f>IF(Regcontabilizados[[#This Row],[Eliminado]]="si","",RegContabilizados2[[#This Row],[Número de pago]])</f>
        <v>0</v>
      </c>
      <c r="AG81" s="1" t="str">
        <f>IF(Regcontabilizados[[#This Row],[Eliminado]]="si","",RegContabilizados2[[#This Row],[Elaborado por]])</f>
        <v>oscar colmenares</v>
      </c>
      <c r="AH81" s="1" t="str">
        <f>IF(Regcontabilizados[[#This Row],[Eliminado]]="si","",RegContabilizados2[[#This Row],[Notas]])</f>
        <v>Vendi de contado</v>
      </c>
      <c r="AI81" s="1">
        <f>IF(Regcontabilizados[[#This Row],[Eliminado]]="si","",RegContabilizados2[[#This Row],[Método de pago]])</f>
        <v>0</v>
      </c>
      <c r="AJ81" s="1">
        <f>IF(Regcontabilizados[[#This Row],[Eliminado]]="si","",RegContabilizados2[[#This Row],[Cta. Bancaria]])</f>
        <v>0</v>
      </c>
      <c r="AO81" s="31">
        <v>45993</v>
      </c>
      <c r="AP81" s="31">
        <v>45993</v>
      </c>
      <c r="AQ81" s="31" t="s">
        <v>1297</v>
      </c>
      <c r="AR81" s="3">
        <v>3</v>
      </c>
      <c r="AS81" s="1" t="s">
        <v>766</v>
      </c>
      <c r="AT81" s="1" t="s">
        <v>901</v>
      </c>
      <c r="AV81" s="3">
        <v>333333</v>
      </c>
      <c r="AW81" s="3"/>
      <c r="AX81" s="3"/>
      <c r="AY81" s="3" t="s">
        <v>1001</v>
      </c>
      <c r="AZ81" s="3" t="s">
        <v>975</v>
      </c>
      <c r="BB81" s="1">
        <v>53076.923076923078</v>
      </c>
      <c r="BC81" s="1">
        <v>610505</v>
      </c>
      <c r="BD81" s="1">
        <v>53076.923076923078</v>
      </c>
      <c r="BE81" s="1">
        <v>0</v>
      </c>
      <c r="BF81" s="1">
        <f>IFERROR((RegContabilizados2[[#This Row],[Debe]]-RegContabilizados2[[#This Row],[Haber]]),0)</f>
        <v>53076.923076923078</v>
      </c>
      <c r="BG81" s="1" t="str">
        <f>IFERROR((+_xlfn.XLOOKUP(RegContabilizados2[[#This Row],[Subcuenta]],Tabla11[Cuenta],Tabla11[Descripción],0)),0)</f>
        <v>Costos de Ventas</v>
      </c>
      <c r="BH81" s="1" t="str">
        <f>IFERROR((VALUE(LEFT(RegContabilizados2[[#This Row],[Subcuenta]],2))&amp;" "&amp;_xlfn.XLOOKUP((VALUE(LEFT(RegContabilizados2[[#This Row],[Subcuenta]],2))),Tabla11[Cuenta],Tabla11[Descripción],0)),0)</f>
        <v>61 COSTO DE VENTAS Y DE PRESTACIÓN DE SERVI</v>
      </c>
      <c r="BI81" s="1" t="str">
        <f>IFERROR((VALUE(LEFT(RegContabilizados2[[#This Row],[Subcuenta]],4))&amp;" "&amp;_xlfn.XLOOKUP((VALUE(LEFT(RegContabilizados2[[#This Row],[Subcuenta]],4))),Tabla11[Cuenta],Tabla11[Descripción],0)),0)</f>
        <v>6105 Costos de Ventas</v>
      </c>
      <c r="BJ81" s="1" t="str">
        <f>IFERROR((RegContabilizados2[[#This Row],[Subcuenta]]&amp;" "&amp;_xlfn.XLOOKUP(RegContabilizados2[[#This Row],[Subcuenta]],Tabla11[Cuenta],Tabla11[Descripción],0)),0)</f>
        <v>610505 Costos de Ventas</v>
      </c>
      <c r="BK81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81" s="1" t="str">
        <f>IFERROR(LEFT(RegContabilizados2[[#This Row],[Idenficador]],SEARCH("-",RegContabilizados2[[#This Row],[Idenficador]])-1),0)</f>
        <v>4656566F. V.3</v>
      </c>
      <c r="BN81" s="1" t="s">
        <v>1273</v>
      </c>
      <c r="BO81" s="1" t="s">
        <v>1274</v>
      </c>
    </row>
    <row r="82" spans="4:67">
      <c r="D82" s="31">
        <f>IF(Regcontabilizados[[#This Row],[Eliminado]]="si","",RegContabilizados2[[#This Row],[fecha Factura]])</f>
        <v>45993</v>
      </c>
      <c r="E82" s="31">
        <f>IF(Regcontabilizados[[#This Row],[Eliminado]]="si","",RegContabilizados2[[#This Row],[Fecha vencimiento]])</f>
        <v>45993</v>
      </c>
      <c r="F82" s="3" t="str">
        <f>IF(Regcontabilizados[[#This Row],[Eliminado]]="si","",RegContabilizados2[[#This Row],[Idenficador]])</f>
        <v>4656566F. V.2-1</v>
      </c>
      <c r="G82" s="3">
        <f>IF(Regcontabilizados[[#This Row],[Eliminado]]="si","",RegContabilizados2[[#This Row],[N° de factura/Pago]])</f>
        <v>2</v>
      </c>
      <c r="H82" s="1" t="str">
        <f>IF(Regcontabilizados[[#This Row],[Eliminado]]="si","",RegContabilizados2[[#This Row],[Tipo de Factura]])</f>
        <v>F. V.</v>
      </c>
      <c r="I82" s="1" t="str">
        <f>IF(Regcontabilizados[[#This Row],[Eliminado]]="si","",RegContabilizados2[[#This Row],[ID Cliente]])</f>
        <v>CLIENTE 1</v>
      </c>
      <c r="J82" s="1" t="str">
        <f>IF(Regcontabilizados[[#This Row],[Eliminado]]="si","",RegContabilizados2[[#This Row],[ESTADO DEL IVA]])</f>
        <v>IVA-19%</v>
      </c>
      <c r="K82" s="3">
        <f>IF(Regcontabilizados[[#This Row],[Eliminado]]="si","",RegContabilizados2[[#This Row],[ID Proveedor]])</f>
        <v>333333</v>
      </c>
      <c r="L82" s="3" t="str">
        <f>IF(Regcontabilizados[[#This Row],[Eliminado]]="si","",RegContabilizados2[[#This Row],[Concepto]])</f>
        <v>E622552-camisas</v>
      </c>
      <c r="M82" s="3" t="str">
        <f>IF(Regcontabilizados[[#This Row],[Eliminado]]="si","",RegContabilizados2[[#This Row],[Categoría]])</f>
        <v>Caballero</v>
      </c>
      <c r="N82" s="3" t="str">
        <f>IF(Regcontabilizados[[#This Row],[Eliminado]]="si","",RegContabilizados2[[#This Row],[Almacen]])</f>
        <v>Principal</v>
      </c>
      <c r="O82" s="3" t="str">
        <f>IF(Regcontabilizados[[#This Row],[Eliminado]]="si","",RegContabilizados2[[#This Row],[Tipo de movimiento]])</f>
        <v>Salida</v>
      </c>
      <c r="P82" s="1">
        <f>IF(Regcontabilizados[[#This Row],[Eliminado]]="si","",RegContabilizados2[[#This Row],[cantidad]])</f>
        <v>1</v>
      </c>
      <c r="Q82" s="1">
        <f>IF(Regcontabilizados[[#This Row],[Eliminado]]="si","",RegContabilizados2[[#This Row],[VR unitario]])</f>
        <v>50000</v>
      </c>
      <c r="R82" s="1">
        <f>IF(Regcontabilizados[[#This Row],[Eliminado]]="si","",RegContabilizados2[[#This Row],[Subcuenta]])</f>
        <v>130505</v>
      </c>
      <c r="S82" s="1">
        <f>IF(Regcontabilizados[[#This Row],[Eliminado]]="si","",RegContabilizados2[[#This Row],[Debe]])</f>
        <v>59500</v>
      </c>
      <c r="T82" s="1">
        <f>IF(Regcontabilizados[[#This Row],[Eliminado]]="si","",RegContabilizados2[[#This Row],[Haber]])</f>
        <v>0</v>
      </c>
      <c r="U82" s="1">
        <f>IFERROR((Regcontabilizados[[#This Row],[Debe]]-Regcontabilizados[[#This Row],[Haber]]),0)</f>
        <v>59500</v>
      </c>
      <c r="V82" s="1" t="str">
        <f>IFERROR((+_xlfn.XLOOKUP(Regcontabilizados[[#This Row],[Subcuenta]],Tabla11[Cuenta],Tabla11[Descripción],0)),0)</f>
        <v>Nacionales</v>
      </c>
      <c r="W82" s="1" t="str">
        <f>IFERROR((_xlfn.XLOOKUP((VALUE(LEFT(Regcontabilizados[[#This Row],[Subcuenta]],4))),Tabla11[Cuenta],Tabla11[Descripción],0)),0)</f>
        <v>CLIENTES</v>
      </c>
      <c r="X82" s="1" t="str">
        <f>IFERROR((_xlfn.XLOOKUP(Regcontabilizados[[#This Row],[Subcuenta]],Tabla11[Cuenta],Tabla11[Descripción],0)),0)</f>
        <v>Nacionales</v>
      </c>
      <c r="Y82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82" s="1" t="str">
        <f>_xlfn.XLOOKUP(Regcontabilizados[[#This Row],[Subcuenta]],Tabla11[Cuenta],Tabla11[TIPO],"")</f>
        <v>Activo Corriente</v>
      </c>
      <c r="AA82" s="1" t="str">
        <f>IFERROR((Regcontabilizados[[#This Row],[Subcuenta]]&amp;" "&amp;_xlfn.XLOOKUP(Regcontabilizados[[#This Row],[Subcuenta]],Tabla11[Cuenta],Tabla11[Descripción],0)),0)</f>
        <v>130505 Nacionales</v>
      </c>
      <c r="AB82" s="1" t="str">
        <f>IFERROR((VALUE(LEFT(Regcontabilizados[[#This Row],[Subcuenta]],2))&amp;" "&amp;_xlfn.XLOOKUP((VALUE(LEFT(Regcontabilizados[[#This Row],[Subcuenta]],2))),Tabla11[Cuenta],Tabla11[Descripción],0)),0)</f>
        <v>13 DEUDORES</v>
      </c>
      <c r="AC82" s="1" t="str">
        <f>IFERROR((VALUE(LEFT(Regcontabilizados[[#This Row],[Subcuenta]],4))&amp;" "&amp;_xlfn.XLOOKUP((VALUE(LEFT(Regcontabilizados[[#This Row],[Subcuenta]],4))),Tabla11[Cuenta],Tabla11[Descripción],0)),0)</f>
        <v>1305 CLIENTES</v>
      </c>
      <c r="AD82" s="1" t="str">
        <f>IF(Regcontabilizados[[#This Row],[Eliminado]]="si","",RegContabilizados2[[#This Row],[Estado de pago]])</f>
        <v>NO PAGADO</v>
      </c>
      <c r="AE82" s="1" t="str">
        <f>IF(Regcontabilizados[[#This Row],[Eliminado]]="si","",RegContabilizados2[[#This Row],[Colum. Aux. Estado]])</f>
        <v>4656566F. V.2</v>
      </c>
      <c r="AF82" s="1">
        <f>IF(Regcontabilizados[[#This Row],[Eliminado]]="si","",RegContabilizados2[[#This Row],[Número de pago]])</f>
        <v>0</v>
      </c>
      <c r="AG82" s="1" t="str">
        <f>IF(Regcontabilizados[[#This Row],[Eliminado]]="si","",RegContabilizados2[[#This Row],[Elaborado por]])</f>
        <v>Responsable no especificado</v>
      </c>
      <c r="AH82" s="1" t="str">
        <f>IF(Regcontabilizados[[#This Row],[Eliminado]]="si","",RegContabilizados2[[#This Row],[Notas]])</f>
        <v>DE CONTADO</v>
      </c>
      <c r="AI82" s="1">
        <f>IF(Regcontabilizados[[#This Row],[Eliminado]]="si","",RegContabilizados2[[#This Row],[Método de pago]])</f>
        <v>0</v>
      </c>
      <c r="AJ82" s="1">
        <f>IF(Regcontabilizados[[#This Row],[Eliminado]]="si","",RegContabilizados2[[#This Row],[Cta. Bancaria]])</f>
        <v>0</v>
      </c>
      <c r="AO82" s="31">
        <v>45993</v>
      </c>
      <c r="AP82" s="31">
        <v>45993</v>
      </c>
      <c r="AQ82" s="3" t="s">
        <v>1260</v>
      </c>
      <c r="AR82" s="3">
        <v>2</v>
      </c>
      <c r="AS82" s="1" t="s">
        <v>766</v>
      </c>
      <c r="AT82" s="1" t="s">
        <v>901</v>
      </c>
      <c r="AU82" s="1" t="s">
        <v>1010</v>
      </c>
      <c r="AV82" s="3">
        <v>333333</v>
      </c>
      <c r="AW82" s="3" t="s">
        <v>1089</v>
      </c>
      <c r="AX82" s="3" t="s">
        <v>1000</v>
      </c>
      <c r="AY82" s="3" t="s">
        <v>1001</v>
      </c>
      <c r="AZ82" s="3" t="s">
        <v>975</v>
      </c>
      <c r="BA82" s="1">
        <v>1</v>
      </c>
      <c r="BB82" s="1">
        <v>50000</v>
      </c>
      <c r="BC82" s="1">
        <v>130505</v>
      </c>
      <c r="BD82" s="1">
        <v>59500</v>
      </c>
      <c r="BE82" s="1">
        <v>0</v>
      </c>
      <c r="BF82" s="1">
        <f>IFERROR((RegContabilizados2[[#This Row],[Debe]]-RegContabilizados2[[#This Row],[Haber]]),0)</f>
        <v>59500</v>
      </c>
      <c r="BG82" s="1" t="str">
        <f>IFERROR((+_xlfn.XLOOKUP(RegContabilizados2[[#This Row],[Subcuenta]],Tabla11[Cuenta],Tabla11[Descripción],0)),0)</f>
        <v>Nacionales</v>
      </c>
      <c r="BH82" s="1" t="str">
        <f>IFERROR((VALUE(LEFT(RegContabilizados2[[#This Row],[Subcuenta]],2))&amp;" "&amp;_xlfn.XLOOKUP((VALUE(LEFT(RegContabilizados2[[#This Row],[Subcuenta]],2))),Tabla11[Cuenta],Tabla11[Descripción],0)),0)</f>
        <v>13 DEUDORES</v>
      </c>
      <c r="BI82" s="1" t="str">
        <f>IFERROR((VALUE(LEFT(RegContabilizados2[[#This Row],[Subcuenta]],4))&amp;" "&amp;_xlfn.XLOOKUP((VALUE(LEFT(RegContabilizados2[[#This Row],[Subcuenta]],4))),Tabla11[Cuenta],Tabla11[Descripción],0)),0)</f>
        <v>1305 CLIENTES</v>
      </c>
      <c r="BJ82" s="1" t="str">
        <f>IFERROR((RegContabilizados2[[#This Row],[Subcuenta]]&amp;" "&amp;_xlfn.XLOOKUP(RegContabilizados2[[#This Row],[Subcuenta]],Tabla11[Cuenta],Tabla11[Descripción],0)),0)</f>
        <v>130505 Nacionales</v>
      </c>
      <c r="BK82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82" s="1" t="str">
        <f>IFERROR(LEFT(RegContabilizados2[[#This Row],[Idenficador]],SEARCH("-",RegContabilizados2[[#This Row],[Idenficador]])-1),0)</f>
        <v>4656566F. V.2</v>
      </c>
      <c r="BN82" s="1" t="s">
        <v>1169</v>
      </c>
      <c r="BO82" s="1" t="s">
        <v>1220</v>
      </c>
    </row>
    <row r="83" spans="4:67">
      <c r="D83" s="31">
        <f>IF(Regcontabilizados[[#This Row],[Eliminado]]="si","",RegContabilizados2[[#This Row],[fecha Factura]])</f>
        <v>45993</v>
      </c>
      <c r="E83" s="31">
        <f>IF(Regcontabilizados[[#This Row],[Eliminado]]="si","",RegContabilizados2[[#This Row],[Fecha vencimiento]])</f>
        <v>45993</v>
      </c>
      <c r="F83" s="3" t="str">
        <f>IF(Regcontabilizados[[#This Row],[Eliminado]]="si","",RegContabilizados2[[#This Row],[Idenficador]])</f>
        <v>4656566F. V.2-2</v>
      </c>
      <c r="G83" s="3">
        <f>IF(Regcontabilizados[[#This Row],[Eliminado]]="si","",RegContabilizados2[[#This Row],[N° de factura/Pago]])</f>
        <v>2</v>
      </c>
      <c r="H83" s="1" t="str">
        <f>IF(Regcontabilizados[[#This Row],[Eliminado]]="si","",RegContabilizados2[[#This Row],[Tipo de Factura]])</f>
        <v>F. V.</v>
      </c>
      <c r="I83" s="1" t="str">
        <f>IF(Regcontabilizados[[#This Row],[Eliminado]]="si","",RegContabilizados2[[#This Row],[ID Cliente]])</f>
        <v>CLIENTE 1</v>
      </c>
      <c r="J83" s="1">
        <f>IF(Regcontabilizados[[#This Row],[Eliminado]]="si","",RegContabilizados2[[#This Row],[ESTADO DEL IVA]])</f>
        <v>0</v>
      </c>
      <c r="K83" s="3">
        <f>IF(Regcontabilizados[[#This Row],[Eliminado]]="si","",RegContabilizados2[[#This Row],[ID Proveedor]])</f>
        <v>333333</v>
      </c>
      <c r="L83" s="3">
        <f>IF(Regcontabilizados[[#This Row],[Eliminado]]="si","",RegContabilizados2[[#This Row],[Concepto]])</f>
        <v>0</v>
      </c>
      <c r="M83" s="3">
        <f>IF(Regcontabilizados[[#This Row],[Eliminado]]="si","",RegContabilizados2[[#This Row],[Categoría]])</f>
        <v>0</v>
      </c>
      <c r="N83" s="3" t="str">
        <f>IF(Regcontabilizados[[#This Row],[Eliminado]]="si","",RegContabilizados2[[#This Row],[Almacen]])</f>
        <v>Principal</v>
      </c>
      <c r="O83" s="3" t="str">
        <f>IF(Regcontabilizados[[#This Row],[Eliminado]]="si","",RegContabilizados2[[#This Row],[Tipo de movimiento]])</f>
        <v>Salida</v>
      </c>
      <c r="P83" s="1">
        <f>IF(Regcontabilizados[[#This Row],[Eliminado]]="si","",RegContabilizados2[[#This Row],[cantidad]])</f>
        <v>0</v>
      </c>
      <c r="Q83" s="1">
        <f>IF(Regcontabilizados[[#This Row],[Eliminado]]="si","",RegContabilizados2[[#This Row],[VR unitario]])</f>
        <v>0</v>
      </c>
      <c r="R83" s="1" t="str">
        <f>IF(Regcontabilizados[[#This Row],[Eliminado]]="si","",RegContabilizados2[[#This Row],[Subcuenta]])</f>
        <v/>
      </c>
      <c r="S83" s="1">
        <f>IF(Regcontabilizados[[#This Row],[Eliminado]]="si","",RegContabilizados2[[#This Row],[Debe]])</f>
        <v>0</v>
      </c>
      <c r="T83" s="1">
        <f>IF(Regcontabilizados[[#This Row],[Eliminado]]="si","",RegContabilizados2[[#This Row],[Haber]])</f>
        <v>0</v>
      </c>
      <c r="U83" s="1">
        <f>IFERROR((Regcontabilizados[[#This Row],[Debe]]-Regcontabilizados[[#This Row],[Haber]]),0)</f>
        <v>0</v>
      </c>
      <c r="V83" s="1">
        <f>IFERROR((+_xlfn.XLOOKUP(Regcontabilizados[[#This Row],[Subcuenta]],Tabla11[Cuenta],Tabla11[Descripción],0)),0)</f>
        <v>0</v>
      </c>
      <c r="W83" s="1">
        <f>IFERROR((_xlfn.XLOOKUP((VALUE(LEFT(Regcontabilizados[[#This Row],[Subcuenta]],4))),Tabla11[Cuenta],Tabla11[Descripción],0)),0)</f>
        <v>0</v>
      </c>
      <c r="X83" s="1">
        <f>IFERROR((_xlfn.XLOOKUP(Regcontabilizados[[#This Row],[Subcuenta]],Tabla11[Cuenta],Tabla11[Descripción],0)),0)</f>
        <v>0</v>
      </c>
      <c r="Y83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83" s="1" t="str">
        <f>_xlfn.XLOOKUP(Regcontabilizados[[#This Row],[Subcuenta]],Tabla11[Cuenta],Tabla11[TIPO],"")</f>
        <v/>
      </c>
      <c r="AA83" s="1" t="str">
        <f>IFERROR((Regcontabilizados[[#This Row],[Subcuenta]]&amp;" "&amp;_xlfn.XLOOKUP(Regcontabilizados[[#This Row],[Subcuenta]],Tabla11[Cuenta],Tabla11[Descripción],0)),0)</f>
        <v xml:space="preserve"> 0</v>
      </c>
      <c r="AB83" s="1">
        <f>IFERROR((VALUE(LEFT(Regcontabilizados[[#This Row],[Subcuenta]],2))&amp;" "&amp;_xlfn.XLOOKUP((VALUE(LEFT(Regcontabilizados[[#This Row],[Subcuenta]],2))),Tabla11[Cuenta],Tabla11[Descripción],0)),0)</f>
        <v>0</v>
      </c>
      <c r="AC83" s="1">
        <f>IFERROR((VALUE(LEFT(Regcontabilizados[[#This Row],[Subcuenta]],4))&amp;" "&amp;_xlfn.XLOOKUP((VALUE(LEFT(Regcontabilizados[[#This Row],[Subcuenta]],4))),Tabla11[Cuenta],Tabla11[Descripción],0)),0)</f>
        <v>0</v>
      </c>
      <c r="AD83" s="1" t="str">
        <f>IF(Regcontabilizados[[#This Row],[Eliminado]]="si","",RegContabilizados2[[#This Row],[Estado de pago]])</f>
        <v>NO PAGADO</v>
      </c>
      <c r="AE83" s="1" t="str">
        <f>IF(Regcontabilizados[[#This Row],[Eliminado]]="si","",RegContabilizados2[[#This Row],[Colum. Aux. Estado]])</f>
        <v>4656566F. V.2</v>
      </c>
      <c r="AF83" s="1">
        <f>IF(Regcontabilizados[[#This Row],[Eliminado]]="si","",RegContabilizados2[[#This Row],[Número de pago]])</f>
        <v>0</v>
      </c>
      <c r="AG83" s="1" t="str">
        <f>IF(Regcontabilizados[[#This Row],[Eliminado]]="si","",RegContabilizados2[[#This Row],[Elaborado por]])</f>
        <v>Responsable no especificado</v>
      </c>
      <c r="AH83" s="1" t="str">
        <f>IF(Regcontabilizados[[#This Row],[Eliminado]]="si","",RegContabilizados2[[#This Row],[Notas]])</f>
        <v>DE CONTADO</v>
      </c>
      <c r="AI83" s="1">
        <f>IF(Regcontabilizados[[#This Row],[Eliminado]]="si","",RegContabilizados2[[#This Row],[Método de pago]])</f>
        <v>0</v>
      </c>
      <c r="AJ83" s="1">
        <f>IF(Regcontabilizados[[#This Row],[Eliminado]]="si","",RegContabilizados2[[#This Row],[Cta. Bancaria]])</f>
        <v>0</v>
      </c>
      <c r="AO83" s="31">
        <v>45993</v>
      </c>
      <c r="AP83" s="31">
        <v>45993</v>
      </c>
      <c r="AQ83" s="3" t="s">
        <v>1261</v>
      </c>
      <c r="AR83" s="3">
        <v>2</v>
      </c>
      <c r="AS83" s="1" t="s">
        <v>766</v>
      </c>
      <c r="AT83" s="1" t="s">
        <v>901</v>
      </c>
      <c r="AV83" s="3">
        <v>333333</v>
      </c>
      <c r="AW83" s="3"/>
      <c r="AX83" s="3">
        <v>0</v>
      </c>
      <c r="AY83" s="3" t="s">
        <v>1001</v>
      </c>
      <c r="AZ83" s="3" t="s">
        <v>975</v>
      </c>
      <c r="BA83" s="1">
        <v>0</v>
      </c>
      <c r="BB83" s="1">
        <v>0</v>
      </c>
      <c r="BC83" s="1" t="s">
        <v>1168</v>
      </c>
      <c r="BD83" s="1">
        <v>0</v>
      </c>
      <c r="BE83" s="1">
        <v>0</v>
      </c>
      <c r="BF83" s="1">
        <f>IFERROR((RegContabilizados2[[#This Row],[Debe]]-RegContabilizados2[[#This Row],[Haber]]),0)</f>
        <v>0</v>
      </c>
      <c r="BG83" s="1">
        <f>IFERROR((+_xlfn.XLOOKUP(RegContabilizados2[[#This Row],[Subcuenta]],Tabla11[Cuenta],Tabla11[Descripción],0)),0)</f>
        <v>0</v>
      </c>
      <c r="BH83" s="1">
        <f>IFERROR((VALUE(LEFT(RegContabilizados2[[#This Row],[Subcuenta]],2))&amp;" "&amp;_xlfn.XLOOKUP((VALUE(LEFT(RegContabilizados2[[#This Row],[Subcuenta]],2))),Tabla11[Cuenta],Tabla11[Descripción],0)),0)</f>
        <v>0</v>
      </c>
      <c r="BI83" s="1">
        <f>IFERROR((VALUE(LEFT(RegContabilizados2[[#This Row],[Subcuenta]],4))&amp;" "&amp;_xlfn.XLOOKUP((VALUE(LEFT(RegContabilizados2[[#This Row],[Subcuenta]],4))),Tabla11[Cuenta],Tabla11[Descripción],0)),0)</f>
        <v>0</v>
      </c>
      <c r="BJ83" s="1" t="str">
        <f>IFERROR((RegContabilizados2[[#This Row],[Subcuenta]]&amp;" "&amp;_xlfn.XLOOKUP(RegContabilizados2[[#This Row],[Subcuenta]],Tabla11[Cuenta],Tabla11[Descripción],0)),0)</f>
        <v xml:space="preserve"> 0</v>
      </c>
      <c r="BK83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83" s="1" t="str">
        <f>IFERROR(LEFT(RegContabilizados2[[#This Row],[Idenficador]],SEARCH("-",RegContabilizados2[[#This Row],[Idenficador]])-1),0)</f>
        <v>4656566F. V.2</v>
      </c>
      <c r="BN83" s="1" t="s">
        <v>1169</v>
      </c>
      <c r="BO83" s="1" t="s">
        <v>1220</v>
      </c>
    </row>
    <row r="84" spans="4:67">
      <c r="D84" s="31">
        <f>IF(Regcontabilizados[[#This Row],[Eliminado]]="si","",RegContabilizados2[[#This Row],[fecha Factura]])</f>
        <v>45993</v>
      </c>
      <c r="E84" s="31">
        <f>IF(Regcontabilizados[[#This Row],[Eliminado]]="si","",RegContabilizados2[[#This Row],[Fecha vencimiento]])</f>
        <v>45993</v>
      </c>
      <c r="F84" s="3" t="str">
        <f>IF(Regcontabilizados[[#This Row],[Eliminado]]="si","",RegContabilizados2[[#This Row],[Idenficador]])</f>
        <v>4656566F. V.2-3</v>
      </c>
      <c r="G84" s="3">
        <f>IF(Regcontabilizados[[#This Row],[Eliminado]]="si","",RegContabilizados2[[#This Row],[N° de factura/Pago]])</f>
        <v>2</v>
      </c>
      <c r="H84" s="1" t="str">
        <f>IF(Regcontabilizados[[#This Row],[Eliminado]]="si","",RegContabilizados2[[#This Row],[Tipo de Factura]])</f>
        <v>F. V.</v>
      </c>
      <c r="I84" s="1" t="str">
        <f>IF(Regcontabilizados[[#This Row],[Eliminado]]="si","",RegContabilizados2[[#This Row],[ID Cliente]])</f>
        <v>CLIENTE 1</v>
      </c>
      <c r="J84" s="1">
        <f>IF(Regcontabilizados[[#This Row],[Eliminado]]="si","",RegContabilizados2[[#This Row],[ESTADO DEL IVA]])</f>
        <v>0</v>
      </c>
      <c r="K84" s="3">
        <f>IF(Regcontabilizados[[#This Row],[Eliminado]]="si","",RegContabilizados2[[#This Row],[ID Proveedor]])</f>
        <v>333333</v>
      </c>
      <c r="L84" s="3">
        <f>IF(Regcontabilizados[[#This Row],[Eliminado]]="si","",RegContabilizados2[[#This Row],[Concepto]])</f>
        <v>0</v>
      </c>
      <c r="M84" s="3">
        <f>IF(Regcontabilizados[[#This Row],[Eliminado]]="si","",RegContabilizados2[[#This Row],[Categoría]])</f>
        <v>0</v>
      </c>
      <c r="N84" s="3" t="str">
        <f>IF(Regcontabilizados[[#This Row],[Eliminado]]="si","",RegContabilizados2[[#This Row],[Almacen]])</f>
        <v>Principal</v>
      </c>
      <c r="O84" s="3" t="str">
        <f>IF(Regcontabilizados[[#This Row],[Eliminado]]="si","",RegContabilizados2[[#This Row],[Tipo de movimiento]])</f>
        <v>Salida</v>
      </c>
      <c r="P84" s="1">
        <f>IF(Regcontabilizados[[#This Row],[Eliminado]]="si","",RegContabilizados2[[#This Row],[cantidad]])</f>
        <v>0</v>
      </c>
      <c r="Q84" s="1">
        <f>IF(Regcontabilizados[[#This Row],[Eliminado]]="si","",RegContabilizados2[[#This Row],[VR unitario]])</f>
        <v>0</v>
      </c>
      <c r="R84" s="1" t="str">
        <f>IF(Regcontabilizados[[#This Row],[Eliminado]]="si","",RegContabilizados2[[#This Row],[Subcuenta]])</f>
        <v/>
      </c>
      <c r="S84" s="1">
        <f>IF(Regcontabilizados[[#This Row],[Eliminado]]="si","",RegContabilizados2[[#This Row],[Debe]])</f>
        <v>0</v>
      </c>
      <c r="T84" s="1">
        <f>IF(Regcontabilizados[[#This Row],[Eliminado]]="si","",RegContabilizados2[[#This Row],[Haber]])</f>
        <v>0</v>
      </c>
      <c r="U84" s="1">
        <f>IFERROR((Regcontabilizados[[#This Row],[Debe]]-Regcontabilizados[[#This Row],[Haber]]),0)</f>
        <v>0</v>
      </c>
      <c r="V84" s="1">
        <f>IFERROR((+_xlfn.XLOOKUP(Regcontabilizados[[#This Row],[Subcuenta]],Tabla11[Cuenta],Tabla11[Descripción],0)),0)</f>
        <v>0</v>
      </c>
      <c r="W84" s="1">
        <f>IFERROR((_xlfn.XLOOKUP((VALUE(LEFT(Regcontabilizados[[#This Row],[Subcuenta]],4))),Tabla11[Cuenta],Tabla11[Descripción],0)),0)</f>
        <v>0</v>
      </c>
      <c r="X84" s="1">
        <f>IFERROR((_xlfn.XLOOKUP(Regcontabilizados[[#This Row],[Subcuenta]],Tabla11[Cuenta],Tabla11[Descripción],0)),0)</f>
        <v>0</v>
      </c>
      <c r="Y84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84" s="1" t="str">
        <f>_xlfn.XLOOKUP(Regcontabilizados[[#This Row],[Subcuenta]],Tabla11[Cuenta],Tabla11[TIPO],"")</f>
        <v/>
      </c>
      <c r="AA84" s="1" t="str">
        <f>IFERROR((Regcontabilizados[[#This Row],[Subcuenta]]&amp;" "&amp;_xlfn.XLOOKUP(Regcontabilizados[[#This Row],[Subcuenta]],Tabla11[Cuenta],Tabla11[Descripción],0)),0)</f>
        <v xml:space="preserve"> 0</v>
      </c>
      <c r="AB84" s="1">
        <f>IFERROR((VALUE(LEFT(Regcontabilizados[[#This Row],[Subcuenta]],2))&amp;" "&amp;_xlfn.XLOOKUP((VALUE(LEFT(Regcontabilizados[[#This Row],[Subcuenta]],2))),Tabla11[Cuenta],Tabla11[Descripción],0)),0)</f>
        <v>0</v>
      </c>
      <c r="AC84" s="1">
        <f>IFERROR((VALUE(LEFT(Regcontabilizados[[#This Row],[Subcuenta]],4))&amp;" "&amp;_xlfn.XLOOKUP((VALUE(LEFT(Regcontabilizados[[#This Row],[Subcuenta]],4))),Tabla11[Cuenta],Tabla11[Descripción],0)),0)</f>
        <v>0</v>
      </c>
      <c r="AD84" s="1" t="str">
        <f>IF(Regcontabilizados[[#This Row],[Eliminado]]="si","",RegContabilizados2[[#This Row],[Estado de pago]])</f>
        <v>NO PAGADO</v>
      </c>
      <c r="AE84" s="1" t="str">
        <f>IF(Regcontabilizados[[#This Row],[Eliminado]]="si","",RegContabilizados2[[#This Row],[Colum. Aux. Estado]])</f>
        <v>4656566F. V.2</v>
      </c>
      <c r="AF84" s="1">
        <f>IF(Regcontabilizados[[#This Row],[Eliminado]]="si","",RegContabilizados2[[#This Row],[Número de pago]])</f>
        <v>0</v>
      </c>
      <c r="AG84" s="1" t="str">
        <f>IF(Regcontabilizados[[#This Row],[Eliminado]]="si","",RegContabilizados2[[#This Row],[Elaborado por]])</f>
        <v>Responsable no especificado</v>
      </c>
      <c r="AH84" s="1" t="str">
        <f>IF(Regcontabilizados[[#This Row],[Eliminado]]="si","",RegContabilizados2[[#This Row],[Notas]])</f>
        <v>DE CONTADO</v>
      </c>
      <c r="AI84" s="1">
        <f>IF(Regcontabilizados[[#This Row],[Eliminado]]="si","",RegContabilizados2[[#This Row],[Método de pago]])</f>
        <v>0</v>
      </c>
      <c r="AJ84" s="1">
        <f>IF(Regcontabilizados[[#This Row],[Eliminado]]="si","",RegContabilizados2[[#This Row],[Cta. Bancaria]])</f>
        <v>0</v>
      </c>
      <c r="AO84" s="31">
        <v>45993</v>
      </c>
      <c r="AP84" s="31">
        <v>45993</v>
      </c>
      <c r="AQ84" s="3" t="s">
        <v>1262</v>
      </c>
      <c r="AR84" s="3">
        <v>2</v>
      </c>
      <c r="AS84" s="1" t="s">
        <v>766</v>
      </c>
      <c r="AT84" s="1" t="s">
        <v>901</v>
      </c>
      <c r="AV84" s="3">
        <v>333333</v>
      </c>
      <c r="AW84" s="3"/>
      <c r="AX84" s="3">
        <v>0</v>
      </c>
      <c r="AY84" s="3" t="s">
        <v>1001</v>
      </c>
      <c r="AZ84" s="3" t="s">
        <v>975</v>
      </c>
      <c r="BA84" s="1">
        <v>0</v>
      </c>
      <c r="BB84" s="1">
        <v>0</v>
      </c>
      <c r="BC84" s="1" t="s">
        <v>1168</v>
      </c>
      <c r="BD84" s="1">
        <v>0</v>
      </c>
      <c r="BE84" s="1">
        <v>0</v>
      </c>
      <c r="BF84" s="1">
        <f>IFERROR((RegContabilizados2[[#This Row],[Debe]]-RegContabilizados2[[#This Row],[Haber]]),0)</f>
        <v>0</v>
      </c>
      <c r="BG84" s="1">
        <f>IFERROR((+_xlfn.XLOOKUP(RegContabilizados2[[#This Row],[Subcuenta]],Tabla11[Cuenta],Tabla11[Descripción],0)),0)</f>
        <v>0</v>
      </c>
      <c r="BH84" s="1">
        <f>IFERROR((VALUE(LEFT(RegContabilizados2[[#This Row],[Subcuenta]],2))&amp;" "&amp;_xlfn.XLOOKUP((VALUE(LEFT(RegContabilizados2[[#This Row],[Subcuenta]],2))),Tabla11[Cuenta],Tabla11[Descripción],0)),0)</f>
        <v>0</v>
      </c>
      <c r="BI84" s="1">
        <f>IFERROR((VALUE(LEFT(RegContabilizados2[[#This Row],[Subcuenta]],4))&amp;" "&amp;_xlfn.XLOOKUP((VALUE(LEFT(RegContabilizados2[[#This Row],[Subcuenta]],4))),Tabla11[Cuenta],Tabla11[Descripción],0)),0)</f>
        <v>0</v>
      </c>
      <c r="BJ84" s="1" t="str">
        <f>IFERROR((RegContabilizados2[[#This Row],[Subcuenta]]&amp;" "&amp;_xlfn.XLOOKUP(RegContabilizados2[[#This Row],[Subcuenta]],Tabla11[Cuenta],Tabla11[Descripción],0)),0)</f>
        <v xml:space="preserve"> 0</v>
      </c>
      <c r="BK84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84" s="1" t="str">
        <f>IFERROR(LEFT(RegContabilizados2[[#This Row],[Idenficador]],SEARCH("-",RegContabilizados2[[#This Row],[Idenficador]])-1),0)</f>
        <v>4656566F. V.2</v>
      </c>
      <c r="BN84" s="1" t="s">
        <v>1169</v>
      </c>
      <c r="BO84" s="1" t="s">
        <v>1220</v>
      </c>
    </row>
    <row r="85" spans="4:67">
      <c r="D85" s="31">
        <f>IF(Regcontabilizados[[#This Row],[Eliminado]]="si","",RegContabilizados2[[#This Row],[fecha Factura]])</f>
        <v>45993</v>
      </c>
      <c r="E85" s="31">
        <f>IF(Regcontabilizados[[#This Row],[Eliminado]]="si","",RegContabilizados2[[#This Row],[Fecha vencimiento]])</f>
        <v>45993</v>
      </c>
      <c r="F85" s="3" t="str">
        <f>IF(Regcontabilizados[[#This Row],[Eliminado]]="si","",RegContabilizados2[[#This Row],[Idenficador]])</f>
        <v>4656566F. V.2-4</v>
      </c>
      <c r="G85" s="3">
        <f>IF(Regcontabilizados[[#This Row],[Eliminado]]="si","",RegContabilizados2[[#This Row],[N° de factura/Pago]])</f>
        <v>2</v>
      </c>
      <c r="H85" s="1" t="str">
        <f>IF(Regcontabilizados[[#This Row],[Eliminado]]="si","",RegContabilizados2[[#This Row],[Tipo de Factura]])</f>
        <v>F. V.</v>
      </c>
      <c r="I85" s="1" t="str">
        <f>IF(Regcontabilizados[[#This Row],[Eliminado]]="si","",RegContabilizados2[[#This Row],[ID Cliente]])</f>
        <v>CLIENTE 1</v>
      </c>
      <c r="J85" s="1">
        <f>IF(Regcontabilizados[[#This Row],[Eliminado]]="si","",RegContabilizados2[[#This Row],[ESTADO DEL IVA]])</f>
        <v>0</v>
      </c>
      <c r="K85" s="3">
        <f>IF(Regcontabilizados[[#This Row],[Eliminado]]="si","",RegContabilizados2[[#This Row],[ID Proveedor]])</f>
        <v>333333</v>
      </c>
      <c r="L85" s="3">
        <f>IF(Regcontabilizados[[#This Row],[Eliminado]]="si","",RegContabilizados2[[#This Row],[Concepto]])</f>
        <v>0</v>
      </c>
      <c r="M85" s="3">
        <f>IF(Regcontabilizados[[#This Row],[Eliminado]]="si","",RegContabilizados2[[#This Row],[Categoría]])</f>
        <v>0</v>
      </c>
      <c r="N85" s="3" t="str">
        <f>IF(Regcontabilizados[[#This Row],[Eliminado]]="si","",RegContabilizados2[[#This Row],[Almacen]])</f>
        <v>Principal</v>
      </c>
      <c r="O85" s="3" t="str">
        <f>IF(Regcontabilizados[[#This Row],[Eliminado]]="si","",RegContabilizados2[[#This Row],[Tipo de movimiento]])</f>
        <v>Salida</v>
      </c>
      <c r="P85" s="1">
        <f>IF(Regcontabilizados[[#This Row],[Eliminado]]="si","",RegContabilizados2[[#This Row],[cantidad]])</f>
        <v>0</v>
      </c>
      <c r="Q85" s="1">
        <f>IF(Regcontabilizados[[#This Row],[Eliminado]]="si","",RegContabilizados2[[#This Row],[VR unitario]])</f>
        <v>0</v>
      </c>
      <c r="R85" s="1" t="str">
        <f>IF(Regcontabilizados[[#This Row],[Eliminado]]="si","",RegContabilizados2[[#This Row],[Subcuenta]])</f>
        <v/>
      </c>
      <c r="S85" s="1">
        <f>IF(Regcontabilizados[[#This Row],[Eliminado]]="si","",RegContabilizados2[[#This Row],[Debe]])</f>
        <v>0</v>
      </c>
      <c r="T85" s="1">
        <f>IF(Regcontabilizados[[#This Row],[Eliminado]]="si","",RegContabilizados2[[#This Row],[Haber]])</f>
        <v>0</v>
      </c>
      <c r="U85" s="1">
        <f>IFERROR((Regcontabilizados[[#This Row],[Debe]]-Regcontabilizados[[#This Row],[Haber]]),0)</f>
        <v>0</v>
      </c>
      <c r="V85" s="1">
        <f>IFERROR((+_xlfn.XLOOKUP(Regcontabilizados[[#This Row],[Subcuenta]],Tabla11[Cuenta],Tabla11[Descripción],0)),0)</f>
        <v>0</v>
      </c>
      <c r="W85" s="1">
        <f>IFERROR((_xlfn.XLOOKUP((VALUE(LEFT(Regcontabilizados[[#This Row],[Subcuenta]],4))),Tabla11[Cuenta],Tabla11[Descripción],0)),0)</f>
        <v>0</v>
      </c>
      <c r="X85" s="1">
        <f>IFERROR((_xlfn.XLOOKUP(Regcontabilizados[[#This Row],[Subcuenta]],Tabla11[Cuenta],Tabla11[Descripción],0)),0)</f>
        <v>0</v>
      </c>
      <c r="Y85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85" s="1" t="str">
        <f>_xlfn.XLOOKUP(Regcontabilizados[[#This Row],[Subcuenta]],Tabla11[Cuenta],Tabla11[TIPO],"")</f>
        <v/>
      </c>
      <c r="AA85" s="1" t="str">
        <f>IFERROR((Regcontabilizados[[#This Row],[Subcuenta]]&amp;" "&amp;_xlfn.XLOOKUP(Regcontabilizados[[#This Row],[Subcuenta]],Tabla11[Cuenta],Tabla11[Descripción],0)),0)</f>
        <v xml:space="preserve"> 0</v>
      </c>
      <c r="AB85" s="1">
        <f>IFERROR((VALUE(LEFT(Regcontabilizados[[#This Row],[Subcuenta]],2))&amp;" "&amp;_xlfn.XLOOKUP((VALUE(LEFT(Regcontabilizados[[#This Row],[Subcuenta]],2))),Tabla11[Cuenta],Tabla11[Descripción],0)),0)</f>
        <v>0</v>
      </c>
      <c r="AC85" s="1">
        <f>IFERROR((VALUE(LEFT(Regcontabilizados[[#This Row],[Subcuenta]],4))&amp;" "&amp;_xlfn.XLOOKUP((VALUE(LEFT(Regcontabilizados[[#This Row],[Subcuenta]],4))),Tabla11[Cuenta],Tabla11[Descripción],0)),0)</f>
        <v>0</v>
      </c>
      <c r="AD85" s="1" t="str">
        <f>IF(Regcontabilizados[[#This Row],[Eliminado]]="si","",RegContabilizados2[[#This Row],[Estado de pago]])</f>
        <v>NO PAGADO</v>
      </c>
      <c r="AE85" s="1" t="str">
        <f>IF(Regcontabilizados[[#This Row],[Eliminado]]="si","",RegContabilizados2[[#This Row],[Colum. Aux. Estado]])</f>
        <v>4656566F. V.2</v>
      </c>
      <c r="AF85" s="1">
        <f>IF(Regcontabilizados[[#This Row],[Eliminado]]="si","",RegContabilizados2[[#This Row],[Número de pago]])</f>
        <v>0</v>
      </c>
      <c r="AG85" s="1" t="str">
        <f>IF(Regcontabilizados[[#This Row],[Eliminado]]="si","",RegContabilizados2[[#This Row],[Elaborado por]])</f>
        <v>Responsable no especificado</v>
      </c>
      <c r="AH85" s="1" t="str">
        <f>IF(Regcontabilizados[[#This Row],[Eliminado]]="si","",RegContabilizados2[[#This Row],[Notas]])</f>
        <v>DE CONTADO</v>
      </c>
      <c r="AI85" s="1">
        <f>IF(Regcontabilizados[[#This Row],[Eliminado]]="si","",RegContabilizados2[[#This Row],[Método de pago]])</f>
        <v>0</v>
      </c>
      <c r="AJ85" s="1">
        <f>IF(Regcontabilizados[[#This Row],[Eliminado]]="si","",RegContabilizados2[[#This Row],[Cta. Bancaria]])</f>
        <v>0</v>
      </c>
      <c r="AO85" s="31">
        <v>45993</v>
      </c>
      <c r="AP85" s="31">
        <v>45993</v>
      </c>
      <c r="AQ85" s="3" t="s">
        <v>1263</v>
      </c>
      <c r="AR85" s="3">
        <v>2</v>
      </c>
      <c r="AS85" s="1" t="s">
        <v>766</v>
      </c>
      <c r="AT85" s="1" t="s">
        <v>901</v>
      </c>
      <c r="AV85" s="3">
        <v>333333</v>
      </c>
      <c r="AW85" s="3"/>
      <c r="AX85" s="3">
        <v>0</v>
      </c>
      <c r="AY85" s="3" t="s">
        <v>1001</v>
      </c>
      <c r="AZ85" s="3" t="s">
        <v>975</v>
      </c>
      <c r="BA85" s="1">
        <v>0</v>
      </c>
      <c r="BB85" s="1">
        <v>0</v>
      </c>
      <c r="BC85" s="1" t="s">
        <v>1168</v>
      </c>
      <c r="BD85" s="1">
        <v>0</v>
      </c>
      <c r="BE85" s="1">
        <v>0</v>
      </c>
      <c r="BF85" s="1">
        <f>IFERROR((RegContabilizados2[[#This Row],[Debe]]-RegContabilizados2[[#This Row],[Haber]]),0)</f>
        <v>0</v>
      </c>
      <c r="BG85" s="1">
        <f>IFERROR((+_xlfn.XLOOKUP(RegContabilizados2[[#This Row],[Subcuenta]],Tabla11[Cuenta],Tabla11[Descripción],0)),0)</f>
        <v>0</v>
      </c>
      <c r="BH85" s="1">
        <f>IFERROR((VALUE(LEFT(RegContabilizados2[[#This Row],[Subcuenta]],2))&amp;" "&amp;_xlfn.XLOOKUP((VALUE(LEFT(RegContabilizados2[[#This Row],[Subcuenta]],2))),Tabla11[Cuenta],Tabla11[Descripción],0)),0)</f>
        <v>0</v>
      </c>
      <c r="BI85" s="1">
        <f>IFERROR((VALUE(LEFT(RegContabilizados2[[#This Row],[Subcuenta]],4))&amp;" "&amp;_xlfn.XLOOKUP((VALUE(LEFT(RegContabilizados2[[#This Row],[Subcuenta]],4))),Tabla11[Cuenta],Tabla11[Descripción],0)),0)</f>
        <v>0</v>
      </c>
      <c r="BJ85" s="1" t="str">
        <f>IFERROR((RegContabilizados2[[#This Row],[Subcuenta]]&amp;" "&amp;_xlfn.XLOOKUP(RegContabilizados2[[#This Row],[Subcuenta]],Tabla11[Cuenta],Tabla11[Descripción],0)),0)</f>
        <v xml:space="preserve"> 0</v>
      </c>
      <c r="BK85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85" s="1" t="str">
        <f>IFERROR(LEFT(RegContabilizados2[[#This Row],[Idenficador]],SEARCH("-",RegContabilizados2[[#This Row],[Idenficador]])-1),0)</f>
        <v>4656566F. V.2</v>
      </c>
      <c r="BN85" s="1" t="s">
        <v>1169</v>
      </c>
      <c r="BO85" s="1" t="s">
        <v>1220</v>
      </c>
    </row>
    <row r="86" spans="4:67">
      <c r="D86" s="31">
        <f>IF(Regcontabilizados[[#This Row],[Eliminado]]="si","",RegContabilizados2[[#This Row],[fecha Factura]])</f>
        <v>45993</v>
      </c>
      <c r="E86" s="31">
        <f>IF(Regcontabilizados[[#This Row],[Eliminado]]="si","",RegContabilizados2[[#This Row],[Fecha vencimiento]])</f>
        <v>45993</v>
      </c>
      <c r="F86" s="3" t="str">
        <f>IF(Regcontabilizados[[#This Row],[Eliminado]]="si","",RegContabilizados2[[#This Row],[Idenficador]])</f>
        <v>4656566F. V.2-5</v>
      </c>
      <c r="G86" s="3">
        <f>IF(Regcontabilizados[[#This Row],[Eliminado]]="si","",RegContabilizados2[[#This Row],[N° de factura/Pago]])</f>
        <v>2</v>
      </c>
      <c r="H86" s="1" t="str">
        <f>IF(Regcontabilizados[[#This Row],[Eliminado]]="si","",RegContabilizados2[[#This Row],[Tipo de Factura]])</f>
        <v>F. V.</v>
      </c>
      <c r="I86" s="1" t="str">
        <f>IF(Regcontabilizados[[#This Row],[Eliminado]]="si","",RegContabilizados2[[#This Row],[ID Cliente]])</f>
        <v>CLIENTE 1</v>
      </c>
      <c r="J86" s="1">
        <f>IF(Regcontabilizados[[#This Row],[Eliminado]]="si","",RegContabilizados2[[#This Row],[ESTADO DEL IVA]])</f>
        <v>0</v>
      </c>
      <c r="K86" s="3">
        <f>IF(Regcontabilizados[[#This Row],[Eliminado]]="si","",RegContabilizados2[[#This Row],[ID Proveedor]])</f>
        <v>333333</v>
      </c>
      <c r="L86" s="3">
        <f>IF(Regcontabilizados[[#This Row],[Eliminado]]="si","",RegContabilizados2[[#This Row],[Concepto]])</f>
        <v>0</v>
      </c>
      <c r="M86" s="3">
        <f>IF(Regcontabilizados[[#This Row],[Eliminado]]="si","",RegContabilizados2[[#This Row],[Categoría]])</f>
        <v>0</v>
      </c>
      <c r="N86" s="3" t="str">
        <f>IF(Regcontabilizados[[#This Row],[Eliminado]]="si","",RegContabilizados2[[#This Row],[Almacen]])</f>
        <v>Principal</v>
      </c>
      <c r="O86" s="3" t="str">
        <f>IF(Regcontabilizados[[#This Row],[Eliminado]]="si","",RegContabilizados2[[#This Row],[Tipo de movimiento]])</f>
        <v>Salida</v>
      </c>
      <c r="P86" s="1">
        <f>IF(Regcontabilizados[[#This Row],[Eliminado]]="si","",RegContabilizados2[[#This Row],[cantidad]])</f>
        <v>0</v>
      </c>
      <c r="Q86" s="1">
        <f>IF(Regcontabilizados[[#This Row],[Eliminado]]="si","",RegContabilizados2[[#This Row],[VR unitario]])</f>
        <v>0</v>
      </c>
      <c r="R86" s="1" t="str">
        <f>IF(Regcontabilizados[[#This Row],[Eliminado]]="si","",RegContabilizados2[[#This Row],[Subcuenta]])</f>
        <v/>
      </c>
      <c r="S86" s="1">
        <f>IF(Regcontabilizados[[#This Row],[Eliminado]]="si","",RegContabilizados2[[#This Row],[Debe]])</f>
        <v>0</v>
      </c>
      <c r="T86" s="1">
        <f>IF(Regcontabilizados[[#This Row],[Eliminado]]="si","",RegContabilizados2[[#This Row],[Haber]])</f>
        <v>0</v>
      </c>
      <c r="U86" s="1">
        <f>IFERROR((Regcontabilizados[[#This Row],[Debe]]-Regcontabilizados[[#This Row],[Haber]]),0)</f>
        <v>0</v>
      </c>
      <c r="V86" s="1">
        <f>IFERROR((+_xlfn.XLOOKUP(Regcontabilizados[[#This Row],[Subcuenta]],Tabla11[Cuenta],Tabla11[Descripción],0)),0)</f>
        <v>0</v>
      </c>
      <c r="W86" s="1">
        <f>IFERROR((_xlfn.XLOOKUP((VALUE(LEFT(Regcontabilizados[[#This Row],[Subcuenta]],4))),Tabla11[Cuenta],Tabla11[Descripción],0)),0)</f>
        <v>0</v>
      </c>
      <c r="X86" s="1">
        <f>IFERROR((_xlfn.XLOOKUP(Regcontabilizados[[#This Row],[Subcuenta]],Tabla11[Cuenta],Tabla11[Descripción],0)),0)</f>
        <v>0</v>
      </c>
      <c r="Y86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86" s="1" t="str">
        <f>_xlfn.XLOOKUP(Regcontabilizados[[#This Row],[Subcuenta]],Tabla11[Cuenta],Tabla11[TIPO],"")</f>
        <v/>
      </c>
      <c r="AA86" s="1" t="str">
        <f>IFERROR((Regcontabilizados[[#This Row],[Subcuenta]]&amp;" "&amp;_xlfn.XLOOKUP(Regcontabilizados[[#This Row],[Subcuenta]],Tabla11[Cuenta],Tabla11[Descripción],0)),0)</f>
        <v xml:space="preserve"> 0</v>
      </c>
      <c r="AB86" s="1">
        <f>IFERROR((VALUE(LEFT(Regcontabilizados[[#This Row],[Subcuenta]],2))&amp;" "&amp;_xlfn.XLOOKUP((VALUE(LEFT(Regcontabilizados[[#This Row],[Subcuenta]],2))),Tabla11[Cuenta],Tabla11[Descripción],0)),0)</f>
        <v>0</v>
      </c>
      <c r="AC86" s="1">
        <f>IFERROR((VALUE(LEFT(Regcontabilizados[[#This Row],[Subcuenta]],4))&amp;" "&amp;_xlfn.XLOOKUP((VALUE(LEFT(Regcontabilizados[[#This Row],[Subcuenta]],4))),Tabla11[Cuenta],Tabla11[Descripción],0)),0)</f>
        <v>0</v>
      </c>
      <c r="AD86" s="1" t="str">
        <f>IF(Regcontabilizados[[#This Row],[Eliminado]]="si","",RegContabilizados2[[#This Row],[Estado de pago]])</f>
        <v>NO PAGADO</v>
      </c>
      <c r="AE86" s="1" t="str">
        <f>IF(Regcontabilizados[[#This Row],[Eliminado]]="si","",RegContabilizados2[[#This Row],[Colum. Aux. Estado]])</f>
        <v>4656566F. V.2</v>
      </c>
      <c r="AF86" s="1">
        <f>IF(Regcontabilizados[[#This Row],[Eliminado]]="si","",RegContabilizados2[[#This Row],[Número de pago]])</f>
        <v>0</v>
      </c>
      <c r="AG86" s="1" t="str">
        <f>IF(Regcontabilizados[[#This Row],[Eliminado]]="si","",RegContabilizados2[[#This Row],[Elaborado por]])</f>
        <v>Responsable no especificado</v>
      </c>
      <c r="AH86" s="1" t="str">
        <f>IF(Regcontabilizados[[#This Row],[Eliminado]]="si","",RegContabilizados2[[#This Row],[Notas]])</f>
        <v>DE CONTADO</v>
      </c>
      <c r="AI86" s="1">
        <f>IF(Regcontabilizados[[#This Row],[Eliminado]]="si","",RegContabilizados2[[#This Row],[Método de pago]])</f>
        <v>0</v>
      </c>
      <c r="AJ86" s="1">
        <f>IF(Regcontabilizados[[#This Row],[Eliminado]]="si","",RegContabilizados2[[#This Row],[Cta. Bancaria]])</f>
        <v>0</v>
      </c>
      <c r="AO86" s="31">
        <v>45993</v>
      </c>
      <c r="AP86" s="31">
        <v>45993</v>
      </c>
      <c r="AQ86" s="3" t="s">
        <v>1264</v>
      </c>
      <c r="AR86" s="3">
        <v>2</v>
      </c>
      <c r="AS86" s="1" t="s">
        <v>766</v>
      </c>
      <c r="AT86" s="1" t="s">
        <v>901</v>
      </c>
      <c r="AV86" s="3">
        <v>333333</v>
      </c>
      <c r="AW86" s="3"/>
      <c r="AX86" s="3">
        <v>0</v>
      </c>
      <c r="AY86" s="3" t="s">
        <v>1001</v>
      </c>
      <c r="AZ86" s="3" t="s">
        <v>975</v>
      </c>
      <c r="BA86" s="1">
        <v>0</v>
      </c>
      <c r="BB86" s="1">
        <v>0</v>
      </c>
      <c r="BC86" s="1" t="s">
        <v>1168</v>
      </c>
      <c r="BD86" s="1">
        <v>0</v>
      </c>
      <c r="BE86" s="1">
        <v>0</v>
      </c>
      <c r="BF86" s="1">
        <f>IFERROR((RegContabilizados2[[#This Row],[Debe]]-RegContabilizados2[[#This Row],[Haber]]),0)</f>
        <v>0</v>
      </c>
      <c r="BG86" s="1">
        <f>IFERROR((+_xlfn.XLOOKUP(RegContabilizados2[[#This Row],[Subcuenta]],Tabla11[Cuenta],Tabla11[Descripción],0)),0)</f>
        <v>0</v>
      </c>
      <c r="BH86" s="1">
        <f>IFERROR((VALUE(LEFT(RegContabilizados2[[#This Row],[Subcuenta]],2))&amp;" "&amp;_xlfn.XLOOKUP((VALUE(LEFT(RegContabilizados2[[#This Row],[Subcuenta]],2))),Tabla11[Cuenta],Tabla11[Descripción],0)),0)</f>
        <v>0</v>
      </c>
      <c r="BI86" s="1">
        <f>IFERROR((VALUE(LEFT(RegContabilizados2[[#This Row],[Subcuenta]],4))&amp;" "&amp;_xlfn.XLOOKUP((VALUE(LEFT(RegContabilizados2[[#This Row],[Subcuenta]],4))),Tabla11[Cuenta],Tabla11[Descripción],0)),0)</f>
        <v>0</v>
      </c>
      <c r="BJ86" s="1" t="str">
        <f>IFERROR((RegContabilizados2[[#This Row],[Subcuenta]]&amp;" "&amp;_xlfn.XLOOKUP(RegContabilizados2[[#This Row],[Subcuenta]],Tabla11[Cuenta],Tabla11[Descripción],0)),0)</f>
        <v xml:space="preserve"> 0</v>
      </c>
      <c r="BK86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86" s="1" t="str">
        <f>IFERROR(LEFT(RegContabilizados2[[#This Row],[Idenficador]],SEARCH("-",RegContabilizados2[[#This Row],[Idenficador]])-1),0)</f>
        <v>4656566F. V.2</v>
      </c>
      <c r="BN86" s="1" t="s">
        <v>1169</v>
      </c>
      <c r="BO86" s="1" t="s">
        <v>1220</v>
      </c>
    </row>
    <row r="87" spans="4:67">
      <c r="D87" s="31">
        <f>IF(Regcontabilizados[[#This Row],[Eliminado]]="si","",RegContabilizados2[[#This Row],[fecha Factura]])</f>
        <v>45993</v>
      </c>
      <c r="E87" s="31">
        <f>IF(Regcontabilizados[[#This Row],[Eliminado]]="si","",RegContabilizados2[[#This Row],[Fecha vencimiento]])</f>
        <v>45993</v>
      </c>
      <c r="F87" s="3" t="str">
        <f>IF(Regcontabilizados[[#This Row],[Eliminado]]="si","",RegContabilizados2[[#This Row],[Idenficador]])</f>
        <v>4656566F. V.2-6</v>
      </c>
      <c r="G87" s="3">
        <f>IF(Regcontabilizados[[#This Row],[Eliminado]]="si","",RegContabilizados2[[#This Row],[N° de factura/Pago]])</f>
        <v>2</v>
      </c>
      <c r="H87" s="1" t="str">
        <f>IF(Regcontabilizados[[#This Row],[Eliminado]]="si","",RegContabilizados2[[#This Row],[Tipo de Factura]])</f>
        <v>F. V.</v>
      </c>
      <c r="I87" s="1" t="str">
        <f>IF(Regcontabilizados[[#This Row],[Eliminado]]="si","",RegContabilizados2[[#This Row],[ID Cliente]])</f>
        <v>CLIENTE 1</v>
      </c>
      <c r="J87" s="1">
        <f>IF(Regcontabilizados[[#This Row],[Eliminado]]="si","",RegContabilizados2[[#This Row],[ESTADO DEL IVA]])</f>
        <v>0</v>
      </c>
      <c r="K87" s="3">
        <f>IF(Regcontabilizados[[#This Row],[Eliminado]]="si","",RegContabilizados2[[#This Row],[ID Proveedor]])</f>
        <v>333333</v>
      </c>
      <c r="L87" s="3">
        <f>IF(Regcontabilizados[[#This Row],[Eliminado]]="si","",RegContabilizados2[[#This Row],[Concepto]])</f>
        <v>0</v>
      </c>
      <c r="M87" s="3">
        <f>IF(Regcontabilizados[[#This Row],[Eliminado]]="si","",RegContabilizados2[[#This Row],[Categoría]])</f>
        <v>0</v>
      </c>
      <c r="N87" s="3" t="str">
        <f>IF(Regcontabilizados[[#This Row],[Eliminado]]="si","",RegContabilizados2[[#This Row],[Almacen]])</f>
        <v>Principal</v>
      </c>
      <c r="O87" s="3" t="str">
        <f>IF(Regcontabilizados[[#This Row],[Eliminado]]="si","",RegContabilizados2[[#This Row],[Tipo de movimiento]])</f>
        <v>Salida</v>
      </c>
      <c r="P87" s="1">
        <f>IF(Regcontabilizados[[#This Row],[Eliminado]]="si","",RegContabilizados2[[#This Row],[cantidad]])</f>
        <v>0</v>
      </c>
      <c r="Q87" s="1">
        <f>IF(Regcontabilizados[[#This Row],[Eliminado]]="si","",RegContabilizados2[[#This Row],[VR unitario]])</f>
        <v>0</v>
      </c>
      <c r="R87" s="1" t="str">
        <f>IF(Regcontabilizados[[#This Row],[Eliminado]]="si","",RegContabilizados2[[#This Row],[Subcuenta]])</f>
        <v/>
      </c>
      <c r="S87" s="1">
        <f>IF(Regcontabilizados[[#This Row],[Eliminado]]="si","",RegContabilizados2[[#This Row],[Debe]])</f>
        <v>0</v>
      </c>
      <c r="T87" s="1">
        <f>IF(Regcontabilizados[[#This Row],[Eliminado]]="si","",RegContabilizados2[[#This Row],[Haber]])</f>
        <v>0</v>
      </c>
      <c r="U87" s="1">
        <f>IFERROR((Regcontabilizados[[#This Row],[Debe]]-Regcontabilizados[[#This Row],[Haber]]),0)</f>
        <v>0</v>
      </c>
      <c r="V87" s="1">
        <f>IFERROR((+_xlfn.XLOOKUP(Regcontabilizados[[#This Row],[Subcuenta]],Tabla11[Cuenta],Tabla11[Descripción],0)),0)</f>
        <v>0</v>
      </c>
      <c r="W87" s="1">
        <f>IFERROR((_xlfn.XLOOKUP((VALUE(LEFT(Regcontabilizados[[#This Row],[Subcuenta]],4))),Tabla11[Cuenta],Tabla11[Descripción],0)),0)</f>
        <v>0</v>
      </c>
      <c r="X87" s="1">
        <f>IFERROR((_xlfn.XLOOKUP(Regcontabilizados[[#This Row],[Subcuenta]],Tabla11[Cuenta],Tabla11[Descripción],0)),0)</f>
        <v>0</v>
      </c>
      <c r="Y87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87" s="1" t="str">
        <f>_xlfn.XLOOKUP(Regcontabilizados[[#This Row],[Subcuenta]],Tabla11[Cuenta],Tabla11[TIPO],"")</f>
        <v/>
      </c>
      <c r="AA87" s="1" t="str">
        <f>IFERROR((Regcontabilizados[[#This Row],[Subcuenta]]&amp;" "&amp;_xlfn.XLOOKUP(Regcontabilizados[[#This Row],[Subcuenta]],Tabla11[Cuenta],Tabla11[Descripción],0)),0)</f>
        <v xml:space="preserve"> 0</v>
      </c>
      <c r="AB87" s="1">
        <f>IFERROR((VALUE(LEFT(Regcontabilizados[[#This Row],[Subcuenta]],2))&amp;" "&amp;_xlfn.XLOOKUP((VALUE(LEFT(Regcontabilizados[[#This Row],[Subcuenta]],2))),Tabla11[Cuenta],Tabla11[Descripción],0)),0)</f>
        <v>0</v>
      </c>
      <c r="AC87" s="1">
        <f>IFERROR((VALUE(LEFT(Regcontabilizados[[#This Row],[Subcuenta]],4))&amp;" "&amp;_xlfn.XLOOKUP((VALUE(LEFT(Regcontabilizados[[#This Row],[Subcuenta]],4))),Tabla11[Cuenta],Tabla11[Descripción],0)),0)</f>
        <v>0</v>
      </c>
      <c r="AD87" s="1" t="str">
        <f>IF(Regcontabilizados[[#This Row],[Eliminado]]="si","",RegContabilizados2[[#This Row],[Estado de pago]])</f>
        <v>NO PAGADO</v>
      </c>
      <c r="AE87" s="1" t="str">
        <f>IF(Regcontabilizados[[#This Row],[Eliminado]]="si","",RegContabilizados2[[#This Row],[Colum. Aux. Estado]])</f>
        <v>4656566F. V.2</v>
      </c>
      <c r="AF87" s="1">
        <f>IF(Regcontabilizados[[#This Row],[Eliminado]]="si","",RegContabilizados2[[#This Row],[Número de pago]])</f>
        <v>0</v>
      </c>
      <c r="AG87" s="1" t="str">
        <f>IF(Regcontabilizados[[#This Row],[Eliminado]]="si","",RegContabilizados2[[#This Row],[Elaborado por]])</f>
        <v>Responsable no especificado</v>
      </c>
      <c r="AH87" s="1" t="str">
        <f>IF(Regcontabilizados[[#This Row],[Eliminado]]="si","",RegContabilizados2[[#This Row],[Notas]])</f>
        <v>DE CONTADO</v>
      </c>
      <c r="AI87" s="1">
        <f>IF(Regcontabilizados[[#This Row],[Eliminado]]="si","",RegContabilizados2[[#This Row],[Método de pago]])</f>
        <v>0</v>
      </c>
      <c r="AJ87" s="1">
        <f>IF(Regcontabilizados[[#This Row],[Eliminado]]="si","",RegContabilizados2[[#This Row],[Cta. Bancaria]])</f>
        <v>0</v>
      </c>
      <c r="AO87" s="31">
        <v>45993</v>
      </c>
      <c r="AP87" s="31">
        <v>45993</v>
      </c>
      <c r="AQ87" s="3" t="s">
        <v>1265</v>
      </c>
      <c r="AR87" s="3">
        <v>2</v>
      </c>
      <c r="AS87" s="1" t="s">
        <v>766</v>
      </c>
      <c r="AT87" s="1" t="s">
        <v>901</v>
      </c>
      <c r="AV87" s="3">
        <v>333333</v>
      </c>
      <c r="AW87" s="3"/>
      <c r="AX87" s="3">
        <v>0</v>
      </c>
      <c r="AY87" s="3" t="s">
        <v>1001</v>
      </c>
      <c r="AZ87" s="3" t="s">
        <v>975</v>
      </c>
      <c r="BA87" s="1">
        <v>0</v>
      </c>
      <c r="BB87" s="1">
        <v>0</v>
      </c>
      <c r="BC87" s="1" t="s">
        <v>1168</v>
      </c>
      <c r="BD87" s="1">
        <v>0</v>
      </c>
      <c r="BE87" s="1">
        <v>0</v>
      </c>
      <c r="BF87" s="1">
        <f>IFERROR((RegContabilizados2[[#This Row],[Debe]]-RegContabilizados2[[#This Row],[Haber]]),0)</f>
        <v>0</v>
      </c>
      <c r="BG87" s="1">
        <f>IFERROR((+_xlfn.XLOOKUP(RegContabilizados2[[#This Row],[Subcuenta]],Tabla11[Cuenta],Tabla11[Descripción],0)),0)</f>
        <v>0</v>
      </c>
      <c r="BH87" s="1">
        <f>IFERROR((VALUE(LEFT(RegContabilizados2[[#This Row],[Subcuenta]],2))&amp;" "&amp;_xlfn.XLOOKUP((VALUE(LEFT(RegContabilizados2[[#This Row],[Subcuenta]],2))),Tabla11[Cuenta],Tabla11[Descripción],0)),0)</f>
        <v>0</v>
      </c>
      <c r="BI87" s="1">
        <f>IFERROR((VALUE(LEFT(RegContabilizados2[[#This Row],[Subcuenta]],4))&amp;" "&amp;_xlfn.XLOOKUP((VALUE(LEFT(RegContabilizados2[[#This Row],[Subcuenta]],4))),Tabla11[Cuenta],Tabla11[Descripción],0)),0)</f>
        <v>0</v>
      </c>
      <c r="BJ87" s="1" t="str">
        <f>IFERROR((RegContabilizados2[[#This Row],[Subcuenta]]&amp;" "&amp;_xlfn.XLOOKUP(RegContabilizados2[[#This Row],[Subcuenta]],Tabla11[Cuenta],Tabla11[Descripción],0)),0)</f>
        <v xml:space="preserve"> 0</v>
      </c>
      <c r="BK87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87" s="1" t="str">
        <f>IFERROR(LEFT(RegContabilizados2[[#This Row],[Idenficador]],SEARCH("-",RegContabilizados2[[#This Row],[Idenficador]])-1),0)</f>
        <v>4656566F. V.2</v>
      </c>
      <c r="BN87" s="1" t="s">
        <v>1169</v>
      </c>
      <c r="BO87" s="1" t="s">
        <v>1220</v>
      </c>
    </row>
    <row r="88" spans="4:67">
      <c r="D88" s="31">
        <f>IF(Regcontabilizados[[#This Row],[Eliminado]]="si","",RegContabilizados2[[#This Row],[fecha Factura]])</f>
        <v>45993</v>
      </c>
      <c r="E88" s="31">
        <f>IF(Regcontabilizados[[#This Row],[Eliminado]]="si","",RegContabilizados2[[#This Row],[Fecha vencimiento]])</f>
        <v>45993</v>
      </c>
      <c r="F88" s="3" t="str">
        <f>IF(Regcontabilizados[[#This Row],[Eliminado]]="si","",RegContabilizados2[[#This Row],[Idenficador]])</f>
        <v>4656566F. V.2-7</v>
      </c>
      <c r="G88" s="3">
        <f>IF(Regcontabilizados[[#This Row],[Eliminado]]="si","",RegContabilizados2[[#This Row],[N° de factura/Pago]])</f>
        <v>2</v>
      </c>
      <c r="H88" s="1" t="str">
        <f>IF(Regcontabilizados[[#This Row],[Eliminado]]="si","",RegContabilizados2[[#This Row],[Tipo de Factura]])</f>
        <v>F. V.</v>
      </c>
      <c r="I88" s="1" t="str">
        <f>IF(Regcontabilizados[[#This Row],[Eliminado]]="si","",RegContabilizados2[[#This Row],[ID Cliente]])</f>
        <v>CLIENTE 1</v>
      </c>
      <c r="J88" s="1">
        <f>IF(Regcontabilizados[[#This Row],[Eliminado]]="si","",RegContabilizados2[[#This Row],[ESTADO DEL IVA]])</f>
        <v>0</v>
      </c>
      <c r="K88" s="3">
        <f>IF(Regcontabilizados[[#This Row],[Eliminado]]="si","",RegContabilizados2[[#This Row],[ID Proveedor]])</f>
        <v>333333</v>
      </c>
      <c r="L88" s="3">
        <f>IF(Regcontabilizados[[#This Row],[Eliminado]]="si","",RegContabilizados2[[#This Row],[Concepto]])</f>
        <v>0</v>
      </c>
      <c r="M88" s="3">
        <f>IF(Regcontabilizados[[#This Row],[Eliminado]]="si","",RegContabilizados2[[#This Row],[Categoría]])</f>
        <v>0</v>
      </c>
      <c r="N88" s="3" t="str">
        <f>IF(Regcontabilizados[[#This Row],[Eliminado]]="si","",RegContabilizados2[[#This Row],[Almacen]])</f>
        <v>Principal</v>
      </c>
      <c r="O88" s="3" t="str">
        <f>IF(Regcontabilizados[[#This Row],[Eliminado]]="si","",RegContabilizados2[[#This Row],[Tipo de movimiento]])</f>
        <v>Salida</v>
      </c>
      <c r="P88" s="1">
        <f>IF(Regcontabilizados[[#This Row],[Eliminado]]="si","",RegContabilizados2[[#This Row],[cantidad]])</f>
        <v>0</v>
      </c>
      <c r="Q88" s="1">
        <f>IF(Regcontabilizados[[#This Row],[Eliminado]]="si","",RegContabilizados2[[#This Row],[VR unitario]])</f>
        <v>0</v>
      </c>
      <c r="R88" s="1" t="str">
        <f>IF(Regcontabilizados[[#This Row],[Eliminado]]="si","",RegContabilizados2[[#This Row],[Subcuenta]])</f>
        <v/>
      </c>
      <c r="S88" s="1">
        <f>IF(Regcontabilizados[[#This Row],[Eliminado]]="si","",RegContabilizados2[[#This Row],[Debe]])</f>
        <v>0</v>
      </c>
      <c r="T88" s="1">
        <f>IF(Regcontabilizados[[#This Row],[Eliminado]]="si","",RegContabilizados2[[#This Row],[Haber]])</f>
        <v>0</v>
      </c>
      <c r="U88" s="1">
        <f>IFERROR((Regcontabilizados[[#This Row],[Debe]]-Regcontabilizados[[#This Row],[Haber]]),0)</f>
        <v>0</v>
      </c>
      <c r="V88" s="1">
        <f>IFERROR((+_xlfn.XLOOKUP(Regcontabilizados[[#This Row],[Subcuenta]],Tabla11[Cuenta],Tabla11[Descripción],0)),0)</f>
        <v>0</v>
      </c>
      <c r="W88" s="1">
        <f>IFERROR((_xlfn.XLOOKUP((VALUE(LEFT(Regcontabilizados[[#This Row],[Subcuenta]],4))),Tabla11[Cuenta],Tabla11[Descripción],0)),0)</f>
        <v>0</v>
      </c>
      <c r="X88" s="1">
        <f>IFERROR((_xlfn.XLOOKUP(Regcontabilizados[[#This Row],[Subcuenta]],Tabla11[Cuenta],Tabla11[Descripción],0)),0)</f>
        <v>0</v>
      </c>
      <c r="Y88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88" s="1" t="str">
        <f>_xlfn.XLOOKUP(Regcontabilizados[[#This Row],[Subcuenta]],Tabla11[Cuenta],Tabla11[TIPO],"")</f>
        <v/>
      </c>
      <c r="AA88" s="1" t="str">
        <f>IFERROR((Regcontabilizados[[#This Row],[Subcuenta]]&amp;" "&amp;_xlfn.XLOOKUP(Regcontabilizados[[#This Row],[Subcuenta]],Tabla11[Cuenta],Tabla11[Descripción],0)),0)</f>
        <v xml:space="preserve"> 0</v>
      </c>
      <c r="AB88" s="1">
        <f>IFERROR((VALUE(LEFT(Regcontabilizados[[#This Row],[Subcuenta]],2))&amp;" "&amp;_xlfn.XLOOKUP((VALUE(LEFT(Regcontabilizados[[#This Row],[Subcuenta]],2))),Tabla11[Cuenta],Tabla11[Descripción],0)),0)</f>
        <v>0</v>
      </c>
      <c r="AC88" s="1">
        <f>IFERROR((VALUE(LEFT(Regcontabilizados[[#This Row],[Subcuenta]],4))&amp;" "&amp;_xlfn.XLOOKUP((VALUE(LEFT(Regcontabilizados[[#This Row],[Subcuenta]],4))),Tabla11[Cuenta],Tabla11[Descripción],0)),0)</f>
        <v>0</v>
      </c>
      <c r="AD88" s="1" t="str">
        <f>IF(Regcontabilizados[[#This Row],[Eliminado]]="si","",RegContabilizados2[[#This Row],[Estado de pago]])</f>
        <v>NO PAGADO</v>
      </c>
      <c r="AE88" s="1" t="str">
        <f>IF(Regcontabilizados[[#This Row],[Eliminado]]="si","",RegContabilizados2[[#This Row],[Colum. Aux. Estado]])</f>
        <v>4656566F. V.2</v>
      </c>
      <c r="AF88" s="1">
        <f>IF(Regcontabilizados[[#This Row],[Eliminado]]="si","",RegContabilizados2[[#This Row],[Número de pago]])</f>
        <v>0</v>
      </c>
      <c r="AG88" s="1" t="str">
        <f>IF(Regcontabilizados[[#This Row],[Eliminado]]="si","",RegContabilizados2[[#This Row],[Elaborado por]])</f>
        <v>Responsable no especificado</v>
      </c>
      <c r="AH88" s="1" t="str">
        <f>IF(Regcontabilizados[[#This Row],[Eliminado]]="si","",RegContabilizados2[[#This Row],[Notas]])</f>
        <v>DE CONTADO</v>
      </c>
      <c r="AI88" s="1">
        <f>IF(Regcontabilizados[[#This Row],[Eliminado]]="si","",RegContabilizados2[[#This Row],[Método de pago]])</f>
        <v>0</v>
      </c>
      <c r="AJ88" s="1">
        <f>IF(Regcontabilizados[[#This Row],[Eliminado]]="si","",RegContabilizados2[[#This Row],[Cta. Bancaria]])</f>
        <v>0</v>
      </c>
      <c r="AO88" s="31">
        <v>45993</v>
      </c>
      <c r="AP88" s="31">
        <v>45993</v>
      </c>
      <c r="AQ88" s="3" t="s">
        <v>1266</v>
      </c>
      <c r="AR88" s="3">
        <v>2</v>
      </c>
      <c r="AS88" s="1" t="s">
        <v>766</v>
      </c>
      <c r="AT88" s="1" t="s">
        <v>901</v>
      </c>
      <c r="AV88" s="3">
        <v>333333</v>
      </c>
      <c r="AW88" s="3"/>
      <c r="AX88" s="3">
        <v>0</v>
      </c>
      <c r="AY88" s="3" t="s">
        <v>1001</v>
      </c>
      <c r="AZ88" s="3" t="s">
        <v>975</v>
      </c>
      <c r="BA88" s="1">
        <v>0</v>
      </c>
      <c r="BB88" s="1">
        <v>0</v>
      </c>
      <c r="BC88" s="1" t="s">
        <v>1168</v>
      </c>
      <c r="BD88" s="1">
        <v>0</v>
      </c>
      <c r="BE88" s="1">
        <v>0</v>
      </c>
      <c r="BF88" s="1">
        <f>IFERROR((RegContabilizados2[[#This Row],[Debe]]-RegContabilizados2[[#This Row],[Haber]]),0)</f>
        <v>0</v>
      </c>
      <c r="BG88" s="1">
        <f>IFERROR((+_xlfn.XLOOKUP(RegContabilizados2[[#This Row],[Subcuenta]],Tabla11[Cuenta],Tabla11[Descripción],0)),0)</f>
        <v>0</v>
      </c>
      <c r="BH88" s="1">
        <f>IFERROR((VALUE(LEFT(RegContabilizados2[[#This Row],[Subcuenta]],2))&amp;" "&amp;_xlfn.XLOOKUP((VALUE(LEFT(RegContabilizados2[[#This Row],[Subcuenta]],2))),Tabla11[Cuenta],Tabla11[Descripción],0)),0)</f>
        <v>0</v>
      </c>
      <c r="BI88" s="1">
        <f>IFERROR((VALUE(LEFT(RegContabilizados2[[#This Row],[Subcuenta]],4))&amp;" "&amp;_xlfn.XLOOKUP((VALUE(LEFT(RegContabilizados2[[#This Row],[Subcuenta]],4))),Tabla11[Cuenta],Tabla11[Descripción],0)),0)</f>
        <v>0</v>
      </c>
      <c r="BJ88" s="1" t="str">
        <f>IFERROR((RegContabilizados2[[#This Row],[Subcuenta]]&amp;" "&amp;_xlfn.XLOOKUP(RegContabilizados2[[#This Row],[Subcuenta]],Tabla11[Cuenta],Tabla11[Descripción],0)),0)</f>
        <v xml:space="preserve"> 0</v>
      </c>
      <c r="BK88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88" s="1" t="str">
        <f>IFERROR(LEFT(RegContabilizados2[[#This Row],[Idenficador]],SEARCH("-",RegContabilizados2[[#This Row],[Idenficador]])-1),0)</f>
        <v>4656566F. V.2</v>
      </c>
      <c r="BN88" s="1" t="s">
        <v>1169</v>
      </c>
      <c r="BO88" s="1" t="s">
        <v>1220</v>
      </c>
    </row>
    <row r="89" spans="4:67">
      <c r="D89" s="31">
        <f>IF(Regcontabilizados[[#This Row],[Eliminado]]="si","",RegContabilizados2[[#This Row],[fecha Factura]])</f>
        <v>45993</v>
      </c>
      <c r="E89" s="31">
        <f>IF(Regcontabilizados[[#This Row],[Eliminado]]="si","",RegContabilizados2[[#This Row],[Fecha vencimiento]])</f>
        <v>45993</v>
      </c>
      <c r="F89" s="3" t="str">
        <f>IF(Regcontabilizados[[#This Row],[Eliminado]]="si","",RegContabilizados2[[#This Row],[Idenficador]])</f>
        <v>4656566F. V.2-8</v>
      </c>
      <c r="G89" s="3">
        <f>IF(Regcontabilizados[[#This Row],[Eliminado]]="si","",RegContabilizados2[[#This Row],[N° de factura/Pago]])</f>
        <v>2</v>
      </c>
      <c r="H89" s="1" t="str">
        <f>IF(Regcontabilizados[[#This Row],[Eliminado]]="si","",RegContabilizados2[[#This Row],[Tipo de Factura]])</f>
        <v>F. V.</v>
      </c>
      <c r="I89" s="1" t="str">
        <f>IF(Regcontabilizados[[#This Row],[Eliminado]]="si","",RegContabilizados2[[#This Row],[ID Cliente]])</f>
        <v>CLIENTE 1</v>
      </c>
      <c r="J89" s="1">
        <f>IF(Regcontabilizados[[#This Row],[Eliminado]]="si","",RegContabilizados2[[#This Row],[ESTADO DEL IVA]])</f>
        <v>0</v>
      </c>
      <c r="K89" s="3">
        <f>IF(Regcontabilizados[[#This Row],[Eliminado]]="si","",RegContabilizados2[[#This Row],[ID Proveedor]])</f>
        <v>333333</v>
      </c>
      <c r="L89" s="3">
        <f>IF(Regcontabilizados[[#This Row],[Eliminado]]="si","",RegContabilizados2[[#This Row],[Concepto]])</f>
        <v>0</v>
      </c>
      <c r="M89" s="3">
        <f>IF(Regcontabilizados[[#This Row],[Eliminado]]="si","",RegContabilizados2[[#This Row],[Categoría]])</f>
        <v>0</v>
      </c>
      <c r="N89" s="3" t="str">
        <f>IF(Regcontabilizados[[#This Row],[Eliminado]]="si","",RegContabilizados2[[#This Row],[Almacen]])</f>
        <v>Principal</v>
      </c>
      <c r="O89" s="3" t="str">
        <f>IF(Regcontabilizados[[#This Row],[Eliminado]]="si","",RegContabilizados2[[#This Row],[Tipo de movimiento]])</f>
        <v>Salida</v>
      </c>
      <c r="P89" s="1">
        <f>IF(Regcontabilizados[[#This Row],[Eliminado]]="si","",RegContabilizados2[[#This Row],[cantidad]])</f>
        <v>0</v>
      </c>
      <c r="Q89" s="1">
        <f>IF(Regcontabilizados[[#This Row],[Eliminado]]="si","",RegContabilizados2[[#This Row],[VR unitario]])</f>
        <v>0</v>
      </c>
      <c r="R89" s="1" t="str">
        <f>IF(Regcontabilizados[[#This Row],[Eliminado]]="si","",RegContabilizados2[[#This Row],[Subcuenta]])</f>
        <v/>
      </c>
      <c r="S89" s="1">
        <f>IF(Regcontabilizados[[#This Row],[Eliminado]]="si","",RegContabilizados2[[#This Row],[Debe]])</f>
        <v>0</v>
      </c>
      <c r="T89" s="1">
        <f>IF(Regcontabilizados[[#This Row],[Eliminado]]="si","",RegContabilizados2[[#This Row],[Haber]])</f>
        <v>0</v>
      </c>
      <c r="U89" s="1">
        <f>IFERROR((Regcontabilizados[[#This Row],[Debe]]-Regcontabilizados[[#This Row],[Haber]]),0)</f>
        <v>0</v>
      </c>
      <c r="V89" s="1">
        <f>IFERROR((+_xlfn.XLOOKUP(Regcontabilizados[[#This Row],[Subcuenta]],Tabla11[Cuenta],Tabla11[Descripción],0)),0)</f>
        <v>0</v>
      </c>
      <c r="W89" s="1">
        <f>IFERROR((_xlfn.XLOOKUP((VALUE(LEFT(Regcontabilizados[[#This Row],[Subcuenta]],4))),Tabla11[Cuenta],Tabla11[Descripción],0)),0)</f>
        <v>0</v>
      </c>
      <c r="X89" s="1">
        <f>IFERROR((_xlfn.XLOOKUP(Regcontabilizados[[#This Row],[Subcuenta]],Tabla11[Cuenta],Tabla11[Descripción],0)),0)</f>
        <v>0</v>
      </c>
      <c r="Y89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89" s="1" t="str">
        <f>_xlfn.XLOOKUP(Regcontabilizados[[#This Row],[Subcuenta]],Tabla11[Cuenta],Tabla11[TIPO],"")</f>
        <v/>
      </c>
      <c r="AA89" s="1" t="str">
        <f>IFERROR((Regcontabilizados[[#This Row],[Subcuenta]]&amp;" "&amp;_xlfn.XLOOKUP(Regcontabilizados[[#This Row],[Subcuenta]],Tabla11[Cuenta],Tabla11[Descripción],0)),0)</f>
        <v xml:space="preserve"> 0</v>
      </c>
      <c r="AB89" s="1">
        <f>IFERROR((VALUE(LEFT(Regcontabilizados[[#This Row],[Subcuenta]],2))&amp;" "&amp;_xlfn.XLOOKUP((VALUE(LEFT(Regcontabilizados[[#This Row],[Subcuenta]],2))),Tabla11[Cuenta],Tabla11[Descripción],0)),0)</f>
        <v>0</v>
      </c>
      <c r="AC89" s="1">
        <f>IFERROR((VALUE(LEFT(Regcontabilizados[[#This Row],[Subcuenta]],4))&amp;" "&amp;_xlfn.XLOOKUP((VALUE(LEFT(Regcontabilizados[[#This Row],[Subcuenta]],4))),Tabla11[Cuenta],Tabla11[Descripción],0)),0)</f>
        <v>0</v>
      </c>
      <c r="AD89" s="1" t="str">
        <f>IF(Regcontabilizados[[#This Row],[Eliminado]]="si","",RegContabilizados2[[#This Row],[Estado de pago]])</f>
        <v>NO PAGADO</v>
      </c>
      <c r="AE89" s="1" t="str">
        <f>IF(Regcontabilizados[[#This Row],[Eliminado]]="si","",RegContabilizados2[[#This Row],[Colum. Aux. Estado]])</f>
        <v>4656566F. V.2</v>
      </c>
      <c r="AF89" s="1">
        <f>IF(Regcontabilizados[[#This Row],[Eliminado]]="si","",RegContabilizados2[[#This Row],[Número de pago]])</f>
        <v>0</v>
      </c>
      <c r="AG89" s="1" t="str">
        <f>IF(Regcontabilizados[[#This Row],[Eliminado]]="si","",RegContabilizados2[[#This Row],[Elaborado por]])</f>
        <v>Responsable no especificado</v>
      </c>
      <c r="AH89" s="1" t="str">
        <f>IF(Regcontabilizados[[#This Row],[Eliminado]]="si","",RegContabilizados2[[#This Row],[Notas]])</f>
        <v>DE CONTADO</v>
      </c>
      <c r="AI89" s="1">
        <f>IF(Regcontabilizados[[#This Row],[Eliminado]]="si","",RegContabilizados2[[#This Row],[Método de pago]])</f>
        <v>0</v>
      </c>
      <c r="AJ89" s="1">
        <f>IF(Regcontabilizados[[#This Row],[Eliminado]]="si","",RegContabilizados2[[#This Row],[Cta. Bancaria]])</f>
        <v>0</v>
      </c>
      <c r="AO89" s="31">
        <v>45993</v>
      </c>
      <c r="AP89" s="31">
        <v>45993</v>
      </c>
      <c r="AQ89" s="3" t="s">
        <v>1267</v>
      </c>
      <c r="AR89" s="3">
        <v>2</v>
      </c>
      <c r="AS89" s="1" t="s">
        <v>766</v>
      </c>
      <c r="AT89" s="1" t="s">
        <v>901</v>
      </c>
      <c r="AV89" s="3">
        <v>333333</v>
      </c>
      <c r="AW89" s="3"/>
      <c r="AX89" s="3">
        <v>0</v>
      </c>
      <c r="AY89" s="3" t="s">
        <v>1001</v>
      </c>
      <c r="AZ89" s="3" t="s">
        <v>975</v>
      </c>
      <c r="BA89" s="1">
        <v>0</v>
      </c>
      <c r="BB89" s="1">
        <v>0</v>
      </c>
      <c r="BC89" s="1" t="s">
        <v>1168</v>
      </c>
      <c r="BD89" s="1">
        <v>0</v>
      </c>
      <c r="BE89" s="1">
        <v>0</v>
      </c>
      <c r="BF89" s="1">
        <f>IFERROR((RegContabilizados2[[#This Row],[Debe]]-RegContabilizados2[[#This Row],[Haber]]),0)</f>
        <v>0</v>
      </c>
      <c r="BG89" s="1">
        <f>IFERROR((+_xlfn.XLOOKUP(RegContabilizados2[[#This Row],[Subcuenta]],Tabla11[Cuenta],Tabla11[Descripción],0)),0)</f>
        <v>0</v>
      </c>
      <c r="BH89" s="1">
        <f>IFERROR((VALUE(LEFT(RegContabilizados2[[#This Row],[Subcuenta]],2))&amp;" "&amp;_xlfn.XLOOKUP((VALUE(LEFT(RegContabilizados2[[#This Row],[Subcuenta]],2))),Tabla11[Cuenta],Tabla11[Descripción],0)),0)</f>
        <v>0</v>
      </c>
      <c r="BI89" s="1">
        <f>IFERROR((VALUE(LEFT(RegContabilizados2[[#This Row],[Subcuenta]],4))&amp;" "&amp;_xlfn.XLOOKUP((VALUE(LEFT(RegContabilizados2[[#This Row],[Subcuenta]],4))),Tabla11[Cuenta],Tabla11[Descripción],0)),0)</f>
        <v>0</v>
      </c>
      <c r="BJ89" s="1" t="str">
        <f>IFERROR((RegContabilizados2[[#This Row],[Subcuenta]]&amp;" "&amp;_xlfn.XLOOKUP(RegContabilizados2[[#This Row],[Subcuenta]],Tabla11[Cuenta],Tabla11[Descripción],0)),0)</f>
        <v xml:space="preserve"> 0</v>
      </c>
      <c r="BK89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89" s="1" t="str">
        <f>IFERROR(LEFT(RegContabilizados2[[#This Row],[Idenficador]],SEARCH("-",RegContabilizados2[[#This Row],[Idenficador]])-1),0)</f>
        <v>4656566F. V.2</v>
      </c>
      <c r="BN89" s="1" t="s">
        <v>1169</v>
      </c>
      <c r="BO89" s="1" t="s">
        <v>1220</v>
      </c>
    </row>
    <row r="90" spans="4:67">
      <c r="D90" s="31">
        <f>IF(Regcontabilizados[[#This Row],[Eliminado]]="si","",RegContabilizados2[[#This Row],[fecha Factura]])</f>
        <v>45993</v>
      </c>
      <c r="E90" s="31">
        <f>IF(Regcontabilizados[[#This Row],[Eliminado]]="si","",RegContabilizados2[[#This Row],[Fecha vencimiento]])</f>
        <v>45993</v>
      </c>
      <c r="F90" s="3" t="str">
        <f>IF(Regcontabilizados[[#This Row],[Eliminado]]="si","",RegContabilizados2[[#This Row],[Idenficador]])</f>
        <v>4656566F. V.2-9</v>
      </c>
      <c r="G90" s="3">
        <f>IF(Regcontabilizados[[#This Row],[Eliminado]]="si","",RegContabilizados2[[#This Row],[N° de factura/Pago]])</f>
        <v>2</v>
      </c>
      <c r="H90" s="1" t="str">
        <f>IF(Regcontabilizados[[#This Row],[Eliminado]]="si","",RegContabilizados2[[#This Row],[Tipo de Factura]])</f>
        <v>F. V.</v>
      </c>
      <c r="I90" s="1" t="str">
        <f>IF(Regcontabilizados[[#This Row],[Eliminado]]="si","",RegContabilizados2[[#This Row],[ID Cliente]])</f>
        <v>CLIENTE 1</v>
      </c>
      <c r="J90" s="1">
        <f>IF(Regcontabilizados[[#This Row],[Eliminado]]="si","",RegContabilizados2[[#This Row],[ESTADO DEL IVA]])</f>
        <v>0</v>
      </c>
      <c r="K90" s="3">
        <f>IF(Regcontabilizados[[#This Row],[Eliminado]]="si","",RegContabilizados2[[#This Row],[ID Proveedor]])</f>
        <v>333333</v>
      </c>
      <c r="L90" s="3">
        <f>IF(Regcontabilizados[[#This Row],[Eliminado]]="si","",RegContabilizados2[[#This Row],[Concepto]])</f>
        <v>0</v>
      </c>
      <c r="M90" s="3">
        <f>IF(Regcontabilizados[[#This Row],[Eliminado]]="si","",RegContabilizados2[[#This Row],[Categoría]])</f>
        <v>0</v>
      </c>
      <c r="N90" s="3" t="str">
        <f>IF(Regcontabilizados[[#This Row],[Eliminado]]="si","",RegContabilizados2[[#This Row],[Almacen]])</f>
        <v>Principal</v>
      </c>
      <c r="O90" s="3" t="str">
        <f>IF(Regcontabilizados[[#This Row],[Eliminado]]="si","",RegContabilizados2[[#This Row],[Tipo de movimiento]])</f>
        <v>Salida</v>
      </c>
      <c r="P90" s="1">
        <f>IF(Regcontabilizados[[#This Row],[Eliminado]]="si","",RegContabilizados2[[#This Row],[cantidad]])</f>
        <v>0</v>
      </c>
      <c r="Q90" s="1">
        <f>IF(Regcontabilizados[[#This Row],[Eliminado]]="si","",RegContabilizados2[[#This Row],[VR unitario]])</f>
        <v>0</v>
      </c>
      <c r="R90" s="1" t="str">
        <f>IF(Regcontabilizados[[#This Row],[Eliminado]]="si","",RegContabilizados2[[#This Row],[Subcuenta]])</f>
        <v/>
      </c>
      <c r="S90" s="1">
        <f>IF(Regcontabilizados[[#This Row],[Eliminado]]="si","",RegContabilizados2[[#This Row],[Debe]])</f>
        <v>0</v>
      </c>
      <c r="T90" s="1">
        <f>IF(Regcontabilizados[[#This Row],[Eliminado]]="si","",RegContabilizados2[[#This Row],[Haber]])</f>
        <v>0</v>
      </c>
      <c r="U90" s="1">
        <f>IFERROR((Regcontabilizados[[#This Row],[Debe]]-Regcontabilizados[[#This Row],[Haber]]),0)</f>
        <v>0</v>
      </c>
      <c r="V90" s="1">
        <f>IFERROR((+_xlfn.XLOOKUP(Regcontabilizados[[#This Row],[Subcuenta]],Tabla11[Cuenta],Tabla11[Descripción],0)),0)</f>
        <v>0</v>
      </c>
      <c r="W90" s="1">
        <f>IFERROR((_xlfn.XLOOKUP((VALUE(LEFT(Regcontabilizados[[#This Row],[Subcuenta]],4))),Tabla11[Cuenta],Tabla11[Descripción],0)),0)</f>
        <v>0</v>
      </c>
      <c r="X90" s="1">
        <f>IFERROR((_xlfn.XLOOKUP(Regcontabilizados[[#This Row],[Subcuenta]],Tabla11[Cuenta],Tabla11[Descripción],0)),0)</f>
        <v>0</v>
      </c>
      <c r="Y90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90" s="1" t="str">
        <f>_xlfn.XLOOKUP(Regcontabilizados[[#This Row],[Subcuenta]],Tabla11[Cuenta],Tabla11[TIPO],"")</f>
        <v/>
      </c>
      <c r="AA90" s="1" t="str">
        <f>IFERROR((Regcontabilizados[[#This Row],[Subcuenta]]&amp;" "&amp;_xlfn.XLOOKUP(Regcontabilizados[[#This Row],[Subcuenta]],Tabla11[Cuenta],Tabla11[Descripción],0)),0)</f>
        <v xml:space="preserve"> 0</v>
      </c>
      <c r="AB90" s="1">
        <f>IFERROR((VALUE(LEFT(Regcontabilizados[[#This Row],[Subcuenta]],2))&amp;" "&amp;_xlfn.XLOOKUP((VALUE(LEFT(Regcontabilizados[[#This Row],[Subcuenta]],2))),Tabla11[Cuenta],Tabla11[Descripción],0)),0)</f>
        <v>0</v>
      </c>
      <c r="AC90" s="1">
        <f>IFERROR((VALUE(LEFT(Regcontabilizados[[#This Row],[Subcuenta]],4))&amp;" "&amp;_xlfn.XLOOKUP((VALUE(LEFT(Regcontabilizados[[#This Row],[Subcuenta]],4))),Tabla11[Cuenta],Tabla11[Descripción],0)),0)</f>
        <v>0</v>
      </c>
      <c r="AD90" s="1" t="str">
        <f>IF(Regcontabilizados[[#This Row],[Eliminado]]="si","",RegContabilizados2[[#This Row],[Estado de pago]])</f>
        <v>NO PAGADO</v>
      </c>
      <c r="AE90" s="1" t="str">
        <f>IF(Regcontabilizados[[#This Row],[Eliminado]]="si","",RegContabilizados2[[#This Row],[Colum. Aux. Estado]])</f>
        <v>4656566F. V.2</v>
      </c>
      <c r="AF90" s="1">
        <f>IF(Regcontabilizados[[#This Row],[Eliminado]]="si","",RegContabilizados2[[#This Row],[Número de pago]])</f>
        <v>0</v>
      </c>
      <c r="AG90" s="1" t="str">
        <f>IF(Regcontabilizados[[#This Row],[Eliminado]]="si","",RegContabilizados2[[#This Row],[Elaborado por]])</f>
        <v>Responsable no especificado</v>
      </c>
      <c r="AH90" s="1" t="str">
        <f>IF(Regcontabilizados[[#This Row],[Eliminado]]="si","",RegContabilizados2[[#This Row],[Notas]])</f>
        <v>DE CONTADO</v>
      </c>
      <c r="AI90" s="1">
        <f>IF(Regcontabilizados[[#This Row],[Eliminado]]="si","",RegContabilizados2[[#This Row],[Método de pago]])</f>
        <v>0</v>
      </c>
      <c r="AJ90" s="1">
        <f>IF(Regcontabilizados[[#This Row],[Eliminado]]="si","",RegContabilizados2[[#This Row],[Cta. Bancaria]])</f>
        <v>0</v>
      </c>
      <c r="AO90" s="31">
        <v>45993</v>
      </c>
      <c r="AP90" s="31">
        <v>45993</v>
      </c>
      <c r="AQ90" s="3" t="s">
        <v>1268</v>
      </c>
      <c r="AR90" s="3">
        <v>2</v>
      </c>
      <c r="AS90" s="1" t="s">
        <v>766</v>
      </c>
      <c r="AT90" s="1" t="s">
        <v>901</v>
      </c>
      <c r="AV90" s="3">
        <v>333333</v>
      </c>
      <c r="AW90" s="3"/>
      <c r="AX90" s="3">
        <v>0</v>
      </c>
      <c r="AY90" s="3" t="s">
        <v>1001</v>
      </c>
      <c r="AZ90" s="3" t="s">
        <v>975</v>
      </c>
      <c r="BA90" s="1">
        <v>0</v>
      </c>
      <c r="BB90" s="1">
        <v>0</v>
      </c>
      <c r="BC90" s="1" t="s">
        <v>1168</v>
      </c>
      <c r="BD90" s="1">
        <v>0</v>
      </c>
      <c r="BE90" s="1">
        <v>0</v>
      </c>
      <c r="BF90" s="1">
        <f>IFERROR((RegContabilizados2[[#This Row],[Debe]]-RegContabilizados2[[#This Row],[Haber]]),0)</f>
        <v>0</v>
      </c>
      <c r="BG90" s="1">
        <f>IFERROR((+_xlfn.XLOOKUP(RegContabilizados2[[#This Row],[Subcuenta]],Tabla11[Cuenta],Tabla11[Descripción],0)),0)</f>
        <v>0</v>
      </c>
      <c r="BH90" s="1">
        <f>IFERROR((VALUE(LEFT(RegContabilizados2[[#This Row],[Subcuenta]],2))&amp;" "&amp;_xlfn.XLOOKUP((VALUE(LEFT(RegContabilizados2[[#This Row],[Subcuenta]],2))),Tabla11[Cuenta],Tabla11[Descripción],0)),0)</f>
        <v>0</v>
      </c>
      <c r="BI90" s="1">
        <f>IFERROR((VALUE(LEFT(RegContabilizados2[[#This Row],[Subcuenta]],4))&amp;" "&amp;_xlfn.XLOOKUP((VALUE(LEFT(RegContabilizados2[[#This Row],[Subcuenta]],4))),Tabla11[Cuenta],Tabla11[Descripción],0)),0)</f>
        <v>0</v>
      </c>
      <c r="BJ90" s="1" t="str">
        <f>IFERROR((RegContabilizados2[[#This Row],[Subcuenta]]&amp;" "&amp;_xlfn.XLOOKUP(RegContabilizados2[[#This Row],[Subcuenta]],Tabla11[Cuenta],Tabla11[Descripción],0)),0)</f>
        <v xml:space="preserve"> 0</v>
      </c>
      <c r="BK90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90" s="1" t="str">
        <f>IFERROR(LEFT(RegContabilizados2[[#This Row],[Idenficador]],SEARCH("-",RegContabilizados2[[#This Row],[Idenficador]])-1),0)</f>
        <v>4656566F. V.2</v>
      </c>
      <c r="BN90" s="1" t="s">
        <v>1169</v>
      </c>
      <c r="BO90" s="1" t="s">
        <v>1220</v>
      </c>
    </row>
    <row r="91" spans="4:67">
      <c r="D91" s="31">
        <f>IF(Regcontabilizados[[#This Row],[Eliminado]]="si","",RegContabilizados2[[#This Row],[fecha Factura]])</f>
        <v>45993</v>
      </c>
      <c r="E91" s="31">
        <f>IF(Regcontabilizados[[#This Row],[Eliminado]]="si","",RegContabilizados2[[#This Row],[Fecha vencimiento]])</f>
        <v>45993</v>
      </c>
      <c r="F91" s="3" t="str">
        <f>IF(Regcontabilizados[[#This Row],[Eliminado]]="si","",RegContabilizados2[[#This Row],[Idenficador]])</f>
        <v>4656566F. V.2-10</v>
      </c>
      <c r="G91" s="3">
        <f>IF(Regcontabilizados[[#This Row],[Eliminado]]="si","",RegContabilizados2[[#This Row],[N° de factura/Pago]])</f>
        <v>2</v>
      </c>
      <c r="H91" s="1" t="str">
        <f>IF(Regcontabilizados[[#This Row],[Eliminado]]="si","",RegContabilizados2[[#This Row],[Tipo de Factura]])</f>
        <v>F. V.</v>
      </c>
      <c r="I91" s="1" t="str">
        <f>IF(Regcontabilizados[[#This Row],[Eliminado]]="si","",RegContabilizados2[[#This Row],[ID Cliente]])</f>
        <v>CLIENTE 1</v>
      </c>
      <c r="J91" s="1">
        <f>IF(Regcontabilizados[[#This Row],[Eliminado]]="si","",RegContabilizados2[[#This Row],[ESTADO DEL IVA]])</f>
        <v>0</v>
      </c>
      <c r="K91" s="3">
        <f>IF(Regcontabilizados[[#This Row],[Eliminado]]="si","",RegContabilizados2[[#This Row],[ID Proveedor]])</f>
        <v>333333</v>
      </c>
      <c r="L91" s="3">
        <f>IF(Regcontabilizados[[#This Row],[Eliminado]]="si","",RegContabilizados2[[#This Row],[Concepto]])</f>
        <v>0</v>
      </c>
      <c r="M91" s="3">
        <f>IF(Regcontabilizados[[#This Row],[Eliminado]]="si","",RegContabilizados2[[#This Row],[Categoría]])</f>
        <v>0</v>
      </c>
      <c r="N91" s="3" t="str">
        <f>IF(Regcontabilizados[[#This Row],[Eliminado]]="si","",RegContabilizados2[[#This Row],[Almacen]])</f>
        <v>Principal</v>
      </c>
      <c r="O91" s="3" t="str">
        <f>IF(Regcontabilizados[[#This Row],[Eliminado]]="si","",RegContabilizados2[[#This Row],[Tipo de movimiento]])</f>
        <v>Salida</v>
      </c>
      <c r="P91" s="1">
        <f>IF(Regcontabilizados[[#This Row],[Eliminado]]="si","",RegContabilizados2[[#This Row],[cantidad]])</f>
        <v>1</v>
      </c>
      <c r="Q91" s="1">
        <f>IF(Regcontabilizados[[#This Row],[Eliminado]]="si","",RegContabilizados2[[#This Row],[VR unitario]])</f>
        <v>0</v>
      </c>
      <c r="R91" s="1">
        <f>IF(Regcontabilizados[[#This Row],[Eliminado]]="si","",RegContabilizados2[[#This Row],[Subcuenta]])</f>
        <v>413524</v>
      </c>
      <c r="S91" s="1">
        <f>IF(Regcontabilizados[[#This Row],[Eliminado]]="si","",RegContabilizados2[[#This Row],[Debe]])</f>
        <v>0</v>
      </c>
      <c r="T91" s="1">
        <f>IF(Regcontabilizados[[#This Row],[Eliminado]]="si","",RegContabilizados2[[#This Row],[Haber]])</f>
        <v>50000</v>
      </c>
      <c r="U91" s="1">
        <f>IFERROR((Regcontabilizados[[#This Row],[Debe]]-Regcontabilizados[[#This Row],[Haber]]),0)</f>
        <v>-50000</v>
      </c>
      <c r="V91" s="1" t="str">
        <f>IFERROR((+_xlfn.XLOOKUP(Regcontabilizados[[#This Row],[Subcuenta]],Tabla11[Cuenta],Tabla11[Descripción],0)),0)</f>
        <v>Venta de productos textiles, de vestir, de cuero y calzado</v>
      </c>
      <c r="W91" s="1" t="str">
        <f>IFERROR((_xlfn.XLOOKUP((VALUE(LEFT(Regcontabilizados[[#This Row],[Subcuenta]],4))),Tabla11[Cuenta],Tabla11[Descripción],0)),0)</f>
        <v>COMERCIO AL POR MAYOR Y AL POR MENOR</v>
      </c>
      <c r="X91" s="1" t="str">
        <f>IFERROR((_xlfn.XLOOKUP(Regcontabilizados[[#This Row],[Subcuenta]],Tabla11[Cuenta],Tabla11[Descripción],0)),0)</f>
        <v>Venta de productos textiles, de vestir, de cuero y calzado</v>
      </c>
      <c r="Y91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91" s="1" t="str">
        <f>_xlfn.XLOOKUP(Regcontabilizados[[#This Row],[Subcuenta]],Tabla11[Cuenta],Tabla11[TIPO],"")</f>
        <v>Ingresos</v>
      </c>
      <c r="AA91" s="1" t="str">
        <f>IFERROR((Regcontabilizados[[#This Row],[Subcuenta]]&amp;" "&amp;_xlfn.XLOOKUP(Regcontabilizados[[#This Row],[Subcuenta]],Tabla11[Cuenta],Tabla11[Descripción],0)),0)</f>
        <v>413524 Venta de productos textiles, de vestir, de cuero y calzado</v>
      </c>
      <c r="AB91" s="1" t="str">
        <f>IFERROR((VALUE(LEFT(Regcontabilizados[[#This Row],[Subcuenta]],2))&amp;" "&amp;_xlfn.XLOOKUP((VALUE(LEFT(Regcontabilizados[[#This Row],[Subcuenta]],2))),Tabla11[Cuenta],Tabla11[Descripción],0)),0)</f>
        <v>41 OPERACIONALES</v>
      </c>
      <c r="AC91" s="1" t="str">
        <f>IFERROR((VALUE(LEFT(Regcontabilizados[[#This Row],[Subcuenta]],4))&amp;" "&amp;_xlfn.XLOOKUP((VALUE(LEFT(Regcontabilizados[[#This Row],[Subcuenta]],4))),Tabla11[Cuenta],Tabla11[Descripción],0)),0)</f>
        <v>4135 COMERCIO AL POR MAYOR Y AL POR MENOR</v>
      </c>
      <c r="AD91" s="1" t="str">
        <f>IF(Regcontabilizados[[#This Row],[Eliminado]]="si","",RegContabilizados2[[#This Row],[Estado de pago]])</f>
        <v>NO PAGADO</v>
      </c>
      <c r="AE91" s="1" t="str">
        <f>IF(Regcontabilizados[[#This Row],[Eliminado]]="si","",RegContabilizados2[[#This Row],[Colum. Aux. Estado]])</f>
        <v>4656566F. V.2</v>
      </c>
      <c r="AF91" s="1">
        <f>IF(Regcontabilizados[[#This Row],[Eliminado]]="si","",RegContabilizados2[[#This Row],[Número de pago]])</f>
        <v>0</v>
      </c>
      <c r="AG91" s="1" t="str">
        <f>IF(Regcontabilizados[[#This Row],[Eliminado]]="si","",RegContabilizados2[[#This Row],[Elaborado por]])</f>
        <v>Responsable no especificado</v>
      </c>
      <c r="AH91" s="1" t="str">
        <f>IF(Regcontabilizados[[#This Row],[Eliminado]]="si","",RegContabilizados2[[#This Row],[Notas]])</f>
        <v>DE CONTADO</v>
      </c>
      <c r="AI91" s="1">
        <f>IF(Regcontabilizados[[#This Row],[Eliminado]]="si","",RegContabilizados2[[#This Row],[Método de pago]])</f>
        <v>0</v>
      </c>
      <c r="AJ91" s="1">
        <f>IF(Regcontabilizados[[#This Row],[Eliminado]]="si","",RegContabilizados2[[#This Row],[Cta. Bancaria]])</f>
        <v>0</v>
      </c>
      <c r="AO91" s="31">
        <v>45993</v>
      </c>
      <c r="AP91" s="31">
        <v>45993</v>
      </c>
      <c r="AQ91" s="3" t="s">
        <v>1269</v>
      </c>
      <c r="AR91" s="3">
        <v>2</v>
      </c>
      <c r="AS91" s="1" t="s">
        <v>766</v>
      </c>
      <c r="AT91" s="1" t="s">
        <v>901</v>
      </c>
      <c r="AV91" s="3">
        <v>333333</v>
      </c>
      <c r="AW91" s="3"/>
      <c r="AX91" s="3"/>
      <c r="AY91" s="3" t="s">
        <v>1001</v>
      </c>
      <c r="AZ91" s="3" t="s">
        <v>975</v>
      </c>
      <c r="BA91" s="1">
        <v>1</v>
      </c>
      <c r="BC91" s="1">
        <v>413524</v>
      </c>
      <c r="BD91" s="1">
        <v>0</v>
      </c>
      <c r="BE91" s="1">
        <v>50000</v>
      </c>
      <c r="BF91" s="1">
        <f>IFERROR((RegContabilizados2[[#This Row],[Debe]]-RegContabilizados2[[#This Row],[Haber]]),0)</f>
        <v>-50000</v>
      </c>
      <c r="BG91" s="1" t="str">
        <f>IFERROR((+_xlfn.XLOOKUP(RegContabilizados2[[#This Row],[Subcuenta]],Tabla11[Cuenta],Tabla11[Descripción],0)),0)</f>
        <v>Venta de productos textiles, de vestir, de cuero y calzado</v>
      </c>
      <c r="BH91" s="1" t="str">
        <f>IFERROR((VALUE(LEFT(RegContabilizados2[[#This Row],[Subcuenta]],2))&amp;" "&amp;_xlfn.XLOOKUP((VALUE(LEFT(RegContabilizados2[[#This Row],[Subcuenta]],2))),Tabla11[Cuenta],Tabla11[Descripción],0)),0)</f>
        <v>41 OPERACIONALES</v>
      </c>
      <c r="BI91" s="1" t="str">
        <f>IFERROR((VALUE(LEFT(RegContabilizados2[[#This Row],[Subcuenta]],4))&amp;" "&amp;_xlfn.XLOOKUP((VALUE(LEFT(RegContabilizados2[[#This Row],[Subcuenta]],4))),Tabla11[Cuenta],Tabla11[Descripción],0)),0)</f>
        <v>4135 COMERCIO AL POR MAYOR Y AL POR MENOR</v>
      </c>
      <c r="BJ91" s="1" t="str">
        <f>IFERROR((RegContabilizados2[[#This Row],[Subcuenta]]&amp;" "&amp;_xlfn.XLOOKUP(RegContabilizados2[[#This Row],[Subcuenta]],Tabla11[Cuenta],Tabla11[Descripción],0)),0)</f>
        <v>413524 Venta de productos textiles, de vestir, de cuero y calzado</v>
      </c>
      <c r="BK91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91" s="1" t="str">
        <f>IFERROR(LEFT(RegContabilizados2[[#This Row],[Idenficador]],SEARCH("-",RegContabilizados2[[#This Row],[Idenficador]])-1),0)</f>
        <v>4656566F. V.2</v>
      </c>
      <c r="BN91" s="1" t="s">
        <v>1169</v>
      </c>
      <c r="BO91" s="1" t="s">
        <v>1220</v>
      </c>
    </row>
    <row r="92" spans="4:67">
      <c r="D92" s="31">
        <f>IF(Regcontabilizados[[#This Row],[Eliminado]]="si","",RegContabilizados2[[#This Row],[fecha Factura]])</f>
        <v>45993</v>
      </c>
      <c r="E92" s="31">
        <f>IF(Regcontabilizados[[#This Row],[Eliminado]]="si","",RegContabilizados2[[#This Row],[Fecha vencimiento]])</f>
        <v>45993</v>
      </c>
      <c r="F92" s="3" t="str">
        <f>IF(Regcontabilizados[[#This Row],[Eliminado]]="si","",RegContabilizados2[[#This Row],[Idenficador]])</f>
        <v>4656566F. V.2-IVA</v>
      </c>
      <c r="G92" s="3">
        <f>IF(Regcontabilizados[[#This Row],[Eliminado]]="si","",RegContabilizados2[[#This Row],[N° de factura/Pago]])</f>
        <v>2</v>
      </c>
      <c r="H92" s="1" t="str">
        <f>IF(Regcontabilizados[[#This Row],[Eliminado]]="si","",RegContabilizados2[[#This Row],[Tipo de Factura]])</f>
        <v>F. V.</v>
      </c>
      <c r="I92" s="1" t="str">
        <f>IF(Regcontabilizados[[#This Row],[Eliminado]]="si","",RegContabilizados2[[#This Row],[ID Cliente]])</f>
        <v>CLIENTE 1</v>
      </c>
      <c r="J92" s="1">
        <f>IF(Regcontabilizados[[#This Row],[Eliminado]]="si","",RegContabilizados2[[#This Row],[ESTADO DEL IVA]])</f>
        <v>0</v>
      </c>
      <c r="K92" s="3">
        <f>IF(Regcontabilizados[[#This Row],[Eliminado]]="si","",RegContabilizados2[[#This Row],[ID Proveedor]])</f>
        <v>333333</v>
      </c>
      <c r="L92" s="3">
        <f>IF(Regcontabilizados[[#This Row],[Eliminado]]="si","",RegContabilizados2[[#This Row],[Concepto]])</f>
        <v>0</v>
      </c>
      <c r="M92" s="3">
        <f>IF(Regcontabilizados[[#This Row],[Eliminado]]="si","",RegContabilizados2[[#This Row],[Categoría]])</f>
        <v>0</v>
      </c>
      <c r="N92" s="3" t="str">
        <f>IF(Regcontabilizados[[#This Row],[Eliminado]]="si","",RegContabilizados2[[#This Row],[Almacen]])</f>
        <v>Principal</v>
      </c>
      <c r="O92" s="3" t="str">
        <f>IF(Regcontabilizados[[#This Row],[Eliminado]]="si","",RegContabilizados2[[#This Row],[Tipo de movimiento]])</f>
        <v>Salida</v>
      </c>
      <c r="P92" s="1">
        <f>IF(Regcontabilizados[[#This Row],[Eliminado]]="si","",RegContabilizados2[[#This Row],[cantidad]])</f>
        <v>1</v>
      </c>
      <c r="Q92" s="1">
        <f>IF(Regcontabilizados[[#This Row],[Eliminado]]="si","",RegContabilizados2[[#This Row],[VR unitario]])</f>
        <v>9500</v>
      </c>
      <c r="R92" s="1">
        <f>IF(Regcontabilizados[[#This Row],[Eliminado]]="si","",RegContabilizados2[[#This Row],[Subcuenta]])</f>
        <v>240805</v>
      </c>
      <c r="S92" s="1">
        <f>IF(Regcontabilizados[[#This Row],[Eliminado]]="si","",RegContabilizados2[[#This Row],[Debe]])</f>
        <v>0</v>
      </c>
      <c r="T92" s="1">
        <f>IF(Regcontabilizados[[#This Row],[Eliminado]]="si","",RegContabilizados2[[#This Row],[Haber]])</f>
        <v>9500</v>
      </c>
      <c r="U92" s="1">
        <f>IFERROR((Regcontabilizados[[#This Row],[Debe]]-Regcontabilizados[[#This Row],[Haber]]),0)</f>
        <v>-9500</v>
      </c>
      <c r="V92" s="1" t="str">
        <f>IFERROR((+_xlfn.XLOOKUP(Regcontabilizados[[#This Row],[Subcuenta]],Tabla11[Cuenta],Tabla11[Descripción],0)),0)</f>
        <v>IMPUESTO SOBRE LAS VENTAS POR PAGAR</v>
      </c>
      <c r="W92" s="1" t="str">
        <f>IFERROR((_xlfn.XLOOKUP((VALUE(LEFT(Regcontabilizados[[#This Row],[Subcuenta]],4))),Tabla11[Cuenta],Tabla11[Descripción],0)),0)</f>
        <v>IMPUESTO SOBRE LAS VENTAS POR PAGAR</v>
      </c>
      <c r="X92" s="1" t="str">
        <f>IFERROR((_xlfn.XLOOKUP(Regcontabilizados[[#This Row],[Subcuenta]],Tabla11[Cuenta],Tabla11[Descripción],0)),0)</f>
        <v>IMPUESTO SOBRE LAS VENTAS POR PAGAR</v>
      </c>
      <c r="Y92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92" s="1" t="str">
        <f>_xlfn.XLOOKUP(Regcontabilizados[[#This Row],[Subcuenta]],Tabla11[Cuenta],Tabla11[TIPO],"")</f>
        <v>Pasivo Corriente</v>
      </c>
      <c r="AA92" s="1" t="str">
        <f>IFERROR((Regcontabilizados[[#This Row],[Subcuenta]]&amp;" "&amp;_xlfn.XLOOKUP(Regcontabilizados[[#This Row],[Subcuenta]],Tabla11[Cuenta],Tabla11[Descripción],0)),0)</f>
        <v>240805 IMPUESTO SOBRE LAS VENTAS POR PAGAR</v>
      </c>
      <c r="AB92" s="1" t="str">
        <f>IFERROR((VALUE(LEFT(Regcontabilizados[[#This Row],[Subcuenta]],2))&amp;" "&amp;_xlfn.XLOOKUP((VALUE(LEFT(Regcontabilizados[[#This Row],[Subcuenta]],2))),Tabla11[Cuenta],Tabla11[Descripción],0)),0)</f>
        <v>24 IMPUESTOS, GRAVÁMENES Y TASAS</v>
      </c>
      <c r="AC92" s="1" t="str">
        <f>IFERROR((VALUE(LEFT(Regcontabilizados[[#This Row],[Subcuenta]],4))&amp;" "&amp;_xlfn.XLOOKUP((VALUE(LEFT(Regcontabilizados[[#This Row],[Subcuenta]],4))),Tabla11[Cuenta],Tabla11[Descripción],0)),0)</f>
        <v>2408 IMPUESTO SOBRE LAS VENTAS POR PAGAR</v>
      </c>
      <c r="AD92" s="1" t="str">
        <f>IF(Regcontabilizados[[#This Row],[Eliminado]]="si","",RegContabilizados2[[#This Row],[Estado de pago]])</f>
        <v>NO PAGADO</v>
      </c>
      <c r="AE92" s="1" t="str">
        <f>IF(Regcontabilizados[[#This Row],[Eliminado]]="si","",RegContabilizados2[[#This Row],[Colum. Aux. Estado]])</f>
        <v>4656566F. V.2</v>
      </c>
      <c r="AF92" s="1">
        <f>IF(Regcontabilizados[[#This Row],[Eliminado]]="si","",RegContabilizados2[[#This Row],[Número de pago]])</f>
        <v>0</v>
      </c>
      <c r="AG92" s="1" t="str">
        <f>IF(Regcontabilizados[[#This Row],[Eliminado]]="si","",RegContabilizados2[[#This Row],[Elaborado por]])</f>
        <v>Responsable no especificado</v>
      </c>
      <c r="AH92" s="1" t="str">
        <f>IF(Regcontabilizados[[#This Row],[Eliminado]]="si","",RegContabilizados2[[#This Row],[Notas]])</f>
        <v>DE CONTADO</v>
      </c>
      <c r="AI92" s="1">
        <f>IF(Regcontabilizados[[#This Row],[Eliminado]]="si","",RegContabilizados2[[#This Row],[Método de pago]])</f>
        <v>0</v>
      </c>
      <c r="AJ92" s="1">
        <f>IF(Regcontabilizados[[#This Row],[Eliminado]]="si","",RegContabilizados2[[#This Row],[Cta. Bancaria]])</f>
        <v>0</v>
      </c>
      <c r="AO92" s="31">
        <v>45993</v>
      </c>
      <c r="AP92" s="31">
        <v>45993</v>
      </c>
      <c r="AQ92" s="3" t="s">
        <v>1270</v>
      </c>
      <c r="AR92" s="3">
        <v>2</v>
      </c>
      <c r="AS92" s="1" t="s">
        <v>766</v>
      </c>
      <c r="AT92" s="1" t="s">
        <v>901</v>
      </c>
      <c r="AV92" s="3">
        <v>333333</v>
      </c>
      <c r="AW92" s="3"/>
      <c r="AX92" s="3"/>
      <c r="AY92" s="3" t="s">
        <v>1001</v>
      </c>
      <c r="AZ92" s="3" t="s">
        <v>975</v>
      </c>
      <c r="BA92" s="1">
        <v>1</v>
      </c>
      <c r="BB92" s="1">
        <v>9500</v>
      </c>
      <c r="BC92" s="1">
        <v>240805</v>
      </c>
      <c r="BD92" s="1">
        <v>0</v>
      </c>
      <c r="BE92" s="1">
        <v>9500</v>
      </c>
      <c r="BF92" s="1">
        <f>IFERROR((RegContabilizados2[[#This Row],[Debe]]-RegContabilizados2[[#This Row],[Haber]]),0)</f>
        <v>-9500</v>
      </c>
      <c r="BG92" s="1" t="str">
        <f>IFERROR((+_xlfn.XLOOKUP(RegContabilizados2[[#This Row],[Subcuenta]],Tabla11[Cuenta],Tabla11[Descripción],0)),0)</f>
        <v>IMPUESTO SOBRE LAS VENTAS POR PAGAR</v>
      </c>
      <c r="BH92" s="1" t="str">
        <f>IFERROR((VALUE(LEFT(RegContabilizados2[[#This Row],[Subcuenta]],2))&amp;" "&amp;_xlfn.XLOOKUP((VALUE(LEFT(RegContabilizados2[[#This Row],[Subcuenta]],2))),Tabla11[Cuenta],Tabla11[Descripción],0)),0)</f>
        <v>24 IMPUESTOS, GRAVÁMENES Y TASAS</v>
      </c>
      <c r="BI92" s="1" t="str">
        <f>IFERROR((VALUE(LEFT(RegContabilizados2[[#This Row],[Subcuenta]],4))&amp;" "&amp;_xlfn.XLOOKUP((VALUE(LEFT(RegContabilizados2[[#This Row],[Subcuenta]],4))),Tabla11[Cuenta],Tabla11[Descripción],0)),0)</f>
        <v>2408 IMPUESTO SOBRE LAS VENTAS POR PAGAR</v>
      </c>
      <c r="BJ92" s="1" t="str">
        <f>IFERROR((RegContabilizados2[[#This Row],[Subcuenta]]&amp;" "&amp;_xlfn.XLOOKUP(RegContabilizados2[[#This Row],[Subcuenta]],Tabla11[Cuenta],Tabla11[Descripción],0)),0)</f>
        <v>240805 IMPUESTO SOBRE LAS VENTAS POR PAGAR</v>
      </c>
      <c r="BK92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92" s="1" t="str">
        <f>IFERROR(LEFT(RegContabilizados2[[#This Row],[Idenficador]],SEARCH("-",RegContabilizados2[[#This Row],[Idenficador]])-1),0)</f>
        <v>4656566F. V.2</v>
      </c>
      <c r="BN92" s="1" t="s">
        <v>1169</v>
      </c>
      <c r="BO92" s="1" t="s">
        <v>1220</v>
      </c>
    </row>
    <row r="93" spans="4:67">
      <c r="D93" s="31">
        <f>IF(Regcontabilizados[[#This Row],[Eliminado]]="si","",RegContabilizados2[[#This Row],[fecha Factura]])</f>
        <v>45993</v>
      </c>
      <c r="E93" s="31">
        <f>IF(Regcontabilizados[[#This Row],[Eliminado]]="si","",RegContabilizados2[[#This Row],[Fecha vencimiento]])</f>
        <v>45993</v>
      </c>
      <c r="F93" s="3" t="str">
        <f>IF(Regcontabilizados[[#This Row],[Eliminado]]="si","",RegContabilizados2[[#This Row],[Idenficador]])</f>
        <v>4656566F. V.2-INC</v>
      </c>
      <c r="G93" s="3">
        <f>IF(Regcontabilizados[[#This Row],[Eliminado]]="si","",RegContabilizados2[[#This Row],[N° de factura/Pago]])</f>
        <v>2</v>
      </c>
      <c r="H93" s="1" t="str">
        <f>IF(Regcontabilizados[[#This Row],[Eliminado]]="si","",RegContabilizados2[[#This Row],[Tipo de Factura]])</f>
        <v>F. V.</v>
      </c>
      <c r="I93" s="1" t="str">
        <f>IF(Regcontabilizados[[#This Row],[Eliminado]]="si","",RegContabilizados2[[#This Row],[ID Cliente]])</f>
        <v>CLIENTE 1</v>
      </c>
      <c r="J93" s="1">
        <f>IF(Regcontabilizados[[#This Row],[Eliminado]]="si","",RegContabilizados2[[#This Row],[ESTADO DEL IVA]])</f>
        <v>0</v>
      </c>
      <c r="K93" s="3">
        <f>IF(Regcontabilizados[[#This Row],[Eliminado]]="si","",RegContabilizados2[[#This Row],[ID Proveedor]])</f>
        <v>333333</v>
      </c>
      <c r="L93" s="3">
        <f>IF(Regcontabilizados[[#This Row],[Eliminado]]="si","",RegContabilizados2[[#This Row],[Concepto]])</f>
        <v>0</v>
      </c>
      <c r="M93" s="3">
        <f>IF(Regcontabilizados[[#This Row],[Eliminado]]="si","",RegContabilizados2[[#This Row],[Categoría]])</f>
        <v>0</v>
      </c>
      <c r="N93" s="3" t="str">
        <f>IF(Regcontabilizados[[#This Row],[Eliminado]]="si","",RegContabilizados2[[#This Row],[Almacen]])</f>
        <v>Principal</v>
      </c>
      <c r="O93" s="3" t="str">
        <f>IF(Regcontabilizados[[#This Row],[Eliminado]]="si","",RegContabilizados2[[#This Row],[Tipo de movimiento]])</f>
        <v>Salida</v>
      </c>
      <c r="P93" s="1">
        <f>IF(Regcontabilizados[[#This Row],[Eliminado]]="si","",RegContabilizados2[[#This Row],[cantidad]])</f>
        <v>1</v>
      </c>
      <c r="Q93" s="1">
        <f>IF(Regcontabilizados[[#This Row],[Eliminado]]="si","",RegContabilizados2[[#This Row],[VR unitario]])</f>
        <v>0</v>
      </c>
      <c r="R93" s="1">
        <f>IF(Regcontabilizados[[#This Row],[Eliminado]]="si","",RegContabilizados2[[#This Row],[Subcuenta]])</f>
        <v>246505</v>
      </c>
      <c r="S93" s="1">
        <f>IF(Regcontabilizados[[#This Row],[Eliminado]]="si","",RegContabilizados2[[#This Row],[Debe]])</f>
        <v>0</v>
      </c>
      <c r="T93" s="1">
        <f>IF(Regcontabilizados[[#This Row],[Eliminado]]="si","",RegContabilizados2[[#This Row],[Haber]])</f>
        <v>0</v>
      </c>
      <c r="U93" s="1">
        <f>IFERROR((Regcontabilizados[[#This Row],[Debe]]-Regcontabilizados[[#This Row],[Haber]]),0)</f>
        <v>0</v>
      </c>
      <c r="V93" s="1" t="str">
        <f>IFERROR((+_xlfn.XLOOKUP(Regcontabilizados[[#This Row],[Subcuenta]],Tabla11[Cuenta],Tabla11[Descripción],0)),0)</f>
        <v>INC - Restaurantes</v>
      </c>
      <c r="W93" s="1" t="str">
        <f>IFERROR((_xlfn.XLOOKUP((VALUE(LEFT(Regcontabilizados[[#This Row],[Subcuenta]],4))),Tabla11[Cuenta],Tabla11[Descripción],0)),0)</f>
        <v>IMPUESTO NACIONAL AL CONSUMO</v>
      </c>
      <c r="X93" s="1" t="str">
        <f>IFERROR((_xlfn.XLOOKUP(Regcontabilizados[[#This Row],[Subcuenta]],Tabla11[Cuenta],Tabla11[Descripción],0)),0)</f>
        <v>INC - Restaurantes</v>
      </c>
      <c r="Y93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93" s="1" t="str">
        <f>_xlfn.XLOOKUP(Regcontabilizados[[#This Row],[Subcuenta]],Tabla11[Cuenta],Tabla11[TIPO],"")</f>
        <v>Pasivo Corriente</v>
      </c>
      <c r="AA93" s="1" t="str">
        <f>IFERROR((Regcontabilizados[[#This Row],[Subcuenta]]&amp;" "&amp;_xlfn.XLOOKUP(Regcontabilizados[[#This Row],[Subcuenta]],Tabla11[Cuenta],Tabla11[Descripción],0)),0)</f>
        <v>246505 INC - Restaurantes</v>
      </c>
      <c r="AB93" s="1" t="str">
        <f>IFERROR((VALUE(LEFT(Regcontabilizados[[#This Row],[Subcuenta]],2))&amp;" "&amp;_xlfn.XLOOKUP((VALUE(LEFT(Regcontabilizados[[#This Row],[Subcuenta]],2))),Tabla11[Cuenta],Tabla11[Descripción],0)),0)</f>
        <v>24 IMPUESTOS, GRAVÁMENES Y TASAS</v>
      </c>
      <c r="AC93" s="1" t="str">
        <f>IFERROR((VALUE(LEFT(Regcontabilizados[[#This Row],[Subcuenta]],4))&amp;" "&amp;_xlfn.XLOOKUP((VALUE(LEFT(Regcontabilizados[[#This Row],[Subcuenta]],4))),Tabla11[Cuenta],Tabla11[Descripción],0)),0)</f>
        <v>2465 IMPUESTO NACIONAL AL CONSUMO</v>
      </c>
      <c r="AD93" s="1" t="str">
        <f>IF(Regcontabilizados[[#This Row],[Eliminado]]="si","",RegContabilizados2[[#This Row],[Estado de pago]])</f>
        <v>NO PAGADO</v>
      </c>
      <c r="AE93" s="1" t="str">
        <f>IF(Regcontabilizados[[#This Row],[Eliminado]]="si","",RegContabilizados2[[#This Row],[Colum. Aux. Estado]])</f>
        <v>4656566F. V.2</v>
      </c>
      <c r="AF93" s="1">
        <f>IF(Regcontabilizados[[#This Row],[Eliminado]]="si","",RegContabilizados2[[#This Row],[Número de pago]])</f>
        <v>0</v>
      </c>
      <c r="AG93" s="1" t="str">
        <f>IF(Regcontabilizados[[#This Row],[Eliminado]]="si","",RegContabilizados2[[#This Row],[Elaborado por]])</f>
        <v>Responsable no especificado</v>
      </c>
      <c r="AH93" s="1" t="str">
        <f>IF(Regcontabilizados[[#This Row],[Eliminado]]="si","",RegContabilizados2[[#This Row],[Notas]])</f>
        <v>DE CONTADO</v>
      </c>
      <c r="AI93" s="1">
        <f>IF(Regcontabilizados[[#This Row],[Eliminado]]="si","",RegContabilizados2[[#This Row],[Método de pago]])</f>
        <v>0</v>
      </c>
      <c r="AJ93" s="1">
        <f>IF(Regcontabilizados[[#This Row],[Eliminado]]="si","",RegContabilizados2[[#This Row],[Cta. Bancaria]])</f>
        <v>0</v>
      </c>
      <c r="AO93" s="31">
        <v>45993</v>
      </c>
      <c r="AP93" s="31">
        <v>45993</v>
      </c>
      <c r="AQ93" s="3" t="s">
        <v>1271</v>
      </c>
      <c r="AR93" s="3">
        <v>2</v>
      </c>
      <c r="AS93" s="1" t="s">
        <v>766</v>
      </c>
      <c r="AT93" s="1" t="s">
        <v>901</v>
      </c>
      <c r="AV93" s="3">
        <v>333333</v>
      </c>
      <c r="AW93" s="3"/>
      <c r="AX93" s="3"/>
      <c r="AY93" s="3" t="s">
        <v>1001</v>
      </c>
      <c r="AZ93" s="3" t="s">
        <v>975</v>
      </c>
      <c r="BA93" s="1">
        <v>1</v>
      </c>
      <c r="BB93" s="1">
        <v>0</v>
      </c>
      <c r="BC93" s="1">
        <v>246505</v>
      </c>
      <c r="BD93" s="1">
        <v>0</v>
      </c>
      <c r="BE93" s="1">
        <v>0</v>
      </c>
      <c r="BF93" s="1">
        <f>IFERROR((RegContabilizados2[[#This Row],[Debe]]-RegContabilizados2[[#This Row],[Haber]]),0)</f>
        <v>0</v>
      </c>
      <c r="BG93" s="1" t="str">
        <f>IFERROR((+_xlfn.XLOOKUP(RegContabilizados2[[#This Row],[Subcuenta]],Tabla11[Cuenta],Tabla11[Descripción],0)),0)</f>
        <v>INC - Restaurantes</v>
      </c>
      <c r="BH93" s="1" t="str">
        <f>IFERROR((VALUE(LEFT(RegContabilizados2[[#This Row],[Subcuenta]],2))&amp;" "&amp;_xlfn.XLOOKUP((VALUE(LEFT(RegContabilizados2[[#This Row],[Subcuenta]],2))),Tabla11[Cuenta],Tabla11[Descripción],0)),0)</f>
        <v>24 IMPUESTOS, GRAVÁMENES Y TASAS</v>
      </c>
      <c r="BI93" s="1" t="str">
        <f>IFERROR((VALUE(LEFT(RegContabilizados2[[#This Row],[Subcuenta]],4))&amp;" "&amp;_xlfn.XLOOKUP((VALUE(LEFT(RegContabilizados2[[#This Row],[Subcuenta]],4))),Tabla11[Cuenta],Tabla11[Descripción],0)),0)</f>
        <v>2465 IMPUESTO NACIONAL AL CONSUMO</v>
      </c>
      <c r="BJ93" s="1" t="str">
        <f>IFERROR((RegContabilizados2[[#This Row],[Subcuenta]]&amp;" "&amp;_xlfn.XLOOKUP(RegContabilizados2[[#This Row],[Subcuenta]],Tabla11[Cuenta],Tabla11[Descripción],0)),0)</f>
        <v>246505 INC - Restaurantes</v>
      </c>
      <c r="BK93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93" s="1" t="str">
        <f>IFERROR(LEFT(RegContabilizados2[[#This Row],[Idenficador]],SEARCH("-",RegContabilizados2[[#This Row],[Idenficador]])-1),0)</f>
        <v>4656566F. V.2</v>
      </c>
      <c r="BN93" s="1" t="s">
        <v>1169</v>
      </c>
      <c r="BO93" s="1" t="s">
        <v>1220</v>
      </c>
    </row>
    <row r="94" spans="4:67">
      <c r="D94" s="31" t="str">
        <f>IF(Regcontabilizados[[#This Row],[Eliminado]]="si","",RegContabilizados2[[#This Row],[fecha Factura]])</f>
        <v/>
      </c>
      <c r="E94" s="31" t="str">
        <f>IF(Regcontabilizados[[#This Row],[Eliminado]]="si","",RegContabilizados2[[#This Row],[Fecha vencimiento]])</f>
        <v/>
      </c>
      <c r="F94" s="3" t="str">
        <f>IF(Regcontabilizados[[#This Row],[Eliminado]]="si","",RegContabilizados2[[#This Row],[Idenficador]])</f>
        <v/>
      </c>
      <c r="G94" s="3" t="str">
        <f>IF(Regcontabilizados[[#This Row],[Eliminado]]="si","",RegContabilizados2[[#This Row],[N° de factura/Pago]])</f>
        <v/>
      </c>
      <c r="H94" s="1" t="str">
        <f>IF(Regcontabilizados[[#This Row],[Eliminado]]="si","",RegContabilizados2[[#This Row],[Tipo de Factura]])</f>
        <v/>
      </c>
      <c r="I94" s="1" t="str">
        <f>IF(Regcontabilizados[[#This Row],[Eliminado]]="si","",RegContabilizados2[[#This Row],[ID Cliente]])</f>
        <v/>
      </c>
      <c r="J94" s="1" t="str">
        <f>IF(Regcontabilizados[[#This Row],[Eliminado]]="si","",RegContabilizados2[[#This Row],[ESTADO DEL IVA]])</f>
        <v/>
      </c>
      <c r="K94" s="3" t="str">
        <f>IF(Regcontabilizados[[#This Row],[Eliminado]]="si","",RegContabilizados2[[#This Row],[ID Proveedor]])</f>
        <v/>
      </c>
      <c r="L94" s="3" t="str">
        <f>IF(Regcontabilizados[[#This Row],[Eliminado]]="si","",RegContabilizados2[[#This Row],[Concepto]])</f>
        <v/>
      </c>
      <c r="M94" s="3" t="str">
        <f>IF(Regcontabilizados[[#This Row],[Eliminado]]="si","",RegContabilizados2[[#This Row],[Categoría]])</f>
        <v/>
      </c>
      <c r="N94" s="3" t="str">
        <f>IF(Regcontabilizados[[#This Row],[Eliminado]]="si","",RegContabilizados2[[#This Row],[Almacen]])</f>
        <v/>
      </c>
      <c r="O94" s="3" t="str">
        <f>IF(Regcontabilizados[[#This Row],[Eliminado]]="si","",RegContabilizados2[[#This Row],[Tipo de movimiento]])</f>
        <v/>
      </c>
      <c r="P94" s="1" t="str">
        <f>IF(Regcontabilizados[[#This Row],[Eliminado]]="si","",RegContabilizados2[[#This Row],[cantidad]])</f>
        <v/>
      </c>
      <c r="Q94" s="1" t="str">
        <f>IF(Regcontabilizados[[#This Row],[Eliminado]]="si","",RegContabilizados2[[#This Row],[VR unitario]])</f>
        <v/>
      </c>
      <c r="R94" s="1" t="str">
        <f>IF(Regcontabilizados[[#This Row],[Eliminado]]="si","",RegContabilizados2[[#This Row],[Subcuenta]])</f>
        <v/>
      </c>
      <c r="S94" s="1" t="str">
        <f>IF(Regcontabilizados[[#This Row],[Eliminado]]="si","",RegContabilizados2[[#This Row],[Debe]])</f>
        <v/>
      </c>
      <c r="T94" s="1" t="str">
        <f>IF(Regcontabilizados[[#This Row],[Eliminado]]="si","",RegContabilizados2[[#This Row],[Haber]])</f>
        <v/>
      </c>
      <c r="U94" s="1">
        <f>IFERROR((Regcontabilizados[[#This Row],[Debe]]-Regcontabilizados[[#This Row],[Haber]]),0)</f>
        <v>0</v>
      </c>
      <c r="V94" s="1">
        <f>IFERROR((+_xlfn.XLOOKUP(Regcontabilizados[[#This Row],[Subcuenta]],Tabla11[Cuenta],Tabla11[Descripción],0)),0)</f>
        <v>0</v>
      </c>
      <c r="W94" s="1">
        <f>IFERROR((_xlfn.XLOOKUP((VALUE(LEFT(Regcontabilizados[[#This Row],[Subcuenta]],4))),Tabla11[Cuenta],Tabla11[Descripción],0)),0)</f>
        <v>0</v>
      </c>
      <c r="X94" s="1">
        <f>IFERROR((_xlfn.XLOOKUP(Regcontabilizados[[#This Row],[Subcuenta]],Tabla11[Cuenta],Tabla11[Descripción],0)),0)</f>
        <v>0</v>
      </c>
      <c r="Y94" s="1" t="str">
        <f>IF((IFERROR((FIND((_xlfn.XLOOKUP(RegContabilizados2[[#This Row],[Idenficador]],FormtBorrados[formatos borrados],FormtBorrados[formatos borrados],0)),RegContabilizados2[[#This Row],[Idenficador]])),0))=1,"si","no")</f>
        <v>si</v>
      </c>
      <c r="Z94" s="1" t="str">
        <f>_xlfn.XLOOKUP(Regcontabilizados[[#This Row],[Subcuenta]],Tabla11[Cuenta],Tabla11[TIPO],"")</f>
        <v/>
      </c>
      <c r="AA94" s="1" t="str">
        <f>IFERROR((Regcontabilizados[[#This Row],[Subcuenta]]&amp;" "&amp;_xlfn.XLOOKUP(Regcontabilizados[[#This Row],[Subcuenta]],Tabla11[Cuenta],Tabla11[Descripción],0)),0)</f>
        <v xml:space="preserve"> 0</v>
      </c>
      <c r="AB94" s="1">
        <f>IFERROR((VALUE(LEFT(Regcontabilizados[[#This Row],[Subcuenta]],2))&amp;" "&amp;_xlfn.XLOOKUP((VALUE(LEFT(Regcontabilizados[[#This Row],[Subcuenta]],2))),Tabla11[Cuenta],Tabla11[Descripción],0)),0)</f>
        <v>0</v>
      </c>
      <c r="AC94" s="1">
        <f>IFERROR((VALUE(LEFT(Regcontabilizados[[#This Row],[Subcuenta]],4))&amp;" "&amp;_xlfn.XLOOKUP((VALUE(LEFT(Regcontabilizados[[#This Row],[Subcuenta]],4))),Tabla11[Cuenta],Tabla11[Descripción],0)),0)</f>
        <v>0</v>
      </c>
      <c r="AD94" s="1" t="str">
        <f>IF(Regcontabilizados[[#This Row],[Eliminado]]="si","",RegContabilizados2[[#This Row],[Estado de pago]])</f>
        <v/>
      </c>
      <c r="AE94" s="1" t="str">
        <f>IF(Regcontabilizados[[#This Row],[Eliminado]]="si","",RegContabilizados2[[#This Row],[Colum. Aux. Estado]])</f>
        <v/>
      </c>
      <c r="AF94" s="1" t="str">
        <f>IF(Regcontabilizados[[#This Row],[Eliminado]]="si","",RegContabilizados2[[#This Row],[Número de pago]])</f>
        <v/>
      </c>
      <c r="AG94" s="1" t="str">
        <f>IF(Regcontabilizados[[#This Row],[Eliminado]]="si","",RegContabilizados2[[#This Row],[Elaborado por]])</f>
        <v/>
      </c>
      <c r="AH94" s="1" t="str">
        <f>IF(Regcontabilizados[[#This Row],[Eliminado]]="si","",RegContabilizados2[[#This Row],[Notas]])</f>
        <v/>
      </c>
      <c r="AI94" s="1" t="str">
        <f>IF(Regcontabilizados[[#This Row],[Eliminado]]="si","",RegContabilizados2[[#This Row],[Método de pago]])</f>
        <v/>
      </c>
      <c r="AJ94" s="1" t="str">
        <f>IF(Regcontabilizados[[#This Row],[Eliminado]]="si","",RegContabilizados2[[#This Row],[Cta. Bancaria]])</f>
        <v/>
      </c>
      <c r="AO94" s="31">
        <v>45993</v>
      </c>
      <c r="AP94" s="31">
        <v>45993</v>
      </c>
      <c r="AQ94" s="3" t="s">
        <v>1238</v>
      </c>
      <c r="AR94" s="3">
        <v>1</v>
      </c>
      <c r="AS94" s="1" t="s">
        <v>766</v>
      </c>
      <c r="AT94" s="1" t="s">
        <v>901</v>
      </c>
      <c r="AU94" s="1" t="s">
        <v>1010</v>
      </c>
      <c r="AV94" s="3">
        <v>333333</v>
      </c>
      <c r="AW94" s="3" t="s">
        <v>1089</v>
      </c>
      <c r="AX94" s="3" t="s">
        <v>1000</v>
      </c>
      <c r="AY94" s="3" t="s">
        <v>1001</v>
      </c>
      <c r="AZ94" s="3" t="s">
        <v>975</v>
      </c>
      <c r="BA94" s="1">
        <v>2</v>
      </c>
      <c r="BB94" s="1">
        <v>50000</v>
      </c>
      <c r="BC94" s="1">
        <v>130505</v>
      </c>
      <c r="BD94" s="1">
        <v>119000</v>
      </c>
      <c r="BE94" s="1">
        <v>0</v>
      </c>
      <c r="BF94" s="1">
        <f>IFERROR((RegContabilizados2[[#This Row],[Debe]]-RegContabilizados2[[#This Row],[Haber]]),0)</f>
        <v>119000</v>
      </c>
      <c r="BG94" s="1" t="str">
        <f>IFERROR((+_xlfn.XLOOKUP(RegContabilizados2[[#This Row],[Subcuenta]],Tabla11[Cuenta],Tabla11[Descripción],0)),0)</f>
        <v>Nacionales</v>
      </c>
      <c r="BH94" s="1" t="str">
        <f>IFERROR((VALUE(LEFT(RegContabilizados2[[#This Row],[Subcuenta]],2))&amp;" "&amp;_xlfn.XLOOKUP((VALUE(LEFT(RegContabilizados2[[#This Row],[Subcuenta]],2))),Tabla11[Cuenta],Tabla11[Descripción],0)),0)</f>
        <v>13 DEUDORES</v>
      </c>
      <c r="BI94" s="1" t="str">
        <f>IFERROR((VALUE(LEFT(RegContabilizados2[[#This Row],[Subcuenta]],4))&amp;" "&amp;_xlfn.XLOOKUP((VALUE(LEFT(RegContabilizados2[[#This Row],[Subcuenta]],4))),Tabla11[Cuenta],Tabla11[Descripción],0)),0)</f>
        <v>1305 CLIENTES</v>
      </c>
      <c r="BJ94" s="1" t="str">
        <f>IFERROR((RegContabilizados2[[#This Row],[Subcuenta]]&amp;" "&amp;_xlfn.XLOOKUP(RegContabilizados2[[#This Row],[Subcuenta]],Tabla11[Cuenta],Tabla11[Descripción],0)),0)</f>
        <v>130505 Nacionales</v>
      </c>
      <c r="BK94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94" s="1" t="str">
        <f>IFERROR(LEFT(RegContabilizados2[[#This Row],[Idenficador]],SEARCH("-",RegContabilizados2[[#This Row],[Idenficador]])-1),0)</f>
        <v>4656566F. V.1</v>
      </c>
      <c r="BN94" s="1" t="s">
        <v>1169</v>
      </c>
    </row>
    <row r="95" spans="4:67">
      <c r="D95" s="31" t="str">
        <f>IF(Regcontabilizados[[#This Row],[Eliminado]]="si","",RegContabilizados2[[#This Row],[fecha Factura]])</f>
        <v/>
      </c>
      <c r="E95" s="31" t="str">
        <f>IF(Regcontabilizados[[#This Row],[Eliminado]]="si","",RegContabilizados2[[#This Row],[Fecha vencimiento]])</f>
        <v/>
      </c>
      <c r="F95" s="3" t="str">
        <f>IF(Regcontabilizados[[#This Row],[Eliminado]]="si","",RegContabilizados2[[#This Row],[Idenficador]])</f>
        <v/>
      </c>
      <c r="G95" s="3" t="str">
        <f>IF(Regcontabilizados[[#This Row],[Eliminado]]="si","",RegContabilizados2[[#This Row],[N° de factura/Pago]])</f>
        <v/>
      </c>
      <c r="H95" s="1" t="str">
        <f>IF(Regcontabilizados[[#This Row],[Eliminado]]="si","",RegContabilizados2[[#This Row],[Tipo de Factura]])</f>
        <v/>
      </c>
      <c r="I95" s="1" t="str">
        <f>IF(Regcontabilizados[[#This Row],[Eliminado]]="si","",RegContabilizados2[[#This Row],[ID Cliente]])</f>
        <v/>
      </c>
      <c r="J95" s="1" t="str">
        <f>IF(Regcontabilizados[[#This Row],[Eliminado]]="si","",RegContabilizados2[[#This Row],[ESTADO DEL IVA]])</f>
        <v/>
      </c>
      <c r="K95" s="3" t="str">
        <f>IF(Regcontabilizados[[#This Row],[Eliminado]]="si","",RegContabilizados2[[#This Row],[ID Proveedor]])</f>
        <v/>
      </c>
      <c r="L95" s="3" t="str">
        <f>IF(Regcontabilizados[[#This Row],[Eliminado]]="si","",RegContabilizados2[[#This Row],[Concepto]])</f>
        <v/>
      </c>
      <c r="M95" s="3" t="str">
        <f>IF(Regcontabilizados[[#This Row],[Eliminado]]="si","",RegContabilizados2[[#This Row],[Categoría]])</f>
        <v/>
      </c>
      <c r="N95" s="3" t="str">
        <f>IF(Regcontabilizados[[#This Row],[Eliminado]]="si","",RegContabilizados2[[#This Row],[Almacen]])</f>
        <v/>
      </c>
      <c r="O95" s="3" t="str">
        <f>IF(Regcontabilizados[[#This Row],[Eliminado]]="si","",RegContabilizados2[[#This Row],[Tipo de movimiento]])</f>
        <v/>
      </c>
      <c r="P95" s="1" t="str">
        <f>IF(Regcontabilizados[[#This Row],[Eliminado]]="si","",RegContabilizados2[[#This Row],[cantidad]])</f>
        <v/>
      </c>
      <c r="Q95" s="1" t="str">
        <f>IF(Regcontabilizados[[#This Row],[Eliminado]]="si","",RegContabilizados2[[#This Row],[VR unitario]])</f>
        <v/>
      </c>
      <c r="R95" s="1" t="str">
        <f>IF(Regcontabilizados[[#This Row],[Eliminado]]="si","",RegContabilizados2[[#This Row],[Subcuenta]])</f>
        <v/>
      </c>
      <c r="S95" s="1" t="str">
        <f>IF(Regcontabilizados[[#This Row],[Eliminado]]="si","",RegContabilizados2[[#This Row],[Debe]])</f>
        <v/>
      </c>
      <c r="T95" s="1" t="str">
        <f>IF(Regcontabilizados[[#This Row],[Eliminado]]="si","",RegContabilizados2[[#This Row],[Haber]])</f>
        <v/>
      </c>
      <c r="U95" s="1">
        <f>IFERROR((Regcontabilizados[[#This Row],[Debe]]-Regcontabilizados[[#This Row],[Haber]]),0)</f>
        <v>0</v>
      </c>
      <c r="V95" s="1">
        <f>IFERROR((+_xlfn.XLOOKUP(Regcontabilizados[[#This Row],[Subcuenta]],Tabla11[Cuenta],Tabla11[Descripción],0)),0)</f>
        <v>0</v>
      </c>
      <c r="W95" s="1">
        <f>IFERROR((_xlfn.XLOOKUP((VALUE(LEFT(Regcontabilizados[[#This Row],[Subcuenta]],4))),Tabla11[Cuenta],Tabla11[Descripción],0)),0)</f>
        <v>0</v>
      </c>
      <c r="X95" s="1">
        <f>IFERROR((_xlfn.XLOOKUP(Regcontabilizados[[#This Row],[Subcuenta]],Tabla11[Cuenta],Tabla11[Descripción],0)),0)</f>
        <v>0</v>
      </c>
      <c r="Y95" s="1" t="str">
        <f>IF((IFERROR((FIND((_xlfn.XLOOKUP(RegContabilizados2[[#This Row],[Idenficador]],FormtBorrados[formatos borrados],FormtBorrados[formatos borrados],0)),RegContabilizados2[[#This Row],[Idenficador]])),0))=1,"si","no")</f>
        <v>si</v>
      </c>
      <c r="Z95" s="1" t="str">
        <f>_xlfn.XLOOKUP(Regcontabilizados[[#This Row],[Subcuenta]],Tabla11[Cuenta],Tabla11[TIPO],"")</f>
        <v/>
      </c>
      <c r="AA95" s="1" t="str">
        <f>IFERROR((Regcontabilizados[[#This Row],[Subcuenta]]&amp;" "&amp;_xlfn.XLOOKUP(Regcontabilizados[[#This Row],[Subcuenta]],Tabla11[Cuenta],Tabla11[Descripción],0)),0)</f>
        <v xml:space="preserve"> 0</v>
      </c>
      <c r="AB95" s="1">
        <f>IFERROR((VALUE(LEFT(Regcontabilizados[[#This Row],[Subcuenta]],2))&amp;" "&amp;_xlfn.XLOOKUP((VALUE(LEFT(Regcontabilizados[[#This Row],[Subcuenta]],2))),Tabla11[Cuenta],Tabla11[Descripción],0)),0)</f>
        <v>0</v>
      </c>
      <c r="AC95" s="1">
        <f>IFERROR((VALUE(LEFT(Regcontabilizados[[#This Row],[Subcuenta]],4))&amp;" "&amp;_xlfn.XLOOKUP((VALUE(LEFT(Regcontabilizados[[#This Row],[Subcuenta]],4))),Tabla11[Cuenta],Tabla11[Descripción],0)),0)</f>
        <v>0</v>
      </c>
      <c r="AD95" s="1" t="str">
        <f>IF(Regcontabilizados[[#This Row],[Eliminado]]="si","",RegContabilizados2[[#This Row],[Estado de pago]])</f>
        <v/>
      </c>
      <c r="AE95" s="1" t="str">
        <f>IF(Regcontabilizados[[#This Row],[Eliminado]]="si","",RegContabilizados2[[#This Row],[Colum. Aux. Estado]])</f>
        <v/>
      </c>
      <c r="AF95" s="1" t="str">
        <f>IF(Regcontabilizados[[#This Row],[Eliminado]]="si","",RegContabilizados2[[#This Row],[Número de pago]])</f>
        <v/>
      </c>
      <c r="AG95" s="1" t="str">
        <f>IF(Regcontabilizados[[#This Row],[Eliminado]]="si","",RegContabilizados2[[#This Row],[Elaborado por]])</f>
        <v/>
      </c>
      <c r="AH95" s="1" t="str">
        <f>IF(Regcontabilizados[[#This Row],[Eliminado]]="si","",RegContabilizados2[[#This Row],[Notas]])</f>
        <v/>
      </c>
      <c r="AI95" s="1" t="str">
        <f>IF(Regcontabilizados[[#This Row],[Eliminado]]="si","",RegContabilizados2[[#This Row],[Método de pago]])</f>
        <v/>
      </c>
      <c r="AJ95" s="1" t="str">
        <f>IF(Regcontabilizados[[#This Row],[Eliminado]]="si","",RegContabilizados2[[#This Row],[Cta. Bancaria]])</f>
        <v/>
      </c>
      <c r="AO95" s="31">
        <v>45993</v>
      </c>
      <c r="AP95" s="31">
        <v>45993</v>
      </c>
      <c r="AQ95" s="3" t="s">
        <v>1239</v>
      </c>
      <c r="AR95" s="3">
        <v>1</v>
      </c>
      <c r="AS95" s="1" t="s">
        <v>766</v>
      </c>
      <c r="AT95" s="1" t="s">
        <v>901</v>
      </c>
      <c r="AU95" s="1" t="s">
        <v>1010</v>
      </c>
      <c r="AV95" s="3">
        <v>333333</v>
      </c>
      <c r="AW95" s="3" t="s">
        <v>1104</v>
      </c>
      <c r="AX95" s="3" t="s">
        <v>1000</v>
      </c>
      <c r="AY95" s="3" t="s">
        <v>1001</v>
      </c>
      <c r="AZ95" s="3" t="s">
        <v>975</v>
      </c>
      <c r="BA95" s="1">
        <v>1</v>
      </c>
      <c r="BB95" s="1">
        <v>100000</v>
      </c>
      <c r="BC95" s="1">
        <v>130505</v>
      </c>
      <c r="BD95" s="1">
        <v>119000</v>
      </c>
      <c r="BE95" s="1">
        <v>0</v>
      </c>
      <c r="BF95" s="1">
        <f>IFERROR((RegContabilizados2[[#This Row],[Debe]]-RegContabilizados2[[#This Row],[Haber]]),0)</f>
        <v>119000</v>
      </c>
      <c r="BG95" s="1" t="str">
        <f>IFERROR((+_xlfn.XLOOKUP(RegContabilizados2[[#This Row],[Subcuenta]],Tabla11[Cuenta],Tabla11[Descripción],0)),0)</f>
        <v>Nacionales</v>
      </c>
      <c r="BH95" s="1" t="str">
        <f>IFERROR((VALUE(LEFT(RegContabilizados2[[#This Row],[Subcuenta]],2))&amp;" "&amp;_xlfn.XLOOKUP((VALUE(LEFT(RegContabilizados2[[#This Row],[Subcuenta]],2))),Tabla11[Cuenta],Tabla11[Descripción],0)),0)</f>
        <v>13 DEUDORES</v>
      </c>
      <c r="BI95" s="1" t="str">
        <f>IFERROR((VALUE(LEFT(RegContabilizados2[[#This Row],[Subcuenta]],4))&amp;" "&amp;_xlfn.XLOOKUP((VALUE(LEFT(RegContabilizados2[[#This Row],[Subcuenta]],4))),Tabla11[Cuenta],Tabla11[Descripción],0)),0)</f>
        <v>1305 CLIENTES</v>
      </c>
      <c r="BJ95" s="1" t="str">
        <f>IFERROR((RegContabilizados2[[#This Row],[Subcuenta]]&amp;" "&amp;_xlfn.XLOOKUP(RegContabilizados2[[#This Row],[Subcuenta]],Tabla11[Cuenta],Tabla11[Descripción],0)),0)</f>
        <v>130505 Nacionales</v>
      </c>
      <c r="BK95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95" s="1" t="str">
        <f>IFERROR(LEFT(RegContabilizados2[[#This Row],[Idenficador]],SEARCH("-",RegContabilizados2[[#This Row],[Idenficador]])-1),0)</f>
        <v>4656566F. V.1</v>
      </c>
      <c r="BN95" s="1" t="s">
        <v>1169</v>
      </c>
    </row>
    <row r="96" spans="4:67">
      <c r="D96" s="31" t="str">
        <f>IF(Regcontabilizados[[#This Row],[Eliminado]]="si","",RegContabilizados2[[#This Row],[fecha Factura]])</f>
        <v/>
      </c>
      <c r="E96" s="31" t="str">
        <f>IF(Regcontabilizados[[#This Row],[Eliminado]]="si","",RegContabilizados2[[#This Row],[Fecha vencimiento]])</f>
        <v/>
      </c>
      <c r="F96" s="3" t="str">
        <f>IF(Regcontabilizados[[#This Row],[Eliminado]]="si","",RegContabilizados2[[#This Row],[Idenficador]])</f>
        <v/>
      </c>
      <c r="G96" s="3" t="str">
        <f>IF(Regcontabilizados[[#This Row],[Eliminado]]="si","",RegContabilizados2[[#This Row],[N° de factura/Pago]])</f>
        <v/>
      </c>
      <c r="H96" s="1" t="str">
        <f>IF(Regcontabilizados[[#This Row],[Eliminado]]="si","",RegContabilizados2[[#This Row],[Tipo de Factura]])</f>
        <v/>
      </c>
      <c r="I96" s="1" t="str">
        <f>IF(Regcontabilizados[[#This Row],[Eliminado]]="si","",RegContabilizados2[[#This Row],[ID Cliente]])</f>
        <v/>
      </c>
      <c r="J96" s="1" t="str">
        <f>IF(Regcontabilizados[[#This Row],[Eliminado]]="si","",RegContabilizados2[[#This Row],[ESTADO DEL IVA]])</f>
        <v/>
      </c>
      <c r="K96" s="3" t="str">
        <f>IF(Regcontabilizados[[#This Row],[Eliminado]]="si","",RegContabilizados2[[#This Row],[ID Proveedor]])</f>
        <v/>
      </c>
      <c r="L96" s="3" t="str">
        <f>IF(Regcontabilizados[[#This Row],[Eliminado]]="si","",RegContabilizados2[[#This Row],[Concepto]])</f>
        <v/>
      </c>
      <c r="M96" s="3" t="str">
        <f>IF(Regcontabilizados[[#This Row],[Eliminado]]="si","",RegContabilizados2[[#This Row],[Categoría]])</f>
        <v/>
      </c>
      <c r="N96" s="3" t="str">
        <f>IF(Regcontabilizados[[#This Row],[Eliminado]]="si","",RegContabilizados2[[#This Row],[Almacen]])</f>
        <v/>
      </c>
      <c r="O96" s="3" t="str">
        <f>IF(Regcontabilizados[[#This Row],[Eliminado]]="si","",RegContabilizados2[[#This Row],[Tipo de movimiento]])</f>
        <v/>
      </c>
      <c r="P96" s="1" t="str">
        <f>IF(Regcontabilizados[[#This Row],[Eliminado]]="si","",RegContabilizados2[[#This Row],[cantidad]])</f>
        <v/>
      </c>
      <c r="Q96" s="1" t="str">
        <f>IF(Regcontabilizados[[#This Row],[Eliminado]]="si","",RegContabilizados2[[#This Row],[VR unitario]])</f>
        <v/>
      </c>
      <c r="R96" s="1" t="str">
        <f>IF(Regcontabilizados[[#This Row],[Eliminado]]="si","",RegContabilizados2[[#This Row],[Subcuenta]])</f>
        <v/>
      </c>
      <c r="S96" s="1" t="str">
        <f>IF(Regcontabilizados[[#This Row],[Eliminado]]="si","",RegContabilizados2[[#This Row],[Debe]])</f>
        <v/>
      </c>
      <c r="T96" s="1" t="str">
        <f>IF(Regcontabilizados[[#This Row],[Eliminado]]="si","",RegContabilizados2[[#This Row],[Haber]])</f>
        <v/>
      </c>
      <c r="U96" s="1">
        <f>IFERROR((Regcontabilizados[[#This Row],[Debe]]-Regcontabilizados[[#This Row],[Haber]]),0)</f>
        <v>0</v>
      </c>
      <c r="V96" s="1">
        <f>IFERROR((+_xlfn.XLOOKUP(Regcontabilizados[[#This Row],[Subcuenta]],Tabla11[Cuenta],Tabla11[Descripción],0)),0)</f>
        <v>0</v>
      </c>
      <c r="W96" s="1">
        <f>IFERROR((_xlfn.XLOOKUP((VALUE(LEFT(Regcontabilizados[[#This Row],[Subcuenta]],4))),Tabla11[Cuenta],Tabla11[Descripción],0)),0)</f>
        <v>0</v>
      </c>
      <c r="X96" s="1">
        <f>IFERROR((_xlfn.XLOOKUP(Regcontabilizados[[#This Row],[Subcuenta]],Tabla11[Cuenta],Tabla11[Descripción],0)),0)</f>
        <v>0</v>
      </c>
      <c r="Y96" s="1" t="str">
        <f>IF((IFERROR((FIND((_xlfn.XLOOKUP(RegContabilizados2[[#This Row],[Idenficador]],FormtBorrados[formatos borrados],FormtBorrados[formatos borrados],0)),RegContabilizados2[[#This Row],[Idenficador]])),0))=1,"si","no")</f>
        <v>si</v>
      </c>
      <c r="Z96" s="1" t="str">
        <f>_xlfn.XLOOKUP(Regcontabilizados[[#This Row],[Subcuenta]],Tabla11[Cuenta],Tabla11[TIPO],"")</f>
        <v/>
      </c>
      <c r="AA96" s="1" t="str">
        <f>IFERROR((Regcontabilizados[[#This Row],[Subcuenta]]&amp;" "&amp;_xlfn.XLOOKUP(Regcontabilizados[[#This Row],[Subcuenta]],Tabla11[Cuenta],Tabla11[Descripción],0)),0)</f>
        <v xml:space="preserve"> 0</v>
      </c>
      <c r="AB96" s="1">
        <f>IFERROR((VALUE(LEFT(Regcontabilizados[[#This Row],[Subcuenta]],2))&amp;" "&amp;_xlfn.XLOOKUP((VALUE(LEFT(Regcontabilizados[[#This Row],[Subcuenta]],2))),Tabla11[Cuenta],Tabla11[Descripción],0)),0)</f>
        <v>0</v>
      </c>
      <c r="AC96" s="1">
        <f>IFERROR((VALUE(LEFT(Regcontabilizados[[#This Row],[Subcuenta]],4))&amp;" "&amp;_xlfn.XLOOKUP((VALUE(LEFT(Regcontabilizados[[#This Row],[Subcuenta]],4))),Tabla11[Cuenta],Tabla11[Descripción],0)),0)</f>
        <v>0</v>
      </c>
      <c r="AD96" s="1" t="str">
        <f>IF(Regcontabilizados[[#This Row],[Eliminado]]="si","",RegContabilizados2[[#This Row],[Estado de pago]])</f>
        <v/>
      </c>
      <c r="AE96" s="1" t="str">
        <f>IF(Regcontabilizados[[#This Row],[Eliminado]]="si","",RegContabilizados2[[#This Row],[Colum. Aux. Estado]])</f>
        <v/>
      </c>
      <c r="AF96" s="1" t="str">
        <f>IF(Regcontabilizados[[#This Row],[Eliminado]]="si","",RegContabilizados2[[#This Row],[Número de pago]])</f>
        <v/>
      </c>
      <c r="AG96" s="1" t="str">
        <f>IF(Regcontabilizados[[#This Row],[Eliminado]]="si","",RegContabilizados2[[#This Row],[Elaborado por]])</f>
        <v/>
      </c>
      <c r="AH96" s="1" t="str">
        <f>IF(Regcontabilizados[[#This Row],[Eliminado]]="si","",RegContabilizados2[[#This Row],[Notas]])</f>
        <v/>
      </c>
      <c r="AI96" s="1" t="str">
        <f>IF(Regcontabilizados[[#This Row],[Eliminado]]="si","",RegContabilizados2[[#This Row],[Método de pago]])</f>
        <v/>
      </c>
      <c r="AJ96" s="1" t="str">
        <f>IF(Regcontabilizados[[#This Row],[Eliminado]]="si","",RegContabilizados2[[#This Row],[Cta. Bancaria]])</f>
        <v/>
      </c>
      <c r="AO96" s="31">
        <v>45993</v>
      </c>
      <c r="AP96" s="31">
        <v>45993</v>
      </c>
      <c r="AQ96" s="3" t="s">
        <v>1240</v>
      </c>
      <c r="AR96" s="3">
        <v>1</v>
      </c>
      <c r="AS96" s="1" t="s">
        <v>766</v>
      </c>
      <c r="AT96" s="1" t="s">
        <v>901</v>
      </c>
      <c r="AV96" s="3">
        <v>333333</v>
      </c>
      <c r="AW96" s="3"/>
      <c r="AX96" s="3">
        <v>0</v>
      </c>
      <c r="AY96" s="3" t="s">
        <v>1001</v>
      </c>
      <c r="AZ96" s="3" t="s">
        <v>975</v>
      </c>
      <c r="BB96" s="1">
        <v>0</v>
      </c>
      <c r="BC96" s="1" t="s">
        <v>1168</v>
      </c>
      <c r="BD96" s="1">
        <v>0</v>
      </c>
      <c r="BE96" s="1">
        <v>0</v>
      </c>
      <c r="BF96" s="1">
        <f>IFERROR((RegContabilizados2[[#This Row],[Debe]]-RegContabilizados2[[#This Row],[Haber]]),0)</f>
        <v>0</v>
      </c>
      <c r="BG96" s="1">
        <f>IFERROR((+_xlfn.XLOOKUP(RegContabilizados2[[#This Row],[Subcuenta]],Tabla11[Cuenta],Tabla11[Descripción],0)),0)</f>
        <v>0</v>
      </c>
      <c r="BH96" s="1">
        <f>IFERROR((VALUE(LEFT(RegContabilizados2[[#This Row],[Subcuenta]],2))&amp;" "&amp;_xlfn.XLOOKUP((VALUE(LEFT(RegContabilizados2[[#This Row],[Subcuenta]],2))),Tabla11[Cuenta],Tabla11[Descripción],0)),0)</f>
        <v>0</v>
      </c>
      <c r="BI96" s="1">
        <f>IFERROR((VALUE(LEFT(RegContabilizados2[[#This Row],[Subcuenta]],4))&amp;" "&amp;_xlfn.XLOOKUP((VALUE(LEFT(RegContabilizados2[[#This Row],[Subcuenta]],4))),Tabla11[Cuenta],Tabla11[Descripción],0)),0)</f>
        <v>0</v>
      </c>
      <c r="BJ96" s="1" t="str">
        <f>IFERROR((RegContabilizados2[[#This Row],[Subcuenta]]&amp;" "&amp;_xlfn.XLOOKUP(RegContabilizados2[[#This Row],[Subcuenta]],Tabla11[Cuenta],Tabla11[Descripción],0)),0)</f>
        <v xml:space="preserve"> 0</v>
      </c>
      <c r="BK96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96" s="1" t="str">
        <f>IFERROR(LEFT(RegContabilizados2[[#This Row],[Idenficador]],SEARCH("-",RegContabilizados2[[#This Row],[Idenficador]])-1),0)</f>
        <v>4656566F. V.1</v>
      </c>
      <c r="BN96" s="1" t="s">
        <v>1169</v>
      </c>
    </row>
    <row r="97" spans="4:66">
      <c r="D97" s="31" t="str">
        <f>IF(Regcontabilizados[[#This Row],[Eliminado]]="si","",RegContabilizados2[[#This Row],[fecha Factura]])</f>
        <v/>
      </c>
      <c r="E97" s="31" t="str">
        <f>IF(Regcontabilizados[[#This Row],[Eliminado]]="si","",RegContabilizados2[[#This Row],[Fecha vencimiento]])</f>
        <v/>
      </c>
      <c r="F97" s="3" t="str">
        <f>IF(Regcontabilizados[[#This Row],[Eliminado]]="si","",RegContabilizados2[[#This Row],[Idenficador]])</f>
        <v/>
      </c>
      <c r="G97" s="3" t="str">
        <f>IF(Regcontabilizados[[#This Row],[Eliminado]]="si","",RegContabilizados2[[#This Row],[N° de factura/Pago]])</f>
        <v/>
      </c>
      <c r="H97" s="1" t="str">
        <f>IF(Regcontabilizados[[#This Row],[Eliminado]]="si","",RegContabilizados2[[#This Row],[Tipo de Factura]])</f>
        <v/>
      </c>
      <c r="I97" s="1" t="str">
        <f>IF(Regcontabilizados[[#This Row],[Eliminado]]="si","",RegContabilizados2[[#This Row],[ID Cliente]])</f>
        <v/>
      </c>
      <c r="J97" s="1" t="str">
        <f>IF(Regcontabilizados[[#This Row],[Eliminado]]="si","",RegContabilizados2[[#This Row],[ESTADO DEL IVA]])</f>
        <v/>
      </c>
      <c r="K97" s="3" t="str">
        <f>IF(Regcontabilizados[[#This Row],[Eliminado]]="si","",RegContabilizados2[[#This Row],[ID Proveedor]])</f>
        <v/>
      </c>
      <c r="L97" s="3" t="str">
        <f>IF(Regcontabilizados[[#This Row],[Eliminado]]="si","",RegContabilizados2[[#This Row],[Concepto]])</f>
        <v/>
      </c>
      <c r="M97" s="3" t="str">
        <f>IF(Regcontabilizados[[#This Row],[Eliminado]]="si","",RegContabilizados2[[#This Row],[Categoría]])</f>
        <v/>
      </c>
      <c r="N97" s="3" t="str">
        <f>IF(Regcontabilizados[[#This Row],[Eliminado]]="si","",RegContabilizados2[[#This Row],[Almacen]])</f>
        <v/>
      </c>
      <c r="O97" s="3" t="str">
        <f>IF(Regcontabilizados[[#This Row],[Eliminado]]="si","",RegContabilizados2[[#This Row],[Tipo de movimiento]])</f>
        <v/>
      </c>
      <c r="P97" s="1" t="str">
        <f>IF(Regcontabilizados[[#This Row],[Eliminado]]="si","",RegContabilizados2[[#This Row],[cantidad]])</f>
        <v/>
      </c>
      <c r="Q97" s="1" t="str">
        <f>IF(Regcontabilizados[[#This Row],[Eliminado]]="si","",RegContabilizados2[[#This Row],[VR unitario]])</f>
        <v/>
      </c>
      <c r="R97" s="1" t="str">
        <f>IF(Regcontabilizados[[#This Row],[Eliminado]]="si","",RegContabilizados2[[#This Row],[Subcuenta]])</f>
        <v/>
      </c>
      <c r="S97" s="1" t="str">
        <f>IF(Regcontabilizados[[#This Row],[Eliminado]]="si","",RegContabilizados2[[#This Row],[Debe]])</f>
        <v/>
      </c>
      <c r="T97" s="1" t="str">
        <f>IF(Regcontabilizados[[#This Row],[Eliminado]]="si","",RegContabilizados2[[#This Row],[Haber]])</f>
        <v/>
      </c>
      <c r="U97" s="1">
        <f>IFERROR((Regcontabilizados[[#This Row],[Debe]]-Regcontabilizados[[#This Row],[Haber]]),0)</f>
        <v>0</v>
      </c>
      <c r="V97" s="1">
        <f>IFERROR((+_xlfn.XLOOKUP(Regcontabilizados[[#This Row],[Subcuenta]],Tabla11[Cuenta],Tabla11[Descripción],0)),0)</f>
        <v>0</v>
      </c>
      <c r="W97" s="1">
        <f>IFERROR((_xlfn.XLOOKUP((VALUE(LEFT(Regcontabilizados[[#This Row],[Subcuenta]],4))),Tabla11[Cuenta],Tabla11[Descripción],0)),0)</f>
        <v>0</v>
      </c>
      <c r="X97" s="1">
        <f>IFERROR((_xlfn.XLOOKUP(Regcontabilizados[[#This Row],[Subcuenta]],Tabla11[Cuenta],Tabla11[Descripción],0)),0)</f>
        <v>0</v>
      </c>
      <c r="Y97" s="1" t="str">
        <f>IF((IFERROR((FIND((_xlfn.XLOOKUP(RegContabilizados2[[#This Row],[Idenficador]],FormtBorrados[formatos borrados],FormtBorrados[formatos borrados],0)),RegContabilizados2[[#This Row],[Idenficador]])),0))=1,"si","no")</f>
        <v>si</v>
      </c>
      <c r="Z97" s="1" t="str">
        <f>_xlfn.XLOOKUP(Regcontabilizados[[#This Row],[Subcuenta]],Tabla11[Cuenta],Tabla11[TIPO],"")</f>
        <v/>
      </c>
      <c r="AA97" s="1" t="str">
        <f>IFERROR((Regcontabilizados[[#This Row],[Subcuenta]]&amp;" "&amp;_xlfn.XLOOKUP(Regcontabilizados[[#This Row],[Subcuenta]],Tabla11[Cuenta],Tabla11[Descripción],0)),0)</f>
        <v xml:space="preserve"> 0</v>
      </c>
      <c r="AB97" s="1">
        <f>IFERROR((VALUE(LEFT(Regcontabilizados[[#This Row],[Subcuenta]],2))&amp;" "&amp;_xlfn.XLOOKUP((VALUE(LEFT(Regcontabilizados[[#This Row],[Subcuenta]],2))),Tabla11[Cuenta],Tabla11[Descripción],0)),0)</f>
        <v>0</v>
      </c>
      <c r="AC97" s="1">
        <f>IFERROR((VALUE(LEFT(Regcontabilizados[[#This Row],[Subcuenta]],4))&amp;" "&amp;_xlfn.XLOOKUP((VALUE(LEFT(Regcontabilizados[[#This Row],[Subcuenta]],4))),Tabla11[Cuenta],Tabla11[Descripción],0)),0)</f>
        <v>0</v>
      </c>
      <c r="AD97" s="1" t="str">
        <f>IF(Regcontabilizados[[#This Row],[Eliminado]]="si","",RegContabilizados2[[#This Row],[Estado de pago]])</f>
        <v/>
      </c>
      <c r="AE97" s="1" t="str">
        <f>IF(Regcontabilizados[[#This Row],[Eliminado]]="si","",RegContabilizados2[[#This Row],[Colum. Aux. Estado]])</f>
        <v/>
      </c>
      <c r="AF97" s="1" t="str">
        <f>IF(Regcontabilizados[[#This Row],[Eliminado]]="si","",RegContabilizados2[[#This Row],[Número de pago]])</f>
        <v/>
      </c>
      <c r="AG97" s="1" t="str">
        <f>IF(Regcontabilizados[[#This Row],[Eliminado]]="si","",RegContabilizados2[[#This Row],[Elaborado por]])</f>
        <v/>
      </c>
      <c r="AH97" s="1" t="str">
        <f>IF(Regcontabilizados[[#This Row],[Eliminado]]="si","",RegContabilizados2[[#This Row],[Notas]])</f>
        <v/>
      </c>
      <c r="AI97" s="1" t="str">
        <f>IF(Regcontabilizados[[#This Row],[Eliminado]]="si","",RegContabilizados2[[#This Row],[Método de pago]])</f>
        <v/>
      </c>
      <c r="AJ97" s="1" t="str">
        <f>IF(Regcontabilizados[[#This Row],[Eliminado]]="si","",RegContabilizados2[[#This Row],[Cta. Bancaria]])</f>
        <v/>
      </c>
      <c r="AO97" s="31">
        <v>45993</v>
      </c>
      <c r="AP97" s="31">
        <v>45993</v>
      </c>
      <c r="AQ97" s="3" t="s">
        <v>1241</v>
      </c>
      <c r="AR97" s="3">
        <v>1</v>
      </c>
      <c r="AS97" s="1" t="s">
        <v>766</v>
      </c>
      <c r="AT97" s="1" t="s">
        <v>901</v>
      </c>
      <c r="AV97" s="3">
        <v>333333</v>
      </c>
      <c r="AW97" s="3"/>
      <c r="AX97" s="3">
        <v>0</v>
      </c>
      <c r="AY97" s="3" t="s">
        <v>1001</v>
      </c>
      <c r="AZ97" s="3" t="s">
        <v>975</v>
      </c>
      <c r="BB97" s="1">
        <v>0</v>
      </c>
      <c r="BC97" s="1" t="s">
        <v>1168</v>
      </c>
      <c r="BD97" s="1">
        <v>0</v>
      </c>
      <c r="BE97" s="1">
        <v>0</v>
      </c>
      <c r="BF97" s="1">
        <f>IFERROR((RegContabilizados2[[#This Row],[Debe]]-RegContabilizados2[[#This Row],[Haber]]),0)</f>
        <v>0</v>
      </c>
      <c r="BG97" s="1">
        <f>IFERROR((+_xlfn.XLOOKUP(RegContabilizados2[[#This Row],[Subcuenta]],Tabla11[Cuenta],Tabla11[Descripción],0)),0)</f>
        <v>0</v>
      </c>
      <c r="BH97" s="1">
        <f>IFERROR((VALUE(LEFT(RegContabilizados2[[#This Row],[Subcuenta]],2))&amp;" "&amp;_xlfn.XLOOKUP((VALUE(LEFT(RegContabilizados2[[#This Row],[Subcuenta]],2))),Tabla11[Cuenta],Tabla11[Descripción],0)),0)</f>
        <v>0</v>
      </c>
      <c r="BI97" s="1">
        <f>IFERROR((VALUE(LEFT(RegContabilizados2[[#This Row],[Subcuenta]],4))&amp;" "&amp;_xlfn.XLOOKUP((VALUE(LEFT(RegContabilizados2[[#This Row],[Subcuenta]],4))),Tabla11[Cuenta],Tabla11[Descripción],0)),0)</f>
        <v>0</v>
      </c>
      <c r="BJ97" s="1" t="str">
        <f>IFERROR((RegContabilizados2[[#This Row],[Subcuenta]]&amp;" "&amp;_xlfn.XLOOKUP(RegContabilizados2[[#This Row],[Subcuenta]],Tabla11[Cuenta],Tabla11[Descripción],0)),0)</f>
        <v xml:space="preserve"> 0</v>
      </c>
      <c r="BK97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97" s="1" t="str">
        <f>IFERROR(LEFT(RegContabilizados2[[#This Row],[Idenficador]],SEARCH("-",RegContabilizados2[[#This Row],[Idenficador]])-1),0)</f>
        <v>4656566F. V.1</v>
      </c>
      <c r="BN97" s="1" t="s">
        <v>1169</v>
      </c>
    </row>
    <row r="98" spans="4:66">
      <c r="D98" s="31" t="str">
        <f>IF(Regcontabilizados[[#This Row],[Eliminado]]="si","",RegContabilizados2[[#This Row],[fecha Factura]])</f>
        <v/>
      </c>
      <c r="E98" s="31" t="str">
        <f>IF(Regcontabilizados[[#This Row],[Eliminado]]="si","",RegContabilizados2[[#This Row],[Fecha vencimiento]])</f>
        <v/>
      </c>
      <c r="F98" s="3" t="str">
        <f>IF(Regcontabilizados[[#This Row],[Eliminado]]="si","",RegContabilizados2[[#This Row],[Idenficador]])</f>
        <v/>
      </c>
      <c r="G98" s="3" t="str">
        <f>IF(Regcontabilizados[[#This Row],[Eliminado]]="si","",RegContabilizados2[[#This Row],[N° de factura/Pago]])</f>
        <v/>
      </c>
      <c r="H98" s="1" t="str">
        <f>IF(Regcontabilizados[[#This Row],[Eliminado]]="si","",RegContabilizados2[[#This Row],[Tipo de Factura]])</f>
        <v/>
      </c>
      <c r="I98" s="1" t="str">
        <f>IF(Regcontabilizados[[#This Row],[Eliminado]]="si","",RegContabilizados2[[#This Row],[ID Cliente]])</f>
        <v/>
      </c>
      <c r="J98" s="1" t="str">
        <f>IF(Regcontabilizados[[#This Row],[Eliminado]]="si","",RegContabilizados2[[#This Row],[ESTADO DEL IVA]])</f>
        <v/>
      </c>
      <c r="K98" s="3" t="str">
        <f>IF(Regcontabilizados[[#This Row],[Eliminado]]="si","",RegContabilizados2[[#This Row],[ID Proveedor]])</f>
        <v/>
      </c>
      <c r="L98" s="3" t="str">
        <f>IF(Regcontabilizados[[#This Row],[Eliminado]]="si","",RegContabilizados2[[#This Row],[Concepto]])</f>
        <v/>
      </c>
      <c r="M98" s="3" t="str">
        <f>IF(Regcontabilizados[[#This Row],[Eliminado]]="si","",RegContabilizados2[[#This Row],[Categoría]])</f>
        <v/>
      </c>
      <c r="N98" s="3" t="str">
        <f>IF(Regcontabilizados[[#This Row],[Eliminado]]="si","",RegContabilizados2[[#This Row],[Almacen]])</f>
        <v/>
      </c>
      <c r="O98" s="3" t="str">
        <f>IF(Regcontabilizados[[#This Row],[Eliminado]]="si","",RegContabilizados2[[#This Row],[Tipo de movimiento]])</f>
        <v/>
      </c>
      <c r="P98" s="1" t="str">
        <f>IF(Regcontabilizados[[#This Row],[Eliminado]]="si","",RegContabilizados2[[#This Row],[cantidad]])</f>
        <v/>
      </c>
      <c r="Q98" s="1" t="str">
        <f>IF(Regcontabilizados[[#This Row],[Eliminado]]="si","",RegContabilizados2[[#This Row],[VR unitario]])</f>
        <v/>
      </c>
      <c r="R98" s="1" t="str">
        <f>IF(Regcontabilizados[[#This Row],[Eliminado]]="si","",RegContabilizados2[[#This Row],[Subcuenta]])</f>
        <v/>
      </c>
      <c r="S98" s="1" t="str">
        <f>IF(Regcontabilizados[[#This Row],[Eliminado]]="si","",RegContabilizados2[[#This Row],[Debe]])</f>
        <v/>
      </c>
      <c r="T98" s="1" t="str">
        <f>IF(Regcontabilizados[[#This Row],[Eliminado]]="si","",RegContabilizados2[[#This Row],[Haber]])</f>
        <v/>
      </c>
      <c r="U98" s="1">
        <f>IFERROR((Regcontabilizados[[#This Row],[Debe]]-Regcontabilizados[[#This Row],[Haber]]),0)</f>
        <v>0</v>
      </c>
      <c r="V98" s="1">
        <f>IFERROR((+_xlfn.XLOOKUP(Regcontabilizados[[#This Row],[Subcuenta]],Tabla11[Cuenta],Tabla11[Descripción],0)),0)</f>
        <v>0</v>
      </c>
      <c r="W98" s="1">
        <f>IFERROR((_xlfn.XLOOKUP((VALUE(LEFT(Regcontabilizados[[#This Row],[Subcuenta]],4))),Tabla11[Cuenta],Tabla11[Descripción],0)),0)</f>
        <v>0</v>
      </c>
      <c r="X98" s="1">
        <f>IFERROR((_xlfn.XLOOKUP(Regcontabilizados[[#This Row],[Subcuenta]],Tabla11[Cuenta],Tabla11[Descripción],0)),0)</f>
        <v>0</v>
      </c>
      <c r="Y98" s="1" t="str">
        <f>IF((IFERROR((FIND((_xlfn.XLOOKUP(RegContabilizados2[[#This Row],[Idenficador]],FormtBorrados[formatos borrados],FormtBorrados[formatos borrados],0)),RegContabilizados2[[#This Row],[Idenficador]])),0))=1,"si","no")</f>
        <v>si</v>
      </c>
      <c r="Z98" s="1" t="str">
        <f>_xlfn.XLOOKUP(Regcontabilizados[[#This Row],[Subcuenta]],Tabla11[Cuenta],Tabla11[TIPO],"")</f>
        <v/>
      </c>
      <c r="AA98" s="1" t="str">
        <f>IFERROR((Regcontabilizados[[#This Row],[Subcuenta]]&amp;" "&amp;_xlfn.XLOOKUP(Regcontabilizados[[#This Row],[Subcuenta]],Tabla11[Cuenta],Tabla11[Descripción],0)),0)</f>
        <v xml:space="preserve"> 0</v>
      </c>
      <c r="AB98" s="1">
        <f>IFERROR((VALUE(LEFT(Regcontabilizados[[#This Row],[Subcuenta]],2))&amp;" "&amp;_xlfn.XLOOKUP((VALUE(LEFT(Regcontabilizados[[#This Row],[Subcuenta]],2))),Tabla11[Cuenta],Tabla11[Descripción],0)),0)</f>
        <v>0</v>
      </c>
      <c r="AC98" s="1">
        <f>IFERROR((VALUE(LEFT(Regcontabilizados[[#This Row],[Subcuenta]],4))&amp;" "&amp;_xlfn.XLOOKUP((VALUE(LEFT(Regcontabilizados[[#This Row],[Subcuenta]],4))),Tabla11[Cuenta],Tabla11[Descripción],0)),0)</f>
        <v>0</v>
      </c>
      <c r="AD98" s="1" t="str">
        <f>IF(Regcontabilizados[[#This Row],[Eliminado]]="si","",RegContabilizados2[[#This Row],[Estado de pago]])</f>
        <v/>
      </c>
      <c r="AE98" s="1" t="str">
        <f>IF(Regcontabilizados[[#This Row],[Eliminado]]="si","",RegContabilizados2[[#This Row],[Colum. Aux. Estado]])</f>
        <v/>
      </c>
      <c r="AF98" s="1" t="str">
        <f>IF(Regcontabilizados[[#This Row],[Eliminado]]="si","",RegContabilizados2[[#This Row],[Número de pago]])</f>
        <v/>
      </c>
      <c r="AG98" s="1" t="str">
        <f>IF(Regcontabilizados[[#This Row],[Eliminado]]="si","",RegContabilizados2[[#This Row],[Elaborado por]])</f>
        <v/>
      </c>
      <c r="AH98" s="1" t="str">
        <f>IF(Regcontabilizados[[#This Row],[Eliminado]]="si","",RegContabilizados2[[#This Row],[Notas]])</f>
        <v/>
      </c>
      <c r="AI98" s="1" t="str">
        <f>IF(Regcontabilizados[[#This Row],[Eliminado]]="si","",RegContabilizados2[[#This Row],[Método de pago]])</f>
        <v/>
      </c>
      <c r="AJ98" s="1" t="str">
        <f>IF(Regcontabilizados[[#This Row],[Eliminado]]="si","",RegContabilizados2[[#This Row],[Cta. Bancaria]])</f>
        <v/>
      </c>
      <c r="AO98" s="31">
        <v>45993</v>
      </c>
      <c r="AP98" s="31">
        <v>45993</v>
      </c>
      <c r="AQ98" s="3" t="s">
        <v>1242</v>
      </c>
      <c r="AR98" s="3">
        <v>1</v>
      </c>
      <c r="AS98" s="1" t="s">
        <v>766</v>
      </c>
      <c r="AT98" s="1" t="s">
        <v>901</v>
      </c>
      <c r="AV98" s="3">
        <v>333333</v>
      </c>
      <c r="AW98" s="3"/>
      <c r="AX98" s="3">
        <v>0</v>
      </c>
      <c r="AY98" s="3" t="s">
        <v>1001</v>
      </c>
      <c r="AZ98" s="3" t="s">
        <v>975</v>
      </c>
      <c r="BB98" s="1">
        <v>0</v>
      </c>
      <c r="BC98" s="1" t="s">
        <v>1168</v>
      </c>
      <c r="BD98" s="1">
        <v>0</v>
      </c>
      <c r="BE98" s="1">
        <v>0</v>
      </c>
      <c r="BF98" s="1">
        <f>IFERROR((RegContabilizados2[[#This Row],[Debe]]-RegContabilizados2[[#This Row],[Haber]]),0)</f>
        <v>0</v>
      </c>
      <c r="BG98" s="1">
        <f>IFERROR((+_xlfn.XLOOKUP(RegContabilizados2[[#This Row],[Subcuenta]],Tabla11[Cuenta],Tabla11[Descripción],0)),0)</f>
        <v>0</v>
      </c>
      <c r="BH98" s="1">
        <f>IFERROR((VALUE(LEFT(RegContabilizados2[[#This Row],[Subcuenta]],2))&amp;" "&amp;_xlfn.XLOOKUP((VALUE(LEFT(RegContabilizados2[[#This Row],[Subcuenta]],2))),Tabla11[Cuenta],Tabla11[Descripción],0)),0)</f>
        <v>0</v>
      </c>
      <c r="BI98" s="1">
        <f>IFERROR((VALUE(LEFT(RegContabilizados2[[#This Row],[Subcuenta]],4))&amp;" "&amp;_xlfn.XLOOKUP((VALUE(LEFT(RegContabilizados2[[#This Row],[Subcuenta]],4))),Tabla11[Cuenta],Tabla11[Descripción],0)),0)</f>
        <v>0</v>
      </c>
      <c r="BJ98" s="1" t="str">
        <f>IFERROR((RegContabilizados2[[#This Row],[Subcuenta]]&amp;" "&amp;_xlfn.XLOOKUP(RegContabilizados2[[#This Row],[Subcuenta]],Tabla11[Cuenta],Tabla11[Descripción],0)),0)</f>
        <v xml:space="preserve"> 0</v>
      </c>
      <c r="BK98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98" s="1" t="str">
        <f>IFERROR(LEFT(RegContabilizados2[[#This Row],[Idenficador]],SEARCH("-",RegContabilizados2[[#This Row],[Idenficador]])-1),0)</f>
        <v>4656566F. V.1</v>
      </c>
      <c r="BN98" s="1" t="s">
        <v>1169</v>
      </c>
    </row>
    <row r="99" spans="4:66">
      <c r="D99" s="31" t="str">
        <f>IF(Regcontabilizados[[#This Row],[Eliminado]]="si","",RegContabilizados2[[#This Row],[fecha Factura]])</f>
        <v/>
      </c>
      <c r="E99" s="31" t="str">
        <f>IF(Regcontabilizados[[#This Row],[Eliminado]]="si","",RegContabilizados2[[#This Row],[Fecha vencimiento]])</f>
        <v/>
      </c>
      <c r="F99" s="3" t="str">
        <f>IF(Regcontabilizados[[#This Row],[Eliminado]]="si","",RegContabilizados2[[#This Row],[Idenficador]])</f>
        <v/>
      </c>
      <c r="G99" s="3" t="str">
        <f>IF(Regcontabilizados[[#This Row],[Eliminado]]="si","",RegContabilizados2[[#This Row],[N° de factura/Pago]])</f>
        <v/>
      </c>
      <c r="H99" s="1" t="str">
        <f>IF(Regcontabilizados[[#This Row],[Eliminado]]="si","",RegContabilizados2[[#This Row],[Tipo de Factura]])</f>
        <v/>
      </c>
      <c r="I99" s="1" t="str">
        <f>IF(Regcontabilizados[[#This Row],[Eliminado]]="si","",RegContabilizados2[[#This Row],[ID Cliente]])</f>
        <v/>
      </c>
      <c r="J99" s="1" t="str">
        <f>IF(Regcontabilizados[[#This Row],[Eliminado]]="si","",RegContabilizados2[[#This Row],[ESTADO DEL IVA]])</f>
        <v/>
      </c>
      <c r="K99" s="3" t="str">
        <f>IF(Regcontabilizados[[#This Row],[Eliminado]]="si","",RegContabilizados2[[#This Row],[ID Proveedor]])</f>
        <v/>
      </c>
      <c r="L99" s="3" t="str">
        <f>IF(Regcontabilizados[[#This Row],[Eliminado]]="si","",RegContabilizados2[[#This Row],[Concepto]])</f>
        <v/>
      </c>
      <c r="M99" s="3" t="str">
        <f>IF(Regcontabilizados[[#This Row],[Eliminado]]="si","",RegContabilizados2[[#This Row],[Categoría]])</f>
        <v/>
      </c>
      <c r="N99" s="3" t="str">
        <f>IF(Regcontabilizados[[#This Row],[Eliminado]]="si","",RegContabilizados2[[#This Row],[Almacen]])</f>
        <v/>
      </c>
      <c r="O99" s="3" t="str">
        <f>IF(Regcontabilizados[[#This Row],[Eliminado]]="si","",RegContabilizados2[[#This Row],[Tipo de movimiento]])</f>
        <v/>
      </c>
      <c r="P99" s="1" t="str">
        <f>IF(Regcontabilizados[[#This Row],[Eliminado]]="si","",RegContabilizados2[[#This Row],[cantidad]])</f>
        <v/>
      </c>
      <c r="Q99" s="1" t="str">
        <f>IF(Regcontabilizados[[#This Row],[Eliminado]]="si","",RegContabilizados2[[#This Row],[VR unitario]])</f>
        <v/>
      </c>
      <c r="R99" s="1" t="str">
        <f>IF(Regcontabilizados[[#This Row],[Eliminado]]="si","",RegContabilizados2[[#This Row],[Subcuenta]])</f>
        <v/>
      </c>
      <c r="S99" s="1" t="str">
        <f>IF(Regcontabilizados[[#This Row],[Eliminado]]="si","",RegContabilizados2[[#This Row],[Debe]])</f>
        <v/>
      </c>
      <c r="T99" s="1" t="str">
        <f>IF(Regcontabilizados[[#This Row],[Eliminado]]="si","",RegContabilizados2[[#This Row],[Haber]])</f>
        <v/>
      </c>
      <c r="U99" s="1">
        <f>IFERROR((Regcontabilizados[[#This Row],[Debe]]-Regcontabilizados[[#This Row],[Haber]]),0)</f>
        <v>0</v>
      </c>
      <c r="V99" s="1">
        <f>IFERROR((+_xlfn.XLOOKUP(Regcontabilizados[[#This Row],[Subcuenta]],Tabla11[Cuenta],Tabla11[Descripción],0)),0)</f>
        <v>0</v>
      </c>
      <c r="W99" s="1">
        <f>IFERROR((_xlfn.XLOOKUP((VALUE(LEFT(Regcontabilizados[[#This Row],[Subcuenta]],4))),Tabla11[Cuenta],Tabla11[Descripción],0)),0)</f>
        <v>0</v>
      </c>
      <c r="X99" s="1">
        <f>IFERROR((_xlfn.XLOOKUP(Regcontabilizados[[#This Row],[Subcuenta]],Tabla11[Cuenta],Tabla11[Descripción],0)),0)</f>
        <v>0</v>
      </c>
      <c r="Y99" s="1" t="str">
        <f>IF((IFERROR((FIND((_xlfn.XLOOKUP(RegContabilizados2[[#This Row],[Idenficador]],FormtBorrados[formatos borrados],FormtBorrados[formatos borrados],0)),RegContabilizados2[[#This Row],[Idenficador]])),0))=1,"si","no")</f>
        <v>si</v>
      </c>
      <c r="Z99" s="1" t="str">
        <f>_xlfn.XLOOKUP(Regcontabilizados[[#This Row],[Subcuenta]],Tabla11[Cuenta],Tabla11[TIPO],"")</f>
        <v/>
      </c>
      <c r="AA99" s="1" t="str">
        <f>IFERROR((Regcontabilizados[[#This Row],[Subcuenta]]&amp;" "&amp;_xlfn.XLOOKUP(Regcontabilizados[[#This Row],[Subcuenta]],Tabla11[Cuenta],Tabla11[Descripción],0)),0)</f>
        <v xml:space="preserve"> 0</v>
      </c>
      <c r="AB99" s="1">
        <f>IFERROR((VALUE(LEFT(Regcontabilizados[[#This Row],[Subcuenta]],2))&amp;" "&amp;_xlfn.XLOOKUP((VALUE(LEFT(Regcontabilizados[[#This Row],[Subcuenta]],2))),Tabla11[Cuenta],Tabla11[Descripción],0)),0)</f>
        <v>0</v>
      </c>
      <c r="AC99" s="1">
        <f>IFERROR((VALUE(LEFT(Regcontabilizados[[#This Row],[Subcuenta]],4))&amp;" "&amp;_xlfn.XLOOKUP((VALUE(LEFT(Regcontabilizados[[#This Row],[Subcuenta]],4))),Tabla11[Cuenta],Tabla11[Descripción],0)),0)</f>
        <v>0</v>
      </c>
      <c r="AD99" s="1" t="str">
        <f>IF(Regcontabilizados[[#This Row],[Eliminado]]="si","",RegContabilizados2[[#This Row],[Estado de pago]])</f>
        <v/>
      </c>
      <c r="AE99" s="1" t="str">
        <f>IF(Regcontabilizados[[#This Row],[Eliminado]]="si","",RegContabilizados2[[#This Row],[Colum. Aux. Estado]])</f>
        <v/>
      </c>
      <c r="AF99" s="1" t="str">
        <f>IF(Regcontabilizados[[#This Row],[Eliminado]]="si","",RegContabilizados2[[#This Row],[Número de pago]])</f>
        <v/>
      </c>
      <c r="AG99" s="1" t="str">
        <f>IF(Regcontabilizados[[#This Row],[Eliminado]]="si","",RegContabilizados2[[#This Row],[Elaborado por]])</f>
        <v/>
      </c>
      <c r="AH99" s="1" t="str">
        <f>IF(Regcontabilizados[[#This Row],[Eliminado]]="si","",RegContabilizados2[[#This Row],[Notas]])</f>
        <v/>
      </c>
      <c r="AI99" s="1" t="str">
        <f>IF(Regcontabilizados[[#This Row],[Eliminado]]="si","",RegContabilizados2[[#This Row],[Método de pago]])</f>
        <v/>
      </c>
      <c r="AJ99" s="1" t="str">
        <f>IF(Regcontabilizados[[#This Row],[Eliminado]]="si","",RegContabilizados2[[#This Row],[Cta. Bancaria]])</f>
        <v/>
      </c>
      <c r="AO99" s="31">
        <v>45993</v>
      </c>
      <c r="AP99" s="31">
        <v>45993</v>
      </c>
      <c r="AQ99" s="3" t="s">
        <v>1243</v>
      </c>
      <c r="AR99" s="3">
        <v>1</v>
      </c>
      <c r="AS99" s="1" t="s">
        <v>766</v>
      </c>
      <c r="AT99" s="1" t="s">
        <v>901</v>
      </c>
      <c r="AV99" s="3">
        <v>333333</v>
      </c>
      <c r="AW99" s="3"/>
      <c r="AX99" s="3">
        <v>0</v>
      </c>
      <c r="AY99" s="3" t="s">
        <v>1001</v>
      </c>
      <c r="AZ99" s="3" t="s">
        <v>975</v>
      </c>
      <c r="BB99" s="1">
        <v>0</v>
      </c>
      <c r="BC99" s="1" t="s">
        <v>1168</v>
      </c>
      <c r="BD99" s="1">
        <v>0</v>
      </c>
      <c r="BE99" s="1">
        <v>0</v>
      </c>
      <c r="BF99" s="1">
        <f>IFERROR((RegContabilizados2[[#This Row],[Debe]]-RegContabilizados2[[#This Row],[Haber]]),0)</f>
        <v>0</v>
      </c>
      <c r="BG99" s="1">
        <f>IFERROR((+_xlfn.XLOOKUP(RegContabilizados2[[#This Row],[Subcuenta]],Tabla11[Cuenta],Tabla11[Descripción],0)),0)</f>
        <v>0</v>
      </c>
      <c r="BH99" s="1">
        <f>IFERROR((VALUE(LEFT(RegContabilizados2[[#This Row],[Subcuenta]],2))&amp;" "&amp;_xlfn.XLOOKUP((VALUE(LEFT(RegContabilizados2[[#This Row],[Subcuenta]],2))),Tabla11[Cuenta],Tabla11[Descripción],0)),0)</f>
        <v>0</v>
      </c>
      <c r="BI99" s="1">
        <f>IFERROR((VALUE(LEFT(RegContabilizados2[[#This Row],[Subcuenta]],4))&amp;" "&amp;_xlfn.XLOOKUP((VALUE(LEFT(RegContabilizados2[[#This Row],[Subcuenta]],4))),Tabla11[Cuenta],Tabla11[Descripción],0)),0)</f>
        <v>0</v>
      </c>
      <c r="BJ99" s="1" t="str">
        <f>IFERROR((RegContabilizados2[[#This Row],[Subcuenta]]&amp;" "&amp;_xlfn.XLOOKUP(RegContabilizados2[[#This Row],[Subcuenta]],Tabla11[Cuenta],Tabla11[Descripción],0)),0)</f>
        <v xml:space="preserve"> 0</v>
      </c>
      <c r="BK99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99" s="1" t="str">
        <f>IFERROR(LEFT(RegContabilizados2[[#This Row],[Idenficador]],SEARCH("-",RegContabilizados2[[#This Row],[Idenficador]])-1),0)</f>
        <v>4656566F. V.1</v>
      </c>
      <c r="BN99" s="1" t="s">
        <v>1169</v>
      </c>
    </row>
    <row r="100" spans="4:66">
      <c r="D100" s="31" t="str">
        <f>IF(Regcontabilizados[[#This Row],[Eliminado]]="si","",RegContabilizados2[[#This Row],[fecha Factura]])</f>
        <v/>
      </c>
      <c r="E100" s="31" t="str">
        <f>IF(Regcontabilizados[[#This Row],[Eliminado]]="si","",RegContabilizados2[[#This Row],[Fecha vencimiento]])</f>
        <v/>
      </c>
      <c r="F100" s="3" t="str">
        <f>IF(Regcontabilizados[[#This Row],[Eliminado]]="si","",RegContabilizados2[[#This Row],[Idenficador]])</f>
        <v/>
      </c>
      <c r="G100" s="3" t="str">
        <f>IF(Regcontabilizados[[#This Row],[Eliminado]]="si","",RegContabilizados2[[#This Row],[N° de factura/Pago]])</f>
        <v/>
      </c>
      <c r="H100" s="1" t="str">
        <f>IF(Regcontabilizados[[#This Row],[Eliminado]]="si","",RegContabilizados2[[#This Row],[Tipo de Factura]])</f>
        <v/>
      </c>
      <c r="I100" s="1" t="str">
        <f>IF(Regcontabilizados[[#This Row],[Eliminado]]="si","",RegContabilizados2[[#This Row],[ID Cliente]])</f>
        <v/>
      </c>
      <c r="J100" s="1" t="str">
        <f>IF(Regcontabilizados[[#This Row],[Eliminado]]="si","",RegContabilizados2[[#This Row],[ESTADO DEL IVA]])</f>
        <v/>
      </c>
      <c r="K100" s="3" t="str">
        <f>IF(Regcontabilizados[[#This Row],[Eliminado]]="si","",RegContabilizados2[[#This Row],[ID Proveedor]])</f>
        <v/>
      </c>
      <c r="L100" s="3" t="str">
        <f>IF(Regcontabilizados[[#This Row],[Eliminado]]="si","",RegContabilizados2[[#This Row],[Concepto]])</f>
        <v/>
      </c>
      <c r="M100" s="3" t="str">
        <f>IF(Regcontabilizados[[#This Row],[Eliminado]]="si","",RegContabilizados2[[#This Row],[Categoría]])</f>
        <v/>
      </c>
      <c r="N100" s="3" t="str">
        <f>IF(Regcontabilizados[[#This Row],[Eliminado]]="si","",RegContabilizados2[[#This Row],[Almacen]])</f>
        <v/>
      </c>
      <c r="O100" s="3" t="str">
        <f>IF(Regcontabilizados[[#This Row],[Eliminado]]="si","",RegContabilizados2[[#This Row],[Tipo de movimiento]])</f>
        <v/>
      </c>
      <c r="P100" s="1" t="str">
        <f>IF(Regcontabilizados[[#This Row],[Eliminado]]="si","",RegContabilizados2[[#This Row],[cantidad]])</f>
        <v/>
      </c>
      <c r="Q100" s="1" t="str">
        <f>IF(Regcontabilizados[[#This Row],[Eliminado]]="si","",RegContabilizados2[[#This Row],[VR unitario]])</f>
        <v/>
      </c>
      <c r="R100" s="1" t="str">
        <f>IF(Regcontabilizados[[#This Row],[Eliminado]]="si","",RegContabilizados2[[#This Row],[Subcuenta]])</f>
        <v/>
      </c>
      <c r="S100" s="1" t="str">
        <f>IF(Regcontabilizados[[#This Row],[Eliminado]]="si","",RegContabilizados2[[#This Row],[Debe]])</f>
        <v/>
      </c>
      <c r="T100" s="1" t="str">
        <f>IF(Regcontabilizados[[#This Row],[Eliminado]]="si","",RegContabilizados2[[#This Row],[Haber]])</f>
        <v/>
      </c>
      <c r="U100" s="1">
        <f>IFERROR((Regcontabilizados[[#This Row],[Debe]]-Regcontabilizados[[#This Row],[Haber]]),0)</f>
        <v>0</v>
      </c>
      <c r="V100" s="1">
        <f>IFERROR((+_xlfn.XLOOKUP(Regcontabilizados[[#This Row],[Subcuenta]],Tabla11[Cuenta],Tabla11[Descripción],0)),0)</f>
        <v>0</v>
      </c>
      <c r="W100" s="1">
        <f>IFERROR((_xlfn.XLOOKUP((VALUE(LEFT(Regcontabilizados[[#This Row],[Subcuenta]],4))),Tabla11[Cuenta],Tabla11[Descripción],0)),0)</f>
        <v>0</v>
      </c>
      <c r="X100" s="1">
        <f>IFERROR((_xlfn.XLOOKUP(Regcontabilizados[[#This Row],[Subcuenta]],Tabla11[Cuenta],Tabla11[Descripción],0)),0)</f>
        <v>0</v>
      </c>
      <c r="Y100" s="1" t="str">
        <f>IF((IFERROR((FIND((_xlfn.XLOOKUP(RegContabilizados2[[#This Row],[Idenficador]],FormtBorrados[formatos borrados],FormtBorrados[formatos borrados],0)),RegContabilizados2[[#This Row],[Idenficador]])),0))=1,"si","no")</f>
        <v>si</v>
      </c>
      <c r="Z100" s="1" t="str">
        <f>_xlfn.XLOOKUP(Regcontabilizados[[#This Row],[Subcuenta]],Tabla11[Cuenta],Tabla11[TIPO],"")</f>
        <v/>
      </c>
      <c r="AA100" s="1" t="str">
        <f>IFERROR((Regcontabilizados[[#This Row],[Subcuenta]]&amp;" "&amp;_xlfn.XLOOKUP(Regcontabilizados[[#This Row],[Subcuenta]],Tabla11[Cuenta],Tabla11[Descripción],0)),0)</f>
        <v xml:space="preserve"> 0</v>
      </c>
      <c r="AB100" s="1">
        <f>IFERROR((VALUE(LEFT(Regcontabilizados[[#This Row],[Subcuenta]],2))&amp;" "&amp;_xlfn.XLOOKUP((VALUE(LEFT(Regcontabilizados[[#This Row],[Subcuenta]],2))),Tabla11[Cuenta],Tabla11[Descripción],0)),0)</f>
        <v>0</v>
      </c>
      <c r="AC100" s="1">
        <f>IFERROR((VALUE(LEFT(Regcontabilizados[[#This Row],[Subcuenta]],4))&amp;" "&amp;_xlfn.XLOOKUP((VALUE(LEFT(Regcontabilizados[[#This Row],[Subcuenta]],4))),Tabla11[Cuenta],Tabla11[Descripción],0)),0)</f>
        <v>0</v>
      </c>
      <c r="AD100" s="1" t="str">
        <f>IF(Regcontabilizados[[#This Row],[Eliminado]]="si","",RegContabilizados2[[#This Row],[Estado de pago]])</f>
        <v/>
      </c>
      <c r="AE100" s="1" t="str">
        <f>IF(Regcontabilizados[[#This Row],[Eliminado]]="si","",RegContabilizados2[[#This Row],[Colum. Aux. Estado]])</f>
        <v/>
      </c>
      <c r="AF100" s="1" t="str">
        <f>IF(Regcontabilizados[[#This Row],[Eliminado]]="si","",RegContabilizados2[[#This Row],[Número de pago]])</f>
        <v/>
      </c>
      <c r="AG100" s="1" t="str">
        <f>IF(Regcontabilizados[[#This Row],[Eliminado]]="si","",RegContabilizados2[[#This Row],[Elaborado por]])</f>
        <v/>
      </c>
      <c r="AH100" s="1" t="str">
        <f>IF(Regcontabilizados[[#This Row],[Eliminado]]="si","",RegContabilizados2[[#This Row],[Notas]])</f>
        <v/>
      </c>
      <c r="AI100" s="1" t="str">
        <f>IF(Regcontabilizados[[#This Row],[Eliminado]]="si","",RegContabilizados2[[#This Row],[Método de pago]])</f>
        <v/>
      </c>
      <c r="AJ100" s="1" t="str">
        <f>IF(Regcontabilizados[[#This Row],[Eliminado]]="si","",RegContabilizados2[[#This Row],[Cta. Bancaria]])</f>
        <v/>
      </c>
      <c r="AO100" s="31">
        <v>45993</v>
      </c>
      <c r="AP100" s="31">
        <v>45993</v>
      </c>
      <c r="AQ100" s="3" t="s">
        <v>1244</v>
      </c>
      <c r="AR100" s="3">
        <v>1</v>
      </c>
      <c r="AS100" s="1" t="s">
        <v>766</v>
      </c>
      <c r="AT100" s="1" t="s">
        <v>901</v>
      </c>
      <c r="AV100" s="3">
        <v>333333</v>
      </c>
      <c r="AW100" s="3"/>
      <c r="AX100" s="3">
        <v>0</v>
      </c>
      <c r="AY100" s="3" t="s">
        <v>1001</v>
      </c>
      <c r="AZ100" s="3" t="s">
        <v>975</v>
      </c>
      <c r="BB100" s="1">
        <v>0</v>
      </c>
      <c r="BC100" s="1" t="s">
        <v>1168</v>
      </c>
      <c r="BD100" s="1">
        <v>0</v>
      </c>
      <c r="BE100" s="1">
        <v>0</v>
      </c>
      <c r="BF100" s="1">
        <f>IFERROR((RegContabilizados2[[#This Row],[Debe]]-RegContabilizados2[[#This Row],[Haber]]),0)</f>
        <v>0</v>
      </c>
      <c r="BG100" s="1">
        <f>IFERROR((+_xlfn.XLOOKUP(RegContabilizados2[[#This Row],[Subcuenta]],Tabla11[Cuenta],Tabla11[Descripción],0)),0)</f>
        <v>0</v>
      </c>
      <c r="BH100" s="1">
        <f>IFERROR((VALUE(LEFT(RegContabilizados2[[#This Row],[Subcuenta]],2))&amp;" "&amp;_xlfn.XLOOKUP((VALUE(LEFT(RegContabilizados2[[#This Row],[Subcuenta]],2))),Tabla11[Cuenta],Tabla11[Descripción],0)),0)</f>
        <v>0</v>
      </c>
      <c r="BI100" s="1">
        <f>IFERROR((VALUE(LEFT(RegContabilizados2[[#This Row],[Subcuenta]],4))&amp;" "&amp;_xlfn.XLOOKUP((VALUE(LEFT(RegContabilizados2[[#This Row],[Subcuenta]],4))),Tabla11[Cuenta],Tabla11[Descripción],0)),0)</f>
        <v>0</v>
      </c>
      <c r="BJ100" s="1" t="str">
        <f>IFERROR((RegContabilizados2[[#This Row],[Subcuenta]]&amp;" "&amp;_xlfn.XLOOKUP(RegContabilizados2[[#This Row],[Subcuenta]],Tabla11[Cuenta],Tabla11[Descripción],0)),0)</f>
        <v xml:space="preserve"> 0</v>
      </c>
      <c r="BK100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100" s="1" t="str">
        <f>IFERROR(LEFT(RegContabilizados2[[#This Row],[Idenficador]],SEARCH("-",RegContabilizados2[[#This Row],[Idenficador]])-1),0)</f>
        <v>4656566F. V.1</v>
      </c>
      <c r="BN100" s="1" t="s">
        <v>1169</v>
      </c>
    </row>
    <row r="101" spans="4:66">
      <c r="D101" s="31" t="str">
        <f>IF(Regcontabilizados[[#This Row],[Eliminado]]="si","",RegContabilizados2[[#This Row],[fecha Factura]])</f>
        <v/>
      </c>
      <c r="E101" s="31" t="str">
        <f>IF(Regcontabilizados[[#This Row],[Eliminado]]="si","",RegContabilizados2[[#This Row],[Fecha vencimiento]])</f>
        <v/>
      </c>
      <c r="F101" s="3" t="str">
        <f>IF(Regcontabilizados[[#This Row],[Eliminado]]="si","",RegContabilizados2[[#This Row],[Idenficador]])</f>
        <v/>
      </c>
      <c r="G101" s="3" t="str">
        <f>IF(Regcontabilizados[[#This Row],[Eliminado]]="si","",RegContabilizados2[[#This Row],[N° de factura/Pago]])</f>
        <v/>
      </c>
      <c r="H101" s="1" t="str">
        <f>IF(Regcontabilizados[[#This Row],[Eliminado]]="si","",RegContabilizados2[[#This Row],[Tipo de Factura]])</f>
        <v/>
      </c>
      <c r="I101" s="1" t="str">
        <f>IF(Regcontabilizados[[#This Row],[Eliminado]]="si","",RegContabilizados2[[#This Row],[ID Cliente]])</f>
        <v/>
      </c>
      <c r="J101" s="1" t="str">
        <f>IF(Regcontabilizados[[#This Row],[Eliminado]]="si","",RegContabilizados2[[#This Row],[ESTADO DEL IVA]])</f>
        <v/>
      </c>
      <c r="K101" s="3" t="str">
        <f>IF(Regcontabilizados[[#This Row],[Eliminado]]="si","",RegContabilizados2[[#This Row],[ID Proveedor]])</f>
        <v/>
      </c>
      <c r="L101" s="3" t="str">
        <f>IF(Regcontabilizados[[#This Row],[Eliminado]]="si","",RegContabilizados2[[#This Row],[Concepto]])</f>
        <v/>
      </c>
      <c r="M101" s="3" t="str">
        <f>IF(Regcontabilizados[[#This Row],[Eliminado]]="si","",RegContabilizados2[[#This Row],[Categoría]])</f>
        <v/>
      </c>
      <c r="N101" s="3" t="str">
        <f>IF(Regcontabilizados[[#This Row],[Eliminado]]="si","",RegContabilizados2[[#This Row],[Almacen]])</f>
        <v/>
      </c>
      <c r="O101" s="3" t="str">
        <f>IF(Regcontabilizados[[#This Row],[Eliminado]]="si","",RegContabilizados2[[#This Row],[Tipo de movimiento]])</f>
        <v/>
      </c>
      <c r="P101" s="1" t="str">
        <f>IF(Regcontabilizados[[#This Row],[Eliminado]]="si","",RegContabilizados2[[#This Row],[cantidad]])</f>
        <v/>
      </c>
      <c r="Q101" s="1" t="str">
        <f>IF(Regcontabilizados[[#This Row],[Eliminado]]="si","",RegContabilizados2[[#This Row],[VR unitario]])</f>
        <v/>
      </c>
      <c r="R101" s="1" t="str">
        <f>IF(Regcontabilizados[[#This Row],[Eliminado]]="si","",RegContabilizados2[[#This Row],[Subcuenta]])</f>
        <v/>
      </c>
      <c r="S101" s="1" t="str">
        <f>IF(Regcontabilizados[[#This Row],[Eliminado]]="si","",RegContabilizados2[[#This Row],[Debe]])</f>
        <v/>
      </c>
      <c r="T101" s="1" t="str">
        <f>IF(Regcontabilizados[[#This Row],[Eliminado]]="si","",RegContabilizados2[[#This Row],[Haber]])</f>
        <v/>
      </c>
      <c r="U101" s="1">
        <f>IFERROR((Regcontabilizados[[#This Row],[Debe]]-Regcontabilizados[[#This Row],[Haber]]),0)</f>
        <v>0</v>
      </c>
      <c r="V101" s="1">
        <f>IFERROR((+_xlfn.XLOOKUP(Regcontabilizados[[#This Row],[Subcuenta]],Tabla11[Cuenta],Tabla11[Descripción],0)),0)</f>
        <v>0</v>
      </c>
      <c r="W101" s="1">
        <f>IFERROR((_xlfn.XLOOKUP((VALUE(LEFT(Regcontabilizados[[#This Row],[Subcuenta]],4))),Tabla11[Cuenta],Tabla11[Descripción],0)),0)</f>
        <v>0</v>
      </c>
      <c r="X101" s="1">
        <f>IFERROR((_xlfn.XLOOKUP(Regcontabilizados[[#This Row],[Subcuenta]],Tabla11[Cuenta],Tabla11[Descripción],0)),0)</f>
        <v>0</v>
      </c>
      <c r="Y101" s="1" t="str">
        <f>IF((IFERROR((FIND((_xlfn.XLOOKUP(RegContabilizados2[[#This Row],[Idenficador]],FormtBorrados[formatos borrados],FormtBorrados[formatos borrados],0)),RegContabilizados2[[#This Row],[Idenficador]])),0))=1,"si","no")</f>
        <v>si</v>
      </c>
      <c r="Z101" s="1" t="str">
        <f>_xlfn.XLOOKUP(Regcontabilizados[[#This Row],[Subcuenta]],Tabla11[Cuenta],Tabla11[TIPO],"")</f>
        <v/>
      </c>
      <c r="AA101" s="1" t="str">
        <f>IFERROR((Regcontabilizados[[#This Row],[Subcuenta]]&amp;" "&amp;_xlfn.XLOOKUP(Regcontabilizados[[#This Row],[Subcuenta]],Tabla11[Cuenta],Tabla11[Descripción],0)),0)</f>
        <v xml:space="preserve"> 0</v>
      </c>
      <c r="AB101" s="1">
        <f>IFERROR((VALUE(LEFT(Regcontabilizados[[#This Row],[Subcuenta]],2))&amp;" "&amp;_xlfn.XLOOKUP((VALUE(LEFT(Regcontabilizados[[#This Row],[Subcuenta]],2))),Tabla11[Cuenta],Tabla11[Descripción],0)),0)</f>
        <v>0</v>
      </c>
      <c r="AC101" s="1">
        <f>IFERROR((VALUE(LEFT(Regcontabilizados[[#This Row],[Subcuenta]],4))&amp;" "&amp;_xlfn.XLOOKUP((VALUE(LEFT(Regcontabilizados[[#This Row],[Subcuenta]],4))),Tabla11[Cuenta],Tabla11[Descripción],0)),0)</f>
        <v>0</v>
      </c>
      <c r="AD101" s="1" t="str">
        <f>IF(Regcontabilizados[[#This Row],[Eliminado]]="si","",RegContabilizados2[[#This Row],[Estado de pago]])</f>
        <v/>
      </c>
      <c r="AE101" s="1" t="str">
        <f>IF(Regcontabilizados[[#This Row],[Eliminado]]="si","",RegContabilizados2[[#This Row],[Colum. Aux. Estado]])</f>
        <v/>
      </c>
      <c r="AF101" s="1" t="str">
        <f>IF(Regcontabilizados[[#This Row],[Eliminado]]="si","",RegContabilizados2[[#This Row],[Número de pago]])</f>
        <v/>
      </c>
      <c r="AG101" s="1" t="str">
        <f>IF(Regcontabilizados[[#This Row],[Eliminado]]="si","",RegContabilizados2[[#This Row],[Elaborado por]])</f>
        <v/>
      </c>
      <c r="AH101" s="1" t="str">
        <f>IF(Regcontabilizados[[#This Row],[Eliminado]]="si","",RegContabilizados2[[#This Row],[Notas]])</f>
        <v/>
      </c>
      <c r="AI101" s="1" t="str">
        <f>IF(Regcontabilizados[[#This Row],[Eliminado]]="si","",RegContabilizados2[[#This Row],[Método de pago]])</f>
        <v/>
      </c>
      <c r="AJ101" s="1" t="str">
        <f>IF(Regcontabilizados[[#This Row],[Eliminado]]="si","",RegContabilizados2[[#This Row],[Cta. Bancaria]])</f>
        <v/>
      </c>
      <c r="AO101" s="31">
        <v>45993</v>
      </c>
      <c r="AP101" s="31">
        <v>45993</v>
      </c>
      <c r="AQ101" s="3" t="s">
        <v>1245</v>
      </c>
      <c r="AR101" s="3">
        <v>1</v>
      </c>
      <c r="AS101" s="1" t="s">
        <v>766</v>
      </c>
      <c r="AT101" s="1" t="s">
        <v>901</v>
      </c>
      <c r="AV101" s="3">
        <v>333333</v>
      </c>
      <c r="AW101" s="3"/>
      <c r="AX101" s="3">
        <v>0</v>
      </c>
      <c r="AY101" s="3" t="s">
        <v>1001</v>
      </c>
      <c r="AZ101" s="3" t="s">
        <v>975</v>
      </c>
      <c r="BB101" s="1">
        <v>0</v>
      </c>
      <c r="BC101" s="1" t="s">
        <v>1168</v>
      </c>
      <c r="BD101" s="1">
        <v>0</v>
      </c>
      <c r="BE101" s="1">
        <v>0</v>
      </c>
      <c r="BF101" s="1">
        <f>IFERROR((RegContabilizados2[[#This Row],[Debe]]-RegContabilizados2[[#This Row],[Haber]]),0)</f>
        <v>0</v>
      </c>
      <c r="BG101" s="1">
        <f>IFERROR((+_xlfn.XLOOKUP(RegContabilizados2[[#This Row],[Subcuenta]],Tabla11[Cuenta],Tabla11[Descripción],0)),0)</f>
        <v>0</v>
      </c>
      <c r="BH101" s="1">
        <f>IFERROR((VALUE(LEFT(RegContabilizados2[[#This Row],[Subcuenta]],2))&amp;" "&amp;_xlfn.XLOOKUP((VALUE(LEFT(RegContabilizados2[[#This Row],[Subcuenta]],2))),Tabla11[Cuenta],Tabla11[Descripción],0)),0)</f>
        <v>0</v>
      </c>
      <c r="BI101" s="1">
        <f>IFERROR((VALUE(LEFT(RegContabilizados2[[#This Row],[Subcuenta]],4))&amp;" "&amp;_xlfn.XLOOKUP((VALUE(LEFT(RegContabilizados2[[#This Row],[Subcuenta]],4))),Tabla11[Cuenta],Tabla11[Descripción],0)),0)</f>
        <v>0</v>
      </c>
      <c r="BJ101" s="1" t="str">
        <f>IFERROR((RegContabilizados2[[#This Row],[Subcuenta]]&amp;" "&amp;_xlfn.XLOOKUP(RegContabilizados2[[#This Row],[Subcuenta]],Tabla11[Cuenta],Tabla11[Descripción],0)),0)</f>
        <v xml:space="preserve"> 0</v>
      </c>
      <c r="BK101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101" s="1" t="str">
        <f>IFERROR(LEFT(RegContabilizados2[[#This Row],[Idenficador]],SEARCH("-",RegContabilizados2[[#This Row],[Idenficador]])-1),0)</f>
        <v>4656566F. V.1</v>
      </c>
      <c r="BN101" s="1" t="s">
        <v>1169</v>
      </c>
    </row>
    <row r="102" spans="4:66">
      <c r="D102" s="31" t="str">
        <f>IF(Regcontabilizados[[#This Row],[Eliminado]]="si","",RegContabilizados2[[#This Row],[fecha Factura]])</f>
        <v/>
      </c>
      <c r="E102" s="31" t="str">
        <f>IF(Regcontabilizados[[#This Row],[Eliminado]]="si","",RegContabilizados2[[#This Row],[Fecha vencimiento]])</f>
        <v/>
      </c>
      <c r="F102" s="3" t="str">
        <f>IF(Regcontabilizados[[#This Row],[Eliminado]]="si","",RegContabilizados2[[#This Row],[Idenficador]])</f>
        <v/>
      </c>
      <c r="G102" s="3" t="str">
        <f>IF(Regcontabilizados[[#This Row],[Eliminado]]="si","",RegContabilizados2[[#This Row],[N° de factura/Pago]])</f>
        <v/>
      </c>
      <c r="H102" s="1" t="str">
        <f>IF(Regcontabilizados[[#This Row],[Eliminado]]="si","",RegContabilizados2[[#This Row],[Tipo de Factura]])</f>
        <v/>
      </c>
      <c r="I102" s="1" t="str">
        <f>IF(Regcontabilizados[[#This Row],[Eliminado]]="si","",RegContabilizados2[[#This Row],[ID Cliente]])</f>
        <v/>
      </c>
      <c r="J102" s="1" t="str">
        <f>IF(Regcontabilizados[[#This Row],[Eliminado]]="si","",RegContabilizados2[[#This Row],[ESTADO DEL IVA]])</f>
        <v/>
      </c>
      <c r="K102" s="3" t="str">
        <f>IF(Regcontabilizados[[#This Row],[Eliminado]]="si","",RegContabilizados2[[#This Row],[ID Proveedor]])</f>
        <v/>
      </c>
      <c r="L102" s="3" t="str">
        <f>IF(Regcontabilizados[[#This Row],[Eliminado]]="si","",RegContabilizados2[[#This Row],[Concepto]])</f>
        <v/>
      </c>
      <c r="M102" s="3" t="str">
        <f>IF(Regcontabilizados[[#This Row],[Eliminado]]="si","",RegContabilizados2[[#This Row],[Categoría]])</f>
        <v/>
      </c>
      <c r="N102" s="3" t="str">
        <f>IF(Regcontabilizados[[#This Row],[Eliminado]]="si","",RegContabilizados2[[#This Row],[Almacen]])</f>
        <v/>
      </c>
      <c r="O102" s="3" t="str">
        <f>IF(Regcontabilizados[[#This Row],[Eliminado]]="si","",RegContabilizados2[[#This Row],[Tipo de movimiento]])</f>
        <v/>
      </c>
      <c r="P102" s="1" t="str">
        <f>IF(Regcontabilizados[[#This Row],[Eliminado]]="si","",RegContabilizados2[[#This Row],[cantidad]])</f>
        <v/>
      </c>
      <c r="Q102" s="1" t="str">
        <f>IF(Regcontabilizados[[#This Row],[Eliminado]]="si","",RegContabilizados2[[#This Row],[VR unitario]])</f>
        <v/>
      </c>
      <c r="R102" s="1" t="str">
        <f>IF(Regcontabilizados[[#This Row],[Eliminado]]="si","",RegContabilizados2[[#This Row],[Subcuenta]])</f>
        <v/>
      </c>
      <c r="S102" s="1" t="str">
        <f>IF(Regcontabilizados[[#This Row],[Eliminado]]="si","",RegContabilizados2[[#This Row],[Debe]])</f>
        <v/>
      </c>
      <c r="T102" s="1" t="str">
        <f>IF(Regcontabilizados[[#This Row],[Eliminado]]="si","",RegContabilizados2[[#This Row],[Haber]])</f>
        <v/>
      </c>
      <c r="U102" s="1">
        <f>IFERROR((Regcontabilizados[[#This Row],[Debe]]-Regcontabilizados[[#This Row],[Haber]]),0)</f>
        <v>0</v>
      </c>
      <c r="V102" s="1">
        <f>IFERROR((+_xlfn.XLOOKUP(Regcontabilizados[[#This Row],[Subcuenta]],Tabla11[Cuenta],Tabla11[Descripción],0)),0)</f>
        <v>0</v>
      </c>
      <c r="W102" s="1">
        <f>IFERROR((_xlfn.XLOOKUP((VALUE(LEFT(Regcontabilizados[[#This Row],[Subcuenta]],4))),Tabla11[Cuenta],Tabla11[Descripción],0)),0)</f>
        <v>0</v>
      </c>
      <c r="X102" s="1">
        <f>IFERROR((_xlfn.XLOOKUP(Regcontabilizados[[#This Row],[Subcuenta]],Tabla11[Cuenta],Tabla11[Descripción],0)),0)</f>
        <v>0</v>
      </c>
      <c r="Y102" s="1" t="str">
        <f>IF((IFERROR((FIND((_xlfn.XLOOKUP(RegContabilizados2[[#This Row],[Idenficador]],FormtBorrados[formatos borrados],FormtBorrados[formatos borrados],0)),RegContabilizados2[[#This Row],[Idenficador]])),0))=1,"si","no")</f>
        <v>si</v>
      </c>
      <c r="Z102" s="1" t="str">
        <f>_xlfn.XLOOKUP(Regcontabilizados[[#This Row],[Subcuenta]],Tabla11[Cuenta],Tabla11[TIPO],"")</f>
        <v/>
      </c>
      <c r="AA102" s="1" t="str">
        <f>IFERROR((Regcontabilizados[[#This Row],[Subcuenta]]&amp;" "&amp;_xlfn.XLOOKUP(Regcontabilizados[[#This Row],[Subcuenta]],Tabla11[Cuenta],Tabla11[Descripción],0)),0)</f>
        <v xml:space="preserve"> 0</v>
      </c>
      <c r="AB102" s="1">
        <f>IFERROR((VALUE(LEFT(Regcontabilizados[[#This Row],[Subcuenta]],2))&amp;" "&amp;_xlfn.XLOOKUP((VALUE(LEFT(Regcontabilizados[[#This Row],[Subcuenta]],2))),Tabla11[Cuenta],Tabla11[Descripción],0)),0)</f>
        <v>0</v>
      </c>
      <c r="AC102" s="1">
        <f>IFERROR((VALUE(LEFT(Regcontabilizados[[#This Row],[Subcuenta]],4))&amp;" "&amp;_xlfn.XLOOKUP((VALUE(LEFT(Regcontabilizados[[#This Row],[Subcuenta]],4))),Tabla11[Cuenta],Tabla11[Descripción],0)),0)</f>
        <v>0</v>
      </c>
      <c r="AD102" s="1" t="str">
        <f>IF(Regcontabilizados[[#This Row],[Eliminado]]="si","",RegContabilizados2[[#This Row],[Estado de pago]])</f>
        <v/>
      </c>
      <c r="AE102" s="1" t="str">
        <f>IF(Regcontabilizados[[#This Row],[Eliminado]]="si","",RegContabilizados2[[#This Row],[Colum. Aux. Estado]])</f>
        <v/>
      </c>
      <c r="AF102" s="1" t="str">
        <f>IF(Regcontabilizados[[#This Row],[Eliminado]]="si","",RegContabilizados2[[#This Row],[Número de pago]])</f>
        <v/>
      </c>
      <c r="AG102" s="1" t="str">
        <f>IF(Regcontabilizados[[#This Row],[Eliminado]]="si","",RegContabilizados2[[#This Row],[Elaborado por]])</f>
        <v/>
      </c>
      <c r="AH102" s="1" t="str">
        <f>IF(Regcontabilizados[[#This Row],[Eliminado]]="si","",RegContabilizados2[[#This Row],[Notas]])</f>
        <v/>
      </c>
      <c r="AI102" s="1" t="str">
        <f>IF(Regcontabilizados[[#This Row],[Eliminado]]="si","",RegContabilizados2[[#This Row],[Método de pago]])</f>
        <v/>
      </c>
      <c r="AJ102" s="1" t="str">
        <f>IF(Regcontabilizados[[#This Row],[Eliminado]]="si","",RegContabilizados2[[#This Row],[Cta. Bancaria]])</f>
        <v/>
      </c>
      <c r="AO102" s="31">
        <v>45993</v>
      </c>
      <c r="AP102" s="31">
        <v>45993</v>
      </c>
      <c r="AQ102" s="3" t="s">
        <v>1246</v>
      </c>
      <c r="AR102" s="3">
        <v>1</v>
      </c>
      <c r="AS102" s="1" t="s">
        <v>766</v>
      </c>
      <c r="AT102" s="1" t="s">
        <v>901</v>
      </c>
      <c r="AV102" s="3">
        <v>333333</v>
      </c>
      <c r="AW102" s="3"/>
      <c r="AX102" s="3">
        <v>0</v>
      </c>
      <c r="AY102" s="3" t="s">
        <v>1001</v>
      </c>
      <c r="AZ102" s="3" t="s">
        <v>975</v>
      </c>
      <c r="BB102" s="1">
        <v>0</v>
      </c>
      <c r="BC102" s="1" t="s">
        <v>1168</v>
      </c>
      <c r="BD102" s="1">
        <v>0</v>
      </c>
      <c r="BE102" s="1">
        <v>0</v>
      </c>
      <c r="BF102" s="1">
        <f>IFERROR((RegContabilizados2[[#This Row],[Debe]]-RegContabilizados2[[#This Row],[Haber]]),0)</f>
        <v>0</v>
      </c>
      <c r="BG102" s="1">
        <f>IFERROR((+_xlfn.XLOOKUP(RegContabilizados2[[#This Row],[Subcuenta]],Tabla11[Cuenta],Tabla11[Descripción],0)),0)</f>
        <v>0</v>
      </c>
      <c r="BH102" s="1">
        <f>IFERROR((VALUE(LEFT(RegContabilizados2[[#This Row],[Subcuenta]],2))&amp;" "&amp;_xlfn.XLOOKUP((VALUE(LEFT(RegContabilizados2[[#This Row],[Subcuenta]],2))),Tabla11[Cuenta],Tabla11[Descripción],0)),0)</f>
        <v>0</v>
      </c>
      <c r="BI102" s="1">
        <f>IFERROR((VALUE(LEFT(RegContabilizados2[[#This Row],[Subcuenta]],4))&amp;" "&amp;_xlfn.XLOOKUP((VALUE(LEFT(RegContabilizados2[[#This Row],[Subcuenta]],4))),Tabla11[Cuenta],Tabla11[Descripción],0)),0)</f>
        <v>0</v>
      </c>
      <c r="BJ102" s="1" t="str">
        <f>IFERROR((RegContabilizados2[[#This Row],[Subcuenta]]&amp;" "&amp;_xlfn.XLOOKUP(RegContabilizados2[[#This Row],[Subcuenta]],Tabla11[Cuenta],Tabla11[Descripción],0)),0)</f>
        <v xml:space="preserve"> 0</v>
      </c>
      <c r="BK102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102" s="1" t="str">
        <f>IFERROR(LEFT(RegContabilizados2[[#This Row],[Idenficador]],SEARCH("-",RegContabilizados2[[#This Row],[Idenficador]])-1),0)</f>
        <v>4656566F. V.1</v>
      </c>
      <c r="BN102" s="1" t="s">
        <v>1169</v>
      </c>
    </row>
    <row r="103" spans="4:66">
      <c r="D103" s="31" t="str">
        <f>IF(Regcontabilizados[[#This Row],[Eliminado]]="si","",RegContabilizados2[[#This Row],[fecha Factura]])</f>
        <v/>
      </c>
      <c r="E103" s="31" t="str">
        <f>IF(Regcontabilizados[[#This Row],[Eliminado]]="si","",RegContabilizados2[[#This Row],[Fecha vencimiento]])</f>
        <v/>
      </c>
      <c r="F103" s="3" t="str">
        <f>IF(Regcontabilizados[[#This Row],[Eliminado]]="si","",RegContabilizados2[[#This Row],[Idenficador]])</f>
        <v/>
      </c>
      <c r="G103" s="3" t="str">
        <f>IF(Regcontabilizados[[#This Row],[Eliminado]]="si","",RegContabilizados2[[#This Row],[N° de factura/Pago]])</f>
        <v/>
      </c>
      <c r="H103" s="1" t="str">
        <f>IF(Regcontabilizados[[#This Row],[Eliminado]]="si","",RegContabilizados2[[#This Row],[Tipo de Factura]])</f>
        <v/>
      </c>
      <c r="I103" s="1" t="str">
        <f>IF(Regcontabilizados[[#This Row],[Eliminado]]="si","",RegContabilizados2[[#This Row],[ID Cliente]])</f>
        <v/>
      </c>
      <c r="J103" s="1" t="str">
        <f>IF(Regcontabilizados[[#This Row],[Eliminado]]="si","",RegContabilizados2[[#This Row],[ESTADO DEL IVA]])</f>
        <v/>
      </c>
      <c r="K103" s="3" t="str">
        <f>IF(Regcontabilizados[[#This Row],[Eliminado]]="si","",RegContabilizados2[[#This Row],[ID Proveedor]])</f>
        <v/>
      </c>
      <c r="L103" s="3" t="str">
        <f>IF(Regcontabilizados[[#This Row],[Eliminado]]="si","",RegContabilizados2[[#This Row],[Concepto]])</f>
        <v/>
      </c>
      <c r="M103" s="3" t="str">
        <f>IF(Regcontabilizados[[#This Row],[Eliminado]]="si","",RegContabilizados2[[#This Row],[Categoría]])</f>
        <v/>
      </c>
      <c r="N103" s="3" t="str">
        <f>IF(Regcontabilizados[[#This Row],[Eliminado]]="si","",RegContabilizados2[[#This Row],[Almacen]])</f>
        <v/>
      </c>
      <c r="O103" s="3" t="str">
        <f>IF(Regcontabilizados[[#This Row],[Eliminado]]="si","",RegContabilizados2[[#This Row],[Tipo de movimiento]])</f>
        <v/>
      </c>
      <c r="P103" s="1" t="str">
        <f>IF(Regcontabilizados[[#This Row],[Eliminado]]="si","",RegContabilizados2[[#This Row],[cantidad]])</f>
        <v/>
      </c>
      <c r="Q103" s="1" t="str">
        <f>IF(Regcontabilizados[[#This Row],[Eliminado]]="si","",RegContabilizados2[[#This Row],[VR unitario]])</f>
        <v/>
      </c>
      <c r="R103" s="1" t="str">
        <f>IF(Regcontabilizados[[#This Row],[Eliminado]]="si","",RegContabilizados2[[#This Row],[Subcuenta]])</f>
        <v/>
      </c>
      <c r="S103" s="1" t="str">
        <f>IF(Regcontabilizados[[#This Row],[Eliminado]]="si","",RegContabilizados2[[#This Row],[Debe]])</f>
        <v/>
      </c>
      <c r="T103" s="1" t="str">
        <f>IF(Regcontabilizados[[#This Row],[Eliminado]]="si","",RegContabilizados2[[#This Row],[Haber]])</f>
        <v/>
      </c>
      <c r="U103" s="1">
        <f>IFERROR((Regcontabilizados[[#This Row],[Debe]]-Regcontabilizados[[#This Row],[Haber]]),0)</f>
        <v>0</v>
      </c>
      <c r="V103" s="1">
        <f>IFERROR((+_xlfn.XLOOKUP(Regcontabilizados[[#This Row],[Subcuenta]],Tabla11[Cuenta],Tabla11[Descripción],0)),0)</f>
        <v>0</v>
      </c>
      <c r="W103" s="1">
        <f>IFERROR((_xlfn.XLOOKUP((VALUE(LEFT(Regcontabilizados[[#This Row],[Subcuenta]],4))),Tabla11[Cuenta],Tabla11[Descripción],0)),0)</f>
        <v>0</v>
      </c>
      <c r="X103" s="1">
        <f>IFERROR((_xlfn.XLOOKUP(Regcontabilizados[[#This Row],[Subcuenta]],Tabla11[Cuenta],Tabla11[Descripción],0)),0)</f>
        <v>0</v>
      </c>
      <c r="Y103" s="1" t="str">
        <f>IF((IFERROR((FIND((_xlfn.XLOOKUP(RegContabilizados2[[#This Row],[Idenficador]],FormtBorrados[formatos borrados],FormtBorrados[formatos borrados],0)),RegContabilizados2[[#This Row],[Idenficador]])),0))=1,"si","no")</f>
        <v>si</v>
      </c>
      <c r="Z103" s="1" t="str">
        <f>_xlfn.XLOOKUP(Regcontabilizados[[#This Row],[Subcuenta]],Tabla11[Cuenta],Tabla11[TIPO],"")</f>
        <v/>
      </c>
      <c r="AA103" s="1" t="str">
        <f>IFERROR((Regcontabilizados[[#This Row],[Subcuenta]]&amp;" "&amp;_xlfn.XLOOKUP(Regcontabilizados[[#This Row],[Subcuenta]],Tabla11[Cuenta],Tabla11[Descripción],0)),0)</f>
        <v xml:space="preserve"> 0</v>
      </c>
      <c r="AB103" s="1">
        <f>IFERROR((VALUE(LEFT(Regcontabilizados[[#This Row],[Subcuenta]],2))&amp;" "&amp;_xlfn.XLOOKUP((VALUE(LEFT(Regcontabilizados[[#This Row],[Subcuenta]],2))),Tabla11[Cuenta],Tabla11[Descripción],0)),0)</f>
        <v>0</v>
      </c>
      <c r="AC103" s="1">
        <f>IFERROR((VALUE(LEFT(Regcontabilizados[[#This Row],[Subcuenta]],4))&amp;" "&amp;_xlfn.XLOOKUP((VALUE(LEFT(Regcontabilizados[[#This Row],[Subcuenta]],4))),Tabla11[Cuenta],Tabla11[Descripción],0)),0)</f>
        <v>0</v>
      </c>
      <c r="AD103" s="1" t="str">
        <f>IF(Regcontabilizados[[#This Row],[Eliminado]]="si","",RegContabilizados2[[#This Row],[Estado de pago]])</f>
        <v/>
      </c>
      <c r="AE103" s="1" t="str">
        <f>IF(Regcontabilizados[[#This Row],[Eliminado]]="si","",RegContabilizados2[[#This Row],[Colum. Aux. Estado]])</f>
        <v/>
      </c>
      <c r="AF103" s="1" t="str">
        <f>IF(Regcontabilizados[[#This Row],[Eliminado]]="si","",RegContabilizados2[[#This Row],[Número de pago]])</f>
        <v/>
      </c>
      <c r="AG103" s="1" t="str">
        <f>IF(Regcontabilizados[[#This Row],[Eliminado]]="si","",RegContabilizados2[[#This Row],[Elaborado por]])</f>
        <v/>
      </c>
      <c r="AH103" s="1" t="str">
        <f>IF(Regcontabilizados[[#This Row],[Eliminado]]="si","",RegContabilizados2[[#This Row],[Notas]])</f>
        <v/>
      </c>
      <c r="AI103" s="1" t="str">
        <f>IF(Regcontabilizados[[#This Row],[Eliminado]]="si","",RegContabilizados2[[#This Row],[Método de pago]])</f>
        <v/>
      </c>
      <c r="AJ103" s="1" t="str">
        <f>IF(Regcontabilizados[[#This Row],[Eliminado]]="si","",RegContabilizados2[[#This Row],[Cta. Bancaria]])</f>
        <v/>
      </c>
      <c r="AO103" s="31">
        <v>45993</v>
      </c>
      <c r="AP103" s="31">
        <v>45993</v>
      </c>
      <c r="AQ103" s="3" t="s">
        <v>1247</v>
      </c>
      <c r="AR103" s="3">
        <v>1</v>
      </c>
      <c r="AS103" s="1" t="s">
        <v>766</v>
      </c>
      <c r="AT103" s="1" t="s">
        <v>901</v>
      </c>
      <c r="AV103" s="3">
        <v>333333</v>
      </c>
      <c r="AW103" s="3"/>
      <c r="AX103" s="3"/>
      <c r="AY103" s="3" t="s">
        <v>1001</v>
      </c>
      <c r="AZ103" s="3" t="s">
        <v>975</v>
      </c>
      <c r="BA103" s="1">
        <v>1</v>
      </c>
      <c r="BC103" s="1">
        <v>413524</v>
      </c>
      <c r="BD103" s="1">
        <v>0</v>
      </c>
      <c r="BE103" s="1">
        <v>200000</v>
      </c>
      <c r="BF103" s="1">
        <f>IFERROR((RegContabilizados2[[#This Row],[Debe]]-RegContabilizados2[[#This Row],[Haber]]),0)</f>
        <v>-200000</v>
      </c>
      <c r="BG103" s="1" t="str">
        <f>IFERROR((+_xlfn.XLOOKUP(RegContabilizados2[[#This Row],[Subcuenta]],Tabla11[Cuenta],Tabla11[Descripción],0)),0)</f>
        <v>Venta de productos textiles, de vestir, de cuero y calzado</v>
      </c>
      <c r="BH103" s="1" t="str">
        <f>IFERROR((VALUE(LEFT(RegContabilizados2[[#This Row],[Subcuenta]],2))&amp;" "&amp;_xlfn.XLOOKUP((VALUE(LEFT(RegContabilizados2[[#This Row],[Subcuenta]],2))),Tabla11[Cuenta],Tabla11[Descripción],0)),0)</f>
        <v>41 OPERACIONALES</v>
      </c>
      <c r="BI103" s="1" t="str">
        <f>IFERROR((VALUE(LEFT(RegContabilizados2[[#This Row],[Subcuenta]],4))&amp;" "&amp;_xlfn.XLOOKUP((VALUE(LEFT(RegContabilizados2[[#This Row],[Subcuenta]],4))),Tabla11[Cuenta],Tabla11[Descripción],0)),0)</f>
        <v>4135 COMERCIO AL POR MAYOR Y AL POR MENOR</v>
      </c>
      <c r="BJ103" s="1" t="str">
        <f>IFERROR((RegContabilizados2[[#This Row],[Subcuenta]]&amp;" "&amp;_xlfn.XLOOKUP(RegContabilizados2[[#This Row],[Subcuenta]],Tabla11[Cuenta],Tabla11[Descripción],0)),0)</f>
        <v>413524 Venta de productos textiles, de vestir, de cuero y calzado</v>
      </c>
      <c r="BK103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103" s="1" t="str">
        <f>IFERROR(LEFT(RegContabilizados2[[#This Row],[Idenficador]],SEARCH("-",RegContabilizados2[[#This Row],[Idenficador]])-1),0)</f>
        <v>4656566F. V.1</v>
      </c>
      <c r="BN103" s="1" t="s">
        <v>1169</v>
      </c>
    </row>
    <row r="104" spans="4:66">
      <c r="D104" s="31" t="str">
        <f>IF(Regcontabilizados[[#This Row],[Eliminado]]="si","",RegContabilizados2[[#This Row],[fecha Factura]])</f>
        <v/>
      </c>
      <c r="E104" s="31" t="str">
        <f>IF(Regcontabilizados[[#This Row],[Eliminado]]="si","",RegContabilizados2[[#This Row],[Fecha vencimiento]])</f>
        <v/>
      </c>
      <c r="F104" s="3" t="str">
        <f>IF(Regcontabilizados[[#This Row],[Eliminado]]="si","",RegContabilizados2[[#This Row],[Idenficador]])</f>
        <v/>
      </c>
      <c r="G104" s="3" t="str">
        <f>IF(Regcontabilizados[[#This Row],[Eliminado]]="si","",RegContabilizados2[[#This Row],[N° de factura/Pago]])</f>
        <v/>
      </c>
      <c r="H104" s="1" t="str">
        <f>IF(Regcontabilizados[[#This Row],[Eliminado]]="si","",RegContabilizados2[[#This Row],[Tipo de Factura]])</f>
        <v/>
      </c>
      <c r="I104" s="1" t="str">
        <f>IF(Regcontabilizados[[#This Row],[Eliminado]]="si","",RegContabilizados2[[#This Row],[ID Cliente]])</f>
        <v/>
      </c>
      <c r="J104" s="1" t="str">
        <f>IF(Regcontabilizados[[#This Row],[Eliminado]]="si","",RegContabilizados2[[#This Row],[ESTADO DEL IVA]])</f>
        <v/>
      </c>
      <c r="K104" s="3" t="str">
        <f>IF(Regcontabilizados[[#This Row],[Eliminado]]="si","",RegContabilizados2[[#This Row],[ID Proveedor]])</f>
        <v/>
      </c>
      <c r="L104" s="3" t="str">
        <f>IF(Regcontabilizados[[#This Row],[Eliminado]]="si","",RegContabilizados2[[#This Row],[Concepto]])</f>
        <v/>
      </c>
      <c r="M104" s="3" t="str">
        <f>IF(Regcontabilizados[[#This Row],[Eliminado]]="si","",RegContabilizados2[[#This Row],[Categoría]])</f>
        <v/>
      </c>
      <c r="N104" s="3" t="str">
        <f>IF(Regcontabilizados[[#This Row],[Eliminado]]="si","",RegContabilizados2[[#This Row],[Almacen]])</f>
        <v/>
      </c>
      <c r="O104" s="3" t="str">
        <f>IF(Regcontabilizados[[#This Row],[Eliminado]]="si","",RegContabilizados2[[#This Row],[Tipo de movimiento]])</f>
        <v/>
      </c>
      <c r="P104" s="1" t="str">
        <f>IF(Regcontabilizados[[#This Row],[Eliminado]]="si","",RegContabilizados2[[#This Row],[cantidad]])</f>
        <v/>
      </c>
      <c r="Q104" s="1" t="str">
        <f>IF(Regcontabilizados[[#This Row],[Eliminado]]="si","",RegContabilizados2[[#This Row],[VR unitario]])</f>
        <v/>
      </c>
      <c r="R104" s="1" t="str">
        <f>IF(Regcontabilizados[[#This Row],[Eliminado]]="si","",RegContabilizados2[[#This Row],[Subcuenta]])</f>
        <v/>
      </c>
      <c r="S104" s="1" t="str">
        <f>IF(Regcontabilizados[[#This Row],[Eliminado]]="si","",RegContabilizados2[[#This Row],[Debe]])</f>
        <v/>
      </c>
      <c r="T104" s="1" t="str">
        <f>IF(Regcontabilizados[[#This Row],[Eliminado]]="si","",RegContabilizados2[[#This Row],[Haber]])</f>
        <v/>
      </c>
      <c r="U104" s="1">
        <f>IFERROR((Regcontabilizados[[#This Row],[Debe]]-Regcontabilizados[[#This Row],[Haber]]),0)</f>
        <v>0</v>
      </c>
      <c r="V104" s="1">
        <f>IFERROR((+_xlfn.XLOOKUP(Regcontabilizados[[#This Row],[Subcuenta]],Tabla11[Cuenta],Tabla11[Descripción],0)),0)</f>
        <v>0</v>
      </c>
      <c r="W104" s="1">
        <f>IFERROR((_xlfn.XLOOKUP((VALUE(LEFT(Regcontabilizados[[#This Row],[Subcuenta]],4))),Tabla11[Cuenta],Tabla11[Descripción],0)),0)</f>
        <v>0</v>
      </c>
      <c r="X104" s="1">
        <f>IFERROR((_xlfn.XLOOKUP(Regcontabilizados[[#This Row],[Subcuenta]],Tabla11[Cuenta],Tabla11[Descripción],0)),0)</f>
        <v>0</v>
      </c>
      <c r="Y104" s="1" t="str">
        <f>IF((IFERROR((FIND((_xlfn.XLOOKUP(RegContabilizados2[[#This Row],[Idenficador]],FormtBorrados[formatos borrados],FormtBorrados[formatos borrados],0)),RegContabilizados2[[#This Row],[Idenficador]])),0))=1,"si","no")</f>
        <v>si</v>
      </c>
      <c r="Z104" s="1" t="str">
        <f>_xlfn.XLOOKUP(Regcontabilizados[[#This Row],[Subcuenta]],Tabla11[Cuenta],Tabla11[TIPO],"")</f>
        <v/>
      </c>
      <c r="AA104" s="1" t="str">
        <f>IFERROR((Regcontabilizados[[#This Row],[Subcuenta]]&amp;" "&amp;_xlfn.XLOOKUP(Regcontabilizados[[#This Row],[Subcuenta]],Tabla11[Cuenta],Tabla11[Descripción],0)),0)</f>
        <v xml:space="preserve"> 0</v>
      </c>
      <c r="AB104" s="1">
        <f>IFERROR((VALUE(LEFT(Regcontabilizados[[#This Row],[Subcuenta]],2))&amp;" "&amp;_xlfn.XLOOKUP((VALUE(LEFT(Regcontabilizados[[#This Row],[Subcuenta]],2))),Tabla11[Cuenta],Tabla11[Descripción],0)),0)</f>
        <v>0</v>
      </c>
      <c r="AC104" s="1">
        <f>IFERROR((VALUE(LEFT(Regcontabilizados[[#This Row],[Subcuenta]],4))&amp;" "&amp;_xlfn.XLOOKUP((VALUE(LEFT(Regcontabilizados[[#This Row],[Subcuenta]],4))),Tabla11[Cuenta],Tabla11[Descripción],0)),0)</f>
        <v>0</v>
      </c>
      <c r="AD104" s="1" t="str">
        <f>IF(Regcontabilizados[[#This Row],[Eliminado]]="si","",RegContabilizados2[[#This Row],[Estado de pago]])</f>
        <v/>
      </c>
      <c r="AE104" s="1" t="str">
        <f>IF(Regcontabilizados[[#This Row],[Eliminado]]="si","",RegContabilizados2[[#This Row],[Colum. Aux. Estado]])</f>
        <v/>
      </c>
      <c r="AF104" s="1" t="str">
        <f>IF(Regcontabilizados[[#This Row],[Eliminado]]="si","",RegContabilizados2[[#This Row],[Número de pago]])</f>
        <v/>
      </c>
      <c r="AG104" s="1" t="str">
        <f>IF(Regcontabilizados[[#This Row],[Eliminado]]="si","",RegContabilizados2[[#This Row],[Elaborado por]])</f>
        <v/>
      </c>
      <c r="AH104" s="1" t="str">
        <f>IF(Regcontabilizados[[#This Row],[Eliminado]]="si","",RegContabilizados2[[#This Row],[Notas]])</f>
        <v/>
      </c>
      <c r="AI104" s="1" t="str">
        <f>IF(Regcontabilizados[[#This Row],[Eliminado]]="si","",RegContabilizados2[[#This Row],[Método de pago]])</f>
        <v/>
      </c>
      <c r="AJ104" s="1" t="str">
        <f>IF(Regcontabilizados[[#This Row],[Eliminado]]="si","",RegContabilizados2[[#This Row],[Cta. Bancaria]])</f>
        <v/>
      </c>
      <c r="AO104" s="31">
        <v>45993</v>
      </c>
      <c r="AP104" s="31">
        <v>45993</v>
      </c>
      <c r="AQ104" s="3" t="s">
        <v>1248</v>
      </c>
      <c r="AR104" s="3">
        <v>1</v>
      </c>
      <c r="AS104" s="1" t="s">
        <v>766</v>
      </c>
      <c r="AT104" s="1" t="s">
        <v>901</v>
      </c>
      <c r="AV104" s="3">
        <v>333333</v>
      </c>
      <c r="AW104" s="3"/>
      <c r="AX104" s="3"/>
      <c r="AY104" s="3" t="s">
        <v>1001</v>
      </c>
      <c r="AZ104" s="3" t="s">
        <v>975</v>
      </c>
      <c r="BA104" s="1">
        <v>1</v>
      </c>
      <c r="BB104" s="1">
        <v>38000</v>
      </c>
      <c r="BC104" s="1">
        <v>240805</v>
      </c>
      <c r="BD104" s="1">
        <v>0</v>
      </c>
      <c r="BE104" s="1">
        <v>38000</v>
      </c>
      <c r="BF104" s="1">
        <f>IFERROR((RegContabilizados2[[#This Row],[Debe]]-RegContabilizados2[[#This Row],[Haber]]),0)</f>
        <v>-38000</v>
      </c>
      <c r="BG104" s="1" t="str">
        <f>IFERROR((+_xlfn.XLOOKUP(RegContabilizados2[[#This Row],[Subcuenta]],Tabla11[Cuenta],Tabla11[Descripción],0)),0)</f>
        <v>IMPUESTO SOBRE LAS VENTAS POR PAGAR</v>
      </c>
      <c r="BH104" s="1" t="str">
        <f>IFERROR((VALUE(LEFT(RegContabilizados2[[#This Row],[Subcuenta]],2))&amp;" "&amp;_xlfn.XLOOKUP((VALUE(LEFT(RegContabilizados2[[#This Row],[Subcuenta]],2))),Tabla11[Cuenta],Tabla11[Descripción],0)),0)</f>
        <v>24 IMPUESTOS, GRAVÁMENES Y TASAS</v>
      </c>
      <c r="BI104" s="1" t="str">
        <f>IFERROR((VALUE(LEFT(RegContabilizados2[[#This Row],[Subcuenta]],4))&amp;" "&amp;_xlfn.XLOOKUP((VALUE(LEFT(RegContabilizados2[[#This Row],[Subcuenta]],4))),Tabla11[Cuenta],Tabla11[Descripción],0)),0)</f>
        <v>2408 IMPUESTO SOBRE LAS VENTAS POR PAGAR</v>
      </c>
      <c r="BJ104" s="1" t="str">
        <f>IFERROR((RegContabilizados2[[#This Row],[Subcuenta]]&amp;" "&amp;_xlfn.XLOOKUP(RegContabilizados2[[#This Row],[Subcuenta]],Tabla11[Cuenta],Tabla11[Descripción],0)),0)</f>
        <v>240805 IMPUESTO SOBRE LAS VENTAS POR PAGAR</v>
      </c>
      <c r="BK104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104" s="1" t="str">
        <f>IFERROR(LEFT(RegContabilizados2[[#This Row],[Idenficador]],SEARCH("-",RegContabilizados2[[#This Row],[Idenficador]])-1),0)</f>
        <v>4656566F. V.1</v>
      </c>
      <c r="BN104" s="1" t="s">
        <v>1169</v>
      </c>
    </row>
    <row r="105" spans="4:66">
      <c r="D105" s="31" t="str">
        <f>IF(Regcontabilizados[[#This Row],[Eliminado]]="si","",RegContabilizados2[[#This Row],[fecha Factura]])</f>
        <v/>
      </c>
      <c r="E105" s="31" t="str">
        <f>IF(Regcontabilizados[[#This Row],[Eliminado]]="si","",RegContabilizados2[[#This Row],[Fecha vencimiento]])</f>
        <v/>
      </c>
      <c r="F105" s="3" t="str">
        <f>IF(Regcontabilizados[[#This Row],[Eliminado]]="si","",RegContabilizados2[[#This Row],[Idenficador]])</f>
        <v/>
      </c>
      <c r="G105" s="3" t="str">
        <f>IF(Regcontabilizados[[#This Row],[Eliminado]]="si","",RegContabilizados2[[#This Row],[N° de factura/Pago]])</f>
        <v/>
      </c>
      <c r="H105" s="1" t="str">
        <f>IF(Regcontabilizados[[#This Row],[Eliminado]]="si","",RegContabilizados2[[#This Row],[Tipo de Factura]])</f>
        <v/>
      </c>
      <c r="I105" s="1" t="str">
        <f>IF(Regcontabilizados[[#This Row],[Eliminado]]="si","",RegContabilizados2[[#This Row],[ID Cliente]])</f>
        <v/>
      </c>
      <c r="J105" s="1" t="str">
        <f>IF(Regcontabilizados[[#This Row],[Eliminado]]="si","",RegContabilizados2[[#This Row],[ESTADO DEL IVA]])</f>
        <v/>
      </c>
      <c r="K105" s="3" t="str">
        <f>IF(Regcontabilizados[[#This Row],[Eliminado]]="si","",RegContabilizados2[[#This Row],[ID Proveedor]])</f>
        <v/>
      </c>
      <c r="L105" s="3" t="str">
        <f>IF(Regcontabilizados[[#This Row],[Eliminado]]="si","",RegContabilizados2[[#This Row],[Concepto]])</f>
        <v/>
      </c>
      <c r="M105" s="3" t="str">
        <f>IF(Regcontabilizados[[#This Row],[Eliminado]]="si","",RegContabilizados2[[#This Row],[Categoría]])</f>
        <v/>
      </c>
      <c r="N105" s="3" t="str">
        <f>IF(Regcontabilizados[[#This Row],[Eliminado]]="si","",RegContabilizados2[[#This Row],[Almacen]])</f>
        <v/>
      </c>
      <c r="O105" s="3" t="str">
        <f>IF(Regcontabilizados[[#This Row],[Eliminado]]="si","",RegContabilizados2[[#This Row],[Tipo de movimiento]])</f>
        <v/>
      </c>
      <c r="P105" s="1" t="str">
        <f>IF(Regcontabilizados[[#This Row],[Eliminado]]="si","",RegContabilizados2[[#This Row],[cantidad]])</f>
        <v/>
      </c>
      <c r="Q105" s="1" t="str">
        <f>IF(Regcontabilizados[[#This Row],[Eliminado]]="si","",RegContabilizados2[[#This Row],[VR unitario]])</f>
        <v/>
      </c>
      <c r="R105" s="1" t="str">
        <f>IF(Regcontabilizados[[#This Row],[Eliminado]]="si","",RegContabilizados2[[#This Row],[Subcuenta]])</f>
        <v/>
      </c>
      <c r="S105" s="1" t="str">
        <f>IF(Regcontabilizados[[#This Row],[Eliminado]]="si","",RegContabilizados2[[#This Row],[Debe]])</f>
        <v/>
      </c>
      <c r="T105" s="1" t="str">
        <f>IF(Regcontabilizados[[#This Row],[Eliminado]]="si","",RegContabilizados2[[#This Row],[Haber]])</f>
        <v/>
      </c>
      <c r="U105" s="1">
        <f>IFERROR((Regcontabilizados[[#This Row],[Debe]]-Regcontabilizados[[#This Row],[Haber]]),0)</f>
        <v>0</v>
      </c>
      <c r="V105" s="1">
        <f>IFERROR((+_xlfn.XLOOKUP(Regcontabilizados[[#This Row],[Subcuenta]],Tabla11[Cuenta],Tabla11[Descripción],0)),0)</f>
        <v>0</v>
      </c>
      <c r="W105" s="1">
        <f>IFERROR((_xlfn.XLOOKUP((VALUE(LEFT(Regcontabilizados[[#This Row],[Subcuenta]],4))),Tabla11[Cuenta],Tabla11[Descripción],0)),0)</f>
        <v>0</v>
      </c>
      <c r="X105" s="1">
        <f>IFERROR((_xlfn.XLOOKUP(Regcontabilizados[[#This Row],[Subcuenta]],Tabla11[Cuenta],Tabla11[Descripción],0)),0)</f>
        <v>0</v>
      </c>
      <c r="Y105" s="1" t="str">
        <f>IF((IFERROR((FIND((_xlfn.XLOOKUP(RegContabilizados2[[#This Row],[Idenficador]],FormtBorrados[formatos borrados],FormtBorrados[formatos borrados],0)),RegContabilizados2[[#This Row],[Idenficador]])),0))=1,"si","no")</f>
        <v>si</v>
      </c>
      <c r="Z105" s="1" t="str">
        <f>_xlfn.XLOOKUP(Regcontabilizados[[#This Row],[Subcuenta]],Tabla11[Cuenta],Tabla11[TIPO],"")</f>
        <v/>
      </c>
      <c r="AA105" s="1" t="str">
        <f>IFERROR((Regcontabilizados[[#This Row],[Subcuenta]]&amp;" "&amp;_xlfn.XLOOKUP(Regcontabilizados[[#This Row],[Subcuenta]],Tabla11[Cuenta],Tabla11[Descripción],0)),0)</f>
        <v xml:space="preserve"> 0</v>
      </c>
      <c r="AB105" s="1">
        <f>IFERROR((VALUE(LEFT(Regcontabilizados[[#This Row],[Subcuenta]],2))&amp;" "&amp;_xlfn.XLOOKUP((VALUE(LEFT(Regcontabilizados[[#This Row],[Subcuenta]],2))),Tabla11[Cuenta],Tabla11[Descripción],0)),0)</f>
        <v>0</v>
      </c>
      <c r="AC105" s="1">
        <f>IFERROR((VALUE(LEFT(Regcontabilizados[[#This Row],[Subcuenta]],4))&amp;" "&amp;_xlfn.XLOOKUP((VALUE(LEFT(Regcontabilizados[[#This Row],[Subcuenta]],4))),Tabla11[Cuenta],Tabla11[Descripción],0)),0)</f>
        <v>0</v>
      </c>
      <c r="AD105" s="1" t="str">
        <f>IF(Regcontabilizados[[#This Row],[Eliminado]]="si","",RegContabilizados2[[#This Row],[Estado de pago]])</f>
        <v/>
      </c>
      <c r="AE105" s="1" t="str">
        <f>IF(Regcontabilizados[[#This Row],[Eliminado]]="si","",RegContabilizados2[[#This Row],[Colum. Aux. Estado]])</f>
        <v/>
      </c>
      <c r="AF105" s="1" t="str">
        <f>IF(Regcontabilizados[[#This Row],[Eliminado]]="si","",RegContabilizados2[[#This Row],[Número de pago]])</f>
        <v/>
      </c>
      <c r="AG105" s="1" t="str">
        <f>IF(Regcontabilizados[[#This Row],[Eliminado]]="si","",RegContabilizados2[[#This Row],[Elaborado por]])</f>
        <v/>
      </c>
      <c r="AH105" s="1" t="str">
        <f>IF(Regcontabilizados[[#This Row],[Eliminado]]="si","",RegContabilizados2[[#This Row],[Notas]])</f>
        <v/>
      </c>
      <c r="AI105" s="1" t="str">
        <f>IF(Regcontabilizados[[#This Row],[Eliminado]]="si","",RegContabilizados2[[#This Row],[Método de pago]])</f>
        <v/>
      </c>
      <c r="AJ105" s="1" t="str">
        <f>IF(Regcontabilizados[[#This Row],[Eliminado]]="si","",RegContabilizados2[[#This Row],[Cta. Bancaria]])</f>
        <v/>
      </c>
      <c r="AO105" s="31">
        <v>45993</v>
      </c>
      <c r="AP105" s="31">
        <v>45993</v>
      </c>
      <c r="AQ105" s="3" t="s">
        <v>1249</v>
      </c>
      <c r="AR105" s="3">
        <v>1</v>
      </c>
      <c r="AS105" s="1" t="s">
        <v>766</v>
      </c>
      <c r="AT105" s="1" t="s">
        <v>901</v>
      </c>
      <c r="AV105" s="3">
        <v>333333</v>
      </c>
      <c r="AW105" s="3"/>
      <c r="AX105" s="3"/>
      <c r="AY105" s="3" t="s">
        <v>1001</v>
      </c>
      <c r="AZ105" s="3" t="s">
        <v>975</v>
      </c>
      <c r="BA105" s="1">
        <v>1</v>
      </c>
      <c r="BB105" s="1">
        <v>0</v>
      </c>
      <c r="BC105" s="1">
        <v>246505</v>
      </c>
      <c r="BD105" s="1">
        <v>0</v>
      </c>
      <c r="BE105" s="1">
        <v>0</v>
      </c>
      <c r="BF105" s="1">
        <f>IFERROR((RegContabilizados2[[#This Row],[Debe]]-RegContabilizados2[[#This Row],[Haber]]),0)</f>
        <v>0</v>
      </c>
      <c r="BG105" s="1" t="str">
        <f>IFERROR((+_xlfn.XLOOKUP(RegContabilizados2[[#This Row],[Subcuenta]],Tabla11[Cuenta],Tabla11[Descripción],0)),0)</f>
        <v>INC - Restaurantes</v>
      </c>
      <c r="BH105" s="1" t="str">
        <f>IFERROR((VALUE(LEFT(RegContabilizados2[[#This Row],[Subcuenta]],2))&amp;" "&amp;_xlfn.XLOOKUP((VALUE(LEFT(RegContabilizados2[[#This Row],[Subcuenta]],2))),Tabla11[Cuenta],Tabla11[Descripción],0)),0)</f>
        <v>24 IMPUESTOS, GRAVÁMENES Y TASAS</v>
      </c>
      <c r="BI105" s="1" t="str">
        <f>IFERROR((VALUE(LEFT(RegContabilizados2[[#This Row],[Subcuenta]],4))&amp;" "&amp;_xlfn.XLOOKUP((VALUE(LEFT(RegContabilizados2[[#This Row],[Subcuenta]],4))),Tabla11[Cuenta],Tabla11[Descripción],0)),0)</f>
        <v>2465 IMPUESTO NACIONAL AL CONSUMO</v>
      </c>
      <c r="BJ105" s="1" t="str">
        <f>IFERROR((RegContabilizados2[[#This Row],[Subcuenta]]&amp;" "&amp;_xlfn.XLOOKUP(RegContabilizados2[[#This Row],[Subcuenta]],Tabla11[Cuenta],Tabla11[Descripción],0)),0)</f>
        <v>246505 INC - Restaurantes</v>
      </c>
      <c r="BK105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105" s="1" t="str">
        <f>IFERROR(LEFT(RegContabilizados2[[#This Row],[Idenficador]],SEARCH("-",RegContabilizados2[[#This Row],[Idenficador]])-1),0)</f>
        <v>4656566F. V.1</v>
      </c>
      <c r="BN105" s="1" t="s">
        <v>1169</v>
      </c>
    </row>
    <row r="106" spans="4:66">
      <c r="D106" s="31" t="str">
        <f>IF(Regcontabilizados[[#This Row],[Eliminado]]="si","",RegContabilizados2[[#This Row],[fecha Factura]])</f>
        <v/>
      </c>
      <c r="E106" s="31" t="str">
        <f>IF(Regcontabilizados[[#This Row],[Eliminado]]="si","",RegContabilizados2[[#This Row],[Fecha vencimiento]])</f>
        <v/>
      </c>
      <c r="F106" s="3" t="str">
        <f>IF(Regcontabilizados[[#This Row],[Eliminado]]="si","",RegContabilizados2[[#This Row],[Idenficador]])</f>
        <v/>
      </c>
      <c r="G106" s="3" t="str">
        <f>IF(Regcontabilizados[[#This Row],[Eliminado]]="si","",RegContabilizados2[[#This Row],[N° de factura/Pago]])</f>
        <v/>
      </c>
      <c r="H106" s="1" t="str">
        <f>IF(Regcontabilizados[[#This Row],[Eliminado]]="si","",RegContabilizados2[[#This Row],[Tipo de Factura]])</f>
        <v/>
      </c>
      <c r="I106" s="1" t="str">
        <f>IF(Regcontabilizados[[#This Row],[Eliminado]]="si","",RegContabilizados2[[#This Row],[ID Cliente]])</f>
        <v/>
      </c>
      <c r="J106" s="1" t="str">
        <f>IF(Regcontabilizados[[#This Row],[Eliminado]]="si","",RegContabilizados2[[#This Row],[ESTADO DEL IVA]])</f>
        <v/>
      </c>
      <c r="K106" s="3" t="str">
        <f>IF(Regcontabilizados[[#This Row],[Eliminado]]="si","",RegContabilizados2[[#This Row],[ID Proveedor]])</f>
        <v/>
      </c>
      <c r="L106" s="3" t="str">
        <f>IF(Regcontabilizados[[#This Row],[Eliminado]]="si","",RegContabilizados2[[#This Row],[Concepto]])</f>
        <v/>
      </c>
      <c r="M106" s="3" t="str">
        <f>IF(Regcontabilizados[[#This Row],[Eliminado]]="si","",RegContabilizados2[[#This Row],[Categoría]])</f>
        <v/>
      </c>
      <c r="N106" s="3" t="str">
        <f>IF(Regcontabilizados[[#This Row],[Eliminado]]="si","",RegContabilizados2[[#This Row],[Almacen]])</f>
        <v/>
      </c>
      <c r="O106" s="3" t="str">
        <f>IF(Regcontabilizados[[#This Row],[Eliminado]]="si","",RegContabilizados2[[#This Row],[Tipo de movimiento]])</f>
        <v/>
      </c>
      <c r="P106" s="1" t="str">
        <f>IF(Regcontabilizados[[#This Row],[Eliminado]]="si","",RegContabilizados2[[#This Row],[cantidad]])</f>
        <v/>
      </c>
      <c r="Q106" s="1" t="str">
        <f>IF(Regcontabilizados[[#This Row],[Eliminado]]="si","",RegContabilizados2[[#This Row],[VR unitario]])</f>
        <v/>
      </c>
      <c r="R106" s="1" t="str">
        <f>IF(Regcontabilizados[[#This Row],[Eliminado]]="si","",RegContabilizados2[[#This Row],[Subcuenta]])</f>
        <v/>
      </c>
      <c r="S106" s="1" t="str">
        <f>IF(Regcontabilizados[[#This Row],[Eliminado]]="si","",RegContabilizados2[[#This Row],[Debe]])</f>
        <v/>
      </c>
      <c r="T106" s="1" t="str">
        <f>IF(Regcontabilizados[[#This Row],[Eliminado]]="si","",RegContabilizados2[[#This Row],[Haber]])</f>
        <v/>
      </c>
      <c r="U106" s="1">
        <f>IFERROR((Regcontabilizados[[#This Row],[Debe]]-Regcontabilizados[[#This Row],[Haber]]),0)</f>
        <v>0</v>
      </c>
      <c r="V106" s="1">
        <f>IFERROR((+_xlfn.XLOOKUP(Regcontabilizados[[#This Row],[Subcuenta]],Tabla11[Cuenta],Tabla11[Descripción],0)),0)</f>
        <v>0</v>
      </c>
      <c r="W106" s="1">
        <f>IFERROR((_xlfn.XLOOKUP((VALUE(LEFT(Regcontabilizados[[#This Row],[Subcuenta]],4))),Tabla11[Cuenta],Tabla11[Descripción],0)),0)</f>
        <v>0</v>
      </c>
      <c r="X106" s="1">
        <f>IFERROR((_xlfn.XLOOKUP(Regcontabilizados[[#This Row],[Subcuenta]],Tabla11[Cuenta],Tabla11[Descripción],0)),0)</f>
        <v>0</v>
      </c>
      <c r="Y106" s="1" t="str">
        <f>IF((IFERROR((FIND((_xlfn.XLOOKUP(RegContabilizados2[[#This Row],[Idenficador]],FormtBorrados[formatos borrados],FormtBorrados[formatos borrados],0)),RegContabilizados2[[#This Row],[Idenficador]])),0))=1,"si","no")</f>
        <v>si</v>
      </c>
      <c r="Z106" s="1" t="str">
        <f>_xlfn.XLOOKUP(Regcontabilizados[[#This Row],[Subcuenta]],Tabla11[Cuenta],Tabla11[TIPO],"")</f>
        <v/>
      </c>
      <c r="AA106" s="1" t="str">
        <f>IFERROR((Regcontabilizados[[#This Row],[Subcuenta]]&amp;" "&amp;_xlfn.XLOOKUP(Regcontabilizados[[#This Row],[Subcuenta]],Tabla11[Cuenta],Tabla11[Descripción],0)),0)</f>
        <v xml:space="preserve"> 0</v>
      </c>
      <c r="AB106" s="1">
        <f>IFERROR((VALUE(LEFT(Regcontabilizados[[#This Row],[Subcuenta]],2))&amp;" "&amp;_xlfn.XLOOKUP((VALUE(LEFT(Regcontabilizados[[#This Row],[Subcuenta]],2))),Tabla11[Cuenta],Tabla11[Descripción],0)),0)</f>
        <v>0</v>
      </c>
      <c r="AC106" s="1">
        <f>IFERROR((VALUE(LEFT(Regcontabilizados[[#This Row],[Subcuenta]],4))&amp;" "&amp;_xlfn.XLOOKUP((VALUE(LEFT(Regcontabilizados[[#This Row],[Subcuenta]],4))),Tabla11[Cuenta],Tabla11[Descripción],0)),0)</f>
        <v>0</v>
      </c>
      <c r="AD106" s="1" t="str">
        <f>IF(Regcontabilizados[[#This Row],[Eliminado]]="si","",RegContabilizados2[[#This Row],[Estado de pago]])</f>
        <v/>
      </c>
      <c r="AE106" s="1" t="str">
        <f>IF(Regcontabilizados[[#This Row],[Eliminado]]="si","",RegContabilizados2[[#This Row],[Colum. Aux. Estado]])</f>
        <v/>
      </c>
      <c r="AF106" s="1" t="str">
        <f>IF(Regcontabilizados[[#This Row],[Eliminado]]="si","",RegContabilizados2[[#This Row],[Número de pago]])</f>
        <v/>
      </c>
      <c r="AG106" s="1" t="str">
        <f>IF(Regcontabilizados[[#This Row],[Eliminado]]="si","",RegContabilizados2[[#This Row],[Elaborado por]])</f>
        <v/>
      </c>
      <c r="AH106" s="1" t="str">
        <f>IF(Regcontabilizados[[#This Row],[Eliminado]]="si","",RegContabilizados2[[#This Row],[Notas]])</f>
        <v/>
      </c>
      <c r="AI106" s="1" t="str">
        <f>IF(Regcontabilizados[[#This Row],[Eliminado]]="si","",RegContabilizados2[[#This Row],[Método de pago]])</f>
        <v/>
      </c>
      <c r="AJ106" s="1" t="str">
        <f>IF(Regcontabilizados[[#This Row],[Eliminado]]="si","",RegContabilizados2[[#This Row],[Cta. Bancaria]])</f>
        <v/>
      </c>
      <c r="AO106" s="31">
        <v>45993</v>
      </c>
      <c r="AP106" s="31">
        <v>45993</v>
      </c>
      <c r="AQ106" s="3" t="s">
        <v>1250</v>
      </c>
      <c r="AR106" s="3">
        <v>1</v>
      </c>
      <c r="AS106" s="1" t="s">
        <v>766</v>
      </c>
      <c r="AT106" s="1" t="s">
        <v>901</v>
      </c>
      <c r="AV106" s="3">
        <v>333333</v>
      </c>
      <c r="AW106" s="3"/>
      <c r="AX106" s="3"/>
      <c r="AY106" s="3" t="s">
        <v>1001</v>
      </c>
      <c r="AZ106" s="3" t="s">
        <v>975</v>
      </c>
      <c r="BA106" s="1">
        <v>1</v>
      </c>
      <c r="BB106" s="1">
        <v>26562.5</v>
      </c>
      <c r="BC106" s="1">
        <v>143505</v>
      </c>
      <c r="BD106" s="1">
        <v>0</v>
      </c>
      <c r="BE106" s="1">
        <v>53125</v>
      </c>
      <c r="BF106" s="1">
        <f>IFERROR((RegContabilizados2[[#This Row],[Debe]]-RegContabilizados2[[#This Row],[Haber]]),0)</f>
        <v>-53125</v>
      </c>
      <c r="BG106" s="1" t="str">
        <f>IFERROR((+_xlfn.XLOOKUP(RegContabilizados2[[#This Row],[Subcuenta]],Tabla11[Cuenta],Tabla11[Descripción],0)),0)</f>
        <v>MERCANCÍAS DETAL</v>
      </c>
      <c r="BH106" s="1" t="str">
        <f>IFERROR((VALUE(LEFT(RegContabilizados2[[#This Row],[Subcuenta]],2))&amp;" "&amp;_xlfn.XLOOKUP((VALUE(LEFT(RegContabilizados2[[#This Row],[Subcuenta]],2))),Tabla11[Cuenta],Tabla11[Descripción],0)),0)</f>
        <v>14 INVENTARIOS</v>
      </c>
      <c r="BI106" s="1" t="str">
        <f>IFERROR((VALUE(LEFT(RegContabilizados2[[#This Row],[Subcuenta]],4))&amp;" "&amp;_xlfn.XLOOKUP((VALUE(LEFT(RegContabilizados2[[#This Row],[Subcuenta]],4))),Tabla11[Cuenta],Tabla11[Descripción],0)),0)</f>
        <v>1435 MERCANCÍAS NO FABRICADAS POR LA EMPRESA</v>
      </c>
      <c r="BJ106" s="1" t="str">
        <f>IFERROR((RegContabilizados2[[#This Row],[Subcuenta]]&amp;" "&amp;_xlfn.XLOOKUP(RegContabilizados2[[#This Row],[Subcuenta]],Tabla11[Cuenta],Tabla11[Descripción],0)),0)</f>
        <v>143505 MERCANCÍAS DETAL</v>
      </c>
      <c r="BK106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106" s="1" t="str">
        <f>IFERROR(LEFT(RegContabilizados2[[#This Row],[Idenficador]],SEARCH("-",RegContabilizados2[[#This Row],[Idenficador]])-1),0)</f>
        <v>4656566F. V.1</v>
      </c>
      <c r="BN106" s="1" t="s">
        <v>1169</v>
      </c>
    </row>
    <row r="107" spans="4:66">
      <c r="D107" s="31" t="str">
        <f>IF(Regcontabilizados[[#This Row],[Eliminado]]="si","",RegContabilizados2[[#This Row],[fecha Factura]])</f>
        <v/>
      </c>
      <c r="E107" s="31" t="str">
        <f>IF(Regcontabilizados[[#This Row],[Eliminado]]="si","",RegContabilizados2[[#This Row],[Fecha vencimiento]])</f>
        <v/>
      </c>
      <c r="F107" s="3" t="str">
        <f>IF(Regcontabilizados[[#This Row],[Eliminado]]="si","",RegContabilizados2[[#This Row],[Idenficador]])</f>
        <v/>
      </c>
      <c r="G107" s="3" t="str">
        <f>IF(Regcontabilizados[[#This Row],[Eliminado]]="si","",RegContabilizados2[[#This Row],[N° de factura/Pago]])</f>
        <v/>
      </c>
      <c r="H107" s="1" t="str">
        <f>IF(Regcontabilizados[[#This Row],[Eliminado]]="si","",RegContabilizados2[[#This Row],[Tipo de Factura]])</f>
        <v/>
      </c>
      <c r="I107" s="1" t="str">
        <f>IF(Regcontabilizados[[#This Row],[Eliminado]]="si","",RegContabilizados2[[#This Row],[ID Cliente]])</f>
        <v/>
      </c>
      <c r="J107" s="1" t="str">
        <f>IF(Regcontabilizados[[#This Row],[Eliminado]]="si","",RegContabilizados2[[#This Row],[ESTADO DEL IVA]])</f>
        <v/>
      </c>
      <c r="K107" s="3" t="str">
        <f>IF(Regcontabilizados[[#This Row],[Eliminado]]="si","",RegContabilizados2[[#This Row],[ID Proveedor]])</f>
        <v/>
      </c>
      <c r="L107" s="3" t="str">
        <f>IF(Regcontabilizados[[#This Row],[Eliminado]]="si","",RegContabilizados2[[#This Row],[Concepto]])</f>
        <v/>
      </c>
      <c r="M107" s="3" t="str">
        <f>IF(Regcontabilizados[[#This Row],[Eliminado]]="si","",RegContabilizados2[[#This Row],[Categoría]])</f>
        <v/>
      </c>
      <c r="N107" s="3" t="str">
        <f>IF(Regcontabilizados[[#This Row],[Eliminado]]="si","",RegContabilizados2[[#This Row],[Almacen]])</f>
        <v/>
      </c>
      <c r="O107" s="3" t="str">
        <f>IF(Regcontabilizados[[#This Row],[Eliminado]]="si","",RegContabilizados2[[#This Row],[Tipo de movimiento]])</f>
        <v/>
      </c>
      <c r="P107" s="1" t="str">
        <f>IF(Regcontabilizados[[#This Row],[Eliminado]]="si","",RegContabilizados2[[#This Row],[cantidad]])</f>
        <v/>
      </c>
      <c r="Q107" s="1" t="str">
        <f>IF(Regcontabilizados[[#This Row],[Eliminado]]="si","",RegContabilizados2[[#This Row],[VR unitario]])</f>
        <v/>
      </c>
      <c r="R107" s="1" t="str">
        <f>IF(Regcontabilizados[[#This Row],[Eliminado]]="si","",RegContabilizados2[[#This Row],[Subcuenta]])</f>
        <v/>
      </c>
      <c r="S107" s="1" t="str">
        <f>IF(Regcontabilizados[[#This Row],[Eliminado]]="si","",RegContabilizados2[[#This Row],[Debe]])</f>
        <v/>
      </c>
      <c r="T107" s="1" t="str">
        <f>IF(Regcontabilizados[[#This Row],[Eliminado]]="si","",RegContabilizados2[[#This Row],[Haber]])</f>
        <v/>
      </c>
      <c r="U107" s="1">
        <f>IFERROR((Regcontabilizados[[#This Row],[Debe]]-Regcontabilizados[[#This Row],[Haber]]),0)</f>
        <v>0</v>
      </c>
      <c r="V107" s="1">
        <f>IFERROR((+_xlfn.XLOOKUP(Regcontabilizados[[#This Row],[Subcuenta]],Tabla11[Cuenta],Tabla11[Descripción],0)),0)</f>
        <v>0</v>
      </c>
      <c r="W107" s="1">
        <f>IFERROR((_xlfn.XLOOKUP((VALUE(LEFT(Regcontabilizados[[#This Row],[Subcuenta]],4))),Tabla11[Cuenta],Tabla11[Descripción],0)),0)</f>
        <v>0</v>
      </c>
      <c r="X107" s="1">
        <f>IFERROR((_xlfn.XLOOKUP(Regcontabilizados[[#This Row],[Subcuenta]],Tabla11[Cuenta],Tabla11[Descripción],0)),0)</f>
        <v>0</v>
      </c>
      <c r="Y107" s="1" t="str">
        <f>IF((IFERROR((FIND((_xlfn.XLOOKUP(RegContabilizados2[[#This Row],[Idenficador]],FormtBorrados[formatos borrados],FormtBorrados[formatos borrados],0)),RegContabilizados2[[#This Row],[Idenficador]])),0))=1,"si","no")</f>
        <v>si</v>
      </c>
      <c r="Z107" s="1" t="str">
        <f>_xlfn.XLOOKUP(Regcontabilizados[[#This Row],[Subcuenta]],Tabla11[Cuenta],Tabla11[TIPO],"")</f>
        <v/>
      </c>
      <c r="AA107" s="1" t="str">
        <f>IFERROR((Regcontabilizados[[#This Row],[Subcuenta]]&amp;" "&amp;_xlfn.XLOOKUP(Regcontabilizados[[#This Row],[Subcuenta]],Tabla11[Cuenta],Tabla11[Descripción],0)),0)</f>
        <v xml:space="preserve"> 0</v>
      </c>
      <c r="AB107" s="1">
        <f>IFERROR((VALUE(LEFT(Regcontabilizados[[#This Row],[Subcuenta]],2))&amp;" "&amp;_xlfn.XLOOKUP((VALUE(LEFT(Regcontabilizados[[#This Row],[Subcuenta]],2))),Tabla11[Cuenta],Tabla11[Descripción],0)),0)</f>
        <v>0</v>
      </c>
      <c r="AC107" s="1">
        <f>IFERROR((VALUE(LEFT(Regcontabilizados[[#This Row],[Subcuenta]],4))&amp;" "&amp;_xlfn.XLOOKUP((VALUE(LEFT(Regcontabilizados[[#This Row],[Subcuenta]],4))),Tabla11[Cuenta],Tabla11[Descripción],0)),0)</f>
        <v>0</v>
      </c>
      <c r="AD107" s="1" t="str">
        <f>IF(Regcontabilizados[[#This Row],[Eliminado]]="si","",RegContabilizados2[[#This Row],[Estado de pago]])</f>
        <v/>
      </c>
      <c r="AE107" s="1" t="str">
        <f>IF(Regcontabilizados[[#This Row],[Eliminado]]="si","",RegContabilizados2[[#This Row],[Colum. Aux. Estado]])</f>
        <v/>
      </c>
      <c r="AF107" s="1" t="str">
        <f>IF(Regcontabilizados[[#This Row],[Eliminado]]="si","",RegContabilizados2[[#This Row],[Número de pago]])</f>
        <v/>
      </c>
      <c r="AG107" s="1" t="str">
        <f>IF(Regcontabilizados[[#This Row],[Eliminado]]="si","",RegContabilizados2[[#This Row],[Elaborado por]])</f>
        <v/>
      </c>
      <c r="AH107" s="1" t="str">
        <f>IF(Regcontabilizados[[#This Row],[Eliminado]]="si","",RegContabilizados2[[#This Row],[Notas]])</f>
        <v/>
      </c>
      <c r="AI107" s="1" t="str">
        <f>IF(Regcontabilizados[[#This Row],[Eliminado]]="si","",RegContabilizados2[[#This Row],[Método de pago]])</f>
        <v/>
      </c>
      <c r="AJ107" s="1" t="str">
        <f>IF(Regcontabilizados[[#This Row],[Eliminado]]="si","",RegContabilizados2[[#This Row],[Cta. Bancaria]])</f>
        <v/>
      </c>
      <c r="AO107" s="31">
        <v>45993</v>
      </c>
      <c r="AP107" s="31">
        <v>45993</v>
      </c>
      <c r="AQ107" s="3" t="s">
        <v>1251</v>
      </c>
      <c r="AR107" s="3">
        <v>1</v>
      </c>
      <c r="AS107" s="1" t="s">
        <v>766</v>
      </c>
      <c r="AT107" s="1" t="s">
        <v>901</v>
      </c>
      <c r="AV107" s="3">
        <v>333333</v>
      </c>
      <c r="AW107" s="3"/>
      <c r="AX107" s="3"/>
      <c r="AY107" s="3" t="s">
        <v>1001</v>
      </c>
      <c r="AZ107" s="3" t="s">
        <v>975</v>
      </c>
      <c r="BA107" s="1">
        <v>1</v>
      </c>
      <c r="BB107" s="1">
        <v>26538.461538461539</v>
      </c>
      <c r="BC107" s="1">
        <v>143505</v>
      </c>
      <c r="BD107" s="1">
        <v>0</v>
      </c>
      <c r="BE107" s="1">
        <v>26538.461538461539</v>
      </c>
      <c r="BF107" s="1">
        <f>IFERROR((RegContabilizados2[[#This Row],[Debe]]-RegContabilizados2[[#This Row],[Haber]]),0)</f>
        <v>-26538.461538461539</v>
      </c>
      <c r="BG107" s="1" t="str">
        <f>IFERROR((+_xlfn.XLOOKUP(RegContabilizados2[[#This Row],[Subcuenta]],Tabla11[Cuenta],Tabla11[Descripción],0)),0)</f>
        <v>MERCANCÍAS DETAL</v>
      </c>
      <c r="BH107" s="1" t="str">
        <f>IFERROR((VALUE(LEFT(RegContabilizados2[[#This Row],[Subcuenta]],2))&amp;" "&amp;_xlfn.XLOOKUP((VALUE(LEFT(RegContabilizados2[[#This Row],[Subcuenta]],2))),Tabla11[Cuenta],Tabla11[Descripción],0)),0)</f>
        <v>14 INVENTARIOS</v>
      </c>
      <c r="BI107" s="1" t="str">
        <f>IFERROR((VALUE(LEFT(RegContabilizados2[[#This Row],[Subcuenta]],4))&amp;" "&amp;_xlfn.XLOOKUP((VALUE(LEFT(RegContabilizados2[[#This Row],[Subcuenta]],4))),Tabla11[Cuenta],Tabla11[Descripción],0)),0)</f>
        <v>1435 MERCANCÍAS NO FABRICADAS POR LA EMPRESA</v>
      </c>
      <c r="BJ107" s="1" t="str">
        <f>IFERROR((RegContabilizados2[[#This Row],[Subcuenta]]&amp;" "&amp;_xlfn.XLOOKUP(RegContabilizados2[[#This Row],[Subcuenta]],Tabla11[Cuenta],Tabla11[Descripción],0)),0)</f>
        <v>143505 MERCANCÍAS DETAL</v>
      </c>
      <c r="BK107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107" s="1" t="str">
        <f>IFERROR(LEFT(RegContabilizados2[[#This Row],[Idenficador]],SEARCH("-",RegContabilizados2[[#This Row],[Idenficador]])-1),0)</f>
        <v>4656566F. V.1</v>
      </c>
      <c r="BN107" s="1" t="s">
        <v>1169</v>
      </c>
    </row>
    <row r="108" spans="4:66">
      <c r="D108" s="31" t="str">
        <f>IF(Regcontabilizados[[#This Row],[Eliminado]]="si","",RegContabilizados2[[#This Row],[fecha Factura]])</f>
        <v/>
      </c>
      <c r="E108" s="31" t="str">
        <f>IF(Regcontabilizados[[#This Row],[Eliminado]]="si","",RegContabilizados2[[#This Row],[Fecha vencimiento]])</f>
        <v/>
      </c>
      <c r="F108" s="3" t="str">
        <f>IF(Regcontabilizados[[#This Row],[Eliminado]]="si","",RegContabilizados2[[#This Row],[Idenficador]])</f>
        <v/>
      </c>
      <c r="G108" s="3" t="str">
        <f>IF(Regcontabilizados[[#This Row],[Eliminado]]="si","",RegContabilizados2[[#This Row],[N° de factura/Pago]])</f>
        <v/>
      </c>
      <c r="H108" s="1" t="str">
        <f>IF(Regcontabilizados[[#This Row],[Eliminado]]="si","",RegContabilizados2[[#This Row],[Tipo de Factura]])</f>
        <v/>
      </c>
      <c r="I108" s="1" t="str">
        <f>IF(Regcontabilizados[[#This Row],[Eliminado]]="si","",RegContabilizados2[[#This Row],[ID Cliente]])</f>
        <v/>
      </c>
      <c r="J108" s="1" t="str">
        <f>IF(Regcontabilizados[[#This Row],[Eliminado]]="si","",RegContabilizados2[[#This Row],[ESTADO DEL IVA]])</f>
        <v/>
      </c>
      <c r="K108" s="3" t="str">
        <f>IF(Regcontabilizados[[#This Row],[Eliminado]]="si","",RegContabilizados2[[#This Row],[ID Proveedor]])</f>
        <v/>
      </c>
      <c r="L108" s="3" t="str">
        <f>IF(Regcontabilizados[[#This Row],[Eliminado]]="si","",RegContabilizados2[[#This Row],[Concepto]])</f>
        <v/>
      </c>
      <c r="M108" s="3" t="str">
        <f>IF(Regcontabilizados[[#This Row],[Eliminado]]="si","",RegContabilizados2[[#This Row],[Categoría]])</f>
        <v/>
      </c>
      <c r="N108" s="3" t="str">
        <f>IF(Regcontabilizados[[#This Row],[Eliminado]]="si","",RegContabilizados2[[#This Row],[Almacen]])</f>
        <v/>
      </c>
      <c r="O108" s="3" t="str">
        <f>IF(Regcontabilizados[[#This Row],[Eliminado]]="si","",RegContabilizados2[[#This Row],[Tipo de movimiento]])</f>
        <v/>
      </c>
      <c r="P108" s="1" t="str">
        <f>IF(Regcontabilizados[[#This Row],[Eliminado]]="si","",RegContabilizados2[[#This Row],[cantidad]])</f>
        <v/>
      </c>
      <c r="Q108" s="1" t="str">
        <f>IF(Regcontabilizados[[#This Row],[Eliminado]]="si","",RegContabilizados2[[#This Row],[VR unitario]])</f>
        <v/>
      </c>
      <c r="R108" s="1" t="str">
        <f>IF(Regcontabilizados[[#This Row],[Eliminado]]="si","",RegContabilizados2[[#This Row],[Subcuenta]])</f>
        <v/>
      </c>
      <c r="S108" s="1" t="str">
        <f>IF(Regcontabilizados[[#This Row],[Eliminado]]="si","",RegContabilizados2[[#This Row],[Debe]])</f>
        <v/>
      </c>
      <c r="T108" s="1" t="str">
        <f>IF(Regcontabilizados[[#This Row],[Eliminado]]="si","",RegContabilizados2[[#This Row],[Haber]])</f>
        <v/>
      </c>
      <c r="U108" s="1">
        <f>IFERROR((Regcontabilizados[[#This Row],[Debe]]-Regcontabilizados[[#This Row],[Haber]]),0)</f>
        <v>0</v>
      </c>
      <c r="V108" s="1">
        <f>IFERROR((+_xlfn.XLOOKUP(Regcontabilizados[[#This Row],[Subcuenta]],Tabla11[Cuenta],Tabla11[Descripción],0)),0)</f>
        <v>0</v>
      </c>
      <c r="W108" s="1">
        <f>IFERROR((_xlfn.XLOOKUP((VALUE(LEFT(Regcontabilizados[[#This Row],[Subcuenta]],4))),Tabla11[Cuenta],Tabla11[Descripción],0)),0)</f>
        <v>0</v>
      </c>
      <c r="X108" s="1">
        <f>IFERROR((_xlfn.XLOOKUP(Regcontabilizados[[#This Row],[Subcuenta]],Tabla11[Cuenta],Tabla11[Descripción],0)),0)</f>
        <v>0</v>
      </c>
      <c r="Y108" s="1" t="str">
        <f>IF((IFERROR((FIND((_xlfn.XLOOKUP(RegContabilizados2[[#This Row],[Idenficador]],FormtBorrados[formatos borrados],FormtBorrados[formatos borrados],0)),RegContabilizados2[[#This Row],[Idenficador]])),0))=1,"si","no")</f>
        <v>si</v>
      </c>
      <c r="Z108" s="1" t="str">
        <f>_xlfn.XLOOKUP(Regcontabilizados[[#This Row],[Subcuenta]],Tabla11[Cuenta],Tabla11[TIPO],"")</f>
        <v/>
      </c>
      <c r="AA108" s="1" t="str">
        <f>IFERROR((Regcontabilizados[[#This Row],[Subcuenta]]&amp;" "&amp;_xlfn.XLOOKUP(Regcontabilizados[[#This Row],[Subcuenta]],Tabla11[Cuenta],Tabla11[Descripción],0)),0)</f>
        <v xml:space="preserve"> 0</v>
      </c>
      <c r="AB108" s="1">
        <f>IFERROR((VALUE(LEFT(Regcontabilizados[[#This Row],[Subcuenta]],2))&amp;" "&amp;_xlfn.XLOOKUP((VALUE(LEFT(Regcontabilizados[[#This Row],[Subcuenta]],2))),Tabla11[Cuenta],Tabla11[Descripción],0)),0)</f>
        <v>0</v>
      </c>
      <c r="AC108" s="1">
        <f>IFERROR((VALUE(LEFT(Regcontabilizados[[#This Row],[Subcuenta]],4))&amp;" "&amp;_xlfn.XLOOKUP((VALUE(LEFT(Regcontabilizados[[#This Row],[Subcuenta]],4))),Tabla11[Cuenta],Tabla11[Descripción],0)),0)</f>
        <v>0</v>
      </c>
      <c r="AD108" s="1" t="str">
        <f>IF(Regcontabilizados[[#This Row],[Eliminado]]="si","",RegContabilizados2[[#This Row],[Estado de pago]])</f>
        <v/>
      </c>
      <c r="AE108" s="1" t="str">
        <f>IF(Regcontabilizados[[#This Row],[Eliminado]]="si","",RegContabilizados2[[#This Row],[Colum. Aux. Estado]])</f>
        <v/>
      </c>
      <c r="AF108" s="1" t="str">
        <f>IF(Regcontabilizados[[#This Row],[Eliminado]]="si","",RegContabilizados2[[#This Row],[Número de pago]])</f>
        <v/>
      </c>
      <c r="AG108" s="1" t="str">
        <f>IF(Regcontabilizados[[#This Row],[Eliminado]]="si","",RegContabilizados2[[#This Row],[Elaborado por]])</f>
        <v/>
      </c>
      <c r="AH108" s="1" t="str">
        <f>IF(Regcontabilizados[[#This Row],[Eliminado]]="si","",RegContabilizados2[[#This Row],[Notas]])</f>
        <v/>
      </c>
      <c r="AI108" s="1" t="str">
        <f>IF(Regcontabilizados[[#This Row],[Eliminado]]="si","",RegContabilizados2[[#This Row],[Método de pago]])</f>
        <v/>
      </c>
      <c r="AJ108" s="1" t="str">
        <f>IF(Regcontabilizados[[#This Row],[Eliminado]]="si","",RegContabilizados2[[#This Row],[Cta. Bancaria]])</f>
        <v/>
      </c>
      <c r="AO108" s="31">
        <v>45993</v>
      </c>
      <c r="AP108" s="31">
        <v>45993</v>
      </c>
      <c r="AQ108" s="3" t="s">
        <v>1252</v>
      </c>
      <c r="AR108" s="3">
        <v>1</v>
      </c>
      <c r="AS108" s="1" t="s">
        <v>766</v>
      </c>
      <c r="AT108" s="1" t="s">
        <v>901</v>
      </c>
      <c r="AV108" s="3">
        <v>333333</v>
      </c>
      <c r="AW108" s="3"/>
      <c r="AX108" s="3"/>
      <c r="AY108" s="3" t="s">
        <v>1001</v>
      </c>
      <c r="AZ108" s="3" t="s">
        <v>975</v>
      </c>
      <c r="BA108" s="1">
        <v>1</v>
      </c>
      <c r="BB108" s="1">
        <v>0</v>
      </c>
      <c r="BC108" s="1" t="s">
        <v>1168</v>
      </c>
      <c r="BD108" s="1">
        <v>0</v>
      </c>
      <c r="BE108" s="1">
        <v>0</v>
      </c>
      <c r="BF108" s="1">
        <f>IFERROR((RegContabilizados2[[#This Row],[Debe]]-RegContabilizados2[[#This Row],[Haber]]),0)</f>
        <v>0</v>
      </c>
      <c r="BG108" s="1">
        <f>IFERROR((+_xlfn.XLOOKUP(RegContabilizados2[[#This Row],[Subcuenta]],Tabla11[Cuenta],Tabla11[Descripción],0)),0)</f>
        <v>0</v>
      </c>
      <c r="BH108" s="1">
        <f>IFERROR((VALUE(LEFT(RegContabilizados2[[#This Row],[Subcuenta]],2))&amp;" "&amp;_xlfn.XLOOKUP((VALUE(LEFT(RegContabilizados2[[#This Row],[Subcuenta]],2))),Tabla11[Cuenta],Tabla11[Descripción],0)),0)</f>
        <v>0</v>
      </c>
      <c r="BI108" s="1">
        <f>IFERROR((VALUE(LEFT(RegContabilizados2[[#This Row],[Subcuenta]],4))&amp;" "&amp;_xlfn.XLOOKUP((VALUE(LEFT(RegContabilizados2[[#This Row],[Subcuenta]],4))),Tabla11[Cuenta],Tabla11[Descripción],0)),0)</f>
        <v>0</v>
      </c>
      <c r="BJ108" s="1" t="str">
        <f>IFERROR((RegContabilizados2[[#This Row],[Subcuenta]]&amp;" "&amp;_xlfn.XLOOKUP(RegContabilizados2[[#This Row],[Subcuenta]],Tabla11[Cuenta],Tabla11[Descripción],0)),0)</f>
        <v xml:space="preserve"> 0</v>
      </c>
      <c r="BK108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108" s="1" t="str">
        <f>IFERROR(LEFT(RegContabilizados2[[#This Row],[Idenficador]],SEARCH("-",RegContabilizados2[[#This Row],[Idenficador]])-1),0)</f>
        <v>4656566F. V.1</v>
      </c>
      <c r="BN108" s="1" t="s">
        <v>1169</v>
      </c>
    </row>
    <row r="109" spans="4:66">
      <c r="D109" s="31" t="str">
        <f>IF(Regcontabilizados[[#This Row],[Eliminado]]="si","",RegContabilizados2[[#This Row],[fecha Factura]])</f>
        <v/>
      </c>
      <c r="E109" s="31" t="str">
        <f>IF(Regcontabilizados[[#This Row],[Eliminado]]="si","",RegContabilizados2[[#This Row],[Fecha vencimiento]])</f>
        <v/>
      </c>
      <c r="F109" s="3" t="str">
        <f>IF(Regcontabilizados[[#This Row],[Eliminado]]="si","",RegContabilizados2[[#This Row],[Idenficador]])</f>
        <v/>
      </c>
      <c r="G109" s="3" t="str">
        <f>IF(Regcontabilizados[[#This Row],[Eliminado]]="si","",RegContabilizados2[[#This Row],[N° de factura/Pago]])</f>
        <v/>
      </c>
      <c r="H109" s="1" t="str">
        <f>IF(Regcontabilizados[[#This Row],[Eliminado]]="si","",RegContabilizados2[[#This Row],[Tipo de Factura]])</f>
        <v/>
      </c>
      <c r="I109" s="1" t="str">
        <f>IF(Regcontabilizados[[#This Row],[Eliminado]]="si","",RegContabilizados2[[#This Row],[ID Cliente]])</f>
        <v/>
      </c>
      <c r="J109" s="1" t="str">
        <f>IF(Regcontabilizados[[#This Row],[Eliminado]]="si","",RegContabilizados2[[#This Row],[ESTADO DEL IVA]])</f>
        <v/>
      </c>
      <c r="K109" s="3" t="str">
        <f>IF(Regcontabilizados[[#This Row],[Eliminado]]="si","",RegContabilizados2[[#This Row],[ID Proveedor]])</f>
        <v/>
      </c>
      <c r="L109" s="3" t="str">
        <f>IF(Regcontabilizados[[#This Row],[Eliminado]]="si","",RegContabilizados2[[#This Row],[Concepto]])</f>
        <v/>
      </c>
      <c r="M109" s="3" t="str">
        <f>IF(Regcontabilizados[[#This Row],[Eliminado]]="si","",RegContabilizados2[[#This Row],[Categoría]])</f>
        <v/>
      </c>
      <c r="N109" s="3" t="str">
        <f>IF(Regcontabilizados[[#This Row],[Eliminado]]="si","",RegContabilizados2[[#This Row],[Almacen]])</f>
        <v/>
      </c>
      <c r="O109" s="3" t="str">
        <f>IF(Regcontabilizados[[#This Row],[Eliminado]]="si","",RegContabilizados2[[#This Row],[Tipo de movimiento]])</f>
        <v/>
      </c>
      <c r="P109" s="1" t="str">
        <f>IF(Regcontabilizados[[#This Row],[Eliminado]]="si","",RegContabilizados2[[#This Row],[cantidad]])</f>
        <v/>
      </c>
      <c r="Q109" s="1" t="str">
        <f>IF(Regcontabilizados[[#This Row],[Eliminado]]="si","",RegContabilizados2[[#This Row],[VR unitario]])</f>
        <v/>
      </c>
      <c r="R109" s="1" t="str">
        <f>IF(Regcontabilizados[[#This Row],[Eliminado]]="si","",RegContabilizados2[[#This Row],[Subcuenta]])</f>
        <v/>
      </c>
      <c r="S109" s="1" t="str">
        <f>IF(Regcontabilizados[[#This Row],[Eliminado]]="si","",RegContabilizados2[[#This Row],[Debe]])</f>
        <v/>
      </c>
      <c r="T109" s="1" t="str">
        <f>IF(Regcontabilizados[[#This Row],[Eliminado]]="si","",RegContabilizados2[[#This Row],[Haber]])</f>
        <v/>
      </c>
      <c r="U109" s="1">
        <f>IFERROR((Regcontabilizados[[#This Row],[Debe]]-Regcontabilizados[[#This Row],[Haber]]),0)</f>
        <v>0</v>
      </c>
      <c r="V109" s="1">
        <f>IFERROR((+_xlfn.XLOOKUP(Regcontabilizados[[#This Row],[Subcuenta]],Tabla11[Cuenta],Tabla11[Descripción],0)),0)</f>
        <v>0</v>
      </c>
      <c r="W109" s="1">
        <f>IFERROR((_xlfn.XLOOKUP((VALUE(LEFT(Regcontabilizados[[#This Row],[Subcuenta]],4))),Tabla11[Cuenta],Tabla11[Descripción],0)),0)</f>
        <v>0</v>
      </c>
      <c r="X109" s="1">
        <f>IFERROR((_xlfn.XLOOKUP(Regcontabilizados[[#This Row],[Subcuenta]],Tabla11[Cuenta],Tabla11[Descripción],0)),0)</f>
        <v>0</v>
      </c>
      <c r="Y109" s="1" t="str">
        <f>IF((IFERROR((FIND((_xlfn.XLOOKUP(RegContabilizados2[[#This Row],[Idenficador]],FormtBorrados[formatos borrados],FormtBorrados[formatos borrados],0)),RegContabilizados2[[#This Row],[Idenficador]])),0))=1,"si","no")</f>
        <v>si</v>
      </c>
      <c r="Z109" s="1" t="str">
        <f>_xlfn.XLOOKUP(Regcontabilizados[[#This Row],[Subcuenta]],Tabla11[Cuenta],Tabla11[TIPO],"")</f>
        <v/>
      </c>
      <c r="AA109" s="1" t="str">
        <f>IFERROR((Regcontabilizados[[#This Row],[Subcuenta]]&amp;" "&amp;_xlfn.XLOOKUP(Regcontabilizados[[#This Row],[Subcuenta]],Tabla11[Cuenta],Tabla11[Descripción],0)),0)</f>
        <v xml:space="preserve"> 0</v>
      </c>
      <c r="AB109" s="1">
        <f>IFERROR((VALUE(LEFT(Regcontabilizados[[#This Row],[Subcuenta]],2))&amp;" "&amp;_xlfn.XLOOKUP((VALUE(LEFT(Regcontabilizados[[#This Row],[Subcuenta]],2))),Tabla11[Cuenta],Tabla11[Descripción],0)),0)</f>
        <v>0</v>
      </c>
      <c r="AC109" s="1">
        <f>IFERROR((VALUE(LEFT(Regcontabilizados[[#This Row],[Subcuenta]],4))&amp;" "&amp;_xlfn.XLOOKUP((VALUE(LEFT(Regcontabilizados[[#This Row],[Subcuenta]],4))),Tabla11[Cuenta],Tabla11[Descripción],0)),0)</f>
        <v>0</v>
      </c>
      <c r="AD109" s="1" t="str">
        <f>IF(Regcontabilizados[[#This Row],[Eliminado]]="si","",RegContabilizados2[[#This Row],[Estado de pago]])</f>
        <v/>
      </c>
      <c r="AE109" s="1" t="str">
        <f>IF(Regcontabilizados[[#This Row],[Eliminado]]="si","",RegContabilizados2[[#This Row],[Colum. Aux. Estado]])</f>
        <v/>
      </c>
      <c r="AF109" s="1" t="str">
        <f>IF(Regcontabilizados[[#This Row],[Eliminado]]="si","",RegContabilizados2[[#This Row],[Número de pago]])</f>
        <v/>
      </c>
      <c r="AG109" s="1" t="str">
        <f>IF(Regcontabilizados[[#This Row],[Eliminado]]="si","",RegContabilizados2[[#This Row],[Elaborado por]])</f>
        <v/>
      </c>
      <c r="AH109" s="1" t="str">
        <f>IF(Regcontabilizados[[#This Row],[Eliminado]]="si","",RegContabilizados2[[#This Row],[Notas]])</f>
        <v/>
      </c>
      <c r="AI109" s="1" t="str">
        <f>IF(Regcontabilizados[[#This Row],[Eliminado]]="si","",RegContabilizados2[[#This Row],[Método de pago]])</f>
        <v/>
      </c>
      <c r="AJ109" s="1" t="str">
        <f>IF(Regcontabilizados[[#This Row],[Eliminado]]="si","",RegContabilizados2[[#This Row],[Cta. Bancaria]])</f>
        <v/>
      </c>
      <c r="AO109" s="31">
        <v>45993</v>
      </c>
      <c r="AP109" s="31">
        <v>45993</v>
      </c>
      <c r="AQ109" s="3" t="s">
        <v>1253</v>
      </c>
      <c r="AR109" s="3">
        <v>1</v>
      </c>
      <c r="AS109" s="1" t="s">
        <v>766</v>
      </c>
      <c r="AT109" s="1" t="s">
        <v>901</v>
      </c>
      <c r="AV109" s="3">
        <v>333333</v>
      </c>
      <c r="AW109" s="3"/>
      <c r="AX109" s="3"/>
      <c r="AY109" s="3" t="s">
        <v>1001</v>
      </c>
      <c r="AZ109" s="3" t="s">
        <v>975</v>
      </c>
      <c r="BA109" s="1">
        <v>1</v>
      </c>
      <c r="BB109" s="1">
        <v>0</v>
      </c>
      <c r="BC109" s="1" t="s">
        <v>1168</v>
      </c>
      <c r="BD109" s="1">
        <v>0</v>
      </c>
      <c r="BE109" s="1">
        <v>0</v>
      </c>
      <c r="BF109" s="1">
        <f>IFERROR((RegContabilizados2[[#This Row],[Debe]]-RegContabilizados2[[#This Row],[Haber]]),0)</f>
        <v>0</v>
      </c>
      <c r="BG109" s="1">
        <f>IFERROR((+_xlfn.XLOOKUP(RegContabilizados2[[#This Row],[Subcuenta]],Tabla11[Cuenta],Tabla11[Descripción],0)),0)</f>
        <v>0</v>
      </c>
      <c r="BH109" s="1">
        <f>IFERROR((VALUE(LEFT(RegContabilizados2[[#This Row],[Subcuenta]],2))&amp;" "&amp;_xlfn.XLOOKUP((VALUE(LEFT(RegContabilizados2[[#This Row],[Subcuenta]],2))),Tabla11[Cuenta],Tabla11[Descripción],0)),0)</f>
        <v>0</v>
      </c>
      <c r="BI109" s="1">
        <f>IFERROR((VALUE(LEFT(RegContabilizados2[[#This Row],[Subcuenta]],4))&amp;" "&amp;_xlfn.XLOOKUP((VALUE(LEFT(RegContabilizados2[[#This Row],[Subcuenta]],4))),Tabla11[Cuenta],Tabla11[Descripción],0)),0)</f>
        <v>0</v>
      </c>
      <c r="BJ109" s="1" t="str">
        <f>IFERROR((RegContabilizados2[[#This Row],[Subcuenta]]&amp;" "&amp;_xlfn.XLOOKUP(RegContabilizados2[[#This Row],[Subcuenta]],Tabla11[Cuenta],Tabla11[Descripción],0)),0)</f>
        <v xml:space="preserve"> 0</v>
      </c>
      <c r="BK109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109" s="1" t="str">
        <f>IFERROR(LEFT(RegContabilizados2[[#This Row],[Idenficador]],SEARCH("-",RegContabilizados2[[#This Row],[Idenficador]])-1),0)</f>
        <v>4656566F. V.1</v>
      </c>
      <c r="BN109" s="1" t="s">
        <v>1169</v>
      </c>
    </row>
    <row r="110" spans="4:66">
      <c r="D110" s="31" t="str">
        <f>IF(Regcontabilizados[[#This Row],[Eliminado]]="si","",RegContabilizados2[[#This Row],[fecha Factura]])</f>
        <v/>
      </c>
      <c r="E110" s="31" t="str">
        <f>IF(Regcontabilizados[[#This Row],[Eliminado]]="si","",RegContabilizados2[[#This Row],[Fecha vencimiento]])</f>
        <v/>
      </c>
      <c r="F110" s="3" t="str">
        <f>IF(Regcontabilizados[[#This Row],[Eliminado]]="si","",RegContabilizados2[[#This Row],[Idenficador]])</f>
        <v/>
      </c>
      <c r="G110" s="3" t="str">
        <f>IF(Regcontabilizados[[#This Row],[Eliminado]]="si","",RegContabilizados2[[#This Row],[N° de factura/Pago]])</f>
        <v/>
      </c>
      <c r="H110" s="1" t="str">
        <f>IF(Regcontabilizados[[#This Row],[Eliminado]]="si","",RegContabilizados2[[#This Row],[Tipo de Factura]])</f>
        <v/>
      </c>
      <c r="I110" s="1" t="str">
        <f>IF(Regcontabilizados[[#This Row],[Eliminado]]="si","",RegContabilizados2[[#This Row],[ID Cliente]])</f>
        <v/>
      </c>
      <c r="J110" s="1" t="str">
        <f>IF(Regcontabilizados[[#This Row],[Eliminado]]="si","",RegContabilizados2[[#This Row],[ESTADO DEL IVA]])</f>
        <v/>
      </c>
      <c r="K110" s="3" t="str">
        <f>IF(Regcontabilizados[[#This Row],[Eliminado]]="si","",RegContabilizados2[[#This Row],[ID Proveedor]])</f>
        <v/>
      </c>
      <c r="L110" s="3" t="str">
        <f>IF(Regcontabilizados[[#This Row],[Eliminado]]="si","",RegContabilizados2[[#This Row],[Concepto]])</f>
        <v/>
      </c>
      <c r="M110" s="3" t="str">
        <f>IF(Regcontabilizados[[#This Row],[Eliminado]]="si","",RegContabilizados2[[#This Row],[Categoría]])</f>
        <v/>
      </c>
      <c r="N110" s="3" t="str">
        <f>IF(Regcontabilizados[[#This Row],[Eliminado]]="si","",RegContabilizados2[[#This Row],[Almacen]])</f>
        <v/>
      </c>
      <c r="O110" s="3" t="str">
        <f>IF(Regcontabilizados[[#This Row],[Eliminado]]="si","",RegContabilizados2[[#This Row],[Tipo de movimiento]])</f>
        <v/>
      </c>
      <c r="P110" s="1" t="str">
        <f>IF(Regcontabilizados[[#This Row],[Eliminado]]="si","",RegContabilizados2[[#This Row],[cantidad]])</f>
        <v/>
      </c>
      <c r="Q110" s="1" t="str">
        <f>IF(Regcontabilizados[[#This Row],[Eliminado]]="si","",RegContabilizados2[[#This Row],[VR unitario]])</f>
        <v/>
      </c>
      <c r="R110" s="1" t="str">
        <f>IF(Regcontabilizados[[#This Row],[Eliminado]]="si","",RegContabilizados2[[#This Row],[Subcuenta]])</f>
        <v/>
      </c>
      <c r="S110" s="1" t="str">
        <f>IF(Regcontabilizados[[#This Row],[Eliminado]]="si","",RegContabilizados2[[#This Row],[Debe]])</f>
        <v/>
      </c>
      <c r="T110" s="1" t="str">
        <f>IF(Regcontabilizados[[#This Row],[Eliminado]]="si","",RegContabilizados2[[#This Row],[Haber]])</f>
        <v/>
      </c>
      <c r="U110" s="1">
        <f>IFERROR((Regcontabilizados[[#This Row],[Debe]]-Regcontabilizados[[#This Row],[Haber]]),0)</f>
        <v>0</v>
      </c>
      <c r="V110" s="1">
        <f>IFERROR((+_xlfn.XLOOKUP(Regcontabilizados[[#This Row],[Subcuenta]],Tabla11[Cuenta],Tabla11[Descripción],0)),0)</f>
        <v>0</v>
      </c>
      <c r="W110" s="1">
        <f>IFERROR((_xlfn.XLOOKUP((VALUE(LEFT(Regcontabilizados[[#This Row],[Subcuenta]],4))),Tabla11[Cuenta],Tabla11[Descripción],0)),0)</f>
        <v>0</v>
      </c>
      <c r="X110" s="1">
        <f>IFERROR((_xlfn.XLOOKUP(Regcontabilizados[[#This Row],[Subcuenta]],Tabla11[Cuenta],Tabla11[Descripción],0)),0)</f>
        <v>0</v>
      </c>
      <c r="Y110" s="1" t="str">
        <f>IF((IFERROR((FIND((_xlfn.XLOOKUP(RegContabilizados2[[#This Row],[Idenficador]],FormtBorrados[formatos borrados],FormtBorrados[formatos borrados],0)),RegContabilizados2[[#This Row],[Idenficador]])),0))=1,"si","no")</f>
        <v>si</v>
      </c>
      <c r="Z110" s="1" t="str">
        <f>_xlfn.XLOOKUP(Regcontabilizados[[#This Row],[Subcuenta]],Tabla11[Cuenta],Tabla11[TIPO],"")</f>
        <v/>
      </c>
      <c r="AA110" s="1" t="str">
        <f>IFERROR((Regcontabilizados[[#This Row],[Subcuenta]]&amp;" "&amp;_xlfn.XLOOKUP(Regcontabilizados[[#This Row],[Subcuenta]],Tabla11[Cuenta],Tabla11[Descripción],0)),0)</f>
        <v xml:space="preserve"> 0</v>
      </c>
      <c r="AB110" s="1">
        <f>IFERROR((VALUE(LEFT(Regcontabilizados[[#This Row],[Subcuenta]],2))&amp;" "&amp;_xlfn.XLOOKUP((VALUE(LEFT(Regcontabilizados[[#This Row],[Subcuenta]],2))),Tabla11[Cuenta],Tabla11[Descripción],0)),0)</f>
        <v>0</v>
      </c>
      <c r="AC110" s="1">
        <f>IFERROR((VALUE(LEFT(Regcontabilizados[[#This Row],[Subcuenta]],4))&amp;" "&amp;_xlfn.XLOOKUP((VALUE(LEFT(Regcontabilizados[[#This Row],[Subcuenta]],4))),Tabla11[Cuenta],Tabla11[Descripción],0)),0)</f>
        <v>0</v>
      </c>
      <c r="AD110" s="1" t="str">
        <f>IF(Regcontabilizados[[#This Row],[Eliminado]]="si","",RegContabilizados2[[#This Row],[Estado de pago]])</f>
        <v/>
      </c>
      <c r="AE110" s="1" t="str">
        <f>IF(Regcontabilizados[[#This Row],[Eliminado]]="si","",RegContabilizados2[[#This Row],[Colum. Aux. Estado]])</f>
        <v/>
      </c>
      <c r="AF110" s="1" t="str">
        <f>IF(Regcontabilizados[[#This Row],[Eliminado]]="si","",RegContabilizados2[[#This Row],[Número de pago]])</f>
        <v/>
      </c>
      <c r="AG110" s="1" t="str">
        <f>IF(Regcontabilizados[[#This Row],[Eliminado]]="si","",RegContabilizados2[[#This Row],[Elaborado por]])</f>
        <v/>
      </c>
      <c r="AH110" s="1" t="str">
        <f>IF(Regcontabilizados[[#This Row],[Eliminado]]="si","",RegContabilizados2[[#This Row],[Notas]])</f>
        <v/>
      </c>
      <c r="AI110" s="1" t="str">
        <f>IF(Regcontabilizados[[#This Row],[Eliminado]]="si","",RegContabilizados2[[#This Row],[Método de pago]])</f>
        <v/>
      </c>
      <c r="AJ110" s="1" t="str">
        <f>IF(Regcontabilizados[[#This Row],[Eliminado]]="si","",RegContabilizados2[[#This Row],[Cta. Bancaria]])</f>
        <v/>
      </c>
      <c r="AO110" s="31">
        <v>45993</v>
      </c>
      <c r="AP110" s="31">
        <v>45993</v>
      </c>
      <c r="AQ110" s="3" t="s">
        <v>1254</v>
      </c>
      <c r="AR110" s="3">
        <v>1</v>
      </c>
      <c r="AS110" s="1" t="s">
        <v>766</v>
      </c>
      <c r="AT110" s="1" t="s">
        <v>901</v>
      </c>
      <c r="AV110" s="3">
        <v>333333</v>
      </c>
      <c r="AW110" s="3"/>
      <c r="AX110" s="3"/>
      <c r="AY110" s="3" t="s">
        <v>1001</v>
      </c>
      <c r="AZ110" s="3" t="s">
        <v>975</v>
      </c>
      <c r="BA110" s="1">
        <v>1</v>
      </c>
      <c r="BB110" s="1">
        <v>0</v>
      </c>
      <c r="BC110" s="1" t="s">
        <v>1168</v>
      </c>
      <c r="BD110" s="1">
        <v>0</v>
      </c>
      <c r="BE110" s="1">
        <v>0</v>
      </c>
      <c r="BF110" s="1">
        <f>IFERROR((RegContabilizados2[[#This Row],[Debe]]-RegContabilizados2[[#This Row],[Haber]]),0)</f>
        <v>0</v>
      </c>
      <c r="BG110" s="1">
        <f>IFERROR((+_xlfn.XLOOKUP(RegContabilizados2[[#This Row],[Subcuenta]],Tabla11[Cuenta],Tabla11[Descripción],0)),0)</f>
        <v>0</v>
      </c>
      <c r="BH110" s="1">
        <f>IFERROR((VALUE(LEFT(RegContabilizados2[[#This Row],[Subcuenta]],2))&amp;" "&amp;_xlfn.XLOOKUP((VALUE(LEFT(RegContabilizados2[[#This Row],[Subcuenta]],2))),Tabla11[Cuenta],Tabla11[Descripción],0)),0)</f>
        <v>0</v>
      </c>
      <c r="BI110" s="1">
        <f>IFERROR((VALUE(LEFT(RegContabilizados2[[#This Row],[Subcuenta]],4))&amp;" "&amp;_xlfn.XLOOKUP((VALUE(LEFT(RegContabilizados2[[#This Row],[Subcuenta]],4))),Tabla11[Cuenta],Tabla11[Descripción],0)),0)</f>
        <v>0</v>
      </c>
      <c r="BJ110" s="1" t="str">
        <f>IFERROR((RegContabilizados2[[#This Row],[Subcuenta]]&amp;" "&amp;_xlfn.XLOOKUP(RegContabilizados2[[#This Row],[Subcuenta]],Tabla11[Cuenta],Tabla11[Descripción],0)),0)</f>
        <v xml:space="preserve"> 0</v>
      </c>
      <c r="BK110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110" s="1" t="str">
        <f>IFERROR(LEFT(RegContabilizados2[[#This Row],[Idenficador]],SEARCH("-",RegContabilizados2[[#This Row],[Idenficador]])-1),0)</f>
        <v>4656566F. V.1</v>
      </c>
      <c r="BN110" s="1" t="s">
        <v>1169</v>
      </c>
    </row>
    <row r="111" spans="4:66">
      <c r="D111" s="31" t="str">
        <f>IF(Regcontabilizados[[#This Row],[Eliminado]]="si","",RegContabilizados2[[#This Row],[fecha Factura]])</f>
        <v/>
      </c>
      <c r="E111" s="31" t="str">
        <f>IF(Regcontabilizados[[#This Row],[Eliminado]]="si","",RegContabilizados2[[#This Row],[Fecha vencimiento]])</f>
        <v/>
      </c>
      <c r="F111" s="3" t="str">
        <f>IF(Regcontabilizados[[#This Row],[Eliminado]]="si","",RegContabilizados2[[#This Row],[Idenficador]])</f>
        <v/>
      </c>
      <c r="G111" s="3" t="str">
        <f>IF(Regcontabilizados[[#This Row],[Eliminado]]="si","",RegContabilizados2[[#This Row],[N° de factura/Pago]])</f>
        <v/>
      </c>
      <c r="H111" s="1" t="str">
        <f>IF(Regcontabilizados[[#This Row],[Eliminado]]="si","",RegContabilizados2[[#This Row],[Tipo de Factura]])</f>
        <v/>
      </c>
      <c r="I111" s="1" t="str">
        <f>IF(Regcontabilizados[[#This Row],[Eliminado]]="si","",RegContabilizados2[[#This Row],[ID Cliente]])</f>
        <v/>
      </c>
      <c r="J111" s="1" t="str">
        <f>IF(Regcontabilizados[[#This Row],[Eliminado]]="si","",RegContabilizados2[[#This Row],[ESTADO DEL IVA]])</f>
        <v/>
      </c>
      <c r="K111" s="3" t="str">
        <f>IF(Regcontabilizados[[#This Row],[Eliminado]]="si","",RegContabilizados2[[#This Row],[ID Proveedor]])</f>
        <v/>
      </c>
      <c r="L111" s="3" t="str">
        <f>IF(Regcontabilizados[[#This Row],[Eliminado]]="si","",RegContabilizados2[[#This Row],[Concepto]])</f>
        <v/>
      </c>
      <c r="M111" s="3" t="str">
        <f>IF(Regcontabilizados[[#This Row],[Eliminado]]="si","",RegContabilizados2[[#This Row],[Categoría]])</f>
        <v/>
      </c>
      <c r="N111" s="3" t="str">
        <f>IF(Regcontabilizados[[#This Row],[Eliminado]]="si","",RegContabilizados2[[#This Row],[Almacen]])</f>
        <v/>
      </c>
      <c r="O111" s="3" t="str">
        <f>IF(Regcontabilizados[[#This Row],[Eliminado]]="si","",RegContabilizados2[[#This Row],[Tipo de movimiento]])</f>
        <v/>
      </c>
      <c r="P111" s="1" t="str">
        <f>IF(Regcontabilizados[[#This Row],[Eliminado]]="si","",RegContabilizados2[[#This Row],[cantidad]])</f>
        <v/>
      </c>
      <c r="Q111" s="1" t="str">
        <f>IF(Regcontabilizados[[#This Row],[Eliminado]]="si","",RegContabilizados2[[#This Row],[VR unitario]])</f>
        <v/>
      </c>
      <c r="R111" s="1" t="str">
        <f>IF(Regcontabilizados[[#This Row],[Eliminado]]="si","",RegContabilizados2[[#This Row],[Subcuenta]])</f>
        <v/>
      </c>
      <c r="S111" s="1" t="str">
        <f>IF(Regcontabilizados[[#This Row],[Eliminado]]="si","",RegContabilizados2[[#This Row],[Debe]])</f>
        <v/>
      </c>
      <c r="T111" s="1" t="str">
        <f>IF(Regcontabilizados[[#This Row],[Eliminado]]="si","",RegContabilizados2[[#This Row],[Haber]])</f>
        <v/>
      </c>
      <c r="U111" s="1">
        <f>IFERROR((Regcontabilizados[[#This Row],[Debe]]-Regcontabilizados[[#This Row],[Haber]]),0)</f>
        <v>0</v>
      </c>
      <c r="V111" s="1">
        <f>IFERROR((+_xlfn.XLOOKUP(Regcontabilizados[[#This Row],[Subcuenta]],Tabla11[Cuenta],Tabla11[Descripción],0)),0)</f>
        <v>0</v>
      </c>
      <c r="W111" s="1">
        <f>IFERROR((_xlfn.XLOOKUP((VALUE(LEFT(Regcontabilizados[[#This Row],[Subcuenta]],4))),Tabla11[Cuenta],Tabla11[Descripción],0)),0)</f>
        <v>0</v>
      </c>
      <c r="X111" s="1">
        <f>IFERROR((_xlfn.XLOOKUP(Regcontabilizados[[#This Row],[Subcuenta]],Tabla11[Cuenta],Tabla11[Descripción],0)),0)</f>
        <v>0</v>
      </c>
      <c r="Y111" s="1" t="str">
        <f>IF((IFERROR((FIND((_xlfn.XLOOKUP(RegContabilizados2[[#This Row],[Idenficador]],FormtBorrados[formatos borrados],FormtBorrados[formatos borrados],0)),RegContabilizados2[[#This Row],[Idenficador]])),0))=1,"si","no")</f>
        <v>si</v>
      </c>
      <c r="Z111" s="1" t="str">
        <f>_xlfn.XLOOKUP(Regcontabilizados[[#This Row],[Subcuenta]],Tabla11[Cuenta],Tabla11[TIPO],"")</f>
        <v/>
      </c>
      <c r="AA111" s="1" t="str">
        <f>IFERROR((Regcontabilizados[[#This Row],[Subcuenta]]&amp;" "&amp;_xlfn.XLOOKUP(Regcontabilizados[[#This Row],[Subcuenta]],Tabla11[Cuenta],Tabla11[Descripción],0)),0)</f>
        <v xml:space="preserve"> 0</v>
      </c>
      <c r="AB111" s="1">
        <f>IFERROR((VALUE(LEFT(Regcontabilizados[[#This Row],[Subcuenta]],2))&amp;" "&amp;_xlfn.XLOOKUP((VALUE(LEFT(Regcontabilizados[[#This Row],[Subcuenta]],2))),Tabla11[Cuenta],Tabla11[Descripción],0)),0)</f>
        <v>0</v>
      </c>
      <c r="AC111" s="1">
        <f>IFERROR((VALUE(LEFT(Regcontabilizados[[#This Row],[Subcuenta]],4))&amp;" "&amp;_xlfn.XLOOKUP((VALUE(LEFT(Regcontabilizados[[#This Row],[Subcuenta]],4))),Tabla11[Cuenta],Tabla11[Descripción],0)),0)</f>
        <v>0</v>
      </c>
      <c r="AD111" s="1" t="str">
        <f>IF(Regcontabilizados[[#This Row],[Eliminado]]="si","",RegContabilizados2[[#This Row],[Estado de pago]])</f>
        <v/>
      </c>
      <c r="AE111" s="1" t="str">
        <f>IF(Regcontabilizados[[#This Row],[Eliminado]]="si","",RegContabilizados2[[#This Row],[Colum. Aux. Estado]])</f>
        <v/>
      </c>
      <c r="AF111" s="1" t="str">
        <f>IF(Regcontabilizados[[#This Row],[Eliminado]]="si","",RegContabilizados2[[#This Row],[Número de pago]])</f>
        <v/>
      </c>
      <c r="AG111" s="1" t="str">
        <f>IF(Regcontabilizados[[#This Row],[Eliminado]]="si","",RegContabilizados2[[#This Row],[Elaborado por]])</f>
        <v/>
      </c>
      <c r="AH111" s="1" t="str">
        <f>IF(Regcontabilizados[[#This Row],[Eliminado]]="si","",RegContabilizados2[[#This Row],[Notas]])</f>
        <v/>
      </c>
      <c r="AI111" s="1" t="str">
        <f>IF(Regcontabilizados[[#This Row],[Eliminado]]="si","",RegContabilizados2[[#This Row],[Método de pago]])</f>
        <v/>
      </c>
      <c r="AJ111" s="1" t="str">
        <f>IF(Regcontabilizados[[#This Row],[Eliminado]]="si","",RegContabilizados2[[#This Row],[Cta. Bancaria]])</f>
        <v/>
      </c>
      <c r="AO111" s="31">
        <v>45993</v>
      </c>
      <c r="AP111" s="31">
        <v>45993</v>
      </c>
      <c r="AQ111" s="3" t="s">
        <v>1255</v>
      </c>
      <c r="AR111" s="3">
        <v>1</v>
      </c>
      <c r="AS111" s="1" t="s">
        <v>766</v>
      </c>
      <c r="AT111" s="1" t="s">
        <v>901</v>
      </c>
      <c r="AV111" s="3">
        <v>333333</v>
      </c>
      <c r="AW111" s="3"/>
      <c r="AX111" s="3"/>
      <c r="AY111" s="3" t="s">
        <v>1001</v>
      </c>
      <c r="AZ111" s="3" t="s">
        <v>975</v>
      </c>
      <c r="BA111" s="1">
        <v>1</v>
      </c>
      <c r="BB111" s="1">
        <v>0</v>
      </c>
      <c r="BC111" s="1" t="s">
        <v>1168</v>
      </c>
      <c r="BD111" s="1">
        <v>0</v>
      </c>
      <c r="BE111" s="1">
        <v>0</v>
      </c>
      <c r="BF111" s="1">
        <f>IFERROR((RegContabilizados2[[#This Row],[Debe]]-RegContabilizados2[[#This Row],[Haber]]),0)</f>
        <v>0</v>
      </c>
      <c r="BG111" s="1">
        <f>IFERROR((+_xlfn.XLOOKUP(RegContabilizados2[[#This Row],[Subcuenta]],Tabla11[Cuenta],Tabla11[Descripción],0)),0)</f>
        <v>0</v>
      </c>
      <c r="BH111" s="1">
        <f>IFERROR((VALUE(LEFT(RegContabilizados2[[#This Row],[Subcuenta]],2))&amp;" "&amp;_xlfn.XLOOKUP((VALUE(LEFT(RegContabilizados2[[#This Row],[Subcuenta]],2))),Tabla11[Cuenta],Tabla11[Descripción],0)),0)</f>
        <v>0</v>
      </c>
      <c r="BI111" s="1">
        <f>IFERROR((VALUE(LEFT(RegContabilizados2[[#This Row],[Subcuenta]],4))&amp;" "&amp;_xlfn.XLOOKUP((VALUE(LEFT(RegContabilizados2[[#This Row],[Subcuenta]],4))),Tabla11[Cuenta],Tabla11[Descripción],0)),0)</f>
        <v>0</v>
      </c>
      <c r="BJ111" s="1" t="str">
        <f>IFERROR((RegContabilizados2[[#This Row],[Subcuenta]]&amp;" "&amp;_xlfn.XLOOKUP(RegContabilizados2[[#This Row],[Subcuenta]],Tabla11[Cuenta],Tabla11[Descripción],0)),0)</f>
        <v xml:space="preserve"> 0</v>
      </c>
      <c r="BK111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111" s="1" t="str">
        <f>IFERROR(LEFT(RegContabilizados2[[#This Row],[Idenficador]],SEARCH("-",RegContabilizados2[[#This Row],[Idenficador]])-1),0)</f>
        <v>4656566F. V.1</v>
      </c>
      <c r="BN111" s="1" t="s">
        <v>1169</v>
      </c>
    </row>
    <row r="112" spans="4:66">
      <c r="D112" s="31" t="str">
        <f>IF(Regcontabilizados[[#This Row],[Eliminado]]="si","",RegContabilizados2[[#This Row],[fecha Factura]])</f>
        <v/>
      </c>
      <c r="E112" s="31" t="str">
        <f>IF(Regcontabilizados[[#This Row],[Eliminado]]="si","",RegContabilizados2[[#This Row],[Fecha vencimiento]])</f>
        <v/>
      </c>
      <c r="F112" s="3" t="str">
        <f>IF(Regcontabilizados[[#This Row],[Eliminado]]="si","",RegContabilizados2[[#This Row],[Idenficador]])</f>
        <v/>
      </c>
      <c r="G112" s="3" t="str">
        <f>IF(Regcontabilizados[[#This Row],[Eliminado]]="si","",RegContabilizados2[[#This Row],[N° de factura/Pago]])</f>
        <v/>
      </c>
      <c r="H112" s="1" t="str">
        <f>IF(Regcontabilizados[[#This Row],[Eliminado]]="si","",RegContabilizados2[[#This Row],[Tipo de Factura]])</f>
        <v/>
      </c>
      <c r="I112" s="1" t="str">
        <f>IF(Regcontabilizados[[#This Row],[Eliminado]]="si","",RegContabilizados2[[#This Row],[ID Cliente]])</f>
        <v/>
      </c>
      <c r="J112" s="1" t="str">
        <f>IF(Regcontabilizados[[#This Row],[Eliminado]]="si","",RegContabilizados2[[#This Row],[ESTADO DEL IVA]])</f>
        <v/>
      </c>
      <c r="K112" s="3" t="str">
        <f>IF(Regcontabilizados[[#This Row],[Eliminado]]="si","",RegContabilizados2[[#This Row],[ID Proveedor]])</f>
        <v/>
      </c>
      <c r="L112" s="3" t="str">
        <f>IF(Regcontabilizados[[#This Row],[Eliminado]]="si","",RegContabilizados2[[#This Row],[Concepto]])</f>
        <v/>
      </c>
      <c r="M112" s="3" t="str">
        <f>IF(Regcontabilizados[[#This Row],[Eliminado]]="si","",RegContabilizados2[[#This Row],[Categoría]])</f>
        <v/>
      </c>
      <c r="N112" s="3" t="str">
        <f>IF(Regcontabilizados[[#This Row],[Eliminado]]="si","",RegContabilizados2[[#This Row],[Almacen]])</f>
        <v/>
      </c>
      <c r="O112" s="3" t="str">
        <f>IF(Regcontabilizados[[#This Row],[Eliminado]]="si","",RegContabilizados2[[#This Row],[Tipo de movimiento]])</f>
        <v/>
      </c>
      <c r="P112" s="1" t="str">
        <f>IF(Regcontabilizados[[#This Row],[Eliminado]]="si","",RegContabilizados2[[#This Row],[cantidad]])</f>
        <v/>
      </c>
      <c r="Q112" s="1" t="str">
        <f>IF(Regcontabilizados[[#This Row],[Eliminado]]="si","",RegContabilizados2[[#This Row],[VR unitario]])</f>
        <v/>
      </c>
      <c r="R112" s="1" t="str">
        <f>IF(Regcontabilizados[[#This Row],[Eliminado]]="si","",RegContabilizados2[[#This Row],[Subcuenta]])</f>
        <v/>
      </c>
      <c r="S112" s="1" t="str">
        <f>IF(Regcontabilizados[[#This Row],[Eliminado]]="si","",RegContabilizados2[[#This Row],[Debe]])</f>
        <v/>
      </c>
      <c r="T112" s="1" t="str">
        <f>IF(Regcontabilizados[[#This Row],[Eliminado]]="si","",RegContabilizados2[[#This Row],[Haber]])</f>
        <v/>
      </c>
      <c r="U112" s="1">
        <f>IFERROR((Regcontabilizados[[#This Row],[Debe]]-Regcontabilizados[[#This Row],[Haber]]),0)</f>
        <v>0</v>
      </c>
      <c r="V112" s="1">
        <f>IFERROR((+_xlfn.XLOOKUP(Regcontabilizados[[#This Row],[Subcuenta]],Tabla11[Cuenta],Tabla11[Descripción],0)),0)</f>
        <v>0</v>
      </c>
      <c r="W112" s="1">
        <f>IFERROR((_xlfn.XLOOKUP((VALUE(LEFT(Regcontabilizados[[#This Row],[Subcuenta]],4))),Tabla11[Cuenta],Tabla11[Descripción],0)),0)</f>
        <v>0</v>
      </c>
      <c r="X112" s="1">
        <f>IFERROR((_xlfn.XLOOKUP(Regcontabilizados[[#This Row],[Subcuenta]],Tabla11[Cuenta],Tabla11[Descripción],0)),0)</f>
        <v>0</v>
      </c>
      <c r="Y112" s="1" t="str">
        <f>IF((IFERROR((FIND((_xlfn.XLOOKUP(RegContabilizados2[[#This Row],[Idenficador]],FormtBorrados[formatos borrados],FormtBorrados[formatos borrados],0)),RegContabilizados2[[#This Row],[Idenficador]])),0))=1,"si","no")</f>
        <v>si</v>
      </c>
      <c r="Z112" s="1" t="str">
        <f>_xlfn.XLOOKUP(Regcontabilizados[[#This Row],[Subcuenta]],Tabla11[Cuenta],Tabla11[TIPO],"")</f>
        <v/>
      </c>
      <c r="AA112" s="1" t="str">
        <f>IFERROR((Regcontabilizados[[#This Row],[Subcuenta]]&amp;" "&amp;_xlfn.XLOOKUP(Regcontabilizados[[#This Row],[Subcuenta]],Tabla11[Cuenta],Tabla11[Descripción],0)),0)</f>
        <v xml:space="preserve"> 0</v>
      </c>
      <c r="AB112" s="1">
        <f>IFERROR((VALUE(LEFT(Regcontabilizados[[#This Row],[Subcuenta]],2))&amp;" "&amp;_xlfn.XLOOKUP((VALUE(LEFT(Regcontabilizados[[#This Row],[Subcuenta]],2))),Tabla11[Cuenta],Tabla11[Descripción],0)),0)</f>
        <v>0</v>
      </c>
      <c r="AC112" s="1">
        <f>IFERROR((VALUE(LEFT(Regcontabilizados[[#This Row],[Subcuenta]],4))&amp;" "&amp;_xlfn.XLOOKUP((VALUE(LEFT(Regcontabilizados[[#This Row],[Subcuenta]],4))),Tabla11[Cuenta],Tabla11[Descripción],0)),0)</f>
        <v>0</v>
      </c>
      <c r="AD112" s="1" t="str">
        <f>IF(Regcontabilizados[[#This Row],[Eliminado]]="si","",RegContabilizados2[[#This Row],[Estado de pago]])</f>
        <v/>
      </c>
      <c r="AE112" s="1" t="str">
        <f>IF(Regcontabilizados[[#This Row],[Eliminado]]="si","",RegContabilizados2[[#This Row],[Colum. Aux. Estado]])</f>
        <v/>
      </c>
      <c r="AF112" s="1" t="str">
        <f>IF(Regcontabilizados[[#This Row],[Eliminado]]="si","",RegContabilizados2[[#This Row],[Número de pago]])</f>
        <v/>
      </c>
      <c r="AG112" s="1" t="str">
        <f>IF(Regcontabilizados[[#This Row],[Eliminado]]="si","",RegContabilizados2[[#This Row],[Elaborado por]])</f>
        <v/>
      </c>
      <c r="AH112" s="1" t="str">
        <f>IF(Regcontabilizados[[#This Row],[Eliminado]]="si","",RegContabilizados2[[#This Row],[Notas]])</f>
        <v/>
      </c>
      <c r="AI112" s="1" t="str">
        <f>IF(Regcontabilizados[[#This Row],[Eliminado]]="si","",RegContabilizados2[[#This Row],[Método de pago]])</f>
        <v/>
      </c>
      <c r="AJ112" s="1" t="str">
        <f>IF(Regcontabilizados[[#This Row],[Eliminado]]="si","",RegContabilizados2[[#This Row],[Cta. Bancaria]])</f>
        <v/>
      </c>
      <c r="AO112" s="31">
        <v>45993</v>
      </c>
      <c r="AP112" s="31">
        <v>45993</v>
      </c>
      <c r="AQ112" s="3" t="s">
        <v>1256</v>
      </c>
      <c r="AR112" s="3">
        <v>1</v>
      </c>
      <c r="AS112" s="1" t="s">
        <v>766</v>
      </c>
      <c r="AT112" s="1" t="s">
        <v>901</v>
      </c>
      <c r="AV112" s="3">
        <v>333333</v>
      </c>
      <c r="AW112" s="3"/>
      <c r="AX112" s="3"/>
      <c r="AY112" s="3" t="s">
        <v>1001</v>
      </c>
      <c r="AZ112" s="3" t="s">
        <v>975</v>
      </c>
      <c r="BA112" s="1">
        <v>1</v>
      </c>
      <c r="BB112" s="1">
        <v>0</v>
      </c>
      <c r="BC112" s="1" t="s">
        <v>1168</v>
      </c>
      <c r="BD112" s="1">
        <v>0</v>
      </c>
      <c r="BE112" s="1">
        <v>0</v>
      </c>
      <c r="BF112" s="1">
        <f>IFERROR((RegContabilizados2[[#This Row],[Debe]]-RegContabilizados2[[#This Row],[Haber]]),0)</f>
        <v>0</v>
      </c>
      <c r="BG112" s="1">
        <f>IFERROR((+_xlfn.XLOOKUP(RegContabilizados2[[#This Row],[Subcuenta]],Tabla11[Cuenta],Tabla11[Descripción],0)),0)</f>
        <v>0</v>
      </c>
      <c r="BH112" s="1">
        <f>IFERROR((VALUE(LEFT(RegContabilizados2[[#This Row],[Subcuenta]],2))&amp;" "&amp;_xlfn.XLOOKUP((VALUE(LEFT(RegContabilizados2[[#This Row],[Subcuenta]],2))),Tabla11[Cuenta],Tabla11[Descripción],0)),0)</f>
        <v>0</v>
      </c>
      <c r="BI112" s="1">
        <f>IFERROR((VALUE(LEFT(RegContabilizados2[[#This Row],[Subcuenta]],4))&amp;" "&amp;_xlfn.XLOOKUP((VALUE(LEFT(RegContabilizados2[[#This Row],[Subcuenta]],4))),Tabla11[Cuenta],Tabla11[Descripción],0)),0)</f>
        <v>0</v>
      </c>
      <c r="BJ112" s="1" t="str">
        <f>IFERROR((RegContabilizados2[[#This Row],[Subcuenta]]&amp;" "&amp;_xlfn.XLOOKUP(RegContabilizados2[[#This Row],[Subcuenta]],Tabla11[Cuenta],Tabla11[Descripción],0)),0)</f>
        <v xml:space="preserve"> 0</v>
      </c>
      <c r="BK112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112" s="1" t="str">
        <f>IFERROR(LEFT(RegContabilizados2[[#This Row],[Idenficador]],SEARCH("-",RegContabilizados2[[#This Row],[Idenficador]])-1),0)</f>
        <v>4656566F. V.1</v>
      </c>
      <c r="BN112" s="1" t="s">
        <v>1169</v>
      </c>
    </row>
    <row r="113" spans="4:67">
      <c r="D113" s="31" t="str">
        <f>IF(Regcontabilizados[[#This Row],[Eliminado]]="si","",RegContabilizados2[[#This Row],[fecha Factura]])</f>
        <v/>
      </c>
      <c r="E113" s="31" t="str">
        <f>IF(Regcontabilizados[[#This Row],[Eliminado]]="si","",RegContabilizados2[[#This Row],[Fecha vencimiento]])</f>
        <v/>
      </c>
      <c r="F113" s="3" t="str">
        <f>IF(Regcontabilizados[[#This Row],[Eliminado]]="si","",RegContabilizados2[[#This Row],[Idenficador]])</f>
        <v/>
      </c>
      <c r="G113" s="3" t="str">
        <f>IF(Regcontabilizados[[#This Row],[Eliminado]]="si","",RegContabilizados2[[#This Row],[N° de factura/Pago]])</f>
        <v/>
      </c>
      <c r="H113" s="1" t="str">
        <f>IF(Regcontabilizados[[#This Row],[Eliminado]]="si","",RegContabilizados2[[#This Row],[Tipo de Factura]])</f>
        <v/>
      </c>
      <c r="I113" s="1" t="str">
        <f>IF(Regcontabilizados[[#This Row],[Eliminado]]="si","",RegContabilizados2[[#This Row],[ID Cliente]])</f>
        <v/>
      </c>
      <c r="J113" s="1" t="str">
        <f>IF(Regcontabilizados[[#This Row],[Eliminado]]="si","",RegContabilizados2[[#This Row],[ESTADO DEL IVA]])</f>
        <v/>
      </c>
      <c r="K113" s="3" t="str">
        <f>IF(Regcontabilizados[[#This Row],[Eliminado]]="si","",RegContabilizados2[[#This Row],[ID Proveedor]])</f>
        <v/>
      </c>
      <c r="L113" s="3" t="str">
        <f>IF(Regcontabilizados[[#This Row],[Eliminado]]="si","",RegContabilizados2[[#This Row],[Concepto]])</f>
        <v/>
      </c>
      <c r="M113" s="3" t="str">
        <f>IF(Regcontabilizados[[#This Row],[Eliminado]]="si","",RegContabilizados2[[#This Row],[Categoría]])</f>
        <v/>
      </c>
      <c r="N113" s="3" t="str">
        <f>IF(Regcontabilizados[[#This Row],[Eliminado]]="si","",RegContabilizados2[[#This Row],[Almacen]])</f>
        <v/>
      </c>
      <c r="O113" s="3" t="str">
        <f>IF(Regcontabilizados[[#This Row],[Eliminado]]="si","",RegContabilizados2[[#This Row],[Tipo de movimiento]])</f>
        <v/>
      </c>
      <c r="P113" s="1" t="str">
        <f>IF(Regcontabilizados[[#This Row],[Eliminado]]="si","",RegContabilizados2[[#This Row],[cantidad]])</f>
        <v/>
      </c>
      <c r="Q113" s="1" t="str">
        <f>IF(Regcontabilizados[[#This Row],[Eliminado]]="si","",RegContabilizados2[[#This Row],[VR unitario]])</f>
        <v/>
      </c>
      <c r="R113" s="1" t="str">
        <f>IF(Regcontabilizados[[#This Row],[Eliminado]]="si","",RegContabilizados2[[#This Row],[Subcuenta]])</f>
        <v/>
      </c>
      <c r="S113" s="1" t="str">
        <f>IF(Regcontabilizados[[#This Row],[Eliminado]]="si","",RegContabilizados2[[#This Row],[Debe]])</f>
        <v/>
      </c>
      <c r="T113" s="1" t="str">
        <f>IF(Regcontabilizados[[#This Row],[Eliminado]]="si","",RegContabilizados2[[#This Row],[Haber]])</f>
        <v/>
      </c>
      <c r="U113" s="1">
        <f>IFERROR((Regcontabilizados[[#This Row],[Debe]]-Regcontabilizados[[#This Row],[Haber]]),0)</f>
        <v>0</v>
      </c>
      <c r="V113" s="1">
        <f>IFERROR((+_xlfn.XLOOKUP(Regcontabilizados[[#This Row],[Subcuenta]],Tabla11[Cuenta],Tabla11[Descripción],0)),0)</f>
        <v>0</v>
      </c>
      <c r="W113" s="1">
        <f>IFERROR((_xlfn.XLOOKUP((VALUE(LEFT(Regcontabilizados[[#This Row],[Subcuenta]],4))),Tabla11[Cuenta],Tabla11[Descripción],0)),0)</f>
        <v>0</v>
      </c>
      <c r="X113" s="1">
        <f>IFERROR((_xlfn.XLOOKUP(Regcontabilizados[[#This Row],[Subcuenta]],Tabla11[Cuenta],Tabla11[Descripción],0)),0)</f>
        <v>0</v>
      </c>
      <c r="Y113" s="1" t="str">
        <f>IF((IFERROR((FIND((_xlfn.XLOOKUP(RegContabilizados2[[#This Row],[Idenficador]],FormtBorrados[formatos borrados],FormtBorrados[formatos borrados],0)),RegContabilizados2[[#This Row],[Idenficador]])),0))=1,"si","no")</f>
        <v>si</v>
      </c>
      <c r="Z113" s="1" t="str">
        <f>_xlfn.XLOOKUP(Regcontabilizados[[#This Row],[Subcuenta]],Tabla11[Cuenta],Tabla11[TIPO],"")</f>
        <v/>
      </c>
      <c r="AA113" s="1" t="str">
        <f>IFERROR((Regcontabilizados[[#This Row],[Subcuenta]]&amp;" "&amp;_xlfn.XLOOKUP(Regcontabilizados[[#This Row],[Subcuenta]],Tabla11[Cuenta],Tabla11[Descripción],0)),0)</f>
        <v xml:space="preserve"> 0</v>
      </c>
      <c r="AB113" s="1">
        <f>IFERROR((VALUE(LEFT(Regcontabilizados[[#This Row],[Subcuenta]],2))&amp;" "&amp;_xlfn.XLOOKUP((VALUE(LEFT(Regcontabilizados[[#This Row],[Subcuenta]],2))),Tabla11[Cuenta],Tabla11[Descripción],0)),0)</f>
        <v>0</v>
      </c>
      <c r="AC113" s="1">
        <f>IFERROR((VALUE(LEFT(Regcontabilizados[[#This Row],[Subcuenta]],4))&amp;" "&amp;_xlfn.XLOOKUP((VALUE(LEFT(Regcontabilizados[[#This Row],[Subcuenta]],4))),Tabla11[Cuenta],Tabla11[Descripción],0)),0)</f>
        <v>0</v>
      </c>
      <c r="AD113" s="1" t="str">
        <f>IF(Regcontabilizados[[#This Row],[Eliminado]]="si","",RegContabilizados2[[#This Row],[Estado de pago]])</f>
        <v/>
      </c>
      <c r="AE113" s="1" t="str">
        <f>IF(Regcontabilizados[[#This Row],[Eliminado]]="si","",RegContabilizados2[[#This Row],[Colum. Aux. Estado]])</f>
        <v/>
      </c>
      <c r="AF113" s="1" t="str">
        <f>IF(Regcontabilizados[[#This Row],[Eliminado]]="si","",RegContabilizados2[[#This Row],[Número de pago]])</f>
        <v/>
      </c>
      <c r="AG113" s="1" t="str">
        <f>IF(Regcontabilizados[[#This Row],[Eliminado]]="si","",RegContabilizados2[[#This Row],[Elaborado por]])</f>
        <v/>
      </c>
      <c r="AH113" s="1" t="str">
        <f>IF(Regcontabilizados[[#This Row],[Eliminado]]="si","",RegContabilizados2[[#This Row],[Notas]])</f>
        <v/>
      </c>
      <c r="AI113" s="1" t="str">
        <f>IF(Regcontabilizados[[#This Row],[Eliminado]]="si","",RegContabilizados2[[#This Row],[Método de pago]])</f>
        <v/>
      </c>
      <c r="AJ113" s="1" t="str">
        <f>IF(Regcontabilizados[[#This Row],[Eliminado]]="si","",RegContabilizados2[[#This Row],[Cta. Bancaria]])</f>
        <v/>
      </c>
      <c r="AO113" s="31">
        <v>45993</v>
      </c>
      <c r="AP113" s="31">
        <v>45993</v>
      </c>
      <c r="AQ113" s="3" t="s">
        <v>1257</v>
      </c>
      <c r="AR113" s="3">
        <v>1</v>
      </c>
      <c r="AS113" s="1" t="s">
        <v>766</v>
      </c>
      <c r="AT113" s="1" t="s">
        <v>901</v>
      </c>
      <c r="AV113" s="3">
        <v>333333</v>
      </c>
      <c r="AW113" s="3"/>
      <c r="AX113" s="3"/>
      <c r="AY113" s="3" t="s">
        <v>1001</v>
      </c>
      <c r="AZ113" s="3" t="s">
        <v>975</v>
      </c>
      <c r="BA113" s="1">
        <v>1</v>
      </c>
      <c r="BB113" s="1">
        <v>0</v>
      </c>
      <c r="BC113" s="1" t="s">
        <v>1168</v>
      </c>
      <c r="BD113" s="1">
        <v>0</v>
      </c>
      <c r="BE113" s="1">
        <v>0</v>
      </c>
      <c r="BF113" s="1">
        <f>IFERROR((RegContabilizados2[[#This Row],[Debe]]-RegContabilizados2[[#This Row],[Haber]]),0)</f>
        <v>0</v>
      </c>
      <c r="BG113" s="1">
        <f>IFERROR((+_xlfn.XLOOKUP(RegContabilizados2[[#This Row],[Subcuenta]],Tabla11[Cuenta],Tabla11[Descripción],0)),0)</f>
        <v>0</v>
      </c>
      <c r="BH113" s="1">
        <f>IFERROR((VALUE(LEFT(RegContabilizados2[[#This Row],[Subcuenta]],2))&amp;" "&amp;_xlfn.XLOOKUP((VALUE(LEFT(RegContabilizados2[[#This Row],[Subcuenta]],2))),Tabla11[Cuenta],Tabla11[Descripción],0)),0)</f>
        <v>0</v>
      </c>
      <c r="BI113" s="1">
        <f>IFERROR((VALUE(LEFT(RegContabilizados2[[#This Row],[Subcuenta]],4))&amp;" "&amp;_xlfn.XLOOKUP((VALUE(LEFT(RegContabilizados2[[#This Row],[Subcuenta]],4))),Tabla11[Cuenta],Tabla11[Descripción],0)),0)</f>
        <v>0</v>
      </c>
      <c r="BJ113" s="1" t="str">
        <f>IFERROR((RegContabilizados2[[#This Row],[Subcuenta]]&amp;" "&amp;_xlfn.XLOOKUP(RegContabilizados2[[#This Row],[Subcuenta]],Tabla11[Cuenta],Tabla11[Descripción],0)),0)</f>
        <v xml:space="preserve"> 0</v>
      </c>
      <c r="BK113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113" s="1" t="str">
        <f>IFERROR(LEFT(RegContabilizados2[[#This Row],[Idenficador]],SEARCH("-",RegContabilizados2[[#This Row],[Idenficador]])-1),0)</f>
        <v>4656566F. V.1</v>
      </c>
      <c r="BN113" s="1" t="s">
        <v>1169</v>
      </c>
    </row>
    <row r="114" spans="4:67">
      <c r="D114" s="31" t="str">
        <f>IF(Regcontabilizados[[#This Row],[Eliminado]]="si","",RegContabilizados2[[#This Row],[fecha Factura]])</f>
        <v/>
      </c>
      <c r="E114" s="31" t="str">
        <f>IF(Regcontabilizados[[#This Row],[Eliminado]]="si","",RegContabilizados2[[#This Row],[Fecha vencimiento]])</f>
        <v/>
      </c>
      <c r="F114" s="3" t="str">
        <f>IF(Regcontabilizados[[#This Row],[Eliminado]]="si","",RegContabilizados2[[#This Row],[Idenficador]])</f>
        <v/>
      </c>
      <c r="G114" s="3" t="str">
        <f>IF(Regcontabilizados[[#This Row],[Eliminado]]="si","",RegContabilizados2[[#This Row],[N° de factura/Pago]])</f>
        <v/>
      </c>
      <c r="H114" s="1" t="str">
        <f>IF(Regcontabilizados[[#This Row],[Eliminado]]="si","",RegContabilizados2[[#This Row],[Tipo de Factura]])</f>
        <v/>
      </c>
      <c r="I114" s="1" t="str">
        <f>IF(Regcontabilizados[[#This Row],[Eliminado]]="si","",RegContabilizados2[[#This Row],[ID Cliente]])</f>
        <v/>
      </c>
      <c r="J114" s="1" t="str">
        <f>IF(Regcontabilizados[[#This Row],[Eliminado]]="si","",RegContabilizados2[[#This Row],[ESTADO DEL IVA]])</f>
        <v/>
      </c>
      <c r="K114" s="3" t="str">
        <f>IF(Regcontabilizados[[#This Row],[Eliminado]]="si","",RegContabilizados2[[#This Row],[ID Proveedor]])</f>
        <v/>
      </c>
      <c r="L114" s="3" t="str">
        <f>IF(Regcontabilizados[[#This Row],[Eliminado]]="si","",RegContabilizados2[[#This Row],[Concepto]])</f>
        <v/>
      </c>
      <c r="M114" s="3" t="str">
        <f>IF(Regcontabilizados[[#This Row],[Eliminado]]="si","",RegContabilizados2[[#This Row],[Categoría]])</f>
        <v/>
      </c>
      <c r="N114" s="3" t="str">
        <f>IF(Regcontabilizados[[#This Row],[Eliminado]]="si","",RegContabilizados2[[#This Row],[Almacen]])</f>
        <v/>
      </c>
      <c r="O114" s="3" t="str">
        <f>IF(Regcontabilizados[[#This Row],[Eliminado]]="si","",RegContabilizados2[[#This Row],[Tipo de movimiento]])</f>
        <v/>
      </c>
      <c r="P114" s="1" t="str">
        <f>IF(Regcontabilizados[[#This Row],[Eliminado]]="si","",RegContabilizados2[[#This Row],[cantidad]])</f>
        <v/>
      </c>
      <c r="Q114" s="1" t="str">
        <f>IF(Regcontabilizados[[#This Row],[Eliminado]]="si","",RegContabilizados2[[#This Row],[VR unitario]])</f>
        <v/>
      </c>
      <c r="R114" s="1" t="str">
        <f>IF(Regcontabilizados[[#This Row],[Eliminado]]="si","",RegContabilizados2[[#This Row],[Subcuenta]])</f>
        <v/>
      </c>
      <c r="S114" s="1" t="str">
        <f>IF(Regcontabilizados[[#This Row],[Eliminado]]="si","",RegContabilizados2[[#This Row],[Debe]])</f>
        <v/>
      </c>
      <c r="T114" s="1" t="str">
        <f>IF(Regcontabilizados[[#This Row],[Eliminado]]="si","",RegContabilizados2[[#This Row],[Haber]])</f>
        <v/>
      </c>
      <c r="U114" s="1">
        <f>IFERROR((Regcontabilizados[[#This Row],[Debe]]-Regcontabilizados[[#This Row],[Haber]]),0)</f>
        <v>0</v>
      </c>
      <c r="V114" s="1">
        <f>IFERROR((+_xlfn.XLOOKUP(Regcontabilizados[[#This Row],[Subcuenta]],Tabla11[Cuenta],Tabla11[Descripción],0)),0)</f>
        <v>0</v>
      </c>
      <c r="W114" s="1">
        <f>IFERROR((_xlfn.XLOOKUP((VALUE(LEFT(Regcontabilizados[[#This Row],[Subcuenta]],4))),Tabla11[Cuenta],Tabla11[Descripción],0)),0)</f>
        <v>0</v>
      </c>
      <c r="X114" s="1">
        <f>IFERROR((_xlfn.XLOOKUP(Regcontabilizados[[#This Row],[Subcuenta]],Tabla11[Cuenta],Tabla11[Descripción],0)),0)</f>
        <v>0</v>
      </c>
      <c r="Y114" s="1" t="str">
        <f>IF((IFERROR((FIND((_xlfn.XLOOKUP(RegContabilizados2[[#This Row],[Idenficador]],FormtBorrados[formatos borrados],FormtBorrados[formatos borrados],0)),RegContabilizados2[[#This Row],[Idenficador]])),0))=1,"si","no")</f>
        <v>si</v>
      </c>
      <c r="Z114" s="1" t="str">
        <f>_xlfn.XLOOKUP(Regcontabilizados[[#This Row],[Subcuenta]],Tabla11[Cuenta],Tabla11[TIPO],"")</f>
        <v/>
      </c>
      <c r="AA114" s="1" t="str">
        <f>IFERROR((Regcontabilizados[[#This Row],[Subcuenta]]&amp;" "&amp;_xlfn.XLOOKUP(Regcontabilizados[[#This Row],[Subcuenta]],Tabla11[Cuenta],Tabla11[Descripción],0)),0)</f>
        <v xml:space="preserve"> 0</v>
      </c>
      <c r="AB114" s="1">
        <f>IFERROR((VALUE(LEFT(Regcontabilizados[[#This Row],[Subcuenta]],2))&amp;" "&amp;_xlfn.XLOOKUP((VALUE(LEFT(Regcontabilizados[[#This Row],[Subcuenta]],2))),Tabla11[Cuenta],Tabla11[Descripción],0)),0)</f>
        <v>0</v>
      </c>
      <c r="AC114" s="1">
        <f>IFERROR((VALUE(LEFT(Regcontabilizados[[#This Row],[Subcuenta]],4))&amp;" "&amp;_xlfn.XLOOKUP((VALUE(LEFT(Regcontabilizados[[#This Row],[Subcuenta]],4))),Tabla11[Cuenta],Tabla11[Descripción],0)),0)</f>
        <v>0</v>
      </c>
      <c r="AD114" s="1" t="str">
        <f>IF(Regcontabilizados[[#This Row],[Eliminado]]="si","",RegContabilizados2[[#This Row],[Estado de pago]])</f>
        <v/>
      </c>
      <c r="AE114" s="1" t="str">
        <f>IF(Regcontabilizados[[#This Row],[Eliminado]]="si","",RegContabilizados2[[#This Row],[Colum. Aux. Estado]])</f>
        <v/>
      </c>
      <c r="AF114" s="1" t="str">
        <f>IF(Regcontabilizados[[#This Row],[Eliminado]]="si","",RegContabilizados2[[#This Row],[Número de pago]])</f>
        <v/>
      </c>
      <c r="AG114" s="1" t="str">
        <f>IF(Regcontabilizados[[#This Row],[Eliminado]]="si","",RegContabilizados2[[#This Row],[Elaborado por]])</f>
        <v/>
      </c>
      <c r="AH114" s="1" t="str">
        <f>IF(Regcontabilizados[[#This Row],[Eliminado]]="si","",RegContabilizados2[[#This Row],[Notas]])</f>
        <v/>
      </c>
      <c r="AI114" s="1" t="str">
        <f>IF(Regcontabilizados[[#This Row],[Eliminado]]="si","",RegContabilizados2[[#This Row],[Método de pago]])</f>
        <v/>
      </c>
      <c r="AJ114" s="1" t="str">
        <f>IF(Regcontabilizados[[#This Row],[Eliminado]]="si","",RegContabilizados2[[#This Row],[Cta. Bancaria]])</f>
        <v/>
      </c>
      <c r="AO114" s="31">
        <v>45993</v>
      </c>
      <c r="AP114" s="31">
        <v>45993</v>
      </c>
      <c r="AQ114" s="3" t="s">
        <v>1258</v>
      </c>
      <c r="AR114" s="3">
        <v>1</v>
      </c>
      <c r="AS114" s="1" t="s">
        <v>766</v>
      </c>
      <c r="AT114" s="1" t="s">
        <v>901</v>
      </c>
      <c r="AV114" s="3">
        <v>333333</v>
      </c>
      <c r="AW114" s="3"/>
      <c r="AX114" s="3"/>
      <c r="AY114" s="3" t="s">
        <v>1001</v>
      </c>
      <c r="AZ114" s="3" t="s">
        <v>975</v>
      </c>
      <c r="BA114" s="1">
        <v>1</v>
      </c>
      <c r="BB114" s="1">
        <v>0</v>
      </c>
      <c r="BC114" s="1" t="s">
        <v>1168</v>
      </c>
      <c r="BD114" s="1">
        <v>0</v>
      </c>
      <c r="BE114" s="1">
        <v>0</v>
      </c>
      <c r="BF114" s="1">
        <f>IFERROR((RegContabilizados2[[#This Row],[Debe]]-RegContabilizados2[[#This Row],[Haber]]),0)</f>
        <v>0</v>
      </c>
      <c r="BG114" s="1">
        <f>IFERROR((+_xlfn.XLOOKUP(RegContabilizados2[[#This Row],[Subcuenta]],Tabla11[Cuenta],Tabla11[Descripción],0)),0)</f>
        <v>0</v>
      </c>
      <c r="BH114" s="1">
        <f>IFERROR((VALUE(LEFT(RegContabilizados2[[#This Row],[Subcuenta]],2))&amp;" "&amp;_xlfn.XLOOKUP((VALUE(LEFT(RegContabilizados2[[#This Row],[Subcuenta]],2))),Tabla11[Cuenta],Tabla11[Descripción],0)),0)</f>
        <v>0</v>
      </c>
      <c r="BI114" s="1">
        <f>IFERROR((VALUE(LEFT(RegContabilizados2[[#This Row],[Subcuenta]],4))&amp;" "&amp;_xlfn.XLOOKUP((VALUE(LEFT(RegContabilizados2[[#This Row],[Subcuenta]],4))),Tabla11[Cuenta],Tabla11[Descripción],0)),0)</f>
        <v>0</v>
      </c>
      <c r="BJ114" s="1" t="str">
        <f>IFERROR((RegContabilizados2[[#This Row],[Subcuenta]]&amp;" "&amp;_xlfn.XLOOKUP(RegContabilizados2[[#This Row],[Subcuenta]],Tabla11[Cuenta],Tabla11[Descripción],0)),0)</f>
        <v xml:space="preserve"> 0</v>
      </c>
      <c r="BK114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114" s="1" t="str">
        <f>IFERROR(LEFT(RegContabilizados2[[#This Row],[Idenficador]],SEARCH("-",RegContabilizados2[[#This Row],[Idenficador]])-1),0)</f>
        <v>4656566F. V.1</v>
      </c>
      <c r="BN114" s="1" t="s">
        <v>1169</v>
      </c>
    </row>
    <row r="115" spans="4:67">
      <c r="D115" s="31" t="str">
        <f>IF(Regcontabilizados[[#This Row],[Eliminado]]="si","",RegContabilizados2[[#This Row],[fecha Factura]])</f>
        <v/>
      </c>
      <c r="E115" s="31" t="str">
        <f>IF(Regcontabilizados[[#This Row],[Eliminado]]="si","",RegContabilizados2[[#This Row],[Fecha vencimiento]])</f>
        <v/>
      </c>
      <c r="F115" s="3" t="str">
        <f>IF(Regcontabilizados[[#This Row],[Eliminado]]="si","",RegContabilizados2[[#This Row],[Idenficador]])</f>
        <v/>
      </c>
      <c r="G115" s="3" t="str">
        <f>IF(Regcontabilizados[[#This Row],[Eliminado]]="si","",RegContabilizados2[[#This Row],[N° de factura/Pago]])</f>
        <v/>
      </c>
      <c r="H115" s="1" t="str">
        <f>IF(Regcontabilizados[[#This Row],[Eliminado]]="si","",RegContabilizados2[[#This Row],[Tipo de Factura]])</f>
        <v/>
      </c>
      <c r="I115" s="1" t="str">
        <f>IF(Regcontabilizados[[#This Row],[Eliminado]]="si","",RegContabilizados2[[#This Row],[ID Cliente]])</f>
        <v/>
      </c>
      <c r="J115" s="1" t="str">
        <f>IF(Regcontabilizados[[#This Row],[Eliminado]]="si","",RegContabilizados2[[#This Row],[ESTADO DEL IVA]])</f>
        <v/>
      </c>
      <c r="K115" s="3" t="str">
        <f>IF(Regcontabilizados[[#This Row],[Eliminado]]="si","",RegContabilizados2[[#This Row],[ID Proveedor]])</f>
        <v/>
      </c>
      <c r="L115" s="3" t="str">
        <f>IF(Regcontabilizados[[#This Row],[Eliminado]]="si","",RegContabilizados2[[#This Row],[Concepto]])</f>
        <v/>
      </c>
      <c r="M115" s="3" t="str">
        <f>IF(Regcontabilizados[[#This Row],[Eliminado]]="si","",RegContabilizados2[[#This Row],[Categoría]])</f>
        <v/>
      </c>
      <c r="N115" s="3" t="str">
        <f>IF(Regcontabilizados[[#This Row],[Eliminado]]="si","",RegContabilizados2[[#This Row],[Almacen]])</f>
        <v/>
      </c>
      <c r="O115" s="3" t="str">
        <f>IF(Regcontabilizados[[#This Row],[Eliminado]]="si","",RegContabilizados2[[#This Row],[Tipo de movimiento]])</f>
        <v/>
      </c>
      <c r="P115" s="1" t="str">
        <f>IF(Regcontabilizados[[#This Row],[Eliminado]]="si","",RegContabilizados2[[#This Row],[cantidad]])</f>
        <v/>
      </c>
      <c r="Q115" s="1" t="str">
        <f>IF(Regcontabilizados[[#This Row],[Eliminado]]="si","",RegContabilizados2[[#This Row],[VR unitario]])</f>
        <v/>
      </c>
      <c r="R115" s="1" t="str">
        <f>IF(Regcontabilizados[[#This Row],[Eliminado]]="si","",RegContabilizados2[[#This Row],[Subcuenta]])</f>
        <v/>
      </c>
      <c r="S115" s="1" t="str">
        <f>IF(Regcontabilizados[[#This Row],[Eliminado]]="si","",RegContabilizados2[[#This Row],[Debe]])</f>
        <v/>
      </c>
      <c r="T115" s="1" t="str">
        <f>IF(Regcontabilizados[[#This Row],[Eliminado]]="si","",RegContabilizados2[[#This Row],[Haber]])</f>
        <v/>
      </c>
      <c r="U115" s="1">
        <f>IFERROR((Regcontabilizados[[#This Row],[Debe]]-Regcontabilizados[[#This Row],[Haber]]),0)</f>
        <v>0</v>
      </c>
      <c r="V115" s="1">
        <f>IFERROR((+_xlfn.XLOOKUP(Regcontabilizados[[#This Row],[Subcuenta]],Tabla11[Cuenta],Tabla11[Descripción],0)),0)</f>
        <v>0</v>
      </c>
      <c r="W115" s="1">
        <f>IFERROR((_xlfn.XLOOKUP((VALUE(LEFT(Regcontabilizados[[#This Row],[Subcuenta]],4))),Tabla11[Cuenta],Tabla11[Descripción],0)),0)</f>
        <v>0</v>
      </c>
      <c r="X115" s="1">
        <f>IFERROR((_xlfn.XLOOKUP(Regcontabilizados[[#This Row],[Subcuenta]],Tabla11[Cuenta],Tabla11[Descripción],0)),0)</f>
        <v>0</v>
      </c>
      <c r="Y115" s="1" t="str">
        <f>IF((IFERROR((FIND((_xlfn.XLOOKUP(RegContabilizados2[[#This Row],[Idenficador]],FormtBorrados[formatos borrados],FormtBorrados[formatos borrados],0)),RegContabilizados2[[#This Row],[Idenficador]])),0))=1,"si","no")</f>
        <v>si</v>
      </c>
      <c r="Z115" s="1" t="str">
        <f>_xlfn.XLOOKUP(Regcontabilizados[[#This Row],[Subcuenta]],Tabla11[Cuenta],Tabla11[TIPO],"")</f>
        <v/>
      </c>
      <c r="AA115" s="1" t="str">
        <f>IFERROR((Regcontabilizados[[#This Row],[Subcuenta]]&amp;" "&amp;_xlfn.XLOOKUP(Regcontabilizados[[#This Row],[Subcuenta]],Tabla11[Cuenta],Tabla11[Descripción],0)),0)</f>
        <v xml:space="preserve"> 0</v>
      </c>
      <c r="AB115" s="1">
        <f>IFERROR((VALUE(LEFT(Regcontabilizados[[#This Row],[Subcuenta]],2))&amp;" "&amp;_xlfn.XLOOKUP((VALUE(LEFT(Regcontabilizados[[#This Row],[Subcuenta]],2))),Tabla11[Cuenta],Tabla11[Descripción],0)),0)</f>
        <v>0</v>
      </c>
      <c r="AC115" s="1">
        <f>IFERROR((VALUE(LEFT(Regcontabilizados[[#This Row],[Subcuenta]],4))&amp;" "&amp;_xlfn.XLOOKUP((VALUE(LEFT(Regcontabilizados[[#This Row],[Subcuenta]],4))),Tabla11[Cuenta],Tabla11[Descripción],0)),0)</f>
        <v>0</v>
      </c>
      <c r="AD115" s="1" t="str">
        <f>IF(Regcontabilizados[[#This Row],[Eliminado]]="si","",RegContabilizados2[[#This Row],[Estado de pago]])</f>
        <v/>
      </c>
      <c r="AE115" s="1" t="str">
        <f>IF(Regcontabilizados[[#This Row],[Eliminado]]="si","",RegContabilizados2[[#This Row],[Colum. Aux. Estado]])</f>
        <v/>
      </c>
      <c r="AF115" s="1" t="str">
        <f>IF(Regcontabilizados[[#This Row],[Eliminado]]="si","",RegContabilizados2[[#This Row],[Número de pago]])</f>
        <v/>
      </c>
      <c r="AG115" s="1" t="str">
        <f>IF(Regcontabilizados[[#This Row],[Eliminado]]="si","",RegContabilizados2[[#This Row],[Elaborado por]])</f>
        <v/>
      </c>
      <c r="AH115" s="1" t="str">
        <f>IF(Regcontabilizados[[#This Row],[Eliminado]]="si","",RegContabilizados2[[#This Row],[Notas]])</f>
        <v/>
      </c>
      <c r="AI115" s="1" t="str">
        <f>IF(Regcontabilizados[[#This Row],[Eliminado]]="si","",RegContabilizados2[[#This Row],[Método de pago]])</f>
        <v/>
      </c>
      <c r="AJ115" s="1" t="str">
        <f>IF(Regcontabilizados[[#This Row],[Eliminado]]="si","",RegContabilizados2[[#This Row],[Cta. Bancaria]])</f>
        <v/>
      </c>
      <c r="AO115" s="31">
        <v>45993</v>
      </c>
      <c r="AP115" s="31">
        <v>45993</v>
      </c>
      <c r="AQ115" s="3" t="s">
        <v>1259</v>
      </c>
      <c r="AR115" s="3">
        <v>1</v>
      </c>
      <c r="AS115" s="1" t="s">
        <v>766</v>
      </c>
      <c r="AT115" s="1" t="s">
        <v>901</v>
      </c>
      <c r="AV115" s="3">
        <v>333333</v>
      </c>
      <c r="AW115" s="3"/>
      <c r="AX115" s="3"/>
      <c r="AY115" s="3" t="s">
        <v>1001</v>
      </c>
      <c r="AZ115" s="3" t="s">
        <v>975</v>
      </c>
      <c r="BB115" s="1">
        <v>79663.461538461532</v>
      </c>
      <c r="BC115" s="1">
        <v>610505</v>
      </c>
      <c r="BD115" s="1">
        <v>79663.461538461532</v>
      </c>
      <c r="BE115" s="1">
        <v>0</v>
      </c>
      <c r="BF115" s="1">
        <f>IFERROR((RegContabilizados2[[#This Row],[Debe]]-RegContabilizados2[[#This Row],[Haber]]),0)</f>
        <v>79663.461538461532</v>
      </c>
      <c r="BG115" s="1" t="str">
        <f>IFERROR((+_xlfn.XLOOKUP(RegContabilizados2[[#This Row],[Subcuenta]],Tabla11[Cuenta],Tabla11[Descripción],0)),0)</f>
        <v>Costos de Ventas</v>
      </c>
      <c r="BH115" s="1" t="str">
        <f>IFERROR((VALUE(LEFT(RegContabilizados2[[#This Row],[Subcuenta]],2))&amp;" "&amp;_xlfn.XLOOKUP((VALUE(LEFT(RegContabilizados2[[#This Row],[Subcuenta]],2))),Tabla11[Cuenta],Tabla11[Descripción],0)),0)</f>
        <v>61 COSTO DE VENTAS Y DE PRESTACIÓN DE SERVI</v>
      </c>
      <c r="BI115" s="1" t="str">
        <f>IFERROR((VALUE(LEFT(RegContabilizados2[[#This Row],[Subcuenta]],4))&amp;" "&amp;_xlfn.XLOOKUP((VALUE(LEFT(RegContabilizados2[[#This Row],[Subcuenta]],4))),Tabla11[Cuenta],Tabla11[Descripción],0)),0)</f>
        <v>6105 Costos de Ventas</v>
      </c>
      <c r="BJ115" s="1" t="str">
        <f>IFERROR((RegContabilizados2[[#This Row],[Subcuenta]]&amp;" "&amp;_xlfn.XLOOKUP(RegContabilizados2[[#This Row],[Subcuenta]],Tabla11[Cuenta],Tabla11[Descripción],0)),0)</f>
        <v>610505 Costos de Ventas</v>
      </c>
      <c r="BK115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115" s="1" t="str">
        <f>IFERROR(LEFT(RegContabilizados2[[#This Row],[Idenficador]],SEARCH("-",RegContabilizados2[[#This Row],[Idenficador]])-1),0)</f>
        <v>4656566F. V.1</v>
      </c>
      <c r="BN115" s="1" t="s">
        <v>1169</v>
      </c>
    </row>
    <row r="116" spans="4:67">
      <c r="D116" s="31">
        <f>IF(Regcontabilizados[[#This Row],[Eliminado]]="si","",RegContabilizados2[[#This Row],[fecha Factura]])</f>
        <v>45993</v>
      </c>
      <c r="E116" s="31">
        <f>IF(Regcontabilizados[[#This Row],[Eliminado]]="si","",RegContabilizados2[[#This Row],[Fecha vencimiento]])</f>
        <v>45993</v>
      </c>
      <c r="F116" s="3" t="str">
        <f>IF(Regcontabilizados[[#This Row],[Eliminado]]="si","",RegContabilizados2[[#This Row],[Idenficador]])</f>
        <v>656565F.C.236599-1</v>
      </c>
      <c r="G116" s="3">
        <f>IF(Regcontabilizados[[#This Row],[Eliminado]]="si","",RegContabilizados2[[#This Row],[N° de factura/Pago]])</f>
        <v>236599</v>
      </c>
      <c r="H116" s="1" t="str">
        <f>IF(Regcontabilizados[[#This Row],[Eliminado]]="si","",RegContabilizados2[[#This Row],[Tipo de Factura]])</f>
        <v>F.C.</v>
      </c>
      <c r="I116" s="1">
        <f>IF(Regcontabilizados[[#This Row],[Eliminado]]="si","",RegContabilizados2[[#This Row],[ID Cliente]])</f>
        <v>333333</v>
      </c>
      <c r="J116" s="1">
        <f>IF(Regcontabilizados[[#This Row],[Eliminado]]="si","",RegContabilizados2[[#This Row],[ESTADO DEL IVA]])</f>
        <v>0</v>
      </c>
      <c r="K116" s="3" t="str">
        <f>IF(Regcontabilizados[[#This Row],[Eliminado]]="si","",RegContabilizados2[[#This Row],[ID Proveedor]])</f>
        <v>johan</v>
      </c>
      <c r="L116" s="3" t="str">
        <f>IF(Regcontabilizados[[#This Row],[Eliminado]]="si","",RegContabilizados2[[#This Row],[Concepto]])</f>
        <v>HONORARIOR</v>
      </c>
      <c r="M116" s="3" t="str">
        <f>IF(Regcontabilizados[[#This Row],[Eliminado]]="si","",RegContabilizados2[[#This Row],[Categoría]])</f>
        <v>Caballero</v>
      </c>
      <c r="N116" s="3" t="str">
        <f>IF(Regcontabilizados[[#This Row],[Eliminado]]="si","",RegContabilizados2[[#This Row],[Almacen]])</f>
        <v>Principal</v>
      </c>
      <c r="O116" s="3" t="str">
        <f>IF(Regcontabilizados[[#This Row],[Eliminado]]="si","",RegContabilizados2[[#This Row],[Tipo de movimiento]])</f>
        <v>Entrada</v>
      </c>
      <c r="P116" s="1">
        <f>IF(Regcontabilizados[[#This Row],[Eliminado]]="si","",RegContabilizados2[[#This Row],[cantidad]])</f>
        <v>1</v>
      </c>
      <c r="Q116" s="1">
        <f>IF(Regcontabilizados[[#This Row],[Eliminado]]="si","",RegContabilizados2[[#This Row],[VR unitario]])</f>
        <v>80000</v>
      </c>
      <c r="R116" s="1">
        <f>IF(Regcontabilizados[[#This Row],[Eliminado]]="si","",RegContabilizados2[[#This Row],[Subcuenta]])</f>
        <v>510512</v>
      </c>
      <c r="S116" s="1">
        <f>IF(Regcontabilizados[[#This Row],[Eliminado]]="si","",RegContabilizados2[[#This Row],[Debe]])</f>
        <v>80000</v>
      </c>
      <c r="T116" s="1">
        <f>IF(Regcontabilizados[[#This Row],[Eliminado]]="si","",RegContabilizados2[[#This Row],[Haber]])</f>
        <v>0</v>
      </c>
      <c r="U116" s="1">
        <f>IFERROR((Regcontabilizados[[#This Row],[Debe]]-Regcontabilizados[[#This Row],[Haber]]),0)</f>
        <v>80000</v>
      </c>
      <c r="V116" s="1" t="str">
        <f>IFERROR((+_xlfn.XLOOKUP(Regcontabilizados[[#This Row],[Subcuenta]],Tabla11[Cuenta],Tabla11[Descripción],0)),0)</f>
        <v>Jornales</v>
      </c>
      <c r="W116" s="1" t="str">
        <f>IFERROR((_xlfn.XLOOKUP((VALUE(LEFT(Regcontabilizados[[#This Row],[Subcuenta]],4))),Tabla11[Cuenta],Tabla11[Descripción],0)),0)</f>
        <v>GASTOS DE PERSONAL</v>
      </c>
      <c r="X116" s="1" t="str">
        <f>IFERROR((_xlfn.XLOOKUP(Regcontabilizados[[#This Row],[Subcuenta]],Tabla11[Cuenta],Tabla11[Descripción],0)),0)</f>
        <v>Jornales</v>
      </c>
      <c r="Y116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116" s="1" t="str">
        <f>_xlfn.XLOOKUP(Regcontabilizados[[#This Row],[Subcuenta]],Tabla11[Cuenta],Tabla11[TIPO],"")</f>
        <v>Gastos</v>
      </c>
      <c r="AA116" s="1" t="str">
        <f>IFERROR((Regcontabilizados[[#This Row],[Subcuenta]]&amp;" "&amp;_xlfn.XLOOKUP(Regcontabilizados[[#This Row],[Subcuenta]],Tabla11[Cuenta],Tabla11[Descripción],0)),0)</f>
        <v>510512 Jornales</v>
      </c>
      <c r="AB116" s="1" t="str">
        <f>IFERROR((VALUE(LEFT(Regcontabilizados[[#This Row],[Subcuenta]],2))&amp;" "&amp;_xlfn.XLOOKUP((VALUE(LEFT(Regcontabilizados[[#This Row],[Subcuenta]],2))),Tabla11[Cuenta],Tabla11[Descripción],0)),0)</f>
        <v>51 OPERACIONALES DE ADMINISTRACIÓN</v>
      </c>
      <c r="AC116" s="1" t="str">
        <f>IFERROR((VALUE(LEFT(Regcontabilizados[[#This Row],[Subcuenta]],4))&amp;" "&amp;_xlfn.XLOOKUP((VALUE(LEFT(Regcontabilizados[[#This Row],[Subcuenta]],4))),Tabla11[Cuenta],Tabla11[Descripción],0)),0)</f>
        <v>5105 GASTOS DE PERSONAL</v>
      </c>
      <c r="AD116" s="1" t="str">
        <f>IF(Regcontabilizados[[#This Row],[Eliminado]]="si","",RegContabilizados2[[#This Row],[Estado de pago]])</f>
        <v>NO PAGADO</v>
      </c>
      <c r="AE116" s="1" t="str">
        <f>IF(Regcontabilizados[[#This Row],[Eliminado]]="si","",RegContabilizados2[[#This Row],[Colum. Aux. Estado]])</f>
        <v>656565F.C.236599</v>
      </c>
      <c r="AF116" s="1">
        <f>IF(Regcontabilizados[[#This Row],[Eliminado]]="si","",RegContabilizados2[[#This Row],[Número de pago]])</f>
        <v>0</v>
      </c>
      <c r="AG116" s="1" t="str">
        <f>IF(Regcontabilizados[[#This Row],[Eliminado]]="si","",RegContabilizados2[[#This Row],[Elaborado por]])</f>
        <v>Responsable no especificado</v>
      </c>
      <c r="AH116" s="1" t="str">
        <f>IF(Regcontabilizados[[#This Row],[Eliminado]]="si","",RegContabilizados2[[#This Row],[Notas]])</f>
        <v>DE CONTADO</v>
      </c>
      <c r="AI116" s="1">
        <f>IF(Regcontabilizados[[#This Row],[Eliminado]]="si","",RegContabilizados2[[#This Row],[Método de pago]])</f>
        <v>0</v>
      </c>
      <c r="AJ116" s="1">
        <f>IF(Regcontabilizados[[#This Row],[Eliminado]]="si","",RegContabilizados2[[#This Row],[Cta. Bancaria]])</f>
        <v>0</v>
      </c>
      <c r="AO116" s="31">
        <v>45993</v>
      </c>
      <c r="AP116" s="31">
        <v>45993</v>
      </c>
      <c r="AQ116" s="3" t="s">
        <v>1221</v>
      </c>
      <c r="AR116" s="3">
        <v>236599</v>
      </c>
      <c r="AS116" s="1" t="s">
        <v>1111</v>
      </c>
      <c r="AT116" s="1">
        <v>333333</v>
      </c>
      <c r="AV116" s="3" t="s">
        <v>903</v>
      </c>
      <c r="AW116" s="3" t="s">
        <v>1219</v>
      </c>
      <c r="AX116" s="3" t="s">
        <v>1000</v>
      </c>
      <c r="AY116" s="3" t="s">
        <v>1001</v>
      </c>
      <c r="AZ116" s="3" t="s">
        <v>974</v>
      </c>
      <c r="BA116" s="1">
        <v>1</v>
      </c>
      <c r="BB116" s="1">
        <v>80000</v>
      </c>
      <c r="BC116" s="1">
        <v>510512</v>
      </c>
      <c r="BD116" s="1">
        <v>80000</v>
      </c>
      <c r="BE116" s="1">
        <v>0</v>
      </c>
      <c r="BF116" s="1">
        <f>IFERROR((RegContabilizados2[[#This Row],[Debe]]-RegContabilizados2[[#This Row],[Haber]]),0)</f>
        <v>80000</v>
      </c>
      <c r="BG116" s="1" t="str">
        <f>IFERROR((+_xlfn.XLOOKUP(RegContabilizados2[[#This Row],[Subcuenta]],Tabla11[Cuenta],Tabla11[Descripción],0)),0)</f>
        <v>Jornales</v>
      </c>
      <c r="BH116" s="1" t="str">
        <f>IFERROR((VALUE(LEFT(RegContabilizados2[[#This Row],[Subcuenta]],2))&amp;" "&amp;_xlfn.XLOOKUP((VALUE(LEFT(RegContabilizados2[[#This Row],[Subcuenta]],2))),Tabla11[Cuenta],Tabla11[Descripción],0)),0)</f>
        <v>51 OPERACIONALES DE ADMINISTRACIÓN</v>
      </c>
      <c r="BI116" s="1" t="str">
        <f>IFERROR((VALUE(LEFT(RegContabilizados2[[#This Row],[Subcuenta]],4))&amp;" "&amp;_xlfn.XLOOKUP((VALUE(LEFT(RegContabilizados2[[#This Row],[Subcuenta]],4))),Tabla11[Cuenta],Tabla11[Descripción],0)),0)</f>
        <v>5105 GASTOS DE PERSONAL</v>
      </c>
      <c r="BJ116" s="1" t="str">
        <f>IFERROR((RegContabilizados2[[#This Row],[Subcuenta]]&amp;" "&amp;_xlfn.XLOOKUP(RegContabilizados2[[#This Row],[Subcuenta]],Tabla11[Cuenta],Tabla11[Descripción],0)),0)</f>
        <v>510512 Jornales</v>
      </c>
      <c r="BK116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116" s="1" t="str">
        <f>IFERROR(LEFT(RegContabilizados2[[#This Row],[Idenficador]],SEARCH("-",RegContabilizados2[[#This Row],[Idenficador]])-1),0)</f>
        <v>656565F.C.236599</v>
      </c>
      <c r="BN116" s="1" t="s">
        <v>1169</v>
      </c>
      <c r="BO116" s="1" t="s">
        <v>1220</v>
      </c>
    </row>
    <row r="117" spans="4:67">
      <c r="D117" s="31">
        <f>IF(Regcontabilizados[[#This Row],[Eliminado]]="si","",RegContabilizados2[[#This Row],[fecha Factura]])</f>
        <v>45993</v>
      </c>
      <c r="E117" s="31">
        <f>IF(Regcontabilizados[[#This Row],[Eliminado]]="si","",RegContabilizados2[[#This Row],[Fecha vencimiento]])</f>
        <v>45993</v>
      </c>
      <c r="F117" s="3" t="str">
        <f>IF(Regcontabilizados[[#This Row],[Eliminado]]="si","",RegContabilizados2[[#This Row],[Idenficador]])</f>
        <v>656565F.C.236599-2</v>
      </c>
      <c r="G117" s="3">
        <f>IF(Regcontabilizados[[#This Row],[Eliminado]]="si","",RegContabilizados2[[#This Row],[N° de factura/Pago]])</f>
        <v>236599</v>
      </c>
      <c r="H117" s="1" t="str">
        <f>IF(Regcontabilizados[[#This Row],[Eliminado]]="si","",RegContabilizados2[[#This Row],[Tipo de Factura]])</f>
        <v>F.C.</v>
      </c>
      <c r="I117" s="1">
        <f>IF(Regcontabilizados[[#This Row],[Eliminado]]="si","",RegContabilizados2[[#This Row],[ID Cliente]])</f>
        <v>333333</v>
      </c>
      <c r="J117" s="1">
        <f>IF(Regcontabilizados[[#This Row],[Eliminado]]="si","",RegContabilizados2[[#This Row],[ESTADO DEL IVA]])</f>
        <v>0</v>
      </c>
      <c r="K117" s="3" t="str">
        <f>IF(Regcontabilizados[[#This Row],[Eliminado]]="si","",RegContabilizados2[[#This Row],[ID Proveedor]])</f>
        <v>johan</v>
      </c>
      <c r="L117" s="3">
        <f>IF(Regcontabilizados[[#This Row],[Eliminado]]="si","",RegContabilizados2[[#This Row],[Concepto]])</f>
        <v>0</v>
      </c>
      <c r="M117" s="3" t="str">
        <f>IF(Regcontabilizados[[#This Row],[Eliminado]]="si","",RegContabilizados2[[#This Row],[Categoría]])</f>
        <v>Caballero</v>
      </c>
      <c r="N117" s="3" t="str">
        <f>IF(Regcontabilizados[[#This Row],[Eliminado]]="si","",RegContabilizados2[[#This Row],[Almacen]])</f>
        <v>Principal</v>
      </c>
      <c r="O117" s="3" t="str">
        <f>IF(Regcontabilizados[[#This Row],[Eliminado]]="si","",RegContabilizados2[[#This Row],[Tipo de movimiento]])</f>
        <v>Entrada</v>
      </c>
      <c r="P117" s="1">
        <f>IF(Regcontabilizados[[#This Row],[Eliminado]]="si","",RegContabilizados2[[#This Row],[cantidad]])</f>
        <v>0</v>
      </c>
      <c r="Q117" s="1">
        <f>IF(Regcontabilizados[[#This Row],[Eliminado]]="si","",RegContabilizados2[[#This Row],[VR unitario]])</f>
        <v>0</v>
      </c>
      <c r="R117" s="1" t="str">
        <f>IF(Regcontabilizados[[#This Row],[Eliminado]]="si","",RegContabilizados2[[#This Row],[Subcuenta]])</f>
        <v/>
      </c>
      <c r="S117" s="1">
        <f>IF(Regcontabilizados[[#This Row],[Eliminado]]="si","",RegContabilizados2[[#This Row],[Debe]])</f>
        <v>0</v>
      </c>
      <c r="T117" s="1">
        <f>IF(Regcontabilizados[[#This Row],[Eliminado]]="si","",RegContabilizados2[[#This Row],[Haber]])</f>
        <v>0</v>
      </c>
      <c r="U117" s="1">
        <f>IFERROR((Regcontabilizados[[#This Row],[Debe]]-Regcontabilizados[[#This Row],[Haber]]),0)</f>
        <v>0</v>
      </c>
      <c r="V117" s="1">
        <f>IFERROR((+_xlfn.XLOOKUP(Regcontabilizados[[#This Row],[Subcuenta]],Tabla11[Cuenta],Tabla11[Descripción],0)),0)</f>
        <v>0</v>
      </c>
      <c r="W117" s="1">
        <f>IFERROR((_xlfn.XLOOKUP((VALUE(LEFT(Regcontabilizados[[#This Row],[Subcuenta]],4))),Tabla11[Cuenta],Tabla11[Descripción],0)),0)</f>
        <v>0</v>
      </c>
      <c r="X117" s="1">
        <f>IFERROR((_xlfn.XLOOKUP(Regcontabilizados[[#This Row],[Subcuenta]],Tabla11[Cuenta],Tabla11[Descripción],0)),0)</f>
        <v>0</v>
      </c>
      <c r="Y117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117" s="1" t="str">
        <f>_xlfn.XLOOKUP(Regcontabilizados[[#This Row],[Subcuenta]],Tabla11[Cuenta],Tabla11[TIPO],"")</f>
        <v/>
      </c>
      <c r="AA117" s="1" t="str">
        <f>IFERROR((Regcontabilizados[[#This Row],[Subcuenta]]&amp;" "&amp;_xlfn.XLOOKUP(Regcontabilizados[[#This Row],[Subcuenta]],Tabla11[Cuenta],Tabla11[Descripción],0)),0)</f>
        <v xml:space="preserve"> 0</v>
      </c>
      <c r="AB117" s="1">
        <f>IFERROR((VALUE(LEFT(Regcontabilizados[[#This Row],[Subcuenta]],2))&amp;" "&amp;_xlfn.XLOOKUP((VALUE(LEFT(Regcontabilizados[[#This Row],[Subcuenta]],2))),Tabla11[Cuenta],Tabla11[Descripción],0)),0)</f>
        <v>0</v>
      </c>
      <c r="AC117" s="1">
        <f>IFERROR((VALUE(LEFT(Regcontabilizados[[#This Row],[Subcuenta]],4))&amp;" "&amp;_xlfn.XLOOKUP((VALUE(LEFT(Regcontabilizados[[#This Row],[Subcuenta]],4))),Tabla11[Cuenta],Tabla11[Descripción],0)),0)</f>
        <v>0</v>
      </c>
      <c r="AD117" s="1" t="str">
        <f>IF(Regcontabilizados[[#This Row],[Eliminado]]="si","",RegContabilizados2[[#This Row],[Estado de pago]])</f>
        <v>NO PAGADO</v>
      </c>
      <c r="AE117" s="1" t="str">
        <f>IF(Regcontabilizados[[#This Row],[Eliminado]]="si","",RegContabilizados2[[#This Row],[Colum. Aux. Estado]])</f>
        <v>656565F.C.236599</v>
      </c>
      <c r="AF117" s="1">
        <f>IF(Regcontabilizados[[#This Row],[Eliminado]]="si","",RegContabilizados2[[#This Row],[Número de pago]])</f>
        <v>0</v>
      </c>
      <c r="AG117" s="1" t="str">
        <f>IF(Regcontabilizados[[#This Row],[Eliminado]]="si","",RegContabilizados2[[#This Row],[Elaborado por]])</f>
        <v>Responsable no especificado</v>
      </c>
      <c r="AH117" s="1" t="str">
        <f>IF(Regcontabilizados[[#This Row],[Eliminado]]="si","",RegContabilizados2[[#This Row],[Notas]])</f>
        <v>DE CONTADO</v>
      </c>
      <c r="AI117" s="1">
        <f>IF(Regcontabilizados[[#This Row],[Eliminado]]="si","",RegContabilizados2[[#This Row],[Método de pago]])</f>
        <v>0</v>
      </c>
      <c r="AJ117" s="1">
        <f>IF(Regcontabilizados[[#This Row],[Eliminado]]="si","",RegContabilizados2[[#This Row],[Cta. Bancaria]])</f>
        <v>0</v>
      </c>
      <c r="AO117" s="31">
        <v>45993</v>
      </c>
      <c r="AP117" s="31">
        <v>45993</v>
      </c>
      <c r="AQ117" s="3" t="s">
        <v>1222</v>
      </c>
      <c r="AR117" s="3">
        <v>236599</v>
      </c>
      <c r="AS117" s="1" t="s">
        <v>1111</v>
      </c>
      <c r="AT117" s="1">
        <v>333333</v>
      </c>
      <c r="AV117" s="3" t="s">
        <v>903</v>
      </c>
      <c r="AW117" s="3"/>
      <c r="AX117" s="3" t="s">
        <v>1000</v>
      </c>
      <c r="AY117" s="3" t="s">
        <v>1001</v>
      </c>
      <c r="AZ117" s="3" t="s">
        <v>974</v>
      </c>
      <c r="BC117" s="1" t="s">
        <v>1168</v>
      </c>
      <c r="BD117" s="1">
        <v>0</v>
      </c>
      <c r="BE117" s="1">
        <v>0</v>
      </c>
      <c r="BF117" s="1">
        <f>IFERROR((RegContabilizados2[[#This Row],[Debe]]-RegContabilizados2[[#This Row],[Haber]]),0)</f>
        <v>0</v>
      </c>
      <c r="BG117" s="1">
        <f>IFERROR((+_xlfn.XLOOKUP(RegContabilizados2[[#This Row],[Subcuenta]],Tabla11[Cuenta],Tabla11[Descripción],0)),0)</f>
        <v>0</v>
      </c>
      <c r="BH117" s="1">
        <f>IFERROR((VALUE(LEFT(RegContabilizados2[[#This Row],[Subcuenta]],2))&amp;" "&amp;_xlfn.XLOOKUP((VALUE(LEFT(RegContabilizados2[[#This Row],[Subcuenta]],2))),Tabla11[Cuenta],Tabla11[Descripción],0)),0)</f>
        <v>0</v>
      </c>
      <c r="BI117" s="1">
        <f>IFERROR((VALUE(LEFT(RegContabilizados2[[#This Row],[Subcuenta]],4))&amp;" "&amp;_xlfn.XLOOKUP((VALUE(LEFT(RegContabilizados2[[#This Row],[Subcuenta]],4))),Tabla11[Cuenta],Tabla11[Descripción],0)),0)</f>
        <v>0</v>
      </c>
      <c r="BJ117" s="1" t="str">
        <f>IFERROR((RegContabilizados2[[#This Row],[Subcuenta]]&amp;" "&amp;_xlfn.XLOOKUP(RegContabilizados2[[#This Row],[Subcuenta]],Tabla11[Cuenta],Tabla11[Descripción],0)),0)</f>
        <v xml:space="preserve"> 0</v>
      </c>
      <c r="BK117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117" s="1" t="str">
        <f>IFERROR(LEFT(RegContabilizados2[[#This Row],[Idenficador]],SEARCH("-",RegContabilizados2[[#This Row],[Idenficador]])-1),0)</f>
        <v>656565F.C.236599</v>
      </c>
      <c r="BN117" s="1" t="s">
        <v>1169</v>
      </c>
      <c r="BO117" s="1" t="s">
        <v>1220</v>
      </c>
    </row>
    <row r="118" spans="4:67">
      <c r="D118" s="31">
        <f>IF(Regcontabilizados[[#This Row],[Eliminado]]="si","",RegContabilizados2[[#This Row],[fecha Factura]])</f>
        <v>45993</v>
      </c>
      <c r="E118" s="31">
        <f>IF(Regcontabilizados[[#This Row],[Eliminado]]="si","",RegContabilizados2[[#This Row],[Fecha vencimiento]])</f>
        <v>45993</v>
      </c>
      <c r="F118" s="3" t="str">
        <f>IF(Regcontabilizados[[#This Row],[Eliminado]]="si","",RegContabilizados2[[#This Row],[Idenficador]])</f>
        <v>656565F.C.236599-3</v>
      </c>
      <c r="G118" s="3">
        <f>IF(Regcontabilizados[[#This Row],[Eliminado]]="si","",RegContabilizados2[[#This Row],[N° de factura/Pago]])</f>
        <v>236599</v>
      </c>
      <c r="H118" s="1" t="str">
        <f>IF(Regcontabilizados[[#This Row],[Eliminado]]="si","",RegContabilizados2[[#This Row],[Tipo de Factura]])</f>
        <v>F.C.</v>
      </c>
      <c r="I118" s="1">
        <f>IF(Regcontabilizados[[#This Row],[Eliminado]]="si","",RegContabilizados2[[#This Row],[ID Cliente]])</f>
        <v>333333</v>
      </c>
      <c r="J118" s="1">
        <f>IF(Regcontabilizados[[#This Row],[Eliminado]]="si","",RegContabilizados2[[#This Row],[ESTADO DEL IVA]])</f>
        <v>0</v>
      </c>
      <c r="K118" s="3" t="str">
        <f>IF(Regcontabilizados[[#This Row],[Eliminado]]="si","",RegContabilizados2[[#This Row],[ID Proveedor]])</f>
        <v>johan</v>
      </c>
      <c r="L118" s="3">
        <f>IF(Regcontabilizados[[#This Row],[Eliminado]]="si","",RegContabilizados2[[#This Row],[Concepto]])</f>
        <v>0</v>
      </c>
      <c r="M118" s="3" t="str">
        <f>IF(Regcontabilizados[[#This Row],[Eliminado]]="si","",RegContabilizados2[[#This Row],[Categoría]])</f>
        <v>Caballero</v>
      </c>
      <c r="N118" s="3" t="str">
        <f>IF(Regcontabilizados[[#This Row],[Eliminado]]="si","",RegContabilizados2[[#This Row],[Almacen]])</f>
        <v>Principal</v>
      </c>
      <c r="O118" s="3" t="str">
        <f>IF(Regcontabilizados[[#This Row],[Eliminado]]="si","",RegContabilizados2[[#This Row],[Tipo de movimiento]])</f>
        <v>Entrada</v>
      </c>
      <c r="P118" s="1">
        <f>IF(Regcontabilizados[[#This Row],[Eliminado]]="si","",RegContabilizados2[[#This Row],[cantidad]])</f>
        <v>0</v>
      </c>
      <c r="Q118" s="1">
        <f>IF(Regcontabilizados[[#This Row],[Eliminado]]="si","",RegContabilizados2[[#This Row],[VR unitario]])</f>
        <v>0</v>
      </c>
      <c r="R118" s="1" t="str">
        <f>IF(Regcontabilizados[[#This Row],[Eliminado]]="si","",RegContabilizados2[[#This Row],[Subcuenta]])</f>
        <v/>
      </c>
      <c r="S118" s="1">
        <f>IF(Regcontabilizados[[#This Row],[Eliminado]]="si","",RegContabilizados2[[#This Row],[Debe]])</f>
        <v>0</v>
      </c>
      <c r="T118" s="1">
        <f>IF(Regcontabilizados[[#This Row],[Eliminado]]="si","",RegContabilizados2[[#This Row],[Haber]])</f>
        <v>0</v>
      </c>
      <c r="U118" s="1">
        <f>IFERROR((Regcontabilizados[[#This Row],[Debe]]-Regcontabilizados[[#This Row],[Haber]]),0)</f>
        <v>0</v>
      </c>
      <c r="V118" s="1">
        <f>IFERROR((+_xlfn.XLOOKUP(Regcontabilizados[[#This Row],[Subcuenta]],Tabla11[Cuenta],Tabla11[Descripción],0)),0)</f>
        <v>0</v>
      </c>
      <c r="W118" s="1">
        <f>IFERROR((_xlfn.XLOOKUP((VALUE(LEFT(Regcontabilizados[[#This Row],[Subcuenta]],4))),Tabla11[Cuenta],Tabla11[Descripción],0)),0)</f>
        <v>0</v>
      </c>
      <c r="X118" s="1">
        <f>IFERROR((_xlfn.XLOOKUP(Regcontabilizados[[#This Row],[Subcuenta]],Tabla11[Cuenta],Tabla11[Descripción],0)),0)</f>
        <v>0</v>
      </c>
      <c r="Y118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118" s="1" t="str">
        <f>_xlfn.XLOOKUP(Regcontabilizados[[#This Row],[Subcuenta]],Tabla11[Cuenta],Tabla11[TIPO],"")</f>
        <v/>
      </c>
      <c r="AA118" s="1" t="str">
        <f>IFERROR((Regcontabilizados[[#This Row],[Subcuenta]]&amp;" "&amp;_xlfn.XLOOKUP(Regcontabilizados[[#This Row],[Subcuenta]],Tabla11[Cuenta],Tabla11[Descripción],0)),0)</f>
        <v xml:space="preserve"> 0</v>
      </c>
      <c r="AB118" s="1">
        <f>IFERROR((VALUE(LEFT(Regcontabilizados[[#This Row],[Subcuenta]],2))&amp;" "&amp;_xlfn.XLOOKUP((VALUE(LEFT(Regcontabilizados[[#This Row],[Subcuenta]],2))),Tabla11[Cuenta],Tabla11[Descripción],0)),0)</f>
        <v>0</v>
      </c>
      <c r="AC118" s="1">
        <f>IFERROR((VALUE(LEFT(Regcontabilizados[[#This Row],[Subcuenta]],4))&amp;" "&amp;_xlfn.XLOOKUP((VALUE(LEFT(Regcontabilizados[[#This Row],[Subcuenta]],4))),Tabla11[Cuenta],Tabla11[Descripción],0)),0)</f>
        <v>0</v>
      </c>
      <c r="AD118" s="1" t="str">
        <f>IF(Regcontabilizados[[#This Row],[Eliminado]]="si","",RegContabilizados2[[#This Row],[Estado de pago]])</f>
        <v>NO PAGADO</v>
      </c>
      <c r="AE118" s="1" t="str">
        <f>IF(Regcontabilizados[[#This Row],[Eliminado]]="si","",RegContabilizados2[[#This Row],[Colum. Aux. Estado]])</f>
        <v>656565F.C.236599</v>
      </c>
      <c r="AF118" s="1">
        <f>IF(Regcontabilizados[[#This Row],[Eliminado]]="si","",RegContabilizados2[[#This Row],[Número de pago]])</f>
        <v>0</v>
      </c>
      <c r="AG118" s="1" t="str">
        <f>IF(Regcontabilizados[[#This Row],[Eliminado]]="si","",RegContabilizados2[[#This Row],[Elaborado por]])</f>
        <v>Responsable no especificado</v>
      </c>
      <c r="AH118" s="1" t="str">
        <f>IF(Regcontabilizados[[#This Row],[Eliminado]]="si","",RegContabilizados2[[#This Row],[Notas]])</f>
        <v>DE CONTADO</v>
      </c>
      <c r="AI118" s="1">
        <f>IF(Regcontabilizados[[#This Row],[Eliminado]]="si","",RegContabilizados2[[#This Row],[Método de pago]])</f>
        <v>0</v>
      </c>
      <c r="AJ118" s="1">
        <f>IF(Regcontabilizados[[#This Row],[Eliminado]]="si","",RegContabilizados2[[#This Row],[Cta. Bancaria]])</f>
        <v>0</v>
      </c>
      <c r="AO118" s="31">
        <v>45993</v>
      </c>
      <c r="AP118" s="31">
        <v>45993</v>
      </c>
      <c r="AQ118" s="3" t="s">
        <v>1223</v>
      </c>
      <c r="AR118" s="3">
        <v>236599</v>
      </c>
      <c r="AS118" s="1" t="s">
        <v>1111</v>
      </c>
      <c r="AT118" s="1">
        <v>333333</v>
      </c>
      <c r="AV118" s="3" t="s">
        <v>903</v>
      </c>
      <c r="AW118" s="3"/>
      <c r="AX118" s="3" t="s">
        <v>1000</v>
      </c>
      <c r="AY118" s="3" t="s">
        <v>1001</v>
      </c>
      <c r="AZ118" s="3" t="s">
        <v>974</v>
      </c>
      <c r="BC118" s="1" t="s">
        <v>1168</v>
      </c>
      <c r="BD118" s="1">
        <v>0</v>
      </c>
      <c r="BE118" s="1">
        <v>0</v>
      </c>
      <c r="BF118" s="1">
        <f>IFERROR((RegContabilizados2[[#This Row],[Debe]]-RegContabilizados2[[#This Row],[Haber]]),0)</f>
        <v>0</v>
      </c>
      <c r="BG118" s="1">
        <f>IFERROR((+_xlfn.XLOOKUP(RegContabilizados2[[#This Row],[Subcuenta]],Tabla11[Cuenta],Tabla11[Descripción],0)),0)</f>
        <v>0</v>
      </c>
      <c r="BH118" s="1">
        <f>IFERROR((VALUE(LEFT(RegContabilizados2[[#This Row],[Subcuenta]],2))&amp;" "&amp;_xlfn.XLOOKUP((VALUE(LEFT(RegContabilizados2[[#This Row],[Subcuenta]],2))),Tabla11[Cuenta],Tabla11[Descripción],0)),0)</f>
        <v>0</v>
      </c>
      <c r="BI118" s="1">
        <f>IFERROR((VALUE(LEFT(RegContabilizados2[[#This Row],[Subcuenta]],4))&amp;" "&amp;_xlfn.XLOOKUP((VALUE(LEFT(RegContabilizados2[[#This Row],[Subcuenta]],4))),Tabla11[Cuenta],Tabla11[Descripción],0)),0)</f>
        <v>0</v>
      </c>
      <c r="BJ118" s="1" t="str">
        <f>IFERROR((RegContabilizados2[[#This Row],[Subcuenta]]&amp;" "&amp;_xlfn.XLOOKUP(RegContabilizados2[[#This Row],[Subcuenta]],Tabla11[Cuenta],Tabla11[Descripción],0)),0)</f>
        <v xml:space="preserve"> 0</v>
      </c>
      <c r="BK118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118" s="1" t="str">
        <f>IFERROR(LEFT(RegContabilizados2[[#This Row],[Idenficador]],SEARCH("-",RegContabilizados2[[#This Row],[Idenficador]])-1),0)</f>
        <v>656565F.C.236599</v>
      </c>
      <c r="BN118" s="1" t="s">
        <v>1169</v>
      </c>
      <c r="BO118" s="1" t="s">
        <v>1220</v>
      </c>
    </row>
    <row r="119" spans="4:67">
      <c r="D119" s="31">
        <f>IF(Regcontabilizados[[#This Row],[Eliminado]]="si","",RegContabilizados2[[#This Row],[fecha Factura]])</f>
        <v>45993</v>
      </c>
      <c r="E119" s="31">
        <f>IF(Regcontabilizados[[#This Row],[Eliminado]]="si","",RegContabilizados2[[#This Row],[Fecha vencimiento]])</f>
        <v>45993</v>
      </c>
      <c r="F119" s="3" t="str">
        <f>IF(Regcontabilizados[[#This Row],[Eliminado]]="si","",RegContabilizados2[[#This Row],[Idenficador]])</f>
        <v>656565F.C.236599-4</v>
      </c>
      <c r="G119" s="3">
        <f>IF(Regcontabilizados[[#This Row],[Eliminado]]="si","",RegContabilizados2[[#This Row],[N° de factura/Pago]])</f>
        <v>236599</v>
      </c>
      <c r="H119" s="1" t="str">
        <f>IF(Regcontabilizados[[#This Row],[Eliminado]]="si","",RegContabilizados2[[#This Row],[Tipo de Factura]])</f>
        <v>F.C.</v>
      </c>
      <c r="I119" s="1">
        <f>IF(Regcontabilizados[[#This Row],[Eliminado]]="si","",RegContabilizados2[[#This Row],[ID Cliente]])</f>
        <v>333333</v>
      </c>
      <c r="J119" s="1">
        <f>IF(Regcontabilizados[[#This Row],[Eliminado]]="si","",RegContabilizados2[[#This Row],[ESTADO DEL IVA]])</f>
        <v>0</v>
      </c>
      <c r="K119" s="3" t="str">
        <f>IF(Regcontabilizados[[#This Row],[Eliminado]]="si","",RegContabilizados2[[#This Row],[ID Proveedor]])</f>
        <v>johan</v>
      </c>
      <c r="L119" s="3">
        <f>IF(Regcontabilizados[[#This Row],[Eliminado]]="si","",RegContabilizados2[[#This Row],[Concepto]])</f>
        <v>0</v>
      </c>
      <c r="M119" s="3" t="str">
        <f>IF(Regcontabilizados[[#This Row],[Eliminado]]="si","",RegContabilizados2[[#This Row],[Categoría]])</f>
        <v>Caballero</v>
      </c>
      <c r="N119" s="3" t="str">
        <f>IF(Regcontabilizados[[#This Row],[Eliminado]]="si","",RegContabilizados2[[#This Row],[Almacen]])</f>
        <v>Principal</v>
      </c>
      <c r="O119" s="3" t="str">
        <f>IF(Regcontabilizados[[#This Row],[Eliminado]]="si","",RegContabilizados2[[#This Row],[Tipo de movimiento]])</f>
        <v>Entrada</v>
      </c>
      <c r="P119" s="1">
        <f>IF(Regcontabilizados[[#This Row],[Eliminado]]="si","",RegContabilizados2[[#This Row],[cantidad]])</f>
        <v>0</v>
      </c>
      <c r="Q119" s="1">
        <f>IF(Regcontabilizados[[#This Row],[Eliminado]]="si","",RegContabilizados2[[#This Row],[VR unitario]])</f>
        <v>0</v>
      </c>
      <c r="R119" s="1" t="str">
        <f>IF(Regcontabilizados[[#This Row],[Eliminado]]="si","",RegContabilizados2[[#This Row],[Subcuenta]])</f>
        <v/>
      </c>
      <c r="S119" s="1">
        <f>IF(Regcontabilizados[[#This Row],[Eliminado]]="si","",RegContabilizados2[[#This Row],[Debe]])</f>
        <v>0</v>
      </c>
      <c r="T119" s="1">
        <f>IF(Regcontabilizados[[#This Row],[Eliminado]]="si","",RegContabilizados2[[#This Row],[Haber]])</f>
        <v>0</v>
      </c>
      <c r="U119" s="1">
        <f>IFERROR((Regcontabilizados[[#This Row],[Debe]]-Regcontabilizados[[#This Row],[Haber]]),0)</f>
        <v>0</v>
      </c>
      <c r="V119" s="1">
        <f>IFERROR((+_xlfn.XLOOKUP(Regcontabilizados[[#This Row],[Subcuenta]],Tabla11[Cuenta],Tabla11[Descripción],0)),0)</f>
        <v>0</v>
      </c>
      <c r="W119" s="1">
        <f>IFERROR((_xlfn.XLOOKUP((VALUE(LEFT(Regcontabilizados[[#This Row],[Subcuenta]],4))),Tabla11[Cuenta],Tabla11[Descripción],0)),0)</f>
        <v>0</v>
      </c>
      <c r="X119" s="1">
        <f>IFERROR((_xlfn.XLOOKUP(Regcontabilizados[[#This Row],[Subcuenta]],Tabla11[Cuenta],Tabla11[Descripción],0)),0)</f>
        <v>0</v>
      </c>
      <c r="Y119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119" s="1" t="str">
        <f>_xlfn.XLOOKUP(Regcontabilizados[[#This Row],[Subcuenta]],Tabla11[Cuenta],Tabla11[TIPO],"")</f>
        <v/>
      </c>
      <c r="AA119" s="1" t="str">
        <f>IFERROR((Regcontabilizados[[#This Row],[Subcuenta]]&amp;" "&amp;_xlfn.XLOOKUP(Regcontabilizados[[#This Row],[Subcuenta]],Tabla11[Cuenta],Tabla11[Descripción],0)),0)</f>
        <v xml:space="preserve"> 0</v>
      </c>
      <c r="AB119" s="1">
        <f>IFERROR((VALUE(LEFT(Regcontabilizados[[#This Row],[Subcuenta]],2))&amp;" "&amp;_xlfn.XLOOKUP((VALUE(LEFT(Regcontabilizados[[#This Row],[Subcuenta]],2))),Tabla11[Cuenta],Tabla11[Descripción],0)),0)</f>
        <v>0</v>
      </c>
      <c r="AC119" s="1">
        <f>IFERROR((VALUE(LEFT(Regcontabilizados[[#This Row],[Subcuenta]],4))&amp;" "&amp;_xlfn.XLOOKUP((VALUE(LEFT(Regcontabilizados[[#This Row],[Subcuenta]],4))),Tabla11[Cuenta],Tabla11[Descripción],0)),0)</f>
        <v>0</v>
      </c>
      <c r="AD119" s="1" t="str">
        <f>IF(Regcontabilizados[[#This Row],[Eliminado]]="si","",RegContabilizados2[[#This Row],[Estado de pago]])</f>
        <v>NO PAGADO</v>
      </c>
      <c r="AE119" s="1" t="str">
        <f>IF(Regcontabilizados[[#This Row],[Eliminado]]="si","",RegContabilizados2[[#This Row],[Colum. Aux. Estado]])</f>
        <v>656565F.C.236599</v>
      </c>
      <c r="AF119" s="1">
        <f>IF(Regcontabilizados[[#This Row],[Eliminado]]="si","",RegContabilizados2[[#This Row],[Número de pago]])</f>
        <v>0</v>
      </c>
      <c r="AG119" s="1" t="str">
        <f>IF(Regcontabilizados[[#This Row],[Eliminado]]="si","",RegContabilizados2[[#This Row],[Elaborado por]])</f>
        <v>Responsable no especificado</v>
      </c>
      <c r="AH119" s="1" t="str">
        <f>IF(Regcontabilizados[[#This Row],[Eliminado]]="si","",RegContabilizados2[[#This Row],[Notas]])</f>
        <v>DE CONTADO</v>
      </c>
      <c r="AI119" s="1">
        <f>IF(Regcontabilizados[[#This Row],[Eliminado]]="si","",RegContabilizados2[[#This Row],[Método de pago]])</f>
        <v>0</v>
      </c>
      <c r="AJ119" s="1">
        <f>IF(Regcontabilizados[[#This Row],[Eliminado]]="si","",RegContabilizados2[[#This Row],[Cta. Bancaria]])</f>
        <v>0</v>
      </c>
      <c r="AO119" s="31">
        <v>45993</v>
      </c>
      <c r="AP119" s="31">
        <v>45993</v>
      </c>
      <c r="AQ119" s="3" t="s">
        <v>1224</v>
      </c>
      <c r="AR119" s="3">
        <v>236599</v>
      </c>
      <c r="AS119" s="1" t="s">
        <v>1111</v>
      </c>
      <c r="AT119" s="1">
        <v>333333</v>
      </c>
      <c r="AV119" s="3" t="s">
        <v>903</v>
      </c>
      <c r="AW119" s="3"/>
      <c r="AX119" s="3" t="s">
        <v>1000</v>
      </c>
      <c r="AY119" s="3" t="s">
        <v>1001</v>
      </c>
      <c r="AZ119" s="3" t="s">
        <v>974</v>
      </c>
      <c r="BC119" s="1" t="s">
        <v>1168</v>
      </c>
      <c r="BD119" s="1">
        <v>0</v>
      </c>
      <c r="BE119" s="1">
        <v>0</v>
      </c>
      <c r="BF119" s="1">
        <f>IFERROR((RegContabilizados2[[#This Row],[Debe]]-RegContabilizados2[[#This Row],[Haber]]),0)</f>
        <v>0</v>
      </c>
      <c r="BG119" s="1">
        <f>IFERROR((+_xlfn.XLOOKUP(RegContabilizados2[[#This Row],[Subcuenta]],Tabla11[Cuenta],Tabla11[Descripción],0)),0)</f>
        <v>0</v>
      </c>
      <c r="BH119" s="1">
        <f>IFERROR((VALUE(LEFT(RegContabilizados2[[#This Row],[Subcuenta]],2))&amp;" "&amp;_xlfn.XLOOKUP((VALUE(LEFT(RegContabilizados2[[#This Row],[Subcuenta]],2))),Tabla11[Cuenta],Tabla11[Descripción],0)),0)</f>
        <v>0</v>
      </c>
      <c r="BI119" s="1">
        <f>IFERROR((VALUE(LEFT(RegContabilizados2[[#This Row],[Subcuenta]],4))&amp;" "&amp;_xlfn.XLOOKUP((VALUE(LEFT(RegContabilizados2[[#This Row],[Subcuenta]],4))),Tabla11[Cuenta],Tabla11[Descripción],0)),0)</f>
        <v>0</v>
      </c>
      <c r="BJ119" s="1" t="str">
        <f>IFERROR((RegContabilizados2[[#This Row],[Subcuenta]]&amp;" "&amp;_xlfn.XLOOKUP(RegContabilizados2[[#This Row],[Subcuenta]],Tabla11[Cuenta],Tabla11[Descripción],0)),0)</f>
        <v xml:space="preserve"> 0</v>
      </c>
      <c r="BK119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119" s="1" t="str">
        <f>IFERROR(LEFT(RegContabilizados2[[#This Row],[Idenficador]],SEARCH("-",RegContabilizados2[[#This Row],[Idenficador]])-1),0)</f>
        <v>656565F.C.236599</v>
      </c>
      <c r="BN119" s="1" t="s">
        <v>1169</v>
      </c>
      <c r="BO119" s="1" t="s">
        <v>1220</v>
      </c>
    </row>
    <row r="120" spans="4:67">
      <c r="D120" s="31">
        <f>IF(Regcontabilizados[[#This Row],[Eliminado]]="si","",RegContabilizados2[[#This Row],[fecha Factura]])</f>
        <v>45993</v>
      </c>
      <c r="E120" s="31">
        <f>IF(Regcontabilizados[[#This Row],[Eliminado]]="si","",RegContabilizados2[[#This Row],[Fecha vencimiento]])</f>
        <v>45993</v>
      </c>
      <c r="F120" s="3" t="str">
        <f>IF(Regcontabilizados[[#This Row],[Eliminado]]="si","",RegContabilizados2[[#This Row],[Idenficador]])</f>
        <v>656565F.C.236599-5</v>
      </c>
      <c r="G120" s="3">
        <f>IF(Regcontabilizados[[#This Row],[Eliminado]]="si","",RegContabilizados2[[#This Row],[N° de factura/Pago]])</f>
        <v>236599</v>
      </c>
      <c r="H120" s="1" t="str">
        <f>IF(Regcontabilizados[[#This Row],[Eliminado]]="si","",RegContabilizados2[[#This Row],[Tipo de Factura]])</f>
        <v>F.C.</v>
      </c>
      <c r="I120" s="1">
        <f>IF(Regcontabilizados[[#This Row],[Eliminado]]="si","",RegContabilizados2[[#This Row],[ID Cliente]])</f>
        <v>333333</v>
      </c>
      <c r="J120" s="1">
        <f>IF(Regcontabilizados[[#This Row],[Eliminado]]="si","",RegContabilizados2[[#This Row],[ESTADO DEL IVA]])</f>
        <v>0</v>
      </c>
      <c r="K120" s="3" t="str">
        <f>IF(Regcontabilizados[[#This Row],[Eliminado]]="si","",RegContabilizados2[[#This Row],[ID Proveedor]])</f>
        <v>johan</v>
      </c>
      <c r="L120" s="3">
        <f>IF(Regcontabilizados[[#This Row],[Eliminado]]="si","",RegContabilizados2[[#This Row],[Concepto]])</f>
        <v>0</v>
      </c>
      <c r="M120" s="3" t="str">
        <f>IF(Regcontabilizados[[#This Row],[Eliminado]]="si","",RegContabilizados2[[#This Row],[Categoría]])</f>
        <v>Caballero</v>
      </c>
      <c r="N120" s="3" t="str">
        <f>IF(Regcontabilizados[[#This Row],[Eliminado]]="si","",RegContabilizados2[[#This Row],[Almacen]])</f>
        <v>Principal</v>
      </c>
      <c r="O120" s="3" t="str">
        <f>IF(Regcontabilizados[[#This Row],[Eliminado]]="si","",RegContabilizados2[[#This Row],[Tipo de movimiento]])</f>
        <v>Entrada</v>
      </c>
      <c r="P120" s="1">
        <f>IF(Regcontabilizados[[#This Row],[Eliminado]]="si","",RegContabilizados2[[#This Row],[cantidad]])</f>
        <v>0</v>
      </c>
      <c r="Q120" s="1">
        <f>IF(Regcontabilizados[[#This Row],[Eliminado]]="si","",RegContabilizados2[[#This Row],[VR unitario]])</f>
        <v>0</v>
      </c>
      <c r="R120" s="1" t="str">
        <f>IF(Regcontabilizados[[#This Row],[Eliminado]]="si","",RegContabilizados2[[#This Row],[Subcuenta]])</f>
        <v/>
      </c>
      <c r="S120" s="1">
        <f>IF(Regcontabilizados[[#This Row],[Eliminado]]="si","",RegContabilizados2[[#This Row],[Debe]])</f>
        <v>0</v>
      </c>
      <c r="T120" s="1">
        <f>IF(Regcontabilizados[[#This Row],[Eliminado]]="si","",RegContabilizados2[[#This Row],[Haber]])</f>
        <v>0</v>
      </c>
      <c r="U120" s="1">
        <f>IFERROR((Regcontabilizados[[#This Row],[Debe]]-Regcontabilizados[[#This Row],[Haber]]),0)</f>
        <v>0</v>
      </c>
      <c r="V120" s="1">
        <f>IFERROR((+_xlfn.XLOOKUP(Regcontabilizados[[#This Row],[Subcuenta]],Tabla11[Cuenta],Tabla11[Descripción],0)),0)</f>
        <v>0</v>
      </c>
      <c r="W120" s="1">
        <f>IFERROR((_xlfn.XLOOKUP((VALUE(LEFT(Regcontabilizados[[#This Row],[Subcuenta]],4))),Tabla11[Cuenta],Tabla11[Descripción],0)),0)</f>
        <v>0</v>
      </c>
      <c r="X120" s="1">
        <f>IFERROR((_xlfn.XLOOKUP(Regcontabilizados[[#This Row],[Subcuenta]],Tabla11[Cuenta],Tabla11[Descripción],0)),0)</f>
        <v>0</v>
      </c>
      <c r="Y120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120" s="1" t="str">
        <f>_xlfn.XLOOKUP(Regcontabilizados[[#This Row],[Subcuenta]],Tabla11[Cuenta],Tabla11[TIPO],"")</f>
        <v/>
      </c>
      <c r="AA120" s="1" t="str">
        <f>IFERROR((Regcontabilizados[[#This Row],[Subcuenta]]&amp;" "&amp;_xlfn.XLOOKUP(Regcontabilizados[[#This Row],[Subcuenta]],Tabla11[Cuenta],Tabla11[Descripción],0)),0)</f>
        <v xml:space="preserve"> 0</v>
      </c>
      <c r="AB120" s="1">
        <f>IFERROR((VALUE(LEFT(Regcontabilizados[[#This Row],[Subcuenta]],2))&amp;" "&amp;_xlfn.XLOOKUP((VALUE(LEFT(Regcontabilizados[[#This Row],[Subcuenta]],2))),Tabla11[Cuenta],Tabla11[Descripción],0)),0)</f>
        <v>0</v>
      </c>
      <c r="AC120" s="1">
        <f>IFERROR((VALUE(LEFT(Regcontabilizados[[#This Row],[Subcuenta]],4))&amp;" "&amp;_xlfn.XLOOKUP((VALUE(LEFT(Regcontabilizados[[#This Row],[Subcuenta]],4))),Tabla11[Cuenta],Tabla11[Descripción],0)),0)</f>
        <v>0</v>
      </c>
      <c r="AD120" s="1" t="str">
        <f>IF(Regcontabilizados[[#This Row],[Eliminado]]="si","",RegContabilizados2[[#This Row],[Estado de pago]])</f>
        <v>NO PAGADO</v>
      </c>
      <c r="AE120" s="1" t="str">
        <f>IF(Regcontabilizados[[#This Row],[Eliminado]]="si","",RegContabilizados2[[#This Row],[Colum. Aux. Estado]])</f>
        <v>656565F.C.236599</v>
      </c>
      <c r="AF120" s="1">
        <f>IF(Regcontabilizados[[#This Row],[Eliminado]]="si","",RegContabilizados2[[#This Row],[Número de pago]])</f>
        <v>0</v>
      </c>
      <c r="AG120" s="1" t="str">
        <f>IF(Regcontabilizados[[#This Row],[Eliminado]]="si","",RegContabilizados2[[#This Row],[Elaborado por]])</f>
        <v>Responsable no especificado</v>
      </c>
      <c r="AH120" s="1" t="str">
        <f>IF(Regcontabilizados[[#This Row],[Eliminado]]="si","",RegContabilizados2[[#This Row],[Notas]])</f>
        <v>DE CONTADO</v>
      </c>
      <c r="AI120" s="1">
        <f>IF(Regcontabilizados[[#This Row],[Eliminado]]="si","",RegContabilizados2[[#This Row],[Método de pago]])</f>
        <v>0</v>
      </c>
      <c r="AJ120" s="1">
        <f>IF(Regcontabilizados[[#This Row],[Eliminado]]="si","",RegContabilizados2[[#This Row],[Cta. Bancaria]])</f>
        <v>0</v>
      </c>
      <c r="AO120" s="31">
        <v>45993</v>
      </c>
      <c r="AP120" s="31">
        <v>45993</v>
      </c>
      <c r="AQ120" s="3" t="s">
        <v>1225</v>
      </c>
      <c r="AR120" s="3">
        <v>236599</v>
      </c>
      <c r="AS120" s="1" t="s">
        <v>1111</v>
      </c>
      <c r="AT120" s="1">
        <v>333333</v>
      </c>
      <c r="AV120" s="3" t="s">
        <v>903</v>
      </c>
      <c r="AW120" s="3"/>
      <c r="AX120" s="3" t="s">
        <v>1000</v>
      </c>
      <c r="AY120" s="3" t="s">
        <v>1001</v>
      </c>
      <c r="AZ120" s="3" t="s">
        <v>974</v>
      </c>
      <c r="BC120" s="1" t="s">
        <v>1168</v>
      </c>
      <c r="BD120" s="1">
        <v>0</v>
      </c>
      <c r="BE120" s="1">
        <v>0</v>
      </c>
      <c r="BF120" s="1">
        <f>IFERROR((RegContabilizados2[[#This Row],[Debe]]-RegContabilizados2[[#This Row],[Haber]]),0)</f>
        <v>0</v>
      </c>
      <c r="BG120" s="1">
        <f>IFERROR((+_xlfn.XLOOKUP(RegContabilizados2[[#This Row],[Subcuenta]],Tabla11[Cuenta],Tabla11[Descripción],0)),0)</f>
        <v>0</v>
      </c>
      <c r="BH120" s="1">
        <f>IFERROR((VALUE(LEFT(RegContabilizados2[[#This Row],[Subcuenta]],2))&amp;" "&amp;_xlfn.XLOOKUP((VALUE(LEFT(RegContabilizados2[[#This Row],[Subcuenta]],2))),Tabla11[Cuenta],Tabla11[Descripción],0)),0)</f>
        <v>0</v>
      </c>
      <c r="BI120" s="1">
        <f>IFERROR((VALUE(LEFT(RegContabilizados2[[#This Row],[Subcuenta]],4))&amp;" "&amp;_xlfn.XLOOKUP((VALUE(LEFT(RegContabilizados2[[#This Row],[Subcuenta]],4))),Tabla11[Cuenta],Tabla11[Descripción],0)),0)</f>
        <v>0</v>
      </c>
      <c r="BJ120" s="1" t="str">
        <f>IFERROR((RegContabilizados2[[#This Row],[Subcuenta]]&amp;" "&amp;_xlfn.XLOOKUP(RegContabilizados2[[#This Row],[Subcuenta]],Tabla11[Cuenta],Tabla11[Descripción],0)),0)</f>
        <v xml:space="preserve"> 0</v>
      </c>
      <c r="BK120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120" s="1" t="str">
        <f>IFERROR(LEFT(RegContabilizados2[[#This Row],[Idenficador]],SEARCH("-",RegContabilizados2[[#This Row],[Idenficador]])-1),0)</f>
        <v>656565F.C.236599</v>
      </c>
      <c r="BN120" s="1" t="s">
        <v>1169</v>
      </c>
      <c r="BO120" s="1" t="s">
        <v>1220</v>
      </c>
    </row>
    <row r="121" spans="4:67">
      <c r="D121" s="31">
        <f>IF(Regcontabilizados[[#This Row],[Eliminado]]="si","",RegContabilizados2[[#This Row],[fecha Factura]])</f>
        <v>45993</v>
      </c>
      <c r="E121" s="31">
        <f>IF(Regcontabilizados[[#This Row],[Eliminado]]="si","",RegContabilizados2[[#This Row],[Fecha vencimiento]])</f>
        <v>45993</v>
      </c>
      <c r="F121" s="3" t="str">
        <f>IF(Regcontabilizados[[#This Row],[Eliminado]]="si","",RegContabilizados2[[#This Row],[Idenficador]])</f>
        <v>656565F.C.236599-6</v>
      </c>
      <c r="G121" s="3">
        <f>IF(Regcontabilizados[[#This Row],[Eliminado]]="si","",RegContabilizados2[[#This Row],[N° de factura/Pago]])</f>
        <v>236599</v>
      </c>
      <c r="H121" s="1" t="str">
        <f>IF(Regcontabilizados[[#This Row],[Eliminado]]="si","",RegContabilizados2[[#This Row],[Tipo de Factura]])</f>
        <v>F.C.</v>
      </c>
      <c r="I121" s="1">
        <f>IF(Regcontabilizados[[#This Row],[Eliminado]]="si","",RegContabilizados2[[#This Row],[ID Cliente]])</f>
        <v>333333</v>
      </c>
      <c r="J121" s="1">
        <f>IF(Regcontabilizados[[#This Row],[Eliminado]]="si","",RegContabilizados2[[#This Row],[ESTADO DEL IVA]])</f>
        <v>0</v>
      </c>
      <c r="K121" s="3" t="str">
        <f>IF(Regcontabilizados[[#This Row],[Eliminado]]="si","",RegContabilizados2[[#This Row],[ID Proveedor]])</f>
        <v>johan</v>
      </c>
      <c r="L121" s="3">
        <f>IF(Regcontabilizados[[#This Row],[Eliminado]]="si","",RegContabilizados2[[#This Row],[Concepto]])</f>
        <v>0</v>
      </c>
      <c r="M121" s="3" t="str">
        <f>IF(Regcontabilizados[[#This Row],[Eliminado]]="si","",RegContabilizados2[[#This Row],[Categoría]])</f>
        <v>Caballero</v>
      </c>
      <c r="N121" s="3" t="str">
        <f>IF(Regcontabilizados[[#This Row],[Eliminado]]="si","",RegContabilizados2[[#This Row],[Almacen]])</f>
        <v>Principal</v>
      </c>
      <c r="O121" s="3" t="str">
        <f>IF(Regcontabilizados[[#This Row],[Eliminado]]="si","",RegContabilizados2[[#This Row],[Tipo de movimiento]])</f>
        <v>Entrada</v>
      </c>
      <c r="P121" s="1">
        <f>IF(Regcontabilizados[[#This Row],[Eliminado]]="si","",RegContabilizados2[[#This Row],[cantidad]])</f>
        <v>0</v>
      </c>
      <c r="Q121" s="1">
        <f>IF(Regcontabilizados[[#This Row],[Eliminado]]="si","",RegContabilizados2[[#This Row],[VR unitario]])</f>
        <v>0</v>
      </c>
      <c r="R121" s="1" t="str">
        <f>IF(Regcontabilizados[[#This Row],[Eliminado]]="si","",RegContabilizados2[[#This Row],[Subcuenta]])</f>
        <v/>
      </c>
      <c r="S121" s="1">
        <f>IF(Regcontabilizados[[#This Row],[Eliminado]]="si","",RegContabilizados2[[#This Row],[Debe]])</f>
        <v>0</v>
      </c>
      <c r="T121" s="1">
        <f>IF(Regcontabilizados[[#This Row],[Eliminado]]="si","",RegContabilizados2[[#This Row],[Haber]])</f>
        <v>0</v>
      </c>
      <c r="U121" s="1">
        <f>IFERROR((Regcontabilizados[[#This Row],[Debe]]-Regcontabilizados[[#This Row],[Haber]]),0)</f>
        <v>0</v>
      </c>
      <c r="V121" s="1">
        <f>IFERROR((+_xlfn.XLOOKUP(Regcontabilizados[[#This Row],[Subcuenta]],Tabla11[Cuenta],Tabla11[Descripción],0)),0)</f>
        <v>0</v>
      </c>
      <c r="W121" s="1">
        <f>IFERROR((_xlfn.XLOOKUP((VALUE(LEFT(Regcontabilizados[[#This Row],[Subcuenta]],4))),Tabla11[Cuenta],Tabla11[Descripción],0)),0)</f>
        <v>0</v>
      </c>
      <c r="X121" s="1">
        <f>IFERROR((_xlfn.XLOOKUP(Regcontabilizados[[#This Row],[Subcuenta]],Tabla11[Cuenta],Tabla11[Descripción],0)),0)</f>
        <v>0</v>
      </c>
      <c r="Y121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121" s="1" t="str">
        <f>_xlfn.XLOOKUP(Regcontabilizados[[#This Row],[Subcuenta]],Tabla11[Cuenta],Tabla11[TIPO],"")</f>
        <v/>
      </c>
      <c r="AA121" s="1" t="str">
        <f>IFERROR((Regcontabilizados[[#This Row],[Subcuenta]]&amp;" "&amp;_xlfn.XLOOKUP(Regcontabilizados[[#This Row],[Subcuenta]],Tabla11[Cuenta],Tabla11[Descripción],0)),0)</f>
        <v xml:space="preserve"> 0</v>
      </c>
      <c r="AB121" s="1">
        <f>IFERROR((VALUE(LEFT(Regcontabilizados[[#This Row],[Subcuenta]],2))&amp;" "&amp;_xlfn.XLOOKUP((VALUE(LEFT(Regcontabilizados[[#This Row],[Subcuenta]],2))),Tabla11[Cuenta],Tabla11[Descripción],0)),0)</f>
        <v>0</v>
      </c>
      <c r="AC121" s="1">
        <f>IFERROR((VALUE(LEFT(Regcontabilizados[[#This Row],[Subcuenta]],4))&amp;" "&amp;_xlfn.XLOOKUP((VALUE(LEFT(Regcontabilizados[[#This Row],[Subcuenta]],4))),Tabla11[Cuenta],Tabla11[Descripción],0)),0)</f>
        <v>0</v>
      </c>
      <c r="AD121" s="1" t="str">
        <f>IF(Regcontabilizados[[#This Row],[Eliminado]]="si","",RegContabilizados2[[#This Row],[Estado de pago]])</f>
        <v>NO PAGADO</v>
      </c>
      <c r="AE121" s="1" t="str">
        <f>IF(Regcontabilizados[[#This Row],[Eliminado]]="si","",RegContabilizados2[[#This Row],[Colum. Aux. Estado]])</f>
        <v>656565F.C.236599</v>
      </c>
      <c r="AF121" s="1">
        <f>IF(Regcontabilizados[[#This Row],[Eliminado]]="si","",RegContabilizados2[[#This Row],[Número de pago]])</f>
        <v>0</v>
      </c>
      <c r="AG121" s="1" t="str">
        <f>IF(Regcontabilizados[[#This Row],[Eliminado]]="si","",RegContabilizados2[[#This Row],[Elaborado por]])</f>
        <v>Responsable no especificado</v>
      </c>
      <c r="AH121" s="1" t="str">
        <f>IF(Regcontabilizados[[#This Row],[Eliminado]]="si","",RegContabilizados2[[#This Row],[Notas]])</f>
        <v>DE CONTADO</v>
      </c>
      <c r="AI121" s="1">
        <f>IF(Regcontabilizados[[#This Row],[Eliminado]]="si","",RegContabilizados2[[#This Row],[Método de pago]])</f>
        <v>0</v>
      </c>
      <c r="AJ121" s="1">
        <f>IF(Regcontabilizados[[#This Row],[Eliminado]]="si","",RegContabilizados2[[#This Row],[Cta. Bancaria]])</f>
        <v>0</v>
      </c>
      <c r="AO121" s="31">
        <v>45993</v>
      </c>
      <c r="AP121" s="31">
        <v>45993</v>
      </c>
      <c r="AQ121" s="3" t="s">
        <v>1226</v>
      </c>
      <c r="AR121" s="3">
        <v>236599</v>
      </c>
      <c r="AS121" s="1" t="s">
        <v>1111</v>
      </c>
      <c r="AT121" s="1">
        <v>333333</v>
      </c>
      <c r="AV121" s="3" t="s">
        <v>903</v>
      </c>
      <c r="AW121" s="3"/>
      <c r="AX121" s="3" t="s">
        <v>1000</v>
      </c>
      <c r="AY121" s="3" t="s">
        <v>1001</v>
      </c>
      <c r="AZ121" s="3" t="s">
        <v>974</v>
      </c>
      <c r="BC121" s="1" t="s">
        <v>1168</v>
      </c>
      <c r="BD121" s="1">
        <v>0</v>
      </c>
      <c r="BE121" s="1">
        <v>0</v>
      </c>
      <c r="BF121" s="1">
        <f>IFERROR((RegContabilizados2[[#This Row],[Debe]]-RegContabilizados2[[#This Row],[Haber]]),0)</f>
        <v>0</v>
      </c>
      <c r="BG121" s="1">
        <f>IFERROR((+_xlfn.XLOOKUP(RegContabilizados2[[#This Row],[Subcuenta]],Tabla11[Cuenta],Tabla11[Descripción],0)),0)</f>
        <v>0</v>
      </c>
      <c r="BH121" s="1">
        <f>IFERROR((VALUE(LEFT(RegContabilizados2[[#This Row],[Subcuenta]],2))&amp;" "&amp;_xlfn.XLOOKUP((VALUE(LEFT(RegContabilizados2[[#This Row],[Subcuenta]],2))),Tabla11[Cuenta],Tabla11[Descripción],0)),0)</f>
        <v>0</v>
      </c>
      <c r="BI121" s="1">
        <f>IFERROR((VALUE(LEFT(RegContabilizados2[[#This Row],[Subcuenta]],4))&amp;" "&amp;_xlfn.XLOOKUP((VALUE(LEFT(RegContabilizados2[[#This Row],[Subcuenta]],4))),Tabla11[Cuenta],Tabla11[Descripción],0)),0)</f>
        <v>0</v>
      </c>
      <c r="BJ121" s="1" t="str">
        <f>IFERROR((RegContabilizados2[[#This Row],[Subcuenta]]&amp;" "&amp;_xlfn.XLOOKUP(RegContabilizados2[[#This Row],[Subcuenta]],Tabla11[Cuenta],Tabla11[Descripción],0)),0)</f>
        <v xml:space="preserve"> 0</v>
      </c>
      <c r="BK121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121" s="1" t="str">
        <f>IFERROR(LEFT(RegContabilizados2[[#This Row],[Idenficador]],SEARCH("-",RegContabilizados2[[#This Row],[Idenficador]])-1),0)</f>
        <v>656565F.C.236599</v>
      </c>
      <c r="BN121" s="1" t="s">
        <v>1169</v>
      </c>
      <c r="BO121" s="1" t="s">
        <v>1220</v>
      </c>
    </row>
    <row r="122" spans="4:67">
      <c r="D122" s="31">
        <f>IF(Regcontabilizados[[#This Row],[Eliminado]]="si","",RegContabilizados2[[#This Row],[fecha Factura]])</f>
        <v>45993</v>
      </c>
      <c r="E122" s="31">
        <f>IF(Regcontabilizados[[#This Row],[Eliminado]]="si","",RegContabilizados2[[#This Row],[Fecha vencimiento]])</f>
        <v>45993</v>
      </c>
      <c r="F122" s="3" t="str">
        <f>IF(Regcontabilizados[[#This Row],[Eliminado]]="si","",RegContabilizados2[[#This Row],[Idenficador]])</f>
        <v>656565F.C.236599-7</v>
      </c>
      <c r="G122" s="3">
        <f>IF(Regcontabilizados[[#This Row],[Eliminado]]="si","",RegContabilizados2[[#This Row],[N° de factura/Pago]])</f>
        <v>236599</v>
      </c>
      <c r="H122" s="1" t="str">
        <f>IF(Regcontabilizados[[#This Row],[Eliminado]]="si","",RegContabilizados2[[#This Row],[Tipo de Factura]])</f>
        <v>F.C.</v>
      </c>
      <c r="I122" s="1">
        <f>IF(Regcontabilizados[[#This Row],[Eliminado]]="si","",RegContabilizados2[[#This Row],[ID Cliente]])</f>
        <v>333333</v>
      </c>
      <c r="J122" s="1">
        <f>IF(Regcontabilizados[[#This Row],[Eliminado]]="si","",RegContabilizados2[[#This Row],[ESTADO DEL IVA]])</f>
        <v>0</v>
      </c>
      <c r="K122" s="3" t="str">
        <f>IF(Regcontabilizados[[#This Row],[Eliminado]]="si","",RegContabilizados2[[#This Row],[ID Proveedor]])</f>
        <v>johan</v>
      </c>
      <c r="L122" s="3">
        <f>IF(Regcontabilizados[[#This Row],[Eliminado]]="si","",RegContabilizados2[[#This Row],[Concepto]])</f>
        <v>0</v>
      </c>
      <c r="M122" s="3" t="str">
        <f>IF(Regcontabilizados[[#This Row],[Eliminado]]="si","",RegContabilizados2[[#This Row],[Categoría]])</f>
        <v>Caballero</v>
      </c>
      <c r="N122" s="3" t="str">
        <f>IF(Regcontabilizados[[#This Row],[Eliminado]]="si","",RegContabilizados2[[#This Row],[Almacen]])</f>
        <v>Principal</v>
      </c>
      <c r="O122" s="3" t="str">
        <f>IF(Regcontabilizados[[#This Row],[Eliminado]]="si","",RegContabilizados2[[#This Row],[Tipo de movimiento]])</f>
        <v>Entrada</v>
      </c>
      <c r="P122" s="1">
        <f>IF(Regcontabilizados[[#This Row],[Eliminado]]="si","",RegContabilizados2[[#This Row],[cantidad]])</f>
        <v>0</v>
      </c>
      <c r="Q122" s="1">
        <f>IF(Regcontabilizados[[#This Row],[Eliminado]]="si","",RegContabilizados2[[#This Row],[VR unitario]])</f>
        <v>0</v>
      </c>
      <c r="R122" s="1" t="str">
        <f>IF(Regcontabilizados[[#This Row],[Eliminado]]="si","",RegContabilizados2[[#This Row],[Subcuenta]])</f>
        <v/>
      </c>
      <c r="S122" s="1">
        <f>IF(Regcontabilizados[[#This Row],[Eliminado]]="si","",RegContabilizados2[[#This Row],[Debe]])</f>
        <v>0</v>
      </c>
      <c r="T122" s="1">
        <f>IF(Regcontabilizados[[#This Row],[Eliminado]]="si","",RegContabilizados2[[#This Row],[Haber]])</f>
        <v>0</v>
      </c>
      <c r="U122" s="1">
        <f>IFERROR((Regcontabilizados[[#This Row],[Debe]]-Regcontabilizados[[#This Row],[Haber]]),0)</f>
        <v>0</v>
      </c>
      <c r="V122" s="1">
        <f>IFERROR((+_xlfn.XLOOKUP(Regcontabilizados[[#This Row],[Subcuenta]],Tabla11[Cuenta],Tabla11[Descripción],0)),0)</f>
        <v>0</v>
      </c>
      <c r="W122" s="1">
        <f>IFERROR((_xlfn.XLOOKUP((VALUE(LEFT(Regcontabilizados[[#This Row],[Subcuenta]],4))),Tabla11[Cuenta],Tabla11[Descripción],0)),0)</f>
        <v>0</v>
      </c>
      <c r="X122" s="1">
        <f>IFERROR((_xlfn.XLOOKUP(Regcontabilizados[[#This Row],[Subcuenta]],Tabla11[Cuenta],Tabla11[Descripción],0)),0)</f>
        <v>0</v>
      </c>
      <c r="Y122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122" s="1" t="str">
        <f>_xlfn.XLOOKUP(Regcontabilizados[[#This Row],[Subcuenta]],Tabla11[Cuenta],Tabla11[TIPO],"")</f>
        <v/>
      </c>
      <c r="AA122" s="1" t="str">
        <f>IFERROR((Regcontabilizados[[#This Row],[Subcuenta]]&amp;" "&amp;_xlfn.XLOOKUP(Regcontabilizados[[#This Row],[Subcuenta]],Tabla11[Cuenta],Tabla11[Descripción],0)),0)</f>
        <v xml:space="preserve"> 0</v>
      </c>
      <c r="AB122" s="1">
        <f>IFERROR((VALUE(LEFT(Regcontabilizados[[#This Row],[Subcuenta]],2))&amp;" "&amp;_xlfn.XLOOKUP((VALUE(LEFT(Regcontabilizados[[#This Row],[Subcuenta]],2))),Tabla11[Cuenta],Tabla11[Descripción],0)),0)</f>
        <v>0</v>
      </c>
      <c r="AC122" s="1">
        <f>IFERROR((VALUE(LEFT(Regcontabilizados[[#This Row],[Subcuenta]],4))&amp;" "&amp;_xlfn.XLOOKUP((VALUE(LEFT(Regcontabilizados[[#This Row],[Subcuenta]],4))),Tabla11[Cuenta],Tabla11[Descripción],0)),0)</f>
        <v>0</v>
      </c>
      <c r="AD122" s="1" t="str">
        <f>IF(Regcontabilizados[[#This Row],[Eliminado]]="si","",RegContabilizados2[[#This Row],[Estado de pago]])</f>
        <v>NO PAGADO</v>
      </c>
      <c r="AE122" s="1" t="str">
        <f>IF(Regcontabilizados[[#This Row],[Eliminado]]="si","",RegContabilizados2[[#This Row],[Colum. Aux. Estado]])</f>
        <v>656565F.C.236599</v>
      </c>
      <c r="AF122" s="1">
        <f>IF(Regcontabilizados[[#This Row],[Eliminado]]="si","",RegContabilizados2[[#This Row],[Número de pago]])</f>
        <v>0</v>
      </c>
      <c r="AG122" s="1" t="str">
        <f>IF(Regcontabilizados[[#This Row],[Eliminado]]="si","",RegContabilizados2[[#This Row],[Elaborado por]])</f>
        <v>Responsable no especificado</v>
      </c>
      <c r="AH122" s="1" t="str">
        <f>IF(Regcontabilizados[[#This Row],[Eliminado]]="si","",RegContabilizados2[[#This Row],[Notas]])</f>
        <v>DE CONTADO</v>
      </c>
      <c r="AI122" s="1">
        <f>IF(Regcontabilizados[[#This Row],[Eliminado]]="si","",RegContabilizados2[[#This Row],[Método de pago]])</f>
        <v>0</v>
      </c>
      <c r="AJ122" s="1">
        <f>IF(Regcontabilizados[[#This Row],[Eliminado]]="si","",RegContabilizados2[[#This Row],[Cta. Bancaria]])</f>
        <v>0</v>
      </c>
      <c r="AO122" s="31">
        <v>45993</v>
      </c>
      <c r="AP122" s="31">
        <v>45993</v>
      </c>
      <c r="AQ122" s="3" t="s">
        <v>1227</v>
      </c>
      <c r="AR122" s="3">
        <v>236599</v>
      </c>
      <c r="AS122" s="1" t="s">
        <v>1111</v>
      </c>
      <c r="AT122" s="1">
        <v>333333</v>
      </c>
      <c r="AV122" s="3" t="s">
        <v>903</v>
      </c>
      <c r="AW122" s="3"/>
      <c r="AX122" s="3" t="s">
        <v>1000</v>
      </c>
      <c r="AY122" s="3" t="s">
        <v>1001</v>
      </c>
      <c r="AZ122" s="3" t="s">
        <v>974</v>
      </c>
      <c r="BC122" s="1" t="s">
        <v>1168</v>
      </c>
      <c r="BD122" s="1">
        <v>0</v>
      </c>
      <c r="BE122" s="1">
        <v>0</v>
      </c>
      <c r="BF122" s="1">
        <f>IFERROR((RegContabilizados2[[#This Row],[Debe]]-RegContabilizados2[[#This Row],[Haber]]),0)</f>
        <v>0</v>
      </c>
      <c r="BG122" s="1">
        <f>IFERROR((+_xlfn.XLOOKUP(RegContabilizados2[[#This Row],[Subcuenta]],Tabla11[Cuenta],Tabla11[Descripción],0)),0)</f>
        <v>0</v>
      </c>
      <c r="BH122" s="1">
        <f>IFERROR((VALUE(LEFT(RegContabilizados2[[#This Row],[Subcuenta]],2))&amp;" "&amp;_xlfn.XLOOKUP((VALUE(LEFT(RegContabilizados2[[#This Row],[Subcuenta]],2))),Tabla11[Cuenta],Tabla11[Descripción],0)),0)</f>
        <v>0</v>
      </c>
      <c r="BI122" s="1">
        <f>IFERROR((VALUE(LEFT(RegContabilizados2[[#This Row],[Subcuenta]],4))&amp;" "&amp;_xlfn.XLOOKUP((VALUE(LEFT(RegContabilizados2[[#This Row],[Subcuenta]],4))),Tabla11[Cuenta],Tabla11[Descripción],0)),0)</f>
        <v>0</v>
      </c>
      <c r="BJ122" s="1" t="str">
        <f>IFERROR((RegContabilizados2[[#This Row],[Subcuenta]]&amp;" "&amp;_xlfn.XLOOKUP(RegContabilizados2[[#This Row],[Subcuenta]],Tabla11[Cuenta],Tabla11[Descripción],0)),0)</f>
        <v xml:space="preserve"> 0</v>
      </c>
      <c r="BK122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122" s="1" t="str">
        <f>IFERROR(LEFT(RegContabilizados2[[#This Row],[Idenficador]],SEARCH("-",RegContabilizados2[[#This Row],[Idenficador]])-1),0)</f>
        <v>656565F.C.236599</v>
      </c>
      <c r="BN122" s="1" t="s">
        <v>1169</v>
      </c>
      <c r="BO122" s="1" t="s">
        <v>1220</v>
      </c>
    </row>
    <row r="123" spans="4:67">
      <c r="D123" s="31">
        <f>IF(Regcontabilizados[[#This Row],[Eliminado]]="si","",RegContabilizados2[[#This Row],[fecha Factura]])</f>
        <v>45993</v>
      </c>
      <c r="E123" s="31">
        <f>IF(Regcontabilizados[[#This Row],[Eliminado]]="si","",RegContabilizados2[[#This Row],[Fecha vencimiento]])</f>
        <v>45993</v>
      </c>
      <c r="F123" s="3" t="str">
        <f>IF(Regcontabilizados[[#This Row],[Eliminado]]="si","",RegContabilizados2[[#This Row],[Idenficador]])</f>
        <v>656565F.C.236599-8</v>
      </c>
      <c r="G123" s="3">
        <f>IF(Regcontabilizados[[#This Row],[Eliminado]]="si","",RegContabilizados2[[#This Row],[N° de factura/Pago]])</f>
        <v>236599</v>
      </c>
      <c r="H123" s="1" t="str">
        <f>IF(Regcontabilizados[[#This Row],[Eliminado]]="si","",RegContabilizados2[[#This Row],[Tipo de Factura]])</f>
        <v>F.C.</v>
      </c>
      <c r="I123" s="1">
        <f>IF(Regcontabilizados[[#This Row],[Eliminado]]="si","",RegContabilizados2[[#This Row],[ID Cliente]])</f>
        <v>333333</v>
      </c>
      <c r="J123" s="1">
        <f>IF(Regcontabilizados[[#This Row],[Eliminado]]="si","",RegContabilizados2[[#This Row],[ESTADO DEL IVA]])</f>
        <v>0</v>
      </c>
      <c r="K123" s="3" t="str">
        <f>IF(Regcontabilizados[[#This Row],[Eliminado]]="si","",RegContabilizados2[[#This Row],[ID Proveedor]])</f>
        <v>johan</v>
      </c>
      <c r="L123" s="3">
        <f>IF(Regcontabilizados[[#This Row],[Eliminado]]="si","",RegContabilizados2[[#This Row],[Concepto]])</f>
        <v>0</v>
      </c>
      <c r="M123" s="3" t="str">
        <f>IF(Regcontabilizados[[#This Row],[Eliminado]]="si","",RegContabilizados2[[#This Row],[Categoría]])</f>
        <v>Caballero</v>
      </c>
      <c r="N123" s="3" t="str">
        <f>IF(Regcontabilizados[[#This Row],[Eliminado]]="si","",RegContabilizados2[[#This Row],[Almacen]])</f>
        <v>Principal</v>
      </c>
      <c r="O123" s="3" t="str">
        <f>IF(Regcontabilizados[[#This Row],[Eliminado]]="si","",RegContabilizados2[[#This Row],[Tipo de movimiento]])</f>
        <v>Entrada</v>
      </c>
      <c r="P123" s="1">
        <f>IF(Regcontabilizados[[#This Row],[Eliminado]]="si","",RegContabilizados2[[#This Row],[cantidad]])</f>
        <v>0</v>
      </c>
      <c r="Q123" s="1">
        <f>IF(Regcontabilizados[[#This Row],[Eliminado]]="si","",RegContabilizados2[[#This Row],[VR unitario]])</f>
        <v>0</v>
      </c>
      <c r="R123" s="1" t="str">
        <f>IF(Regcontabilizados[[#This Row],[Eliminado]]="si","",RegContabilizados2[[#This Row],[Subcuenta]])</f>
        <v/>
      </c>
      <c r="S123" s="1">
        <f>IF(Regcontabilizados[[#This Row],[Eliminado]]="si","",RegContabilizados2[[#This Row],[Debe]])</f>
        <v>0</v>
      </c>
      <c r="T123" s="1">
        <f>IF(Regcontabilizados[[#This Row],[Eliminado]]="si","",RegContabilizados2[[#This Row],[Haber]])</f>
        <v>0</v>
      </c>
      <c r="U123" s="1">
        <f>IFERROR((Regcontabilizados[[#This Row],[Debe]]-Regcontabilizados[[#This Row],[Haber]]),0)</f>
        <v>0</v>
      </c>
      <c r="V123" s="1">
        <f>IFERROR((+_xlfn.XLOOKUP(Regcontabilizados[[#This Row],[Subcuenta]],Tabla11[Cuenta],Tabla11[Descripción],0)),0)</f>
        <v>0</v>
      </c>
      <c r="W123" s="1">
        <f>IFERROR((_xlfn.XLOOKUP((VALUE(LEFT(Regcontabilizados[[#This Row],[Subcuenta]],4))),Tabla11[Cuenta],Tabla11[Descripción],0)),0)</f>
        <v>0</v>
      </c>
      <c r="X123" s="1">
        <f>IFERROR((_xlfn.XLOOKUP(Regcontabilizados[[#This Row],[Subcuenta]],Tabla11[Cuenta],Tabla11[Descripción],0)),0)</f>
        <v>0</v>
      </c>
      <c r="Y123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123" s="1" t="str">
        <f>_xlfn.XLOOKUP(Regcontabilizados[[#This Row],[Subcuenta]],Tabla11[Cuenta],Tabla11[TIPO],"")</f>
        <v/>
      </c>
      <c r="AA123" s="1" t="str">
        <f>IFERROR((Regcontabilizados[[#This Row],[Subcuenta]]&amp;" "&amp;_xlfn.XLOOKUP(Regcontabilizados[[#This Row],[Subcuenta]],Tabla11[Cuenta],Tabla11[Descripción],0)),0)</f>
        <v xml:space="preserve"> 0</v>
      </c>
      <c r="AB123" s="1">
        <f>IFERROR((VALUE(LEFT(Regcontabilizados[[#This Row],[Subcuenta]],2))&amp;" "&amp;_xlfn.XLOOKUP((VALUE(LEFT(Regcontabilizados[[#This Row],[Subcuenta]],2))),Tabla11[Cuenta],Tabla11[Descripción],0)),0)</f>
        <v>0</v>
      </c>
      <c r="AC123" s="1">
        <f>IFERROR((VALUE(LEFT(Regcontabilizados[[#This Row],[Subcuenta]],4))&amp;" "&amp;_xlfn.XLOOKUP((VALUE(LEFT(Regcontabilizados[[#This Row],[Subcuenta]],4))),Tabla11[Cuenta],Tabla11[Descripción],0)),0)</f>
        <v>0</v>
      </c>
      <c r="AD123" s="1" t="str">
        <f>IF(Regcontabilizados[[#This Row],[Eliminado]]="si","",RegContabilizados2[[#This Row],[Estado de pago]])</f>
        <v>NO PAGADO</v>
      </c>
      <c r="AE123" s="1" t="str">
        <f>IF(Regcontabilizados[[#This Row],[Eliminado]]="si","",RegContabilizados2[[#This Row],[Colum. Aux. Estado]])</f>
        <v>656565F.C.236599</v>
      </c>
      <c r="AF123" s="1">
        <f>IF(Regcontabilizados[[#This Row],[Eliminado]]="si","",RegContabilizados2[[#This Row],[Número de pago]])</f>
        <v>0</v>
      </c>
      <c r="AG123" s="1" t="str">
        <f>IF(Regcontabilizados[[#This Row],[Eliminado]]="si","",RegContabilizados2[[#This Row],[Elaborado por]])</f>
        <v>Responsable no especificado</v>
      </c>
      <c r="AH123" s="1" t="str">
        <f>IF(Regcontabilizados[[#This Row],[Eliminado]]="si","",RegContabilizados2[[#This Row],[Notas]])</f>
        <v>DE CONTADO</v>
      </c>
      <c r="AI123" s="1">
        <f>IF(Regcontabilizados[[#This Row],[Eliminado]]="si","",RegContabilizados2[[#This Row],[Método de pago]])</f>
        <v>0</v>
      </c>
      <c r="AJ123" s="1">
        <f>IF(Regcontabilizados[[#This Row],[Eliminado]]="si","",RegContabilizados2[[#This Row],[Cta. Bancaria]])</f>
        <v>0</v>
      </c>
      <c r="AO123" s="31">
        <v>45993</v>
      </c>
      <c r="AP123" s="31">
        <v>45993</v>
      </c>
      <c r="AQ123" s="3" t="s">
        <v>1228</v>
      </c>
      <c r="AR123" s="3">
        <v>236599</v>
      </c>
      <c r="AS123" s="1" t="s">
        <v>1111</v>
      </c>
      <c r="AT123" s="1">
        <v>333333</v>
      </c>
      <c r="AV123" s="3" t="s">
        <v>903</v>
      </c>
      <c r="AW123" s="3"/>
      <c r="AX123" s="3" t="s">
        <v>1000</v>
      </c>
      <c r="AY123" s="3" t="s">
        <v>1001</v>
      </c>
      <c r="AZ123" s="3" t="s">
        <v>974</v>
      </c>
      <c r="BC123" s="1" t="s">
        <v>1168</v>
      </c>
      <c r="BD123" s="1">
        <v>0</v>
      </c>
      <c r="BE123" s="1">
        <v>0</v>
      </c>
      <c r="BF123" s="1">
        <f>IFERROR((RegContabilizados2[[#This Row],[Debe]]-RegContabilizados2[[#This Row],[Haber]]),0)</f>
        <v>0</v>
      </c>
      <c r="BG123" s="1">
        <f>IFERROR((+_xlfn.XLOOKUP(RegContabilizados2[[#This Row],[Subcuenta]],Tabla11[Cuenta],Tabla11[Descripción],0)),0)</f>
        <v>0</v>
      </c>
      <c r="BH123" s="1">
        <f>IFERROR((VALUE(LEFT(RegContabilizados2[[#This Row],[Subcuenta]],2))&amp;" "&amp;_xlfn.XLOOKUP((VALUE(LEFT(RegContabilizados2[[#This Row],[Subcuenta]],2))),Tabla11[Cuenta],Tabla11[Descripción],0)),0)</f>
        <v>0</v>
      </c>
      <c r="BI123" s="1">
        <f>IFERROR((VALUE(LEFT(RegContabilizados2[[#This Row],[Subcuenta]],4))&amp;" "&amp;_xlfn.XLOOKUP((VALUE(LEFT(RegContabilizados2[[#This Row],[Subcuenta]],4))),Tabla11[Cuenta],Tabla11[Descripción],0)),0)</f>
        <v>0</v>
      </c>
      <c r="BJ123" s="1" t="str">
        <f>IFERROR((RegContabilizados2[[#This Row],[Subcuenta]]&amp;" "&amp;_xlfn.XLOOKUP(RegContabilizados2[[#This Row],[Subcuenta]],Tabla11[Cuenta],Tabla11[Descripción],0)),0)</f>
        <v xml:space="preserve"> 0</v>
      </c>
      <c r="BK123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123" s="1" t="str">
        <f>IFERROR(LEFT(RegContabilizados2[[#This Row],[Idenficador]],SEARCH("-",RegContabilizados2[[#This Row],[Idenficador]])-1),0)</f>
        <v>656565F.C.236599</v>
      </c>
      <c r="BN123" s="1" t="s">
        <v>1169</v>
      </c>
      <c r="BO123" s="1" t="s">
        <v>1220</v>
      </c>
    </row>
    <row r="124" spans="4:67">
      <c r="D124" s="31">
        <f>IF(Regcontabilizados[[#This Row],[Eliminado]]="si","",RegContabilizados2[[#This Row],[fecha Factura]])</f>
        <v>45993</v>
      </c>
      <c r="E124" s="31">
        <f>IF(Regcontabilizados[[#This Row],[Eliminado]]="si","",RegContabilizados2[[#This Row],[Fecha vencimiento]])</f>
        <v>45993</v>
      </c>
      <c r="F124" s="3" t="str">
        <f>IF(Regcontabilizados[[#This Row],[Eliminado]]="si","",RegContabilizados2[[#This Row],[Idenficador]])</f>
        <v>656565F.C.236599-9</v>
      </c>
      <c r="G124" s="3">
        <f>IF(Regcontabilizados[[#This Row],[Eliminado]]="si","",RegContabilizados2[[#This Row],[N° de factura/Pago]])</f>
        <v>236599</v>
      </c>
      <c r="H124" s="1" t="str">
        <f>IF(Regcontabilizados[[#This Row],[Eliminado]]="si","",RegContabilizados2[[#This Row],[Tipo de Factura]])</f>
        <v>F.C.</v>
      </c>
      <c r="I124" s="1">
        <f>IF(Regcontabilizados[[#This Row],[Eliminado]]="si","",RegContabilizados2[[#This Row],[ID Cliente]])</f>
        <v>333333</v>
      </c>
      <c r="J124" s="1">
        <f>IF(Regcontabilizados[[#This Row],[Eliminado]]="si","",RegContabilizados2[[#This Row],[ESTADO DEL IVA]])</f>
        <v>0</v>
      </c>
      <c r="K124" s="3" t="str">
        <f>IF(Regcontabilizados[[#This Row],[Eliminado]]="si","",RegContabilizados2[[#This Row],[ID Proveedor]])</f>
        <v>johan</v>
      </c>
      <c r="L124" s="3">
        <f>IF(Regcontabilizados[[#This Row],[Eliminado]]="si","",RegContabilizados2[[#This Row],[Concepto]])</f>
        <v>0</v>
      </c>
      <c r="M124" s="3" t="str">
        <f>IF(Regcontabilizados[[#This Row],[Eliminado]]="si","",RegContabilizados2[[#This Row],[Categoría]])</f>
        <v>Caballero</v>
      </c>
      <c r="N124" s="3" t="str">
        <f>IF(Regcontabilizados[[#This Row],[Eliminado]]="si","",RegContabilizados2[[#This Row],[Almacen]])</f>
        <v>Principal</v>
      </c>
      <c r="O124" s="3" t="str">
        <f>IF(Regcontabilizados[[#This Row],[Eliminado]]="si","",RegContabilizados2[[#This Row],[Tipo de movimiento]])</f>
        <v>Entrada</v>
      </c>
      <c r="P124" s="1">
        <f>IF(Regcontabilizados[[#This Row],[Eliminado]]="si","",RegContabilizados2[[#This Row],[cantidad]])</f>
        <v>0</v>
      </c>
      <c r="Q124" s="1">
        <f>IF(Regcontabilizados[[#This Row],[Eliminado]]="si","",RegContabilizados2[[#This Row],[VR unitario]])</f>
        <v>0</v>
      </c>
      <c r="R124" s="1" t="str">
        <f>IF(Regcontabilizados[[#This Row],[Eliminado]]="si","",RegContabilizados2[[#This Row],[Subcuenta]])</f>
        <v/>
      </c>
      <c r="S124" s="1">
        <f>IF(Regcontabilizados[[#This Row],[Eliminado]]="si","",RegContabilizados2[[#This Row],[Debe]])</f>
        <v>0</v>
      </c>
      <c r="T124" s="1">
        <f>IF(Regcontabilizados[[#This Row],[Eliminado]]="si","",RegContabilizados2[[#This Row],[Haber]])</f>
        <v>0</v>
      </c>
      <c r="U124" s="1">
        <f>IFERROR((Regcontabilizados[[#This Row],[Debe]]-Regcontabilizados[[#This Row],[Haber]]),0)</f>
        <v>0</v>
      </c>
      <c r="V124" s="1">
        <f>IFERROR((+_xlfn.XLOOKUP(Regcontabilizados[[#This Row],[Subcuenta]],Tabla11[Cuenta],Tabla11[Descripción],0)),0)</f>
        <v>0</v>
      </c>
      <c r="W124" s="1">
        <f>IFERROR((_xlfn.XLOOKUP((VALUE(LEFT(Regcontabilizados[[#This Row],[Subcuenta]],4))),Tabla11[Cuenta],Tabla11[Descripción],0)),0)</f>
        <v>0</v>
      </c>
      <c r="X124" s="1">
        <f>IFERROR((_xlfn.XLOOKUP(Regcontabilizados[[#This Row],[Subcuenta]],Tabla11[Cuenta],Tabla11[Descripción],0)),0)</f>
        <v>0</v>
      </c>
      <c r="Y124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124" s="1" t="str">
        <f>_xlfn.XLOOKUP(Regcontabilizados[[#This Row],[Subcuenta]],Tabla11[Cuenta],Tabla11[TIPO],"")</f>
        <v/>
      </c>
      <c r="AA124" s="1" t="str">
        <f>IFERROR((Regcontabilizados[[#This Row],[Subcuenta]]&amp;" "&amp;_xlfn.XLOOKUP(Regcontabilizados[[#This Row],[Subcuenta]],Tabla11[Cuenta],Tabla11[Descripción],0)),0)</f>
        <v xml:space="preserve"> 0</v>
      </c>
      <c r="AB124" s="1">
        <f>IFERROR((VALUE(LEFT(Regcontabilizados[[#This Row],[Subcuenta]],2))&amp;" "&amp;_xlfn.XLOOKUP((VALUE(LEFT(Regcontabilizados[[#This Row],[Subcuenta]],2))),Tabla11[Cuenta],Tabla11[Descripción],0)),0)</f>
        <v>0</v>
      </c>
      <c r="AC124" s="1">
        <f>IFERROR((VALUE(LEFT(Regcontabilizados[[#This Row],[Subcuenta]],4))&amp;" "&amp;_xlfn.XLOOKUP((VALUE(LEFT(Regcontabilizados[[#This Row],[Subcuenta]],4))),Tabla11[Cuenta],Tabla11[Descripción],0)),0)</f>
        <v>0</v>
      </c>
      <c r="AD124" s="1" t="str">
        <f>IF(Regcontabilizados[[#This Row],[Eliminado]]="si","",RegContabilizados2[[#This Row],[Estado de pago]])</f>
        <v>NO PAGADO</v>
      </c>
      <c r="AE124" s="1" t="str">
        <f>IF(Regcontabilizados[[#This Row],[Eliminado]]="si","",RegContabilizados2[[#This Row],[Colum. Aux. Estado]])</f>
        <v>656565F.C.236599</v>
      </c>
      <c r="AF124" s="1">
        <f>IF(Regcontabilizados[[#This Row],[Eliminado]]="si","",RegContabilizados2[[#This Row],[Número de pago]])</f>
        <v>0</v>
      </c>
      <c r="AG124" s="1" t="str">
        <f>IF(Regcontabilizados[[#This Row],[Eliminado]]="si","",RegContabilizados2[[#This Row],[Elaborado por]])</f>
        <v>Responsable no especificado</v>
      </c>
      <c r="AH124" s="1" t="str">
        <f>IF(Regcontabilizados[[#This Row],[Eliminado]]="si","",RegContabilizados2[[#This Row],[Notas]])</f>
        <v>DE CONTADO</v>
      </c>
      <c r="AI124" s="1">
        <f>IF(Regcontabilizados[[#This Row],[Eliminado]]="si","",RegContabilizados2[[#This Row],[Método de pago]])</f>
        <v>0</v>
      </c>
      <c r="AJ124" s="1">
        <f>IF(Regcontabilizados[[#This Row],[Eliminado]]="si","",RegContabilizados2[[#This Row],[Cta. Bancaria]])</f>
        <v>0</v>
      </c>
      <c r="AO124" s="31">
        <v>45993</v>
      </c>
      <c r="AP124" s="31">
        <v>45993</v>
      </c>
      <c r="AQ124" s="3" t="s">
        <v>1229</v>
      </c>
      <c r="AR124" s="3">
        <v>236599</v>
      </c>
      <c r="AS124" s="1" t="s">
        <v>1111</v>
      </c>
      <c r="AT124" s="1">
        <v>333333</v>
      </c>
      <c r="AV124" s="3" t="s">
        <v>903</v>
      </c>
      <c r="AW124" s="3"/>
      <c r="AX124" s="3" t="s">
        <v>1000</v>
      </c>
      <c r="AY124" s="3" t="s">
        <v>1001</v>
      </c>
      <c r="AZ124" s="3" t="s">
        <v>974</v>
      </c>
      <c r="BC124" s="1" t="s">
        <v>1168</v>
      </c>
      <c r="BD124" s="1">
        <v>0</v>
      </c>
      <c r="BE124" s="1">
        <v>0</v>
      </c>
      <c r="BF124" s="1">
        <f>IFERROR((RegContabilizados2[[#This Row],[Debe]]-RegContabilizados2[[#This Row],[Haber]]),0)</f>
        <v>0</v>
      </c>
      <c r="BG124" s="1">
        <f>IFERROR((+_xlfn.XLOOKUP(RegContabilizados2[[#This Row],[Subcuenta]],Tabla11[Cuenta],Tabla11[Descripción],0)),0)</f>
        <v>0</v>
      </c>
      <c r="BH124" s="1">
        <f>IFERROR((VALUE(LEFT(RegContabilizados2[[#This Row],[Subcuenta]],2))&amp;" "&amp;_xlfn.XLOOKUP((VALUE(LEFT(RegContabilizados2[[#This Row],[Subcuenta]],2))),Tabla11[Cuenta],Tabla11[Descripción],0)),0)</f>
        <v>0</v>
      </c>
      <c r="BI124" s="1">
        <f>IFERROR((VALUE(LEFT(RegContabilizados2[[#This Row],[Subcuenta]],4))&amp;" "&amp;_xlfn.XLOOKUP((VALUE(LEFT(RegContabilizados2[[#This Row],[Subcuenta]],4))),Tabla11[Cuenta],Tabla11[Descripción],0)),0)</f>
        <v>0</v>
      </c>
      <c r="BJ124" s="1" t="str">
        <f>IFERROR((RegContabilizados2[[#This Row],[Subcuenta]]&amp;" "&amp;_xlfn.XLOOKUP(RegContabilizados2[[#This Row],[Subcuenta]],Tabla11[Cuenta],Tabla11[Descripción],0)),0)</f>
        <v xml:space="preserve"> 0</v>
      </c>
      <c r="BK124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124" s="1" t="str">
        <f>IFERROR(LEFT(RegContabilizados2[[#This Row],[Idenficador]],SEARCH("-",RegContabilizados2[[#This Row],[Idenficador]])-1),0)</f>
        <v>656565F.C.236599</v>
      </c>
      <c r="BN124" s="1" t="s">
        <v>1169</v>
      </c>
      <c r="BO124" s="1" t="s">
        <v>1220</v>
      </c>
    </row>
    <row r="125" spans="4:67">
      <c r="D125" s="31">
        <f>IF(Regcontabilizados[[#This Row],[Eliminado]]="si","",RegContabilizados2[[#This Row],[fecha Factura]])</f>
        <v>45993</v>
      </c>
      <c r="E125" s="31">
        <f>IF(Regcontabilizados[[#This Row],[Eliminado]]="si","",RegContabilizados2[[#This Row],[Fecha vencimiento]])</f>
        <v>45993</v>
      </c>
      <c r="F125" s="3" t="str">
        <f>IF(Regcontabilizados[[#This Row],[Eliminado]]="si","",RegContabilizados2[[#This Row],[Idenficador]])</f>
        <v>656565F.C.236599-10</v>
      </c>
      <c r="G125" s="3">
        <f>IF(Regcontabilizados[[#This Row],[Eliminado]]="si","",RegContabilizados2[[#This Row],[N° de factura/Pago]])</f>
        <v>236599</v>
      </c>
      <c r="H125" s="1" t="str">
        <f>IF(Regcontabilizados[[#This Row],[Eliminado]]="si","",RegContabilizados2[[#This Row],[Tipo de Factura]])</f>
        <v>F.C.</v>
      </c>
      <c r="I125" s="1">
        <f>IF(Regcontabilizados[[#This Row],[Eliminado]]="si","",RegContabilizados2[[#This Row],[ID Cliente]])</f>
        <v>333333</v>
      </c>
      <c r="J125" s="1">
        <f>IF(Regcontabilizados[[#This Row],[Eliminado]]="si","",RegContabilizados2[[#This Row],[ESTADO DEL IVA]])</f>
        <v>0</v>
      </c>
      <c r="K125" s="3" t="str">
        <f>IF(Regcontabilizados[[#This Row],[Eliminado]]="si","",RegContabilizados2[[#This Row],[ID Proveedor]])</f>
        <v>johan</v>
      </c>
      <c r="L125" s="3">
        <f>IF(Regcontabilizados[[#This Row],[Eliminado]]="si","",RegContabilizados2[[#This Row],[Concepto]])</f>
        <v>0</v>
      </c>
      <c r="M125" s="3" t="str">
        <f>IF(Regcontabilizados[[#This Row],[Eliminado]]="si","",RegContabilizados2[[#This Row],[Categoría]])</f>
        <v>Caballero</v>
      </c>
      <c r="N125" s="3" t="str">
        <f>IF(Regcontabilizados[[#This Row],[Eliminado]]="si","",RegContabilizados2[[#This Row],[Almacen]])</f>
        <v>Principal</v>
      </c>
      <c r="O125" s="3" t="str">
        <f>IF(Regcontabilizados[[#This Row],[Eliminado]]="si","",RegContabilizados2[[#This Row],[Tipo de movimiento]])</f>
        <v>Entrada</v>
      </c>
      <c r="P125" s="1">
        <f>IF(Regcontabilizados[[#This Row],[Eliminado]]="si","",RegContabilizados2[[#This Row],[cantidad]])</f>
        <v>0</v>
      </c>
      <c r="Q125" s="1">
        <f>IF(Regcontabilizados[[#This Row],[Eliminado]]="si","",RegContabilizados2[[#This Row],[VR unitario]])</f>
        <v>0</v>
      </c>
      <c r="R125" s="1" t="str">
        <f>IF(Regcontabilizados[[#This Row],[Eliminado]]="si","",RegContabilizados2[[#This Row],[Subcuenta]])</f>
        <v/>
      </c>
      <c r="S125" s="1">
        <f>IF(Regcontabilizados[[#This Row],[Eliminado]]="si","",RegContabilizados2[[#This Row],[Debe]])</f>
        <v>0</v>
      </c>
      <c r="T125" s="1">
        <f>IF(Regcontabilizados[[#This Row],[Eliminado]]="si","",RegContabilizados2[[#This Row],[Haber]])</f>
        <v>0</v>
      </c>
      <c r="U125" s="1">
        <f>IFERROR((Regcontabilizados[[#This Row],[Debe]]-Regcontabilizados[[#This Row],[Haber]]),0)</f>
        <v>0</v>
      </c>
      <c r="V125" s="1">
        <f>IFERROR((+_xlfn.XLOOKUP(Regcontabilizados[[#This Row],[Subcuenta]],Tabla11[Cuenta],Tabla11[Descripción],0)),0)</f>
        <v>0</v>
      </c>
      <c r="W125" s="1">
        <f>IFERROR((_xlfn.XLOOKUP((VALUE(LEFT(Regcontabilizados[[#This Row],[Subcuenta]],4))),Tabla11[Cuenta],Tabla11[Descripción],0)),0)</f>
        <v>0</v>
      </c>
      <c r="X125" s="1">
        <f>IFERROR((_xlfn.XLOOKUP(Regcontabilizados[[#This Row],[Subcuenta]],Tabla11[Cuenta],Tabla11[Descripción],0)),0)</f>
        <v>0</v>
      </c>
      <c r="Y125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125" s="1" t="str">
        <f>_xlfn.XLOOKUP(Regcontabilizados[[#This Row],[Subcuenta]],Tabla11[Cuenta],Tabla11[TIPO],"")</f>
        <v/>
      </c>
      <c r="AA125" s="1" t="str">
        <f>IFERROR((Regcontabilizados[[#This Row],[Subcuenta]]&amp;" "&amp;_xlfn.XLOOKUP(Regcontabilizados[[#This Row],[Subcuenta]],Tabla11[Cuenta],Tabla11[Descripción],0)),0)</f>
        <v xml:space="preserve"> 0</v>
      </c>
      <c r="AB125" s="1">
        <f>IFERROR((VALUE(LEFT(Regcontabilizados[[#This Row],[Subcuenta]],2))&amp;" "&amp;_xlfn.XLOOKUP((VALUE(LEFT(Regcontabilizados[[#This Row],[Subcuenta]],2))),Tabla11[Cuenta],Tabla11[Descripción],0)),0)</f>
        <v>0</v>
      </c>
      <c r="AC125" s="1">
        <f>IFERROR((VALUE(LEFT(Regcontabilizados[[#This Row],[Subcuenta]],4))&amp;" "&amp;_xlfn.XLOOKUP((VALUE(LEFT(Regcontabilizados[[#This Row],[Subcuenta]],4))),Tabla11[Cuenta],Tabla11[Descripción],0)),0)</f>
        <v>0</v>
      </c>
      <c r="AD125" s="1" t="str">
        <f>IF(Regcontabilizados[[#This Row],[Eliminado]]="si","",RegContabilizados2[[#This Row],[Estado de pago]])</f>
        <v>NO PAGADO</v>
      </c>
      <c r="AE125" s="1" t="str">
        <f>IF(Regcontabilizados[[#This Row],[Eliminado]]="si","",RegContabilizados2[[#This Row],[Colum. Aux. Estado]])</f>
        <v>656565F.C.236599</v>
      </c>
      <c r="AF125" s="1">
        <f>IF(Regcontabilizados[[#This Row],[Eliminado]]="si","",RegContabilizados2[[#This Row],[Número de pago]])</f>
        <v>0</v>
      </c>
      <c r="AG125" s="1" t="str">
        <f>IF(Regcontabilizados[[#This Row],[Eliminado]]="si","",RegContabilizados2[[#This Row],[Elaborado por]])</f>
        <v>Responsable no especificado</v>
      </c>
      <c r="AH125" s="1" t="str">
        <f>IF(Regcontabilizados[[#This Row],[Eliminado]]="si","",RegContabilizados2[[#This Row],[Notas]])</f>
        <v>DE CONTADO</v>
      </c>
      <c r="AI125" s="1">
        <f>IF(Regcontabilizados[[#This Row],[Eliminado]]="si","",RegContabilizados2[[#This Row],[Método de pago]])</f>
        <v>0</v>
      </c>
      <c r="AJ125" s="1">
        <f>IF(Regcontabilizados[[#This Row],[Eliminado]]="si","",RegContabilizados2[[#This Row],[Cta. Bancaria]])</f>
        <v>0</v>
      </c>
      <c r="AO125" s="31">
        <v>45993</v>
      </c>
      <c r="AP125" s="31">
        <v>45993</v>
      </c>
      <c r="AQ125" s="3" t="s">
        <v>1230</v>
      </c>
      <c r="AR125" s="3">
        <v>236599</v>
      </c>
      <c r="AS125" s="1" t="s">
        <v>1111</v>
      </c>
      <c r="AT125" s="1">
        <v>333333</v>
      </c>
      <c r="AV125" s="3" t="s">
        <v>903</v>
      </c>
      <c r="AW125" s="3"/>
      <c r="AX125" s="3" t="s">
        <v>1000</v>
      </c>
      <c r="AY125" s="3" t="s">
        <v>1001</v>
      </c>
      <c r="AZ125" s="3" t="s">
        <v>974</v>
      </c>
      <c r="BC125" s="1" t="s">
        <v>1168</v>
      </c>
      <c r="BD125" s="1">
        <v>0</v>
      </c>
      <c r="BE125" s="1">
        <v>0</v>
      </c>
      <c r="BF125" s="1">
        <f>IFERROR((RegContabilizados2[[#This Row],[Debe]]-RegContabilizados2[[#This Row],[Haber]]),0)</f>
        <v>0</v>
      </c>
      <c r="BG125" s="1">
        <f>IFERROR((+_xlfn.XLOOKUP(RegContabilizados2[[#This Row],[Subcuenta]],Tabla11[Cuenta],Tabla11[Descripción],0)),0)</f>
        <v>0</v>
      </c>
      <c r="BH125" s="1">
        <f>IFERROR((VALUE(LEFT(RegContabilizados2[[#This Row],[Subcuenta]],2))&amp;" "&amp;_xlfn.XLOOKUP((VALUE(LEFT(RegContabilizados2[[#This Row],[Subcuenta]],2))),Tabla11[Cuenta],Tabla11[Descripción],0)),0)</f>
        <v>0</v>
      </c>
      <c r="BI125" s="1">
        <f>IFERROR((VALUE(LEFT(RegContabilizados2[[#This Row],[Subcuenta]],4))&amp;" "&amp;_xlfn.XLOOKUP((VALUE(LEFT(RegContabilizados2[[#This Row],[Subcuenta]],4))),Tabla11[Cuenta],Tabla11[Descripción],0)),0)</f>
        <v>0</v>
      </c>
      <c r="BJ125" s="1" t="str">
        <f>IFERROR((RegContabilizados2[[#This Row],[Subcuenta]]&amp;" "&amp;_xlfn.XLOOKUP(RegContabilizados2[[#This Row],[Subcuenta]],Tabla11[Cuenta],Tabla11[Descripción],0)),0)</f>
        <v xml:space="preserve"> 0</v>
      </c>
      <c r="BK125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125" s="1" t="str">
        <f>IFERROR(LEFT(RegContabilizados2[[#This Row],[Idenficador]],SEARCH("-",RegContabilizados2[[#This Row],[Idenficador]])-1),0)</f>
        <v>656565F.C.236599</v>
      </c>
      <c r="BN125" s="1" t="s">
        <v>1169</v>
      </c>
      <c r="BO125" s="1" t="s">
        <v>1220</v>
      </c>
    </row>
    <row r="126" spans="4:67">
      <c r="D126" s="31">
        <f>IF(Regcontabilizados[[#This Row],[Eliminado]]="si","",RegContabilizados2[[#This Row],[fecha Factura]])</f>
        <v>45993</v>
      </c>
      <c r="E126" s="31">
        <f>IF(Regcontabilizados[[#This Row],[Eliminado]]="si","",RegContabilizados2[[#This Row],[Fecha vencimiento]])</f>
        <v>45993</v>
      </c>
      <c r="F126" s="3" t="str">
        <f>IF(Regcontabilizados[[#This Row],[Eliminado]]="si","",RegContabilizados2[[#This Row],[Idenficador]])</f>
        <v>656565F.C.236599-11</v>
      </c>
      <c r="G126" s="3">
        <f>IF(Regcontabilizados[[#This Row],[Eliminado]]="si","",RegContabilizados2[[#This Row],[N° de factura/Pago]])</f>
        <v>236599</v>
      </c>
      <c r="H126" s="1" t="str">
        <f>IF(Regcontabilizados[[#This Row],[Eliminado]]="si","",RegContabilizados2[[#This Row],[Tipo de Factura]])</f>
        <v>F.C.</v>
      </c>
      <c r="I126" s="1">
        <f>IF(Regcontabilizados[[#This Row],[Eliminado]]="si","",RegContabilizados2[[#This Row],[ID Cliente]])</f>
        <v>333333</v>
      </c>
      <c r="J126" s="1">
        <f>IF(Regcontabilizados[[#This Row],[Eliminado]]="si","",RegContabilizados2[[#This Row],[ESTADO DEL IVA]])</f>
        <v>0</v>
      </c>
      <c r="K126" s="3" t="str">
        <f>IF(Regcontabilizados[[#This Row],[Eliminado]]="si","",RegContabilizados2[[#This Row],[ID Proveedor]])</f>
        <v>johan</v>
      </c>
      <c r="L126" s="3" t="str">
        <f>IF(Regcontabilizados[[#This Row],[Eliminado]]="si","",RegContabilizados2[[#This Row],[Concepto]])</f>
        <v>CONTRAPARTIDA</v>
      </c>
      <c r="M126" s="3" t="str">
        <f>IF(Regcontabilizados[[#This Row],[Eliminado]]="si","",RegContabilizados2[[#This Row],[Categoría]])</f>
        <v>Caballero</v>
      </c>
      <c r="N126" s="3" t="str">
        <f>IF(Regcontabilizados[[#This Row],[Eliminado]]="si","",RegContabilizados2[[#This Row],[Almacen]])</f>
        <v>Principal</v>
      </c>
      <c r="O126" s="3" t="str">
        <f>IF(Regcontabilizados[[#This Row],[Eliminado]]="si","",RegContabilizados2[[#This Row],[Tipo de movimiento]])</f>
        <v>Entrada</v>
      </c>
      <c r="P126" s="1">
        <f>IF(Regcontabilizados[[#This Row],[Eliminado]]="si","",RegContabilizados2[[#This Row],[cantidad]])</f>
        <v>1</v>
      </c>
      <c r="Q126" s="1">
        <f>IF(Regcontabilizados[[#This Row],[Eliminado]]="si","",RegContabilizados2[[#This Row],[VR unitario]])</f>
        <v>0</v>
      </c>
      <c r="R126" s="1">
        <f>IF(Regcontabilizados[[#This Row],[Eliminado]]="si","",RegContabilizados2[[#This Row],[Subcuenta]])</f>
        <v>220505</v>
      </c>
      <c r="S126" s="1">
        <f>IF(Regcontabilizados[[#This Row],[Eliminado]]="si","",RegContabilizados2[[#This Row],[Debe]])</f>
        <v>0</v>
      </c>
      <c r="T126" s="1">
        <f>IF(Regcontabilizados[[#This Row],[Eliminado]]="si","",RegContabilizados2[[#This Row],[Haber]])</f>
        <v>80000</v>
      </c>
      <c r="U126" s="1">
        <f>IFERROR((Regcontabilizados[[#This Row],[Debe]]-Regcontabilizados[[#This Row],[Haber]]),0)</f>
        <v>-80000</v>
      </c>
      <c r="V126" s="1" t="str">
        <f>IFERROR((+_xlfn.XLOOKUP(Regcontabilizados[[#This Row],[Subcuenta]],Tabla11[Cuenta],Tabla11[Descripción],0)),0)</f>
        <v>Proveedores Nacionales</v>
      </c>
      <c r="W126" s="1" t="str">
        <f>IFERROR((_xlfn.XLOOKUP((VALUE(LEFT(Regcontabilizados[[#This Row],[Subcuenta]],4))),Tabla11[Cuenta],Tabla11[Descripción],0)),0)</f>
        <v>NACIONALES</v>
      </c>
      <c r="X126" s="1" t="str">
        <f>IFERROR((_xlfn.XLOOKUP(Regcontabilizados[[#This Row],[Subcuenta]],Tabla11[Cuenta],Tabla11[Descripción],0)),0)</f>
        <v>Proveedores Nacionales</v>
      </c>
      <c r="Y126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126" s="1" t="str">
        <f>_xlfn.XLOOKUP(Regcontabilizados[[#This Row],[Subcuenta]],Tabla11[Cuenta],Tabla11[TIPO],"")</f>
        <v>Pasivo Corriente</v>
      </c>
      <c r="AA126" s="1" t="str">
        <f>IFERROR((Regcontabilizados[[#This Row],[Subcuenta]]&amp;" "&amp;_xlfn.XLOOKUP(Regcontabilizados[[#This Row],[Subcuenta]],Tabla11[Cuenta],Tabla11[Descripción],0)),0)</f>
        <v>220505 Proveedores Nacionales</v>
      </c>
      <c r="AB126" s="1" t="str">
        <f>IFERROR((VALUE(LEFT(Regcontabilizados[[#This Row],[Subcuenta]],2))&amp;" "&amp;_xlfn.XLOOKUP((VALUE(LEFT(Regcontabilizados[[#This Row],[Subcuenta]],2))),Tabla11[Cuenta],Tabla11[Descripción],0)),0)</f>
        <v>22 PROVEEDORES</v>
      </c>
      <c r="AC126" s="1" t="str">
        <f>IFERROR((VALUE(LEFT(Regcontabilizados[[#This Row],[Subcuenta]],4))&amp;" "&amp;_xlfn.XLOOKUP((VALUE(LEFT(Regcontabilizados[[#This Row],[Subcuenta]],4))),Tabla11[Cuenta],Tabla11[Descripción],0)),0)</f>
        <v>2205 NACIONALES</v>
      </c>
      <c r="AD126" s="1" t="str">
        <f>IF(Regcontabilizados[[#This Row],[Eliminado]]="si","",RegContabilizados2[[#This Row],[Estado de pago]])</f>
        <v>NO PAGADO</v>
      </c>
      <c r="AE126" s="1" t="str">
        <f>IF(Regcontabilizados[[#This Row],[Eliminado]]="si","",RegContabilizados2[[#This Row],[Colum. Aux. Estado]])</f>
        <v>656565F.C.236599</v>
      </c>
      <c r="AF126" s="1">
        <f>IF(Regcontabilizados[[#This Row],[Eliminado]]="si","",RegContabilizados2[[#This Row],[Número de pago]])</f>
        <v>0</v>
      </c>
      <c r="AG126" s="1" t="str">
        <f>IF(Regcontabilizados[[#This Row],[Eliminado]]="si","",RegContabilizados2[[#This Row],[Elaborado por]])</f>
        <v>Responsable no especificado</v>
      </c>
      <c r="AH126" s="1" t="str">
        <f>IF(Regcontabilizados[[#This Row],[Eliminado]]="si","",RegContabilizados2[[#This Row],[Notas]])</f>
        <v>DE CONTADO</v>
      </c>
      <c r="AI126" s="1">
        <f>IF(Regcontabilizados[[#This Row],[Eliminado]]="si","",RegContabilizados2[[#This Row],[Método de pago]])</f>
        <v>0</v>
      </c>
      <c r="AJ126" s="1">
        <f>IF(Regcontabilizados[[#This Row],[Eliminado]]="si","",RegContabilizados2[[#This Row],[Cta. Bancaria]])</f>
        <v>0</v>
      </c>
      <c r="AO126" s="31">
        <v>45993</v>
      </c>
      <c r="AP126" s="31">
        <v>45993</v>
      </c>
      <c r="AQ126" s="3" t="s">
        <v>1231</v>
      </c>
      <c r="AR126" s="3">
        <v>236599</v>
      </c>
      <c r="AS126" s="1" t="s">
        <v>1111</v>
      </c>
      <c r="AT126" s="1">
        <v>333333</v>
      </c>
      <c r="AV126" s="3" t="s">
        <v>903</v>
      </c>
      <c r="AW126" s="3" t="s">
        <v>772</v>
      </c>
      <c r="AX126" s="3" t="s">
        <v>1000</v>
      </c>
      <c r="AY126" s="3" t="s">
        <v>1001</v>
      </c>
      <c r="AZ126" s="3" t="s">
        <v>974</v>
      </c>
      <c r="BA126" s="1">
        <v>1</v>
      </c>
      <c r="BC126" s="1">
        <v>220505</v>
      </c>
      <c r="BD126" s="1">
        <v>0</v>
      </c>
      <c r="BE126" s="1">
        <v>80000</v>
      </c>
      <c r="BF126" s="1">
        <f>IFERROR((RegContabilizados2[[#This Row],[Debe]]-RegContabilizados2[[#This Row],[Haber]]),0)</f>
        <v>-80000</v>
      </c>
      <c r="BG126" s="1" t="str">
        <f>IFERROR((+_xlfn.XLOOKUP(RegContabilizados2[[#This Row],[Subcuenta]],Tabla11[Cuenta],Tabla11[Descripción],0)),0)</f>
        <v>Proveedores Nacionales</v>
      </c>
      <c r="BH126" s="1" t="str">
        <f>IFERROR((VALUE(LEFT(RegContabilizados2[[#This Row],[Subcuenta]],2))&amp;" "&amp;_xlfn.XLOOKUP((VALUE(LEFT(RegContabilizados2[[#This Row],[Subcuenta]],2))),Tabla11[Cuenta],Tabla11[Descripción],0)),0)</f>
        <v>22 PROVEEDORES</v>
      </c>
      <c r="BI126" s="1" t="str">
        <f>IFERROR((VALUE(LEFT(RegContabilizados2[[#This Row],[Subcuenta]],4))&amp;" "&amp;_xlfn.XLOOKUP((VALUE(LEFT(RegContabilizados2[[#This Row],[Subcuenta]],4))),Tabla11[Cuenta],Tabla11[Descripción],0)),0)</f>
        <v>2205 NACIONALES</v>
      </c>
      <c r="BJ126" s="1" t="str">
        <f>IFERROR((RegContabilizados2[[#This Row],[Subcuenta]]&amp;" "&amp;_xlfn.XLOOKUP(RegContabilizados2[[#This Row],[Subcuenta]],Tabla11[Cuenta],Tabla11[Descripción],0)),0)</f>
        <v>220505 Proveedores Nacionales</v>
      </c>
      <c r="BK126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126" s="1" t="str">
        <f>IFERROR(LEFT(RegContabilizados2[[#This Row],[Idenficador]],SEARCH("-",RegContabilizados2[[#This Row],[Idenficador]])-1),0)</f>
        <v>656565F.C.236599</v>
      </c>
      <c r="BN126" s="1" t="s">
        <v>1169</v>
      </c>
      <c r="BO126" s="1" t="s">
        <v>1220</v>
      </c>
    </row>
    <row r="127" spans="4:67">
      <c r="D127" s="31" t="str">
        <f>IF(Regcontabilizados[[#This Row],[Eliminado]]="si","",RegContabilizados2[[#This Row],[fecha Factura]])</f>
        <v/>
      </c>
      <c r="E127" s="31" t="str">
        <f>IF(Regcontabilizados[[#This Row],[Eliminado]]="si","",RegContabilizados2[[#This Row],[Fecha vencimiento]])</f>
        <v/>
      </c>
      <c r="F127" s="31" t="str">
        <f>IF(Regcontabilizados[[#This Row],[Eliminado]]="si","",RegContabilizados2[[#This Row],[Idenficador]])</f>
        <v/>
      </c>
      <c r="G127" s="3" t="str">
        <f>IF(Regcontabilizados[[#This Row],[Eliminado]]="si","",RegContabilizados2[[#This Row],[N° de factura/Pago]])</f>
        <v/>
      </c>
      <c r="H127" s="1" t="str">
        <f>IF(Regcontabilizados[[#This Row],[Eliminado]]="si","",RegContabilizados2[[#This Row],[Tipo de Factura]])</f>
        <v/>
      </c>
      <c r="I127" s="1" t="str">
        <f>IF(Regcontabilizados[[#This Row],[Eliminado]]="si","",RegContabilizados2[[#This Row],[ID Cliente]])</f>
        <v/>
      </c>
      <c r="J127" s="1" t="str">
        <f>IF(Regcontabilizados[[#This Row],[Eliminado]]="si","",RegContabilizados2[[#This Row],[ESTADO DEL IVA]])</f>
        <v/>
      </c>
      <c r="K127" s="3" t="str">
        <f>IF(Regcontabilizados[[#This Row],[Eliminado]]="si","",RegContabilizados2[[#This Row],[ID Proveedor]])</f>
        <v/>
      </c>
      <c r="L127" s="3" t="str">
        <f>IF(Regcontabilizados[[#This Row],[Eliminado]]="si","",RegContabilizados2[[#This Row],[Concepto]])</f>
        <v/>
      </c>
      <c r="M127" s="3" t="str">
        <f>IF(Regcontabilizados[[#This Row],[Eliminado]]="si","",RegContabilizados2[[#This Row],[Categoría]])</f>
        <v/>
      </c>
      <c r="N127" s="3" t="str">
        <f>IF(Regcontabilizados[[#This Row],[Eliminado]]="si","",RegContabilizados2[[#This Row],[Almacen]])</f>
        <v/>
      </c>
      <c r="O127" s="3" t="str">
        <f>IF(Regcontabilizados[[#This Row],[Eliminado]]="si","",RegContabilizados2[[#This Row],[Tipo de movimiento]])</f>
        <v/>
      </c>
      <c r="P127" s="1" t="str">
        <f>IF(Regcontabilizados[[#This Row],[Eliminado]]="si","",RegContabilizados2[[#This Row],[cantidad]])</f>
        <v/>
      </c>
      <c r="Q127" s="1" t="str">
        <f>IF(Regcontabilizados[[#This Row],[Eliminado]]="si","",RegContabilizados2[[#This Row],[VR unitario]])</f>
        <v/>
      </c>
      <c r="R127" s="1" t="str">
        <f>IF(Regcontabilizados[[#This Row],[Eliminado]]="si","",RegContabilizados2[[#This Row],[Subcuenta]])</f>
        <v/>
      </c>
      <c r="S127" s="1" t="str">
        <f>IF(Regcontabilizados[[#This Row],[Eliminado]]="si","",RegContabilizados2[[#This Row],[Debe]])</f>
        <v/>
      </c>
      <c r="T127" s="1" t="str">
        <f>IF(Regcontabilizados[[#This Row],[Eliminado]]="si","",RegContabilizados2[[#This Row],[Haber]])</f>
        <v/>
      </c>
      <c r="U127" s="1">
        <f>IFERROR((Regcontabilizados[[#This Row],[Debe]]-Regcontabilizados[[#This Row],[Haber]]),0)</f>
        <v>0</v>
      </c>
      <c r="V127" s="1">
        <f>IFERROR((+_xlfn.XLOOKUP(Regcontabilizados[[#This Row],[Subcuenta]],Tabla11[Cuenta],Tabla11[Descripción],0)),0)</f>
        <v>0</v>
      </c>
      <c r="W127" s="1">
        <f>IFERROR((_xlfn.XLOOKUP((VALUE(LEFT(Regcontabilizados[[#This Row],[Subcuenta]],4))),Tabla11[Cuenta],Tabla11[Descripción],0)),0)</f>
        <v>0</v>
      </c>
      <c r="X127" s="1">
        <f>IFERROR((_xlfn.XLOOKUP(Regcontabilizados[[#This Row],[Subcuenta]],Tabla11[Cuenta],Tabla11[Descripción],0)),0)</f>
        <v>0</v>
      </c>
      <c r="Y127" s="1" t="str">
        <f>IF((IFERROR((FIND((_xlfn.XLOOKUP(RegContabilizados2[[#This Row],[Idenficador]],FormtBorrados[formatos borrados],FormtBorrados[formatos borrados],0)),RegContabilizados2[[#This Row],[Idenficador]])),0))=1,"si","no")</f>
        <v>si</v>
      </c>
      <c r="Z127" s="1" t="str">
        <f>_xlfn.XLOOKUP(Regcontabilizados[[#This Row],[Subcuenta]],Tabla11[Cuenta],Tabla11[TIPO],"")</f>
        <v/>
      </c>
      <c r="AA127" s="1" t="str">
        <f>IFERROR((Regcontabilizados[[#This Row],[Subcuenta]]&amp;" "&amp;_xlfn.XLOOKUP(Regcontabilizados[[#This Row],[Subcuenta]],Tabla11[Cuenta],Tabla11[Descripción],0)),0)</f>
        <v xml:space="preserve"> 0</v>
      </c>
      <c r="AB127" s="1">
        <f>IFERROR((VALUE(LEFT(Regcontabilizados[[#This Row],[Subcuenta]],2))&amp;" "&amp;_xlfn.XLOOKUP((VALUE(LEFT(Regcontabilizados[[#This Row],[Subcuenta]],2))),Tabla11[Cuenta],Tabla11[Descripción],0)),0)</f>
        <v>0</v>
      </c>
      <c r="AC127" s="1">
        <f>IFERROR((VALUE(LEFT(Regcontabilizados[[#This Row],[Subcuenta]],4))&amp;" "&amp;_xlfn.XLOOKUP((VALUE(LEFT(Regcontabilizados[[#This Row],[Subcuenta]],4))),Tabla11[Cuenta],Tabla11[Descripción],0)),0)</f>
        <v>0</v>
      </c>
      <c r="AD127" s="1" t="str">
        <f>IF(Regcontabilizados[[#This Row],[Eliminado]]="si","",RegContabilizados2[[#This Row],[Estado de pago]])</f>
        <v/>
      </c>
      <c r="AE127" s="1" t="str">
        <f>IF(Regcontabilizados[[#This Row],[Eliminado]]="si","",RegContabilizados2[[#This Row],[Colum. Aux. Estado]])</f>
        <v/>
      </c>
      <c r="AF127" s="1" t="str">
        <f>IF(Regcontabilizados[[#This Row],[Eliminado]]="si","",RegContabilizados2[[#This Row],[Número de pago]])</f>
        <v/>
      </c>
      <c r="AG127" s="1" t="str">
        <f>IF(Regcontabilizados[[#This Row],[Eliminado]]="si","",RegContabilizados2[[#This Row],[Elaborado por]])</f>
        <v/>
      </c>
      <c r="AH127" s="1" t="str">
        <f>IF(Regcontabilizados[[#This Row],[Eliminado]]="si","",RegContabilizados2[[#This Row],[Notas]])</f>
        <v/>
      </c>
      <c r="AI127" s="1" t="str">
        <f>IF(Regcontabilizados[[#This Row],[Eliminado]]="si","",RegContabilizados2[[#This Row],[Método de pago]])</f>
        <v/>
      </c>
      <c r="AJ127" s="1" t="str">
        <f>IF(Regcontabilizados[[#This Row],[Eliminado]]="si","",RegContabilizados2[[#This Row],[Cta. Bancaria]])</f>
        <v/>
      </c>
      <c r="AO127" s="31">
        <v>45993</v>
      </c>
      <c r="AP127" s="31">
        <v>45993</v>
      </c>
      <c r="AQ127" s="31" t="s">
        <v>1208</v>
      </c>
      <c r="AR127" s="3">
        <v>763524</v>
      </c>
      <c r="AS127" s="1" t="s">
        <v>1111</v>
      </c>
      <c r="AT127" s="1">
        <v>333333</v>
      </c>
      <c r="AV127" s="3" t="s">
        <v>903</v>
      </c>
      <c r="AW127" s="3" t="s">
        <v>1104</v>
      </c>
      <c r="AX127" s="3" t="s">
        <v>1000</v>
      </c>
      <c r="AY127" s="3" t="s">
        <v>1001</v>
      </c>
      <c r="AZ127" s="3" t="s">
        <v>974</v>
      </c>
      <c r="BA127" s="1">
        <v>10</v>
      </c>
      <c r="BB127" s="1">
        <v>25600</v>
      </c>
      <c r="BC127" s="1">
        <v>143505</v>
      </c>
      <c r="BD127" s="1">
        <v>256000</v>
      </c>
      <c r="BE127" s="1">
        <v>0</v>
      </c>
      <c r="BF127" s="1">
        <f>IFERROR((RegContabilizados2[[#This Row],[Debe]]-RegContabilizados2[[#This Row],[Haber]]),0)</f>
        <v>256000</v>
      </c>
      <c r="BG127" s="1" t="str">
        <f>IFERROR((+_xlfn.XLOOKUP(RegContabilizados2[[#This Row],[Subcuenta]],Tabla11[Cuenta],Tabla11[Descripción],0)),0)</f>
        <v>MERCANCÍAS DETAL</v>
      </c>
      <c r="BH127" s="1" t="str">
        <f>IFERROR((VALUE(LEFT(RegContabilizados2[[#This Row],[Subcuenta]],2))&amp;" "&amp;_xlfn.XLOOKUP((VALUE(LEFT(RegContabilizados2[[#This Row],[Subcuenta]],2))),Tabla11[Cuenta],Tabla11[Descripción],0)),0)</f>
        <v>14 INVENTARIOS</v>
      </c>
      <c r="BI127" s="1" t="str">
        <f>IFERROR((VALUE(LEFT(RegContabilizados2[[#This Row],[Subcuenta]],4))&amp;" "&amp;_xlfn.XLOOKUP((VALUE(LEFT(RegContabilizados2[[#This Row],[Subcuenta]],4))),Tabla11[Cuenta],Tabla11[Descripción],0)),0)</f>
        <v>1435 MERCANCÍAS NO FABRICADAS POR LA EMPRESA</v>
      </c>
      <c r="BJ127" s="1" t="str">
        <f>IFERROR((RegContabilizados2[[#This Row],[Subcuenta]]&amp;" "&amp;_xlfn.XLOOKUP(RegContabilizados2[[#This Row],[Subcuenta]],Tabla11[Cuenta],Tabla11[Descripción],0)),0)</f>
        <v>143505 MERCANCÍAS DETAL</v>
      </c>
      <c r="BK127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127" s="1" t="str">
        <f>IFERROR(LEFT(RegContabilizados2[[#This Row],[Idenficador]],SEARCH("-",RegContabilizados2[[#This Row],[Idenficador]])-1),0)</f>
        <v>656565F.C.763524</v>
      </c>
      <c r="BN127" s="1" t="s">
        <v>1169</v>
      </c>
      <c r="BO127" s="1" t="s">
        <v>1207</v>
      </c>
    </row>
    <row r="128" spans="4:67">
      <c r="D128" s="31" t="str">
        <f>IF(Regcontabilizados[[#This Row],[Eliminado]]="si","",RegContabilizados2[[#This Row],[fecha Factura]])</f>
        <v/>
      </c>
      <c r="E128" s="31" t="str">
        <f>IF(Regcontabilizados[[#This Row],[Eliminado]]="si","",RegContabilizados2[[#This Row],[Fecha vencimiento]])</f>
        <v/>
      </c>
      <c r="F128" s="31" t="str">
        <f>IF(Regcontabilizados[[#This Row],[Eliminado]]="si","",RegContabilizados2[[#This Row],[Idenficador]])</f>
        <v/>
      </c>
      <c r="G128" s="3" t="str">
        <f>IF(Regcontabilizados[[#This Row],[Eliminado]]="si","",RegContabilizados2[[#This Row],[N° de factura/Pago]])</f>
        <v/>
      </c>
      <c r="H128" s="1" t="str">
        <f>IF(Regcontabilizados[[#This Row],[Eliminado]]="si","",RegContabilizados2[[#This Row],[Tipo de Factura]])</f>
        <v/>
      </c>
      <c r="I128" s="1" t="str">
        <f>IF(Regcontabilizados[[#This Row],[Eliminado]]="si","",RegContabilizados2[[#This Row],[ID Cliente]])</f>
        <v/>
      </c>
      <c r="J128" s="1" t="str">
        <f>IF(Regcontabilizados[[#This Row],[Eliminado]]="si","",RegContabilizados2[[#This Row],[ESTADO DEL IVA]])</f>
        <v/>
      </c>
      <c r="K128" s="3" t="str">
        <f>IF(Regcontabilizados[[#This Row],[Eliminado]]="si","",RegContabilizados2[[#This Row],[ID Proveedor]])</f>
        <v/>
      </c>
      <c r="L128" s="3" t="str">
        <f>IF(Regcontabilizados[[#This Row],[Eliminado]]="si","",RegContabilizados2[[#This Row],[Concepto]])</f>
        <v/>
      </c>
      <c r="M128" s="3" t="str">
        <f>IF(Regcontabilizados[[#This Row],[Eliminado]]="si","",RegContabilizados2[[#This Row],[Categoría]])</f>
        <v/>
      </c>
      <c r="N128" s="3" t="str">
        <f>IF(Regcontabilizados[[#This Row],[Eliminado]]="si","",RegContabilizados2[[#This Row],[Almacen]])</f>
        <v/>
      </c>
      <c r="O128" s="3" t="str">
        <f>IF(Regcontabilizados[[#This Row],[Eliminado]]="si","",RegContabilizados2[[#This Row],[Tipo de movimiento]])</f>
        <v/>
      </c>
      <c r="P128" s="1" t="str">
        <f>IF(Regcontabilizados[[#This Row],[Eliminado]]="si","",RegContabilizados2[[#This Row],[cantidad]])</f>
        <v/>
      </c>
      <c r="Q128" s="1" t="str">
        <f>IF(Regcontabilizados[[#This Row],[Eliminado]]="si","",RegContabilizados2[[#This Row],[VR unitario]])</f>
        <v/>
      </c>
      <c r="R128" s="1" t="str">
        <f>IF(Regcontabilizados[[#This Row],[Eliminado]]="si","",RegContabilizados2[[#This Row],[Subcuenta]])</f>
        <v/>
      </c>
      <c r="S128" s="1" t="str">
        <f>IF(Regcontabilizados[[#This Row],[Eliminado]]="si","",RegContabilizados2[[#This Row],[Debe]])</f>
        <v/>
      </c>
      <c r="T128" s="1" t="str">
        <f>IF(Regcontabilizados[[#This Row],[Eliminado]]="si","",RegContabilizados2[[#This Row],[Haber]])</f>
        <v/>
      </c>
      <c r="U128" s="1">
        <f>IFERROR((Regcontabilizados[[#This Row],[Debe]]-Regcontabilizados[[#This Row],[Haber]]),0)</f>
        <v>0</v>
      </c>
      <c r="V128" s="1">
        <f>IFERROR((+_xlfn.XLOOKUP(Regcontabilizados[[#This Row],[Subcuenta]],Tabla11[Cuenta],Tabla11[Descripción],0)),0)</f>
        <v>0</v>
      </c>
      <c r="W128" s="1">
        <f>IFERROR((_xlfn.XLOOKUP((VALUE(LEFT(Regcontabilizados[[#This Row],[Subcuenta]],4))),Tabla11[Cuenta],Tabla11[Descripción],0)),0)</f>
        <v>0</v>
      </c>
      <c r="X128" s="1">
        <f>IFERROR((_xlfn.XLOOKUP(Regcontabilizados[[#This Row],[Subcuenta]],Tabla11[Cuenta],Tabla11[Descripción],0)),0)</f>
        <v>0</v>
      </c>
      <c r="Y128" s="1" t="str">
        <f>IF((IFERROR((FIND((_xlfn.XLOOKUP(RegContabilizados2[[#This Row],[Idenficador]],FormtBorrados[formatos borrados],FormtBorrados[formatos borrados],0)),RegContabilizados2[[#This Row],[Idenficador]])),0))=1,"si","no")</f>
        <v>si</v>
      </c>
      <c r="Z128" s="1" t="str">
        <f>_xlfn.XLOOKUP(Regcontabilizados[[#This Row],[Subcuenta]],Tabla11[Cuenta],Tabla11[TIPO],"")</f>
        <v/>
      </c>
      <c r="AA128" s="1" t="str">
        <f>IFERROR((Regcontabilizados[[#This Row],[Subcuenta]]&amp;" "&amp;_xlfn.XLOOKUP(Regcontabilizados[[#This Row],[Subcuenta]],Tabla11[Cuenta],Tabla11[Descripción],0)),0)</f>
        <v xml:space="preserve"> 0</v>
      </c>
      <c r="AB128" s="1">
        <f>IFERROR((VALUE(LEFT(Regcontabilizados[[#This Row],[Subcuenta]],2))&amp;" "&amp;_xlfn.XLOOKUP((VALUE(LEFT(Regcontabilizados[[#This Row],[Subcuenta]],2))),Tabla11[Cuenta],Tabla11[Descripción],0)),0)</f>
        <v>0</v>
      </c>
      <c r="AC128" s="1">
        <f>IFERROR((VALUE(LEFT(Regcontabilizados[[#This Row],[Subcuenta]],4))&amp;" "&amp;_xlfn.XLOOKUP((VALUE(LEFT(Regcontabilizados[[#This Row],[Subcuenta]],4))),Tabla11[Cuenta],Tabla11[Descripción],0)),0)</f>
        <v>0</v>
      </c>
      <c r="AD128" s="1" t="str">
        <f>IF(Regcontabilizados[[#This Row],[Eliminado]]="si","",RegContabilizados2[[#This Row],[Estado de pago]])</f>
        <v/>
      </c>
      <c r="AE128" s="1" t="str">
        <f>IF(Regcontabilizados[[#This Row],[Eliminado]]="si","",RegContabilizados2[[#This Row],[Colum. Aux. Estado]])</f>
        <v/>
      </c>
      <c r="AF128" s="1" t="str">
        <f>IF(Regcontabilizados[[#This Row],[Eliminado]]="si","",RegContabilizados2[[#This Row],[Número de pago]])</f>
        <v/>
      </c>
      <c r="AG128" s="1" t="str">
        <f>IF(Regcontabilizados[[#This Row],[Eliminado]]="si","",RegContabilizados2[[#This Row],[Elaborado por]])</f>
        <v/>
      </c>
      <c r="AH128" s="1" t="str">
        <f>IF(Regcontabilizados[[#This Row],[Eliminado]]="si","",RegContabilizados2[[#This Row],[Notas]])</f>
        <v/>
      </c>
      <c r="AI128" s="1" t="str">
        <f>IF(Regcontabilizados[[#This Row],[Eliminado]]="si","",RegContabilizados2[[#This Row],[Método de pago]])</f>
        <v/>
      </c>
      <c r="AJ128" s="1" t="str">
        <f>IF(Regcontabilizados[[#This Row],[Eliminado]]="si","",RegContabilizados2[[#This Row],[Cta. Bancaria]])</f>
        <v/>
      </c>
      <c r="AO128" s="31">
        <v>45993</v>
      </c>
      <c r="AP128" s="31">
        <v>45993</v>
      </c>
      <c r="AQ128" s="31" t="s">
        <v>1209</v>
      </c>
      <c r="AR128" s="3">
        <v>763524</v>
      </c>
      <c r="AS128" s="1" t="s">
        <v>1111</v>
      </c>
      <c r="AT128" s="1">
        <v>333333</v>
      </c>
      <c r="AV128" s="3" t="s">
        <v>903</v>
      </c>
      <c r="AW128" s="3"/>
      <c r="AX128" s="3">
        <v>0</v>
      </c>
      <c r="AY128" s="3" t="s">
        <v>1001</v>
      </c>
      <c r="AZ128" s="3" t="s">
        <v>974</v>
      </c>
      <c r="BC128" s="1" t="s">
        <v>1168</v>
      </c>
      <c r="BD128" s="1">
        <v>0</v>
      </c>
      <c r="BE128" s="1">
        <v>0</v>
      </c>
      <c r="BF128" s="1">
        <f>IFERROR((RegContabilizados2[[#This Row],[Debe]]-RegContabilizados2[[#This Row],[Haber]]),0)</f>
        <v>0</v>
      </c>
      <c r="BG128" s="1">
        <f>IFERROR((+_xlfn.XLOOKUP(RegContabilizados2[[#This Row],[Subcuenta]],Tabla11[Cuenta],Tabla11[Descripción],0)),0)</f>
        <v>0</v>
      </c>
      <c r="BH128" s="1">
        <f>IFERROR((VALUE(LEFT(RegContabilizados2[[#This Row],[Subcuenta]],2))&amp;" "&amp;_xlfn.XLOOKUP((VALUE(LEFT(RegContabilizados2[[#This Row],[Subcuenta]],2))),Tabla11[Cuenta],Tabla11[Descripción],0)),0)</f>
        <v>0</v>
      </c>
      <c r="BI128" s="1">
        <f>IFERROR((VALUE(LEFT(RegContabilizados2[[#This Row],[Subcuenta]],4))&amp;" "&amp;_xlfn.XLOOKUP((VALUE(LEFT(RegContabilizados2[[#This Row],[Subcuenta]],4))),Tabla11[Cuenta],Tabla11[Descripción],0)),0)</f>
        <v>0</v>
      </c>
      <c r="BJ128" s="1" t="str">
        <f>IFERROR((RegContabilizados2[[#This Row],[Subcuenta]]&amp;" "&amp;_xlfn.XLOOKUP(RegContabilizados2[[#This Row],[Subcuenta]],Tabla11[Cuenta],Tabla11[Descripción],0)),0)</f>
        <v xml:space="preserve"> 0</v>
      </c>
      <c r="BK128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128" s="1" t="str">
        <f>IFERROR(LEFT(RegContabilizados2[[#This Row],[Idenficador]],SEARCH("-",RegContabilizados2[[#This Row],[Idenficador]])-1),0)</f>
        <v>656565F.C.763524</v>
      </c>
      <c r="BN128" s="1" t="s">
        <v>1169</v>
      </c>
      <c r="BO128" s="1" t="s">
        <v>1207</v>
      </c>
    </row>
    <row r="129" spans="4:67">
      <c r="D129" s="31" t="str">
        <f>IF(Regcontabilizados[[#This Row],[Eliminado]]="si","",RegContabilizados2[[#This Row],[fecha Factura]])</f>
        <v/>
      </c>
      <c r="E129" s="31" t="str">
        <f>IF(Regcontabilizados[[#This Row],[Eliminado]]="si","",RegContabilizados2[[#This Row],[Fecha vencimiento]])</f>
        <v/>
      </c>
      <c r="F129" s="31" t="str">
        <f>IF(Regcontabilizados[[#This Row],[Eliminado]]="si","",RegContabilizados2[[#This Row],[Idenficador]])</f>
        <v/>
      </c>
      <c r="G129" s="3" t="str">
        <f>IF(Regcontabilizados[[#This Row],[Eliminado]]="si","",RegContabilizados2[[#This Row],[N° de factura/Pago]])</f>
        <v/>
      </c>
      <c r="H129" s="1" t="str">
        <f>IF(Regcontabilizados[[#This Row],[Eliminado]]="si","",RegContabilizados2[[#This Row],[Tipo de Factura]])</f>
        <v/>
      </c>
      <c r="I129" s="1" t="str">
        <f>IF(Regcontabilizados[[#This Row],[Eliminado]]="si","",RegContabilizados2[[#This Row],[ID Cliente]])</f>
        <v/>
      </c>
      <c r="J129" s="1" t="str">
        <f>IF(Regcontabilizados[[#This Row],[Eliminado]]="si","",RegContabilizados2[[#This Row],[ESTADO DEL IVA]])</f>
        <v/>
      </c>
      <c r="K129" s="3" t="str">
        <f>IF(Regcontabilizados[[#This Row],[Eliminado]]="si","",RegContabilizados2[[#This Row],[ID Proveedor]])</f>
        <v/>
      </c>
      <c r="L129" s="3" t="str">
        <f>IF(Regcontabilizados[[#This Row],[Eliminado]]="si","",RegContabilizados2[[#This Row],[Concepto]])</f>
        <v/>
      </c>
      <c r="M129" s="3" t="str">
        <f>IF(Regcontabilizados[[#This Row],[Eliminado]]="si","",RegContabilizados2[[#This Row],[Categoría]])</f>
        <v/>
      </c>
      <c r="N129" s="3" t="str">
        <f>IF(Regcontabilizados[[#This Row],[Eliminado]]="si","",RegContabilizados2[[#This Row],[Almacen]])</f>
        <v/>
      </c>
      <c r="O129" s="3" t="str">
        <f>IF(Regcontabilizados[[#This Row],[Eliminado]]="si","",RegContabilizados2[[#This Row],[Tipo de movimiento]])</f>
        <v/>
      </c>
      <c r="P129" s="1" t="str">
        <f>IF(Regcontabilizados[[#This Row],[Eliminado]]="si","",RegContabilizados2[[#This Row],[cantidad]])</f>
        <v/>
      </c>
      <c r="Q129" s="1" t="str">
        <f>IF(Regcontabilizados[[#This Row],[Eliminado]]="si","",RegContabilizados2[[#This Row],[VR unitario]])</f>
        <v/>
      </c>
      <c r="R129" s="1" t="str">
        <f>IF(Regcontabilizados[[#This Row],[Eliminado]]="si","",RegContabilizados2[[#This Row],[Subcuenta]])</f>
        <v/>
      </c>
      <c r="S129" s="1" t="str">
        <f>IF(Regcontabilizados[[#This Row],[Eliminado]]="si","",RegContabilizados2[[#This Row],[Debe]])</f>
        <v/>
      </c>
      <c r="T129" s="1" t="str">
        <f>IF(Regcontabilizados[[#This Row],[Eliminado]]="si","",RegContabilizados2[[#This Row],[Haber]])</f>
        <v/>
      </c>
      <c r="U129" s="1">
        <f>IFERROR((Regcontabilizados[[#This Row],[Debe]]-Regcontabilizados[[#This Row],[Haber]]),0)</f>
        <v>0</v>
      </c>
      <c r="V129" s="1">
        <f>IFERROR((+_xlfn.XLOOKUP(Regcontabilizados[[#This Row],[Subcuenta]],Tabla11[Cuenta],Tabla11[Descripción],0)),0)</f>
        <v>0</v>
      </c>
      <c r="W129" s="1">
        <f>IFERROR((_xlfn.XLOOKUP((VALUE(LEFT(Regcontabilizados[[#This Row],[Subcuenta]],4))),Tabla11[Cuenta],Tabla11[Descripción],0)),0)</f>
        <v>0</v>
      </c>
      <c r="X129" s="1">
        <f>IFERROR((_xlfn.XLOOKUP(Regcontabilizados[[#This Row],[Subcuenta]],Tabla11[Cuenta],Tabla11[Descripción],0)),0)</f>
        <v>0</v>
      </c>
      <c r="Y129" s="1" t="str">
        <f>IF((IFERROR((FIND((_xlfn.XLOOKUP(RegContabilizados2[[#This Row],[Idenficador]],FormtBorrados[formatos borrados],FormtBorrados[formatos borrados],0)),RegContabilizados2[[#This Row],[Idenficador]])),0))=1,"si","no")</f>
        <v>si</v>
      </c>
      <c r="Z129" s="1" t="str">
        <f>_xlfn.XLOOKUP(Regcontabilizados[[#This Row],[Subcuenta]],Tabla11[Cuenta],Tabla11[TIPO],"")</f>
        <v/>
      </c>
      <c r="AA129" s="1" t="str">
        <f>IFERROR((Regcontabilizados[[#This Row],[Subcuenta]]&amp;" "&amp;_xlfn.XLOOKUP(Regcontabilizados[[#This Row],[Subcuenta]],Tabla11[Cuenta],Tabla11[Descripción],0)),0)</f>
        <v xml:space="preserve"> 0</v>
      </c>
      <c r="AB129" s="1">
        <f>IFERROR((VALUE(LEFT(Regcontabilizados[[#This Row],[Subcuenta]],2))&amp;" "&amp;_xlfn.XLOOKUP((VALUE(LEFT(Regcontabilizados[[#This Row],[Subcuenta]],2))),Tabla11[Cuenta],Tabla11[Descripción],0)),0)</f>
        <v>0</v>
      </c>
      <c r="AC129" s="1">
        <f>IFERROR((VALUE(LEFT(Regcontabilizados[[#This Row],[Subcuenta]],4))&amp;" "&amp;_xlfn.XLOOKUP((VALUE(LEFT(Regcontabilizados[[#This Row],[Subcuenta]],4))),Tabla11[Cuenta],Tabla11[Descripción],0)),0)</f>
        <v>0</v>
      </c>
      <c r="AD129" s="1" t="str">
        <f>IF(Regcontabilizados[[#This Row],[Eliminado]]="si","",RegContabilizados2[[#This Row],[Estado de pago]])</f>
        <v/>
      </c>
      <c r="AE129" s="1" t="str">
        <f>IF(Regcontabilizados[[#This Row],[Eliminado]]="si","",RegContabilizados2[[#This Row],[Colum. Aux. Estado]])</f>
        <v/>
      </c>
      <c r="AF129" s="1" t="str">
        <f>IF(Regcontabilizados[[#This Row],[Eliminado]]="si","",RegContabilizados2[[#This Row],[Número de pago]])</f>
        <v/>
      </c>
      <c r="AG129" s="1" t="str">
        <f>IF(Regcontabilizados[[#This Row],[Eliminado]]="si","",RegContabilizados2[[#This Row],[Elaborado por]])</f>
        <v/>
      </c>
      <c r="AH129" s="1" t="str">
        <f>IF(Regcontabilizados[[#This Row],[Eliminado]]="si","",RegContabilizados2[[#This Row],[Notas]])</f>
        <v/>
      </c>
      <c r="AI129" s="1" t="str">
        <f>IF(Regcontabilizados[[#This Row],[Eliminado]]="si","",RegContabilizados2[[#This Row],[Método de pago]])</f>
        <v/>
      </c>
      <c r="AJ129" s="1" t="str">
        <f>IF(Regcontabilizados[[#This Row],[Eliminado]]="si","",RegContabilizados2[[#This Row],[Cta. Bancaria]])</f>
        <v/>
      </c>
      <c r="AO129" s="31">
        <v>45993</v>
      </c>
      <c r="AP129" s="31">
        <v>45993</v>
      </c>
      <c r="AQ129" s="31" t="s">
        <v>1210</v>
      </c>
      <c r="AR129" s="3">
        <v>763524</v>
      </c>
      <c r="AS129" s="1" t="s">
        <v>1111</v>
      </c>
      <c r="AT129" s="1">
        <v>333333</v>
      </c>
      <c r="AV129" s="3" t="s">
        <v>903</v>
      </c>
      <c r="AW129" s="3"/>
      <c r="AX129" s="3">
        <v>0</v>
      </c>
      <c r="AY129" s="3" t="s">
        <v>1001</v>
      </c>
      <c r="AZ129" s="3" t="s">
        <v>974</v>
      </c>
      <c r="BC129" s="1" t="s">
        <v>1168</v>
      </c>
      <c r="BD129" s="1">
        <v>0</v>
      </c>
      <c r="BE129" s="1">
        <v>0</v>
      </c>
      <c r="BF129" s="1">
        <f>IFERROR((RegContabilizados2[[#This Row],[Debe]]-RegContabilizados2[[#This Row],[Haber]]),0)</f>
        <v>0</v>
      </c>
      <c r="BG129" s="1">
        <f>IFERROR((+_xlfn.XLOOKUP(RegContabilizados2[[#This Row],[Subcuenta]],Tabla11[Cuenta],Tabla11[Descripción],0)),0)</f>
        <v>0</v>
      </c>
      <c r="BH129" s="1">
        <f>IFERROR((VALUE(LEFT(RegContabilizados2[[#This Row],[Subcuenta]],2))&amp;" "&amp;_xlfn.XLOOKUP((VALUE(LEFT(RegContabilizados2[[#This Row],[Subcuenta]],2))),Tabla11[Cuenta],Tabla11[Descripción],0)),0)</f>
        <v>0</v>
      </c>
      <c r="BI129" s="1">
        <f>IFERROR((VALUE(LEFT(RegContabilizados2[[#This Row],[Subcuenta]],4))&amp;" "&amp;_xlfn.XLOOKUP((VALUE(LEFT(RegContabilizados2[[#This Row],[Subcuenta]],4))),Tabla11[Cuenta],Tabla11[Descripción],0)),0)</f>
        <v>0</v>
      </c>
      <c r="BJ129" s="1" t="str">
        <f>IFERROR((RegContabilizados2[[#This Row],[Subcuenta]]&amp;" "&amp;_xlfn.XLOOKUP(RegContabilizados2[[#This Row],[Subcuenta]],Tabla11[Cuenta],Tabla11[Descripción],0)),0)</f>
        <v xml:space="preserve"> 0</v>
      </c>
      <c r="BK129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129" s="1" t="str">
        <f>IFERROR(LEFT(RegContabilizados2[[#This Row],[Idenficador]],SEARCH("-",RegContabilizados2[[#This Row],[Idenficador]])-1),0)</f>
        <v>656565F.C.763524</v>
      </c>
      <c r="BN129" s="1" t="s">
        <v>1169</v>
      </c>
      <c r="BO129" s="1" t="s">
        <v>1207</v>
      </c>
    </row>
    <row r="130" spans="4:67">
      <c r="D130" s="31" t="str">
        <f>IF(Regcontabilizados[[#This Row],[Eliminado]]="si","",RegContabilizados2[[#This Row],[fecha Factura]])</f>
        <v/>
      </c>
      <c r="E130" s="31" t="str">
        <f>IF(Regcontabilizados[[#This Row],[Eliminado]]="si","",RegContabilizados2[[#This Row],[Fecha vencimiento]])</f>
        <v/>
      </c>
      <c r="F130" s="31" t="str">
        <f>IF(Regcontabilizados[[#This Row],[Eliminado]]="si","",RegContabilizados2[[#This Row],[Idenficador]])</f>
        <v/>
      </c>
      <c r="G130" s="3" t="str">
        <f>IF(Regcontabilizados[[#This Row],[Eliminado]]="si","",RegContabilizados2[[#This Row],[N° de factura/Pago]])</f>
        <v/>
      </c>
      <c r="H130" s="1" t="str">
        <f>IF(Regcontabilizados[[#This Row],[Eliminado]]="si","",RegContabilizados2[[#This Row],[Tipo de Factura]])</f>
        <v/>
      </c>
      <c r="I130" s="1" t="str">
        <f>IF(Regcontabilizados[[#This Row],[Eliminado]]="si","",RegContabilizados2[[#This Row],[ID Cliente]])</f>
        <v/>
      </c>
      <c r="J130" s="1" t="str">
        <f>IF(Regcontabilizados[[#This Row],[Eliminado]]="si","",RegContabilizados2[[#This Row],[ESTADO DEL IVA]])</f>
        <v/>
      </c>
      <c r="K130" s="3" t="str">
        <f>IF(Regcontabilizados[[#This Row],[Eliminado]]="si","",RegContabilizados2[[#This Row],[ID Proveedor]])</f>
        <v/>
      </c>
      <c r="L130" s="3" t="str">
        <f>IF(Regcontabilizados[[#This Row],[Eliminado]]="si","",RegContabilizados2[[#This Row],[Concepto]])</f>
        <v/>
      </c>
      <c r="M130" s="3" t="str">
        <f>IF(Regcontabilizados[[#This Row],[Eliminado]]="si","",RegContabilizados2[[#This Row],[Categoría]])</f>
        <v/>
      </c>
      <c r="N130" s="3" t="str">
        <f>IF(Regcontabilizados[[#This Row],[Eliminado]]="si","",RegContabilizados2[[#This Row],[Almacen]])</f>
        <v/>
      </c>
      <c r="O130" s="3" t="str">
        <f>IF(Regcontabilizados[[#This Row],[Eliminado]]="si","",RegContabilizados2[[#This Row],[Tipo de movimiento]])</f>
        <v/>
      </c>
      <c r="P130" s="1" t="str">
        <f>IF(Regcontabilizados[[#This Row],[Eliminado]]="si","",RegContabilizados2[[#This Row],[cantidad]])</f>
        <v/>
      </c>
      <c r="Q130" s="1" t="str">
        <f>IF(Regcontabilizados[[#This Row],[Eliminado]]="si","",RegContabilizados2[[#This Row],[VR unitario]])</f>
        <v/>
      </c>
      <c r="R130" s="1" t="str">
        <f>IF(Regcontabilizados[[#This Row],[Eliminado]]="si","",RegContabilizados2[[#This Row],[Subcuenta]])</f>
        <v/>
      </c>
      <c r="S130" s="1" t="str">
        <f>IF(Regcontabilizados[[#This Row],[Eliminado]]="si","",RegContabilizados2[[#This Row],[Debe]])</f>
        <v/>
      </c>
      <c r="T130" s="1" t="str">
        <f>IF(Regcontabilizados[[#This Row],[Eliminado]]="si","",RegContabilizados2[[#This Row],[Haber]])</f>
        <v/>
      </c>
      <c r="U130" s="1">
        <f>IFERROR((Regcontabilizados[[#This Row],[Debe]]-Regcontabilizados[[#This Row],[Haber]]),0)</f>
        <v>0</v>
      </c>
      <c r="V130" s="1">
        <f>IFERROR((+_xlfn.XLOOKUP(Regcontabilizados[[#This Row],[Subcuenta]],Tabla11[Cuenta],Tabla11[Descripción],0)),0)</f>
        <v>0</v>
      </c>
      <c r="W130" s="1">
        <f>IFERROR((_xlfn.XLOOKUP((VALUE(LEFT(Regcontabilizados[[#This Row],[Subcuenta]],4))),Tabla11[Cuenta],Tabla11[Descripción],0)),0)</f>
        <v>0</v>
      </c>
      <c r="X130" s="1">
        <f>IFERROR((_xlfn.XLOOKUP(Regcontabilizados[[#This Row],[Subcuenta]],Tabla11[Cuenta],Tabla11[Descripción],0)),0)</f>
        <v>0</v>
      </c>
      <c r="Y130" s="1" t="str">
        <f>IF((IFERROR((FIND((_xlfn.XLOOKUP(RegContabilizados2[[#This Row],[Idenficador]],FormtBorrados[formatos borrados],FormtBorrados[formatos borrados],0)),RegContabilizados2[[#This Row],[Idenficador]])),0))=1,"si","no")</f>
        <v>si</v>
      </c>
      <c r="Z130" s="1" t="str">
        <f>_xlfn.XLOOKUP(Regcontabilizados[[#This Row],[Subcuenta]],Tabla11[Cuenta],Tabla11[TIPO],"")</f>
        <v/>
      </c>
      <c r="AA130" s="1" t="str">
        <f>IFERROR((Regcontabilizados[[#This Row],[Subcuenta]]&amp;" "&amp;_xlfn.XLOOKUP(Regcontabilizados[[#This Row],[Subcuenta]],Tabla11[Cuenta],Tabla11[Descripción],0)),0)</f>
        <v xml:space="preserve"> 0</v>
      </c>
      <c r="AB130" s="1">
        <f>IFERROR((VALUE(LEFT(Regcontabilizados[[#This Row],[Subcuenta]],2))&amp;" "&amp;_xlfn.XLOOKUP((VALUE(LEFT(Regcontabilizados[[#This Row],[Subcuenta]],2))),Tabla11[Cuenta],Tabla11[Descripción],0)),0)</f>
        <v>0</v>
      </c>
      <c r="AC130" s="1">
        <f>IFERROR((VALUE(LEFT(Regcontabilizados[[#This Row],[Subcuenta]],4))&amp;" "&amp;_xlfn.XLOOKUP((VALUE(LEFT(Regcontabilizados[[#This Row],[Subcuenta]],4))),Tabla11[Cuenta],Tabla11[Descripción],0)),0)</f>
        <v>0</v>
      </c>
      <c r="AD130" s="1" t="str">
        <f>IF(Regcontabilizados[[#This Row],[Eliminado]]="si","",RegContabilizados2[[#This Row],[Estado de pago]])</f>
        <v/>
      </c>
      <c r="AE130" s="1" t="str">
        <f>IF(Regcontabilizados[[#This Row],[Eliminado]]="si","",RegContabilizados2[[#This Row],[Colum. Aux. Estado]])</f>
        <v/>
      </c>
      <c r="AF130" s="1" t="str">
        <f>IF(Regcontabilizados[[#This Row],[Eliminado]]="si","",RegContabilizados2[[#This Row],[Número de pago]])</f>
        <v/>
      </c>
      <c r="AG130" s="1" t="str">
        <f>IF(Regcontabilizados[[#This Row],[Eliminado]]="si","",RegContabilizados2[[#This Row],[Elaborado por]])</f>
        <v/>
      </c>
      <c r="AH130" s="1" t="str">
        <f>IF(Regcontabilizados[[#This Row],[Eliminado]]="si","",RegContabilizados2[[#This Row],[Notas]])</f>
        <v/>
      </c>
      <c r="AI130" s="1" t="str">
        <f>IF(Regcontabilizados[[#This Row],[Eliminado]]="si","",RegContabilizados2[[#This Row],[Método de pago]])</f>
        <v/>
      </c>
      <c r="AJ130" s="1" t="str">
        <f>IF(Regcontabilizados[[#This Row],[Eliminado]]="si","",RegContabilizados2[[#This Row],[Cta. Bancaria]])</f>
        <v/>
      </c>
      <c r="AO130" s="31">
        <v>45993</v>
      </c>
      <c r="AP130" s="31">
        <v>45993</v>
      </c>
      <c r="AQ130" s="31" t="s">
        <v>1211</v>
      </c>
      <c r="AR130" s="3">
        <v>763524</v>
      </c>
      <c r="AS130" s="1" t="s">
        <v>1111</v>
      </c>
      <c r="AT130" s="1">
        <v>333333</v>
      </c>
      <c r="AV130" s="3" t="s">
        <v>903</v>
      </c>
      <c r="AW130" s="3"/>
      <c r="AX130" s="3">
        <v>0</v>
      </c>
      <c r="AY130" s="3" t="s">
        <v>1001</v>
      </c>
      <c r="AZ130" s="3" t="s">
        <v>974</v>
      </c>
      <c r="BC130" s="1" t="s">
        <v>1168</v>
      </c>
      <c r="BD130" s="1">
        <v>0</v>
      </c>
      <c r="BE130" s="1">
        <v>0</v>
      </c>
      <c r="BF130" s="1">
        <f>IFERROR((RegContabilizados2[[#This Row],[Debe]]-RegContabilizados2[[#This Row],[Haber]]),0)</f>
        <v>0</v>
      </c>
      <c r="BG130" s="1">
        <f>IFERROR((+_xlfn.XLOOKUP(RegContabilizados2[[#This Row],[Subcuenta]],Tabla11[Cuenta],Tabla11[Descripción],0)),0)</f>
        <v>0</v>
      </c>
      <c r="BH130" s="1">
        <f>IFERROR((VALUE(LEFT(RegContabilizados2[[#This Row],[Subcuenta]],2))&amp;" "&amp;_xlfn.XLOOKUP((VALUE(LEFT(RegContabilizados2[[#This Row],[Subcuenta]],2))),Tabla11[Cuenta],Tabla11[Descripción],0)),0)</f>
        <v>0</v>
      </c>
      <c r="BI130" s="1">
        <f>IFERROR((VALUE(LEFT(RegContabilizados2[[#This Row],[Subcuenta]],4))&amp;" "&amp;_xlfn.XLOOKUP((VALUE(LEFT(RegContabilizados2[[#This Row],[Subcuenta]],4))),Tabla11[Cuenta],Tabla11[Descripción],0)),0)</f>
        <v>0</v>
      </c>
      <c r="BJ130" s="1" t="str">
        <f>IFERROR((RegContabilizados2[[#This Row],[Subcuenta]]&amp;" "&amp;_xlfn.XLOOKUP(RegContabilizados2[[#This Row],[Subcuenta]],Tabla11[Cuenta],Tabla11[Descripción],0)),0)</f>
        <v xml:space="preserve"> 0</v>
      </c>
      <c r="BK130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130" s="1" t="str">
        <f>IFERROR(LEFT(RegContabilizados2[[#This Row],[Idenficador]],SEARCH("-",RegContabilizados2[[#This Row],[Idenficador]])-1),0)</f>
        <v>656565F.C.763524</v>
      </c>
      <c r="BN130" s="1" t="s">
        <v>1169</v>
      </c>
      <c r="BO130" s="1" t="s">
        <v>1207</v>
      </c>
    </row>
    <row r="131" spans="4:67">
      <c r="D131" s="31" t="str">
        <f>IF(Regcontabilizados[[#This Row],[Eliminado]]="si","",RegContabilizados2[[#This Row],[fecha Factura]])</f>
        <v/>
      </c>
      <c r="E131" s="31" t="str">
        <f>IF(Regcontabilizados[[#This Row],[Eliminado]]="si","",RegContabilizados2[[#This Row],[Fecha vencimiento]])</f>
        <v/>
      </c>
      <c r="F131" s="31" t="str">
        <f>IF(Regcontabilizados[[#This Row],[Eliminado]]="si","",RegContabilizados2[[#This Row],[Idenficador]])</f>
        <v/>
      </c>
      <c r="G131" s="3" t="str">
        <f>IF(Regcontabilizados[[#This Row],[Eliminado]]="si","",RegContabilizados2[[#This Row],[N° de factura/Pago]])</f>
        <v/>
      </c>
      <c r="H131" s="1" t="str">
        <f>IF(Regcontabilizados[[#This Row],[Eliminado]]="si","",RegContabilizados2[[#This Row],[Tipo de Factura]])</f>
        <v/>
      </c>
      <c r="I131" s="1" t="str">
        <f>IF(Regcontabilizados[[#This Row],[Eliminado]]="si","",RegContabilizados2[[#This Row],[ID Cliente]])</f>
        <v/>
      </c>
      <c r="J131" s="1" t="str">
        <f>IF(Regcontabilizados[[#This Row],[Eliminado]]="si","",RegContabilizados2[[#This Row],[ESTADO DEL IVA]])</f>
        <v/>
      </c>
      <c r="K131" s="3" t="str">
        <f>IF(Regcontabilizados[[#This Row],[Eliminado]]="si","",RegContabilizados2[[#This Row],[ID Proveedor]])</f>
        <v/>
      </c>
      <c r="L131" s="3" t="str">
        <f>IF(Regcontabilizados[[#This Row],[Eliminado]]="si","",RegContabilizados2[[#This Row],[Concepto]])</f>
        <v/>
      </c>
      <c r="M131" s="3" t="str">
        <f>IF(Regcontabilizados[[#This Row],[Eliminado]]="si","",RegContabilizados2[[#This Row],[Categoría]])</f>
        <v/>
      </c>
      <c r="N131" s="3" t="str">
        <f>IF(Regcontabilizados[[#This Row],[Eliminado]]="si","",RegContabilizados2[[#This Row],[Almacen]])</f>
        <v/>
      </c>
      <c r="O131" s="3" t="str">
        <f>IF(Regcontabilizados[[#This Row],[Eliminado]]="si","",RegContabilizados2[[#This Row],[Tipo de movimiento]])</f>
        <v/>
      </c>
      <c r="P131" s="1" t="str">
        <f>IF(Regcontabilizados[[#This Row],[Eliminado]]="si","",RegContabilizados2[[#This Row],[cantidad]])</f>
        <v/>
      </c>
      <c r="Q131" s="1" t="str">
        <f>IF(Regcontabilizados[[#This Row],[Eliminado]]="si","",RegContabilizados2[[#This Row],[VR unitario]])</f>
        <v/>
      </c>
      <c r="R131" s="1" t="str">
        <f>IF(Regcontabilizados[[#This Row],[Eliminado]]="si","",RegContabilizados2[[#This Row],[Subcuenta]])</f>
        <v/>
      </c>
      <c r="S131" s="1" t="str">
        <f>IF(Regcontabilizados[[#This Row],[Eliminado]]="si","",RegContabilizados2[[#This Row],[Debe]])</f>
        <v/>
      </c>
      <c r="T131" s="1" t="str">
        <f>IF(Regcontabilizados[[#This Row],[Eliminado]]="si","",RegContabilizados2[[#This Row],[Haber]])</f>
        <v/>
      </c>
      <c r="U131" s="1">
        <f>IFERROR((Regcontabilizados[[#This Row],[Debe]]-Regcontabilizados[[#This Row],[Haber]]),0)</f>
        <v>0</v>
      </c>
      <c r="V131" s="1">
        <f>IFERROR((+_xlfn.XLOOKUP(Regcontabilizados[[#This Row],[Subcuenta]],Tabla11[Cuenta],Tabla11[Descripción],0)),0)</f>
        <v>0</v>
      </c>
      <c r="W131" s="1">
        <f>IFERROR((_xlfn.XLOOKUP((VALUE(LEFT(Regcontabilizados[[#This Row],[Subcuenta]],4))),Tabla11[Cuenta],Tabla11[Descripción],0)),0)</f>
        <v>0</v>
      </c>
      <c r="X131" s="1">
        <f>IFERROR((_xlfn.XLOOKUP(Regcontabilizados[[#This Row],[Subcuenta]],Tabla11[Cuenta],Tabla11[Descripción],0)),0)</f>
        <v>0</v>
      </c>
      <c r="Y131" s="1" t="str">
        <f>IF((IFERROR((FIND((_xlfn.XLOOKUP(RegContabilizados2[[#This Row],[Idenficador]],FormtBorrados[formatos borrados],FormtBorrados[formatos borrados],0)),RegContabilizados2[[#This Row],[Idenficador]])),0))=1,"si","no")</f>
        <v>si</v>
      </c>
      <c r="Z131" s="1" t="str">
        <f>_xlfn.XLOOKUP(Regcontabilizados[[#This Row],[Subcuenta]],Tabla11[Cuenta],Tabla11[TIPO],"")</f>
        <v/>
      </c>
      <c r="AA131" s="1" t="str">
        <f>IFERROR((Regcontabilizados[[#This Row],[Subcuenta]]&amp;" "&amp;_xlfn.XLOOKUP(Regcontabilizados[[#This Row],[Subcuenta]],Tabla11[Cuenta],Tabla11[Descripción],0)),0)</f>
        <v xml:space="preserve"> 0</v>
      </c>
      <c r="AB131" s="1">
        <f>IFERROR((VALUE(LEFT(Regcontabilizados[[#This Row],[Subcuenta]],2))&amp;" "&amp;_xlfn.XLOOKUP((VALUE(LEFT(Regcontabilizados[[#This Row],[Subcuenta]],2))),Tabla11[Cuenta],Tabla11[Descripción],0)),0)</f>
        <v>0</v>
      </c>
      <c r="AC131" s="1">
        <f>IFERROR((VALUE(LEFT(Regcontabilizados[[#This Row],[Subcuenta]],4))&amp;" "&amp;_xlfn.XLOOKUP((VALUE(LEFT(Regcontabilizados[[#This Row],[Subcuenta]],4))),Tabla11[Cuenta],Tabla11[Descripción],0)),0)</f>
        <v>0</v>
      </c>
      <c r="AD131" s="1" t="str">
        <f>IF(Regcontabilizados[[#This Row],[Eliminado]]="si","",RegContabilizados2[[#This Row],[Estado de pago]])</f>
        <v/>
      </c>
      <c r="AE131" s="1" t="str">
        <f>IF(Regcontabilizados[[#This Row],[Eliminado]]="si","",RegContabilizados2[[#This Row],[Colum. Aux. Estado]])</f>
        <v/>
      </c>
      <c r="AF131" s="1" t="str">
        <f>IF(Regcontabilizados[[#This Row],[Eliminado]]="si","",RegContabilizados2[[#This Row],[Número de pago]])</f>
        <v/>
      </c>
      <c r="AG131" s="1" t="str">
        <f>IF(Regcontabilizados[[#This Row],[Eliminado]]="si","",RegContabilizados2[[#This Row],[Elaborado por]])</f>
        <v/>
      </c>
      <c r="AH131" s="1" t="str">
        <f>IF(Regcontabilizados[[#This Row],[Eliminado]]="si","",RegContabilizados2[[#This Row],[Notas]])</f>
        <v/>
      </c>
      <c r="AI131" s="1" t="str">
        <f>IF(Regcontabilizados[[#This Row],[Eliminado]]="si","",RegContabilizados2[[#This Row],[Método de pago]])</f>
        <v/>
      </c>
      <c r="AJ131" s="1" t="str">
        <f>IF(Regcontabilizados[[#This Row],[Eliminado]]="si","",RegContabilizados2[[#This Row],[Cta. Bancaria]])</f>
        <v/>
      </c>
      <c r="AO131" s="31">
        <v>45993</v>
      </c>
      <c r="AP131" s="31">
        <v>45993</v>
      </c>
      <c r="AQ131" s="31" t="s">
        <v>1212</v>
      </c>
      <c r="AR131" s="3">
        <v>763524</v>
      </c>
      <c r="AS131" s="1" t="s">
        <v>1111</v>
      </c>
      <c r="AT131" s="1">
        <v>333333</v>
      </c>
      <c r="AV131" s="3" t="s">
        <v>903</v>
      </c>
      <c r="AW131" s="3"/>
      <c r="AX131" s="3">
        <v>0</v>
      </c>
      <c r="AY131" s="3" t="s">
        <v>1001</v>
      </c>
      <c r="AZ131" s="3" t="s">
        <v>974</v>
      </c>
      <c r="BC131" s="1" t="s">
        <v>1168</v>
      </c>
      <c r="BD131" s="1">
        <v>0</v>
      </c>
      <c r="BE131" s="1">
        <v>0</v>
      </c>
      <c r="BF131" s="1">
        <f>IFERROR((RegContabilizados2[[#This Row],[Debe]]-RegContabilizados2[[#This Row],[Haber]]),0)</f>
        <v>0</v>
      </c>
      <c r="BG131" s="1">
        <f>IFERROR((+_xlfn.XLOOKUP(RegContabilizados2[[#This Row],[Subcuenta]],Tabla11[Cuenta],Tabla11[Descripción],0)),0)</f>
        <v>0</v>
      </c>
      <c r="BH131" s="1">
        <f>IFERROR((VALUE(LEFT(RegContabilizados2[[#This Row],[Subcuenta]],2))&amp;" "&amp;_xlfn.XLOOKUP((VALUE(LEFT(RegContabilizados2[[#This Row],[Subcuenta]],2))),Tabla11[Cuenta],Tabla11[Descripción],0)),0)</f>
        <v>0</v>
      </c>
      <c r="BI131" s="1">
        <f>IFERROR((VALUE(LEFT(RegContabilizados2[[#This Row],[Subcuenta]],4))&amp;" "&amp;_xlfn.XLOOKUP((VALUE(LEFT(RegContabilizados2[[#This Row],[Subcuenta]],4))),Tabla11[Cuenta],Tabla11[Descripción],0)),0)</f>
        <v>0</v>
      </c>
      <c r="BJ131" s="1" t="str">
        <f>IFERROR((RegContabilizados2[[#This Row],[Subcuenta]]&amp;" "&amp;_xlfn.XLOOKUP(RegContabilizados2[[#This Row],[Subcuenta]],Tabla11[Cuenta],Tabla11[Descripción],0)),0)</f>
        <v xml:space="preserve"> 0</v>
      </c>
      <c r="BK131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131" s="1" t="str">
        <f>IFERROR(LEFT(RegContabilizados2[[#This Row],[Idenficador]],SEARCH("-",RegContabilizados2[[#This Row],[Idenficador]])-1),0)</f>
        <v>656565F.C.763524</v>
      </c>
      <c r="BN131" s="1" t="s">
        <v>1169</v>
      </c>
      <c r="BO131" s="1" t="s">
        <v>1207</v>
      </c>
    </row>
    <row r="132" spans="4:67">
      <c r="D132" s="31" t="str">
        <f>IF(Regcontabilizados[[#This Row],[Eliminado]]="si","",RegContabilizados2[[#This Row],[fecha Factura]])</f>
        <v/>
      </c>
      <c r="E132" s="31" t="str">
        <f>IF(Regcontabilizados[[#This Row],[Eliminado]]="si","",RegContabilizados2[[#This Row],[Fecha vencimiento]])</f>
        <v/>
      </c>
      <c r="F132" s="31" t="str">
        <f>IF(Regcontabilizados[[#This Row],[Eliminado]]="si","",RegContabilizados2[[#This Row],[Idenficador]])</f>
        <v/>
      </c>
      <c r="G132" s="3" t="str">
        <f>IF(Regcontabilizados[[#This Row],[Eliminado]]="si","",RegContabilizados2[[#This Row],[N° de factura/Pago]])</f>
        <v/>
      </c>
      <c r="H132" s="1" t="str">
        <f>IF(Regcontabilizados[[#This Row],[Eliminado]]="si","",RegContabilizados2[[#This Row],[Tipo de Factura]])</f>
        <v/>
      </c>
      <c r="I132" s="1" t="str">
        <f>IF(Regcontabilizados[[#This Row],[Eliminado]]="si","",RegContabilizados2[[#This Row],[ID Cliente]])</f>
        <v/>
      </c>
      <c r="J132" s="1" t="str">
        <f>IF(Regcontabilizados[[#This Row],[Eliminado]]="si","",RegContabilizados2[[#This Row],[ESTADO DEL IVA]])</f>
        <v/>
      </c>
      <c r="K132" s="3" t="str">
        <f>IF(Regcontabilizados[[#This Row],[Eliminado]]="si","",RegContabilizados2[[#This Row],[ID Proveedor]])</f>
        <v/>
      </c>
      <c r="L132" s="3" t="str">
        <f>IF(Regcontabilizados[[#This Row],[Eliminado]]="si","",RegContabilizados2[[#This Row],[Concepto]])</f>
        <v/>
      </c>
      <c r="M132" s="3" t="str">
        <f>IF(Regcontabilizados[[#This Row],[Eliminado]]="si","",RegContabilizados2[[#This Row],[Categoría]])</f>
        <v/>
      </c>
      <c r="N132" s="3" t="str">
        <f>IF(Regcontabilizados[[#This Row],[Eliminado]]="si","",RegContabilizados2[[#This Row],[Almacen]])</f>
        <v/>
      </c>
      <c r="O132" s="3" t="str">
        <f>IF(Regcontabilizados[[#This Row],[Eliminado]]="si","",RegContabilizados2[[#This Row],[Tipo de movimiento]])</f>
        <v/>
      </c>
      <c r="P132" s="1" t="str">
        <f>IF(Regcontabilizados[[#This Row],[Eliminado]]="si","",RegContabilizados2[[#This Row],[cantidad]])</f>
        <v/>
      </c>
      <c r="Q132" s="1" t="str">
        <f>IF(Regcontabilizados[[#This Row],[Eliminado]]="si","",RegContabilizados2[[#This Row],[VR unitario]])</f>
        <v/>
      </c>
      <c r="R132" s="1" t="str">
        <f>IF(Regcontabilizados[[#This Row],[Eliminado]]="si","",RegContabilizados2[[#This Row],[Subcuenta]])</f>
        <v/>
      </c>
      <c r="S132" s="1" t="str">
        <f>IF(Regcontabilizados[[#This Row],[Eliminado]]="si","",RegContabilizados2[[#This Row],[Debe]])</f>
        <v/>
      </c>
      <c r="T132" s="1" t="str">
        <f>IF(Regcontabilizados[[#This Row],[Eliminado]]="si","",RegContabilizados2[[#This Row],[Haber]])</f>
        <v/>
      </c>
      <c r="U132" s="1">
        <f>IFERROR((Regcontabilizados[[#This Row],[Debe]]-Regcontabilizados[[#This Row],[Haber]]),0)</f>
        <v>0</v>
      </c>
      <c r="V132" s="1">
        <f>IFERROR((+_xlfn.XLOOKUP(Regcontabilizados[[#This Row],[Subcuenta]],Tabla11[Cuenta],Tabla11[Descripción],0)),0)</f>
        <v>0</v>
      </c>
      <c r="W132" s="1">
        <f>IFERROR((_xlfn.XLOOKUP((VALUE(LEFT(Regcontabilizados[[#This Row],[Subcuenta]],4))),Tabla11[Cuenta],Tabla11[Descripción],0)),0)</f>
        <v>0</v>
      </c>
      <c r="X132" s="1">
        <f>IFERROR((_xlfn.XLOOKUP(Regcontabilizados[[#This Row],[Subcuenta]],Tabla11[Cuenta],Tabla11[Descripción],0)),0)</f>
        <v>0</v>
      </c>
      <c r="Y132" s="1" t="str">
        <f>IF((IFERROR((FIND((_xlfn.XLOOKUP(RegContabilizados2[[#This Row],[Idenficador]],FormtBorrados[formatos borrados],FormtBorrados[formatos borrados],0)),RegContabilizados2[[#This Row],[Idenficador]])),0))=1,"si","no")</f>
        <v>si</v>
      </c>
      <c r="Z132" s="1" t="str">
        <f>_xlfn.XLOOKUP(Regcontabilizados[[#This Row],[Subcuenta]],Tabla11[Cuenta],Tabla11[TIPO],"")</f>
        <v/>
      </c>
      <c r="AA132" s="1" t="str">
        <f>IFERROR((Regcontabilizados[[#This Row],[Subcuenta]]&amp;" "&amp;_xlfn.XLOOKUP(Regcontabilizados[[#This Row],[Subcuenta]],Tabla11[Cuenta],Tabla11[Descripción],0)),0)</f>
        <v xml:space="preserve"> 0</v>
      </c>
      <c r="AB132" s="1">
        <f>IFERROR((VALUE(LEFT(Regcontabilizados[[#This Row],[Subcuenta]],2))&amp;" "&amp;_xlfn.XLOOKUP((VALUE(LEFT(Regcontabilizados[[#This Row],[Subcuenta]],2))),Tabla11[Cuenta],Tabla11[Descripción],0)),0)</f>
        <v>0</v>
      </c>
      <c r="AC132" s="1">
        <f>IFERROR((VALUE(LEFT(Regcontabilizados[[#This Row],[Subcuenta]],4))&amp;" "&amp;_xlfn.XLOOKUP((VALUE(LEFT(Regcontabilizados[[#This Row],[Subcuenta]],4))),Tabla11[Cuenta],Tabla11[Descripción],0)),0)</f>
        <v>0</v>
      </c>
      <c r="AD132" s="1" t="str">
        <f>IF(Regcontabilizados[[#This Row],[Eliminado]]="si","",RegContabilizados2[[#This Row],[Estado de pago]])</f>
        <v/>
      </c>
      <c r="AE132" s="1" t="str">
        <f>IF(Regcontabilizados[[#This Row],[Eliminado]]="si","",RegContabilizados2[[#This Row],[Colum. Aux. Estado]])</f>
        <v/>
      </c>
      <c r="AF132" s="1" t="str">
        <f>IF(Regcontabilizados[[#This Row],[Eliminado]]="si","",RegContabilizados2[[#This Row],[Número de pago]])</f>
        <v/>
      </c>
      <c r="AG132" s="1" t="str">
        <f>IF(Regcontabilizados[[#This Row],[Eliminado]]="si","",RegContabilizados2[[#This Row],[Elaborado por]])</f>
        <v/>
      </c>
      <c r="AH132" s="1" t="str">
        <f>IF(Regcontabilizados[[#This Row],[Eliminado]]="si","",RegContabilizados2[[#This Row],[Notas]])</f>
        <v/>
      </c>
      <c r="AI132" s="1" t="str">
        <f>IF(Regcontabilizados[[#This Row],[Eliminado]]="si","",RegContabilizados2[[#This Row],[Método de pago]])</f>
        <v/>
      </c>
      <c r="AJ132" s="1" t="str">
        <f>IF(Regcontabilizados[[#This Row],[Eliminado]]="si","",RegContabilizados2[[#This Row],[Cta. Bancaria]])</f>
        <v/>
      </c>
      <c r="AO132" s="31">
        <v>45993</v>
      </c>
      <c r="AP132" s="31">
        <v>45993</v>
      </c>
      <c r="AQ132" s="31" t="s">
        <v>1213</v>
      </c>
      <c r="AR132" s="3">
        <v>763524</v>
      </c>
      <c r="AS132" s="1" t="s">
        <v>1111</v>
      </c>
      <c r="AT132" s="1">
        <v>333333</v>
      </c>
      <c r="AV132" s="3" t="s">
        <v>903</v>
      </c>
      <c r="AW132" s="3"/>
      <c r="AX132" s="3">
        <v>0</v>
      </c>
      <c r="AY132" s="3" t="s">
        <v>1001</v>
      </c>
      <c r="AZ132" s="3" t="s">
        <v>974</v>
      </c>
      <c r="BC132" s="1" t="s">
        <v>1168</v>
      </c>
      <c r="BD132" s="1">
        <v>0</v>
      </c>
      <c r="BE132" s="1">
        <v>0</v>
      </c>
      <c r="BF132" s="1">
        <f>IFERROR((RegContabilizados2[[#This Row],[Debe]]-RegContabilizados2[[#This Row],[Haber]]),0)</f>
        <v>0</v>
      </c>
      <c r="BG132" s="1">
        <f>IFERROR((+_xlfn.XLOOKUP(RegContabilizados2[[#This Row],[Subcuenta]],Tabla11[Cuenta],Tabla11[Descripción],0)),0)</f>
        <v>0</v>
      </c>
      <c r="BH132" s="1">
        <f>IFERROR((VALUE(LEFT(RegContabilizados2[[#This Row],[Subcuenta]],2))&amp;" "&amp;_xlfn.XLOOKUP((VALUE(LEFT(RegContabilizados2[[#This Row],[Subcuenta]],2))),Tabla11[Cuenta],Tabla11[Descripción],0)),0)</f>
        <v>0</v>
      </c>
      <c r="BI132" s="1">
        <f>IFERROR((VALUE(LEFT(RegContabilizados2[[#This Row],[Subcuenta]],4))&amp;" "&amp;_xlfn.XLOOKUP((VALUE(LEFT(RegContabilizados2[[#This Row],[Subcuenta]],4))),Tabla11[Cuenta],Tabla11[Descripción],0)),0)</f>
        <v>0</v>
      </c>
      <c r="BJ132" s="1" t="str">
        <f>IFERROR((RegContabilizados2[[#This Row],[Subcuenta]]&amp;" "&amp;_xlfn.XLOOKUP(RegContabilizados2[[#This Row],[Subcuenta]],Tabla11[Cuenta],Tabla11[Descripción],0)),0)</f>
        <v xml:space="preserve"> 0</v>
      </c>
      <c r="BK132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132" s="1" t="str">
        <f>IFERROR(LEFT(RegContabilizados2[[#This Row],[Idenficador]],SEARCH("-",RegContabilizados2[[#This Row],[Idenficador]])-1),0)</f>
        <v>656565F.C.763524</v>
      </c>
      <c r="BN132" s="1" t="s">
        <v>1169</v>
      </c>
      <c r="BO132" s="1" t="s">
        <v>1207</v>
      </c>
    </row>
    <row r="133" spans="4:67">
      <c r="D133" s="31" t="str">
        <f>IF(Regcontabilizados[[#This Row],[Eliminado]]="si","",RegContabilizados2[[#This Row],[fecha Factura]])</f>
        <v/>
      </c>
      <c r="E133" s="31" t="str">
        <f>IF(Regcontabilizados[[#This Row],[Eliminado]]="si","",RegContabilizados2[[#This Row],[Fecha vencimiento]])</f>
        <v/>
      </c>
      <c r="F133" s="31" t="str">
        <f>IF(Regcontabilizados[[#This Row],[Eliminado]]="si","",RegContabilizados2[[#This Row],[Idenficador]])</f>
        <v/>
      </c>
      <c r="G133" s="3" t="str">
        <f>IF(Regcontabilizados[[#This Row],[Eliminado]]="si","",RegContabilizados2[[#This Row],[N° de factura/Pago]])</f>
        <v/>
      </c>
      <c r="H133" s="1" t="str">
        <f>IF(Regcontabilizados[[#This Row],[Eliminado]]="si","",RegContabilizados2[[#This Row],[Tipo de Factura]])</f>
        <v/>
      </c>
      <c r="I133" s="1" t="str">
        <f>IF(Regcontabilizados[[#This Row],[Eliminado]]="si","",RegContabilizados2[[#This Row],[ID Cliente]])</f>
        <v/>
      </c>
      <c r="J133" s="1" t="str">
        <f>IF(Regcontabilizados[[#This Row],[Eliminado]]="si","",RegContabilizados2[[#This Row],[ESTADO DEL IVA]])</f>
        <v/>
      </c>
      <c r="K133" s="3" t="str">
        <f>IF(Regcontabilizados[[#This Row],[Eliminado]]="si","",RegContabilizados2[[#This Row],[ID Proveedor]])</f>
        <v/>
      </c>
      <c r="L133" s="3" t="str">
        <f>IF(Regcontabilizados[[#This Row],[Eliminado]]="si","",RegContabilizados2[[#This Row],[Concepto]])</f>
        <v/>
      </c>
      <c r="M133" s="3" t="str">
        <f>IF(Regcontabilizados[[#This Row],[Eliminado]]="si","",RegContabilizados2[[#This Row],[Categoría]])</f>
        <v/>
      </c>
      <c r="N133" s="3" t="str">
        <f>IF(Regcontabilizados[[#This Row],[Eliminado]]="si","",RegContabilizados2[[#This Row],[Almacen]])</f>
        <v/>
      </c>
      <c r="O133" s="3" t="str">
        <f>IF(Regcontabilizados[[#This Row],[Eliminado]]="si","",RegContabilizados2[[#This Row],[Tipo de movimiento]])</f>
        <v/>
      </c>
      <c r="P133" s="1" t="str">
        <f>IF(Regcontabilizados[[#This Row],[Eliminado]]="si","",RegContabilizados2[[#This Row],[cantidad]])</f>
        <v/>
      </c>
      <c r="Q133" s="1" t="str">
        <f>IF(Regcontabilizados[[#This Row],[Eliminado]]="si","",RegContabilizados2[[#This Row],[VR unitario]])</f>
        <v/>
      </c>
      <c r="R133" s="1" t="str">
        <f>IF(Regcontabilizados[[#This Row],[Eliminado]]="si","",RegContabilizados2[[#This Row],[Subcuenta]])</f>
        <v/>
      </c>
      <c r="S133" s="1" t="str">
        <f>IF(Regcontabilizados[[#This Row],[Eliminado]]="si","",RegContabilizados2[[#This Row],[Debe]])</f>
        <v/>
      </c>
      <c r="T133" s="1" t="str">
        <f>IF(Regcontabilizados[[#This Row],[Eliminado]]="si","",RegContabilizados2[[#This Row],[Haber]])</f>
        <v/>
      </c>
      <c r="U133" s="1">
        <f>IFERROR((Regcontabilizados[[#This Row],[Debe]]-Regcontabilizados[[#This Row],[Haber]]),0)</f>
        <v>0</v>
      </c>
      <c r="V133" s="1">
        <f>IFERROR((+_xlfn.XLOOKUP(Regcontabilizados[[#This Row],[Subcuenta]],Tabla11[Cuenta],Tabla11[Descripción],0)),0)</f>
        <v>0</v>
      </c>
      <c r="W133" s="1">
        <f>IFERROR((_xlfn.XLOOKUP((VALUE(LEFT(Regcontabilizados[[#This Row],[Subcuenta]],4))),Tabla11[Cuenta],Tabla11[Descripción],0)),0)</f>
        <v>0</v>
      </c>
      <c r="X133" s="1">
        <f>IFERROR((_xlfn.XLOOKUP(Regcontabilizados[[#This Row],[Subcuenta]],Tabla11[Cuenta],Tabla11[Descripción],0)),0)</f>
        <v>0</v>
      </c>
      <c r="Y133" s="1" t="str">
        <f>IF((IFERROR((FIND((_xlfn.XLOOKUP(RegContabilizados2[[#This Row],[Idenficador]],FormtBorrados[formatos borrados],FormtBorrados[formatos borrados],0)),RegContabilizados2[[#This Row],[Idenficador]])),0))=1,"si","no")</f>
        <v>si</v>
      </c>
      <c r="Z133" s="1" t="str">
        <f>_xlfn.XLOOKUP(Regcontabilizados[[#This Row],[Subcuenta]],Tabla11[Cuenta],Tabla11[TIPO],"")</f>
        <v/>
      </c>
      <c r="AA133" s="1" t="str">
        <f>IFERROR((Regcontabilizados[[#This Row],[Subcuenta]]&amp;" "&amp;_xlfn.XLOOKUP(Regcontabilizados[[#This Row],[Subcuenta]],Tabla11[Cuenta],Tabla11[Descripción],0)),0)</f>
        <v xml:space="preserve"> 0</v>
      </c>
      <c r="AB133" s="1">
        <f>IFERROR((VALUE(LEFT(Regcontabilizados[[#This Row],[Subcuenta]],2))&amp;" "&amp;_xlfn.XLOOKUP((VALUE(LEFT(Regcontabilizados[[#This Row],[Subcuenta]],2))),Tabla11[Cuenta],Tabla11[Descripción],0)),0)</f>
        <v>0</v>
      </c>
      <c r="AC133" s="1">
        <f>IFERROR((VALUE(LEFT(Regcontabilizados[[#This Row],[Subcuenta]],4))&amp;" "&amp;_xlfn.XLOOKUP((VALUE(LEFT(Regcontabilizados[[#This Row],[Subcuenta]],4))),Tabla11[Cuenta],Tabla11[Descripción],0)),0)</f>
        <v>0</v>
      </c>
      <c r="AD133" s="1" t="str">
        <f>IF(Regcontabilizados[[#This Row],[Eliminado]]="si","",RegContabilizados2[[#This Row],[Estado de pago]])</f>
        <v/>
      </c>
      <c r="AE133" s="1" t="str">
        <f>IF(Regcontabilizados[[#This Row],[Eliminado]]="si","",RegContabilizados2[[#This Row],[Colum. Aux. Estado]])</f>
        <v/>
      </c>
      <c r="AF133" s="1" t="str">
        <f>IF(Regcontabilizados[[#This Row],[Eliminado]]="si","",RegContabilizados2[[#This Row],[Número de pago]])</f>
        <v/>
      </c>
      <c r="AG133" s="1" t="str">
        <f>IF(Regcontabilizados[[#This Row],[Eliminado]]="si","",RegContabilizados2[[#This Row],[Elaborado por]])</f>
        <v/>
      </c>
      <c r="AH133" s="1" t="str">
        <f>IF(Regcontabilizados[[#This Row],[Eliminado]]="si","",RegContabilizados2[[#This Row],[Notas]])</f>
        <v/>
      </c>
      <c r="AI133" s="1" t="str">
        <f>IF(Regcontabilizados[[#This Row],[Eliminado]]="si","",RegContabilizados2[[#This Row],[Método de pago]])</f>
        <v/>
      </c>
      <c r="AJ133" s="1" t="str">
        <f>IF(Regcontabilizados[[#This Row],[Eliminado]]="si","",RegContabilizados2[[#This Row],[Cta. Bancaria]])</f>
        <v/>
      </c>
      <c r="AO133" s="31">
        <v>45993</v>
      </c>
      <c r="AP133" s="31">
        <v>45993</v>
      </c>
      <c r="AQ133" s="31" t="s">
        <v>1214</v>
      </c>
      <c r="AR133" s="3">
        <v>763524</v>
      </c>
      <c r="AS133" s="1" t="s">
        <v>1111</v>
      </c>
      <c r="AT133" s="1">
        <v>333333</v>
      </c>
      <c r="AV133" s="3" t="s">
        <v>903</v>
      </c>
      <c r="AW133" s="3"/>
      <c r="AX133" s="3">
        <v>0</v>
      </c>
      <c r="AY133" s="3" t="s">
        <v>1001</v>
      </c>
      <c r="AZ133" s="3" t="s">
        <v>974</v>
      </c>
      <c r="BC133" s="1" t="s">
        <v>1168</v>
      </c>
      <c r="BD133" s="1">
        <v>0</v>
      </c>
      <c r="BE133" s="1">
        <v>0</v>
      </c>
      <c r="BF133" s="1">
        <f>IFERROR((RegContabilizados2[[#This Row],[Debe]]-RegContabilizados2[[#This Row],[Haber]]),0)</f>
        <v>0</v>
      </c>
      <c r="BG133" s="1">
        <f>IFERROR((+_xlfn.XLOOKUP(RegContabilizados2[[#This Row],[Subcuenta]],Tabla11[Cuenta],Tabla11[Descripción],0)),0)</f>
        <v>0</v>
      </c>
      <c r="BH133" s="1">
        <f>IFERROR((VALUE(LEFT(RegContabilizados2[[#This Row],[Subcuenta]],2))&amp;" "&amp;_xlfn.XLOOKUP((VALUE(LEFT(RegContabilizados2[[#This Row],[Subcuenta]],2))),Tabla11[Cuenta],Tabla11[Descripción],0)),0)</f>
        <v>0</v>
      </c>
      <c r="BI133" s="1">
        <f>IFERROR((VALUE(LEFT(RegContabilizados2[[#This Row],[Subcuenta]],4))&amp;" "&amp;_xlfn.XLOOKUP((VALUE(LEFT(RegContabilizados2[[#This Row],[Subcuenta]],4))),Tabla11[Cuenta],Tabla11[Descripción],0)),0)</f>
        <v>0</v>
      </c>
      <c r="BJ133" s="1" t="str">
        <f>IFERROR((RegContabilizados2[[#This Row],[Subcuenta]]&amp;" "&amp;_xlfn.XLOOKUP(RegContabilizados2[[#This Row],[Subcuenta]],Tabla11[Cuenta],Tabla11[Descripción],0)),0)</f>
        <v xml:space="preserve"> 0</v>
      </c>
      <c r="BK133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133" s="1" t="str">
        <f>IFERROR(LEFT(RegContabilizados2[[#This Row],[Idenficador]],SEARCH("-",RegContabilizados2[[#This Row],[Idenficador]])-1),0)</f>
        <v>656565F.C.763524</v>
      </c>
      <c r="BN133" s="1" t="s">
        <v>1169</v>
      </c>
      <c r="BO133" s="1" t="s">
        <v>1207</v>
      </c>
    </row>
    <row r="134" spans="4:67">
      <c r="D134" s="31" t="str">
        <f>IF(Regcontabilizados[[#This Row],[Eliminado]]="si","",RegContabilizados2[[#This Row],[fecha Factura]])</f>
        <v/>
      </c>
      <c r="E134" s="31" t="str">
        <f>IF(Regcontabilizados[[#This Row],[Eliminado]]="si","",RegContabilizados2[[#This Row],[Fecha vencimiento]])</f>
        <v/>
      </c>
      <c r="F134" s="31" t="str">
        <f>IF(Regcontabilizados[[#This Row],[Eliminado]]="si","",RegContabilizados2[[#This Row],[Idenficador]])</f>
        <v/>
      </c>
      <c r="G134" s="3" t="str">
        <f>IF(Regcontabilizados[[#This Row],[Eliminado]]="si","",RegContabilizados2[[#This Row],[N° de factura/Pago]])</f>
        <v/>
      </c>
      <c r="H134" s="1" t="str">
        <f>IF(Regcontabilizados[[#This Row],[Eliminado]]="si","",RegContabilizados2[[#This Row],[Tipo de Factura]])</f>
        <v/>
      </c>
      <c r="I134" s="1" t="str">
        <f>IF(Regcontabilizados[[#This Row],[Eliminado]]="si","",RegContabilizados2[[#This Row],[ID Cliente]])</f>
        <v/>
      </c>
      <c r="J134" s="1" t="str">
        <f>IF(Regcontabilizados[[#This Row],[Eliminado]]="si","",RegContabilizados2[[#This Row],[ESTADO DEL IVA]])</f>
        <v/>
      </c>
      <c r="K134" s="3" t="str">
        <f>IF(Regcontabilizados[[#This Row],[Eliminado]]="si","",RegContabilizados2[[#This Row],[ID Proveedor]])</f>
        <v/>
      </c>
      <c r="L134" s="3" t="str">
        <f>IF(Regcontabilizados[[#This Row],[Eliminado]]="si","",RegContabilizados2[[#This Row],[Concepto]])</f>
        <v/>
      </c>
      <c r="M134" s="3" t="str">
        <f>IF(Regcontabilizados[[#This Row],[Eliminado]]="si","",RegContabilizados2[[#This Row],[Categoría]])</f>
        <v/>
      </c>
      <c r="N134" s="3" t="str">
        <f>IF(Regcontabilizados[[#This Row],[Eliminado]]="si","",RegContabilizados2[[#This Row],[Almacen]])</f>
        <v/>
      </c>
      <c r="O134" s="3" t="str">
        <f>IF(Regcontabilizados[[#This Row],[Eliminado]]="si","",RegContabilizados2[[#This Row],[Tipo de movimiento]])</f>
        <v/>
      </c>
      <c r="P134" s="1" t="str">
        <f>IF(Regcontabilizados[[#This Row],[Eliminado]]="si","",RegContabilizados2[[#This Row],[cantidad]])</f>
        <v/>
      </c>
      <c r="Q134" s="1" t="str">
        <f>IF(Regcontabilizados[[#This Row],[Eliminado]]="si","",RegContabilizados2[[#This Row],[VR unitario]])</f>
        <v/>
      </c>
      <c r="R134" s="1" t="str">
        <f>IF(Regcontabilizados[[#This Row],[Eliminado]]="si","",RegContabilizados2[[#This Row],[Subcuenta]])</f>
        <v/>
      </c>
      <c r="S134" s="1" t="str">
        <f>IF(Regcontabilizados[[#This Row],[Eliminado]]="si","",RegContabilizados2[[#This Row],[Debe]])</f>
        <v/>
      </c>
      <c r="T134" s="1" t="str">
        <f>IF(Regcontabilizados[[#This Row],[Eliminado]]="si","",RegContabilizados2[[#This Row],[Haber]])</f>
        <v/>
      </c>
      <c r="U134" s="1">
        <f>IFERROR((Regcontabilizados[[#This Row],[Debe]]-Regcontabilizados[[#This Row],[Haber]]),0)</f>
        <v>0</v>
      </c>
      <c r="V134" s="1">
        <f>IFERROR((+_xlfn.XLOOKUP(Regcontabilizados[[#This Row],[Subcuenta]],Tabla11[Cuenta],Tabla11[Descripción],0)),0)</f>
        <v>0</v>
      </c>
      <c r="W134" s="1">
        <f>IFERROR((_xlfn.XLOOKUP((VALUE(LEFT(Regcontabilizados[[#This Row],[Subcuenta]],4))),Tabla11[Cuenta],Tabla11[Descripción],0)),0)</f>
        <v>0</v>
      </c>
      <c r="X134" s="1">
        <f>IFERROR((_xlfn.XLOOKUP(Regcontabilizados[[#This Row],[Subcuenta]],Tabla11[Cuenta],Tabla11[Descripción],0)),0)</f>
        <v>0</v>
      </c>
      <c r="Y134" s="1" t="str">
        <f>IF((IFERROR((FIND((_xlfn.XLOOKUP(RegContabilizados2[[#This Row],[Idenficador]],FormtBorrados[formatos borrados],FormtBorrados[formatos borrados],0)),RegContabilizados2[[#This Row],[Idenficador]])),0))=1,"si","no")</f>
        <v>si</v>
      </c>
      <c r="Z134" s="1" t="str">
        <f>_xlfn.XLOOKUP(Regcontabilizados[[#This Row],[Subcuenta]],Tabla11[Cuenta],Tabla11[TIPO],"")</f>
        <v/>
      </c>
      <c r="AA134" s="1" t="str">
        <f>IFERROR((Regcontabilizados[[#This Row],[Subcuenta]]&amp;" "&amp;_xlfn.XLOOKUP(Regcontabilizados[[#This Row],[Subcuenta]],Tabla11[Cuenta],Tabla11[Descripción],0)),0)</f>
        <v xml:space="preserve"> 0</v>
      </c>
      <c r="AB134" s="1">
        <f>IFERROR((VALUE(LEFT(Regcontabilizados[[#This Row],[Subcuenta]],2))&amp;" "&amp;_xlfn.XLOOKUP((VALUE(LEFT(Regcontabilizados[[#This Row],[Subcuenta]],2))),Tabla11[Cuenta],Tabla11[Descripción],0)),0)</f>
        <v>0</v>
      </c>
      <c r="AC134" s="1">
        <f>IFERROR((VALUE(LEFT(Regcontabilizados[[#This Row],[Subcuenta]],4))&amp;" "&amp;_xlfn.XLOOKUP((VALUE(LEFT(Regcontabilizados[[#This Row],[Subcuenta]],4))),Tabla11[Cuenta],Tabla11[Descripción],0)),0)</f>
        <v>0</v>
      </c>
      <c r="AD134" s="1" t="str">
        <f>IF(Regcontabilizados[[#This Row],[Eliminado]]="si","",RegContabilizados2[[#This Row],[Estado de pago]])</f>
        <v/>
      </c>
      <c r="AE134" s="1" t="str">
        <f>IF(Regcontabilizados[[#This Row],[Eliminado]]="si","",RegContabilizados2[[#This Row],[Colum. Aux. Estado]])</f>
        <v/>
      </c>
      <c r="AF134" s="1" t="str">
        <f>IF(Regcontabilizados[[#This Row],[Eliminado]]="si","",RegContabilizados2[[#This Row],[Número de pago]])</f>
        <v/>
      </c>
      <c r="AG134" s="1" t="str">
        <f>IF(Regcontabilizados[[#This Row],[Eliminado]]="si","",RegContabilizados2[[#This Row],[Elaborado por]])</f>
        <v/>
      </c>
      <c r="AH134" s="1" t="str">
        <f>IF(Regcontabilizados[[#This Row],[Eliminado]]="si","",RegContabilizados2[[#This Row],[Notas]])</f>
        <v/>
      </c>
      <c r="AI134" s="1" t="str">
        <f>IF(Regcontabilizados[[#This Row],[Eliminado]]="si","",RegContabilizados2[[#This Row],[Método de pago]])</f>
        <v/>
      </c>
      <c r="AJ134" s="1" t="str">
        <f>IF(Regcontabilizados[[#This Row],[Eliminado]]="si","",RegContabilizados2[[#This Row],[Cta. Bancaria]])</f>
        <v/>
      </c>
      <c r="AO134" s="31">
        <v>45993</v>
      </c>
      <c r="AP134" s="31">
        <v>45993</v>
      </c>
      <c r="AQ134" s="31" t="s">
        <v>1215</v>
      </c>
      <c r="AR134" s="3">
        <v>763524</v>
      </c>
      <c r="AS134" s="1" t="s">
        <v>1111</v>
      </c>
      <c r="AT134" s="1">
        <v>333333</v>
      </c>
      <c r="AV134" s="3" t="s">
        <v>903</v>
      </c>
      <c r="AW134" s="3"/>
      <c r="AX134" s="3">
        <v>0</v>
      </c>
      <c r="AY134" s="3" t="s">
        <v>1001</v>
      </c>
      <c r="AZ134" s="3" t="s">
        <v>974</v>
      </c>
      <c r="BC134" s="1" t="s">
        <v>1168</v>
      </c>
      <c r="BD134" s="1">
        <v>0</v>
      </c>
      <c r="BE134" s="1">
        <v>0</v>
      </c>
      <c r="BF134" s="1">
        <f>IFERROR((RegContabilizados2[[#This Row],[Debe]]-RegContabilizados2[[#This Row],[Haber]]),0)</f>
        <v>0</v>
      </c>
      <c r="BG134" s="1">
        <f>IFERROR((+_xlfn.XLOOKUP(RegContabilizados2[[#This Row],[Subcuenta]],Tabla11[Cuenta],Tabla11[Descripción],0)),0)</f>
        <v>0</v>
      </c>
      <c r="BH134" s="1">
        <f>IFERROR((VALUE(LEFT(RegContabilizados2[[#This Row],[Subcuenta]],2))&amp;" "&amp;_xlfn.XLOOKUP((VALUE(LEFT(RegContabilizados2[[#This Row],[Subcuenta]],2))),Tabla11[Cuenta],Tabla11[Descripción],0)),0)</f>
        <v>0</v>
      </c>
      <c r="BI134" s="1">
        <f>IFERROR((VALUE(LEFT(RegContabilizados2[[#This Row],[Subcuenta]],4))&amp;" "&amp;_xlfn.XLOOKUP((VALUE(LEFT(RegContabilizados2[[#This Row],[Subcuenta]],4))),Tabla11[Cuenta],Tabla11[Descripción],0)),0)</f>
        <v>0</v>
      </c>
      <c r="BJ134" s="1" t="str">
        <f>IFERROR((RegContabilizados2[[#This Row],[Subcuenta]]&amp;" "&amp;_xlfn.XLOOKUP(RegContabilizados2[[#This Row],[Subcuenta]],Tabla11[Cuenta],Tabla11[Descripción],0)),0)</f>
        <v xml:space="preserve"> 0</v>
      </c>
      <c r="BK134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134" s="1" t="str">
        <f>IFERROR(LEFT(RegContabilizados2[[#This Row],[Idenficador]],SEARCH("-",RegContabilizados2[[#This Row],[Idenficador]])-1),0)</f>
        <v>656565F.C.763524</v>
      </c>
      <c r="BN134" s="1" t="s">
        <v>1169</v>
      </c>
      <c r="BO134" s="1" t="s">
        <v>1207</v>
      </c>
    </row>
    <row r="135" spans="4:67">
      <c r="D135" s="31" t="str">
        <f>IF(Regcontabilizados[[#This Row],[Eliminado]]="si","",RegContabilizados2[[#This Row],[fecha Factura]])</f>
        <v/>
      </c>
      <c r="E135" s="31" t="str">
        <f>IF(Regcontabilizados[[#This Row],[Eliminado]]="si","",RegContabilizados2[[#This Row],[Fecha vencimiento]])</f>
        <v/>
      </c>
      <c r="F135" s="31" t="str">
        <f>IF(Regcontabilizados[[#This Row],[Eliminado]]="si","",RegContabilizados2[[#This Row],[Idenficador]])</f>
        <v/>
      </c>
      <c r="G135" s="3" t="str">
        <f>IF(Regcontabilizados[[#This Row],[Eliminado]]="si","",RegContabilizados2[[#This Row],[N° de factura/Pago]])</f>
        <v/>
      </c>
      <c r="H135" s="1" t="str">
        <f>IF(Regcontabilizados[[#This Row],[Eliminado]]="si","",RegContabilizados2[[#This Row],[Tipo de Factura]])</f>
        <v/>
      </c>
      <c r="I135" s="1" t="str">
        <f>IF(Regcontabilizados[[#This Row],[Eliminado]]="si","",RegContabilizados2[[#This Row],[ID Cliente]])</f>
        <v/>
      </c>
      <c r="J135" s="1" t="str">
        <f>IF(Regcontabilizados[[#This Row],[Eliminado]]="si","",RegContabilizados2[[#This Row],[ESTADO DEL IVA]])</f>
        <v/>
      </c>
      <c r="K135" s="3" t="str">
        <f>IF(Regcontabilizados[[#This Row],[Eliminado]]="si","",RegContabilizados2[[#This Row],[ID Proveedor]])</f>
        <v/>
      </c>
      <c r="L135" s="3" t="str">
        <f>IF(Regcontabilizados[[#This Row],[Eliminado]]="si","",RegContabilizados2[[#This Row],[Concepto]])</f>
        <v/>
      </c>
      <c r="M135" s="3" t="str">
        <f>IF(Regcontabilizados[[#This Row],[Eliminado]]="si","",RegContabilizados2[[#This Row],[Categoría]])</f>
        <v/>
      </c>
      <c r="N135" s="3" t="str">
        <f>IF(Regcontabilizados[[#This Row],[Eliminado]]="si","",RegContabilizados2[[#This Row],[Almacen]])</f>
        <v/>
      </c>
      <c r="O135" s="3" t="str">
        <f>IF(Regcontabilizados[[#This Row],[Eliminado]]="si","",RegContabilizados2[[#This Row],[Tipo de movimiento]])</f>
        <v/>
      </c>
      <c r="P135" s="1" t="str">
        <f>IF(Regcontabilizados[[#This Row],[Eliminado]]="si","",RegContabilizados2[[#This Row],[cantidad]])</f>
        <v/>
      </c>
      <c r="Q135" s="1" t="str">
        <f>IF(Regcontabilizados[[#This Row],[Eliminado]]="si","",RegContabilizados2[[#This Row],[VR unitario]])</f>
        <v/>
      </c>
      <c r="R135" s="1" t="str">
        <f>IF(Regcontabilizados[[#This Row],[Eliminado]]="si","",RegContabilizados2[[#This Row],[Subcuenta]])</f>
        <v/>
      </c>
      <c r="S135" s="1" t="str">
        <f>IF(Regcontabilizados[[#This Row],[Eliminado]]="si","",RegContabilizados2[[#This Row],[Debe]])</f>
        <v/>
      </c>
      <c r="T135" s="1" t="str">
        <f>IF(Regcontabilizados[[#This Row],[Eliminado]]="si","",RegContabilizados2[[#This Row],[Haber]])</f>
        <v/>
      </c>
      <c r="U135" s="1">
        <f>IFERROR((Regcontabilizados[[#This Row],[Debe]]-Regcontabilizados[[#This Row],[Haber]]),0)</f>
        <v>0</v>
      </c>
      <c r="V135" s="1">
        <f>IFERROR((+_xlfn.XLOOKUP(Regcontabilizados[[#This Row],[Subcuenta]],Tabla11[Cuenta],Tabla11[Descripción],0)),0)</f>
        <v>0</v>
      </c>
      <c r="W135" s="1">
        <f>IFERROR((_xlfn.XLOOKUP((VALUE(LEFT(Regcontabilizados[[#This Row],[Subcuenta]],4))),Tabla11[Cuenta],Tabla11[Descripción],0)),0)</f>
        <v>0</v>
      </c>
      <c r="X135" s="1">
        <f>IFERROR((_xlfn.XLOOKUP(Regcontabilizados[[#This Row],[Subcuenta]],Tabla11[Cuenta],Tabla11[Descripción],0)),0)</f>
        <v>0</v>
      </c>
      <c r="Y135" s="1" t="str">
        <f>IF((IFERROR((FIND((_xlfn.XLOOKUP(RegContabilizados2[[#This Row],[Idenficador]],FormtBorrados[formatos borrados],FormtBorrados[formatos borrados],0)),RegContabilizados2[[#This Row],[Idenficador]])),0))=1,"si","no")</f>
        <v>si</v>
      </c>
      <c r="Z135" s="1" t="str">
        <f>_xlfn.XLOOKUP(Regcontabilizados[[#This Row],[Subcuenta]],Tabla11[Cuenta],Tabla11[TIPO],"")</f>
        <v/>
      </c>
      <c r="AA135" s="1" t="str">
        <f>IFERROR((Regcontabilizados[[#This Row],[Subcuenta]]&amp;" "&amp;_xlfn.XLOOKUP(Regcontabilizados[[#This Row],[Subcuenta]],Tabla11[Cuenta],Tabla11[Descripción],0)),0)</f>
        <v xml:space="preserve"> 0</v>
      </c>
      <c r="AB135" s="1">
        <f>IFERROR((VALUE(LEFT(Regcontabilizados[[#This Row],[Subcuenta]],2))&amp;" "&amp;_xlfn.XLOOKUP((VALUE(LEFT(Regcontabilizados[[#This Row],[Subcuenta]],2))),Tabla11[Cuenta],Tabla11[Descripción],0)),0)</f>
        <v>0</v>
      </c>
      <c r="AC135" s="1">
        <f>IFERROR((VALUE(LEFT(Regcontabilizados[[#This Row],[Subcuenta]],4))&amp;" "&amp;_xlfn.XLOOKUP((VALUE(LEFT(Regcontabilizados[[#This Row],[Subcuenta]],4))),Tabla11[Cuenta],Tabla11[Descripción],0)),0)</f>
        <v>0</v>
      </c>
      <c r="AD135" s="1" t="str">
        <f>IF(Regcontabilizados[[#This Row],[Eliminado]]="si","",RegContabilizados2[[#This Row],[Estado de pago]])</f>
        <v/>
      </c>
      <c r="AE135" s="1" t="str">
        <f>IF(Regcontabilizados[[#This Row],[Eliminado]]="si","",RegContabilizados2[[#This Row],[Colum. Aux. Estado]])</f>
        <v/>
      </c>
      <c r="AF135" s="1" t="str">
        <f>IF(Regcontabilizados[[#This Row],[Eliminado]]="si","",RegContabilizados2[[#This Row],[Número de pago]])</f>
        <v/>
      </c>
      <c r="AG135" s="1" t="str">
        <f>IF(Regcontabilizados[[#This Row],[Eliminado]]="si","",RegContabilizados2[[#This Row],[Elaborado por]])</f>
        <v/>
      </c>
      <c r="AH135" s="1" t="str">
        <f>IF(Regcontabilizados[[#This Row],[Eliminado]]="si","",RegContabilizados2[[#This Row],[Notas]])</f>
        <v/>
      </c>
      <c r="AI135" s="1" t="str">
        <f>IF(Regcontabilizados[[#This Row],[Eliminado]]="si","",RegContabilizados2[[#This Row],[Método de pago]])</f>
        <v/>
      </c>
      <c r="AJ135" s="1" t="str">
        <f>IF(Regcontabilizados[[#This Row],[Eliminado]]="si","",RegContabilizados2[[#This Row],[Cta. Bancaria]])</f>
        <v/>
      </c>
      <c r="AO135" s="31">
        <v>45993</v>
      </c>
      <c r="AP135" s="31">
        <v>45993</v>
      </c>
      <c r="AQ135" s="31" t="s">
        <v>1216</v>
      </c>
      <c r="AR135" s="3">
        <v>763524</v>
      </c>
      <c r="AS135" s="1" t="s">
        <v>1111</v>
      </c>
      <c r="AT135" s="1">
        <v>333333</v>
      </c>
      <c r="AV135" s="3" t="s">
        <v>903</v>
      </c>
      <c r="AW135" s="3"/>
      <c r="AX135" s="3">
        <v>0</v>
      </c>
      <c r="AY135" s="3" t="s">
        <v>1001</v>
      </c>
      <c r="AZ135" s="3" t="s">
        <v>974</v>
      </c>
      <c r="BC135" s="1" t="s">
        <v>1168</v>
      </c>
      <c r="BD135" s="1">
        <v>0</v>
      </c>
      <c r="BE135" s="1">
        <v>0</v>
      </c>
      <c r="BF135" s="1">
        <f>IFERROR((RegContabilizados2[[#This Row],[Debe]]-RegContabilizados2[[#This Row],[Haber]]),0)</f>
        <v>0</v>
      </c>
      <c r="BG135" s="1">
        <f>IFERROR((+_xlfn.XLOOKUP(RegContabilizados2[[#This Row],[Subcuenta]],Tabla11[Cuenta],Tabla11[Descripción],0)),0)</f>
        <v>0</v>
      </c>
      <c r="BH135" s="1">
        <f>IFERROR((VALUE(LEFT(RegContabilizados2[[#This Row],[Subcuenta]],2))&amp;" "&amp;_xlfn.XLOOKUP((VALUE(LEFT(RegContabilizados2[[#This Row],[Subcuenta]],2))),Tabla11[Cuenta],Tabla11[Descripción],0)),0)</f>
        <v>0</v>
      </c>
      <c r="BI135" s="1">
        <f>IFERROR((VALUE(LEFT(RegContabilizados2[[#This Row],[Subcuenta]],4))&amp;" "&amp;_xlfn.XLOOKUP((VALUE(LEFT(RegContabilizados2[[#This Row],[Subcuenta]],4))),Tabla11[Cuenta],Tabla11[Descripción],0)),0)</f>
        <v>0</v>
      </c>
      <c r="BJ135" s="1" t="str">
        <f>IFERROR((RegContabilizados2[[#This Row],[Subcuenta]]&amp;" "&amp;_xlfn.XLOOKUP(RegContabilizados2[[#This Row],[Subcuenta]],Tabla11[Cuenta],Tabla11[Descripción],0)),0)</f>
        <v xml:space="preserve"> 0</v>
      </c>
      <c r="BK135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135" s="1" t="str">
        <f>IFERROR(LEFT(RegContabilizados2[[#This Row],[Idenficador]],SEARCH("-",RegContabilizados2[[#This Row],[Idenficador]])-1),0)</f>
        <v>656565F.C.763524</v>
      </c>
      <c r="BN135" s="1" t="s">
        <v>1169</v>
      </c>
      <c r="BO135" s="1" t="s">
        <v>1207</v>
      </c>
    </row>
    <row r="136" spans="4:67">
      <c r="D136" s="31" t="str">
        <f>IF(Regcontabilizados[[#This Row],[Eliminado]]="si","",RegContabilizados2[[#This Row],[fecha Factura]])</f>
        <v/>
      </c>
      <c r="E136" s="31" t="str">
        <f>IF(Regcontabilizados[[#This Row],[Eliminado]]="si","",RegContabilizados2[[#This Row],[Fecha vencimiento]])</f>
        <v/>
      </c>
      <c r="F136" s="31" t="str">
        <f>IF(Regcontabilizados[[#This Row],[Eliminado]]="si","",RegContabilizados2[[#This Row],[Idenficador]])</f>
        <v/>
      </c>
      <c r="G136" s="3" t="str">
        <f>IF(Regcontabilizados[[#This Row],[Eliminado]]="si","",RegContabilizados2[[#This Row],[N° de factura/Pago]])</f>
        <v/>
      </c>
      <c r="H136" s="1" t="str">
        <f>IF(Regcontabilizados[[#This Row],[Eliminado]]="si","",RegContabilizados2[[#This Row],[Tipo de Factura]])</f>
        <v/>
      </c>
      <c r="I136" s="1" t="str">
        <f>IF(Regcontabilizados[[#This Row],[Eliminado]]="si","",RegContabilizados2[[#This Row],[ID Cliente]])</f>
        <v/>
      </c>
      <c r="J136" s="1" t="str">
        <f>IF(Regcontabilizados[[#This Row],[Eliminado]]="si","",RegContabilizados2[[#This Row],[ESTADO DEL IVA]])</f>
        <v/>
      </c>
      <c r="K136" s="3" t="str">
        <f>IF(Regcontabilizados[[#This Row],[Eliminado]]="si","",RegContabilizados2[[#This Row],[ID Proveedor]])</f>
        <v/>
      </c>
      <c r="L136" s="3" t="str">
        <f>IF(Regcontabilizados[[#This Row],[Eliminado]]="si","",RegContabilizados2[[#This Row],[Concepto]])</f>
        <v/>
      </c>
      <c r="M136" s="3" t="str">
        <f>IF(Regcontabilizados[[#This Row],[Eliminado]]="si","",RegContabilizados2[[#This Row],[Categoría]])</f>
        <v/>
      </c>
      <c r="N136" s="3" t="str">
        <f>IF(Regcontabilizados[[#This Row],[Eliminado]]="si","",RegContabilizados2[[#This Row],[Almacen]])</f>
        <v/>
      </c>
      <c r="O136" s="3" t="str">
        <f>IF(Regcontabilizados[[#This Row],[Eliminado]]="si","",RegContabilizados2[[#This Row],[Tipo de movimiento]])</f>
        <v/>
      </c>
      <c r="P136" s="1" t="str">
        <f>IF(Regcontabilizados[[#This Row],[Eliminado]]="si","",RegContabilizados2[[#This Row],[cantidad]])</f>
        <v/>
      </c>
      <c r="Q136" s="1" t="str">
        <f>IF(Regcontabilizados[[#This Row],[Eliminado]]="si","",RegContabilizados2[[#This Row],[VR unitario]])</f>
        <v/>
      </c>
      <c r="R136" s="1" t="str">
        <f>IF(Regcontabilizados[[#This Row],[Eliminado]]="si","",RegContabilizados2[[#This Row],[Subcuenta]])</f>
        <v/>
      </c>
      <c r="S136" s="1" t="str">
        <f>IF(Regcontabilizados[[#This Row],[Eliminado]]="si","",RegContabilizados2[[#This Row],[Debe]])</f>
        <v/>
      </c>
      <c r="T136" s="1" t="str">
        <f>IF(Regcontabilizados[[#This Row],[Eliminado]]="si","",RegContabilizados2[[#This Row],[Haber]])</f>
        <v/>
      </c>
      <c r="U136" s="1">
        <f>IFERROR((Regcontabilizados[[#This Row],[Debe]]-Regcontabilizados[[#This Row],[Haber]]),0)</f>
        <v>0</v>
      </c>
      <c r="V136" s="1">
        <f>IFERROR((+_xlfn.XLOOKUP(Regcontabilizados[[#This Row],[Subcuenta]],Tabla11[Cuenta],Tabla11[Descripción],0)),0)</f>
        <v>0</v>
      </c>
      <c r="W136" s="1">
        <f>IFERROR((_xlfn.XLOOKUP((VALUE(LEFT(Regcontabilizados[[#This Row],[Subcuenta]],4))),Tabla11[Cuenta],Tabla11[Descripción],0)),0)</f>
        <v>0</v>
      </c>
      <c r="X136" s="1">
        <f>IFERROR((_xlfn.XLOOKUP(Regcontabilizados[[#This Row],[Subcuenta]],Tabla11[Cuenta],Tabla11[Descripción],0)),0)</f>
        <v>0</v>
      </c>
      <c r="Y136" s="1" t="str">
        <f>IF((IFERROR((FIND((_xlfn.XLOOKUP(RegContabilizados2[[#This Row],[Idenficador]],FormtBorrados[formatos borrados],FormtBorrados[formatos borrados],0)),RegContabilizados2[[#This Row],[Idenficador]])),0))=1,"si","no")</f>
        <v>si</v>
      </c>
      <c r="Z136" s="1" t="str">
        <f>_xlfn.XLOOKUP(Regcontabilizados[[#This Row],[Subcuenta]],Tabla11[Cuenta],Tabla11[TIPO],"")</f>
        <v/>
      </c>
      <c r="AA136" s="1" t="str">
        <f>IFERROR((Regcontabilizados[[#This Row],[Subcuenta]]&amp;" "&amp;_xlfn.XLOOKUP(Regcontabilizados[[#This Row],[Subcuenta]],Tabla11[Cuenta],Tabla11[Descripción],0)),0)</f>
        <v xml:space="preserve"> 0</v>
      </c>
      <c r="AB136" s="1">
        <f>IFERROR((VALUE(LEFT(Regcontabilizados[[#This Row],[Subcuenta]],2))&amp;" "&amp;_xlfn.XLOOKUP((VALUE(LEFT(Regcontabilizados[[#This Row],[Subcuenta]],2))),Tabla11[Cuenta],Tabla11[Descripción],0)),0)</f>
        <v>0</v>
      </c>
      <c r="AC136" s="1">
        <f>IFERROR((VALUE(LEFT(Regcontabilizados[[#This Row],[Subcuenta]],4))&amp;" "&amp;_xlfn.XLOOKUP((VALUE(LEFT(Regcontabilizados[[#This Row],[Subcuenta]],4))),Tabla11[Cuenta],Tabla11[Descripción],0)),0)</f>
        <v>0</v>
      </c>
      <c r="AD136" s="1" t="str">
        <f>IF(Regcontabilizados[[#This Row],[Eliminado]]="si","",RegContabilizados2[[#This Row],[Estado de pago]])</f>
        <v/>
      </c>
      <c r="AE136" s="1" t="str">
        <f>IF(Regcontabilizados[[#This Row],[Eliminado]]="si","",RegContabilizados2[[#This Row],[Colum. Aux. Estado]])</f>
        <v/>
      </c>
      <c r="AF136" s="1" t="str">
        <f>IF(Regcontabilizados[[#This Row],[Eliminado]]="si","",RegContabilizados2[[#This Row],[Número de pago]])</f>
        <v/>
      </c>
      <c r="AG136" s="1" t="str">
        <f>IF(Regcontabilizados[[#This Row],[Eliminado]]="si","",RegContabilizados2[[#This Row],[Elaborado por]])</f>
        <v/>
      </c>
      <c r="AH136" s="1" t="str">
        <f>IF(Regcontabilizados[[#This Row],[Eliminado]]="si","",RegContabilizados2[[#This Row],[Notas]])</f>
        <v/>
      </c>
      <c r="AI136" s="1" t="str">
        <f>IF(Regcontabilizados[[#This Row],[Eliminado]]="si","",RegContabilizados2[[#This Row],[Método de pago]])</f>
        <v/>
      </c>
      <c r="AJ136" s="1" t="str">
        <f>IF(Regcontabilizados[[#This Row],[Eliminado]]="si","",RegContabilizados2[[#This Row],[Cta. Bancaria]])</f>
        <v/>
      </c>
      <c r="AO136" s="31">
        <v>45993</v>
      </c>
      <c r="AP136" s="31">
        <v>45993</v>
      </c>
      <c r="AQ136" s="31" t="s">
        <v>1217</v>
      </c>
      <c r="AR136" s="3">
        <v>763524</v>
      </c>
      <c r="AS136" s="1" t="s">
        <v>1111</v>
      </c>
      <c r="AT136" s="1">
        <v>333333</v>
      </c>
      <c r="AV136" s="3" t="s">
        <v>903</v>
      </c>
      <c r="AW136" s="3" t="s">
        <v>962</v>
      </c>
      <c r="AX136" s="3"/>
      <c r="AY136" s="3" t="s">
        <v>1001</v>
      </c>
      <c r="AZ136" s="3" t="s">
        <v>974</v>
      </c>
      <c r="BA136" s="1">
        <v>1</v>
      </c>
      <c r="BB136" s="1">
        <v>48640</v>
      </c>
      <c r="BC136" s="1">
        <v>240805</v>
      </c>
      <c r="BD136" s="1">
        <v>48640</v>
      </c>
      <c r="BE136" s="1">
        <v>0</v>
      </c>
      <c r="BF136" s="1">
        <f>IFERROR((RegContabilizados2[[#This Row],[Debe]]-RegContabilizados2[[#This Row],[Haber]]),0)</f>
        <v>48640</v>
      </c>
      <c r="BG136" s="1" t="str">
        <f>IFERROR((+_xlfn.XLOOKUP(RegContabilizados2[[#This Row],[Subcuenta]],Tabla11[Cuenta],Tabla11[Descripción],0)),0)</f>
        <v>IMPUESTO SOBRE LAS VENTAS POR PAGAR</v>
      </c>
      <c r="BH136" s="1" t="str">
        <f>IFERROR((VALUE(LEFT(RegContabilizados2[[#This Row],[Subcuenta]],2))&amp;" "&amp;_xlfn.XLOOKUP((VALUE(LEFT(RegContabilizados2[[#This Row],[Subcuenta]],2))),Tabla11[Cuenta],Tabla11[Descripción],0)),0)</f>
        <v>24 IMPUESTOS, GRAVÁMENES Y TASAS</v>
      </c>
      <c r="BI136" s="1" t="str">
        <f>IFERROR((VALUE(LEFT(RegContabilizados2[[#This Row],[Subcuenta]],4))&amp;" "&amp;_xlfn.XLOOKUP((VALUE(LEFT(RegContabilizados2[[#This Row],[Subcuenta]],4))),Tabla11[Cuenta],Tabla11[Descripción],0)),0)</f>
        <v>2408 IMPUESTO SOBRE LAS VENTAS POR PAGAR</v>
      </c>
      <c r="BJ136" s="1" t="str">
        <f>IFERROR((RegContabilizados2[[#This Row],[Subcuenta]]&amp;" "&amp;_xlfn.XLOOKUP(RegContabilizados2[[#This Row],[Subcuenta]],Tabla11[Cuenta],Tabla11[Descripción],0)),0)</f>
        <v>240805 IMPUESTO SOBRE LAS VENTAS POR PAGAR</v>
      </c>
      <c r="BK136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136" s="1" t="str">
        <f>IFERROR(LEFT(RegContabilizados2[[#This Row],[Idenficador]],SEARCH("-",RegContabilizados2[[#This Row],[Idenficador]])-1),0)</f>
        <v>656565F.C.763524</v>
      </c>
      <c r="BN136" s="1" t="s">
        <v>1169</v>
      </c>
      <c r="BO136" s="1" t="s">
        <v>1207</v>
      </c>
    </row>
    <row r="137" spans="4:67">
      <c r="D137" s="31" t="str">
        <f>IF(Regcontabilizados[[#This Row],[Eliminado]]="si","",RegContabilizados2[[#This Row],[fecha Factura]])</f>
        <v/>
      </c>
      <c r="E137" s="31" t="str">
        <f>IF(Regcontabilizados[[#This Row],[Eliminado]]="si","",RegContabilizados2[[#This Row],[Fecha vencimiento]])</f>
        <v/>
      </c>
      <c r="F137" s="31" t="str">
        <f>IF(Regcontabilizados[[#This Row],[Eliminado]]="si","",RegContabilizados2[[#This Row],[Idenficador]])</f>
        <v/>
      </c>
      <c r="G137" s="3" t="str">
        <f>IF(Regcontabilizados[[#This Row],[Eliminado]]="si","",RegContabilizados2[[#This Row],[N° de factura/Pago]])</f>
        <v/>
      </c>
      <c r="H137" s="1" t="str">
        <f>IF(Regcontabilizados[[#This Row],[Eliminado]]="si","",RegContabilizados2[[#This Row],[Tipo de Factura]])</f>
        <v/>
      </c>
      <c r="I137" s="1" t="str">
        <f>IF(Regcontabilizados[[#This Row],[Eliminado]]="si","",RegContabilizados2[[#This Row],[ID Cliente]])</f>
        <v/>
      </c>
      <c r="J137" s="1" t="str">
        <f>IF(Regcontabilizados[[#This Row],[Eliminado]]="si","",RegContabilizados2[[#This Row],[ESTADO DEL IVA]])</f>
        <v/>
      </c>
      <c r="K137" s="3" t="str">
        <f>IF(Regcontabilizados[[#This Row],[Eliminado]]="si","",RegContabilizados2[[#This Row],[ID Proveedor]])</f>
        <v/>
      </c>
      <c r="L137" s="3" t="str">
        <f>IF(Regcontabilizados[[#This Row],[Eliminado]]="si","",RegContabilizados2[[#This Row],[Concepto]])</f>
        <v/>
      </c>
      <c r="M137" s="3" t="str">
        <f>IF(Regcontabilizados[[#This Row],[Eliminado]]="si","",RegContabilizados2[[#This Row],[Categoría]])</f>
        <v/>
      </c>
      <c r="N137" s="3" t="str">
        <f>IF(Regcontabilizados[[#This Row],[Eliminado]]="si","",RegContabilizados2[[#This Row],[Almacen]])</f>
        <v/>
      </c>
      <c r="O137" s="3" t="str">
        <f>IF(Regcontabilizados[[#This Row],[Eliminado]]="si","",RegContabilizados2[[#This Row],[Tipo de movimiento]])</f>
        <v/>
      </c>
      <c r="P137" s="1" t="str">
        <f>IF(Regcontabilizados[[#This Row],[Eliminado]]="si","",RegContabilizados2[[#This Row],[cantidad]])</f>
        <v/>
      </c>
      <c r="Q137" s="1" t="str">
        <f>IF(Regcontabilizados[[#This Row],[Eliminado]]="si","",RegContabilizados2[[#This Row],[VR unitario]])</f>
        <v/>
      </c>
      <c r="R137" s="1" t="str">
        <f>IF(Regcontabilizados[[#This Row],[Eliminado]]="si","",RegContabilizados2[[#This Row],[Subcuenta]])</f>
        <v/>
      </c>
      <c r="S137" s="1" t="str">
        <f>IF(Regcontabilizados[[#This Row],[Eliminado]]="si","",RegContabilizados2[[#This Row],[Debe]])</f>
        <v/>
      </c>
      <c r="T137" s="1" t="str">
        <f>IF(Regcontabilizados[[#This Row],[Eliminado]]="si","",RegContabilizados2[[#This Row],[Haber]])</f>
        <v/>
      </c>
      <c r="U137" s="1">
        <f>IFERROR((Regcontabilizados[[#This Row],[Debe]]-Regcontabilizados[[#This Row],[Haber]]),0)</f>
        <v>0</v>
      </c>
      <c r="V137" s="1">
        <f>IFERROR((+_xlfn.XLOOKUP(Regcontabilizados[[#This Row],[Subcuenta]],Tabla11[Cuenta],Tabla11[Descripción],0)),0)</f>
        <v>0</v>
      </c>
      <c r="W137" s="1">
        <f>IFERROR((_xlfn.XLOOKUP((VALUE(LEFT(Regcontabilizados[[#This Row],[Subcuenta]],4))),Tabla11[Cuenta],Tabla11[Descripción],0)),0)</f>
        <v>0</v>
      </c>
      <c r="X137" s="1">
        <f>IFERROR((_xlfn.XLOOKUP(Regcontabilizados[[#This Row],[Subcuenta]],Tabla11[Cuenta],Tabla11[Descripción],0)),0)</f>
        <v>0</v>
      </c>
      <c r="Y137" s="1" t="str">
        <f>IF((IFERROR((FIND((_xlfn.XLOOKUP(RegContabilizados2[[#This Row],[Idenficador]],FormtBorrados[formatos borrados],FormtBorrados[formatos borrados],0)),RegContabilizados2[[#This Row],[Idenficador]])),0))=1,"si","no")</f>
        <v>si</v>
      </c>
      <c r="Z137" s="1" t="str">
        <f>_xlfn.XLOOKUP(Regcontabilizados[[#This Row],[Subcuenta]],Tabla11[Cuenta],Tabla11[TIPO],"")</f>
        <v/>
      </c>
      <c r="AA137" s="1" t="str">
        <f>IFERROR((Regcontabilizados[[#This Row],[Subcuenta]]&amp;" "&amp;_xlfn.XLOOKUP(Regcontabilizados[[#This Row],[Subcuenta]],Tabla11[Cuenta],Tabla11[Descripción],0)),0)</f>
        <v xml:space="preserve"> 0</v>
      </c>
      <c r="AB137" s="1">
        <f>IFERROR((VALUE(LEFT(Regcontabilizados[[#This Row],[Subcuenta]],2))&amp;" "&amp;_xlfn.XLOOKUP((VALUE(LEFT(Regcontabilizados[[#This Row],[Subcuenta]],2))),Tabla11[Cuenta],Tabla11[Descripción],0)),0)</f>
        <v>0</v>
      </c>
      <c r="AC137" s="1">
        <f>IFERROR((VALUE(LEFT(Regcontabilizados[[#This Row],[Subcuenta]],4))&amp;" "&amp;_xlfn.XLOOKUP((VALUE(LEFT(Regcontabilizados[[#This Row],[Subcuenta]],4))),Tabla11[Cuenta],Tabla11[Descripción],0)),0)</f>
        <v>0</v>
      </c>
      <c r="AD137" s="1" t="str">
        <f>IF(Regcontabilizados[[#This Row],[Eliminado]]="si","",RegContabilizados2[[#This Row],[Estado de pago]])</f>
        <v/>
      </c>
      <c r="AE137" s="1" t="str">
        <f>IF(Regcontabilizados[[#This Row],[Eliminado]]="si","",RegContabilizados2[[#This Row],[Colum. Aux. Estado]])</f>
        <v/>
      </c>
      <c r="AF137" s="1" t="str">
        <f>IF(Regcontabilizados[[#This Row],[Eliminado]]="si","",RegContabilizados2[[#This Row],[Número de pago]])</f>
        <v/>
      </c>
      <c r="AG137" s="1" t="str">
        <f>IF(Regcontabilizados[[#This Row],[Eliminado]]="si","",RegContabilizados2[[#This Row],[Elaborado por]])</f>
        <v/>
      </c>
      <c r="AH137" s="1" t="str">
        <f>IF(Regcontabilizados[[#This Row],[Eliminado]]="si","",RegContabilizados2[[#This Row],[Notas]])</f>
        <v/>
      </c>
      <c r="AI137" s="1" t="str">
        <f>IF(Regcontabilizados[[#This Row],[Eliminado]]="si","",RegContabilizados2[[#This Row],[Método de pago]])</f>
        <v/>
      </c>
      <c r="AJ137" s="1" t="str">
        <f>IF(Regcontabilizados[[#This Row],[Eliminado]]="si","",RegContabilizados2[[#This Row],[Cta. Bancaria]])</f>
        <v/>
      </c>
      <c r="AO137" s="31">
        <v>45993</v>
      </c>
      <c r="AP137" s="31">
        <v>45993</v>
      </c>
      <c r="AQ137" s="31" t="s">
        <v>1218</v>
      </c>
      <c r="AR137" s="3">
        <v>763524</v>
      </c>
      <c r="AS137" s="1" t="s">
        <v>1111</v>
      </c>
      <c r="AT137" s="1">
        <v>333333</v>
      </c>
      <c r="AV137" s="3" t="s">
        <v>903</v>
      </c>
      <c r="AW137" s="3" t="s">
        <v>772</v>
      </c>
      <c r="AX137" s="3"/>
      <c r="AY137" s="3" t="s">
        <v>1001</v>
      </c>
      <c r="AZ137" s="3" t="s">
        <v>974</v>
      </c>
      <c r="BA137" s="1">
        <v>1</v>
      </c>
      <c r="BC137" s="1">
        <v>220505</v>
      </c>
      <c r="BD137" s="1">
        <v>0</v>
      </c>
      <c r="BE137" s="1">
        <v>304640</v>
      </c>
      <c r="BF137" s="1">
        <f>IFERROR((RegContabilizados2[[#This Row],[Debe]]-RegContabilizados2[[#This Row],[Haber]]),0)</f>
        <v>-304640</v>
      </c>
      <c r="BG137" s="1" t="str">
        <f>IFERROR((+_xlfn.XLOOKUP(RegContabilizados2[[#This Row],[Subcuenta]],Tabla11[Cuenta],Tabla11[Descripción],0)),0)</f>
        <v>Proveedores Nacionales</v>
      </c>
      <c r="BH137" s="1" t="str">
        <f>IFERROR((VALUE(LEFT(RegContabilizados2[[#This Row],[Subcuenta]],2))&amp;" "&amp;_xlfn.XLOOKUP((VALUE(LEFT(RegContabilizados2[[#This Row],[Subcuenta]],2))),Tabla11[Cuenta],Tabla11[Descripción],0)),0)</f>
        <v>22 PROVEEDORES</v>
      </c>
      <c r="BI137" s="1" t="str">
        <f>IFERROR((VALUE(LEFT(RegContabilizados2[[#This Row],[Subcuenta]],4))&amp;" "&amp;_xlfn.XLOOKUP((VALUE(LEFT(RegContabilizados2[[#This Row],[Subcuenta]],4))),Tabla11[Cuenta],Tabla11[Descripción],0)),0)</f>
        <v>2205 NACIONALES</v>
      </c>
      <c r="BJ137" s="1" t="str">
        <f>IFERROR((RegContabilizados2[[#This Row],[Subcuenta]]&amp;" "&amp;_xlfn.XLOOKUP(RegContabilizados2[[#This Row],[Subcuenta]],Tabla11[Cuenta],Tabla11[Descripción],0)),0)</f>
        <v>220505 Proveedores Nacionales</v>
      </c>
      <c r="BK137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137" s="1" t="str">
        <f>IFERROR(LEFT(RegContabilizados2[[#This Row],[Idenficador]],SEARCH("-",RegContabilizados2[[#This Row],[Idenficador]])-1),0)</f>
        <v>656565F.C.763524</v>
      </c>
      <c r="BN137" s="1" t="s">
        <v>1169</v>
      </c>
      <c r="BO137" s="1" t="s">
        <v>1207</v>
      </c>
    </row>
    <row r="138" spans="4:67">
      <c r="D138" s="31" t="str">
        <f>IF(Regcontabilizados[[#This Row],[Eliminado]]="si","",RegContabilizados2[[#This Row],[fecha Factura]])</f>
        <v/>
      </c>
      <c r="E138" s="31" t="str">
        <f>IF(Regcontabilizados[[#This Row],[Eliminado]]="si","",RegContabilizados2[[#This Row],[Fecha vencimiento]])</f>
        <v/>
      </c>
      <c r="F138" s="31" t="str">
        <f>IF(Regcontabilizados[[#This Row],[Eliminado]]="si","",RegContabilizados2[[#This Row],[Idenficador]])</f>
        <v/>
      </c>
      <c r="G138" s="3" t="str">
        <f>IF(Regcontabilizados[[#This Row],[Eliminado]]="si","",RegContabilizados2[[#This Row],[N° de factura/Pago]])</f>
        <v/>
      </c>
      <c r="H138" s="1" t="str">
        <f>IF(Regcontabilizados[[#This Row],[Eliminado]]="si","",RegContabilizados2[[#This Row],[Tipo de Factura]])</f>
        <v/>
      </c>
      <c r="I138" s="1" t="str">
        <f>IF(Regcontabilizados[[#This Row],[Eliminado]]="si","",RegContabilizados2[[#This Row],[ID Cliente]])</f>
        <v/>
      </c>
      <c r="J138" s="1" t="str">
        <f>IF(Regcontabilizados[[#This Row],[Eliminado]]="si","",RegContabilizados2[[#This Row],[ESTADO DEL IVA]])</f>
        <v/>
      </c>
      <c r="K138" s="3" t="str">
        <f>IF(Regcontabilizados[[#This Row],[Eliminado]]="si","",RegContabilizados2[[#This Row],[ID Proveedor]])</f>
        <v/>
      </c>
      <c r="L138" s="3" t="str">
        <f>IF(Regcontabilizados[[#This Row],[Eliminado]]="si","",RegContabilizados2[[#This Row],[Concepto]])</f>
        <v/>
      </c>
      <c r="M138" s="3" t="str">
        <f>IF(Regcontabilizados[[#This Row],[Eliminado]]="si","",RegContabilizados2[[#This Row],[Categoría]])</f>
        <v/>
      </c>
      <c r="N138" s="3" t="str">
        <f>IF(Regcontabilizados[[#This Row],[Eliminado]]="si","",RegContabilizados2[[#This Row],[Almacen]])</f>
        <v/>
      </c>
      <c r="O138" s="3" t="str">
        <f>IF(Regcontabilizados[[#This Row],[Eliminado]]="si","",RegContabilizados2[[#This Row],[Tipo de movimiento]])</f>
        <v/>
      </c>
      <c r="P138" s="1" t="str">
        <f>IF(Regcontabilizados[[#This Row],[Eliminado]]="si","",RegContabilizados2[[#This Row],[cantidad]])</f>
        <v/>
      </c>
      <c r="Q138" s="1" t="str">
        <f>IF(Regcontabilizados[[#This Row],[Eliminado]]="si","",RegContabilizados2[[#This Row],[VR unitario]])</f>
        <v/>
      </c>
      <c r="R138" s="1" t="str">
        <f>IF(Regcontabilizados[[#This Row],[Eliminado]]="si","",RegContabilizados2[[#This Row],[Subcuenta]])</f>
        <v/>
      </c>
      <c r="S138" s="1" t="str">
        <f>IF(Regcontabilizados[[#This Row],[Eliminado]]="si","",RegContabilizados2[[#This Row],[Debe]])</f>
        <v/>
      </c>
      <c r="T138" s="1" t="str">
        <f>IF(Regcontabilizados[[#This Row],[Eliminado]]="si","",RegContabilizados2[[#This Row],[Haber]])</f>
        <v/>
      </c>
      <c r="U138" s="1">
        <f>IFERROR((Regcontabilizados[[#This Row],[Debe]]-Regcontabilizados[[#This Row],[Haber]]),0)</f>
        <v>0</v>
      </c>
      <c r="V138" s="1">
        <f>IFERROR((+_xlfn.XLOOKUP(Regcontabilizados[[#This Row],[Subcuenta]],Tabla11[Cuenta],Tabla11[Descripción],0)),0)</f>
        <v>0</v>
      </c>
      <c r="W138" s="1">
        <f>IFERROR((_xlfn.XLOOKUP((VALUE(LEFT(Regcontabilizados[[#This Row],[Subcuenta]],4))),Tabla11[Cuenta],Tabla11[Descripción],0)),0)</f>
        <v>0</v>
      </c>
      <c r="X138" s="1">
        <f>IFERROR((_xlfn.XLOOKUP(Regcontabilizados[[#This Row],[Subcuenta]],Tabla11[Cuenta],Tabla11[Descripción],0)),0)</f>
        <v>0</v>
      </c>
      <c r="Y138" s="1" t="str">
        <f>IF((IFERROR((FIND((_xlfn.XLOOKUP(RegContabilizados2[[#This Row],[Idenficador]],FormtBorrados[formatos borrados],FormtBorrados[formatos borrados],0)),RegContabilizados2[[#This Row],[Idenficador]])),0))=1,"si","no")</f>
        <v>si</v>
      </c>
      <c r="Z138" s="1" t="str">
        <f>_xlfn.XLOOKUP(Regcontabilizados[[#This Row],[Subcuenta]],Tabla11[Cuenta],Tabla11[TIPO],"")</f>
        <v/>
      </c>
      <c r="AA138" s="1" t="str">
        <f>IFERROR((Regcontabilizados[[#This Row],[Subcuenta]]&amp;" "&amp;_xlfn.XLOOKUP(Regcontabilizados[[#This Row],[Subcuenta]],Tabla11[Cuenta],Tabla11[Descripción],0)),0)</f>
        <v xml:space="preserve"> 0</v>
      </c>
      <c r="AB138" s="1">
        <f>IFERROR((VALUE(LEFT(Regcontabilizados[[#This Row],[Subcuenta]],2))&amp;" "&amp;_xlfn.XLOOKUP((VALUE(LEFT(Regcontabilizados[[#This Row],[Subcuenta]],2))),Tabla11[Cuenta],Tabla11[Descripción],0)),0)</f>
        <v>0</v>
      </c>
      <c r="AC138" s="1">
        <f>IFERROR((VALUE(LEFT(Regcontabilizados[[#This Row],[Subcuenta]],4))&amp;" "&amp;_xlfn.XLOOKUP((VALUE(LEFT(Regcontabilizados[[#This Row],[Subcuenta]],4))),Tabla11[Cuenta],Tabla11[Descripción],0)),0)</f>
        <v>0</v>
      </c>
      <c r="AD138" s="1" t="str">
        <f>IF(Regcontabilizados[[#This Row],[Eliminado]]="si","",RegContabilizados2[[#This Row],[Estado de pago]])</f>
        <v/>
      </c>
      <c r="AE138" s="1" t="str">
        <f>IF(Regcontabilizados[[#This Row],[Eliminado]]="si","",RegContabilizados2[[#This Row],[Colum. Aux. Estado]])</f>
        <v/>
      </c>
      <c r="AF138" s="1" t="str">
        <f>IF(Regcontabilizados[[#This Row],[Eliminado]]="si","",RegContabilizados2[[#This Row],[Número de pago]])</f>
        <v/>
      </c>
      <c r="AG138" s="1" t="str">
        <f>IF(Regcontabilizados[[#This Row],[Eliminado]]="si","",RegContabilizados2[[#This Row],[Elaborado por]])</f>
        <v/>
      </c>
      <c r="AH138" s="1" t="str">
        <f>IF(Regcontabilizados[[#This Row],[Eliminado]]="si","",RegContabilizados2[[#This Row],[Notas]])</f>
        <v/>
      </c>
      <c r="AI138" s="1" t="str">
        <f>IF(Regcontabilizados[[#This Row],[Eliminado]]="si","",RegContabilizados2[[#This Row],[Método de pago]])</f>
        <v/>
      </c>
      <c r="AJ138" s="1" t="str">
        <f>IF(Regcontabilizados[[#This Row],[Eliminado]]="si","",RegContabilizados2[[#This Row],[Cta. Bancaria]])</f>
        <v/>
      </c>
      <c r="AO138" s="31"/>
      <c r="AP138" s="31"/>
      <c r="AQ138" s="31" t="s">
        <v>1196</v>
      </c>
      <c r="AR138" s="3"/>
      <c r="AS138" s="1" t="s">
        <v>1111</v>
      </c>
      <c r="AT138" s="1">
        <v>333333</v>
      </c>
      <c r="AV138" s="3"/>
      <c r="AW138" s="3"/>
      <c r="AX138" s="3">
        <v>0</v>
      </c>
      <c r="AY138" s="3"/>
      <c r="AZ138" s="3" t="s">
        <v>974</v>
      </c>
      <c r="BC138" s="1" t="s">
        <v>1168</v>
      </c>
      <c r="BD138" s="1">
        <v>0</v>
      </c>
      <c r="BE138" s="1">
        <v>0</v>
      </c>
      <c r="BF138" s="1">
        <f>IFERROR((RegContabilizados2[[#This Row],[Debe]]-RegContabilizados2[[#This Row],[Haber]]),0)</f>
        <v>0</v>
      </c>
      <c r="BG138" s="1">
        <f>IFERROR((+_xlfn.XLOOKUP(RegContabilizados2[[#This Row],[Subcuenta]],Tabla11[Cuenta],Tabla11[Descripción],0)),0)</f>
        <v>0</v>
      </c>
      <c r="BH138" s="1">
        <f>IFERROR((VALUE(LEFT(RegContabilizados2[[#This Row],[Subcuenta]],2))&amp;" "&amp;_xlfn.XLOOKUP((VALUE(LEFT(RegContabilizados2[[#This Row],[Subcuenta]],2))),Tabla11[Cuenta],Tabla11[Descripción],0)),0)</f>
        <v>0</v>
      </c>
      <c r="BI138" s="1">
        <f>IFERROR((VALUE(LEFT(RegContabilizados2[[#This Row],[Subcuenta]],4))&amp;" "&amp;_xlfn.XLOOKUP((VALUE(LEFT(RegContabilizados2[[#This Row],[Subcuenta]],4))),Tabla11[Cuenta],Tabla11[Descripción],0)),0)</f>
        <v>0</v>
      </c>
      <c r="BJ138" s="1" t="str">
        <f>IFERROR((RegContabilizados2[[#This Row],[Subcuenta]]&amp;" "&amp;_xlfn.XLOOKUP(RegContabilizados2[[#This Row],[Subcuenta]],Tabla11[Cuenta],Tabla11[Descripción],0)),0)</f>
        <v xml:space="preserve"> 0</v>
      </c>
      <c r="BK138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PAGADO</v>
      </c>
      <c r="BL138" s="1" t="str">
        <f>IFERROR(LEFT(RegContabilizados2[[#This Row],[Idenficador]],SEARCH("-",RegContabilizados2[[#This Row],[Idenficador]])-1),0)</f>
        <v>F.C.</v>
      </c>
      <c r="BN138" s="1" t="s">
        <v>1169</v>
      </c>
    </row>
    <row r="139" spans="4:67">
      <c r="D139" s="31" t="str">
        <f>IF(Regcontabilizados[[#This Row],[Eliminado]]="si","",RegContabilizados2[[#This Row],[fecha Factura]])</f>
        <v/>
      </c>
      <c r="E139" s="31" t="str">
        <f>IF(Regcontabilizados[[#This Row],[Eliminado]]="si","",RegContabilizados2[[#This Row],[Fecha vencimiento]])</f>
        <v/>
      </c>
      <c r="F139" s="31" t="str">
        <f>IF(Regcontabilizados[[#This Row],[Eliminado]]="si","",RegContabilizados2[[#This Row],[Idenficador]])</f>
        <v/>
      </c>
      <c r="G139" s="3" t="str">
        <f>IF(Regcontabilizados[[#This Row],[Eliminado]]="si","",RegContabilizados2[[#This Row],[N° de factura/Pago]])</f>
        <v/>
      </c>
      <c r="H139" s="1" t="str">
        <f>IF(Regcontabilizados[[#This Row],[Eliminado]]="si","",RegContabilizados2[[#This Row],[Tipo de Factura]])</f>
        <v/>
      </c>
      <c r="I139" s="1" t="str">
        <f>IF(Regcontabilizados[[#This Row],[Eliminado]]="si","",RegContabilizados2[[#This Row],[ID Cliente]])</f>
        <v/>
      </c>
      <c r="J139" s="1" t="str">
        <f>IF(Regcontabilizados[[#This Row],[Eliminado]]="si","",RegContabilizados2[[#This Row],[ESTADO DEL IVA]])</f>
        <v/>
      </c>
      <c r="K139" s="3" t="str">
        <f>IF(Regcontabilizados[[#This Row],[Eliminado]]="si","",RegContabilizados2[[#This Row],[ID Proveedor]])</f>
        <v/>
      </c>
      <c r="L139" s="3" t="str">
        <f>IF(Regcontabilizados[[#This Row],[Eliminado]]="si","",RegContabilizados2[[#This Row],[Concepto]])</f>
        <v/>
      </c>
      <c r="M139" s="3" t="str">
        <f>IF(Regcontabilizados[[#This Row],[Eliminado]]="si","",RegContabilizados2[[#This Row],[Categoría]])</f>
        <v/>
      </c>
      <c r="N139" s="3" t="str">
        <f>IF(Regcontabilizados[[#This Row],[Eliminado]]="si","",RegContabilizados2[[#This Row],[Almacen]])</f>
        <v/>
      </c>
      <c r="O139" s="3" t="str">
        <f>IF(Regcontabilizados[[#This Row],[Eliminado]]="si","",RegContabilizados2[[#This Row],[Tipo de movimiento]])</f>
        <v/>
      </c>
      <c r="P139" s="1" t="str">
        <f>IF(Regcontabilizados[[#This Row],[Eliminado]]="si","",RegContabilizados2[[#This Row],[cantidad]])</f>
        <v/>
      </c>
      <c r="Q139" s="1" t="str">
        <f>IF(Regcontabilizados[[#This Row],[Eliminado]]="si","",RegContabilizados2[[#This Row],[VR unitario]])</f>
        <v/>
      </c>
      <c r="R139" s="1" t="str">
        <f>IF(Regcontabilizados[[#This Row],[Eliminado]]="si","",RegContabilizados2[[#This Row],[Subcuenta]])</f>
        <v/>
      </c>
      <c r="S139" s="1" t="str">
        <f>IF(Regcontabilizados[[#This Row],[Eliminado]]="si","",RegContabilizados2[[#This Row],[Debe]])</f>
        <v/>
      </c>
      <c r="T139" s="1" t="str">
        <f>IF(Regcontabilizados[[#This Row],[Eliminado]]="si","",RegContabilizados2[[#This Row],[Haber]])</f>
        <v/>
      </c>
      <c r="U139" s="1">
        <f>IFERROR((Regcontabilizados[[#This Row],[Debe]]-Regcontabilizados[[#This Row],[Haber]]),0)</f>
        <v>0</v>
      </c>
      <c r="V139" s="1">
        <f>IFERROR((+_xlfn.XLOOKUP(Regcontabilizados[[#This Row],[Subcuenta]],Tabla11[Cuenta],Tabla11[Descripción],0)),0)</f>
        <v>0</v>
      </c>
      <c r="W139" s="1">
        <f>IFERROR((_xlfn.XLOOKUP((VALUE(LEFT(Regcontabilizados[[#This Row],[Subcuenta]],4))),Tabla11[Cuenta],Tabla11[Descripción],0)),0)</f>
        <v>0</v>
      </c>
      <c r="X139" s="1">
        <f>IFERROR((_xlfn.XLOOKUP(Regcontabilizados[[#This Row],[Subcuenta]],Tabla11[Cuenta],Tabla11[Descripción],0)),0)</f>
        <v>0</v>
      </c>
      <c r="Y139" s="1" t="str">
        <f>IF((IFERROR((FIND((_xlfn.XLOOKUP(RegContabilizados2[[#This Row],[Idenficador]],FormtBorrados[formatos borrados],FormtBorrados[formatos borrados],0)),RegContabilizados2[[#This Row],[Idenficador]])),0))=1,"si","no")</f>
        <v>si</v>
      </c>
      <c r="Z139" s="1" t="str">
        <f>_xlfn.XLOOKUP(Regcontabilizados[[#This Row],[Subcuenta]],Tabla11[Cuenta],Tabla11[TIPO],"")</f>
        <v/>
      </c>
      <c r="AA139" s="1" t="str">
        <f>IFERROR((Regcontabilizados[[#This Row],[Subcuenta]]&amp;" "&amp;_xlfn.XLOOKUP(Regcontabilizados[[#This Row],[Subcuenta]],Tabla11[Cuenta],Tabla11[Descripción],0)),0)</f>
        <v xml:space="preserve"> 0</v>
      </c>
      <c r="AB139" s="1">
        <f>IFERROR((VALUE(LEFT(Regcontabilizados[[#This Row],[Subcuenta]],2))&amp;" "&amp;_xlfn.XLOOKUP((VALUE(LEFT(Regcontabilizados[[#This Row],[Subcuenta]],2))),Tabla11[Cuenta],Tabla11[Descripción],0)),0)</f>
        <v>0</v>
      </c>
      <c r="AC139" s="1">
        <f>IFERROR((VALUE(LEFT(Regcontabilizados[[#This Row],[Subcuenta]],4))&amp;" "&amp;_xlfn.XLOOKUP((VALUE(LEFT(Regcontabilizados[[#This Row],[Subcuenta]],4))),Tabla11[Cuenta],Tabla11[Descripción],0)),0)</f>
        <v>0</v>
      </c>
      <c r="AD139" s="1" t="str">
        <f>IF(Regcontabilizados[[#This Row],[Eliminado]]="si","",RegContabilizados2[[#This Row],[Estado de pago]])</f>
        <v/>
      </c>
      <c r="AE139" s="1" t="str">
        <f>IF(Regcontabilizados[[#This Row],[Eliminado]]="si","",RegContabilizados2[[#This Row],[Colum. Aux. Estado]])</f>
        <v/>
      </c>
      <c r="AF139" s="1" t="str">
        <f>IF(Regcontabilizados[[#This Row],[Eliminado]]="si","",RegContabilizados2[[#This Row],[Número de pago]])</f>
        <v/>
      </c>
      <c r="AG139" s="1" t="str">
        <f>IF(Regcontabilizados[[#This Row],[Eliminado]]="si","",RegContabilizados2[[#This Row],[Elaborado por]])</f>
        <v/>
      </c>
      <c r="AH139" s="1" t="str">
        <f>IF(Regcontabilizados[[#This Row],[Eliminado]]="si","",RegContabilizados2[[#This Row],[Notas]])</f>
        <v/>
      </c>
      <c r="AI139" s="1" t="str">
        <f>IF(Regcontabilizados[[#This Row],[Eliminado]]="si","",RegContabilizados2[[#This Row],[Método de pago]])</f>
        <v/>
      </c>
      <c r="AJ139" s="1" t="str">
        <f>IF(Regcontabilizados[[#This Row],[Eliminado]]="si","",RegContabilizados2[[#This Row],[Cta. Bancaria]])</f>
        <v/>
      </c>
      <c r="AO139" s="31"/>
      <c r="AP139" s="31"/>
      <c r="AQ139" s="31" t="s">
        <v>1197</v>
      </c>
      <c r="AR139" s="3"/>
      <c r="AS139" s="1" t="s">
        <v>1111</v>
      </c>
      <c r="AT139" s="1">
        <v>333333</v>
      </c>
      <c r="AV139" s="3"/>
      <c r="AW139" s="3"/>
      <c r="AX139" s="3">
        <v>0</v>
      </c>
      <c r="AY139" s="3"/>
      <c r="AZ139" s="3" t="s">
        <v>974</v>
      </c>
      <c r="BC139" s="1" t="s">
        <v>1168</v>
      </c>
      <c r="BD139" s="1">
        <v>0</v>
      </c>
      <c r="BE139" s="1">
        <v>0</v>
      </c>
      <c r="BF139" s="1">
        <f>IFERROR((RegContabilizados2[[#This Row],[Debe]]-RegContabilizados2[[#This Row],[Haber]]),0)</f>
        <v>0</v>
      </c>
      <c r="BG139" s="1">
        <f>IFERROR((+_xlfn.XLOOKUP(RegContabilizados2[[#This Row],[Subcuenta]],Tabla11[Cuenta],Tabla11[Descripción],0)),0)</f>
        <v>0</v>
      </c>
      <c r="BH139" s="1">
        <f>IFERROR((VALUE(LEFT(RegContabilizados2[[#This Row],[Subcuenta]],2))&amp;" "&amp;_xlfn.XLOOKUP((VALUE(LEFT(RegContabilizados2[[#This Row],[Subcuenta]],2))),Tabla11[Cuenta],Tabla11[Descripción],0)),0)</f>
        <v>0</v>
      </c>
      <c r="BI139" s="1">
        <f>IFERROR((VALUE(LEFT(RegContabilizados2[[#This Row],[Subcuenta]],4))&amp;" "&amp;_xlfn.XLOOKUP((VALUE(LEFT(RegContabilizados2[[#This Row],[Subcuenta]],4))),Tabla11[Cuenta],Tabla11[Descripción],0)),0)</f>
        <v>0</v>
      </c>
      <c r="BJ139" s="1" t="str">
        <f>IFERROR((RegContabilizados2[[#This Row],[Subcuenta]]&amp;" "&amp;_xlfn.XLOOKUP(RegContabilizados2[[#This Row],[Subcuenta]],Tabla11[Cuenta],Tabla11[Descripción],0)),0)</f>
        <v xml:space="preserve"> 0</v>
      </c>
      <c r="BK139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PAGADO</v>
      </c>
      <c r="BL139" s="1" t="str">
        <f>IFERROR(LEFT(RegContabilizados2[[#This Row],[Idenficador]],SEARCH("-",RegContabilizados2[[#This Row],[Idenficador]])-1),0)</f>
        <v>F.C.</v>
      </c>
      <c r="BN139" s="1" t="s">
        <v>1169</v>
      </c>
    </row>
    <row r="140" spans="4:67">
      <c r="D140" s="31" t="str">
        <f>IF(Regcontabilizados[[#This Row],[Eliminado]]="si","",RegContabilizados2[[#This Row],[fecha Factura]])</f>
        <v/>
      </c>
      <c r="E140" s="31" t="str">
        <f>IF(Regcontabilizados[[#This Row],[Eliminado]]="si","",RegContabilizados2[[#This Row],[Fecha vencimiento]])</f>
        <v/>
      </c>
      <c r="F140" s="31" t="str">
        <f>IF(Regcontabilizados[[#This Row],[Eliminado]]="si","",RegContabilizados2[[#This Row],[Idenficador]])</f>
        <v/>
      </c>
      <c r="G140" s="3" t="str">
        <f>IF(Regcontabilizados[[#This Row],[Eliminado]]="si","",RegContabilizados2[[#This Row],[N° de factura/Pago]])</f>
        <v/>
      </c>
      <c r="H140" s="1" t="str">
        <f>IF(Regcontabilizados[[#This Row],[Eliminado]]="si","",RegContabilizados2[[#This Row],[Tipo de Factura]])</f>
        <v/>
      </c>
      <c r="I140" s="1" t="str">
        <f>IF(Regcontabilizados[[#This Row],[Eliminado]]="si","",RegContabilizados2[[#This Row],[ID Cliente]])</f>
        <v/>
      </c>
      <c r="J140" s="1" t="str">
        <f>IF(Regcontabilizados[[#This Row],[Eliminado]]="si","",RegContabilizados2[[#This Row],[ESTADO DEL IVA]])</f>
        <v/>
      </c>
      <c r="K140" s="3" t="str">
        <f>IF(Regcontabilizados[[#This Row],[Eliminado]]="si","",RegContabilizados2[[#This Row],[ID Proveedor]])</f>
        <v/>
      </c>
      <c r="L140" s="3" t="str">
        <f>IF(Regcontabilizados[[#This Row],[Eliminado]]="si","",RegContabilizados2[[#This Row],[Concepto]])</f>
        <v/>
      </c>
      <c r="M140" s="3" t="str">
        <f>IF(Regcontabilizados[[#This Row],[Eliminado]]="si","",RegContabilizados2[[#This Row],[Categoría]])</f>
        <v/>
      </c>
      <c r="N140" s="3" t="str">
        <f>IF(Regcontabilizados[[#This Row],[Eliminado]]="si","",RegContabilizados2[[#This Row],[Almacen]])</f>
        <v/>
      </c>
      <c r="O140" s="3" t="str">
        <f>IF(Regcontabilizados[[#This Row],[Eliminado]]="si","",RegContabilizados2[[#This Row],[Tipo de movimiento]])</f>
        <v/>
      </c>
      <c r="P140" s="1" t="str">
        <f>IF(Regcontabilizados[[#This Row],[Eliminado]]="si","",RegContabilizados2[[#This Row],[cantidad]])</f>
        <v/>
      </c>
      <c r="Q140" s="1" t="str">
        <f>IF(Regcontabilizados[[#This Row],[Eliminado]]="si","",RegContabilizados2[[#This Row],[VR unitario]])</f>
        <v/>
      </c>
      <c r="R140" s="1" t="str">
        <f>IF(Regcontabilizados[[#This Row],[Eliminado]]="si","",RegContabilizados2[[#This Row],[Subcuenta]])</f>
        <v/>
      </c>
      <c r="S140" s="1" t="str">
        <f>IF(Regcontabilizados[[#This Row],[Eliminado]]="si","",RegContabilizados2[[#This Row],[Debe]])</f>
        <v/>
      </c>
      <c r="T140" s="1" t="str">
        <f>IF(Regcontabilizados[[#This Row],[Eliminado]]="si","",RegContabilizados2[[#This Row],[Haber]])</f>
        <v/>
      </c>
      <c r="U140" s="1">
        <f>IFERROR((Regcontabilizados[[#This Row],[Debe]]-Regcontabilizados[[#This Row],[Haber]]),0)</f>
        <v>0</v>
      </c>
      <c r="V140" s="1">
        <f>IFERROR((+_xlfn.XLOOKUP(Regcontabilizados[[#This Row],[Subcuenta]],Tabla11[Cuenta],Tabla11[Descripción],0)),0)</f>
        <v>0</v>
      </c>
      <c r="W140" s="1">
        <f>IFERROR((_xlfn.XLOOKUP((VALUE(LEFT(Regcontabilizados[[#This Row],[Subcuenta]],4))),Tabla11[Cuenta],Tabla11[Descripción],0)),0)</f>
        <v>0</v>
      </c>
      <c r="X140" s="1">
        <f>IFERROR((_xlfn.XLOOKUP(Regcontabilizados[[#This Row],[Subcuenta]],Tabla11[Cuenta],Tabla11[Descripción],0)),0)</f>
        <v>0</v>
      </c>
      <c r="Y140" s="1" t="str">
        <f>IF((IFERROR((FIND((_xlfn.XLOOKUP(RegContabilizados2[[#This Row],[Idenficador]],FormtBorrados[formatos borrados],FormtBorrados[formatos borrados],0)),RegContabilizados2[[#This Row],[Idenficador]])),0))=1,"si","no")</f>
        <v>si</v>
      </c>
      <c r="Z140" s="1" t="str">
        <f>_xlfn.XLOOKUP(Regcontabilizados[[#This Row],[Subcuenta]],Tabla11[Cuenta],Tabla11[TIPO],"")</f>
        <v/>
      </c>
      <c r="AA140" s="1" t="str">
        <f>IFERROR((Regcontabilizados[[#This Row],[Subcuenta]]&amp;" "&amp;_xlfn.XLOOKUP(Regcontabilizados[[#This Row],[Subcuenta]],Tabla11[Cuenta],Tabla11[Descripción],0)),0)</f>
        <v xml:space="preserve"> 0</v>
      </c>
      <c r="AB140" s="1">
        <f>IFERROR((VALUE(LEFT(Regcontabilizados[[#This Row],[Subcuenta]],2))&amp;" "&amp;_xlfn.XLOOKUP((VALUE(LEFT(Regcontabilizados[[#This Row],[Subcuenta]],2))),Tabla11[Cuenta],Tabla11[Descripción],0)),0)</f>
        <v>0</v>
      </c>
      <c r="AC140" s="1">
        <f>IFERROR((VALUE(LEFT(Regcontabilizados[[#This Row],[Subcuenta]],4))&amp;" "&amp;_xlfn.XLOOKUP((VALUE(LEFT(Regcontabilizados[[#This Row],[Subcuenta]],4))),Tabla11[Cuenta],Tabla11[Descripción],0)),0)</f>
        <v>0</v>
      </c>
      <c r="AD140" s="1" t="str">
        <f>IF(Regcontabilizados[[#This Row],[Eliminado]]="si","",RegContabilizados2[[#This Row],[Estado de pago]])</f>
        <v/>
      </c>
      <c r="AE140" s="1" t="str">
        <f>IF(Regcontabilizados[[#This Row],[Eliminado]]="si","",RegContabilizados2[[#This Row],[Colum. Aux. Estado]])</f>
        <v/>
      </c>
      <c r="AF140" s="1" t="str">
        <f>IF(Regcontabilizados[[#This Row],[Eliminado]]="si","",RegContabilizados2[[#This Row],[Número de pago]])</f>
        <v/>
      </c>
      <c r="AG140" s="1" t="str">
        <f>IF(Regcontabilizados[[#This Row],[Eliminado]]="si","",RegContabilizados2[[#This Row],[Elaborado por]])</f>
        <v/>
      </c>
      <c r="AH140" s="1" t="str">
        <f>IF(Regcontabilizados[[#This Row],[Eliminado]]="si","",RegContabilizados2[[#This Row],[Notas]])</f>
        <v/>
      </c>
      <c r="AI140" s="1" t="str">
        <f>IF(Regcontabilizados[[#This Row],[Eliminado]]="si","",RegContabilizados2[[#This Row],[Método de pago]])</f>
        <v/>
      </c>
      <c r="AJ140" s="1" t="str">
        <f>IF(Regcontabilizados[[#This Row],[Eliminado]]="si","",RegContabilizados2[[#This Row],[Cta. Bancaria]])</f>
        <v/>
      </c>
      <c r="AO140" s="31"/>
      <c r="AP140" s="31"/>
      <c r="AQ140" s="31" t="s">
        <v>1198</v>
      </c>
      <c r="AR140" s="3"/>
      <c r="AS140" s="1" t="s">
        <v>1111</v>
      </c>
      <c r="AT140" s="1">
        <v>333333</v>
      </c>
      <c r="AV140" s="3"/>
      <c r="AW140" s="3"/>
      <c r="AX140" s="3">
        <v>0</v>
      </c>
      <c r="AY140" s="3"/>
      <c r="AZ140" s="3" t="s">
        <v>974</v>
      </c>
      <c r="BC140" s="1" t="s">
        <v>1168</v>
      </c>
      <c r="BD140" s="1">
        <v>0</v>
      </c>
      <c r="BE140" s="1">
        <v>0</v>
      </c>
      <c r="BF140" s="1">
        <f>IFERROR((RegContabilizados2[[#This Row],[Debe]]-RegContabilizados2[[#This Row],[Haber]]),0)</f>
        <v>0</v>
      </c>
      <c r="BG140" s="1">
        <f>IFERROR((+_xlfn.XLOOKUP(RegContabilizados2[[#This Row],[Subcuenta]],Tabla11[Cuenta],Tabla11[Descripción],0)),0)</f>
        <v>0</v>
      </c>
      <c r="BH140" s="1">
        <f>IFERROR((VALUE(LEFT(RegContabilizados2[[#This Row],[Subcuenta]],2))&amp;" "&amp;_xlfn.XLOOKUP((VALUE(LEFT(RegContabilizados2[[#This Row],[Subcuenta]],2))),Tabla11[Cuenta],Tabla11[Descripción],0)),0)</f>
        <v>0</v>
      </c>
      <c r="BI140" s="1">
        <f>IFERROR((VALUE(LEFT(RegContabilizados2[[#This Row],[Subcuenta]],4))&amp;" "&amp;_xlfn.XLOOKUP((VALUE(LEFT(RegContabilizados2[[#This Row],[Subcuenta]],4))),Tabla11[Cuenta],Tabla11[Descripción],0)),0)</f>
        <v>0</v>
      </c>
      <c r="BJ140" s="1" t="str">
        <f>IFERROR((RegContabilizados2[[#This Row],[Subcuenta]]&amp;" "&amp;_xlfn.XLOOKUP(RegContabilizados2[[#This Row],[Subcuenta]],Tabla11[Cuenta],Tabla11[Descripción],0)),0)</f>
        <v xml:space="preserve"> 0</v>
      </c>
      <c r="BK140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PAGADO</v>
      </c>
      <c r="BL140" s="1" t="str">
        <f>IFERROR(LEFT(RegContabilizados2[[#This Row],[Idenficador]],SEARCH("-",RegContabilizados2[[#This Row],[Idenficador]])-1),0)</f>
        <v>F.C.</v>
      </c>
      <c r="BN140" s="1" t="s">
        <v>1169</v>
      </c>
    </row>
    <row r="141" spans="4:67">
      <c r="D141" s="31" t="str">
        <f>IF(Regcontabilizados[[#This Row],[Eliminado]]="si","",RegContabilizados2[[#This Row],[fecha Factura]])</f>
        <v/>
      </c>
      <c r="E141" s="31" t="str">
        <f>IF(Regcontabilizados[[#This Row],[Eliminado]]="si","",RegContabilizados2[[#This Row],[Fecha vencimiento]])</f>
        <v/>
      </c>
      <c r="F141" s="31" t="str">
        <f>IF(Regcontabilizados[[#This Row],[Eliminado]]="si","",RegContabilizados2[[#This Row],[Idenficador]])</f>
        <v/>
      </c>
      <c r="G141" s="3" t="str">
        <f>IF(Regcontabilizados[[#This Row],[Eliminado]]="si","",RegContabilizados2[[#This Row],[N° de factura/Pago]])</f>
        <v/>
      </c>
      <c r="H141" s="1" t="str">
        <f>IF(Regcontabilizados[[#This Row],[Eliminado]]="si","",RegContabilizados2[[#This Row],[Tipo de Factura]])</f>
        <v/>
      </c>
      <c r="I141" s="1" t="str">
        <f>IF(Regcontabilizados[[#This Row],[Eliminado]]="si","",RegContabilizados2[[#This Row],[ID Cliente]])</f>
        <v/>
      </c>
      <c r="J141" s="1" t="str">
        <f>IF(Regcontabilizados[[#This Row],[Eliminado]]="si","",RegContabilizados2[[#This Row],[ESTADO DEL IVA]])</f>
        <v/>
      </c>
      <c r="K141" s="3" t="str">
        <f>IF(Regcontabilizados[[#This Row],[Eliminado]]="si","",RegContabilizados2[[#This Row],[ID Proveedor]])</f>
        <v/>
      </c>
      <c r="L141" s="3" t="str">
        <f>IF(Regcontabilizados[[#This Row],[Eliminado]]="si","",RegContabilizados2[[#This Row],[Concepto]])</f>
        <v/>
      </c>
      <c r="M141" s="3" t="str">
        <f>IF(Regcontabilizados[[#This Row],[Eliminado]]="si","",RegContabilizados2[[#This Row],[Categoría]])</f>
        <v/>
      </c>
      <c r="N141" s="3" t="str">
        <f>IF(Regcontabilizados[[#This Row],[Eliminado]]="si","",RegContabilizados2[[#This Row],[Almacen]])</f>
        <v/>
      </c>
      <c r="O141" s="3" t="str">
        <f>IF(Regcontabilizados[[#This Row],[Eliminado]]="si","",RegContabilizados2[[#This Row],[Tipo de movimiento]])</f>
        <v/>
      </c>
      <c r="P141" s="1" t="str">
        <f>IF(Regcontabilizados[[#This Row],[Eliminado]]="si","",RegContabilizados2[[#This Row],[cantidad]])</f>
        <v/>
      </c>
      <c r="Q141" s="1" t="str">
        <f>IF(Regcontabilizados[[#This Row],[Eliminado]]="si","",RegContabilizados2[[#This Row],[VR unitario]])</f>
        <v/>
      </c>
      <c r="R141" s="1" t="str">
        <f>IF(Regcontabilizados[[#This Row],[Eliminado]]="si","",RegContabilizados2[[#This Row],[Subcuenta]])</f>
        <v/>
      </c>
      <c r="S141" s="1" t="str">
        <f>IF(Regcontabilizados[[#This Row],[Eliminado]]="si","",RegContabilizados2[[#This Row],[Debe]])</f>
        <v/>
      </c>
      <c r="T141" s="1" t="str">
        <f>IF(Regcontabilizados[[#This Row],[Eliminado]]="si","",RegContabilizados2[[#This Row],[Haber]])</f>
        <v/>
      </c>
      <c r="U141" s="1">
        <f>IFERROR((Regcontabilizados[[#This Row],[Debe]]-Regcontabilizados[[#This Row],[Haber]]),0)</f>
        <v>0</v>
      </c>
      <c r="V141" s="1">
        <f>IFERROR((+_xlfn.XLOOKUP(Regcontabilizados[[#This Row],[Subcuenta]],Tabla11[Cuenta],Tabla11[Descripción],0)),0)</f>
        <v>0</v>
      </c>
      <c r="W141" s="1">
        <f>IFERROR((_xlfn.XLOOKUP((VALUE(LEFT(Regcontabilizados[[#This Row],[Subcuenta]],4))),Tabla11[Cuenta],Tabla11[Descripción],0)),0)</f>
        <v>0</v>
      </c>
      <c r="X141" s="1">
        <f>IFERROR((_xlfn.XLOOKUP(Regcontabilizados[[#This Row],[Subcuenta]],Tabla11[Cuenta],Tabla11[Descripción],0)),0)</f>
        <v>0</v>
      </c>
      <c r="Y141" s="1" t="str">
        <f>IF((IFERROR((FIND((_xlfn.XLOOKUP(RegContabilizados2[[#This Row],[Idenficador]],FormtBorrados[formatos borrados],FormtBorrados[formatos borrados],0)),RegContabilizados2[[#This Row],[Idenficador]])),0))=1,"si","no")</f>
        <v>si</v>
      </c>
      <c r="Z141" s="1" t="str">
        <f>_xlfn.XLOOKUP(Regcontabilizados[[#This Row],[Subcuenta]],Tabla11[Cuenta],Tabla11[TIPO],"")</f>
        <v/>
      </c>
      <c r="AA141" s="1" t="str">
        <f>IFERROR((Regcontabilizados[[#This Row],[Subcuenta]]&amp;" "&amp;_xlfn.XLOOKUP(Regcontabilizados[[#This Row],[Subcuenta]],Tabla11[Cuenta],Tabla11[Descripción],0)),0)</f>
        <v xml:space="preserve"> 0</v>
      </c>
      <c r="AB141" s="1">
        <f>IFERROR((VALUE(LEFT(Regcontabilizados[[#This Row],[Subcuenta]],2))&amp;" "&amp;_xlfn.XLOOKUP((VALUE(LEFT(Regcontabilizados[[#This Row],[Subcuenta]],2))),Tabla11[Cuenta],Tabla11[Descripción],0)),0)</f>
        <v>0</v>
      </c>
      <c r="AC141" s="1">
        <f>IFERROR((VALUE(LEFT(Regcontabilizados[[#This Row],[Subcuenta]],4))&amp;" "&amp;_xlfn.XLOOKUP((VALUE(LEFT(Regcontabilizados[[#This Row],[Subcuenta]],4))),Tabla11[Cuenta],Tabla11[Descripción],0)),0)</f>
        <v>0</v>
      </c>
      <c r="AD141" s="1" t="str">
        <f>IF(Regcontabilizados[[#This Row],[Eliminado]]="si","",RegContabilizados2[[#This Row],[Estado de pago]])</f>
        <v/>
      </c>
      <c r="AE141" s="1" t="str">
        <f>IF(Regcontabilizados[[#This Row],[Eliminado]]="si","",RegContabilizados2[[#This Row],[Colum. Aux. Estado]])</f>
        <v/>
      </c>
      <c r="AF141" s="1" t="str">
        <f>IF(Regcontabilizados[[#This Row],[Eliminado]]="si","",RegContabilizados2[[#This Row],[Número de pago]])</f>
        <v/>
      </c>
      <c r="AG141" s="1" t="str">
        <f>IF(Regcontabilizados[[#This Row],[Eliminado]]="si","",RegContabilizados2[[#This Row],[Elaborado por]])</f>
        <v/>
      </c>
      <c r="AH141" s="1" t="str">
        <f>IF(Regcontabilizados[[#This Row],[Eliminado]]="si","",RegContabilizados2[[#This Row],[Notas]])</f>
        <v/>
      </c>
      <c r="AI141" s="1" t="str">
        <f>IF(Regcontabilizados[[#This Row],[Eliminado]]="si","",RegContabilizados2[[#This Row],[Método de pago]])</f>
        <v/>
      </c>
      <c r="AJ141" s="1" t="str">
        <f>IF(Regcontabilizados[[#This Row],[Eliminado]]="si","",RegContabilizados2[[#This Row],[Cta. Bancaria]])</f>
        <v/>
      </c>
      <c r="AO141" s="31"/>
      <c r="AP141" s="31"/>
      <c r="AQ141" s="31" t="s">
        <v>1199</v>
      </c>
      <c r="AR141" s="3"/>
      <c r="AS141" s="1" t="s">
        <v>1111</v>
      </c>
      <c r="AT141" s="1">
        <v>333333</v>
      </c>
      <c r="AV141" s="3"/>
      <c r="AW141" s="3"/>
      <c r="AX141" s="3">
        <v>0</v>
      </c>
      <c r="AY141" s="3"/>
      <c r="AZ141" s="3" t="s">
        <v>974</v>
      </c>
      <c r="BC141" s="1" t="s">
        <v>1168</v>
      </c>
      <c r="BD141" s="1">
        <v>0</v>
      </c>
      <c r="BE141" s="1">
        <v>0</v>
      </c>
      <c r="BF141" s="1">
        <f>IFERROR((RegContabilizados2[[#This Row],[Debe]]-RegContabilizados2[[#This Row],[Haber]]),0)</f>
        <v>0</v>
      </c>
      <c r="BG141" s="1">
        <f>IFERROR((+_xlfn.XLOOKUP(RegContabilizados2[[#This Row],[Subcuenta]],Tabla11[Cuenta],Tabla11[Descripción],0)),0)</f>
        <v>0</v>
      </c>
      <c r="BH141" s="1">
        <f>IFERROR((VALUE(LEFT(RegContabilizados2[[#This Row],[Subcuenta]],2))&amp;" "&amp;_xlfn.XLOOKUP((VALUE(LEFT(RegContabilizados2[[#This Row],[Subcuenta]],2))),Tabla11[Cuenta],Tabla11[Descripción],0)),0)</f>
        <v>0</v>
      </c>
      <c r="BI141" s="1">
        <f>IFERROR((VALUE(LEFT(RegContabilizados2[[#This Row],[Subcuenta]],4))&amp;" "&amp;_xlfn.XLOOKUP((VALUE(LEFT(RegContabilizados2[[#This Row],[Subcuenta]],4))),Tabla11[Cuenta],Tabla11[Descripción],0)),0)</f>
        <v>0</v>
      </c>
      <c r="BJ141" s="1" t="str">
        <f>IFERROR((RegContabilizados2[[#This Row],[Subcuenta]]&amp;" "&amp;_xlfn.XLOOKUP(RegContabilizados2[[#This Row],[Subcuenta]],Tabla11[Cuenta],Tabla11[Descripción],0)),0)</f>
        <v xml:space="preserve"> 0</v>
      </c>
      <c r="BK141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PAGADO</v>
      </c>
      <c r="BL141" s="1" t="str">
        <f>IFERROR(LEFT(RegContabilizados2[[#This Row],[Idenficador]],SEARCH("-",RegContabilizados2[[#This Row],[Idenficador]])-1),0)</f>
        <v>F.C.</v>
      </c>
      <c r="BN141" s="1" t="s">
        <v>1169</v>
      </c>
    </row>
    <row r="142" spans="4:67">
      <c r="D142" s="31" t="str">
        <f>IF(Regcontabilizados[[#This Row],[Eliminado]]="si","",RegContabilizados2[[#This Row],[fecha Factura]])</f>
        <v/>
      </c>
      <c r="E142" s="31" t="str">
        <f>IF(Regcontabilizados[[#This Row],[Eliminado]]="si","",RegContabilizados2[[#This Row],[Fecha vencimiento]])</f>
        <v/>
      </c>
      <c r="F142" s="31" t="str">
        <f>IF(Regcontabilizados[[#This Row],[Eliminado]]="si","",RegContabilizados2[[#This Row],[Idenficador]])</f>
        <v/>
      </c>
      <c r="G142" s="3" t="str">
        <f>IF(Regcontabilizados[[#This Row],[Eliminado]]="si","",RegContabilizados2[[#This Row],[N° de factura/Pago]])</f>
        <v/>
      </c>
      <c r="H142" s="1" t="str">
        <f>IF(Regcontabilizados[[#This Row],[Eliminado]]="si","",RegContabilizados2[[#This Row],[Tipo de Factura]])</f>
        <v/>
      </c>
      <c r="I142" s="1" t="str">
        <f>IF(Regcontabilizados[[#This Row],[Eliminado]]="si","",RegContabilizados2[[#This Row],[ID Cliente]])</f>
        <v/>
      </c>
      <c r="J142" s="1" t="str">
        <f>IF(Regcontabilizados[[#This Row],[Eliminado]]="si","",RegContabilizados2[[#This Row],[ESTADO DEL IVA]])</f>
        <v/>
      </c>
      <c r="K142" s="3" t="str">
        <f>IF(Regcontabilizados[[#This Row],[Eliminado]]="si","",RegContabilizados2[[#This Row],[ID Proveedor]])</f>
        <v/>
      </c>
      <c r="L142" s="3" t="str">
        <f>IF(Regcontabilizados[[#This Row],[Eliminado]]="si","",RegContabilizados2[[#This Row],[Concepto]])</f>
        <v/>
      </c>
      <c r="M142" s="3" t="str">
        <f>IF(Regcontabilizados[[#This Row],[Eliminado]]="si","",RegContabilizados2[[#This Row],[Categoría]])</f>
        <v/>
      </c>
      <c r="N142" s="3" t="str">
        <f>IF(Regcontabilizados[[#This Row],[Eliminado]]="si","",RegContabilizados2[[#This Row],[Almacen]])</f>
        <v/>
      </c>
      <c r="O142" s="3" t="str">
        <f>IF(Regcontabilizados[[#This Row],[Eliminado]]="si","",RegContabilizados2[[#This Row],[Tipo de movimiento]])</f>
        <v/>
      </c>
      <c r="P142" s="1" t="str">
        <f>IF(Regcontabilizados[[#This Row],[Eliminado]]="si","",RegContabilizados2[[#This Row],[cantidad]])</f>
        <v/>
      </c>
      <c r="Q142" s="1" t="str">
        <f>IF(Regcontabilizados[[#This Row],[Eliminado]]="si","",RegContabilizados2[[#This Row],[VR unitario]])</f>
        <v/>
      </c>
      <c r="R142" s="1" t="str">
        <f>IF(Regcontabilizados[[#This Row],[Eliminado]]="si","",RegContabilizados2[[#This Row],[Subcuenta]])</f>
        <v/>
      </c>
      <c r="S142" s="1" t="str">
        <f>IF(Regcontabilizados[[#This Row],[Eliminado]]="si","",RegContabilizados2[[#This Row],[Debe]])</f>
        <v/>
      </c>
      <c r="T142" s="1" t="str">
        <f>IF(Regcontabilizados[[#This Row],[Eliminado]]="si","",RegContabilizados2[[#This Row],[Haber]])</f>
        <v/>
      </c>
      <c r="U142" s="1">
        <f>IFERROR((Regcontabilizados[[#This Row],[Debe]]-Regcontabilizados[[#This Row],[Haber]]),0)</f>
        <v>0</v>
      </c>
      <c r="V142" s="1">
        <f>IFERROR((+_xlfn.XLOOKUP(Regcontabilizados[[#This Row],[Subcuenta]],Tabla11[Cuenta],Tabla11[Descripción],0)),0)</f>
        <v>0</v>
      </c>
      <c r="W142" s="1">
        <f>IFERROR((_xlfn.XLOOKUP((VALUE(LEFT(Regcontabilizados[[#This Row],[Subcuenta]],4))),Tabla11[Cuenta],Tabla11[Descripción],0)),0)</f>
        <v>0</v>
      </c>
      <c r="X142" s="1">
        <f>IFERROR((_xlfn.XLOOKUP(Regcontabilizados[[#This Row],[Subcuenta]],Tabla11[Cuenta],Tabla11[Descripción],0)),0)</f>
        <v>0</v>
      </c>
      <c r="Y142" s="1" t="str">
        <f>IF((IFERROR((FIND((_xlfn.XLOOKUP(RegContabilizados2[[#This Row],[Idenficador]],FormtBorrados[formatos borrados],FormtBorrados[formatos borrados],0)),RegContabilizados2[[#This Row],[Idenficador]])),0))=1,"si","no")</f>
        <v>si</v>
      </c>
      <c r="Z142" s="1" t="str">
        <f>_xlfn.XLOOKUP(Regcontabilizados[[#This Row],[Subcuenta]],Tabla11[Cuenta],Tabla11[TIPO],"")</f>
        <v/>
      </c>
      <c r="AA142" s="1" t="str">
        <f>IFERROR((Regcontabilizados[[#This Row],[Subcuenta]]&amp;" "&amp;_xlfn.XLOOKUP(Regcontabilizados[[#This Row],[Subcuenta]],Tabla11[Cuenta],Tabla11[Descripción],0)),0)</f>
        <v xml:space="preserve"> 0</v>
      </c>
      <c r="AB142" s="1">
        <f>IFERROR((VALUE(LEFT(Regcontabilizados[[#This Row],[Subcuenta]],2))&amp;" "&amp;_xlfn.XLOOKUP((VALUE(LEFT(Regcontabilizados[[#This Row],[Subcuenta]],2))),Tabla11[Cuenta],Tabla11[Descripción],0)),0)</f>
        <v>0</v>
      </c>
      <c r="AC142" s="1">
        <f>IFERROR((VALUE(LEFT(Regcontabilizados[[#This Row],[Subcuenta]],4))&amp;" "&amp;_xlfn.XLOOKUP((VALUE(LEFT(Regcontabilizados[[#This Row],[Subcuenta]],4))),Tabla11[Cuenta],Tabla11[Descripción],0)),0)</f>
        <v>0</v>
      </c>
      <c r="AD142" s="1" t="str">
        <f>IF(Regcontabilizados[[#This Row],[Eliminado]]="si","",RegContabilizados2[[#This Row],[Estado de pago]])</f>
        <v/>
      </c>
      <c r="AE142" s="1" t="str">
        <f>IF(Regcontabilizados[[#This Row],[Eliminado]]="si","",RegContabilizados2[[#This Row],[Colum. Aux. Estado]])</f>
        <v/>
      </c>
      <c r="AF142" s="1" t="str">
        <f>IF(Regcontabilizados[[#This Row],[Eliminado]]="si","",RegContabilizados2[[#This Row],[Número de pago]])</f>
        <v/>
      </c>
      <c r="AG142" s="1" t="str">
        <f>IF(Regcontabilizados[[#This Row],[Eliminado]]="si","",RegContabilizados2[[#This Row],[Elaborado por]])</f>
        <v/>
      </c>
      <c r="AH142" s="1" t="str">
        <f>IF(Regcontabilizados[[#This Row],[Eliminado]]="si","",RegContabilizados2[[#This Row],[Notas]])</f>
        <v/>
      </c>
      <c r="AI142" s="1" t="str">
        <f>IF(Regcontabilizados[[#This Row],[Eliminado]]="si","",RegContabilizados2[[#This Row],[Método de pago]])</f>
        <v/>
      </c>
      <c r="AJ142" s="1" t="str">
        <f>IF(Regcontabilizados[[#This Row],[Eliminado]]="si","",RegContabilizados2[[#This Row],[Cta. Bancaria]])</f>
        <v/>
      </c>
      <c r="AO142" s="31"/>
      <c r="AP142" s="31"/>
      <c r="AQ142" s="31" t="s">
        <v>1200</v>
      </c>
      <c r="AR142" s="3"/>
      <c r="AS142" s="1" t="s">
        <v>1111</v>
      </c>
      <c r="AT142" s="1">
        <v>333333</v>
      </c>
      <c r="AV142" s="3"/>
      <c r="AW142" s="3"/>
      <c r="AX142" s="3">
        <v>0</v>
      </c>
      <c r="AY142" s="3"/>
      <c r="AZ142" s="3" t="s">
        <v>974</v>
      </c>
      <c r="BC142" s="1" t="s">
        <v>1168</v>
      </c>
      <c r="BD142" s="1">
        <v>0</v>
      </c>
      <c r="BE142" s="1">
        <v>0</v>
      </c>
      <c r="BF142" s="1">
        <f>IFERROR((RegContabilizados2[[#This Row],[Debe]]-RegContabilizados2[[#This Row],[Haber]]),0)</f>
        <v>0</v>
      </c>
      <c r="BG142" s="1">
        <f>IFERROR((+_xlfn.XLOOKUP(RegContabilizados2[[#This Row],[Subcuenta]],Tabla11[Cuenta],Tabla11[Descripción],0)),0)</f>
        <v>0</v>
      </c>
      <c r="BH142" s="1">
        <f>IFERROR((VALUE(LEFT(RegContabilizados2[[#This Row],[Subcuenta]],2))&amp;" "&amp;_xlfn.XLOOKUP((VALUE(LEFT(RegContabilizados2[[#This Row],[Subcuenta]],2))),Tabla11[Cuenta],Tabla11[Descripción],0)),0)</f>
        <v>0</v>
      </c>
      <c r="BI142" s="1">
        <f>IFERROR((VALUE(LEFT(RegContabilizados2[[#This Row],[Subcuenta]],4))&amp;" "&amp;_xlfn.XLOOKUP((VALUE(LEFT(RegContabilizados2[[#This Row],[Subcuenta]],4))),Tabla11[Cuenta],Tabla11[Descripción],0)),0)</f>
        <v>0</v>
      </c>
      <c r="BJ142" s="1" t="str">
        <f>IFERROR((RegContabilizados2[[#This Row],[Subcuenta]]&amp;" "&amp;_xlfn.XLOOKUP(RegContabilizados2[[#This Row],[Subcuenta]],Tabla11[Cuenta],Tabla11[Descripción],0)),0)</f>
        <v xml:space="preserve"> 0</v>
      </c>
      <c r="BK142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PAGADO</v>
      </c>
      <c r="BL142" s="1" t="str">
        <f>IFERROR(LEFT(RegContabilizados2[[#This Row],[Idenficador]],SEARCH("-",RegContabilizados2[[#This Row],[Idenficador]])-1),0)</f>
        <v>F.C.</v>
      </c>
      <c r="BN142" s="1" t="s">
        <v>1169</v>
      </c>
    </row>
    <row r="143" spans="4:67">
      <c r="D143" s="31" t="str">
        <f>IF(Regcontabilizados[[#This Row],[Eliminado]]="si","",RegContabilizados2[[#This Row],[fecha Factura]])</f>
        <v/>
      </c>
      <c r="E143" s="31" t="str">
        <f>IF(Regcontabilizados[[#This Row],[Eliminado]]="si","",RegContabilizados2[[#This Row],[Fecha vencimiento]])</f>
        <v/>
      </c>
      <c r="F143" s="31" t="str">
        <f>IF(Regcontabilizados[[#This Row],[Eliminado]]="si","",RegContabilizados2[[#This Row],[Idenficador]])</f>
        <v/>
      </c>
      <c r="G143" s="3" t="str">
        <f>IF(Regcontabilizados[[#This Row],[Eliminado]]="si","",RegContabilizados2[[#This Row],[N° de factura/Pago]])</f>
        <v/>
      </c>
      <c r="H143" s="1" t="str">
        <f>IF(Regcontabilizados[[#This Row],[Eliminado]]="si","",RegContabilizados2[[#This Row],[Tipo de Factura]])</f>
        <v/>
      </c>
      <c r="I143" s="1" t="str">
        <f>IF(Regcontabilizados[[#This Row],[Eliminado]]="si","",RegContabilizados2[[#This Row],[ID Cliente]])</f>
        <v/>
      </c>
      <c r="J143" s="1" t="str">
        <f>IF(Regcontabilizados[[#This Row],[Eliminado]]="si","",RegContabilizados2[[#This Row],[ESTADO DEL IVA]])</f>
        <v/>
      </c>
      <c r="K143" s="3" t="str">
        <f>IF(Regcontabilizados[[#This Row],[Eliminado]]="si","",RegContabilizados2[[#This Row],[ID Proveedor]])</f>
        <v/>
      </c>
      <c r="L143" s="3" t="str">
        <f>IF(Regcontabilizados[[#This Row],[Eliminado]]="si","",RegContabilizados2[[#This Row],[Concepto]])</f>
        <v/>
      </c>
      <c r="M143" s="3" t="str">
        <f>IF(Regcontabilizados[[#This Row],[Eliminado]]="si","",RegContabilizados2[[#This Row],[Categoría]])</f>
        <v/>
      </c>
      <c r="N143" s="3" t="str">
        <f>IF(Regcontabilizados[[#This Row],[Eliminado]]="si","",RegContabilizados2[[#This Row],[Almacen]])</f>
        <v/>
      </c>
      <c r="O143" s="3" t="str">
        <f>IF(Regcontabilizados[[#This Row],[Eliminado]]="si","",RegContabilizados2[[#This Row],[Tipo de movimiento]])</f>
        <v/>
      </c>
      <c r="P143" s="1" t="str">
        <f>IF(Regcontabilizados[[#This Row],[Eliminado]]="si","",RegContabilizados2[[#This Row],[cantidad]])</f>
        <v/>
      </c>
      <c r="Q143" s="1" t="str">
        <f>IF(Regcontabilizados[[#This Row],[Eliminado]]="si","",RegContabilizados2[[#This Row],[VR unitario]])</f>
        <v/>
      </c>
      <c r="R143" s="1" t="str">
        <f>IF(Regcontabilizados[[#This Row],[Eliminado]]="si","",RegContabilizados2[[#This Row],[Subcuenta]])</f>
        <v/>
      </c>
      <c r="S143" s="1" t="str">
        <f>IF(Regcontabilizados[[#This Row],[Eliminado]]="si","",RegContabilizados2[[#This Row],[Debe]])</f>
        <v/>
      </c>
      <c r="T143" s="1" t="str">
        <f>IF(Regcontabilizados[[#This Row],[Eliminado]]="si","",RegContabilizados2[[#This Row],[Haber]])</f>
        <v/>
      </c>
      <c r="U143" s="1">
        <f>IFERROR((Regcontabilizados[[#This Row],[Debe]]-Regcontabilizados[[#This Row],[Haber]]),0)</f>
        <v>0</v>
      </c>
      <c r="V143" s="1">
        <f>IFERROR((+_xlfn.XLOOKUP(Regcontabilizados[[#This Row],[Subcuenta]],Tabla11[Cuenta],Tabla11[Descripción],0)),0)</f>
        <v>0</v>
      </c>
      <c r="W143" s="1">
        <f>IFERROR((_xlfn.XLOOKUP((VALUE(LEFT(Regcontabilizados[[#This Row],[Subcuenta]],4))),Tabla11[Cuenta],Tabla11[Descripción],0)),0)</f>
        <v>0</v>
      </c>
      <c r="X143" s="1">
        <f>IFERROR((_xlfn.XLOOKUP(Regcontabilizados[[#This Row],[Subcuenta]],Tabla11[Cuenta],Tabla11[Descripción],0)),0)</f>
        <v>0</v>
      </c>
      <c r="Y143" s="1" t="str">
        <f>IF((IFERROR((FIND((_xlfn.XLOOKUP(RegContabilizados2[[#This Row],[Idenficador]],FormtBorrados[formatos borrados],FormtBorrados[formatos borrados],0)),RegContabilizados2[[#This Row],[Idenficador]])),0))=1,"si","no")</f>
        <v>si</v>
      </c>
      <c r="Z143" s="1" t="str">
        <f>_xlfn.XLOOKUP(Regcontabilizados[[#This Row],[Subcuenta]],Tabla11[Cuenta],Tabla11[TIPO],"")</f>
        <v/>
      </c>
      <c r="AA143" s="1" t="str">
        <f>IFERROR((Regcontabilizados[[#This Row],[Subcuenta]]&amp;" "&amp;_xlfn.XLOOKUP(Regcontabilizados[[#This Row],[Subcuenta]],Tabla11[Cuenta],Tabla11[Descripción],0)),0)</f>
        <v xml:space="preserve"> 0</v>
      </c>
      <c r="AB143" s="1">
        <f>IFERROR((VALUE(LEFT(Regcontabilizados[[#This Row],[Subcuenta]],2))&amp;" "&amp;_xlfn.XLOOKUP((VALUE(LEFT(Regcontabilizados[[#This Row],[Subcuenta]],2))),Tabla11[Cuenta],Tabla11[Descripción],0)),0)</f>
        <v>0</v>
      </c>
      <c r="AC143" s="1">
        <f>IFERROR((VALUE(LEFT(Regcontabilizados[[#This Row],[Subcuenta]],4))&amp;" "&amp;_xlfn.XLOOKUP((VALUE(LEFT(Regcontabilizados[[#This Row],[Subcuenta]],4))),Tabla11[Cuenta],Tabla11[Descripción],0)),0)</f>
        <v>0</v>
      </c>
      <c r="AD143" s="1" t="str">
        <f>IF(Regcontabilizados[[#This Row],[Eliminado]]="si","",RegContabilizados2[[#This Row],[Estado de pago]])</f>
        <v/>
      </c>
      <c r="AE143" s="1" t="str">
        <f>IF(Regcontabilizados[[#This Row],[Eliminado]]="si","",RegContabilizados2[[#This Row],[Colum. Aux. Estado]])</f>
        <v/>
      </c>
      <c r="AF143" s="1" t="str">
        <f>IF(Regcontabilizados[[#This Row],[Eliminado]]="si","",RegContabilizados2[[#This Row],[Número de pago]])</f>
        <v/>
      </c>
      <c r="AG143" s="1" t="str">
        <f>IF(Regcontabilizados[[#This Row],[Eliminado]]="si","",RegContabilizados2[[#This Row],[Elaborado por]])</f>
        <v/>
      </c>
      <c r="AH143" s="1" t="str">
        <f>IF(Regcontabilizados[[#This Row],[Eliminado]]="si","",RegContabilizados2[[#This Row],[Notas]])</f>
        <v/>
      </c>
      <c r="AI143" s="1" t="str">
        <f>IF(Regcontabilizados[[#This Row],[Eliminado]]="si","",RegContabilizados2[[#This Row],[Método de pago]])</f>
        <v/>
      </c>
      <c r="AJ143" s="1" t="str">
        <f>IF(Regcontabilizados[[#This Row],[Eliminado]]="si","",RegContabilizados2[[#This Row],[Cta. Bancaria]])</f>
        <v/>
      </c>
      <c r="AO143" s="31"/>
      <c r="AP143" s="31"/>
      <c r="AQ143" s="31" t="s">
        <v>1201</v>
      </c>
      <c r="AR143" s="3"/>
      <c r="AS143" s="1" t="s">
        <v>1111</v>
      </c>
      <c r="AT143" s="1">
        <v>333333</v>
      </c>
      <c r="AV143" s="3"/>
      <c r="AW143" s="3"/>
      <c r="AX143" s="3">
        <v>0</v>
      </c>
      <c r="AY143" s="3"/>
      <c r="AZ143" s="3" t="s">
        <v>974</v>
      </c>
      <c r="BC143" s="1" t="s">
        <v>1168</v>
      </c>
      <c r="BD143" s="1">
        <v>0</v>
      </c>
      <c r="BE143" s="1">
        <v>0</v>
      </c>
      <c r="BF143" s="1">
        <f>IFERROR((RegContabilizados2[[#This Row],[Debe]]-RegContabilizados2[[#This Row],[Haber]]),0)</f>
        <v>0</v>
      </c>
      <c r="BG143" s="1">
        <f>IFERROR((+_xlfn.XLOOKUP(RegContabilizados2[[#This Row],[Subcuenta]],Tabla11[Cuenta],Tabla11[Descripción],0)),0)</f>
        <v>0</v>
      </c>
      <c r="BH143" s="1">
        <f>IFERROR((VALUE(LEFT(RegContabilizados2[[#This Row],[Subcuenta]],2))&amp;" "&amp;_xlfn.XLOOKUP((VALUE(LEFT(RegContabilizados2[[#This Row],[Subcuenta]],2))),Tabla11[Cuenta],Tabla11[Descripción],0)),0)</f>
        <v>0</v>
      </c>
      <c r="BI143" s="1">
        <f>IFERROR((VALUE(LEFT(RegContabilizados2[[#This Row],[Subcuenta]],4))&amp;" "&amp;_xlfn.XLOOKUP((VALUE(LEFT(RegContabilizados2[[#This Row],[Subcuenta]],4))),Tabla11[Cuenta],Tabla11[Descripción],0)),0)</f>
        <v>0</v>
      </c>
      <c r="BJ143" s="1" t="str">
        <f>IFERROR((RegContabilizados2[[#This Row],[Subcuenta]]&amp;" "&amp;_xlfn.XLOOKUP(RegContabilizados2[[#This Row],[Subcuenta]],Tabla11[Cuenta],Tabla11[Descripción],0)),0)</f>
        <v xml:space="preserve"> 0</v>
      </c>
      <c r="BK143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PAGADO</v>
      </c>
      <c r="BL143" s="1" t="str">
        <f>IFERROR(LEFT(RegContabilizados2[[#This Row],[Idenficador]],SEARCH("-",RegContabilizados2[[#This Row],[Idenficador]])-1),0)</f>
        <v>F.C.</v>
      </c>
      <c r="BN143" s="1" t="s">
        <v>1169</v>
      </c>
    </row>
    <row r="144" spans="4:67">
      <c r="D144" s="31" t="str">
        <f>IF(Regcontabilizados[[#This Row],[Eliminado]]="si","",RegContabilizados2[[#This Row],[fecha Factura]])</f>
        <v/>
      </c>
      <c r="E144" s="31" t="str">
        <f>IF(Regcontabilizados[[#This Row],[Eliminado]]="si","",RegContabilizados2[[#This Row],[Fecha vencimiento]])</f>
        <v/>
      </c>
      <c r="F144" s="31" t="str">
        <f>IF(Regcontabilizados[[#This Row],[Eliminado]]="si","",RegContabilizados2[[#This Row],[Idenficador]])</f>
        <v/>
      </c>
      <c r="G144" s="3" t="str">
        <f>IF(Regcontabilizados[[#This Row],[Eliminado]]="si","",RegContabilizados2[[#This Row],[N° de factura/Pago]])</f>
        <v/>
      </c>
      <c r="H144" s="1" t="str">
        <f>IF(Regcontabilizados[[#This Row],[Eliminado]]="si","",RegContabilizados2[[#This Row],[Tipo de Factura]])</f>
        <v/>
      </c>
      <c r="I144" s="1" t="str">
        <f>IF(Regcontabilizados[[#This Row],[Eliminado]]="si","",RegContabilizados2[[#This Row],[ID Cliente]])</f>
        <v/>
      </c>
      <c r="J144" s="1" t="str">
        <f>IF(Regcontabilizados[[#This Row],[Eliminado]]="si","",RegContabilizados2[[#This Row],[ESTADO DEL IVA]])</f>
        <v/>
      </c>
      <c r="K144" s="3" t="str">
        <f>IF(Regcontabilizados[[#This Row],[Eliminado]]="si","",RegContabilizados2[[#This Row],[ID Proveedor]])</f>
        <v/>
      </c>
      <c r="L144" s="3" t="str">
        <f>IF(Regcontabilizados[[#This Row],[Eliminado]]="si","",RegContabilizados2[[#This Row],[Concepto]])</f>
        <v/>
      </c>
      <c r="M144" s="3" t="str">
        <f>IF(Regcontabilizados[[#This Row],[Eliminado]]="si","",RegContabilizados2[[#This Row],[Categoría]])</f>
        <v/>
      </c>
      <c r="N144" s="3" t="str">
        <f>IF(Regcontabilizados[[#This Row],[Eliminado]]="si","",RegContabilizados2[[#This Row],[Almacen]])</f>
        <v/>
      </c>
      <c r="O144" s="3" t="str">
        <f>IF(Regcontabilizados[[#This Row],[Eliminado]]="si","",RegContabilizados2[[#This Row],[Tipo de movimiento]])</f>
        <v/>
      </c>
      <c r="P144" s="1" t="str">
        <f>IF(Regcontabilizados[[#This Row],[Eliminado]]="si","",RegContabilizados2[[#This Row],[cantidad]])</f>
        <v/>
      </c>
      <c r="Q144" s="1" t="str">
        <f>IF(Regcontabilizados[[#This Row],[Eliminado]]="si","",RegContabilizados2[[#This Row],[VR unitario]])</f>
        <v/>
      </c>
      <c r="R144" s="1" t="str">
        <f>IF(Regcontabilizados[[#This Row],[Eliminado]]="si","",RegContabilizados2[[#This Row],[Subcuenta]])</f>
        <v/>
      </c>
      <c r="S144" s="1" t="str">
        <f>IF(Regcontabilizados[[#This Row],[Eliminado]]="si","",RegContabilizados2[[#This Row],[Debe]])</f>
        <v/>
      </c>
      <c r="T144" s="1" t="str">
        <f>IF(Regcontabilizados[[#This Row],[Eliminado]]="si","",RegContabilizados2[[#This Row],[Haber]])</f>
        <v/>
      </c>
      <c r="U144" s="1">
        <f>IFERROR((Regcontabilizados[[#This Row],[Debe]]-Regcontabilizados[[#This Row],[Haber]]),0)</f>
        <v>0</v>
      </c>
      <c r="V144" s="1">
        <f>IFERROR((+_xlfn.XLOOKUP(Regcontabilizados[[#This Row],[Subcuenta]],Tabla11[Cuenta],Tabla11[Descripción],0)),0)</f>
        <v>0</v>
      </c>
      <c r="W144" s="1">
        <f>IFERROR((_xlfn.XLOOKUP((VALUE(LEFT(Regcontabilizados[[#This Row],[Subcuenta]],4))),Tabla11[Cuenta],Tabla11[Descripción],0)),0)</f>
        <v>0</v>
      </c>
      <c r="X144" s="1">
        <f>IFERROR((_xlfn.XLOOKUP(Regcontabilizados[[#This Row],[Subcuenta]],Tabla11[Cuenta],Tabla11[Descripción],0)),0)</f>
        <v>0</v>
      </c>
      <c r="Y144" s="1" t="str">
        <f>IF((IFERROR((FIND((_xlfn.XLOOKUP(RegContabilizados2[[#This Row],[Idenficador]],FormtBorrados[formatos borrados],FormtBorrados[formatos borrados],0)),RegContabilizados2[[#This Row],[Idenficador]])),0))=1,"si","no")</f>
        <v>si</v>
      </c>
      <c r="Z144" s="1" t="str">
        <f>_xlfn.XLOOKUP(Regcontabilizados[[#This Row],[Subcuenta]],Tabla11[Cuenta],Tabla11[TIPO],"")</f>
        <v/>
      </c>
      <c r="AA144" s="1" t="str">
        <f>IFERROR((Regcontabilizados[[#This Row],[Subcuenta]]&amp;" "&amp;_xlfn.XLOOKUP(Regcontabilizados[[#This Row],[Subcuenta]],Tabla11[Cuenta],Tabla11[Descripción],0)),0)</f>
        <v xml:space="preserve"> 0</v>
      </c>
      <c r="AB144" s="1">
        <f>IFERROR((VALUE(LEFT(Regcontabilizados[[#This Row],[Subcuenta]],2))&amp;" "&amp;_xlfn.XLOOKUP((VALUE(LEFT(Regcontabilizados[[#This Row],[Subcuenta]],2))),Tabla11[Cuenta],Tabla11[Descripción],0)),0)</f>
        <v>0</v>
      </c>
      <c r="AC144" s="1">
        <f>IFERROR((VALUE(LEFT(Regcontabilizados[[#This Row],[Subcuenta]],4))&amp;" "&amp;_xlfn.XLOOKUP((VALUE(LEFT(Regcontabilizados[[#This Row],[Subcuenta]],4))),Tabla11[Cuenta],Tabla11[Descripción],0)),0)</f>
        <v>0</v>
      </c>
      <c r="AD144" s="1" t="str">
        <f>IF(Regcontabilizados[[#This Row],[Eliminado]]="si","",RegContabilizados2[[#This Row],[Estado de pago]])</f>
        <v/>
      </c>
      <c r="AE144" s="1" t="str">
        <f>IF(Regcontabilizados[[#This Row],[Eliminado]]="si","",RegContabilizados2[[#This Row],[Colum. Aux. Estado]])</f>
        <v/>
      </c>
      <c r="AF144" s="1" t="str">
        <f>IF(Regcontabilizados[[#This Row],[Eliminado]]="si","",RegContabilizados2[[#This Row],[Número de pago]])</f>
        <v/>
      </c>
      <c r="AG144" s="1" t="str">
        <f>IF(Regcontabilizados[[#This Row],[Eliminado]]="si","",RegContabilizados2[[#This Row],[Elaborado por]])</f>
        <v/>
      </c>
      <c r="AH144" s="1" t="str">
        <f>IF(Regcontabilizados[[#This Row],[Eliminado]]="si","",RegContabilizados2[[#This Row],[Notas]])</f>
        <v/>
      </c>
      <c r="AI144" s="1" t="str">
        <f>IF(Regcontabilizados[[#This Row],[Eliminado]]="si","",RegContabilizados2[[#This Row],[Método de pago]])</f>
        <v/>
      </c>
      <c r="AJ144" s="1" t="str">
        <f>IF(Regcontabilizados[[#This Row],[Eliminado]]="si","",RegContabilizados2[[#This Row],[Cta. Bancaria]])</f>
        <v/>
      </c>
      <c r="AO144" s="31"/>
      <c r="AP144" s="31"/>
      <c r="AQ144" s="31" t="s">
        <v>1202</v>
      </c>
      <c r="AR144" s="3"/>
      <c r="AS144" s="1" t="s">
        <v>1111</v>
      </c>
      <c r="AT144" s="1">
        <v>333333</v>
      </c>
      <c r="AV144" s="3"/>
      <c r="AW144" s="3"/>
      <c r="AX144" s="3">
        <v>0</v>
      </c>
      <c r="AY144" s="3"/>
      <c r="AZ144" s="3" t="s">
        <v>974</v>
      </c>
      <c r="BC144" s="1" t="s">
        <v>1168</v>
      </c>
      <c r="BD144" s="1">
        <v>0</v>
      </c>
      <c r="BE144" s="1">
        <v>0</v>
      </c>
      <c r="BF144" s="1">
        <f>IFERROR((RegContabilizados2[[#This Row],[Debe]]-RegContabilizados2[[#This Row],[Haber]]),0)</f>
        <v>0</v>
      </c>
      <c r="BG144" s="1">
        <f>IFERROR((+_xlfn.XLOOKUP(RegContabilizados2[[#This Row],[Subcuenta]],Tabla11[Cuenta],Tabla11[Descripción],0)),0)</f>
        <v>0</v>
      </c>
      <c r="BH144" s="1">
        <f>IFERROR((VALUE(LEFT(RegContabilizados2[[#This Row],[Subcuenta]],2))&amp;" "&amp;_xlfn.XLOOKUP((VALUE(LEFT(RegContabilizados2[[#This Row],[Subcuenta]],2))),Tabla11[Cuenta],Tabla11[Descripción],0)),0)</f>
        <v>0</v>
      </c>
      <c r="BI144" s="1">
        <f>IFERROR((VALUE(LEFT(RegContabilizados2[[#This Row],[Subcuenta]],4))&amp;" "&amp;_xlfn.XLOOKUP((VALUE(LEFT(RegContabilizados2[[#This Row],[Subcuenta]],4))),Tabla11[Cuenta],Tabla11[Descripción],0)),0)</f>
        <v>0</v>
      </c>
      <c r="BJ144" s="1" t="str">
        <f>IFERROR((RegContabilizados2[[#This Row],[Subcuenta]]&amp;" "&amp;_xlfn.XLOOKUP(RegContabilizados2[[#This Row],[Subcuenta]],Tabla11[Cuenta],Tabla11[Descripción],0)),0)</f>
        <v xml:space="preserve"> 0</v>
      </c>
      <c r="BK144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PAGADO</v>
      </c>
      <c r="BL144" s="1" t="str">
        <f>IFERROR(LEFT(RegContabilizados2[[#This Row],[Idenficador]],SEARCH("-",RegContabilizados2[[#This Row],[Idenficador]])-1),0)</f>
        <v>F.C.</v>
      </c>
      <c r="BN144" s="1" t="s">
        <v>1169</v>
      </c>
    </row>
    <row r="145" spans="4:67">
      <c r="D145" s="31" t="str">
        <f>IF(Regcontabilizados[[#This Row],[Eliminado]]="si","",RegContabilizados2[[#This Row],[fecha Factura]])</f>
        <v/>
      </c>
      <c r="E145" s="31" t="str">
        <f>IF(Regcontabilizados[[#This Row],[Eliminado]]="si","",RegContabilizados2[[#This Row],[Fecha vencimiento]])</f>
        <v/>
      </c>
      <c r="F145" s="31" t="str">
        <f>IF(Regcontabilizados[[#This Row],[Eliminado]]="si","",RegContabilizados2[[#This Row],[Idenficador]])</f>
        <v/>
      </c>
      <c r="G145" s="3" t="str">
        <f>IF(Regcontabilizados[[#This Row],[Eliminado]]="si","",RegContabilizados2[[#This Row],[N° de factura/Pago]])</f>
        <v/>
      </c>
      <c r="H145" s="1" t="str">
        <f>IF(Regcontabilizados[[#This Row],[Eliminado]]="si","",RegContabilizados2[[#This Row],[Tipo de Factura]])</f>
        <v/>
      </c>
      <c r="I145" s="1" t="str">
        <f>IF(Regcontabilizados[[#This Row],[Eliminado]]="si","",RegContabilizados2[[#This Row],[ID Cliente]])</f>
        <v/>
      </c>
      <c r="J145" s="1" t="str">
        <f>IF(Regcontabilizados[[#This Row],[Eliminado]]="si","",RegContabilizados2[[#This Row],[ESTADO DEL IVA]])</f>
        <v/>
      </c>
      <c r="K145" s="3" t="str">
        <f>IF(Regcontabilizados[[#This Row],[Eliminado]]="si","",RegContabilizados2[[#This Row],[ID Proveedor]])</f>
        <v/>
      </c>
      <c r="L145" s="3" t="str">
        <f>IF(Regcontabilizados[[#This Row],[Eliminado]]="si","",RegContabilizados2[[#This Row],[Concepto]])</f>
        <v/>
      </c>
      <c r="M145" s="3" t="str">
        <f>IF(Regcontabilizados[[#This Row],[Eliminado]]="si","",RegContabilizados2[[#This Row],[Categoría]])</f>
        <v/>
      </c>
      <c r="N145" s="3" t="str">
        <f>IF(Regcontabilizados[[#This Row],[Eliminado]]="si","",RegContabilizados2[[#This Row],[Almacen]])</f>
        <v/>
      </c>
      <c r="O145" s="3" t="str">
        <f>IF(Regcontabilizados[[#This Row],[Eliminado]]="si","",RegContabilizados2[[#This Row],[Tipo de movimiento]])</f>
        <v/>
      </c>
      <c r="P145" s="1" t="str">
        <f>IF(Regcontabilizados[[#This Row],[Eliminado]]="si","",RegContabilizados2[[#This Row],[cantidad]])</f>
        <v/>
      </c>
      <c r="Q145" s="1" t="str">
        <f>IF(Regcontabilizados[[#This Row],[Eliminado]]="si","",RegContabilizados2[[#This Row],[VR unitario]])</f>
        <v/>
      </c>
      <c r="R145" s="1" t="str">
        <f>IF(Regcontabilizados[[#This Row],[Eliminado]]="si","",RegContabilizados2[[#This Row],[Subcuenta]])</f>
        <v/>
      </c>
      <c r="S145" s="1" t="str">
        <f>IF(Regcontabilizados[[#This Row],[Eliminado]]="si","",RegContabilizados2[[#This Row],[Debe]])</f>
        <v/>
      </c>
      <c r="T145" s="1" t="str">
        <f>IF(Regcontabilizados[[#This Row],[Eliminado]]="si","",RegContabilizados2[[#This Row],[Haber]])</f>
        <v/>
      </c>
      <c r="U145" s="1">
        <f>IFERROR((Regcontabilizados[[#This Row],[Debe]]-Regcontabilizados[[#This Row],[Haber]]),0)</f>
        <v>0</v>
      </c>
      <c r="V145" s="1">
        <f>IFERROR((+_xlfn.XLOOKUP(Regcontabilizados[[#This Row],[Subcuenta]],Tabla11[Cuenta],Tabla11[Descripción],0)),0)</f>
        <v>0</v>
      </c>
      <c r="W145" s="1">
        <f>IFERROR((_xlfn.XLOOKUP((VALUE(LEFT(Regcontabilizados[[#This Row],[Subcuenta]],4))),Tabla11[Cuenta],Tabla11[Descripción],0)),0)</f>
        <v>0</v>
      </c>
      <c r="X145" s="1">
        <f>IFERROR((_xlfn.XLOOKUP(Regcontabilizados[[#This Row],[Subcuenta]],Tabla11[Cuenta],Tabla11[Descripción],0)),0)</f>
        <v>0</v>
      </c>
      <c r="Y145" s="1" t="str">
        <f>IF((IFERROR((FIND((_xlfn.XLOOKUP(RegContabilizados2[[#This Row],[Idenficador]],FormtBorrados[formatos borrados],FormtBorrados[formatos borrados],0)),RegContabilizados2[[#This Row],[Idenficador]])),0))=1,"si","no")</f>
        <v>si</v>
      </c>
      <c r="Z145" s="1" t="str">
        <f>_xlfn.XLOOKUP(Regcontabilizados[[#This Row],[Subcuenta]],Tabla11[Cuenta],Tabla11[TIPO],"")</f>
        <v/>
      </c>
      <c r="AA145" s="1" t="str">
        <f>IFERROR((Regcontabilizados[[#This Row],[Subcuenta]]&amp;" "&amp;_xlfn.XLOOKUP(Regcontabilizados[[#This Row],[Subcuenta]],Tabla11[Cuenta],Tabla11[Descripción],0)),0)</f>
        <v xml:space="preserve"> 0</v>
      </c>
      <c r="AB145" s="1">
        <f>IFERROR((VALUE(LEFT(Regcontabilizados[[#This Row],[Subcuenta]],2))&amp;" "&amp;_xlfn.XLOOKUP((VALUE(LEFT(Regcontabilizados[[#This Row],[Subcuenta]],2))),Tabla11[Cuenta],Tabla11[Descripción],0)),0)</f>
        <v>0</v>
      </c>
      <c r="AC145" s="1">
        <f>IFERROR((VALUE(LEFT(Regcontabilizados[[#This Row],[Subcuenta]],4))&amp;" "&amp;_xlfn.XLOOKUP((VALUE(LEFT(Regcontabilizados[[#This Row],[Subcuenta]],4))),Tabla11[Cuenta],Tabla11[Descripción],0)),0)</f>
        <v>0</v>
      </c>
      <c r="AD145" s="1" t="str">
        <f>IF(Regcontabilizados[[#This Row],[Eliminado]]="si","",RegContabilizados2[[#This Row],[Estado de pago]])</f>
        <v/>
      </c>
      <c r="AE145" s="1" t="str">
        <f>IF(Regcontabilizados[[#This Row],[Eliminado]]="si","",RegContabilizados2[[#This Row],[Colum. Aux. Estado]])</f>
        <v/>
      </c>
      <c r="AF145" s="1" t="str">
        <f>IF(Regcontabilizados[[#This Row],[Eliminado]]="si","",RegContabilizados2[[#This Row],[Número de pago]])</f>
        <v/>
      </c>
      <c r="AG145" s="1" t="str">
        <f>IF(Regcontabilizados[[#This Row],[Eliminado]]="si","",RegContabilizados2[[#This Row],[Elaborado por]])</f>
        <v/>
      </c>
      <c r="AH145" s="1" t="str">
        <f>IF(Regcontabilizados[[#This Row],[Eliminado]]="si","",RegContabilizados2[[#This Row],[Notas]])</f>
        <v/>
      </c>
      <c r="AI145" s="1" t="str">
        <f>IF(Regcontabilizados[[#This Row],[Eliminado]]="si","",RegContabilizados2[[#This Row],[Método de pago]])</f>
        <v/>
      </c>
      <c r="AJ145" s="1" t="str">
        <f>IF(Regcontabilizados[[#This Row],[Eliminado]]="si","",RegContabilizados2[[#This Row],[Cta. Bancaria]])</f>
        <v/>
      </c>
      <c r="AO145" s="31"/>
      <c r="AP145" s="31"/>
      <c r="AQ145" s="31" t="s">
        <v>1203</v>
      </c>
      <c r="AR145" s="3"/>
      <c r="AS145" s="1" t="s">
        <v>1111</v>
      </c>
      <c r="AT145" s="1">
        <v>333333</v>
      </c>
      <c r="AV145" s="3"/>
      <c r="AW145" s="3"/>
      <c r="AX145" s="3">
        <v>0</v>
      </c>
      <c r="AY145" s="3"/>
      <c r="AZ145" s="3" t="s">
        <v>974</v>
      </c>
      <c r="BC145" s="1" t="s">
        <v>1168</v>
      </c>
      <c r="BD145" s="1">
        <v>0</v>
      </c>
      <c r="BE145" s="1">
        <v>0</v>
      </c>
      <c r="BF145" s="1">
        <f>IFERROR((RegContabilizados2[[#This Row],[Debe]]-RegContabilizados2[[#This Row],[Haber]]),0)</f>
        <v>0</v>
      </c>
      <c r="BG145" s="1">
        <f>IFERROR((+_xlfn.XLOOKUP(RegContabilizados2[[#This Row],[Subcuenta]],Tabla11[Cuenta],Tabla11[Descripción],0)),0)</f>
        <v>0</v>
      </c>
      <c r="BH145" s="1">
        <f>IFERROR((VALUE(LEFT(RegContabilizados2[[#This Row],[Subcuenta]],2))&amp;" "&amp;_xlfn.XLOOKUP((VALUE(LEFT(RegContabilizados2[[#This Row],[Subcuenta]],2))),Tabla11[Cuenta],Tabla11[Descripción],0)),0)</f>
        <v>0</v>
      </c>
      <c r="BI145" s="1">
        <f>IFERROR((VALUE(LEFT(RegContabilizados2[[#This Row],[Subcuenta]],4))&amp;" "&amp;_xlfn.XLOOKUP((VALUE(LEFT(RegContabilizados2[[#This Row],[Subcuenta]],4))),Tabla11[Cuenta],Tabla11[Descripción],0)),0)</f>
        <v>0</v>
      </c>
      <c r="BJ145" s="1" t="str">
        <f>IFERROR((RegContabilizados2[[#This Row],[Subcuenta]]&amp;" "&amp;_xlfn.XLOOKUP(RegContabilizados2[[#This Row],[Subcuenta]],Tabla11[Cuenta],Tabla11[Descripción],0)),0)</f>
        <v xml:space="preserve"> 0</v>
      </c>
      <c r="BK145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PAGADO</v>
      </c>
      <c r="BL145" s="1" t="str">
        <f>IFERROR(LEFT(RegContabilizados2[[#This Row],[Idenficador]],SEARCH("-",RegContabilizados2[[#This Row],[Idenficador]])-1),0)</f>
        <v>F.C.</v>
      </c>
      <c r="BN145" s="1" t="s">
        <v>1169</v>
      </c>
    </row>
    <row r="146" spans="4:67">
      <c r="D146" s="31" t="str">
        <f>IF(Regcontabilizados[[#This Row],[Eliminado]]="si","",RegContabilizados2[[#This Row],[fecha Factura]])</f>
        <v/>
      </c>
      <c r="E146" s="31" t="str">
        <f>IF(Regcontabilizados[[#This Row],[Eliminado]]="si","",RegContabilizados2[[#This Row],[Fecha vencimiento]])</f>
        <v/>
      </c>
      <c r="F146" s="31" t="str">
        <f>IF(Regcontabilizados[[#This Row],[Eliminado]]="si","",RegContabilizados2[[#This Row],[Idenficador]])</f>
        <v/>
      </c>
      <c r="G146" s="3" t="str">
        <f>IF(Regcontabilizados[[#This Row],[Eliminado]]="si","",RegContabilizados2[[#This Row],[N° de factura/Pago]])</f>
        <v/>
      </c>
      <c r="H146" s="1" t="str">
        <f>IF(Regcontabilizados[[#This Row],[Eliminado]]="si","",RegContabilizados2[[#This Row],[Tipo de Factura]])</f>
        <v/>
      </c>
      <c r="I146" s="1" t="str">
        <f>IF(Regcontabilizados[[#This Row],[Eliminado]]="si","",RegContabilizados2[[#This Row],[ID Cliente]])</f>
        <v/>
      </c>
      <c r="J146" s="1" t="str">
        <f>IF(Regcontabilizados[[#This Row],[Eliminado]]="si","",RegContabilizados2[[#This Row],[ESTADO DEL IVA]])</f>
        <v/>
      </c>
      <c r="K146" s="3" t="str">
        <f>IF(Regcontabilizados[[#This Row],[Eliminado]]="si","",RegContabilizados2[[#This Row],[ID Proveedor]])</f>
        <v/>
      </c>
      <c r="L146" s="3" t="str">
        <f>IF(Regcontabilizados[[#This Row],[Eliminado]]="si","",RegContabilizados2[[#This Row],[Concepto]])</f>
        <v/>
      </c>
      <c r="M146" s="3" t="str">
        <f>IF(Regcontabilizados[[#This Row],[Eliminado]]="si","",RegContabilizados2[[#This Row],[Categoría]])</f>
        <v/>
      </c>
      <c r="N146" s="3" t="str">
        <f>IF(Regcontabilizados[[#This Row],[Eliminado]]="si","",RegContabilizados2[[#This Row],[Almacen]])</f>
        <v/>
      </c>
      <c r="O146" s="3" t="str">
        <f>IF(Regcontabilizados[[#This Row],[Eliminado]]="si","",RegContabilizados2[[#This Row],[Tipo de movimiento]])</f>
        <v/>
      </c>
      <c r="P146" s="1" t="str">
        <f>IF(Regcontabilizados[[#This Row],[Eliminado]]="si","",RegContabilizados2[[#This Row],[cantidad]])</f>
        <v/>
      </c>
      <c r="Q146" s="1" t="str">
        <f>IF(Regcontabilizados[[#This Row],[Eliminado]]="si","",RegContabilizados2[[#This Row],[VR unitario]])</f>
        <v/>
      </c>
      <c r="R146" s="1" t="str">
        <f>IF(Regcontabilizados[[#This Row],[Eliminado]]="si","",RegContabilizados2[[#This Row],[Subcuenta]])</f>
        <v/>
      </c>
      <c r="S146" s="1" t="str">
        <f>IF(Regcontabilizados[[#This Row],[Eliminado]]="si","",RegContabilizados2[[#This Row],[Debe]])</f>
        <v/>
      </c>
      <c r="T146" s="1" t="str">
        <f>IF(Regcontabilizados[[#This Row],[Eliminado]]="si","",RegContabilizados2[[#This Row],[Haber]])</f>
        <v/>
      </c>
      <c r="U146" s="1">
        <f>IFERROR((Regcontabilizados[[#This Row],[Debe]]-Regcontabilizados[[#This Row],[Haber]]),0)</f>
        <v>0</v>
      </c>
      <c r="V146" s="1">
        <f>IFERROR((+_xlfn.XLOOKUP(Regcontabilizados[[#This Row],[Subcuenta]],Tabla11[Cuenta],Tabla11[Descripción],0)),0)</f>
        <v>0</v>
      </c>
      <c r="W146" s="1">
        <f>IFERROR((_xlfn.XLOOKUP((VALUE(LEFT(Regcontabilizados[[#This Row],[Subcuenta]],4))),Tabla11[Cuenta],Tabla11[Descripción],0)),0)</f>
        <v>0</v>
      </c>
      <c r="X146" s="1">
        <f>IFERROR((_xlfn.XLOOKUP(Regcontabilizados[[#This Row],[Subcuenta]],Tabla11[Cuenta],Tabla11[Descripción],0)),0)</f>
        <v>0</v>
      </c>
      <c r="Y146" s="1" t="str">
        <f>IF((IFERROR((FIND((_xlfn.XLOOKUP(RegContabilizados2[[#This Row],[Idenficador]],FormtBorrados[formatos borrados],FormtBorrados[formatos borrados],0)),RegContabilizados2[[#This Row],[Idenficador]])),0))=1,"si","no")</f>
        <v>si</v>
      </c>
      <c r="Z146" s="1" t="str">
        <f>_xlfn.XLOOKUP(Regcontabilizados[[#This Row],[Subcuenta]],Tabla11[Cuenta],Tabla11[TIPO],"")</f>
        <v/>
      </c>
      <c r="AA146" s="1" t="str">
        <f>IFERROR((Regcontabilizados[[#This Row],[Subcuenta]]&amp;" "&amp;_xlfn.XLOOKUP(Regcontabilizados[[#This Row],[Subcuenta]],Tabla11[Cuenta],Tabla11[Descripción],0)),0)</f>
        <v xml:space="preserve"> 0</v>
      </c>
      <c r="AB146" s="1">
        <f>IFERROR((VALUE(LEFT(Regcontabilizados[[#This Row],[Subcuenta]],2))&amp;" "&amp;_xlfn.XLOOKUP((VALUE(LEFT(Regcontabilizados[[#This Row],[Subcuenta]],2))),Tabla11[Cuenta],Tabla11[Descripción],0)),0)</f>
        <v>0</v>
      </c>
      <c r="AC146" s="1">
        <f>IFERROR((VALUE(LEFT(Regcontabilizados[[#This Row],[Subcuenta]],4))&amp;" "&amp;_xlfn.XLOOKUP((VALUE(LEFT(Regcontabilizados[[#This Row],[Subcuenta]],4))),Tabla11[Cuenta],Tabla11[Descripción],0)),0)</f>
        <v>0</v>
      </c>
      <c r="AD146" s="1" t="str">
        <f>IF(Regcontabilizados[[#This Row],[Eliminado]]="si","",RegContabilizados2[[#This Row],[Estado de pago]])</f>
        <v/>
      </c>
      <c r="AE146" s="1" t="str">
        <f>IF(Regcontabilizados[[#This Row],[Eliminado]]="si","",RegContabilizados2[[#This Row],[Colum. Aux. Estado]])</f>
        <v/>
      </c>
      <c r="AF146" s="1" t="str">
        <f>IF(Regcontabilizados[[#This Row],[Eliminado]]="si","",RegContabilizados2[[#This Row],[Número de pago]])</f>
        <v/>
      </c>
      <c r="AG146" s="1" t="str">
        <f>IF(Regcontabilizados[[#This Row],[Eliminado]]="si","",RegContabilizados2[[#This Row],[Elaborado por]])</f>
        <v/>
      </c>
      <c r="AH146" s="1" t="str">
        <f>IF(Regcontabilizados[[#This Row],[Eliminado]]="si","",RegContabilizados2[[#This Row],[Notas]])</f>
        <v/>
      </c>
      <c r="AI146" s="1" t="str">
        <f>IF(Regcontabilizados[[#This Row],[Eliminado]]="si","",RegContabilizados2[[#This Row],[Método de pago]])</f>
        <v/>
      </c>
      <c r="AJ146" s="1" t="str">
        <f>IF(Regcontabilizados[[#This Row],[Eliminado]]="si","",RegContabilizados2[[#This Row],[Cta. Bancaria]])</f>
        <v/>
      </c>
      <c r="AO146" s="31"/>
      <c r="AP146" s="31"/>
      <c r="AQ146" s="31" t="s">
        <v>1204</v>
      </c>
      <c r="AR146" s="3"/>
      <c r="AS146" s="1" t="s">
        <v>1111</v>
      </c>
      <c r="AT146" s="1">
        <v>333333</v>
      </c>
      <c r="AV146" s="3"/>
      <c r="AW146" s="3"/>
      <c r="AX146" s="3">
        <v>0</v>
      </c>
      <c r="AY146" s="3"/>
      <c r="AZ146" s="3" t="s">
        <v>974</v>
      </c>
      <c r="BC146" s="1" t="s">
        <v>1168</v>
      </c>
      <c r="BD146" s="1">
        <v>0</v>
      </c>
      <c r="BE146" s="1">
        <v>0</v>
      </c>
      <c r="BF146" s="1">
        <f>IFERROR((RegContabilizados2[[#This Row],[Debe]]-RegContabilizados2[[#This Row],[Haber]]),0)</f>
        <v>0</v>
      </c>
      <c r="BG146" s="1">
        <f>IFERROR((+_xlfn.XLOOKUP(RegContabilizados2[[#This Row],[Subcuenta]],Tabla11[Cuenta],Tabla11[Descripción],0)),0)</f>
        <v>0</v>
      </c>
      <c r="BH146" s="1">
        <f>IFERROR((VALUE(LEFT(RegContabilizados2[[#This Row],[Subcuenta]],2))&amp;" "&amp;_xlfn.XLOOKUP((VALUE(LEFT(RegContabilizados2[[#This Row],[Subcuenta]],2))),Tabla11[Cuenta],Tabla11[Descripción],0)),0)</f>
        <v>0</v>
      </c>
      <c r="BI146" s="1">
        <f>IFERROR((VALUE(LEFT(RegContabilizados2[[#This Row],[Subcuenta]],4))&amp;" "&amp;_xlfn.XLOOKUP((VALUE(LEFT(RegContabilizados2[[#This Row],[Subcuenta]],4))),Tabla11[Cuenta],Tabla11[Descripción],0)),0)</f>
        <v>0</v>
      </c>
      <c r="BJ146" s="1" t="str">
        <f>IFERROR((RegContabilizados2[[#This Row],[Subcuenta]]&amp;" "&amp;_xlfn.XLOOKUP(RegContabilizados2[[#This Row],[Subcuenta]],Tabla11[Cuenta],Tabla11[Descripción],0)),0)</f>
        <v xml:space="preserve"> 0</v>
      </c>
      <c r="BK146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PAGADO</v>
      </c>
      <c r="BL146" s="1" t="str">
        <f>IFERROR(LEFT(RegContabilizados2[[#This Row],[Idenficador]],SEARCH("-",RegContabilizados2[[#This Row],[Idenficador]])-1),0)</f>
        <v>F.C.</v>
      </c>
      <c r="BN146" s="1" t="s">
        <v>1169</v>
      </c>
    </row>
    <row r="147" spans="4:67">
      <c r="D147" s="31" t="str">
        <f>IF(Regcontabilizados[[#This Row],[Eliminado]]="si","",RegContabilizados2[[#This Row],[fecha Factura]])</f>
        <v/>
      </c>
      <c r="E147" s="31" t="str">
        <f>IF(Regcontabilizados[[#This Row],[Eliminado]]="si","",RegContabilizados2[[#This Row],[Fecha vencimiento]])</f>
        <v/>
      </c>
      <c r="F147" s="31" t="str">
        <f>IF(Regcontabilizados[[#This Row],[Eliminado]]="si","",RegContabilizados2[[#This Row],[Idenficador]])</f>
        <v/>
      </c>
      <c r="G147" s="3" t="str">
        <f>IF(Regcontabilizados[[#This Row],[Eliminado]]="si","",RegContabilizados2[[#This Row],[N° de factura/Pago]])</f>
        <v/>
      </c>
      <c r="H147" s="1" t="str">
        <f>IF(Regcontabilizados[[#This Row],[Eliminado]]="si","",RegContabilizados2[[#This Row],[Tipo de Factura]])</f>
        <v/>
      </c>
      <c r="I147" s="1" t="str">
        <f>IF(Regcontabilizados[[#This Row],[Eliminado]]="si","",RegContabilizados2[[#This Row],[ID Cliente]])</f>
        <v/>
      </c>
      <c r="J147" s="1" t="str">
        <f>IF(Regcontabilizados[[#This Row],[Eliminado]]="si","",RegContabilizados2[[#This Row],[ESTADO DEL IVA]])</f>
        <v/>
      </c>
      <c r="K147" s="3" t="str">
        <f>IF(Regcontabilizados[[#This Row],[Eliminado]]="si","",RegContabilizados2[[#This Row],[ID Proveedor]])</f>
        <v/>
      </c>
      <c r="L147" s="3" t="str">
        <f>IF(Regcontabilizados[[#This Row],[Eliminado]]="si","",RegContabilizados2[[#This Row],[Concepto]])</f>
        <v/>
      </c>
      <c r="M147" s="3" t="str">
        <f>IF(Regcontabilizados[[#This Row],[Eliminado]]="si","",RegContabilizados2[[#This Row],[Categoría]])</f>
        <v/>
      </c>
      <c r="N147" s="3" t="str">
        <f>IF(Regcontabilizados[[#This Row],[Eliminado]]="si","",RegContabilizados2[[#This Row],[Almacen]])</f>
        <v/>
      </c>
      <c r="O147" s="3" t="str">
        <f>IF(Regcontabilizados[[#This Row],[Eliminado]]="si","",RegContabilizados2[[#This Row],[Tipo de movimiento]])</f>
        <v/>
      </c>
      <c r="P147" s="1" t="str">
        <f>IF(Regcontabilizados[[#This Row],[Eliminado]]="si","",RegContabilizados2[[#This Row],[cantidad]])</f>
        <v/>
      </c>
      <c r="Q147" s="1" t="str">
        <f>IF(Regcontabilizados[[#This Row],[Eliminado]]="si","",RegContabilizados2[[#This Row],[VR unitario]])</f>
        <v/>
      </c>
      <c r="R147" s="1" t="str">
        <f>IF(Regcontabilizados[[#This Row],[Eliminado]]="si","",RegContabilizados2[[#This Row],[Subcuenta]])</f>
        <v/>
      </c>
      <c r="S147" s="1" t="str">
        <f>IF(Regcontabilizados[[#This Row],[Eliminado]]="si","",RegContabilizados2[[#This Row],[Debe]])</f>
        <v/>
      </c>
      <c r="T147" s="1" t="str">
        <f>IF(Regcontabilizados[[#This Row],[Eliminado]]="si","",RegContabilizados2[[#This Row],[Haber]])</f>
        <v/>
      </c>
      <c r="U147" s="1">
        <f>IFERROR((Regcontabilizados[[#This Row],[Debe]]-Regcontabilizados[[#This Row],[Haber]]),0)</f>
        <v>0</v>
      </c>
      <c r="V147" s="1">
        <f>IFERROR((+_xlfn.XLOOKUP(Regcontabilizados[[#This Row],[Subcuenta]],Tabla11[Cuenta],Tabla11[Descripción],0)),0)</f>
        <v>0</v>
      </c>
      <c r="W147" s="1">
        <f>IFERROR((_xlfn.XLOOKUP((VALUE(LEFT(Regcontabilizados[[#This Row],[Subcuenta]],4))),Tabla11[Cuenta],Tabla11[Descripción],0)),0)</f>
        <v>0</v>
      </c>
      <c r="X147" s="1">
        <f>IFERROR((_xlfn.XLOOKUP(Regcontabilizados[[#This Row],[Subcuenta]],Tabla11[Cuenta],Tabla11[Descripción],0)),0)</f>
        <v>0</v>
      </c>
      <c r="Y147" s="1" t="str">
        <f>IF((IFERROR((FIND((_xlfn.XLOOKUP(RegContabilizados2[[#This Row],[Idenficador]],FormtBorrados[formatos borrados],FormtBorrados[formatos borrados],0)),RegContabilizados2[[#This Row],[Idenficador]])),0))=1,"si","no")</f>
        <v>si</v>
      </c>
      <c r="Z147" s="1" t="str">
        <f>_xlfn.XLOOKUP(Regcontabilizados[[#This Row],[Subcuenta]],Tabla11[Cuenta],Tabla11[TIPO],"")</f>
        <v/>
      </c>
      <c r="AA147" s="1" t="str">
        <f>IFERROR((Regcontabilizados[[#This Row],[Subcuenta]]&amp;" "&amp;_xlfn.XLOOKUP(Regcontabilizados[[#This Row],[Subcuenta]],Tabla11[Cuenta],Tabla11[Descripción],0)),0)</f>
        <v xml:space="preserve"> 0</v>
      </c>
      <c r="AB147" s="1">
        <f>IFERROR((VALUE(LEFT(Regcontabilizados[[#This Row],[Subcuenta]],2))&amp;" "&amp;_xlfn.XLOOKUP((VALUE(LEFT(Regcontabilizados[[#This Row],[Subcuenta]],2))),Tabla11[Cuenta],Tabla11[Descripción],0)),0)</f>
        <v>0</v>
      </c>
      <c r="AC147" s="1">
        <f>IFERROR((VALUE(LEFT(Regcontabilizados[[#This Row],[Subcuenta]],4))&amp;" "&amp;_xlfn.XLOOKUP((VALUE(LEFT(Regcontabilizados[[#This Row],[Subcuenta]],4))),Tabla11[Cuenta],Tabla11[Descripción],0)),0)</f>
        <v>0</v>
      </c>
      <c r="AD147" s="1" t="str">
        <f>IF(Regcontabilizados[[#This Row],[Eliminado]]="si","",RegContabilizados2[[#This Row],[Estado de pago]])</f>
        <v/>
      </c>
      <c r="AE147" s="1" t="str">
        <f>IF(Regcontabilizados[[#This Row],[Eliminado]]="si","",RegContabilizados2[[#This Row],[Colum. Aux. Estado]])</f>
        <v/>
      </c>
      <c r="AF147" s="1" t="str">
        <f>IF(Regcontabilizados[[#This Row],[Eliminado]]="si","",RegContabilizados2[[#This Row],[Número de pago]])</f>
        <v/>
      </c>
      <c r="AG147" s="1" t="str">
        <f>IF(Regcontabilizados[[#This Row],[Eliminado]]="si","",RegContabilizados2[[#This Row],[Elaborado por]])</f>
        <v/>
      </c>
      <c r="AH147" s="1" t="str">
        <f>IF(Regcontabilizados[[#This Row],[Eliminado]]="si","",RegContabilizados2[[#This Row],[Notas]])</f>
        <v/>
      </c>
      <c r="AI147" s="1" t="str">
        <f>IF(Regcontabilizados[[#This Row],[Eliminado]]="si","",RegContabilizados2[[#This Row],[Método de pago]])</f>
        <v/>
      </c>
      <c r="AJ147" s="1" t="str">
        <f>IF(Regcontabilizados[[#This Row],[Eliminado]]="si","",RegContabilizados2[[#This Row],[Cta. Bancaria]])</f>
        <v/>
      </c>
      <c r="AO147" s="31"/>
      <c r="AP147" s="31"/>
      <c r="AQ147" s="31" t="s">
        <v>1205</v>
      </c>
      <c r="AR147" s="3"/>
      <c r="AS147" s="1" t="s">
        <v>1111</v>
      </c>
      <c r="AT147" s="1">
        <v>333333</v>
      </c>
      <c r="AV147" s="3"/>
      <c r="AW147" s="3"/>
      <c r="AX147" s="3"/>
      <c r="AY147" s="3"/>
      <c r="AZ147" s="3" t="s">
        <v>974</v>
      </c>
      <c r="BC147" s="1" t="s">
        <v>1168</v>
      </c>
      <c r="BD147" s="1">
        <v>0</v>
      </c>
      <c r="BE147" s="1">
        <v>0</v>
      </c>
      <c r="BF147" s="1">
        <f>IFERROR((RegContabilizados2[[#This Row],[Debe]]-RegContabilizados2[[#This Row],[Haber]]),0)</f>
        <v>0</v>
      </c>
      <c r="BG147" s="1">
        <f>IFERROR((+_xlfn.XLOOKUP(RegContabilizados2[[#This Row],[Subcuenta]],Tabla11[Cuenta],Tabla11[Descripción],0)),0)</f>
        <v>0</v>
      </c>
      <c r="BH147" s="1">
        <f>IFERROR((VALUE(LEFT(RegContabilizados2[[#This Row],[Subcuenta]],2))&amp;" "&amp;_xlfn.XLOOKUP((VALUE(LEFT(RegContabilizados2[[#This Row],[Subcuenta]],2))),Tabla11[Cuenta],Tabla11[Descripción],0)),0)</f>
        <v>0</v>
      </c>
      <c r="BI147" s="1">
        <f>IFERROR((VALUE(LEFT(RegContabilizados2[[#This Row],[Subcuenta]],4))&amp;" "&amp;_xlfn.XLOOKUP((VALUE(LEFT(RegContabilizados2[[#This Row],[Subcuenta]],4))),Tabla11[Cuenta],Tabla11[Descripción],0)),0)</f>
        <v>0</v>
      </c>
      <c r="BJ147" s="1" t="str">
        <f>IFERROR((RegContabilizados2[[#This Row],[Subcuenta]]&amp;" "&amp;_xlfn.XLOOKUP(RegContabilizados2[[#This Row],[Subcuenta]],Tabla11[Cuenta],Tabla11[Descripción],0)),0)</f>
        <v xml:space="preserve"> 0</v>
      </c>
      <c r="BK147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PAGADO</v>
      </c>
      <c r="BL147" s="1" t="str">
        <f>IFERROR(LEFT(RegContabilizados2[[#This Row],[Idenficador]],SEARCH("-",RegContabilizados2[[#This Row],[Idenficador]])-1),0)</f>
        <v>F.C.</v>
      </c>
      <c r="BN147" s="1" t="s">
        <v>1169</v>
      </c>
    </row>
    <row r="148" spans="4:67">
      <c r="D148" s="31" t="str">
        <f>IF(Regcontabilizados[[#This Row],[Eliminado]]="si","",RegContabilizados2[[#This Row],[fecha Factura]])</f>
        <v/>
      </c>
      <c r="E148" s="31" t="str">
        <f>IF(Regcontabilizados[[#This Row],[Eliminado]]="si","",RegContabilizados2[[#This Row],[Fecha vencimiento]])</f>
        <v/>
      </c>
      <c r="F148" s="31" t="str">
        <f>IF(Regcontabilizados[[#This Row],[Eliminado]]="si","",RegContabilizados2[[#This Row],[Idenficador]])</f>
        <v/>
      </c>
      <c r="G148" s="3" t="str">
        <f>IF(Regcontabilizados[[#This Row],[Eliminado]]="si","",RegContabilizados2[[#This Row],[N° de factura/Pago]])</f>
        <v/>
      </c>
      <c r="H148" s="1" t="str">
        <f>IF(Regcontabilizados[[#This Row],[Eliminado]]="si","",RegContabilizados2[[#This Row],[Tipo de Factura]])</f>
        <v/>
      </c>
      <c r="I148" s="1" t="str">
        <f>IF(Regcontabilizados[[#This Row],[Eliminado]]="si","",RegContabilizados2[[#This Row],[ID Cliente]])</f>
        <v/>
      </c>
      <c r="J148" s="1" t="str">
        <f>IF(Regcontabilizados[[#This Row],[Eliminado]]="si","",RegContabilizados2[[#This Row],[ESTADO DEL IVA]])</f>
        <v/>
      </c>
      <c r="K148" s="3" t="str">
        <f>IF(Regcontabilizados[[#This Row],[Eliminado]]="si","",RegContabilizados2[[#This Row],[ID Proveedor]])</f>
        <v/>
      </c>
      <c r="L148" s="3" t="str">
        <f>IF(Regcontabilizados[[#This Row],[Eliminado]]="si","",RegContabilizados2[[#This Row],[Concepto]])</f>
        <v/>
      </c>
      <c r="M148" s="3" t="str">
        <f>IF(Regcontabilizados[[#This Row],[Eliminado]]="si","",RegContabilizados2[[#This Row],[Categoría]])</f>
        <v/>
      </c>
      <c r="N148" s="3" t="str">
        <f>IF(Regcontabilizados[[#This Row],[Eliminado]]="si","",RegContabilizados2[[#This Row],[Almacen]])</f>
        <v/>
      </c>
      <c r="O148" s="3" t="str">
        <f>IF(Regcontabilizados[[#This Row],[Eliminado]]="si","",RegContabilizados2[[#This Row],[Tipo de movimiento]])</f>
        <v/>
      </c>
      <c r="P148" s="1" t="str">
        <f>IF(Regcontabilizados[[#This Row],[Eliminado]]="si","",RegContabilizados2[[#This Row],[cantidad]])</f>
        <v/>
      </c>
      <c r="Q148" s="1" t="str">
        <f>IF(Regcontabilizados[[#This Row],[Eliminado]]="si","",RegContabilizados2[[#This Row],[VR unitario]])</f>
        <v/>
      </c>
      <c r="R148" s="1" t="str">
        <f>IF(Regcontabilizados[[#This Row],[Eliminado]]="si","",RegContabilizados2[[#This Row],[Subcuenta]])</f>
        <v/>
      </c>
      <c r="S148" s="1" t="str">
        <f>IF(Regcontabilizados[[#This Row],[Eliminado]]="si","",RegContabilizados2[[#This Row],[Debe]])</f>
        <v/>
      </c>
      <c r="T148" s="1" t="str">
        <f>IF(Regcontabilizados[[#This Row],[Eliminado]]="si","",RegContabilizados2[[#This Row],[Haber]])</f>
        <v/>
      </c>
      <c r="U148" s="1">
        <f>IFERROR((Regcontabilizados[[#This Row],[Debe]]-Regcontabilizados[[#This Row],[Haber]]),0)</f>
        <v>0</v>
      </c>
      <c r="V148" s="1">
        <f>IFERROR((+_xlfn.XLOOKUP(Regcontabilizados[[#This Row],[Subcuenta]],Tabla11[Cuenta],Tabla11[Descripción],0)),0)</f>
        <v>0</v>
      </c>
      <c r="W148" s="1">
        <f>IFERROR((_xlfn.XLOOKUP((VALUE(LEFT(Regcontabilizados[[#This Row],[Subcuenta]],4))),Tabla11[Cuenta],Tabla11[Descripción],0)),0)</f>
        <v>0</v>
      </c>
      <c r="X148" s="1">
        <f>IFERROR((_xlfn.XLOOKUP(Regcontabilizados[[#This Row],[Subcuenta]],Tabla11[Cuenta],Tabla11[Descripción],0)),0)</f>
        <v>0</v>
      </c>
      <c r="Y148" s="1" t="str">
        <f>IF((IFERROR((FIND((_xlfn.XLOOKUP(RegContabilizados2[[#This Row],[Idenficador]],FormtBorrados[formatos borrados],FormtBorrados[formatos borrados],0)),RegContabilizados2[[#This Row],[Idenficador]])),0))=1,"si","no")</f>
        <v>si</v>
      </c>
      <c r="Z148" s="1" t="str">
        <f>_xlfn.XLOOKUP(Regcontabilizados[[#This Row],[Subcuenta]],Tabla11[Cuenta],Tabla11[TIPO],"")</f>
        <v/>
      </c>
      <c r="AA148" s="1" t="str">
        <f>IFERROR((Regcontabilizados[[#This Row],[Subcuenta]]&amp;" "&amp;_xlfn.XLOOKUP(Regcontabilizados[[#This Row],[Subcuenta]],Tabla11[Cuenta],Tabla11[Descripción],0)),0)</f>
        <v xml:space="preserve"> 0</v>
      </c>
      <c r="AB148" s="1">
        <f>IFERROR((VALUE(LEFT(Regcontabilizados[[#This Row],[Subcuenta]],2))&amp;" "&amp;_xlfn.XLOOKUP((VALUE(LEFT(Regcontabilizados[[#This Row],[Subcuenta]],2))),Tabla11[Cuenta],Tabla11[Descripción],0)),0)</f>
        <v>0</v>
      </c>
      <c r="AC148" s="1">
        <f>IFERROR((VALUE(LEFT(Regcontabilizados[[#This Row],[Subcuenta]],4))&amp;" "&amp;_xlfn.XLOOKUP((VALUE(LEFT(Regcontabilizados[[#This Row],[Subcuenta]],4))),Tabla11[Cuenta],Tabla11[Descripción],0)),0)</f>
        <v>0</v>
      </c>
      <c r="AD148" s="1" t="str">
        <f>IF(Regcontabilizados[[#This Row],[Eliminado]]="si","",RegContabilizados2[[#This Row],[Estado de pago]])</f>
        <v/>
      </c>
      <c r="AE148" s="1" t="str">
        <f>IF(Regcontabilizados[[#This Row],[Eliminado]]="si","",RegContabilizados2[[#This Row],[Colum. Aux. Estado]])</f>
        <v/>
      </c>
      <c r="AF148" s="1" t="str">
        <f>IF(Regcontabilizados[[#This Row],[Eliminado]]="si","",RegContabilizados2[[#This Row],[Número de pago]])</f>
        <v/>
      </c>
      <c r="AG148" s="1" t="str">
        <f>IF(Regcontabilizados[[#This Row],[Eliminado]]="si","",RegContabilizados2[[#This Row],[Elaborado por]])</f>
        <v/>
      </c>
      <c r="AH148" s="1" t="str">
        <f>IF(Regcontabilizados[[#This Row],[Eliminado]]="si","",RegContabilizados2[[#This Row],[Notas]])</f>
        <v/>
      </c>
      <c r="AI148" s="1" t="str">
        <f>IF(Regcontabilizados[[#This Row],[Eliminado]]="si","",RegContabilizados2[[#This Row],[Método de pago]])</f>
        <v/>
      </c>
      <c r="AJ148" s="1" t="str">
        <f>IF(Regcontabilizados[[#This Row],[Eliminado]]="si","",RegContabilizados2[[#This Row],[Cta. Bancaria]])</f>
        <v/>
      </c>
      <c r="AO148" s="31"/>
      <c r="AP148" s="31"/>
      <c r="AQ148" s="31" t="s">
        <v>1206</v>
      </c>
      <c r="AR148" s="3"/>
      <c r="AS148" s="1" t="s">
        <v>1111</v>
      </c>
      <c r="AT148" s="1">
        <v>333333</v>
      </c>
      <c r="AV148" s="3"/>
      <c r="AW148" s="3" t="s">
        <v>772</v>
      </c>
      <c r="AX148" s="3"/>
      <c r="AY148" s="3"/>
      <c r="AZ148" s="3" t="s">
        <v>974</v>
      </c>
      <c r="BA148" s="1">
        <v>1</v>
      </c>
      <c r="BC148" s="1">
        <v>220505</v>
      </c>
      <c r="BD148" s="1">
        <v>0</v>
      </c>
      <c r="BE148" s="1">
        <v>0</v>
      </c>
      <c r="BF148" s="1">
        <f>IFERROR((RegContabilizados2[[#This Row],[Debe]]-RegContabilizados2[[#This Row],[Haber]]),0)</f>
        <v>0</v>
      </c>
      <c r="BG148" s="1" t="str">
        <f>IFERROR((+_xlfn.XLOOKUP(RegContabilizados2[[#This Row],[Subcuenta]],Tabla11[Cuenta],Tabla11[Descripción],0)),0)</f>
        <v>Proveedores Nacionales</v>
      </c>
      <c r="BH148" s="1" t="str">
        <f>IFERROR((VALUE(LEFT(RegContabilizados2[[#This Row],[Subcuenta]],2))&amp;" "&amp;_xlfn.XLOOKUP((VALUE(LEFT(RegContabilizados2[[#This Row],[Subcuenta]],2))),Tabla11[Cuenta],Tabla11[Descripción],0)),0)</f>
        <v>22 PROVEEDORES</v>
      </c>
      <c r="BI148" s="1" t="str">
        <f>IFERROR((VALUE(LEFT(RegContabilizados2[[#This Row],[Subcuenta]],4))&amp;" "&amp;_xlfn.XLOOKUP((VALUE(LEFT(RegContabilizados2[[#This Row],[Subcuenta]],4))),Tabla11[Cuenta],Tabla11[Descripción],0)),0)</f>
        <v>2205 NACIONALES</v>
      </c>
      <c r="BJ148" s="1" t="str">
        <f>IFERROR((RegContabilizados2[[#This Row],[Subcuenta]]&amp;" "&amp;_xlfn.XLOOKUP(RegContabilizados2[[#This Row],[Subcuenta]],Tabla11[Cuenta],Tabla11[Descripción],0)),0)</f>
        <v>220505 Proveedores Nacionales</v>
      </c>
      <c r="BK148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PAGADO</v>
      </c>
      <c r="BL148" s="1" t="str">
        <f>IFERROR(LEFT(RegContabilizados2[[#This Row],[Idenficador]],SEARCH("-",RegContabilizados2[[#This Row],[Idenficador]])-1),0)</f>
        <v>F.C.</v>
      </c>
      <c r="BN148" s="1" t="s">
        <v>1169</v>
      </c>
    </row>
    <row r="149" spans="4:67">
      <c r="D149" s="31">
        <f>IF(Regcontabilizados[[#This Row],[Eliminado]]="si","",RegContabilizados2[[#This Row],[fecha Factura]])</f>
        <v>45993</v>
      </c>
      <c r="E149" s="31">
        <f>IF(Regcontabilizados[[#This Row],[Eliminado]]="si","",RegContabilizados2[[#This Row],[Fecha vencimiento]])</f>
        <v>45993</v>
      </c>
      <c r="F149" s="3" t="str">
        <f>IF(Regcontabilizados[[#This Row],[Eliminado]]="si","",RegContabilizados2[[#This Row],[Idenficador]])</f>
        <v>546565F.C.9696955-1</v>
      </c>
      <c r="G149" s="3">
        <f>IF(Regcontabilizados[[#This Row],[Eliminado]]="si","",RegContabilizados2[[#This Row],[N° de factura/Pago]])</f>
        <v>9696955</v>
      </c>
      <c r="H149" s="1" t="str">
        <f>IF(Regcontabilizados[[#This Row],[Eliminado]]="si","",RegContabilizados2[[#This Row],[Tipo de Factura]])</f>
        <v>F.C.</v>
      </c>
      <c r="I149" s="1">
        <f>IF(Regcontabilizados[[#This Row],[Eliminado]]="si","",RegContabilizados2[[#This Row],[ID Cliente]])</f>
        <v>333333</v>
      </c>
      <c r="J149" s="1">
        <f>IF(Regcontabilizados[[#This Row],[Eliminado]]="si","",RegContabilizados2[[#This Row],[ESTADO DEL IVA]])</f>
        <v>0</v>
      </c>
      <c r="K149" s="3" t="str">
        <f>IF(Regcontabilizados[[#This Row],[Eliminado]]="si","",RegContabilizados2[[#This Row],[ID Proveedor]])</f>
        <v>Valentina</v>
      </c>
      <c r="L149" s="3" t="str">
        <f>IF(Regcontabilizados[[#This Row],[Eliminado]]="si","",RegContabilizados2[[#This Row],[Concepto]])</f>
        <v>C12345-Zapatos</v>
      </c>
      <c r="M149" s="3" t="str">
        <f>IF(Regcontabilizados[[#This Row],[Eliminado]]="si","",RegContabilizados2[[#This Row],[Categoría]])</f>
        <v>Caballero</v>
      </c>
      <c r="N149" s="3" t="str">
        <f>IF(Regcontabilizados[[#This Row],[Eliminado]]="si","",RegContabilizados2[[#This Row],[Almacen]])</f>
        <v>Principal</v>
      </c>
      <c r="O149" s="3" t="str">
        <f>IF(Regcontabilizados[[#This Row],[Eliminado]]="si","",RegContabilizados2[[#This Row],[Tipo de movimiento]])</f>
        <v>Entrada</v>
      </c>
      <c r="P149" s="1">
        <f>IF(Regcontabilizados[[#This Row],[Eliminado]]="si","",RegContabilizados2[[#This Row],[cantidad]])</f>
        <v>18</v>
      </c>
      <c r="Q149" s="1">
        <f>IF(Regcontabilizados[[#This Row],[Eliminado]]="si","",RegContabilizados2[[#This Row],[VR unitario]])</f>
        <v>25000</v>
      </c>
      <c r="R149" s="1">
        <f>IF(Regcontabilizados[[#This Row],[Eliminado]]="si","",RegContabilizados2[[#This Row],[Subcuenta]])</f>
        <v>143505</v>
      </c>
      <c r="S149" s="1">
        <f>IF(Regcontabilizados[[#This Row],[Eliminado]]="si","",RegContabilizados2[[#This Row],[Debe]])</f>
        <v>450000</v>
      </c>
      <c r="T149" s="1">
        <f>IF(Regcontabilizados[[#This Row],[Eliminado]]="si","",RegContabilizados2[[#This Row],[Haber]])</f>
        <v>0</v>
      </c>
      <c r="U149" s="1">
        <f>IFERROR((Regcontabilizados[[#This Row],[Debe]]-Regcontabilizados[[#This Row],[Haber]]),0)</f>
        <v>450000</v>
      </c>
      <c r="V149" s="1" t="str">
        <f>IFERROR((+_xlfn.XLOOKUP(Regcontabilizados[[#This Row],[Subcuenta]],Tabla11[Cuenta],Tabla11[Descripción],0)),0)</f>
        <v>MERCANCÍAS DETAL</v>
      </c>
      <c r="W149" s="1" t="str">
        <f>IFERROR((_xlfn.XLOOKUP((VALUE(LEFT(Regcontabilizados[[#This Row],[Subcuenta]],4))),Tabla11[Cuenta],Tabla11[Descripción],0)),0)</f>
        <v>MERCANCÍAS NO FABRICADAS POR LA EMPRESA</v>
      </c>
      <c r="X149" s="1" t="str">
        <f>IFERROR((_xlfn.XLOOKUP(Regcontabilizados[[#This Row],[Subcuenta]],Tabla11[Cuenta],Tabla11[Descripción],0)),0)</f>
        <v>MERCANCÍAS DETAL</v>
      </c>
      <c r="Y149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149" s="1" t="str">
        <f>_xlfn.XLOOKUP(Regcontabilizados[[#This Row],[Subcuenta]],Tabla11[Cuenta],Tabla11[TIPO],"")</f>
        <v>Activo Corriente</v>
      </c>
      <c r="AA149" s="1" t="str">
        <f>IFERROR((Regcontabilizados[[#This Row],[Subcuenta]]&amp;" "&amp;_xlfn.XLOOKUP(Regcontabilizados[[#This Row],[Subcuenta]],Tabla11[Cuenta],Tabla11[Descripción],0)),0)</f>
        <v>143505 MERCANCÍAS DETAL</v>
      </c>
      <c r="AB149" s="1" t="str">
        <f>IFERROR((VALUE(LEFT(Regcontabilizados[[#This Row],[Subcuenta]],2))&amp;" "&amp;_xlfn.XLOOKUP((VALUE(LEFT(Regcontabilizados[[#This Row],[Subcuenta]],2))),Tabla11[Cuenta],Tabla11[Descripción],0)),0)</f>
        <v>14 INVENTARIOS</v>
      </c>
      <c r="AC149" s="1" t="str">
        <f>IFERROR((VALUE(LEFT(Regcontabilizados[[#This Row],[Subcuenta]],4))&amp;" "&amp;_xlfn.XLOOKUP((VALUE(LEFT(Regcontabilizados[[#This Row],[Subcuenta]],4))),Tabla11[Cuenta],Tabla11[Descripción],0)),0)</f>
        <v>1435 MERCANCÍAS NO FABRICADAS POR LA EMPRESA</v>
      </c>
      <c r="AD149" s="1" t="str">
        <f>IF(Regcontabilizados[[#This Row],[Eliminado]]="si","",RegContabilizados2[[#This Row],[Estado de pago]])</f>
        <v>PAGADO</v>
      </c>
      <c r="AE149" s="1" t="str">
        <f>IF(Regcontabilizados[[#This Row],[Eliminado]]="si","",RegContabilizados2[[#This Row],[Colum. Aux. Estado]])</f>
        <v>546565F.C.9696955</v>
      </c>
      <c r="AF149" s="1">
        <f>IF(Regcontabilizados[[#This Row],[Eliminado]]="si","",RegContabilizados2[[#This Row],[Número de pago]])</f>
        <v>0</v>
      </c>
      <c r="AG149" s="1" t="str">
        <f>IF(Regcontabilizados[[#This Row],[Eliminado]]="si","",RegContabilizados2[[#This Row],[Elaborado por]])</f>
        <v>Responsable no especificado</v>
      </c>
      <c r="AH149" s="1" t="str">
        <f>IF(Regcontabilizados[[#This Row],[Eliminado]]="si","",RegContabilizados2[[#This Row],[Notas]])</f>
        <v>SE PAGÓ EL 30%</v>
      </c>
      <c r="AI149" s="1">
        <f>IF(Regcontabilizados[[#This Row],[Eliminado]]="si","",RegContabilizados2[[#This Row],[Método de pago]])</f>
        <v>0</v>
      </c>
      <c r="AJ149" s="1">
        <f>IF(Regcontabilizados[[#This Row],[Eliminado]]="si","",RegContabilizados2[[#This Row],[Cta. Bancaria]])</f>
        <v>0</v>
      </c>
      <c r="AO149" s="31">
        <v>45993</v>
      </c>
      <c r="AP149" s="31">
        <v>45993</v>
      </c>
      <c r="AQ149" s="3" t="s">
        <v>1185</v>
      </c>
      <c r="AR149" s="3">
        <v>9696955</v>
      </c>
      <c r="AS149" s="1" t="s">
        <v>1111</v>
      </c>
      <c r="AT149" s="1">
        <v>333333</v>
      </c>
      <c r="AV149" s="3" t="s">
        <v>907</v>
      </c>
      <c r="AW149" s="3" t="s">
        <v>1104</v>
      </c>
      <c r="AX149" s="3" t="s">
        <v>1000</v>
      </c>
      <c r="AY149" s="3" t="s">
        <v>1001</v>
      </c>
      <c r="AZ149" s="3" t="s">
        <v>974</v>
      </c>
      <c r="BA149" s="1">
        <v>18</v>
      </c>
      <c r="BB149" s="1">
        <v>25000</v>
      </c>
      <c r="BC149" s="1">
        <v>143505</v>
      </c>
      <c r="BD149" s="1">
        <v>450000</v>
      </c>
      <c r="BE149" s="1">
        <v>0</v>
      </c>
      <c r="BF149" s="1">
        <f>IFERROR((RegContabilizados2[[#This Row],[Debe]]-RegContabilizados2[[#This Row],[Haber]]),0)</f>
        <v>450000</v>
      </c>
      <c r="BG149" s="1" t="str">
        <f>IFERROR((+_xlfn.XLOOKUP(RegContabilizados2[[#This Row],[Subcuenta]],Tabla11[Cuenta],Tabla11[Descripción],0)),0)</f>
        <v>MERCANCÍAS DETAL</v>
      </c>
      <c r="BH149" s="1" t="str">
        <f>IFERROR((VALUE(LEFT(RegContabilizados2[[#This Row],[Subcuenta]],2))&amp;" "&amp;_xlfn.XLOOKUP((VALUE(LEFT(RegContabilizados2[[#This Row],[Subcuenta]],2))),Tabla11[Cuenta],Tabla11[Descripción],0)),0)</f>
        <v>14 INVENTARIOS</v>
      </c>
      <c r="BI149" s="1" t="str">
        <f>IFERROR((VALUE(LEFT(RegContabilizados2[[#This Row],[Subcuenta]],4))&amp;" "&amp;_xlfn.XLOOKUP((VALUE(LEFT(RegContabilizados2[[#This Row],[Subcuenta]],4))),Tabla11[Cuenta],Tabla11[Descripción],0)),0)</f>
        <v>1435 MERCANCÍAS NO FABRICADAS POR LA EMPRESA</v>
      </c>
      <c r="BJ149" s="1" t="str">
        <f>IFERROR((RegContabilizados2[[#This Row],[Subcuenta]]&amp;" "&amp;_xlfn.XLOOKUP(RegContabilizados2[[#This Row],[Subcuenta]],Tabla11[Cuenta],Tabla11[Descripción],0)),0)</f>
        <v>143505 MERCANCÍAS DETAL</v>
      </c>
      <c r="BK149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PAGADO</v>
      </c>
      <c r="BL149" s="1" t="str">
        <f>IFERROR(LEFT(RegContabilizados2[[#This Row],[Idenficador]],SEARCH("-",RegContabilizados2[[#This Row],[Idenficador]])-1),0)</f>
        <v>546565F.C.9696955</v>
      </c>
      <c r="BN149" s="1" t="s">
        <v>1169</v>
      </c>
      <c r="BO149" s="1" t="s">
        <v>1184</v>
      </c>
    </row>
    <row r="150" spans="4:67">
      <c r="D150" s="31">
        <f>IF(Regcontabilizados[[#This Row],[Eliminado]]="si","",RegContabilizados2[[#This Row],[fecha Factura]])</f>
        <v>45993</v>
      </c>
      <c r="E150" s="31">
        <f>IF(Regcontabilizados[[#This Row],[Eliminado]]="si","",RegContabilizados2[[#This Row],[Fecha vencimiento]])</f>
        <v>45993</v>
      </c>
      <c r="F150" s="3" t="str">
        <f>IF(Regcontabilizados[[#This Row],[Eliminado]]="si","",RegContabilizados2[[#This Row],[Idenficador]])</f>
        <v>546565F.C.9696955-2</v>
      </c>
      <c r="G150" s="3">
        <f>IF(Regcontabilizados[[#This Row],[Eliminado]]="si","",RegContabilizados2[[#This Row],[N° de factura/Pago]])</f>
        <v>9696955</v>
      </c>
      <c r="H150" s="1" t="str">
        <f>IF(Regcontabilizados[[#This Row],[Eliminado]]="si","",RegContabilizados2[[#This Row],[Tipo de Factura]])</f>
        <v>F.C.</v>
      </c>
      <c r="I150" s="1">
        <f>IF(Regcontabilizados[[#This Row],[Eliminado]]="si","",RegContabilizados2[[#This Row],[ID Cliente]])</f>
        <v>333333</v>
      </c>
      <c r="J150" s="1">
        <f>IF(Regcontabilizados[[#This Row],[Eliminado]]="si","",RegContabilizados2[[#This Row],[ESTADO DEL IVA]])</f>
        <v>0</v>
      </c>
      <c r="K150" s="3" t="str">
        <f>IF(Regcontabilizados[[#This Row],[Eliminado]]="si","",RegContabilizados2[[#This Row],[ID Proveedor]])</f>
        <v>Valentina</v>
      </c>
      <c r="L150" s="3" t="str">
        <f>IF(Regcontabilizados[[#This Row],[Eliminado]]="si","",RegContabilizados2[[#This Row],[Concepto]])</f>
        <v>E622552-camisas</v>
      </c>
      <c r="M150" s="3" t="str">
        <f>IF(Regcontabilizados[[#This Row],[Eliminado]]="si","",RegContabilizados2[[#This Row],[Categoría]])</f>
        <v>Caballero</v>
      </c>
      <c r="N150" s="3" t="str">
        <f>IF(Regcontabilizados[[#This Row],[Eliminado]]="si","",RegContabilizados2[[#This Row],[Almacen]])</f>
        <v>Principal</v>
      </c>
      <c r="O150" s="3" t="str">
        <f>IF(Regcontabilizados[[#This Row],[Eliminado]]="si","",RegContabilizados2[[#This Row],[Tipo de movimiento]])</f>
        <v>Entrada</v>
      </c>
      <c r="P150" s="1">
        <f>IF(Regcontabilizados[[#This Row],[Eliminado]]="si","",RegContabilizados2[[#This Row],[cantidad]])</f>
        <v>7</v>
      </c>
      <c r="Q150" s="1">
        <f>IF(Regcontabilizados[[#This Row],[Eliminado]]="si","",RegContabilizados2[[#This Row],[VR unitario]])</f>
        <v>35000</v>
      </c>
      <c r="R150" s="1">
        <f>IF(Regcontabilizados[[#This Row],[Eliminado]]="si","",RegContabilizados2[[#This Row],[Subcuenta]])</f>
        <v>143505</v>
      </c>
      <c r="S150" s="1">
        <f>IF(Regcontabilizados[[#This Row],[Eliminado]]="si","",RegContabilizados2[[#This Row],[Debe]])</f>
        <v>245000</v>
      </c>
      <c r="T150" s="1">
        <f>IF(Regcontabilizados[[#This Row],[Eliminado]]="si","",RegContabilizados2[[#This Row],[Haber]])</f>
        <v>0</v>
      </c>
      <c r="U150" s="1">
        <f>IFERROR((Regcontabilizados[[#This Row],[Debe]]-Regcontabilizados[[#This Row],[Haber]]),0)</f>
        <v>245000</v>
      </c>
      <c r="V150" s="1" t="str">
        <f>IFERROR((+_xlfn.XLOOKUP(Regcontabilizados[[#This Row],[Subcuenta]],Tabla11[Cuenta],Tabla11[Descripción],0)),0)</f>
        <v>MERCANCÍAS DETAL</v>
      </c>
      <c r="W150" s="1" t="str">
        <f>IFERROR((_xlfn.XLOOKUP((VALUE(LEFT(Regcontabilizados[[#This Row],[Subcuenta]],4))),Tabla11[Cuenta],Tabla11[Descripción],0)),0)</f>
        <v>MERCANCÍAS NO FABRICADAS POR LA EMPRESA</v>
      </c>
      <c r="X150" s="1" t="str">
        <f>IFERROR((_xlfn.XLOOKUP(Regcontabilizados[[#This Row],[Subcuenta]],Tabla11[Cuenta],Tabla11[Descripción],0)),0)</f>
        <v>MERCANCÍAS DETAL</v>
      </c>
      <c r="Y150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150" s="1" t="str">
        <f>_xlfn.XLOOKUP(Regcontabilizados[[#This Row],[Subcuenta]],Tabla11[Cuenta],Tabla11[TIPO],"")</f>
        <v>Activo Corriente</v>
      </c>
      <c r="AA150" s="1" t="str">
        <f>IFERROR((Regcontabilizados[[#This Row],[Subcuenta]]&amp;" "&amp;_xlfn.XLOOKUP(Regcontabilizados[[#This Row],[Subcuenta]],Tabla11[Cuenta],Tabla11[Descripción],0)),0)</f>
        <v>143505 MERCANCÍAS DETAL</v>
      </c>
      <c r="AB150" s="1" t="str">
        <f>IFERROR((VALUE(LEFT(Regcontabilizados[[#This Row],[Subcuenta]],2))&amp;" "&amp;_xlfn.XLOOKUP((VALUE(LEFT(Regcontabilizados[[#This Row],[Subcuenta]],2))),Tabla11[Cuenta],Tabla11[Descripción],0)),0)</f>
        <v>14 INVENTARIOS</v>
      </c>
      <c r="AC150" s="1" t="str">
        <f>IFERROR((VALUE(LEFT(Regcontabilizados[[#This Row],[Subcuenta]],4))&amp;" "&amp;_xlfn.XLOOKUP((VALUE(LEFT(Regcontabilizados[[#This Row],[Subcuenta]],4))),Tabla11[Cuenta],Tabla11[Descripción],0)),0)</f>
        <v>1435 MERCANCÍAS NO FABRICADAS POR LA EMPRESA</v>
      </c>
      <c r="AD150" s="1" t="str">
        <f>IF(Regcontabilizados[[#This Row],[Eliminado]]="si","",RegContabilizados2[[#This Row],[Estado de pago]])</f>
        <v>PAGADO</v>
      </c>
      <c r="AE150" s="1" t="str">
        <f>IF(Regcontabilizados[[#This Row],[Eliminado]]="si","",RegContabilizados2[[#This Row],[Colum. Aux. Estado]])</f>
        <v>546565F.C.9696955</v>
      </c>
      <c r="AF150" s="1">
        <f>IF(Regcontabilizados[[#This Row],[Eliminado]]="si","",RegContabilizados2[[#This Row],[Número de pago]])</f>
        <v>0</v>
      </c>
      <c r="AG150" s="1" t="str">
        <f>IF(Regcontabilizados[[#This Row],[Eliminado]]="si","",RegContabilizados2[[#This Row],[Elaborado por]])</f>
        <v>Responsable no especificado</v>
      </c>
      <c r="AH150" s="1" t="str">
        <f>IF(Regcontabilizados[[#This Row],[Eliminado]]="si","",RegContabilizados2[[#This Row],[Notas]])</f>
        <v>SE PAGÓ EL 30%</v>
      </c>
      <c r="AI150" s="1">
        <f>IF(Regcontabilizados[[#This Row],[Eliminado]]="si","",RegContabilizados2[[#This Row],[Método de pago]])</f>
        <v>0</v>
      </c>
      <c r="AJ150" s="1">
        <f>IF(Regcontabilizados[[#This Row],[Eliminado]]="si","",RegContabilizados2[[#This Row],[Cta. Bancaria]])</f>
        <v>0</v>
      </c>
      <c r="AO150" s="31">
        <v>45993</v>
      </c>
      <c r="AP150" s="31">
        <v>45993</v>
      </c>
      <c r="AQ150" s="3" t="s">
        <v>1186</v>
      </c>
      <c r="AR150" s="3">
        <v>9696955</v>
      </c>
      <c r="AS150" s="1" t="s">
        <v>1111</v>
      </c>
      <c r="AT150" s="1">
        <v>333333</v>
      </c>
      <c r="AV150" s="3" t="s">
        <v>907</v>
      </c>
      <c r="AW150" s="3" t="s">
        <v>1089</v>
      </c>
      <c r="AX150" s="3" t="s">
        <v>1000</v>
      </c>
      <c r="AY150" s="3" t="s">
        <v>1001</v>
      </c>
      <c r="AZ150" s="3" t="s">
        <v>974</v>
      </c>
      <c r="BA150" s="1">
        <v>7</v>
      </c>
      <c r="BB150" s="1">
        <v>35000</v>
      </c>
      <c r="BC150" s="1">
        <v>143505</v>
      </c>
      <c r="BD150" s="1">
        <v>245000</v>
      </c>
      <c r="BE150" s="1">
        <v>0</v>
      </c>
      <c r="BF150" s="1">
        <f>IFERROR((RegContabilizados2[[#This Row],[Debe]]-RegContabilizados2[[#This Row],[Haber]]),0)</f>
        <v>245000</v>
      </c>
      <c r="BG150" s="1" t="str">
        <f>IFERROR((+_xlfn.XLOOKUP(RegContabilizados2[[#This Row],[Subcuenta]],Tabla11[Cuenta],Tabla11[Descripción],0)),0)</f>
        <v>MERCANCÍAS DETAL</v>
      </c>
      <c r="BH150" s="1" t="str">
        <f>IFERROR((VALUE(LEFT(RegContabilizados2[[#This Row],[Subcuenta]],2))&amp;" "&amp;_xlfn.XLOOKUP((VALUE(LEFT(RegContabilizados2[[#This Row],[Subcuenta]],2))),Tabla11[Cuenta],Tabla11[Descripción],0)),0)</f>
        <v>14 INVENTARIOS</v>
      </c>
      <c r="BI150" s="1" t="str">
        <f>IFERROR((VALUE(LEFT(RegContabilizados2[[#This Row],[Subcuenta]],4))&amp;" "&amp;_xlfn.XLOOKUP((VALUE(LEFT(RegContabilizados2[[#This Row],[Subcuenta]],4))),Tabla11[Cuenta],Tabla11[Descripción],0)),0)</f>
        <v>1435 MERCANCÍAS NO FABRICADAS POR LA EMPRESA</v>
      </c>
      <c r="BJ150" s="1" t="str">
        <f>IFERROR((RegContabilizados2[[#This Row],[Subcuenta]]&amp;" "&amp;_xlfn.XLOOKUP(RegContabilizados2[[#This Row],[Subcuenta]],Tabla11[Cuenta],Tabla11[Descripción],0)),0)</f>
        <v>143505 MERCANCÍAS DETAL</v>
      </c>
      <c r="BK150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PAGADO</v>
      </c>
      <c r="BL150" s="1" t="str">
        <f>IFERROR(LEFT(RegContabilizados2[[#This Row],[Idenficador]],SEARCH("-",RegContabilizados2[[#This Row],[Idenficador]])-1),0)</f>
        <v>546565F.C.9696955</v>
      </c>
      <c r="BN150" s="1" t="s">
        <v>1169</v>
      </c>
      <c r="BO150" s="1" t="s">
        <v>1184</v>
      </c>
    </row>
    <row r="151" spans="4:67">
      <c r="D151" s="31">
        <f>IF(Regcontabilizados[[#This Row],[Eliminado]]="si","",RegContabilizados2[[#This Row],[fecha Factura]])</f>
        <v>45993</v>
      </c>
      <c r="E151" s="31">
        <f>IF(Regcontabilizados[[#This Row],[Eliminado]]="si","",RegContabilizados2[[#This Row],[Fecha vencimiento]])</f>
        <v>45993</v>
      </c>
      <c r="F151" s="3" t="str">
        <f>IF(Regcontabilizados[[#This Row],[Eliminado]]="si","",RegContabilizados2[[#This Row],[Idenficador]])</f>
        <v>546565F.C.9696955-3</v>
      </c>
      <c r="G151" s="3">
        <f>IF(Regcontabilizados[[#This Row],[Eliminado]]="si","",RegContabilizados2[[#This Row],[N° de factura/Pago]])</f>
        <v>9696955</v>
      </c>
      <c r="H151" s="1" t="str">
        <f>IF(Regcontabilizados[[#This Row],[Eliminado]]="si","",RegContabilizados2[[#This Row],[Tipo de Factura]])</f>
        <v>F.C.</v>
      </c>
      <c r="I151" s="1">
        <f>IF(Regcontabilizados[[#This Row],[Eliminado]]="si","",RegContabilizados2[[#This Row],[ID Cliente]])</f>
        <v>333333</v>
      </c>
      <c r="J151" s="1">
        <f>IF(Regcontabilizados[[#This Row],[Eliminado]]="si","",RegContabilizados2[[#This Row],[ESTADO DEL IVA]])</f>
        <v>0</v>
      </c>
      <c r="K151" s="3" t="str">
        <f>IF(Regcontabilizados[[#This Row],[Eliminado]]="si","",RegContabilizados2[[#This Row],[ID Proveedor]])</f>
        <v>Valentina</v>
      </c>
      <c r="L151" s="3">
        <f>IF(Regcontabilizados[[#This Row],[Eliminado]]="si","",RegContabilizados2[[#This Row],[Concepto]])</f>
        <v>0</v>
      </c>
      <c r="M151" s="3">
        <f>IF(Regcontabilizados[[#This Row],[Eliminado]]="si","",RegContabilizados2[[#This Row],[Categoría]])</f>
        <v>0</v>
      </c>
      <c r="N151" s="3" t="str">
        <f>IF(Regcontabilizados[[#This Row],[Eliminado]]="si","",RegContabilizados2[[#This Row],[Almacen]])</f>
        <v>Principal</v>
      </c>
      <c r="O151" s="3" t="str">
        <f>IF(Regcontabilizados[[#This Row],[Eliminado]]="si","",RegContabilizados2[[#This Row],[Tipo de movimiento]])</f>
        <v>Entrada</v>
      </c>
      <c r="P151" s="1">
        <f>IF(Regcontabilizados[[#This Row],[Eliminado]]="si","",RegContabilizados2[[#This Row],[cantidad]])</f>
        <v>0</v>
      </c>
      <c r="Q151" s="1">
        <f>IF(Regcontabilizados[[#This Row],[Eliminado]]="si","",RegContabilizados2[[#This Row],[VR unitario]])</f>
        <v>0</v>
      </c>
      <c r="R151" s="1" t="str">
        <f>IF(Regcontabilizados[[#This Row],[Eliminado]]="si","",RegContabilizados2[[#This Row],[Subcuenta]])</f>
        <v/>
      </c>
      <c r="S151" s="1">
        <f>IF(Regcontabilizados[[#This Row],[Eliminado]]="si","",RegContabilizados2[[#This Row],[Debe]])</f>
        <v>0</v>
      </c>
      <c r="T151" s="1">
        <f>IF(Regcontabilizados[[#This Row],[Eliminado]]="si","",RegContabilizados2[[#This Row],[Haber]])</f>
        <v>0</v>
      </c>
      <c r="U151" s="1">
        <f>IFERROR((Regcontabilizados[[#This Row],[Debe]]-Regcontabilizados[[#This Row],[Haber]]),0)</f>
        <v>0</v>
      </c>
      <c r="V151" s="1">
        <f>IFERROR((+_xlfn.XLOOKUP(Regcontabilizados[[#This Row],[Subcuenta]],Tabla11[Cuenta],Tabla11[Descripción],0)),0)</f>
        <v>0</v>
      </c>
      <c r="W151" s="1">
        <f>IFERROR((_xlfn.XLOOKUP((VALUE(LEFT(Regcontabilizados[[#This Row],[Subcuenta]],4))),Tabla11[Cuenta],Tabla11[Descripción],0)),0)</f>
        <v>0</v>
      </c>
      <c r="X151" s="1">
        <f>IFERROR((_xlfn.XLOOKUP(Regcontabilizados[[#This Row],[Subcuenta]],Tabla11[Cuenta],Tabla11[Descripción],0)),0)</f>
        <v>0</v>
      </c>
      <c r="Y151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151" s="1" t="str">
        <f>_xlfn.XLOOKUP(Regcontabilizados[[#This Row],[Subcuenta]],Tabla11[Cuenta],Tabla11[TIPO],"")</f>
        <v/>
      </c>
      <c r="AA151" s="1" t="str">
        <f>IFERROR((Regcontabilizados[[#This Row],[Subcuenta]]&amp;" "&amp;_xlfn.XLOOKUP(Regcontabilizados[[#This Row],[Subcuenta]],Tabla11[Cuenta],Tabla11[Descripción],0)),0)</f>
        <v xml:space="preserve"> 0</v>
      </c>
      <c r="AB151" s="1">
        <f>IFERROR((VALUE(LEFT(Regcontabilizados[[#This Row],[Subcuenta]],2))&amp;" "&amp;_xlfn.XLOOKUP((VALUE(LEFT(Regcontabilizados[[#This Row],[Subcuenta]],2))),Tabla11[Cuenta],Tabla11[Descripción],0)),0)</f>
        <v>0</v>
      </c>
      <c r="AC151" s="1">
        <f>IFERROR((VALUE(LEFT(Regcontabilizados[[#This Row],[Subcuenta]],4))&amp;" "&amp;_xlfn.XLOOKUP((VALUE(LEFT(Regcontabilizados[[#This Row],[Subcuenta]],4))),Tabla11[Cuenta],Tabla11[Descripción],0)),0)</f>
        <v>0</v>
      </c>
      <c r="AD151" s="1" t="str">
        <f>IF(Regcontabilizados[[#This Row],[Eliminado]]="si","",RegContabilizados2[[#This Row],[Estado de pago]])</f>
        <v>PAGADO</v>
      </c>
      <c r="AE151" s="1" t="str">
        <f>IF(Regcontabilizados[[#This Row],[Eliminado]]="si","",RegContabilizados2[[#This Row],[Colum. Aux. Estado]])</f>
        <v>546565F.C.9696955</v>
      </c>
      <c r="AF151" s="1">
        <f>IF(Regcontabilizados[[#This Row],[Eliminado]]="si","",RegContabilizados2[[#This Row],[Número de pago]])</f>
        <v>0</v>
      </c>
      <c r="AG151" s="1" t="str">
        <f>IF(Regcontabilizados[[#This Row],[Eliminado]]="si","",RegContabilizados2[[#This Row],[Elaborado por]])</f>
        <v>Responsable no especificado</v>
      </c>
      <c r="AH151" s="1" t="str">
        <f>IF(Regcontabilizados[[#This Row],[Eliminado]]="si","",RegContabilizados2[[#This Row],[Notas]])</f>
        <v>SE PAGÓ EL 30%</v>
      </c>
      <c r="AI151" s="1">
        <f>IF(Regcontabilizados[[#This Row],[Eliminado]]="si","",RegContabilizados2[[#This Row],[Método de pago]])</f>
        <v>0</v>
      </c>
      <c r="AJ151" s="1">
        <f>IF(Regcontabilizados[[#This Row],[Eliminado]]="si","",RegContabilizados2[[#This Row],[Cta. Bancaria]])</f>
        <v>0</v>
      </c>
      <c r="AO151" s="31">
        <v>45993</v>
      </c>
      <c r="AP151" s="31">
        <v>45993</v>
      </c>
      <c r="AQ151" s="3" t="s">
        <v>1187</v>
      </c>
      <c r="AR151" s="3">
        <v>9696955</v>
      </c>
      <c r="AS151" s="1" t="s">
        <v>1111</v>
      </c>
      <c r="AT151" s="1">
        <v>333333</v>
      </c>
      <c r="AV151" s="3" t="s">
        <v>907</v>
      </c>
      <c r="AW151" s="3"/>
      <c r="AX151" s="3">
        <v>0</v>
      </c>
      <c r="AY151" s="3" t="s">
        <v>1001</v>
      </c>
      <c r="AZ151" s="3" t="s">
        <v>974</v>
      </c>
      <c r="BC151" s="1" t="s">
        <v>1168</v>
      </c>
      <c r="BD151" s="1">
        <v>0</v>
      </c>
      <c r="BE151" s="1">
        <v>0</v>
      </c>
      <c r="BF151" s="1">
        <f>IFERROR((RegContabilizados2[[#This Row],[Debe]]-RegContabilizados2[[#This Row],[Haber]]),0)</f>
        <v>0</v>
      </c>
      <c r="BG151" s="1">
        <f>IFERROR((+_xlfn.XLOOKUP(RegContabilizados2[[#This Row],[Subcuenta]],Tabla11[Cuenta],Tabla11[Descripción],0)),0)</f>
        <v>0</v>
      </c>
      <c r="BH151" s="1">
        <f>IFERROR((VALUE(LEFT(RegContabilizados2[[#This Row],[Subcuenta]],2))&amp;" "&amp;_xlfn.XLOOKUP((VALUE(LEFT(RegContabilizados2[[#This Row],[Subcuenta]],2))),Tabla11[Cuenta],Tabla11[Descripción],0)),0)</f>
        <v>0</v>
      </c>
      <c r="BI151" s="1">
        <f>IFERROR((VALUE(LEFT(RegContabilizados2[[#This Row],[Subcuenta]],4))&amp;" "&amp;_xlfn.XLOOKUP((VALUE(LEFT(RegContabilizados2[[#This Row],[Subcuenta]],4))),Tabla11[Cuenta],Tabla11[Descripción],0)),0)</f>
        <v>0</v>
      </c>
      <c r="BJ151" s="1" t="str">
        <f>IFERROR((RegContabilizados2[[#This Row],[Subcuenta]]&amp;" "&amp;_xlfn.XLOOKUP(RegContabilizados2[[#This Row],[Subcuenta]],Tabla11[Cuenta],Tabla11[Descripción],0)),0)</f>
        <v xml:space="preserve"> 0</v>
      </c>
      <c r="BK151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PAGADO</v>
      </c>
      <c r="BL151" s="1" t="str">
        <f>IFERROR(LEFT(RegContabilizados2[[#This Row],[Idenficador]],SEARCH("-",RegContabilizados2[[#This Row],[Idenficador]])-1),0)</f>
        <v>546565F.C.9696955</v>
      </c>
      <c r="BN151" s="1" t="s">
        <v>1169</v>
      </c>
      <c r="BO151" s="1" t="s">
        <v>1184</v>
      </c>
    </row>
    <row r="152" spans="4:67">
      <c r="D152" s="31">
        <f>IF(Regcontabilizados[[#This Row],[Eliminado]]="si","",RegContabilizados2[[#This Row],[fecha Factura]])</f>
        <v>45993</v>
      </c>
      <c r="E152" s="31">
        <f>IF(Regcontabilizados[[#This Row],[Eliminado]]="si","",RegContabilizados2[[#This Row],[Fecha vencimiento]])</f>
        <v>45993</v>
      </c>
      <c r="F152" s="3" t="str">
        <f>IF(Regcontabilizados[[#This Row],[Eliminado]]="si","",RegContabilizados2[[#This Row],[Idenficador]])</f>
        <v>546565F.C.9696955-4</v>
      </c>
      <c r="G152" s="3">
        <f>IF(Regcontabilizados[[#This Row],[Eliminado]]="si","",RegContabilizados2[[#This Row],[N° de factura/Pago]])</f>
        <v>9696955</v>
      </c>
      <c r="H152" s="1" t="str">
        <f>IF(Regcontabilizados[[#This Row],[Eliminado]]="si","",RegContabilizados2[[#This Row],[Tipo de Factura]])</f>
        <v>F.C.</v>
      </c>
      <c r="I152" s="1">
        <f>IF(Regcontabilizados[[#This Row],[Eliminado]]="si","",RegContabilizados2[[#This Row],[ID Cliente]])</f>
        <v>333333</v>
      </c>
      <c r="J152" s="1">
        <f>IF(Regcontabilizados[[#This Row],[Eliminado]]="si","",RegContabilizados2[[#This Row],[ESTADO DEL IVA]])</f>
        <v>0</v>
      </c>
      <c r="K152" s="3" t="str">
        <f>IF(Regcontabilizados[[#This Row],[Eliminado]]="si","",RegContabilizados2[[#This Row],[ID Proveedor]])</f>
        <v>Valentina</v>
      </c>
      <c r="L152" s="3">
        <f>IF(Regcontabilizados[[#This Row],[Eliminado]]="si","",RegContabilizados2[[#This Row],[Concepto]])</f>
        <v>0</v>
      </c>
      <c r="M152" s="3">
        <f>IF(Regcontabilizados[[#This Row],[Eliminado]]="si","",RegContabilizados2[[#This Row],[Categoría]])</f>
        <v>0</v>
      </c>
      <c r="N152" s="3" t="str">
        <f>IF(Regcontabilizados[[#This Row],[Eliminado]]="si","",RegContabilizados2[[#This Row],[Almacen]])</f>
        <v>Principal</v>
      </c>
      <c r="O152" s="3" t="str">
        <f>IF(Regcontabilizados[[#This Row],[Eliminado]]="si","",RegContabilizados2[[#This Row],[Tipo de movimiento]])</f>
        <v>Entrada</v>
      </c>
      <c r="P152" s="1">
        <f>IF(Regcontabilizados[[#This Row],[Eliminado]]="si","",RegContabilizados2[[#This Row],[cantidad]])</f>
        <v>0</v>
      </c>
      <c r="Q152" s="1">
        <f>IF(Regcontabilizados[[#This Row],[Eliminado]]="si","",RegContabilizados2[[#This Row],[VR unitario]])</f>
        <v>0</v>
      </c>
      <c r="R152" s="1" t="str">
        <f>IF(Regcontabilizados[[#This Row],[Eliminado]]="si","",RegContabilizados2[[#This Row],[Subcuenta]])</f>
        <v/>
      </c>
      <c r="S152" s="1">
        <f>IF(Regcontabilizados[[#This Row],[Eliminado]]="si","",RegContabilizados2[[#This Row],[Debe]])</f>
        <v>0</v>
      </c>
      <c r="T152" s="1">
        <f>IF(Regcontabilizados[[#This Row],[Eliminado]]="si","",RegContabilizados2[[#This Row],[Haber]])</f>
        <v>0</v>
      </c>
      <c r="U152" s="1">
        <f>IFERROR((Regcontabilizados[[#This Row],[Debe]]-Regcontabilizados[[#This Row],[Haber]]),0)</f>
        <v>0</v>
      </c>
      <c r="V152" s="1">
        <f>IFERROR((+_xlfn.XLOOKUP(Regcontabilizados[[#This Row],[Subcuenta]],Tabla11[Cuenta],Tabla11[Descripción],0)),0)</f>
        <v>0</v>
      </c>
      <c r="W152" s="1">
        <f>IFERROR((_xlfn.XLOOKUP((VALUE(LEFT(Regcontabilizados[[#This Row],[Subcuenta]],4))),Tabla11[Cuenta],Tabla11[Descripción],0)),0)</f>
        <v>0</v>
      </c>
      <c r="X152" s="1">
        <f>IFERROR((_xlfn.XLOOKUP(Regcontabilizados[[#This Row],[Subcuenta]],Tabla11[Cuenta],Tabla11[Descripción],0)),0)</f>
        <v>0</v>
      </c>
      <c r="Y152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152" s="1" t="str">
        <f>_xlfn.XLOOKUP(Regcontabilizados[[#This Row],[Subcuenta]],Tabla11[Cuenta],Tabla11[TIPO],"")</f>
        <v/>
      </c>
      <c r="AA152" s="1" t="str">
        <f>IFERROR((Regcontabilizados[[#This Row],[Subcuenta]]&amp;" "&amp;_xlfn.XLOOKUP(Regcontabilizados[[#This Row],[Subcuenta]],Tabla11[Cuenta],Tabla11[Descripción],0)),0)</f>
        <v xml:space="preserve"> 0</v>
      </c>
      <c r="AB152" s="1">
        <f>IFERROR((VALUE(LEFT(Regcontabilizados[[#This Row],[Subcuenta]],2))&amp;" "&amp;_xlfn.XLOOKUP((VALUE(LEFT(Regcontabilizados[[#This Row],[Subcuenta]],2))),Tabla11[Cuenta],Tabla11[Descripción],0)),0)</f>
        <v>0</v>
      </c>
      <c r="AC152" s="1">
        <f>IFERROR((VALUE(LEFT(Regcontabilizados[[#This Row],[Subcuenta]],4))&amp;" "&amp;_xlfn.XLOOKUP((VALUE(LEFT(Regcontabilizados[[#This Row],[Subcuenta]],4))),Tabla11[Cuenta],Tabla11[Descripción],0)),0)</f>
        <v>0</v>
      </c>
      <c r="AD152" s="1" t="str">
        <f>IF(Regcontabilizados[[#This Row],[Eliminado]]="si","",RegContabilizados2[[#This Row],[Estado de pago]])</f>
        <v>PAGADO</v>
      </c>
      <c r="AE152" s="1" t="str">
        <f>IF(Regcontabilizados[[#This Row],[Eliminado]]="si","",RegContabilizados2[[#This Row],[Colum. Aux. Estado]])</f>
        <v>546565F.C.9696955</v>
      </c>
      <c r="AF152" s="1">
        <f>IF(Regcontabilizados[[#This Row],[Eliminado]]="si","",RegContabilizados2[[#This Row],[Número de pago]])</f>
        <v>0</v>
      </c>
      <c r="AG152" s="1" t="str">
        <f>IF(Regcontabilizados[[#This Row],[Eliminado]]="si","",RegContabilizados2[[#This Row],[Elaborado por]])</f>
        <v>Responsable no especificado</v>
      </c>
      <c r="AH152" s="1" t="str">
        <f>IF(Regcontabilizados[[#This Row],[Eliminado]]="si","",RegContabilizados2[[#This Row],[Notas]])</f>
        <v>SE PAGÓ EL 30%</v>
      </c>
      <c r="AI152" s="1">
        <f>IF(Regcontabilizados[[#This Row],[Eliminado]]="si","",RegContabilizados2[[#This Row],[Método de pago]])</f>
        <v>0</v>
      </c>
      <c r="AJ152" s="1">
        <f>IF(Regcontabilizados[[#This Row],[Eliminado]]="si","",RegContabilizados2[[#This Row],[Cta. Bancaria]])</f>
        <v>0</v>
      </c>
      <c r="AO152" s="31">
        <v>45993</v>
      </c>
      <c r="AP152" s="31">
        <v>45993</v>
      </c>
      <c r="AQ152" s="3" t="s">
        <v>1188</v>
      </c>
      <c r="AR152" s="3">
        <v>9696955</v>
      </c>
      <c r="AS152" s="1" t="s">
        <v>1111</v>
      </c>
      <c r="AT152" s="1">
        <v>333333</v>
      </c>
      <c r="AV152" s="3" t="s">
        <v>907</v>
      </c>
      <c r="AW152" s="3"/>
      <c r="AX152" s="3">
        <v>0</v>
      </c>
      <c r="AY152" s="3" t="s">
        <v>1001</v>
      </c>
      <c r="AZ152" s="3" t="s">
        <v>974</v>
      </c>
      <c r="BC152" s="1" t="s">
        <v>1168</v>
      </c>
      <c r="BD152" s="1">
        <v>0</v>
      </c>
      <c r="BE152" s="1">
        <v>0</v>
      </c>
      <c r="BF152" s="1">
        <f>IFERROR((RegContabilizados2[[#This Row],[Debe]]-RegContabilizados2[[#This Row],[Haber]]),0)</f>
        <v>0</v>
      </c>
      <c r="BG152" s="1">
        <f>IFERROR((+_xlfn.XLOOKUP(RegContabilizados2[[#This Row],[Subcuenta]],Tabla11[Cuenta],Tabla11[Descripción],0)),0)</f>
        <v>0</v>
      </c>
      <c r="BH152" s="1">
        <f>IFERROR((VALUE(LEFT(RegContabilizados2[[#This Row],[Subcuenta]],2))&amp;" "&amp;_xlfn.XLOOKUP((VALUE(LEFT(RegContabilizados2[[#This Row],[Subcuenta]],2))),Tabla11[Cuenta],Tabla11[Descripción],0)),0)</f>
        <v>0</v>
      </c>
      <c r="BI152" s="1">
        <f>IFERROR((VALUE(LEFT(RegContabilizados2[[#This Row],[Subcuenta]],4))&amp;" "&amp;_xlfn.XLOOKUP((VALUE(LEFT(RegContabilizados2[[#This Row],[Subcuenta]],4))),Tabla11[Cuenta],Tabla11[Descripción],0)),0)</f>
        <v>0</v>
      </c>
      <c r="BJ152" s="1" t="str">
        <f>IFERROR((RegContabilizados2[[#This Row],[Subcuenta]]&amp;" "&amp;_xlfn.XLOOKUP(RegContabilizados2[[#This Row],[Subcuenta]],Tabla11[Cuenta],Tabla11[Descripción],0)),0)</f>
        <v xml:space="preserve"> 0</v>
      </c>
      <c r="BK152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PAGADO</v>
      </c>
      <c r="BL152" s="1" t="str">
        <f>IFERROR(LEFT(RegContabilizados2[[#This Row],[Idenficador]],SEARCH("-",RegContabilizados2[[#This Row],[Idenficador]])-1),0)</f>
        <v>546565F.C.9696955</v>
      </c>
      <c r="BN152" s="1" t="s">
        <v>1169</v>
      </c>
      <c r="BO152" s="1" t="s">
        <v>1184</v>
      </c>
    </row>
    <row r="153" spans="4:67">
      <c r="D153" s="31">
        <f>IF(Regcontabilizados[[#This Row],[Eliminado]]="si","",RegContabilizados2[[#This Row],[fecha Factura]])</f>
        <v>45993</v>
      </c>
      <c r="E153" s="31">
        <f>IF(Regcontabilizados[[#This Row],[Eliminado]]="si","",RegContabilizados2[[#This Row],[Fecha vencimiento]])</f>
        <v>45993</v>
      </c>
      <c r="F153" s="3" t="str">
        <f>IF(Regcontabilizados[[#This Row],[Eliminado]]="si","",RegContabilizados2[[#This Row],[Idenficador]])</f>
        <v>546565F.C.9696955-5</v>
      </c>
      <c r="G153" s="3">
        <f>IF(Regcontabilizados[[#This Row],[Eliminado]]="si","",RegContabilizados2[[#This Row],[N° de factura/Pago]])</f>
        <v>9696955</v>
      </c>
      <c r="H153" s="1" t="str">
        <f>IF(Regcontabilizados[[#This Row],[Eliminado]]="si","",RegContabilizados2[[#This Row],[Tipo de Factura]])</f>
        <v>F.C.</v>
      </c>
      <c r="I153" s="1">
        <f>IF(Regcontabilizados[[#This Row],[Eliminado]]="si","",RegContabilizados2[[#This Row],[ID Cliente]])</f>
        <v>333333</v>
      </c>
      <c r="J153" s="1">
        <f>IF(Regcontabilizados[[#This Row],[Eliminado]]="si","",RegContabilizados2[[#This Row],[ESTADO DEL IVA]])</f>
        <v>0</v>
      </c>
      <c r="K153" s="3" t="str">
        <f>IF(Regcontabilizados[[#This Row],[Eliminado]]="si","",RegContabilizados2[[#This Row],[ID Proveedor]])</f>
        <v>Valentina</v>
      </c>
      <c r="L153" s="3">
        <f>IF(Regcontabilizados[[#This Row],[Eliminado]]="si","",RegContabilizados2[[#This Row],[Concepto]])</f>
        <v>0</v>
      </c>
      <c r="M153" s="3">
        <f>IF(Regcontabilizados[[#This Row],[Eliminado]]="si","",RegContabilizados2[[#This Row],[Categoría]])</f>
        <v>0</v>
      </c>
      <c r="N153" s="3" t="str">
        <f>IF(Regcontabilizados[[#This Row],[Eliminado]]="si","",RegContabilizados2[[#This Row],[Almacen]])</f>
        <v>Principal</v>
      </c>
      <c r="O153" s="3" t="str">
        <f>IF(Regcontabilizados[[#This Row],[Eliminado]]="si","",RegContabilizados2[[#This Row],[Tipo de movimiento]])</f>
        <v>Entrada</v>
      </c>
      <c r="P153" s="1">
        <f>IF(Regcontabilizados[[#This Row],[Eliminado]]="si","",RegContabilizados2[[#This Row],[cantidad]])</f>
        <v>0</v>
      </c>
      <c r="Q153" s="1">
        <f>IF(Regcontabilizados[[#This Row],[Eliminado]]="si","",RegContabilizados2[[#This Row],[VR unitario]])</f>
        <v>0</v>
      </c>
      <c r="R153" s="1" t="str">
        <f>IF(Regcontabilizados[[#This Row],[Eliminado]]="si","",RegContabilizados2[[#This Row],[Subcuenta]])</f>
        <v/>
      </c>
      <c r="S153" s="1">
        <f>IF(Regcontabilizados[[#This Row],[Eliminado]]="si","",RegContabilizados2[[#This Row],[Debe]])</f>
        <v>0</v>
      </c>
      <c r="T153" s="1">
        <f>IF(Regcontabilizados[[#This Row],[Eliminado]]="si","",RegContabilizados2[[#This Row],[Haber]])</f>
        <v>0</v>
      </c>
      <c r="U153" s="1">
        <f>IFERROR((Regcontabilizados[[#This Row],[Debe]]-Regcontabilizados[[#This Row],[Haber]]),0)</f>
        <v>0</v>
      </c>
      <c r="V153" s="1">
        <f>IFERROR((+_xlfn.XLOOKUP(Regcontabilizados[[#This Row],[Subcuenta]],Tabla11[Cuenta],Tabla11[Descripción],0)),0)</f>
        <v>0</v>
      </c>
      <c r="W153" s="1">
        <f>IFERROR((_xlfn.XLOOKUP((VALUE(LEFT(Regcontabilizados[[#This Row],[Subcuenta]],4))),Tabla11[Cuenta],Tabla11[Descripción],0)),0)</f>
        <v>0</v>
      </c>
      <c r="X153" s="1">
        <f>IFERROR((_xlfn.XLOOKUP(Regcontabilizados[[#This Row],[Subcuenta]],Tabla11[Cuenta],Tabla11[Descripción],0)),0)</f>
        <v>0</v>
      </c>
      <c r="Y153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153" s="1" t="str">
        <f>_xlfn.XLOOKUP(Regcontabilizados[[#This Row],[Subcuenta]],Tabla11[Cuenta],Tabla11[TIPO],"")</f>
        <v/>
      </c>
      <c r="AA153" s="1" t="str">
        <f>IFERROR((Regcontabilizados[[#This Row],[Subcuenta]]&amp;" "&amp;_xlfn.XLOOKUP(Regcontabilizados[[#This Row],[Subcuenta]],Tabla11[Cuenta],Tabla11[Descripción],0)),0)</f>
        <v xml:space="preserve"> 0</v>
      </c>
      <c r="AB153" s="1">
        <f>IFERROR((VALUE(LEFT(Regcontabilizados[[#This Row],[Subcuenta]],2))&amp;" "&amp;_xlfn.XLOOKUP((VALUE(LEFT(Regcontabilizados[[#This Row],[Subcuenta]],2))),Tabla11[Cuenta],Tabla11[Descripción],0)),0)</f>
        <v>0</v>
      </c>
      <c r="AC153" s="1">
        <f>IFERROR((VALUE(LEFT(Regcontabilizados[[#This Row],[Subcuenta]],4))&amp;" "&amp;_xlfn.XLOOKUP((VALUE(LEFT(Regcontabilizados[[#This Row],[Subcuenta]],4))),Tabla11[Cuenta],Tabla11[Descripción],0)),0)</f>
        <v>0</v>
      </c>
      <c r="AD153" s="1" t="str">
        <f>IF(Regcontabilizados[[#This Row],[Eliminado]]="si","",RegContabilizados2[[#This Row],[Estado de pago]])</f>
        <v>PAGADO</v>
      </c>
      <c r="AE153" s="1" t="str">
        <f>IF(Regcontabilizados[[#This Row],[Eliminado]]="si","",RegContabilizados2[[#This Row],[Colum. Aux. Estado]])</f>
        <v>546565F.C.9696955</v>
      </c>
      <c r="AF153" s="1">
        <f>IF(Regcontabilizados[[#This Row],[Eliminado]]="si","",RegContabilizados2[[#This Row],[Número de pago]])</f>
        <v>0</v>
      </c>
      <c r="AG153" s="1" t="str">
        <f>IF(Regcontabilizados[[#This Row],[Eliminado]]="si","",RegContabilizados2[[#This Row],[Elaborado por]])</f>
        <v>Responsable no especificado</v>
      </c>
      <c r="AH153" s="1" t="str">
        <f>IF(Regcontabilizados[[#This Row],[Eliminado]]="si","",RegContabilizados2[[#This Row],[Notas]])</f>
        <v>SE PAGÓ EL 30%</v>
      </c>
      <c r="AI153" s="1">
        <f>IF(Regcontabilizados[[#This Row],[Eliminado]]="si","",RegContabilizados2[[#This Row],[Método de pago]])</f>
        <v>0</v>
      </c>
      <c r="AJ153" s="1">
        <f>IF(Regcontabilizados[[#This Row],[Eliminado]]="si","",RegContabilizados2[[#This Row],[Cta. Bancaria]])</f>
        <v>0</v>
      </c>
      <c r="AO153" s="31">
        <v>45993</v>
      </c>
      <c r="AP153" s="31">
        <v>45993</v>
      </c>
      <c r="AQ153" s="3" t="s">
        <v>1189</v>
      </c>
      <c r="AR153" s="3">
        <v>9696955</v>
      </c>
      <c r="AS153" s="1" t="s">
        <v>1111</v>
      </c>
      <c r="AT153" s="1">
        <v>333333</v>
      </c>
      <c r="AV153" s="3" t="s">
        <v>907</v>
      </c>
      <c r="AW153" s="3"/>
      <c r="AX153" s="3">
        <v>0</v>
      </c>
      <c r="AY153" s="3" t="s">
        <v>1001</v>
      </c>
      <c r="AZ153" s="3" t="s">
        <v>974</v>
      </c>
      <c r="BC153" s="1" t="s">
        <v>1168</v>
      </c>
      <c r="BD153" s="1">
        <v>0</v>
      </c>
      <c r="BE153" s="1">
        <v>0</v>
      </c>
      <c r="BF153" s="1">
        <f>IFERROR((RegContabilizados2[[#This Row],[Debe]]-RegContabilizados2[[#This Row],[Haber]]),0)</f>
        <v>0</v>
      </c>
      <c r="BG153" s="1">
        <f>IFERROR((+_xlfn.XLOOKUP(RegContabilizados2[[#This Row],[Subcuenta]],Tabla11[Cuenta],Tabla11[Descripción],0)),0)</f>
        <v>0</v>
      </c>
      <c r="BH153" s="1">
        <f>IFERROR((VALUE(LEFT(RegContabilizados2[[#This Row],[Subcuenta]],2))&amp;" "&amp;_xlfn.XLOOKUP((VALUE(LEFT(RegContabilizados2[[#This Row],[Subcuenta]],2))),Tabla11[Cuenta],Tabla11[Descripción],0)),0)</f>
        <v>0</v>
      </c>
      <c r="BI153" s="1">
        <f>IFERROR((VALUE(LEFT(RegContabilizados2[[#This Row],[Subcuenta]],4))&amp;" "&amp;_xlfn.XLOOKUP((VALUE(LEFT(RegContabilizados2[[#This Row],[Subcuenta]],4))),Tabla11[Cuenta],Tabla11[Descripción],0)),0)</f>
        <v>0</v>
      </c>
      <c r="BJ153" s="1" t="str">
        <f>IFERROR((RegContabilizados2[[#This Row],[Subcuenta]]&amp;" "&amp;_xlfn.XLOOKUP(RegContabilizados2[[#This Row],[Subcuenta]],Tabla11[Cuenta],Tabla11[Descripción],0)),0)</f>
        <v xml:space="preserve"> 0</v>
      </c>
      <c r="BK153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PAGADO</v>
      </c>
      <c r="BL153" s="1" t="str">
        <f>IFERROR(LEFT(RegContabilizados2[[#This Row],[Idenficador]],SEARCH("-",RegContabilizados2[[#This Row],[Idenficador]])-1),0)</f>
        <v>546565F.C.9696955</v>
      </c>
      <c r="BN153" s="1" t="s">
        <v>1169</v>
      </c>
      <c r="BO153" s="1" t="s">
        <v>1184</v>
      </c>
    </row>
    <row r="154" spans="4:67">
      <c r="D154" s="31">
        <f>IF(Regcontabilizados[[#This Row],[Eliminado]]="si","",RegContabilizados2[[#This Row],[fecha Factura]])</f>
        <v>45993</v>
      </c>
      <c r="E154" s="31">
        <f>IF(Regcontabilizados[[#This Row],[Eliminado]]="si","",RegContabilizados2[[#This Row],[Fecha vencimiento]])</f>
        <v>45993</v>
      </c>
      <c r="F154" s="3" t="str">
        <f>IF(Regcontabilizados[[#This Row],[Eliminado]]="si","",RegContabilizados2[[#This Row],[Idenficador]])</f>
        <v>546565F.C.9696955-6</v>
      </c>
      <c r="G154" s="3">
        <f>IF(Regcontabilizados[[#This Row],[Eliminado]]="si","",RegContabilizados2[[#This Row],[N° de factura/Pago]])</f>
        <v>9696955</v>
      </c>
      <c r="H154" s="1" t="str">
        <f>IF(Regcontabilizados[[#This Row],[Eliminado]]="si","",RegContabilizados2[[#This Row],[Tipo de Factura]])</f>
        <v>F.C.</v>
      </c>
      <c r="I154" s="1">
        <f>IF(Regcontabilizados[[#This Row],[Eliminado]]="si","",RegContabilizados2[[#This Row],[ID Cliente]])</f>
        <v>333333</v>
      </c>
      <c r="J154" s="1">
        <f>IF(Regcontabilizados[[#This Row],[Eliminado]]="si","",RegContabilizados2[[#This Row],[ESTADO DEL IVA]])</f>
        <v>0</v>
      </c>
      <c r="K154" s="3" t="str">
        <f>IF(Regcontabilizados[[#This Row],[Eliminado]]="si","",RegContabilizados2[[#This Row],[ID Proveedor]])</f>
        <v>Valentina</v>
      </c>
      <c r="L154" s="3">
        <f>IF(Regcontabilizados[[#This Row],[Eliminado]]="si","",RegContabilizados2[[#This Row],[Concepto]])</f>
        <v>0</v>
      </c>
      <c r="M154" s="3">
        <f>IF(Regcontabilizados[[#This Row],[Eliminado]]="si","",RegContabilizados2[[#This Row],[Categoría]])</f>
        <v>0</v>
      </c>
      <c r="N154" s="3" t="str">
        <f>IF(Regcontabilizados[[#This Row],[Eliminado]]="si","",RegContabilizados2[[#This Row],[Almacen]])</f>
        <v>Principal</v>
      </c>
      <c r="O154" s="3" t="str">
        <f>IF(Regcontabilizados[[#This Row],[Eliminado]]="si","",RegContabilizados2[[#This Row],[Tipo de movimiento]])</f>
        <v>Entrada</v>
      </c>
      <c r="P154" s="1">
        <f>IF(Regcontabilizados[[#This Row],[Eliminado]]="si","",RegContabilizados2[[#This Row],[cantidad]])</f>
        <v>0</v>
      </c>
      <c r="Q154" s="1">
        <f>IF(Regcontabilizados[[#This Row],[Eliminado]]="si","",RegContabilizados2[[#This Row],[VR unitario]])</f>
        <v>0</v>
      </c>
      <c r="R154" s="1" t="str">
        <f>IF(Regcontabilizados[[#This Row],[Eliminado]]="si","",RegContabilizados2[[#This Row],[Subcuenta]])</f>
        <v/>
      </c>
      <c r="S154" s="1">
        <f>IF(Regcontabilizados[[#This Row],[Eliminado]]="si","",RegContabilizados2[[#This Row],[Debe]])</f>
        <v>0</v>
      </c>
      <c r="T154" s="1">
        <f>IF(Regcontabilizados[[#This Row],[Eliminado]]="si","",RegContabilizados2[[#This Row],[Haber]])</f>
        <v>0</v>
      </c>
      <c r="U154" s="1">
        <f>IFERROR((Regcontabilizados[[#This Row],[Debe]]-Regcontabilizados[[#This Row],[Haber]]),0)</f>
        <v>0</v>
      </c>
      <c r="V154" s="1">
        <f>IFERROR((+_xlfn.XLOOKUP(Regcontabilizados[[#This Row],[Subcuenta]],Tabla11[Cuenta],Tabla11[Descripción],0)),0)</f>
        <v>0</v>
      </c>
      <c r="W154" s="1">
        <f>IFERROR((_xlfn.XLOOKUP((VALUE(LEFT(Regcontabilizados[[#This Row],[Subcuenta]],4))),Tabla11[Cuenta],Tabla11[Descripción],0)),0)</f>
        <v>0</v>
      </c>
      <c r="X154" s="1">
        <f>IFERROR((_xlfn.XLOOKUP(Regcontabilizados[[#This Row],[Subcuenta]],Tabla11[Cuenta],Tabla11[Descripción],0)),0)</f>
        <v>0</v>
      </c>
      <c r="Y154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154" s="1" t="str">
        <f>_xlfn.XLOOKUP(Regcontabilizados[[#This Row],[Subcuenta]],Tabla11[Cuenta],Tabla11[TIPO],"")</f>
        <v/>
      </c>
      <c r="AA154" s="1" t="str">
        <f>IFERROR((Regcontabilizados[[#This Row],[Subcuenta]]&amp;" "&amp;_xlfn.XLOOKUP(Regcontabilizados[[#This Row],[Subcuenta]],Tabla11[Cuenta],Tabla11[Descripción],0)),0)</f>
        <v xml:space="preserve"> 0</v>
      </c>
      <c r="AB154" s="1">
        <f>IFERROR((VALUE(LEFT(Regcontabilizados[[#This Row],[Subcuenta]],2))&amp;" "&amp;_xlfn.XLOOKUP((VALUE(LEFT(Regcontabilizados[[#This Row],[Subcuenta]],2))),Tabla11[Cuenta],Tabla11[Descripción],0)),0)</f>
        <v>0</v>
      </c>
      <c r="AC154" s="1">
        <f>IFERROR((VALUE(LEFT(Regcontabilizados[[#This Row],[Subcuenta]],4))&amp;" "&amp;_xlfn.XLOOKUP((VALUE(LEFT(Regcontabilizados[[#This Row],[Subcuenta]],4))),Tabla11[Cuenta],Tabla11[Descripción],0)),0)</f>
        <v>0</v>
      </c>
      <c r="AD154" s="1" t="str">
        <f>IF(Regcontabilizados[[#This Row],[Eliminado]]="si","",RegContabilizados2[[#This Row],[Estado de pago]])</f>
        <v>PAGADO</v>
      </c>
      <c r="AE154" s="1" t="str">
        <f>IF(Regcontabilizados[[#This Row],[Eliminado]]="si","",RegContabilizados2[[#This Row],[Colum. Aux. Estado]])</f>
        <v>546565F.C.9696955</v>
      </c>
      <c r="AF154" s="1">
        <f>IF(Regcontabilizados[[#This Row],[Eliminado]]="si","",RegContabilizados2[[#This Row],[Número de pago]])</f>
        <v>0</v>
      </c>
      <c r="AG154" s="1" t="str">
        <f>IF(Regcontabilizados[[#This Row],[Eliminado]]="si","",RegContabilizados2[[#This Row],[Elaborado por]])</f>
        <v>Responsable no especificado</v>
      </c>
      <c r="AH154" s="1" t="str">
        <f>IF(Regcontabilizados[[#This Row],[Eliminado]]="si","",RegContabilizados2[[#This Row],[Notas]])</f>
        <v>SE PAGÓ EL 30%</v>
      </c>
      <c r="AI154" s="1">
        <f>IF(Regcontabilizados[[#This Row],[Eliminado]]="si","",RegContabilizados2[[#This Row],[Método de pago]])</f>
        <v>0</v>
      </c>
      <c r="AJ154" s="1">
        <f>IF(Regcontabilizados[[#This Row],[Eliminado]]="si","",RegContabilizados2[[#This Row],[Cta. Bancaria]])</f>
        <v>0</v>
      </c>
      <c r="AO154" s="31">
        <v>45993</v>
      </c>
      <c r="AP154" s="31">
        <v>45993</v>
      </c>
      <c r="AQ154" s="3" t="s">
        <v>1190</v>
      </c>
      <c r="AR154" s="3">
        <v>9696955</v>
      </c>
      <c r="AS154" s="1" t="s">
        <v>1111</v>
      </c>
      <c r="AT154" s="1">
        <v>333333</v>
      </c>
      <c r="AV154" s="3" t="s">
        <v>907</v>
      </c>
      <c r="AW154" s="3"/>
      <c r="AX154" s="3">
        <v>0</v>
      </c>
      <c r="AY154" s="3" t="s">
        <v>1001</v>
      </c>
      <c r="AZ154" s="3" t="s">
        <v>974</v>
      </c>
      <c r="BC154" s="1" t="s">
        <v>1168</v>
      </c>
      <c r="BD154" s="1">
        <v>0</v>
      </c>
      <c r="BE154" s="1">
        <v>0</v>
      </c>
      <c r="BF154" s="1">
        <f>IFERROR((RegContabilizados2[[#This Row],[Debe]]-RegContabilizados2[[#This Row],[Haber]]),0)</f>
        <v>0</v>
      </c>
      <c r="BG154" s="1">
        <f>IFERROR((+_xlfn.XLOOKUP(RegContabilizados2[[#This Row],[Subcuenta]],Tabla11[Cuenta],Tabla11[Descripción],0)),0)</f>
        <v>0</v>
      </c>
      <c r="BH154" s="1">
        <f>IFERROR((VALUE(LEFT(RegContabilizados2[[#This Row],[Subcuenta]],2))&amp;" "&amp;_xlfn.XLOOKUP((VALUE(LEFT(RegContabilizados2[[#This Row],[Subcuenta]],2))),Tabla11[Cuenta],Tabla11[Descripción],0)),0)</f>
        <v>0</v>
      </c>
      <c r="BI154" s="1">
        <f>IFERROR((VALUE(LEFT(RegContabilizados2[[#This Row],[Subcuenta]],4))&amp;" "&amp;_xlfn.XLOOKUP((VALUE(LEFT(RegContabilizados2[[#This Row],[Subcuenta]],4))),Tabla11[Cuenta],Tabla11[Descripción],0)),0)</f>
        <v>0</v>
      </c>
      <c r="BJ154" s="1" t="str">
        <f>IFERROR((RegContabilizados2[[#This Row],[Subcuenta]]&amp;" "&amp;_xlfn.XLOOKUP(RegContabilizados2[[#This Row],[Subcuenta]],Tabla11[Cuenta],Tabla11[Descripción],0)),0)</f>
        <v xml:space="preserve"> 0</v>
      </c>
      <c r="BK154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PAGADO</v>
      </c>
      <c r="BL154" s="1" t="str">
        <f>IFERROR(LEFT(RegContabilizados2[[#This Row],[Idenficador]],SEARCH("-",RegContabilizados2[[#This Row],[Idenficador]])-1),0)</f>
        <v>546565F.C.9696955</v>
      </c>
      <c r="BN154" s="1" t="s">
        <v>1169</v>
      </c>
      <c r="BO154" s="1" t="s">
        <v>1184</v>
      </c>
    </row>
    <row r="155" spans="4:67">
      <c r="D155" s="31">
        <f>IF(Regcontabilizados[[#This Row],[Eliminado]]="si","",RegContabilizados2[[#This Row],[fecha Factura]])</f>
        <v>45993</v>
      </c>
      <c r="E155" s="31">
        <f>IF(Regcontabilizados[[#This Row],[Eliminado]]="si","",RegContabilizados2[[#This Row],[Fecha vencimiento]])</f>
        <v>45993</v>
      </c>
      <c r="F155" s="3" t="str">
        <f>IF(Regcontabilizados[[#This Row],[Eliminado]]="si","",RegContabilizados2[[#This Row],[Idenficador]])</f>
        <v>546565F.C.9696955-7</v>
      </c>
      <c r="G155" s="3">
        <f>IF(Regcontabilizados[[#This Row],[Eliminado]]="si","",RegContabilizados2[[#This Row],[N° de factura/Pago]])</f>
        <v>9696955</v>
      </c>
      <c r="H155" s="1" t="str">
        <f>IF(Regcontabilizados[[#This Row],[Eliminado]]="si","",RegContabilizados2[[#This Row],[Tipo de Factura]])</f>
        <v>F.C.</v>
      </c>
      <c r="I155" s="1">
        <f>IF(Regcontabilizados[[#This Row],[Eliminado]]="si","",RegContabilizados2[[#This Row],[ID Cliente]])</f>
        <v>333333</v>
      </c>
      <c r="J155" s="1">
        <f>IF(Regcontabilizados[[#This Row],[Eliminado]]="si","",RegContabilizados2[[#This Row],[ESTADO DEL IVA]])</f>
        <v>0</v>
      </c>
      <c r="K155" s="3" t="str">
        <f>IF(Regcontabilizados[[#This Row],[Eliminado]]="si","",RegContabilizados2[[#This Row],[ID Proveedor]])</f>
        <v>Valentina</v>
      </c>
      <c r="L155" s="3">
        <f>IF(Regcontabilizados[[#This Row],[Eliminado]]="si","",RegContabilizados2[[#This Row],[Concepto]])</f>
        <v>0</v>
      </c>
      <c r="M155" s="3">
        <f>IF(Regcontabilizados[[#This Row],[Eliminado]]="si","",RegContabilizados2[[#This Row],[Categoría]])</f>
        <v>0</v>
      </c>
      <c r="N155" s="3" t="str">
        <f>IF(Regcontabilizados[[#This Row],[Eliminado]]="si","",RegContabilizados2[[#This Row],[Almacen]])</f>
        <v>Principal</v>
      </c>
      <c r="O155" s="3" t="str">
        <f>IF(Regcontabilizados[[#This Row],[Eliminado]]="si","",RegContabilizados2[[#This Row],[Tipo de movimiento]])</f>
        <v>Entrada</v>
      </c>
      <c r="P155" s="1">
        <f>IF(Regcontabilizados[[#This Row],[Eliminado]]="si","",RegContabilizados2[[#This Row],[cantidad]])</f>
        <v>0</v>
      </c>
      <c r="Q155" s="1">
        <f>IF(Regcontabilizados[[#This Row],[Eliminado]]="si","",RegContabilizados2[[#This Row],[VR unitario]])</f>
        <v>0</v>
      </c>
      <c r="R155" s="1" t="str">
        <f>IF(Regcontabilizados[[#This Row],[Eliminado]]="si","",RegContabilizados2[[#This Row],[Subcuenta]])</f>
        <v/>
      </c>
      <c r="S155" s="1">
        <f>IF(Regcontabilizados[[#This Row],[Eliminado]]="si","",RegContabilizados2[[#This Row],[Debe]])</f>
        <v>0</v>
      </c>
      <c r="T155" s="1">
        <f>IF(Regcontabilizados[[#This Row],[Eliminado]]="si","",RegContabilizados2[[#This Row],[Haber]])</f>
        <v>0</v>
      </c>
      <c r="U155" s="1">
        <f>IFERROR((Regcontabilizados[[#This Row],[Debe]]-Regcontabilizados[[#This Row],[Haber]]),0)</f>
        <v>0</v>
      </c>
      <c r="V155" s="1">
        <f>IFERROR((+_xlfn.XLOOKUP(Regcontabilizados[[#This Row],[Subcuenta]],Tabla11[Cuenta],Tabla11[Descripción],0)),0)</f>
        <v>0</v>
      </c>
      <c r="W155" s="1">
        <f>IFERROR((_xlfn.XLOOKUP((VALUE(LEFT(Regcontabilizados[[#This Row],[Subcuenta]],4))),Tabla11[Cuenta],Tabla11[Descripción],0)),0)</f>
        <v>0</v>
      </c>
      <c r="X155" s="1">
        <f>IFERROR((_xlfn.XLOOKUP(Regcontabilizados[[#This Row],[Subcuenta]],Tabla11[Cuenta],Tabla11[Descripción],0)),0)</f>
        <v>0</v>
      </c>
      <c r="Y155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155" s="1" t="str">
        <f>_xlfn.XLOOKUP(Regcontabilizados[[#This Row],[Subcuenta]],Tabla11[Cuenta],Tabla11[TIPO],"")</f>
        <v/>
      </c>
      <c r="AA155" s="1" t="str">
        <f>IFERROR((Regcontabilizados[[#This Row],[Subcuenta]]&amp;" "&amp;_xlfn.XLOOKUP(Regcontabilizados[[#This Row],[Subcuenta]],Tabla11[Cuenta],Tabla11[Descripción],0)),0)</f>
        <v xml:space="preserve"> 0</v>
      </c>
      <c r="AB155" s="1">
        <f>IFERROR((VALUE(LEFT(Regcontabilizados[[#This Row],[Subcuenta]],2))&amp;" "&amp;_xlfn.XLOOKUP((VALUE(LEFT(Regcontabilizados[[#This Row],[Subcuenta]],2))),Tabla11[Cuenta],Tabla11[Descripción],0)),0)</f>
        <v>0</v>
      </c>
      <c r="AC155" s="1">
        <f>IFERROR((VALUE(LEFT(Regcontabilizados[[#This Row],[Subcuenta]],4))&amp;" "&amp;_xlfn.XLOOKUP((VALUE(LEFT(Regcontabilizados[[#This Row],[Subcuenta]],4))),Tabla11[Cuenta],Tabla11[Descripción],0)),0)</f>
        <v>0</v>
      </c>
      <c r="AD155" s="1" t="str">
        <f>IF(Regcontabilizados[[#This Row],[Eliminado]]="si","",RegContabilizados2[[#This Row],[Estado de pago]])</f>
        <v>PAGADO</v>
      </c>
      <c r="AE155" s="1" t="str">
        <f>IF(Regcontabilizados[[#This Row],[Eliminado]]="si","",RegContabilizados2[[#This Row],[Colum. Aux. Estado]])</f>
        <v>546565F.C.9696955</v>
      </c>
      <c r="AF155" s="1">
        <f>IF(Regcontabilizados[[#This Row],[Eliminado]]="si","",RegContabilizados2[[#This Row],[Número de pago]])</f>
        <v>0</v>
      </c>
      <c r="AG155" s="1" t="str">
        <f>IF(Regcontabilizados[[#This Row],[Eliminado]]="si","",RegContabilizados2[[#This Row],[Elaborado por]])</f>
        <v>Responsable no especificado</v>
      </c>
      <c r="AH155" s="1" t="str">
        <f>IF(Regcontabilizados[[#This Row],[Eliminado]]="si","",RegContabilizados2[[#This Row],[Notas]])</f>
        <v>SE PAGÓ EL 30%</v>
      </c>
      <c r="AI155" s="1">
        <f>IF(Regcontabilizados[[#This Row],[Eliminado]]="si","",RegContabilizados2[[#This Row],[Método de pago]])</f>
        <v>0</v>
      </c>
      <c r="AJ155" s="1">
        <f>IF(Regcontabilizados[[#This Row],[Eliminado]]="si","",RegContabilizados2[[#This Row],[Cta. Bancaria]])</f>
        <v>0</v>
      </c>
      <c r="AO155" s="31">
        <v>45993</v>
      </c>
      <c r="AP155" s="31">
        <v>45993</v>
      </c>
      <c r="AQ155" s="3" t="s">
        <v>1191</v>
      </c>
      <c r="AR155" s="3">
        <v>9696955</v>
      </c>
      <c r="AS155" s="1" t="s">
        <v>1111</v>
      </c>
      <c r="AT155" s="1">
        <v>333333</v>
      </c>
      <c r="AV155" s="3" t="s">
        <v>907</v>
      </c>
      <c r="AW155" s="3"/>
      <c r="AX155" s="3">
        <v>0</v>
      </c>
      <c r="AY155" s="3" t="s">
        <v>1001</v>
      </c>
      <c r="AZ155" s="3" t="s">
        <v>974</v>
      </c>
      <c r="BC155" s="1" t="s">
        <v>1168</v>
      </c>
      <c r="BD155" s="1">
        <v>0</v>
      </c>
      <c r="BE155" s="1">
        <v>0</v>
      </c>
      <c r="BF155" s="1">
        <f>IFERROR((RegContabilizados2[[#This Row],[Debe]]-RegContabilizados2[[#This Row],[Haber]]),0)</f>
        <v>0</v>
      </c>
      <c r="BG155" s="1">
        <f>IFERROR((+_xlfn.XLOOKUP(RegContabilizados2[[#This Row],[Subcuenta]],Tabla11[Cuenta],Tabla11[Descripción],0)),0)</f>
        <v>0</v>
      </c>
      <c r="BH155" s="1">
        <f>IFERROR((VALUE(LEFT(RegContabilizados2[[#This Row],[Subcuenta]],2))&amp;" "&amp;_xlfn.XLOOKUP((VALUE(LEFT(RegContabilizados2[[#This Row],[Subcuenta]],2))),Tabla11[Cuenta],Tabla11[Descripción],0)),0)</f>
        <v>0</v>
      </c>
      <c r="BI155" s="1">
        <f>IFERROR((VALUE(LEFT(RegContabilizados2[[#This Row],[Subcuenta]],4))&amp;" "&amp;_xlfn.XLOOKUP((VALUE(LEFT(RegContabilizados2[[#This Row],[Subcuenta]],4))),Tabla11[Cuenta],Tabla11[Descripción],0)),0)</f>
        <v>0</v>
      </c>
      <c r="BJ155" s="1" t="str">
        <f>IFERROR((RegContabilizados2[[#This Row],[Subcuenta]]&amp;" "&amp;_xlfn.XLOOKUP(RegContabilizados2[[#This Row],[Subcuenta]],Tabla11[Cuenta],Tabla11[Descripción],0)),0)</f>
        <v xml:space="preserve"> 0</v>
      </c>
      <c r="BK155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PAGADO</v>
      </c>
      <c r="BL155" s="1" t="str">
        <f>IFERROR(LEFT(RegContabilizados2[[#This Row],[Idenficador]],SEARCH("-",RegContabilizados2[[#This Row],[Idenficador]])-1),0)</f>
        <v>546565F.C.9696955</v>
      </c>
      <c r="BN155" s="1" t="s">
        <v>1169</v>
      </c>
      <c r="BO155" s="1" t="s">
        <v>1184</v>
      </c>
    </row>
    <row r="156" spans="4:67">
      <c r="D156" s="31">
        <f>IF(Regcontabilizados[[#This Row],[Eliminado]]="si","",RegContabilizados2[[#This Row],[fecha Factura]])</f>
        <v>45993</v>
      </c>
      <c r="E156" s="31">
        <f>IF(Regcontabilizados[[#This Row],[Eliminado]]="si","",RegContabilizados2[[#This Row],[Fecha vencimiento]])</f>
        <v>45993</v>
      </c>
      <c r="F156" s="3" t="str">
        <f>IF(Regcontabilizados[[#This Row],[Eliminado]]="si","",RegContabilizados2[[#This Row],[Idenficador]])</f>
        <v>546565F.C.9696955-8</v>
      </c>
      <c r="G156" s="3">
        <f>IF(Regcontabilizados[[#This Row],[Eliminado]]="si","",RegContabilizados2[[#This Row],[N° de factura/Pago]])</f>
        <v>9696955</v>
      </c>
      <c r="H156" s="1" t="str">
        <f>IF(Regcontabilizados[[#This Row],[Eliminado]]="si","",RegContabilizados2[[#This Row],[Tipo de Factura]])</f>
        <v>F.C.</v>
      </c>
      <c r="I156" s="1">
        <f>IF(Regcontabilizados[[#This Row],[Eliminado]]="si","",RegContabilizados2[[#This Row],[ID Cliente]])</f>
        <v>333333</v>
      </c>
      <c r="J156" s="1">
        <f>IF(Regcontabilizados[[#This Row],[Eliminado]]="si","",RegContabilizados2[[#This Row],[ESTADO DEL IVA]])</f>
        <v>0</v>
      </c>
      <c r="K156" s="3" t="str">
        <f>IF(Regcontabilizados[[#This Row],[Eliminado]]="si","",RegContabilizados2[[#This Row],[ID Proveedor]])</f>
        <v>Valentina</v>
      </c>
      <c r="L156" s="3">
        <f>IF(Regcontabilizados[[#This Row],[Eliminado]]="si","",RegContabilizados2[[#This Row],[Concepto]])</f>
        <v>0</v>
      </c>
      <c r="M156" s="3">
        <f>IF(Regcontabilizados[[#This Row],[Eliminado]]="si","",RegContabilizados2[[#This Row],[Categoría]])</f>
        <v>0</v>
      </c>
      <c r="N156" s="3" t="str">
        <f>IF(Regcontabilizados[[#This Row],[Eliminado]]="si","",RegContabilizados2[[#This Row],[Almacen]])</f>
        <v>Principal</v>
      </c>
      <c r="O156" s="3" t="str">
        <f>IF(Regcontabilizados[[#This Row],[Eliminado]]="si","",RegContabilizados2[[#This Row],[Tipo de movimiento]])</f>
        <v>Entrada</v>
      </c>
      <c r="P156" s="1">
        <f>IF(Regcontabilizados[[#This Row],[Eliminado]]="si","",RegContabilizados2[[#This Row],[cantidad]])</f>
        <v>0</v>
      </c>
      <c r="Q156" s="1">
        <f>IF(Regcontabilizados[[#This Row],[Eliminado]]="si","",RegContabilizados2[[#This Row],[VR unitario]])</f>
        <v>0</v>
      </c>
      <c r="R156" s="1" t="str">
        <f>IF(Regcontabilizados[[#This Row],[Eliminado]]="si","",RegContabilizados2[[#This Row],[Subcuenta]])</f>
        <v/>
      </c>
      <c r="S156" s="1">
        <f>IF(Regcontabilizados[[#This Row],[Eliminado]]="si","",RegContabilizados2[[#This Row],[Debe]])</f>
        <v>0</v>
      </c>
      <c r="T156" s="1">
        <f>IF(Regcontabilizados[[#This Row],[Eliminado]]="si","",RegContabilizados2[[#This Row],[Haber]])</f>
        <v>0</v>
      </c>
      <c r="U156" s="1">
        <f>IFERROR((Regcontabilizados[[#This Row],[Debe]]-Regcontabilizados[[#This Row],[Haber]]),0)</f>
        <v>0</v>
      </c>
      <c r="V156" s="1">
        <f>IFERROR((+_xlfn.XLOOKUP(Regcontabilizados[[#This Row],[Subcuenta]],Tabla11[Cuenta],Tabla11[Descripción],0)),0)</f>
        <v>0</v>
      </c>
      <c r="W156" s="1">
        <f>IFERROR((_xlfn.XLOOKUP((VALUE(LEFT(Regcontabilizados[[#This Row],[Subcuenta]],4))),Tabla11[Cuenta],Tabla11[Descripción],0)),0)</f>
        <v>0</v>
      </c>
      <c r="X156" s="1">
        <f>IFERROR((_xlfn.XLOOKUP(Regcontabilizados[[#This Row],[Subcuenta]],Tabla11[Cuenta],Tabla11[Descripción],0)),0)</f>
        <v>0</v>
      </c>
      <c r="Y156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156" s="1" t="str">
        <f>_xlfn.XLOOKUP(Regcontabilizados[[#This Row],[Subcuenta]],Tabla11[Cuenta],Tabla11[TIPO],"")</f>
        <v/>
      </c>
      <c r="AA156" s="1" t="str">
        <f>IFERROR((Regcontabilizados[[#This Row],[Subcuenta]]&amp;" "&amp;_xlfn.XLOOKUP(Regcontabilizados[[#This Row],[Subcuenta]],Tabla11[Cuenta],Tabla11[Descripción],0)),0)</f>
        <v xml:space="preserve"> 0</v>
      </c>
      <c r="AB156" s="1">
        <f>IFERROR((VALUE(LEFT(Regcontabilizados[[#This Row],[Subcuenta]],2))&amp;" "&amp;_xlfn.XLOOKUP((VALUE(LEFT(Regcontabilizados[[#This Row],[Subcuenta]],2))),Tabla11[Cuenta],Tabla11[Descripción],0)),0)</f>
        <v>0</v>
      </c>
      <c r="AC156" s="1">
        <f>IFERROR((VALUE(LEFT(Regcontabilizados[[#This Row],[Subcuenta]],4))&amp;" "&amp;_xlfn.XLOOKUP((VALUE(LEFT(Regcontabilizados[[#This Row],[Subcuenta]],4))),Tabla11[Cuenta],Tabla11[Descripción],0)),0)</f>
        <v>0</v>
      </c>
      <c r="AD156" s="1" t="str">
        <f>IF(Regcontabilizados[[#This Row],[Eliminado]]="si","",RegContabilizados2[[#This Row],[Estado de pago]])</f>
        <v>PAGADO</v>
      </c>
      <c r="AE156" s="1" t="str">
        <f>IF(Regcontabilizados[[#This Row],[Eliminado]]="si","",RegContabilizados2[[#This Row],[Colum. Aux. Estado]])</f>
        <v>546565F.C.9696955</v>
      </c>
      <c r="AF156" s="1">
        <f>IF(Regcontabilizados[[#This Row],[Eliminado]]="si","",RegContabilizados2[[#This Row],[Número de pago]])</f>
        <v>0</v>
      </c>
      <c r="AG156" s="1" t="str">
        <f>IF(Regcontabilizados[[#This Row],[Eliminado]]="si","",RegContabilizados2[[#This Row],[Elaborado por]])</f>
        <v>Responsable no especificado</v>
      </c>
      <c r="AH156" s="1" t="str">
        <f>IF(Regcontabilizados[[#This Row],[Eliminado]]="si","",RegContabilizados2[[#This Row],[Notas]])</f>
        <v>SE PAGÓ EL 30%</v>
      </c>
      <c r="AI156" s="1">
        <f>IF(Regcontabilizados[[#This Row],[Eliminado]]="si","",RegContabilizados2[[#This Row],[Método de pago]])</f>
        <v>0</v>
      </c>
      <c r="AJ156" s="1">
        <f>IF(Regcontabilizados[[#This Row],[Eliminado]]="si","",RegContabilizados2[[#This Row],[Cta. Bancaria]])</f>
        <v>0</v>
      </c>
      <c r="AO156" s="31">
        <v>45993</v>
      </c>
      <c r="AP156" s="31">
        <v>45993</v>
      </c>
      <c r="AQ156" s="3" t="s">
        <v>1192</v>
      </c>
      <c r="AR156" s="3">
        <v>9696955</v>
      </c>
      <c r="AS156" s="1" t="s">
        <v>1111</v>
      </c>
      <c r="AT156" s="1">
        <v>333333</v>
      </c>
      <c r="AV156" s="3" t="s">
        <v>907</v>
      </c>
      <c r="AW156" s="3"/>
      <c r="AX156" s="3">
        <v>0</v>
      </c>
      <c r="AY156" s="3" t="s">
        <v>1001</v>
      </c>
      <c r="AZ156" s="3" t="s">
        <v>974</v>
      </c>
      <c r="BC156" s="1" t="s">
        <v>1168</v>
      </c>
      <c r="BD156" s="1">
        <v>0</v>
      </c>
      <c r="BE156" s="1">
        <v>0</v>
      </c>
      <c r="BF156" s="1">
        <f>IFERROR((RegContabilizados2[[#This Row],[Debe]]-RegContabilizados2[[#This Row],[Haber]]),0)</f>
        <v>0</v>
      </c>
      <c r="BG156" s="1">
        <f>IFERROR((+_xlfn.XLOOKUP(RegContabilizados2[[#This Row],[Subcuenta]],Tabla11[Cuenta],Tabla11[Descripción],0)),0)</f>
        <v>0</v>
      </c>
      <c r="BH156" s="1">
        <f>IFERROR((VALUE(LEFT(RegContabilizados2[[#This Row],[Subcuenta]],2))&amp;" "&amp;_xlfn.XLOOKUP((VALUE(LEFT(RegContabilizados2[[#This Row],[Subcuenta]],2))),Tabla11[Cuenta],Tabla11[Descripción],0)),0)</f>
        <v>0</v>
      </c>
      <c r="BI156" s="1">
        <f>IFERROR((VALUE(LEFT(RegContabilizados2[[#This Row],[Subcuenta]],4))&amp;" "&amp;_xlfn.XLOOKUP((VALUE(LEFT(RegContabilizados2[[#This Row],[Subcuenta]],4))),Tabla11[Cuenta],Tabla11[Descripción],0)),0)</f>
        <v>0</v>
      </c>
      <c r="BJ156" s="1" t="str">
        <f>IFERROR((RegContabilizados2[[#This Row],[Subcuenta]]&amp;" "&amp;_xlfn.XLOOKUP(RegContabilizados2[[#This Row],[Subcuenta]],Tabla11[Cuenta],Tabla11[Descripción],0)),0)</f>
        <v xml:space="preserve"> 0</v>
      </c>
      <c r="BK156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PAGADO</v>
      </c>
      <c r="BL156" s="1" t="str">
        <f>IFERROR(LEFT(RegContabilizados2[[#This Row],[Idenficador]],SEARCH("-",RegContabilizados2[[#This Row],[Idenficador]])-1),0)</f>
        <v>546565F.C.9696955</v>
      </c>
      <c r="BN156" s="1" t="s">
        <v>1169</v>
      </c>
      <c r="BO156" s="1" t="s">
        <v>1184</v>
      </c>
    </row>
    <row r="157" spans="4:67">
      <c r="D157" s="31">
        <f>IF(Regcontabilizados[[#This Row],[Eliminado]]="si","",RegContabilizados2[[#This Row],[fecha Factura]])</f>
        <v>45993</v>
      </c>
      <c r="E157" s="31">
        <f>IF(Regcontabilizados[[#This Row],[Eliminado]]="si","",RegContabilizados2[[#This Row],[Fecha vencimiento]])</f>
        <v>45993</v>
      </c>
      <c r="F157" s="3" t="str">
        <f>IF(Regcontabilizados[[#This Row],[Eliminado]]="si","",RegContabilizados2[[#This Row],[Idenficador]])</f>
        <v>546565F.C.9696955-9</v>
      </c>
      <c r="G157" s="3">
        <f>IF(Regcontabilizados[[#This Row],[Eliminado]]="si","",RegContabilizados2[[#This Row],[N° de factura/Pago]])</f>
        <v>9696955</v>
      </c>
      <c r="H157" s="1" t="str">
        <f>IF(Regcontabilizados[[#This Row],[Eliminado]]="si","",RegContabilizados2[[#This Row],[Tipo de Factura]])</f>
        <v>F.C.</v>
      </c>
      <c r="I157" s="1">
        <f>IF(Regcontabilizados[[#This Row],[Eliminado]]="si","",RegContabilizados2[[#This Row],[ID Cliente]])</f>
        <v>333333</v>
      </c>
      <c r="J157" s="1">
        <f>IF(Regcontabilizados[[#This Row],[Eliminado]]="si","",RegContabilizados2[[#This Row],[ESTADO DEL IVA]])</f>
        <v>0</v>
      </c>
      <c r="K157" s="3" t="str">
        <f>IF(Regcontabilizados[[#This Row],[Eliminado]]="si","",RegContabilizados2[[#This Row],[ID Proveedor]])</f>
        <v>Valentina</v>
      </c>
      <c r="L157" s="3">
        <f>IF(Regcontabilizados[[#This Row],[Eliminado]]="si","",RegContabilizados2[[#This Row],[Concepto]])</f>
        <v>0</v>
      </c>
      <c r="M157" s="3">
        <f>IF(Regcontabilizados[[#This Row],[Eliminado]]="si","",RegContabilizados2[[#This Row],[Categoría]])</f>
        <v>0</v>
      </c>
      <c r="N157" s="3" t="str">
        <f>IF(Regcontabilizados[[#This Row],[Eliminado]]="si","",RegContabilizados2[[#This Row],[Almacen]])</f>
        <v>Principal</v>
      </c>
      <c r="O157" s="3" t="str">
        <f>IF(Regcontabilizados[[#This Row],[Eliminado]]="si","",RegContabilizados2[[#This Row],[Tipo de movimiento]])</f>
        <v>Entrada</v>
      </c>
      <c r="P157" s="1">
        <f>IF(Regcontabilizados[[#This Row],[Eliminado]]="si","",RegContabilizados2[[#This Row],[cantidad]])</f>
        <v>0</v>
      </c>
      <c r="Q157" s="1">
        <f>IF(Regcontabilizados[[#This Row],[Eliminado]]="si","",RegContabilizados2[[#This Row],[VR unitario]])</f>
        <v>0</v>
      </c>
      <c r="R157" s="1" t="str">
        <f>IF(Regcontabilizados[[#This Row],[Eliminado]]="si","",RegContabilizados2[[#This Row],[Subcuenta]])</f>
        <v/>
      </c>
      <c r="S157" s="1">
        <f>IF(Regcontabilizados[[#This Row],[Eliminado]]="si","",RegContabilizados2[[#This Row],[Debe]])</f>
        <v>0</v>
      </c>
      <c r="T157" s="1">
        <f>IF(Regcontabilizados[[#This Row],[Eliminado]]="si","",RegContabilizados2[[#This Row],[Haber]])</f>
        <v>0</v>
      </c>
      <c r="U157" s="1">
        <f>IFERROR((Regcontabilizados[[#This Row],[Debe]]-Regcontabilizados[[#This Row],[Haber]]),0)</f>
        <v>0</v>
      </c>
      <c r="V157" s="1">
        <f>IFERROR((+_xlfn.XLOOKUP(Regcontabilizados[[#This Row],[Subcuenta]],Tabla11[Cuenta],Tabla11[Descripción],0)),0)</f>
        <v>0</v>
      </c>
      <c r="W157" s="1">
        <f>IFERROR((_xlfn.XLOOKUP((VALUE(LEFT(Regcontabilizados[[#This Row],[Subcuenta]],4))),Tabla11[Cuenta],Tabla11[Descripción],0)),0)</f>
        <v>0</v>
      </c>
      <c r="X157" s="1">
        <f>IFERROR((_xlfn.XLOOKUP(Regcontabilizados[[#This Row],[Subcuenta]],Tabla11[Cuenta],Tabla11[Descripción],0)),0)</f>
        <v>0</v>
      </c>
      <c r="Y157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157" s="1" t="str">
        <f>_xlfn.XLOOKUP(Regcontabilizados[[#This Row],[Subcuenta]],Tabla11[Cuenta],Tabla11[TIPO],"")</f>
        <v/>
      </c>
      <c r="AA157" s="1" t="str">
        <f>IFERROR((Regcontabilizados[[#This Row],[Subcuenta]]&amp;" "&amp;_xlfn.XLOOKUP(Regcontabilizados[[#This Row],[Subcuenta]],Tabla11[Cuenta],Tabla11[Descripción],0)),0)</f>
        <v xml:space="preserve"> 0</v>
      </c>
      <c r="AB157" s="1">
        <f>IFERROR((VALUE(LEFT(Regcontabilizados[[#This Row],[Subcuenta]],2))&amp;" "&amp;_xlfn.XLOOKUP((VALUE(LEFT(Regcontabilizados[[#This Row],[Subcuenta]],2))),Tabla11[Cuenta],Tabla11[Descripción],0)),0)</f>
        <v>0</v>
      </c>
      <c r="AC157" s="1">
        <f>IFERROR((VALUE(LEFT(Regcontabilizados[[#This Row],[Subcuenta]],4))&amp;" "&amp;_xlfn.XLOOKUP((VALUE(LEFT(Regcontabilizados[[#This Row],[Subcuenta]],4))),Tabla11[Cuenta],Tabla11[Descripción],0)),0)</f>
        <v>0</v>
      </c>
      <c r="AD157" s="1" t="str">
        <f>IF(Regcontabilizados[[#This Row],[Eliminado]]="si","",RegContabilizados2[[#This Row],[Estado de pago]])</f>
        <v>PAGADO</v>
      </c>
      <c r="AE157" s="1" t="str">
        <f>IF(Regcontabilizados[[#This Row],[Eliminado]]="si","",RegContabilizados2[[#This Row],[Colum. Aux. Estado]])</f>
        <v>546565F.C.9696955</v>
      </c>
      <c r="AF157" s="1">
        <f>IF(Regcontabilizados[[#This Row],[Eliminado]]="si","",RegContabilizados2[[#This Row],[Número de pago]])</f>
        <v>0</v>
      </c>
      <c r="AG157" s="1" t="str">
        <f>IF(Regcontabilizados[[#This Row],[Eliminado]]="si","",RegContabilizados2[[#This Row],[Elaborado por]])</f>
        <v>Responsable no especificado</v>
      </c>
      <c r="AH157" s="1" t="str">
        <f>IF(Regcontabilizados[[#This Row],[Eliminado]]="si","",RegContabilizados2[[#This Row],[Notas]])</f>
        <v>SE PAGÓ EL 30%</v>
      </c>
      <c r="AI157" s="1">
        <f>IF(Regcontabilizados[[#This Row],[Eliminado]]="si","",RegContabilizados2[[#This Row],[Método de pago]])</f>
        <v>0</v>
      </c>
      <c r="AJ157" s="1">
        <f>IF(Regcontabilizados[[#This Row],[Eliminado]]="si","",RegContabilizados2[[#This Row],[Cta. Bancaria]])</f>
        <v>0</v>
      </c>
      <c r="AO157" s="31">
        <v>45993</v>
      </c>
      <c r="AP157" s="31">
        <v>45993</v>
      </c>
      <c r="AQ157" s="3" t="s">
        <v>1193</v>
      </c>
      <c r="AR157" s="3">
        <v>9696955</v>
      </c>
      <c r="AS157" s="1" t="s">
        <v>1111</v>
      </c>
      <c r="AT157" s="1">
        <v>333333</v>
      </c>
      <c r="AV157" s="3" t="s">
        <v>907</v>
      </c>
      <c r="AW157" s="3"/>
      <c r="AX157" s="3">
        <v>0</v>
      </c>
      <c r="AY157" s="3" t="s">
        <v>1001</v>
      </c>
      <c r="AZ157" s="3" t="s">
        <v>974</v>
      </c>
      <c r="BC157" s="1" t="s">
        <v>1168</v>
      </c>
      <c r="BD157" s="1">
        <v>0</v>
      </c>
      <c r="BE157" s="1">
        <v>0</v>
      </c>
      <c r="BF157" s="1">
        <f>IFERROR((RegContabilizados2[[#This Row],[Debe]]-RegContabilizados2[[#This Row],[Haber]]),0)</f>
        <v>0</v>
      </c>
      <c r="BG157" s="1">
        <f>IFERROR((+_xlfn.XLOOKUP(RegContabilizados2[[#This Row],[Subcuenta]],Tabla11[Cuenta],Tabla11[Descripción],0)),0)</f>
        <v>0</v>
      </c>
      <c r="BH157" s="1">
        <f>IFERROR((VALUE(LEFT(RegContabilizados2[[#This Row],[Subcuenta]],2))&amp;" "&amp;_xlfn.XLOOKUP((VALUE(LEFT(RegContabilizados2[[#This Row],[Subcuenta]],2))),Tabla11[Cuenta],Tabla11[Descripción],0)),0)</f>
        <v>0</v>
      </c>
      <c r="BI157" s="1">
        <f>IFERROR((VALUE(LEFT(RegContabilizados2[[#This Row],[Subcuenta]],4))&amp;" "&amp;_xlfn.XLOOKUP((VALUE(LEFT(RegContabilizados2[[#This Row],[Subcuenta]],4))),Tabla11[Cuenta],Tabla11[Descripción],0)),0)</f>
        <v>0</v>
      </c>
      <c r="BJ157" s="1" t="str">
        <f>IFERROR((RegContabilizados2[[#This Row],[Subcuenta]]&amp;" "&amp;_xlfn.XLOOKUP(RegContabilizados2[[#This Row],[Subcuenta]],Tabla11[Cuenta],Tabla11[Descripción],0)),0)</f>
        <v xml:space="preserve"> 0</v>
      </c>
      <c r="BK157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PAGADO</v>
      </c>
      <c r="BL157" s="1" t="str">
        <f>IFERROR(LEFT(RegContabilizados2[[#This Row],[Idenficador]],SEARCH("-",RegContabilizados2[[#This Row],[Idenficador]])-1),0)</f>
        <v>546565F.C.9696955</v>
      </c>
      <c r="BN157" s="1" t="s">
        <v>1169</v>
      </c>
      <c r="BO157" s="1" t="s">
        <v>1184</v>
      </c>
    </row>
    <row r="158" spans="4:67">
      <c r="D158" s="31">
        <f>IF(Regcontabilizados[[#This Row],[Eliminado]]="si","",RegContabilizados2[[#This Row],[fecha Factura]])</f>
        <v>45993</v>
      </c>
      <c r="E158" s="31">
        <f>IF(Regcontabilizados[[#This Row],[Eliminado]]="si","",RegContabilizados2[[#This Row],[Fecha vencimiento]])</f>
        <v>45993</v>
      </c>
      <c r="F158" s="3" t="str">
        <f>IF(Regcontabilizados[[#This Row],[Eliminado]]="si","",RegContabilizados2[[#This Row],[Idenficador]])</f>
        <v>546565F.C.9696955-10</v>
      </c>
      <c r="G158" s="3">
        <f>IF(Regcontabilizados[[#This Row],[Eliminado]]="si","",RegContabilizados2[[#This Row],[N° de factura/Pago]])</f>
        <v>9696955</v>
      </c>
      <c r="H158" s="1" t="str">
        <f>IF(Regcontabilizados[[#This Row],[Eliminado]]="si","",RegContabilizados2[[#This Row],[Tipo de Factura]])</f>
        <v>F.C.</v>
      </c>
      <c r="I158" s="1">
        <f>IF(Regcontabilizados[[#This Row],[Eliminado]]="si","",RegContabilizados2[[#This Row],[ID Cliente]])</f>
        <v>333333</v>
      </c>
      <c r="J158" s="1">
        <f>IF(Regcontabilizados[[#This Row],[Eliminado]]="si","",RegContabilizados2[[#This Row],[ESTADO DEL IVA]])</f>
        <v>0</v>
      </c>
      <c r="K158" s="3" t="str">
        <f>IF(Regcontabilizados[[#This Row],[Eliminado]]="si","",RegContabilizados2[[#This Row],[ID Proveedor]])</f>
        <v>Valentina</v>
      </c>
      <c r="L158" s="3" t="str">
        <f>IF(Regcontabilizados[[#This Row],[Eliminado]]="si","",RegContabilizados2[[#This Row],[Concepto]])</f>
        <v>IVA</v>
      </c>
      <c r="M158" s="3">
        <f>IF(Regcontabilizados[[#This Row],[Eliminado]]="si","",RegContabilizados2[[#This Row],[Categoría]])</f>
        <v>0</v>
      </c>
      <c r="N158" s="3" t="str">
        <f>IF(Regcontabilizados[[#This Row],[Eliminado]]="si","",RegContabilizados2[[#This Row],[Almacen]])</f>
        <v>Principal</v>
      </c>
      <c r="O158" s="3" t="str">
        <f>IF(Regcontabilizados[[#This Row],[Eliminado]]="si","",RegContabilizados2[[#This Row],[Tipo de movimiento]])</f>
        <v>Entrada</v>
      </c>
      <c r="P158" s="1">
        <f>IF(Regcontabilizados[[#This Row],[Eliminado]]="si","",RegContabilizados2[[#This Row],[cantidad]])</f>
        <v>1</v>
      </c>
      <c r="Q158" s="1">
        <f>IF(Regcontabilizados[[#This Row],[Eliminado]]="si","",RegContabilizados2[[#This Row],[VR unitario]])</f>
        <v>132050</v>
      </c>
      <c r="R158" s="1">
        <f>IF(Regcontabilizados[[#This Row],[Eliminado]]="si","",RegContabilizados2[[#This Row],[Subcuenta]])</f>
        <v>240805</v>
      </c>
      <c r="S158" s="1">
        <f>IF(Regcontabilizados[[#This Row],[Eliminado]]="si","",RegContabilizados2[[#This Row],[Debe]])</f>
        <v>132050</v>
      </c>
      <c r="T158" s="1">
        <f>IF(Regcontabilizados[[#This Row],[Eliminado]]="si","",RegContabilizados2[[#This Row],[Haber]])</f>
        <v>0</v>
      </c>
      <c r="U158" s="1">
        <f>IFERROR((Regcontabilizados[[#This Row],[Debe]]-Regcontabilizados[[#This Row],[Haber]]),0)</f>
        <v>132050</v>
      </c>
      <c r="V158" s="1" t="str">
        <f>IFERROR((+_xlfn.XLOOKUP(Regcontabilizados[[#This Row],[Subcuenta]],Tabla11[Cuenta],Tabla11[Descripción],0)),0)</f>
        <v>IMPUESTO SOBRE LAS VENTAS POR PAGAR</v>
      </c>
      <c r="W158" s="1" t="str">
        <f>IFERROR((_xlfn.XLOOKUP((VALUE(LEFT(Regcontabilizados[[#This Row],[Subcuenta]],4))),Tabla11[Cuenta],Tabla11[Descripción],0)),0)</f>
        <v>IMPUESTO SOBRE LAS VENTAS POR PAGAR</v>
      </c>
      <c r="X158" s="1" t="str">
        <f>IFERROR((_xlfn.XLOOKUP(Regcontabilizados[[#This Row],[Subcuenta]],Tabla11[Cuenta],Tabla11[Descripción],0)),0)</f>
        <v>IMPUESTO SOBRE LAS VENTAS POR PAGAR</v>
      </c>
      <c r="Y158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158" s="1" t="str">
        <f>_xlfn.XLOOKUP(Regcontabilizados[[#This Row],[Subcuenta]],Tabla11[Cuenta],Tabla11[TIPO],"")</f>
        <v>Pasivo Corriente</v>
      </c>
      <c r="AA158" s="1" t="str">
        <f>IFERROR((Regcontabilizados[[#This Row],[Subcuenta]]&amp;" "&amp;_xlfn.XLOOKUP(Regcontabilizados[[#This Row],[Subcuenta]],Tabla11[Cuenta],Tabla11[Descripción],0)),0)</f>
        <v>240805 IMPUESTO SOBRE LAS VENTAS POR PAGAR</v>
      </c>
      <c r="AB158" s="1" t="str">
        <f>IFERROR((VALUE(LEFT(Regcontabilizados[[#This Row],[Subcuenta]],2))&amp;" "&amp;_xlfn.XLOOKUP((VALUE(LEFT(Regcontabilizados[[#This Row],[Subcuenta]],2))),Tabla11[Cuenta],Tabla11[Descripción],0)),0)</f>
        <v>24 IMPUESTOS, GRAVÁMENES Y TASAS</v>
      </c>
      <c r="AC158" s="1" t="str">
        <f>IFERROR((VALUE(LEFT(Regcontabilizados[[#This Row],[Subcuenta]],4))&amp;" "&amp;_xlfn.XLOOKUP((VALUE(LEFT(Regcontabilizados[[#This Row],[Subcuenta]],4))),Tabla11[Cuenta],Tabla11[Descripción],0)),0)</f>
        <v>2408 IMPUESTO SOBRE LAS VENTAS POR PAGAR</v>
      </c>
      <c r="AD158" s="1" t="str">
        <f>IF(Regcontabilizados[[#This Row],[Eliminado]]="si","",RegContabilizados2[[#This Row],[Estado de pago]])</f>
        <v>PAGADO</v>
      </c>
      <c r="AE158" s="1" t="str">
        <f>IF(Regcontabilizados[[#This Row],[Eliminado]]="si","",RegContabilizados2[[#This Row],[Colum. Aux. Estado]])</f>
        <v>546565F.C.9696955</v>
      </c>
      <c r="AF158" s="1">
        <f>IF(Regcontabilizados[[#This Row],[Eliminado]]="si","",RegContabilizados2[[#This Row],[Número de pago]])</f>
        <v>0</v>
      </c>
      <c r="AG158" s="1" t="str">
        <f>IF(Regcontabilizados[[#This Row],[Eliminado]]="si","",RegContabilizados2[[#This Row],[Elaborado por]])</f>
        <v>Responsable no especificado</v>
      </c>
      <c r="AH158" s="1" t="str">
        <f>IF(Regcontabilizados[[#This Row],[Eliminado]]="si","",RegContabilizados2[[#This Row],[Notas]])</f>
        <v>SE PAGÓ EL 30%</v>
      </c>
      <c r="AI158" s="1">
        <f>IF(Regcontabilizados[[#This Row],[Eliminado]]="si","",RegContabilizados2[[#This Row],[Método de pago]])</f>
        <v>0</v>
      </c>
      <c r="AJ158" s="1">
        <f>IF(Regcontabilizados[[#This Row],[Eliminado]]="si","",RegContabilizados2[[#This Row],[Cta. Bancaria]])</f>
        <v>0</v>
      </c>
      <c r="AO158" s="31">
        <v>45993</v>
      </c>
      <c r="AP158" s="31">
        <v>45993</v>
      </c>
      <c r="AQ158" s="3" t="s">
        <v>1194</v>
      </c>
      <c r="AR158" s="3">
        <v>9696955</v>
      </c>
      <c r="AS158" s="1" t="s">
        <v>1111</v>
      </c>
      <c r="AT158" s="1">
        <v>333333</v>
      </c>
      <c r="AV158" s="3" t="s">
        <v>907</v>
      </c>
      <c r="AW158" s="3" t="s">
        <v>962</v>
      </c>
      <c r="AX158" s="3"/>
      <c r="AY158" s="3" t="s">
        <v>1001</v>
      </c>
      <c r="AZ158" s="3" t="s">
        <v>974</v>
      </c>
      <c r="BA158" s="1">
        <v>1</v>
      </c>
      <c r="BB158" s="1">
        <v>132050</v>
      </c>
      <c r="BC158" s="1">
        <v>240805</v>
      </c>
      <c r="BD158" s="1">
        <v>132050</v>
      </c>
      <c r="BE158" s="1">
        <v>0</v>
      </c>
      <c r="BF158" s="1">
        <f>IFERROR((RegContabilizados2[[#This Row],[Debe]]-RegContabilizados2[[#This Row],[Haber]]),0)</f>
        <v>132050</v>
      </c>
      <c r="BG158" s="1" t="str">
        <f>IFERROR((+_xlfn.XLOOKUP(RegContabilizados2[[#This Row],[Subcuenta]],Tabla11[Cuenta],Tabla11[Descripción],0)),0)</f>
        <v>IMPUESTO SOBRE LAS VENTAS POR PAGAR</v>
      </c>
      <c r="BH158" s="1" t="str">
        <f>IFERROR((VALUE(LEFT(RegContabilizados2[[#This Row],[Subcuenta]],2))&amp;" "&amp;_xlfn.XLOOKUP((VALUE(LEFT(RegContabilizados2[[#This Row],[Subcuenta]],2))),Tabla11[Cuenta],Tabla11[Descripción],0)),0)</f>
        <v>24 IMPUESTOS, GRAVÁMENES Y TASAS</v>
      </c>
      <c r="BI158" s="1" t="str">
        <f>IFERROR((VALUE(LEFT(RegContabilizados2[[#This Row],[Subcuenta]],4))&amp;" "&amp;_xlfn.XLOOKUP((VALUE(LEFT(RegContabilizados2[[#This Row],[Subcuenta]],4))),Tabla11[Cuenta],Tabla11[Descripción],0)),0)</f>
        <v>2408 IMPUESTO SOBRE LAS VENTAS POR PAGAR</v>
      </c>
      <c r="BJ158" s="1" t="str">
        <f>IFERROR((RegContabilizados2[[#This Row],[Subcuenta]]&amp;" "&amp;_xlfn.XLOOKUP(RegContabilizados2[[#This Row],[Subcuenta]],Tabla11[Cuenta],Tabla11[Descripción],0)),0)</f>
        <v>240805 IMPUESTO SOBRE LAS VENTAS POR PAGAR</v>
      </c>
      <c r="BK158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PAGADO</v>
      </c>
      <c r="BL158" s="1" t="str">
        <f>IFERROR(LEFT(RegContabilizados2[[#This Row],[Idenficador]],SEARCH("-",RegContabilizados2[[#This Row],[Idenficador]])-1),0)</f>
        <v>546565F.C.9696955</v>
      </c>
      <c r="BN158" s="1" t="s">
        <v>1169</v>
      </c>
      <c r="BO158" s="1" t="s">
        <v>1184</v>
      </c>
    </row>
    <row r="159" spans="4:67">
      <c r="D159" s="31">
        <f>IF(Regcontabilizados[[#This Row],[Eliminado]]="si","",RegContabilizados2[[#This Row],[fecha Factura]])</f>
        <v>45993</v>
      </c>
      <c r="E159" s="31">
        <f>IF(Regcontabilizados[[#This Row],[Eliminado]]="si","",RegContabilizados2[[#This Row],[Fecha vencimiento]])</f>
        <v>45993</v>
      </c>
      <c r="F159" s="3" t="str">
        <f>IF(Regcontabilizados[[#This Row],[Eliminado]]="si","",RegContabilizados2[[#This Row],[Idenficador]])</f>
        <v>546565F.C.9696955-11</v>
      </c>
      <c r="G159" s="3">
        <f>IF(Regcontabilizados[[#This Row],[Eliminado]]="si","",RegContabilizados2[[#This Row],[N° de factura/Pago]])</f>
        <v>9696955</v>
      </c>
      <c r="H159" s="1" t="str">
        <f>IF(Regcontabilizados[[#This Row],[Eliminado]]="si","",RegContabilizados2[[#This Row],[Tipo de Factura]])</f>
        <v>F.C.</v>
      </c>
      <c r="I159" s="1">
        <f>IF(Regcontabilizados[[#This Row],[Eliminado]]="si","",RegContabilizados2[[#This Row],[ID Cliente]])</f>
        <v>333333</v>
      </c>
      <c r="J159" s="1">
        <f>IF(Regcontabilizados[[#This Row],[Eliminado]]="si","",RegContabilizados2[[#This Row],[ESTADO DEL IVA]])</f>
        <v>0</v>
      </c>
      <c r="K159" s="3" t="str">
        <f>IF(Regcontabilizados[[#This Row],[Eliminado]]="si","",RegContabilizados2[[#This Row],[ID Proveedor]])</f>
        <v>Valentina</v>
      </c>
      <c r="L159" s="3" t="str">
        <f>IF(Regcontabilizados[[#This Row],[Eliminado]]="si","",RegContabilizados2[[#This Row],[Concepto]])</f>
        <v>CONTRAPARTIDA</v>
      </c>
      <c r="M159" s="3">
        <f>IF(Regcontabilizados[[#This Row],[Eliminado]]="si","",RegContabilizados2[[#This Row],[Categoría]])</f>
        <v>0</v>
      </c>
      <c r="N159" s="3" t="str">
        <f>IF(Regcontabilizados[[#This Row],[Eliminado]]="si","",RegContabilizados2[[#This Row],[Almacen]])</f>
        <v>Principal</v>
      </c>
      <c r="O159" s="3" t="str">
        <f>IF(Regcontabilizados[[#This Row],[Eliminado]]="si","",RegContabilizados2[[#This Row],[Tipo de movimiento]])</f>
        <v>Entrada</v>
      </c>
      <c r="P159" s="1">
        <f>IF(Regcontabilizados[[#This Row],[Eliminado]]="si","",RegContabilizados2[[#This Row],[cantidad]])</f>
        <v>1</v>
      </c>
      <c r="Q159" s="1">
        <f>IF(Regcontabilizados[[#This Row],[Eliminado]]="si","",RegContabilizados2[[#This Row],[VR unitario]])</f>
        <v>0</v>
      </c>
      <c r="R159" s="1">
        <f>IF(Regcontabilizados[[#This Row],[Eliminado]]="si","",RegContabilizados2[[#This Row],[Subcuenta]])</f>
        <v>220505</v>
      </c>
      <c r="S159" s="1">
        <f>IF(Regcontabilizados[[#This Row],[Eliminado]]="si","",RegContabilizados2[[#This Row],[Debe]])</f>
        <v>0</v>
      </c>
      <c r="T159" s="1">
        <f>IF(Regcontabilizados[[#This Row],[Eliminado]]="si","",RegContabilizados2[[#This Row],[Haber]])</f>
        <v>827050</v>
      </c>
      <c r="U159" s="1">
        <f>IFERROR((Regcontabilizados[[#This Row],[Debe]]-Regcontabilizados[[#This Row],[Haber]]),0)</f>
        <v>-827050</v>
      </c>
      <c r="V159" s="1" t="str">
        <f>IFERROR((+_xlfn.XLOOKUP(Regcontabilizados[[#This Row],[Subcuenta]],Tabla11[Cuenta],Tabla11[Descripción],0)),0)</f>
        <v>Proveedores Nacionales</v>
      </c>
      <c r="W159" s="1" t="str">
        <f>IFERROR((_xlfn.XLOOKUP((VALUE(LEFT(Regcontabilizados[[#This Row],[Subcuenta]],4))),Tabla11[Cuenta],Tabla11[Descripción],0)),0)</f>
        <v>NACIONALES</v>
      </c>
      <c r="X159" s="1" t="str">
        <f>IFERROR((_xlfn.XLOOKUP(Regcontabilizados[[#This Row],[Subcuenta]],Tabla11[Cuenta],Tabla11[Descripción],0)),0)</f>
        <v>Proveedores Nacionales</v>
      </c>
      <c r="Y159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159" s="1" t="str">
        <f>_xlfn.XLOOKUP(Regcontabilizados[[#This Row],[Subcuenta]],Tabla11[Cuenta],Tabla11[TIPO],"")</f>
        <v>Pasivo Corriente</v>
      </c>
      <c r="AA159" s="1" t="str">
        <f>IFERROR((Regcontabilizados[[#This Row],[Subcuenta]]&amp;" "&amp;_xlfn.XLOOKUP(Regcontabilizados[[#This Row],[Subcuenta]],Tabla11[Cuenta],Tabla11[Descripción],0)),0)</f>
        <v>220505 Proveedores Nacionales</v>
      </c>
      <c r="AB159" s="1" t="str">
        <f>IFERROR((VALUE(LEFT(Regcontabilizados[[#This Row],[Subcuenta]],2))&amp;" "&amp;_xlfn.XLOOKUP((VALUE(LEFT(Regcontabilizados[[#This Row],[Subcuenta]],2))),Tabla11[Cuenta],Tabla11[Descripción],0)),0)</f>
        <v>22 PROVEEDORES</v>
      </c>
      <c r="AC159" s="1" t="str">
        <f>IFERROR((VALUE(LEFT(Regcontabilizados[[#This Row],[Subcuenta]],4))&amp;" "&amp;_xlfn.XLOOKUP((VALUE(LEFT(Regcontabilizados[[#This Row],[Subcuenta]],4))),Tabla11[Cuenta],Tabla11[Descripción],0)),0)</f>
        <v>2205 NACIONALES</v>
      </c>
      <c r="AD159" s="1" t="str">
        <f>IF(Regcontabilizados[[#This Row],[Eliminado]]="si","",RegContabilizados2[[#This Row],[Estado de pago]])</f>
        <v>PAGADO</v>
      </c>
      <c r="AE159" s="1" t="str">
        <f>IF(Regcontabilizados[[#This Row],[Eliminado]]="si","",RegContabilizados2[[#This Row],[Colum. Aux. Estado]])</f>
        <v>546565F.C.9696955</v>
      </c>
      <c r="AF159" s="1">
        <f>IF(Regcontabilizados[[#This Row],[Eliminado]]="si","",RegContabilizados2[[#This Row],[Número de pago]])</f>
        <v>0</v>
      </c>
      <c r="AG159" s="1" t="str">
        <f>IF(Regcontabilizados[[#This Row],[Eliminado]]="si","",RegContabilizados2[[#This Row],[Elaborado por]])</f>
        <v>Responsable no especificado</v>
      </c>
      <c r="AH159" s="1" t="str">
        <f>IF(Regcontabilizados[[#This Row],[Eliminado]]="si","",RegContabilizados2[[#This Row],[Notas]])</f>
        <v>SE PAGÓ EL 30%</v>
      </c>
      <c r="AI159" s="1">
        <f>IF(Regcontabilizados[[#This Row],[Eliminado]]="si","",RegContabilizados2[[#This Row],[Método de pago]])</f>
        <v>0</v>
      </c>
      <c r="AJ159" s="1">
        <f>IF(Regcontabilizados[[#This Row],[Eliminado]]="si","",RegContabilizados2[[#This Row],[Cta. Bancaria]])</f>
        <v>0</v>
      </c>
      <c r="AO159" s="31">
        <v>45993</v>
      </c>
      <c r="AP159" s="31">
        <v>45993</v>
      </c>
      <c r="AQ159" s="3" t="s">
        <v>1195</v>
      </c>
      <c r="AR159" s="3">
        <v>9696955</v>
      </c>
      <c r="AS159" s="1" t="s">
        <v>1111</v>
      </c>
      <c r="AT159" s="1">
        <v>333333</v>
      </c>
      <c r="AV159" s="3" t="s">
        <v>907</v>
      </c>
      <c r="AW159" s="3" t="s">
        <v>772</v>
      </c>
      <c r="AX159" s="3"/>
      <c r="AY159" s="3" t="s">
        <v>1001</v>
      </c>
      <c r="AZ159" s="3" t="s">
        <v>974</v>
      </c>
      <c r="BA159" s="1">
        <v>1</v>
      </c>
      <c r="BC159" s="1">
        <v>220505</v>
      </c>
      <c r="BD159" s="1">
        <v>0</v>
      </c>
      <c r="BE159" s="1">
        <v>827050</v>
      </c>
      <c r="BF159" s="1">
        <f>IFERROR((RegContabilizados2[[#This Row],[Debe]]-RegContabilizados2[[#This Row],[Haber]]),0)</f>
        <v>-827050</v>
      </c>
      <c r="BG159" s="1" t="str">
        <f>IFERROR((+_xlfn.XLOOKUP(RegContabilizados2[[#This Row],[Subcuenta]],Tabla11[Cuenta],Tabla11[Descripción],0)),0)</f>
        <v>Proveedores Nacionales</v>
      </c>
      <c r="BH159" s="1" t="str">
        <f>IFERROR((VALUE(LEFT(RegContabilizados2[[#This Row],[Subcuenta]],2))&amp;" "&amp;_xlfn.XLOOKUP((VALUE(LEFT(RegContabilizados2[[#This Row],[Subcuenta]],2))),Tabla11[Cuenta],Tabla11[Descripción],0)),0)</f>
        <v>22 PROVEEDORES</v>
      </c>
      <c r="BI159" s="1" t="str">
        <f>IFERROR((VALUE(LEFT(RegContabilizados2[[#This Row],[Subcuenta]],4))&amp;" "&amp;_xlfn.XLOOKUP((VALUE(LEFT(RegContabilizados2[[#This Row],[Subcuenta]],4))),Tabla11[Cuenta],Tabla11[Descripción],0)),0)</f>
        <v>2205 NACIONALES</v>
      </c>
      <c r="BJ159" s="1" t="str">
        <f>IFERROR((RegContabilizados2[[#This Row],[Subcuenta]]&amp;" "&amp;_xlfn.XLOOKUP(RegContabilizados2[[#This Row],[Subcuenta]],Tabla11[Cuenta],Tabla11[Descripción],0)),0)</f>
        <v>220505 Proveedores Nacionales</v>
      </c>
      <c r="BK159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PAGADO</v>
      </c>
      <c r="BL159" s="1" t="str">
        <f>IFERROR(LEFT(RegContabilizados2[[#This Row],[Idenficador]],SEARCH("-",RegContabilizados2[[#This Row],[Idenficador]])-1),0)</f>
        <v>546565F.C.9696955</v>
      </c>
      <c r="BN159" s="1" t="s">
        <v>1169</v>
      </c>
      <c r="BO159" s="1" t="s">
        <v>1184</v>
      </c>
    </row>
    <row r="160" spans="4:67">
      <c r="D160" s="31">
        <f>IF(Regcontabilizados[[#This Row],[Eliminado]]="si","",RegContabilizados2[[#This Row],[fecha Factura]])</f>
        <v>45993</v>
      </c>
      <c r="E160" s="31">
        <f>IF(Regcontabilizados[[#This Row],[Eliminado]]="si","",RegContabilizados2[[#This Row],[Fecha vencimiento]])</f>
        <v>45993</v>
      </c>
      <c r="F160" s="31" t="str">
        <f>IF(Regcontabilizados[[#This Row],[Eliminado]]="si","",RegContabilizados2[[#This Row],[Idenficador]])</f>
        <v>546565F.C.895262-1</v>
      </c>
      <c r="G160" s="3">
        <f>IF(Regcontabilizados[[#This Row],[Eliminado]]="si","",RegContabilizados2[[#This Row],[N° de factura/Pago]])</f>
        <v>895262</v>
      </c>
      <c r="H160" s="1" t="str">
        <f>IF(Regcontabilizados[[#This Row],[Eliminado]]="si","",RegContabilizados2[[#This Row],[Tipo de Factura]])</f>
        <v>F.C.</v>
      </c>
      <c r="I160" s="1">
        <f>IF(Regcontabilizados[[#This Row],[Eliminado]]="si","",RegContabilizados2[[#This Row],[ID Cliente]])</f>
        <v>333333</v>
      </c>
      <c r="J160" s="1">
        <f>IF(Regcontabilizados[[#This Row],[Eliminado]]="si","",RegContabilizados2[[#This Row],[ESTADO DEL IVA]])</f>
        <v>0</v>
      </c>
      <c r="K160" s="3" t="str">
        <f>IF(Regcontabilizados[[#This Row],[Eliminado]]="si","",RegContabilizados2[[#This Row],[ID Proveedor]])</f>
        <v>Valentina</v>
      </c>
      <c r="L160" s="3" t="str">
        <f>IF(Regcontabilizados[[#This Row],[Eliminado]]="si","",RegContabilizados2[[#This Row],[Concepto]])</f>
        <v>C12345-Zapatos</v>
      </c>
      <c r="M160" s="3">
        <f>IF(Regcontabilizados[[#This Row],[Eliminado]]="si","",RegContabilizados2[[#This Row],[Categoría]])</f>
        <v>0</v>
      </c>
      <c r="N160" s="3">
        <f>IF(Regcontabilizados[[#This Row],[Eliminado]]="si","",RegContabilizados2[[#This Row],[Almacen]])</f>
        <v>0</v>
      </c>
      <c r="O160" s="3">
        <f>IF(Regcontabilizados[[#This Row],[Eliminado]]="si","",RegContabilizados2[[#This Row],[Tipo de movimiento]])</f>
        <v>0</v>
      </c>
      <c r="P160" s="1">
        <f>IF(Regcontabilizados[[#This Row],[Eliminado]]="si","",RegContabilizados2[[#This Row],[cantidad]])</f>
        <v>8</v>
      </c>
      <c r="Q160" s="1">
        <f>IF(Regcontabilizados[[#This Row],[Eliminado]]="si","",RegContabilizados2[[#This Row],[VR unitario]])</f>
        <v>30000</v>
      </c>
      <c r="R160" s="1">
        <f>IF(Regcontabilizados[[#This Row],[Eliminado]]="si","",RegContabilizados2[[#This Row],[Subcuenta]])</f>
        <v>143505</v>
      </c>
      <c r="S160" s="1">
        <f>IF(Regcontabilizados[[#This Row],[Eliminado]]="si","",RegContabilizados2[[#This Row],[Debe]])</f>
        <v>240000</v>
      </c>
      <c r="T160" s="1">
        <f>IF(Regcontabilizados[[#This Row],[Eliminado]]="si","",RegContabilizados2[[#This Row],[Haber]])</f>
        <v>0</v>
      </c>
      <c r="U160" s="1">
        <f>IFERROR((Regcontabilizados[[#This Row],[Debe]]-Regcontabilizados[[#This Row],[Haber]]),0)</f>
        <v>240000</v>
      </c>
      <c r="V160" s="1" t="str">
        <f>IFERROR((+_xlfn.XLOOKUP(Regcontabilizados[[#This Row],[Subcuenta]],Tabla11[Cuenta],Tabla11[Descripción],0)),0)</f>
        <v>MERCANCÍAS DETAL</v>
      </c>
      <c r="W160" s="1" t="str">
        <f>IFERROR((_xlfn.XLOOKUP((VALUE(LEFT(Regcontabilizados[[#This Row],[Subcuenta]],4))),Tabla11[Cuenta],Tabla11[Descripción],0)),0)</f>
        <v>MERCANCÍAS NO FABRICADAS POR LA EMPRESA</v>
      </c>
      <c r="X160" s="1" t="str">
        <f>IFERROR((_xlfn.XLOOKUP(Regcontabilizados[[#This Row],[Subcuenta]],Tabla11[Cuenta],Tabla11[Descripción],0)),0)</f>
        <v>MERCANCÍAS DETAL</v>
      </c>
      <c r="Y160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160" s="1" t="str">
        <f>_xlfn.XLOOKUP(Regcontabilizados[[#This Row],[Subcuenta]],Tabla11[Cuenta],Tabla11[TIPO],"")</f>
        <v>Activo Corriente</v>
      </c>
      <c r="AA160" s="1" t="str">
        <f>IFERROR((Regcontabilizados[[#This Row],[Subcuenta]]&amp;" "&amp;_xlfn.XLOOKUP(Regcontabilizados[[#This Row],[Subcuenta]],Tabla11[Cuenta],Tabla11[Descripción],0)),0)</f>
        <v>143505 MERCANCÍAS DETAL</v>
      </c>
      <c r="AB160" s="1" t="str">
        <f>IFERROR((VALUE(LEFT(Regcontabilizados[[#This Row],[Subcuenta]],2))&amp;" "&amp;_xlfn.XLOOKUP((VALUE(LEFT(Regcontabilizados[[#This Row],[Subcuenta]],2))),Tabla11[Cuenta],Tabla11[Descripción],0)),0)</f>
        <v>14 INVENTARIOS</v>
      </c>
      <c r="AC160" s="1" t="str">
        <f>IFERROR((VALUE(LEFT(Regcontabilizados[[#This Row],[Subcuenta]],4))&amp;" "&amp;_xlfn.XLOOKUP((VALUE(LEFT(Regcontabilizados[[#This Row],[Subcuenta]],4))),Tabla11[Cuenta],Tabla11[Descripción],0)),0)</f>
        <v>1435 MERCANCÍAS NO FABRICADAS POR LA EMPRESA</v>
      </c>
      <c r="AD160" s="1" t="str">
        <f>IF(Regcontabilizados[[#This Row],[Eliminado]]="si","",RegContabilizados2[[#This Row],[Estado de pago]])</f>
        <v>NO PAGADO</v>
      </c>
      <c r="AE160" s="1" t="str">
        <f>IF(Regcontabilizados[[#This Row],[Eliminado]]="si","",RegContabilizados2[[#This Row],[Colum. Aux. Estado]])</f>
        <v>546565F.C.895262</v>
      </c>
      <c r="AF160" s="1">
        <f>IF(Regcontabilizados[[#This Row],[Eliminado]]="si","",RegContabilizados2[[#This Row],[Número de pago]])</f>
        <v>0</v>
      </c>
      <c r="AG160" s="1" t="str">
        <f>IF(Regcontabilizados[[#This Row],[Eliminado]]="si","",RegContabilizados2[[#This Row],[Elaborado por]])</f>
        <v>Responsable no especificado</v>
      </c>
      <c r="AH160" s="1" t="str">
        <f>IF(Regcontabilizados[[#This Row],[Eliminado]]="si","",RegContabilizados2[[#This Row],[Notas]])</f>
        <v>SE PAGO EL 70%</v>
      </c>
      <c r="AI160" s="1">
        <f>IF(Regcontabilizados[[#This Row],[Eliminado]]="si","",RegContabilizados2[[#This Row],[Método de pago]])</f>
        <v>0</v>
      </c>
      <c r="AJ160" s="1">
        <f>IF(Regcontabilizados[[#This Row],[Eliminado]]="si","",RegContabilizados2[[#This Row],[Cta. Bancaria]])</f>
        <v>0</v>
      </c>
      <c r="AO160" s="31">
        <v>45993</v>
      </c>
      <c r="AP160" s="31">
        <v>45993</v>
      </c>
      <c r="AQ160" s="31" t="s">
        <v>1171</v>
      </c>
      <c r="AR160" s="3">
        <v>895262</v>
      </c>
      <c r="AS160" s="1" t="s">
        <v>1111</v>
      </c>
      <c r="AT160" s="1">
        <v>333333</v>
      </c>
      <c r="AV160" s="3" t="s">
        <v>907</v>
      </c>
      <c r="AW160" s="3" t="s">
        <v>1104</v>
      </c>
      <c r="AX160" s="3"/>
      <c r="AY160" s="3"/>
      <c r="AZ160" s="3"/>
      <c r="BA160" s="1">
        <v>8</v>
      </c>
      <c r="BB160" s="1">
        <v>30000</v>
      </c>
      <c r="BC160" s="1">
        <v>143505</v>
      </c>
      <c r="BD160" s="1">
        <v>240000</v>
      </c>
      <c r="BE160" s="1">
        <v>0</v>
      </c>
      <c r="BF160" s="1">
        <f>IFERROR((RegContabilizados2[[#This Row],[Debe]]-RegContabilizados2[[#This Row],[Haber]]),0)</f>
        <v>240000</v>
      </c>
      <c r="BG160" s="1" t="str">
        <f>IFERROR((+_xlfn.XLOOKUP(RegContabilizados2[[#This Row],[Subcuenta]],Tabla11[Cuenta],Tabla11[Descripción],0)),0)</f>
        <v>MERCANCÍAS DETAL</v>
      </c>
      <c r="BH160" s="1" t="str">
        <f>IFERROR((VALUE(LEFT(RegContabilizados2[[#This Row],[Subcuenta]],2))&amp;" "&amp;_xlfn.XLOOKUP((VALUE(LEFT(RegContabilizados2[[#This Row],[Subcuenta]],2))),Tabla11[Cuenta],Tabla11[Descripción],0)),0)</f>
        <v>14 INVENTARIOS</v>
      </c>
      <c r="BI160" s="1" t="str">
        <f>IFERROR((VALUE(LEFT(RegContabilizados2[[#This Row],[Subcuenta]],4))&amp;" "&amp;_xlfn.XLOOKUP((VALUE(LEFT(RegContabilizados2[[#This Row],[Subcuenta]],4))),Tabla11[Cuenta],Tabla11[Descripción],0)),0)</f>
        <v>1435 MERCANCÍAS NO FABRICADAS POR LA EMPRESA</v>
      </c>
      <c r="BJ160" s="1" t="str">
        <f>IFERROR((RegContabilizados2[[#This Row],[Subcuenta]]&amp;" "&amp;_xlfn.XLOOKUP(RegContabilizados2[[#This Row],[Subcuenta]],Tabla11[Cuenta],Tabla11[Descripción],0)),0)</f>
        <v>143505 MERCANCÍAS DETAL</v>
      </c>
      <c r="BK160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160" s="1" t="str">
        <f>IFERROR(LEFT(RegContabilizados2[[#This Row],[Idenficador]],SEARCH("-",RegContabilizados2[[#This Row],[Idenficador]])-1),0)</f>
        <v>546565F.C.895262</v>
      </c>
      <c r="BN160" s="1" t="s">
        <v>1169</v>
      </c>
      <c r="BO160" s="1" t="s">
        <v>1170</v>
      </c>
    </row>
    <row r="161" spans="4:67">
      <c r="D161" s="31">
        <f>IF(Regcontabilizados[[#This Row],[Eliminado]]="si","",RegContabilizados2[[#This Row],[fecha Factura]])</f>
        <v>45993</v>
      </c>
      <c r="E161" s="31">
        <f>IF(Regcontabilizados[[#This Row],[Eliminado]]="si","",RegContabilizados2[[#This Row],[Fecha vencimiento]])</f>
        <v>45993</v>
      </c>
      <c r="F161" s="31" t="str">
        <f>IF(Regcontabilizados[[#This Row],[Eliminado]]="si","",RegContabilizados2[[#This Row],[Idenficador]])</f>
        <v>546565F.C.895262-2</v>
      </c>
      <c r="G161" s="3">
        <f>IF(Regcontabilizados[[#This Row],[Eliminado]]="si","",RegContabilizados2[[#This Row],[N° de factura/Pago]])</f>
        <v>895262</v>
      </c>
      <c r="H161" s="1" t="str">
        <f>IF(Regcontabilizados[[#This Row],[Eliminado]]="si","",RegContabilizados2[[#This Row],[Tipo de Factura]])</f>
        <v>F.C.</v>
      </c>
      <c r="I161" s="1">
        <f>IF(Regcontabilizados[[#This Row],[Eliminado]]="si","",RegContabilizados2[[#This Row],[ID Cliente]])</f>
        <v>333333</v>
      </c>
      <c r="J161" s="1">
        <f>IF(Regcontabilizados[[#This Row],[Eliminado]]="si","",RegContabilizados2[[#This Row],[ESTADO DEL IVA]])</f>
        <v>0</v>
      </c>
      <c r="K161" s="3" t="str">
        <f>IF(Regcontabilizados[[#This Row],[Eliminado]]="si","",RegContabilizados2[[#This Row],[ID Proveedor]])</f>
        <v>Valentina</v>
      </c>
      <c r="L161" s="3">
        <f>IF(Regcontabilizados[[#This Row],[Eliminado]]="si","",RegContabilizados2[[#This Row],[Concepto]])</f>
        <v>0</v>
      </c>
      <c r="M161" s="3">
        <f>IF(Regcontabilizados[[#This Row],[Eliminado]]="si","",RegContabilizados2[[#This Row],[Categoría]])</f>
        <v>0</v>
      </c>
      <c r="N161" s="3">
        <f>IF(Regcontabilizados[[#This Row],[Eliminado]]="si","",RegContabilizados2[[#This Row],[Almacen]])</f>
        <v>0</v>
      </c>
      <c r="O161" s="3">
        <f>IF(Regcontabilizados[[#This Row],[Eliminado]]="si","",RegContabilizados2[[#This Row],[Tipo de movimiento]])</f>
        <v>0</v>
      </c>
      <c r="P161" s="1">
        <f>IF(Regcontabilizados[[#This Row],[Eliminado]]="si","",RegContabilizados2[[#This Row],[cantidad]])</f>
        <v>0</v>
      </c>
      <c r="Q161" s="1">
        <f>IF(Regcontabilizados[[#This Row],[Eliminado]]="si","",RegContabilizados2[[#This Row],[VR unitario]])</f>
        <v>0</v>
      </c>
      <c r="R161" s="1" t="str">
        <f>IF(Regcontabilizados[[#This Row],[Eliminado]]="si","",RegContabilizados2[[#This Row],[Subcuenta]])</f>
        <v/>
      </c>
      <c r="S161" s="1">
        <f>IF(Regcontabilizados[[#This Row],[Eliminado]]="si","",RegContabilizados2[[#This Row],[Debe]])</f>
        <v>0</v>
      </c>
      <c r="T161" s="1">
        <f>IF(Regcontabilizados[[#This Row],[Eliminado]]="si","",RegContabilizados2[[#This Row],[Haber]])</f>
        <v>0</v>
      </c>
      <c r="U161" s="1">
        <f>IFERROR((Regcontabilizados[[#This Row],[Debe]]-Regcontabilizados[[#This Row],[Haber]]),0)</f>
        <v>0</v>
      </c>
      <c r="V161" s="1">
        <f>IFERROR((+_xlfn.XLOOKUP(Regcontabilizados[[#This Row],[Subcuenta]],Tabla11[Cuenta],Tabla11[Descripción],0)),0)</f>
        <v>0</v>
      </c>
      <c r="W161" s="1">
        <f>IFERROR((_xlfn.XLOOKUP((VALUE(LEFT(Regcontabilizados[[#This Row],[Subcuenta]],4))),Tabla11[Cuenta],Tabla11[Descripción],0)),0)</f>
        <v>0</v>
      </c>
      <c r="X161" s="1">
        <f>IFERROR((_xlfn.XLOOKUP(Regcontabilizados[[#This Row],[Subcuenta]],Tabla11[Cuenta],Tabla11[Descripción],0)),0)</f>
        <v>0</v>
      </c>
      <c r="Y161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161" s="1" t="str">
        <f>_xlfn.XLOOKUP(Regcontabilizados[[#This Row],[Subcuenta]],Tabla11[Cuenta],Tabla11[TIPO],"")</f>
        <v/>
      </c>
      <c r="AA161" s="1" t="str">
        <f>IFERROR((Regcontabilizados[[#This Row],[Subcuenta]]&amp;" "&amp;_xlfn.XLOOKUP(Regcontabilizados[[#This Row],[Subcuenta]],Tabla11[Cuenta],Tabla11[Descripción],0)),0)</f>
        <v xml:space="preserve"> 0</v>
      </c>
      <c r="AB161" s="1">
        <f>IFERROR((VALUE(LEFT(Regcontabilizados[[#This Row],[Subcuenta]],2))&amp;" "&amp;_xlfn.XLOOKUP((VALUE(LEFT(Regcontabilizados[[#This Row],[Subcuenta]],2))),Tabla11[Cuenta],Tabla11[Descripción],0)),0)</f>
        <v>0</v>
      </c>
      <c r="AC161" s="1">
        <f>IFERROR((VALUE(LEFT(Regcontabilizados[[#This Row],[Subcuenta]],4))&amp;" "&amp;_xlfn.XLOOKUP((VALUE(LEFT(Regcontabilizados[[#This Row],[Subcuenta]],4))),Tabla11[Cuenta],Tabla11[Descripción],0)),0)</f>
        <v>0</v>
      </c>
      <c r="AD161" s="1" t="str">
        <f>IF(Regcontabilizados[[#This Row],[Eliminado]]="si","",RegContabilizados2[[#This Row],[Estado de pago]])</f>
        <v>NO PAGADO</v>
      </c>
      <c r="AE161" s="1" t="str">
        <f>IF(Regcontabilizados[[#This Row],[Eliminado]]="si","",RegContabilizados2[[#This Row],[Colum. Aux. Estado]])</f>
        <v>546565F.C.895262</v>
      </c>
      <c r="AF161" s="1">
        <f>IF(Regcontabilizados[[#This Row],[Eliminado]]="si","",RegContabilizados2[[#This Row],[Número de pago]])</f>
        <v>0</v>
      </c>
      <c r="AG161" s="1" t="str">
        <f>IF(Regcontabilizados[[#This Row],[Eliminado]]="si","",RegContabilizados2[[#This Row],[Elaborado por]])</f>
        <v>Responsable no especificado</v>
      </c>
      <c r="AH161" s="1" t="str">
        <f>IF(Regcontabilizados[[#This Row],[Eliminado]]="si","",RegContabilizados2[[#This Row],[Notas]])</f>
        <v>SE PAGO EL 70%</v>
      </c>
      <c r="AI161" s="1">
        <f>IF(Regcontabilizados[[#This Row],[Eliminado]]="si","",RegContabilizados2[[#This Row],[Método de pago]])</f>
        <v>0</v>
      </c>
      <c r="AJ161" s="1">
        <f>IF(Regcontabilizados[[#This Row],[Eliminado]]="si","",RegContabilizados2[[#This Row],[Cta. Bancaria]])</f>
        <v>0</v>
      </c>
      <c r="AO161" s="31">
        <v>45993</v>
      </c>
      <c r="AP161" s="31">
        <v>45993</v>
      </c>
      <c r="AQ161" s="31" t="s">
        <v>1172</v>
      </c>
      <c r="AR161" s="3">
        <v>895262</v>
      </c>
      <c r="AS161" s="1" t="s">
        <v>1111</v>
      </c>
      <c r="AT161" s="1">
        <v>333333</v>
      </c>
      <c r="AV161" s="3" t="s">
        <v>907</v>
      </c>
      <c r="AW161" s="3"/>
      <c r="AX161" s="3"/>
      <c r="AY161" s="3"/>
      <c r="AZ161" s="3"/>
      <c r="BC161" s="1" t="s">
        <v>1168</v>
      </c>
      <c r="BD161" s="1">
        <v>0</v>
      </c>
      <c r="BE161" s="1">
        <v>0</v>
      </c>
      <c r="BF161" s="1">
        <f>IFERROR((RegContabilizados2[[#This Row],[Debe]]-RegContabilizados2[[#This Row],[Haber]]),0)</f>
        <v>0</v>
      </c>
      <c r="BG161" s="1">
        <f>IFERROR((+_xlfn.XLOOKUP(RegContabilizados2[[#This Row],[Subcuenta]],Tabla11[Cuenta],Tabla11[Descripción],0)),0)</f>
        <v>0</v>
      </c>
      <c r="BH161" s="1">
        <f>IFERROR((VALUE(LEFT(RegContabilizados2[[#This Row],[Subcuenta]],2))&amp;" "&amp;_xlfn.XLOOKUP((VALUE(LEFT(RegContabilizados2[[#This Row],[Subcuenta]],2))),Tabla11[Cuenta],Tabla11[Descripción],0)),0)</f>
        <v>0</v>
      </c>
      <c r="BI161" s="1">
        <f>IFERROR((VALUE(LEFT(RegContabilizados2[[#This Row],[Subcuenta]],4))&amp;" "&amp;_xlfn.XLOOKUP((VALUE(LEFT(RegContabilizados2[[#This Row],[Subcuenta]],4))),Tabla11[Cuenta],Tabla11[Descripción],0)),0)</f>
        <v>0</v>
      </c>
      <c r="BJ161" s="1" t="str">
        <f>IFERROR((RegContabilizados2[[#This Row],[Subcuenta]]&amp;" "&amp;_xlfn.XLOOKUP(RegContabilizados2[[#This Row],[Subcuenta]],Tabla11[Cuenta],Tabla11[Descripción],0)),0)</f>
        <v xml:space="preserve"> 0</v>
      </c>
      <c r="BK161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161" s="1" t="str">
        <f>IFERROR(LEFT(RegContabilizados2[[#This Row],[Idenficador]],SEARCH("-",RegContabilizados2[[#This Row],[Idenficador]])-1),0)</f>
        <v>546565F.C.895262</v>
      </c>
      <c r="BN161" s="1" t="s">
        <v>1169</v>
      </c>
      <c r="BO161" s="1" t="s">
        <v>1170</v>
      </c>
    </row>
    <row r="162" spans="4:67">
      <c r="D162" s="31">
        <f>IF(Regcontabilizados[[#This Row],[Eliminado]]="si","",RegContabilizados2[[#This Row],[fecha Factura]])</f>
        <v>45993</v>
      </c>
      <c r="E162" s="31">
        <f>IF(Regcontabilizados[[#This Row],[Eliminado]]="si","",RegContabilizados2[[#This Row],[Fecha vencimiento]])</f>
        <v>45993</v>
      </c>
      <c r="F162" s="31" t="str">
        <f>IF(Regcontabilizados[[#This Row],[Eliminado]]="si","",RegContabilizados2[[#This Row],[Idenficador]])</f>
        <v>546565F.C.895262-3</v>
      </c>
      <c r="G162" s="3">
        <f>IF(Regcontabilizados[[#This Row],[Eliminado]]="si","",RegContabilizados2[[#This Row],[N° de factura/Pago]])</f>
        <v>895262</v>
      </c>
      <c r="H162" s="1" t="str">
        <f>IF(Regcontabilizados[[#This Row],[Eliminado]]="si","",RegContabilizados2[[#This Row],[Tipo de Factura]])</f>
        <v>F.C.</v>
      </c>
      <c r="I162" s="1">
        <f>IF(Regcontabilizados[[#This Row],[Eliminado]]="si","",RegContabilizados2[[#This Row],[ID Cliente]])</f>
        <v>333333</v>
      </c>
      <c r="J162" s="1">
        <f>IF(Regcontabilizados[[#This Row],[Eliminado]]="si","",RegContabilizados2[[#This Row],[ESTADO DEL IVA]])</f>
        <v>0</v>
      </c>
      <c r="K162" s="3" t="str">
        <f>IF(Regcontabilizados[[#This Row],[Eliminado]]="si","",RegContabilizados2[[#This Row],[ID Proveedor]])</f>
        <v>Valentina</v>
      </c>
      <c r="L162" s="3">
        <f>IF(Regcontabilizados[[#This Row],[Eliminado]]="si","",RegContabilizados2[[#This Row],[Concepto]])</f>
        <v>0</v>
      </c>
      <c r="M162" s="3">
        <f>IF(Regcontabilizados[[#This Row],[Eliminado]]="si","",RegContabilizados2[[#This Row],[Categoría]])</f>
        <v>0</v>
      </c>
      <c r="N162" s="3">
        <f>IF(Regcontabilizados[[#This Row],[Eliminado]]="si","",RegContabilizados2[[#This Row],[Almacen]])</f>
        <v>0</v>
      </c>
      <c r="O162" s="3">
        <f>IF(Regcontabilizados[[#This Row],[Eliminado]]="si","",RegContabilizados2[[#This Row],[Tipo de movimiento]])</f>
        <v>0</v>
      </c>
      <c r="P162" s="1">
        <f>IF(Regcontabilizados[[#This Row],[Eliminado]]="si","",RegContabilizados2[[#This Row],[cantidad]])</f>
        <v>0</v>
      </c>
      <c r="Q162" s="1">
        <f>IF(Regcontabilizados[[#This Row],[Eliminado]]="si","",RegContabilizados2[[#This Row],[VR unitario]])</f>
        <v>0</v>
      </c>
      <c r="R162" s="1" t="str">
        <f>IF(Regcontabilizados[[#This Row],[Eliminado]]="si","",RegContabilizados2[[#This Row],[Subcuenta]])</f>
        <v/>
      </c>
      <c r="S162" s="1">
        <f>IF(Regcontabilizados[[#This Row],[Eliminado]]="si","",RegContabilizados2[[#This Row],[Debe]])</f>
        <v>0</v>
      </c>
      <c r="T162" s="1">
        <f>IF(Regcontabilizados[[#This Row],[Eliminado]]="si","",RegContabilizados2[[#This Row],[Haber]])</f>
        <v>0</v>
      </c>
      <c r="U162" s="1">
        <f>IFERROR((Regcontabilizados[[#This Row],[Debe]]-Regcontabilizados[[#This Row],[Haber]]),0)</f>
        <v>0</v>
      </c>
      <c r="V162" s="1">
        <f>IFERROR((+_xlfn.XLOOKUP(Regcontabilizados[[#This Row],[Subcuenta]],Tabla11[Cuenta],Tabla11[Descripción],0)),0)</f>
        <v>0</v>
      </c>
      <c r="W162" s="1">
        <f>IFERROR((_xlfn.XLOOKUP((VALUE(LEFT(Regcontabilizados[[#This Row],[Subcuenta]],4))),Tabla11[Cuenta],Tabla11[Descripción],0)),0)</f>
        <v>0</v>
      </c>
      <c r="X162" s="1">
        <f>IFERROR((_xlfn.XLOOKUP(Regcontabilizados[[#This Row],[Subcuenta]],Tabla11[Cuenta],Tabla11[Descripción],0)),0)</f>
        <v>0</v>
      </c>
      <c r="Y162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162" s="1" t="str">
        <f>_xlfn.XLOOKUP(Regcontabilizados[[#This Row],[Subcuenta]],Tabla11[Cuenta],Tabla11[TIPO],"")</f>
        <v/>
      </c>
      <c r="AA162" s="1" t="str">
        <f>IFERROR((Regcontabilizados[[#This Row],[Subcuenta]]&amp;" "&amp;_xlfn.XLOOKUP(Regcontabilizados[[#This Row],[Subcuenta]],Tabla11[Cuenta],Tabla11[Descripción],0)),0)</f>
        <v xml:space="preserve"> 0</v>
      </c>
      <c r="AB162" s="1">
        <f>IFERROR((VALUE(LEFT(Regcontabilizados[[#This Row],[Subcuenta]],2))&amp;" "&amp;_xlfn.XLOOKUP((VALUE(LEFT(Regcontabilizados[[#This Row],[Subcuenta]],2))),Tabla11[Cuenta],Tabla11[Descripción],0)),0)</f>
        <v>0</v>
      </c>
      <c r="AC162" s="1">
        <f>IFERROR((VALUE(LEFT(Regcontabilizados[[#This Row],[Subcuenta]],4))&amp;" "&amp;_xlfn.XLOOKUP((VALUE(LEFT(Regcontabilizados[[#This Row],[Subcuenta]],4))),Tabla11[Cuenta],Tabla11[Descripción],0)),0)</f>
        <v>0</v>
      </c>
      <c r="AD162" s="1" t="str">
        <f>IF(Regcontabilizados[[#This Row],[Eliminado]]="si","",RegContabilizados2[[#This Row],[Estado de pago]])</f>
        <v>NO PAGADO</v>
      </c>
      <c r="AE162" s="1" t="str">
        <f>IF(Regcontabilizados[[#This Row],[Eliminado]]="si","",RegContabilizados2[[#This Row],[Colum. Aux. Estado]])</f>
        <v>546565F.C.895262</v>
      </c>
      <c r="AF162" s="1">
        <f>IF(Regcontabilizados[[#This Row],[Eliminado]]="si","",RegContabilizados2[[#This Row],[Número de pago]])</f>
        <v>0</v>
      </c>
      <c r="AG162" s="1" t="str">
        <f>IF(Regcontabilizados[[#This Row],[Eliminado]]="si","",RegContabilizados2[[#This Row],[Elaborado por]])</f>
        <v>Responsable no especificado</v>
      </c>
      <c r="AH162" s="1" t="str">
        <f>IF(Regcontabilizados[[#This Row],[Eliminado]]="si","",RegContabilizados2[[#This Row],[Notas]])</f>
        <v>SE PAGO EL 70%</v>
      </c>
      <c r="AI162" s="1">
        <f>IF(Regcontabilizados[[#This Row],[Eliminado]]="si","",RegContabilizados2[[#This Row],[Método de pago]])</f>
        <v>0</v>
      </c>
      <c r="AJ162" s="1">
        <f>IF(Regcontabilizados[[#This Row],[Eliminado]]="si","",RegContabilizados2[[#This Row],[Cta. Bancaria]])</f>
        <v>0</v>
      </c>
      <c r="AO162" s="31">
        <v>45993</v>
      </c>
      <c r="AP162" s="31">
        <v>45993</v>
      </c>
      <c r="AQ162" s="31" t="s">
        <v>1173</v>
      </c>
      <c r="AR162" s="3">
        <v>895262</v>
      </c>
      <c r="AS162" s="1" t="s">
        <v>1111</v>
      </c>
      <c r="AT162" s="1">
        <v>333333</v>
      </c>
      <c r="AV162" s="3" t="s">
        <v>907</v>
      </c>
      <c r="AW162" s="3"/>
      <c r="AX162" s="3"/>
      <c r="AY162" s="3"/>
      <c r="AZ162" s="3"/>
      <c r="BC162" s="1" t="s">
        <v>1168</v>
      </c>
      <c r="BD162" s="1">
        <v>0</v>
      </c>
      <c r="BE162" s="1">
        <v>0</v>
      </c>
      <c r="BF162" s="1">
        <f>IFERROR((RegContabilizados2[[#This Row],[Debe]]-RegContabilizados2[[#This Row],[Haber]]),0)</f>
        <v>0</v>
      </c>
      <c r="BG162" s="1">
        <f>IFERROR((+_xlfn.XLOOKUP(RegContabilizados2[[#This Row],[Subcuenta]],Tabla11[Cuenta],Tabla11[Descripción],0)),0)</f>
        <v>0</v>
      </c>
      <c r="BH162" s="1">
        <f>IFERROR((VALUE(LEFT(RegContabilizados2[[#This Row],[Subcuenta]],2))&amp;" "&amp;_xlfn.XLOOKUP((VALUE(LEFT(RegContabilizados2[[#This Row],[Subcuenta]],2))),Tabla11[Cuenta],Tabla11[Descripción],0)),0)</f>
        <v>0</v>
      </c>
      <c r="BI162" s="1">
        <f>IFERROR((VALUE(LEFT(RegContabilizados2[[#This Row],[Subcuenta]],4))&amp;" "&amp;_xlfn.XLOOKUP((VALUE(LEFT(RegContabilizados2[[#This Row],[Subcuenta]],4))),Tabla11[Cuenta],Tabla11[Descripción],0)),0)</f>
        <v>0</v>
      </c>
      <c r="BJ162" s="1" t="str">
        <f>IFERROR((RegContabilizados2[[#This Row],[Subcuenta]]&amp;" "&amp;_xlfn.XLOOKUP(RegContabilizados2[[#This Row],[Subcuenta]],Tabla11[Cuenta],Tabla11[Descripción],0)),0)</f>
        <v xml:space="preserve"> 0</v>
      </c>
      <c r="BK162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162" s="1" t="str">
        <f>IFERROR(LEFT(RegContabilizados2[[#This Row],[Idenficador]],SEARCH("-",RegContabilizados2[[#This Row],[Idenficador]])-1),0)</f>
        <v>546565F.C.895262</v>
      </c>
      <c r="BN162" s="1" t="s">
        <v>1169</v>
      </c>
      <c r="BO162" s="1" t="s">
        <v>1170</v>
      </c>
    </row>
    <row r="163" spans="4:67">
      <c r="D163" s="31">
        <f>IF(Regcontabilizados[[#This Row],[Eliminado]]="si","",RegContabilizados2[[#This Row],[fecha Factura]])</f>
        <v>45993</v>
      </c>
      <c r="E163" s="31">
        <f>IF(Regcontabilizados[[#This Row],[Eliminado]]="si","",RegContabilizados2[[#This Row],[Fecha vencimiento]])</f>
        <v>45993</v>
      </c>
      <c r="F163" s="31" t="str">
        <f>IF(Regcontabilizados[[#This Row],[Eliminado]]="si","",RegContabilizados2[[#This Row],[Idenficador]])</f>
        <v>546565F.C.895262-4</v>
      </c>
      <c r="G163" s="3">
        <f>IF(Regcontabilizados[[#This Row],[Eliminado]]="si","",RegContabilizados2[[#This Row],[N° de factura/Pago]])</f>
        <v>895262</v>
      </c>
      <c r="H163" s="1" t="str">
        <f>IF(Regcontabilizados[[#This Row],[Eliminado]]="si","",RegContabilizados2[[#This Row],[Tipo de Factura]])</f>
        <v>F.C.</v>
      </c>
      <c r="I163" s="1">
        <f>IF(Regcontabilizados[[#This Row],[Eliminado]]="si","",RegContabilizados2[[#This Row],[ID Cliente]])</f>
        <v>333333</v>
      </c>
      <c r="J163" s="1">
        <f>IF(Regcontabilizados[[#This Row],[Eliminado]]="si","",RegContabilizados2[[#This Row],[ESTADO DEL IVA]])</f>
        <v>0</v>
      </c>
      <c r="K163" s="3" t="str">
        <f>IF(Regcontabilizados[[#This Row],[Eliminado]]="si","",RegContabilizados2[[#This Row],[ID Proveedor]])</f>
        <v>Valentina</v>
      </c>
      <c r="L163" s="3">
        <f>IF(Regcontabilizados[[#This Row],[Eliminado]]="si","",RegContabilizados2[[#This Row],[Concepto]])</f>
        <v>0</v>
      </c>
      <c r="M163" s="3">
        <f>IF(Regcontabilizados[[#This Row],[Eliminado]]="si","",RegContabilizados2[[#This Row],[Categoría]])</f>
        <v>0</v>
      </c>
      <c r="N163" s="3">
        <f>IF(Regcontabilizados[[#This Row],[Eliminado]]="si","",RegContabilizados2[[#This Row],[Almacen]])</f>
        <v>0</v>
      </c>
      <c r="O163" s="3">
        <f>IF(Regcontabilizados[[#This Row],[Eliminado]]="si","",RegContabilizados2[[#This Row],[Tipo de movimiento]])</f>
        <v>0</v>
      </c>
      <c r="P163" s="1">
        <f>IF(Regcontabilizados[[#This Row],[Eliminado]]="si","",RegContabilizados2[[#This Row],[cantidad]])</f>
        <v>0</v>
      </c>
      <c r="Q163" s="1">
        <f>IF(Regcontabilizados[[#This Row],[Eliminado]]="si","",RegContabilizados2[[#This Row],[VR unitario]])</f>
        <v>0</v>
      </c>
      <c r="R163" s="1" t="str">
        <f>IF(Regcontabilizados[[#This Row],[Eliminado]]="si","",RegContabilizados2[[#This Row],[Subcuenta]])</f>
        <v/>
      </c>
      <c r="S163" s="1">
        <f>IF(Regcontabilizados[[#This Row],[Eliminado]]="si","",RegContabilizados2[[#This Row],[Debe]])</f>
        <v>0</v>
      </c>
      <c r="T163" s="1">
        <f>IF(Regcontabilizados[[#This Row],[Eliminado]]="si","",RegContabilizados2[[#This Row],[Haber]])</f>
        <v>0</v>
      </c>
      <c r="U163" s="1">
        <f>IFERROR((Regcontabilizados[[#This Row],[Debe]]-Regcontabilizados[[#This Row],[Haber]]),0)</f>
        <v>0</v>
      </c>
      <c r="V163" s="1">
        <f>IFERROR((+_xlfn.XLOOKUP(Regcontabilizados[[#This Row],[Subcuenta]],Tabla11[Cuenta],Tabla11[Descripción],0)),0)</f>
        <v>0</v>
      </c>
      <c r="W163" s="1">
        <f>IFERROR((_xlfn.XLOOKUP((VALUE(LEFT(Regcontabilizados[[#This Row],[Subcuenta]],4))),Tabla11[Cuenta],Tabla11[Descripción],0)),0)</f>
        <v>0</v>
      </c>
      <c r="X163" s="1">
        <f>IFERROR((_xlfn.XLOOKUP(Regcontabilizados[[#This Row],[Subcuenta]],Tabla11[Cuenta],Tabla11[Descripción],0)),0)</f>
        <v>0</v>
      </c>
      <c r="Y163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163" s="1" t="str">
        <f>_xlfn.XLOOKUP(Regcontabilizados[[#This Row],[Subcuenta]],Tabla11[Cuenta],Tabla11[TIPO],"")</f>
        <v/>
      </c>
      <c r="AA163" s="1" t="str">
        <f>IFERROR((Regcontabilizados[[#This Row],[Subcuenta]]&amp;" "&amp;_xlfn.XLOOKUP(Regcontabilizados[[#This Row],[Subcuenta]],Tabla11[Cuenta],Tabla11[Descripción],0)),0)</f>
        <v xml:space="preserve"> 0</v>
      </c>
      <c r="AB163" s="1">
        <f>IFERROR((VALUE(LEFT(Regcontabilizados[[#This Row],[Subcuenta]],2))&amp;" "&amp;_xlfn.XLOOKUP((VALUE(LEFT(Regcontabilizados[[#This Row],[Subcuenta]],2))),Tabla11[Cuenta],Tabla11[Descripción],0)),0)</f>
        <v>0</v>
      </c>
      <c r="AC163" s="1">
        <f>IFERROR((VALUE(LEFT(Regcontabilizados[[#This Row],[Subcuenta]],4))&amp;" "&amp;_xlfn.XLOOKUP((VALUE(LEFT(Regcontabilizados[[#This Row],[Subcuenta]],4))),Tabla11[Cuenta],Tabla11[Descripción],0)),0)</f>
        <v>0</v>
      </c>
      <c r="AD163" s="1" t="str">
        <f>IF(Regcontabilizados[[#This Row],[Eliminado]]="si","",RegContabilizados2[[#This Row],[Estado de pago]])</f>
        <v>NO PAGADO</v>
      </c>
      <c r="AE163" s="1" t="str">
        <f>IF(Regcontabilizados[[#This Row],[Eliminado]]="si","",RegContabilizados2[[#This Row],[Colum. Aux. Estado]])</f>
        <v>546565F.C.895262</v>
      </c>
      <c r="AF163" s="1">
        <f>IF(Regcontabilizados[[#This Row],[Eliminado]]="si","",RegContabilizados2[[#This Row],[Número de pago]])</f>
        <v>0</v>
      </c>
      <c r="AG163" s="1" t="str">
        <f>IF(Regcontabilizados[[#This Row],[Eliminado]]="si","",RegContabilizados2[[#This Row],[Elaborado por]])</f>
        <v>Responsable no especificado</v>
      </c>
      <c r="AH163" s="1" t="str">
        <f>IF(Regcontabilizados[[#This Row],[Eliminado]]="si","",RegContabilizados2[[#This Row],[Notas]])</f>
        <v>SE PAGO EL 70%</v>
      </c>
      <c r="AI163" s="1">
        <f>IF(Regcontabilizados[[#This Row],[Eliminado]]="si","",RegContabilizados2[[#This Row],[Método de pago]])</f>
        <v>0</v>
      </c>
      <c r="AJ163" s="1">
        <f>IF(Regcontabilizados[[#This Row],[Eliminado]]="si","",RegContabilizados2[[#This Row],[Cta. Bancaria]])</f>
        <v>0</v>
      </c>
      <c r="AO163" s="31">
        <v>45993</v>
      </c>
      <c r="AP163" s="31">
        <v>45993</v>
      </c>
      <c r="AQ163" s="31" t="s">
        <v>1174</v>
      </c>
      <c r="AR163" s="3">
        <v>895262</v>
      </c>
      <c r="AS163" s="1" t="s">
        <v>1111</v>
      </c>
      <c r="AT163" s="1">
        <v>333333</v>
      </c>
      <c r="AV163" s="3" t="s">
        <v>907</v>
      </c>
      <c r="AW163" s="3"/>
      <c r="AX163" s="3"/>
      <c r="AY163" s="3"/>
      <c r="AZ163" s="3"/>
      <c r="BC163" s="1" t="s">
        <v>1168</v>
      </c>
      <c r="BD163" s="1">
        <v>0</v>
      </c>
      <c r="BE163" s="1">
        <v>0</v>
      </c>
      <c r="BF163" s="1">
        <f>IFERROR((RegContabilizados2[[#This Row],[Debe]]-RegContabilizados2[[#This Row],[Haber]]),0)</f>
        <v>0</v>
      </c>
      <c r="BG163" s="1">
        <f>IFERROR((+_xlfn.XLOOKUP(RegContabilizados2[[#This Row],[Subcuenta]],Tabla11[Cuenta],Tabla11[Descripción],0)),0)</f>
        <v>0</v>
      </c>
      <c r="BH163" s="1">
        <f>IFERROR((VALUE(LEFT(RegContabilizados2[[#This Row],[Subcuenta]],2))&amp;" "&amp;_xlfn.XLOOKUP((VALUE(LEFT(RegContabilizados2[[#This Row],[Subcuenta]],2))),Tabla11[Cuenta],Tabla11[Descripción],0)),0)</f>
        <v>0</v>
      </c>
      <c r="BI163" s="1">
        <f>IFERROR((VALUE(LEFT(RegContabilizados2[[#This Row],[Subcuenta]],4))&amp;" "&amp;_xlfn.XLOOKUP((VALUE(LEFT(RegContabilizados2[[#This Row],[Subcuenta]],4))),Tabla11[Cuenta],Tabla11[Descripción],0)),0)</f>
        <v>0</v>
      </c>
      <c r="BJ163" s="1" t="str">
        <f>IFERROR((RegContabilizados2[[#This Row],[Subcuenta]]&amp;" "&amp;_xlfn.XLOOKUP(RegContabilizados2[[#This Row],[Subcuenta]],Tabla11[Cuenta],Tabla11[Descripción],0)),0)</f>
        <v xml:space="preserve"> 0</v>
      </c>
      <c r="BK163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163" s="1" t="str">
        <f>IFERROR(LEFT(RegContabilizados2[[#This Row],[Idenficador]],SEARCH("-",RegContabilizados2[[#This Row],[Idenficador]])-1),0)</f>
        <v>546565F.C.895262</v>
      </c>
      <c r="BN163" s="1" t="s">
        <v>1169</v>
      </c>
      <c r="BO163" s="1" t="s">
        <v>1170</v>
      </c>
    </row>
    <row r="164" spans="4:67">
      <c r="D164" s="31">
        <f>IF(Regcontabilizados[[#This Row],[Eliminado]]="si","",RegContabilizados2[[#This Row],[fecha Factura]])</f>
        <v>45993</v>
      </c>
      <c r="E164" s="31">
        <f>IF(Regcontabilizados[[#This Row],[Eliminado]]="si","",RegContabilizados2[[#This Row],[Fecha vencimiento]])</f>
        <v>45993</v>
      </c>
      <c r="F164" s="31" t="str">
        <f>IF(Regcontabilizados[[#This Row],[Eliminado]]="si","",RegContabilizados2[[#This Row],[Idenficador]])</f>
        <v>546565F.C.895262-5</v>
      </c>
      <c r="G164" s="3">
        <f>IF(Regcontabilizados[[#This Row],[Eliminado]]="si","",RegContabilizados2[[#This Row],[N° de factura/Pago]])</f>
        <v>895262</v>
      </c>
      <c r="H164" s="1" t="str">
        <f>IF(Regcontabilizados[[#This Row],[Eliminado]]="si","",RegContabilizados2[[#This Row],[Tipo de Factura]])</f>
        <v>F.C.</v>
      </c>
      <c r="I164" s="1">
        <f>IF(Regcontabilizados[[#This Row],[Eliminado]]="si","",RegContabilizados2[[#This Row],[ID Cliente]])</f>
        <v>333333</v>
      </c>
      <c r="J164" s="1">
        <f>IF(Regcontabilizados[[#This Row],[Eliminado]]="si","",RegContabilizados2[[#This Row],[ESTADO DEL IVA]])</f>
        <v>0</v>
      </c>
      <c r="K164" s="3" t="str">
        <f>IF(Regcontabilizados[[#This Row],[Eliminado]]="si","",RegContabilizados2[[#This Row],[ID Proveedor]])</f>
        <v>Valentina</v>
      </c>
      <c r="L164" s="3">
        <f>IF(Regcontabilizados[[#This Row],[Eliminado]]="si","",RegContabilizados2[[#This Row],[Concepto]])</f>
        <v>0</v>
      </c>
      <c r="M164" s="3">
        <f>IF(Regcontabilizados[[#This Row],[Eliminado]]="si","",RegContabilizados2[[#This Row],[Categoría]])</f>
        <v>0</v>
      </c>
      <c r="N164" s="3">
        <f>IF(Regcontabilizados[[#This Row],[Eliminado]]="si","",RegContabilizados2[[#This Row],[Almacen]])</f>
        <v>0</v>
      </c>
      <c r="O164" s="3">
        <f>IF(Regcontabilizados[[#This Row],[Eliminado]]="si","",RegContabilizados2[[#This Row],[Tipo de movimiento]])</f>
        <v>0</v>
      </c>
      <c r="P164" s="1">
        <f>IF(Regcontabilizados[[#This Row],[Eliminado]]="si","",RegContabilizados2[[#This Row],[cantidad]])</f>
        <v>0</v>
      </c>
      <c r="Q164" s="1">
        <f>IF(Regcontabilizados[[#This Row],[Eliminado]]="si","",RegContabilizados2[[#This Row],[VR unitario]])</f>
        <v>0</v>
      </c>
      <c r="R164" s="1" t="str">
        <f>IF(Regcontabilizados[[#This Row],[Eliminado]]="si","",RegContabilizados2[[#This Row],[Subcuenta]])</f>
        <v/>
      </c>
      <c r="S164" s="1">
        <f>IF(Regcontabilizados[[#This Row],[Eliminado]]="si","",RegContabilizados2[[#This Row],[Debe]])</f>
        <v>0</v>
      </c>
      <c r="T164" s="1">
        <f>IF(Regcontabilizados[[#This Row],[Eliminado]]="si","",RegContabilizados2[[#This Row],[Haber]])</f>
        <v>0</v>
      </c>
      <c r="U164" s="1">
        <f>IFERROR((Regcontabilizados[[#This Row],[Debe]]-Regcontabilizados[[#This Row],[Haber]]),0)</f>
        <v>0</v>
      </c>
      <c r="V164" s="1">
        <f>IFERROR((+_xlfn.XLOOKUP(Regcontabilizados[[#This Row],[Subcuenta]],Tabla11[Cuenta],Tabla11[Descripción],0)),0)</f>
        <v>0</v>
      </c>
      <c r="W164" s="1">
        <f>IFERROR((_xlfn.XLOOKUP((VALUE(LEFT(Regcontabilizados[[#This Row],[Subcuenta]],4))),Tabla11[Cuenta],Tabla11[Descripción],0)),0)</f>
        <v>0</v>
      </c>
      <c r="X164" s="1">
        <f>IFERROR((_xlfn.XLOOKUP(Regcontabilizados[[#This Row],[Subcuenta]],Tabla11[Cuenta],Tabla11[Descripción],0)),0)</f>
        <v>0</v>
      </c>
      <c r="Y164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164" s="1" t="str">
        <f>_xlfn.XLOOKUP(Regcontabilizados[[#This Row],[Subcuenta]],Tabla11[Cuenta],Tabla11[TIPO],"")</f>
        <v/>
      </c>
      <c r="AA164" s="1" t="str">
        <f>IFERROR((Regcontabilizados[[#This Row],[Subcuenta]]&amp;" "&amp;_xlfn.XLOOKUP(Regcontabilizados[[#This Row],[Subcuenta]],Tabla11[Cuenta],Tabla11[Descripción],0)),0)</f>
        <v xml:space="preserve"> 0</v>
      </c>
      <c r="AB164" s="1">
        <f>IFERROR((VALUE(LEFT(Regcontabilizados[[#This Row],[Subcuenta]],2))&amp;" "&amp;_xlfn.XLOOKUP((VALUE(LEFT(Regcontabilizados[[#This Row],[Subcuenta]],2))),Tabla11[Cuenta],Tabla11[Descripción],0)),0)</f>
        <v>0</v>
      </c>
      <c r="AC164" s="1">
        <f>IFERROR((VALUE(LEFT(Regcontabilizados[[#This Row],[Subcuenta]],4))&amp;" "&amp;_xlfn.XLOOKUP((VALUE(LEFT(Regcontabilizados[[#This Row],[Subcuenta]],4))),Tabla11[Cuenta],Tabla11[Descripción],0)),0)</f>
        <v>0</v>
      </c>
      <c r="AD164" s="1" t="str">
        <f>IF(Regcontabilizados[[#This Row],[Eliminado]]="si","",RegContabilizados2[[#This Row],[Estado de pago]])</f>
        <v>NO PAGADO</v>
      </c>
      <c r="AE164" s="1" t="str">
        <f>IF(Regcontabilizados[[#This Row],[Eliminado]]="si","",RegContabilizados2[[#This Row],[Colum. Aux. Estado]])</f>
        <v>546565F.C.895262</v>
      </c>
      <c r="AF164" s="1">
        <f>IF(Regcontabilizados[[#This Row],[Eliminado]]="si","",RegContabilizados2[[#This Row],[Número de pago]])</f>
        <v>0</v>
      </c>
      <c r="AG164" s="1" t="str">
        <f>IF(Regcontabilizados[[#This Row],[Eliminado]]="si","",RegContabilizados2[[#This Row],[Elaborado por]])</f>
        <v>Responsable no especificado</v>
      </c>
      <c r="AH164" s="1" t="str">
        <f>IF(Regcontabilizados[[#This Row],[Eliminado]]="si","",RegContabilizados2[[#This Row],[Notas]])</f>
        <v>SE PAGO EL 70%</v>
      </c>
      <c r="AI164" s="1">
        <f>IF(Regcontabilizados[[#This Row],[Eliminado]]="si","",RegContabilizados2[[#This Row],[Método de pago]])</f>
        <v>0</v>
      </c>
      <c r="AJ164" s="1">
        <f>IF(Regcontabilizados[[#This Row],[Eliminado]]="si","",RegContabilizados2[[#This Row],[Cta. Bancaria]])</f>
        <v>0</v>
      </c>
      <c r="AO164" s="31">
        <v>45993</v>
      </c>
      <c r="AP164" s="31">
        <v>45993</v>
      </c>
      <c r="AQ164" s="31" t="s">
        <v>1175</v>
      </c>
      <c r="AR164" s="3">
        <v>895262</v>
      </c>
      <c r="AS164" s="1" t="s">
        <v>1111</v>
      </c>
      <c r="AT164" s="1">
        <v>333333</v>
      </c>
      <c r="AV164" s="3" t="s">
        <v>907</v>
      </c>
      <c r="AW164" s="3"/>
      <c r="AX164" s="3"/>
      <c r="AY164" s="3"/>
      <c r="AZ164" s="3"/>
      <c r="BC164" s="1" t="s">
        <v>1168</v>
      </c>
      <c r="BD164" s="1">
        <v>0</v>
      </c>
      <c r="BE164" s="1">
        <v>0</v>
      </c>
      <c r="BF164" s="1">
        <f>IFERROR((RegContabilizados2[[#This Row],[Debe]]-RegContabilizados2[[#This Row],[Haber]]),0)</f>
        <v>0</v>
      </c>
      <c r="BG164" s="1">
        <f>IFERROR((+_xlfn.XLOOKUP(RegContabilizados2[[#This Row],[Subcuenta]],Tabla11[Cuenta],Tabla11[Descripción],0)),0)</f>
        <v>0</v>
      </c>
      <c r="BH164" s="1">
        <f>IFERROR((VALUE(LEFT(RegContabilizados2[[#This Row],[Subcuenta]],2))&amp;" "&amp;_xlfn.XLOOKUP((VALUE(LEFT(RegContabilizados2[[#This Row],[Subcuenta]],2))),Tabla11[Cuenta],Tabla11[Descripción],0)),0)</f>
        <v>0</v>
      </c>
      <c r="BI164" s="1">
        <f>IFERROR((VALUE(LEFT(RegContabilizados2[[#This Row],[Subcuenta]],4))&amp;" "&amp;_xlfn.XLOOKUP((VALUE(LEFT(RegContabilizados2[[#This Row],[Subcuenta]],4))),Tabla11[Cuenta],Tabla11[Descripción],0)),0)</f>
        <v>0</v>
      </c>
      <c r="BJ164" s="1" t="str">
        <f>IFERROR((RegContabilizados2[[#This Row],[Subcuenta]]&amp;" "&amp;_xlfn.XLOOKUP(RegContabilizados2[[#This Row],[Subcuenta]],Tabla11[Cuenta],Tabla11[Descripción],0)),0)</f>
        <v xml:space="preserve"> 0</v>
      </c>
      <c r="BK164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164" s="1" t="str">
        <f>IFERROR(LEFT(RegContabilizados2[[#This Row],[Idenficador]],SEARCH("-",RegContabilizados2[[#This Row],[Idenficador]])-1),0)</f>
        <v>546565F.C.895262</v>
      </c>
      <c r="BN164" s="1" t="s">
        <v>1169</v>
      </c>
      <c r="BO164" s="1" t="s">
        <v>1170</v>
      </c>
    </row>
    <row r="165" spans="4:67">
      <c r="D165" s="31">
        <f>IF(Regcontabilizados[[#This Row],[Eliminado]]="si","",RegContabilizados2[[#This Row],[fecha Factura]])</f>
        <v>45993</v>
      </c>
      <c r="E165" s="31">
        <f>IF(Regcontabilizados[[#This Row],[Eliminado]]="si","",RegContabilizados2[[#This Row],[Fecha vencimiento]])</f>
        <v>45993</v>
      </c>
      <c r="F165" s="31" t="str">
        <f>IF(Regcontabilizados[[#This Row],[Eliminado]]="si","",RegContabilizados2[[#This Row],[Idenficador]])</f>
        <v>546565F.C.895262-6</v>
      </c>
      <c r="G165" s="3">
        <f>IF(Regcontabilizados[[#This Row],[Eliminado]]="si","",RegContabilizados2[[#This Row],[N° de factura/Pago]])</f>
        <v>895262</v>
      </c>
      <c r="H165" s="1" t="str">
        <f>IF(Regcontabilizados[[#This Row],[Eliminado]]="si","",RegContabilizados2[[#This Row],[Tipo de Factura]])</f>
        <v>F.C.</v>
      </c>
      <c r="I165" s="1">
        <f>IF(Regcontabilizados[[#This Row],[Eliminado]]="si","",RegContabilizados2[[#This Row],[ID Cliente]])</f>
        <v>333333</v>
      </c>
      <c r="J165" s="1">
        <f>IF(Regcontabilizados[[#This Row],[Eliminado]]="si","",RegContabilizados2[[#This Row],[ESTADO DEL IVA]])</f>
        <v>0</v>
      </c>
      <c r="K165" s="3" t="str">
        <f>IF(Regcontabilizados[[#This Row],[Eliminado]]="si","",RegContabilizados2[[#This Row],[ID Proveedor]])</f>
        <v>Valentina</v>
      </c>
      <c r="L165" s="3">
        <f>IF(Regcontabilizados[[#This Row],[Eliminado]]="si","",RegContabilizados2[[#This Row],[Concepto]])</f>
        <v>0</v>
      </c>
      <c r="M165" s="3">
        <f>IF(Regcontabilizados[[#This Row],[Eliminado]]="si","",RegContabilizados2[[#This Row],[Categoría]])</f>
        <v>0</v>
      </c>
      <c r="N165" s="3">
        <f>IF(Regcontabilizados[[#This Row],[Eliminado]]="si","",RegContabilizados2[[#This Row],[Almacen]])</f>
        <v>0</v>
      </c>
      <c r="O165" s="3">
        <f>IF(Regcontabilizados[[#This Row],[Eliminado]]="si","",RegContabilizados2[[#This Row],[Tipo de movimiento]])</f>
        <v>0</v>
      </c>
      <c r="P165" s="1">
        <f>IF(Regcontabilizados[[#This Row],[Eliminado]]="si","",RegContabilizados2[[#This Row],[cantidad]])</f>
        <v>0</v>
      </c>
      <c r="Q165" s="1">
        <f>IF(Regcontabilizados[[#This Row],[Eliminado]]="si","",RegContabilizados2[[#This Row],[VR unitario]])</f>
        <v>0</v>
      </c>
      <c r="R165" s="1" t="str">
        <f>IF(Regcontabilizados[[#This Row],[Eliminado]]="si","",RegContabilizados2[[#This Row],[Subcuenta]])</f>
        <v/>
      </c>
      <c r="S165" s="1">
        <f>IF(Regcontabilizados[[#This Row],[Eliminado]]="si","",RegContabilizados2[[#This Row],[Debe]])</f>
        <v>0</v>
      </c>
      <c r="T165" s="1">
        <f>IF(Regcontabilizados[[#This Row],[Eliminado]]="si","",RegContabilizados2[[#This Row],[Haber]])</f>
        <v>0</v>
      </c>
      <c r="U165" s="1">
        <f>IFERROR((Regcontabilizados[[#This Row],[Debe]]-Regcontabilizados[[#This Row],[Haber]]),0)</f>
        <v>0</v>
      </c>
      <c r="V165" s="1">
        <f>IFERROR((+_xlfn.XLOOKUP(Regcontabilizados[[#This Row],[Subcuenta]],Tabla11[Cuenta],Tabla11[Descripción],0)),0)</f>
        <v>0</v>
      </c>
      <c r="W165" s="1">
        <f>IFERROR((_xlfn.XLOOKUP((VALUE(LEFT(Regcontabilizados[[#This Row],[Subcuenta]],4))),Tabla11[Cuenta],Tabla11[Descripción],0)),0)</f>
        <v>0</v>
      </c>
      <c r="X165" s="1">
        <f>IFERROR((_xlfn.XLOOKUP(Regcontabilizados[[#This Row],[Subcuenta]],Tabla11[Cuenta],Tabla11[Descripción],0)),0)</f>
        <v>0</v>
      </c>
      <c r="Y165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165" s="1" t="str">
        <f>_xlfn.XLOOKUP(Regcontabilizados[[#This Row],[Subcuenta]],Tabla11[Cuenta],Tabla11[TIPO],"")</f>
        <v/>
      </c>
      <c r="AA165" s="1" t="str">
        <f>IFERROR((Regcontabilizados[[#This Row],[Subcuenta]]&amp;" "&amp;_xlfn.XLOOKUP(Regcontabilizados[[#This Row],[Subcuenta]],Tabla11[Cuenta],Tabla11[Descripción],0)),0)</f>
        <v xml:space="preserve"> 0</v>
      </c>
      <c r="AB165" s="1">
        <f>IFERROR((VALUE(LEFT(Regcontabilizados[[#This Row],[Subcuenta]],2))&amp;" "&amp;_xlfn.XLOOKUP((VALUE(LEFT(Regcontabilizados[[#This Row],[Subcuenta]],2))),Tabla11[Cuenta],Tabla11[Descripción],0)),0)</f>
        <v>0</v>
      </c>
      <c r="AC165" s="1">
        <f>IFERROR((VALUE(LEFT(Regcontabilizados[[#This Row],[Subcuenta]],4))&amp;" "&amp;_xlfn.XLOOKUP((VALUE(LEFT(Regcontabilizados[[#This Row],[Subcuenta]],4))),Tabla11[Cuenta],Tabla11[Descripción],0)),0)</f>
        <v>0</v>
      </c>
      <c r="AD165" s="1" t="str">
        <f>IF(Regcontabilizados[[#This Row],[Eliminado]]="si","",RegContabilizados2[[#This Row],[Estado de pago]])</f>
        <v>NO PAGADO</v>
      </c>
      <c r="AE165" s="1" t="str">
        <f>IF(Regcontabilizados[[#This Row],[Eliminado]]="si","",RegContabilizados2[[#This Row],[Colum. Aux. Estado]])</f>
        <v>546565F.C.895262</v>
      </c>
      <c r="AF165" s="1">
        <f>IF(Regcontabilizados[[#This Row],[Eliminado]]="si","",RegContabilizados2[[#This Row],[Número de pago]])</f>
        <v>0</v>
      </c>
      <c r="AG165" s="1" t="str">
        <f>IF(Regcontabilizados[[#This Row],[Eliminado]]="si","",RegContabilizados2[[#This Row],[Elaborado por]])</f>
        <v>Responsable no especificado</v>
      </c>
      <c r="AH165" s="1" t="str">
        <f>IF(Regcontabilizados[[#This Row],[Eliminado]]="si","",RegContabilizados2[[#This Row],[Notas]])</f>
        <v>SE PAGO EL 70%</v>
      </c>
      <c r="AI165" s="1">
        <f>IF(Regcontabilizados[[#This Row],[Eliminado]]="si","",RegContabilizados2[[#This Row],[Método de pago]])</f>
        <v>0</v>
      </c>
      <c r="AJ165" s="1">
        <f>IF(Regcontabilizados[[#This Row],[Eliminado]]="si","",RegContabilizados2[[#This Row],[Cta. Bancaria]])</f>
        <v>0</v>
      </c>
      <c r="AO165" s="31">
        <v>45993</v>
      </c>
      <c r="AP165" s="31">
        <v>45993</v>
      </c>
      <c r="AQ165" s="31" t="s">
        <v>1176</v>
      </c>
      <c r="AR165" s="3">
        <v>895262</v>
      </c>
      <c r="AS165" s="1" t="s">
        <v>1111</v>
      </c>
      <c r="AT165" s="1">
        <v>333333</v>
      </c>
      <c r="AV165" s="3" t="s">
        <v>907</v>
      </c>
      <c r="AW165" s="3"/>
      <c r="AX165" s="3"/>
      <c r="AY165" s="3"/>
      <c r="AZ165" s="3"/>
      <c r="BC165" s="1" t="s">
        <v>1168</v>
      </c>
      <c r="BD165" s="1">
        <v>0</v>
      </c>
      <c r="BE165" s="1">
        <v>0</v>
      </c>
      <c r="BF165" s="1">
        <f>IFERROR((RegContabilizados2[[#This Row],[Debe]]-RegContabilizados2[[#This Row],[Haber]]),0)</f>
        <v>0</v>
      </c>
      <c r="BG165" s="1">
        <f>IFERROR((+_xlfn.XLOOKUP(RegContabilizados2[[#This Row],[Subcuenta]],Tabla11[Cuenta],Tabla11[Descripción],0)),0)</f>
        <v>0</v>
      </c>
      <c r="BH165" s="1">
        <f>IFERROR((VALUE(LEFT(RegContabilizados2[[#This Row],[Subcuenta]],2))&amp;" "&amp;_xlfn.XLOOKUP((VALUE(LEFT(RegContabilizados2[[#This Row],[Subcuenta]],2))),Tabla11[Cuenta],Tabla11[Descripción],0)),0)</f>
        <v>0</v>
      </c>
      <c r="BI165" s="1">
        <f>IFERROR((VALUE(LEFT(RegContabilizados2[[#This Row],[Subcuenta]],4))&amp;" "&amp;_xlfn.XLOOKUP((VALUE(LEFT(RegContabilizados2[[#This Row],[Subcuenta]],4))),Tabla11[Cuenta],Tabla11[Descripción],0)),0)</f>
        <v>0</v>
      </c>
      <c r="BJ165" s="1" t="str">
        <f>IFERROR((RegContabilizados2[[#This Row],[Subcuenta]]&amp;" "&amp;_xlfn.XLOOKUP(RegContabilizados2[[#This Row],[Subcuenta]],Tabla11[Cuenta],Tabla11[Descripción],0)),0)</f>
        <v xml:space="preserve"> 0</v>
      </c>
      <c r="BK165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165" s="1" t="str">
        <f>IFERROR(LEFT(RegContabilizados2[[#This Row],[Idenficador]],SEARCH("-",RegContabilizados2[[#This Row],[Idenficador]])-1),0)</f>
        <v>546565F.C.895262</v>
      </c>
      <c r="BN165" s="1" t="s">
        <v>1169</v>
      </c>
      <c r="BO165" s="1" t="s">
        <v>1170</v>
      </c>
    </row>
    <row r="166" spans="4:67">
      <c r="D166" s="31">
        <f>IF(Regcontabilizados[[#This Row],[Eliminado]]="si","",RegContabilizados2[[#This Row],[fecha Factura]])</f>
        <v>45993</v>
      </c>
      <c r="E166" s="31">
        <f>IF(Regcontabilizados[[#This Row],[Eliminado]]="si","",RegContabilizados2[[#This Row],[Fecha vencimiento]])</f>
        <v>45993</v>
      </c>
      <c r="F166" s="31" t="str">
        <f>IF(Regcontabilizados[[#This Row],[Eliminado]]="si","",RegContabilizados2[[#This Row],[Idenficador]])</f>
        <v>546565F.C.895262-7</v>
      </c>
      <c r="G166" s="3">
        <f>IF(Regcontabilizados[[#This Row],[Eliminado]]="si","",RegContabilizados2[[#This Row],[N° de factura/Pago]])</f>
        <v>895262</v>
      </c>
      <c r="H166" s="1" t="str">
        <f>IF(Regcontabilizados[[#This Row],[Eliminado]]="si","",RegContabilizados2[[#This Row],[Tipo de Factura]])</f>
        <v>F.C.</v>
      </c>
      <c r="I166" s="1">
        <f>IF(Regcontabilizados[[#This Row],[Eliminado]]="si","",RegContabilizados2[[#This Row],[ID Cliente]])</f>
        <v>333333</v>
      </c>
      <c r="J166" s="1">
        <f>IF(Regcontabilizados[[#This Row],[Eliminado]]="si","",RegContabilizados2[[#This Row],[ESTADO DEL IVA]])</f>
        <v>0</v>
      </c>
      <c r="K166" s="3" t="str">
        <f>IF(Regcontabilizados[[#This Row],[Eliminado]]="si","",RegContabilizados2[[#This Row],[ID Proveedor]])</f>
        <v>Valentina</v>
      </c>
      <c r="L166" s="3">
        <f>IF(Regcontabilizados[[#This Row],[Eliminado]]="si","",RegContabilizados2[[#This Row],[Concepto]])</f>
        <v>0</v>
      </c>
      <c r="M166" s="3">
        <f>IF(Regcontabilizados[[#This Row],[Eliminado]]="si","",RegContabilizados2[[#This Row],[Categoría]])</f>
        <v>0</v>
      </c>
      <c r="N166" s="3">
        <f>IF(Regcontabilizados[[#This Row],[Eliminado]]="si","",RegContabilizados2[[#This Row],[Almacen]])</f>
        <v>0</v>
      </c>
      <c r="O166" s="3">
        <f>IF(Regcontabilizados[[#This Row],[Eliminado]]="si","",RegContabilizados2[[#This Row],[Tipo de movimiento]])</f>
        <v>0</v>
      </c>
      <c r="P166" s="1">
        <f>IF(Regcontabilizados[[#This Row],[Eliminado]]="si","",RegContabilizados2[[#This Row],[cantidad]])</f>
        <v>0</v>
      </c>
      <c r="Q166" s="1">
        <f>IF(Regcontabilizados[[#This Row],[Eliminado]]="si","",RegContabilizados2[[#This Row],[VR unitario]])</f>
        <v>0</v>
      </c>
      <c r="R166" s="1" t="str">
        <f>IF(Regcontabilizados[[#This Row],[Eliminado]]="si","",RegContabilizados2[[#This Row],[Subcuenta]])</f>
        <v/>
      </c>
      <c r="S166" s="1">
        <f>IF(Regcontabilizados[[#This Row],[Eliminado]]="si","",RegContabilizados2[[#This Row],[Debe]])</f>
        <v>0</v>
      </c>
      <c r="T166" s="1">
        <f>IF(Regcontabilizados[[#This Row],[Eliminado]]="si","",RegContabilizados2[[#This Row],[Haber]])</f>
        <v>0</v>
      </c>
      <c r="U166" s="1">
        <f>IFERROR((Regcontabilizados[[#This Row],[Debe]]-Regcontabilizados[[#This Row],[Haber]]),0)</f>
        <v>0</v>
      </c>
      <c r="V166" s="1">
        <f>IFERROR((+_xlfn.XLOOKUP(Regcontabilizados[[#This Row],[Subcuenta]],Tabla11[Cuenta],Tabla11[Descripción],0)),0)</f>
        <v>0</v>
      </c>
      <c r="W166" s="1">
        <f>IFERROR((_xlfn.XLOOKUP((VALUE(LEFT(Regcontabilizados[[#This Row],[Subcuenta]],4))),Tabla11[Cuenta],Tabla11[Descripción],0)),0)</f>
        <v>0</v>
      </c>
      <c r="X166" s="1">
        <f>IFERROR((_xlfn.XLOOKUP(Regcontabilizados[[#This Row],[Subcuenta]],Tabla11[Cuenta],Tabla11[Descripción],0)),0)</f>
        <v>0</v>
      </c>
      <c r="Y166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166" s="1" t="str">
        <f>_xlfn.XLOOKUP(Regcontabilizados[[#This Row],[Subcuenta]],Tabla11[Cuenta],Tabla11[TIPO],"")</f>
        <v/>
      </c>
      <c r="AA166" s="1" t="str">
        <f>IFERROR((Regcontabilizados[[#This Row],[Subcuenta]]&amp;" "&amp;_xlfn.XLOOKUP(Regcontabilizados[[#This Row],[Subcuenta]],Tabla11[Cuenta],Tabla11[Descripción],0)),0)</f>
        <v xml:space="preserve"> 0</v>
      </c>
      <c r="AB166" s="1">
        <f>IFERROR((VALUE(LEFT(Regcontabilizados[[#This Row],[Subcuenta]],2))&amp;" "&amp;_xlfn.XLOOKUP((VALUE(LEFT(Regcontabilizados[[#This Row],[Subcuenta]],2))),Tabla11[Cuenta],Tabla11[Descripción],0)),0)</f>
        <v>0</v>
      </c>
      <c r="AC166" s="1">
        <f>IFERROR((VALUE(LEFT(Regcontabilizados[[#This Row],[Subcuenta]],4))&amp;" "&amp;_xlfn.XLOOKUP((VALUE(LEFT(Regcontabilizados[[#This Row],[Subcuenta]],4))),Tabla11[Cuenta],Tabla11[Descripción],0)),0)</f>
        <v>0</v>
      </c>
      <c r="AD166" s="1" t="str">
        <f>IF(Regcontabilizados[[#This Row],[Eliminado]]="si","",RegContabilizados2[[#This Row],[Estado de pago]])</f>
        <v>NO PAGADO</v>
      </c>
      <c r="AE166" s="1" t="str">
        <f>IF(Regcontabilizados[[#This Row],[Eliminado]]="si","",RegContabilizados2[[#This Row],[Colum. Aux. Estado]])</f>
        <v>546565F.C.895262</v>
      </c>
      <c r="AF166" s="1">
        <f>IF(Regcontabilizados[[#This Row],[Eliminado]]="si","",RegContabilizados2[[#This Row],[Número de pago]])</f>
        <v>0</v>
      </c>
      <c r="AG166" s="1" t="str">
        <f>IF(Regcontabilizados[[#This Row],[Eliminado]]="si","",RegContabilizados2[[#This Row],[Elaborado por]])</f>
        <v>Responsable no especificado</v>
      </c>
      <c r="AH166" s="1" t="str">
        <f>IF(Regcontabilizados[[#This Row],[Eliminado]]="si","",RegContabilizados2[[#This Row],[Notas]])</f>
        <v>SE PAGO EL 70%</v>
      </c>
      <c r="AI166" s="1">
        <f>IF(Regcontabilizados[[#This Row],[Eliminado]]="si","",RegContabilizados2[[#This Row],[Método de pago]])</f>
        <v>0</v>
      </c>
      <c r="AJ166" s="1">
        <f>IF(Regcontabilizados[[#This Row],[Eliminado]]="si","",RegContabilizados2[[#This Row],[Cta. Bancaria]])</f>
        <v>0</v>
      </c>
      <c r="AO166" s="31">
        <v>45993</v>
      </c>
      <c r="AP166" s="31">
        <v>45993</v>
      </c>
      <c r="AQ166" s="31" t="s">
        <v>1177</v>
      </c>
      <c r="AR166" s="3">
        <v>895262</v>
      </c>
      <c r="AS166" s="1" t="s">
        <v>1111</v>
      </c>
      <c r="AT166" s="1">
        <v>333333</v>
      </c>
      <c r="AV166" s="3" t="s">
        <v>907</v>
      </c>
      <c r="AW166" s="3"/>
      <c r="AX166" s="3"/>
      <c r="AY166" s="3"/>
      <c r="AZ166" s="3"/>
      <c r="BC166" s="1" t="s">
        <v>1168</v>
      </c>
      <c r="BD166" s="1">
        <v>0</v>
      </c>
      <c r="BE166" s="1">
        <v>0</v>
      </c>
      <c r="BF166" s="1">
        <f>IFERROR((RegContabilizados2[[#This Row],[Debe]]-RegContabilizados2[[#This Row],[Haber]]),0)</f>
        <v>0</v>
      </c>
      <c r="BG166" s="1">
        <f>IFERROR((+_xlfn.XLOOKUP(RegContabilizados2[[#This Row],[Subcuenta]],Tabla11[Cuenta],Tabla11[Descripción],0)),0)</f>
        <v>0</v>
      </c>
      <c r="BH166" s="1">
        <f>IFERROR((VALUE(LEFT(RegContabilizados2[[#This Row],[Subcuenta]],2))&amp;" "&amp;_xlfn.XLOOKUP((VALUE(LEFT(RegContabilizados2[[#This Row],[Subcuenta]],2))),Tabla11[Cuenta],Tabla11[Descripción],0)),0)</f>
        <v>0</v>
      </c>
      <c r="BI166" s="1">
        <f>IFERROR((VALUE(LEFT(RegContabilizados2[[#This Row],[Subcuenta]],4))&amp;" "&amp;_xlfn.XLOOKUP((VALUE(LEFT(RegContabilizados2[[#This Row],[Subcuenta]],4))),Tabla11[Cuenta],Tabla11[Descripción],0)),0)</f>
        <v>0</v>
      </c>
      <c r="BJ166" s="1" t="str">
        <f>IFERROR((RegContabilizados2[[#This Row],[Subcuenta]]&amp;" "&amp;_xlfn.XLOOKUP(RegContabilizados2[[#This Row],[Subcuenta]],Tabla11[Cuenta],Tabla11[Descripción],0)),0)</f>
        <v xml:space="preserve"> 0</v>
      </c>
      <c r="BK166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166" s="1" t="str">
        <f>IFERROR(LEFT(RegContabilizados2[[#This Row],[Idenficador]],SEARCH("-",RegContabilizados2[[#This Row],[Idenficador]])-1),0)</f>
        <v>546565F.C.895262</v>
      </c>
      <c r="BN166" s="1" t="s">
        <v>1169</v>
      </c>
      <c r="BO166" s="1" t="s">
        <v>1170</v>
      </c>
    </row>
    <row r="167" spans="4:67">
      <c r="D167" s="31">
        <f>IF(Regcontabilizados[[#This Row],[Eliminado]]="si","",RegContabilizados2[[#This Row],[fecha Factura]])</f>
        <v>45993</v>
      </c>
      <c r="E167" s="31">
        <f>IF(Regcontabilizados[[#This Row],[Eliminado]]="si","",RegContabilizados2[[#This Row],[Fecha vencimiento]])</f>
        <v>45993</v>
      </c>
      <c r="F167" s="31" t="str">
        <f>IF(Regcontabilizados[[#This Row],[Eliminado]]="si","",RegContabilizados2[[#This Row],[Idenficador]])</f>
        <v>546565F.C.895262-8</v>
      </c>
      <c r="G167" s="3">
        <f>IF(Regcontabilizados[[#This Row],[Eliminado]]="si","",RegContabilizados2[[#This Row],[N° de factura/Pago]])</f>
        <v>895262</v>
      </c>
      <c r="H167" s="1" t="str">
        <f>IF(Regcontabilizados[[#This Row],[Eliminado]]="si","",RegContabilizados2[[#This Row],[Tipo de Factura]])</f>
        <v>F.C.</v>
      </c>
      <c r="I167" s="1">
        <f>IF(Regcontabilizados[[#This Row],[Eliminado]]="si","",RegContabilizados2[[#This Row],[ID Cliente]])</f>
        <v>333333</v>
      </c>
      <c r="J167" s="1">
        <f>IF(Regcontabilizados[[#This Row],[Eliminado]]="si","",RegContabilizados2[[#This Row],[ESTADO DEL IVA]])</f>
        <v>0</v>
      </c>
      <c r="K167" s="3" t="str">
        <f>IF(Regcontabilizados[[#This Row],[Eliminado]]="si","",RegContabilizados2[[#This Row],[ID Proveedor]])</f>
        <v>Valentina</v>
      </c>
      <c r="L167" s="3">
        <f>IF(Regcontabilizados[[#This Row],[Eliminado]]="si","",RegContabilizados2[[#This Row],[Concepto]])</f>
        <v>0</v>
      </c>
      <c r="M167" s="3">
        <f>IF(Regcontabilizados[[#This Row],[Eliminado]]="si","",RegContabilizados2[[#This Row],[Categoría]])</f>
        <v>0</v>
      </c>
      <c r="N167" s="3">
        <f>IF(Regcontabilizados[[#This Row],[Eliminado]]="si","",RegContabilizados2[[#This Row],[Almacen]])</f>
        <v>0</v>
      </c>
      <c r="O167" s="3">
        <f>IF(Regcontabilizados[[#This Row],[Eliminado]]="si","",RegContabilizados2[[#This Row],[Tipo de movimiento]])</f>
        <v>0</v>
      </c>
      <c r="P167" s="1">
        <f>IF(Regcontabilizados[[#This Row],[Eliminado]]="si","",RegContabilizados2[[#This Row],[cantidad]])</f>
        <v>0</v>
      </c>
      <c r="Q167" s="1">
        <f>IF(Regcontabilizados[[#This Row],[Eliminado]]="si","",RegContabilizados2[[#This Row],[VR unitario]])</f>
        <v>0</v>
      </c>
      <c r="R167" s="1" t="str">
        <f>IF(Regcontabilizados[[#This Row],[Eliminado]]="si","",RegContabilizados2[[#This Row],[Subcuenta]])</f>
        <v/>
      </c>
      <c r="S167" s="1">
        <f>IF(Regcontabilizados[[#This Row],[Eliminado]]="si","",RegContabilizados2[[#This Row],[Debe]])</f>
        <v>0</v>
      </c>
      <c r="T167" s="1">
        <f>IF(Regcontabilizados[[#This Row],[Eliminado]]="si","",RegContabilizados2[[#This Row],[Haber]])</f>
        <v>0</v>
      </c>
      <c r="U167" s="1">
        <f>IFERROR((Regcontabilizados[[#This Row],[Debe]]-Regcontabilizados[[#This Row],[Haber]]),0)</f>
        <v>0</v>
      </c>
      <c r="V167" s="1">
        <f>IFERROR((+_xlfn.XLOOKUP(Regcontabilizados[[#This Row],[Subcuenta]],Tabla11[Cuenta],Tabla11[Descripción],0)),0)</f>
        <v>0</v>
      </c>
      <c r="W167" s="1">
        <f>IFERROR((_xlfn.XLOOKUP((VALUE(LEFT(Regcontabilizados[[#This Row],[Subcuenta]],4))),Tabla11[Cuenta],Tabla11[Descripción],0)),0)</f>
        <v>0</v>
      </c>
      <c r="X167" s="1">
        <f>IFERROR((_xlfn.XLOOKUP(Regcontabilizados[[#This Row],[Subcuenta]],Tabla11[Cuenta],Tabla11[Descripción],0)),0)</f>
        <v>0</v>
      </c>
      <c r="Y167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167" s="1" t="str">
        <f>_xlfn.XLOOKUP(Regcontabilizados[[#This Row],[Subcuenta]],Tabla11[Cuenta],Tabla11[TIPO],"")</f>
        <v/>
      </c>
      <c r="AA167" s="1" t="str">
        <f>IFERROR((Regcontabilizados[[#This Row],[Subcuenta]]&amp;" "&amp;_xlfn.XLOOKUP(Regcontabilizados[[#This Row],[Subcuenta]],Tabla11[Cuenta],Tabla11[Descripción],0)),0)</f>
        <v xml:space="preserve"> 0</v>
      </c>
      <c r="AB167" s="1">
        <f>IFERROR((VALUE(LEFT(Regcontabilizados[[#This Row],[Subcuenta]],2))&amp;" "&amp;_xlfn.XLOOKUP((VALUE(LEFT(Regcontabilizados[[#This Row],[Subcuenta]],2))),Tabla11[Cuenta],Tabla11[Descripción],0)),0)</f>
        <v>0</v>
      </c>
      <c r="AC167" s="1">
        <f>IFERROR((VALUE(LEFT(Regcontabilizados[[#This Row],[Subcuenta]],4))&amp;" "&amp;_xlfn.XLOOKUP((VALUE(LEFT(Regcontabilizados[[#This Row],[Subcuenta]],4))),Tabla11[Cuenta],Tabla11[Descripción],0)),0)</f>
        <v>0</v>
      </c>
      <c r="AD167" s="1" t="str">
        <f>IF(Regcontabilizados[[#This Row],[Eliminado]]="si","",RegContabilizados2[[#This Row],[Estado de pago]])</f>
        <v>NO PAGADO</v>
      </c>
      <c r="AE167" s="1" t="str">
        <f>IF(Regcontabilizados[[#This Row],[Eliminado]]="si","",RegContabilizados2[[#This Row],[Colum. Aux. Estado]])</f>
        <v>546565F.C.895262</v>
      </c>
      <c r="AF167" s="1">
        <f>IF(Regcontabilizados[[#This Row],[Eliminado]]="si","",RegContabilizados2[[#This Row],[Número de pago]])</f>
        <v>0</v>
      </c>
      <c r="AG167" s="1" t="str">
        <f>IF(Regcontabilizados[[#This Row],[Eliminado]]="si","",RegContabilizados2[[#This Row],[Elaborado por]])</f>
        <v>Responsable no especificado</v>
      </c>
      <c r="AH167" s="1" t="str">
        <f>IF(Regcontabilizados[[#This Row],[Eliminado]]="si","",RegContabilizados2[[#This Row],[Notas]])</f>
        <v>SE PAGO EL 70%</v>
      </c>
      <c r="AI167" s="1">
        <f>IF(Regcontabilizados[[#This Row],[Eliminado]]="si","",RegContabilizados2[[#This Row],[Método de pago]])</f>
        <v>0</v>
      </c>
      <c r="AJ167" s="1">
        <f>IF(Regcontabilizados[[#This Row],[Eliminado]]="si","",RegContabilizados2[[#This Row],[Cta. Bancaria]])</f>
        <v>0</v>
      </c>
      <c r="AO167" s="31">
        <v>45993</v>
      </c>
      <c r="AP167" s="31">
        <v>45993</v>
      </c>
      <c r="AQ167" s="31" t="s">
        <v>1178</v>
      </c>
      <c r="AR167" s="3">
        <v>895262</v>
      </c>
      <c r="AS167" s="1" t="s">
        <v>1111</v>
      </c>
      <c r="AT167" s="1">
        <v>333333</v>
      </c>
      <c r="AV167" s="3" t="s">
        <v>907</v>
      </c>
      <c r="AW167" s="3"/>
      <c r="AX167" s="3"/>
      <c r="AY167" s="3"/>
      <c r="AZ167" s="3"/>
      <c r="BC167" s="1" t="s">
        <v>1168</v>
      </c>
      <c r="BD167" s="1">
        <v>0</v>
      </c>
      <c r="BE167" s="1">
        <v>0</v>
      </c>
      <c r="BF167" s="1">
        <f>IFERROR((RegContabilizados2[[#This Row],[Debe]]-RegContabilizados2[[#This Row],[Haber]]),0)</f>
        <v>0</v>
      </c>
      <c r="BG167" s="1">
        <f>IFERROR((+_xlfn.XLOOKUP(RegContabilizados2[[#This Row],[Subcuenta]],Tabla11[Cuenta],Tabla11[Descripción],0)),0)</f>
        <v>0</v>
      </c>
      <c r="BH167" s="1">
        <f>IFERROR((VALUE(LEFT(RegContabilizados2[[#This Row],[Subcuenta]],2))&amp;" "&amp;_xlfn.XLOOKUP((VALUE(LEFT(RegContabilizados2[[#This Row],[Subcuenta]],2))),Tabla11[Cuenta],Tabla11[Descripción],0)),0)</f>
        <v>0</v>
      </c>
      <c r="BI167" s="1">
        <f>IFERROR((VALUE(LEFT(RegContabilizados2[[#This Row],[Subcuenta]],4))&amp;" "&amp;_xlfn.XLOOKUP((VALUE(LEFT(RegContabilizados2[[#This Row],[Subcuenta]],4))),Tabla11[Cuenta],Tabla11[Descripción],0)),0)</f>
        <v>0</v>
      </c>
      <c r="BJ167" s="1" t="str">
        <f>IFERROR((RegContabilizados2[[#This Row],[Subcuenta]]&amp;" "&amp;_xlfn.XLOOKUP(RegContabilizados2[[#This Row],[Subcuenta]],Tabla11[Cuenta],Tabla11[Descripción],0)),0)</f>
        <v xml:space="preserve"> 0</v>
      </c>
      <c r="BK167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167" s="1" t="str">
        <f>IFERROR(LEFT(RegContabilizados2[[#This Row],[Idenficador]],SEARCH("-",RegContabilizados2[[#This Row],[Idenficador]])-1),0)</f>
        <v>546565F.C.895262</v>
      </c>
      <c r="BN167" s="1" t="s">
        <v>1169</v>
      </c>
      <c r="BO167" s="1" t="s">
        <v>1170</v>
      </c>
    </row>
    <row r="168" spans="4:67">
      <c r="D168" s="31">
        <f>IF(Regcontabilizados[[#This Row],[Eliminado]]="si","",RegContabilizados2[[#This Row],[fecha Factura]])</f>
        <v>45993</v>
      </c>
      <c r="E168" s="31">
        <f>IF(Regcontabilizados[[#This Row],[Eliminado]]="si","",RegContabilizados2[[#This Row],[Fecha vencimiento]])</f>
        <v>45993</v>
      </c>
      <c r="F168" s="31" t="str">
        <f>IF(Regcontabilizados[[#This Row],[Eliminado]]="si","",RegContabilizados2[[#This Row],[Idenficador]])</f>
        <v>546565F.C.895262-9</v>
      </c>
      <c r="G168" s="3">
        <f>IF(Regcontabilizados[[#This Row],[Eliminado]]="si","",RegContabilizados2[[#This Row],[N° de factura/Pago]])</f>
        <v>895262</v>
      </c>
      <c r="H168" s="1" t="str">
        <f>IF(Regcontabilizados[[#This Row],[Eliminado]]="si","",RegContabilizados2[[#This Row],[Tipo de Factura]])</f>
        <v>F.C.</v>
      </c>
      <c r="I168" s="1">
        <f>IF(Regcontabilizados[[#This Row],[Eliminado]]="si","",RegContabilizados2[[#This Row],[ID Cliente]])</f>
        <v>333333</v>
      </c>
      <c r="J168" s="1">
        <f>IF(Regcontabilizados[[#This Row],[Eliminado]]="si","",RegContabilizados2[[#This Row],[ESTADO DEL IVA]])</f>
        <v>0</v>
      </c>
      <c r="K168" s="3" t="str">
        <f>IF(Regcontabilizados[[#This Row],[Eliminado]]="si","",RegContabilizados2[[#This Row],[ID Proveedor]])</f>
        <v>Valentina</v>
      </c>
      <c r="L168" s="3">
        <f>IF(Regcontabilizados[[#This Row],[Eliminado]]="si","",RegContabilizados2[[#This Row],[Concepto]])</f>
        <v>0</v>
      </c>
      <c r="M168" s="3">
        <f>IF(Regcontabilizados[[#This Row],[Eliminado]]="si","",RegContabilizados2[[#This Row],[Categoría]])</f>
        <v>0</v>
      </c>
      <c r="N168" s="3">
        <f>IF(Regcontabilizados[[#This Row],[Eliminado]]="si","",RegContabilizados2[[#This Row],[Almacen]])</f>
        <v>0</v>
      </c>
      <c r="O168" s="3">
        <f>IF(Regcontabilizados[[#This Row],[Eliminado]]="si","",RegContabilizados2[[#This Row],[Tipo de movimiento]])</f>
        <v>0</v>
      </c>
      <c r="P168" s="1">
        <f>IF(Regcontabilizados[[#This Row],[Eliminado]]="si","",RegContabilizados2[[#This Row],[cantidad]])</f>
        <v>0</v>
      </c>
      <c r="Q168" s="1">
        <f>IF(Regcontabilizados[[#This Row],[Eliminado]]="si","",RegContabilizados2[[#This Row],[VR unitario]])</f>
        <v>0</v>
      </c>
      <c r="R168" s="1" t="str">
        <f>IF(Regcontabilizados[[#This Row],[Eliminado]]="si","",RegContabilizados2[[#This Row],[Subcuenta]])</f>
        <v/>
      </c>
      <c r="S168" s="1">
        <f>IF(Regcontabilizados[[#This Row],[Eliminado]]="si","",RegContabilizados2[[#This Row],[Debe]])</f>
        <v>0</v>
      </c>
      <c r="T168" s="1">
        <f>IF(Regcontabilizados[[#This Row],[Eliminado]]="si","",RegContabilizados2[[#This Row],[Haber]])</f>
        <v>0</v>
      </c>
      <c r="U168" s="1">
        <f>IFERROR((Regcontabilizados[[#This Row],[Debe]]-Regcontabilizados[[#This Row],[Haber]]),0)</f>
        <v>0</v>
      </c>
      <c r="V168" s="1">
        <f>IFERROR((+_xlfn.XLOOKUP(Regcontabilizados[[#This Row],[Subcuenta]],Tabla11[Cuenta],Tabla11[Descripción],0)),0)</f>
        <v>0</v>
      </c>
      <c r="W168" s="1">
        <f>IFERROR((_xlfn.XLOOKUP((VALUE(LEFT(Regcontabilizados[[#This Row],[Subcuenta]],4))),Tabla11[Cuenta],Tabla11[Descripción],0)),0)</f>
        <v>0</v>
      </c>
      <c r="X168" s="1">
        <f>IFERROR((_xlfn.XLOOKUP(Regcontabilizados[[#This Row],[Subcuenta]],Tabla11[Cuenta],Tabla11[Descripción],0)),0)</f>
        <v>0</v>
      </c>
      <c r="Y168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168" s="1" t="str">
        <f>_xlfn.XLOOKUP(Regcontabilizados[[#This Row],[Subcuenta]],Tabla11[Cuenta],Tabla11[TIPO],"")</f>
        <v/>
      </c>
      <c r="AA168" s="1" t="str">
        <f>IFERROR((Regcontabilizados[[#This Row],[Subcuenta]]&amp;" "&amp;_xlfn.XLOOKUP(Regcontabilizados[[#This Row],[Subcuenta]],Tabla11[Cuenta],Tabla11[Descripción],0)),0)</f>
        <v xml:space="preserve"> 0</v>
      </c>
      <c r="AB168" s="1">
        <f>IFERROR((VALUE(LEFT(Regcontabilizados[[#This Row],[Subcuenta]],2))&amp;" "&amp;_xlfn.XLOOKUP((VALUE(LEFT(Regcontabilizados[[#This Row],[Subcuenta]],2))),Tabla11[Cuenta],Tabla11[Descripción],0)),0)</f>
        <v>0</v>
      </c>
      <c r="AC168" s="1">
        <f>IFERROR((VALUE(LEFT(Regcontabilizados[[#This Row],[Subcuenta]],4))&amp;" "&amp;_xlfn.XLOOKUP((VALUE(LEFT(Regcontabilizados[[#This Row],[Subcuenta]],4))),Tabla11[Cuenta],Tabla11[Descripción],0)),0)</f>
        <v>0</v>
      </c>
      <c r="AD168" s="1" t="str">
        <f>IF(Regcontabilizados[[#This Row],[Eliminado]]="si","",RegContabilizados2[[#This Row],[Estado de pago]])</f>
        <v>NO PAGADO</v>
      </c>
      <c r="AE168" s="1" t="str">
        <f>IF(Regcontabilizados[[#This Row],[Eliminado]]="si","",RegContabilizados2[[#This Row],[Colum. Aux. Estado]])</f>
        <v>546565F.C.895262</v>
      </c>
      <c r="AF168" s="1">
        <f>IF(Regcontabilizados[[#This Row],[Eliminado]]="si","",RegContabilizados2[[#This Row],[Número de pago]])</f>
        <v>0</v>
      </c>
      <c r="AG168" s="1" t="str">
        <f>IF(Regcontabilizados[[#This Row],[Eliminado]]="si","",RegContabilizados2[[#This Row],[Elaborado por]])</f>
        <v>Responsable no especificado</v>
      </c>
      <c r="AH168" s="1" t="str">
        <f>IF(Regcontabilizados[[#This Row],[Eliminado]]="si","",RegContabilizados2[[#This Row],[Notas]])</f>
        <v>SE PAGO EL 70%</v>
      </c>
      <c r="AI168" s="1">
        <f>IF(Regcontabilizados[[#This Row],[Eliminado]]="si","",RegContabilizados2[[#This Row],[Método de pago]])</f>
        <v>0</v>
      </c>
      <c r="AJ168" s="1">
        <f>IF(Regcontabilizados[[#This Row],[Eliminado]]="si","",RegContabilizados2[[#This Row],[Cta. Bancaria]])</f>
        <v>0</v>
      </c>
      <c r="AO168" s="31">
        <v>45993</v>
      </c>
      <c r="AP168" s="31">
        <v>45993</v>
      </c>
      <c r="AQ168" s="31" t="s">
        <v>1179</v>
      </c>
      <c r="AR168" s="3">
        <v>895262</v>
      </c>
      <c r="AS168" s="1" t="s">
        <v>1111</v>
      </c>
      <c r="AT168" s="1">
        <v>333333</v>
      </c>
      <c r="AV168" s="3" t="s">
        <v>907</v>
      </c>
      <c r="AW168" s="3"/>
      <c r="AX168" s="3"/>
      <c r="AY168" s="3"/>
      <c r="AZ168" s="3"/>
      <c r="BC168" s="1" t="s">
        <v>1168</v>
      </c>
      <c r="BD168" s="1">
        <v>0</v>
      </c>
      <c r="BE168" s="1">
        <v>0</v>
      </c>
      <c r="BF168" s="1">
        <f>IFERROR((RegContabilizados2[[#This Row],[Debe]]-RegContabilizados2[[#This Row],[Haber]]),0)</f>
        <v>0</v>
      </c>
      <c r="BG168" s="1">
        <f>IFERROR((+_xlfn.XLOOKUP(RegContabilizados2[[#This Row],[Subcuenta]],Tabla11[Cuenta],Tabla11[Descripción],0)),0)</f>
        <v>0</v>
      </c>
      <c r="BH168" s="1">
        <f>IFERROR((VALUE(LEFT(RegContabilizados2[[#This Row],[Subcuenta]],2))&amp;" "&amp;_xlfn.XLOOKUP((VALUE(LEFT(RegContabilizados2[[#This Row],[Subcuenta]],2))),Tabla11[Cuenta],Tabla11[Descripción],0)),0)</f>
        <v>0</v>
      </c>
      <c r="BI168" s="1">
        <f>IFERROR((VALUE(LEFT(RegContabilizados2[[#This Row],[Subcuenta]],4))&amp;" "&amp;_xlfn.XLOOKUP((VALUE(LEFT(RegContabilizados2[[#This Row],[Subcuenta]],4))),Tabla11[Cuenta],Tabla11[Descripción],0)),0)</f>
        <v>0</v>
      </c>
      <c r="BJ168" s="1" t="str">
        <f>IFERROR((RegContabilizados2[[#This Row],[Subcuenta]]&amp;" "&amp;_xlfn.XLOOKUP(RegContabilizados2[[#This Row],[Subcuenta]],Tabla11[Cuenta],Tabla11[Descripción],0)),0)</f>
        <v xml:space="preserve"> 0</v>
      </c>
      <c r="BK168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168" s="1" t="str">
        <f>IFERROR(LEFT(RegContabilizados2[[#This Row],[Idenficador]],SEARCH("-",RegContabilizados2[[#This Row],[Idenficador]])-1),0)</f>
        <v>546565F.C.895262</v>
      </c>
      <c r="BN168" s="1" t="s">
        <v>1169</v>
      </c>
      <c r="BO168" s="1" t="s">
        <v>1170</v>
      </c>
    </row>
    <row r="169" spans="4:67">
      <c r="D169" s="31">
        <f>IF(Regcontabilizados[[#This Row],[Eliminado]]="si","",RegContabilizados2[[#This Row],[fecha Factura]])</f>
        <v>45993</v>
      </c>
      <c r="E169" s="31">
        <f>IF(Regcontabilizados[[#This Row],[Eliminado]]="si","",RegContabilizados2[[#This Row],[Fecha vencimiento]])</f>
        <v>45993</v>
      </c>
      <c r="F169" s="31" t="str">
        <f>IF(Regcontabilizados[[#This Row],[Eliminado]]="si","",RegContabilizados2[[#This Row],[Idenficador]])</f>
        <v>546565F.C.895262-10</v>
      </c>
      <c r="G169" s="3">
        <f>IF(Regcontabilizados[[#This Row],[Eliminado]]="si","",RegContabilizados2[[#This Row],[N° de factura/Pago]])</f>
        <v>895262</v>
      </c>
      <c r="H169" s="1" t="str">
        <f>IF(Regcontabilizados[[#This Row],[Eliminado]]="si","",RegContabilizados2[[#This Row],[Tipo de Factura]])</f>
        <v>F.C.</v>
      </c>
      <c r="I169" s="1">
        <f>IF(Regcontabilizados[[#This Row],[Eliminado]]="si","",RegContabilizados2[[#This Row],[ID Cliente]])</f>
        <v>333333</v>
      </c>
      <c r="J169" s="1">
        <f>IF(Regcontabilizados[[#This Row],[Eliminado]]="si","",RegContabilizados2[[#This Row],[ESTADO DEL IVA]])</f>
        <v>0</v>
      </c>
      <c r="K169" s="3" t="str">
        <f>IF(Regcontabilizados[[#This Row],[Eliminado]]="si","",RegContabilizados2[[#This Row],[ID Proveedor]])</f>
        <v>Valentina</v>
      </c>
      <c r="L169" s="3" t="str">
        <f>IF(Regcontabilizados[[#This Row],[Eliminado]]="si","",RegContabilizados2[[#This Row],[Concepto]])</f>
        <v>IVA</v>
      </c>
      <c r="M169" s="3">
        <f>IF(Regcontabilizados[[#This Row],[Eliminado]]="si","",RegContabilizados2[[#This Row],[Categoría]])</f>
        <v>0</v>
      </c>
      <c r="N169" s="3">
        <f>IF(Regcontabilizados[[#This Row],[Eliminado]]="si","",RegContabilizados2[[#This Row],[Almacen]])</f>
        <v>0</v>
      </c>
      <c r="O169" s="3">
        <f>IF(Regcontabilizados[[#This Row],[Eliminado]]="si","",RegContabilizados2[[#This Row],[Tipo de movimiento]])</f>
        <v>0</v>
      </c>
      <c r="P169" s="1">
        <f>IF(Regcontabilizados[[#This Row],[Eliminado]]="si","",RegContabilizados2[[#This Row],[cantidad]])</f>
        <v>1</v>
      </c>
      <c r="Q169" s="1">
        <f>IF(Regcontabilizados[[#This Row],[Eliminado]]="si","",RegContabilizados2[[#This Row],[VR unitario]])</f>
        <v>45600</v>
      </c>
      <c r="R169" s="1">
        <f>IF(Regcontabilizados[[#This Row],[Eliminado]]="si","",RegContabilizados2[[#This Row],[Subcuenta]])</f>
        <v>240805</v>
      </c>
      <c r="S169" s="1">
        <f>IF(Regcontabilizados[[#This Row],[Eliminado]]="si","",RegContabilizados2[[#This Row],[Debe]])</f>
        <v>45600</v>
      </c>
      <c r="T169" s="1">
        <f>IF(Regcontabilizados[[#This Row],[Eliminado]]="si","",RegContabilizados2[[#This Row],[Haber]])</f>
        <v>0</v>
      </c>
      <c r="U169" s="1">
        <f>IFERROR((Regcontabilizados[[#This Row],[Debe]]-Regcontabilizados[[#This Row],[Haber]]),0)</f>
        <v>45600</v>
      </c>
      <c r="V169" s="1" t="str">
        <f>IFERROR((+_xlfn.XLOOKUP(Regcontabilizados[[#This Row],[Subcuenta]],Tabla11[Cuenta],Tabla11[Descripción],0)),0)</f>
        <v>IMPUESTO SOBRE LAS VENTAS POR PAGAR</v>
      </c>
      <c r="W169" s="1" t="str">
        <f>IFERROR((_xlfn.XLOOKUP((VALUE(LEFT(Regcontabilizados[[#This Row],[Subcuenta]],4))),Tabla11[Cuenta],Tabla11[Descripción],0)),0)</f>
        <v>IMPUESTO SOBRE LAS VENTAS POR PAGAR</v>
      </c>
      <c r="X169" s="1" t="str">
        <f>IFERROR((_xlfn.XLOOKUP(Regcontabilizados[[#This Row],[Subcuenta]],Tabla11[Cuenta],Tabla11[Descripción],0)),0)</f>
        <v>IMPUESTO SOBRE LAS VENTAS POR PAGAR</v>
      </c>
      <c r="Y169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169" s="1" t="str">
        <f>_xlfn.XLOOKUP(Regcontabilizados[[#This Row],[Subcuenta]],Tabla11[Cuenta],Tabla11[TIPO],"")</f>
        <v>Pasivo Corriente</v>
      </c>
      <c r="AA169" s="1" t="str">
        <f>IFERROR((Regcontabilizados[[#This Row],[Subcuenta]]&amp;" "&amp;_xlfn.XLOOKUP(Regcontabilizados[[#This Row],[Subcuenta]],Tabla11[Cuenta],Tabla11[Descripción],0)),0)</f>
        <v>240805 IMPUESTO SOBRE LAS VENTAS POR PAGAR</v>
      </c>
      <c r="AB169" s="1" t="str">
        <f>IFERROR((VALUE(LEFT(Regcontabilizados[[#This Row],[Subcuenta]],2))&amp;" "&amp;_xlfn.XLOOKUP((VALUE(LEFT(Regcontabilizados[[#This Row],[Subcuenta]],2))),Tabla11[Cuenta],Tabla11[Descripción],0)),0)</f>
        <v>24 IMPUESTOS, GRAVÁMENES Y TASAS</v>
      </c>
      <c r="AC169" s="1" t="str">
        <f>IFERROR((VALUE(LEFT(Regcontabilizados[[#This Row],[Subcuenta]],4))&amp;" "&amp;_xlfn.XLOOKUP((VALUE(LEFT(Regcontabilizados[[#This Row],[Subcuenta]],4))),Tabla11[Cuenta],Tabla11[Descripción],0)),0)</f>
        <v>2408 IMPUESTO SOBRE LAS VENTAS POR PAGAR</v>
      </c>
      <c r="AD169" s="1" t="str">
        <f>IF(Regcontabilizados[[#This Row],[Eliminado]]="si","",RegContabilizados2[[#This Row],[Estado de pago]])</f>
        <v>NO PAGADO</v>
      </c>
      <c r="AE169" s="1" t="str">
        <f>IF(Regcontabilizados[[#This Row],[Eliminado]]="si","",RegContabilizados2[[#This Row],[Colum. Aux. Estado]])</f>
        <v>546565F.C.895262</v>
      </c>
      <c r="AF169" s="1">
        <f>IF(Regcontabilizados[[#This Row],[Eliminado]]="si","",RegContabilizados2[[#This Row],[Número de pago]])</f>
        <v>0</v>
      </c>
      <c r="AG169" s="1" t="str">
        <f>IF(Regcontabilizados[[#This Row],[Eliminado]]="si","",RegContabilizados2[[#This Row],[Elaborado por]])</f>
        <v>Responsable no especificado</v>
      </c>
      <c r="AH169" s="1" t="str">
        <f>IF(Regcontabilizados[[#This Row],[Eliminado]]="si","",RegContabilizados2[[#This Row],[Notas]])</f>
        <v>SE PAGO EL 70%</v>
      </c>
      <c r="AI169" s="1">
        <f>IF(Regcontabilizados[[#This Row],[Eliminado]]="si","",RegContabilizados2[[#This Row],[Método de pago]])</f>
        <v>0</v>
      </c>
      <c r="AJ169" s="1">
        <f>IF(Regcontabilizados[[#This Row],[Eliminado]]="si","",RegContabilizados2[[#This Row],[Cta. Bancaria]])</f>
        <v>0</v>
      </c>
      <c r="AO169" s="31">
        <v>45993</v>
      </c>
      <c r="AP169" s="31">
        <v>45993</v>
      </c>
      <c r="AQ169" s="31" t="s">
        <v>1180</v>
      </c>
      <c r="AR169" s="3">
        <v>895262</v>
      </c>
      <c r="AS169" s="1" t="s">
        <v>1111</v>
      </c>
      <c r="AT169" s="1">
        <v>333333</v>
      </c>
      <c r="AV169" s="3" t="s">
        <v>907</v>
      </c>
      <c r="AW169" s="3" t="s">
        <v>962</v>
      </c>
      <c r="AX169" s="3"/>
      <c r="AY169" s="3"/>
      <c r="AZ169" s="3"/>
      <c r="BA169" s="1">
        <v>1</v>
      </c>
      <c r="BB169" s="1">
        <v>45600</v>
      </c>
      <c r="BC169" s="1">
        <v>240805</v>
      </c>
      <c r="BD169" s="1">
        <v>45600</v>
      </c>
      <c r="BE169" s="1">
        <v>0</v>
      </c>
      <c r="BF169" s="1">
        <f>IFERROR((RegContabilizados2[[#This Row],[Debe]]-RegContabilizados2[[#This Row],[Haber]]),0)</f>
        <v>45600</v>
      </c>
      <c r="BG169" s="1" t="str">
        <f>IFERROR((+_xlfn.XLOOKUP(RegContabilizados2[[#This Row],[Subcuenta]],Tabla11[Cuenta],Tabla11[Descripción],0)),0)</f>
        <v>IMPUESTO SOBRE LAS VENTAS POR PAGAR</v>
      </c>
      <c r="BH169" s="1" t="str">
        <f>IFERROR((VALUE(LEFT(RegContabilizados2[[#This Row],[Subcuenta]],2))&amp;" "&amp;_xlfn.XLOOKUP((VALUE(LEFT(RegContabilizados2[[#This Row],[Subcuenta]],2))),Tabla11[Cuenta],Tabla11[Descripción],0)),0)</f>
        <v>24 IMPUESTOS, GRAVÁMENES Y TASAS</v>
      </c>
      <c r="BI169" s="1" t="str">
        <f>IFERROR((VALUE(LEFT(RegContabilizados2[[#This Row],[Subcuenta]],4))&amp;" "&amp;_xlfn.XLOOKUP((VALUE(LEFT(RegContabilizados2[[#This Row],[Subcuenta]],4))),Tabla11[Cuenta],Tabla11[Descripción],0)),0)</f>
        <v>2408 IMPUESTO SOBRE LAS VENTAS POR PAGAR</v>
      </c>
      <c r="BJ169" s="1" t="str">
        <f>IFERROR((RegContabilizados2[[#This Row],[Subcuenta]]&amp;" "&amp;_xlfn.XLOOKUP(RegContabilizados2[[#This Row],[Subcuenta]],Tabla11[Cuenta],Tabla11[Descripción],0)),0)</f>
        <v>240805 IMPUESTO SOBRE LAS VENTAS POR PAGAR</v>
      </c>
      <c r="BK169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169" s="1" t="str">
        <f>IFERROR(LEFT(RegContabilizados2[[#This Row],[Idenficador]],SEARCH("-",RegContabilizados2[[#This Row],[Idenficador]])-1),0)</f>
        <v>546565F.C.895262</v>
      </c>
      <c r="BN169" s="1" t="s">
        <v>1169</v>
      </c>
      <c r="BO169" s="1" t="s">
        <v>1170</v>
      </c>
    </row>
    <row r="170" spans="4:67">
      <c r="D170" s="31">
        <f>IF(Regcontabilizados[[#This Row],[Eliminado]]="si","",RegContabilizados2[[#This Row],[fecha Factura]])</f>
        <v>45993</v>
      </c>
      <c r="E170" s="31">
        <f>IF(Regcontabilizados[[#This Row],[Eliminado]]="si","",RegContabilizados2[[#This Row],[Fecha vencimiento]])</f>
        <v>45993</v>
      </c>
      <c r="F170" s="31" t="str">
        <f>IF(Regcontabilizados[[#This Row],[Eliminado]]="si","",RegContabilizados2[[#This Row],[Idenficador]])</f>
        <v>546565F.C.895262-11</v>
      </c>
      <c r="G170" s="3">
        <f>IF(Regcontabilizados[[#This Row],[Eliminado]]="si","",RegContabilizados2[[#This Row],[N° de factura/Pago]])</f>
        <v>895262</v>
      </c>
      <c r="H170" s="1" t="str">
        <f>IF(Regcontabilizados[[#This Row],[Eliminado]]="si","",RegContabilizados2[[#This Row],[Tipo de Factura]])</f>
        <v>F.C.</v>
      </c>
      <c r="I170" s="1">
        <f>IF(Regcontabilizados[[#This Row],[Eliminado]]="si","",RegContabilizados2[[#This Row],[ID Cliente]])</f>
        <v>333333</v>
      </c>
      <c r="J170" s="1">
        <f>IF(Regcontabilizados[[#This Row],[Eliminado]]="si","",RegContabilizados2[[#This Row],[ESTADO DEL IVA]])</f>
        <v>0</v>
      </c>
      <c r="K170" s="3" t="str">
        <f>IF(Regcontabilizados[[#This Row],[Eliminado]]="si","",RegContabilizados2[[#This Row],[ID Proveedor]])</f>
        <v>Valentina</v>
      </c>
      <c r="L170" s="3">
        <f>IF(Regcontabilizados[[#This Row],[Eliminado]]="si","",RegContabilizados2[[#This Row],[Concepto]])</f>
        <v>0</v>
      </c>
      <c r="M170" s="3">
        <f>IF(Regcontabilizados[[#This Row],[Eliminado]]="si","",RegContabilizados2[[#This Row],[Categoría]])</f>
        <v>0</v>
      </c>
      <c r="N170" s="3">
        <f>IF(Regcontabilizados[[#This Row],[Eliminado]]="si","",RegContabilizados2[[#This Row],[Almacen]])</f>
        <v>0</v>
      </c>
      <c r="O170" s="3">
        <f>IF(Regcontabilizados[[#This Row],[Eliminado]]="si","",RegContabilizados2[[#This Row],[Tipo de movimiento]])</f>
        <v>0</v>
      </c>
      <c r="P170" s="1">
        <f>IF(Regcontabilizados[[#This Row],[Eliminado]]="si","",RegContabilizados2[[#This Row],[cantidad]])</f>
        <v>0</v>
      </c>
      <c r="Q170" s="1">
        <f>IF(Regcontabilizados[[#This Row],[Eliminado]]="si","",RegContabilizados2[[#This Row],[VR unitario]])</f>
        <v>0</v>
      </c>
      <c r="R170" s="1">
        <f>IF(Regcontabilizados[[#This Row],[Eliminado]]="si","",RegContabilizados2[[#This Row],[Subcuenta]])</f>
        <v>220505</v>
      </c>
      <c r="S170" s="1">
        <f>IF(Regcontabilizados[[#This Row],[Eliminado]]="si","",RegContabilizados2[[#This Row],[Debe]])</f>
        <v>0</v>
      </c>
      <c r="T170" s="1">
        <f>IF(Regcontabilizados[[#This Row],[Eliminado]]="si","",RegContabilizados2[[#This Row],[Haber]])</f>
        <v>285600</v>
      </c>
      <c r="U170" s="1">
        <f>IFERROR((Regcontabilizados[[#This Row],[Debe]]-Regcontabilizados[[#This Row],[Haber]]),0)</f>
        <v>-285600</v>
      </c>
      <c r="V170" s="1" t="str">
        <f>IFERROR((+_xlfn.XLOOKUP(Regcontabilizados[[#This Row],[Subcuenta]],Tabla11[Cuenta],Tabla11[Descripción],0)),0)</f>
        <v>Proveedores Nacionales</v>
      </c>
      <c r="W170" s="1" t="str">
        <f>IFERROR((_xlfn.XLOOKUP((VALUE(LEFT(Regcontabilizados[[#This Row],[Subcuenta]],4))),Tabla11[Cuenta],Tabla11[Descripción],0)),0)</f>
        <v>NACIONALES</v>
      </c>
      <c r="X170" s="1" t="str">
        <f>IFERROR((_xlfn.XLOOKUP(Regcontabilizados[[#This Row],[Subcuenta]],Tabla11[Cuenta],Tabla11[Descripción],0)),0)</f>
        <v>Proveedores Nacionales</v>
      </c>
      <c r="Y170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170" s="1" t="str">
        <f>_xlfn.XLOOKUP(Regcontabilizados[[#This Row],[Subcuenta]],Tabla11[Cuenta],Tabla11[TIPO],"")</f>
        <v>Pasivo Corriente</v>
      </c>
      <c r="AA170" s="1" t="str">
        <f>IFERROR((Regcontabilizados[[#This Row],[Subcuenta]]&amp;" "&amp;_xlfn.XLOOKUP(Regcontabilizados[[#This Row],[Subcuenta]],Tabla11[Cuenta],Tabla11[Descripción],0)),0)</f>
        <v>220505 Proveedores Nacionales</v>
      </c>
      <c r="AB170" s="1" t="str">
        <f>IFERROR((VALUE(LEFT(Regcontabilizados[[#This Row],[Subcuenta]],2))&amp;" "&amp;_xlfn.XLOOKUP((VALUE(LEFT(Regcontabilizados[[#This Row],[Subcuenta]],2))),Tabla11[Cuenta],Tabla11[Descripción],0)),0)</f>
        <v>22 PROVEEDORES</v>
      </c>
      <c r="AC170" s="1" t="str">
        <f>IFERROR((VALUE(LEFT(Regcontabilizados[[#This Row],[Subcuenta]],4))&amp;" "&amp;_xlfn.XLOOKUP((VALUE(LEFT(Regcontabilizados[[#This Row],[Subcuenta]],4))),Tabla11[Cuenta],Tabla11[Descripción],0)),0)</f>
        <v>2205 NACIONALES</v>
      </c>
      <c r="AD170" s="1" t="str">
        <f>IF(Regcontabilizados[[#This Row],[Eliminado]]="si","",RegContabilizados2[[#This Row],[Estado de pago]])</f>
        <v>NO PAGADO</v>
      </c>
      <c r="AE170" s="1" t="str">
        <f>IF(Regcontabilizados[[#This Row],[Eliminado]]="si","",RegContabilizados2[[#This Row],[Colum. Aux. Estado]])</f>
        <v>546565F.C.895262</v>
      </c>
      <c r="AF170" s="1">
        <f>IF(Regcontabilizados[[#This Row],[Eliminado]]="si","",RegContabilizados2[[#This Row],[Número de pago]])</f>
        <v>0</v>
      </c>
      <c r="AG170" s="1" t="str">
        <f>IF(Regcontabilizados[[#This Row],[Eliminado]]="si","",RegContabilizados2[[#This Row],[Elaborado por]])</f>
        <v>Responsable no especificado</v>
      </c>
      <c r="AH170" s="1" t="str">
        <f>IF(Regcontabilizados[[#This Row],[Eliminado]]="si","",RegContabilizados2[[#This Row],[Notas]])</f>
        <v>SE PAGO EL 70%</v>
      </c>
      <c r="AI170" s="1">
        <f>IF(Regcontabilizados[[#This Row],[Eliminado]]="si","",RegContabilizados2[[#This Row],[Método de pago]])</f>
        <v>0</v>
      </c>
      <c r="AJ170" s="1">
        <f>IF(Regcontabilizados[[#This Row],[Eliminado]]="si","",RegContabilizados2[[#This Row],[Cta. Bancaria]])</f>
        <v>0</v>
      </c>
      <c r="AO170" s="31">
        <v>45993</v>
      </c>
      <c r="AP170" s="31">
        <v>45993</v>
      </c>
      <c r="AQ170" s="31" t="s">
        <v>1181</v>
      </c>
      <c r="AR170" s="3">
        <v>895262</v>
      </c>
      <c r="AS170" s="1" t="s">
        <v>1111</v>
      </c>
      <c r="AT170" s="1">
        <v>333333</v>
      </c>
      <c r="AV170" s="3" t="s">
        <v>907</v>
      </c>
      <c r="AW170" s="3"/>
      <c r="AX170" s="3"/>
      <c r="AY170" s="3"/>
      <c r="AZ170" s="3"/>
      <c r="BC170" s="1">
        <v>220505</v>
      </c>
      <c r="BD170" s="1">
        <v>0</v>
      </c>
      <c r="BE170" s="1">
        <v>285600</v>
      </c>
      <c r="BF170" s="1">
        <f>IFERROR((RegContabilizados2[[#This Row],[Debe]]-RegContabilizados2[[#This Row],[Haber]]),0)</f>
        <v>-285600</v>
      </c>
      <c r="BG170" s="1" t="str">
        <f>IFERROR((+_xlfn.XLOOKUP(RegContabilizados2[[#This Row],[Subcuenta]],Tabla11[Cuenta],Tabla11[Descripción],0)),0)</f>
        <v>Proveedores Nacionales</v>
      </c>
      <c r="BH170" s="1" t="str">
        <f>IFERROR((VALUE(LEFT(RegContabilizados2[[#This Row],[Subcuenta]],2))&amp;" "&amp;_xlfn.XLOOKUP((VALUE(LEFT(RegContabilizados2[[#This Row],[Subcuenta]],2))),Tabla11[Cuenta],Tabla11[Descripción],0)),0)</f>
        <v>22 PROVEEDORES</v>
      </c>
      <c r="BI170" s="1" t="str">
        <f>IFERROR((VALUE(LEFT(RegContabilizados2[[#This Row],[Subcuenta]],4))&amp;" "&amp;_xlfn.XLOOKUP((VALUE(LEFT(RegContabilizados2[[#This Row],[Subcuenta]],4))),Tabla11[Cuenta],Tabla11[Descripción],0)),0)</f>
        <v>2205 NACIONALES</v>
      </c>
      <c r="BJ170" s="1" t="str">
        <f>IFERROR((RegContabilizados2[[#This Row],[Subcuenta]]&amp;" "&amp;_xlfn.XLOOKUP(RegContabilizados2[[#This Row],[Subcuenta]],Tabla11[Cuenta],Tabla11[Descripción],0)),0)</f>
        <v>220505 Proveedores Nacionales</v>
      </c>
      <c r="BK170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170" s="1" t="str">
        <f>IFERROR(LEFT(RegContabilizados2[[#This Row],[Idenficador]],SEARCH("-",RegContabilizados2[[#This Row],[Idenficador]])-1),0)</f>
        <v>546565F.C.895262</v>
      </c>
      <c r="BN170" s="1" t="s">
        <v>1169</v>
      </c>
      <c r="BO170" s="1" t="s">
        <v>1170</v>
      </c>
    </row>
    <row r="171" spans="4:67">
      <c r="D171" s="31">
        <f>IF(Regcontabilizados[[#This Row],[Eliminado]]="si","",RegContabilizados2[[#This Row],[fecha Factura]])</f>
        <v>45993</v>
      </c>
      <c r="E171" s="31">
        <f>IF(Regcontabilizados[[#This Row],[Eliminado]]="si","",RegContabilizados2[[#This Row],[Fecha vencimiento]])</f>
        <v>45993</v>
      </c>
      <c r="F171" s="3" t="str">
        <f>IF(Regcontabilizados[[#This Row],[Eliminado]]="si","",RegContabilizados2[[#This Row],[Idenficador]])</f>
        <v>656565F.C.656564-1</v>
      </c>
      <c r="G171" s="3">
        <f>IF(Regcontabilizados[[#This Row],[Eliminado]]="si","",RegContabilizados2[[#This Row],[N° de factura/Pago]])</f>
        <v>656564</v>
      </c>
      <c r="H171" s="1" t="str">
        <f>IF(Regcontabilizados[[#This Row],[Eliminado]]="si","",RegContabilizados2[[#This Row],[Tipo de Factura]])</f>
        <v>F.C.</v>
      </c>
      <c r="I171" s="1">
        <f>IF(Regcontabilizados[[#This Row],[Eliminado]]="si","",RegContabilizados2[[#This Row],[ID Cliente]])</f>
        <v>333333</v>
      </c>
      <c r="J171" s="1">
        <f>IF(Regcontabilizados[[#This Row],[Eliminado]]="si","",RegContabilizados2[[#This Row],[ESTADO DEL IVA]])</f>
        <v>0</v>
      </c>
      <c r="K171" s="3" t="str">
        <f>IF(Regcontabilizados[[#This Row],[Eliminado]]="si","",RegContabilizados2[[#This Row],[ID Proveedor]])</f>
        <v>johan</v>
      </c>
      <c r="L171" s="3" t="str">
        <f>IF(Regcontabilizados[[#This Row],[Eliminado]]="si","",RegContabilizados2[[#This Row],[Concepto]])</f>
        <v>E622552-camisas</v>
      </c>
      <c r="M171" s="3">
        <f>IF(Regcontabilizados[[#This Row],[Eliminado]]="si","",RegContabilizados2[[#This Row],[Categoría]])</f>
        <v>0</v>
      </c>
      <c r="N171" s="3">
        <f>IF(Regcontabilizados[[#This Row],[Eliminado]]="si","",RegContabilizados2[[#This Row],[Almacen]])</f>
        <v>0</v>
      </c>
      <c r="O171" s="3">
        <f>IF(Regcontabilizados[[#This Row],[Eliminado]]="si","",RegContabilizados2[[#This Row],[Tipo de movimiento]])</f>
        <v>0</v>
      </c>
      <c r="P171" s="1">
        <f>IF(Regcontabilizados[[#This Row],[Eliminado]]="si","",RegContabilizados2[[#This Row],[cantidad]])</f>
        <v>9</v>
      </c>
      <c r="Q171" s="1">
        <f>IF(Regcontabilizados[[#This Row],[Eliminado]]="si","",RegContabilizados2[[#This Row],[VR unitario]])</f>
        <v>20000</v>
      </c>
      <c r="R171" s="1">
        <f>IF(Regcontabilizados[[#This Row],[Eliminado]]="si","",RegContabilizados2[[#This Row],[Subcuenta]])</f>
        <v>143505</v>
      </c>
      <c r="S171" s="1">
        <f>IF(Regcontabilizados[[#This Row],[Eliminado]]="si","",RegContabilizados2[[#This Row],[Debe]])</f>
        <v>180000</v>
      </c>
      <c r="T171" s="1">
        <f>IF(Regcontabilizados[[#This Row],[Eliminado]]="si","",RegContabilizados2[[#This Row],[Haber]])</f>
        <v>0</v>
      </c>
      <c r="U171" s="1">
        <f>IFERROR((Regcontabilizados[[#This Row],[Debe]]-Regcontabilizados[[#This Row],[Haber]]),0)</f>
        <v>180000</v>
      </c>
      <c r="V171" s="1" t="str">
        <f>IFERROR((+_xlfn.XLOOKUP(Regcontabilizados[[#This Row],[Subcuenta]],Tabla11[Cuenta],Tabla11[Descripción],0)),0)</f>
        <v>MERCANCÍAS DETAL</v>
      </c>
      <c r="W171" s="1" t="str">
        <f>IFERROR((_xlfn.XLOOKUP((VALUE(LEFT(Regcontabilizados[[#This Row],[Subcuenta]],4))),Tabla11[Cuenta],Tabla11[Descripción],0)),0)</f>
        <v>MERCANCÍAS NO FABRICADAS POR LA EMPRESA</v>
      </c>
      <c r="X171" s="1" t="str">
        <f>IFERROR((_xlfn.XLOOKUP(Regcontabilizados[[#This Row],[Subcuenta]],Tabla11[Cuenta],Tabla11[Descripción],0)),0)</f>
        <v>MERCANCÍAS DETAL</v>
      </c>
      <c r="Y171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171" s="1" t="str">
        <f>_xlfn.XLOOKUP(Regcontabilizados[[#This Row],[Subcuenta]],Tabla11[Cuenta],Tabla11[TIPO],"")</f>
        <v>Activo Corriente</v>
      </c>
      <c r="AA171" s="1" t="str">
        <f>IFERROR((Regcontabilizados[[#This Row],[Subcuenta]]&amp;" "&amp;_xlfn.XLOOKUP(Regcontabilizados[[#This Row],[Subcuenta]],Tabla11[Cuenta],Tabla11[Descripción],0)),0)</f>
        <v>143505 MERCANCÍAS DETAL</v>
      </c>
      <c r="AB171" s="1" t="str">
        <f>IFERROR((VALUE(LEFT(Regcontabilizados[[#This Row],[Subcuenta]],2))&amp;" "&amp;_xlfn.XLOOKUP((VALUE(LEFT(Regcontabilizados[[#This Row],[Subcuenta]],2))),Tabla11[Cuenta],Tabla11[Descripción],0)),0)</f>
        <v>14 INVENTARIOS</v>
      </c>
      <c r="AC171" s="1" t="str">
        <f>IFERROR((VALUE(LEFT(Regcontabilizados[[#This Row],[Subcuenta]],4))&amp;" "&amp;_xlfn.XLOOKUP((VALUE(LEFT(Regcontabilizados[[#This Row],[Subcuenta]],4))),Tabla11[Cuenta],Tabla11[Descripción],0)),0)</f>
        <v>1435 MERCANCÍAS NO FABRICADAS POR LA EMPRESA</v>
      </c>
      <c r="AD171" s="1" t="str">
        <f>IF(Regcontabilizados[[#This Row],[Eliminado]]="si","",RegContabilizados2[[#This Row],[Estado de pago]])</f>
        <v>NO PAGADO</v>
      </c>
      <c r="AE171" s="1" t="str">
        <f>IF(Regcontabilizados[[#This Row],[Eliminado]]="si","",RegContabilizados2[[#This Row],[Colum. Aux. Estado]])</f>
        <v>656565F.C.656564</v>
      </c>
      <c r="AF171" s="1">
        <f>IF(Regcontabilizados[[#This Row],[Eliminado]]="si","",RegContabilizados2[[#This Row],[Número de pago]])</f>
        <v>0</v>
      </c>
      <c r="AG171" s="1" t="str">
        <f>IF(Regcontabilizados[[#This Row],[Eliminado]]="si","",RegContabilizados2[[#This Row],[Elaborado por]])</f>
        <v>Responsable no especificado</v>
      </c>
      <c r="AH171" s="1" t="str">
        <f>IF(Regcontabilizados[[#This Row],[Eliminado]]="si","",RegContabilizados2[[#This Row],[Notas]])</f>
        <v>CAMISAS QUE SE PAGARON EN 50%</v>
      </c>
      <c r="AI171" s="1">
        <f>IF(Regcontabilizados[[#This Row],[Eliminado]]="si","",RegContabilizados2[[#This Row],[Método de pago]])</f>
        <v>0</v>
      </c>
      <c r="AJ171" s="1">
        <f>IF(Regcontabilizados[[#This Row],[Eliminado]]="si","",RegContabilizados2[[#This Row],[Cta. Bancaria]])</f>
        <v>0</v>
      </c>
      <c r="AO171" s="31">
        <v>45993</v>
      </c>
      <c r="AP171" s="31">
        <v>45993</v>
      </c>
      <c r="AQ171" s="3" t="s">
        <v>1157</v>
      </c>
      <c r="AR171" s="3">
        <v>656564</v>
      </c>
      <c r="AS171" s="1" t="s">
        <v>1111</v>
      </c>
      <c r="AT171" s="1">
        <v>333333</v>
      </c>
      <c r="AV171" s="3" t="s">
        <v>903</v>
      </c>
      <c r="AW171" s="3" t="s">
        <v>1089</v>
      </c>
      <c r="AX171" s="3"/>
      <c r="AY171" s="3"/>
      <c r="AZ171" s="3"/>
      <c r="BA171" s="1">
        <v>9</v>
      </c>
      <c r="BB171" s="1">
        <v>20000</v>
      </c>
      <c r="BC171" s="1">
        <v>143505</v>
      </c>
      <c r="BD171" s="1">
        <v>180000</v>
      </c>
      <c r="BE171" s="1">
        <v>0</v>
      </c>
      <c r="BF171" s="1">
        <f>IFERROR((RegContabilizados2[[#This Row],[Debe]]-RegContabilizados2[[#This Row],[Haber]]),0)</f>
        <v>180000</v>
      </c>
      <c r="BG171" s="1" t="str">
        <f>IFERROR((+_xlfn.XLOOKUP(RegContabilizados2[[#This Row],[Subcuenta]],Tabla11[Cuenta],Tabla11[Descripción],0)),0)</f>
        <v>MERCANCÍAS DETAL</v>
      </c>
      <c r="BH171" s="1" t="str">
        <f>IFERROR((VALUE(LEFT(RegContabilizados2[[#This Row],[Subcuenta]],2))&amp;" "&amp;_xlfn.XLOOKUP((VALUE(LEFT(RegContabilizados2[[#This Row],[Subcuenta]],2))),Tabla11[Cuenta],Tabla11[Descripción],0)),0)</f>
        <v>14 INVENTARIOS</v>
      </c>
      <c r="BI171" s="1" t="str">
        <f>IFERROR((VALUE(LEFT(RegContabilizados2[[#This Row],[Subcuenta]],4))&amp;" "&amp;_xlfn.XLOOKUP((VALUE(LEFT(RegContabilizados2[[#This Row],[Subcuenta]],4))),Tabla11[Cuenta],Tabla11[Descripción],0)),0)</f>
        <v>1435 MERCANCÍAS NO FABRICADAS POR LA EMPRESA</v>
      </c>
      <c r="BJ171" s="1" t="str">
        <f>IFERROR((RegContabilizados2[[#This Row],[Subcuenta]]&amp;" "&amp;_xlfn.XLOOKUP(RegContabilizados2[[#This Row],[Subcuenta]],Tabla11[Cuenta],Tabla11[Descripción],0)),0)</f>
        <v>143505 MERCANCÍAS DETAL</v>
      </c>
      <c r="BK171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171" s="1" t="str">
        <f>IFERROR(LEFT(RegContabilizados2[[#This Row],[Idenficador]],SEARCH("-",RegContabilizados2[[#This Row],[Idenficador]])-1),0)</f>
        <v>656565F.C.656564</v>
      </c>
      <c r="BN171" s="1" t="s">
        <v>1169</v>
      </c>
      <c r="BO171" s="1" t="s">
        <v>1156</v>
      </c>
    </row>
    <row r="172" spans="4:67">
      <c r="D172" s="31">
        <f>IF(Regcontabilizados[[#This Row],[Eliminado]]="si","",RegContabilizados2[[#This Row],[fecha Factura]])</f>
        <v>45993</v>
      </c>
      <c r="E172" s="31">
        <f>IF(Regcontabilizados[[#This Row],[Eliminado]]="si","",RegContabilizados2[[#This Row],[Fecha vencimiento]])</f>
        <v>45993</v>
      </c>
      <c r="F172" s="3" t="str">
        <f>IF(Regcontabilizados[[#This Row],[Eliminado]]="si","",RegContabilizados2[[#This Row],[Idenficador]])</f>
        <v>656565F.C.656564-2</v>
      </c>
      <c r="G172" s="3">
        <f>IF(Regcontabilizados[[#This Row],[Eliminado]]="si","",RegContabilizados2[[#This Row],[N° de factura/Pago]])</f>
        <v>656564</v>
      </c>
      <c r="H172" s="1" t="str">
        <f>IF(Regcontabilizados[[#This Row],[Eliminado]]="si","",RegContabilizados2[[#This Row],[Tipo de Factura]])</f>
        <v>F.C.</v>
      </c>
      <c r="I172" s="1">
        <f>IF(Regcontabilizados[[#This Row],[Eliminado]]="si","",RegContabilizados2[[#This Row],[ID Cliente]])</f>
        <v>333333</v>
      </c>
      <c r="J172" s="1">
        <f>IF(Regcontabilizados[[#This Row],[Eliminado]]="si","",RegContabilizados2[[#This Row],[ESTADO DEL IVA]])</f>
        <v>0</v>
      </c>
      <c r="K172" s="3" t="str">
        <f>IF(Regcontabilizados[[#This Row],[Eliminado]]="si","",RegContabilizados2[[#This Row],[ID Proveedor]])</f>
        <v>johan</v>
      </c>
      <c r="L172" s="3">
        <f>IF(Regcontabilizados[[#This Row],[Eliminado]]="si","",RegContabilizados2[[#This Row],[Concepto]])</f>
        <v>0</v>
      </c>
      <c r="M172" s="3">
        <f>IF(Regcontabilizados[[#This Row],[Eliminado]]="si","",RegContabilizados2[[#This Row],[Categoría]])</f>
        <v>0</v>
      </c>
      <c r="N172" s="3">
        <f>IF(Regcontabilizados[[#This Row],[Eliminado]]="si","",RegContabilizados2[[#This Row],[Almacen]])</f>
        <v>0</v>
      </c>
      <c r="O172" s="3">
        <f>IF(Regcontabilizados[[#This Row],[Eliminado]]="si","",RegContabilizados2[[#This Row],[Tipo de movimiento]])</f>
        <v>0</v>
      </c>
      <c r="P172" s="1">
        <f>IF(Regcontabilizados[[#This Row],[Eliminado]]="si","",RegContabilizados2[[#This Row],[cantidad]])</f>
        <v>0</v>
      </c>
      <c r="Q172" s="1">
        <f>IF(Regcontabilizados[[#This Row],[Eliminado]]="si","",RegContabilizados2[[#This Row],[VR unitario]])</f>
        <v>0</v>
      </c>
      <c r="R172" s="1" t="str">
        <f>IF(Regcontabilizados[[#This Row],[Eliminado]]="si","",RegContabilizados2[[#This Row],[Subcuenta]])</f>
        <v/>
      </c>
      <c r="S172" s="1">
        <f>IF(Regcontabilizados[[#This Row],[Eliminado]]="si","",RegContabilizados2[[#This Row],[Debe]])</f>
        <v>0</v>
      </c>
      <c r="T172" s="1">
        <f>IF(Regcontabilizados[[#This Row],[Eliminado]]="si","",RegContabilizados2[[#This Row],[Haber]])</f>
        <v>0</v>
      </c>
      <c r="U172" s="1">
        <f>IFERROR((Regcontabilizados[[#This Row],[Debe]]-Regcontabilizados[[#This Row],[Haber]]),0)</f>
        <v>0</v>
      </c>
      <c r="V172" s="1">
        <f>IFERROR((+_xlfn.XLOOKUP(Regcontabilizados[[#This Row],[Subcuenta]],Tabla11[Cuenta],Tabla11[Descripción],0)),0)</f>
        <v>0</v>
      </c>
      <c r="W172" s="1">
        <f>IFERROR((_xlfn.XLOOKUP((VALUE(LEFT(Regcontabilizados[[#This Row],[Subcuenta]],4))),Tabla11[Cuenta],Tabla11[Descripción],0)),0)</f>
        <v>0</v>
      </c>
      <c r="X172" s="1">
        <f>IFERROR((_xlfn.XLOOKUP(Regcontabilizados[[#This Row],[Subcuenta]],Tabla11[Cuenta],Tabla11[Descripción],0)),0)</f>
        <v>0</v>
      </c>
      <c r="Y172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172" s="1" t="str">
        <f>_xlfn.XLOOKUP(Regcontabilizados[[#This Row],[Subcuenta]],Tabla11[Cuenta],Tabla11[TIPO],"")</f>
        <v/>
      </c>
      <c r="AA172" s="1" t="str">
        <f>IFERROR((Regcontabilizados[[#This Row],[Subcuenta]]&amp;" "&amp;_xlfn.XLOOKUP(Regcontabilizados[[#This Row],[Subcuenta]],Tabla11[Cuenta],Tabla11[Descripción],0)),0)</f>
        <v xml:space="preserve"> 0</v>
      </c>
      <c r="AB172" s="1">
        <f>IFERROR((VALUE(LEFT(Regcontabilizados[[#This Row],[Subcuenta]],2))&amp;" "&amp;_xlfn.XLOOKUP((VALUE(LEFT(Regcontabilizados[[#This Row],[Subcuenta]],2))),Tabla11[Cuenta],Tabla11[Descripción],0)),0)</f>
        <v>0</v>
      </c>
      <c r="AC172" s="1">
        <f>IFERROR((VALUE(LEFT(Regcontabilizados[[#This Row],[Subcuenta]],4))&amp;" "&amp;_xlfn.XLOOKUP((VALUE(LEFT(Regcontabilizados[[#This Row],[Subcuenta]],4))),Tabla11[Cuenta],Tabla11[Descripción],0)),0)</f>
        <v>0</v>
      </c>
      <c r="AD172" s="1" t="str">
        <f>IF(Regcontabilizados[[#This Row],[Eliminado]]="si","",RegContabilizados2[[#This Row],[Estado de pago]])</f>
        <v>NO PAGADO</v>
      </c>
      <c r="AE172" s="1" t="str">
        <f>IF(Regcontabilizados[[#This Row],[Eliminado]]="si","",RegContabilizados2[[#This Row],[Colum. Aux. Estado]])</f>
        <v>656565F.C.656564</v>
      </c>
      <c r="AF172" s="1">
        <f>IF(Regcontabilizados[[#This Row],[Eliminado]]="si","",RegContabilizados2[[#This Row],[Número de pago]])</f>
        <v>0</v>
      </c>
      <c r="AG172" s="1" t="str">
        <f>IF(Regcontabilizados[[#This Row],[Eliminado]]="si","",RegContabilizados2[[#This Row],[Elaborado por]])</f>
        <v>Responsable no especificado</v>
      </c>
      <c r="AH172" s="1" t="str">
        <f>IF(Regcontabilizados[[#This Row],[Eliminado]]="si","",RegContabilizados2[[#This Row],[Notas]])</f>
        <v>CAMISAS QUE SE PAGARON EN 50%</v>
      </c>
      <c r="AI172" s="1">
        <f>IF(Regcontabilizados[[#This Row],[Eliminado]]="si","",RegContabilizados2[[#This Row],[Método de pago]])</f>
        <v>0</v>
      </c>
      <c r="AJ172" s="1">
        <f>IF(Regcontabilizados[[#This Row],[Eliminado]]="si","",RegContabilizados2[[#This Row],[Cta. Bancaria]])</f>
        <v>0</v>
      </c>
      <c r="AO172" s="31">
        <v>45993</v>
      </c>
      <c r="AP172" s="31">
        <v>45993</v>
      </c>
      <c r="AQ172" s="3" t="s">
        <v>1158</v>
      </c>
      <c r="AR172" s="3">
        <v>656564</v>
      </c>
      <c r="AS172" s="1" t="s">
        <v>1111</v>
      </c>
      <c r="AT172" s="1">
        <v>333333</v>
      </c>
      <c r="AV172" s="3" t="s">
        <v>903</v>
      </c>
      <c r="AW172" s="3"/>
      <c r="AX172" s="3"/>
      <c r="AY172" s="3"/>
      <c r="AZ172" s="3"/>
      <c r="BC172" s="1" t="s">
        <v>1168</v>
      </c>
      <c r="BD172" s="1">
        <v>0</v>
      </c>
      <c r="BE172" s="1">
        <v>0</v>
      </c>
      <c r="BF172" s="1">
        <f>IFERROR((RegContabilizados2[[#This Row],[Debe]]-RegContabilizados2[[#This Row],[Haber]]),0)</f>
        <v>0</v>
      </c>
      <c r="BG172" s="1">
        <f>IFERROR((+_xlfn.XLOOKUP(RegContabilizados2[[#This Row],[Subcuenta]],Tabla11[Cuenta],Tabla11[Descripción],0)),0)</f>
        <v>0</v>
      </c>
      <c r="BH172" s="1">
        <f>IFERROR((VALUE(LEFT(RegContabilizados2[[#This Row],[Subcuenta]],2))&amp;" "&amp;_xlfn.XLOOKUP((VALUE(LEFT(RegContabilizados2[[#This Row],[Subcuenta]],2))),Tabla11[Cuenta],Tabla11[Descripción],0)),0)</f>
        <v>0</v>
      </c>
      <c r="BI172" s="1">
        <f>IFERROR((VALUE(LEFT(RegContabilizados2[[#This Row],[Subcuenta]],4))&amp;" "&amp;_xlfn.XLOOKUP((VALUE(LEFT(RegContabilizados2[[#This Row],[Subcuenta]],4))),Tabla11[Cuenta],Tabla11[Descripción],0)),0)</f>
        <v>0</v>
      </c>
      <c r="BJ172" s="1" t="str">
        <f>IFERROR((RegContabilizados2[[#This Row],[Subcuenta]]&amp;" "&amp;_xlfn.XLOOKUP(RegContabilizados2[[#This Row],[Subcuenta]],Tabla11[Cuenta],Tabla11[Descripción],0)),0)</f>
        <v xml:space="preserve"> 0</v>
      </c>
      <c r="BK172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172" s="1" t="str">
        <f>IFERROR(LEFT(RegContabilizados2[[#This Row],[Idenficador]],SEARCH("-",RegContabilizados2[[#This Row],[Idenficador]])-1),0)</f>
        <v>656565F.C.656564</v>
      </c>
      <c r="BN172" s="1" t="s">
        <v>1169</v>
      </c>
      <c r="BO172" s="1" t="s">
        <v>1156</v>
      </c>
    </row>
    <row r="173" spans="4:67">
      <c r="D173" s="31">
        <f>IF(Regcontabilizados[[#This Row],[Eliminado]]="si","",RegContabilizados2[[#This Row],[fecha Factura]])</f>
        <v>45993</v>
      </c>
      <c r="E173" s="31">
        <f>IF(Regcontabilizados[[#This Row],[Eliminado]]="si","",RegContabilizados2[[#This Row],[Fecha vencimiento]])</f>
        <v>45993</v>
      </c>
      <c r="F173" s="3" t="str">
        <f>IF(Regcontabilizados[[#This Row],[Eliminado]]="si","",RegContabilizados2[[#This Row],[Idenficador]])</f>
        <v>656565F.C.656564-3</v>
      </c>
      <c r="G173" s="3">
        <f>IF(Regcontabilizados[[#This Row],[Eliminado]]="si","",RegContabilizados2[[#This Row],[N° de factura/Pago]])</f>
        <v>656564</v>
      </c>
      <c r="H173" s="1" t="str">
        <f>IF(Regcontabilizados[[#This Row],[Eliminado]]="si","",RegContabilizados2[[#This Row],[Tipo de Factura]])</f>
        <v>F.C.</v>
      </c>
      <c r="I173" s="1">
        <f>IF(Regcontabilizados[[#This Row],[Eliminado]]="si","",RegContabilizados2[[#This Row],[ID Cliente]])</f>
        <v>333333</v>
      </c>
      <c r="J173" s="1">
        <f>IF(Regcontabilizados[[#This Row],[Eliminado]]="si","",RegContabilizados2[[#This Row],[ESTADO DEL IVA]])</f>
        <v>0</v>
      </c>
      <c r="K173" s="3" t="str">
        <f>IF(Regcontabilizados[[#This Row],[Eliminado]]="si","",RegContabilizados2[[#This Row],[ID Proveedor]])</f>
        <v>johan</v>
      </c>
      <c r="L173" s="3">
        <f>IF(Regcontabilizados[[#This Row],[Eliminado]]="si","",RegContabilizados2[[#This Row],[Concepto]])</f>
        <v>0</v>
      </c>
      <c r="M173" s="3">
        <f>IF(Regcontabilizados[[#This Row],[Eliminado]]="si","",RegContabilizados2[[#This Row],[Categoría]])</f>
        <v>0</v>
      </c>
      <c r="N173" s="3">
        <f>IF(Regcontabilizados[[#This Row],[Eliminado]]="si","",RegContabilizados2[[#This Row],[Almacen]])</f>
        <v>0</v>
      </c>
      <c r="O173" s="3">
        <f>IF(Regcontabilizados[[#This Row],[Eliminado]]="si","",RegContabilizados2[[#This Row],[Tipo de movimiento]])</f>
        <v>0</v>
      </c>
      <c r="P173" s="1">
        <f>IF(Regcontabilizados[[#This Row],[Eliminado]]="si","",RegContabilizados2[[#This Row],[cantidad]])</f>
        <v>0</v>
      </c>
      <c r="Q173" s="1">
        <f>IF(Regcontabilizados[[#This Row],[Eliminado]]="si","",RegContabilizados2[[#This Row],[VR unitario]])</f>
        <v>0</v>
      </c>
      <c r="R173" s="1" t="str">
        <f>IF(Regcontabilizados[[#This Row],[Eliminado]]="si","",RegContabilizados2[[#This Row],[Subcuenta]])</f>
        <v/>
      </c>
      <c r="S173" s="1">
        <f>IF(Regcontabilizados[[#This Row],[Eliminado]]="si","",RegContabilizados2[[#This Row],[Debe]])</f>
        <v>0</v>
      </c>
      <c r="T173" s="1">
        <f>IF(Regcontabilizados[[#This Row],[Eliminado]]="si","",RegContabilizados2[[#This Row],[Haber]])</f>
        <v>0</v>
      </c>
      <c r="U173" s="1">
        <f>IFERROR((Regcontabilizados[[#This Row],[Debe]]-Regcontabilizados[[#This Row],[Haber]]),0)</f>
        <v>0</v>
      </c>
      <c r="V173" s="1">
        <f>IFERROR((+_xlfn.XLOOKUP(Regcontabilizados[[#This Row],[Subcuenta]],Tabla11[Cuenta],Tabla11[Descripción],0)),0)</f>
        <v>0</v>
      </c>
      <c r="W173" s="1">
        <f>IFERROR((_xlfn.XLOOKUP((VALUE(LEFT(Regcontabilizados[[#This Row],[Subcuenta]],4))),Tabla11[Cuenta],Tabla11[Descripción],0)),0)</f>
        <v>0</v>
      </c>
      <c r="X173" s="1">
        <f>IFERROR((_xlfn.XLOOKUP(Regcontabilizados[[#This Row],[Subcuenta]],Tabla11[Cuenta],Tabla11[Descripción],0)),0)</f>
        <v>0</v>
      </c>
      <c r="Y173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173" s="1" t="str">
        <f>_xlfn.XLOOKUP(Regcontabilizados[[#This Row],[Subcuenta]],Tabla11[Cuenta],Tabla11[TIPO],"")</f>
        <v/>
      </c>
      <c r="AA173" s="1" t="str">
        <f>IFERROR((Regcontabilizados[[#This Row],[Subcuenta]]&amp;" "&amp;_xlfn.XLOOKUP(Regcontabilizados[[#This Row],[Subcuenta]],Tabla11[Cuenta],Tabla11[Descripción],0)),0)</f>
        <v xml:space="preserve"> 0</v>
      </c>
      <c r="AB173" s="1">
        <f>IFERROR((VALUE(LEFT(Regcontabilizados[[#This Row],[Subcuenta]],2))&amp;" "&amp;_xlfn.XLOOKUP((VALUE(LEFT(Regcontabilizados[[#This Row],[Subcuenta]],2))),Tabla11[Cuenta],Tabla11[Descripción],0)),0)</f>
        <v>0</v>
      </c>
      <c r="AC173" s="1">
        <f>IFERROR((VALUE(LEFT(Regcontabilizados[[#This Row],[Subcuenta]],4))&amp;" "&amp;_xlfn.XLOOKUP((VALUE(LEFT(Regcontabilizados[[#This Row],[Subcuenta]],4))),Tabla11[Cuenta],Tabla11[Descripción],0)),0)</f>
        <v>0</v>
      </c>
      <c r="AD173" s="1" t="str">
        <f>IF(Regcontabilizados[[#This Row],[Eliminado]]="si","",RegContabilizados2[[#This Row],[Estado de pago]])</f>
        <v>NO PAGADO</v>
      </c>
      <c r="AE173" s="1" t="str">
        <f>IF(Regcontabilizados[[#This Row],[Eliminado]]="si","",RegContabilizados2[[#This Row],[Colum. Aux. Estado]])</f>
        <v>656565F.C.656564</v>
      </c>
      <c r="AF173" s="1">
        <f>IF(Regcontabilizados[[#This Row],[Eliminado]]="si","",RegContabilizados2[[#This Row],[Número de pago]])</f>
        <v>0</v>
      </c>
      <c r="AG173" s="1" t="str">
        <f>IF(Regcontabilizados[[#This Row],[Eliminado]]="si","",RegContabilizados2[[#This Row],[Elaborado por]])</f>
        <v>Responsable no especificado</v>
      </c>
      <c r="AH173" s="1" t="str">
        <f>IF(Regcontabilizados[[#This Row],[Eliminado]]="si","",RegContabilizados2[[#This Row],[Notas]])</f>
        <v>CAMISAS QUE SE PAGARON EN 50%</v>
      </c>
      <c r="AI173" s="1">
        <f>IF(Regcontabilizados[[#This Row],[Eliminado]]="si","",RegContabilizados2[[#This Row],[Método de pago]])</f>
        <v>0</v>
      </c>
      <c r="AJ173" s="1">
        <f>IF(Regcontabilizados[[#This Row],[Eliminado]]="si","",RegContabilizados2[[#This Row],[Cta. Bancaria]])</f>
        <v>0</v>
      </c>
      <c r="AO173" s="31">
        <v>45993</v>
      </c>
      <c r="AP173" s="31">
        <v>45993</v>
      </c>
      <c r="AQ173" s="3" t="s">
        <v>1159</v>
      </c>
      <c r="AR173" s="3">
        <v>656564</v>
      </c>
      <c r="AS173" s="1" t="s">
        <v>1111</v>
      </c>
      <c r="AT173" s="1">
        <v>333333</v>
      </c>
      <c r="AV173" s="3" t="s">
        <v>903</v>
      </c>
      <c r="AW173" s="3"/>
      <c r="AX173" s="3"/>
      <c r="AY173" s="3"/>
      <c r="AZ173" s="3"/>
      <c r="BC173" s="1" t="s">
        <v>1168</v>
      </c>
      <c r="BD173" s="1">
        <v>0</v>
      </c>
      <c r="BE173" s="1">
        <v>0</v>
      </c>
      <c r="BF173" s="1">
        <f>IFERROR((RegContabilizados2[[#This Row],[Debe]]-RegContabilizados2[[#This Row],[Haber]]),0)</f>
        <v>0</v>
      </c>
      <c r="BG173" s="1">
        <f>IFERROR((+_xlfn.XLOOKUP(RegContabilizados2[[#This Row],[Subcuenta]],Tabla11[Cuenta],Tabla11[Descripción],0)),0)</f>
        <v>0</v>
      </c>
      <c r="BH173" s="1">
        <f>IFERROR((VALUE(LEFT(RegContabilizados2[[#This Row],[Subcuenta]],2))&amp;" "&amp;_xlfn.XLOOKUP((VALUE(LEFT(RegContabilizados2[[#This Row],[Subcuenta]],2))),Tabla11[Cuenta],Tabla11[Descripción],0)),0)</f>
        <v>0</v>
      </c>
      <c r="BI173" s="1">
        <f>IFERROR((VALUE(LEFT(RegContabilizados2[[#This Row],[Subcuenta]],4))&amp;" "&amp;_xlfn.XLOOKUP((VALUE(LEFT(RegContabilizados2[[#This Row],[Subcuenta]],4))),Tabla11[Cuenta],Tabla11[Descripción],0)),0)</f>
        <v>0</v>
      </c>
      <c r="BJ173" s="1" t="str">
        <f>IFERROR((RegContabilizados2[[#This Row],[Subcuenta]]&amp;" "&amp;_xlfn.XLOOKUP(RegContabilizados2[[#This Row],[Subcuenta]],Tabla11[Cuenta],Tabla11[Descripción],0)),0)</f>
        <v xml:space="preserve"> 0</v>
      </c>
      <c r="BK173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173" s="1" t="str">
        <f>IFERROR(LEFT(RegContabilizados2[[#This Row],[Idenficador]],SEARCH("-",RegContabilizados2[[#This Row],[Idenficador]])-1),0)</f>
        <v>656565F.C.656564</v>
      </c>
      <c r="BN173" s="1" t="s">
        <v>1169</v>
      </c>
      <c r="BO173" s="1" t="s">
        <v>1156</v>
      </c>
    </row>
    <row r="174" spans="4:67">
      <c r="D174" s="31">
        <f>IF(Regcontabilizados[[#This Row],[Eliminado]]="si","",RegContabilizados2[[#This Row],[fecha Factura]])</f>
        <v>45993</v>
      </c>
      <c r="E174" s="31">
        <f>IF(Regcontabilizados[[#This Row],[Eliminado]]="si","",RegContabilizados2[[#This Row],[Fecha vencimiento]])</f>
        <v>45993</v>
      </c>
      <c r="F174" s="3" t="str">
        <f>IF(Regcontabilizados[[#This Row],[Eliminado]]="si","",RegContabilizados2[[#This Row],[Idenficador]])</f>
        <v>656565F.C.656564-4</v>
      </c>
      <c r="G174" s="3">
        <f>IF(Regcontabilizados[[#This Row],[Eliminado]]="si","",RegContabilizados2[[#This Row],[N° de factura/Pago]])</f>
        <v>656564</v>
      </c>
      <c r="H174" s="1" t="str">
        <f>IF(Regcontabilizados[[#This Row],[Eliminado]]="si","",RegContabilizados2[[#This Row],[Tipo de Factura]])</f>
        <v>F.C.</v>
      </c>
      <c r="I174" s="1">
        <f>IF(Regcontabilizados[[#This Row],[Eliminado]]="si","",RegContabilizados2[[#This Row],[ID Cliente]])</f>
        <v>333333</v>
      </c>
      <c r="J174" s="1">
        <f>IF(Regcontabilizados[[#This Row],[Eliminado]]="si","",RegContabilizados2[[#This Row],[ESTADO DEL IVA]])</f>
        <v>0</v>
      </c>
      <c r="K174" s="3" t="str">
        <f>IF(Regcontabilizados[[#This Row],[Eliminado]]="si","",RegContabilizados2[[#This Row],[ID Proveedor]])</f>
        <v>johan</v>
      </c>
      <c r="L174" s="3">
        <f>IF(Regcontabilizados[[#This Row],[Eliminado]]="si","",RegContabilizados2[[#This Row],[Concepto]])</f>
        <v>0</v>
      </c>
      <c r="M174" s="3">
        <f>IF(Regcontabilizados[[#This Row],[Eliminado]]="si","",RegContabilizados2[[#This Row],[Categoría]])</f>
        <v>0</v>
      </c>
      <c r="N174" s="3">
        <f>IF(Regcontabilizados[[#This Row],[Eliminado]]="si","",RegContabilizados2[[#This Row],[Almacen]])</f>
        <v>0</v>
      </c>
      <c r="O174" s="3">
        <f>IF(Regcontabilizados[[#This Row],[Eliminado]]="si","",RegContabilizados2[[#This Row],[Tipo de movimiento]])</f>
        <v>0</v>
      </c>
      <c r="P174" s="1">
        <f>IF(Regcontabilizados[[#This Row],[Eliminado]]="si","",RegContabilizados2[[#This Row],[cantidad]])</f>
        <v>0</v>
      </c>
      <c r="Q174" s="1">
        <f>IF(Regcontabilizados[[#This Row],[Eliminado]]="si","",RegContabilizados2[[#This Row],[VR unitario]])</f>
        <v>0</v>
      </c>
      <c r="R174" s="1" t="str">
        <f>IF(Regcontabilizados[[#This Row],[Eliminado]]="si","",RegContabilizados2[[#This Row],[Subcuenta]])</f>
        <v/>
      </c>
      <c r="S174" s="1">
        <f>IF(Regcontabilizados[[#This Row],[Eliminado]]="si","",RegContabilizados2[[#This Row],[Debe]])</f>
        <v>0</v>
      </c>
      <c r="T174" s="1">
        <f>IF(Regcontabilizados[[#This Row],[Eliminado]]="si","",RegContabilizados2[[#This Row],[Haber]])</f>
        <v>0</v>
      </c>
      <c r="U174" s="1">
        <f>IFERROR((Regcontabilizados[[#This Row],[Debe]]-Regcontabilizados[[#This Row],[Haber]]),0)</f>
        <v>0</v>
      </c>
      <c r="V174" s="1">
        <f>IFERROR((+_xlfn.XLOOKUP(Regcontabilizados[[#This Row],[Subcuenta]],Tabla11[Cuenta],Tabla11[Descripción],0)),0)</f>
        <v>0</v>
      </c>
      <c r="W174" s="1">
        <f>IFERROR((_xlfn.XLOOKUP((VALUE(LEFT(Regcontabilizados[[#This Row],[Subcuenta]],4))),Tabla11[Cuenta],Tabla11[Descripción],0)),0)</f>
        <v>0</v>
      </c>
      <c r="X174" s="1">
        <f>IFERROR((_xlfn.XLOOKUP(Regcontabilizados[[#This Row],[Subcuenta]],Tabla11[Cuenta],Tabla11[Descripción],0)),0)</f>
        <v>0</v>
      </c>
      <c r="Y174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174" s="1" t="str">
        <f>_xlfn.XLOOKUP(Regcontabilizados[[#This Row],[Subcuenta]],Tabla11[Cuenta],Tabla11[TIPO],"")</f>
        <v/>
      </c>
      <c r="AA174" s="1" t="str">
        <f>IFERROR((Regcontabilizados[[#This Row],[Subcuenta]]&amp;" "&amp;_xlfn.XLOOKUP(Regcontabilizados[[#This Row],[Subcuenta]],Tabla11[Cuenta],Tabla11[Descripción],0)),0)</f>
        <v xml:space="preserve"> 0</v>
      </c>
      <c r="AB174" s="1">
        <f>IFERROR((VALUE(LEFT(Regcontabilizados[[#This Row],[Subcuenta]],2))&amp;" "&amp;_xlfn.XLOOKUP((VALUE(LEFT(Regcontabilizados[[#This Row],[Subcuenta]],2))),Tabla11[Cuenta],Tabla11[Descripción],0)),0)</f>
        <v>0</v>
      </c>
      <c r="AC174" s="1">
        <f>IFERROR((VALUE(LEFT(Regcontabilizados[[#This Row],[Subcuenta]],4))&amp;" "&amp;_xlfn.XLOOKUP((VALUE(LEFT(Regcontabilizados[[#This Row],[Subcuenta]],4))),Tabla11[Cuenta],Tabla11[Descripción],0)),0)</f>
        <v>0</v>
      </c>
      <c r="AD174" s="1" t="str">
        <f>IF(Regcontabilizados[[#This Row],[Eliminado]]="si","",RegContabilizados2[[#This Row],[Estado de pago]])</f>
        <v>NO PAGADO</v>
      </c>
      <c r="AE174" s="1" t="str">
        <f>IF(Regcontabilizados[[#This Row],[Eliminado]]="si","",RegContabilizados2[[#This Row],[Colum. Aux. Estado]])</f>
        <v>656565F.C.656564</v>
      </c>
      <c r="AF174" s="1">
        <f>IF(Regcontabilizados[[#This Row],[Eliminado]]="si","",RegContabilizados2[[#This Row],[Número de pago]])</f>
        <v>0</v>
      </c>
      <c r="AG174" s="1" t="str">
        <f>IF(Regcontabilizados[[#This Row],[Eliminado]]="si","",RegContabilizados2[[#This Row],[Elaborado por]])</f>
        <v>Responsable no especificado</v>
      </c>
      <c r="AH174" s="1" t="str">
        <f>IF(Regcontabilizados[[#This Row],[Eliminado]]="si","",RegContabilizados2[[#This Row],[Notas]])</f>
        <v>CAMISAS QUE SE PAGARON EN 50%</v>
      </c>
      <c r="AI174" s="1">
        <f>IF(Regcontabilizados[[#This Row],[Eliminado]]="si","",RegContabilizados2[[#This Row],[Método de pago]])</f>
        <v>0</v>
      </c>
      <c r="AJ174" s="1">
        <f>IF(Regcontabilizados[[#This Row],[Eliminado]]="si","",RegContabilizados2[[#This Row],[Cta. Bancaria]])</f>
        <v>0</v>
      </c>
      <c r="AO174" s="31">
        <v>45993</v>
      </c>
      <c r="AP174" s="31">
        <v>45993</v>
      </c>
      <c r="AQ174" s="3" t="s">
        <v>1160</v>
      </c>
      <c r="AR174" s="3">
        <v>656564</v>
      </c>
      <c r="AS174" s="1" t="s">
        <v>1111</v>
      </c>
      <c r="AT174" s="1">
        <v>333333</v>
      </c>
      <c r="AV174" s="3" t="s">
        <v>903</v>
      </c>
      <c r="AW174" s="3"/>
      <c r="AX174" s="3"/>
      <c r="AY174" s="3"/>
      <c r="AZ174" s="3"/>
      <c r="BC174" s="1" t="s">
        <v>1168</v>
      </c>
      <c r="BD174" s="1">
        <v>0</v>
      </c>
      <c r="BE174" s="1">
        <v>0</v>
      </c>
      <c r="BF174" s="1">
        <f>IFERROR((RegContabilizados2[[#This Row],[Debe]]-RegContabilizados2[[#This Row],[Haber]]),0)</f>
        <v>0</v>
      </c>
      <c r="BG174" s="1">
        <f>IFERROR((+_xlfn.XLOOKUP(RegContabilizados2[[#This Row],[Subcuenta]],Tabla11[Cuenta],Tabla11[Descripción],0)),0)</f>
        <v>0</v>
      </c>
      <c r="BH174" s="1">
        <f>IFERROR((VALUE(LEFT(RegContabilizados2[[#This Row],[Subcuenta]],2))&amp;" "&amp;_xlfn.XLOOKUP((VALUE(LEFT(RegContabilizados2[[#This Row],[Subcuenta]],2))),Tabla11[Cuenta],Tabla11[Descripción],0)),0)</f>
        <v>0</v>
      </c>
      <c r="BI174" s="1">
        <f>IFERROR((VALUE(LEFT(RegContabilizados2[[#This Row],[Subcuenta]],4))&amp;" "&amp;_xlfn.XLOOKUP((VALUE(LEFT(RegContabilizados2[[#This Row],[Subcuenta]],4))),Tabla11[Cuenta],Tabla11[Descripción],0)),0)</f>
        <v>0</v>
      </c>
      <c r="BJ174" s="1" t="str">
        <f>IFERROR((RegContabilizados2[[#This Row],[Subcuenta]]&amp;" "&amp;_xlfn.XLOOKUP(RegContabilizados2[[#This Row],[Subcuenta]],Tabla11[Cuenta],Tabla11[Descripción],0)),0)</f>
        <v xml:space="preserve"> 0</v>
      </c>
      <c r="BK174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174" s="1" t="str">
        <f>IFERROR(LEFT(RegContabilizados2[[#This Row],[Idenficador]],SEARCH("-",RegContabilizados2[[#This Row],[Idenficador]])-1),0)</f>
        <v>656565F.C.656564</v>
      </c>
      <c r="BN174" s="1" t="s">
        <v>1169</v>
      </c>
      <c r="BO174" s="1" t="s">
        <v>1156</v>
      </c>
    </row>
    <row r="175" spans="4:67">
      <c r="D175" s="31">
        <f>IF(Regcontabilizados[[#This Row],[Eliminado]]="si","",RegContabilizados2[[#This Row],[fecha Factura]])</f>
        <v>45993</v>
      </c>
      <c r="E175" s="31">
        <f>IF(Regcontabilizados[[#This Row],[Eliminado]]="si","",RegContabilizados2[[#This Row],[Fecha vencimiento]])</f>
        <v>45993</v>
      </c>
      <c r="F175" s="3" t="str">
        <f>IF(Regcontabilizados[[#This Row],[Eliminado]]="si","",RegContabilizados2[[#This Row],[Idenficador]])</f>
        <v>656565F.C.656564-5</v>
      </c>
      <c r="G175" s="3">
        <f>IF(Regcontabilizados[[#This Row],[Eliminado]]="si","",RegContabilizados2[[#This Row],[N° de factura/Pago]])</f>
        <v>656564</v>
      </c>
      <c r="H175" s="1" t="str">
        <f>IF(Regcontabilizados[[#This Row],[Eliminado]]="si","",RegContabilizados2[[#This Row],[Tipo de Factura]])</f>
        <v>F.C.</v>
      </c>
      <c r="I175" s="1">
        <f>IF(Regcontabilizados[[#This Row],[Eliminado]]="si","",RegContabilizados2[[#This Row],[ID Cliente]])</f>
        <v>333333</v>
      </c>
      <c r="J175" s="1">
        <f>IF(Regcontabilizados[[#This Row],[Eliminado]]="si","",RegContabilizados2[[#This Row],[ESTADO DEL IVA]])</f>
        <v>0</v>
      </c>
      <c r="K175" s="3" t="str">
        <f>IF(Regcontabilizados[[#This Row],[Eliminado]]="si","",RegContabilizados2[[#This Row],[ID Proveedor]])</f>
        <v>johan</v>
      </c>
      <c r="L175" s="3">
        <f>IF(Regcontabilizados[[#This Row],[Eliminado]]="si","",RegContabilizados2[[#This Row],[Concepto]])</f>
        <v>0</v>
      </c>
      <c r="M175" s="3">
        <f>IF(Regcontabilizados[[#This Row],[Eliminado]]="si","",RegContabilizados2[[#This Row],[Categoría]])</f>
        <v>0</v>
      </c>
      <c r="N175" s="3">
        <f>IF(Regcontabilizados[[#This Row],[Eliminado]]="si","",RegContabilizados2[[#This Row],[Almacen]])</f>
        <v>0</v>
      </c>
      <c r="O175" s="3">
        <f>IF(Regcontabilizados[[#This Row],[Eliminado]]="si","",RegContabilizados2[[#This Row],[Tipo de movimiento]])</f>
        <v>0</v>
      </c>
      <c r="P175" s="1">
        <f>IF(Regcontabilizados[[#This Row],[Eliminado]]="si","",RegContabilizados2[[#This Row],[cantidad]])</f>
        <v>0</v>
      </c>
      <c r="Q175" s="1">
        <f>IF(Regcontabilizados[[#This Row],[Eliminado]]="si","",RegContabilizados2[[#This Row],[VR unitario]])</f>
        <v>0</v>
      </c>
      <c r="R175" s="1" t="str">
        <f>IF(Regcontabilizados[[#This Row],[Eliminado]]="si","",RegContabilizados2[[#This Row],[Subcuenta]])</f>
        <v/>
      </c>
      <c r="S175" s="1">
        <f>IF(Regcontabilizados[[#This Row],[Eliminado]]="si","",RegContabilizados2[[#This Row],[Debe]])</f>
        <v>0</v>
      </c>
      <c r="T175" s="1">
        <f>IF(Regcontabilizados[[#This Row],[Eliminado]]="si","",RegContabilizados2[[#This Row],[Haber]])</f>
        <v>0</v>
      </c>
      <c r="U175" s="1">
        <f>IFERROR((Regcontabilizados[[#This Row],[Debe]]-Regcontabilizados[[#This Row],[Haber]]),0)</f>
        <v>0</v>
      </c>
      <c r="V175" s="1">
        <f>IFERROR((+_xlfn.XLOOKUP(Regcontabilizados[[#This Row],[Subcuenta]],Tabla11[Cuenta],Tabla11[Descripción],0)),0)</f>
        <v>0</v>
      </c>
      <c r="W175" s="1">
        <f>IFERROR((_xlfn.XLOOKUP((VALUE(LEFT(Regcontabilizados[[#This Row],[Subcuenta]],4))),Tabla11[Cuenta],Tabla11[Descripción],0)),0)</f>
        <v>0</v>
      </c>
      <c r="X175" s="1">
        <f>IFERROR((_xlfn.XLOOKUP(Regcontabilizados[[#This Row],[Subcuenta]],Tabla11[Cuenta],Tabla11[Descripción],0)),0)</f>
        <v>0</v>
      </c>
      <c r="Y175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175" s="1" t="str">
        <f>_xlfn.XLOOKUP(Regcontabilizados[[#This Row],[Subcuenta]],Tabla11[Cuenta],Tabla11[TIPO],"")</f>
        <v/>
      </c>
      <c r="AA175" s="1" t="str">
        <f>IFERROR((Regcontabilizados[[#This Row],[Subcuenta]]&amp;" "&amp;_xlfn.XLOOKUP(Regcontabilizados[[#This Row],[Subcuenta]],Tabla11[Cuenta],Tabla11[Descripción],0)),0)</f>
        <v xml:space="preserve"> 0</v>
      </c>
      <c r="AB175" s="1">
        <f>IFERROR((VALUE(LEFT(Regcontabilizados[[#This Row],[Subcuenta]],2))&amp;" "&amp;_xlfn.XLOOKUP((VALUE(LEFT(Regcontabilizados[[#This Row],[Subcuenta]],2))),Tabla11[Cuenta],Tabla11[Descripción],0)),0)</f>
        <v>0</v>
      </c>
      <c r="AC175" s="1">
        <f>IFERROR((VALUE(LEFT(Regcontabilizados[[#This Row],[Subcuenta]],4))&amp;" "&amp;_xlfn.XLOOKUP((VALUE(LEFT(Regcontabilizados[[#This Row],[Subcuenta]],4))),Tabla11[Cuenta],Tabla11[Descripción],0)),0)</f>
        <v>0</v>
      </c>
      <c r="AD175" s="1" t="str">
        <f>IF(Regcontabilizados[[#This Row],[Eliminado]]="si","",RegContabilizados2[[#This Row],[Estado de pago]])</f>
        <v>NO PAGADO</v>
      </c>
      <c r="AE175" s="1" t="str">
        <f>IF(Regcontabilizados[[#This Row],[Eliminado]]="si","",RegContabilizados2[[#This Row],[Colum. Aux. Estado]])</f>
        <v>656565F.C.656564</v>
      </c>
      <c r="AF175" s="1">
        <f>IF(Regcontabilizados[[#This Row],[Eliminado]]="si","",RegContabilizados2[[#This Row],[Número de pago]])</f>
        <v>0</v>
      </c>
      <c r="AG175" s="1" t="str">
        <f>IF(Regcontabilizados[[#This Row],[Eliminado]]="si","",RegContabilizados2[[#This Row],[Elaborado por]])</f>
        <v>Responsable no especificado</v>
      </c>
      <c r="AH175" s="1" t="str">
        <f>IF(Regcontabilizados[[#This Row],[Eliminado]]="si","",RegContabilizados2[[#This Row],[Notas]])</f>
        <v>CAMISAS QUE SE PAGARON EN 50%</v>
      </c>
      <c r="AI175" s="1">
        <f>IF(Regcontabilizados[[#This Row],[Eliminado]]="si","",RegContabilizados2[[#This Row],[Método de pago]])</f>
        <v>0</v>
      </c>
      <c r="AJ175" s="1">
        <f>IF(Regcontabilizados[[#This Row],[Eliminado]]="si","",RegContabilizados2[[#This Row],[Cta. Bancaria]])</f>
        <v>0</v>
      </c>
      <c r="AO175" s="31">
        <v>45993</v>
      </c>
      <c r="AP175" s="31">
        <v>45993</v>
      </c>
      <c r="AQ175" s="3" t="s">
        <v>1161</v>
      </c>
      <c r="AR175" s="3">
        <v>656564</v>
      </c>
      <c r="AS175" s="1" t="s">
        <v>1111</v>
      </c>
      <c r="AT175" s="1">
        <v>333333</v>
      </c>
      <c r="AV175" s="3" t="s">
        <v>903</v>
      </c>
      <c r="AW175" s="3"/>
      <c r="AX175" s="3"/>
      <c r="AY175" s="3"/>
      <c r="AZ175" s="3"/>
      <c r="BC175" s="1" t="s">
        <v>1168</v>
      </c>
      <c r="BD175" s="1">
        <v>0</v>
      </c>
      <c r="BE175" s="1">
        <v>0</v>
      </c>
      <c r="BF175" s="1">
        <f>IFERROR((RegContabilizados2[[#This Row],[Debe]]-RegContabilizados2[[#This Row],[Haber]]),0)</f>
        <v>0</v>
      </c>
      <c r="BG175" s="1">
        <f>IFERROR((+_xlfn.XLOOKUP(RegContabilizados2[[#This Row],[Subcuenta]],Tabla11[Cuenta],Tabla11[Descripción],0)),0)</f>
        <v>0</v>
      </c>
      <c r="BH175" s="1">
        <f>IFERROR((VALUE(LEFT(RegContabilizados2[[#This Row],[Subcuenta]],2))&amp;" "&amp;_xlfn.XLOOKUP((VALUE(LEFT(RegContabilizados2[[#This Row],[Subcuenta]],2))),Tabla11[Cuenta],Tabla11[Descripción],0)),0)</f>
        <v>0</v>
      </c>
      <c r="BI175" s="1">
        <f>IFERROR((VALUE(LEFT(RegContabilizados2[[#This Row],[Subcuenta]],4))&amp;" "&amp;_xlfn.XLOOKUP((VALUE(LEFT(RegContabilizados2[[#This Row],[Subcuenta]],4))),Tabla11[Cuenta],Tabla11[Descripción],0)),0)</f>
        <v>0</v>
      </c>
      <c r="BJ175" s="1" t="str">
        <f>IFERROR((RegContabilizados2[[#This Row],[Subcuenta]]&amp;" "&amp;_xlfn.XLOOKUP(RegContabilizados2[[#This Row],[Subcuenta]],Tabla11[Cuenta],Tabla11[Descripción],0)),0)</f>
        <v xml:space="preserve"> 0</v>
      </c>
      <c r="BK175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175" s="1" t="str">
        <f>IFERROR(LEFT(RegContabilizados2[[#This Row],[Idenficador]],SEARCH("-",RegContabilizados2[[#This Row],[Idenficador]])-1),0)</f>
        <v>656565F.C.656564</v>
      </c>
      <c r="BN175" s="1" t="s">
        <v>1169</v>
      </c>
      <c r="BO175" s="1" t="s">
        <v>1156</v>
      </c>
    </row>
    <row r="176" spans="4:67">
      <c r="D176" s="31">
        <f>IF(Regcontabilizados[[#This Row],[Eliminado]]="si","",RegContabilizados2[[#This Row],[fecha Factura]])</f>
        <v>45993</v>
      </c>
      <c r="E176" s="31">
        <f>IF(Regcontabilizados[[#This Row],[Eliminado]]="si","",RegContabilizados2[[#This Row],[Fecha vencimiento]])</f>
        <v>45993</v>
      </c>
      <c r="F176" s="3" t="str">
        <f>IF(Regcontabilizados[[#This Row],[Eliminado]]="si","",RegContabilizados2[[#This Row],[Idenficador]])</f>
        <v>656565F.C.656564-6</v>
      </c>
      <c r="G176" s="3">
        <f>IF(Regcontabilizados[[#This Row],[Eliminado]]="si","",RegContabilizados2[[#This Row],[N° de factura/Pago]])</f>
        <v>656564</v>
      </c>
      <c r="H176" s="1" t="str">
        <f>IF(Regcontabilizados[[#This Row],[Eliminado]]="si","",RegContabilizados2[[#This Row],[Tipo de Factura]])</f>
        <v>F.C.</v>
      </c>
      <c r="I176" s="1">
        <f>IF(Regcontabilizados[[#This Row],[Eliminado]]="si","",RegContabilizados2[[#This Row],[ID Cliente]])</f>
        <v>333333</v>
      </c>
      <c r="J176" s="1">
        <f>IF(Regcontabilizados[[#This Row],[Eliminado]]="si","",RegContabilizados2[[#This Row],[ESTADO DEL IVA]])</f>
        <v>0</v>
      </c>
      <c r="K176" s="3" t="str">
        <f>IF(Regcontabilizados[[#This Row],[Eliminado]]="si","",RegContabilizados2[[#This Row],[ID Proveedor]])</f>
        <v>johan</v>
      </c>
      <c r="L176" s="3">
        <f>IF(Regcontabilizados[[#This Row],[Eliminado]]="si","",RegContabilizados2[[#This Row],[Concepto]])</f>
        <v>0</v>
      </c>
      <c r="M176" s="3">
        <f>IF(Regcontabilizados[[#This Row],[Eliminado]]="si","",RegContabilizados2[[#This Row],[Categoría]])</f>
        <v>0</v>
      </c>
      <c r="N176" s="3">
        <f>IF(Regcontabilizados[[#This Row],[Eliminado]]="si","",RegContabilizados2[[#This Row],[Almacen]])</f>
        <v>0</v>
      </c>
      <c r="O176" s="3">
        <f>IF(Regcontabilizados[[#This Row],[Eliminado]]="si","",RegContabilizados2[[#This Row],[Tipo de movimiento]])</f>
        <v>0</v>
      </c>
      <c r="P176" s="1">
        <f>IF(Regcontabilizados[[#This Row],[Eliminado]]="si","",RegContabilizados2[[#This Row],[cantidad]])</f>
        <v>0</v>
      </c>
      <c r="Q176" s="1">
        <f>IF(Regcontabilizados[[#This Row],[Eliminado]]="si","",RegContabilizados2[[#This Row],[VR unitario]])</f>
        <v>0</v>
      </c>
      <c r="R176" s="1" t="str">
        <f>IF(Regcontabilizados[[#This Row],[Eliminado]]="si","",RegContabilizados2[[#This Row],[Subcuenta]])</f>
        <v/>
      </c>
      <c r="S176" s="1">
        <f>IF(Regcontabilizados[[#This Row],[Eliminado]]="si","",RegContabilizados2[[#This Row],[Debe]])</f>
        <v>0</v>
      </c>
      <c r="T176" s="1">
        <f>IF(Regcontabilizados[[#This Row],[Eliminado]]="si","",RegContabilizados2[[#This Row],[Haber]])</f>
        <v>0</v>
      </c>
      <c r="U176" s="1">
        <f>IFERROR((Regcontabilizados[[#This Row],[Debe]]-Regcontabilizados[[#This Row],[Haber]]),0)</f>
        <v>0</v>
      </c>
      <c r="V176" s="1">
        <f>IFERROR((+_xlfn.XLOOKUP(Regcontabilizados[[#This Row],[Subcuenta]],Tabla11[Cuenta],Tabla11[Descripción],0)),0)</f>
        <v>0</v>
      </c>
      <c r="W176" s="1">
        <f>IFERROR((_xlfn.XLOOKUP((VALUE(LEFT(Regcontabilizados[[#This Row],[Subcuenta]],4))),Tabla11[Cuenta],Tabla11[Descripción],0)),0)</f>
        <v>0</v>
      </c>
      <c r="X176" s="1">
        <f>IFERROR((_xlfn.XLOOKUP(Regcontabilizados[[#This Row],[Subcuenta]],Tabla11[Cuenta],Tabla11[Descripción],0)),0)</f>
        <v>0</v>
      </c>
      <c r="Y176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176" s="1" t="str">
        <f>_xlfn.XLOOKUP(Regcontabilizados[[#This Row],[Subcuenta]],Tabla11[Cuenta],Tabla11[TIPO],"")</f>
        <v/>
      </c>
      <c r="AA176" s="1" t="str">
        <f>IFERROR((Regcontabilizados[[#This Row],[Subcuenta]]&amp;" "&amp;_xlfn.XLOOKUP(Regcontabilizados[[#This Row],[Subcuenta]],Tabla11[Cuenta],Tabla11[Descripción],0)),0)</f>
        <v xml:space="preserve"> 0</v>
      </c>
      <c r="AB176" s="1">
        <f>IFERROR((VALUE(LEFT(Regcontabilizados[[#This Row],[Subcuenta]],2))&amp;" "&amp;_xlfn.XLOOKUP((VALUE(LEFT(Regcontabilizados[[#This Row],[Subcuenta]],2))),Tabla11[Cuenta],Tabla11[Descripción],0)),0)</f>
        <v>0</v>
      </c>
      <c r="AC176" s="1">
        <f>IFERROR((VALUE(LEFT(Regcontabilizados[[#This Row],[Subcuenta]],4))&amp;" "&amp;_xlfn.XLOOKUP((VALUE(LEFT(Regcontabilizados[[#This Row],[Subcuenta]],4))),Tabla11[Cuenta],Tabla11[Descripción],0)),0)</f>
        <v>0</v>
      </c>
      <c r="AD176" s="1" t="str">
        <f>IF(Regcontabilizados[[#This Row],[Eliminado]]="si","",RegContabilizados2[[#This Row],[Estado de pago]])</f>
        <v>NO PAGADO</v>
      </c>
      <c r="AE176" s="1" t="str">
        <f>IF(Regcontabilizados[[#This Row],[Eliminado]]="si","",RegContabilizados2[[#This Row],[Colum. Aux. Estado]])</f>
        <v>656565F.C.656564</v>
      </c>
      <c r="AF176" s="1">
        <f>IF(Regcontabilizados[[#This Row],[Eliminado]]="si","",RegContabilizados2[[#This Row],[Número de pago]])</f>
        <v>0</v>
      </c>
      <c r="AG176" s="1" t="str">
        <f>IF(Regcontabilizados[[#This Row],[Eliminado]]="si","",RegContabilizados2[[#This Row],[Elaborado por]])</f>
        <v>Responsable no especificado</v>
      </c>
      <c r="AH176" s="1" t="str">
        <f>IF(Regcontabilizados[[#This Row],[Eliminado]]="si","",RegContabilizados2[[#This Row],[Notas]])</f>
        <v>CAMISAS QUE SE PAGARON EN 50%</v>
      </c>
      <c r="AI176" s="1">
        <f>IF(Regcontabilizados[[#This Row],[Eliminado]]="si","",RegContabilizados2[[#This Row],[Método de pago]])</f>
        <v>0</v>
      </c>
      <c r="AJ176" s="1">
        <f>IF(Regcontabilizados[[#This Row],[Eliminado]]="si","",RegContabilizados2[[#This Row],[Cta. Bancaria]])</f>
        <v>0</v>
      </c>
      <c r="AO176" s="31">
        <v>45993</v>
      </c>
      <c r="AP176" s="31">
        <v>45993</v>
      </c>
      <c r="AQ176" s="3" t="s">
        <v>1162</v>
      </c>
      <c r="AR176" s="3">
        <v>656564</v>
      </c>
      <c r="AS176" s="1" t="s">
        <v>1111</v>
      </c>
      <c r="AT176" s="1">
        <v>333333</v>
      </c>
      <c r="AV176" s="3" t="s">
        <v>903</v>
      </c>
      <c r="AW176" s="3"/>
      <c r="AX176" s="3"/>
      <c r="AY176" s="3"/>
      <c r="AZ176" s="3"/>
      <c r="BC176" s="1" t="s">
        <v>1168</v>
      </c>
      <c r="BD176" s="1">
        <v>0</v>
      </c>
      <c r="BE176" s="1">
        <v>0</v>
      </c>
      <c r="BF176" s="1">
        <f>IFERROR((RegContabilizados2[[#This Row],[Debe]]-RegContabilizados2[[#This Row],[Haber]]),0)</f>
        <v>0</v>
      </c>
      <c r="BG176" s="1">
        <f>IFERROR((+_xlfn.XLOOKUP(RegContabilizados2[[#This Row],[Subcuenta]],Tabla11[Cuenta],Tabla11[Descripción],0)),0)</f>
        <v>0</v>
      </c>
      <c r="BH176" s="1">
        <f>IFERROR((VALUE(LEFT(RegContabilizados2[[#This Row],[Subcuenta]],2))&amp;" "&amp;_xlfn.XLOOKUP((VALUE(LEFT(RegContabilizados2[[#This Row],[Subcuenta]],2))),Tabla11[Cuenta],Tabla11[Descripción],0)),0)</f>
        <v>0</v>
      </c>
      <c r="BI176" s="1">
        <f>IFERROR((VALUE(LEFT(RegContabilizados2[[#This Row],[Subcuenta]],4))&amp;" "&amp;_xlfn.XLOOKUP((VALUE(LEFT(RegContabilizados2[[#This Row],[Subcuenta]],4))),Tabla11[Cuenta],Tabla11[Descripción],0)),0)</f>
        <v>0</v>
      </c>
      <c r="BJ176" s="1" t="str">
        <f>IFERROR((RegContabilizados2[[#This Row],[Subcuenta]]&amp;" "&amp;_xlfn.XLOOKUP(RegContabilizados2[[#This Row],[Subcuenta]],Tabla11[Cuenta],Tabla11[Descripción],0)),0)</f>
        <v xml:space="preserve"> 0</v>
      </c>
      <c r="BK176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176" s="1" t="str">
        <f>IFERROR(LEFT(RegContabilizados2[[#This Row],[Idenficador]],SEARCH("-",RegContabilizados2[[#This Row],[Idenficador]])-1),0)</f>
        <v>656565F.C.656564</v>
      </c>
      <c r="BN176" s="1" t="s">
        <v>1169</v>
      </c>
      <c r="BO176" s="1" t="s">
        <v>1156</v>
      </c>
    </row>
    <row r="177" spans="4:67">
      <c r="D177" s="31">
        <f>IF(Regcontabilizados[[#This Row],[Eliminado]]="si","",RegContabilizados2[[#This Row],[fecha Factura]])</f>
        <v>45993</v>
      </c>
      <c r="E177" s="31">
        <f>IF(Regcontabilizados[[#This Row],[Eliminado]]="si","",RegContabilizados2[[#This Row],[Fecha vencimiento]])</f>
        <v>45993</v>
      </c>
      <c r="F177" s="3" t="str">
        <f>IF(Regcontabilizados[[#This Row],[Eliminado]]="si","",RegContabilizados2[[#This Row],[Idenficador]])</f>
        <v>656565F.C.656564-7</v>
      </c>
      <c r="G177" s="3">
        <f>IF(Regcontabilizados[[#This Row],[Eliminado]]="si","",RegContabilizados2[[#This Row],[N° de factura/Pago]])</f>
        <v>656564</v>
      </c>
      <c r="H177" s="1" t="str">
        <f>IF(Regcontabilizados[[#This Row],[Eliminado]]="si","",RegContabilizados2[[#This Row],[Tipo de Factura]])</f>
        <v>F.C.</v>
      </c>
      <c r="I177" s="1">
        <f>IF(Regcontabilizados[[#This Row],[Eliminado]]="si","",RegContabilizados2[[#This Row],[ID Cliente]])</f>
        <v>333333</v>
      </c>
      <c r="J177" s="1">
        <f>IF(Regcontabilizados[[#This Row],[Eliminado]]="si","",RegContabilizados2[[#This Row],[ESTADO DEL IVA]])</f>
        <v>0</v>
      </c>
      <c r="K177" s="3" t="str">
        <f>IF(Regcontabilizados[[#This Row],[Eliminado]]="si","",RegContabilizados2[[#This Row],[ID Proveedor]])</f>
        <v>johan</v>
      </c>
      <c r="L177" s="3">
        <f>IF(Regcontabilizados[[#This Row],[Eliminado]]="si","",RegContabilizados2[[#This Row],[Concepto]])</f>
        <v>0</v>
      </c>
      <c r="M177" s="3">
        <f>IF(Regcontabilizados[[#This Row],[Eliminado]]="si","",RegContabilizados2[[#This Row],[Categoría]])</f>
        <v>0</v>
      </c>
      <c r="N177" s="3">
        <f>IF(Regcontabilizados[[#This Row],[Eliminado]]="si","",RegContabilizados2[[#This Row],[Almacen]])</f>
        <v>0</v>
      </c>
      <c r="O177" s="3">
        <f>IF(Regcontabilizados[[#This Row],[Eliminado]]="si","",RegContabilizados2[[#This Row],[Tipo de movimiento]])</f>
        <v>0</v>
      </c>
      <c r="P177" s="1">
        <f>IF(Regcontabilizados[[#This Row],[Eliminado]]="si","",RegContabilizados2[[#This Row],[cantidad]])</f>
        <v>0</v>
      </c>
      <c r="Q177" s="1">
        <f>IF(Regcontabilizados[[#This Row],[Eliminado]]="si","",RegContabilizados2[[#This Row],[VR unitario]])</f>
        <v>0</v>
      </c>
      <c r="R177" s="1" t="str">
        <f>IF(Regcontabilizados[[#This Row],[Eliminado]]="si","",RegContabilizados2[[#This Row],[Subcuenta]])</f>
        <v/>
      </c>
      <c r="S177" s="1">
        <f>IF(Regcontabilizados[[#This Row],[Eliminado]]="si","",RegContabilizados2[[#This Row],[Debe]])</f>
        <v>0</v>
      </c>
      <c r="T177" s="1">
        <f>IF(Regcontabilizados[[#This Row],[Eliminado]]="si","",RegContabilizados2[[#This Row],[Haber]])</f>
        <v>0</v>
      </c>
      <c r="U177" s="1">
        <f>IFERROR((Regcontabilizados[[#This Row],[Debe]]-Regcontabilizados[[#This Row],[Haber]]),0)</f>
        <v>0</v>
      </c>
      <c r="V177" s="1">
        <f>IFERROR((+_xlfn.XLOOKUP(Regcontabilizados[[#This Row],[Subcuenta]],Tabla11[Cuenta],Tabla11[Descripción],0)),0)</f>
        <v>0</v>
      </c>
      <c r="W177" s="1">
        <f>IFERROR((_xlfn.XLOOKUP((VALUE(LEFT(Regcontabilizados[[#This Row],[Subcuenta]],4))),Tabla11[Cuenta],Tabla11[Descripción],0)),0)</f>
        <v>0</v>
      </c>
      <c r="X177" s="1">
        <f>IFERROR((_xlfn.XLOOKUP(Regcontabilizados[[#This Row],[Subcuenta]],Tabla11[Cuenta],Tabla11[Descripción],0)),0)</f>
        <v>0</v>
      </c>
      <c r="Y177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177" s="1" t="str">
        <f>_xlfn.XLOOKUP(Regcontabilizados[[#This Row],[Subcuenta]],Tabla11[Cuenta],Tabla11[TIPO],"")</f>
        <v/>
      </c>
      <c r="AA177" s="1" t="str">
        <f>IFERROR((Regcontabilizados[[#This Row],[Subcuenta]]&amp;" "&amp;_xlfn.XLOOKUP(Regcontabilizados[[#This Row],[Subcuenta]],Tabla11[Cuenta],Tabla11[Descripción],0)),0)</f>
        <v xml:space="preserve"> 0</v>
      </c>
      <c r="AB177" s="1">
        <f>IFERROR((VALUE(LEFT(Regcontabilizados[[#This Row],[Subcuenta]],2))&amp;" "&amp;_xlfn.XLOOKUP((VALUE(LEFT(Regcontabilizados[[#This Row],[Subcuenta]],2))),Tabla11[Cuenta],Tabla11[Descripción],0)),0)</f>
        <v>0</v>
      </c>
      <c r="AC177" s="1">
        <f>IFERROR((VALUE(LEFT(Regcontabilizados[[#This Row],[Subcuenta]],4))&amp;" "&amp;_xlfn.XLOOKUP((VALUE(LEFT(Regcontabilizados[[#This Row],[Subcuenta]],4))),Tabla11[Cuenta],Tabla11[Descripción],0)),0)</f>
        <v>0</v>
      </c>
      <c r="AD177" s="1" t="str">
        <f>IF(Regcontabilizados[[#This Row],[Eliminado]]="si","",RegContabilizados2[[#This Row],[Estado de pago]])</f>
        <v>NO PAGADO</v>
      </c>
      <c r="AE177" s="1" t="str">
        <f>IF(Regcontabilizados[[#This Row],[Eliminado]]="si","",RegContabilizados2[[#This Row],[Colum. Aux. Estado]])</f>
        <v>656565F.C.656564</v>
      </c>
      <c r="AF177" s="1">
        <f>IF(Regcontabilizados[[#This Row],[Eliminado]]="si","",RegContabilizados2[[#This Row],[Número de pago]])</f>
        <v>0</v>
      </c>
      <c r="AG177" s="1" t="str">
        <f>IF(Regcontabilizados[[#This Row],[Eliminado]]="si","",RegContabilizados2[[#This Row],[Elaborado por]])</f>
        <v>Responsable no especificado</v>
      </c>
      <c r="AH177" s="1" t="str">
        <f>IF(Regcontabilizados[[#This Row],[Eliminado]]="si","",RegContabilizados2[[#This Row],[Notas]])</f>
        <v>CAMISAS QUE SE PAGARON EN 50%</v>
      </c>
      <c r="AI177" s="1">
        <f>IF(Regcontabilizados[[#This Row],[Eliminado]]="si","",RegContabilizados2[[#This Row],[Método de pago]])</f>
        <v>0</v>
      </c>
      <c r="AJ177" s="1">
        <f>IF(Regcontabilizados[[#This Row],[Eliminado]]="si","",RegContabilizados2[[#This Row],[Cta. Bancaria]])</f>
        <v>0</v>
      </c>
      <c r="AO177" s="31">
        <v>45993</v>
      </c>
      <c r="AP177" s="31">
        <v>45993</v>
      </c>
      <c r="AQ177" s="3" t="s">
        <v>1163</v>
      </c>
      <c r="AR177" s="3">
        <v>656564</v>
      </c>
      <c r="AS177" s="1" t="s">
        <v>1111</v>
      </c>
      <c r="AT177" s="1">
        <v>333333</v>
      </c>
      <c r="AV177" s="3" t="s">
        <v>903</v>
      </c>
      <c r="AW177" s="3"/>
      <c r="AX177" s="3"/>
      <c r="AY177" s="3"/>
      <c r="AZ177" s="3"/>
      <c r="BC177" s="1" t="s">
        <v>1168</v>
      </c>
      <c r="BD177" s="1">
        <v>0</v>
      </c>
      <c r="BE177" s="1">
        <v>0</v>
      </c>
      <c r="BF177" s="1">
        <f>IFERROR((RegContabilizados2[[#This Row],[Debe]]-RegContabilizados2[[#This Row],[Haber]]),0)</f>
        <v>0</v>
      </c>
      <c r="BG177" s="1">
        <f>IFERROR((+_xlfn.XLOOKUP(RegContabilizados2[[#This Row],[Subcuenta]],Tabla11[Cuenta],Tabla11[Descripción],0)),0)</f>
        <v>0</v>
      </c>
      <c r="BH177" s="1">
        <f>IFERROR((VALUE(LEFT(RegContabilizados2[[#This Row],[Subcuenta]],2))&amp;" "&amp;_xlfn.XLOOKUP((VALUE(LEFT(RegContabilizados2[[#This Row],[Subcuenta]],2))),Tabla11[Cuenta],Tabla11[Descripción],0)),0)</f>
        <v>0</v>
      </c>
      <c r="BI177" s="1">
        <f>IFERROR((VALUE(LEFT(RegContabilizados2[[#This Row],[Subcuenta]],4))&amp;" "&amp;_xlfn.XLOOKUP((VALUE(LEFT(RegContabilizados2[[#This Row],[Subcuenta]],4))),Tabla11[Cuenta],Tabla11[Descripción],0)),0)</f>
        <v>0</v>
      </c>
      <c r="BJ177" s="1" t="str">
        <f>IFERROR((RegContabilizados2[[#This Row],[Subcuenta]]&amp;" "&amp;_xlfn.XLOOKUP(RegContabilizados2[[#This Row],[Subcuenta]],Tabla11[Cuenta],Tabla11[Descripción],0)),0)</f>
        <v xml:space="preserve"> 0</v>
      </c>
      <c r="BK177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177" s="1" t="str">
        <f>IFERROR(LEFT(RegContabilizados2[[#This Row],[Idenficador]],SEARCH("-",RegContabilizados2[[#This Row],[Idenficador]])-1),0)</f>
        <v>656565F.C.656564</v>
      </c>
      <c r="BN177" s="1" t="s">
        <v>1169</v>
      </c>
      <c r="BO177" s="1" t="s">
        <v>1156</v>
      </c>
    </row>
    <row r="178" spans="4:67">
      <c r="D178" s="31">
        <f>IF(Regcontabilizados[[#This Row],[Eliminado]]="si","",RegContabilizados2[[#This Row],[fecha Factura]])</f>
        <v>45993</v>
      </c>
      <c r="E178" s="31">
        <f>IF(Regcontabilizados[[#This Row],[Eliminado]]="si","",RegContabilizados2[[#This Row],[Fecha vencimiento]])</f>
        <v>45993</v>
      </c>
      <c r="F178" s="3" t="str">
        <f>IF(Regcontabilizados[[#This Row],[Eliminado]]="si","",RegContabilizados2[[#This Row],[Idenficador]])</f>
        <v>656565F.C.656564-8</v>
      </c>
      <c r="G178" s="3">
        <f>IF(Regcontabilizados[[#This Row],[Eliminado]]="si","",RegContabilizados2[[#This Row],[N° de factura/Pago]])</f>
        <v>656564</v>
      </c>
      <c r="H178" s="1" t="str">
        <f>IF(Regcontabilizados[[#This Row],[Eliminado]]="si","",RegContabilizados2[[#This Row],[Tipo de Factura]])</f>
        <v>F.C.</v>
      </c>
      <c r="I178" s="1">
        <f>IF(Regcontabilizados[[#This Row],[Eliminado]]="si","",RegContabilizados2[[#This Row],[ID Cliente]])</f>
        <v>333333</v>
      </c>
      <c r="J178" s="1">
        <f>IF(Regcontabilizados[[#This Row],[Eliminado]]="si","",RegContabilizados2[[#This Row],[ESTADO DEL IVA]])</f>
        <v>0</v>
      </c>
      <c r="K178" s="3" t="str">
        <f>IF(Regcontabilizados[[#This Row],[Eliminado]]="si","",RegContabilizados2[[#This Row],[ID Proveedor]])</f>
        <v>johan</v>
      </c>
      <c r="L178" s="3">
        <f>IF(Regcontabilizados[[#This Row],[Eliminado]]="si","",RegContabilizados2[[#This Row],[Concepto]])</f>
        <v>0</v>
      </c>
      <c r="M178" s="3">
        <f>IF(Regcontabilizados[[#This Row],[Eliminado]]="si","",RegContabilizados2[[#This Row],[Categoría]])</f>
        <v>0</v>
      </c>
      <c r="N178" s="3">
        <f>IF(Regcontabilizados[[#This Row],[Eliminado]]="si","",RegContabilizados2[[#This Row],[Almacen]])</f>
        <v>0</v>
      </c>
      <c r="O178" s="3">
        <f>IF(Regcontabilizados[[#This Row],[Eliminado]]="si","",RegContabilizados2[[#This Row],[Tipo de movimiento]])</f>
        <v>0</v>
      </c>
      <c r="P178" s="1">
        <f>IF(Regcontabilizados[[#This Row],[Eliminado]]="si","",RegContabilizados2[[#This Row],[cantidad]])</f>
        <v>0</v>
      </c>
      <c r="Q178" s="1">
        <f>IF(Regcontabilizados[[#This Row],[Eliminado]]="si","",RegContabilizados2[[#This Row],[VR unitario]])</f>
        <v>0</v>
      </c>
      <c r="R178" s="1" t="str">
        <f>IF(Regcontabilizados[[#This Row],[Eliminado]]="si","",RegContabilizados2[[#This Row],[Subcuenta]])</f>
        <v/>
      </c>
      <c r="S178" s="1">
        <f>IF(Regcontabilizados[[#This Row],[Eliminado]]="si","",RegContabilizados2[[#This Row],[Debe]])</f>
        <v>0</v>
      </c>
      <c r="T178" s="1">
        <f>IF(Regcontabilizados[[#This Row],[Eliminado]]="si","",RegContabilizados2[[#This Row],[Haber]])</f>
        <v>0</v>
      </c>
      <c r="U178" s="1">
        <f>IFERROR((Regcontabilizados[[#This Row],[Debe]]-Regcontabilizados[[#This Row],[Haber]]),0)</f>
        <v>0</v>
      </c>
      <c r="V178" s="1">
        <f>IFERROR((+_xlfn.XLOOKUP(Regcontabilizados[[#This Row],[Subcuenta]],Tabla11[Cuenta],Tabla11[Descripción],0)),0)</f>
        <v>0</v>
      </c>
      <c r="W178" s="1">
        <f>IFERROR((_xlfn.XLOOKUP((VALUE(LEFT(Regcontabilizados[[#This Row],[Subcuenta]],4))),Tabla11[Cuenta],Tabla11[Descripción],0)),0)</f>
        <v>0</v>
      </c>
      <c r="X178" s="1">
        <f>IFERROR((_xlfn.XLOOKUP(Regcontabilizados[[#This Row],[Subcuenta]],Tabla11[Cuenta],Tabla11[Descripción],0)),0)</f>
        <v>0</v>
      </c>
      <c r="Y178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178" s="1" t="str">
        <f>_xlfn.XLOOKUP(Regcontabilizados[[#This Row],[Subcuenta]],Tabla11[Cuenta],Tabla11[TIPO],"")</f>
        <v/>
      </c>
      <c r="AA178" s="1" t="str">
        <f>IFERROR((Regcontabilizados[[#This Row],[Subcuenta]]&amp;" "&amp;_xlfn.XLOOKUP(Regcontabilizados[[#This Row],[Subcuenta]],Tabla11[Cuenta],Tabla11[Descripción],0)),0)</f>
        <v xml:space="preserve"> 0</v>
      </c>
      <c r="AB178" s="1">
        <f>IFERROR((VALUE(LEFT(Regcontabilizados[[#This Row],[Subcuenta]],2))&amp;" "&amp;_xlfn.XLOOKUP((VALUE(LEFT(Regcontabilizados[[#This Row],[Subcuenta]],2))),Tabla11[Cuenta],Tabla11[Descripción],0)),0)</f>
        <v>0</v>
      </c>
      <c r="AC178" s="1">
        <f>IFERROR((VALUE(LEFT(Regcontabilizados[[#This Row],[Subcuenta]],4))&amp;" "&amp;_xlfn.XLOOKUP((VALUE(LEFT(Regcontabilizados[[#This Row],[Subcuenta]],4))),Tabla11[Cuenta],Tabla11[Descripción],0)),0)</f>
        <v>0</v>
      </c>
      <c r="AD178" s="1" t="str">
        <f>IF(Regcontabilizados[[#This Row],[Eliminado]]="si","",RegContabilizados2[[#This Row],[Estado de pago]])</f>
        <v>NO PAGADO</v>
      </c>
      <c r="AE178" s="1" t="str">
        <f>IF(Regcontabilizados[[#This Row],[Eliminado]]="si","",RegContabilizados2[[#This Row],[Colum. Aux. Estado]])</f>
        <v>656565F.C.656564</v>
      </c>
      <c r="AF178" s="1">
        <f>IF(Regcontabilizados[[#This Row],[Eliminado]]="si","",RegContabilizados2[[#This Row],[Número de pago]])</f>
        <v>0</v>
      </c>
      <c r="AG178" s="1" t="str">
        <f>IF(Regcontabilizados[[#This Row],[Eliminado]]="si","",RegContabilizados2[[#This Row],[Elaborado por]])</f>
        <v>Responsable no especificado</v>
      </c>
      <c r="AH178" s="1" t="str">
        <f>IF(Regcontabilizados[[#This Row],[Eliminado]]="si","",RegContabilizados2[[#This Row],[Notas]])</f>
        <v>CAMISAS QUE SE PAGARON EN 50%</v>
      </c>
      <c r="AI178" s="1">
        <f>IF(Regcontabilizados[[#This Row],[Eliminado]]="si","",RegContabilizados2[[#This Row],[Método de pago]])</f>
        <v>0</v>
      </c>
      <c r="AJ178" s="1">
        <f>IF(Regcontabilizados[[#This Row],[Eliminado]]="si","",RegContabilizados2[[#This Row],[Cta. Bancaria]])</f>
        <v>0</v>
      </c>
      <c r="AO178" s="31">
        <v>45993</v>
      </c>
      <c r="AP178" s="31">
        <v>45993</v>
      </c>
      <c r="AQ178" s="3" t="s">
        <v>1164</v>
      </c>
      <c r="AR178" s="3">
        <v>656564</v>
      </c>
      <c r="AS178" s="1" t="s">
        <v>1111</v>
      </c>
      <c r="AT178" s="1">
        <v>333333</v>
      </c>
      <c r="AV178" s="3" t="s">
        <v>903</v>
      </c>
      <c r="AW178" s="3"/>
      <c r="AX178" s="3"/>
      <c r="AY178" s="3"/>
      <c r="AZ178" s="3"/>
      <c r="BC178" s="1" t="s">
        <v>1168</v>
      </c>
      <c r="BD178" s="1">
        <v>0</v>
      </c>
      <c r="BE178" s="1">
        <v>0</v>
      </c>
      <c r="BF178" s="1">
        <f>IFERROR((RegContabilizados2[[#This Row],[Debe]]-RegContabilizados2[[#This Row],[Haber]]),0)</f>
        <v>0</v>
      </c>
      <c r="BG178" s="1">
        <f>IFERROR((+_xlfn.XLOOKUP(RegContabilizados2[[#This Row],[Subcuenta]],Tabla11[Cuenta],Tabla11[Descripción],0)),0)</f>
        <v>0</v>
      </c>
      <c r="BH178" s="1">
        <f>IFERROR((VALUE(LEFT(RegContabilizados2[[#This Row],[Subcuenta]],2))&amp;" "&amp;_xlfn.XLOOKUP((VALUE(LEFT(RegContabilizados2[[#This Row],[Subcuenta]],2))),Tabla11[Cuenta],Tabla11[Descripción],0)),0)</f>
        <v>0</v>
      </c>
      <c r="BI178" s="1">
        <f>IFERROR((VALUE(LEFT(RegContabilizados2[[#This Row],[Subcuenta]],4))&amp;" "&amp;_xlfn.XLOOKUP((VALUE(LEFT(RegContabilizados2[[#This Row],[Subcuenta]],4))),Tabla11[Cuenta],Tabla11[Descripción],0)),0)</f>
        <v>0</v>
      </c>
      <c r="BJ178" s="1" t="str">
        <f>IFERROR((RegContabilizados2[[#This Row],[Subcuenta]]&amp;" "&amp;_xlfn.XLOOKUP(RegContabilizados2[[#This Row],[Subcuenta]],Tabla11[Cuenta],Tabla11[Descripción],0)),0)</f>
        <v xml:space="preserve"> 0</v>
      </c>
      <c r="BK178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178" s="1" t="str">
        <f>IFERROR(LEFT(RegContabilizados2[[#This Row],[Idenficador]],SEARCH("-",RegContabilizados2[[#This Row],[Idenficador]])-1),0)</f>
        <v>656565F.C.656564</v>
      </c>
      <c r="BN178" s="1" t="s">
        <v>1169</v>
      </c>
      <c r="BO178" s="1" t="s">
        <v>1156</v>
      </c>
    </row>
    <row r="179" spans="4:67">
      <c r="D179" s="31">
        <f>IF(Regcontabilizados[[#This Row],[Eliminado]]="si","",RegContabilizados2[[#This Row],[fecha Factura]])</f>
        <v>45993</v>
      </c>
      <c r="E179" s="31">
        <f>IF(Regcontabilizados[[#This Row],[Eliminado]]="si","",RegContabilizados2[[#This Row],[Fecha vencimiento]])</f>
        <v>45993</v>
      </c>
      <c r="F179" s="3" t="str">
        <f>IF(Regcontabilizados[[#This Row],[Eliminado]]="si","",RegContabilizados2[[#This Row],[Idenficador]])</f>
        <v>656565F.C.656564-9</v>
      </c>
      <c r="G179" s="3">
        <f>IF(Regcontabilizados[[#This Row],[Eliminado]]="si","",RegContabilizados2[[#This Row],[N° de factura/Pago]])</f>
        <v>656564</v>
      </c>
      <c r="H179" s="1" t="str">
        <f>IF(Regcontabilizados[[#This Row],[Eliminado]]="si","",RegContabilizados2[[#This Row],[Tipo de Factura]])</f>
        <v>F.C.</v>
      </c>
      <c r="I179" s="1">
        <f>IF(Regcontabilizados[[#This Row],[Eliminado]]="si","",RegContabilizados2[[#This Row],[ID Cliente]])</f>
        <v>333333</v>
      </c>
      <c r="J179" s="1">
        <f>IF(Regcontabilizados[[#This Row],[Eliminado]]="si","",RegContabilizados2[[#This Row],[ESTADO DEL IVA]])</f>
        <v>0</v>
      </c>
      <c r="K179" s="3" t="str">
        <f>IF(Regcontabilizados[[#This Row],[Eliminado]]="si","",RegContabilizados2[[#This Row],[ID Proveedor]])</f>
        <v>johan</v>
      </c>
      <c r="L179" s="3">
        <f>IF(Regcontabilizados[[#This Row],[Eliminado]]="si","",RegContabilizados2[[#This Row],[Concepto]])</f>
        <v>0</v>
      </c>
      <c r="M179" s="3">
        <f>IF(Regcontabilizados[[#This Row],[Eliminado]]="si","",RegContabilizados2[[#This Row],[Categoría]])</f>
        <v>0</v>
      </c>
      <c r="N179" s="3">
        <f>IF(Regcontabilizados[[#This Row],[Eliminado]]="si","",RegContabilizados2[[#This Row],[Almacen]])</f>
        <v>0</v>
      </c>
      <c r="O179" s="3">
        <f>IF(Regcontabilizados[[#This Row],[Eliminado]]="si","",RegContabilizados2[[#This Row],[Tipo de movimiento]])</f>
        <v>0</v>
      </c>
      <c r="P179" s="1">
        <f>IF(Regcontabilizados[[#This Row],[Eliminado]]="si","",RegContabilizados2[[#This Row],[cantidad]])</f>
        <v>0</v>
      </c>
      <c r="Q179" s="1">
        <f>IF(Regcontabilizados[[#This Row],[Eliminado]]="si","",RegContabilizados2[[#This Row],[VR unitario]])</f>
        <v>0</v>
      </c>
      <c r="R179" s="1" t="str">
        <f>IF(Regcontabilizados[[#This Row],[Eliminado]]="si","",RegContabilizados2[[#This Row],[Subcuenta]])</f>
        <v/>
      </c>
      <c r="S179" s="1">
        <f>IF(Regcontabilizados[[#This Row],[Eliminado]]="si","",RegContabilizados2[[#This Row],[Debe]])</f>
        <v>0</v>
      </c>
      <c r="T179" s="1">
        <f>IF(Regcontabilizados[[#This Row],[Eliminado]]="si","",RegContabilizados2[[#This Row],[Haber]])</f>
        <v>0</v>
      </c>
      <c r="U179" s="1">
        <f>IFERROR((Regcontabilizados[[#This Row],[Debe]]-Regcontabilizados[[#This Row],[Haber]]),0)</f>
        <v>0</v>
      </c>
      <c r="V179" s="1">
        <f>IFERROR((+_xlfn.XLOOKUP(Regcontabilizados[[#This Row],[Subcuenta]],Tabla11[Cuenta],Tabla11[Descripción],0)),0)</f>
        <v>0</v>
      </c>
      <c r="W179" s="1">
        <f>IFERROR((_xlfn.XLOOKUP((VALUE(LEFT(Regcontabilizados[[#This Row],[Subcuenta]],4))),Tabla11[Cuenta],Tabla11[Descripción],0)),0)</f>
        <v>0</v>
      </c>
      <c r="X179" s="1">
        <f>IFERROR((_xlfn.XLOOKUP(Regcontabilizados[[#This Row],[Subcuenta]],Tabla11[Cuenta],Tabla11[Descripción],0)),0)</f>
        <v>0</v>
      </c>
      <c r="Y179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179" s="1" t="str">
        <f>_xlfn.XLOOKUP(Regcontabilizados[[#This Row],[Subcuenta]],Tabla11[Cuenta],Tabla11[TIPO],"")</f>
        <v/>
      </c>
      <c r="AA179" s="1" t="str">
        <f>IFERROR((Regcontabilizados[[#This Row],[Subcuenta]]&amp;" "&amp;_xlfn.XLOOKUP(Regcontabilizados[[#This Row],[Subcuenta]],Tabla11[Cuenta],Tabla11[Descripción],0)),0)</f>
        <v xml:space="preserve"> 0</v>
      </c>
      <c r="AB179" s="1">
        <f>IFERROR((VALUE(LEFT(Regcontabilizados[[#This Row],[Subcuenta]],2))&amp;" "&amp;_xlfn.XLOOKUP((VALUE(LEFT(Regcontabilizados[[#This Row],[Subcuenta]],2))),Tabla11[Cuenta],Tabla11[Descripción],0)),0)</f>
        <v>0</v>
      </c>
      <c r="AC179" s="1">
        <f>IFERROR((VALUE(LEFT(Regcontabilizados[[#This Row],[Subcuenta]],4))&amp;" "&amp;_xlfn.XLOOKUP((VALUE(LEFT(Regcontabilizados[[#This Row],[Subcuenta]],4))),Tabla11[Cuenta],Tabla11[Descripción],0)),0)</f>
        <v>0</v>
      </c>
      <c r="AD179" s="1" t="str">
        <f>IF(Regcontabilizados[[#This Row],[Eliminado]]="si","",RegContabilizados2[[#This Row],[Estado de pago]])</f>
        <v>NO PAGADO</v>
      </c>
      <c r="AE179" s="1" t="str">
        <f>IF(Regcontabilizados[[#This Row],[Eliminado]]="si","",RegContabilizados2[[#This Row],[Colum. Aux. Estado]])</f>
        <v>656565F.C.656564</v>
      </c>
      <c r="AF179" s="1">
        <f>IF(Regcontabilizados[[#This Row],[Eliminado]]="si","",RegContabilizados2[[#This Row],[Número de pago]])</f>
        <v>0</v>
      </c>
      <c r="AG179" s="1" t="str">
        <f>IF(Regcontabilizados[[#This Row],[Eliminado]]="si","",RegContabilizados2[[#This Row],[Elaborado por]])</f>
        <v>Responsable no especificado</v>
      </c>
      <c r="AH179" s="1" t="str">
        <f>IF(Regcontabilizados[[#This Row],[Eliminado]]="si","",RegContabilizados2[[#This Row],[Notas]])</f>
        <v>CAMISAS QUE SE PAGARON EN 50%</v>
      </c>
      <c r="AI179" s="1">
        <f>IF(Regcontabilizados[[#This Row],[Eliminado]]="si","",RegContabilizados2[[#This Row],[Método de pago]])</f>
        <v>0</v>
      </c>
      <c r="AJ179" s="1">
        <f>IF(Regcontabilizados[[#This Row],[Eliminado]]="si","",RegContabilizados2[[#This Row],[Cta. Bancaria]])</f>
        <v>0</v>
      </c>
      <c r="AO179" s="31">
        <v>45993</v>
      </c>
      <c r="AP179" s="31">
        <v>45993</v>
      </c>
      <c r="AQ179" s="3" t="s">
        <v>1165</v>
      </c>
      <c r="AR179" s="3">
        <v>656564</v>
      </c>
      <c r="AS179" s="1" t="s">
        <v>1111</v>
      </c>
      <c r="AT179" s="1">
        <v>333333</v>
      </c>
      <c r="AV179" s="3" t="s">
        <v>903</v>
      </c>
      <c r="AW179" s="3"/>
      <c r="AX179" s="3"/>
      <c r="AY179" s="3"/>
      <c r="AZ179" s="3"/>
      <c r="BC179" s="1" t="s">
        <v>1168</v>
      </c>
      <c r="BD179" s="1">
        <v>0</v>
      </c>
      <c r="BE179" s="1">
        <v>0</v>
      </c>
      <c r="BF179" s="1">
        <f>IFERROR((RegContabilizados2[[#This Row],[Debe]]-RegContabilizados2[[#This Row],[Haber]]),0)</f>
        <v>0</v>
      </c>
      <c r="BG179" s="1">
        <f>IFERROR((+_xlfn.XLOOKUP(RegContabilizados2[[#This Row],[Subcuenta]],Tabla11[Cuenta],Tabla11[Descripción],0)),0)</f>
        <v>0</v>
      </c>
      <c r="BH179" s="1">
        <f>IFERROR((VALUE(LEFT(RegContabilizados2[[#This Row],[Subcuenta]],2))&amp;" "&amp;_xlfn.XLOOKUP((VALUE(LEFT(RegContabilizados2[[#This Row],[Subcuenta]],2))),Tabla11[Cuenta],Tabla11[Descripción],0)),0)</f>
        <v>0</v>
      </c>
      <c r="BI179" s="1">
        <f>IFERROR((VALUE(LEFT(RegContabilizados2[[#This Row],[Subcuenta]],4))&amp;" "&amp;_xlfn.XLOOKUP((VALUE(LEFT(RegContabilizados2[[#This Row],[Subcuenta]],4))),Tabla11[Cuenta],Tabla11[Descripción],0)),0)</f>
        <v>0</v>
      </c>
      <c r="BJ179" s="1" t="str">
        <f>IFERROR((RegContabilizados2[[#This Row],[Subcuenta]]&amp;" "&amp;_xlfn.XLOOKUP(RegContabilizados2[[#This Row],[Subcuenta]],Tabla11[Cuenta],Tabla11[Descripción],0)),0)</f>
        <v xml:space="preserve"> 0</v>
      </c>
      <c r="BK179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179" s="1" t="str">
        <f>IFERROR(LEFT(RegContabilizados2[[#This Row],[Idenficador]],SEARCH("-",RegContabilizados2[[#This Row],[Idenficador]])-1),0)</f>
        <v>656565F.C.656564</v>
      </c>
      <c r="BN179" s="1" t="s">
        <v>1169</v>
      </c>
      <c r="BO179" s="1" t="s">
        <v>1156</v>
      </c>
    </row>
    <row r="180" spans="4:67">
      <c r="D180" s="31">
        <f>IF(Regcontabilizados[[#This Row],[Eliminado]]="si","",RegContabilizados2[[#This Row],[fecha Factura]])</f>
        <v>45993</v>
      </c>
      <c r="E180" s="31">
        <f>IF(Regcontabilizados[[#This Row],[Eliminado]]="si","",RegContabilizados2[[#This Row],[Fecha vencimiento]])</f>
        <v>45993</v>
      </c>
      <c r="F180" s="3" t="str">
        <f>IF(Regcontabilizados[[#This Row],[Eliminado]]="si","",RegContabilizados2[[#This Row],[Idenficador]])</f>
        <v>656565F.C.656564-10</v>
      </c>
      <c r="G180" s="3">
        <f>IF(Regcontabilizados[[#This Row],[Eliminado]]="si","",RegContabilizados2[[#This Row],[N° de factura/Pago]])</f>
        <v>656564</v>
      </c>
      <c r="H180" s="1" t="str">
        <f>IF(Regcontabilizados[[#This Row],[Eliminado]]="si","",RegContabilizados2[[#This Row],[Tipo de Factura]])</f>
        <v>F.C.</v>
      </c>
      <c r="I180" s="1">
        <f>IF(Regcontabilizados[[#This Row],[Eliminado]]="si","",RegContabilizados2[[#This Row],[ID Cliente]])</f>
        <v>333333</v>
      </c>
      <c r="J180" s="1">
        <f>IF(Regcontabilizados[[#This Row],[Eliminado]]="si","",RegContabilizados2[[#This Row],[ESTADO DEL IVA]])</f>
        <v>0</v>
      </c>
      <c r="K180" s="3" t="str">
        <f>IF(Regcontabilizados[[#This Row],[Eliminado]]="si","",RegContabilizados2[[#This Row],[ID Proveedor]])</f>
        <v>johan</v>
      </c>
      <c r="L180" s="3" t="str">
        <f>IF(Regcontabilizados[[#This Row],[Eliminado]]="si","",RegContabilizados2[[#This Row],[Concepto]])</f>
        <v>IVA</v>
      </c>
      <c r="M180" s="3">
        <f>IF(Regcontabilizados[[#This Row],[Eliminado]]="si","",RegContabilizados2[[#This Row],[Categoría]])</f>
        <v>0</v>
      </c>
      <c r="N180" s="3">
        <f>IF(Regcontabilizados[[#This Row],[Eliminado]]="si","",RegContabilizados2[[#This Row],[Almacen]])</f>
        <v>0</v>
      </c>
      <c r="O180" s="3">
        <f>IF(Regcontabilizados[[#This Row],[Eliminado]]="si","",RegContabilizados2[[#This Row],[Tipo de movimiento]])</f>
        <v>0</v>
      </c>
      <c r="P180" s="1">
        <f>IF(Regcontabilizados[[#This Row],[Eliminado]]="si","",RegContabilizados2[[#This Row],[cantidad]])</f>
        <v>1</v>
      </c>
      <c r="Q180" s="1">
        <f>IF(Regcontabilizados[[#This Row],[Eliminado]]="si","",RegContabilizados2[[#This Row],[VR unitario]])</f>
        <v>34200</v>
      </c>
      <c r="R180" s="1">
        <f>IF(Regcontabilizados[[#This Row],[Eliminado]]="si","",RegContabilizados2[[#This Row],[Subcuenta]])</f>
        <v>240805</v>
      </c>
      <c r="S180" s="1">
        <f>IF(Regcontabilizados[[#This Row],[Eliminado]]="si","",RegContabilizados2[[#This Row],[Debe]])</f>
        <v>34200</v>
      </c>
      <c r="T180" s="1">
        <f>IF(Regcontabilizados[[#This Row],[Eliminado]]="si","",RegContabilizados2[[#This Row],[Haber]])</f>
        <v>0</v>
      </c>
      <c r="U180" s="1">
        <f>IFERROR((Regcontabilizados[[#This Row],[Debe]]-Regcontabilizados[[#This Row],[Haber]]),0)</f>
        <v>34200</v>
      </c>
      <c r="V180" s="1" t="str">
        <f>IFERROR((+_xlfn.XLOOKUP(Regcontabilizados[[#This Row],[Subcuenta]],Tabla11[Cuenta],Tabla11[Descripción],0)),0)</f>
        <v>IMPUESTO SOBRE LAS VENTAS POR PAGAR</v>
      </c>
      <c r="W180" s="1" t="str">
        <f>IFERROR((_xlfn.XLOOKUP((VALUE(LEFT(Regcontabilizados[[#This Row],[Subcuenta]],4))),Tabla11[Cuenta],Tabla11[Descripción],0)),0)</f>
        <v>IMPUESTO SOBRE LAS VENTAS POR PAGAR</v>
      </c>
      <c r="X180" s="1" t="str">
        <f>IFERROR((_xlfn.XLOOKUP(Regcontabilizados[[#This Row],[Subcuenta]],Tabla11[Cuenta],Tabla11[Descripción],0)),0)</f>
        <v>IMPUESTO SOBRE LAS VENTAS POR PAGAR</v>
      </c>
      <c r="Y180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180" s="1" t="str">
        <f>_xlfn.XLOOKUP(Regcontabilizados[[#This Row],[Subcuenta]],Tabla11[Cuenta],Tabla11[TIPO],"")</f>
        <v>Pasivo Corriente</v>
      </c>
      <c r="AA180" s="1" t="str">
        <f>IFERROR((Regcontabilizados[[#This Row],[Subcuenta]]&amp;" "&amp;_xlfn.XLOOKUP(Regcontabilizados[[#This Row],[Subcuenta]],Tabla11[Cuenta],Tabla11[Descripción],0)),0)</f>
        <v>240805 IMPUESTO SOBRE LAS VENTAS POR PAGAR</v>
      </c>
      <c r="AB180" s="1" t="str">
        <f>IFERROR((VALUE(LEFT(Regcontabilizados[[#This Row],[Subcuenta]],2))&amp;" "&amp;_xlfn.XLOOKUP((VALUE(LEFT(Regcontabilizados[[#This Row],[Subcuenta]],2))),Tabla11[Cuenta],Tabla11[Descripción],0)),0)</f>
        <v>24 IMPUESTOS, GRAVÁMENES Y TASAS</v>
      </c>
      <c r="AC180" s="1" t="str">
        <f>IFERROR((VALUE(LEFT(Regcontabilizados[[#This Row],[Subcuenta]],4))&amp;" "&amp;_xlfn.XLOOKUP((VALUE(LEFT(Regcontabilizados[[#This Row],[Subcuenta]],4))),Tabla11[Cuenta],Tabla11[Descripción],0)),0)</f>
        <v>2408 IMPUESTO SOBRE LAS VENTAS POR PAGAR</v>
      </c>
      <c r="AD180" s="1" t="str">
        <f>IF(Regcontabilizados[[#This Row],[Eliminado]]="si","",RegContabilizados2[[#This Row],[Estado de pago]])</f>
        <v>NO PAGADO</v>
      </c>
      <c r="AE180" s="1" t="str">
        <f>IF(Regcontabilizados[[#This Row],[Eliminado]]="si","",RegContabilizados2[[#This Row],[Colum. Aux. Estado]])</f>
        <v>656565F.C.656564</v>
      </c>
      <c r="AF180" s="1">
        <f>IF(Regcontabilizados[[#This Row],[Eliminado]]="si","",RegContabilizados2[[#This Row],[Número de pago]])</f>
        <v>0</v>
      </c>
      <c r="AG180" s="1" t="str">
        <f>IF(Regcontabilizados[[#This Row],[Eliminado]]="si","",RegContabilizados2[[#This Row],[Elaborado por]])</f>
        <v>Responsable no especificado</v>
      </c>
      <c r="AH180" s="1" t="str">
        <f>IF(Regcontabilizados[[#This Row],[Eliminado]]="si","",RegContabilizados2[[#This Row],[Notas]])</f>
        <v>CAMISAS QUE SE PAGARON EN 50%</v>
      </c>
      <c r="AI180" s="1">
        <f>IF(Regcontabilizados[[#This Row],[Eliminado]]="si","",RegContabilizados2[[#This Row],[Método de pago]])</f>
        <v>0</v>
      </c>
      <c r="AJ180" s="1">
        <f>IF(Regcontabilizados[[#This Row],[Eliminado]]="si","",RegContabilizados2[[#This Row],[Cta. Bancaria]])</f>
        <v>0</v>
      </c>
      <c r="AO180" s="31">
        <v>45993</v>
      </c>
      <c r="AP180" s="31">
        <v>45993</v>
      </c>
      <c r="AQ180" s="3" t="s">
        <v>1166</v>
      </c>
      <c r="AR180" s="3">
        <v>656564</v>
      </c>
      <c r="AS180" s="1" t="s">
        <v>1111</v>
      </c>
      <c r="AT180" s="1">
        <v>333333</v>
      </c>
      <c r="AV180" s="3" t="s">
        <v>903</v>
      </c>
      <c r="AW180" s="3" t="s">
        <v>962</v>
      </c>
      <c r="AX180" s="3"/>
      <c r="AY180" s="3"/>
      <c r="AZ180" s="3"/>
      <c r="BA180" s="1">
        <v>1</v>
      </c>
      <c r="BB180" s="1">
        <v>34200</v>
      </c>
      <c r="BC180" s="1">
        <v>240805</v>
      </c>
      <c r="BD180" s="1">
        <v>34200</v>
      </c>
      <c r="BE180" s="1">
        <v>0</v>
      </c>
      <c r="BF180" s="1">
        <f>IFERROR((RegContabilizados2[[#This Row],[Debe]]-RegContabilizados2[[#This Row],[Haber]]),0)</f>
        <v>34200</v>
      </c>
      <c r="BG180" s="1" t="str">
        <f>IFERROR((+_xlfn.XLOOKUP(RegContabilizados2[[#This Row],[Subcuenta]],Tabla11[Cuenta],Tabla11[Descripción],0)),0)</f>
        <v>IMPUESTO SOBRE LAS VENTAS POR PAGAR</v>
      </c>
      <c r="BH180" s="1" t="str">
        <f>IFERROR((VALUE(LEFT(RegContabilizados2[[#This Row],[Subcuenta]],2))&amp;" "&amp;_xlfn.XLOOKUP((VALUE(LEFT(RegContabilizados2[[#This Row],[Subcuenta]],2))),Tabla11[Cuenta],Tabla11[Descripción],0)),0)</f>
        <v>24 IMPUESTOS, GRAVÁMENES Y TASAS</v>
      </c>
      <c r="BI180" s="1" t="str">
        <f>IFERROR((VALUE(LEFT(RegContabilizados2[[#This Row],[Subcuenta]],4))&amp;" "&amp;_xlfn.XLOOKUP((VALUE(LEFT(RegContabilizados2[[#This Row],[Subcuenta]],4))),Tabla11[Cuenta],Tabla11[Descripción],0)),0)</f>
        <v>2408 IMPUESTO SOBRE LAS VENTAS POR PAGAR</v>
      </c>
      <c r="BJ180" s="1" t="str">
        <f>IFERROR((RegContabilizados2[[#This Row],[Subcuenta]]&amp;" "&amp;_xlfn.XLOOKUP(RegContabilizados2[[#This Row],[Subcuenta]],Tabla11[Cuenta],Tabla11[Descripción],0)),0)</f>
        <v>240805 IMPUESTO SOBRE LAS VENTAS POR PAGAR</v>
      </c>
      <c r="BK180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180" s="1" t="str">
        <f>IFERROR(LEFT(RegContabilizados2[[#This Row],[Idenficador]],SEARCH("-",RegContabilizados2[[#This Row],[Idenficador]])-1),0)</f>
        <v>656565F.C.656564</v>
      </c>
      <c r="BN180" s="1" t="s">
        <v>1169</v>
      </c>
      <c r="BO180" s="1" t="s">
        <v>1156</v>
      </c>
    </row>
    <row r="181" spans="4:67">
      <c r="D181" s="31">
        <f>IF(Regcontabilizados[[#This Row],[Eliminado]]="si","",RegContabilizados2[[#This Row],[fecha Factura]])</f>
        <v>45993</v>
      </c>
      <c r="E181" s="31">
        <f>IF(Regcontabilizados[[#This Row],[Eliminado]]="si","",RegContabilizados2[[#This Row],[Fecha vencimiento]])</f>
        <v>45993</v>
      </c>
      <c r="F181" s="3" t="str">
        <f>IF(Regcontabilizados[[#This Row],[Eliminado]]="si","",RegContabilizados2[[#This Row],[Idenficador]])</f>
        <v>656565F.C.656564-11</v>
      </c>
      <c r="G181" s="3">
        <f>IF(Regcontabilizados[[#This Row],[Eliminado]]="si","",RegContabilizados2[[#This Row],[N° de factura/Pago]])</f>
        <v>656564</v>
      </c>
      <c r="H181" s="1" t="str">
        <f>IF(Regcontabilizados[[#This Row],[Eliminado]]="si","",RegContabilizados2[[#This Row],[Tipo de Factura]])</f>
        <v>F.C.</v>
      </c>
      <c r="I181" s="1">
        <f>IF(Regcontabilizados[[#This Row],[Eliminado]]="si","",RegContabilizados2[[#This Row],[ID Cliente]])</f>
        <v>333333</v>
      </c>
      <c r="J181" s="1">
        <f>IF(Regcontabilizados[[#This Row],[Eliminado]]="si","",RegContabilizados2[[#This Row],[ESTADO DEL IVA]])</f>
        <v>0</v>
      </c>
      <c r="K181" s="3" t="str">
        <f>IF(Regcontabilizados[[#This Row],[Eliminado]]="si","",RegContabilizados2[[#This Row],[ID Proveedor]])</f>
        <v>johan</v>
      </c>
      <c r="L181" s="3">
        <f>IF(Regcontabilizados[[#This Row],[Eliminado]]="si","",RegContabilizados2[[#This Row],[Concepto]])</f>
        <v>0</v>
      </c>
      <c r="M181" s="3">
        <f>IF(Regcontabilizados[[#This Row],[Eliminado]]="si","",RegContabilizados2[[#This Row],[Categoría]])</f>
        <v>0</v>
      </c>
      <c r="N181" s="3">
        <f>IF(Regcontabilizados[[#This Row],[Eliminado]]="si","",RegContabilizados2[[#This Row],[Almacen]])</f>
        <v>0</v>
      </c>
      <c r="O181" s="3">
        <f>IF(Regcontabilizados[[#This Row],[Eliminado]]="si","",RegContabilizados2[[#This Row],[Tipo de movimiento]])</f>
        <v>0</v>
      </c>
      <c r="P181" s="1">
        <f>IF(Regcontabilizados[[#This Row],[Eliminado]]="si","",RegContabilizados2[[#This Row],[cantidad]])</f>
        <v>0</v>
      </c>
      <c r="Q181" s="1">
        <f>IF(Regcontabilizados[[#This Row],[Eliminado]]="si","",RegContabilizados2[[#This Row],[VR unitario]])</f>
        <v>0</v>
      </c>
      <c r="R181" s="1">
        <f>IF(Regcontabilizados[[#This Row],[Eliminado]]="si","",RegContabilizados2[[#This Row],[Subcuenta]])</f>
        <v>220505</v>
      </c>
      <c r="S181" s="1">
        <f>IF(Regcontabilizados[[#This Row],[Eliminado]]="si","",RegContabilizados2[[#This Row],[Debe]])</f>
        <v>0</v>
      </c>
      <c r="T181" s="1">
        <f>IF(Regcontabilizados[[#This Row],[Eliminado]]="si","",RegContabilizados2[[#This Row],[Haber]])</f>
        <v>214200</v>
      </c>
      <c r="U181" s="1">
        <f>IFERROR((Regcontabilizados[[#This Row],[Debe]]-Regcontabilizados[[#This Row],[Haber]]),0)</f>
        <v>-214200</v>
      </c>
      <c r="V181" s="1" t="str">
        <f>IFERROR((+_xlfn.XLOOKUP(Regcontabilizados[[#This Row],[Subcuenta]],Tabla11[Cuenta],Tabla11[Descripción],0)),0)</f>
        <v>Proveedores Nacionales</v>
      </c>
      <c r="W181" s="1" t="str">
        <f>IFERROR((_xlfn.XLOOKUP((VALUE(LEFT(Regcontabilizados[[#This Row],[Subcuenta]],4))),Tabla11[Cuenta],Tabla11[Descripción],0)),0)</f>
        <v>NACIONALES</v>
      </c>
      <c r="X181" s="1" t="str">
        <f>IFERROR((_xlfn.XLOOKUP(Regcontabilizados[[#This Row],[Subcuenta]],Tabla11[Cuenta],Tabla11[Descripción],0)),0)</f>
        <v>Proveedores Nacionales</v>
      </c>
      <c r="Y181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181" s="1" t="str">
        <f>_xlfn.XLOOKUP(Regcontabilizados[[#This Row],[Subcuenta]],Tabla11[Cuenta],Tabla11[TIPO],"")</f>
        <v>Pasivo Corriente</v>
      </c>
      <c r="AA181" s="1" t="str">
        <f>IFERROR((Regcontabilizados[[#This Row],[Subcuenta]]&amp;" "&amp;_xlfn.XLOOKUP(Regcontabilizados[[#This Row],[Subcuenta]],Tabla11[Cuenta],Tabla11[Descripción],0)),0)</f>
        <v>220505 Proveedores Nacionales</v>
      </c>
      <c r="AB181" s="1" t="str">
        <f>IFERROR((VALUE(LEFT(Regcontabilizados[[#This Row],[Subcuenta]],2))&amp;" "&amp;_xlfn.XLOOKUP((VALUE(LEFT(Regcontabilizados[[#This Row],[Subcuenta]],2))),Tabla11[Cuenta],Tabla11[Descripción],0)),0)</f>
        <v>22 PROVEEDORES</v>
      </c>
      <c r="AC181" s="1" t="str">
        <f>IFERROR((VALUE(LEFT(Regcontabilizados[[#This Row],[Subcuenta]],4))&amp;" "&amp;_xlfn.XLOOKUP((VALUE(LEFT(Regcontabilizados[[#This Row],[Subcuenta]],4))),Tabla11[Cuenta],Tabla11[Descripción],0)),0)</f>
        <v>2205 NACIONALES</v>
      </c>
      <c r="AD181" s="1" t="str">
        <f>IF(Regcontabilizados[[#This Row],[Eliminado]]="si","",RegContabilizados2[[#This Row],[Estado de pago]])</f>
        <v>NO PAGADO</v>
      </c>
      <c r="AE181" s="1" t="str">
        <f>IF(Regcontabilizados[[#This Row],[Eliminado]]="si","",RegContabilizados2[[#This Row],[Colum. Aux. Estado]])</f>
        <v>656565F.C.656564</v>
      </c>
      <c r="AF181" s="1">
        <f>IF(Regcontabilizados[[#This Row],[Eliminado]]="si","",RegContabilizados2[[#This Row],[Número de pago]])</f>
        <v>0</v>
      </c>
      <c r="AG181" s="1" t="str">
        <f>IF(Regcontabilizados[[#This Row],[Eliminado]]="si","",RegContabilizados2[[#This Row],[Elaborado por]])</f>
        <v>Responsable no especificado</v>
      </c>
      <c r="AH181" s="1" t="str">
        <f>IF(Regcontabilizados[[#This Row],[Eliminado]]="si","",RegContabilizados2[[#This Row],[Notas]])</f>
        <v>CAMISAS QUE SE PAGARON EN 50%</v>
      </c>
      <c r="AI181" s="1">
        <f>IF(Regcontabilizados[[#This Row],[Eliminado]]="si","",RegContabilizados2[[#This Row],[Método de pago]])</f>
        <v>0</v>
      </c>
      <c r="AJ181" s="1">
        <f>IF(Regcontabilizados[[#This Row],[Eliminado]]="si","",RegContabilizados2[[#This Row],[Cta. Bancaria]])</f>
        <v>0</v>
      </c>
      <c r="AO181" s="31">
        <v>45993</v>
      </c>
      <c r="AP181" s="31">
        <v>45993</v>
      </c>
      <c r="AQ181" s="3" t="s">
        <v>1167</v>
      </c>
      <c r="AR181" s="3">
        <v>656564</v>
      </c>
      <c r="AS181" s="1" t="s">
        <v>1111</v>
      </c>
      <c r="AT181" s="1">
        <v>333333</v>
      </c>
      <c r="AV181" s="3" t="s">
        <v>903</v>
      </c>
      <c r="AW181" s="3"/>
      <c r="AX181" s="3"/>
      <c r="AY181" s="3"/>
      <c r="AZ181" s="3"/>
      <c r="BC181" s="1">
        <v>220505</v>
      </c>
      <c r="BD181" s="1">
        <v>0</v>
      </c>
      <c r="BE181" s="1">
        <v>214200</v>
      </c>
      <c r="BF181" s="1">
        <f>IFERROR((RegContabilizados2[[#This Row],[Debe]]-RegContabilizados2[[#This Row],[Haber]]),0)</f>
        <v>-214200</v>
      </c>
      <c r="BG181" s="1" t="str">
        <f>IFERROR((+_xlfn.XLOOKUP(RegContabilizados2[[#This Row],[Subcuenta]],Tabla11[Cuenta],Tabla11[Descripción],0)),0)</f>
        <v>Proveedores Nacionales</v>
      </c>
      <c r="BH181" s="1" t="str">
        <f>IFERROR((VALUE(LEFT(RegContabilizados2[[#This Row],[Subcuenta]],2))&amp;" "&amp;_xlfn.XLOOKUP((VALUE(LEFT(RegContabilizados2[[#This Row],[Subcuenta]],2))),Tabla11[Cuenta],Tabla11[Descripción],0)),0)</f>
        <v>22 PROVEEDORES</v>
      </c>
      <c r="BI181" s="1" t="str">
        <f>IFERROR((VALUE(LEFT(RegContabilizados2[[#This Row],[Subcuenta]],4))&amp;" "&amp;_xlfn.XLOOKUP((VALUE(LEFT(RegContabilizados2[[#This Row],[Subcuenta]],4))),Tabla11[Cuenta],Tabla11[Descripción],0)),0)</f>
        <v>2205 NACIONALES</v>
      </c>
      <c r="BJ181" s="1" t="str">
        <f>IFERROR((RegContabilizados2[[#This Row],[Subcuenta]]&amp;" "&amp;_xlfn.XLOOKUP(RegContabilizados2[[#This Row],[Subcuenta]],Tabla11[Cuenta],Tabla11[Descripción],0)),0)</f>
        <v>220505 Proveedores Nacionales</v>
      </c>
      <c r="BK181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NO PAGADO</v>
      </c>
      <c r="BL181" s="1" t="str">
        <f>IFERROR(LEFT(RegContabilizados2[[#This Row],[Idenficador]],SEARCH("-",RegContabilizados2[[#This Row],[Idenficador]])-1),0)</f>
        <v>656565F.C.656564</v>
      </c>
      <c r="BN181" s="1" t="s">
        <v>1169</v>
      </c>
      <c r="BO181" s="1" t="s">
        <v>1156</v>
      </c>
    </row>
    <row r="182" spans="4:67">
      <c r="D182" s="31">
        <f>IF(Regcontabilizados[[#This Row],[Eliminado]]="si","",RegContabilizados2[[#This Row],[fecha Factura]])</f>
        <v>0</v>
      </c>
      <c r="E182" s="31">
        <f>IF(Regcontabilizados[[#This Row],[Eliminado]]="si","",RegContabilizados2[[#This Row],[Fecha vencimiento]])</f>
        <v>0</v>
      </c>
      <c r="F182" s="3">
        <f>IF(Regcontabilizados[[#This Row],[Eliminado]]="si","",RegContabilizados2[[#This Row],[Idenficador]])</f>
        <v>0</v>
      </c>
      <c r="G182" s="3">
        <f>IF(Regcontabilizados[[#This Row],[Eliminado]]="si","",RegContabilizados2[[#This Row],[N° de factura/Pago]])</f>
        <v>0</v>
      </c>
      <c r="H182" s="1">
        <f>IF(Regcontabilizados[[#This Row],[Eliminado]]="si","",RegContabilizados2[[#This Row],[Tipo de Factura]])</f>
        <v>0</v>
      </c>
      <c r="I182" s="1">
        <f>IF(Regcontabilizados[[#This Row],[Eliminado]]="si","",RegContabilizados2[[#This Row],[ID Cliente]])</f>
        <v>333333</v>
      </c>
      <c r="J182" s="1">
        <f>IF(Regcontabilizados[[#This Row],[Eliminado]]="si","",RegContabilizados2[[#This Row],[ESTADO DEL IVA]])</f>
        <v>0</v>
      </c>
      <c r="K182" s="3">
        <f>IF(Regcontabilizados[[#This Row],[Eliminado]]="si","",RegContabilizados2[[#This Row],[ID Proveedor]])</f>
        <v>333333</v>
      </c>
      <c r="L182" s="3">
        <f>IF(Regcontabilizados[[#This Row],[Eliminado]]="si","",RegContabilizados2[[#This Row],[Concepto]])</f>
        <v>0</v>
      </c>
      <c r="M182" s="3">
        <f>IF(Regcontabilizados[[#This Row],[Eliminado]]="si","",RegContabilizados2[[#This Row],[Categoría]])</f>
        <v>0</v>
      </c>
      <c r="N182" s="3">
        <f>IF(Regcontabilizados[[#This Row],[Eliminado]]="si","",RegContabilizados2[[#This Row],[Almacen]])</f>
        <v>0</v>
      </c>
      <c r="O182" s="3">
        <f>IF(Regcontabilizados[[#This Row],[Eliminado]]="si","",RegContabilizados2[[#This Row],[Tipo de movimiento]])</f>
        <v>0</v>
      </c>
      <c r="P182" s="1">
        <f>IF(Regcontabilizados[[#This Row],[Eliminado]]="si","",RegContabilizados2[[#This Row],[cantidad]])</f>
        <v>0</v>
      </c>
      <c r="Q182" s="1">
        <f>IF(Regcontabilizados[[#This Row],[Eliminado]]="si","",RegContabilizados2[[#This Row],[VR unitario]])</f>
        <v>0</v>
      </c>
      <c r="R182" s="1">
        <f>IF(Regcontabilizados[[#This Row],[Eliminado]]="si","",RegContabilizados2[[#This Row],[Subcuenta]])</f>
        <v>0</v>
      </c>
      <c r="S182" s="1">
        <f>IF(Regcontabilizados[[#This Row],[Eliminado]]="si","",RegContabilizados2[[#This Row],[Debe]])</f>
        <v>0</v>
      </c>
      <c r="T182" s="1">
        <f>IF(Regcontabilizados[[#This Row],[Eliminado]]="si","",RegContabilizados2[[#This Row],[Haber]])</f>
        <v>0</v>
      </c>
      <c r="U182" s="1">
        <f>IFERROR((Regcontabilizados[[#This Row],[Debe]]-Regcontabilizados[[#This Row],[Haber]]),0)</f>
        <v>0</v>
      </c>
      <c r="V182" s="1">
        <f>IFERROR((+_xlfn.XLOOKUP(Regcontabilizados[[#This Row],[Subcuenta]],Tabla11[Cuenta],Tabla11[Descripción],0)),0)</f>
        <v>0</v>
      </c>
      <c r="W182" s="1">
        <f>IFERROR((_xlfn.XLOOKUP((VALUE(LEFT(Regcontabilizados[[#This Row],[Subcuenta]],4))),Tabla11[Cuenta],Tabla11[Descripción],0)),0)</f>
        <v>0</v>
      </c>
      <c r="X182" s="1">
        <f>IFERROR((_xlfn.XLOOKUP(Regcontabilizados[[#This Row],[Subcuenta]],Tabla11[Cuenta],Tabla11[Descripción],0)),0)</f>
        <v>0</v>
      </c>
      <c r="Y182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182" s="1" t="str">
        <f>_xlfn.XLOOKUP(Regcontabilizados[[#This Row],[Subcuenta]],Tabla11[Cuenta],Tabla11[TIPO],"")</f>
        <v/>
      </c>
      <c r="AA182" s="1" t="str">
        <f>IFERROR((Regcontabilizados[[#This Row],[Subcuenta]]&amp;" "&amp;_xlfn.XLOOKUP(Regcontabilizados[[#This Row],[Subcuenta]],Tabla11[Cuenta],Tabla11[Descripción],0)),0)</f>
        <v>0 0</v>
      </c>
      <c r="AB182" s="1" t="str">
        <f>IFERROR((VALUE(LEFT(Regcontabilizados[[#This Row],[Subcuenta]],2))&amp;" "&amp;_xlfn.XLOOKUP((VALUE(LEFT(Regcontabilizados[[#This Row],[Subcuenta]],2))),Tabla11[Cuenta],Tabla11[Descripción],0)),0)</f>
        <v>0 0</v>
      </c>
      <c r="AC182" s="1" t="str">
        <f>IFERROR((VALUE(LEFT(Regcontabilizados[[#This Row],[Subcuenta]],4))&amp;" "&amp;_xlfn.XLOOKUP((VALUE(LEFT(Regcontabilizados[[#This Row],[Subcuenta]],4))),Tabla11[Cuenta],Tabla11[Descripción],0)),0)</f>
        <v>0 0</v>
      </c>
      <c r="AD182" s="1" t="str">
        <f>IF(Regcontabilizados[[#This Row],[Eliminado]]="si","",RegContabilizados2[[#This Row],[Estado de pago]])</f>
        <v>PAGADO</v>
      </c>
      <c r="AE182" s="1">
        <f>IF(Regcontabilizados[[#This Row],[Eliminado]]="si","",RegContabilizados2[[#This Row],[Colum. Aux. Estado]])</f>
        <v>0</v>
      </c>
      <c r="AF182" s="1">
        <f>IF(Regcontabilizados[[#This Row],[Eliminado]]="si","",RegContabilizados2[[#This Row],[Número de pago]])</f>
        <v>0</v>
      </c>
      <c r="AG182" s="1">
        <f>IF(Regcontabilizados[[#This Row],[Eliminado]]="si","",RegContabilizados2[[#This Row],[Elaborado por]])</f>
        <v>0</v>
      </c>
      <c r="AH182" s="1">
        <f>IF(Regcontabilizados[[#This Row],[Eliminado]]="si","",RegContabilizados2[[#This Row],[Notas]])</f>
        <v>0</v>
      </c>
      <c r="AI182" s="1">
        <f>IF(Regcontabilizados[[#This Row],[Eliminado]]="si","",RegContabilizados2[[#This Row],[Método de pago]])</f>
        <v>0</v>
      </c>
      <c r="AJ182" s="1">
        <f>IF(Regcontabilizados[[#This Row],[Eliminado]]="si","",RegContabilizados2[[#This Row],[Cta. Bancaria]])</f>
        <v>0</v>
      </c>
      <c r="AO182" s="31"/>
      <c r="AP182" s="31"/>
      <c r="AQ182" s="3"/>
      <c r="AR182" s="3"/>
      <c r="AT182" s="1">
        <v>333333</v>
      </c>
      <c r="AV182" s="1">
        <v>333333</v>
      </c>
      <c r="AW182" s="3"/>
      <c r="AX182" s="3"/>
      <c r="AY182" s="3"/>
      <c r="AZ182" s="3"/>
      <c r="BF182" s="1">
        <f>IFERROR((RegContabilizados2[[#This Row],[Debe]]-RegContabilizados2[[#This Row],[Haber]]),0)</f>
        <v>0</v>
      </c>
      <c r="BG182" s="1">
        <f>IFERROR((+_xlfn.XLOOKUP(RegContabilizados2[[#This Row],[Subcuenta]],Tabla11[Cuenta],Tabla11[Descripción],0)),0)</f>
        <v>0</v>
      </c>
      <c r="BH182" s="1">
        <f>IFERROR((VALUE(LEFT(RegContabilizados2[[#This Row],[Subcuenta]],2))&amp;" "&amp;_xlfn.XLOOKUP((VALUE(LEFT(RegContabilizados2[[#This Row],[Subcuenta]],2))),Tabla11[Cuenta],Tabla11[Descripción],0)),0)</f>
        <v>0</v>
      </c>
      <c r="BI182" s="1">
        <f>IFERROR((VALUE(LEFT(RegContabilizados2[[#This Row],[Subcuenta]],4))&amp;" "&amp;_xlfn.XLOOKUP((VALUE(LEFT(RegContabilizados2[[#This Row],[Subcuenta]],4))),Tabla11[Cuenta],Tabla11[Descripción],0)),0)</f>
        <v>0</v>
      </c>
      <c r="BJ182" s="1" t="str">
        <f>IFERROR((RegContabilizados2[[#This Row],[Subcuenta]]&amp;" "&amp;_xlfn.XLOOKUP(RegContabilizados2[[#This Row],[Subcuenta]],Tabla11[Cuenta],Tabla11[Descripción],0)),0)</f>
        <v xml:space="preserve"> 0</v>
      </c>
      <c r="BK182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PAGADO</v>
      </c>
      <c r="BL182" s="1">
        <f>IFERROR(LEFT(RegContabilizados2[[#This Row],[Idenficador]],SEARCH("-",RegContabilizados2[[#This Row],[Idenficador]])-1),0)</f>
        <v>0</v>
      </c>
    </row>
    <row r="183" spans="4:67">
      <c r="D183" s="31">
        <f>IF(Regcontabilizados[[#This Row],[Eliminado]]="si","",RegContabilizados2[[#This Row],[fecha Factura]])</f>
        <v>0</v>
      </c>
      <c r="E183" s="31">
        <f>IF(Regcontabilizados[[#This Row],[Eliminado]]="si","",RegContabilizados2[[#This Row],[Fecha vencimiento]])</f>
        <v>0</v>
      </c>
      <c r="F183" s="3">
        <f>IF(Regcontabilizados[[#This Row],[Eliminado]]="si","",RegContabilizados2[[#This Row],[Idenficador]])</f>
        <v>0</v>
      </c>
      <c r="G183" s="3">
        <f>IF(Regcontabilizados[[#This Row],[Eliminado]]="si","",RegContabilizados2[[#This Row],[N° de factura/Pago]])</f>
        <v>0</v>
      </c>
      <c r="H183" s="1">
        <f>IF(Regcontabilizados[[#This Row],[Eliminado]]="si","",RegContabilizados2[[#This Row],[Tipo de Factura]])</f>
        <v>0</v>
      </c>
      <c r="I183" s="1">
        <f>IF(Regcontabilizados[[#This Row],[Eliminado]]="si","",RegContabilizados2[[#This Row],[ID Cliente]])</f>
        <v>333333</v>
      </c>
      <c r="J183" s="1">
        <f>IF(Regcontabilizados[[#This Row],[Eliminado]]="si","",RegContabilizados2[[#This Row],[ESTADO DEL IVA]])</f>
        <v>0</v>
      </c>
      <c r="K183" s="3">
        <f>IF(Regcontabilizados[[#This Row],[Eliminado]]="si","",RegContabilizados2[[#This Row],[ID Proveedor]])</f>
        <v>333333</v>
      </c>
      <c r="L183" s="3">
        <f>IF(Regcontabilizados[[#This Row],[Eliminado]]="si","",RegContabilizados2[[#This Row],[Concepto]])</f>
        <v>0</v>
      </c>
      <c r="M183" s="3">
        <f>IF(Regcontabilizados[[#This Row],[Eliminado]]="si","",RegContabilizados2[[#This Row],[Categoría]])</f>
        <v>0</v>
      </c>
      <c r="N183" s="3">
        <f>IF(Regcontabilizados[[#This Row],[Eliminado]]="si","",RegContabilizados2[[#This Row],[Almacen]])</f>
        <v>0</v>
      </c>
      <c r="O183" s="3">
        <f>IF(Regcontabilizados[[#This Row],[Eliminado]]="si","",RegContabilizados2[[#This Row],[Tipo de movimiento]])</f>
        <v>0</v>
      </c>
      <c r="P183" s="1">
        <f>IF(Regcontabilizados[[#This Row],[Eliminado]]="si","",RegContabilizados2[[#This Row],[cantidad]])</f>
        <v>0</v>
      </c>
      <c r="Q183" s="1">
        <f>IF(Regcontabilizados[[#This Row],[Eliminado]]="si","",RegContabilizados2[[#This Row],[VR unitario]])</f>
        <v>0</v>
      </c>
      <c r="R183" s="1">
        <f>IF(Regcontabilizados[[#This Row],[Eliminado]]="si","",RegContabilizados2[[#This Row],[Subcuenta]])</f>
        <v>0</v>
      </c>
      <c r="S183" s="1">
        <f>IF(Regcontabilizados[[#This Row],[Eliminado]]="si","",RegContabilizados2[[#This Row],[Debe]])</f>
        <v>0</v>
      </c>
      <c r="T183" s="1">
        <f>IF(Regcontabilizados[[#This Row],[Eliminado]]="si","",RegContabilizados2[[#This Row],[Haber]])</f>
        <v>0</v>
      </c>
      <c r="U183" s="1">
        <f>IFERROR((Regcontabilizados[[#This Row],[Debe]]-Regcontabilizados[[#This Row],[Haber]]),0)</f>
        <v>0</v>
      </c>
      <c r="V183" s="1">
        <f>IFERROR((+_xlfn.XLOOKUP(Regcontabilizados[[#This Row],[Subcuenta]],Tabla11[Cuenta],Tabla11[Descripción],0)),0)</f>
        <v>0</v>
      </c>
      <c r="W183" s="1">
        <f>IFERROR((_xlfn.XLOOKUP((VALUE(LEFT(Regcontabilizados[[#This Row],[Subcuenta]],4))),Tabla11[Cuenta],Tabla11[Descripción],0)),0)</f>
        <v>0</v>
      </c>
      <c r="X183" s="1">
        <f>IFERROR((_xlfn.XLOOKUP(Regcontabilizados[[#This Row],[Subcuenta]],Tabla11[Cuenta],Tabla11[Descripción],0)),0)</f>
        <v>0</v>
      </c>
      <c r="Y183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183" s="1" t="str">
        <f>_xlfn.XLOOKUP(Regcontabilizados[[#This Row],[Subcuenta]],Tabla11[Cuenta],Tabla11[TIPO],"")</f>
        <v/>
      </c>
      <c r="AA183" s="1" t="str">
        <f>IFERROR((Regcontabilizados[[#This Row],[Subcuenta]]&amp;" "&amp;_xlfn.XLOOKUP(Regcontabilizados[[#This Row],[Subcuenta]],Tabla11[Cuenta],Tabla11[Descripción],0)),0)</f>
        <v>0 0</v>
      </c>
      <c r="AB183" s="1" t="str">
        <f>IFERROR((VALUE(LEFT(Regcontabilizados[[#This Row],[Subcuenta]],2))&amp;" "&amp;_xlfn.XLOOKUP((VALUE(LEFT(Regcontabilizados[[#This Row],[Subcuenta]],2))),Tabla11[Cuenta],Tabla11[Descripción],0)),0)</f>
        <v>0 0</v>
      </c>
      <c r="AC183" s="1" t="str">
        <f>IFERROR((VALUE(LEFT(Regcontabilizados[[#This Row],[Subcuenta]],4))&amp;" "&amp;_xlfn.XLOOKUP((VALUE(LEFT(Regcontabilizados[[#This Row],[Subcuenta]],4))),Tabla11[Cuenta],Tabla11[Descripción],0)),0)</f>
        <v>0 0</v>
      </c>
      <c r="AD183" s="1" t="str">
        <f>IF(Regcontabilizados[[#This Row],[Eliminado]]="si","",RegContabilizados2[[#This Row],[Estado de pago]])</f>
        <v>PAGADO</v>
      </c>
      <c r="AE183" s="1">
        <f>IF(Regcontabilizados[[#This Row],[Eliminado]]="si","",RegContabilizados2[[#This Row],[Colum. Aux. Estado]])</f>
        <v>0</v>
      </c>
      <c r="AF183" s="1">
        <f>IF(Regcontabilizados[[#This Row],[Eliminado]]="si","",RegContabilizados2[[#This Row],[Número de pago]])</f>
        <v>0</v>
      </c>
      <c r="AG183" s="1">
        <f>IF(Regcontabilizados[[#This Row],[Eliminado]]="si","",RegContabilizados2[[#This Row],[Elaborado por]])</f>
        <v>0</v>
      </c>
      <c r="AH183" s="1">
        <f>IF(Regcontabilizados[[#This Row],[Eliminado]]="si","",RegContabilizados2[[#This Row],[Notas]])</f>
        <v>0</v>
      </c>
      <c r="AI183" s="1">
        <f>IF(Regcontabilizados[[#This Row],[Eliminado]]="si","",RegContabilizados2[[#This Row],[Método de pago]])</f>
        <v>0</v>
      </c>
      <c r="AJ183" s="1">
        <f>IF(Regcontabilizados[[#This Row],[Eliminado]]="si","",RegContabilizados2[[#This Row],[Cta. Bancaria]])</f>
        <v>0</v>
      </c>
      <c r="AO183" s="31"/>
      <c r="AP183" s="31"/>
      <c r="AQ183" s="3"/>
      <c r="AR183" s="3"/>
      <c r="AT183" s="1">
        <v>333333</v>
      </c>
      <c r="AV183" s="1">
        <v>333333</v>
      </c>
      <c r="AW183" s="3"/>
      <c r="AX183" s="3"/>
      <c r="AY183" s="3"/>
      <c r="AZ183" s="3"/>
      <c r="BF183" s="1">
        <f>IFERROR((RegContabilizados2[[#This Row],[Debe]]-RegContabilizados2[[#This Row],[Haber]]),0)</f>
        <v>0</v>
      </c>
      <c r="BG183" s="1">
        <f>IFERROR((+_xlfn.XLOOKUP(RegContabilizados2[[#This Row],[Subcuenta]],Tabla11[Cuenta],Tabla11[Descripción],0)),0)</f>
        <v>0</v>
      </c>
      <c r="BH183" s="1">
        <f>IFERROR((VALUE(LEFT(RegContabilizados2[[#This Row],[Subcuenta]],2))&amp;" "&amp;_xlfn.XLOOKUP((VALUE(LEFT(RegContabilizados2[[#This Row],[Subcuenta]],2))),Tabla11[Cuenta],Tabla11[Descripción],0)),0)</f>
        <v>0</v>
      </c>
      <c r="BI183" s="1">
        <f>IFERROR((VALUE(LEFT(RegContabilizados2[[#This Row],[Subcuenta]],4))&amp;" "&amp;_xlfn.XLOOKUP((VALUE(LEFT(RegContabilizados2[[#This Row],[Subcuenta]],4))),Tabla11[Cuenta],Tabla11[Descripción],0)),0)</f>
        <v>0</v>
      </c>
      <c r="BJ183" s="1" t="str">
        <f>IFERROR((RegContabilizados2[[#This Row],[Subcuenta]]&amp;" "&amp;_xlfn.XLOOKUP(RegContabilizados2[[#This Row],[Subcuenta]],Tabla11[Cuenta],Tabla11[Descripción],0)),0)</f>
        <v xml:space="preserve"> 0</v>
      </c>
      <c r="BK183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PAGADO</v>
      </c>
      <c r="BL183" s="1">
        <f>IFERROR(LEFT(RegContabilizados2[[#This Row],[Idenficador]],SEARCH("-",RegContabilizados2[[#This Row],[Idenficador]])-1),0)</f>
        <v>0</v>
      </c>
    </row>
    <row r="184" spans="4:67">
      <c r="D184" s="31">
        <f>IF(Regcontabilizados[[#This Row],[Eliminado]]="si","",RegContabilizados2[[#This Row],[fecha Factura]])</f>
        <v>0</v>
      </c>
      <c r="E184" s="31">
        <f>IF(Regcontabilizados[[#This Row],[Eliminado]]="si","",RegContabilizados2[[#This Row],[Fecha vencimiento]])</f>
        <v>0</v>
      </c>
      <c r="F184" s="3">
        <f>IF(Regcontabilizados[[#This Row],[Eliminado]]="si","",RegContabilizados2[[#This Row],[Idenficador]])</f>
        <v>0</v>
      </c>
      <c r="G184" s="3">
        <f>IF(Regcontabilizados[[#This Row],[Eliminado]]="si","",RegContabilizados2[[#This Row],[N° de factura/Pago]])</f>
        <v>0</v>
      </c>
      <c r="H184" s="1">
        <f>IF(Regcontabilizados[[#This Row],[Eliminado]]="si","",RegContabilizados2[[#This Row],[Tipo de Factura]])</f>
        <v>0</v>
      </c>
      <c r="I184" s="1">
        <f>IF(Regcontabilizados[[#This Row],[Eliminado]]="si","",RegContabilizados2[[#This Row],[ID Cliente]])</f>
        <v>333333</v>
      </c>
      <c r="J184" s="1">
        <f>IF(Regcontabilizados[[#This Row],[Eliminado]]="si","",RegContabilizados2[[#This Row],[ESTADO DEL IVA]])</f>
        <v>0</v>
      </c>
      <c r="K184" s="3">
        <f>IF(Regcontabilizados[[#This Row],[Eliminado]]="si","",RegContabilizados2[[#This Row],[ID Proveedor]])</f>
        <v>333333</v>
      </c>
      <c r="L184" s="3">
        <f>IF(Regcontabilizados[[#This Row],[Eliminado]]="si","",RegContabilizados2[[#This Row],[Concepto]])</f>
        <v>0</v>
      </c>
      <c r="M184" s="3">
        <f>IF(Regcontabilizados[[#This Row],[Eliminado]]="si","",RegContabilizados2[[#This Row],[Categoría]])</f>
        <v>0</v>
      </c>
      <c r="N184" s="3">
        <f>IF(Regcontabilizados[[#This Row],[Eliminado]]="si","",RegContabilizados2[[#This Row],[Almacen]])</f>
        <v>0</v>
      </c>
      <c r="O184" s="3">
        <f>IF(Regcontabilizados[[#This Row],[Eliminado]]="si","",RegContabilizados2[[#This Row],[Tipo de movimiento]])</f>
        <v>0</v>
      </c>
      <c r="P184" s="1">
        <f>IF(Regcontabilizados[[#This Row],[Eliminado]]="si","",RegContabilizados2[[#This Row],[cantidad]])</f>
        <v>0</v>
      </c>
      <c r="Q184" s="1">
        <f>IF(Regcontabilizados[[#This Row],[Eliminado]]="si","",RegContabilizados2[[#This Row],[VR unitario]])</f>
        <v>0</v>
      </c>
      <c r="R184" s="1">
        <f>IF(Regcontabilizados[[#This Row],[Eliminado]]="si","",RegContabilizados2[[#This Row],[Subcuenta]])</f>
        <v>0</v>
      </c>
      <c r="S184" s="1">
        <f>IF(Regcontabilizados[[#This Row],[Eliminado]]="si","",RegContabilizados2[[#This Row],[Debe]])</f>
        <v>0</v>
      </c>
      <c r="T184" s="1">
        <f>IF(Regcontabilizados[[#This Row],[Eliminado]]="si","",RegContabilizados2[[#This Row],[Haber]])</f>
        <v>0</v>
      </c>
      <c r="U184" s="1">
        <f>IFERROR((Regcontabilizados[[#This Row],[Debe]]-Regcontabilizados[[#This Row],[Haber]]),0)</f>
        <v>0</v>
      </c>
      <c r="V184" s="1">
        <f>IFERROR((+_xlfn.XLOOKUP(Regcontabilizados[[#This Row],[Subcuenta]],Tabla11[Cuenta],Tabla11[Descripción],0)),0)</f>
        <v>0</v>
      </c>
      <c r="W184" s="1">
        <f>IFERROR((_xlfn.XLOOKUP((VALUE(LEFT(Regcontabilizados[[#This Row],[Subcuenta]],4))),Tabla11[Cuenta],Tabla11[Descripción],0)),0)</f>
        <v>0</v>
      </c>
      <c r="X184" s="1">
        <f>IFERROR((_xlfn.XLOOKUP(Regcontabilizados[[#This Row],[Subcuenta]],Tabla11[Cuenta],Tabla11[Descripción],0)),0)</f>
        <v>0</v>
      </c>
      <c r="Y184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184" s="1" t="str">
        <f>_xlfn.XLOOKUP(Regcontabilizados[[#This Row],[Subcuenta]],Tabla11[Cuenta],Tabla11[TIPO],"")</f>
        <v/>
      </c>
      <c r="AA184" s="1" t="str">
        <f>IFERROR((Regcontabilizados[[#This Row],[Subcuenta]]&amp;" "&amp;_xlfn.XLOOKUP(Regcontabilizados[[#This Row],[Subcuenta]],Tabla11[Cuenta],Tabla11[Descripción],0)),0)</f>
        <v>0 0</v>
      </c>
      <c r="AB184" s="1" t="str">
        <f>IFERROR((VALUE(LEFT(Regcontabilizados[[#This Row],[Subcuenta]],2))&amp;" "&amp;_xlfn.XLOOKUP((VALUE(LEFT(Regcontabilizados[[#This Row],[Subcuenta]],2))),Tabla11[Cuenta],Tabla11[Descripción],0)),0)</f>
        <v>0 0</v>
      </c>
      <c r="AC184" s="1" t="str">
        <f>IFERROR((VALUE(LEFT(Regcontabilizados[[#This Row],[Subcuenta]],4))&amp;" "&amp;_xlfn.XLOOKUP((VALUE(LEFT(Regcontabilizados[[#This Row],[Subcuenta]],4))),Tabla11[Cuenta],Tabla11[Descripción],0)),0)</f>
        <v>0 0</v>
      </c>
      <c r="AD184" s="1" t="str">
        <f>IF(Regcontabilizados[[#This Row],[Eliminado]]="si","",RegContabilizados2[[#This Row],[Estado de pago]])</f>
        <v>PAGADO</v>
      </c>
      <c r="AE184" s="1">
        <f>IF(Regcontabilizados[[#This Row],[Eliminado]]="si","",RegContabilizados2[[#This Row],[Colum. Aux. Estado]])</f>
        <v>0</v>
      </c>
      <c r="AF184" s="1">
        <f>IF(Regcontabilizados[[#This Row],[Eliminado]]="si","",RegContabilizados2[[#This Row],[Número de pago]])</f>
        <v>0</v>
      </c>
      <c r="AG184" s="1">
        <f>IF(Regcontabilizados[[#This Row],[Eliminado]]="si","",RegContabilizados2[[#This Row],[Elaborado por]])</f>
        <v>0</v>
      </c>
      <c r="AH184" s="1">
        <f>IF(Regcontabilizados[[#This Row],[Eliminado]]="si","",RegContabilizados2[[#This Row],[Notas]])</f>
        <v>0</v>
      </c>
      <c r="AI184" s="1">
        <f>IF(Regcontabilizados[[#This Row],[Eliminado]]="si","",RegContabilizados2[[#This Row],[Método de pago]])</f>
        <v>0</v>
      </c>
      <c r="AJ184" s="1">
        <f>IF(Regcontabilizados[[#This Row],[Eliminado]]="si","",RegContabilizados2[[#This Row],[Cta. Bancaria]])</f>
        <v>0</v>
      </c>
      <c r="AO184" s="31"/>
      <c r="AP184" s="31"/>
      <c r="AQ184" s="31"/>
      <c r="AR184" s="3"/>
      <c r="AT184" s="1">
        <v>333333</v>
      </c>
      <c r="AV184" s="1">
        <v>333333</v>
      </c>
      <c r="AW184" s="3"/>
      <c r="AX184" s="3"/>
      <c r="AY184" s="3"/>
      <c r="AZ184" s="3"/>
      <c r="BF184" s="1">
        <f>IFERROR((RegContabilizados2[[#This Row],[Debe]]-RegContabilizados2[[#This Row],[Haber]]),0)</f>
        <v>0</v>
      </c>
      <c r="BG184" s="1">
        <f>IFERROR((+_xlfn.XLOOKUP(RegContabilizados2[[#This Row],[Subcuenta]],Tabla11[Cuenta],Tabla11[Descripción],0)),0)</f>
        <v>0</v>
      </c>
      <c r="BH184" s="1">
        <f>IFERROR((VALUE(LEFT(RegContabilizados2[[#This Row],[Subcuenta]],2))&amp;" "&amp;_xlfn.XLOOKUP((VALUE(LEFT(RegContabilizados2[[#This Row],[Subcuenta]],2))),Tabla11[Cuenta],Tabla11[Descripción],0)),0)</f>
        <v>0</v>
      </c>
      <c r="BI184" s="1">
        <f>IFERROR((VALUE(LEFT(RegContabilizados2[[#This Row],[Subcuenta]],4))&amp;" "&amp;_xlfn.XLOOKUP((VALUE(LEFT(RegContabilizados2[[#This Row],[Subcuenta]],4))),Tabla11[Cuenta],Tabla11[Descripción],0)),0)</f>
        <v>0</v>
      </c>
      <c r="BJ184" s="1" t="str">
        <f>IFERROR((RegContabilizados2[[#This Row],[Subcuenta]]&amp;" "&amp;_xlfn.XLOOKUP(RegContabilizados2[[#This Row],[Subcuenta]],Tabla11[Cuenta],Tabla11[Descripción],0)),0)</f>
        <v xml:space="preserve"> 0</v>
      </c>
      <c r="BK184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PAGADO</v>
      </c>
      <c r="BL184" s="1">
        <f>IFERROR(LEFT(RegContabilizados2[[#This Row],[Idenficador]],SEARCH("-",RegContabilizados2[[#This Row],[Idenficador]])-1),0)</f>
        <v>0</v>
      </c>
    </row>
    <row r="185" spans="4:67">
      <c r="D185" s="31">
        <f>IF(Regcontabilizados[[#This Row],[Eliminado]]="si","",RegContabilizados2[[#This Row],[fecha Factura]])</f>
        <v>0</v>
      </c>
      <c r="E185" s="31">
        <f>IF(Regcontabilizados[[#This Row],[Eliminado]]="si","",RegContabilizados2[[#This Row],[Fecha vencimiento]])</f>
        <v>0</v>
      </c>
      <c r="F185" s="3">
        <f>IF(Regcontabilizados[[#This Row],[Eliminado]]="si","",RegContabilizados2[[#This Row],[Idenficador]])</f>
        <v>0</v>
      </c>
      <c r="G185" s="3">
        <f>IF(Regcontabilizados[[#This Row],[Eliminado]]="si","",RegContabilizados2[[#This Row],[N° de factura/Pago]])</f>
        <v>0</v>
      </c>
      <c r="H185" s="1">
        <f>IF(Regcontabilizados[[#This Row],[Eliminado]]="si","",RegContabilizados2[[#This Row],[Tipo de Factura]])</f>
        <v>0</v>
      </c>
      <c r="I185" s="1">
        <f>IF(Regcontabilizados[[#This Row],[Eliminado]]="si","",RegContabilizados2[[#This Row],[ID Cliente]])</f>
        <v>333333</v>
      </c>
      <c r="J185" s="1">
        <f>IF(Regcontabilizados[[#This Row],[Eliminado]]="si","",RegContabilizados2[[#This Row],[ESTADO DEL IVA]])</f>
        <v>0</v>
      </c>
      <c r="K185" s="3">
        <f>IF(Regcontabilizados[[#This Row],[Eliminado]]="si","",RegContabilizados2[[#This Row],[ID Proveedor]])</f>
        <v>333333</v>
      </c>
      <c r="L185" s="3">
        <f>IF(Regcontabilizados[[#This Row],[Eliminado]]="si","",RegContabilizados2[[#This Row],[Concepto]])</f>
        <v>0</v>
      </c>
      <c r="M185" s="3">
        <f>IF(Regcontabilizados[[#This Row],[Eliminado]]="si","",RegContabilizados2[[#This Row],[Categoría]])</f>
        <v>0</v>
      </c>
      <c r="N185" s="3">
        <f>IF(Regcontabilizados[[#This Row],[Eliminado]]="si","",RegContabilizados2[[#This Row],[Almacen]])</f>
        <v>0</v>
      </c>
      <c r="O185" s="3">
        <f>IF(Regcontabilizados[[#This Row],[Eliminado]]="si","",RegContabilizados2[[#This Row],[Tipo de movimiento]])</f>
        <v>0</v>
      </c>
      <c r="P185" s="1">
        <f>IF(Regcontabilizados[[#This Row],[Eliminado]]="si","",RegContabilizados2[[#This Row],[cantidad]])</f>
        <v>0</v>
      </c>
      <c r="Q185" s="1">
        <f>IF(Regcontabilizados[[#This Row],[Eliminado]]="si","",RegContabilizados2[[#This Row],[VR unitario]])</f>
        <v>0</v>
      </c>
      <c r="R185" s="1">
        <f>IF(Regcontabilizados[[#This Row],[Eliminado]]="si","",RegContabilizados2[[#This Row],[Subcuenta]])</f>
        <v>0</v>
      </c>
      <c r="S185" s="1">
        <f>IF(Regcontabilizados[[#This Row],[Eliminado]]="si","",RegContabilizados2[[#This Row],[Debe]])</f>
        <v>0</v>
      </c>
      <c r="T185" s="1">
        <f>IF(Regcontabilizados[[#This Row],[Eliminado]]="si","",RegContabilizados2[[#This Row],[Haber]])</f>
        <v>0</v>
      </c>
      <c r="U185" s="1">
        <f>IFERROR((Regcontabilizados[[#This Row],[Debe]]-Regcontabilizados[[#This Row],[Haber]]),0)</f>
        <v>0</v>
      </c>
      <c r="V185" s="1">
        <f>IFERROR((+_xlfn.XLOOKUP(Regcontabilizados[[#This Row],[Subcuenta]],Tabla11[Cuenta],Tabla11[Descripción],0)),0)</f>
        <v>0</v>
      </c>
      <c r="W185" s="1">
        <f>IFERROR((_xlfn.XLOOKUP((VALUE(LEFT(Regcontabilizados[[#This Row],[Subcuenta]],4))),Tabla11[Cuenta],Tabla11[Descripción],0)),0)</f>
        <v>0</v>
      </c>
      <c r="X185" s="1">
        <f>IFERROR((_xlfn.XLOOKUP(Regcontabilizados[[#This Row],[Subcuenta]],Tabla11[Cuenta],Tabla11[Descripción],0)),0)</f>
        <v>0</v>
      </c>
      <c r="Y185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185" s="1" t="str">
        <f>_xlfn.XLOOKUP(Regcontabilizados[[#This Row],[Subcuenta]],Tabla11[Cuenta],Tabla11[TIPO],"")</f>
        <v/>
      </c>
      <c r="AA185" s="1" t="str">
        <f>IFERROR((Regcontabilizados[[#This Row],[Subcuenta]]&amp;" "&amp;_xlfn.XLOOKUP(Regcontabilizados[[#This Row],[Subcuenta]],Tabla11[Cuenta],Tabla11[Descripción],0)),0)</f>
        <v>0 0</v>
      </c>
      <c r="AB185" s="1" t="str">
        <f>IFERROR((VALUE(LEFT(Regcontabilizados[[#This Row],[Subcuenta]],2))&amp;" "&amp;_xlfn.XLOOKUP((VALUE(LEFT(Regcontabilizados[[#This Row],[Subcuenta]],2))),Tabla11[Cuenta],Tabla11[Descripción],0)),0)</f>
        <v>0 0</v>
      </c>
      <c r="AC185" s="1" t="str">
        <f>IFERROR((VALUE(LEFT(Regcontabilizados[[#This Row],[Subcuenta]],4))&amp;" "&amp;_xlfn.XLOOKUP((VALUE(LEFT(Regcontabilizados[[#This Row],[Subcuenta]],4))),Tabla11[Cuenta],Tabla11[Descripción],0)),0)</f>
        <v>0 0</v>
      </c>
      <c r="AD185" s="1" t="str">
        <f>IF(Regcontabilizados[[#This Row],[Eliminado]]="si","",RegContabilizados2[[#This Row],[Estado de pago]])</f>
        <v>PAGADO</v>
      </c>
      <c r="AE185" s="1">
        <f>IF(Regcontabilizados[[#This Row],[Eliminado]]="si","",RegContabilizados2[[#This Row],[Colum. Aux. Estado]])</f>
        <v>0</v>
      </c>
      <c r="AF185" s="1">
        <f>IF(Regcontabilizados[[#This Row],[Eliminado]]="si","",RegContabilizados2[[#This Row],[Número de pago]])</f>
        <v>0</v>
      </c>
      <c r="AG185" s="1">
        <f>IF(Regcontabilizados[[#This Row],[Eliminado]]="si","",RegContabilizados2[[#This Row],[Elaborado por]])</f>
        <v>0</v>
      </c>
      <c r="AH185" s="1">
        <f>IF(Regcontabilizados[[#This Row],[Eliminado]]="si","",RegContabilizados2[[#This Row],[Notas]])</f>
        <v>0</v>
      </c>
      <c r="AI185" s="1">
        <f>IF(Regcontabilizados[[#This Row],[Eliminado]]="si","",RegContabilizados2[[#This Row],[Método de pago]])</f>
        <v>0</v>
      </c>
      <c r="AJ185" s="1">
        <f>IF(Regcontabilizados[[#This Row],[Eliminado]]="si","",RegContabilizados2[[#This Row],[Cta. Bancaria]])</f>
        <v>0</v>
      </c>
      <c r="AO185" s="31"/>
      <c r="AP185" s="31"/>
      <c r="AQ185" s="31"/>
      <c r="AR185" s="3"/>
      <c r="AT185" s="1">
        <v>333333</v>
      </c>
      <c r="AV185" s="1">
        <v>333333</v>
      </c>
      <c r="AW185" s="3"/>
      <c r="AX185" s="3"/>
      <c r="AY185" s="3"/>
      <c r="AZ185" s="3"/>
      <c r="BF185" s="1">
        <f>IFERROR((RegContabilizados2[[#This Row],[Debe]]-RegContabilizados2[[#This Row],[Haber]]),0)</f>
        <v>0</v>
      </c>
      <c r="BG185" s="1">
        <f>IFERROR((+_xlfn.XLOOKUP(RegContabilizados2[[#This Row],[Subcuenta]],Tabla11[Cuenta],Tabla11[Descripción],0)),0)</f>
        <v>0</v>
      </c>
      <c r="BH185" s="1">
        <f>IFERROR((VALUE(LEFT(RegContabilizados2[[#This Row],[Subcuenta]],2))&amp;" "&amp;_xlfn.XLOOKUP((VALUE(LEFT(RegContabilizados2[[#This Row],[Subcuenta]],2))),Tabla11[Cuenta],Tabla11[Descripción],0)),0)</f>
        <v>0</v>
      </c>
      <c r="BI185" s="1">
        <f>IFERROR((VALUE(LEFT(RegContabilizados2[[#This Row],[Subcuenta]],4))&amp;" "&amp;_xlfn.XLOOKUP((VALUE(LEFT(RegContabilizados2[[#This Row],[Subcuenta]],4))),Tabla11[Cuenta],Tabla11[Descripción],0)),0)</f>
        <v>0</v>
      </c>
      <c r="BJ185" s="1" t="str">
        <f>IFERROR((RegContabilizados2[[#This Row],[Subcuenta]]&amp;" "&amp;_xlfn.XLOOKUP(RegContabilizados2[[#This Row],[Subcuenta]],Tabla11[Cuenta],Tabla11[Descripción],0)),0)</f>
        <v xml:space="preserve"> 0</v>
      </c>
      <c r="BK185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PAGADO</v>
      </c>
      <c r="BL185" s="1">
        <f>IFERROR(LEFT(RegContabilizados2[[#This Row],[Idenficador]],SEARCH("-",RegContabilizados2[[#This Row],[Idenficador]])-1),0)</f>
        <v>0</v>
      </c>
    </row>
    <row r="186" spans="4:67">
      <c r="D186" s="31">
        <f>IF(Regcontabilizados[[#This Row],[Eliminado]]="si","",RegContabilizados2[[#This Row],[fecha Factura]])</f>
        <v>45291</v>
      </c>
      <c r="E186" s="31">
        <f>IF(Regcontabilizados[[#This Row],[Eliminado]]="si","",RegContabilizados2[[#This Row],[Fecha vencimiento]])</f>
        <v>45291</v>
      </c>
      <c r="F186" s="3">
        <f>IF(Regcontabilizados[[#This Row],[Eliminado]]="si","",RegContabilizados2[[#This Row],[Idenficador]])</f>
        <v>0</v>
      </c>
      <c r="G186" s="3">
        <f>IF(Regcontabilizados[[#This Row],[Eliminado]]="si","",RegContabilizados2[[#This Row],[N° de factura/Pago]])</f>
        <v>0</v>
      </c>
      <c r="H186" s="1">
        <f>IF(Regcontabilizados[[#This Row],[Eliminado]]="si","",RegContabilizados2[[#This Row],[Tipo de Factura]])</f>
        <v>0</v>
      </c>
      <c r="I186" s="1">
        <f>IF(Regcontabilizados[[#This Row],[Eliminado]]="si","",RegContabilizados2[[#This Row],[ID Cliente]])</f>
        <v>333333</v>
      </c>
      <c r="J186" s="1">
        <f>IF(Regcontabilizados[[#This Row],[Eliminado]]="si","",RegContabilizados2[[#This Row],[ESTADO DEL IVA]])</f>
        <v>0</v>
      </c>
      <c r="K186" s="3">
        <f>IF(Regcontabilizados[[#This Row],[Eliminado]]="si","",RegContabilizados2[[#This Row],[ID Proveedor]])</f>
        <v>333333</v>
      </c>
      <c r="L186" s="3">
        <f>IF(Regcontabilizados[[#This Row],[Eliminado]]="si","",RegContabilizados2[[#This Row],[Concepto]])</f>
        <v>0</v>
      </c>
      <c r="M186" s="3">
        <f>IF(Regcontabilizados[[#This Row],[Eliminado]]="si","",RegContabilizados2[[#This Row],[Categoría]])</f>
        <v>0</v>
      </c>
      <c r="N186" s="3">
        <f>IF(Regcontabilizados[[#This Row],[Eliminado]]="si","",RegContabilizados2[[#This Row],[Almacen]])</f>
        <v>0</v>
      </c>
      <c r="O186" s="3">
        <f>IF(Regcontabilizados[[#This Row],[Eliminado]]="si","",RegContabilizados2[[#This Row],[Tipo de movimiento]])</f>
        <v>0</v>
      </c>
      <c r="P186" s="1">
        <f>IF(Regcontabilizados[[#This Row],[Eliminado]]="si","",RegContabilizados2[[#This Row],[cantidad]])</f>
        <v>0</v>
      </c>
      <c r="Q186" s="1">
        <f>IF(Regcontabilizados[[#This Row],[Eliminado]]="si","",RegContabilizados2[[#This Row],[VR unitario]])</f>
        <v>0</v>
      </c>
      <c r="R186" s="1">
        <f>IF(Regcontabilizados[[#This Row],[Eliminado]]="si","",RegContabilizados2[[#This Row],[Subcuenta]])</f>
        <v>59050501</v>
      </c>
      <c r="S186" s="1">
        <f>IF(Regcontabilizados[[#This Row],[Eliminado]]="si","",RegContabilizados2[[#This Row],[Debe]])</f>
        <v>0</v>
      </c>
      <c r="T186" s="1">
        <f>IF(Regcontabilizados[[#This Row],[Eliminado]]="si","",RegContabilizados2[[#This Row],[Haber]])</f>
        <v>0</v>
      </c>
      <c r="U186" s="1">
        <f>IFERROR((Regcontabilizados[[#This Row],[Debe]]-Regcontabilizados[[#This Row],[Haber]]),0)</f>
        <v>0</v>
      </c>
      <c r="V186" s="1" t="str">
        <f>IFERROR((+_xlfn.XLOOKUP(Regcontabilizados[[#This Row],[Subcuenta]],Tabla11[Cuenta],Tabla11[Descripción],0)),0)</f>
        <v>Ganancias y pérdidas</v>
      </c>
      <c r="W186" s="1" t="str">
        <f>IFERROR((_xlfn.XLOOKUP((VALUE(LEFT(Regcontabilizados[[#This Row],[Subcuenta]],4))),Tabla11[Cuenta],Tabla11[Descripción],0)),0)</f>
        <v>GANANCIAS Y PÉRDIDAS</v>
      </c>
      <c r="X186" s="1" t="str">
        <f>IFERROR((_xlfn.XLOOKUP(Regcontabilizados[[#This Row],[Subcuenta]],Tabla11[Cuenta],Tabla11[Descripción],0)),0)</f>
        <v>Ganancias y pérdidas</v>
      </c>
      <c r="Y186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186" s="1" t="str">
        <f>_xlfn.XLOOKUP(Regcontabilizados[[#This Row],[Subcuenta]],Tabla11[Cuenta],Tabla11[TIPO],"")</f>
        <v>Gastos</v>
      </c>
      <c r="AA186" s="1" t="str">
        <f>IFERROR((Regcontabilizados[[#This Row],[Subcuenta]]&amp;" "&amp;_xlfn.XLOOKUP(Regcontabilizados[[#This Row],[Subcuenta]],Tabla11[Cuenta],Tabla11[Descripción],0)),0)</f>
        <v>59050501 Ganancias y pérdidas</v>
      </c>
      <c r="AB186" s="1" t="str">
        <f>IFERROR((VALUE(LEFT(Regcontabilizados[[#This Row],[Subcuenta]],2))&amp;" "&amp;_xlfn.XLOOKUP((VALUE(LEFT(Regcontabilizados[[#This Row],[Subcuenta]],2))),Tabla11[Cuenta],Tabla11[Descripción],0)),0)</f>
        <v>59 GANANCIAS Y PÉRDIDAS</v>
      </c>
      <c r="AC186" s="1" t="str">
        <f>IFERROR((VALUE(LEFT(Regcontabilizados[[#This Row],[Subcuenta]],4))&amp;" "&amp;_xlfn.XLOOKUP((VALUE(LEFT(Regcontabilizados[[#This Row],[Subcuenta]],4))),Tabla11[Cuenta],Tabla11[Descripción],0)),0)</f>
        <v>5905 GANANCIAS Y PÉRDIDAS</v>
      </c>
      <c r="AD186" s="1" t="str">
        <f>IF(Regcontabilizados[[#This Row],[Eliminado]]="si","",RegContabilizados2[[#This Row],[Estado de pago]])</f>
        <v>PAGADO</v>
      </c>
      <c r="AE186" s="1">
        <f>IF(Regcontabilizados[[#This Row],[Eliminado]]="si","",RegContabilizados2[[#This Row],[Colum. Aux. Estado]])</f>
        <v>0</v>
      </c>
      <c r="AF186" s="1">
        <f>IF(Regcontabilizados[[#This Row],[Eliminado]]="si","",RegContabilizados2[[#This Row],[Número de pago]])</f>
        <v>0</v>
      </c>
      <c r="AG186" s="1">
        <f>IF(Regcontabilizados[[#This Row],[Eliminado]]="si","",RegContabilizados2[[#This Row],[Elaborado por]])</f>
        <v>0</v>
      </c>
      <c r="AH186" s="1">
        <f>IF(Regcontabilizados[[#This Row],[Eliminado]]="si","",RegContabilizados2[[#This Row],[Notas]])</f>
        <v>0</v>
      </c>
      <c r="AI186" s="1">
        <f>IF(Regcontabilizados[[#This Row],[Eliminado]]="si","",RegContabilizados2[[#This Row],[Método de pago]])</f>
        <v>0</v>
      </c>
      <c r="AJ186" s="1">
        <f>IF(Regcontabilizados[[#This Row],[Eliminado]]="si","",RegContabilizados2[[#This Row],[Cta. Bancaria]])</f>
        <v>0</v>
      </c>
      <c r="AO186" s="31">
        <v>45291</v>
      </c>
      <c r="AP186" s="31">
        <v>45291</v>
      </c>
      <c r="AQ186" s="31"/>
      <c r="AR186" s="3"/>
      <c r="AT186" s="1">
        <v>333333</v>
      </c>
      <c r="AV186" s="1">
        <v>333333</v>
      </c>
      <c r="AW186" s="3"/>
      <c r="AX186" s="3"/>
      <c r="AY186" s="3"/>
      <c r="AZ186" s="3"/>
      <c r="BC186" s="1">
        <v>59050501</v>
      </c>
      <c r="BD186" s="1">
        <f>IF(BE187&gt;0,BE187,0)</f>
        <v>0</v>
      </c>
      <c r="BE186" s="1">
        <f>IF(BD187&gt;0,BD187,0)</f>
        <v>0</v>
      </c>
      <c r="BF186" s="1">
        <f>IFERROR((RegContabilizados2[[#This Row],[Debe]]-RegContabilizados2[[#This Row],[Haber]]),0)</f>
        <v>0</v>
      </c>
      <c r="BG186" s="1" t="str">
        <f>IFERROR((+_xlfn.XLOOKUP(RegContabilizados2[[#This Row],[Subcuenta]],Tabla11[Cuenta],Tabla11[Descripción],0)),0)</f>
        <v>Ganancias y pérdidas</v>
      </c>
      <c r="BH186" s="1" t="str">
        <f>IFERROR((VALUE(LEFT(RegContabilizados2[[#This Row],[Subcuenta]],2))&amp;" "&amp;_xlfn.XLOOKUP((VALUE(LEFT(RegContabilizados2[[#This Row],[Subcuenta]],2))),Tabla11[Cuenta],Tabla11[Descripción],0)),0)</f>
        <v>59 GANANCIAS Y PÉRDIDAS</v>
      </c>
      <c r="BI186" s="1" t="str">
        <f>IFERROR((VALUE(LEFT(RegContabilizados2[[#This Row],[Subcuenta]],4))&amp;" "&amp;_xlfn.XLOOKUP((VALUE(LEFT(RegContabilizados2[[#This Row],[Subcuenta]],4))),Tabla11[Cuenta],Tabla11[Descripción],0)),0)</f>
        <v>5905 GANANCIAS Y PÉRDIDAS</v>
      </c>
      <c r="BJ186" s="1" t="str">
        <f>IFERROR((RegContabilizados2[[#This Row],[Subcuenta]]&amp;" "&amp;_xlfn.XLOOKUP(RegContabilizados2[[#This Row],[Subcuenta]],Tabla11[Cuenta],Tabla11[Descripción],0)),0)</f>
        <v>59050501 Ganancias y pérdidas</v>
      </c>
      <c r="BK186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PAGADO</v>
      </c>
      <c r="BL186" s="1">
        <f>IFERROR(LEFT(RegContabilizados2[[#This Row],[Idenficador]],SEARCH("-",RegContabilizados2[[#This Row],[Idenficador]])-1),0)</f>
        <v>0</v>
      </c>
    </row>
    <row r="187" spans="4:67">
      <c r="D187" s="31">
        <f>IF(Regcontabilizados[[#This Row],[Eliminado]]="si","",RegContabilizados2[[#This Row],[fecha Factura]])</f>
        <v>45291</v>
      </c>
      <c r="E187" s="31">
        <f>IF(Regcontabilizados[[#This Row],[Eliminado]]="si","",RegContabilizados2[[#This Row],[Fecha vencimiento]])</f>
        <v>45291</v>
      </c>
      <c r="F187" s="3">
        <f>IF(Regcontabilizados[[#This Row],[Eliminado]]="si","",RegContabilizados2[[#This Row],[Idenficador]])</f>
        <v>0</v>
      </c>
      <c r="G187" s="3">
        <f>IF(Regcontabilizados[[#This Row],[Eliminado]]="si","",RegContabilizados2[[#This Row],[N° de factura/Pago]])</f>
        <v>0</v>
      </c>
      <c r="H187" s="1">
        <f>IF(Regcontabilizados[[#This Row],[Eliminado]]="si","",RegContabilizados2[[#This Row],[Tipo de Factura]])</f>
        <v>0</v>
      </c>
      <c r="I187" s="1">
        <f>IF(Regcontabilizados[[#This Row],[Eliminado]]="si","",RegContabilizados2[[#This Row],[ID Cliente]])</f>
        <v>333333</v>
      </c>
      <c r="J187" s="1">
        <f>IF(Regcontabilizados[[#This Row],[Eliminado]]="si","",RegContabilizados2[[#This Row],[ESTADO DEL IVA]])</f>
        <v>0</v>
      </c>
      <c r="K187" s="3">
        <f>IF(Regcontabilizados[[#This Row],[Eliminado]]="si","",RegContabilizados2[[#This Row],[ID Proveedor]])</f>
        <v>333333</v>
      </c>
      <c r="L187" s="3">
        <f>IF(Regcontabilizados[[#This Row],[Eliminado]]="si","",RegContabilizados2[[#This Row],[Concepto]])</f>
        <v>0</v>
      </c>
      <c r="M187" s="3">
        <f>IF(Regcontabilizados[[#This Row],[Eliminado]]="si","",RegContabilizados2[[#This Row],[Categoría]])</f>
        <v>0</v>
      </c>
      <c r="N187" s="3">
        <f>IF(Regcontabilizados[[#This Row],[Eliminado]]="si","",RegContabilizados2[[#This Row],[Almacen]])</f>
        <v>0</v>
      </c>
      <c r="O187" s="3">
        <f>IF(Regcontabilizados[[#This Row],[Eliminado]]="si","",RegContabilizados2[[#This Row],[Tipo de movimiento]])</f>
        <v>0</v>
      </c>
      <c r="P187" s="1">
        <f>IF(Regcontabilizados[[#This Row],[Eliminado]]="si","",RegContabilizados2[[#This Row],[cantidad]])</f>
        <v>0</v>
      </c>
      <c r="Q187" s="1">
        <f>IF(Regcontabilizados[[#This Row],[Eliminado]]="si","",RegContabilizados2[[#This Row],[VR unitario]])</f>
        <v>0</v>
      </c>
      <c r="R187" s="1">
        <f>IF(Regcontabilizados[[#This Row],[Eliminado]]="si","",RegContabilizados2[[#This Row],[Subcuenta]])</f>
        <v>361505</v>
      </c>
      <c r="S187" s="1">
        <f>IF(Regcontabilizados[[#This Row],[Eliminado]]="si","",RegContabilizados2[[#This Row],[Debe]])</f>
        <v>0</v>
      </c>
      <c r="T187" s="1">
        <f>IF(Regcontabilizados[[#This Row],[Eliminado]]="si","",RegContabilizados2[[#This Row],[Haber]])</f>
        <v>0</v>
      </c>
      <c r="U187" s="1">
        <f>IFERROR((Regcontabilizados[[#This Row],[Debe]]-Regcontabilizados[[#This Row],[Haber]]),0)</f>
        <v>0</v>
      </c>
      <c r="V187" s="1" t="str">
        <f>IFERROR((+_xlfn.XLOOKUP(Regcontabilizados[[#This Row],[Subcuenta]],Tabla11[Cuenta],Tabla11[Descripción],0)),0)</f>
        <v>EXCEDENTES DEL EJERCICIO</v>
      </c>
      <c r="W187" s="1" t="str">
        <f>IFERROR((_xlfn.XLOOKUP((VALUE(LEFT(Regcontabilizados[[#This Row],[Subcuenta]],4))),Tabla11[Cuenta],Tabla11[Descripción],0)),0)</f>
        <v>EXCEDENTES DEL EJERCICIO</v>
      </c>
      <c r="X187" s="1" t="str">
        <f>IFERROR((_xlfn.XLOOKUP(Regcontabilizados[[#This Row],[Subcuenta]],Tabla11[Cuenta],Tabla11[Descripción],0)),0)</f>
        <v>EXCEDENTES DEL EJERCICIO</v>
      </c>
      <c r="Y187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187" s="1" t="str">
        <f>_xlfn.XLOOKUP(Regcontabilizados[[#This Row],[Subcuenta]],Tabla11[Cuenta],Tabla11[TIPO],"")</f>
        <v>Patrimonio</v>
      </c>
      <c r="AA187" s="1" t="str">
        <f>IFERROR((Regcontabilizados[[#This Row],[Subcuenta]]&amp;" "&amp;_xlfn.XLOOKUP(Regcontabilizados[[#This Row],[Subcuenta]],Tabla11[Cuenta],Tabla11[Descripción],0)),0)</f>
        <v>361505 EXCEDENTES DEL EJERCICIO</v>
      </c>
      <c r="AB187" s="1" t="str">
        <f>IFERROR((VALUE(LEFT(Regcontabilizados[[#This Row],[Subcuenta]],2))&amp;" "&amp;_xlfn.XLOOKUP((VALUE(LEFT(Regcontabilizados[[#This Row],[Subcuenta]],2))),Tabla11[Cuenta],Tabla11[Descripción],0)),0)</f>
        <v>36 RESULTADOS DEL EJERCICIO</v>
      </c>
      <c r="AC187" s="1" t="str">
        <f>IFERROR((VALUE(LEFT(Regcontabilizados[[#This Row],[Subcuenta]],4))&amp;" "&amp;_xlfn.XLOOKUP((VALUE(LEFT(Regcontabilizados[[#This Row],[Subcuenta]],4))),Tabla11[Cuenta],Tabla11[Descripción],0)),0)</f>
        <v>3615 EXCEDENTES DEL EJERCICIO</v>
      </c>
      <c r="AD187" s="1" t="str">
        <f>IF(Regcontabilizados[[#This Row],[Eliminado]]="si","",RegContabilizados2[[#This Row],[Estado de pago]])</f>
        <v>PAGADO</v>
      </c>
      <c r="AE187" s="1">
        <f>IF(Regcontabilizados[[#This Row],[Eliminado]]="si","",RegContabilizados2[[#This Row],[Colum. Aux. Estado]])</f>
        <v>0</v>
      </c>
      <c r="AF187" s="1">
        <f>IF(Regcontabilizados[[#This Row],[Eliminado]]="si","",RegContabilizados2[[#This Row],[Número de pago]])</f>
        <v>0</v>
      </c>
      <c r="AG187" s="1">
        <f>IF(Regcontabilizados[[#This Row],[Eliminado]]="si","",RegContabilizados2[[#This Row],[Elaborado por]])</f>
        <v>0</v>
      </c>
      <c r="AH187" s="1">
        <f>IF(Regcontabilizados[[#This Row],[Eliminado]]="si","",RegContabilizados2[[#This Row],[Notas]])</f>
        <v>0</v>
      </c>
      <c r="AI187" s="1">
        <f>IF(Regcontabilizados[[#This Row],[Eliminado]]="si","",RegContabilizados2[[#This Row],[Método de pago]])</f>
        <v>0</v>
      </c>
      <c r="AJ187" s="1">
        <f>IF(Regcontabilizados[[#This Row],[Eliminado]]="si","",RegContabilizados2[[#This Row],[Cta. Bancaria]])</f>
        <v>0</v>
      </c>
      <c r="AO187" s="31">
        <v>45291</v>
      </c>
      <c r="AP187" s="31">
        <v>45291</v>
      </c>
      <c r="AQ187" s="31"/>
      <c r="AR187" s="3"/>
      <c r="AT187" s="1">
        <v>333333</v>
      </c>
      <c r="AV187" s="1">
        <v>333333</v>
      </c>
      <c r="AW187" s="3"/>
      <c r="AX187" s="3"/>
      <c r="AY187" s="3"/>
      <c r="AZ187" s="3"/>
      <c r="BC187" s="1">
        <v>361505</v>
      </c>
      <c r="BD187" s="1">
        <f>IF('Estado de Resultados'!P10&gt;0,'Estado de Resultados'!P10,0)</f>
        <v>0</v>
      </c>
      <c r="BE187" s="1">
        <f>IF('Estado de Resultados'!P10&lt;0,'Estado de Resultados'!P10*-1,0)</f>
        <v>0</v>
      </c>
      <c r="BF187" s="1">
        <f>IFERROR((RegContabilizados2[[#This Row],[Debe]]-RegContabilizados2[[#This Row],[Haber]]),0)</f>
        <v>0</v>
      </c>
      <c r="BG187" s="1" t="str">
        <f>IFERROR((+_xlfn.XLOOKUP(RegContabilizados2[[#This Row],[Subcuenta]],Tabla11[Cuenta],Tabla11[Descripción],0)),0)</f>
        <v>EXCEDENTES DEL EJERCICIO</v>
      </c>
      <c r="BH187" s="1" t="str">
        <f>IFERROR((VALUE(LEFT(RegContabilizados2[[#This Row],[Subcuenta]],2))&amp;" "&amp;_xlfn.XLOOKUP((VALUE(LEFT(RegContabilizados2[[#This Row],[Subcuenta]],2))),Tabla11[Cuenta],Tabla11[Descripción],0)),0)</f>
        <v>36 RESULTADOS DEL EJERCICIO</v>
      </c>
      <c r="BI187" s="1" t="str">
        <f>IFERROR((VALUE(LEFT(RegContabilizados2[[#This Row],[Subcuenta]],4))&amp;" "&amp;_xlfn.XLOOKUP((VALUE(LEFT(RegContabilizados2[[#This Row],[Subcuenta]],4))),Tabla11[Cuenta],Tabla11[Descripción],0)),0)</f>
        <v>3615 EXCEDENTES DEL EJERCICIO</v>
      </c>
      <c r="BJ187" s="1" t="str">
        <f>IFERROR((RegContabilizados2[[#This Row],[Subcuenta]]&amp;" "&amp;_xlfn.XLOOKUP(RegContabilizados2[[#This Row],[Subcuenta]],Tabla11[Cuenta],Tabla11[Descripción],0)),0)</f>
        <v>361505 EXCEDENTES DEL EJERCICIO</v>
      </c>
      <c r="BK187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PAGADO</v>
      </c>
      <c r="BL187" s="1">
        <f>IFERROR(LEFT(RegContabilizados2[[#This Row],[Idenficador]],SEARCH("-",RegContabilizados2[[#This Row],[Idenficador]])-1),0)</f>
        <v>0</v>
      </c>
    </row>
    <row r="188" spans="4:67">
      <c r="D188" s="31">
        <f>IF(Regcontabilizados[[#This Row],[Eliminado]]="si","",RegContabilizados2[[#This Row],[fecha Factura]])</f>
        <v>45657</v>
      </c>
      <c r="E188" s="31">
        <f>IF(Regcontabilizados[[#This Row],[Eliminado]]="si","",RegContabilizados2[[#This Row],[Fecha vencimiento]])</f>
        <v>45657</v>
      </c>
      <c r="F188" s="3">
        <f>IF(Regcontabilizados[[#This Row],[Eliminado]]="si","",RegContabilizados2[[#This Row],[Idenficador]])</f>
        <v>0</v>
      </c>
      <c r="G188" s="3">
        <f>IF(Regcontabilizados[[#This Row],[Eliminado]]="si","",RegContabilizados2[[#This Row],[N° de factura/Pago]])</f>
        <v>0</v>
      </c>
      <c r="H188" s="1">
        <f>IF(Regcontabilizados[[#This Row],[Eliminado]]="si","",RegContabilizados2[[#This Row],[Tipo de Factura]])</f>
        <v>0</v>
      </c>
      <c r="I188" s="1">
        <f>IF(Regcontabilizados[[#This Row],[Eliminado]]="si","",RegContabilizados2[[#This Row],[ID Cliente]])</f>
        <v>333333</v>
      </c>
      <c r="J188" s="1">
        <f>IF(Regcontabilizados[[#This Row],[Eliminado]]="si","",RegContabilizados2[[#This Row],[ESTADO DEL IVA]])</f>
        <v>0</v>
      </c>
      <c r="K188" s="3">
        <f>IF(Regcontabilizados[[#This Row],[Eliminado]]="si","",RegContabilizados2[[#This Row],[ID Proveedor]])</f>
        <v>333333</v>
      </c>
      <c r="L188" s="3">
        <f>IF(Regcontabilizados[[#This Row],[Eliminado]]="si","",RegContabilizados2[[#This Row],[Concepto]])</f>
        <v>0</v>
      </c>
      <c r="M188" s="3">
        <f>IF(Regcontabilizados[[#This Row],[Eliminado]]="si","",RegContabilizados2[[#This Row],[Categoría]])</f>
        <v>0</v>
      </c>
      <c r="N188" s="3">
        <f>IF(Regcontabilizados[[#This Row],[Eliminado]]="si","",RegContabilizados2[[#This Row],[Almacen]])</f>
        <v>0</v>
      </c>
      <c r="O188" s="3">
        <f>IF(Regcontabilizados[[#This Row],[Eliminado]]="si","",RegContabilizados2[[#This Row],[Tipo de movimiento]])</f>
        <v>0</v>
      </c>
      <c r="P188" s="1">
        <f>IF(Regcontabilizados[[#This Row],[Eliminado]]="si","",RegContabilizados2[[#This Row],[cantidad]])</f>
        <v>0</v>
      </c>
      <c r="Q188" s="1">
        <f>IF(Regcontabilizados[[#This Row],[Eliminado]]="si","",RegContabilizados2[[#This Row],[VR unitario]])</f>
        <v>0</v>
      </c>
      <c r="R188" s="1">
        <f>IF(Regcontabilizados[[#This Row],[Eliminado]]="si","",RegContabilizados2[[#This Row],[Subcuenta]])</f>
        <v>0</v>
      </c>
      <c r="S188" s="1">
        <f>IF(Regcontabilizados[[#This Row],[Eliminado]]="si","",RegContabilizados2[[#This Row],[Debe]])</f>
        <v>0</v>
      </c>
      <c r="T188" s="1">
        <f>IF(Regcontabilizados[[#This Row],[Eliminado]]="si","",RegContabilizados2[[#This Row],[Haber]])</f>
        <v>0</v>
      </c>
      <c r="U188" s="1">
        <f>IFERROR((Regcontabilizados[[#This Row],[Debe]]-Regcontabilizados[[#This Row],[Haber]]),0)</f>
        <v>0</v>
      </c>
      <c r="V188" s="1">
        <f>IFERROR((+_xlfn.XLOOKUP(Regcontabilizados[[#This Row],[Subcuenta]],Tabla11[Cuenta],Tabla11[Descripción],0)),0)</f>
        <v>0</v>
      </c>
      <c r="W188" s="1">
        <f>IFERROR((_xlfn.XLOOKUP((VALUE(LEFT(Regcontabilizados[[#This Row],[Subcuenta]],4))),Tabla11[Cuenta],Tabla11[Descripción],0)),0)</f>
        <v>0</v>
      </c>
      <c r="X188" s="1">
        <f>IFERROR((_xlfn.XLOOKUP(Regcontabilizados[[#This Row],[Subcuenta]],Tabla11[Cuenta],Tabla11[Descripción],0)),0)</f>
        <v>0</v>
      </c>
      <c r="Y188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188" s="1" t="str">
        <f>_xlfn.XLOOKUP(Regcontabilizados[[#This Row],[Subcuenta]],Tabla11[Cuenta],Tabla11[TIPO],"")</f>
        <v/>
      </c>
      <c r="AA188" s="1" t="str">
        <f>IFERROR((Regcontabilizados[[#This Row],[Subcuenta]]&amp;" "&amp;_xlfn.XLOOKUP(Regcontabilizados[[#This Row],[Subcuenta]],Tabla11[Cuenta],Tabla11[Descripción],0)),0)</f>
        <v>0 0</v>
      </c>
      <c r="AB188" s="1" t="str">
        <f>IFERROR((VALUE(LEFT(Regcontabilizados[[#This Row],[Subcuenta]],2))&amp;" "&amp;_xlfn.XLOOKUP((VALUE(LEFT(Regcontabilizados[[#This Row],[Subcuenta]],2))),Tabla11[Cuenta],Tabla11[Descripción],0)),0)</f>
        <v>0 0</v>
      </c>
      <c r="AC188" s="1" t="str">
        <f>IFERROR((VALUE(LEFT(Regcontabilizados[[#This Row],[Subcuenta]],4))&amp;" "&amp;_xlfn.XLOOKUP((VALUE(LEFT(Regcontabilizados[[#This Row],[Subcuenta]],4))),Tabla11[Cuenta],Tabla11[Descripción],0)),0)</f>
        <v>0 0</v>
      </c>
      <c r="AD188" s="1" t="str">
        <f>IF(Regcontabilizados[[#This Row],[Eliminado]]="si","",RegContabilizados2[[#This Row],[Estado de pago]])</f>
        <v>PAGADO</v>
      </c>
      <c r="AE188" s="1">
        <f>IF(Regcontabilizados[[#This Row],[Eliminado]]="si","",RegContabilizados2[[#This Row],[Colum. Aux. Estado]])</f>
        <v>0</v>
      </c>
      <c r="AF188" s="1">
        <f>IF(Regcontabilizados[[#This Row],[Eliminado]]="si","",RegContabilizados2[[#This Row],[Número de pago]])</f>
        <v>0</v>
      </c>
      <c r="AG188" s="1">
        <f>IF(Regcontabilizados[[#This Row],[Eliminado]]="si","",RegContabilizados2[[#This Row],[Elaborado por]])</f>
        <v>0</v>
      </c>
      <c r="AH188" s="1">
        <f>IF(Regcontabilizados[[#This Row],[Eliminado]]="si","",RegContabilizados2[[#This Row],[Notas]])</f>
        <v>0</v>
      </c>
      <c r="AI188" s="1">
        <f>IF(Regcontabilizados[[#This Row],[Eliminado]]="si","",RegContabilizados2[[#This Row],[Método de pago]])</f>
        <v>0</v>
      </c>
      <c r="AJ188" s="1">
        <f>IF(Regcontabilizados[[#This Row],[Eliminado]]="si","",RegContabilizados2[[#This Row],[Cta. Bancaria]])</f>
        <v>0</v>
      </c>
      <c r="AO188" s="31">
        <v>45657</v>
      </c>
      <c r="AP188" s="31">
        <v>45657</v>
      </c>
      <c r="AQ188" s="31"/>
      <c r="AR188" s="3"/>
      <c r="AT188" s="1">
        <v>333333</v>
      </c>
      <c r="AV188" s="1">
        <v>333333</v>
      </c>
      <c r="AW188" s="3"/>
      <c r="AX188" s="3"/>
      <c r="AY188" s="3"/>
      <c r="AZ188" s="3"/>
      <c r="BF188" s="1">
        <f>IFERROR((RegContabilizados2[[#This Row],[Debe]]-RegContabilizados2[[#This Row],[Haber]]),0)</f>
        <v>0</v>
      </c>
      <c r="BG188" s="1">
        <f>IFERROR((+_xlfn.XLOOKUP(RegContabilizados2[[#This Row],[Subcuenta]],Tabla11[Cuenta],Tabla11[Descripción],0)),0)</f>
        <v>0</v>
      </c>
      <c r="BH188" s="1">
        <f>IFERROR((VALUE(LEFT(RegContabilizados2[[#This Row],[Subcuenta]],2))&amp;" "&amp;_xlfn.XLOOKUP((VALUE(LEFT(RegContabilizados2[[#This Row],[Subcuenta]],2))),Tabla11[Cuenta],Tabla11[Descripción],0)),0)</f>
        <v>0</v>
      </c>
      <c r="BI188" s="1">
        <f>IFERROR((VALUE(LEFT(RegContabilizados2[[#This Row],[Subcuenta]],4))&amp;" "&amp;_xlfn.XLOOKUP((VALUE(LEFT(RegContabilizados2[[#This Row],[Subcuenta]],4))),Tabla11[Cuenta],Tabla11[Descripción],0)),0)</f>
        <v>0</v>
      </c>
      <c r="BJ188" s="1" t="str">
        <f>IFERROR((RegContabilizados2[[#This Row],[Subcuenta]]&amp;" "&amp;_xlfn.XLOOKUP(RegContabilizados2[[#This Row],[Subcuenta]],Tabla11[Cuenta],Tabla11[Descripción],0)),0)</f>
        <v xml:space="preserve"> 0</v>
      </c>
      <c r="BK188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PAGADO</v>
      </c>
      <c r="BL188" s="1">
        <f>IFERROR(LEFT(RegContabilizados2[[#This Row],[Idenficador]],SEARCH("-",RegContabilizados2[[#This Row],[Idenficador]])-1),0)</f>
        <v>0</v>
      </c>
    </row>
    <row r="189" spans="4:67">
      <c r="D189" s="31">
        <f>IF(Regcontabilizados[[#This Row],[Eliminado]]="si","",RegContabilizados2[[#This Row],[fecha Factura]])</f>
        <v>45657</v>
      </c>
      <c r="E189" s="31">
        <f>IF(Regcontabilizados[[#This Row],[Eliminado]]="si","",RegContabilizados2[[#This Row],[Fecha vencimiento]])</f>
        <v>45657</v>
      </c>
      <c r="F189" s="3">
        <f>IF(Regcontabilizados[[#This Row],[Eliminado]]="si","",RegContabilizados2[[#This Row],[Idenficador]])</f>
        <v>0</v>
      </c>
      <c r="G189" s="3">
        <f>IF(Regcontabilizados[[#This Row],[Eliminado]]="si","",RegContabilizados2[[#This Row],[N° de factura/Pago]])</f>
        <v>0</v>
      </c>
      <c r="H189" s="1">
        <f>IF(Regcontabilizados[[#This Row],[Eliminado]]="si","",RegContabilizados2[[#This Row],[Tipo de Factura]])</f>
        <v>0</v>
      </c>
      <c r="I189" s="1">
        <f>IF(Regcontabilizados[[#This Row],[Eliminado]]="si","",RegContabilizados2[[#This Row],[ID Cliente]])</f>
        <v>333333</v>
      </c>
      <c r="J189" s="1">
        <f>IF(Regcontabilizados[[#This Row],[Eliminado]]="si","",RegContabilizados2[[#This Row],[ESTADO DEL IVA]])</f>
        <v>0</v>
      </c>
      <c r="K189" s="3">
        <f>IF(Regcontabilizados[[#This Row],[Eliminado]]="si","",RegContabilizados2[[#This Row],[ID Proveedor]])</f>
        <v>333333</v>
      </c>
      <c r="L189" s="3">
        <f>IF(Regcontabilizados[[#This Row],[Eliminado]]="si","",RegContabilizados2[[#This Row],[Concepto]])</f>
        <v>0</v>
      </c>
      <c r="M189" s="3">
        <f>IF(Regcontabilizados[[#This Row],[Eliminado]]="si","",RegContabilizados2[[#This Row],[Categoría]])</f>
        <v>0</v>
      </c>
      <c r="N189" s="3">
        <f>IF(Regcontabilizados[[#This Row],[Eliminado]]="si","",RegContabilizados2[[#This Row],[Almacen]])</f>
        <v>0</v>
      </c>
      <c r="O189" s="3">
        <f>IF(Regcontabilizados[[#This Row],[Eliminado]]="si","",RegContabilizados2[[#This Row],[Tipo de movimiento]])</f>
        <v>0</v>
      </c>
      <c r="P189" s="1">
        <f>IF(Regcontabilizados[[#This Row],[Eliminado]]="si","",RegContabilizados2[[#This Row],[cantidad]])</f>
        <v>0</v>
      </c>
      <c r="Q189" s="1">
        <f>IF(Regcontabilizados[[#This Row],[Eliminado]]="si","",RegContabilizados2[[#This Row],[VR unitario]])</f>
        <v>0</v>
      </c>
      <c r="R189" s="1">
        <f>IF(Regcontabilizados[[#This Row],[Eliminado]]="si","",RegContabilizados2[[#This Row],[Subcuenta]])</f>
        <v>0</v>
      </c>
      <c r="S189" s="1">
        <f>IF(Regcontabilizados[[#This Row],[Eliminado]]="si","",RegContabilizados2[[#This Row],[Debe]])</f>
        <v>0</v>
      </c>
      <c r="T189" s="1">
        <f>IF(Regcontabilizados[[#This Row],[Eliminado]]="si","",RegContabilizados2[[#This Row],[Haber]])</f>
        <v>0</v>
      </c>
      <c r="U189" s="1">
        <f>IFERROR((Regcontabilizados[[#This Row],[Debe]]-Regcontabilizados[[#This Row],[Haber]]),0)</f>
        <v>0</v>
      </c>
      <c r="V189" s="1">
        <f>IFERROR((+_xlfn.XLOOKUP(Regcontabilizados[[#This Row],[Subcuenta]],Tabla11[Cuenta],Tabla11[Descripción],0)),0)</f>
        <v>0</v>
      </c>
      <c r="W189" s="1">
        <f>IFERROR((_xlfn.XLOOKUP((VALUE(LEFT(Regcontabilizados[[#This Row],[Subcuenta]],4))),Tabla11[Cuenta],Tabla11[Descripción],0)),0)</f>
        <v>0</v>
      </c>
      <c r="X189" s="1">
        <f>IFERROR((_xlfn.XLOOKUP(Regcontabilizados[[#This Row],[Subcuenta]],Tabla11[Cuenta],Tabla11[Descripción],0)),0)</f>
        <v>0</v>
      </c>
      <c r="Y189" s="1" t="str">
        <f>IF((IFERROR((FIND((_xlfn.XLOOKUP(RegContabilizados2[[#This Row],[Idenficador]],FormtBorrados[formatos borrados],FormtBorrados[formatos borrados],0)),RegContabilizados2[[#This Row],[Idenficador]])),0))=1,"si","no")</f>
        <v>no</v>
      </c>
      <c r="Z189" s="1" t="str">
        <f>_xlfn.XLOOKUP(Regcontabilizados[[#This Row],[Subcuenta]],Tabla11[Cuenta],Tabla11[TIPO],"")</f>
        <v/>
      </c>
      <c r="AA189" s="1" t="str">
        <f>IFERROR((Regcontabilizados[[#This Row],[Subcuenta]]&amp;" "&amp;_xlfn.XLOOKUP(Regcontabilizados[[#This Row],[Subcuenta]],Tabla11[Cuenta],Tabla11[Descripción],0)),0)</f>
        <v>0 0</v>
      </c>
      <c r="AB189" s="1" t="str">
        <f>IFERROR((VALUE(LEFT(Regcontabilizados[[#This Row],[Subcuenta]],2))&amp;" "&amp;_xlfn.XLOOKUP((VALUE(LEFT(Regcontabilizados[[#This Row],[Subcuenta]],2))),Tabla11[Cuenta],Tabla11[Descripción],0)),0)</f>
        <v>0 0</v>
      </c>
      <c r="AC189" s="1" t="str">
        <f>IFERROR((VALUE(LEFT(Regcontabilizados[[#This Row],[Subcuenta]],4))&amp;" "&amp;_xlfn.XLOOKUP((VALUE(LEFT(Regcontabilizados[[#This Row],[Subcuenta]],4))),Tabla11[Cuenta],Tabla11[Descripción],0)),0)</f>
        <v>0 0</v>
      </c>
      <c r="AD189" s="1" t="str">
        <f>IF(Regcontabilizados[[#This Row],[Eliminado]]="si","",RegContabilizados2[[#This Row],[Estado de pago]])</f>
        <v>PAGADO</v>
      </c>
      <c r="AE189" s="1">
        <f>IF(Regcontabilizados[[#This Row],[Eliminado]]="si","",RegContabilizados2[[#This Row],[Colum. Aux. Estado]])</f>
        <v>0</v>
      </c>
      <c r="AF189" s="1">
        <f>IF(Regcontabilizados[[#This Row],[Eliminado]]="si","",RegContabilizados2[[#This Row],[Número de pago]])</f>
        <v>0</v>
      </c>
      <c r="AG189" s="1">
        <f>IF(Regcontabilizados[[#This Row],[Eliminado]]="si","",RegContabilizados2[[#This Row],[Elaborado por]])</f>
        <v>0</v>
      </c>
      <c r="AH189" s="1">
        <f>IF(Regcontabilizados[[#This Row],[Eliminado]]="si","",RegContabilizados2[[#This Row],[Notas]])</f>
        <v>0</v>
      </c>
      <c r="AI189" s="1">
        <f>IF(Regcontabilizados[[#This Row],[Eliminado]]="si","",RegContabilizados2[[#This Row],[Método de pago]])</f>
        <v>0</v>
      </c>
      <c r="AJ189" s="1">
        <f>IF(Regcontabilizados[[#This Row],[Eliminado]]="si","",RegContabilizados2[[#This Row],[Cta. Bancaria]])</f>
        <v>0</v>
      </c>
      <c r="AO189" s="31">
        <v>45657</v>
      </c>
      <c r="AP189" s="31">
        <v>45657</v>
      </c>
      <c r="AQ189" s="31"/>
      <c r="AR189" s="3"/>
      <c r="AT189" s="1">
        <v>333333</v>
      </c>
      <c r="AV189" s="1">
        <v>333333</v>
      </c>
      <c r="AW189" s="3"/>
      <c r="AX189" s="3"/>
      <c r="AY189" s="3"/>
      <c r="AZ189" s="3"/>
      <c r="BF189" s="1">
        <f>IFERROR((RegContabilizados2[[#This Row],[Debe]]-RegContabilizados2[[#This Row],[Haber]]),0)</f>
        <v>0</v>
      </c>
      <c r="BG189" s="1">
        <f>IFERROR((+_xlfn.XLOOKUP(RegContabilizados2[[#This Row],[Subcuenta]],Tabla11[Cuenta],Tabla11[Descripción],0)),0)</f>
        <v>0</v>
      </c>
      <c r="BH189" s="1">
        <f>IFERROR((VALUE(LEFT(RegContabilizados2[[#This Row],[Subcuenta]],2))&amp;" "&amp;_xlfn.XLOOKUP((VALUE(LEFT(RegContabilizados2[[#This Row],[Subcuenta]],2))),Tabla11[Cuenta],Tabla11[Descripción],0)),0)</f>
        <v>0</v>
      </c>
      <c r="BI189" s="1">
        <f>IFERROR((VALUE(LEFT(RegContabilizados2[[#This Row],[Subcuenta]],4))&amp;" "&amp;_xlfn.XLOOKUP((VALUE(LEFT(RegContabilizados2[[#This Row],[Subcuenta]],4))),Tabla11[Cuenta],Tabla11[Descripción],0)),0)</f>
        <v>0</v>
      </c>
      <c r="BJ189" s="1" t="str">
        <f>IFERROR((RegContabilizados2[[#This Row],[Subcuenta]]&amp;" "&amp;_xlfn.XLOOKUP(RegContabilizados2[[#This Row],[Subcuenta]],Tabla11[Cuenta],Tabla11[Descripción],0)),0)</f>
        <v xml:space="preserve"> 0</v>
      </c>
      <c r="BK189" s="1" t="str">
        <f>IF((SUMIFS(RegContabilizados2[Haber],RegContabilizados2[ID Proveedor],"="&amp;RegContabilizados2[[#This Row],[ID Proveedor]],RegContabilizados2[Colum. Aux. Estado],(LEFT(RegContabilizados2[[#This Row],[Idenficador]],SEARCH("-",RegContabilizados2[[#This Row],[Idenficador]])-1)))-SUMIFS(RegContabilizados2[Debe],RegContabilizados2[ID Proveedor],"="&amp;RegContabilizados2[[#This Row],[ID Proveedor]],RegContabilizados2[Número de pago],(LEFT(RegContabilizados2[[#This Row],[Idenficador]],SEARCH("-",RegContabilizados2[[#This Row],[Idenficador]])-1))))=0,"PAGADO",(IF((SUMIFS(RegContabilizados2[Debe],RegContabilizados2[ID Proveedor],"="&amp;RegContabilizados2[[#This Row],[ID Proveedor]],RegContabilizados2[Colum. Aux. Estado],(LEFT(RegContabilizados2[[#This Row],[Idenficador]],SEARCH("-",RegContabilizados2[[#This Row],[Idenficador]])-1)))-SUMIFS(RegContabilizados2[Haber],RegContabilizados2[ID Proveedor],"="&amp;RegContabilizados2[[#This Row],[ID Proveedor]],RegContabilizados2[Número de pago],(LEFT(RegContabilizados2[[#This Row],[Idenficador]],SEARCH("-",RegContabilizados2[[#This Row],[Idenficador]])-1)) ))=0,"PAGADO","NO PAGADO")))</f>
        <v>PAGADO</v>
      </c>
      <c r="BL189" s="1">
        <f>IFERROR(LEFT(RegContabilizados2[[#This Row],[Idenficador]],SEARCH("-",RegContabilizados2[[#This Row],[Idenficador]])-1),0)</f>
        <v>0</v>
      </c>
    </row>
    <row r="190" spans="4:67">
      <c r="D190" s="28" t="s">
        <v>0</v>
      </c>
      <c r="U190" s="30">
        <f>SUBTOTAL(109,Regcontabilizados[Saldo])</f>
        <v>0</v>
      </c>
      <c r="AO190" s="28" t="s">
        <v>0</v>
      </c>
      <c r="BF190" s="30">
        <f>SUBTOTAL(109,RegContabilizados2[Saldo])</f>
        <v>0</v>
      </c>
    </row>
  </sheetData>
  <mergeCells count="1">
    <mergeCell ref="D3:E3"/>
  </mergeCells>
  <phoneticPr fontId="7" type="noConversion"/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FFC364-6800-4BD2-9676-D9FCC2C9D307}">
  <sheetPr codeName="Hoja4"/>
  <dimension ref="C2:G10"/>
  <sheetViews>
    <sheetView showGridLines="0" showRowColHeaders="0" workbookViewId="0"/>
  </sheetViews>
  <sheetFormatPr baseColWidth="10" defaultRowHeight="10.5"/>
  <cols>
    <col min="1" max="1" width="3.1640625" customWidth="1"/>
    <col min="2" max="2" width="32.1640625" customWidth="1"/>
    <col min="3" max="3" width="45.6640625" customWidth="1"/>
    <col min="5" max="5" width="26.5" bestFit="1" customWidth="1"/>
    <col min="7" max="7" width="30.1640625" bestFit="1" customWidth="1"/>
  </cols>
  <sheetData>
    <row r="2" spans="3:7" ht="43.5" customHeight="1">
      <c r="C2" s="252" t="s">
        <v>1124</v>
      </c>
      <c r="D2" s="252"/>
      <c r="E2" s="145" t="e" vm="4">
        <v>#VALUE!</v>
      </c>
    </row>
    <row r="6" spans="3:7" ht="12.75">
      <c r="C6" s="33" t="s">
        <v>985</v>
      </c>
      <c r="E6" s="33" t="s">
        <v>971</v>
      </c>
      <c r="G6" s="33" t="s">
        <v>987</v>
      </c>
    </row>
    <row r="7" spans="3:7" ht="12.75">
      <c r="C7" s="33" t="s">
        <v>986</v>
      </c>
      <c r="E7" s="33" t="s">
        <v>974</v>
      </c>
      <c r="G7" s="33" t="s">
        <v>1001</v>
      </c>
    </row>
    <row r="8" spans="3:7" ht="12.75">
      <c r="C8" s="33" t="s">
        <v>1000</v>
      </c>
      <c r="E8" s="33" t="s">
        <v>975</v>
      </c>
      <c r="G8" s="33"/>
    </row>
    <row r="9" spans="3:7" ht="12.75">
      <c r="C9" s="33"/>
      <c r="E9" s="33" t="s">
        <v>983</v>
      </c>
    </row>
    <row r="10" spans="3:7" ht="12.75">
      <c r="C10" s="33"/>
      <c r="E10" s="33" t="s">
        <v>984</v>
      </c>
    </row>
  </sheetData>
  <mergeCells count="1">
    <mergeCell ref="C2:D2"/>
  </mergeCells>
  <pageMargins left="0.7" right="0.7" top="0.75" bottom="0.75" header="0.3" footer="0.3"/>
  <drawing r:id="rId1"/>
  <tableParts count="3">
    <tablePart r:id="rId2"/>
    <tablePart r:id="rId3"/>
    <tablePart r:id="rId4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089CAE-C8F6-4DD4-9C22-D014CA647C34}">
  <sheetPr codeName="Hoja15"/>
  <dimension ref="B2:O58"/>
  <sheetViews>
    <sheetView showGridLines="0" showRowColHeaders="0" workbookViewId="0"/>
  </sheetViews>
  <sheetFormatPr baseColWidth="10" defaultRowHeight="12.75"/>
  <cols>
    <col min="1" max="1" width="26.5" style="33" customWidth="1"/>
    <col min="2" max="2" width="14" style="33" customWidth="1"/>
    <col min="3" max="3" width="44.6640625" style="33" customWidth="1"/>
    <col min="4" max="4" width="34" style="33" bestFit="1" customWidth="1"/>
    <col min="5" max="5" width="19.1640625" style="33" bestFit="1" customWidth="1"/>
    <col min="6" max="6" width="15" style="33" bestFit="1" customWidth="1"/>
    <col min="7" max="7" width="27.5" style="33" customWidth="1"/>
    <col min="8" max="8" width="15.5" style="33" bestFit="1" customWidth="1"/>
    <col min="9" max="9" width="15.83203125" style="33" bestFit="1" customWidth="1"/>
    <col min="10" max="10" width="21.6640625" style="33" bestFit="1" customWidth="1"/>
    <col min="11" max="11" width="8.6640625" style="33" bestFit="1" customWidth="1"/>
    <col min="12" max="12" width="21.83203125" style="33" bestFit="1" customWidth="1"/>
    <col min="13" max="13" width="18" style="33" bestFit="1" customWidth="1"/>
    <col min="14" max="14" width="27.6640625" style="33" bestFit="1" customWidth="1"/>
    <col min="15" max="15" width="26.5" style="33" bestFit="1" customWidth="1"/>
    <col min="16" max="21" width="14" style="33" customWidth="1"/>
    <col min="22" max="22" width="26.5" style="33" bestFit="1" customWidth="1"/>
    <col min="23" max="23" width="12" style="33"/>
    <col min="24" max="24" width="17.33203125" style="33" bestFit="1" customWidth="1"/>
    <col min="25" max="25" width="12" style="33"/>
    <col min="26" max="26" width="30.1640625" style="33" bestFit="1" customWidth="1"/>
    <col min="27" max="16384" width="12" style="33"/>
  </cols>
  <sheetData>
    <row r="2" spans="2:15" ht="50.25" customHeight="1">
      <c r="B2" s="252" t="s">
        <v>998</v>
      </c>
      <c r="C2" s="252"/>
      <c r="D2" s="145" t="e" vm="4">
        <v>#VALUE!</v>
      </c>
    </row>
    <row r="7" spans="2:15" ht="15">
      <c r="B7" s="144" t="s">
        <v>860</v>
      </c>
      <c r="C7" s="144" t="s">
        <v>861</v>
      </c>
      <c r="D7" s="144" t="s">
        <v>968</v>
      </c>
      <c r="E7" s="144" t="s">
        <v>973</v>
      </c>
      <c r="F7" s="144" t="s">
        <v>963</v>
      </c>
      <c r="G7" s="144" t="s">
        <v>971</v>
      </c>
      <c r="H7" s="144" t="s">
        <v>964</v>
      </c>
      <c r="I7" s="144" t="s">
        <v>965</v>
      </c>
      <c r="J7" s="144" t="s">
        <v>966</v>
      </c>
      <c r="K7" s="144" t="s">
        <v>967</v>
      </c>
      <c r="L7" s="144" t="s">
        <v>969</v>
      </c>
      <c r="M7" s="33" t="s">
        <v>970</v>
      </c>
      <c r="N7" s="33" t="s">
        <v>988</v>
      </c>
      <c r="O7" s="33" t="s">
        <v>989</v>
      </c>
    </row>
    <row r="8" spans="2:15">
      <c r="B8" s="221">
        <v>45993</v>
      </c>
      <c r="C8" s="222" t="s">
        <v>901</v>
      </c>
      <c r="D8" s="222">
        <v>3</v>
      </c>
      <c r="E8" s="222" t="s">
        <v>766</v>
      </c>
      <c r="F8" s="222" t="s">
        <v>1088</v>
      </c>
      <c r="G8" s="222" t="s">
        <v>975</v>
      </c>
      <c r="H8" s="222" t="s">
        <v>999</v>
      </c>
      <c r="I8" s="222" t="s">
        <v>1000</v>
      </c>
      <c r="J8" s="222" t="s">
        <v>1001</v>
      </c>
      <c r="K8" s="222">
        <v>2</v>
      </c>
      <c r="L8" s="222">
        <v>26538.461538461539</v>
      </c>
      <c r="M8" s="33">
        <f>Tabla9[[#This Row],[UND]]*Tabla9[[#This Row],[COSTO UNITARIO]]</f>
        <v>53076.923076923078</v>
      </c>
      <c r="N8" s="33">
        <f>IF(OR(Tabla9[[#This Row],[TIPO DE MOVIMIENTO]]="Entrada",Tabla9[[#This Row],[TIPO DE MOVIMIENTO]]="Ajuste (+)"),Tabla9[[#This Row],[UND]], IF(  OR(Tabla9[[#This Row],[TIPO DE MOVIMIENTO]]="Salida",Tabla9[[#This Row],[TIPO DE MOVIMIENTO]]="Ajuste (-)"),-Tabla9[[#This Row],[UND]], 0 ))</f>
        <v>-2</v>
      </c>
      <c r="O8" s="33">
        <f>IF(OR(Tabla9[[#This Row],[TIPO DE MOVIMIENTO]]="Entrada",Tabla9[[#This Row],[TIPO DE MOVIMIENTO]]="Ajuste (+)"),Tabla9[[#This Row],[COSTO TOTAL]], IF(  OR(Tabla9[[#This Row],[TIPO DE MOVIMIENTO]]="Salida",Tabla9[[#This Row],[TIPO DE MOVIMIENTO]]="Ajuste (-)"),-Tabla9[[#This Row],[COSTO TOTAL]], 0 ))</f>
        <v>-53076.923076923078</v>
      </c>
    </row>
    <row r="9" spans="2:15">
      <c r="B9" s="221">
        <v>45993</v>
      </c>
      <c r="C9" s="222" t="s">
        <v>901</v>
      </c>
      <c r="D9" s="222">
        <v>3</v>
      </c>
      <c r="E9" s="222" t="s">
        <v>766</v>
      </c>
      <c r="F9" s="222">
        <v>0</v>
      </c>
      <c r="G9" s="222" t="s">
        <v>975</v>
      </c>
      <c r="H9" s="222">
        <v>0</v>
      </c>
      <c r="I9" s="222">
        <v>0</v>
      </c>
      <c r="J9" s="222" t="s">
        <v>1001</v>
      </c>
      <c r="K9" s="222"/>
      <c r="L9" s="222">
        <v>0</v>
      </c>
      <c r="M9" s="33">
        <f>Tabla9[[#This Row],[UND]]*Tabla9[[#This Row],[COSTO UNITARIO]]</f>
        <v>0</v>
      </c>
      <c r="N9" s="33">
        <f>IF(OR(Tabla9[[#This Row],[TIPO DE MOVIMIENTO]]="Entrada",Tabla9[[#This Row],[TIPO DE MOVIMIENTO]]="Ajuste (+)"),Tabla9[[#This Row],[UND]], IF(  OR(Tabla9[[#This Row],[TIPO DE MOVIMIENTO]]="Salida",Tabla9[[#This Row],[TIPO DE MOVIMIENTO]]="Ajuste (-)"),-Tabla9[[#This Row],[UND]], 0 ))</f>
        <v>0</v>
      </c>
      <c r="O9" s="33">
        <f>IF(OR(Tabla9[[#This Row],[TIPO DE MOVIMIENTO]]="Entrada",Tabla9[[#This Row],[TIPO DE MOVIMIENTO]]="Ajuste (+)"),Tabla9[[#This Row],[COSTO TOTAL]], IF(  OR(Tabla9[[#This Row],[TIPO DE MOVIMIENTO]]="Salida",Tabla9[[#This Row],[TIPO DE MOVIMIENTO]]="Ajuste (-)"),-Tabla9[[#This Row],[COSTO TOTAL]], 0 ))</f>
        <v>0</v>
      </c>
    </row>
    <row r="10" spans="2:15">
      <c r="B10" s="221">
        <v>45993</v>
      </c>
      <c r="C10" s="222" t="s">
        <v>901</v>
      </c>
      <c r="D10" s="222">
        <v>3</v>
      </c>
      <c r="E10" s="222" t="s">
        <v>766</v>
      </c>
      <c r="F10" s="222">
        <v>0</v>
      </c>
      <c r="G10" s="222" t="s">
        <v>975</v>
      </c>
      <c r="H10" s="222">
        <v>0</v>
      </c>
      <c r="I10" s="222">
        <v>0</v>
      </c>
      <c r="J10" s="222" t="s">
        <v>1001</v>
      </c>
      <c r="K10" s="222"/>
      <c r="L10" s="222">
        <v>0</v>
      </c>
      <c r="M10" s="33">
        <f>Tabla9[[#This Row],[UND]]*Tabla9[[#This Row],[COSTO UNITARIO]]</f>
        <v>0</v>
      </c>
      <c r="N10" s="33">
        <f>IF(OR(Tabla9[[#This Row],[TIPO DE MOVIMIENTO]]="Entrada",Tabla9[[#This Row],[TIPO DE MOVIMIENTO]]="Ajuste (+)"),Tabla9[[#This Row],[UND]], IF(  OR(Tabla9[[#This Row],[TIPO DE MOVIMIENTO]]="Salida",Tabla9[[#This Row],[TIPO DE MOVIMIENTO]]="Ajuste (-)"),-Tabla9[[#This Row],[UND]], 0 ))</f>
        <v>0</v>
      </c>
      <c r="O10" s="33">
        <f>IF(OR(Tabla9[[#This Row],[TIPO DE MOVIMIENTO]]="Entrada",Tabla9[[#This Row],[TIPO DE MOVIMIENTO]]="Ajuste (+)"),Tabla9[[#This Row],[COSTO TOTAL]], IF(  OR(Tabla9[[#This Row],[TIPO DE MOVIMIENTO]]="Salida",Tabla9[[#This Row],[TIPO DE MOVIMIENTO]]="Ajuste (-)"),-Tabla9[[#This Row],[COSTO TOTAL]], 0 ))</f>
        <v>0</v>
      </c>
    </row>
    <row r="11" spans="2:15">
      <c r="B11" s="221">
        <v>45993</v>
      </c>
      <c r="C11" s="222" t="s">
        <v>901</v>
      </c>
      <c r="D11" s="222">
        <v>3</v>
      </c>
      <c r="E11" s="222" t="s">
        <v>766</v>
      </c>
      <c r="F11" s="222">
        <v>0</v>
      </c>
      <c r="G11" s="222" t="s">
        <v>975</v>
      </c>
      <c r="H11" s="222">
        <v>0</v>
      </c>
      <c r="I11" s="222">
        <v>0</v>
      </c>
      <c r="J11" s="222" t="s">
        <v>1001</v>
      </c>
      <c r="K11" s="222"/>
      <c r="L11" s="222">
        <v>0</v>
      </c>
      <c r="M11" s="33">
        <f>Tabla9[[#This Row],[UND]]*Tabla9[[#This Row],[COSTO UNITARIO]]</f>
        <v>0</v>
      </c>
      <c r="N11" s="33">
        <f>IF(OR(Tabla9[[#This Row],[TIPO DE MOVIMIENTO]]="Entrada",Tabla9[[#This Row],[TIPO DE MOVIMIENTO]]="Ajuste (+)"),Tabla9[[#This Row],[UND]], IF(  OR(Tabla9[[#This Row],[TIPO DE MOVIMIENTO]]="Salida",Tabla9[[#This Row],[TIPO DE MOVIMIENTO]]="Ajuste (-)"),-Tabla9[[#This Row],[UND]], 0 ))</f>
        <v>0</v>
      </c>
      <c r="O11" s="33">
        <f>IF(OR(Tabla9[[#This Row],[TIPO DE MOVIMIENTO]]="Entrada",Tabla9[[#This Row],[TIPO DE MOVIMIENTO]]="Ajuste (+)"),Tabla9[[#This Row],[COSTO TOTAL]], IF(  OR(Tabla9[[#This Row],[TIPO DE MOVIMIENTO]]="Salida",Tabla9[[#This Row],[TIPO DE MOVIMIENTO]]="Ajuste (-)"),-Tabla9[[#This Row],[COSTO TOTAL]], 0 ))</f>
        <v>0</v>
      </c>
    </row>
    <row r="12" spans="2:15">
      <c r="B12" s="221">
        <v>45993</v>
      </c>
      <c r="C12" s="222" t="s">
        <v>901</v>
      </c>
      <c r="D12" s="222">
        <v>3</v>
      </c>
      <c r="E12" s="222" t="s">
        <v>766</v>
      </c>
      <c r="F12" s="222">
        <v>0</v>
      </c>
      <c r="G12" s="222" t="s">
        <v>975</v>
      </c>
      <c r="H12" s="222">
        <v>0</v>
      </c>
      <c r="I12" s="222">
        <v>0</v>
      </c>
      <c r="J12" s="222" t="s">
        <v>1001</v>
      </c>
      <c r="K12" s="222"/>
      <c r="L12" s="222">
        <v>0</v>
      </c>
      <c r="M12" s="33">
        <f>Tabla9[[#This Row],[UND]]*Tabla9[[#This Row],[COSTO UNITARIO]]</f>
        <v>0</v>
      </c>
      <c r="N12" s="33">
        <f>IF(OR(Tabla9[[#This Row],[TIPO DE MOVIMIENTO]]="Entrada",Tabla9[[#This Row],[TIPO DE MOVIMIENTO]]="Ajuste (+)"),Tabla9[[#This Row],[UND]], IF(  OR(Tabla9[[#This Row],[TIPO DE MOVIMIENTO]]="Salida",Tabla9[[#This Row],[TIPO DE MOVIMIENTO]]="Ajuste (-)"),-Tabla9[[#This Row],[UND]], 0 ))</f>
        <v>0</v>
      </c>
      <c r="O12" s="33">
        <f>IF(OR(Tabla9[[#This Row],[TIPO DE MOVIMIENTO]]="Entrada",Tabla9[[#This Row],[TIPO DE MOVIMIENTO]]="Ajuste (+)"),Tabla9[[#This Row],[COSTO TOTAL]], IF(  OR(Tabla9[[#This Row],[TIPO DE MOVIMIENTO]]="Salida",Tabla9[[#This Row],[TIPO DE MOVIMIENTO]]="Ajuste (-)"),-Tabla9[[#This Row],[COSTO TOTAL]], 0 ))</f>
        <v>0</v>
      </c>
    </row>
    <row r="13" spans="2:15">
      <c r="B13" s="221">
        <v>45993</v>
      </c>
      <c r="C13" s="222" t="s">
        <v>901</v>
      </c>
      <c r="D13" s="222">
        <v>3</v>
      </c>
      <c r="E13" s="222" t="s">
        <v>766</v>
      </c>
      <c r="F13" s="222">
        <v>0</v>
      </c>
      <c r="G13" s="222" t="s">
        <v>975</v>
      </c>
      <c r="H13" s="222">
        <v>0</v>
      </c>
      <c r="I13" s="222">
        <v>0</v>
      </c>
      <c r="J13" s="222" t="s">
        <v>1001</v>
      </c>
      <c r="K13" s="222"/>
      <c r="L13" s="222">
        <v>0</v>
      </c>
      <c r="M13" s="33">
        <f>Tabla9[[#This Row],[UND]]*Tabla9[[#This Row],[COSTO UNITARIO]]</f>
        <v>0</v>
      </c>
      <c r="N13" s="33">
        <f>IF(OR(Tabla9[[#This Row],[TIPO DE MOVIMIENTO]]="Entrada",Tabla9[[#This Row],[TIPO DE MOVIMIENTO]]="Ajuste (+)"),Tabla9[[#This Row],[UND]], IF(  OR(Tabla9[[#This Row],[TIPO DE MOVIMIENTO]]="Salida",Tabla9[[#This Row],[TIPO DE MOVIMIENTO]]="Ajuste (-)"),-Tabla9[[#This Row],[UND]], 0 ))</f>
        <v>0</v>
      </c>
      <c r="O13" s="33">
        <f>IF(OR(Tabla9[[#This Row],[TIPO DE MOVIMIENTO]]="Entrada",Tabla9[[#This Row],[TIPO DE MOVIMIENTO]]="Ajuste (+)"),Tabla9[[#This Row],[COSTO TOTAL]], IF(  OR(Tabla9[[#This Row],[TIPO DE MOVIMIENTO]]="Salida",Tabla9[[#This Row],[TIPO DE MOVIMIENTO]]="Ajuste (-)"),-Tabla9[[#This Row],[COSTO TOTAL]], 0 ))</f>
        <v>0</v>
      </c>
    </row>
    <row r="14" spans="2:15">
      <c r="B14" s="221">
        <v>45993</v>
      </c>
      <c r="C14" s="222" t="s">
        <v>901</v>
      </c>
      <c r="D14" s="222">
        <v>3</v>
      </c>
      <c r="E14" s="222" t="s">
        <v>766</v>
      </c>
      <c r="F14" s="222">
        <v>0</v>
      </c>
      <c r="G14" s="222" t="s">
        <v>975</v>
      </c>
      <c r="H14" s="222">
        <v>0</v>
      </c>
      <c r="I14" s="222">
        <v>0</v>
      </c>
      <c r="J14" s="222" t="s">
        <v>1001</v>
      </c>
      <c r="K14" s="222"/>
      <c r="L14" s="222">
        <v>0</v>
      </c>
      <c r="M14" s="33">
        <f>Tabla9[[#This Row],[UND]]*Tabla9[[#This Row],[COSTO UNITARIO]]</f>
        <v>0</v>
      </c>
      <c r="N14" s="33">
        <f>IF(OR(Tabla9[[#This Row],[TIPO DE MOVIMIENTO]]="Entrada",Tabla9[[#This Row],[TIPO DE MOVIMIENTO]]="Ajuste (+)"),Tabla9[[#This Row],[UND]], IF(  OR(Tabla9[[#This Row],[TIPO DE MOVIMIENTO]]="Salida",Tabla9[[#This Row],[TIPO DE MOVIMIENTO]]="Ajuste (-)"),-Tabla9[[#This Row],[UND]], 0 ))</f>
        <v>0</v>
      </c>
      <c r="O14" s="33">
        <f>IF(OR(Tabla9[[#This Row],[TIPO DE MOVIMIENTO]]="Entrada",Tabla9[[#This Row],[TIPO DE MOVIMIENTO]]="Ajuste (+)"),Tabla9[[#This Row],[COSTO TOTAL]], IF(  OR(Tabla9[[#This Row],[TIPO DE MOVIMIENTO]]="Salida",Tabla9[[#This Row],[TIPO DE MOVIMIENTO]]="Ajuste (-)"),-Tabla9[[#This Row],[COSTO TOTAL]], 0 ))</f>
        <v>0</v>
      </c>
    </row>
    <row r="15" spans="2:15">
      <c r="B15" s="221">
        <v>45993</v>
      </c>
      <c r="C15" s="222" t="s">
        <v>901</v>
      </c>
      <c r="D15" s="222">
        <v>3</v>
      </c>
      <c r="E15" s="222" t="s">
        <v>766</v>
      </c>
      <c r="F15" s="222">
        <v>0</v>
      </c>
      <c r="G15" s="222" t="s">
        <v>975</v>
      </c>
      <c r="H15" s="222">
        <v>0</v>
      </c>
      <c r="I15" s="222">
        <v>0</v>
      </c>
      <c r="J15" s="222" t="s">
        <v>1001</v>
      </c>
      <c r="K15" s="222"/>
      <c r="L15" s="222">
        <v>0</v>
      </c>
      <c r="M15" s="33">
        <f>Tabla9[[#This Row],[UND]]*Tabla9[[#This Row],[COSTO UNITARIO]]</f>
        <v>0</v>
      </c>
      <c r="N15" s="33">
        <f>IF(OR(Tabla9[[#This Row],[TIPO DE MOVIMIENTO]]="Entrada",Tabla9[[#This Row],[TIPO DE MOVIMIENTO]]="Ajuste (+)"),Tabla9[[#This Row],[UND]], IF(  OR(Tabla9[[#This Row],[TIPO DE MOVIMIENTO]]="Salida",Tabla9[[#This Row],[TIPO DE MOVIMIENTO]]="Ajuste (-)"),-Tabla9[[#This Row],[UND]], 0 ))</f>
        <v>0</v>
      </c>
      <c r="O15" s="33">
        <f>IF(OR(Tabla9[[#This Row],[TIPO DE MOVIMIENTO]]="Entrada",Tabla9[[#This Row],[TIPO DE MOVIMIENTO]]="Ajuste (+)"),Tabla9[[#This Row],[COSTO TOTAL]], IF(  OR(Tabla9[[#This Row],[TIPO DE MOVIMIENTO]]="Salida",Tabla9[[#This Row],[TIPO DE MOVIMIENTO]]="Ajuste (-)"),-Tabla9[[#This Row],[COSTO TOTAL]], 0 ))</f>
        <v>0</v>
      </c>
    </row>
    <row r="16" spans="2:15">
      <c r="B16" s="221">
        <v>45993</v>
      </c>
      <c r="C16" s="222" t="s">
        <v>901</v>
      </c>
      <c r="D16" s="222">
        <v>3</v>
      </c>
      <c r="E16" s="222" t="s">
        <v>766</v>
      </c>
      <c r="F16" s="222">
        <v>0</v>
      </c>
      <c r="G16" s="222" t="s">
        <v>975</v>
      </c>
      <c r="H16" s="222">
        <v>0</v>
      </c>
      <c r="I16" s="222">
        <v>0</v>
      </c>
      <c r="J16" s="222" t="s">
        <v>1001</v>
      </c>
      <c r="K16" s="222"/>
      <c r="L16" s="222">
        <v>0</v>
      </c>
      <c r="M16" s="33">
        <f>Tabla9[[#This Row],[UND]]*Tabla9[[#This Row],[COSTO UNITARIO]]</f>
        <v>0</v>
      </c>
      <c r="N16" s="33">
        <f>IF(OR(Tabla9[[#This Row],[TIPO DE MOVIMIENTO]]="Entrada",Tabla9[[#This Row],[TIPO DE MOVIMIENTO]]="Ajuste (+)"),Tabla9[[#This Row],[UND]], IF(  OR(Tabla9[[#This Row],[TIPO DE MOVIMIENTO]]="Salida",Tabla9[[#This Row],[TIPO DE MOVIMIENTO]]="Ajuste (-)"),-Tabla9[[#This Row],[UND]], 0 ))</f>
        <v>0</v>
      </c>
      <c r="O16" s="33">
        <f>IF(OR(Tabla9[[#This Row],[TIPO DE MOVIMIENTO]]="Entrada",Tabla9[[#This Row],[TIPO DE MOVIMIENTO]]="Ajuste (+)"),Tabla9[[#This Row],[COSTO TOTAL]], IF(  OR(Tabla9[[#This Row],[TIPO DE MOVIMIENTO]]="Salida",Tabla9[[#This Row],[TIPO DE MOVIMIENTO]]="Ajuste (-)"),-Tabla9[[#This Row],[COSTO TOTAL]], 0 ))</f>
        <v>0</v>
      </c>
    </row>
    <row r="17" spans="2:15">
      <c r="B17" s="221"/>
      <c r="C17" s="222"/>
      <c r="D17" s="222"/>
      <c r="E17" s="222" t="s">
        <v>1111</v>
      </c>
      <c r="F17" s="222">
        <v>0</v>
      </c>
      <c r="G17" s="222" t="s">
        <v>974</v>
      </c>
      <c r="H17" s="222">
        <v>0</v>
      </c>
      <c r="I17" s="222">
        <v>0</v>
      </c>
      <c r="J17" s="222"/>
      <c r="K17" s="222"/>
      <c r="L17" s="222"/>
      <c r="M17" s="33">
        <f>Tabla9[[#This Row],[UND]]*Tabla9[[#This Row],[COSTO UNITARIO]]</f>
        <v>0</v>
      </c>
      <c r="N17" s="33">
        <f>IF(OR(Tabla9[[#This Row],[TIPO DE MOVIMIENTO]]="Entrada",Tabla9[[#This Row],[TIPO DE MOVIMIENTO]]="Ajuste (+)"),Tabla9[[#This Row],[UND]], IF(  OR(Tabla9[[#This Row],[TIPO DE MOVIMIENTO]]="Salida",Tabla9[[#This Row],[TIPO DE MOVIMIENTO]]="Ajuste (-)"),-Tabla9[[#This Row],[UND]], 0 ))</f>
        <v>0</v>
      </c>
      <c r="O17" s="33">
        <f>IF(OR(Tabla9[[#This Row],[TIPO DE MOVIMIENTO]]="Entrada",Tabla9[[#This Row],[TIPO DE MOVIMIENTO]]="Ajuste (+)"),Tabla9[[#This Row],[COSTO TOTAL]], IF(  OR(Tabla9[[#This Row],[TIPO DE MOVIMIENTO]]="Salida",Tabla9[[#This Row],[TIPO DE MOVIMIENTO]]="Ajuste (-)"),-Tabla9[[#This Row],[COSTO TOTAL]], 0 ))</f>
        <v>0</v>
      </c>
    </row>
    <row r="18" spans="2:15">
      <c r="B18" s="221"/>
      <c r="C18" s="222"/>
      <c r="D18" s="222"/>
      <c r="E18" s="222" t="s">
        <v>1111</v>
      </c>
      <c r="F18" s="222">
        <v>0</v>
      </c>
      <c r="G18" s="222" t="s">
        <v>974</v>
      </c>
      <c r="H18" s="222">
        <v>0</v>
      </c>
      <c r="I18" s="222">
        <v>0</v>
      </c>
      <c r="J18" s="222"/>
      <c r="K18" s="222"/>
      <c r="L18" s="222"/>
      <c r="M18" s="33">
        <f>Tabla9[[#This Row],[UND]]*Tabla9[[#This Row],[COSTO UNITARIO]]</f>
        <v>0</v>
      </c>
      <c r="N18" s="33">
        <f>IF(OR(Tabla9[[#This Row],[TIPO DE MOVIMIENTO]]="Entrada",Tabla9[[#This Row],[TIPO DE MOVIMIENTO]]="Ajuste (+)"),Tabla9[[#This Row],[UND]], IF(  OR(Tabla9[[#This Row],[TIPO DE MOVIMIENTO]]="Salida",Tabla9[[#This Row],[TIPO DE MOVIMIENTO]]="Ajuste (-)"),-Tabla9[[#This Row],[UND]], 0 ))</f>
        <v>0</v>
      </c>
      <c r="O18" s="33">
        <f>IF(OR(Tabla9[[#This Row],[TIPO DE MOVIMIENTO]]="Entrada",Tabla9[[#This Row],[TIPO DE MOVIMIENTO]]="Ajuste (+)"),Tabla9[[#This Row],[COSTO TOTAL]], IF(  OR(Tabla9[[#This Row],[TIPO DE MOVIMIENTO]]="Salida",Tabla9[[#This Row],[TIPO DE MOVIMIENTO]]="Ajuste (-)"),-Tabla9[[#This Row],[COSTO TOTAL]], 0 ))</f>
        <v>0</v>
      </c>
    </row>
    <row r="19" spans="2:15">
      <c r="B19" s="221"/>
      <c r="C19" s="222"/>
      <c r="D19" s="222"/>
      <c r="E19" s="222" t="s">
        <v>1111</v>
      </c>
      <c r="F19" s="222">
        <v>0</v>
      </c>
      <c r="G19" s="222" t="s">
        <v>974</v>
      </c>
      <c r="H19" s="222">
        <v>0</v>
      </c>
      <c r="I19" s="222">
        <v>0</v>
      </c>
      <c r="J19" s="222"/>
      <c r="K19" s="222"/>
      <c r="L19" s="222"/>
      <c r="M19" s="33">
        <f>Tabla9[[#This Row],[UND]]*Tabla9[[#This Row],[COSTO UNITARIO]]</f>
        <v>0</v>
      </c>
      <c r="N19" s="33">
        <f>IF(OR(Tabla9[[#This Row],[TIPO DE MOVIMIENTO]]="Entrada",Tabla9[[#This Row],[TIPO DE MOVIMIENTO]]="Ajuste (+)"),Tabla9[[#This Row],[UND]], IF(  OR(Tabla9[[#This Row],[TIPO DE MOVIMIENTO]]="Salida",Tabla9[[#This Row],[TIPO DE MOVIMIENTO]]="Ajuste (-)"),-Tabla9[[#This Row],[UND]], 0 ))</f>
        <v>0</v>
      </c>
      <c r="O19" s="33">
        <f>IF(OR(Tabla9[[#This Row],[TIPO DE MOVIMIENTO]]="Entrada",Tabla9[[#This Row],[TIPO DE MOVIMIENTO]]="Ajuste (+)"),Tabla9[[#This Row],[COSTO TOTAL]], IF(  OR(Tabla9[[#This Row],[TIPO DE MOVIMIENTO]]="Salida",Tabla9[[#This Row],[TIPO DE MOVIMIENTO]]="Ajuste (-)"),-Tabla9[[#This Row],[COSTO TOTAL]], 0 ))</f>
        <v>0</v>
      </c>
    </row>
    <row r="20" spans="2:15">
      <c r="B20" s="221"/>
      <c r="C20" s="222"/>
      <c r="D20" s="222"/>
      <c r="E20" s="222" t="s">
        <v>1111</v>
      </c>
      <c r="F20" s="222">
        <v>0</v>
      </c>
      <c r="G20" s="222" t="s">
        <v>974</v>
      </c>
      <c r="H20" s="222">
        <v>0</v>
      </c>
      <c r="I20" s="222">
        <v>0</v>
      </c>
      <c r="J20" s="222"/>
      <c r="K20" s="222"/>
      <c r="L20" s="222"/>
      <c r="M20" s="33">
        <f>Tabla9[[#This Row],[UND]]*Tabla9[[#This Row],[COSTO UNITARIO]]</f>
        <v>0</v>
      </c>
      <c r="N20" s="33">
        <f>IF(OR(Tabla9[[#This Row],[TIPO DE MOVIMIENTO]]="Entrada",Tabla9[[#This Row],[TIPO DE MOVIMIENTO]]="Ajuste (+)"),Tabla9[[#This Row],[UND]], IF(  OR(Tabla9[[#This Row],[TIPO DE MOVIMIENTO]]="Salida",Tabla9[[#This Row],[TIPO DE MOVIMIENTO]]="Ajuste (-)"),-Tabla9[[#This Row],[UND]], 0 ))</f>
        <v>0</v>
      </c>
      <c r="O20" s="33">
        <f>IF(OR(Tabla9[[#This Row],[TIPO DE MOVIMIENTO]]="Entrada",Tabla9[[#This Row],[TIPO DE MOVIMIENTO]]="Ajuste (+)"),Tabla9[[#This Row],[COSTO TOTAL]], IF(  OR(Tabla9[[#This Row],[TIPO DE MOVIMIENTO]]="Salida",Tabla9[[#This Row],[TIPO DE MOVIMIENTO]]="Ajuste (-)"),-Tabla9[[#This Row],[COSTO TOTAL]], 0 ))</f>
        <v>0</v>
      </c>
    </row>
    <row r="21" spans="2:15">
      <c r="B21" s="221"/>
      <c r="C21" s="222"/>
      <c r="D21" s="222"/>
      <c r="E21" s="222" t="s">
        <v>1111</v>
      </c>
      <c r="F21" s="222">
        <v>0</v>
      </c>
      <c r="G21" s="222" t="s">
        <v>974</v>
      </c>
      <c r="H21" s="222">
        <v>0</v>
      </c>
      <c r="I21" s="222">
        <v>0</v>
      </c>
      <c r="J21" s="222"/>
      <c r="K21" s="222"/>
      <c r="L21" s="222"/>
      <c r="M21" s="33">
        <f>Tabla9[[#This Row],[UND]]*Tabla9[[#This Row],[COSTO UNITARIO]]</f>
        <v>0</v>
      </c>
      <c r="N21" s="33">
        <f>IF(OR(Tabla9[[#This Row],[TIPO DE MOVIMIENTO]]="Entrada",Tabla9[[#This Row],[TIPO DE MOVIMIENTO]]="Ajuste (+)"),Tabla9[[#This Row],[UND]], IF(  OR(Tabla9[[#This Row],[TIPO DE MOVIMIENTO]]="Salida",Tabla9[[#This Row],[TIPO DE MOVIMIENTO]]="Ajuste (-)"),-Tabla9[[#This Row],[UND]], 0 ))</f>
        <v>0</v>
      </c>
      <c r="O21" s="33">
        <f>IF(OR(Tabla9[[#This Row],[TIPO DE MOVIMIENTO]]="Entrada",Tabla9[[#This Row],[TIPO DE MOVIMIENTO]]="Ajuste (+)"),Tabla9[[#This Row],[COSTO TOTAL]], IF(  OR(Tabla9[[#This Row],[TIPO DE MOVIMIENTO]]="Salida",Tabla9[[#This Row],[TIPO DE MOVIMIENTO]]="Ajuste (-)"),-Tabla9[[#This Row],[COSTO TOTAL]], 0 ))</f>
        <v>0</v>
      </c>
    </row>
    <row r="22" spans="2:15">
      <c r="B22" s="221"/>
      <c r="C22" s="222"/>
      <c r="D22" s="222"/>
      <c r="E22" s="222" t="s">
        <v>1111</v>
      </c>
      <c r="F22" s="222">
        <v>0</v>
      </c>
      <c r="G22" s="222" t="s">
        <v>974</v>
      </c>
      <c r="H22" s="222">
        <v>0</v>
      </c>
      <c r="I22" s="222">
        <v>0</v>
      </c>
      <c r="J22" s="222"/>
      <c r="K22" s="222"/>
      <c r="L22" s="222"/>
      <c r="M22" s="33">
        <f>Tabla9[[#This Row],[UND]]*Tabla9[[#This Row],[COSTO UNITARIO]]</f>
        <v>0</v>
      </c>
      <c r="N22" s="33">
        <f>IF(OR(Tabla9[[#This Row],[TIPO DE MOVIMIENTO]]="Entrada",Tabla9[[#This Row],[TIPO DE MOVIMIENTO]]="Ajuste (+)"),Tabla9[[#This Row],[UND]], IF(  OR(Tabla9[[#This Row],[TIPO DE MOVIMIENTO]]="Salida",Tabla9[[#This Row],[TIPO DE MOVIMIENTO]]="Ajuste (-)"),-Tabla9[[#This Row],[UND]], 0 ))</f>
        <v>0</v>
      </c>
      <c r="O22" s="33">
        <f>IF(OR(Tabla9[[#This Row],[TIPO DE MOVIMIENTO]]="Entrada",Tabla9[[#This Row],[TIPO DE MOVIMIENTO]]="Ajuste (+)"),Tabla9[[#This Row],[COSTO TOTAL]], IF(  OR(Tabla9[[#This Row],[TIPO DE MOVIMIENTO]]="Salida",Tabla9[[#This Row],[TIPO DE MOVIMIENTO]]="Ajuste (-)"),-Tabla9[[#This Row],[COSTO TOTAL]], 0 ))</f>
        <v>0</v>
      </c>
    </row>
    <row r="23" spans="2:15">
      <c r="B23" s="221"/>
      <c r="C23" s="222"/>
      <c r="D23" s="222"/>
      <c r="E23" s="222" t="s">
        <v>1111</v>
      </c>
      <c r="F23" s="222">
        <v>0</v>
      </c>
      <c r="G23" s="222" t="s">
        <v>974</v>
      </c>
      <c r="H23" s="222">
        <v>0</v>
      </c>
      <c r="I23" s="222">
        <v>0</v>
      </c>
      <c r="J23" s="222"/>
      <c r="K23" s="222"/>
      <c r="L23" s="222"/>
      <c r="M23" s="33">
        <f>Tabla9[[#This Row],[UND]]*Tabla9[[#This Row],[COSTO UNITARIO]]</f>
        <v>0</v>
      </c>
      <c r="N23" s="33">
        <f>IF(OR(Tabla9[[#This Row],[TIPO DE MOVIMIENTO]]="Entrada",Tabla9[[#This Row],[TIPO DE MOVIMIENTO]]="Ajuste (+)"),Tabla9[[#This Row],[UND]], IF(  OR(Tabla9[[#This Row],[TIPO DE MOVIMIENTO]]="Salida",Tabla9[[#This Row],[TIPO DE MOVIMIENTO]]="Ajuste (-)"),-Tabla9[[#This Row],[UND]], 0 ))</f>
        <v>0</v>
      </c>
      <c r="O23" s="33">
        <f>IF(OR(Tabla9[[#This Row],[TIPO DE MOVIMIENTO]]="Entrada",Tabla9[[#This Row],[TIPO DE MOVIMIENTO]]="Ajuste (+)"),Tabla9[[#This Row],[COSTO TOTAL]], IF(  OR(Tabla9[[#This Row],[TIPO DE MOVIMIENTO]]="Salida",Tabla9[[#This Row],[TIPO DE MOVIMIENTO]]="Ajuste (-)"),-Tabla9[[#This Row],[COSTO TOTAL]], 0 ))</f>
        <v>0</v>
      </c>
    </row>
    <row r="24" spans="2:15">
      <c r="B24" s="221"/>
      <c r="C24" s="222"/>
      <c r="D24" s="222"/>
      <c r="E24" s="222" t="s">
        <v>1111</v>
      </c>
      <c r="F24" s="222">
        <v>0</v>
      </c>
      <c r="G24" s="222" t="s">
        <v>974</v>
      </c>
      <c r="H24" s="222">
        <v>0</v>
      </c>
      <c r="I24" s="222">
        <v>0</v>
      </c>
      <c r="J24" s="222"/>
      <c r="K24" s="222"/>
      <c r="L24" s="222"/>
      <c r="M24" s="33">
        <f>Tabla9[[#This Row],[UND]]*Tabla9[[#This Row],[COSTO UNITARIO]]</f>
        <v>0</v>
      </c>
      <c r="N24" s="33">
        <f>IF(OR(Tabla9[[#This Row],[TIPO DE MOVIMIENTO]]="Entrada",Tabla9[[#This Row],[TIPO DE MOVIMIENTO]]="Ajuste (+)"),Tabla9[[#This Row],[UND]], IF(  OR(Tabla9[[#This Row],[TIPO DE MOVIMIENTO]]="Salida",Tabla9[[#This Row],[TIPO DE MOVIMIENTO]]="Ajuste (-)"),-Tabla9[[#This Row],[UND]], 0 ))</f>
        <v>0</v>
      </c>
      <c r="O24" s="33">
        <f>IF(OR(Tabla9[[#This Row],[TIPO DE MOVIMIENTO]]="Entrada",Tabla9[[#This Row],[TIPO DE MOVIMIENTO]]="Ajuste (+)"),Tabla9[[#This Row],[COSTO TOTAL]], IF(  OR(Tabla9[[#This Row],[TIPO DE MOVIMIENTO]]="Salida",Tabla9[[#This Row],[TIPO DE MOVIMIENTO]]="Ajuste (-)"),-Tabla9[[#This Row],[COSTO TOTAL]], 0 ))</f>
        <v>0</v>
      </c>
    </row>
    <row r="25" spans="2:15">
      <c r="B25" s="221"/>
      <c r="C25" s="222"/>
      <c r="D25" s="222"/>
      <c r="E25" s="222" t="s">
        <v>1111</v>
      </c>
      <c r="F25" s="222">
        <v>0</v>
      </c>
      <c r="G25" s="222" t="s">
        <v>974</v>
      </c>
      <c r="H25" s="222">
        <v>0</v>
      </c>
      <c r="I25" s="222">
        <v>0</v>
      </c>
      <c r="J25" s="222"/>
      <c r="K25" s="222"/>
      <c r="L25" s="222"/>
      <c r="M25" s="33">
        <f>Tabla9[[#This Row],[UND]]*Tabla9[[#This Row],[COSTO UNITARIO]]</f>
        <v>0</v>
      </c>
      <c r="N25" s="33">
        <f>IF(OR(Tabla9[[#This Row],[TIPO DE MOVIMIENTO]]="Entrada",Tabla9[[#This Row],[TIPO DE MOVIMIENTO]]="Ajuste (+)"),Tabla9[[#This Row],[UND]], IF(  OR(Tabla9[[#This Row],[TIPO DE MOVIMIENTO]]="Salida",Tabla9[[#This Row],[TIPO DE MOVIMIENTO]]="Ajuste (-)"),-Tabla9[[#This Row],[UND]], 0 ))</f>
        <v>0</v>
      </c>
      <c r="O25" s="33">
        <f>IF(OR(Tabla9[[#This Row],[TIPO DE MOVIMIENTO]]="Entrada",Tabla9[[#This Row],[TIPO DE MOVIMIENTO]]="Ajuste (+)"),Tabla9[[#This Row],[COSTO TOTAL]], IF(  OR(Tabla9[[#This Row],[TIPO DE MOVIMIENTO]]="Salida",Tabla9[[#This Row],[TIPO DE MOVIMIENTO]]="Ajuste (-)"),-Tabla9[[#This Row],[COSTO TOTAL]], 0 ))</f>
        <v>0</v>
      </c>
    </row>
    <row r="26" spans="2:15" ht="15">
      <c r="B26" s="219">
        <v>45993</v>
      </c>
      <c r="C26" s="220" t="s">
        <v>907</v>
      </c>
      <c r="D26" s="220">
        <v>9696955</v>
      </c>
      <c r="E26" s="220" t="s">
        <v>1111</v>
      </c>
      <c r="F26" s="220" t="s">
        <v>1088</v>
      </c>
      <c r="G26" s="220" t="s">
        <v>974</v>
      </c>
      <c r="H26" s="220" t="s">
        <v>999</v>
      </c>
      <c r="I26" s="220" t="s">
        <v>1000</v>
      </c>
      <c r="J26" s="220" t="s">
        <v>1001</v>
      </c>
      <c r="K26" s="220">
        <v>18</v>
      </c>
      <c r="L26" s="220">
        <v>25000</v>
      </c>
      <c r="M26" s="33">
        <f>Tabla9[[#This Row],[UND]]*Tabla9[[#This Row],[COSTO UNITARIO]]</f>
        <v>450000</v>
      </c>
      <c r="N26" s="33">
        <f>IF(OR(Tabla9[[#This Row],[TIPO DE MOVIMIENTO]]="Entrada",Tabla9[[#This Row],[TIPO DE MOVIMIENTO]]="Ajuste (+)"),Tabla9[[#This Row],[UND]], IF(  OR(Tabla9[[#This Row],[TIPO DE MOVIMIENTO]]="Salida",Tabla9[[#This Row],[TIPO DE MOVIMIENTO]]="Ajuste (-)"),-Tabla9[[#This Row],[UND]], 0 ))</f>
        <v>18</v>
      </c>
      <c r="O26" s="33">
        <f>IF(OR(Tabla9[[#This Row],[TIPO DE MOVIMIENTO]]="Entrada",Tabla9[[#This Row],[TIPO DE MOVIMIENTO]]="Ajuste (+)"),Tabla9[[#This Row],[COSTO TOTAL]], IF(  OR(Tabla9[[#This Row],[TIPO DE MOVIMIENTO]]="Salida",Tabla9[[#This Row],[TIPO DE MOVIMIENTO]]="Ajuste (-)"),-Tabla9[[#This Row],[COSTO TOTAL]], 0 ))</f>
        <v>450000</v>
      </c>
    </row>
    <row r="27" spans="2:15" ht="15">
      <c r="B27" s="219">
        <v>45993</v>
      </c>
      <c r="C27" s="220" t="s">
        <v>907</v>
      </c>
      <c r="D27" s="220">
        <v>9696955</v>
      </c>
      <c r="E27" s="220" t="s">
        <v>1111</v>
      </c>
      <c r="F27" s="220" t="s">
        <v>1087</v>
      </c>
      <c r="G27" s="220" t="s">
        <v>974</v>
      </c>
      <c r="H27" s="220" t="s">
        <v>1074</v>
      </c>
      <c r="I27" s="220" t="s">
        <v>1000</v>
      </c>
      <c r="J27" s="220" t="s">
        <v>1001</v>
      </c>
      <c r="K27" s="220">
        <v>7</v>
      </c>
      <c r="L27" s="220">
        <v>35000</v>
      </c>
      <c r="M27" s="33">
        <f>Tabla9[[#This Row],[UND]]*Tabla9[[#This Row],[COSTO UNITARIO]]</f>
        <v>245000</v>
      </c>
      <c r="N27" s="33">
        <f>IF(OR(Tabla9[[#This Row],[TIPO DE MOVIMIENTO]]="Entrada",Tabla9[[#This Row],[TIPO DE MOVIMIENTO]]="Ajuste (+)"),Tabla9[[#This Row],[UND]], IF(  OR(Tabla9[[#This Row],[TIPO DE MOVIMIENTO]]="Salida",Tabla9[[#This Row],[TIPO DE MOVIMIENTO]]="Ajuste (-)"),-Tabla9[[#This Row],[UND]], 0 ))</f>
        <v>7</v>
      </c>
      <c r="O27" s="33">
        <f>IF(OR(Tabla9[[#This Row],[TIPO DE MOVIMIENTO]]="Entrada",Tabla9[[#This Row],[TIPO DE MOVIMIENTO]]="Ajuste (+)"),Tabla9[[#This Row],[COSTO TOTAL]], IF(  OR(Tabla9[[#This Row],[TIPO DE MOVIMIENTO]]="Salida",Tabla9[[#This Row],[TIPO DE MOVIMIENTO]]="Ajuste (-)"),-Tabla9[[#This Row],[COSTO TOTAL]], 0 ))</f>
        <v>245000</v>
      </c>
    </row>
    <row r="28" spans="2:15" ht="15">
      <c r="B28" s="219">
        <v>45993</v>
      </c>
      <c r="C28" s="220" t="s">
        <v>907</v>
      </c>
      <c r="D28" s="220">
        <v>9696955</v>
      </c>
      <c r="E28" s="220" t="s">
        <v>1111</v>
      </c>
      <c r="F28" s="220">
        <v>0</v>
      </c>
      <c r="G28" s="220" t="s">
        <v>974</v>
      </c>
      <c r="H28" s="220">
        <v>0</v>
      </c>
      <c r="I28" s="220">
        <v>0</v>
      </c>
      <c r="J28" s="220" t="s">
        <v>1001</v>
      </c>
      <c r="K28" s="220"/>
      <c r="L28" s="220"/>
      <c r="M28" s="33">
        <f>Tabla9[[#This Row],[UND]]*Tabla9[[#This Row],[COSTO UNITARIO]]</f>
        <v>0</v>
      </c>
      <c r="N28" s="33">
        <f>IF(OR(Tabla9[[#This Row],[TIPO DE MOVIMIENTO]]="Entrada",Tabla9[[#This Row],[TIPO DE MOVIMIENTO]]="Ajuste (+)"),Tabla9[[#This Row],[UND]], IF(  OR(Tabla9[[#This Row],[TIPO DE MOVIMIENTO]]="Salida",Tabla9[[#This Row],[TIPO DE MOVIMIENTO]]="Ajuste (-)"),-Tabla9[[#This Row],[UND]], 0 ))</f>
        <v>0</v>
      </c>
      <c r="O28" s="33">
        <f>IF(OR(Tabla9[[#This Row],[TIPO DE MOVIMIENTO]]="Entrada",Tabla9[[#This Row],[TIPO DE MOVIMIENTO]]="Ajuste (+)"),Tabla9[[#This Row],[COSTO TOTAL]], IF(  OR(Tabla9[[#This Row],[TIPO DE MOVIMIENTO]]="Salida",Tabla9[[#This Row],[TIPO DE MOVIMIENTO]]="Ajuste (-)"),-Tabla9[[#This Row],[COSTO TOTAL]], 0 ))</f>
        <v>0</v>
      </c>
    </row>
    <row r="29" spans="2:15" ht="15">
      <c r="B29" s="219">
        <v>45993</v>
      </c>
      <c r="C29" s="220" t="s">
        <v>907</v>
      </c>
      <c r="D29" s="220">
        <v>9696955</v>
      </c>
      <c r="E29" s="220" t="s">
        <v>1111</v>
      </c>
      <c r="F29" s="220">
        <v>0</v>
      </c>
      <c r="G29" s="220" t="s">
        <v>974</v>
      </c>
      <c r="H29" s="220">
        <v>0</v>
      </c>
      <c r="I29" s="220">
        <v>0</v>
      </c>
      <c r="J29" s="220" t="s">
        <v>1001</v>
      </c>
      <c r="K29" s="220"/>
      <c r="L29" s="220"/>
      <c r="M29" s="33">
        <f>Tabla9[[#This Row],[UND]]*Tabla9[[#This Row],[COSTO UNITARIO]]</f>
        <v>0</v>
      </c>
      <c r="N29" s="33">
        <f>IF(OR(Tabla9[[#This Row],[TIPO DE MOVIMIENTO]]="Entrada",Tabla9[[#This Row],[TIPO DE MOVIMIENTO]]="Ajuste (+)"),Tabla9[[#This Row],[UND]], IF(  OR(Tabla9[[#This Row],[TIPO DE MOVIMIENTO]]="Salida",Tabla9[[#This Row],[TIPO DE MOVIMIENTO]]="Ajuste (-)"),-Tabla9[[#This Row],[UND]], 0 ))</f>
        <v>0</v>
      </c>
      <c r="O29" s="33">
        <f>IF(OR(Tabla9[[#This Row],[TIPO DE MOVIMIENTO]]="Entrada",Tabla9[[#This Row],[TIPO DE MOVIMIENTO]]="Ajuste (+)"),Tabla9[[#This Row],[COSTO TOTAL]], IF(  OR(Tabla9[[#This Row],[TIPO DE MOVIMIENTO]]="Salida",Tabla9[[#This Row],[TIPO DE MOVIMIENTO]]="Ajuste (-)"),-Tabla9[[#This Row],[COSTO TOTAL]], 0 ))</f>
        <v>0</v>
      </c>
    </row>
    <row r="30" spans="2:15" ht="15">
      <c r="B30" s="219">
        <v>45993</v>
      </c>
      <c r="C30" s="220" t="s">
        <v>907</v>
      </c>
      <c r="D30" s="220">
        <v>9696955</v>
      </c>
      <c r="E30" s="220" t="s">
        <v>1111</v>
      </c>
      <c r="F30" s="220">
        <v>0</v>
      </c>
      <c r="G30" s="220" t="s">
        <v>974</v>
      </c>
      <c r="H30" s="220">
        <v>0</v>
      </c>
      <c r="I30" s="220">
        <v>0</v>
      </c>
      <c r="J30" s="220" t="s">
        <v>1001</v>
      </c>
      <c r="K30" s="220"/>
      <c r="L30" s="220"/>
      <c r="M30" s="33">
        <f>Tabla9[[#This Row],[UND]]*Tabla9[[#This Row],[COSTO UNITARIO]]</f>
        <v>0</v>
      </c>
      <c r="N30" s="33">
        <f>IF(OR(Tabla9[[#This Row],[TIPO DE MOVIMIENTO]]="Entrada",Tabla9[[#This Row],[TIPO DE MOVIMIENTO]]="Ajuste (+)"),Tabla9[[#This Row],[UND]], IF(  OR(Tabla9[[#This Row],[TIPO DE MOVIMIENTO]]="Salida",Tabla9[[#This Row],[TIPO DE MOVIMIENTO]]="Ajuste (-)"),-Tabla9[[#This Row],[UND]], 0 ))</f>
        <v>0</v>
      </c>
      <c r="O30" s="33">
        <f>IF(OR(Tabla9[[#This Row],[TIPO DE MOVIMIENTO]]="Entrada",Tabla9[[#This Row],[TIPO DE MOVIMIENTO]]="Ajuste (+)"),Tabla9[[#This Row],[COSTO TOTAL]], IF(  OR(Tabla9[[#This Row],[TIPO DE MOVIMIENTO]]="Salida",Tabla9[[#This Row],[TIPO DE MOVIMIENTO]]="Ajuste (-)"),-Tabla9[[#This Row],[COSTO TOTAL]], 0 ))</f>
        <v>0</v>
      </c>
    </row>
    <row r="31" spans="2:15" ht="15">
      <c r="B31" s="219">
        <v>45993</v>
      </c>
      <c r="C31" s="220" t="s">
        <v>907</v>
      </c>
      <c r="D31" s="220">
        <v>9696955</v>
      </c>
      <c r="E31" s="220" t="s">
        <v>1111</v>
      </c>
      <c r="F31" s="220">
        <v>0</v>
      </c>
      <c r="G31" s="220" t="s">
        <v>974</v>
      </c>
      <c r="H31" s="220">
        <v>0</v>
      </c>
      <c r="I31" s="220">
        <v>0</v>
      </c>
      <c r="J31" s="220" t="s">
        <v>1001</v>
      </c>
      <c r="K31" s="220"/>
      <c r="L31" s="220"/>
      <c r="M31" s="33">
        <f>Tabla9[[#This Row],[UND]]*Tabla9[[#This Row],[COSTO UNITARIO]]</f>
        <v>0</v>
      </c>
      <c r="N31" s="33">
        <f>IF(OR(Tabla9[[#This Row],[TIPO DE MOVIMIENTO]]="Entrada",Tabla9[[#This Row],[TIPO DE MOVIMIENTO]]="Ajuste (+)"),Tabla9[[#This Row],[UND]], IF(  OR(Tabla9[[#This Row],[TIPO DE MOVIMIENTO]]="Salida",Tabla9[[#This Row],[TIPO DE MOVIMIENTO]]="Ajuste (-)"),-Tabla9[[#This Row],[UND]], 0 ))</f>
        <v>0</v>
      </c>
      <c r="O31" s="33">
        <f>IF(OR(Tabla9[[#This Row],[TIPO DE MOVIMIENTO]]="Entrada",Tabla9[[#This Row],[TIPO DE MOVIMIENTO]]="Ajuste (+)"),Tabla9[[#This Row],[COSTO TOTAL]], IF(  OR(Tabla9[[#This Row],[TIPO DE MOVIMIENTO]]="Salida",Tabla9[[#This Row],[TIPO DE MOVIMIENTO]]="Ajuste (-)"),-Tabla9[[#This Row],[COSTO TOTAL]], 0 ))</f>
        <v>0</v>
      </c>
    </row>
    <row r="32" spans="2:15" ht="15">
      <c r="B32" s="219">
        <v>45993</v>
      </c>
      <c r="C32" s="220" t="s">
        <v>907</v>
      </c>
      <c r="D32" s="220">
        <v>9696955</v>
      </c>
      <c r="E32" s="220" t="s">
        <v>1111</v>
      </c>
      <c r="F32" s="220">
        <v>0</v>
      </c>
      <c r="G32" s="220" t="s">
        <v>974</v>
      </c>
      <c r="H32" s="220">
        <v>0</v>
      </c>
      <c r="I32" s="220">
        <v>0</v>
      </c>
      <c r="J32" s="220" t="s">
        <v>1001</v>
      </c>
      <c r="K32" s="220"/>
      <c r="L32" s="220"/>
      <c r="M32" s="33">
        <f>Tabla9[[#This Row],[UND]]*Tabla9[[#This Row],[COSTO UNITARIO]]</f>
        <v>0</v>
      </c>
      <c r="N32" s="33">
        <f>IF(OR(Tabla9[[#This Row],[TIPO DE MOVIMIENTO]]="Entrada",Tabla9[[#This Row],[TIPO DE MOVIMIENTO]]="Ajuste (+)"),Tabla9[[#This Row],[UND]], IF(  OR(Tabla9[[#This Row],[TIPO DE MOVIMIENTO]]="Salida",Tabla9[[#This Row],[TIPO DE MOVIMIENTO]]="Ajuste (-)"),-Tabla9[[#This Row],[UND]], 0 ))</f>
        <v>0</v>
      </c>
      <c r="O32" s="33">
        <f>IF(OR(Tabla9[[#This Row],[TIPO DE MOVIMIENTO]]="Entrada",Tabla9[[#This Row],[TIPO DE MOVIMIENTO]]="Ajuste (+)"),Tabla9[[#This Row],[COSTO TOTAL]], IF(  OR(Tabla9[[#This Row],[TIPO DE MOVIMIENTO]]="Salida",Tabla9[[#This Row],[TIPO DE MOVIMIENTO]]="Ajuste (-)"),-Tabla9[[#This Row],[COSTO TOTAL]], 0 ))</f>
        <v>0</v>
      </c>
    </row>
    <row r="33" spans="2:15" ht="15">
      <c r="B33" s="219">
        <v>45993</v>
      </c>
      <c r="C33" s="220" t="s">
        <v>907</v>
      </c>
      <c r="D33" s="220">
        <v>9696955</v>
      </c>
      <c r="E33" s="220" t="s">
        <v>1111</v>
      </c>
      <c r="F33" s="220">
        <v>0</v>
      </c>
      <c r="G33" s="220" t="s">
        <v>974</v>
      </c>
      <c r="H33" s="220">
        <v>0</v>
      </c>
      <c r="I33" s="220">
        <v>0</v>
      </c>
      <c r="J33" s="220" t="s">
        <v>1001</v>
      </c>
      <c r="K33" s="220"/>
      <c r="L33" s="220"/>
      <c r="M33" s="33">
        <f>Tabla9[[#This Row],[UND]]*Tabla9[[#This Row],[COSTO UNITARIO]]</f>
        <v>0</v>
      </c>
      <c r="N33" s="33">
        <f>IF(OR(Tabla9[[#This Row],[TIPO DE MOVIMIENTO]]="Entrada",Tabla9[[#This Row],[TIPO DE MOVIMIENTO]]="Ajuste (+)"),Tabla9[[#This Row],[UND]], IF(  OR(Tabla9[[#This Row],[TIPO DE MOVIMIENTO]]="Salida",Tabla9[[#This Row],[TIPO DE MOVIMIENTO]]="Ajuste (-)"),-Tabla9[[#This Row],[UND]], 0 ))</f>
        <v>0</v>
      </c>
      <c r="O33" s="33">
        <f>IF(OR(Tabla9[[#This Row],[TIPO DE MOVIMIENTO]]="Entrada",Tabla9[[#This Row],[TIPO DE MOVIMIENTO]]="Ajuste (+)"),Tabla9[[#This Row],[COSTO TOTAL]], IF(  OR(Tabla9[[#This Row],[TIPO DE MOVIMIENTO]]="Salida",Tabla9[[#This Row],[TIPO DE MOVIMIENTO]]="Ajuste (-)"),-Tabla9[[#This Row],[COSTO TOTAL]], 0 ))</f>
        <v>0</v>
      </c>
    </row>
    <row r="34" spans="2:15" ht="15">
      <c r="B34" s="219">
        <v>45993</v>
      </c>
      <c r="C34" s="220" t="s">
        <v>907</v>
      </c>
      <c r="D34" s="220">
        <v>9696955</v>
      </c>
      <c r="E34" s="220" t="s">
        <v>1111</v>
      </c>
      <c r="F34" s="220">
        <v>0</v>
      </c>
      <c r="G34" s="220" t="s">
        <v>974</v>
      </c>
      <c r="H34" s="220">
        <v>0</v>
      </c>
      <c r="I34" s="220">
        <v>0</v>
      </c>
      <c r="J34" s="220" t="s">
        <v>1001</v>
      </c>
      <c r="K34" s="220"/>
      <c r="L34" s="220"/>
      <c r="M34" s="33">
        <f>Tabla9[[#This Row],[UND]]*Tabla9[[#This Row],[COSTO UNITARIO]]</f>
        <v>0</v>
      </c>
      <c r="N34" s="33">
        <f>IF(OR(Tabla9[[#This Row],[TIPO DE MOVIMIENTO]]="Entrada",Tabla9[[#This Row],[TIPO DE MOVIMIENTO]]="Ajuste (+)"),Tabla9[[#This Row],[UND]], IF(  OR(Tabla9[[#This Row],[TIPO DE MOVIMIENTO]]="Salida",Tabla9[[#This Row],[TIPO DE MOVIMIENTO]]="Ajuste (-)"),-Tabla9[[#This Row],[UND]], 0 ))</f>
        <v>0</v>
      </c>
      <c r="O34" s="33">
        <f>IF(OR(Tabla9[[#This Row],[TIPO DE MOVIMIENTO]]="Entrada",Tabla9[[#This Row],[TIPO DE MOVIMIENTO]]="Ajuste (+)"),Tabla9[[#This Row],[COSTO TOTAL]], IF(  OR(Tabla9[[#This Row],[TIPO DE MOVIMIENTO]]="Salida",Tabla9[[#This Row],[TIPO DE MOVIMIENTO]]="Ajuste (-)"),-Tabla9[[#This Row],[COSTO TOTAL]], 0 ))</f>
        <v>0</v>
      </c>
    </row>
    <row r="35" spans="2:15">
      <c r="B35" s="221">
        <v>45993</v>
      </c>
      <c r="C35" s="222" t="s">
        <v>907</v>
      </c>
      <c r="D35" s="222">
        <v>895262</v>
      </c>
      <c r="E35" s="222" t="s">
        <v>1111</v>
      </c>
      <c r="F35" s="222">
        <v>0</v>
      </c>
      <c r="G35" s="222" t="s">
        <v>974</v>
      </c>
      <c r="H35" s="222">
        <v>0</v>
      </c>
      <c r="I35" s="222">
        <v>0</v>
      </c>
      <c r="J35" s="222" t="s">
        <v>1001</v>
      </c>
      <c r="K35" s="222"/>
      <c r="L35" s="222"/>
      <c r="M35" s="33">
        <f>Tabla9[[#This Row],[UND]]*Tabla9[[#This Row],[COSTO UNITARIO]]</f>
        <v>0</v>
      </c>
      <c r="N35" s="33">
        <f>IF(OR(Tabla9[[#This Row],[TIPO DE MOVIMIENTO]]="Entrada",Tabla9[[#This Row],[TIPO DE MOVIMIENTO]]="Ajuste (+)"),Tabla9[[#This Row],[UND]], IF(  OR(Tabla9[[#This Row],[TIPO DE MOVIMIENTO]]="Salida",Tabla9[[#This Row],[TIPO DE MOVIMIENTO]]="Ajuste (-)"),-Tabla9[[#This Row],[UND]], 0 ))</f>
        <v>0</v>
      </c>
      <c r="O35" s="33">
        <f>IF(OR(Tabla9[[#This Row],[TIPO DE MOVIMIENTO]]="Entrada",Tabla9[[#This Row],[TIPO DE MOVIMIENTO]]="Ajuste (+)"),Tabla9[[#This Row],[COSTO TOTAL]], IF(  OR(Tabla9[[#This Row],[TIPO DE MOVIMIENTO]]="Salida",Tabla9[[#This Row],[TIPO DE MOVIMIENTO]]="Ajuste (-)"),-Tabla9[[#This Row],[COSTO TOTAL]], 0 ))</f>
        <v>0</v>
      </c>
    </row>
    <row r="36" spans="2:15">
      <c r="B36" s="221">
        <v>45993</v>
      </c>
      <c r="C36" s="222" t="s">
        <v>907</v>
      </c>
      <c r="D36" s="222">
        <v>895262</v>
      </c>
      <c r="E36" s="222" t="s">
        <v>1111</v>
      </c>
      <c r="F36" s="222">
        <v>0</v>
      </c>
      <c r="G36" s="222" t="s">
        <v>974</v>
      </c>
      <c r="H36" s="222">
        <v>0</v>
      </c>
      <c r="I36" s="222">
        <v>0</v>
      </c>
      <c r="J36" s="222" t="s">
        <v>1001</v>
      </c>
      <c r="K36" s="222"/>
      <c r="L36" s="222"/>
      <c r="M36" s="33">
        <f>Tabla9[[#This Row],[UND]]*Tabla9[[#This Row],[COSTO UNITARIO]]</f>
        <v>0</v>
      </c>
      <c r="N36" s="33">
        <f>IF(OR(Tabla9[[#This Row],[TIPO DE MOVIMIENTO]]="Entrada",Tabla9[[#This Row],[TIPO DE MOVIMIENTO]]="Ajuste (+)"),Tabla9[[#This Row],[UND]], IF(  OR(Tabla9[[#This Row],[TIPO DE MOVIMIENTO]]="Salida",Tabla9[[#This Row],[TIPO DE MOVIMIENTO]]="Ajuste (-)"),-Tabla9[[#This Row],[UND]], 0 ))</f>
        <v>0</v>
      </c>
      <c r="O36" s="33">
        <f>IF(OR(Tabla9[[#This Row],[TIPO DE MOVIMIENTO]]="Entrada",Tabla9[[#This Row],[TIPO DE MOVIMIENTO]]="Ajuste (+)"),Tabla9[[#This Row],[COSTO TOTAL]], IF(  OR(Tabla9[[#This Row],[TIPO DE MOVIMIENTO]]="Salida",Tabla9[[#This Row],[TIPO DE MOVIMIENTO]]="Ajuste (-)"),-Tabla9[[#This Row],[COSTO TOTAL]], 0 ))</f>
        <v>0</v>
      </c>
    </row>
    <row r="37" spans="2:15">
      <c r="B37" s="221">
        <v>45993</v>
      </c>
      <c r="C37" s="222" t="s">
        <v>907</v>
      </c>
      <c r="D37" s="222">
        <v>895262</v>
      </c>
      <c r="E37" s="222" t="s">
        <v>1111</v>
      </c>
      <c r="F37" s="222">
        <v>0</v>
      </c>
      <c r="G37" s="222" t="s">
        <v>974</v>
      </c>
      <c r="H37" s="222">
        <v>0</v>
      </c>
      <c r="I37" s="222">
        <v>0</v>
      </c>
      <c r="J37" s="222" t="s">
        <v>1001</v>
      </c>
      <c r="K37" s="222"/>
      <c r="L37" s="222"/>
      <c r="M37" s="33">
        <f>Tabla9[[#This Row],[UND]]*Tabla9[[#This Row],[COSTO UNITARIO]]</f>
        <v>0</v>
      </c>
      <c r="N37" s="33">
        <f>IF(OR(Tabla9[[#This Row],[TIPO DE MOVIMIENTO]]="Entrada",Tabla9[[#This Row],[TIPO DE MOVIMIENTO]]="Ajuste (+)"),Tabla9[[#This Row],[UND]], IF(  OR(Tabla9[[#This Row],[TIPO DE MOVIMIENTO]]="Salida",Tabla9[[#This Row],[TIPO DE MOVIMIENTO]]="Ajuste (-)"),-Tabla9[[#This Row],[UND]], 0 ))</f>
        <v>0</v>
      </c>
      <c r="O37" s="33">
        <f>IF(OR(Tabla9[[#This Row],[TIPO DE MOVIMIENTO]]="Entrada",Tabla9[[#This Row],[TIPO DE MOVIMIENTO]]="Ajuste (+)"),Tabla9[[#This Row],[COSTO TOTAL]], IF(  OR(Tabla9[[#This Row],[TIPO DE MOVIMIENTO]]="Salida",Tabla9[[#This Row],[TIPO DE MOVIMIENTO]]="Ajuste (-)"),-Tabla9[[#This Row],[COSTO TOTAL]], 0 ))</f>
        <v>0</v>
      </c>
    </row>
    <row r="38" spans="2:15">
      <c r="B38" s="221">
        <v>45993</v>
      </c>
      <c r="C38" s="222" t="s">
        <v>907</v>
      </c>
      <c r="D38" s="222">
        <v>895262</v>
      </c>
      <c r="E38" s="222" t="s">
        <v>1111</v>
      </c>
      <c r="F38" s="222">
        <v>0</v>
      </c>
      <c r="G38" s="222" t="s">
        <v>974</v>
      </c>
      <c r="H38" s="222">
        <v>0</v>
      </c>
      <c r="I38" s="222">
        <v>0</v>
      </c>
      <c r="J38" s="222" t="s">
        <v>1001</v>
      </c>
      <c r="K38" s="222"/>
      <c r="L38" s="222"/>
      <c r="M38" s="33">
        <f>Tabla9[[#This Row],[UND]]*Tabla9[[#This Row],[COSTO UNITARIO]]</f>
        <v>0</v>
      </c>
      <c r="N38" s="33">
        <f>IF(OR(Tabla9[[#This Row],[TIPO DE MOVIMIENTO]]="Entrada",Tabla9[[#This Row],[TIPO DE MOVIMIENTO]]="Ajuste (+)"),Tabla9[[#This Row],[UND]], IF(  OR(Tabla9[[#This Row],[TIPO DE MOVIMIENTO]]="Salida",Tabla9[[#This Row],[TIPO DE MOVIMIENTO]]="Ajuste (-)"),-Tabla9[[#This Row],[UND]], 0 ))</f>
        <v>0</v>
      </c>
      <c r="O38" s="33">
        <f>IF(OR(Tabla9[[#This Row],[TIPO DE MOVIMIENTO]]="Entrada",Tabla9[[#This Row],[TIPO DE MOVIMIENTO]]="Ajuste (+)"),Tabla9[[#This Row],[COSTO TOTAL]], IF(  OR(Tabla9[[#This Row],[TIPO DE MOVIMIENTO]]="Salida",Tabla9[[#This Row],[TIPO DE MOVIMIENTO]]="Ajuste (-)"),-Tabla9[[#This Row],[COSTO TOTAL]], 0 ))</f>
        <v>0</v>
      </c>
    </row>
    <row r="39" spans="2:15">
      <c r="B39" s="221">
        <v>45993</v>
      </c>
      <c r="C39" s="222" t="s">
        <v>907</v>
      </c>
      <c r="D39" s="222">
        <v>895262</v>
      </c>
      <c r="E39" s="222" t="s">
        <v>1111</v>
      </c>
      <c r="F39" s="222">
        <v>0</v>
      </c>
      <c r="G39" s="222" t="s">
        <v>974</v>
      </c>
      <c r="H39" s="222">
        <v>0</v>
      </c>
      <c r="I39" s="222">
        <v>0</v>
      </c>
      <c r="J39" s="222" t="s">
        <v>1001</v>
      </c>
      <c r="K39" s="222"/>
      <c r="L39" s="222"/>
      <c r="M39" s="33">
        <f>Tabla9[[#This Row],[UND]]*Tabla9[[#This Row],[COSTO UNITARIO]]</f>
        <v>0</v>
      </c>
      <c r="N39" s="33">
        <f>IF(OR(Tabla9[[#This Row],[TIPO DE MOVIMIENTO]]="Entrada",Tabla9[[#This Row],[TIPO DE MOVIMIENTO]]="Ajuste (+)"),Tabla9[[#This Row],[UND]], IF(  OR(Tabla9[[#This Row],[TIPO DE MOVIMIENTO]]="Salida",Tabla9[[#This Row],[TIPO DE MOVIMIENTO]]="Ajuste (-)"),-Tabla9[[#This Row],[UND]], 0 ))</f>
        <v>0</v>
      </c>
      <c r="O39" s="33">
        <f>IF(OR(Tabla9[[#This Row],[TIPO DE MOVIMIENTO]]="Entrada",Tabla9[[#This Row],[TIPO DE MOVIMIENTO]]="Ajuste (+)"),Tabla9[[#This Row],[COSTO TOTAL]], IF(  OR(Tabla9[[#This Row],[TIPO DE MOVIMIENTO]]="Salida",Tabla9[[#This Row],[TIPO DE MOVIMIENTO]]="Ajuste (-)"),-Tabla9[[#This Row],[COSTO TOTAL]], 0 ))</f>
        <v>0</v>
      </c>
    </row>
    <row r="40" spans="2:15">
      <c r="B40" s="221">
        <v>45993</v>
      </c>
      <c r="C40" s="222" t="s">
        <v>907</v>
      </c>
      <c r="D40" s="222">
        <v>895262</v>
      </c>
      <c r="E40" s="222" t="s">
        <v>1111</v>
      </c>
      <c r="F40" s="222">
        <v>0</v>
      </c>
      <c r="G40" s="222" t="s">
        <v>974</v>
      </c>
      <c r="H40" s="222">
        <v>0</v>
      </c>
      <c r="I40" s="222">
        <v>0</v>
      </c>
      <c r="J40" s="222" t="s">
        <v>1001</v>
      </c>
      <c r="K40" s="222"/>
      <c r="L40" s="222"/>
      <c r="M40" s="33">
        <f>Tabla9[[#This Row],[UND]]*Tabla9[[#This Row],[COSTO UNITARIO]]</f>
        <v>0</v>
      </c>
      <c r="N40" s="33">
        <f>IF(OR(Tabla9[[#This Row],[TIPO DE MOVIMIENTO]]="Entrada",Tabla9[[#This Row],[TIPO DE MOVIMIENTO]]="Ajuste (+)"),Tabla9[[#This Row],[UND]], IF(  OR(Tabla9[[#This Row],[TIPO DE MOVIMIENTO]]="Salida",Tabla9[[#This Row],[TIPO DE MOVIMIENTO]]="Ajuste (-)"),-Tabla9[[#This Row],[UND]], 0 ))</f>
        <v>0</v>
      </c>
      <c r="O40" s="33">
        <f>IF(OR(Tabla9[[#This Row],[TIPO DE MOVIMIENTO]]="Entrada",Tabla9[[#This Row],[TIPO DE MOVIMIENTO]]="Ajuste (+)"),Tabla9[[#This Row],[COSTO TOTAL]], IF(  OR(Tabla9[[#This Row],[TIPO DE MOVIMIENTO]]="Salida",Tabla9[[#This Row],[TIPO DE MOVIMIENTO]]="Ajuste (-)"),-Tabla9[[#This Row],[COSTO TOTAL]], 0 ))</f>
        <v>0</v>
      </c>
    </row>
    <row r="41" spans="2:15">
      <c r="B41" s="221">
        <v>45993</v>
      </c>
      <c r="C41" s="222" t="s">
        <v>907</v>
      </c>
      <c r="D41" s="222">
        <v>895262</v>
      </c>
      <c r="E41" s="222" t="s">
        <v>1111</v>
      </c>
      <c r="F41" s="222">
        <v>0</v>
      </c>
      <c r="G41" s="222" t="s">
        <v>974</v>
      </c>
      <c r="H41" s="222">
        <v>0</v>
      </c>
      <c r="I41" s="222">
        <v>0</v>
      </c>
      <c r="J41" s="222" t="s">
        <v>1001</v>
      </c>
      <c r="K41" s="222"/>
      <c r="L41" s="222"/>
      <c r="M41" s="33">
        <f>Tabla9[[#This Row],[UND]]*Tabla9[[#This Row],[COSTO UNITARIO]]</f>
        <v>0</v>
      </c>
      <c r="N41" s="33">
        <f>IF(OR(Tabla9[[#This Row],[TIPO DE MOVIMIENTO]]="Entrada",Tabla9[[#This Row],[TIPO DE MOVIMIENTO]]="Ajuste (+)"),Tabla9[[#This Row],[UND]], IF(  OR(Tabla9[[#This Row],[TIPO DE MOVIMIENTO]]="Salida",Tabla9[[#This Row],[TIPO DE MOVIMIENTO]]="Ajuste (-)"),-Tabla9[[#This Row],[UND]], 0 ))</f>
        <v>0</v>
      </c>
      <c r="O41" s="33">
        <f>IF(OR(Tabla9[[#This Row],[TIPO DE MOVIMIENTO]]="Entrada",Tabla9[[#This Row],[TIPO DE MOVIMIENTO]]="Ajuste (+)"),Tabla9[[#This Row],[COSTO TOTAL]], IF(  OR(Tabla9[[#This Row],[TIPO DE MOVIMIENTO]]="Salida",Tabla9[[#This Row],[TIPO DE MOVIMIENTO]]="Ajuste (-)"),-Tabla9[[#This Row],[COSTO TOTAL]], 0 ))</f>
        <v>0</v>
      </c>
    </row>
    <row r="42" spans="2:15">
      <c r="B42" s="221">
        <v>45993</v>
      </c>
      <c r="C42" s="222" t="s">
        <v>907</v>
      </c>
      <c r="D42" s="222">
        <v>895262</v>
      </c>
      <c r="E42" s="222" t="s">
        <v>1111</v>
      </c>
      <c r="F42" s="222">
        <v>0</v>
      </c>
      <c r="G42" s="222" t="s">
        <v>974</v>
      </c>
      <c r="H42" s="222">
        <v>0</v>
      </c>
      <c r="I42" s="222">
        <v>0</v>
      </c>
      <c r="J42" s="222" t="s">
        <v>1001</v>
      </c>
      <c r="K42" s="222"/>
      <c r="L42" s="222"/>
      <c r="M42" s="33">
        <f>Tabla9[[#This Row],[UND]]*Tabla9[[#This Row],[COSTO UNITARIO]]</f>
        <v>0</v>
      </c>
      <c r="N42" s="33">
        <f>IF(OR(Tabla9[[#This Row],[TIPO DE MOVIMIENTO]]="Entrada",Tabla9[[#This Row],[TIPO DE MOVIMIENTO]]="Ajuste (+)"),Tabla9[[#This Row],[UND]], IF(  OR(Tabla9[[#This Row],[TIPO DE MOVIMIENTO]]="Salida",Tabla9[[#This Row],[TIPO DE MOVIMIENTO]]="Ajuste (-)"),-Tabla9[[#This Row],[UND]], 0 ))</f>
        <v>0</v>
      </c>
      <c r="O42" s="33">
        <f>IF(OR(Tabla9[[#This Row],[TIPO DE MOVIMIENTO]]="Entrada",Tabla9[[#This Row],[TIPO DE MOVIMIENTO]]="Ajuste (+)"),Tabla9[[#This Row],[COSTO TOTAL]], IF(  OR(Tabla9[[#This Row],[TIPO DE MOVIMIENTO]]="Salida",Tabla9[[#This Row],[TIPO DE MOVIMIENTO]]="Ajuste (-)"),-Tabla9[[#This Row],[COSTO TOTAL]], 0 ))</f>
        <v>0</v>
      </c>
    </row>
    <row r="43" spans="2:15">
      <c r="B43" s="221">
        <v>45993</v>
      </c>
      <c r="C43" s="222" t="s">
        <v>907</v>
      </c>
      <c r="D43" s="222">
        <v>895262</v>
      </c>
      <c r="E43" s="222" t="s">
        <v>1111</v>
      </c>
      <c r="F43" s="222" t="s">
        <v>1088</v>
      </c>
      <c r="G43" s="222" t="s">
        <v>974</v>
      </c>
      <c r="H43" s="222" t="s">
        <v>999</v>
      </c>
      <c r="I43" s="222" t="s">
        <v>1000</v>
      </c>
      <c r="J43" s="222" t="s">
        <v>1001</v>
      </c>
      <c r="K43" s="222">
        <v>8</v>
      </c>
      <c r="L43" s="222">
        <v>30000</v>
      </c>
      <c r="M43" s="33">
        <f>Tabla9[[#This Row],[UND]]*Tabla9[[#This Row],[COSTO UNITARIO]]</f>
        <v>240000</v>
      </c>
      <c r="N43" s="33">
        <f>IF(OR(Tabla9[[#This Row],[TIPO DE MOVIMIENTO]]="Entrada",Tabla9[[#This Row],[TIPO DE MOVIMIENTO]]="Ajuste (+)"),Tabla9[[#This Row],[UND]], IF(  OR(Tabla9[[#This Row],[TIPO DE MOVIMIENTO]]="Salida",Tabla9[[#This Row],[TIPO DE MOVIMIENTO]]="Ajuste (-)"),-Tabla9[[#This Row],[UND]], 0 ))</f>
        <v>8</v>
      </c>
      <c r="O43" s="33">
        <f>IF(OR(Tabla9[[#This Row],[TIPO DE MOVIMIENTO]]="Entrada",Tabla9[[#This Row],[TIPO DE MOVIMIENTO]]="Ajuste (+)"),Tabla9[[#This Row],[COSTO TOTAL]], IF(  OR(Tabla9[[#This Row],[TIPO DE MOVIMIENTO]]="Salida",Tabla9[[#This Row],[TIPO DE MOVIMIENTO]]="Ajuste (-)"),-Tabla9[[#This Row],[COSTO TOTAL]], 0 ))</f>
        <v>240000</v>
      </c>
    </row>
    <row r="44" spans="2:15" ht="15">
      <c r="B44" s="219">
        <v>45993</v>
      </c>
      <c r="C44" s="220" t="s">
        <v>903</v>
      </c>
      <c r="D44" s="220">
        <v>656564</v>
      </c>
      <c r="E44" s="220" t="s">
        <v>1111</v>
      </c>
      <c r="F44" s="220">
        <v>0</v>
      </c>
      <c r="G44" s="220" t="s">
        <v>974</v>
      </c>
      <c r="H44" s="220">
        <v>0</v>
      </c>
      <c r="I44" s="220">
        <v>0</v>
      </c>
      <c r="J44" s="220" t="s">
        <v>1001</v>
      </c>
      <c r="K44" s="220"/>
      <c r="L44" s="220"/>
      <c r="M44" s="33">
        <f>Tabla9[[#This Row],[UND]]*Tabla9[[#This Row],[COSTO UNITARIO]]</f>
        <v>0</v>
      </c>
      <c r="N44" s="33">
        <f>IF(OR(Tabla9[[#This Row],[TIPO DE MOVIMIENTO]]="Entrada",Tabla9[[#This Row],[TIPO DE MOVIMIENTO]]="Ajuste (+)"),Tabla9[[#This Row],[UND]], IF(  OR(Tabla9[[#This Row],[TIPO DE MOVIMIENTO]]="Salida",Tabla9[[#This Row],[TIPO DE MOVIMIENTO]]="Ajuste (-)"),-Tabla9[[#This Row],[UND]], 0 ))</f>
        <v>0</v>
      </c>
      <c r="O44" s="33">
        <f>IF(OR(Tabla9[[#This Row],[TIPO DE MOVIMIENTO]]="Entrada",Tabla9[[#This Row],[TIPO DE MOVIMIENTO]]="Ajuste (+)"),Tabla9[[#This Row],[COSTO TOTAL]], IF(  OR(Tabla9[[#This Row],[TIPO DE MOVIMIENTO]]="Salida",Tabla9[[#This Row],[TIPO DE MOVIMIENTO]]="Ajuste (-)"),-Tabla9[[#This Row],[COSTO TOTAL]], 0 ))</f>
        <v>0</v>
      </c>
    </row>
    <row r="45" spans="2:15" ht="15">
      <c r="B45" s="219">
        <v>45993</v>
      </c>
      <c r="C45" s="220" t="s">
        <v>903</v>
      </c>
      <c r="D45" s="220">
        <v>656564</v>
      </c>
      <c r="E45" s="220" t="s">
        <v>1111</v>
      </c>
      <c r="F45" s="220">
        <v>0</v>
      </c>
      <c r="G45" s="220" t="s">
        <v>974</v>
      </c>
      <c r="H45" s="220">
        <v>0</v>
      </c>
      <c r="I45" s="220">
        <v>0</v>
      </c>
      <c r="J45" s="220" t="s">
        <v>1001</v>
      </c>
      <c r="K45" s="220"/>
      <c r="L45" s="220"/>
      <c r="M45" s="33">
        <f>Tabla9[[#This Row],[UND]]*Tabla9[[#This Row],[COSTO UNITARIO]]</f>
        <v>0</v>
      </c>
      <c r="N45" s="33">
        <f>IF(OR(Tabla9[[#This Row],[TIPO DE MOVIMIENTO]]="Entrada",Tabla9[[#This Row],[TIPO DE MOVIMIENTO]]="Ajuste (+)"),Tabla9[[#This Row],[UND]], IF(  OR(Tabla9[[#This Row],[TIPO DE MOVIMIENTO]]="Salida",Tabla9[[#This Row],[TIPO DE MOVIMIENTO]]="Ajuste (-)"),-Tabla9[[#This Row],[UND]], 0 ))</f>
        <v>0</v>
      </c>
      <c r="O45" s="33">
        <f>IF(OR(Tabla9[[#This Row],[TIPO DE MOVIMIENTO]]="Entrada",Tabla9[[#This Row],[TIPO DE MOVIMIENTO]]="Ajuste (+)"),Tabla9[[#This Row],[COSTO TOTAL]], IF(  OR(Tabla9[[#This Row],[TIPO DE MOVIMIENTO]]="Salida",Tabla9[[#This Row],[TIPO DE MOVIMIENTO]]="Ajuste (-)"),-Tabla9[[#This Row],[COSTO TOTAL]], 0 ))</f>
        <v>0</v>
      </c>
    </row>
    <row r="46" spans="2:15" ht="15">
      <c r="B46" s="219">
        <v>45993</v>
      </c>
      <c r="C46" s="220" t="s">
        <v>903</v>
      </c>
      <c r="D46" s="220">
        <v>656564</v>
      </c>
      <c r="E46" s="220" t="s">
        <v>1111</v>
      </c>
      <c r="F46" s="220">
        <v>0</v>
      </c>
      <c r="G46" s="220" t="s">
        <v>974</v>
      </c>
      <c r="H46" s="220">
        <v>0</v>
      </c>
      <c r="I46" s="220">
        <v>0</v>
      </c>
      <c r="J46" s="220" t="s">
        <v>1001</v>
      </c>
      <c r="K46" s="220"/>
      <c r="L46" s="220"/>
      <c r="M46" s="33">
        <f>Tabla9[[#This Row],[UND]]*Tabla9[[#This Row],[COSTO UNITARIO]]</f>
        <v>0</v>
      </c>
      <c r="N46" s="33">
        <f>IF(OR(Tabla9[[#This Row],[TIPO DE MOVIMIENTO]]="Entrada",Tabla9[[#This Row],[TIPO DE MOVIMIENTO]]="Ajuste (+)"),Tabla9[[#This Row],[UND]], IF(  OR(Tabla9[[#This Row],[TIPO DE MOVIMIENTO]]="Salida",Tabla9[[#This Row],[TIPO DE MOVIMIENTO]]="Ajuste (-)"),-Tabla9[[#This Row],[UND]], 0 ))</f>
        <v>0</v>
      </c>
      <c r="O46" s="33">
        <f>IF(OR(Tabla9[[#This Row],[TIPO DE MOVIMIENTO]]="Entrada",Tabla9[[#This Row],[TIPO DE MOVIMIENTO]]="Ajuste (+)"),Tabla9[[#This Row],[COSTO TOTAL]], IF(  OR(Tabla9[[#This Row],[TIPO DE MOVIMIENTO]]="Salida",Tabla9[[#This Row],[TIPO DE MOVIMIENTO]]="Ajuste (-)"),-Tabla9[[#This Row],[COSTO TOTAL]], 0 ))</f>
        <v>0</v>
      </c>
    </row>
    <row r="47" spans="2:15" ht="15">
      <c r="B47" s="219">
        <v>45993</v>
      </c>
      <c r="C47" s="220" t="s">
        <v>903</v>
      </c>
      <c r="D47" s="220">
        <v>656564</v>
      </c>
      <c r="E47" s="220" t="s">
        <v>1111</v>
      </c>
      <c r="F47" s="220">
        <v>0</v>
      </c>
      <c r="G47" s="220" t="s">
        <v>974</v>
      </c>
      <c r="H47" s="220">
        <v>0</v>
      </c>
      <c r="I47" s="220">
        <v>0</v>
      </c>
      <c r="J47" s="220" t="s">
        <v>1001</v>
      </c>
      <c r="K47" s="220"/>
      <c r="L47" s="220"/>
      <c r="M47" s="33">
        <f>Tabla9[[#This Row],[UND]]*Tabla9[[#This Row],[COSTO UNITARIO]]</f>
        <v>0</v>
      </c>
      <c r="N47" s="33">
        <f>IF(OR(Tabla9[[#This Row],[TIPO DE MOVIMIENTO]]="Entrada",Tabla9[[#This Row],[TIPO DE MOVIMIENTO]]="Ajuste (+)"),Tabla9[[#This Row],[UND]], IF(  OR(Tabla9[[#This Row],[TIPO DE MOVIMIENTO]]="Salida",Tabla9[[#This Row],[TIPO DE MOVIMIENTO]]="Ajuste (-)"),-Tabla9[[#This Row],[UND]], 0 ))</f>
        <v>0</v>
      </c>
      <c r="O47" s="33">
        <f>IF(OR(Tabla9[[#This Row],[TIPO DE MOVIMIENTO]]="Entrada",Tabla9[[#This Row],[TIPO DE MOVIMIENTO]]="Ajuste (+)"),Tabla9[[#This Row],[COSTO TOTAL]], IF(  OR(Tabla9[[#This Row],[TIPO DE MOVIMIENTO]]="Salida",Tabla9[[#This Row],[TIPO DE MOVIMIENTO]]="Ajuste (-)"),-Tabla9[[#This Row],[COSTO TOTAL]], 0 ))</f>
        <v>0</v>
      </c>
    </row>
    <row r="48" spans="2:15" ht="15">
      <c r="B48" s="219">
        <v>45993</v>
      </c>
      <c r="C48" s="220" t="s">
        <v>903</v>
      </c>
      <c r="D48" s="220">
        <v>656564</v>
      </c>
      <c r="E48" s="220" t="s">
        <v>1111</v>
      </c>
      <c r="F48" s="220">
        <v>0</v>
      </c>
      <c r="G48" s="220" t="s">
        <v>974</v>
      </c>
      <c r="H48" s="220">
        <v>0</v>
      </c>
      <c r="I48" s="220">
        <v>0</v>
      </c>
      <c r="J48" s="220" t="s">
        <v>1001</v>
      </c>
      <c r="K48" s="220"/>
      <c r="L48" s="220"/>
      <c r="M48" s="33">
        <f>Tabla9[[#This Row],[UND]]*Tabla9[[#This Row],[COSTO UNITARIO]]</f>
        <v>0</v>
      </c>
      <c r="N48" s="33">
        <f>IF(OR(Tabla9[[#This Row],[TIPO DE MOVIMIENTO]]="Entrada",Tabla9[[#This Row],[TIPO DE MOVIMIENTO]]="Ajuste (+)"),Tabla9[[#This Row],[UND]], IF(  OR(Tabla9[[#This Row],[TIPO DE MOVIMIENTO]]="Salida",Tabla9[[#This Row],[TIPO DE MOVIMIENTO]]="Ajuste (-)"),-Tabla9[[#This Row],[UND]], 0 ))</f>
        <v>0</v>
      </c>
      <c r="O48" s="33">
        <f>IF(OR(Tabla9[[#This Row],[TIPO DE MOVIMIENTO]]="Entrada",Tabla9[[#This Row],[TIPO DE MOVIMIENTO]]="Ajuste (+)"),Tabla9[[#This Row],[COSTO TOTAL]], IF(  OR(Tabla9[[#This Row],[TIPO DE MOVIMIENTO]]="Salida",Tabla9[[#This Row],[TIPO DE MOVIMIENTO]]="Ajuste (-)"),-Tabla9[[#This Row],[COSTO TOTAL]], 0 ))</f>
        <v>0</v>
      </c>
    </row>
    <row r="49" spans="2:15" ht="15">
      <c r="B49" s="219">
        <v>45993</v>
      </c>
      <c r="C49" s="220" t="s">
        <v>903</v>
      </c>
      <c r="D49" s="220">
        <v>656564</v>
      </c>
      <c r="E49" s="220" t="s">
        <v>1111</v>
      </c>
      <c r="F49" s="220">
        <v>0</v>
      </c>
      <c r="G49" s="220" t="s">
        <v>974</v>
      </c>
      <c r="H49" s="220">
        <v>0</v>
      </c>
      <c r="I49" s="220">
        <v>0</v>
      </c>
      <c r="J49" s="220" t="s">
        <v>1001</v>
      </c>
      <c r="K49" s="220"/>
      <c r="L49" s="220"/>
      <c r="M49" s="33">
        <f>Tabla9[[#This Row],[UND]]*Tabla9[[#This Row],[COSTO UNITARIO]]</f>
        <v>0</v>
      </c>
      <c r="N49" s="33">
        <f>IF(OR(Tabla9[[#This Row],[TIPO DE MOVIMIENTO]]="Entrada",Tabla9[[#This Row],[TIPO DE MOVIMIENTO]]="Ajuste (+)"),Tabla9[[#This Row],[UND]], IF(  OR(Tabla9[[#This Row],[TIPO DE MOVIMIENTO]]="Salida",Tabla9[[#This Row],[TIPO DE MOVIMIENTO]]="Ajuste (-)"),-Tabla9[[#This Row],[UND]], 0 ))</f>
        <v>0</v>
      </c>
      <c r="O49" s="33">
        <f>IF(OR(Tabla9[[#This Row],[TIPO DE MOVIMIENTO]]="Entrada",Tabla9[[#This Row],[TIPO DE MOVIMIENTO]]="Ajuste (+)"),Tabla9[[#This Row],[COSTO TOTAL]], IF(  OR(Tabla9[[#This Row],[TIPO DE MOVIMIENTO]]="Salida",Tabla9[[#This Row],[TIPO DE MOVIMIENTO]]="Ajuste (-)"),-Tabla9[[#This Row],[COSTO TOTAL]], 0 ))</f>
        <v>0</v>
      </c>
    </row>
    <row r="50" spans="2:15" ht="15">
      <c r="B50" s="219">
        <v>45993</v>
      </c>
      <c r="C50" s="220" t="s">
        <v>903</v>
      </c>
      <c r="D50" s="220">
        <v>656564</v>
      </c>
      <c r="E50" s="220" t="s">
        <v>1111</v>
      </c>
      <c r="F50" s="220">
        <v>0</v>
      </c>
      <c r="G50" s="220" t="s">
        <v>974</v>
      </c>
      <c r="H50" s="220">
        <v>0</v>
      </c>
      <c r="I50" s="220">
        <v>0</v>
      </c>
      <c r="J50" s="220" t="s">
        <v>1001</v>
      </c>
      <c r="K50" s="220"/>
      <c r="L50" s="220"/>
      <c r="M50" s="33">
        <f>Tabla9[[#This Row],[UND]]*Tabla9[[#This Row],[COSTO UNITARIO]]</f>
        <v>0</v>
      </c>
      <c r="N50" s="33">
        <f>IF(OR(Tabla9[[#This Row],[TIPO DE MOVIMIENTO]]="Entrada",Tabla9[[#This Row],[TIPO DE MOVIMIENTO]]="Ajuste (+)"),Tabla9[[#This Row],[UND]], IF(  OR(Tabla9[[#This Row],[TIPO DE MOVIMIENTO]]="Salida",Tabla9[[#This Row],[TIPO DE MOVIMIENTO]]="Ajuste (-)"),-Tabla9[[#This Row],[UND]], 0 ))</f>
        <v>0</v>
      </c>
      <c r="O50" s="33">
        <f>IF(OR(Tabla9[[#This Row],[TIPO DE MOVIMIENTO]]="Entrada",Tabla9[[#This Row],[TIPO DE MOVIMIENTO]]="Ajuste (+)"),Tabla9[[#This Row],[COSTO TOTAL]], IF(  OR(Tabla9[[#This Row],[TIPO DE MOVIMIENTO]]="Salida",Tabla9[[#This Row],[TIPO DE MOVIMIENTO]]="Ajuste (-)"),-Tabla9[[#This Row],[COSTO TOTAL]], 0 ))</f>
        <v>0</v>
      </c>
    </row>
    <row r="51" spans="2:15" ht="15">
      <c r="B51" s="219">
        <v>45993</v>
      </c>
      <c r="C51" s="220" t="s">
        <v>903</v>
      </c>
      <c r="D51" s="220">
        <v>656564</v>
      </c>
      <c r="E51" s="220" t="s">
        <v>1111</v>
      </c>
      <c r="F51" s="220">
        <v>0</v>
      </c>
      <c r="G51" s="220" t="s">
        <v>974</v>
      </c>
      <c r="H51" s="220">
        <v>0</v>
      </c>
      <c r="I51" s="220">
        <v>0</v>
      </c>
      <c r="J51" s="220" t="s">
        <v>1001</v>
      </c>
      <c r="K51" s="220"/>
      <c r="L51" s="220"/>
      <c r="M51" s="33">
        <f>Tabla9[[#This Row],[UND]]*Tabla9[[#This Row],[COSTO UNITARIO]]</f>
        <v>0</v>
      </c>
      <c r="N51" s="33">
        <f>IF(OR(Tabla9[[#This Row],[TIPO DE MOVIMIENTO]]="Entrada",Tabla9[[#This Row],[TIPO DE MOVIMIENTO]]="Ajuste (+)"),Tabla9[[#This Row],[UND]], IF(  OR(Tabla9[[#This Row],[TIPO DE MOVIMIENTO]]="Salida",Tabla9[[#This Row],[TIPO DE MOVIMIENTO]]="Ajuste (-)"),-Tabla9[[#This Row],[UND]], 0 ))</f>
        <v>0</v>
      </c>
      <c r="O51" s="33">
        <f>IF(OR(Tabla9[[#This Row],[TIPO DE MOVIMIENTO]]="Entrada",Tabla9[[#This Row],[TIPO DE MOVIMIENTO]]="Ajuste (+)"),Tabla9[[#This Row],[COSTO TOTAL]], IF(  OR(Tabla9[[#This Row],[TIPO DE MOVIMIENTO]]="Salida",Tabla9[[#This Row],[TIPO DE MOVIMIENTO]]="Ajuste (-)"),-Tabla9[[#This Row],[COSTO TOTAL]], 0 ))</f>
        <v>0</v>
      </c>
    </row>
    <row r="52" spans="2:15" ht="15">
      <c r="B52" s="219">
        <v>45993</v>
      </c>
      <c r="C52" s="220" t="s">
        <v>903</v>
      </c>
      <c r="D52" s="220">
        <v>656564</v>
      </c>
      <c r="E52" s="220" t="s">
        <v>1111</v>
      </c>
      <c r="F52" s="220" t="s">
        <v>1087</v>
      </c>
      <c r="G52" s="220" t="s">
        <v>974</v>
      </c>
      <c r="H52" s="220" t="s">
        <v>1074</v>
      </c>
      <c r="I52" s="220" t="s">
        <v>1000</v>
      </c>
      <c r="J52" s="220" t="s">
        <v>1001</v>
      </c>
      <c r="K52" s="220">
        <v>9</v>
      </c>
      <c r="L52" s="220">
        <v>20000</v>
      </c>
      <c r="M52" s="33">
        <f>Tabla9[[#This Row],[UND]]*Tabla9[[#This Row],[COSTO UNITARIO]]</f>
        <v>180000</v>
      </c>
      <c r="N52" s="33">
        <f>IF(OR(Tabla9[[#This Row],[TIPO DE MOVIMIENTO]]="Entrada",Tabla9[[#This Row],[TIPO DE MOVIMIENTO]]="Ajuste (+)"),Tabla9[[#This Row],[UND]], IF(  OR(Tabla9[[#This Row],[TIPO DE MOVIMIENTO]]="Salida",Tabla9[[#This Row],[TIPO DE MOVIMIENTO]]="Ajuste (-)"),-Tabla9[[#This Row],[UND]], 0 ))</f>
        <v>9</v>
      </c>
      <c r="O52" s="33">
        <f>IF(OR(Tabla9[[#This Row],[TIPO DE MOVIMIENTO]]="Entrada",Tabla9[[#This Row],[TIPO DE MOVIMIENTO]]="Ajuste (+)"),Tabla9[[#This Row],[COSTO TOTAL]], IF(  OR(Tabla9[[#This Row],[TIPO DE MOVIMIENTO]]="Salida",Tabla9[[#This Row],[TIPO DE MOVIMIENTO]]="Ajuste (-)"),-Tabla9[[#This Row],[COSTO TOTAL]], 0 ))</f>
        <v>180000</v>
      </c>
    </row>
    <row r="53" spans="2:15">
      <c r="B53" s="142"/>
      <c r="M53" s="33">
        <f>Tabla9[[#This Row],[UND]]*Tabla9[[#This Row],[COSTO UNITARIO]]</f>
        <v>0</v>
      </c>
      <c r="N53" s="33">
        <f>IF(OR(Tabla9[[#This Row],[TIPO DE MOVIMIENTO]]="Entrada",Tabla9[[#This Row],[TIPO DE MOVIMIENTO]]="Ajuste (+)"),Tabla9[[#This Row],[UND]], IF(  OR(Tabla9[[#This Row],[TIPO DE MOVIMIENTO]]="Salida",Tabla9[[#This Row],[TIPO DE MOVIMIENTO]]="Ajuste (-)"),-Tabla9[[#This Row],[UND]], 0 ))</f>
        <v>0</v>
      </c>
      <c r="O53" s="33">
        <f>IF(OR(Tabla9[[#This Row],[TIPO DE MOVIMIENTO]]="Entrada",Tabla9[[#This Row],[TIPO DE MOVIMIENTO]]="Ajuste (+)"),Tabla9[[#This Row],[COSTO TOTAL]], IF(  OR(Tabla9[[#This Row],[TIPO DE MOVIMIENTO]]="Salida",Tabla9[[#This Row],[TIPO DE MOVIMIENTO]]="Ajuste (-)"),-Tabla9[[#This Row],[COSTO TOTAL]], 0 ))</f>
        <v>0</v>
      </c>
    </row>
    <row r="54" spans="2:15">
      <c r="B54" s="142"/>
      <c r="M54" s="33">
        <f>Tabla9[[#This Row],[UND]]*Tabla9[[#This Row],[COSTO UNITARIO]]</f>
        <v>0</v>
      </c>
      <c r="N54" s="33">
        <f>IF(OR(Tabla9[[#This Row],[TIPO DE MOVIMIENTO]]="Entrada",Tabla9[[#This Row],[TIPO DE MOVIMIENTO]]="Ajuste (+)"),Tabla9[[#This Row],[UND]], IF(  OR(Tabla9[[#This Row],[TIPO DE MOVIMIENTO]]="Salida",Tabla9[[#This Row],[TIPO DE MOVIMIENTO]]="Ajuste (-)"),-Tabla9[[#This Row],[UND]], 0 ))</f>
        <v>0</v>
      </c>
      <c r="O54" s="33">
        <f>IF(OR(Tabla9[[#This Row],[TIPO DE MOVIMIENTO]]="Entrada",Tabla9[[#This Row],[TIPO DE MOVIMIENTO]]="Ajuste (+)"),Tabla9[[#This Row],[COSTO TOTAL]], IF(  OR(Tabla9[[#This Row],[TIPO DE MOVIMIENTO]]="Salida",Tabla9[[#This Row],[TIPO DE MOVIMIENTO]]="Ajuste (-)"),-Tabla9[[#This Row],[COSTO TOTAL]], 0 ))</f>
        <v>0</v>
      </c>
    </row>
    <row r="55" spans="2:15">
      <c r="B55" s="142"/>
      <c r="M55" s="33">
        <f>Tabla9[[#This Row],[UND]]*Tabla9[[#This Row],[COSTO UNITARIO]]</f>
        <v>0</v>
      </c>
      <c r="N55" s="33">
        <f>IF(OR(Tabla9[[#This Row],[TIPO DE MOVIMIENTO]]="Entrada",Tabla9[[#This Row],[TIPO DE MOVIMIENTO]]="Ajuste (+)"),Tabla9[[#This Row],[UND]], IF(  OR(Tabla9[[#This Row],[TIPO DE MOVIMIENTO]]="Salida",Tabla9[[#This Row],[TIPO DE MOVIMIENTO]]="Ajuste (-)"),-Tabla9[[#This Row],[UND]], 0 ))</f>
        <v>0</v>
      </c>
      <c r="O55" s="33">
        <f>IF(OR(Tabla9[[#This Row],[TIPO DE MOVIMIENTO]]="Entrada",Tabla9[[#This Row],[TIPO DE MOVIMIENTO]]="Ajuste (+)"),Tabla9[[#This Row],[COSTO TOTAL]], IF(  OR(Tabla9[[#This Row],[TIPO DE MOVIMIENTO]]="Salida",Tabla9[[#This Row],[TIPO DE MOVIMIENTO]]="Ajuste (-)"),-Tabla9[[#This Row],[COSTO TOTAL]], 0 ))</f>
        <v>0</v>
      </c>
    </row>
    <row r="56" spans="2:15">
      <c r="B56" s="142"/>
      <c r="M56" s="33">
        <f>Tabla9[[#This Row],[UND]]*Tabla9[[#This Row],[COSTO UNITARIO]]</f>
        <v>0</v>
      </c>
      <c r="N56" s="33">
        <f>IF(OR(Tabla9[[#This Row],[TIPO DE MOVIMIENTO]]="Entrada",Tabla9[[#This Row],[TIPO DE MOVIMIENTO]]="Ajuste (+)"),Tabla9[[#This Row],[UND]], IF(  OR(Tabla9[[#This Row],[TIPO DE MOVIMIENTO]]="Salida",Tabla9[[#This Row],[TIPO DE MOVIMIENTO]]="Ajuste (-)"),-Tabla9[[#This Row],[UND]], 0 ))</f>
        <v>0</v>
      </c>
      <c r="O56" s="33">
        <f>IF(OR(Tabla9[[#This Row],[TIPO DE MOVIMIENTO]]="Entrada",Tabla9[[#This Row],[TIPO DE MOVIMIENTO]]="Ajuste (+)"),Tabla9[[#This Row],[COSTO TOTAL]], IF(  OR(Tabla9[[#This Row],[TIPO DE MOVIMIENTO]]="Salida",Tabla9[[#This Row],[TIPO DE MOVIMIENTO]]="Ajuste (-)"),-Tabla9[[#This Row],[COSTO TOTAL]], 0 ))</f>
        <v>0</v>
      </c>
    </row>
    <row r="57" spans="2:15">
      <c r="B57" s="142"/>
      <c r="M57" s="33">
        <f>Tabla9[[#This Row],[UND]]*Tabla9[[#This Row],[COSTO UNITARIO]]</f>
        <v>0</v>
      </c>
      <c r="N57" s="33">
        <f>IF(OR(Tabla9[[#This Row],[TIPO DE MOVIMIENTO]]="Entrada",Tabla9[[#This Row],[TIPO DE MOVIMIENTO]]="Ajuste (+)"),Tabla9[[#This Row],[UND]], IF(  OR(Tabla9[[#This Row],[TIPO DE MOVIMIENTO]]="Salida",Tabla9[[#This Row],[TIPO DE MOVIMIENTO]]="Ajuste (-)"),-Tabla9[[#This Row],[UND]], 0 ))</f>
        <v>0</v>
      </c>
      <c r="O57" s="33">
        <f>IF(OR(Tabla9[[#This Row],[TIPO DE MOVIMIENTO]]="Entrada",Tabla9[[#This Row],[TIPO DE MOVIMIENTO]]="Ajuste (+)"),Tabla9[[#This Row],[COSTO TOTAL]], IF(  OR(Tabla9[[#This Row],[TIPO DE MOVIMIENTO]]="Salida",Tabla9[[#This Row],[TIPO DE MOVIMIENTO]]="Ajuste (-)"),-Tabla9[[#This Row],[COSTO TOTAL]], 0 ))</f>
        <v>0</v>
      </c>
    </row>
    <row r="58" spans="2:15">
      <c r="B58" s="33" t="s">
        <v>0</v>
      </c>
      <c r="N58" s="33">
        <f>SUBTOTAL(109,Tabla9[MOVIMIENTO EN (UND)])</f>
        <v>40</v>
      </c>
      <c r="O58" s="33">
        <f>SUBTOTAL(109,Tabla9[MOVIMIENTO EN (VR)])</f>
        <v>1061923.076923077</v>
      </c>
    </row>
  </sheetData>
  <mergeCells count="1">
    <mergeCell ref="B2:C2"/>
  </mergeCells>
  <pageMargins left="0.7" right="0.7" top="0.75" bottom="0.75" header="0.3" footer="0.3"/>
  <drawing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7" id="{22D18258-182A-4BE4-9A58-319779578961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Triangles" iconId="0"/>
              <x14:cfIcon iconSet="NoIcons" iconId="0"/>
              <x14:cfIcon iconSet="3Triangles" iconId="2"/>
            </x14:iconSet>
          </x14:cfRule>
          <xm:sqref>N8:N57</xm:sqref>
        </x14:conditionalFormatting>
        <x14:conditionalFormatting xmlns:xm="http://schemas.microsoft.com/office/excel/2006/main">
          <x14:cfRule type="iconSet" priority="28" id="{010F332B-510E-4B1C-B9DD-4A43E057EEFA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Triangles" iconId="0"/>
              <x14:cfIcon iconSet="NoIcons" iconId="0"/>
              <x14:cfIcon iconSet="3Triangles" iconId="2"/>
            </x14:iconSet>
          </x14:cfRule>
          <xm:sqref>O8:O57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B93857-57A6-48AE-8999-7B825487F206}">
  <sheetPr codeName="Hoja5"/>
  <dimension ref="B2:BC10"/>
  <sheetViews>
    <sheetView showGridLines="0" showRowColHeaders="0" workbookViewId="0"/>
  </sheetViews>
  <sheetFormatPr baseColWidth="10" defaultRowHeight="12.75"/>
  <cols>
    <col min="1" max="1" width="26.33203125" style="33" customWidth="1"/>
    <col min="2" max="2" width="33.5" style="33" customWidth="1"/>
    <col min="3" max="3" width="29.6640625" style="33" customWidth="1"/>
    <col min="4" max="4" width="18.1640625" style="33" customWidth="1"/>
    <col min="5" max="5" width="19.6640625" style="33" customWidth="1"/>
    <col min="6" max="6" width="21.33203125" style="33" bestFit="1" customWidth="1"/>
    <col min="7" max="7" width="22.1640625" style="33" bestFit="1" customWidth="1"/>
    <col min="8" max="8" width="19.5" style="33" bestFit="1" customWidth="1"/>
    <col min="9" max="9" width="10.83203125" style="33" bestFit="1" customWidth="1"/>
    <col min="10" max="11" width="19.6640625" style="33" bestFit="1" customWidth="1"/>
    <col min="12" max="12" width="25.5" style="33" bestFit="1" customWidth="1"/>
    <col min="13" max="14" width="19.6640625" style="33" bestFit="1" customWidth="1"/>
    <col min="15" max="33" width="13" style="33" bestFit="1" customWidth="1"/>
    <col min="34" max="42" width="16.83203125" style="33" bestFit="1" customWidth="1"/>
    <col min="43" max="51" width="14.33203125" style="33" bestFit="1" customWidth="1"/>
    <col min="52" max="16384" width="12" style="33"/>
  </cols>
  <sheetData>
    <row r="2" spans="2:55" ht="54" customHeight="1">
      <c r="B2" s="252" t="s">
        <v>997</v>
      </c>
      <c r="C2" s="252"/>
      <c r="D2" s="145" t="e" vm="4">
        <v>#VALUE!</v>
      </c>
    </row>
    <row r="5" spans="2:55">
      <c r="B5" s="33" t="s">
        <v>963</v>
      </c>
      <c r="C5" s="33" t="s">
        <v>964</v>
      </c>
      <c r="D5" s="33" t="s">
        <v>1232</v>
      </c>
      <c r="E5" s="33" t="s">
        <v>965</v>
      </c>
      <c r="F5" s="33" t="s">
        <v>990</v>
      </c>
      <c r="G5" s="33" t="s">
        <v>991</v>
      </c>
      <c r="H5" s="33" t="s">
        <v>1105</v>
      </c>
      <c r="I5" s="33" t="s">
        <v>972</v>
      </c>
      <c r="J5" s="33" t="s">
        <v>996</v>
      </c>
      <c r="K5" s="33" t="s">
        <v>995</v>
      </c>
      <c r="L5" s="33" t="s">
        <v>992</v>
      </c>
      <c r="M5" s="33" t="s">
        <v>993</v>
      </c>
      <c r="N5" s="33" t="s">
        <v>994</v>
      </c>
      <c r="O5" s="33" t="s">
        <v>1038</v>
      </c>
      <c r="P5" s="33" t="s">
        <v>1039</v>
      </c>
      <c r="Q5" s="33" t="s">
        <v>1040</v>
      </c>
      <c r="R5" s="33" t="s">
        <v>1041</v>
      </c>
      <c r="S5" s="33" t="s">
        <v>1042</v>
      </c>
      <c r="T5" s="33" t="s">
        <v>1043</v>
      </c>
      <c r="U5" s="33" t="s">
        <v>1044</v>
      </c>
      <c r="V5" s="33" t="s">
        <v>1045</v>
      </c>
      <c r="W5" s="33" t="s">
        <v>1046</v>
      </c>
      <c r="X5" s="33" t="s">
        <v>1047</v>
      </c>
      <c r="Y5" s="33" t="s">
        <v>1048</v>
      </c>
      <c r="Z5" s="33" t="s">
        <v>1049</v>
      </c>
      <c r="AA5" s="33" t="s">
        <v>1050</v>
      </c>
      <c r="AB5" s="33" t="s">
        <v>1051</v>
      </c>
      <c r="AC5" s="33" t="s">
        <v>1052</v>
      </c>
      <c r="AD5" s="33" t="s">
        <v>1053</v>
      </c>
      <c r="AE5" s="33" t="s">
        <v>1054</v>
      </c>
      <c r="AF5" s="33" t="s">
        <v>1055</v>
      </c>
      <c r="AG5" s="33" t="s">
        <v>1152</v>
      </c>
      <c r="AH5" s="33" t="s">
        <v>1153</v>
      </c>
      <c r="AJ5" s="33" t="s">
        <v>1056</v>
      </c>
      <c r="AK5" s="33" t="s">
        <v>1057</v>
      </c>
      <c r="AL5" s="33" t="s">
        <v>1058</v>
      </c>
      <c r="AM5" s="33" t="s">
        <v>1059</v>
      </c>
      <c r="AN5" s="33" t="s">
        <v>1060</v>
      </c>
      <c r="AO5" s="33" t="s">
        <v>1061</v>
      </c>
      <c r="AP5" s="33" t="s">
        <v>1062</v>
      </c>
      <c r="AQ5" s="33" t="s">
        <v>1063</v>
      </c>
      <c r="AR5" s="33" t="s">
        <v>1064</v>
      </c>
      <c r="AS5" s="33" t="s">
        <v>1065</v>
      </c>
      <c r="AT5" s="33" t="s">
        <v>1066</v>
      </c>
      <c r="AU5" s="33" t="s">
        <v>1067</v>
      </c>
      <c r="AV5" s="33" t="s">
        <v>1068</v>
      </c>
      <c r="AW5" s="33" t="s">
        <v>1069</v>
      </c>
      <c r="AX5" s="33" t="s">
        <v>1070</v>
      </c>
      <c r="AY5" s="33" t="s">
        <v>1071</v>
      </c>
      <c r="AZ5" s="33" t="s">
        <v>1072</v>
      </c>
      <c r="BA5" s="33" t="s">
        <v>1073</v>
      </c>
      <c r="BB5" s="33" t="s">
        <v>1154</v>
      </c>
      <c r="BC5" s="33" t="s">
        <v>1155</v>
      </c>
    </row>
    <row r="6" spans="2:55">
      <c r="B6" s="33" t="s">
        <v>1087</v>
      </c>
      <c r="C6" s="33" t="s">
        <v>1074</v>
      </c>
      <c r="D6" s="33">
        <v>143505</v>
      </c>
      <c r="E6" s="33" t="s">
        <v>1000</v>
      </c>
      <c r="F6" s="33" t="s">
        <v>1001</v>
      </c>
      <c r="G6" s="33" t="s">
        <v>1002</v>
      </c>
      <c r="H6" s="33">
        <v>50000</v>
      </c>
      <c r="I6" s="33">
        <v>3</v>
      </c>
      <c r="J6" s="33" t="str">
        <f>IF(Tabla15[[#This Row],[STOCK ACTUAL]]=0,  "Agotado",  IF(Tabla15[[#This Row],[STOCK ACTUAL]]&lt;=Tabla15[[#This Row],[STOCK MÍNIMO]],  "Menor o igual al mínimo", "Ok" ))</f>
        <v>Ok</v>
      </c>
      <c r="K6" s="51">
        <f>IF(Tabla15[[#This Row],[STOCK ACTUAL]]=0,   0,  IF(Tabla15[[#This Row],[STOCK ACTUAL]]&lt;=Tabla15[[#This Row],[STOCK MÍNIMO]],   1, 2  ))</f>
        <v>2</v>
      </c>
      <c r="L6" s="33">
        <f>SUMIFS(Tabla9[MOVIMIENTO EN (UND)],Tabla9[CÓDIGO],Tabla15[[#This Row],[CÓDIGO]])</f>
        <v>16</v>
      </c>
      <c r="M6" s="135">
        <f>IFERROR(Tabla15[[#This Row],[TOTAL ACTUAL]]/Tabla15[[#This Row],[STOCK ACTUAL]],0)</f>
        <v>26562.5</v>
      </c>
      <c r="N6" s="135">
        <f>SUMIFS( Tabla9[MOVIMIENTO EN (VR)],Tabla9[CÓDIGO],Tabla15[[#This Row],[CÓDIGO]])</f>
        <v>425000</v>
      </c>
      <c r="O6" s="33" t="b">
        <f>+ISNUMBER((SEARCH('F-VTA'!$E$28,Tabla15[[#This Row],[PRODUCTO]],1)))</f>
        <v>1</v>
      </c>
      <c r="P6" s="33" t="b">
        <f>ISNUMBER((SEARCH('F-VTA'!$E$29,Tabla15[[#This Row],[PRODUCTO]],1)))</f>
        <v>1</v>
      </c>
      <c r="Q6" s="33" t="b">
        <f>ISNUMBER((SEARCH('F-VTA'!$E$30,Tabla15[[#This Row],[PRODUCTO]],1)))</f>
        <v>1</v>
      </c>
      <c r="R6" s="33" t="b">
        <f>ISNUMBER((SEARCH('F-VTA'!$E$31,Tabla15[[#This Row],[PRODUCTO]],1)))</f>
        <v>1</v>
      </c>
      <c r="S6" s="33" t="b">
        <f>ISNUMBER((SEARCH('F-VTA'!$E$32,Tabla15[[#This Row],[PRODUCTO]],1)))</f>
        <v>1</v>
      </c>
      <c r="T6" s="33" t="b">
        <f>ISNUMBER((SEARCH('F-VTA'!$E$33,Tabla15[[#This Row],[PRODUCTO]],1)))</f>
        <v>1</v>
      </c>
      <c r="U6" s="33" t="b">
        <f>ISNUMBER((SEARCH('F-VTA'!$E$34,Tabla15[[#This Row],[PRODUCTO]],1)))</f>
        <v>1</v>
      </c>
      <c r="V6" s="33" t="b">
        <f>ISNUMBER((SEARCH('F-VTA'!$E$35,Tabla15[[#This Row],[PRODUCTO]],1)))</f>
        <v>1</v>
      </c>
      <c r="W6" s="33" t="b">
        <f>ISNUMBER((SEARCH('F-VTA'!$E$36,Tabla15[[#This Row],[PRODUCTO]],1)))</f>
        <v>1</v>
      </c>
      <c r="X6" s="33" t="b">
        <f>ISNUMBER((SEARCH(#REF!,Tabla15[[#This Row],[PRODUCTO]],1)))</f>
        <v>0</v>
      </c>
      <c r="Y6" s="33" t="b">
        <f>ISNUMBER((SEARCH('F-COMPRA'!$E$28,Tabla15[[#This Row],[PRODUCTO]],1)))</f>
        <v>1</v>
      </c>
      <c r="Z6" s="33" t="b">
        <f>ISNUMBER((SEARCH('F-COMPRA'!$E$29,Tabla15[[#This Row],[PRODUCTO]],1)))</f>
        <v>1</v>
      </c>
      <c r="AA6" s="33" t="b">
        <f>ISNUMBER((SEARCH('F-COMPRA'!$E$30,Tabla15[[#This Row],[PRODUCTO]],1)))</f>
        <v>1</v>
      </c>
      <c r="AB6" s="33" t="b">
        <f>ISNUMBER((SEARCH('F-COMPRA'!$E$31,Tabla15[[#This Row],[PRODUCTO]],1)))</f>
        <v>1</v>
      </c>
      <c r="AC6" s="33" t="b">
        <f>ISNUMBER((SEARCH('F-COMPRA'!$E$32,Tabla15[[#This Row],[PRODUCTO]],1)))</f>
        <v>1</v>
      </c>
      <c r="AD6" s="33" t="b">
        <f>ISNUMBER((SEARCH('F-COMPRA'!$E$33,Tabla15[[#This Row],[PRODUCTO]],1)))</f>
        <v>1</v>
      </c>
      <c r="AE6" s="33" t="b">
        <f>ISNUMBER((SEARCH('F-COMPRA'!$E$34,Tabla15[[#This Row],[PRODUCTO]],1)))</f>
        <v>1</v>
      </c>
      <c r="AF6" s="33" t="b">
        <f>ISNUMBER((SEARCH('F-COMPRA'!$E$35,Tabla15[[#This Row],[PRODUCTO]],1)))</f>
        <v>1</v>
      </c>
      <c r="AG6" s="33" t="b">
        <f>ISNUMBER((SEARCH('F-COMPRA'!$E$36,Tabla15[[#This Row],[PRODUCTO]],1)))</f>
        <v>1</v>
      </c>
      <c r="AH6" s="33" t="b">
        <f>ISNUMBER((SEARCH('F-COMPRA'!$E$37,Tabla15[[#This Row],[PRODUCTO]],1)))</f>
        <v>1</v>
      </c>
      <c r="AJ6" s="33" t="str" cm="1">
        <f t="array" ref="AJ6:AJ7">_xlfn._xlws.FILTER(Tabla15[CÓDIGO],Tabla15[AUX1])&amp;"-"&amp;_xlfn._xlws.FILTER(Tabla15[PRODUCTO],Tabla15[AUX1])</f>
        <v>E622552-camisas</v>
      </c>
      <c r="AK6" s="33" t="str" cm="1">
        <f t="array" ref="AK6:AK7">_xlfn._xlws.FILTER(Tabla15[CÓDIGO],Tabla15[AUX2])&amp;"-"&amp;_xlfn._xlws.FILTER(Tabla15[PRODUCTO],Tabla15[AUX2])</f>
        <v>E622552-camisas</v>
      </c>
      <c r="AL6" s="33" t="str" cm="1">
        <f t="array" ref="AL6:AL7">_xlfn._xlws.FILTER(Tabla15[CÓDIGO],Tabla15[AUX3])&amp;"-"&amp;_xlfn._xlws.FILTER(Tabla15[PRODUCTO],Tabla15[AUX3])</f>
        <v>E622552-camisas</v>
      </c>
      <c r="AM6" s="33" t="str" cm="1">
        <f t="array" ref="AM6:AM7">_xlfn._xlws.FILTER(Tabla15[CÓDIGO],Tabla15[AUX4])&amp;"-"&amp;_xlfn._xlws.FILTER(Tabla15[PRODUCTO],Tabla15[AUX4])</f>
        <v>E622552-camisas</v>
      </c>
      <c r="AN6" s="33" t="str" cm="1">
        <f t="array" ref="AN6:AN7">_xlfn._xlws.FILTER(Tabla15[CÓDIGO],Tabla15[AUX5])&amp;"-"&amp;_xlfn._xlws.FILTER(Tabla15[PRODUCTO],Tabla15[AUX5])</f>
        <v>E622552-camisas</v>
      </c>
      <c r="AO6" s="33" t="str" cm="1">
        <f t="array" ref="AO6:AO7">_xlfn._xlws.FILTER(Tabla15[CÓDIGO],Tabla15[AUX6])&amp;"-"&amp;_xlfn._xlws.FILTER(Tabla15[PRODUCTO],Tabla15[AUX6])</f>
        <v>E622552-camisas</v>
      </c>
      <c r="AP6" s="33" t="str" cm="1">
        <f t="array" ref="AP6:AP7">_xlfn._xlws.FILTER(Tabla15[CÓDIGO],Tabla15[AUX7])&amp;"-"&amp;_xlfn._xlws.FILTER(Tabla15[PRODUCTO],Tabla15[AUX7])</f>
        <v>E622552-camisas</v>
      </c>
      <c r="AQ6" s="33" t="str" cm="1">
        <f t="array" ref="AQ6:AQ7">_xlfn._xlws.FILTER(Tabla15[CÓDIGO],Tabla15[AUX8])&amp;"-"&amp;_xlfn._xlws.FILTER(Tabla15[PRODUCTO],Tabla15[AUX8])</f>
        <v>E622552-camisas</v>
      </c>
      <c r="AR6" s="33" t="str" cm="1">
        <f t="array" ref="AR6:AR7">_xlfn._xlws.FILTER(Tabla15[CÓDIGO],Tabla15[AUX9])&amp;"-"&amp;_xlfn._xlws.FILTER(Tabla15[PRODUCTO],Tabla15[AUX9])</f>
        <v>E622552-camisas</v>
      </c>
      <c r="AS6" s="33" t="e" cm="1" vm="2">
        <f t="array" ref="AS6">_xlfn._xlws.FILTER(Tabla15[CÓDIGO],Tabla15[AUX10])&amp;"-"&amp;_xlfn._xlws.FILTER(Tabla15[PRODUCTO],Tabla15[AUX10])</f>
        <v>#VALUE!</v>
      </c>
      <c r="AT6" s="33" t="str" cm="1">
        <f t="array" ref="AT6:AT7">_xlfn._xlws.FILTER(Tabla15[CÓDIGO],Tabla15[AUX11])&amp;"-"&amp;_xlfn._xlws.FILTER(Tabla15[PRODUCTO],Tabla15[AUX11])</f>
        <v>E622552-camisas</v>
      </c>
      <c r="AU6" s="33" t="str" cm="1">
        <f t="array" ref="AU6:AU7">_xlfn._xlws.FILTER(Tabla15[CÓDIGO],Tabla15[AUX12])&amp;"-"&amp;_xlfn._xlws.FILTER(Tabla15[PRODUCTO],Tabla15[AUX12])</f>
        <v>E622552-camisas</v>
      </c>
      <c r="AV6" s="33" t="str" cm="1">
        <f t="array" ref="AV6:AV7">_xlfn._xlws.FILTER(Tabla15[CÓDIGO],Tabla15[AUX13])&amp;"-"&amp;_xlfn._xlws.FILTER(Tabla15[PRODUCTO],Tabla15[AUX13])</f>
        <v>E622552-camisas</v>
      </c>
      <c r="AW6" s="33" t="str" cm="1">
        <f t="array" ref="AW6:AW7">_xlfn._xlws.FILTER(Tabla15[CÓDIGO],Tabla15[AUX14])&amp;"-"&amp;_xlfn._xlws.FILTER(Tabla15[PRODUCTO],Tabla15[AUX14])</f>
        <v>E622552-camisas</v>
      </c>
      <c r="AX6" s="33" t="str" cm="1">
        <f t="array" ref="AX6:AX7">_xlfn._xlws.FILTER(Tabla15[CÓDIGO],Tabla15[AUX15])&amp;"-"&amp;_xlfn._xlws.FILTER(Tabla15[PRODUCTO],Tabla15[AUX15])</f>
        <v>E622552-camisas</v>
      </c>
      <c r="AY6" s="33" t="str" cm="1">
        <f t="array" ref="AY6:AY7">_xlfn._xlws.FILTER(Tabla15[CÓDIGO],Tabla15[AUX16])&amp;"-"&amp;_xlfn._xlws.FILTER(Tabla15[PRODUCTO],Tabla15[AUX16])</f>
        <v>E622552-camisas</v>
      </c>
      <c r="AZ6" s="33" t="str" cm="1">
        <f t="array" ref="AZ6:AZ7">_xlfn._xlws.FILTER(Tabla15[CÓDIGO],Tabla15[AUX17])&amp;"-"&amp;_xlfn._xlws.FILTER(Tabla15[PRODUCTO],Tabla15[AUX17])</f>
        <v>E622552-camisas</v>
      </c>
      <c r="BA6" s="33" t="str" cm="1">
        <f t="array" ref="BA6:BA7">_xlfn._xlws.FILTER(Tabla15[CÓDIGO],Tabla15[AUX18])&amp;"-"&amp;_xlfn._xlws.FILTER(Tabla15[PRODUCTO],Tabla15[AUX18])</f>
        <v>E622552-camisas</v>
      </c>
      <c r="BB6" s="33" t="str" cm="1">
        <f t="array" ref="BB6:BB7">_xlfn._xlws.FILTER(Tabla15[CÓDIGO],Tabla15[AUX19])&amp;"-"&amp;_xlfn._xlws.FILTER(Tabla15[PRODUCTO],Tabla15[AUX19])</f>
        <v>E622552-camisas</v>
      </c>
      <c r="BC6" s="33" t="str" cm="1">
        <f t="array" ref="BC6:BC7">_xlfn._xlws.FILTER(Tabla15[CÓDIGO],Tabla15[AUX20])&amp;"-"&amp;_xlfn._xlws.FILTER(Tabla15[PRODUCTO],Tabla15[AUX20])</f>
        <v>E622552-camisas</v>
      </c>
    </row>
    <row r="7" spans="2:55">
      <c r="B7" s="33" t="s">
        <v>1088</v>
      </c>
      <c r="C7" s="33" t="s">
        <v>999</v>
      </c>
      <c r="D7" s="33">
        <v>143505</v>
      </c>
      <c r="E7" s="33" t="s">
        <v>1000</v>
      </c>
      <c r="F7" s="33" t="s">
        <v>1001</v>
      </c>
      <c r="G7" s="33" t="s">
        <v>1002</v>
      </c>
      <c r="H7" s="33">
        <v>100000</v>
      </c>
      <c r="I7" s="33">
        <v>5</v>
      </c>
      <c r="J7" s="33" t="str">
        <f>IF(Tabla15[[#This Row],[STOCK ACTUAL]]=0,  "Agotado",  IF(Tabla15[[#This Row],[STOCK ACTUAL]]&lt;=Tabla15[[#This Row],[STOCK MÍNIMO]],  "Menor o igual al mínimo", "Ok" ))</f>
        <v>Ok</v>
      </c>
      <c r="K7" s="152">
        <f>IF(Tabla15[[#This Row],[STOCK ACTUAL]]=0,   0,  IF(Tabla15[[#This Row],[STOCK ACTUAL]]&lt;=Tabla15[[#This Row],[STOCK MÍNIMO]],   1, 2  ))</f>
        <v>2</v>
      </c>
      <c r="L7" s="33">
        <f>SUMIFS(Tabla9[MOVIMIENTO EN (UND)],Tabla9[CÓDIGO],Tabla15[[#This Row],[CÓDIGO]])</f>
        <v>24</v>
      </c>
      <c r="M7" s="135">
        <f>IFERROR(Tabla15[[#This Row],[TOTAL ACTUAL]]/Tabla15[[#This Row],[STOCK ACTUAL]],0)</f>
        <v>26538.461538461543</v>
      </c>
      <c r="N7" s="135">
        <f>SUMIFS( Tabla9[MOVIMIENTO EN (VR)],Tabla9[CÓDIGO],Tabla15[[#This Row],[CÓDIGO]])</f>
        <v>636923.07692307699</v>
      </c>
      <c r="O7" s="33" t="b">
        <f>+ISNUMBER((SEARCH('F-VTA'!$E$28,Tabla15[[#This Row],[PRODUCTO]],1)))</f>
        <v>1</v>
      </c>
      <c r="P7" s="33" t="b">
        <f>ISNUMBER((SEARCH('F-VTA'!$E$29,Tabla15[[#This Row],[PRODUCTO]],1)))</f>
        <v>1</v>
      </c>
      <c r="Q7" s="33" t="b">
        <f>ISNUMBER((SEARCH('F-VTA'!$E$30,Tabla15[[#This Row],[PRODUCTO]],1)))</f>
        <v>1</v>
      </c>
      <c r="R7" s="33" t="b">
        <f>ISNUMBER((SEARCH('F-VTA'!$E$31,Tabla15[[#This Row],[PRODUCTO]],1)))</f>
        <v>1</v>
      </c>
      <c r="S7" s="33" t="b">
        <f>ISNUMBER((SEARCH('F-VTA'!$E$32,Tabla15[[#This Row],[PRODUCTO]],1)))</f>
        <v>1</v>
      </c>
      <c r="T7" s="33" t="b">
        <f>ISNUMBER((SEARCH('F-VTA'!$E$33,Tabla15[[#This Row],[PRODUCTO]],1)))</f>
        <v>1</v>
      </c>
      <c r="U7" s="33" t="b">
        <f>ISNUMBER((SEARCH('F-VTA'!$E$34,Tabla15[[#This Row],[PRODUCTO]],1)))</f>
        <v>1</v>
      </c>
      <c r="V7" s="33" t="b">
        <f>ISNUMBER((SEARCH('F-VTA'!$E$35,Tabla15[[#This Row],[PRODUCTO]],1)))</f>
        <v>1</v>
      </c>
      <c r="W7" s="33" t="b">
        <f>ISNUMBER((SEARCH('F-VTA'!$E$36,Tabla15[[#This Row],[PRODUCTO]],1)))</f>
        <v>1</v>
      </c>
      <c r="X7" s="33" t="b">
        <f>ISNUMBER((SEARCH(#REF!,Tabla15[[#This Row],[PRODUCTO]],1)))</f>
        <v>0</v>
      </c>
      <c r="Y7" s="33" t="b">
        <f>ISNUMBER((SEARCH('F-COMPRA'!$E$28,Tabla15[[#This Row],[PRODUCTO]],1)))</f>
        <v>1</v>
      </c>
      <c r="Z7" s="33" t="b">
        <f>ISNUMBER((SEARCH('F-COMPRA'!$E$29,Tabla15[[#This Row],[PRODUCTO]],1)))</f>
        <v>1</v>
      </c>
      <c r="AA7" s="33" t="b">
        <f>ISNUMBER((SEARCH('F-COMPRA'!$E$30,Tabla15[[#This Row],[PRODUCTO]],1)))</f>
        <v>1</v>
      </c>
      <c r="AB7" s="33" t="b">
        <f>ISNUMBER((SEARCH('F-COMPRA'!$E$31,Tabla15[[#This Row],[PRODUCTO]],1)))</f>
        <v>1</v>
      </c>
      <c r="AC7" s="33" t="b">
        <f>ISNUMBER((SEARCH('F-COMPRA'!$E$32,Tabla15[[#This Row],[PRODUCTO]],1)))</f>
        <v>1</v>
      </c>
      <c r="AD7" s="33" t="b">
        <f>ISNUMBER((SEARCH('F-COMPRA'!$E$33,Tabla15[[#This Row],[PRODUCTO]],1)))</f>
        <v>1</v>
      </c>
      <c r="AE7" s="33" t="b">
        <f>ISNUMBER((SEARCH('F-COMPRA'!$E$34,Tabla15[[#This Row],[PRODUCTO]],1)))</f>
        <v>1</v>
      </c>
      <c r="AF7" s="33" t="b">
        <f>ISNUMBER((SEARCH('F-COMPRA'!$E$35,Tabla15[[#This Row],[PRODUCTO]],1)))</f>
        <v>1</v>
      </c>
      <c r="AG7" s="33" t="b">
        <f>ISNUMBER((SEARCH('F-COMPRA'!$E$36,Tabla15[[#This Row],[PRODUCTO]],1)))</f>
        <v>1</v>
      </c>
      <c r="AH7" s="33" t="b">
        <f>ISNUMBER((SEARCH('F-COMPRA'!$E$37,Tabla15[[#This Row],[PRODUCTO]],1)))</f>
        <v>1</v>
      </c>
      <c r="AJ7" s="33" t="str">
        <v>C12345-Zapatos</v>
      </c>
      <c r="AK7" s="33" t="str">
        <v>C12345-Zapatos</v>
      </c>
      <c r="AL7" s="33" t="str">
        <v>C12345-Zapatos</v>
      </c>
      <c r="AM7" s="33" t="str">
        <v>C12345-Zapatos</v>
      </c>
      <c r="AN7" s="33" t="str">
        <v>C12345-Zapatos</v>
      </c>
      <c r="AO7" s="33" t="str">
        <v>C12345-Zapatos</v>
      </c>
      <c r="AP7" s="33" t="str">
        <v>C12345-Zapatos</v>
      </c>
      <c r="AQ7" s="33" t="str">
        <v>C12345-Zapatos</v>
      </c>
      <c r="AR7" s="33" t="str">
        <v>C12345-Zapatos</v>
      </c>
      <c r="AT7" s="33" t="str">
        <v>C12345-Zapatos</v>
      </c>
      <c r="AU7" s="33" t="str">
        <v>C12345-Zapatos</v>
      </c>
      <c r="AV7" s="33" t="str">
        <v>C12345-Zapatos</v>
      </c>
      <c r="AW7" s="33" t="str">
        <v>C12345-Zapatos</v>
      </c>
      <c r="AX7" s="33" t="str">
        <v>C12345-Zapatos</v>
      </c>
      <c r="AY7" s="33" t="str">
        <v>C12345-Zapatos</v>
      </c>
      <c r="AZ7" s="33" t="str">
        <v>C12345-Zapatos</v>
      </c>
      <c r="BA7" s="33" t="str">
        <v>C12345-Zapatos</v>
      </c>
      <c r="BB7" s="33" t="str">
        <v>C12345-Zapatos</v>
      </c>
      <c r="BC7" s="33" t="str">
        <v>C12345-Zapatos</v>
      </c>
    </row>
    <row r="8" spans="2:55">
      <c r="I8" s="33">
        <v>0</v>
      </c>
      <c r="J8" s="33" t="str">
        <f>IF(Tabla15[[#This Row],[STOCK ACTUAL]]=0,  "Agotado",  IF(Tabla15[[#This Row],[STOCK ACTUAL]]&lt;=Tabla15[[#This Row],[STOCK MÍNIMO]],  "Menor o igual al mínimo", "Ok" ))</f>
        <v>Agotado</v>
      </c>
      <c r="K8" s="152">
        <f>IF(Tabla15[[#This Row],[STOCK ACTUAL]]=0,   0,  IF(Tabla15[[#This Row],[STOCK ACTUAL]]&lt;=Tabla15[[#This Row],[STOCK MÍNIMO]],   1, 2  ))</f>
        <v>0</v>
      </c>
      <c r="L8" s="33">
        <f>SUMIFS(Tabla9[MOVIMIENTO EN (UND)],Tabla9[CÓDIGO],Tabla15[[#This Row],[CÓDIGO]])</f>
        <v>0</v>
      </c>
      <c r="M8" s="135">
        <f>IFERROR(Tabla15[[#This Row],[TOTAL ACTUAL]]/Tabla15[[#This Row],[STOCK ACTUAL]],0)</f>
        <v>0</v>
      </c>
      <c r="N8" s="135">
        <f>SUMIFS( Tabla9[MOVIMIENTO EN (VR)],Tabla9[CÓDIGO],Tabla15[[#This Row],[CÓDIGO]])</f>
        <v>0</v>
      </c>
      <c r="O8" s="33" t="b">
        <f>+ISNUMBER((SEARCH('F-VTA'!$E$28,Tabla15[[#This Row],[PRODUCTO]],1)))</f>
        <v>0</v>
      </c>
      <c r="P8" s="33" t="b">
        <f>ISNUMBER((SEARCH('F-VTA'!$E$29,Tabla15[[#This Row],[PRODUCTO]],1)))</f>
        <v>0</v>
      </c>
      <c r="Q8" s="33" t="b">
        <f>ISNUMBER((SEARCH('F-VTA'!$E$30,Tabla15[[#This Row],[PRODUCTO]],1)))</f>
        <v>0</v>
      </c>
      <c r="R8" s="33" t="b">
        <f>ISNUMBER((SEARCH('F-VTA'!$E$31,Tabla15[[#This Row],[PRODUCTO]],1)))</f>
        <v>0</v>
      </c>
      <c r="S8" s="33" t="b">
        <f>ISNUMBER((SEARCH('F-VTA'!$E$32,Tabla15[[#This Row],[PRODUCTO]],1)))</f>
        <v>0</v>
      </c>
      <c r="T8" s="33" t="b">
        <f>ISNUMBER((SEARCH('F-VTA'!$E$33,Tabla15[[#This Row],[PRODUCTO]],1)))</f>
        <v>0</v>
      </c>
      <c r="U8" s="33" t="b">
        <f>ISNUMBER((SEARCH('F-VTA'!$E$34,Tabla15[[#This Row],[PRODUCTO]],1)))</f>
        <v>0</v>
      </c>
      <c r="V8" s="33" t="b">
        <f>ISNUMBER((SEARCH('F-VTA'!$E$35,Tabla15[[#This Row],[PRODUCTO]],1)))</f>
        <v>0</v>
      </c>
      <c r="W8" s="33" t="b">
        <f>ISNUMBER((SEARCH('F-VTA'!$E$36,Tabla15[[#This Row],[PRODUCTO]],1)))</f>
        <v>0</v>
      </c>
      <c r="X8" s="33" t="b">
        <f>ISNUMBER((SEARCH(#REF!,Tabla15[[#This Row],[PRODUCTO]],1)))</f>
        <v>0</v>
      </c>
      <c r="Y8" s="33" t="b">
        <f>ISNUMBER((SEARCH('F-COMPRA'!$E$28,Tabla15[[#This Row],[PRODUCTO]],1)))</f>
        <v>0</v>
      </c>
      <c r="Z8" s="33" t="b">
        <f>ISNUMBER((SEARCH('F-COMPRA'!$E$29,Tabla15[[#This Row],[PRODUCTO]],1)))</f>
        <v>0</v>
      </c>
      <c r="AA8" s="33" t="b">
        <f>ISNUMBER((SEARCH('F-COMPRA'!$E$30,Tabla15[[#This Row],[PRODUCTO]],1)))</f>
        <v>0</v>
      </c>
      <c r="AB8" s="33" t="b">
        <f>ISNUMBER((SEARCH('F-COMPRA'!$E$31,Tabla15[[#This Row],[PRODUCTO]],1)))</f>
        <v>0</v>
      </c>
      <c r="AC8" s="33" t="b">
        <f>ISNUMBER((SEARCH('F-COMPRA'!$E$32,Tabla15[[#This Row],[PRODUCTO]],1)))</f>
        <v>0</v>
      </c>
      <c r="AD8" s="33" t="b">
        <f>ISNUMBER((SEARCH('F-COMPRA'!$E$33,Tabla15[[#This Row],[PRODUCTO]],1)))</f>
        <v>0</v>
      </c>
      <c r="AE8" s="33" t="b">
        <f>ISNUMBER((SEARCH('F-COMPRA'!$E$34,Tabla15[[#This Row],[PRODUCTO]],1)))</f>
        <v>0</v>
      </c>
      <c r="AF8" s="33" t="b">
        <f>ISNUMBER((SEARCH('F-COMPRA'!$E$35,Tabla15[[#This Row],[PRODUCTO]],1)))</f>
        <v>0</v>
      </c>
      <c r="AG8" s="33" t="b">
        <f>ISNUMBER((SEARCH('F-COMPRA'!$E$36,Tabla15[[#This Row],[PRODUCTO]],1)))</f>
        <v>0</v>
      </c>
      <c r="AH8" s="33" t="b">
        <f>ISNUMBER((SEARCH('F-COMPRA'!$E$37,Tabla15[[#This Row],[PRODUCTO]],1)))</f>
        <v>0</v>
      </c>
    </row>
    <row r="9" spans="2:55">
      <c r="I9" s="33">
        <v>0</v>
      </c>
      <c r="J9" s="33" t="str">
        <f>IF(Tabla15[[#This Row],[STOCK ACTUAL]]=0,  "Agotado",  IF(Tabla15[[#This Row],[STOCK ACTUAL]]&lt;=Tabla15[[#This Row],[STOCK MÍNIMO]],  "Menor o igual al mínimo", "Ok" ))</f>
        <v>Agotado</v>
      </c>
      <c r="K9" s="152">
        <f>IF(Tabla15[[#This Row],[STOCK ACTUAL]]=0,   0,  IF(Tabla15[[#This Row],[STOCK ACTUAL]]&lt;=Tabla15[[#This Row],[STOCK MÍNIMO]],   1, 2  ))</f>
        <v>0</v>
      </c>
      <c r="L9" s="33">
        <f>SUMIFS(Tabla9[MOVIMIENTO EN (UND)],Tabla9[CÓDIGO],Tabla15[[#This Row],[CÓDIGO]])</f>
        <v>0</v>
      </c>
      <c r="M9" s="135">
        <f>IFERROR(Tabla15[[#This Row],[TOTAL ACTUAL]]/Tabla15[[#This Row],[STOCK ACTUAL]],0)</f>
        <v>0</v>
      </c>
      <c r="N9" s="135">
        <f>SUMIFS( Tabla9[MOVIMIENTO EN (VR)],Tabla9[CÓDIGO],Tabla15[[#This Row],[CÓDIGO]])</f>
        <v>0</v>
      </c>
      <c r="O9" s="33" t="b">
        <f>+ISNUMBER((SEARCH('F-VTA'!$E$28,Tabla15[[#This Row],[PRODUCTO]],1)))</f>
        <v>0</v>
      </c>
      <c r="P9" s="33" t="b">
        <f>ISNUMBER((SEARCH('F-VTA'!$E$29,Tabla15[[#This Row],[PRODUCTO]],1)))</f>
        <v>0</v>
      </c>
      <c r="Q9" s="33" t="b">
        <f>ISNUMBER((SEARCH('F-VTA'!$E$30,Tabla15[[#This Row],[PRODUCTO]],1)))</f>
        <v>0</v>
      </c>
      <c r="R9" s="33" t="b">
        <f>ISNUMBER((SEARCH('F-VTA'!$E$31,Tabla15[[#This Row],[PRODUCTO]],1)))</f>
        <v>0</v>
      </c>
      <c r="S9" s="33" t="b">
        <f>ISNUMBER((SEARCH('F-VTA'!$E$32,Tabla15[[#This Row],[PRODUCTO]],1)))</f>
        <v>0</v>
      </c>
      <c r="T9" s="33" t="b">
        <f>ISNUMBER((SEARCH('F-VTA'!$E$33,Tabla15[[#This Row],[PRODUCTO]],1)))</f>
        <v>0</v>
      </c>
      <c r="U9" s="33" t="b">
        <f>ISNUMBER((SEARCH('F-VTA'!$E$34,Tabla15[[#This Row],[PRODUCTO]],1)))</f>
        <v>0</v>
      </c>
      <c r="V9" s="33" t="b">
        <f>ISNUMBER((SEARCH('F-VTA'!$E$35,Tabla15[[#This Row],[PRODUCTO]],1)))</f>
        <v>0</v>
      </c>
      <c r="W9" s="33" t="b">
        <f>ISNUMBER((SEARCH('F-VTA'!$E$36,Tabla15[[#This Row],[PRODUCTO]],1)))</f>
        <v>0</v>
      </c>
      <c r="X9" s="33" t="b">
        <f>ISNUMBER((SEARCH(#REF!,Tabla15[[#This Row],[PRODUCTO]],1)))</f>
        <v>0</v>
      </c>
      <c r="Y9" s="33" t="b">
        <f>ISNUMBER((SEARCH('F-COMPRA'!$E$28,Tabla15[[#This Row],[PRODUCTO]],1)))</f>
        <v>0</v>
      </c>
      <c r="Z9" s="33" t="b">
        <f>ISNUMBER((SEARCH('F-COMPRA'!$E$29,Tabla15[[#This Row],[PRODUCTO]],1)))</f>
        <v>0</v>
      </c>
      <c r="AA9" s="33" t="b">
        <f>ISNUMBER((SEARCH('F-COMPRA'!$E$30,Tabla15[[#This Row],[PRODUCTO]],1)))</f>
        <v>0</v>
      </c>
      <c r="AB9" s="33" t="b">
        <f>ISNUMBER((SEARCH('F-COMPRA'!$E$31,Tabla15[[#This Row],[PRODUCTO]],1)))</f>
        <v>0</v>
      </c>
      <c r="AC9" s="33" t="b">
        <f>ISNUMBER((SEARCH('F-COMPRA'!$E$32,Tabla15[[#This Row],[PRODUCTO]],1)))</f>
        <v>0</v>
      </c>
      <c r="AD9" s="33" t="b">
        <f>ISNUMBER((SEARCH('F-COMPRA'!$E$33,Tabla15[[#This Row],[PRODUCTO]],1)))</f>
        <v>0</v>
      </c>
      <c r="AE9" s="33" t="b">
        <f>ISNUMBER((SEARCH('F-COMPRA'!$E$34,Tabla15[[#This Row],[PRODUCTO]],1)))</f>
        <v>0</v>
      </c>
      <c r="AF9" s="33" t="b">
        <f>ISNUMBER((SEARCH('F-COMPRA'!$E$35,Tabla15[[#This Row],[PRODUCTO]],1)))</f>
        <v>0</v>
      </c>
      <c r="AG9" s="33" t="b">
        <f>ISNUMBER((SEARCH('F-COMPRA'!$E$36,Tabla15[[#This Row],[PRODUCTO]],1)))</f>
        <v>0</v>
      </c>
      <c r="AH9" s="33" t="b">
        <f>ISNUMBER((SEARCH('F-COMPRA'!$E$37,Tabla15[[#This Row],[PRODUCTO]],1)))</f>
        <v>0</v>
      </c>
    </row>
    <row r="10" spans="2:55">
      <c r="B10" s="33" t="s">
        <v>0</v>
      </c>
      <c r="K10" s="152"/>
      <c r="L10" s="33">
        <f>SUBTOTAL(109,Tabla15[STOCK ACTUAL])</f>
        <v>40</v>
      </c>
      <c r="N10" s="33">
        <f>SUBTOTAL(109,Tabla15[TOTAL ACTUAL])</f>
        <v>1061923.076923077</v>
      </c>
    </row>
  </sheetData>
  <mergeCells count="1">
    <mergeCell ref="B2:C2"/>
  </mergeCells>
  <phoneticPr fontId="7" type="noConversion"/>
  <conditionalFormatting sqref="B6:B9">
    <cfRule type="duplicateValues" dxfId="33" priority="3"/>
  </conditionalFormatting>
  <conditionalFormatting sqref="C6:C9">
    <cfRule type="duplicateValues" dxfId="32" priority="2"/>
  </conditionalFormatting>
  <pageMargins left="0.7" right="0.7" top="0.75" bottom="0.75" header="0.3" footer="0.3"/>
  <drawing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4" id="{89C399A3-E5F5-4933-B88F-72F55C0FFC75}">
            <x14:iconSet iconSet="3Symbols" showValue="0" custom="1">
              <x14:cfvo type="percent">
                <xm:f>0</xm:f>
              </x14:cfvo>
              <x14:cfvo type="num" gte="0">
                <xm:f>0</xm:f>
              </x14:cfvo>
              <x14:cfvo type="num">
                <xm:f>2</xm:f>
              </x14:cfvo>
              <x14:cfIcon iconSet="3Symbols" iconId="0"/>
              <x14:cfIcon iconSet="3Symbols" iconId="1"/>
              <x14:cfIcon iconSet="NoIcons" iconId="0"/>
            </x14:iconSet>
          </x14:cfRule>
          <xm:sqref>K6:K9</xm:sqref>
        </x14:conditionalFormatting>
      </x14:conditionalFormattings>
    </ex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9A6686-9017-43F2-878A-036A72169AB2}">
  <sheetPr codeName="Hoja25"/>
  <dimension ref="A1:W75"/>
  <sheetViews>
    <sheetView showGridLines="0" zoomScale="88" zoomScaleNormal="100" workbookViewId="0"/>
  </sheetViews>
  <sheetFormatPr baseColWidth="10" defaultColWidth="12" defaultRowHeight="0" customHeight="1" zeroHeight="1" outlineLevelCol="1"/>
  <cols>
    <col min="1" max="1" width="14.1640625" style="1" customWidth="1"/>
    <col min="2" max="2" width="13" style="1" customWidth="1"/>
    <col min="3" max="3" width="9.33203125" style="1" customWidth="1"/>
    <col min="4" max="4" width="39" style="1" customWidth="1"/>
    <col min="5" max="5" width="48.1640625" style="1" customWidth="1"/>
    <col min="6" max="6" width="20.33203125" style="1" customWidth="1"/>
    <col min="7" max="7" width="22.33203125" style="1" customWidth="1"/>
    <col min="8" max="8" width="20.5" style="1" customWidth="1"/>
    <col min="9" max="9" width="12.33203125" style="1" customWidth="1"/>
    <col min="10" max="10" width="23.33203125" style="1" customWidth="1"/>
    <col min="11" max="12" width="13.83203125" style="1" customWidth="1"/>
    <col min="13" max="13" width="16.6640625" style="1" customWidth="1"/>
    <col min="14" max="14" width="19.1640625" style="1" customWidth="1"/>
    <col min="15" max="15" width="12" style="1" customWidth="1"/>
    <col min="16" max="16" width="13.5" style="1" bestFit="1" customWidth="1"/>
    <col min="17" max="17" width="12" style="1" customWidth="1"/>
    <col min="18" max="23" width="12" style="1"/>
    <col min="24" max="16384" width="12" style="1" outlineLevel="1"/>
  </cols>
  <sheetData>
    <row r="1" spans="3:17" ht="14.25"/>
    <row r="2" spans="3:17" ht="39" customHeight="1">
      <c r="D2" s="249" t="s">
        <v>1138</v>
      </c>
      <c r="E2" s="250"/>
      <c r="F2" s="250"/>
      <c r="G2" s="253"/>
    </row>
    <row r="3" spans="3:17" ht="15" thickBot="1"/>
    <row r="4" spans="3:17" ht="21.75" customHeight="1">
      <c r="C4" s="107"/>
      <c r="D4" s="108"/>
      <c r="E4" s="109"/>
      <c r="F4" s="108"/>
      <c r="G4" s="108"/>
      <c r="H4" s="108"/>
      <c r="I4" s="110"/>
    </row>
    <row r="5" spans="3:17" ht="22.5" customHeight="1">
      <c r="C5" s="111"/>
      <c r="D5" s="254">
        <f>INICIO!I8</f>
        <v>0</v>
      </c>
      <c r="E5" s="254"/>
      <c r="F5" s="254"/>
      <c r="G5" s="254"/>
      <c r="H5" s="21"/>
      <c r="I5" s="112"/>
    </row>
    <row r="6" spans="3:17" ht="22.5" customHeight="1">
      <c r="C6" s="111"/>
      <c r="D6" s="254">
        <f>INICIO!I12</f>
        <v>0</v>
      </c>
      <c r="E6" s="254"/>
      <c r="F6" s="254"/>
      <c r="G6" s="254"/>
      <c r="H6" s="21"/>
      <c r="I6" s="112"/>
    </row>
    <row r="7" spans="3:17" ht="22.5" customHeight="1" thickBot="1">
      <c r="C7" s="111"/>
      <c r="E7" s="18"/>
      <c r="H7" s="21"/>
      <c r="I7" s="112"/>
    </row>
    <row r="8" spans="3:17" ht="35.25" customHeight="1" thickBot="1">
      <c r="C8" s="113"/>
      <c r="D8" s="106"/>
      <c r="E8" s="213"/>
      <c r="G8" s="16" t="s">
        <v>955</v>
      </c>
      <c r="H8" s="180" t="str">
        <f>IF(INICIO!B18="","Responsable no especificado",INICIO!B18)</f>
        <v>Responsable no especificado</v>
      </c>
      <c r="I8" s="112"/>
    </row>
    <row r="9" spans="3:17" ht="15" thickBot="1">
      <c r="C9" s="111"/>
      <c r="D9" s="41"/>
      <c r="H9" s="17"/>
      <c r="I9" s="112"/>
      <c r="M9" s="136" t="s">
        <v>1146</v>
      </c>
      <c r="N9" s="136" t="s">
        <v>1147</v>
      </c>
      <c r="O9" s="136" t="s">
        <v>770</v>
      </c>
      <c r="P9" s="136" t="s">
        <v>773</v>
      </c>
      <c r="Q9" s="136" t="s">
        <v>774</v>
      </c>
    </row>
    <row r="10" spans="3:17" ht="19.5" customHeight="1" thickBot="1">
      <c r="C10" s="111"/>
      <c r="D10" s="41"/>
      <c r="G10" s="1" t="s">
        <v>25</v>
      </c>
      <c r="H10" s="120"/>
      <c r="I10" s="112"/>
      <c r="M10" s="123">
        <f>_xlfn.XLOOKUP(D21,BDPROV[ID-Proveedor],BDPROV[ID-Proveedor],333333)</f>
        <v>0</v>
      </c>
      <c r="N10" s="123">
        <f>_xlfn.XLOOKUP(D21,BDclient[ID-Cliente],BDclient[ID-Cliente],333333)</f>
        <v>0</v>
      </c>
      <c r="O10" s="123">
        <f>F21</f>
        <v>0</v>
      </c>
      <c r="P10" s="124">
        <f>G21</f>
        <v>0</v>
      </c>
      <c r="Q10" s="137">
        <f>H21</f>
        <v>0</v>
      </c>
    </row>
    <row r="11" spans="3:17" ht="14.25">
      <c r="C11" s="111"/>
      <c r="D11" s="41"/>
      <c r="H11" s="17"/>
      <c r="I11" s="112"/>
      <c r="M11" s="123">
        <f>_xlfn.XLOOKUP(D22,BDPROV[ID-Proveedor],BDPROV[ID-Proveedor],333333)</f>
        <v>0</v>
      </c>
      <c r="N11" s="123">
        <f>_xlfn.XLOOKUP(D22,BDclient[ID-Cliente],BDclient[ID-Cliente],333333)</f>
        <v>0</v>
      </c>
      <c r="O11" s="123">
        <f t="shared" ref="O11:O19" si="0">F22</f>
        <v>0</v>
      </c>
      <c r="P11" s="124">
        <f t="shared" ref="P11:P19" si="1">G22</f>
        <v>0</v>
      </c>
      <c r="Q11" s="137">
        <f t="shared" ref="Q11:Q19" si="2">H22</f>
        <v>0</v>
      </c>
    </row>
    <row r="12" spans="3:17" ht="17.25" customHeight="1" thickBot="1">
      <c r="C12" s="111"/>
      <c r="I12" s="112"/>
      <c r="M12" s="123">
        <f>_xlfn.XLOOKUP(D23,BDPROV[ID-Proveedor],BDPROV[ID-Proveedor],333333)</f>
        <v>0</v>
      </c>
      <c r="N12" s="123">
        <f>_xlfn.XLOOKUP(D23,BDclient[ID-Cliente],BDclient[ID-Cliente],333333)</f>
        <v>0</v>
      </c>
      <c r="O12" s="123">
        <f t="shared" si="0"/>
        <v>0</v>
      </c>
      <c r="P12" s="124">
        <f t="shared" si="1"/>
        <v>0</v>
      </c>
      <c r="Q12" s="137">
        <f t="shared" si="2"/>
        <v>0</v>
      </c>
    </row>
    <row r="13" spans="3:17" ht="16.5" customHeight="1" thickBot="1">
      <c r="C13" s="111"/>
      <c r="G13" s="1" t="s">
        <v>1137</v>
      </c>
      <c r="H13" s="121"/>
      <c r="I13" s="112"/>
      <c r="M13" s="123">
        <f>_xlfn.XLOOKUP(D24,BDPROV[ID-Proveedor],BDPROV[ID-Proveedor],333333)</f>
        <v>0</v>
      </c>
      <c r="N13" s="123">
        <f>_xlfn.XLOOKUP(D24,BDclient[ID-Cliente],BDclient[ID-Cliente],333333)</f>
        <v>0</v>
      </c>
      <c r="O13" s="123">
        <f t="shared" si="0"/>
        <v>0</v>
      </c>
      <c r="P13" s="124">
        <f t="shared" si="1"/>
        <v>0</v>
      </c>
      <c r="Q13" s="137">
        <f t="shared" si="2"/>
        <v>0</v>
      </c>
    </row>
    <row r="14" spans="3:17" ht="18" customHeight="1" thickBot="1">
      <c r="C14" s="111"/>
      <c r="I14" s="112"/>
      <c r="M14" s="123">
        <f>_xlfn.XLOOKUP(D25,BDPROV[ID-Proveedor],BDPROV[ID-Proveedor],333333)</f>
        <v>0</v>
      </c>
      <c r="N14" s="123">
        <f>_xlfn.XLOOKUP(D25,BDclient[ID-Cliente],BDclient[ID-Cliente],333333)</f>
        <v>0</v>
      </c>
      <c r="O14" s="123">
        <f t="shared" si="0"/>
        <v>0</v>
      </c>
      <c r="P14" s="124">
        <f t="shared" si="1"/>
        <v>0</v>
      </c>
      <c r="Q14" s="137">
        <f t="shared" si="2"/>
        <v>0</v>
      </c>
    </row>
    <row r="15" spans="3:17" ht="15" thickBot="1">
      <c r="C15" s="111"/>
      <c r="G15" s="1" t="s">
        <v>833</v>
      </c>
      <c r="H15" s="132" t="s">
        <v>1113</v>
      </c>
      <c r="I15" s="112"/>
      <c r="M15" s="123">
        <f>_xlfn.XLOOKUP(D26,BDPROV[ID-Proveedor],BDPROV[ID-Proveedor],333333)</f>
        <v>0</v>
      </c>
      <c r="N15" s="123">
        <f>_xlfn.XLOOKUP(D26,BDclient[ID-Cliente],BDclient[ID-Cliente],333333)</f>
        <v>0</v>
      </c>
      <c r="O15" s="123">
        <f t="shared" si="0"/>
        <v>0</v>
      </c>
      <c r="P15" s="124">
        <f t="shared" si="1"/>
        <v>0</v>
      </c>
      <c r="Q15" s="137">
        <f t="shared" si="2"/>
        <v>0</v>
      </c>
    </row>
    <row r="16" spans="3:17" ht="14.25">
      <c r="C16" s="111"/>
      <c r="I16" s="112"/>
      <c r="M16" s="123">
        <f>_xlfn.XLOOKUP(D27,BDPROV[ID-Proveedor],BDPROV[ID-Proveedor],333333)</f>
        <v>0</v>
      </c>
      <c r="N16" s="123">
        <f>_xlfn.XLOOKUP(D27,BDclient[ID-Cliente],BDclient[ID-Cliente],333333)</f>
        <v>0</v>
      </c>
      <c r="O16" s="123">
        <f t="shared" si="0"/>
        <v>0</v>
      </c>
      <c r="P16" s="124">
        <f t="shared" si="1"/>
        <v>0</v>
      </c>
      <c r="Q16" s="137">
        <f t="shared" si="2"/>
        <v>0</v>
      </c>
    </row>
    <row r="17" spans="3:17" ht="14.25">
      <c r="C17" s="111"/>
      <c r="I17" s="112"/>
      <c r="J17" s="17"/>
      <c r="M17" s="123">
        <f>_xlfn.XLOOKUP(D28,BDPROV[ID-Proveedor],BDPROV[ID-Proveedor],333333)</f>
        <v>0</v>
      </c>
      <c r="N17" s="123">
        <f>_xlfn.XLOOKUP(D28,BDclient[ID-Cliente],BDclient[ID-Cliente],333333)</f>
        <v>0</v>
      </c>
      <c r="O17" s="123">
        <f t="shared" si="0"/>
        <v>0</v>
      </c>
      <c r="P17" s="124">
        <f t="shared" si="1"/>
        <v>0</v>
      </c>
      <c r="Q17" s="137">
        <f t="shared" si="2"/>
        <v>0</v>
      </c>
    </row>
    <row r="18" spans="3:17" ht="14.25">
      <c r="C18" s="111"/>
      <c r="I18" s="112"/>
      <c r="J18" s="17"/>
      <c r="M18" s="123">
        <f>_xlfn.XLOOKUP(D29,BDPROV[ID-Proveedor],BDPROV[ID-Proveedor],333333)</f>
        <v>0</v>
      </c>
      <c r="N18" s="123">
        <f>_xlfn.XLOOKUP(D29,BDclient[ID-Cliente],BDclient[ID-Cliente],333333)</f>
        <v>0</v>
      </c>
      <c r="O18" s="123">
        <f t="shared" si="0"/>
        <v>0</v>
      </c>
      <c r="P18" s="124">
        <f t="shared" si="1"/>
        <v>0</v>
      </c>
      <c r="Q18" s="137">
        <f t="shared" si="2"/>
        <v>0</v>
      </c>
    </row>
    <row r="19" spans="3:17" ht="14.25">
      <c r="C19" s="111"/>
      <c r="I19" s="112"/>
      <c r="J19" s="17"/>
      <c r="M19" s="123">
        <f>_xlfn.XLOOKUP(D30,BDPROV[ID-Proveedor],BDPROV[ID-Proveedor],333333)</f>
        <v>0</v>
      </c>
      <c r="N19" s="123">
        <f>_xlfn.XLOOKUP(D30,BDclient[ID-Cliente],BDclient[ID-Cliente],333333)</f>
        <v>0</v>
      </c>
      <c r="O19" s="123">
        <f t="shared" si="0"/>
        <v>0</v>
      </c>
      <c r="P19" s="124">
        <f t="shared" si="1"/>
        <v>0</v>
      </c>
      <c r="Q19" s="137">
        <f t="shared" si="2"/>
        <v>0</v>
      </c>
    </row>
    <row r="20" spans="3:17" ht="14.25">
      <c r="C20" s="111"/>
      <c r="D20" s="130" t="s">
        <v>1139</v>
      </c>
      <c r="E20" s="130" t="s">
        <v>771</v>
      </c>
      <c r="F20" s="130" t="s">
        <v>4</v>
      </c>
      <c r="G20" s="130" t="s">
        <v>1083</v>
      </c>
      <c r="H20" s="131" t="s">
        <v>1085</v>
      </c>
      <c r="I20" s="112"/>
      <c r="J20" s="17"/>
    </row>
    <row r="21" spans="3:17" ht="14.25">
      <c r="C21" s="111"/>
      <c r="D21" s="123"/>
      <c r="E21" s="123"/>
      <c r="F21" s="226"/>
      <c r="G21" s="124"/>
      <c r="H21" s="214"/>
      <c r="I21" s="112"/>
      <c r="J21" s="17"/>
    </row>
    <row r="22" spans="3:17" ht="14.25">
      <c r="C22" s="111"/>
      <c r="D22" s="123"/>
      <c r="E22" s="123"/>
      <c r="F22" s="226"/>
      <c r="G22" s="124"/>
      <c r="H22" s="214"/>
      <c r="I22" s="112"/>
      <c r="J22" s="17"/>
    </row>
    <row r="23" spans="3:17" ht="14.25">
      <c r="C23" s="111"/>
      <c r="D23" s="123"/>
      <c r="E23" s="123"/>
      <c r="F23" s="226"/>
      <c r="G23" s="124"/>
      <c r="H23" s="214"/>
      <c r="I23" s="112"/>
    </row>
    <row r="24" spans="3:17" ht="14.25">
      <c r="C24" s="111"/>
      <c r="D24" s="123"/>
      <c r="E24" s="123"/>
      <c r="F24" s="226"/>
      <c r="G24" s="124"/>
      <c r="H24" s="214"/>
      <c r="I24" s="112"/>
    </row>
    <row r="25" spans="3:17" ht="14.25">
      <c r="C25" s="114"/>
      <c r="D25" s="123"/>
      <c r="E25" s="123"/>
      <c r="F25" s="226"/>
      <c r="G25" s="124"/>
      <c r="H25" s="214"/>
      <c r="I25" s="115"/>
    </row>
    <row r="26" spans="3:17" ht="14.25">
      <c r="C26" s="111"/>
      <c r="D26" s="123"/>
      <c r="E26" s="123"/>
      <c r="F26" s="226"/>
      <c r="G26" s="124"/>
      <c r="H26" s="214"/>
      <c r="I26" s="112"/>
    </row>
    <row r="27" spans="3:17" ht="14.25">
      <c r="C27" s="111"/>
      <c r="D27" s="123"/>
      <c r="E27" s="123"/>
      <c r="F27" s="226"/>
      <c r="G27" s="124"/>
      <c r="H27" s="214"/>
      <c r="I27" s="112"/>
    </row>
    <row r="28" spans="3:17" ht="14.25">
      <c r="C28" s="111"/>
      <c r="D28" s="123"/>
      <c r="E28" s="123"/>
      <c r="F28" s="226"/>
      <c r="G28" s="124"/>
      <c r="H28" s="214"/>
      <c r="I28" s="112"/>
    </row>
    <row r="29" spans="3:17" ht="14.25">
      <c r="C29" s="111"/>
      <c r="D29" s="123"/>
      <c r="E29" s="123"/>
      <c r="F29" s="226"/>
      <c r="G29" s="124"/>
      <c r="H29" s="214"/>
      <c r="I29" s="112"/>
    </row>
    <row r="30" spans="3:17" ht="14.25">
      <c r="C30" s="111"/>
      <c r="D30" s="123"/>
      <c r="E30" s="123"/>
      <c r="F30" s="226"/>
      <c r="G30" s="124"/>
      <c r="H30" s="214"/>
      <c r="I30" s="112"/>
    </row>
    <row r="31" spans="3:17" ht="14.25">
      <c r="C31" s="111"/>
      <c r="I31" s="112"/>
    </row>
    <row r="32" spans="3:17" ht="15" thickBot="1">
      <c r="C32" s="111"/>
      <c r="I32" s="112"/>
    </row>
    <row r="33" spans="3:15" ht="15" thickBot="1">
      <c r="C33" s="111"/>
      <c r="F33" s="129" t="s">
        <v>1145</v>
      </c>
      <c r="G33" s="215">
        <f>SUM(G21:G30)-SUM(H21:H30)</f>
        <v>0</v>
      </c>
      <c r="I33" s="112"/>
    </row>
    <row r="34" spans="3:15" ht="14.25">
      <c r="C34" s="111"/>
      <c r="I34" s="112"/>
    </row>
    <row r="35" spans="3:15" ht="15" thickBot="1">
      <c r="C35" s="111"/>
      <c r="I35" s="112"/>
    </row>
    <row r="36" spans="3:15" ht="15" thickBot="1">
      <c r="C36" s="111"/>
      <c r="D36" s="134" t="s">
        <v>959</v>
      </c>
      <c r="E36" s="129"/>
      <c r="I36" s="112"/>
    </row>
    <row r="37" spans="3:15" ht="14.25">
      <c r="C37" s="111"/>
      <c r="D37" s="23"/>
      <c r="E37" s="16"/>
      <c r="I37" s="112"/>
      <c r="O37" s="2"/>
    </row>
    <row r="38" spans="3:15" ht="14.25">
      <c r="C38" s="111"/>
      <c r="I38" s="112"/>
      <c r="O38" s="2" t="s">
        <v>819</v>
      </c>
    </row>
    <row r="39" spans="3:15" ht="14.25">
      <c r="C39" s="111"/>
      <c r="I39" s="112"/>
      <c r="O39" s="1" t="str">
        <f>_xlfn.XLOOKUP($E$8,BDPROV[ID-Proveedor],BDPROV[NIT/C.C.],0)&amp;$H$15&amp;$H$13&amp;"-"&amp;ROW(O38)-37</f>
        <v>Comp.Cont.-1</v>
      </c>
    </row>
    <row r="40" spans="3:15" ht="15" thickBot="1">
      <c r="C40" s="116"/>
      <c r="D40" s="117"/>
      <c r="E40" s="117"/>
      <c r="F40" s="117"/>
      <c r="G40" s="117"/>
      <c r="H40" s="117"/>
      <c r="I40" s="118"/>
      <c r="O40" s="1" t="str">
        <f>_xlfn.XLOOKUP($E$8,BDPROV[ID-Proveedor],BDPROV[NIT/C.C.],0)&amp;$H$15&amp;$H$13&amp;"-"&amp;ROW(O39)-37</f>
        <v>Comp.Cont.-2</v>
      </c>
    </row>
    <row r="41" spans="3:15" ht="14.25">
      <c r="J41" s="14"/>
      <c r="O41" s="1" t="str">
        <f>_xlfn.XLOOKUP($E$8,BDPROV[ID-Proveedor],BDPROV[NIT/C.C.],0)&amp;$H$15&amp;$H$13&amp;"-"&amp;ROW(O40)-37</f>
        <v>Comp.Cont.-3</v>
      </c>
    </row>
    <row r="42" spans="3:15" ht="48" customHeight="1">
      <c r="K42" s="20"/>
      <c r="L42" s="20"/>
      <c r="O42" s="1" t="str">
        <f>_xlfn.XLOOKUP($E$8,BDPROV[ID-Proveedor],BDPROV[NIT/C.C.],0)&amp;$H$15&amp;$H$13&amp;"-"&amp;ROW(O41)-37</f>
        <v>Comp.Cont.-4</v>
      </c>
    </row>
    <row r="43" spans="3:15" ht="14.25">
      <c r="O43" s="1" t="str">
        <f>_xlfn.XLOOKUP($E$8,BDPROV[ID-Proveedor],BDPROV[NIT/C.C.],0)&amp;$H$15&amp;$H$13&amp;"-"&amp;ROW(O42)-37</f>
        <v>Comp.Cont.-5</v>
      </c>
    </row>
    <row r="44" spans="3:15" ht="14.25">
      <c r="O44" s="1" t="str">
        <f>_xlfn.XLOOKUP($E$8,BDPROV[ID-Proveedor],BDPROV[NIT/C.C.],0)&amp;$H$15&amp;$H$13&amp;"-"&amp;ROW(O43)-37</f>
        <v>Comp.Cont.-6</v>
      </c>
    </row>
    <row r="45" spans="3:15" ht="14.25">
      <c r="O45" s="1" t="str">
        <f>_xlfn.XLOOKUP($E$8,BDPROV[ID-Proveedor],BDPROV[NIT/C.C.],0)&amp;$H$15&amp;$H$13&amp;"-"&amp;ROW(O44)-37</f>
        <v>Comp.Cont.-7</v>
      </c>
    </row>
    <row r="46" spans="3:15" ht="14.25">
      <c r="O46" s="1" t="str">
        <f>_xlfn.XLOOKUP($E$8,BDPROV[ID-Proveedor],BDPROV[NIT/C.C.],0)&amp;$H$15&amp;$H$13&amp;"-"&amp;ROW(O45)-37</f>
        <v>Comp.Cont.-8</v>
      </c>
    </row>
    <row r="47" spans="3:15" ht="14.25">
      <c r="O47" s="1" t="str">
        <f>_xlfn.XLOOKUP($E$8,BDPROV[ID-Proveedor],BDPROV[NIT/C.C.],0)&amp;$H$15&amp;$H$13&amp;"-"&amp;ROW(O46)-37</f>
        <v>Comp.Cont.-9</v>
      </c>
    </row>
    <row r="48" spans="3:15" ht="14.25">
      <c r="O48" s="1" t="str">
        <f>_xlfn.XLOOKUP($E$8,BDPROV[ID-Proveedor],BDPROV[NIT/C.C.],0)&amp;$H$15&amp;$H$13&amp;"-"&amp;ROW(O47)-37</f>
        <v>Comp.Cont.-10</v>
      </c>
    </row>
    <row r="49" ht="14.25"/>
    <row r="50" ht="14.25"/>
    <row r="51" ht="14.25"/>
    <row r="52" ht="14.25"/>
    <row r="53" ht="14.25"/>
    <row r="54" ht="14.25"/>
    <row r="55" ht="14.25"/>
    <row r="56" ht="14.25"/>
    <row r="57" ht="14.25"/>
    <row r="58" ht="14.25"/>
    <row r="59" ht="14.25"/>
    <row r="60" ht="14.25"/>
    <row r="61" ht="14.25"/>
    <row r="62" ht="14.25"/>
    <row r="63" ht="14.25"/>
    <row r="64" ht="14.25"/>
    <row r="65" ht="14.25"/>
    <row r="66" ht="14.25"/>
    <row r="67" ht="14.25"/>
    <row r="68" ht="14.25"/>
    <row r="69" ht="14.25"/>
    <row r="70" ht="14.25"/>
    <row r="71" ht="14.25"/>
    <row r="72" ht="14.25"/>
    <row r="73" ht="14.25"/>
    <row r="74" ht="14.25"/>
    <row r="75" ht="14.25"/>
  </sheetData>
  <mergeCells count="3">
    <mergeCell ref="D2:G2"/>
    <mergeCell ref="D5:G5"/>
    <mergeCell ref="D6:G6"/>
  </mergeCells>
  <conditionalFormatting sqref="G33">
    <cfRule type="cellIs" dxfId="31" priority="1" operator="equal">
      <formula>0</formula>
    </cfRule>
    <cfRule type="expression" dxfId="30" priority="2">
      <formula>$G$33&lt;&gt;0</formula>
    </cfRule>
  </conditionalFormatting>
  <dataValidations count="1">
    <dataValidation allowBlank="1" showInputMessage="1" sqref="F31" xr:uid="{FB0F8DDB-A328-4F37-AC15-6E15EA1AEC18}"/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3">
        <x14:dataValidation type="list" allowBlank="1" showInputMessage="1" showErrorMessage="1" xr:uid="{D4AA415E-7EFA-41B4-8961-AD811941FDA7}">
          <x14:formula1>
            <xm:f>'Otras BD'!$C$4:$C$8</xm:f>
          </x14:formula1>
          <xm:sqref>H15</xm:sqref>
        </x14:dataValidation>
        <x14:dataValidation type="list" allowBlank="1" showInputMessage="1" xr:uid="{2172C31E-5DC7-41C5-907D-3D2F67D613B1}">
          <x14:formula1>
            <xm:f>_xlfn.ANCHORARRAY('BD-Tercero Proveedores'!$O$6)</xm:f>
          </x14:formula1>
          <xm:sqref>D21</xm:sqref>
        </x14:dataValidation>
        <x14:dataValidation type="list" allowBlank="1" showInputMessage="1" xr:uid="{89C6E9EB-BF7C-40D8-BC98-7A13E6260349}">
          <x14:formula1>
            <xm:f>_xlfn.ANCHORARRAY('BD-Tercero Clientes'!$O$6)</xm:f>
          </x14:formula1>
          <xm:sqref>D22</xm:sqref>
        </x14:dataValidation>
        <x14:dataValidation type="list" allowBlank="1" showInputMessage="1" xr:uid="{ADA87EC8-F521-4429-8AA8-52EDDA3ADE14}">
          <x14:formula1>
            <xm:f>_xlfn.ANCHORARRAY(PUC!$DF$5)</xm:f>
          </x14:formula1>
          <xm:sqref>F21</xm:sqref>
        </x14:dataValidation>
        <x14:dataValidation type="list" allowBlank="1" showInputMessage="1" xr:uid="{4E3DEBE5-DDB1-46AD-8DE3-D97AEBB9F0F2}">
          <x14:formula1>
            <xm:f>_xlfn.ANCHORARRAY(PUC!$DG$5)</xm:f>
          </x14:formula1>
          <xm:sqref>F22</xm:sqref>
        </x14:dataValidation>
        <x14:dataValidation type="list" allowBlank="1" showInputMessage="1" xr:uid="{CCC9958E-7AF0-4EE8-961A-F29961C9491F}">
          <x14:formula1>
            <xm:f>_xlfn.ANCHORARRAY(PUC!$DH$5)</xm:f>
          </x14:formula1>
          <xm:sqref>F23</xm:sqref>
        </x14:dataValidation>
        <x14:dataValidation type="list" allowBlank="1" showInputMessage="1" xr:uid="{E781D18B-D6D1-48D3-8A8B-B2719A1FD3AB}">
          <x14:formula1>
            <xm:f>_xlfn.ANCHORARRAY(PUC!$DI$5)</xm:f>
          </x14:formula1>
          <xm:sqref>F24</xm:sqref>
        </x14:dataValidation>
        <x14:dataValidation type="list" allowBlank="1" showInputMessage="1" xr:uid="{8A23D5E4-DDB8-4ED4-ACFF-0962AA22A388}">
          <x14:formula1>
            <xm:f>_xlfn.ANCHORARRAY(PUC!$DJ$5)</xm:f>
          </x14:formula1>
          <xm:sqref>F25</xm:sqref>
        </x14:dataValidation>
        <x14:dataValidation type="list" allowBlank="1" showInputMessage="1" xr:uid="{25274023-30FD-496C-9CD9-15FF48F85937}">
          <x14:formula1>
            <xm:f>_xlfn.ANCHORARRAY(PUC!$DK$5)</xm:f>
          </x14:formula1>
          <xm:sqref>F26</xm:sqref>
        </x14:dataValidation>
        <x14:dataValidation type="list" allowBlank="1" showInputMessage="1" xr:uid="{D2334B59-6654-49EB-9B55-C68A244D6C39}">
          <x14:formula1>
            <xm:f>_xlfn.ANCHORARRAY(PUC!$DL$5)</xm:f>
          </x14:formula1>
          <xm:sqref>F27</xm:sqref>
        </x14:dataValidation>
        <x14:dataValidation type="list" allowBlank="1" showInputMessage="1" xr:uid="{66C259FA-83EA-490E-BE4F-27696F793CDF}">
          <x14:formula1>
            <xm:f>_xlfn.ANCHORARRAY(PUC!$DM$5)</xm:f>
          </x14:formula1>
          <xm:sqref>F28</xm:sqref>
        </x14:dataValidation>
        <x14:dataValidation type="list" allowBlank="1" showInputMessage="1" xr:uid="{01ECC67B-BF1A-4B87-B834-E385B5772C6D}">
          <x14:formula1>
            <xm:f>_xlfn.ANCHORARRAY(PUC!$DN$5)</xm:f>
          </x14:formula1>
          <xm:sqref>F29</xm:sqref>
        </x14:dataValidation>
        <x14:dataValidation type="list" allowBlank="1" showInputMessage="1" xr:uid="{5D6E8663-7904-41D7-A644-6B1A861DF1A8}">
          <x14:formula1>
            <xm:f>_xlfn.ANCHORARRAY(PUC!$DO$5)</xm:f>
          </x14:formula1>
          <xm:sqref>F30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56EC0-C448-48A9-A405-8C727D7BC741}">
  <sheetPr codeName="Hoja13"/>
  <dimension ref="A1:U77"/>
  <sheetViews>
    <sheetView showGridLines="0" showRowColHeaders="0" zoomScale="88" zoomScaleNormal="100" workbookViewId="0"/>
  </sheetViews>
  <sheetFormatPr baseColWidth="10" defaultColWidth="12" defaultRowHeight="14.25" zeroHeight="1" outlineLevelCol="1"/>
  <cols>
    <col min="1" max="1" width="20" style="1" customWidth="1"/>
    <col min="2" max="2" width="13" style="1" customWidth="1"/>
    <col min="3" max="3" width="9.33203125" style="1" customWidth="1"/>
    <col min="4" max="4" width="15.83203125" style="1" customWidth="1"/>
    <col min="5" max="5" width="76.83203125" style="1" customWidth="1"/>
    <col min="6" max="6" width="25.5" style="1" customWidth="1"/>
    <col min="7" max="7" width="20.33203125" style="1" customWidth="1"/>
    <col min="8" max="8" width="28" style="1" customWidth="1"/>
    <col min="9" max="9" width="12.33203125" style="1" customWidth="1"/>
    <col min="10" max="10" width="23.33203125" style="1" customWidth="1"/>
    <col min="11" max="11" width="13.83203125" style="1" customWidth="1"/>
    <col min="12" max="13" width="13.83203125" style="1" hidden="1" customWidth="1"/>
    <col min="14" max="16" width="12" style="1" hidden="1" customWidth="1"/>
    <col min="17" max="17" width="0" style="1" hidden="1" customWidth="1"/>
    <col min="18" max="21" width="12" style="1"/>
    <col min="22" max="16384" width="12" style="1" outlineLevel="1"/>
  </cols>
  <sheetData>
    <row r="1" spans="3:16" ht="15" thickBot="1"/>
    <row r="2" spans="3:16" ht="39" customHeight="1" thickBot="1">
      <c r="E2" s="255" t="s">
        <v>957</v>
      </c>
      <c r="F2" s="256"/>
      <c r="G2" s="257"/>
    </row>
    <row r="3" spans="3:16" ht="15" thickBot="1"/>
    <row r="4" spans="3:16" ht="21.75" customHeight="1">
      <c r="C4" s="107"/>
      <c r="D4" s="108"/>
      <c r="E4" s="109"/>
      <c r="F4" s="108"/>
      <c r="G4" s="108"/>
      <c r="H4" s="108"/>
      <c r="I4" s="110"/>
    </row>
    <row r="5" spans="3:16" ht="22.5" customHeight="1">
      <c r="C5" s="111"/>
      <c r="E5" s="254">
        <f>INICIO!I8</f>
        <v>0</v>
      </c>
      <c r="F5" s="254"/>
      <c r="G5" s="254"/>
      <c r="H5" s="21"/>
      <c r="I5" s="112"/>
    </row>
    <row r="6" spans="3:16" ht="22.5" customHeight="1">
      <c r="C6" s="111"/>
      <c r="E6" s="254">
        <f>INICIO!I12</f>
        <v>0</v>
      </c>
      <c r="F6" s="254"/>
      <c r="G6" s="254"/>
      <c r="H6" s="21"/>
      <c r="I6" s="112"/>
    </row>
    <row r="7" spans="3:16" ht="22.5" customHeight="1" thickBot="1">
      <c r="C7" s="111"/>
      <c r="E7" s="153"/>
      <c r="H7" s="21"/>
      <c r="I7" s="112"/>
    </row>
    <row r="8" spans="3:16" ht="35.25" customHeight="1" thickBot="1">
      <c r="C8" s="113"/>
      <c r="D8" s="106"/>
      <c r="G8" s="16" t="s">
        <v>955</v>
      </c>
      <c r="H8" s="180" t="str">
        <f>IF(INICIO!B18="","Responsable no especificado",INICIO!B18)</f>
        <v>Responsable no especificado</v>
      </c>
      <c r="I8" s="112"/>
    </row>
    <row r="9" spans="3:16" ht="15" thickBot="1">
      <c r="C9" s="111"/>
      <c r="E9" s="18" t="s">
        <v>1006</v>
      </c>
      <c r="H9" s="17"/>
      <c r="I9" s="112"/>
      <c r="L9" s="136" t="s">
        <v>3</v>
      </c>
      <c r="M9" s="136" t="s">
        <v>2</v>
      </c>
      <c r="N9" s="136" t="s">
        <v>770</v>
      </c>
      <c r="O9" s="136" t="s">
        <v>773</v>
      </c>
      <c r="P9" s="136" t="s">
        <v>774</v>
      </c>
    </row>
    <row r="10" spans="3:16" ht="19.5" customHeight="1" thickBot="1">
      <c r="C10" s="111"/>
      <c r="E10" s="119"/>
      <c r="G10" s="1" t="s">
        <v>25</v>
      </c>
      <c r="H10" s="120"/>
      <c r="I10" s="112"/>
      <c r="L10" s="138">
        <v>1</v>
      </c>
      <c r="M10" s="138"/>
      <c r="N10" s="138">
        <f>$G$25</f>
        <v>220505</v>
      </c>
      <c r="O10" s="138">
        <f>IF((OR($G$40&lt;0,$G$40=0)),$G$40*-1,0)</f>
        <v>0</v>
      </c>
      <c r="P10" s="139">
        <f>IF((OR($G$40&lt;0,$G$40=0)),0,$G$40)</f>
        <v>0</v>
      </c>
    </row>
    <row r="11" spans="3:16" ht="15" thickBot="1">
      <c r="C11" s="111"/>
      <c r="H11" s="17"/>
      <c r="I11" s="112"/>
      <c r="L11" s="123">
        <f t="shared" ref="L11:L20" si="0">$D28</f>
        <v>0</v>
      </c>
      <c r="M11" s="124">
        <f t="shared" ref="M11:M20" si="1">$G28</f>
        <v>0</v>
      </c>
      <c r="N11" s="123" t="str">
        <f t="shared" ref="N11:N20" si="2">IF($F28=0,"",$F28)</f>
        <v/>
      </c>
      <c r="O11" s="137">
        <f t="shared" ref="O11:O20" si="3">IF(OR($H28=0,$H28&lt;0),0,$H28)</f>
        <v>0</v>
      </c>
      <c r="P11" s="137">
        <f t="shared" ref="P11:P20" si="4">IF(OR($H28=0,$H28&gt;0),0,$H28*-1)</f>
        <v>0</v>
      </c>
    </row>
    <row r="12" spans="3:16" ht="17.25" customHeight="1" thickBot="1">
      <c r="C12" s="111"/>
      <c r="D12" s="16"/>
      <c r="E12" s="16"/>
      <c r="G12" s="1" t="s">
        <v>26</v>
      </c>
      <c r="H12" s="120"/>
      <c r="I12" s="112"/>
      <c r="L12" s="123">
        <f t="shared" si="0"/>
        <v>0</v>
      </c>
      <c r="M12" s="124">
        <f t="shared" si="1"/>
        <v>0</v>
      </c>
      <c r="N12" s="123" t="str">
        <f t="shared" si="2"/>
        <v/>
      </c>
      <c r="O12" s="137">
        <f t="shared" si="3"/>
        <v>0</v>
      </c>
      <c r="P12" s="137">
        <f t="shared" si="4"/>
        <v>0</v>
      </c>
    </row>
    <row r="13" spans="3:16" ht="16.5" customHeight="1" thickBot="1">
      <c r="C13" s="111"/>
      <c r="I13" s="112"/>
      <c r="L13" s="123">
        <f t="shared" si="0"/>
        <v>0</v>
      </c>
      <c r="M13" s="124">
        <f t="shared" si="1"/>
        <v>0</v>
      </c>
      <c r="N13" s="123" t="str">
        <f t="shared" si="2"/>
        <v/>
      </c>
      <c r="O13" s="137">
        <f t="shared" si="3"/>
        <v>0</v>
      </c>
      <c r="P13" s="137">
        <f t="shared" si="4"/>
        <v>0</v>
      </c>
    </row>
    <row r="14" spans="3:16" ht="18" customHeight="1" thickBot="1">
      <c r="C14" s="111"/>
      <c r="G14" s="1" t="s">
        <v>27</v>
      </c>
      <c r="H14" s="121"/>
      <c r="I14" s="112"/>
      <c r="L14" s="123">
        <f t="shared" si="0"/>
        <v>0</v>
      </c>
      <c r="M14" s="124">
        <f t="shared" si="1"/>
        <v>0</v>
      </c>
      <c r="N14" s="123" t="str">
        <f t="shared" si="2"/>
        <v/>
      </c>
      <c r="O14" s="137">
        <f t="shared" si="3"/>
        <v>0</v>
      </c>
      <c r="P14" s="137">
        <f t="shared" si="4"/>
        <v>0</v>
      </c>
    </row>
    <row r="15" spans="3:16" ht="15" thickBot="1">
      <c r="C15" s="111"/>
      <c r="I15" s="112"/>
      <c r="L15" s="123">
        <f t="shared" si="0"/>
        <v>0</v>
      </c>
      <c r="M15" s="124">
        <f t="shared" si="1"/>
        <v>0</v>
      </c>
      <c r="N15" s="123" t="str">
        <f t="shared" si="2"/>
        <v/>
      </c>
      <c r="O15" s="137">
        <f t="shared" si="3"/>
        <v>0</v>
      </c>
      <c r="P15" s="137">
        <f t="shared" si="4"/>
        <v>0</v>
      </c>
    </row>
    <row r="16" spans="3:16" ht="15" thickBot="1">
      <c r="C16" s="111"/>
      <c r="G16" s="1" t="s">
        <v>28</v>
      </c>
      <c r="H16" s="132" t="s">
        <v>1111</v>
      </c>
      <c r="I16" s="112"/>
      <c r="L16" s="123">
        <f t="shared" si="0"/>
        <v>0</v>
      </c>
      <c r="M16" s="124">
        <f t="shared" si="1"/>
        <v>0</v>
      </c>
      <c r="N16" s="123" t="str">
        <f t="shared" si="2"/>
        <v/>
      </c>
      <c r="O16" s="137">
        <f t="shared" si="3"/>
        <v>0</v>
      </c>
      <c r="P16" s="137">
        <f t="shared" si="4"/>
        <v>0</v>
      </c>
    </row>
    <row r="17" spans="3:16" ht="15" thickBot="1">
      <c r="C17" s="111"/>
      <c r="I17" s="112"/>
      <c r="J17" s="17"/>
      <c r="L17" s="123">
        <f t="shared" si="0"/>
        <v>0</v>
      </c>
      <c r="M17" s="124">
        <f t="shared" si="1"/>
        <v>0</v>
      </c>
      <c r="N17" s="123" t="str">
        <f t="shared" si="2"/>
        <v/>
      </c>
      <c r="O17" s="137">
        <f t="shared" si="3"/>
        <v>0</v>
      </c>
      <c r="P17" s="137">
        <f t="shared" si="4"/>
        <v>0</v>
      </c>
    </row>
    <row r="18" spans="3:16" ht="15" thickBot="1">
      <c r="C18" s="111"/>
      <c r="G18" s="1" t="s">
        <v>1003</v>
      </c>
      <c r="H18" s="121"/>
      <c r="I18" s="112"/>
      <c r="J18" s="17"/>
      <c r="L18" s="123">
        <f t="shared" si="0"/>
        <v>0</v>
      </c>
      <c r="M18" s="124">
        <f t="shared" si="1"/>
        <v>0</v>
      </c>
      <c r="N18" s="123" t="str">
        <f t="shared" si="2"/>
        <v/>
      </c>
      <c r="O18" s="137">
        <f t="shared" si="3"/>
        <v>0</v>
      </c>
      <c r="P18" s="137">
        <f t="shared" si="4"/>
        <v>0</v>
      </c>
    </row>
    <row r="19" spans="3:16" ht="15" thickBot="1">
      <c r="C19" s="111"/>
      <c r="I19" s="112"/>
      <c r="L19" s="123">
        <f t="shared" si="0"/>
        <v>0</v>
      </c>
      <c r="M19" s="124">
        <f t="shared" si="1"/>
        <v>0</v>
      </c>
      <c r="N19" s="123" t="str">
        <f t="shared" si="2"/>
        <v/>
      </c>
      <c r="O19" s="137">
        <f t="shared" si="3"/>
        <v>0</v>
      </c>
      <c r="P19" s="137">
        <f t="shared" si="4"/>
        <v>0</v>
      </c>
    </row>
    <row r="20" spans="3:16" ht="15" thickBot="1">
      <c r="C20" s="111"/>
      <c r="G20" s="1" t="s">
        <v>1004</v>
      </c>
      <c r="H20" s="121"/>
      <c r="I20" s="112"/>
      <c r="J20" s="17"/>
      <c r="L20" s="123">
        <f t="shared" si="0"/>
        <v>0</v>
      </c>
      <c r="M20" s="124">
        <f t="shared" si="1"/>
        <v>0</v>
      </c>
      <c r="N20" s="123" t="str">
        <f t="shared" si="2"/>
        <v/>
      </c>
      <c r="O20" s="137">
        <f t="shared" si="3"/>
        <v>0</v>
      </c>
      <c r="P20" s="137">
        <f t="shared" si="4"/>
        <v>0</v>
      </c>
    </row>
    <row r="21" spans="3:16" ht="15" thickBot="1">
      <c r="C21" s="111"/>
      <c r="I21" s="112"/>
      <c r="J21" s="17"/>
    </row>
    <row r="22" spans="3:16" ht="15" thickBot="1">
      <c r="C22" s="111"/>
      <c r="G22" s="1" t="s">
        <v>1005</v>
      </c>
      <c r="H22" s="132" t="s">
        <v>974</v>
      </c>
      <c r="I22" s="112"/>
      <c r="J22" s="17"/>
    </row>
    <row r="23" spans="3:16">
      <c r="C23" s="111"/>
      <c r="I23" s="112"/>
    </row>
    <row r="24" spans="3:16" ht="15" thickBot="1">
      <c r="C24" s="111"/>
      <c r="I24" s="112"/>
    </row>
    <row r="25" spans="3:16" ht="15" thickBot="1">
      <c r="C25" s="111"/>
      <c r="F25" s="140" t="s">
        <v>772</v>
      </c>
      <c r="G25" s="122">
        <v>220505</v>
      </c>
      <c r="I25" s="112"/>
    </row>
    <row r="26" spans="3:16">
      <c r="C26" s="111"/>
      <c r="I26" s="112"/>
    </row>
    <row r="27" spans="3:16">
      <c r="C27" s="111"/>
      <c r="D27" s="130" t="s">
        <v>3</v>
      </c>
      <c r="E27" s="130" t="s">
        <v>771</v>
      </c>
      <c r="F27" s="130" t="s">
        <v>4</v>
      </c>
      <c r="G27" s="130" t="s">
        <v>2</v>
      </c>
      <c r="H27" s="131" t="s">
        <v>0</v>
      </c>
      <c r="I27" s="112"/>
      <c r="L27" s="2" t="s">
        <v>963</v>
      </c>
      <c r="M27" s="2" t="s">
        <v>964</v>
      </c>
      <c r="N27" s="2" t="s">
        <v>965</v>
      </c>
    </row>
    <row r="28" spans="3:16">
      <c r="C28" s="111"/>
      <c r="D28" s="123"/>
      <c r="E28" s="123"/>
      <c r="F28" s="123"/>
      <c r="G28" s="124"/>
      <c r="H28" s="127">
        <f>IFERROR(D28*G28,0)</f>
        <v>0</v>
      </c>
      <c r="I28" s="112"/>
      <c r="L28" s="1">
        <f>IFERROR(LEFT(E28,SEARCH("-",E28)-1),0)</f>
        <v>0</v>
      </c>
      <c r="M28" s="1">
        <f>IFERROR(RIGHT(E28,LEN(E28)-SEARCH("-",E28)),0)</f>
        <v>0</v>
      </c>
      <c r="N28" s="1">
        <f>_xlfn.XLOOKUP(L28,Tabla15[CÓDIGO],Tabla15[CATEGORÍA],0)</f>
        <v>0</v>
      </c>
    </row>
    <row r="29" spans="3:16">
      <c r="C29" s="111"/>
      <c r="D29" s="123"/>
      <c r="E29" s="123"/>
      <c r="F29" s="125"/>
      <c r="G29" s="124"/>
      <c r="H29" s="127">
        <f t="shared" ref="H29:H33" si="5">IFERROR(D29*G29,0)</f>
        <v>0</v>
      </c>
      <c r="I29" s="112"/>
      <c r="L29" s="1">
        <f t="shared" ref="L29:L37" si="6">IFERROR(LEFT(E29,SEARCH("-",E29)-1),0)</f>
        <v>0</v>
      </c>
      <c r="M29" s="1">
        <f t="shared" ref="M29:M37" si="7">IFERROR(RIGHT(E29,LEN(E29)-SEARCH("-",E29)),0)</f>
        <v>0</v>
      </c>
      <c r="N29" s="1">
        <f>_xlfn.XLOOKUP(L29,Tabla15[CÓDIGO],Tabla15[CATEGORÍA],0)</f>
        <v>0</v>
      </c>
    </row>
    <row r="30" spans="3:16">
      <c r="C30" s="111"/>
      <c r="D30" s="123"/>
      <c r="E30" s="123"/>
      <c r="F30" s="123"/>
      <c r="G30" s="124"/>
      <c r="H30" s="127">
        <f t="shared" si="5"/>
        <v>0</v>
      </c>
      <c r="I30" s="112"/>
      <c r="L30" s="1">
        <f t="shared" si="6"/>
        <v>0</v>
      </c>
      <c r="M30" s="1">
        <f t="shared" si="7"/>
        <v>0</v>
      </c>
      <c r="N30" s="1">
        <f>_xlfn.XLOOKUP(L30,Tabla15[CÓDIGO],Tabla15[CATEGORÍA],0)</f>
        <v>0</v>
      </c>
    </row>
    <row r="31" spans="3:16">
      <c r="C31" s="111"/>
      <c r="D31" s="123"/>
      <c r="E31" s="123"/>
      <c r="F31" s="126"/>
      <c r="G31" s="124"/>
      <c r="H31" s="127">
        <f t="shared" si="5"/>
        <v>0</v>
      </c>
      <c r="I31" s="112"/>
      <c r="L31" s="1">
        <f t="shared" si="6"/>
        <v>0</v>
      </c>
      <c r="M31" s="1">
        <f t="shared" si="7"/>
        <v>0</v>
      </c>
      <c r="N31" s="1">
        <f>_xlfn.XLOOKUP(L31,Tabla15[CÓDIGO],Tabla15[CATEGORÍA],0)</f>
        <v>0</v>
      </c>
    </row>
    <row r="32" spans="3:16">
      <c r="C32" s="114"/>
      <c r="D32" s="123"/>
      <c r="E32" s="123"/>
      <c r="F32" s="126"/>
      <c r="G32" s="124"/>
      <c r="H32" s="127">
        <f t="shared" si="5"/>
        <v>0</v>
      </c>
      <c r="I32" s="115"/>
      <c r="J32" s="3"/>
      <c r="L32" s="1">
        <f t="shared" si="6"/>
        <v>0</v>
      </c>
      <c r="M32" s="1">
        <f t="shared" si="7"/>
        <v>0</v>
      </c>
      <c r="N32" s="1">
        <f>_xlfn.XLOOKUP(L32,Tabla15[CÓDIGO],Tabla15[CATEGORÍA],0)</f>
        <v>0</v>
      </c>
    </row>
    <row r="33" spans="3:14">
      <c r="C33" s="111"/>
      <c r="D33" s="123"/>
      <c r="E33" s="123"/>
      <c r="F33" s="126"/>
      <c r="G33" s="124"/>
      <c r="H33" s="127">
        <f t="shared" si="5"/>
        <v>0</v>
      </c>
      <c r="I33" s="112"/>
      <c r="L33" s="1">
        <f t="shared" si="6"/>
        <v>0</v>
      </c>
      <c r="M33" s="1">
        <f t="shared" si="7"/>
        <v>0</v>
      </c>
      <c r="N33" s="1">
        <f>_xlfn.XLOOKUP(L33,Tabla15[CÓDIGO],Tabla15[CATEGORÍA],0)</f>
        <v>0</v>
      </c>
    </row>
    <row r="34" spans="3:14">
      <c r="C34" s="111"/>
      <c r="D34" s="123"/>
      <c r="E34" s="123"/>
      <c r="F34" s="126"/>
      <c r="G34" s="124"/>
      <c r="H34" s="127">
        <f t="shared" ref="H34:H37" si="8">IFERROR(D34*G34,0)</f>
        <v>0</v>
      </c>
      <c r="I34" s="112"/>
      <c r="L34" s="1">
        <f t="shared" si="6"/>
        <v>0</v>
      </c>
      <c r="M34" s="1">
        <f t="shared" si="7"/>
        <v>0</v>
      </c>
      <c r="N34" s="1">
        <f>_xlfn.XLOOKUP(L34,Tabla15[CÓDIGO],Tabla15[CATEGORÍA],0)</f>
        <v>0</v>
      </c>
    </row>
    <row r="35" spans="3:14">
      <c r="C35" s="111"/>
      <c r="D35" s="123"/>
      <c r="E35" s="123"/>
      <c r="F35" s="126"/>
      <c r="G35" s="124"/>
      <c r="H35" s="127">
        <f t="shared" si="8"/>
        <v>0</v>
      </c>
      <c r="I35" s="112"/>
      <c r="L35" s="1">
        <f t="shared" si="6"/>
        <v>0</v>
      </c>
      <c r="M35" s="1">
        <f t="shared" si="7"/>
        <v>0</v>
      </c>
      <c r="N35" s="1">
        <f>_xlfn.XLOOKUP(L35,Tabla15[CÓDIGO],Tabla15[CATEGORÍA],0)</f>
        <v>0</v>
      </c>
    </row>
    <row r="36" spans="3:14">
      <c r="C36" s="111"/>
      <c r="D36" s="123"/>
      <c r="E36" s="123"/>
      <c r="F36" s="126"/>
      <c r="G36" s="124"/>
      <c r="H36" s="127">
        <f t="shared" si="8"/>
        <v>0</v>
      </c>
      <c r="I36" s="112"/>
      <c r="L36" s="1">
        <f t="shared" si="6"/>
        <v>0</v>
      </c>
      <c r="M36" s="1">
        <f t="shared" si="7"/>
        <v>0</v>
      </c>
      <c r="N36" s="1">
        <f>_xlfn.XLOOKUP(L36,Tabla15[CÓDIGO],Tabla15[CATEGORÍA],0)</f>
        <v>0</v>
      </c>
    </row>
    <row r="37" spans="3:14">
      <c r="C37" s="111"/>
      <c r="D37" s="138"/>
      <c r="E37" s="138"/>
      <c r="F37" s="218"/>
      <c r="G37" s="143"/>
      <c r="H37" s="127">
        <f t="shared" si="8"/>
        <v>0</v>
      </c>
      <c r="I37" s="112"/>
      <c r="L37" s="1">
        <f t="shared" si="6"/>
        <v>0</v>
      </c>
      <c r="M37" s="1">
        <f t="shared" si="7"/>
        <v>0</v>
      </c>
      <c r="N37" s="1">
        <f>_xlfn.XLOOKUP(L37,Tabla15[CÓDIGO],Tabla15[CATEGORÍA],0)</f>
        <v>0</v>
      </c>
    </row>
    <row r="38" spans="3:14">
      <c r="C38" s="111"/>
      <c r="I38" s="112"/>
    </row>
    <row r="39" spans="3:14" ht="15" thickBot="1">
      <c r="C39" s="111"/>
      <c r="I39" s="112"/>
    </row>
    <row r="40" spans="3:14" ht="15" thickBot="1">
      <c r="C40" s="111"/>
      <c r="F40" s="129" t="s">
        <v>30</v>
      </c>
      <c r="G40" s="128">
        <f>+(SUM(H28:H37))</f>
        <v>0</v>
      </c>
      <c r="I40" s="112"/>
    </row>
    <row r="41" spans="3:14">
      <c r="C41" s="111"/>
      <c r="I41" s="112"/>
    </row>
    <row r="42" spans="3:14">
      <c r="C42" s="111"/>
      <c r="G42" s="223"/>
      <c r="I42" s="112"/>
      <c r="N42" s="2" t="s">
        <v>819</v>
      </c>
    </row>
    <row r="43" spans="3:14" ht="15" thickBot="1">
      <c r="C43" s="111"/>
      <c r="I43" s="112"/>
      <c r="J43" s="14"/>
      <c r="N43" s="1" t="str">
        <f>_xlfn.XLOOKUP($E$10,BDPROV[ID-Proveedor],BDPROV[NIT/C.C.],0)&amp;$H$16&amp;$H$14&amp;"-"&amp;ROW(N42)-41</f>
        <v>F.C.-1</v>
      </c>
    </row>
    <row r="44" spans="3:14" ht="48" customHeight="1" thickBot="1">
      <c r="C44" s="111"/>
      <c r="D44" s="134" t="s">
        <v>959</v>
      </c>
      <c r="E44" s="133"/>
      <c r="I44" s="112"/>
      <c r="K44" s="20"/>
      <c r="N44" s="1" t="str">
        <f>_xlfn.XLOOKUP($E$10,BDPROV[ID-Proveedor],BDPROV[NIT/C.C.],0)&amp;$H$16&amp;$H$14&amp;"-"&amp;ROW(N43)-41</f>
        <v>F.C.-2</v>
      </c>
    </row>
    <row r="45" spans="3:14">
      <c r="C45" s="111"/>
      <c r="I45" s="112"/>
      <c r="N45" s="1" t="str">
        <f>_xlfn.XLOOKUP($E$10,BDPROV[ID-Proveedor],BDPROV[NIT/C.C.],0)&amp;$H$16&amp;$H$14&amp;"-"&amp;ROW(N44)-41</f>
        <v>F.C.-3</v>
      </c>
    </row>
    <row r="46" spans="3:14">
      <c r="C46" s="111"/>
      <c r="I46" s="112"/>
      <c r="N46" s="1" t="str">
        <f>_xlfn.XLOOKUP($E$10,BDPROV[ID-Proveedor],BDPROV[NIT/C.C.],0)&amp;$H$16&amp;$H$14&amp;"-"&amp;ROW(N45)-41</f>
        <v>F.C.-4</v>
      </c>
    </row>
    <row r="47" spans="3:14" ht="15" thickBot="1">
      <c r="C47" s="116"/>
      <c r="D47" s="117"/>
      <c r="E47" s="117"/>
      <c r="F47" s="117"/>
      <c r="G47" s="117"/>
      <c r="H47" s="117"/>
      <c r="I47" s="118"/>
      <c r="N47" s="1" t="str">
        <f>_xlfn.XLOOKUP($E$10,BDPROV[ID-Proveedor],BDPROV[NIT/C.C.],0)&amp;$H$16&amp;$H$14&amp;"-"&amp;ROW(N46)-41</f>
        <v>F.C.-5</v>
      </c>
    </row>
    <row r="48" spans="3:14">
      <c r="N48" s="1" t="str">
        <f>_xlfn.XLOOKUP($E$10,BDPROV[ID-Proveedor],BDPROV[NIT/C.C.],0)&amp;$H$16&amp;$H$14&amp;"-"&amp;ROW(N47)-41</f>
        <v>F.C.-6</v>
      </c>
    </row>
    <row r="49" spans="14:14">
      <c r="N49" s="1" t="str">
        <f>_xlfn.XLOOKUP($E$10,BDPROV[ID-Proveedor],BDPROV[NIT/C.C.],0)&amp;$H$16&amp;$H$14&amp;"-"&amp;ROW(N48)-41</f>
        <v>F.C.-7</v>
      </c>
    </row>
    <row r="50" spans="14:14">
      <c r="N50" s="1" t="str">
        <f>_xlfn.XLOOKUP($E$10,BDPROV[ID-Proveedor],BDPROV[NIT/C.C.],0)&amp;$H$16&amp;$H$14&amp;"-"&amp;ROW(N49)-41</f>
        <v>F.C.-8</v>
      </c>
    </row>
    <row r="51" spans="14:14">
      <c r="N51" s="1" t="str">
        <f>_xlfn.XLOOKUP($E$10,BDPROV[ID-Proveedor],BDPROV[NIT/C.C.],0)&amp;$H$16&amp;$H$14&amp;"-"&amp;ROW(N50)-41</f>
        <v>F.C.-9</v>
      </c>
    </row>
    <row r="52" spans="14:14">
      <c r="N52" s="1" t="str">
        <f>_xlfn.XLOOKUP($E$10,BDPROV[ID-Proveedor],BDPROV[NIT/C.C.],0)&amp;$H$16&amp;$H$14&amp;"-"&amp;ROW(N51)-41</f>
        <v>F.C.-10</v>
      </c>
    </row>
    <row r="53" spans="14:14">
      <c r="N53" s="1" t="str">
        <f>_xlfn.XLOOKUP($E$10,BDPROV[ID-Proveedor],BDPROV[NIT/C.C.],0)&amp;$H$16&amp;$H$14&amp;"-"&amp;ROW(N52)-41</f>
        <v>F.C.-11</v>
      </c>
    </row>
    <row r="54" spans="14:14"/>
    <row r="55" spans="14:14"/>
    <row r="56" spans="14:14"/>
    <row r="57" spans="14:14"/>
    <row r="58" spans="14:14"/>
    <row r="59" spans="14:14"/>
    <row r="60" spans="14:14"/>
    <row r="61" spans="14:14"/>
    <row r="62" spans="14:14"/>
    <row r="63" spans="14:14"/>
    <row r="64" spans="14:14"/>
    <row r="65"/>
    <row r="66"/>
    <row r="67"/>
    <row r="68"/>
    <row r="69"/>
    <row r="70"/>
    <row r="71"/>
    <row r="72"/>
    <row r="73"/>
    <row r="74"/>
    <row r="75"/>
    <row r="76"/>
    <row r="77"/>
  </sheetData>
  <mergeCells count="3">
    <mergeCell ref="E2:G2"/>
    <mergeCell ref="E5:G5"/>
    <mergeCell ref="E6:G6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6">
        <x14:dataValidation type="list" allowBlank="1" showInputMessage="1" xr:uid="{ACF5B17F-2F99-4BDF-8237-9D7008AB59F1}">
          <x14:formula1>
            <xm:f>_xlfn.ANCHORARRAY(PUC!$BS$5)</xm:f>
          </x14:formula1>
          <xm:sqref>F28</xm:sqref>
        </x14:dataValidation>
        <x14:dataValidation type="list" allowBlank="1" showInputMessage="1" xr:uid="{993A8BDE-0E74-4507-9A4D-A9C85419B97F}">
          <x14:formula1>
            <xm:f>_xlfn.ANCHORARRAY(PUC!$BT$5)</xm:f>
          </x14:formula1>
          <xm:sqref>F29</xm:sqref>
        </x14:dataValidation>
        <x14:dataValidation type="list" allowBlank="1" showInputMessage="1" xr:uid="{414C34BF-B48D-44D1-8640-CEC69C529BB4}">
          <x14:formula1>
            <xm:f>_xlfn.ANCHORARRAY(PUC!$BV$5)</xm:f>
          </x14:formula1>
          <xm:sqref>F31</xm:sqref>
        </x14:dataValidation>
        <x14:dataValidation type="list" allowBlank="1" showInputMessage="1" xr:uid="{C5EF00C6-88FF-444B-BA36-11B567CDD051}">
          <x14:formula1>
            <xm:f>_xlfn.ANCHORARRAY(PUC!$BW$5)</xm:f>
          </x14:formula1>
          <xm:sqref>G25</xm:sqref>
        </x14:dataValidation>
        <x14:dataValidation type="list" allowBlank="1" showInputMessage="1" xr:uid="{57F1B6AF-2CD7-41CC-8382-37FA66FC7974}">
          <x14:formula1>
            <xm:f>_xlfn.ANCHORARRAY('BD-Tercero Proveedores'!$N$6)</xm:f>
          </x14:formula1>
          <xm:sqref>E10</xm:sqref>
        </x14:dataValidation>
        <x14:dataValidation type="list" allowBlank="1" showInputMessage="1" showErrorMessage="1" xr:uid="{73A3C97C-DE68-47B6-8C6E-B420C841699E}">
          <x14:formula1>
            <xm:f>'Otras BD'!$C$4:$C$8</xm:f>
          </x14:formula1>
          <xm:sqref>H16</xm:sqref>
        </x14:dataValidation>
        <x14:dataValidation type="list" allowBlank="1" showInputMessage="1" xr:uid="{2D36386A-021C-4D0F-A14B-FD80E813FFE7}">
          <x14:formula1>
            <xm:f>_xlfn.ANCHORARRAY(PUC!$BU$5)</xm:f>
          </x14:formula1>
          <xm:sqref>F30</xm:sqref>
        </x14:dataValidation>
        <x14:dataValidation type="list" allowBlank="1" showInputMessage="1" xr:uid="{19003BB4-C637-4508-9BD6-77D6BCB67418}">
          <x14:formula1>
            <xm:f>_xlfn.ANCHORARRAY(PUC!$BZ$5)</xm:f>
          </x14:formula1>
          <xm:sqref>F32</xm:sqref>
        </x14:dataValidation>
        <x14:dataValidation type="list" allowBlank="1" showInputMessage="1" xr:uid="{EE80839F-889D-476B-9C11-D16AB41A4E38}">
          <x14:formula1>
            <xm:f>_xlfn.ANCHORARRAY(PUC!$CA$5)</xm:f>
          </x14:formula1>
          <xm:sqref>F33</xm:sqref>
        </x14:dataValidation>
        <x14:dataValidation type="list" allowBlank="1" showInputMessage="1" xr:uid="{5016666D-0642-46F3-B7CB-DFF7F6278896}">
          <x14:formula1>
            <xm:f>_xlfn.ANCHORARRAY(PUC!$CB$5)</xm:f>
          </x14:formula1>
          <xm:sqref>F34</xm:sqref>
        </x14:dataValidation>
        <x14:dataValidation type="list" allowBlank="1" showInputMessage="1" xr:uid="{2D4AB465-6940-4BA9-A470-26FFCCB2E1CB}">
          <x14:formula1>
            <xm:f>_xlfn.ANCHORARRAY(PUC!$CC$5)</xm:f>
          </x14:formula1>
          <xm:sqref>F35</xm:sqref>
        </x14:dataValidation>
        <x14:dataValidation type="list" allowBlank="1" showInputMessage="1" xr:uid="{1B24FFAE-EC21-448F-AA67-24C67E26BF2A}">
          <x14:formula1>
            <xm:f>_xlfn.ANCHORARRAY(PUC!$CD$5)</xm:f>
          </x14:formula1>
          <xm:sqref>F36</xm:sqref>
        </x14:dataValidation>
        <x14:dataValidation type="list" allowBlank="1" showInputMessage="1" xr:uid="{136F0469-EA5B-42BF-8564-3CE32CC34ED2}">
          <x14:formula1>
            <xm:f>_xlfn.ANCHORARRAY(PUC!$CE$5)</xm:f>
          </x14:formula1>
          <xm:sqref>F37</xm:sqref>
        </x14:dataValidation>
        <x14:dataValidation type="list" allowBlank="1" showInputMessage="1" showErrorMessage="1" xr:uid="{A4A432F3-61CA-42C3-ABF5-E10BCEF07F90}">
          <x14:formula1>
            <xm:f>'Categorías inventario'!$C$7:$C$10</xm:f>
          </x14:formula1>
          <xm:sqref>H18</xm:sqref>
        </x14:dataValidation>
        <x14:dataValidation type="list" allowBlank="1" showInputMessage="1" xr:uid="{8BB24910-AF9F-489A-AFCE-EF7E7D48908C}">
          <x14:formula1>
            <xm:f>_xlfn.ANCHORARRAY('Inventario Prod. BD-2'!$AT$6)</xm:f>
          </x14:formula1>
          <xm:sqref>E28</xm:sqref>
        </x14:dataValidation>
        <x14:dataValidation type="list" allowBlank="1" showInputMessage="1" xr:uid="{4A7584CE-FEEF-4C83-9B01-0149EAE55166}">
          <x14:formula1>
            <xm:f>_xlfn.ANCHORARRAY('Inventario Prod. BD-2'!$AU$6)</xm:f>
          </x14:formula1>
          <xm:sqref>E29</xm:sqref>
        </x14:dataValidation>
        <x14:dataValidation type="list" allowBlank="1" showInputMessage="1" xr:uid="{DA192AFE-58C1-43F8-A74D-99858A453AC6}">
          <x14:formula1>
            <xm:f>_xlfn.ANCHORARRAY('Inventario Prod. BD-2'!$AV$6)</xm:f>
          </x14:formula1>
          <xm:sqref>E30</xm:sqref>
        </x14:dataValidation>
        <x14:dataValidation type="list" allowBlank="1" showInputMessage="1" xr:uid="{45393C6E-F027-4FAB-B75B-7365075F660B}">
          <x14:formula1>
            <xm:f>_xlfn.ANCHORARRAY('Inventario Prod. BD-2'!$AW$6)</xm:f>
          </x14:formula1>
          <xm:sqref>E31</xm:sqref>
        </x14:dataValidation>
        <x14:dataValidation type="list" allowBlank="1" showInputMessage="1" xr:uid="{4FC9E978-EEF5-4B6C-90EE-79F9BBB03BDA}">
          <x14:formula1>
            <xm:f>_xlfn.ANCHORARRAY('Inventario Prod. BD-2'!$AX$6)</xm:f>
          </x14:formula1>
          <xm:sqref>E32</xm:sqref>
        </x14:dataValidation>
        <x14:dataValidation type="list" allowBlank="1" showInputMessage="1" xr:uid="{92AD33CF-8CF9-4187-A05E-A24F05E7608E}">
          <x14:formula1>
            <xm:f>_xlfn.ANCHORARRAY('Inventario Prod. BD-2'!$AY$6)</xm:f>
          </x14:formula1>
          <xm:sqref>E33</xm:sqref>
        </x14:dataValidation>
        <x14:dataValidation type="list" allowBlank="1" showInputMessage="1" xr:uid="{56F1631F-1D02-4284-9A56-0FFFD88696F8}">
          <x14:formula1>
            <xm:f>'Inventario Prod. BD-2'!$AY$63</xm:f>
          </x14:formula1>
          <xm:sqref>E34</xm:sqref>
        </x14:dataValidation>
        <x14:dataValidation type="list" allowBlank="1" showInputMessage="1" xr:uid="{D62BC401-2C13-4C01-9764-BA7A5941A85B}">
          <x14:formula1>
            <xm:f>_xlfn.ANCHORARRAY('Inventario Prod. BD-2'!$BA$6)</xm:f>
          </x14:formula1>
          <xm:sqref>E35</xm:sqref>
        </x14:dataValidation>
        <x14:dataValidation type="list" allowBlank="1" showInputMessage="1" xr:uid="{298FCBFA-E1FC-412F-A289-E7A8B3C8F88E}">
          <x14:formula1>
            <xm:f>_xlfn.ANCHORARRAY('Inventario Prod. BD-2'!$BB$6)</xm:f>
          </x14:formula1>
          <xm:sqref>E36</xm:sqref>
        </x14:dataValidation>
        <x14:dataValidation type="list" allowBlank="1" showInputMessage="1" xr:uid="{A3E783F1-005A-44AF-BF97-8ACC1B42FEB7}">
          <x14:formula1>
            <xm:f>_xlfn.ANCHORARRAY('Inventario Prod. BD-2'!$BC$6)</xm:f>
          </x14:formula1>
          <xm:sqref>E37</xm:sqref>
        </x14:dataValidation>
        <x14:dataValidation type="list" allowBlank="1" showInputMessage="1" showErrorMessage="1" xr:uid="{0DE930A5-1105-4D58-BD36-E7D1539F5C55}">
          <x14:formula1>
            <xm:f>'Categorías inventario'!$E$7:$E$10</xm:f>
          </x14:formula1>
          <xm:sqref>H22</xm:sqref>
        </x14:dataValidation>
        <x14:dataValidation type="list" allowBlank="1" showInputMessage="1" showErrorMessage="1" xr:uid="{79BA4E8C-F81A-438A-B2C8-6B88AF12A66C}">
          <x14:formula1>
            <xm:f>'Categorías inventario'!$G$7:$G$8</xm:f>
          </x14:formula1>
          <xm:sqref>H20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299D0-D156-47CF-87ED-538CEA45E49F}">
  <sheetPr codeName="Hoja19"/>
  <dimension ref="A1:Z80"/>
  <sheetViews>
    <sheetView showGridLines="0" showRowColHeaders="0" zoomScale="90" zoomScaleNormal="90" workbookViewId="0"/>
  </sheetViews>
  <sheetFormatPr baseColWidth="10" defaultColWidth="12" defaultRowHeight="0" customHeight="1" zeroHeight="1" outlineLevelCol="1"/>
  <cols>
    <col min="1" max="1" width="20" style="1" customWidth="1"/>
    <col min="2" max="2" width="13" style="1" customWidth="1"/>
    <col min="3" max="3" width="9.33203125" style="1" customWidth="1"/>
    <col min="4" max="4" width="15.83203125" style="1" customWidth="1"/>
    <col min="5" max="5" width="76.83203125" style="1" customWidth="1"/>
    <col min="6" max="6" width="25.5" style="1" customWidth="1"/>
    <col min="7" max="7" width="20.33203125" style="1" customWidth="1"/>
    <col min="8" max="8" width="24.33203125" style="1" customWidth="1"/>
    <col min="9" max="9" width="20.33203125" style="1" customWidth="1"/>
    <col min="10" max="10" width="28" style="1" customWidth="1"/>
    <col min="11" max="11" width="12.33203125" style="1" customWidth="1"/>
    <col min="12" max="13" width="23.33203125" style="1" customWidth="1"/>
    <col min="14" max="14" width="13.83203125" style="1" customWidth="1"/>
    <col min="15" max="16" width="13.83203125" style="1" hidden="1" customWidth="1"/>
    <col min="17" max="17" width="12" style="1" hidden="1" customWidth="1"/>
    <col min="18" max="19" width="15.83203125" style="1" hidden="1" customWidth="1"/>
    <col min="20" max="20" width="12" style="1" hidden="1" customWidth="1"/>
    <col min="21" max="21" width="0" style="1" hidden="1" customWidth="1"/>
    <col min="22" max="26" width="12" style="1"/>
    <col min="27" max="16384" width="12" style="1" outlineLevel="1"/>
  </cols>
  <sheetData>
    <row r="1" spans="3:19" ht="14.25"/>
    <row r="2" spans="3:19" ht="39" customHeight="1">
      <c r="E2" s="249" t="s">
        <v>1007</v>
      </c>
      <c r="F2" s="250"/>
      <c r="G2" s="250"/>
      <c r="H2" s="250"/>
      <c r="I2" s="250"/>
    </row>
    <row r="3" spans="3:19" ht="15" thickBot="1"/>
    <row r="4" spans="3:19" ht="21.75" customHeight="1">
      <c r="C4" s="107"/>
      <c r="D4" s="108"/>
      <c r="E4" s="109"/>
      <c r="F4" s="108"/>
      <c r="G4" s="108"/>
      <c r="H4" s="108"/>
      <c r="I4" s="108"/>
      <c r="J4" s="108"/>
      <c r="K4" s="110"/>
    </row>
    <row r="5" spans="3:19" ht="22.5" customHeight="1">
      <c r="C5" s="111"/>
      <c r="E5" s="254">
        <f>INICIO!I8</f>
        <v>0</v>
      </c>
      <c r="F5" s="254"/>
      <c r="G5" s="254"/>
      <c r="J5" s="21"/>
      <c r="K5" s="112"/>
    </row>
    <row r="6" spans="3:19" ht="22.5" customHeight="1">
      <c r="C6" s="111"/>
      <c r="E6" s="254">
        <f>INICIO!I12</f>
        <v>0</v>
      </c>
      <c r="F6" s="254"/>
      <c r="G6" s="254"/>
      <c r="J6" s="21"/>
      <c r="K6" s="112"/>
    </row>
    <row r="7" spans="3:19" ht="22.5" customHeight="1" thickBot="1">
      <c r="C7" s="111"/>
      <c r="E7" s="18"/>
      <c r="J7" s="21"/>
      <c r="K7" s="112"/>
    </row>
    <row r="8" spans="3:19" ht="32.25" customHeight="1" thickBot="1">
      <c r="C8" s="113"/>
      <c r="D8" s="106"/>
      <c r="G8" s="16" t="s">
        <v>955</v>
      </c>
      <c r="H8" s="151" t="str">
        <f>IF(INICIO!B18="","Responsable no especificado",INICIO!B18)</f>
        <v>Responsable no especificado</v>
      </c>
      <c r="I8" s="16"/>
      <c r="K8" s="112"/>
    </row>
    <row r="9" spans="3:19" ht="15" thickBot="1">
      <c r="C9" s="111"/>
      <c r="E9" s="18" t="s">
        <v>778</v>
      </c>
      <c r="H9" s="17"/>
      <c r="K9" s="112"/>
      <c r="O9" s="136" t="s">
        <v>3</v>
      </c>
      <c r="P9" s="136" t="s">
        <v>2</v>
      </c>
      <c r="Q9" s="136" t="s">
        <v>770</v>
      </c>
      <c r="R9" s="136" t="s">
        <v>773</v>
      </c>
      <c r="S9" s="136" t="s">
        <v>774</v>
      </c>
    </row>
    <row r="10" spans="3:19" ht="19.5" customHeight="1" thickBot="1">
      <c r="C10" s="111"/>
      <c r="E10" s="119"/>
      <c r="G10" s="1" t="s">
        <v>25</v>
      </c>
      <c r="H10" s="120"/>
      <c r="K10" s="112"/>
      <c r="O10" s="138">
        <v>1</v>
      </c>
      <c r="P10" s="138"/>
      <c r="Q10" s="138">
        <f>$G$23</f>
        <v>413524</v>
      </c>
      <c r="R10" s="138">
        <f>IF( OR(IFERROR((LEFT(INICIO!C8,SEARCH("-",INICIO!C8)-1)),0)="IVA", IFERROR((LEFT(INICIO!C8,SEARCH("-",INICIO!C8)-1)),0)="INC",  IFERROR((LEFT(INICIO!C10,SEARCH("-",INICIO!C10)-1)),0)="IVA",  IFERROR((LEFT(INICIO!C10,SEARCH("-",INICIO!C10)-1)),0)="INC", IFERROR((LEFT(INICIO!C12,SEARCH("-",INICIO!C12)-1)),0)="IVA", IFERROR((LEFT(INICIO!C12,SEARCH("-",INICIO!C12)-1)),0)="INC",IFERROR((LEFT(INICIO!F8,SEARCH("-",INICIO!F8)-1)),0)="IVA", IFERROR((LEFT(INICIO!F8,SEARCH("-",INICIO!F8)-1)),0)="INC", IFERROR((LEFT(INICIO!F10,SEARCH("-",INICIO!F10)-1)),0)="IVA", IFERROR((LEFT(INICIO!F10,SEARCH("-",INICIO!F10)-1)),0)="INC", IFERROR((LEFT(INICIO!F12,SEARCH("-",INICIO!F12)-1)),0)="IVA", IFERROR((LEFT(INICIO!F12,SEARCH("-",INICIO!F12)-1)),0)="INC" ),      IF((SUM('F-VTA'!D28*'F-VTA'!G28,'F-VTA'!D29*'F-VTA'!G29,'F-VTA'!D30*'F-VTA'!G30,'F-VTA'!D31*'F-VTA'!G31,'F-VTA'!D32*'F-VTA'!G32,'F-VTA'!D33*'F-VTA'!G33,'F-VTA'!D34*'F-VTA'!G34,'F-VTA'!D35*'F-VTA'!G35,'F-VTA'!D36*'F-VTA'!G36))&lt;0, (SUM('F-VTA'!D28*'F-VTA'!G28,'F-VTA'!D29*'F-VTA'!G29,'F-VTA'!D30*'F-VTA'!G30,'F-VTA'!D31*'F-VTA'!G31,'F-VTA'!D32*'F-VTA'!G32,'F-VTA'!D33*'F-VTA'!G33,'F-VTA'!D34*'F-VTA'!G34,'F-VTA'!D35*'F-VTA'!G35,'F-VTA'!D36*'F-VTA'!G36))*-1,0), IF((SUM(J28:J36))&lt;0,(SUM(J28:J36))*-1,0))</f>
        <v>0</v>
      </c>
      <c r="S10" s="139">
        <f>IF( OR(IFERROR((LEFT(INICIO!C8,SEARCH("-",INICIO!C8)-1)),0)="IVA", IFERROR((LEFT(INICIO!C8,SEARCH("-",INICIO!C8)-1)),0)="INC",  IFERROR((LEFT(INICIO!C10,SEARCH("-",INICIO!C10)-1)),0)="IVA",  IFERROR((LEFT(INICIO!C10,SEARCH("-",INICIO!C10)-1)),0)="INC", IFERROR((LEFT(INICIO!C12,SEARCH("-",INICIO!C12)-1)),0)="IVA", IFERROR((LEFT(INICIO!C12,SEARCH("-",INICIO!C12)-1)),0)="INC",IFERROR((LEFT(INICIO!F8,SEARCH("-",INICIO!F8)-1)),0)="IVA", IFERROR((LEFT(INICIO!F8,SEARCH("-",INICIO!F8)-1)),0)="INC", IFERROR((LEFT(INICIO!F10,SEARCH("-",INICIO!F10)-1)),0)="IVA", IFERROR((LEFT(INICIO!F10,SEARCH("-",INICIO!F10)-1)),0)="INC", IFERROR((LEFT(INICIO!F12,SEARCH("-",INICIO!F12)-1)),0)="IVA", IFERROR((LEFT(INICIO!F12,SEARCH("-",INICIO!F12)-1)),0)="INC" ),      IF((SUM('F-VTA'!D28*'F-VTA'!G28,'F-VTA'!D29*'F-VTA'!G29,'F-VTA'!D30*'F-VTA'!G30,'F-VTA'!D31*'F-VTA'!G31,'F-VTA'!D32*'F-VTA'!G32,'F-VTA'!D33*'F-VTA'!G33,'F-VTA'!D34*'F-VTA'!G34,'F-VTA'!D35*'F-VTA'!G35,'F-VTA'!D36*'F-VTA'!G36))&lt;0, 0,(SUM('F-VTA'!D28*'F-VTA'!G28,'F-VTA'!D29*'F-VTA'!G29,'F-VTA'!D30*'F-VTA'!G30,'F-VTA'!D31*'F-VTA'!G31,'F-VTA'!D32*'F-VTA'!G32,'F-VTA'!D33*'F-VTA'!G33,'F-VTA'!D34*'F-VTA'!G34,'F-VTA'!D35*'F-VTA'!G35,'F-VTA'!D36*'F-VTA'!G36))), IF((SUM(J28:J36))&lt;0,0,(SUM(J28:J36))))</f>
        <v>0</v>
      </c>
    </row>
    <row r="11" spans="3:19" ht="15" thickBot="1">
      <c r="C11" s="111"/>
      <c r="H11" s="17"/>
      <c r="K11" s="112"/>
      <c r="O11" s="123">
        <f t="shared" ref="O11:O19" si="0">$D28</f>
        <v>0</v>
      </c>
      <c r="P11" s="124">
        <f t="shared" ref="P11:P19" si="1">$G28</f>
        <v>0</v>
      </c>
      <c r="Q11" s="123" t="str">
        <f t="shared" ref="Q11:Q19" si="2">IF($F28=0,"",$F28)</f>
        <v/>
      </c>
      <c r="R11" s="137">
        <f t="shared" ref="R11:R19" si="3">IF(OR($J28=0,$J28&lt;0),0,$J28)</f>
        <v>0</v>
      </c>
      <c r="S11" s="137">
        <f t="shared" ref="S11:S19" si="4">IF(OR($J28=0,$J28&gt;0),0,$J28*-1)</f>
        <v>0</v>
      </c>
    </row>
    <row r="12" spans="3:19" ht="17.25" customHeight="1" thickBot="1">
      <c r="C12" s="111"/>
      <c r="D12" s="16"/>
      <c r="E12" s="16"/>
      <c r="G12" s="1" t="s">
        <v>26</v>
      </c>
      <c r="H12" s="120"/>
      <c r="K12" s="112"/>
      <c r="O12" s="123">
        <f t="shared" si="0"/>
        <v>0</v>
      </c>
      <c r="P12" s="124">
        <f t="shared" si="1"/>
        <v>0</v>
      </c>
      <c r="Q12" s="123" t="str">
        <f t="shared" si="2"/>
        <v/>
      </c>
      <c r="R12" s="137">
        <f t="shared" si="3"/>
        <v>0</v>
      </c>
      <c r="S12" s="137">
        <f t="shared" si="4"/>
        <v>0</v>
      </c>
    </row>
    <row r="13" spans="3:19" ht="16.5" customHeight="1" thickBot="1">
      <c r="C13" s="111"/>
      <c r="E13" s="153"/>
      <c r="K13" s="112"/>
      <c r="O13" s="123">
        <f t="shared" si="0"/>
        <v>0</v>
      </c>
      <c r="P13" s="124">
        <f t="shared" si="1"/>
        <v>0</v>
      </c>
      <c r="Q13" s="123" t="str">
        <f t="shared" si="2"/>
        <v/>
      </c>
      <c r="R13" s="137">
        <f t="shared" si="3"/>
        <v>0</v>
      </c>
      <c r="S13" s="137">
        <f t="shared" si="4"/>
        <v>0</v>
      </c>
    </row>
    <row r="14" spans="3:19" ht="18" customHeight="1" thickBot="1">
      <c r="C14" s="111"/>
      <c r="G14" s="1" t="s">
        <v>27</v>
      </c>
      <c r="H14" s="121"/>
      <c r="K14" s="112"/>
      <c r="O14" s="123">
        <f t="shared" si="0"/>
        <v>0</v>
      </c>
      <c r="P14" s="124">
        <f t="shared" si="1"/>
        <v>0</v>
      </c>
      <c r="Q14" s="123" t="str">
        <f t="shared" si="2"/>
        <v/>
      </c>
      <c r="R14" s="137">
        <f t="shared" si="3"/>
        <v>0</v>
      </c>
      <c r="S14" s="137">
        <f t="shared" si="4"/>
        <v>0</v>
      </c>
    </row>
    <row r="15" spans="3:19" ht="15" thickBot="1">
      <c r="C15" s="111"/>
      <c r="E15" s="153"/>
      <c r="K15" s="112"/>
      <c r="O15" s="123">
        <f t="shared" si="0"/>
        <v>0</v>
      </c>
      <c r="P15" s="124">
        <f t="shared" si="1"/>
        <v>0</v>
      </c>
      <c r="Q15" s="123" t="str">
        <f t="shared" si="2"/>
        <v/>
      </c>
      <c r="R15" s="137">
        <f t="shared" si="3"/>
        <v>0</v>
      </c>
      <c r="S15" s="137">
        <f t="shared" si="4"/>
        <v>0</v>
      </c>
    </row>
    <row r="16" spans="3:19" ht="15" thickBot="1">
      <c r="C16" s="111"/>
      <c r="G16" s="1" t="s">
        <v>28</v>
      </c>
      <c r="H16" s="132" t="s">
        <v>766</v>
      </c>
      <c r="K16" s="112"/>
      <c r="O16" s="123">
        <f t="shared" si="0"/>
        <v>0</v>
      </c>
      <c r="P16" s="124">
        <f t="shared" si="1"/>
        <v>0</v>
      </c>
      <c r="Q16" s="123" t="str">
        <f t="shared" si="2"/>
        <v/>
      </c>
      <c r="R16" s="137">
        <f t="shared" si="3"/>
        <v>0</v>
      </c>
      <c r="S16" s="137">
        <f t="shared" si="4"/>
        <v>0</v>
      </c>
    </row>
    <row r="17" spans="3:20" ht="15" thickBot="1">
      <c r="C17" s="111"/>
      <c r="K17" s="112"/>
      <c r="L17" s="17"/>
      <c r="M17" s="17"/>
      <c r="O17" s="123">
        <f t="shared" si="0"/>
        <v>0</v>
      </c>
      <c r="P17" s="124">
        <f t="shared" si="1"/>
        <v>0</v>
      </c>
      <c r="Q17" s="123" t="str">
        <f t="shared" si="2"/>
        <v/>
      </c>
      <c r="R17" s="137">
        <f t="shared" si="3"/>
        <v>0</v>
      </c>
      <c r="S17" s="137">
        <f t="shared" si="4"/>
        <v>0</v>
      </c>
    </row>
    <row r="18" spans="3:20" ht="15" thickBot="1">
      <c r="C18" s="111"/>
      <c r="G18" s="1" t="s">
        <v>1004</v>
      </c>
      <c r="H18" s="225"/>
      <c r="K18" s="112"/>
      <c r="L18" s="17"/>
      <c r="M18" s="17"/>
      <c r="O18" s="123">
        <f t="shared" si="0"/>
        <v>0</v>
      </c>
      <c r="P18" s="124">
        <f t="shared" si="1"/>
        <v>0</v>
      </c>
      <c r="Q18" s="123" t="str">
        <f t="shared" si="2"/>
        <v/>
      </c>
      <c r="R18" s="137">
        <f t="shared" si="3"/>
        <v>0</v>
      </c>
      <c r="S18" s="137">
        <f t="shared" si="4"/>
        <v>0</v>
      </c>
    </row>
    <row r="19" spans="3:20" ht="15" thickBot="1">
      <c r="C19" s="111"/>
      <c r="K19" s="112"/>
      <c r="L19" s="17"/>
      <c r="M19" s="17"/>
      <c r="O19" s="123">
        <f t="shared" si="0"/>
        <v>0</v>
      </c>
      <c r="P19" s="124">
        <f t="shared" si="1"/>
        <v>0</v>
      </c>
      <c r="Q19" s="123" t="str">
        <f t="shared" si="2"/>
        <v/>
      </c>
      <c r="R19" s="137">
        <f t="shared" si="3"/>
        <v>0</v>
      </c>
      <c r="S19" s="137">
        <f t="shared" si="4"/>
        <v>0</v>
      </c>
    </row>
    <row r="20" spans="3:20" ht="15" thickBot="1">
      <c r="C20" s="111"/>
      <c r="G20" s="1" t="s">
        <v>1005</v>
      </c>
      <c r="H20" s="132" t="s">
        <v>975</v>
      </c>
      <c r="K20" s="112"/>
      <c r="L20" s="17"/>
      <c r="M20" s="17"/>
      <c r="O20" s="123">
        <v>1</v>
      </c>
      <c r="P20" s="124">
        <f>IF( OR(R10=G39,S10=G39),0, (SUMIFS(H28:H36,I28:I36,"=IVA-19%")*19%)+(SUMIFS(H28:H36,I28:I36,"=IVA-5%")*5%))</f>
        <v>0</v>
      </c>
      <c r="Q20" s="123">
        <f>$G$24</f>
        <v>240805</v>
      </c>
      <c r="R20" s="137">
        <f>IF(P20&lt;0,P20*-1,0)</f>
        <v>0</v>
      </c>
      <c r="S20" s="137">
        <f>IF(P20&lt;0,0,P20)</f>
        <v>0</v>
      </c>
    </row>
    <row r="21" spans="3:20" ht="14.25">
      <c r="C21" s="111"/>
      <c r="K21" s="112"/>
      <c r="L21" s="17"/>
      <c r="M21" s="17"/>
      <c r="O21" s="123">
        <v>1</v>
      </c>
      <c r="P21" s="124">
        <f>IF( OR(R10=G39,S10=G39),0,  (SUMIFS(H28:H36,I28:I36,"=INC-16%")*16%)+(SUMIFS(H28:H36,I28:I36,"=INC-8%")*8%)+(SUMIFS(H28:H36,I28:I36,"=INC-4%")*4%))</f>
        <v>0</v>
      </c>
      <c r="Q21" s="123">
        <f>$G$25</f>
        <v>246505</v>
      </c>
      <c r="R21" s="137">
        <f>IF(P21&lt;0,P21*-1,0)</f>
        <v>0</v>
      </c>
      <c r="S21" s="137">
        <f>IF(P21&lt;0,0,P21)</f>
        <v>0</v>
      </c>
    </row>
    <row r="22" spans="3:20" ht="15" thickBot="1">
      <c r="C22" s="111"/>
      <c r="K22" s="112"/>
      <c r="L22" s="17"/>
      <c r="M22" s="17"/>
      <c r="O22" s="123">
        <v>1</v>
      </c>
      <c r="P22" s="124">
        <f>$R37</f>
        <v>0</v>
      </c>
      <c r="Q22" s="123" t="str">
        <f>IF($T37=0,"",$T37)</f>
        <v/>
      </c>
      <c r="R22" s="138">
        <f t="shared" ref="R22" si="5">IF(P22&lt;0,P22*-1,0)</f>
        <v>0</v>
      </c>
      <c r="S22" s="138">
        <f>IF(S37&lt;0,0,S37)</f>
        <v>0</v>
      </c>
    </row>
    <row r="23" spans="3:20" ht="15" thickBot="1">
      <c r="C23" s="111"/>
      <c r="F23" s="140" t="s">
        <v>772</v>
      </c>
      <c r="G23" s="122">
        <v>413524</v>
      </c>
      <c r="H23" s="153"/>
      <c r="I23" s="153"/>
      <c r="K23" s="112"/>
      <c r="O23" s="123">
        <v>1</v>
      </c>
      <c r="P23" s="124">
        <f t="shared" ref="P23:P30" si="6">$R38</f>
        <v>0</v>
      </c>
      <c r="Q23" s="123" t="str">
        <f>IF($T38=0,"",$T38)</f>
        <v/>
      </c>
      <c r="R23" s="138">
        <f t="shared" ref="R23:R30" si="7">IF(P23&lt;0,P23*-1,0)</f>
        <v>0</v>
      </c>
      <c r="S23" s="138">
        <f t="shared" ref="S23:S30" si="8">IF(S38&lt;0,0,S38)</f>
        <v>0</v>
      </c>
    </row>
    <row r="24" spans="3:20" ht="15" thickBot="1">
      <c r="C24" s="111"/>
      <c r="F24" s="140" t="s">
        <v>1015</v>
      </c>
      <c r="G24" s="122">
        <v>240805</v>
      </c>
      <c r="H24" s="153"/>
      <c r="K24" s="112"/>
      <c r="O24" s="123">
        <v>1</v>
      </c>
      <c r="P24" s="124">
        <f t="shared" si="6"/>
        <v>0</v>
      </c>
      <c r="Q24" s="123" t="str">
        <f t="shared" ref="Q24:Q30" si="9">IF($T39=0,"",$T39)</f>
        <v/>
      </c>
      <c r="R24" s="138">
        <f t="shared" si="7"/>
        <v>0</v>
      </c>
      <c r="S24" s="138">
        <f t="shared" si="8"/>
        <v>0</v>
      </c>
    </row>
    <row r="25" spans="3:20" ht="15" thickBot="1">
      <c r="C25" s="111"/>
      <c r="F25" s="140" t="s">
        <v>1028</v>
      </c>
      <c r="G25" s="122">
        <v>246505</v>
      </c>
      <c r="K25" s="112"/>
      <c r="O25" s="123">
        <v>1</v>
      </c>
      <c r="P25" s="124">
        <f t="shared" si="6"/>
        <v>0</v>
      </c>
      <c r="Q25" s="123" t="str">
        <f t="shared" si="9"/>
        <v/>
      </c>
      <c r="R25" s="138">
        <f t="shared" si="7"/>
        <v>0</v>
      </c>
      <c r="S25" s="138">
        <f t="shared" si="8"/>
        <v>0</v>
      </c>
      <c r="T25" s="14"/>
    </row>
    <row r="26" spans="3:20" ht="14.25">
      <c r="C26" s="111"/>
      <c r="K26" s="112"/>
      <c r="O26" s="123">
        <v>1</v>
      </c>
      <c r="P26" s="124">
        <f t="shared" si="6"/>
        <v>0</v>
      </c>
      <c r="Q26" s="123" t="str">
        <f t="shared" si="9"/>
        <v/>
      </c>
      <c r="R26" s="138">
        <f t="shared" si="7"/>
        <v>0</v>
      </c>
      <c r="S26" s="138">
        <f t="shared" si="8"/>
        <v>0</v>
      </c>
      <c r="T26" s="14"/>
    </row>
    <row r="27" spans="3:20" ht="14.25">
      <c r="C27" s="111"/>
      <c r="D27" s="130" t="s">
        <v>3</v>
      </c>
      <c r="E27" s="130" t="s">
        <v>771</v>
      </c>
      <c r="F27" s="130" t="s">
        <v>4</v>
      </c>
      <c r="G27" s="130" t="s">
        <v>2</v>
      </c>
      <c r="H27" s="130" t="s">
        <v>1024</v>
      </c>
      <c r="I27" s="130" t="s">
        <v>962</v>
      </c>
      <c r="J27" s="131" t="s">
        <v>0</v>
      </c>
      <c r="K27" s="112"/>
      <c r="O27" s="123">
        <v>1</v>
      </c>
      <c r="P27" s="124">
        <f t="shared" si="6"/>
        <v>0</v>
      </c>
      <c r="Q27" s="123" t="str">
        <f t="shared" si="9"/>
        <v/>
      </c>
      <c r="R27" s="138">
        <f t="shared" si="7"/>
        <v>0</v>
      </c>
      <c r="S27" s="138">
        <f t="shared" si="8"/>
        <v>0</v>
      </c>
      <c r="T27" s="14"/>
    </row>
    <row r="28" spans="3:20" ht="14.25">
      <c r="C28" s="111"/>
      <c r="D28" s="123"/>
      <c r="E28" s="123"/>
      <c r="F28" s="208"/>
      <c r="G28" s="124"/>
      <c r="H28" s="157">
        <f>D28*G28</f>
        <v>0</v>
      </c>
      <c r="I28" s="124"/>
      <c r="J28" s="127">
        <f>IFERROR(ROUND((IFERROR(D28*G28,0))+ IFERROR(((IFERROR(D28*G28,0))*(RIGHT(I28,(LEN(I28))-(SEARCH("-",I28))))),0),0),0)</f>
        <v>0</v>
      </c>
      <c r="K28" s="112"/>
      <c r="O28" s="123">
        <v>1</v>
      </c>
      <c r="P28" s="124">
        <f t="shared" si="6"/>
        <v>0</v>
      </c>
      <c r="Q28" s="123" t="str">
        <f t="shared" si="9"/>
        <v/>
      </c>
      <c r="R28" s="138">
        <f t="shared" si="7"/>
        <v>0</v>
      </c>
      <c r="S28" s="138">
        <f t="shared" si="8"/>
        <v>0</v>
      </c>
      <c r="T28" s="14"/>
    </row>
    <row r="29" spans="3:20" ht="14.25">
      <c r="C29" s="111"/>
      <c r="D29" s="123"/>
      <c r="E29" s="123"/>
      <c r="F29" s="208"/>
      <c r="G29" s="124"/>
      <c r="H29" s="157">
        <f t="shared" ref="H29:H36" si="10">D29*G29</f>
        <v>0</v>
      </c>
      <c r="I29" s="124"/>
      <c r="J29" s="127">
        <f t="shared" ref="J29:J36" si="11">IFERROR(ROUND((IFERROR(D29*G29,0))+ IFERROR(((IFERROR(D29*G29,0))*(RIGHT(I29,(LEN(I29))-(SEARCH("-",I29))))),0),0),0)</f>
        <v>0</v>
      </c>
      <c r="K29" s="112"/>
      <c r="O29" s="123">
        <v>1</v>
      </c>
      <c r="P29" s="124">
        <f t="shared" si="6"/>
        <v>0</v>
      </c>
      <c r="Q29" s="123" t="str">
        <f t="shared" si="9"/>
        <v/>
      </c>
      <c r="R29" s="138">
        <f t="shared" si="7"/>
        <v>0</v>
      </c>
      <c r="S29" s="138">
        <f t="shared" si="8"/>
        <v>0</v>
      </c>
      <c r="T29" s="14"/>
    </row>
    <row r="30" spans="3:20" ht="14.25">
      <c r="C30" s="111"/>
      <c r="D30" s="123"/>
      <c r="E30" s="123"/>
      <c r="F30" s="208"/>
      <c r="G30" s="124"/>
      <c r="H30" s="157">
        <f t="shared" si="10"/>
        <v>0</v>
      </c>
      <c r="I30" s="124"/>
      <c r="J30" s="127">
        <f t="shared" si="11"/>
        <v>0</v>
      </c>
      <c r="K30" s="112"/>
      <c r="O30" s="123">
        <v>1</v>
      </c>
      <c r="P30" s="124">
        <f t="shared" si="6"/>
        <v>0</v>
      </c>
      <c r="Q30" s="123" t="str">
        <f t="shared" si="9"/>
        <v/>
      </c>
      <c r="R30" s="138">
        <f t="shared" si="7"/>
        <v>0</v>
      </c>
      <c r="S30" s="138">
        <f t="shared" si="8"/>
        <v>0</v>
      </c>
      <c r="T30" s="14"/>
    </row>
    <row r="31" spans="3:20" ht="14.25">
      <c r="C31" s="111"/>
      <c r="D31" s="123"/>
      <c r="E31" s="123"/>
      <c r="F31" s="208"/>
      <c r="G31" s="124"/>
      <c r="H31" s="157">
        <f t="shared" si="10"/>
        <v>0</v>
      </c>
      <c r="I31" s="124"/>
      <c r="J31" s="127">
        <f t="shared" si="11"/>
        <v>0</v>
      </c>
      <c r="K31" s="112"/>
      <c r="O31" s="138"/>
      <c r="P31" s="139">
        <f>SUM(R22:S30)</f>
        <v>0</v>
      </c>
      <c r="Q31" s="138">
        <v>610505</v>
      </c>
      <c r="R31" s="137">
        <f>IF(OR($P31=0,$P31&lt;0),0,$P31)</f>
        <v>0</v>
      </c>
      <c r="S31" s="137">
        <f t="shared" ref="S31" si="12">IF(OR($J48=0,$J48&gt;0),0,$J48*-1)</f>
        <v>0</v>
      </c>
      <c r="T31" s="14"/>
    </row>
    <row r="32" spans="3:20" ht="14.25">
      <c r="C32" s="114"/>
      <c r="D32" s="123"/>
      <c r="E32" s="123"/>
      <c r="F32" s="208"/>
      <c r="G32" s="124"/>
      <c r="H32" s="157">
        <f t="shared" si="10"/>
        <v>0</v>
      </c>
      <c r="I32" s="124"/>
      <c r="J32" s="127">
        <f t="shared" si="11"/>
        <v>0</v>
      </c>
      <c r="K32" s="115"/>
      <c r="L32" s="3"/>
      <c r="M32" s="3"/>
      <c r="O32" s="2"/>
      <c r="S32" s="14"/>
      <c r="T32" s="14"/>
    </row>
    <row r="33" spans="3:20" ht="14.25">
      <c r="C33" s="111"/>
      <c r="D33" s="123"/>
      <c r="E33" s="123"/>
      <c r="F33" s="208"/>
      <c r="G33" s="124"/>
      <c r="H33" s="157">
        <f t="shared" si="10"/>
        <v>0</v>
      </c>
      <c r="I33" s="124"/>
      <c r="J33" s="127">
        <f t="shared" si="11"/>
        <v>0</v>
      </c>
      <c r="K33" s="112"/>
      <c r="O33" s="2" t="s">
        <v>1030</v>
      </c>
      <c r="R33" s="1">
        <f>SUM(R10:R31)</f>
        <v>0</v>
      </c>
      <c r="S33" s="1">
        <f>SUM(S10:S31)</f>
        <v>0</v>
      </c>
      <c r="T33" s="14">
        <f>R33-S33</f>
        <v>0</v>
      </c>
    </row>
    <row r="34" spans="3:20" ht="14.25">
      <c r="C34" s="111"/>
      <c r="D34" s="123"/>
      <c r="E34" s="123"/>
      <c r="F34" s="208"/>
      <c r="G34" s="124"/>
      <c r="H34" s="157">
        <f t="shared" si="10"/>
        <v>0</v>
      </c>
      <c r="I34" s="124"/>
      <c r="J34" s="127">
        <f t="shared" si="11"/>
        <v>0</v>
      </c>
      <c r="K34" s="112"/>
    </row>
    <row r="35" spans="3:20" ht="14.25">
      <c r="C35" s="111"/>
      <c r="D35" s="123"/>
      <c r="E35" s="123"/>
      <c r="F35" s="208"/>
      <c r="G35" s="124"/>
      <c r="H35" s="157">
        <f t="shared" si="10"/>
        <v>0</v>
      </c>
      <c r="I35" s="124"/>
      <c r="J35" s="127">
        <f t="shared" si="11"/>
        <v>0</v>
      </c>
      <c r="K35" s="112"/>
    </row>
    <row r="36" spans="3:20" ht="14.25">
      <c r="C36" s="111"/>
      <c r="D36" s="123"/>
      <c r="E36" s="123"/>
      <c r="F36" s="208"/>
      <c r="G36" s="124"/>
      <c r="H36" s="157">
        <f t="shared" si="10"/>
        <v>0</v>
      </c>
      <c r="I36" s="124"/>
      <c r="J36" s="127">
        <f t="shared" si="11"/>
        <v>0</v>
      </c>
      <c r="K36" s="112"/>
      <c r="O36" s="2" t="s">
        <v>963</v>
      </c>
      <c r="P36" s="2" t="s">
        <v>964</v>
      </c>
      <c r="Q36" s="2" t="s">
        <v>965</v>
      </c>
      <c r="R36" s="1" t="s">
        <v>1233</v>
      </c>
      <c r="S36" s="1" t="s">
        <v>1234</v>
      </c>
      <c r="T36" s="1" t="s">
        <v>1235</v>
      </c>
    </row>
    <row r="37" spans="3:20" ht="14.25">
      <c r="C37" s="111"/>
      <c r="K37" s="112"/>
      <c r="O37" s="1">
        <f t="shared" ref="O37:O45" si="13">IFERROR(LEFT(E28,SEARCH("-",E28)-1),0)</f>
        <v>0</v>
      </c>
      <c r="P37" s="1">
        <f t="shared" ref="P37:P45" si="14">IFERROR(RIGHT(E28,LEN(E28)-SEARCH("-",E28)),0)</f>
        <v>0</v>
      </c>
      <c r="Q37" s="1">
        <f>_xlfn.XLOOKUP(O37,Tabla15[CÓDIGO],Tabla15[CATEGORÍA],0)</f>
        <v>0</v>
      </c>
      <c r="R37" s="224">
        <f>IFERROR(_xlfn.XLOOKUP(O37,Tabla15[CÓDIGO],Tabla15[COSTO UND. ACTUAL]),0)</f>
        <v>0</v>
      </c>
      <c r="S37" s="224">
        <f t="shared" ref="S37:S45" si="15">R37*D28</f>
        <v>0</v>
      </c>
      <c r="T37" s="1">
        <f>_xlfn.XLOOKUP(O37,Tabla15[CÓDIGO],Tabla15[cuenta contable],0)</f>
        <v>0</v>
      </c>
    </row>
    <row r="38" spans="3:20" ht="15" thickBot="1">
      <c r="C38" s="111"/>
      <c r="K38" s="112"/>
      <c r="O38" s="1">
        <f t="shared" si="13"/>
        <v>0</v>
      </c>
      <c r="P38" s="1">
        <f t="shared" si="14"/>
        <v>0</v>
      </c>
      <c r="Q38" s="1">
        <f>_xlfn.XLOOKUP(O38,Tabla15[CÓDIGO],Tabla15[CATEGORÍA],0)</f>
        <v>0</v>
      </c>
      <c r="R38" s="224">
        <f>IFERROR(_xlfn.XLOOKUP(O38,Tabla15[CÓDIGO],Tabla15[COSTO UND. ACTUAL]),0)</f>
        <v>0</v>
      </c>
      <c r="S38" s="224">
        <f t="shared" si="15"/>
        <v>0</v>
      </c>
      <c r="T38" s="1">
        <f>_xlfn.XLOOKUP(O38,Tabla15[CÓDIGO],Tabla15[cuenta contable],0)</f>
        <v>0</v>
      </c>
    </row>
    <row r="39" spans="3:20" ht="15" thickBot="1">
      <c r="C39" s="111"/>
      <c r="F39" s="129" t="s">
        <v>1008</v>
      </c>
      <c r="G39" s="128">
        <f>+(SUM(J28:J36))</f>
        <v>0</v>
      </c>
      <c r="H39" s="154"/>
      <c r="I39" s="154"/>
      <c r="K39" s="112"/>
      <c r="O39" s="1">
        <f t="shared" si="13"/>
        <v>0</v>
      </c>
      <c r="P39" s="1">
        <f t="shared" si="14"/>
        <v>0</v>
      </c>
      <c r="Q39" s="1">
        <f>_xlfn.XLOOKUP(O39,Tabla15[CÓDIGO],Tabla15[CATEGORÍA],0)</f>
        <v>0</v>
      </c>
      <c r="R39" s="224">
        <f>IFERROR(_xlfn.XLOOKUP(O39,Tabla15[CÓDIGO],Tabla15[COSTO UND. ACTUAL]),0)</f>
        <v>0</v>
      </c>
      <c r="S39" s="224">
        <f t="shared" si="15"/>
        <v>0</v>
      </c>
      <c r="T39" s="1">
        <f>_xlfn.XLOOKUP(O39,Tabla15[CÓDIGO],Tabla15[cuenta contable],0)</f>
        <v>0</v>
      </c>
    </row>
    <row r="40" spans="3:20" ht="14.25">
      <c r="C40" s="111"/>
      <c r="K40" s="112"/>
      <c r="O40" s="1">
        <f t="shared" si="13"/>
        <v>0</v>
      </c>
      <c r="P40" s="1">
        <f t="shared" si="14"/>
        <v>0</v>
      </c>
      <c r="Q40" s="1">
        <f>_xlfn.XLOOKUP(O40,Tabla15[CÓDIGO],Tabla15[CATEGORÍA],0)</f>
        <v>0</v>
      </c>
      <c r="R40" s="224">
        <f>IFERROR(_xlfn.XLOOKUP(O40,Tabla15[CÓDIGO],Tabla15[COSTO UND. ACTUAL]),0)</f>
        <v>0</v>
      </c>
      <c r="S40" s="224">
        <f t="shared" si="15"/>
        <v>0</v>
      </c>
      <c r="T40" s="1">
        <f>_xlfn.XLOOKUP(O40,Tabla15[CÓDIGO],Tabla15[cuenta contable],0)</f>
        <v>0</v>
      </c>
    </row>
    <row r="41" spans="3:20" ht="14.25">
      <c r="C41" s="111"/>
      <c r="K41" s="112"/>
      <c r="O41" s="1">
        <f t="shared" si="13"/>
        <v>0</v>
      </c>
      <c r="P41" s="1">
        <f t="shared" si="14"/>
        <v>0</v>
      </c>
      <c r="Q41" s="1">
        <f>_xlfn.XLOOKUP(O41,Tabla15[CÓDIGO],Tabla15[CATEGORÍA],0)</f>
        <v>0</v>
      </c>
      <c r="R41" s="224">
        <f>IFERROR(_xlfn.XLOOKUP(O41,Tabla15[CÓDIGO],Tabla15[COSTO UND. ACTUAL]),0)</f>
        <v>0</v>
      </c>
      <c r="S41" s="224">
        <f t="shared" si="15"/>
        <v>0</v>
      </c>
      <c r="T41" s="1">
        <f>_xlfn.XLOOKUP(O41,Tabla15[CÓDIGO],Tabla15[cuenta contable],0)</f>
        <v>0</v>
      </c>
    </row>
    <row r="42" spans="3:20" ht="15" thickBot="1">
      <c r="C42" s="111"/>
      <c r="K42" s="112"/>
      <c r="O42" s="1">
        <f t="shared" si="13"/>
        <v>0</v>
      </c>
      <c r="P42" s="1">
        <f t="shared" si="14"/>
        <v>0</v>
      </c>
      <c r="Q42" s="1">
        <f>_xlfn.XLOOKUP(O42,Tabla15[CÓDIGO],Tabla15[CATEGORÍA],0)</f>
        <v>0</v>
      </c>
      <c r="R42" s="224">
        <f>IFERROR(_xlfn.XLOOKUP(O42,Tabla15[CÓDIGO],Tabla15[COSTO UND. ACTUAL]),0)</f>
        <v>0</v>
      </c>
      <c r="S42" s="224">
        <f t="shared" si="15"/>
        <v>0</v>
      </c>
      <c r="T42" s="1">
        <f>_xlfn.XLOOKUP(O42,Tabla15[CÓDIGO],Tabla15[cuenta contable],0)</f>
        <v>0</v>
      </c>
    </row>
    <row r="43" spans="3:20" ht="15" thickBot="1">
      <c r="C43" s="111"/>
      <c r="D43" s="134" t="s">
        <v>959</v>
      </c>
      <c r="E43" s="133"/>
      <c r="K43" s="112"/>
      <c r="O43" s="1">
        <f t="shared" si="13"/>
        <v>0</v>
      </c>
      <c r="P43" s="1">
        <f t="shared" si="14"/>
        <v>0</v>
      </c>
      <c r="Q43" s="1">
        <f>_xlfn.XLOOKUP(O43,Tabla15[CÓDIGO],Tabla15[CATEGORÍA],0)</f>
        <v>0</v>
      </c>
      <c r="R43" s="224">
        <f>IFERROR(_xlfn.XLOOKUP(O43,Tabla15[CÓDIGO],Tabla15[COSTO UND. ACTUAL]),0)</f>
        <v>0</v>
      </c>
      <c r="S43" s="224">
        <f t="shared" si="15"/>
        <v>0</v>
      </c>
      <c r="T43" s="1">
        <f>_xlfn.XLOOKUP(O43,Tabla15[CÓDIGO],Tabla15[cuenta contable],0)</f>
        <v>0</v>
      </c>
    </row>
    <row r="44" spans="3:20" ht="14.25">
      <c r="C44" s="111"/>
      <c r="K44" s="112"/>
      <c r="L44" s="14"/>
      <c r="M44" s="14"/>
      <c r="O44" s="1">
        <f t="shared" si="13"/>
        <v>0</v>
      </c>
      <c r="P44" s="1">
        <f t="shared" si="14"/>
        <v>0</v>
      </c>
      <c r="Q44" s="1">
        <f>_xlfn.XLOOKUP(O44,Tabla15[CÓDIGO],Tabla15[CATEGORÍA],0)</f>
        <v>0</v>
      </c>
      <c r="R44" s="224">
        <f>IFERROR(_xlfn.XLOOKUP(O44,Tabla15[CÓDIGO],Tabla15[COSTO UND. ACTUAL]),0)</f>
        <v>0</v>
      </c>
      <c r="S44" s="224">
        <f t="shared" si="15"/>
        <v>0</v>
      </c>
      <c r="T44" s="1">
        <f>_xlfn.XLOOKUP(O44,Tabla15[CÓDIGO],Tabla15[cuenta contable],0)</f>
        <v>0</v>
      </c>
    </row>
    <row r="45" spans="3:20" ht="48" customHeight="1">
      <c r="C45" s="111"/>
      <c r="K45" s="112"/>
      <c r="O45" s="1">
        <f t="shared" si="13"/>
        <v>0</v>
      </c>
      <c r="P45" s="1">
        <f t="shared" si="14"/>
        <v>0</v>
      </c>
      <c r="Q45" s="1">
        <f>_xlfn.XLOOKUP(O45,Tabla15[CÓDIGO],Tabla15[CATEGORÍA],0)</f>
        <v>0</v>
      </c>
      <c r="R45" s="1">
        <f>IFERROR(_xlfn.XLOOKUP(O45,Tabla15[CÓDIGO],Tabla15[COSTO UND. ACTUAL]),0)</f>
        <v>0</v>
      </c>
      <c r="S45" s="1">
        <f t="shared" si="15"/>
        <v>0</v>
      </c>
      <c r="T45" s="1">
        <f>_xlfn.XLOOKUP(O45,Tabla15[CÓDIGO],Tabla15[cuenta contable],0)</f>
        <v>0</v>
      </c>
    </row>
    <row r="46" spans="3:20" ht="15" thickBot="1">
      <c r="C46" s="116"/>
      <c r="D46" s="117"/>
      <c r="E46" s="117"/>
      <c r="F46" s="117"/>
      <c r="G46" s="117"/>
      <c r="H46" s="117"/>
      <c r="I46" s="117"/>
      <c r="J46" s="117"/>
      <c r="K46" s="118"/>
    </row>
    <row r="47" spans="3:20" ht="14.25"/>
    <row r="48" spans="3:20" ht="14.25"/>
    <row r="49" spans="14:17" ht="14.25"/>
    <row r="50" spans="14:17" ht="14.25"/>
    <row r="51" spans="14:17" ht="14.25">
      <c r="Q51" s="2" t="s">
        <v>819</v>
      </c>
    </row>
    <row r="52" spans="14:17" ht="14.25">
      <c r="Q52" s="1" t="str">
        <f>_xlfn.XLOOKUP($E$10,BDclient[ID-Cliente],BDclient[NIT/C.C.],0)&amp;$H$16&amp;$H$14&amp;"-"&amp;ROW(Q51)-50</f>
        <v>F. V.-1</v>
      </c>
    </row>
    <row r="53" spans="14:17" ht="14.25">
      <c r="Q53" s="1" t="str">
        <f>_xlfn.XLOOKUP($E$10,BDclient[ID-Cliente],BDclient[NIT/C.C.],0)&amp;$H$16&amp;$H$14&amp;"-"&amp;ROW(Q52)-50</f>
        <v>F. V.-2</v>
      </c>
    </row>
    <row r="54" spans="14:17" ht="14.25">
      <c r="N54" s="20"/>
      <c r="Q54" s="1" t="str">
        <f>_xlfn.XLOOKUP($E$10,BDclient[ID-Cliente],BDclient[NIT/C.C.],0)&amp;$H$16&amp;$H$14&amp;"-"&amp;ROW(Q53)-50</f>
        <v>F. V.-3</v>
      </c>
    </row>
    <row r="55" spans="14:17" ht="14.25">
      <c r="Q55" s="1" t="str">
        <f>_xlfn.XLOOKUP($E$10,BDclient[ID-Cliente],BDclient[NIT/C.C.],0)&amp;$H$16&amp;$H$14&amp;"-"&amp;ROW(Q54)-50</f>
        <v>F. V.-4</v>
      </c>
    </row>
    <row r="56" spans="14:17" ht="14.25">
      <c r="Q56" s="1" t="str">
        <f>_xlfn.XLOOKUP($E$10,BDclient[ID-Cliente],BDclient[NIT/C.C.],0)&amp;$H$16&amp;$H$14&amp;"-"&amp;ROW(Q55)-50</f>
        <v>F. V.-5</v>
      </c>
    </row>
    <row r="57" spans="14:17" ht="14.25">
      <c r="Q57" s="1" t="str">
        <f>_xlfn.XLOOKUP($E$10,BDclient[ID-Cliente],BDclient[NIT/C.C.],0)&amp;$H$16&amp;$H$14&amp;"-"&amp;ROW(Q56)-50</f>
        <v>F. V.-6</v>
      </c>
    </row>
    <row r="58" spans="14:17" ht="14.25">
      <c r="Q58" s="1" t="str">
        <f>_xlfn.XLOOKUP($E$10,BDclient[ID-Cliente],BDclient[NIT/C.C.],0)&amp;$H$16&amp;$H$14&amp;"-"&amp;ROW(Q57)-50</f>
        <v>F. V.-7</v>
      </c>
    </row>
    <row r="59" spans="14:17" ht="14.25">
      <c r="Q59" s="1" t="str">
        <f>_xlfn.XLOOKUP($E$10,BDclient[ID-Cliente],BDclient[NIT/C.C.],0)&amp;$H$16&amp;$H$14&amp;"-"&amp;ROW(Q58)-50</f>
        <v>F. V.-8</v>
      </c>
    </row>
    <row r="60" spans="14:17" ht="14.25">
      <c r="Q60" s="1" t="str">
        <f>_xlfn.XLOOKUP($E$10,BDclient[ID-Cliente],BDclient[NIT/C.C.],0)&amp;$H$16&amp;$H$14&amp;"-"&amp;ROW(Q59)-50</f>
        <v>F. V.-9</v>
      </c>
    </row>
    <row r="61" spans="14:17" ht="14.25">
      <c r="Q61" s="1" t="str">
        <f>_xlfn.XLOOKUP($E$10,BDclient[ID-Cliente],BDclient[NIT/C.C.],0)&amp;$H$16&amp;$H$14&amp;"-"&amp;ROW(Q60)-50</f>
        <v>F. V.-10</v>
      </c>
    </row>
    <row r="62" spans="14:17" ht="14.25">
      <c r="Q62" s="1" t="str">
        <f>_xlfn.XLOOKUP($E$10,BDclient[ID-Cliente],BDclient[NIT/C.C.],0)&amp;$H$16&amp;$H$14&amp;"-IVA"</f>
        <v>F. V.-IVA</v>
      </c>
    </row>
    <row r="63" spans="14:17" ht="14.25">
      <c r="Q63" s="1" t="str">
        <f>_xlfn.XLOOKUP($E$10,BDclient[ID-Cliente],BDclient[NIT/C.C.],0)&amp;$H$16&amp;$H$14&amp;"-INC"</f>
        <v>F. V.-INC</v>
      </c>
    </row>
    <row r="64" spans="14:17" ht="14.25">
      <c r="Q64" s="1" t="str">
        <f>_xlfn.XLOOKUP($E$10,BDclient[ID-Cliente],BDclient[NIT/C.C.],0)&amp;$H$16&amp;$H$14&amp;"-"&amp;ROW(Q63)-50</f>
        <v>F. V.-13</v>
      </c>
    </row>
    <row r="65" spans="17:17" ht="14.25">
      <c r="Q65" s="1" t="str">
        <f>_xlfn.XLOOKUP($E$10,BDclient[ID-Cliente],BDclient[NIT/C.C.],0)&amp;$H$16&amp;$H$14&amp;"-"&amp;ROW(Q64)-50</f>
        <v>F. V.-14</v>
      </c>
    </row>
    <row r="66" spans="17:17" ht="14.25">
      <c r="Q66" s="1" t="str">
        <f>_xlfn.XLOOKUP($E$10,BDclient[ID-Cliente],BDclient[NIT/C.C.],0)&amp;$H$16&amp;$H$14&amp;"-"&amp;ROW(Q65)-50</f>
        <v>F. V.-15</v>
      </c>
    </row>
    <row r="67" spans="17:17" ht="14.25">
      <c r="Q67" s="1" t="str">
        <f>_xlfn.XLOOKUP($E$10,BDclient[ID-Cliente],BDclient[NIT/C.C.],0)&amp;$H$16&amp;$H$14&amp;"-"&amp;ROW(Q66)-50</f>
        <v>F. V.-16</v>
      </c>
    </row>
    <row r="68" spans="17:17" ht="14.25">
      <c r="Q68" s="1" t="str">
        <f>_xlfn.XLOOKUP($E$10,BDclient[ID-Cliente],BDclient[NIT/C.C.],0)&amp;$H$16&amp;$H$14&amp;"-"&amp;ROW(Q67)-50</f>
        <v>F. V.-17</v>
      </c>
    </row>
    <row r="69" spans="17:17" ht="14.25">
      <c r="Q69" s="1" t="str">
        <f>_xlfn.XLOOKUP($E$10,BDclient[ID-Cliente],BDclient[NIT/C.C.],0)&amp;$H$16&amp;$H$14&amp;"-"&amp;ROW(Q68)-50</f>
        <v>F. V.-18</v>
      </c>
    </row>
    <row r="70" spans="17:17" ht="14.25">
      <c r="Q70" s="1" t="str">
        <f>_xlfn.XLOOKUP($E$10,BDclient[ID-Cliente],BDclient[NIT/C.C.],0)&amp;$H$16&amp;$H$14&amp;"-"&amp;ROW(Q69)-50</f>
        <v>F. V.-19</v>
      </c>
    </row>
    <row r="71" spans="17:17" ht="14.25">
      <c r="Q71" s="1" t="str">
        <f>_xlfn.XLOOKUP($E$10,BDclient[ID-Cliente],BDclient[NIT/C.C.],0)&amp;$H$16&amp;$H$14&amp;"-"&amp;ROW(Q70)-50</f>
        <v>F. V.-20</v>
      </c>
    </row>
    <row r="72" spans="17:17" ht="14.25">
      <c r="Q72" s="1" t="str">
        <f>_xlfn.XLOOKUP($E$10,BDclient[ID-Cliente],BDclient[NIT/C.C.],0)&amp;$H$16&amp;$H$14&amp;"-"&amp;ROW(Q71)-50</f>
        <v>F. V.-21</v>
      </c>
    </row>
    <row r="73" spans="17:17" ht="14.25">
      <c r="Q73" s="1" t="str">
        <f>_xlfn.XLOOKUP($E$10,BDclient[ID-Cliente],BDclient[NIT/C.C.],0)&amp;$H$16&amp;$H$14&amp;"-"&amp;ROW(Q72)-50</f>
        <v>F. V.-22</v>
      </c>
    </row>
    <row r="74" spans="17:17" ht="14.25"/>
    <row r="75" spans="17:17" ht="14.25"/>
    <row r="76" spans="17:17" ht="14.25"/>
    <row r="77" spans="17:17" ht="14.25"/>
    <row r="78" spans="17:17" ht="14.25"/>
    <row r="79" spans="17:17" ht="14.25" customHeight="1"/>
    <row r="80" spans="17:17" ht="14.25" hidden="1" customHeight="1"/>
  </sheetData>
  <mergeCells count="3">
    <mergeCell ref="E2:I2"/>
    <mergeCell ref="E5:G5"/>
    <mergeCell ref="E6:G6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83000C9C-3F09-42B6-B72D-EDB7C628676C}">
            <xm:f>IF(AND($I$28&lt;&gt;"",INICIO!$E$6="NO"),"VERDADERO","FALSO")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I28:I36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6">
        <x14:dataValidation type="list" allowBlank="1" showInputMessage="1" showErrorMessage="1" xr:uid="{5182728E-F22B-4DB0-AAC2-C07CC0BC288B}">
          <x14:formula1>
            <xm:f>'Otras BD'!$C$4:$C$8</xm:f>
          </x14:formula1>
          <xm:sqref>H16</xm:sqref>
        </x14:dataValidation>
        <x14:dataValidation type="list" allowBlank="1" showInputMessage="1" xr:uid="{1936B57C-FD3E-4848-A473-CC65E0F67E2B}">
          <x14:formula1>
            <xm:f>_xlfn.ANCHORARRAY('BD-Tercero Clientes'!$N$6)</xm:f>
          </x14:formula1>
          <xm:sqref>E10</xm:sqref>
        </x14:dataValidation>
        <x14:dataValidation type="list" allowBlank="1" showInputMessage="1" xr:uid="{929FD027-6AA0-42B6-9BD1-E423C2479C01}">
          <x14:formula1>
            <xm:f>'Otras BD'!$E$6:$E$10</xm:f>
          </x14:formula1>
          <xm:sqref>I28:I36</xm:sqref>
        </x14:dataValidation>
        <x14:dataValidation type="list" allowBlank="1" showInputMessage="1" xr:uid="{8713943B-BD83-47EB-B806-0A0E219C041B}">
          <x14:formula1>
            <xm:f>_xlfn.ANCHORARRAY('Inventario Prod. BD-2'!$AJ$6)</xm:f>
          </x14:formula1>
          <xm:sqref>E28</xm:sqref>
        </x14:dataValidation>
        <x14:dataValidation type="list" allowBlank="1" showInputMessage="1" xr:uid="{4F007436-0BF9-4238-8C24-808C9C2B4991}">
          <x14:formula1>
            <xm:f>_xlfn.ANCHORARRAY('Inventario Prod. BD-2'!$AK$6)</xm:f>
          </x14:formula1>
          <xm:sqref>E29</xm:sqref>
        </x14:dataValidation>
        <x14:dataValidation type="list" allowBlank="1" showInputMessage="1" xr:uid="{AF08BB34-307D-48BA-94D6-16964BAF1177}">
          <x14:formula1>
            <xm:f>_xlfn.ANCHORARRAY('Inventario Prod. BD-2'!$AL$6)</xm:f>
          </x14:formula1>
          <xm:sqref>E30</xm:sqref>
        </x14:dataValidation>
        <x14:dataValidation type="list" allowBlank="1" showInputMessage="1" xr:uid="{65D3F432-537A-451A-B30E-BFB8AD8751EF}">
          <x14:formula1>
            <xm:f>_xlfn.ANCHORARRAY('Inventario Prod. BD-2'!$AM$6)</xm:f>
          </x14:formula1>
          <xm:sqref>E31</xm:sqref>
        </x14:dataValidation>
        <x14:dataValidation type="list" allowBlank="1" showInputMessage="1" xr:uid="{8D039F8B-8824-49B2-9235-7BF60D7DB31A}">
          <x14:formula1>
            <xm:f>_xlfn.ANCHORARRAY('Inventario Prod. BD-2'!$AN$6)</xm:f>
          </x14:formula1>
          <xm:sqref>E32</xm:sqref>
        </x14:dataValidation>
        <x14:dataValidation type="list" allowBlank="1" showInputMessage="1" xr:uid="{3A16E1EE-0485-4A95-9CF8-C44DEA6C5449}">
          <x14:formula1>
            <xm:f>_xlfn.ANCHORARRAY('Inventario Prod. BD-2'!$AO$6)</xm:f>
          </x14:formula1>
          <xm:sqref>E33</xm:sqref>
        </x14:dataValidation>
        <x14:dataValidation type="list" allowBlank="1" showInputMessage="1" xr:uid="{B5F5B3AC-45E8-4C98-9853-07365B12E3B4}">
          <x14:formula1>
            <xm:f>_xlfn.ANCHORARRAY('Inventario Prod. BD-2'!$AP$6)</xm:f>
          </x14:formula1>
          <xm:sqref>E34</xm:sqref>
        </x14:dataValidation>
        <x14:dataValidation type="list" allowBlank="1" showInputMessage="1" xr:uid="{57F0B358-A5EC-4EEC-B816-0CA99A374901}">
          <x14:formula1>
            <xm:f>_xlfn.ANCHORARRAY('Inventario Prod. BD-2'!$AQ$6)</xm:f>
          </x14:formula1>
          <xm:sqref>E35</xm:sqref>
        </x14:dataValidation>
        <x14:dataValidation type="list" allowBlank="1" showInputMessage="1" xr:uid="{0A4D2BFE-320A-4E32-8526-6B0983B6709A}">
          <x14:formula1>
            <xm:f>_xlfn.ANCHORARRAY('Inventario Prod. BD-2'!$AR$6)</xm:f>
          </x14:formula1>
          <xm:sqref>E36</xm:sqref>
        </x14:dataValidation>
        <x14:dataValidation type="list" allowBlank="1" showInputMessage="1" xr:uid="{F06521CE-4A97-4335-9271-2AFEB3B844C0}">
          <x14:formula1>
            <xm:f>_xlfn.ANCHORARRAY(PUC!$CP$5)</xm:f>
          </x14:formula1>
          <xm:sqref>G23</xm:sqref>
        </x14:dataValidation>
        <x14:dataValidation type="list" allowBlank="1" showInputMessage="1" xr:uid="{64A9224A-1EE4-4F8A-8C38-B3330865466C}">
          <x14:formula1>
            <xm:f>_xlfn.ANCHORARRAY(PUC!$CQ$5)</xm:f>
          </x14:formula1>
          <xm:sqref>G24</xm:sqref>
        </x14:dataValidation>
        <x14:dataValidation type="list" allowBlank="1" showInputMessage="1" xr:uid="{349D3FCB-F840-4B9E-B5E5-028D0A115FDF}">
          <x14:formula1>
            <xm:f>_xlfn.ANCHORARRAY(PUC!$CR$5)</xm:f>
          </x14:formula1>
          <xm:sqref>G25</xm:sqref>
        </x14:dataValidation>
        <x14:dataValidation type="list" allowBlank="1" showInputMessage="1" xr:uid="{45BC737D-ED9A-4E42-879D-D56C7F380CA9}">
          <x14:formula1>
            <xm:f>_xlfn.ANCHORARRAY(PUC!$CS$5)</xm:f>
          </x14:formula1>
          <xm:sqref>F28</xm:sqref>
        </x14:dataValidation>
        <x14:dataValidation type="list" allowBlank="1" showInputMessage="1" xr:uid="{20F45350-17E2-44E0-AA8A-36178BE1A2B1}">
          <x14:formula1>
            <xm:f>_xlfn.ANCHORARRAY(PUC!$CT$5)</xm:f>
          </x14:formula1>
          <xm:sqref>F29</xm:sqref>
        </x14:dataValidation>
        <x14:dataValidation type="list" allowBlank="1" showInputMessage="1" xr:uid="{FC5A5B66-5F61-4166-A85D-1FA15E80A5D5}">
          <x14:formula1>
            <xm:f>_xlfn.ANCHORARRAY(PUC!$CU$5)</xm:f>
          </x14:formula1>
          <xm:sqref>F30</xm:sqref>
        </x14:dataValidation>
        <x14:dataValidation type="list" allowBlank="1" showInputMessage="1" xr:uid="{ABCCDF8E-451F-446E-8095-B7FF2AB921FB}">
          <x14:formula1>
            <xm:f>_xlfn.ANCHORARRAY(PUC!$CV$5)</xm:f>
          </x14:formula1>
          <xm:sqref>F31</xm:sqref>
        </x14:dataValidation>
        <x14:dataValidation type="list" allowBlank="1" showInputMessage="1" xr:uid="{27582E9B-E6CF-404C-84C8-56EF3004ECD0}">
          <x14:formula1>
            <xm:f>_xlfn.ANCHORARRAY(PUC!$CW$5)</xm:f>
          </x14:formula1>
          <xm:sqref>F32</xm:sqref>
        </x14:dataValidation>
        <x14:dataValidation type="list" allowBlank="1" showInputMessage="1" xr:uid="{528FB556-452D-4425-9B3E-BC38864FB653}">
          <x14:formula1>
            <xm:f>_xlfn.ANCHORARRAY(PUC!$CX$5)</xm:f>
          </x14:formula1>
          <xm:sqref>F33</xm:sqref>
        </x14:dataValidation>
        <x14:dataValidation type="list" allowBlank="1" showInputMessage="1" xr:uid="{16F558DC-B608-4C6D-9264-F0B15BF7971D}">
          <x14:formula1>
            <xm:f>_xlfn.ANCHORARRAY(PUC!$CY$5)</xm:f>
          </x14:formula1>
          <xm:sqref>F34</xm:sqref>
        </x14:dataValidation>
        <x14:dataValidation type="list" allowBlank="1" showInputMessage="1" xr:uid="{CE1B6134-CD53-43CE-90A8-2208C526D3A5}">
          <x14:formula1>
            <xm:f>_xlfn.ANCHORARRAY(PUC!$CZ$5)</xm:f>
          </x14:formula1>
          <xm:sqref>F35</xm:sqref>
        </x14:dataValidation>
        <x14:dataValidation type="list" allowBlank="1" showInputMessage="1" xr:uid="{303A5C07-12AE-4DE6-AE71-875BC3DD3F0F}">
          <x14:formula1>
            <xm:f>_xlfn.ANCHORARRAY(PUC!$DA$5)</xm:f>
          </x14:formula1>
          <xm:sqref>F36</xm:sqref>
        </x14:dataValidation>
        <x14:dataValidation type="list" allowBlank="1" showInputMessage="1" showErrorMessage="1" xr:uid="{BFD21DD9-6DBE-45B4-8FD8-A6AC67F16A25}">
          <x14:formula1>
            <xm:f>'Categorías inventario'!$E$7:$E$10</xm:f>
          </x14:formula1>
          <xm:sqref>H20</xm:sqref>
        </x14:dataValidation>
        <x14:dataValidation type="list" allowBlank="1" showInputMessage="1" showErrorMessage="1" xr:uid="{E86B6DBE-8065-425F-A49B-186FC62D9AB9}">
          <x14:formula1>
            <xm:f>'Categorías inventario'!$G$7:$G$8</xm:f>
          </x14:formula1>
          <xm:sqref>H18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119417-7330-4B96-B82E-DA1B7C8868C0}">
  <sheetPr codeName="Hoja6"/>
  <dimension ref="C2:H36"/>
  <sheetViews>
    <sheetView showGridLines="0" showRowColHeaders="0" view="pageBreakPreview" zoomScale="106" zoomScaleNormal="100" zoomScaleSheetLayoutView="90" workbookViewId="0"/>
  </sheetViews>
  <sheetFormatPr baseColWidth="10" defaultRowHeight="14.25"/>
  <cols>
    <col min="1" max="1" width="12" style="1"/>
    <col min="2" max="2" width="9.5" style="1" customWidth="1"/>
    <col min="3" max="5" width="12" style="1"/>
    <col min="6" max="6" width="40.1640625" style="1" customWidth="1"/>
    <col min="7" max="7" width="16.1640625" style="1" customWidth="1"/>
    <col min="8" max="8" width="15.6640625" style="1" customWidth="1"/>
    <col min="9" max="16384" width="12" style="1"/>
  </cols>
  <sheetData>
    <row r="2" spans="3:8">
      <c r="C2" s="169"/>
      <c r="D2" s="170"/>
      <c r="E2" s="170"/>
      <c r="F2" s="170"/>
      <c r="G2" s="170"/>
      <c r="H2" s="171"/>
    </row>
    <row r="3" spans="3:8">
      <c r="C3" s="258" t="s">
        <v>1033</v>
      </c>
      <c r="D3" s="259"/>
      <c r="E3" s="259"/>
      <c r="F3" s="259"/>
      <c r="G3" s="259"/>
      <c r="H3" s="260"/>
    </row>
    <row r="4" spans="3:8" ht="18">
      <c r="C4" s="276" t="str">
        <f>UPPER(INICIO!I8)</f>
        <v/>
      </c>
      <c r="D4" s="277"/>
      <c r="E4" s="277"/>
      <c r="F4" s="277"/>
      <c r="G4" s="277"/>
      <c r="H4" s="278"/>
    </row>
    <row r="5" spans="3:8">
      <c r="C5" s="258" t="s">
        <v>24</v>
      </c>
      <c r="D5" s="259"/>
      <c r="E5" s="259"/>
      <c r="F5" s="259"/>
      <c r="G5" s="259"/>
      <c r="H5" s="260"/>
    </row>
    <row r="6" spans="3:8" ht="15">
      <c r="C6" s="261">
        <f>INICIO!I12</f>
        <v>0</v>
      </c>
      <c r="D6" s="262"/>
      <c r="E6" s="262"/>
      <c r="F6" s="262"/>
      <c r="G6" s="262"/>
      <c r="H6" s="263"/>
    </row>
    <row r="7" spans="3:8">
      <c r="C7" s="258" t="s">
        <v>18</v>
      </c>
      <c r="D7" s="259"/>
      <c r="E7" s="259"/>
      <c r="F7" s="259"/>
      <c r="G7" s="259"/>
      <c r="H7" s="260"/>
    </row>
    <row r="8" spans="3:8" ht="15">
      <c r="C8" s="261" t="str">
        <f>INICIO!I14</f>
        <v>TOCAIMA</v>
      </c>
      <c r="D8" s="262"/>
      <c r="E8" s="262"/>
      <c r="F8" s="262"/>
      <c r="G8" s="262"/>
      <c r="H8" s="263"/>
    </row>
    <row r="9" spans="3:8">
      <c r="C9" s="172"/>
      <c r="H9" s="173"/>
    </row>
    <row r="10" spans="3:8" ht="15" thickBot="1">
      <c r="C10" s="172"/>
      <c r="H10" s="173"/>
    </row>
    <row r="11" spans="3:8" ht="15" thickBot="1">
      <c r="C11" s="270" t="s">
        <v>1031</v>
      </c>
      <c r="D11" s="271"/>
      <c r="E11" s="272"/>
      <c r="G11" s="158" t="s">
        <v>860</v>
      </c>
      <c r="H11" s="174">
        <f>'F-VTA'!H10</f>
        <v>0</v>
      </c>
    </row>
    <row r="12" spans="3:8" ht="15" thickBot="1">
      <c r="C12" s="273" t="s">
        <v>1275</v>
      </c>
      <c r="D12" s="274"/>
      <c r="E12" s="275"/>
      <c r="H12" s="173"/>
    </row>
    <row r="13" spans="3:8" ht="15" thickBot="1">
      <c r="C13" s="172"/>
      <c r="H13" s="173"/>
    </row>
    <row r="14" spans="3:8" ht="15" thickBot="1">
      <c r="C14" s="270" t="s">
        <v>1032</v>
      </c>
      <c r="D14" s="271"/>
      <c r="E14" s="272"/>
      <c r="G14" s="267" t="s">
        <v>1034</v>
      </c>
      <c r="H14" s="268"/>
    </row>
    <row r="15" spans="3:8" ht="15" thickBot="1">
      <c r="C15" s="273">
        <f>'F-VTA'!H14</f>
        <v>0</v>
      </c>
      <c r="D15" s="274"/>
      <c r="E15" s="275"/>
      <c r="G15" s="269">
        <f>'F-VTA'!E10</f>
        <v>0</v>
      </c>
      <c r="H15" s="266"/>
    </row>
    <row r="16" spans="3:8" ht="15" thickBot="1">
      <c r="C16" s="172"/>
      <c r="H16" s="173"/>
    </row>
    <row r="17" spans="3:8" ht="15" thickBot="1">
      <c r="C17" s="270" t="s">
        <v>863</v>
      </c>
      <c r="D17" s="271"/>
      <c r="E17" s="272"/>
      <c r="G17" s="264" t="s">
        <v>1035</v>
      </c>
      <c r="H17" s="265"/>
    </row>
    <row r="18" spans="3:8" ht="15" thickBot="1">
      <c r="C18" s="273"/>
      <c r="D18" s="274"/>
      <c r="E18" s="275"/>
      <c r="G18" s="246">
        <f>_xlfn.XLOOKUP('F-VTA'!E10,'BD-Tercero Clientes'!B6:B11,'BD-Tercero Clientes'!D6:D11,0)</f>
        <v>0</v>
      </c>
      <c r="H18" s="266"/>
    </row>
    <row r="19" spans="3:8">
      <c r="C19" s="172"/>
      <c r="H19" s="173"/>
    </row>
    <row r="20" spans="3:8" ht="15" thickBot="1">
      <c r="C20" s="172"/>
      <c r="H20" s="173"/>
    </row>
    <row r="21" spans="3:8">
      <c r="C21" s="172"/>
      <c r="D21" s="161" t="s">
        <v>3</v>
      </c>
      <c r="E21" s="162" t="s">
        <v>1036</v>
      </c>
      <c r="F21" s="162" t="s">
        <v>1037</v>
      </c>
      <c r="G21" s="163" t="s">
        <v>0</v>
      </c>
      <c r="H21" s="175"/>
    </row>
    <row r="22" spans="3:8">
      <c r="C22" s="172"/>
      <c r="D22" s="111">
        <f>'F-VTA'!D28</f>
        <v>0</v>
      </c>
      <c r="E22" s="159">
        <f>'F-VTA'!G28</f>
        <v>0</v>
      </c>
      <c r="F22" s="1">
        <f>'F-VTA'!E28</f>
        <v>0</v>
      </c>
      <c r="G22" s="166">
        <f>D22*E22</f>
        <v>0</v>
      </c>
      <c r="H22" s="173"/>
    </row>
    <row r="23" spans="3:8">
      <c r="C23" s="172"/>
      <c r="D23" s="111">
        <f>'F-VTA'!D29</f>
        <v>0</v>
      </c>
      <c r="E23" s="159">
        <f>'F-VTA'!G29</f>
        <v>0</v>
      </c>
      <c r="F23" s="1">
        <f>'F-VTA'!E29</f>
        <v>0</v>
      </c>
      <c r="G23" s="166">
        <f t="shared" ref="G23:G30" si="0">D23*E23</f>
        <v>0</v>
      </c>
      <c r="H23" s="173"/>
    </row>
    <row r="24" spans="3:8">
      <c r="C24" s="172"/>
      <c r="D24" s="111">
        <f>'F-VTA'!D30</f>
        <v>0</v>
      </c>
      <c r="E24" s="159">
        <f>'F-VTA'!G30</f>
        <v>0</v>
      </c>
      <c r="F24" s="1">
        <f>'F-VTA'!E30</f>
        <v>0</v>
      </c>
      <c r="G24" s="166">
        <f t="shared" si="0"/>
        <v>0</v>
      </c>
      <c r="H24" s="173"/>
    </row>
    <row r="25" spans="3:8">
      <c r="C25" s="172"/>
      <c r="D25" s="111">
        <f>'F-VTA'!D31</f>
        <v>0</v>
      </c>
      <c r="E25" s="159">
        <f>'F-VTA'!G31</f>
        <v>0</v>
      </c>
      <c r="F25" s="1">
        <f>'F-VTA'!E31</f>
        <v>0</v>
      </c>
      <c r="G25" s="166">
        <f t="shared" si="0"/>
        <v>0</v>
      </c>
      <c r="H25" s="173"/>
    </row>
    <row r="26" spans="3:8">
      <c r="C26" s="172"/>
      <c r="D26" s="111">
        <f>'F-VTA'!D32</f>
        <v>0</v>
      </c>
      <c r="E26" s="159">
        <f>'F-VTA'!G32</f>
        <v>0</v>
      </c>
      <c r="F26" s="1">
        <f>'F-VTA'!E32</f>
        <v>0</v>
      </c>
      <c r="G26" s="166">
        <f t="shared" si="0"/>
        <v>0</v>
      </c>
      <c r="H26" s="173"/>
    </row>
    <row r="27" spans="3:8">
      <c r="C27" s="172"/>
      <c r="D27" s="111">
        <f>'F-VTA'!D33</f>
        <v>0</v>
      </c>
      <c r="E27" s="159">
        <f>'F-VTA'!G33</f>
        <v>0</v>
      </c>
      <c r="F27" s="1">
        <f>'F-VTA'!E33</f>
        <v>0</v>
      </c>
      <c r="G27" s="166">
        <f t="shared" si="0"/>
        <v>0</v>
      </c>
      <c r="H27" s="173"/>
    </row>
    <row r="28" spans="3:8">
      <c r="C28" s="172"/>
      <c r="D28" s="111">
        <f>'F-VTA'!D34</f>
        <v>0</v>
      </c>
      <c r="E28" s="159">
        <f>'F-VTA'!G34</f>
        <v>0</v>
      </c>
      <c r="F28" s="1">
        <f>'F-VTA'!E34</f>
        <v>0</v>
      </c>
      <c r="G28" s="166">
        <f t="shared" si="0"/>
        <v>0</v>
      </c>
      <c r="H28" s="173"/>
    </row>
    <row r="29" spans="3:8">
      <c r="C29" s="172"/>
      <c r="D29" s="111">
        <f>'F-VTA'!D35</f>
        <v>0</v>
      </c>
      <c r="E29" s="159">
        <f>'F-VTA'!G35</f>
        <v>0</v>
      </c>
      <c r="F29" s="1">
        <f>'F-VTA'!E35</f>
        <v>0</v>
      </c>
      <c r="G29" s="166">
        <f t="shared" si="0"/>
        <v>0</v>
      </c>
      <c r="H29" s="173"/>
    </row>
    <row r="30" spans="3:8" ht="15" thickBot="1">
      <c r="C30" s="172"/>
      <c r="D30" s="116">
        <f>'F-VTA'!D36</f>
        <v>0</v>
      </c>
      <c r="E30" s="160">
        <f>'F-VTA'!G36</f>
        <v>0</v>
      </c>
      <c r="F30" s="117">
        <f>'F-VTA'!E36</f>
        <v>0</v>
      </c>
      <c r="G30" s="167">
        <f t="shared" si="0"/>
        <v>0</v>
      </c>
      <c r="H30" s="173"/>
    </row>
    <row r="31" spans="3:8" ht="15" thickBot="1">
      <c r="C31" s="172"/>
      <c r="D31" s="165" t="s">
        <v>846</v>
      </c>
      <c r="E31" s="164"/>
      <c r="F31" s="164"/>
      <c r="G31" s="168">
        <f>SUM(G22:G30)</f>
        <v>0</v>
      </c>
      <c r="H31" s="173"/>
    </row>
    <row r="32" spans="3:8">
      <c r="C32" s="172"/>
      <c r="H32" s="173"/>
    </row>
    <row r="33" spans="3:8" ht="15" thickBot="1">
      <c r="C33" s="172"/>
      <c r="H33" s="173"/>
    </row>
    <row r="34" spans="3:8" ht="40.5" customHeight="1" thickBot="1">
      <c r="C34" s="176" t="s">
        <v>959</v>
      </c>
      <c r="D34" s="246"/>
      <c r="E34" s="247"/>
      <c r="F34" s="248"/>
      <c r="H34" s="173"/>
    </row>
    <row r="35" spans="3:8">
      <c r="C35" s="172"/>
      <c r="H35" s="173"/>
    </row>
    <row r="36" spans="3:8">
      <c r="C36" s="177"/>
      <c r="D36" s="178"/>
      <c r="E36" s="178"/>
      <c r="F36" s="178"/>
      <c r="G36" s="178"/>
      <c r="H36" s="179"/>
    </row>
  </sheetData>
  <mergeCells count="17">
    <mergeCell ref="D34:F34"/>
    <mergeCell ref="C7:H7"/>
    <mergeCell ref="C8:H8"/>
    <mergeCell ref="C4:H4"/>
    <mergeCell ref="C3:H3"/>
    <mergeCell ref="C5:H5"/>
    <mergeCell ref="C6:H6"/>
    <mergeCell ref="G17:H17"/>
    <mergeCell ref="G18:H18"/>
    <mergeCell ref="G14:H14"/>
    <mergeCell ref="G15:H15"/>
    <mergeCell ref="C11:E11"/>
    <mergeCell ref="C12:E12"/>
    <mergeCell ref="C14:E14"/>
    <mergeCell ref="C15:E15"/>
    <mergeCell ref="C17:E17"/>
    <mergeCell ref="C18:E18"/>
  </mergeCells>
  <dataValidations count="1">
    <dataValidation type="list" allowBlank="1" showInputMessage="1" showErrorMessage="1" sqref="C12:E12" xr:uid="{86ABBE39-2C41-467B-A298-241056134A74}">
      <formula1>"NOTA DE ENTREGA,COTIZACIÓN"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orientation="portrait" horizontalDpi="360" verticalDpi="36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9259B15-AC30-475B-B6C4-B5B62C722A62}">
          <x14:formula1>
            <xm:f>'Otras BD'!$G$6:$G$9</xm:f>
          </x14:formula1>
          <xm:sqref>C18:E18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1D144-A8FE-4248-B9E6-108E8F86786B}">
  <sheetPr codeName="Hoja18"/>
  <dimension ref="C3:P62"/>
  <sheetViews>
    <sheetView showGridLines="0" topLeftCell="I1" workbookViewId="0">
      <selection activeCell="L6" sqref="L6"/>
    </sheetView>
  </sheetViews>
  <sheetFormatPr baseColWidth="10" defaultColWidth="12" defaultRowHeight="14.25"/>
  <cols>
    <col min="1" max="2" width="12" style="1"/>
    <col min="3" max="3" width="23.5" style="1" bestFit="1" customWidth="1"/>
    <col min="4" max="4" width="12" style="1"/>
    <col min="5" max="5" width="15.33203125" style="1" customWidth="1"/>
    <col min="6" max="6" width="12" style="1"/>
    <col min="7" max="7" width="50.1640625" style="1" bestFit="1" customWidth="1"/>
    <col min="8" max="8" width="20.6640625" style="1" bestFit="1" customWidth="1"/>
    <col min="9" max="9" width="29.83203125" style="1" customWidth="1"/>
    <col min="10" max="11" width="12" style="1"/>
    <col min="12" max="12" width="41" style="1" bestFit="1" customWidth="1"/>
    <col min="13" max="13" width="26.6640625" style="1" bestFit="1" customWidth="1"/>
    <col min="14" max="14" width="12.83203125" style="1" bestFit="1" customWidth="1"/>
    <col min="15" max="15" width="25.5" style="1" bestFit="1" customWidth="1"/>
    <col min="16" max="16" width="13.83203125" style="1" bestFit="1" customWidth="1"/>
    <col min="17" max="16384" width="12" style="1"/>
  </cols>
  <sheetData>
    <row r="3" spans="3:16">
      <c r="C3" s="1" t="s">
        <v>12</v>
      </c>
      <c r="G3" s="2"/>
    </row>
    <row r="4" spans="3:16">
      <c r="C4" s="1" t="s">
        <v>1113</v>
      </c>
      <c r="E4" s="20"/>
    </row>
    <row r="5" spans="3:16">
      <c r="C5" s="1" t="s">
        <v>1111</v>
      </c>
      <c r="E5" s="20" t="s">
        <v>1009</v>
      </c>
      <c r="G5" s="1" t="s">
        <v>867</v>
      </c>
      <c r="I5" s="1" t="s">
        <v>817</v>
      </c>
      <c r="L5" s="1" t="s">
        <v>1370</v>
      </c>
      <c r="M5" s="1" t="s">
        <v>4</v>
      </c>
      <c r="N5" s="1" t="s">
        <v>1402</v>
      </c>
      <c r="O5" s="1" t="s">
        <v>856</v>
      </c>
      <c r="P5" s="1" t="s">
        <v>857</v>
      </c>
    </row>
    <row r="6" spans="3:16">
      <c r="C6" s="1" t="s">
        <v>1112</v>
      </c>
      <c r="E6" s="20" t="s">
        <v>1010</v>
      </c>
      <c r="G6" s="1" t="s">
        <v>868</v>
      </c>
      <c r="I6" s="1" t="s">
        <v>1318</v>
      </c>
    </row>
    <row r="7" spans="3:16">
      <c r="C7" s="1" t="s">
        <v>1114</v>
      </c>
      <c r="E7" s="20" t="s">
        <v>1011</v>
      </c>
      <c r="G7" s="1" t="s">
        <v>869</v>
      </c>
      <c r="I7" s="1" t="s">
        <v>1319</v>
      </c>
      <c r="L7" s="1">
        <v>10000000</v>
      </c>
      <c r="M7" s="1">
        <v>111005</v>
      </c>
      <c r="N7" s="1" t="s">
        <v>1403</v>
      </c>
      <c r="O7" s="17">
        <v>45658</v>
      </c>
      <c r="P7" s="17">
        <v>45688</v>
      </c>
    </row>
    <row r="8" spans="3:16">
      <c r="C8" s="1" t="s">
        <v>1115</v>
      </c>
      <c r="E8" s="20" t="s">
        <v>1012</v>
      </c>
      <c r="G8" s="1" t="s">
        <v>870</v>
      </c>
      <c r="I8" s="1" t="s">
        <v>1320</v>
      </c>
      <c r="O8" s="17"/>
      <c r="P8" s="17"/>
    </row>
    <row r="9" spans="3:16">
      <c r="C9" s="1" t="s">
        <v>1116</v>
      </c>
      <c r="E9" s="20" t="s">
        <v>1013</v>
      </c>
      <c r="G9" s="1" t="s">
        <v>871</v>
      </c>
      <c r="I9" s="1" t="s">
        <v>1321</v>
      </c>
      <c r="O9" s="17"/>
      <c r="P9" s="17"/>
    </row>
    <row r="10" spans="3:16">
      <c r="C10" s="1" t="s">
        <v>842</v>
      </c>
      <c r="E10" s="1" t="s">
        <v>1014</v>
      </c>
      <c r="G10"/>
      <c r="H10"/>
      <c r="I10" s="1" t="s">
        <v>1322</v>
      </c>
    </row>
    <row r="11" spans="3:16">
      <c r="C11" s="1" t="s">
        <v>1117</v>
      </c>
      <c r="E11" s="1" t="s">
        <v>1018</v>
      </c>
      <c r="G11"/>
      <c r="H11"/>
      <c r="I11" s="1" t="s">
        <v>1323</v>
      </c>
    </row>
    <row r="12" spans="3:16">
      <c r="C12" s="1" t="s">
        <v>1118</v>
      </c>
      <c r="E12" s="1" t="s">
        <v>1019</v>
      </c>
      <c r="G12"/>
      <c r="H12"/>
      <c r="I12" s="1" t="s">
        <v>1324</v>
      </c>
    </row>
    <row r="13" spans="3:16">
      <c r="G13"/>
      <c r="H13"/>
      <c r="I13" s="1" t="s">
        <v>1325</v>
      </c>
    </row>
    <row r="14" spans="3:16">
      <c r="G14"/>
      <c r="H14"/>
      <c r="I14" s="1" t="s">
        <v>1326</v>
      </c>
    </row>
    <row r="15" spans="3:16">
      <c r="G15"/>
      <c r="H15"/>
      <c r="I15" s="1" t="s">
        <v>1327</v>
      </c>
    </row>
    <row r="16" spans="3:16">
      <c r="G16"/>
      <c r="H16"/>
      <c r="I16" s="1" t="s">
        <v>1328</v>
      </c>
    </row>
    <row r="17" spans="7:9">
      <c r="G17"/>
      <c r="H17"/>
      <c r="I17" s="1" t="s">
        <v>1196</v>
      </c>
    </row>
    <row r="18" spans="7:9">
      <c r="G18"/>
      <c r="H18"/>
      <c r="I18" s="1" t="s">
        <v>1197</v>
      </c>
    </row>
    <row r="19" spans="7:9">
      <c r="G19"/>
      <c r="H19"/>
      <c r="I19" s="1" t="s">
        <v>1198</v>
      </c>
    </row>
    <row r="20" spans="7:9">
      <c r="G20"/>
      <c r="H20"/>
      <c r="I20" s="1" t="s">
        <v>1199</v>
      </c>
    </row>
    <row r="21" spans="7:9">
      <c r="G21"/>
      <c r="H21"/>
      <c r="I21" s="1" t="s">
        <v>1200</v>
      </c>
    </row>
    <row r="22" spans="7:9">
      <c r="G22"/>
      <c r="H22"/>
      <c r="I22" s="1" t="s">
        <v>1201</v>
      </c>
    </row>
    <row r="23" spans="7:9">
      <c r="G23"/>
      <c r="H23"/>
      <c r="I23" s="1" t="s">
        <v>1202</v>
      </c>
    </row>
    <row r="24" spans="7:9">
      <c r="G24"/>
      <c r="H24"/>
      <c r="I24" s="1" t="s">
        <v>1203</v>
      </c>
    </row>
    <row r="25" spans="7:9">
      <c r="G25"/>
      <c r="H25"/>
      <c r="I25" s="1" t="s">
        <v>1204</v>
      </c>
    </row>
    <row r="26" spans="7:9">
      <c r="G26"/>
      <c r="H26"/>
      <c r="I26" s="1" t="s">
        <v>1205</v>
      </c>
    </row>
    <row r="27" spans="7:9">
      <c r="G27"/>
      <c r="H27"/>
      <c r="I27" s="1" t="s">
        <v>1206</v>
      </c>
    </row>
    <row r="28" spans="7:9">
      <c r="G28"/>
      <c r="H28"/>
      <c r="I28" s="1" t="s">
        <v>1238</v>
      </c>
    </row>
    <row r="29" spans="7:9">
      <c r="G29"/>
      <c r="H29"/>
      <c r="I29" s="1" t="s">
        <v>1239</v>
      </c>
    </row>
    <row r="30" spans="7:9">
      <c r="G30"/>
      <c r="H30"/>
      <c r="I30" s="1" t="s">
        <v>1240</v>
      </c>
    </row>
    <row r="31" spans="7:9">
      <c r="G31"/>
      <c r="H31"/>
      <c r="I31" s="1" t="s">
        <v>1241</v>
      </c>
    </row>
    <row r="32" spans="7:9">
      <c r="H32"/>
      <c r="I32" s="1" t="s">
        <v>1242</v>
      </c>
    </row>
    <row r="33" spans="9:9">
      <c r="I33" s="1" t="s">
        <v>1243</v>
      </c>
    </row>
    <row r="34" spans="9:9">
      <c r="I34" s="1" t="s">
        <v>1244</v>
      </c>
    </row>
    <row r="35" spans="9:9">
      <c r="I35" s="1" t="s">
        <v>1245</v>
      </c>
    </row>
    <row r="36" spans="9:9">
      <c r="I36" s="1" t="s">
        <v>1246</v>
      </c>
    </row>
    <row r="37" spans="9:9">
      <c r="I37" s="1" t="s">
        <v>1247</v>
      </c>
    </row>
    <row r="38" spans="9:9">
      <c r="I38" s="1" t="s">
        <v>1248</v>
      </c>
    </row>
    <row r="39" spans="9:9">
      <c r="I39" s="1" t="s">
        <v>1249</v>
      </c>
    </row>
    <row r="40" spans="9:9">
      <c r="I40" s="1" t="s">
        <v>1250</v>
      </c>
    </row>
    <row r="41" spans="9:9">
      <c r="I41" s="1" t="s">
        <v>1251</v>
      </c>
    </row>
    <row r="42" spans="9:9">
      <c r="I42" s="1" t="s">
        <v>1252</v>
      </c>
    </row>
    <row r="43" spans="9:9">
      <c r="I43" s="1" t="s">
        <v>1253</v>
      </c>
    </row>
    <row r="44" spans="9:9">
      <c r="I44" s="1" t="s">
        <v>1254</v>
      </c>
    </row>
    <row r="45" spans="9:9">
      <c r="I45" s="1" t="s">
        <v>1255</v>
      </c>
    </row>
    <row r="46" spans="9:9">
      <c r="I46" s="1" t="s">
        <v>1256</v>
      </c>
    </row>
    <row r="47" spans="9:9">
      <c r="I47" s="1" t="s">
        <v>1257</v>
      </c>
    </row>
    <row r="48" spans="9:9">
      <c r="I48" s="1" t="s">
        <v>1258</v>
      </c>
    </row>
    <row r="49" spans="9:9">
      <c r="I49" s="1" t="s">
        <v>1259</v>
      </c>
    </row>
    <row r="50" spans="9:9">
      <c r="I50" s="1" t="s">
        <v>1208</v>
      </c>
    </row>
    <row r="51" spans="9:9">
      <c r="I51" s="1" t="s">
        <v>1209</v>
      </c>
    </row>
    <row r="52" spans="9:9">
      <c r="I52" s="1" t="s">
        <v>1210</v>
      </c>
    </row>
    <row r="53" spans="9:9">
      <c r="I53" s="1" t="s">
        <v>1211</v>
      </c>
    </row>
    <row r="54" spans="9:9">
      <c r="I54" s="1" t="s">
        <v>1212</v>
      </c>
    </row>
    <row r="55" spans="9:9">
      <c r="I55" s="1" t="s">
        <v>1213</v>
      </c>
    </row>
    <row r="56" spans="9:9">
      <c r="I56" s="1" t="s">
        <v>1214</v>
      </c>
    </row>
    <row r="57" spans="9:9">
      <c r="I57" s="1" t="s">
        <v>1215</v>
      </c>
    </row>
    <row r="58" spans="9:9">
      <c r="I58" s="1" t="s">
        <v>1216</v>
      </c>
    </row>
    <row r="59" spans="9:9">
      <c r="I59" s="1" t="s">
        <v>1217</v>
      </c>
    </row>
    <row r="60" spans="9:9">
      <c r="I60" s="1" t="s">
        <v>1218</v>
      </c>
    </row>
    <row r="61" spans="9:9">
      <c r="I61" s="1">
        <v>1</v>
      </c>
    </row>
    <row r="62" spans="9:9">
      <c r="I62" s="1">
        <v>1</v>
      </c>
    </row>
  </sheetData>
  <pageMargins left="0.7" right="0.7" top="0.75" bottom="0.75" header="0.3" footer="0.3"/>
  <pageSetup paperSize="9" orientation="portrait" r:id="rId1"/>
  <tableParts count="5">
    <tablePart r:id="rId2"/>
    <tablePart r:id="rId3"/>
    <tablePart r:id="rId4"/>
    <tablePart r:id="rId5"/>
    <tablePart r:id="rId6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D2DB48-FF63-4F59-B050-77AEFDBCD520}">
  <sheetPr codeName="Hoja23"/>
  <dimension ref="B3:O11"/>
  <sheetViews>
    <sheetView showGridLines="0" showRowColHeaders="0" workbookViewId="0"/>
  </sheetViews>
  <sheetFormatPr baseColWidth="10" defaultColWidth="12" defaultRowHeight="14.25"/>
  <cols>
    <col min="1" max="1" width="29.83203125" style="1" customWidth="1"/>
    <col min="2" max="2" width="34.6640625" style="1" customWidth="1"/>
    <col min="3" max="3" width="33.5" style="1" customWidth="1"/>
    <col min="4" max="4" width="22.33203125" style="1" customWidth="1"/>
    <col min="5" max="5" width="12" style="1"/>
    <col min="6" max="6" width="23.6640625" style="1" bestFit="1" customWidth="1"/>
    <col min="7" max="7" width="24.33203125" style="1" customWidth="1"/>
    <col min="8" max="8" width="22.1640625" style="1" customWidth="1"/>
    <col min="9" max="9" width="25.5" style="1" customWidth="1"/>
    <col min="10" max="10" width="27.83203125" style="1" bestFit="1" customWidth="1"/>
    <col min="11" max="12" width="17.1640625" style="1" customWidth="1"/>
    <col min="13" max="16384" width="12" style="1"/>
  </cols>
  <sheetData>
    <row r="3" spans="2:15" ht="44.25" customHeight="1">
      <c r="B3" s="251" t="s">
        <v>769</v>
      </c>
      <c r="C3" s="251"/>
      <c r="D3" s="148" t="e" vm="5">
        <v>#VALUE!</v>
      </c>
    </row>
    <row r="5" spans="2:15">
      <c r="B5" s="3" t="s">
        <v>13</v>
      </c>
      <c r="C5" s="3" t="s">
        <v>14</v>
      </c>
      <c r="D5" s="3" t="s">
        <v>15</v>
      </c>
      <c r="E5" s="3" t="s">
        <v>16</v>
      </c>
      <c r="F5" s="3" t="s">
        <v>17</v>
      </c>
      <c r="G5" s="3" t="s">
        <v>18</v>
      </c>
      <c r="H5" s="3" t="s">
        <v>19</v>
      </c>
      <c r="I5" s="3" t="s">
        <v>20</v>
      </c>
      <c r="J5" s="3" t="s">
        <v>21</v>
      </c>
      <c r="K5" s="3" t="s">
        <v>777</v>
      </c>
      <c r="L5" s="3" t="s">
        <v>1140</v>
      </c>
      <c r="N5" s="1" t="s">
        <v>776</v>
      </c>
      <c r="O5" s="1" t="s">
        <v>776</v>
      </c>
    </row>
    <row r="6" spans="2:15">
      <c r="B6" s="3" t="s">
        <v>901</v>
      </c>
      <c r="C6" s="3" t="s">
        <v>901</v>
      </c>
      <c r="D6" s="3">
        <v>4656566</v>
      </c>
      <c r="E6" s="3">
        <v>4</v>
      </c>
      <c r="F6" s="3">
        <v>5665655</v>
      </c>
      <c r="G6" s="3" t="s">
        <v>902</v>
      </c>
      <c r="H6" s="3" t="s">
        <v>814</v>
      </c>
      <c r="I6" s="3" t="s">
        <v>815</v>
      </c>
      <c r="J6" s="3">
        <v>130505</v>
      </c>
      <c r="K6" s="27" t="b">
        <f>+ISNUMBER((SEARCH('F-VTA'!E10,BDclient[[#This Row],[ID-Cliente]],1)))</f>
        <v>1</v>
      </c>
      <c r="L6" s="27" t="b">
        <f>+ISNUMBER((SEARCH(CompConta!$D$22,BDclient[[#This Row],[ID-Cliente]],1)))</f>
        <v>1</v>
      </c>
      <c r="N6" s="1" t="str" cm="1">
        <f t="array" ref="N6">_xlfn._xlws.FILTER(BDclient[ID-Cliente],BDclient[aux])</f>
        <v>CLIENTE 1</v>
      </c>
      <c r="O6" s="1" t="str" cm="1">
        <f t="array" ref="O6">_xlfn._xlws.FILTER(BDclient[ID-Cliente],BDclient[aux2])</f>
        <v>CLIENTE 1</v>
      </c>
    </row>
    <row r="7" spans="2:15">
      <c r="B7" s="3"/>
      <c r="C7" s="3"/>
      <c r="D7" s="3"/>
      <c r="E7" s="3"/>
      <c r="F7" s="3"/>
      <c r="G7" s="3"/>
      <c r="H7" s="3"/>
      <c r="I7" s="3"/>
      <c r="J7" s="3"/>
      <c r="K7" s="27" t="b">
        <f>+ISNUMBER((SEARCH('F-VTA'!#REF!,BDclient[[#This Row],[ID-Cliente]],1)))</f>
        <v>0</v>
      </c>
      <c r="L7" s="27" t="b">
        <f>+ISNUMBER((SEARCH(CompConta!$D$22,BDclient[[#This Row],[ID-Cliente]],1)))</f>
        <v>0</v>
      </c>
    </row>
    <row r="8" spans="2:15">
      <c r="B8" s="3"/>
      <c r="C8" s="3"/>
      <c r="D8" s="3"/>
      <c r="E8" s="3"/>
      <c r="F8" s="3"/>
      <c r="G8" s="3"/>
      <c r="H8" s="3"/>
      <c r="I8" s="3"/>
      <c r="J8" s="3"/>
      <c r="K8" s="27" t="b">
        <f>+ISNUMBER((SEARCH('F-VTA'!#REF!,BDclient[[#This Row],[ID-Cliente]],1)))</f>
        <v>0</v>
      </c>
      <c r="L8" s="27" t="b">
        <f>+ISNUMBER((SEARCH(CompConta!$D$22,BDclient[[#This Row],[ID-Cliente]],1)))</f>
        <v>0</v>
      </c>
    </row>
    <row r="9" spans="2:15">
      <c r="B9" s="3"/>
      <c r="C9" s="3"/>
      <c r="D9" s="3"/>
      <c r="E9" s="3"/>
      <c r="F9" s="3"/>
      <c r="G9" s="3"/>
      <c r="H9" s="3"/>
      <c r="I9" s="3"/>
      <c r="J9" s="3"/>
      <c r="K9" s="22" t="b">
        <f>+ISNUMBER((SEARCH('F-VTA'!E11,BDclient[[#This Row],[ID-Cliente]],1)))</f>
        <v>0</v>
      </c>
      <c r="L9" s="22" t="b">
        <f>+ISNUMBER((SEARCH(CompConta!$D$22,BDclient[[#This Row],[ID-Cliente]],1)))</f>
        <v>0</v>
      </c>
    </row>
    <row r="10" spans="2:15">
      <c r="K10" s="22" t="b">
        <f>+ISNUMBER((SEARCH('F-VTA'!E12,BDclient[[#This Row],[ID-Cliente]],1)))</f>
        <v>0</v>
      </c>
      <c r="L10" s="22" t="b">
        <f>+ISNUMBER((SEARCH(CompConta!$D$22,BDclient[[#This Row],[ID-Cliente]],1)))</f>
        <v>0</v>
      </c>
    </row>
    <row r="11" spans="2:15">
      <c r="K11" s="22" t="b">
        <f>+ISNUMBER((SEARCH('F-VTA'!E13,BDclient[[#This Row],[ID-Cliente]],1)))</f>
        <v>0</v>
      </c>
      <c r="L11" s="22" t="b">
        <f>+ISNUMBER((SEARCH(CompConta!$D$22,BDclient[[#This Row],[ID-Cliente]],1)))</f>
        <v>0</v>
      </c>
    </row>
  </sheetData>
  <mergeCells count="1">
    <mergeCell ref="B3:C3"/>
  </mergeCells>
  <pageMargins left="0.7" right="0.7" top="0.75" bottom="0.75" header="0.3" footer="0.3"/>
  <drawing r:id="rId1"/>
  <tableParts count="1">
    <tablePart r:id="rId2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A45A0B-00E0-44E4-9340-C2E081111E59}">
  <sheetPr codeName="Hoja20"/>
  <dimension ref="B3:O11"/>
  <sheetViews>
    <sheetView showGridLines="0" showRowColHeaders="0" workbookViewId="0"/>
  </sheetViews>
  <sheetFormatPr baseColWidth="10" defaultColWidth="12" defaultRowHeight="14.25"/>
  <cols>
    <col min="1" max="1" width="33.1640625" style="1" customWidth="1"/>
    <col min="2" max="2" width="47.33203125" style="1" customWidth="1"/>
    <col min="3" max="3" width="50.83203125" style="1" customWidth="1"/>
    <col min="4" max="4" width="21" style="1" customWidth="1"/>
    <col min="5" max="5" width="12" style="1"/>
    <col min="6" max="6" width="23.6640625" style="1" bestFit="1" customWidth="1"/>
    <col min="7" max="7" width="24.33203125" style="1" customWidth="1"/>
    <col min="8" max="8" width="22.1640625" style="1" customWidth="1"/>
    <col min="9" max="9" width="25.5" style="1" customWidth="1"/>
    <col min="10" max="10" width="53.6640625" style="1" customWidth="1"/>
    <col min="11" max="12" width="17.5" style="1" customWidth="1"/>
    <col min="13" max="13" width="12" style="1"/>
    <col min="14" max="14" width="15.1640625" style="1" bestFit="1" customWidth="1"/>
    <col min="15" max="16384" width="12" style="1"/>
  </cols>
  <sheetData>
    <row r="3" spans="2:15" ht="42.75" customHeight="1">
      <c r="B3" s="149" t="s">
        <v>22</v>
      </c>
      <c r="C3" s="147" t="e" vm="6">
        <v>#VALUE!</v>
      </c>
    </row>
    <row r="5" spans="2:15">
      <c r="B5" s="3" t="s">
        <v>23</v>
      </c>
      <c r="C5" s="3" t="s">
        <v>14</v>
      </c>
      <c r="D5" s="3" t="s">
        <v>15</v>
      </c>
      <c r="E5" s="3" t="s">
        <v>16</v>
      </c>
      <c r="F5" s="3" t="s">
        <v>17</v>
      </c>
      <c r="G5" s="3" t="s">
        <v>18</v>
      </c>
      <c r="H5" s="3" t="s">
        <v>19</v>
      </c>
      <c r="I5" s="3" t="s">
        <v>20</v>
      </c>
      <c r="J5" s="3" t="s">
        <v>21</v>
      </c>
      <c r="K5" s="3" t="s">
        <v>775</v>
      </c>
      <c r="L5" s="3" t="s">
        <v>1039</v>
      </c>
      <c r="N5" s="1" t="s">
        <v>776</v>
      </c>
      <c r="O5" s="1" t="s">
        <v>776</v>
      </c>
    </row>
    <row r="6" spans="2:15">
      <c r="B6" s="3" t="s">
        <v>848</v>
      </c>
      <c r="C6" s="3" t="s">
        <v>848</v>
      </c>
      <c r="D6" s="3">
        <v>56464856</v>
      </c>
      <c r="E6" s="3">
        <v>9</v>
      </c>
      <c r="F6" s="3">
        <v>4556565</v>
      </c>
      <c r="G6" s="3" t="s">
        <v>1344</v>
      </c>
      <c r="H6" s="3" t="s">
        <v>1344</v>
      </c>
      <c r="I6" s="3" t="s">
        <v>906</v>
      </c>
      <c r="J6" s="3">
        <v>111005</v>
      </c>
      <c r="K6" s="3" t="b">
        <f>ISNUMBER(SEARCH('F-COMPRA'!$E$10,BDPROV[[#This Row],[ID-Proveedor]],1))</f>
        <v>1</v>
      </c>
      <c r="L6" s="3" t="b">
        <f>ISNUMBER(SEARCH(CompConta!$D$21,BDPROV[[#This Row],[ID-Proveedor]],1))</f>
        <v>1</v>
      </c>
      <c r="N6" s="1" t="str" cm="1">
        <f t="array" ref="N6:N8">_xlfn._xlws.FILTER(BDPROV[ID-Proveedor],BDPROV[AUX])</f>
        <v>Banco 1</v>
      </c>
      <c r="O6" s="1" t="str" cm="1">
        <f t="array" ref="O6:O8">_xlfn._xlws.FILTER(BDPROV[ID-Proveedor],BDPROV[AUX2])</f>
        <v>Banco 1</v>
      </c>
    </row>
    <row r="7" spans="2:15">
      <c r="B7" s="19" t="s">
        <v>907</v>
      </c>
      <c r="C7" s="3" t="s">
        <v>908</v>
      </c>
      <c r="D7" s="3">
        <v>546565</v>
      </c>
      <c r="E7" s="3">
        <v>5</v>
      </c>
      <c r="F7" s="3"/>
      <c r="G7" s="3"/>
      <c r="H7" s="3"/>
      <c r="I7" s="3"/>
      <c r="J7" s="3">
        <v>511030</v>
      </c>
      <c r="K7" s="3" t="b">
        <f>ISNUMBER(SEARCH('F-COMPRA'!$E$10,BDPROV[[#This Row],[ID-Proveedor]],1))</f>
        <v>1</v>
      </c>
      <c r="L7" s="3" t="b">
        <f>ISNUMBER(SEARCH(CompConta!$D$21,BDPROV[[#This Row],[ID-Proveedor]],1))</f>
        <v>1</v>
      </c>
      <c r="N7" s="1" t="str">
        <v>Valentina</v>
      </c>
      <c r="O7" s="1" t="str">
        <v>Valentina</v>
      </c>
    </row>
    <row r="8" spans="2:15">
      <c r="B8" s="19" t="s">
        <v>903</v>
      </c>
      <c r="C8" s="3" t="s">
        <v>904</v>
      </c>
      <c r="D8" s="3">
        <v>656565</v>
      </c>
      <c r="E8" s="3">
        <v>5</v>
      </c>
      <c r="F8" s="3">
        <v>56466566</v>
      </c>
      <c r="G8" s="3" t="s">
        <v>905</v>
      </c>
      <c r="H8" s="3" t="s">
        <v>905</v>
      </c>
      <c r="I8" s="3" t="s">
        <v>906</v>
      </c>
      <c r="J8" s="3">
        <v>510512</v>
      </c>
      <c r="K8" s="3" t="b">
        <f>ISNUMBER(SEARCH('F-COMPRA'!$E$10,BDPROV[[#This Row],[ID-Proveedor]],1))</f>
        <v>1</v>
      </c>
      <c r="L8" s="3" t="b">
        <f>ISNUMBER(SEARCH(CompConta!$D$21,BDPROV[[#This Row],[ID-Proveedor]],1))</f>
        <v>1</v>
      </c>
      <c r="N8" s="1" t="str">
        <v>johan</v>
      </c>
      <c r="O8" s="1" t="str">
        <v>johan</v>
      </c>
    </row>
    <row r="9" spans="2:15">
      <c r="B9" s="19"/>
      <c r="C9" s="3"/>
      <c r="D9" s="3"/>
      <c r="E9" s="3"/>
      <c r="F9" s="3"/>
      <c r="G9" s="3"/>
      <c r="H9" s="3"/>
      <c r="I9" s="3"/>
      <c r="J9" s="3"/>
      <c r="K9" s="1" t="b">
        <f>ISNUMBER(SEARCH('F-COMPRA'!$E$10,BDPROV[[#This Row],[ID-Proveedor]],1))</f>
        <v>0</v>
      </c>
      <c r="L9" s="1" t="b">
        <f>ISNUMBER(SEARCH(CompConta!$D$21,BDPROV[[#This Row],[ID-Proveedor]],1))</f>
        <v>0</v>
      </c>
    </row>
    <row r="10" spans="2:15">
      <c r="B10" s="19"/>
      <c r="K10" s="1" t="b">
        <f>ISNUMBER(SEARCH('F-COMPRA'!$E$10,BDPROV[[#This Row],[ID-Proveedor]],1))</f>
        <v>0</v>
      </c>
      <c r="L10" s="1" t="b">
        <f>ISNUMBER(SEARCH(CompConta!$D$21,BDPROV[[#This Row],[ID-Proveedor]],1))</f>
        <v>0</v>
      </c>
    </row>
    <row r="11" spans="2:15">
      <c r="B11" s="19"/>
      <c r="K11" s="1" t="b">
        <f>ISNUMBER(SEARCH('F-COMPRA'!$E$10,BDPROV[[#This Row],[ID-Proveedor]],1))</f>
        <v>0</v>
      </c>
      <c r="L11" s="1" t="b">
        <f>ISNUMBER(SEARCH(CompConta!$D$21,BDPROV[[#This Row],[ID-Proveedor]],1))</f>
        <v>0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2D2AA8-80AA-4D7C-9677-683993CD1283}">
  <sheetPr codeName="Hoja12"/>
  <dimension ref="C4:S446"/>
  <sheetViews>
    <sheetView showGridLines="0" showRowColHeaders="0" workbookViewId="0"/>
  </sheetViews>
  <sheetFormatPr baseColWidth="10" defaultRowHeight="10.5"/>
  <cols>
    <col min="1" max="1" width="18.5" customWidth="1"/>
    <col min="2" max="2" width="15.6640625" customWidth="1"/>
    <col min="3" max="3" width="6.83203125" customWidth="1"/>
    <col min="4" max="4" width="16.6640625" bestFit="1" customWidth="1"/>
    <col min="5" max="5" width="22" bestFit="1" customWidth="1"/>
    <col min="6" max="6" width="18.33203125" bestFit="1" customWidth="1"/>
    <col min="7" max="7" width="17.6640625" bestFit="1" customWidth="1"/>
    <col min="8" max="8" width="16.33203125" bestFit="1" customWidth="1"/>
    <col min="9" max="9" width="13.83203125" bestFit="1" customWidth="1"/>
    <col min="10" max="10" width="17.6640625" bestFit="1" customWidth="1"/>
    <col min="11" max="11" width="12.1640625" bestFit="1" customWidth="1"/>
    <col min="12" max="12" width="12.83203125" bestFit="1" customWidth="1"/>
    <col min="13" max="13" width="16.1640625" bestFit="1" customWidth="1"/>
    <col min="14" max="14" width="16.33203125" bestFit="1" customWidth="1"/>
    <col min="15" max="15" width="13.5" bestFit="1" customWidth="1"/>
    <col min="16" max="16" width="15" customWidth="1"/>
    <col min="18" max="18" width="14.5" bestFit="1" customWidth="1"/>
    <col min="19" max="19" width="0" hidden="1" customWidth="1"/>
  </cols>
  <sheetData>
    <row r="4" spans="3:19" ht="11.25" thickBot="1"/>
    <row r="5" spans="3:19">
      <c r="C5" s="189"/>
      <c r="D5" s="191"/>
      <c r="E5" s="191"/>
      <c r="F5" s="191"/>
      <c r="G5" s="191"/>
      <c r="H5" s="191"/>
      <c r="I5" s="191"/>
      <c r="J5" s="191"/>
      <c r="K5" s="191"/>
      <c r="L5" s="191"/>
      <c r="M5" s="191"/>
      <c r="N5" s="191"/>
      <c r="O5" s="193"/>
      <c r="S5" t="s">
        <v>1402</v>
      </c>
    </row>
    <row r="6" spans="3:19" ht="24" customHeight="1">
      <c r="C6" s="194"/>
      <c r="O6" s="197"/>
      <c r="S6" t="str">
        <f>I9&amp;I14</f>
        <v>11100545688</v>
      </c>
    </row>
    <row r="7" spans="3:19">
      <c r="C7" s="194"/>
      <c r="G7" s="279" t="s">
        <v>877</v>
      </c>
      <c r="H7" s="279"/>
      <c r="I7" s="279"/>
      <c r="J7" s="279"/>
      <c r="O7" s="197"/>
    </row>
    <row r="8" spans="3:19" ht="11.25" thickBot="1">
      <c r="C8" s="194"/>
      <c r="G8" s="279"/>
      <c r="H8" s="279"/>
      <c r="I8" s="279"/>
      <c r="J8" s="279"/>
      <c r="O8" s="197"/>
    </row>
    <row r="9" spans="3:19" ht="13.5" thickBot="1">
      <c r="C9" s="194"/>
      <c r="H9" s="232" t="s">
        <v>770</v>
      </c>
      <c r="I9" s="233">
        <v>111005</v>
      </c>
      <c r="O9" s="197"/>
    </row>
    <row r="10" spans="3:19">
      <c r="C10" s="194"/>
      <c r="O10" s="197"/>
    </row>
    <row r="11" spans="3:19">
      <c r="C11" s="194"/>
      <c r="O11" s="197"/>
    </row>
    <row r="12" spans="3:19">
      <c r="C12" s="194"/>
      <c r="O12" s="197"/>
      <c r="R12" s="48"/>
    </row>
    <row r="13" spans="3:19" ht="12.75">
      <c r="C13" s="194"/>
      <c r="H13" s="229" t="s">
        <v>856</v>
      </c>
      <c r="I13" s="229" t="s">
        <v>857</v>
      </c>
      <c r="O13" s="197"/>
    </row>
    <row r="14" spans="3:19">
      <c r="C14" s="194"/>
      <c r="H14" s="45">
        <f>_xlfn.XLOOKUP(S6,Tabla68[IDENTIFICADOR],Tabla68[DESDE],0)</f>
        <v>45658</v>
      </c>
      <c r="I14" s="45">
        <v>45688</v>
      </c>
      <c r="O14" s="197"/>
    </row>
    <row r="15" spans="3:19">
      <c r="C15" s="194"/>
      <c r="G15" s="37"/>
      <c r="O15" s="197"/>
    </row>
    <row r="16" spans="3:19">
      <c r="C16" s="194"/>
      <c r="O16" s="197"/>
    </row>
    <row r="17" spans="3:15">
      <c r="C17" s="194"/>
      <c r="O17" s="197"/>
    </row>
    <row r="18" spans="3:15" ht="28.5" customHeight="1">
      <c r="C18" s="194"/>
      <c r="G18" s="230" t="s">
        <v>853</v>
      </c>
      <c r="H18" s="231" t="s">
        <v>854</v>
      </c>
      <c r="I18" s="231" t="s">
        <v>855</v>
      </c>
      <c r="J18" s="231" t="s">
        <v>878</v>
      </c>
      <c r="K18" s="231" t="s">
        <v>845</v>
      </c>
      <c r="O18" s="197"/>
    </row>
    <row r="19" spans="3:15" ht="23.25" customHeight="1">
      <c r="C19" s="194"/>
      <c r="G19" s="227" cm="1">
        <f t="array" ref="G19">SUM(_xlfn._xlws.FILTER(_Regcontabilizados[Saldo],_Regcontabilizados[Subcuenta]=$I$9))-SUMIFS(_Regcontabilizados[Debe],_Regcontabilizados[Subcuenta],"="&amp;I9,_Regcontabilizados[fecha Factura],"&gt;="&amp;H14)+SUMIFS(_Regcontabilizados[Haber],_Regcontabilizados[Subcuenta],"="&amp;I9,_Regcontabilizados[fecha Factura],"&gt;="&amp;H14)</f>
        <v>0</v>
      </c>
      <c r="H19" s="228">
        <f>SUMIFS(_Regcontabilizados[Debe],_Regcontabilizados[Conciliado],1,_Regcontabilizados[Subcuenta],"="&amp;$I$9)-SUMIFS(_Regcontabilizados[Debe],_Regcontabilizados[Subcuenta],"="&amp;$I$9,_Regcontabilizados[fecha Factura],"&lt;"&amp;$H$14)-SUMIFS(_Regcontabilizados[Debe],_Regcontabilizados[Subcuenta],"="&amp;$I$9,_Regcontabilizados[fecha Factura],"&gt;"&amp;$I$14)</f>
        <v>10000000</v>
      </c>
      <c r="I19" s="227">
        <f>SUMIFS(_Regcontabilizados[Haber],_Regcontabilizados[Conciliado],1,_Regcontabilizados[Subcuenta],"="&amp;$I$9)-SUMIFS(_Regcontabilizados[Haber],_Regcontabilizados[Subcuenta],"="&amp;$I$9,_Regcontabilizados[fecha Factura],"&lt;"&amp;$H$14)-SUMIFS(_Regcontabilizados[Haber],_Regcontabilizados[Subcuenta],"="&amp;$I$9,_Regcontabilizados[fecha Factura],"&gt;"&amp;$I$14)</f>
        <v>0</v>
      </c>
      <c r="J19" s="49">
        <f>_xlfn.XLOOKUP(S6,Tabla68[IDENTIFICADOR],Tabla68[saldo conciliación],0)</f>
        <v>10000000</v>
      </c>
      <c r="K19" s="228">
        <f>G19-I19+H19-J19</f>
        <v>0</v>
      </c>
      <c r="L19" s="37"/>
      <c r="M19" s="37"/>
      <c r="N19" s="37"/>
      <c r="O19" s="197"/>
    </row>
    <row r="20" spans="3:15">
      <c r="C20" s="194"/>
      <c r="D20" s="195"/>
      <c r="E20" s="195"/>
      <c r="O20" s="197"/>
    </row>
    <row r="21" spans="3:15">
      <c r="C21" s="194"/>
      <c r="O21" s="197"/>
    </row>
    <row r="22" spans="3:15">
      <c r="C22" s="194"/>
      <c r="O22" s="197"/>
    </row>
    <row r="23" spans="3:15">
      <c r="C23" s="194"/>
      <c r="D23" t="s">
        <v>9</v>
      </c>
      <c r="E23" t="s">
        <v>1029</v>
      </c>
      <c r="F23" t="s">
        <v>12</v>
      </c>
      <c r="G23" t="s">
        <v>767</v>
      </c>
      <c r="H23" t="s">
        <v>768</v>
      </c>
      <c r="I23" t="s">
        <v>5</v>
      </c>
      <c r="J23" t="s">
        <v>6</v>
      </c>
      <c r="K23" t="s">
        <v>7</v>
      </c>
      <c r="L23" t="s">
        <v>11</v>
      </c>
      <c r="M23" t="s">
        <v>1312</v>
      </c>
      <c r="N23" t="s">
        <v>852</v>
      </c>
      <c r="O23" s="197"/>
    </row>
    <row r="24" spans="3:15" hidden="1">
      <c r="C24" s="194"/>
      <c r="D24" s="44">
        <v>45658</v>
      </c>
      <c r="E24">
        <v>2</v>
      </c>
      <c r="F24" t="s">
        <v>1113</v>
      </c>
      <c r="G24">
        <v>333333</v>
      </c>
      <c r="H24" t="s">
        <v>848</v>
      </c>
      <c r="I24">
        <v>310510</v>
      </c>
      <c r="J24">
        <v>0</v>
      </c>
      <c r="K24">
        <v>10000000</v>
      </c>
      <c r="L24">
        <v>-10000000</v>
      </c>
      <c r="M24">
        <v>0</v>
      </c>
      <c r="N24">
        <v>0</v>
      </c>
      <c r="O24" s="197"/>
    </row>
    <row r="25" spans="3:15">
      <c r="C25" s="194"/>
      <c r="D25" s="44">
        <v>45658</v>
      </c>
      <c r="E25">
        <v>2</v>
      </c>
      <c r="F25" t="s">
        <v>1113</v>
      </c>
      <c r="G25">
        <v>333333</v>
      </c>
      <c r="H25" t="s">
        <v>848</v>
      </c>
      <c r="I25">
        <v>111005</v>
      </c>
      <c r="J25">
        <v>10000000</v>
      </c>
      <c r="K25">
        <v>0</v>
      </c>
      <c r="L25">
        <v>10000000</v>
      </c>
      <c r="M25">
        <v>0</v>
      </c>
      <c r="N25">
        <v>1</v>
      </c>
      <c r="O25" s="197"/>
    </row>
    <row r="26" spans="3:15" hidden="1">
      <c r="C26" s="194"/>
      <c r="D26" s="44">
        <v>45658</v>
      </c>
      <c r="E26">
        <v>2</v>
      </c>
      <c r="F26" t="s">
        <v>1113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 s="197"/>
    </row>
    <row r="27" spans="3:15" hidden="1">
      <c r="C27" s="194"/>
      <c r="D27" s="44">
        <v>45658</v>
      </c>
      <c r="E27">
        <v>2</v>
      </c>
      <c r="F27" t="s">
        <v>1113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 s="197"/>
    </row>
    <row r="28" spans="3:15" hidden="1">
      <c r="C28" s="194"/>
      <c r="D28" s="44">
        <v>45658</v>
      </c>
      <c r="E28">
        <v>2</v>
      </c>
      <c r="F28" t="s">
        <v>1113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 s="197"/>
    </row>
    <row r="29" spans="3:15" hidden="1">
      <c r="C29" s="194"/>
      <c r="D29" s="44">
        <v>45658</v>
      </c>
      <c r="E29">
        <v>2</v>
      </c>
      <c r="F29" t="s">
        <v>1113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 s="197"/>
    </row>
    <row r="30" spans="3:15" hidden="1">
      <c r="C30" s="194"/>
      <c r="D30" s="44">
        <v>45658</v>
      </c>
      <c r="E30">
        <v>2</v>
      </c>
      <c r="F30" t="s">
        <v>1113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 s="197"/>
    </row>
    <row r="31" spans="3:15" hidden="1">
      <c r="C31" s="194"/>
      <c r="D31" s="44">
        <v>45658</v>
      </c>
      <c r="E31">
        <v>2</v>
      </c>
      <c r="F31" t="s">
        <v>1113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 s="197"/>
    </row>
    <row r="32" spans="3:15" hidden="1">
      <c r="C32" s="194"/>
      <c r="D32" s="44">
        <v>45658</v>
      </c>
      <c r="E32">
        <v>2</v>
      </c>
      <c r="F32" t="s">
        <v>1113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 s="197"/>
    </row>
    <row r="33" spans="3:15" hidden="1">
      <c r="C33" s="194"/>
      <c r="D33" s="44">
        <v>45658</v>
      </c>
      <c r="E33">
        <v>2</v>
      </c>
      <c r="F33" t="s">
        <v>1113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 s="197"/>
    </row>
    <row r="34" spans="3:15" hidden="1">
      <c r="C34" s="194"/>
      <c r="D34" s="44">
        <v>45658</v>
      </c>
      <c r="E34">
        <v>1</v>
      </c>
      <c r="F34" t="s">
        <v>1113</v>
      </c>
      <c r="G34">
        <v>333333</v>
      </c>
      <c r="H34" t="s">
        <v>848</v>
      </c>
      <c r="I34">
        <v>310505</v>
      </c>
      <c r="J34">
        <v>0</v>
      </c>
      <c r="K34">
        <v>15000000</v>
      </c>
      <c r="L34">
        <v>-15000000</v>
      </c>
      <c r="M34">
        <v>0</v>
      </c>
      <c r="N34">
        <v>0</v>
      </c>
      <c r="O34" s="197"/>
    </row>
    <row r="35" spans="3:15" hidden="1">
      <c r="C35" s="194"/>
      <c r="D35" s="44">
        <v>45658</v>
      </c>
      <c r="E35">
        <v>1</v>
      </c>
      <c r="F35" t="s">
        <v>1113</v>
      </c>
      <c r="G35">
        <v>333333</v>
      </c>
      <c r="H35" t="s">
        <v>848</v>
      </c>
      <c r="I35">
        <v>310510</v>
      </c>
      <c r="J35">
        <v>15000000</v>
      </c>
      <c r="K35">
        <v>0</v>
      </c>
      <c r="L35">
        <v>15000000</v>
      </c>
      <c r="M35">
        <v>0</v>
      </c>
      <c r="N35">
        <v>0</v>
      </c>
      <c r="O35" s="197"/>
    </row>
    <row r="36" spans="3:15" hidden="1">
      <c r="C36" s="194"/>
      <c r="D36" s="44">
        <v>45658</v>
      </c>
      <c r="E36">
        <v>1</v>
      </c>
      <c r="F36" t="s">
        <v>1113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 s="197"/>
    </row>
    <row r="37" spans="3:15" hidden="1">
      <c r="C37" s="194"/>
      <c r="D37" s="44">
        <v>45658</v>
      </c>
      <c r="E37">
        <v>1</v>
      </c>
      <c r="F37" t="s">
        <v>1113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 s="197"/>
    </row>
    <row r="38" spans="3:15" hidden="1">
      <c r="C38" s="194"/>
      <c r="D38" s="44">
        <v>45658</v>
      </c>
      <c r="E38">
        <v>1</v>
      </c>
      <c r="F38" t="s">
        <v>1113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 s="197"/>
    </row>
    <row r="39" spans="3:15" hidden="1">
      <c r="C39" s="194"/>
      <c r="D39" s="44">
        <v>45658</v>
      </c>
      <c r="E39">
        <v>1</v>
      </c>
      <c r="F39" t="s">
        <v>1113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 s="197"/>
    </row>
    <row r="40" spans="3:15" hidden="1">
      <c r="C40" s="194"/>
      <c r="D40" s="44">
        <v>45658</v>
      </c>
      <c r="E40">
        <v>1</v>
      </c>
      <c r="F40" t="s">
        <v>1113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 s="197"/>
    </row>
    <row r="41" spans="3:15" hidden="1">
      <c r="C41" s="194"/>
      <c r="D41" s="44">
        <v>45658</v>
      </c>
      <c r="E41">
        <v>1</v>
      </c>
      <c r="F41" t="s">
        <v>1113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 s="197"/>
    </row>
    <row r="42" spans="3:15" hidden="1">
      <c r="C42" s="194"/>
      <c r="D42" s="44">
        <v>45658</v>
      </c>
      <c r="E42">
        <v>1</v>
      </c>
      <c r="F42" t="s">
        <v>1113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 s="197"/>
    </row>
    <row r="43" spans="3:15" hidden="1">
      <c r="C43" s="194"/>
      <c r="D43" s="44">
        <v>45658</v>
      </c>
      <c r="E43">
        <v>1</v>
      </c>
      <c r="F43" t="s">
        <v>1113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 s="197"/>
    </row>
    <row r="44" spans="3:15">
      <c r="C44" s="194"/>
      <c r="D44" s="44">
        <v>46003</v>
      </c>
      <c r="E44">
        <v>564656</v>
      </c>
      <c r="F44" t="s">
        <v>1090</v>
      </c>
      <c r="G44">
        <v>333333</v>
      </c>
      <c r="H44" t="s">
        <v>907</v>
      </c>
      <c r="I44">
        <v>111005</v>
      </c>
      <c r="J44">
        <v>0</v>
      </c>
      <c r="K44">
        <v>413525</v>
      </c>
      <c r="L44">
        <v>-413525</v>
      </c>
      <c r="M44">
        <v>111005</v>
      </c>
      <c r="N44">
        <v>1</v>
      </c>
      <c r="O44" s="197"/>
    </row>
    <row r="45" spans="3:15" hidden="1">
      <c r="C45" s="194"/>
      <c r="D45" s="44">
        <v>46003</v>
      </c>
      <c r="E45">
        <v>564656</v>
      </c>
      <c r="F45" t="s">
        <v>1090</v>
      </c>
      <c r="G45">
        <v>333333</v>
      </c>
      <c r="H45" t="s">
        <v>907</v>
      </c>
      <c r="I45">
        <v>220505</v>
      </c>
      <c r="J45">
        <v>413525</v>
      </c>
      <c r="K45">
        <v>0</v>
      </c>
      <c r="L45">
        <v>413525</v>
      </c>
      <c r="M45">
        <v>111005</v>
      </c>
      <c r="N45">
        <v>0</v>
      </c>
      <c r="O45" s="197"/>
    </row>
    <row r="46" spans="3:15" hidden="1">
      <c r="C46" s="194"/>
      <c r="D46" s="44">
        <v>46003</v>
      </c>
      <c r="E46">
        <v>564656</v>
      </c>
      <c r="F46" t="s">
        <v>1090</v>
      </c>
      <c r="G46">
        <v>333333</v>
      </c>
      <c r="H46" t="s">
        <v>907</v>
      </c>
      <c r="I46">
        <v>0</v>
      </c>
      <c r="J46">
        <v>0</v>
      </c>
      <c r="K46">
        <v>0</v>
      </c>
      <c r="L46">
        <v>0</v>
      </c>
      <c r="M46">
        <v>111005</v>
      </c>
      <c r="N46">
        <v>0</v>
      </c>
      <c r="O46" s="197"/>
    </row>
    <row r="47" spans="3:15" hidden="1">
      <c r="C47" s="194"/>
      <c r="D47" s="44">
        <v>46003</v>
      </c>
      <c r="E47">
        <v>564656</v>
      </c>
      <c r="F47" t="s">
        <v>1090</v>
      </c>
      <c r="G47">
        <v>333333</v>
      </c>
      <c r="H47" t="s">
        <v>907</v>
      </c>
      <c r="I47">
        <v>0</v>
      </c>
      <c r="J47">
        <v>0</v>
      </c>
      <c r="K47">
        <v>0</v>
      </c>
      <c r="L47">
        <v>0</v>
      </c>
      <c r="M47">
        <v>111005</v>
      </c>
      <c r="N47">
        <v>0</v>
      </c>
      <c r="O47" s="197"/>
    </row>
    <row r="48" spans="3:15" hidden="1">
      <c r="C48" s="194"/>
      <c r="D48" s="44">
        <v>46003</v>
      </c>
      <c r="E48">
        <v>564656</v>
      </c>
      <c r="F48" t="s">
        <v>1090</v>
      </c>
      <c r="G48">
        <v>333333</v>
      </c>
      <c r="H48" t="s">
        <v>907</v>
      </c>
      <c r="I48">
        <v>0</v>
      </c>
      <c r="J48">
        <v>0</v>
      </c>
      <c r="K48">
        <v>0</v>
      </c>
      <c r="L48">
        <v>0</v>
      </c>
      <c r="M48">
        <v>111005</v>
      </c>
      <c r="N48">
        <v>0</v>
      </c>
      <c r="O48" s="197"/>
    </row>
    <row r="49" spans="3:15" hidden="1">
      <c r="C49" s="194"/>
      <c r="D49" s="44">
        <v>46003</v>
      </c>
      <c r="E49">
        <v>564656</v>
      </c>
      <c r="F49" t="s">
        <v>1090</v>
      </c>
      <c r="G49">
        <v>333333</v>
      </c>
      <c r="H49" t="s">
        <v>907</v>
      </c>
      <c r="I49">
        <v>0</v>
      </c>
      <c r="J49">
        <v>0</v>
      </c>
      <c r="K49">
        <v>0</v>
      </c>
      <c r="L49">
        <v>0</v>
      </c>
      <c r="M49">
        <v>111005</v>
      </c>
      <c r="N49">
        <v>0</v>
      </c>
      <c r="O49" s="197"/>
    </row>
    <row r="50" spans="3:15" hidden="1">
      <c r="C50" s="194"/>
      <c r="D50" s="44">
        <v>46003</v>
      </c>
      <c r="E50">
        <v>564656</v>
      </c>
      <c r="F50" t="s">
        <v>1090</v>
      </c>
      <c r="G50">
        <v>333333</v>
      </c>
      <c r="H50" t="s">
        <v>907</v>
      </c>
      <c r="I50">
        <v>0</v>
      </c>
      <c r="J50">
        <v>0</v>
      </c>
      <c r="K50">
        <v>0</v>
      </c>
      <c r="L50">
        <v>0</v>
      </c>
      <c r="M50">
        <v>111005</v>
      </c>
      <c r="N50">
        <v>0</v>
      </c>
      <c r="O50" s="197"/>
    </row>
    <row r="51" spans="3:15" hidden="1">
      <c r="C51" s="194"/>
      <c r="D51" s="44">
        <v>46003</v>
      </c>
      <c r="E51">
        <v>564656</v>
      </c>
      <c r="F51" t="s">
        <v>1090</v>
      </c>
      <c r="G51">
        <v>333333</v>
      </c>
      <c r="H51" t="s">
        <v>907</v>
      </c>
      <c r="I51">
        <v>0</v>
      </c>
      <c r="J51">
        <v>0</v>
      </c>
      <c r="K51">
        <v>0</v>
      </c>
      <c r="L51">
        <v>0</v>
      </c>
      <c r="M51">
        <v>111005</v>
      </c>
      <c r="N51">
        <v>0</v>
      </c>
      <c r="O51" s="197"/>
    </row>
    <row r="52" spans="3:15" hidden="1">
      <c r="C52" s="194"/>
      <c r="D52" s="44">
        <v>46003</v>
      </c>
      <c r="E52">
        <v>564656</v>
      </c>
      <c r="F52" t="s">
        <v>1090</v>
      </c>
      <c r="G52">
        <v>333333</v>
      </c>
      <c r="H52" t="s">
        <v>907</v>
      </c>
      <c r="I52">
        <v>0</v>
      </c>
      <c r="J52">
        <v>0</v>
      </c>
      <c r="K52">
        <v>0</v>
      </c>
      <c r="L52">
        <v>0</v>
      </c>
      <c r="M52">
        <v>111005</v>
      </c>
      <c r="N52">
        <v>0</v>
      </c>
      <c r="O52" s="197"/>
    </row>
    <row r="53" spans="3:15" hidden="1">
      <c r="C53" s="194"/>
      <c r="D53" s="44">
        <v>46003</v>
      </c>
      <c r="E53">
        <v>564656</v>
      </c>
      <c r="F53" t="s">
        <v>1090</v>
      </c>
      <c r="G53">
        <v>333333</v>
      </c>
      <c r="H53" t="s">
        <v>907</v>
      </c>
      <c r="I53">
        <v>0</v>
      </c>
      <c r="J53">
        <v>0</v>
      </c>
      <c r="K53">
        <v>0</v>
      </c>
      <c r="L53">
        <v>0</v>
      </c>
      <c r="M53">
        <v>111005</v>
      </c>
      <c r="N53">
        <v>0</v>
      </c>
      <c r="O53" s="197"/>
    </row>
    <row r="54" spans="3:15" hidden="1">
      <c r="C54" s="194"/>
      <c r="D54" s="44">
        <v>46003</v>
      </c>
      <c r="E54">
        <v>564656</v>
      </c>
      <c r="F54" t="s">
        <v>1090</v>
      </c>
      <c r="G54">
        <v>333333</v>
      </c>
      <c r="H54" t="s">
        <v>907</v>
      </c>
      <c r="I54">
        <v>0</v>
      </c>
      <c r="J54">
        <v>0</v>
      </c>
      <c r="K54">
        <v>0</v>
      </c>
      <c r="L54">
        <v>0</v>
      </c>
      <c r="M54">
        <v>111005</v>
      </c>
      <c r="N54">
        <v>0</v>
      </c>
      <c r="O54" s="197"/>
    </row>
    <row r="55" spans="3:15">
      <c r="C55" s="194"/>
      <c r="D55" s="44">
        <v>45995</v>
      </c>
      <c r="E55">
        <v>232424</v>
      </c>
      <c r="F55" t="s">
        <v>1091</v>
      </c>
      <c r="G55" t="s">
        <v>901</v>
      </c>
      <c r="H55">
        <v>333333</v>
      </c>
      <c r="I55">
        <v>111005</v>
      </c>
      <c r="J55">
        <v>50000</v>
      </c>
      <c r="K55">
        <v>0</v>
      </c>
      <c r="L55">
        <v>50000</v>
      </c>
      <c r="M55">
        <v>111005</v>
      </c>
      <c r="N55">
        <v>1</v>
      </c>
      <c r="O55" s="197"/>
    </row>
    <row r="56" spans="3:15" hidden="1">
      <c r="C56" s="194"/>
      <c r="D56" s="44">
        <v>45995</v>
      </c>
      <c r="E56">
        <v>232424</v>
      </c>
      <c r="F56" t="s">
        <v>1091</v>
      </c>
      <c r="G56" t="s">
        <v>901</v>
      </c>
      <c r="H56">
        <v>333333</v>
      </c>
      <c r="I56">
        <v>130505</v>
      </c>
      <c r="J56">
        <v>0</v>
      </c>
      <c r="K56">
        <v>50000</v>
      </c>
      <c r="L56">
        <v>-50000</v>
      </c>
      <c r="M56">
        <v>111005</v>
      </c>
      <c r="N56">
        <v>0</v>
      </c>
      <c r="O56" s="197"/>
    </row>
    <row r="57" spans="3:15" hidden="1">
      <c r="C57" s="194"/>
      <c r="D57" s="44">
        <v>45995</v>
      </c>
      <c r="E57">
        <v>232424</v>
      </c>
      <c r="F57" t="s">
        <v>1091</v>
      </c>
      <c r="G57" t="s">
        <v>901</v>
      </c>
      <c r="H57">
        <v>333333</v>
      </c>
      <c r="I57">
        <v>0</v>
      </c>
      <c r="J57">
        <v>0</v>
      </c>
      <c r="K57">
        <v>0</v>
      </c>
      <c r="L57">
        <v>0</v>
      </c>
      <c r="M57">
        <v>111005</v>
      </c>
      <c r="N57">
        <v>0</v>
      </c>
      <c r="O57" s="197"/>
    </row>
    <row r="58" spans="3:15" hidden="1">
      <c r="C58" s="194"/>
      <c r="D58" s="44">
        <v>45995</v>
      </c>
      <c r="E58">
        <v>232424</v>
      </c>
      <c r="F58" t="s">
        <v>1091</v>
      </c>
      <c r="G58" t="s">
        <v>901</v>
      </c>
      <c r="H58">
        <v>333333</v>
      </c>
      <c r="I58">
        <v>0</v>
      </c>
      <c r="J58">
        <v>0</v>
      </c>
      <c r="K58">
        <v>0</v>
      </c>
      <c r="L58">
        <v>0</v>
      </c>
      <c r="M58">
        <v>111005</v>
      </c>
      <c r="N58">
        <v>0</v>
      </c>
      <c r="O58" s="197"/>
    </row>
    <row r="59" spans="3:15" hidden="1">
      <c r="C59" s="194"/>
      <c r="D59" s="44">
        <v>45995</v>
      </c>
      <c r="E59">
        <v>232424</v>
      </c>
      <c r="F59" t="s">
        <v>1091</v>
      </c>
      <c r="G59" t="s">
        <v>901</v>
      </c>
      <c r="H59">
        <v>333333</v>
      </c>
      <c r="I59">
        <v>0</v>
      </c>
      <c r="J59">
        <v>0</v>
      </c>
      <c r="K59">
        <v>0</v>
      </c>
      <c r="L59">
        <v>0</v>
      </c>
      <c r="M59">
        <v>111005</v>
      </c>
      <c r="N59">
        <v>0</v>
      </c>
      <c r="O59" s="197"/>
    </row>
    <row r="60" spans="3:15" hidden="1">
      <c r="C60" s="194"/>
      <c r="D60" s="44">
        <v>45995</v>
      </c>
      <c r="E60">
        <v>232424</v>
      </c>
      <c r="F60" t="s">
        <v>1091</v>
      </c>
      <c r="G60" t="s">
        <v>901</v>
      </c>
      <c r="H60">
        <v>333333</v>
      </c>
      <c r="I60">
        <v>0</v>
      </c>
      <c r="J60">
        <v>0</v>
      </c>
      <c r="K60">
        <v>0</v>
      </c>
      <c r="L60">
        <v>0</v>
      </c>
      <c r="M60">
        <v>111005</v>
      </c>
      <c r="N60">
        <v>0</v>
      </c>
      <c r="O60" s="197"/>
    </row>
    <row r="61" spans="3:15" hidden="1">
      <c r="C61" s="194"/>
      <c r="D61" s="44">
        <v>45995</v>
      </c>
      <c r="E61">
        <v>232424</v>
      </c>
      <c r="F61" t="s">
        <v>1091</v>
      </c>
      <c r="G61" t="s">
        <v>901</v>
      </c>
      <c r="H61">
        <v>333333</v>
      </c>
      <c r="I61">
        <v>0</v>
      </c>
      <c r="J61">
        <v>0</v>
      </c>
      <c r="K61">
        <v>0</v>
      </c>
      <c r="L61">
        <v>0</v>
      </c>
      <c r="M61">
        <v>111005</v>
      </c>
      <c r="N61">
        <v>0</v>
      </c>
      <c r="O61" s="197"/>
    </row>
    <row r="62" spans="3:15" hidden="1">
      <c r="C62" s="194"/>
      <c r="D62" s="44">
        <v>45995</v>
      </c>
      <c r="E62">
        <v>232424</v>
      </c>
      <c r="F62" t="s">
        <v>1091</v>
      </c>
      <c r="G62" t="s">
        <v>901</v>
      </c>
      <c r="H62">
        <v>333333</v>
      </c>
      <c r="I62">
        <v>0</v>
      </c>
      <c r="J62">
        <v>0</v>
      </c>
      <c r="K62">
        <v>0</v>
      </c>
      <c r="L62">
        <v>0</v>
      </c>
      <c r="M62">
        <v>111005</v>
      </c>
      <c r="N62">
        <v>0</v>
      </c>
      <c r="O62" s="197"/>
    </row>
    <row r="63" spans="3:15" hidden="1">
      <c r="C63" s="194"/>
      <c r="D63" s="44">
        <v>45995</v>
      </c>
      <c r="E63">
        <v>232424</v>
      </c>
      <c r="F63" t="s">
        <v>1091</v>
      </c>
      <c r="G63" t="s">
        <v>901</v>
      </c>
      <c r="H63">
        <v>333333</v>
      </c>
      <c r="I63">
        <v>0</v>
      </c>
      <c r="J63">
        <v>0</v>
      </c>
      <c r="K63">
        <v>0</v>
      </c>
      <c r="L63">
        <v>0</v>
      </c>
      <c r="M63">
        <v>111005</v>
      </c>
      <c r="N63">
        <v>0</v>
      </c>
      <c r="O63" s="197"/>
    </row>
    <row r="64" spans="3:15" hidden="1">
      <c r="C64" s="194"/>
      <c r="D64" s="44">
        <v>45995</v>
      </c>
      <c r="E64">
        <v>232424</v>
      </c>
      <c r="F64" t="s">
        <v>1091</v>
      </c>
      <c r="G64" t="s">
        <v>901</v>
      </c>
      <c r="H64">
        <v>333333</v>
      </c>
      <c r="I64">
        <v>0</v>
      </c>
      <c r="J64">
        <v>0</v>
      </c>
      <c r="K64">
        <v>0</v>
      </c>
      <c r="L64">
        <v>0</v>
      </c>
      <c r="M64">
        <v>111005</v>
      </c>
      <c r="N64">
        <v>0</v>
      </c>
      <c r="O64" s="197"/>
    </row>
    <row r="65" spans="3:15" hidden="1">
      <c r="C65" s="194"/>
      <c r="D65" s="44">
        <v>45995</v>
      </c>
      <c r="E65">
        <v>232424</v>
      </c>
      <c r="F65" t="s">
        <v>1091</v>
      </c>
      <c r="G65" t="s">
        <v>901</v>
      </c>
      <c r="H65">
        <v>333333</v>
      </c>
      <c r="I65">
        <v>0</v>
      </c>
      <c r="J65">
        <v>0</v>
      </c>
      <c r="K65">
        <v>0</v>
      </c>
      <c r="L65">
        <v>0</v>
      </c>
      <c r="M65">
        <v>111005</v>
      </c>
      <c r="N65">
        <v>0</v>
      </c>
      <c r="O65" s="197"/>
    </row>
    <row r="66" spans="3:15" hidden="1">
      <c r="C66" s="194"/>
      <c r="D66" s="44">
        <v>45993</v>
      </c>
      <c r="E66">
        <v>3</v>
      </c>
      <c r="F66" t="s">
        <v>766</v>
      </c>
      <c r="G66" t="s">
        <v>901</v>
      </c>
      <c r="H66">
        <v>333333</v>
      </c>
      <c r="I66">
        <v>130505</v>
      </c>
      <c r="J66">
        <v>200000</v>
      </c>
      <c r="K66">
        <v>0</v>
      </c>
      <c r="L66">
        <v>200000</v>
      </c>
      <c r="M66">
        <v>0</v>
      </c>
      <c r="N66">
        <v>0</v>
      </c>
      <c r="O66" s="197"/>
    </row>
    <row r="67" spans="3:15" hidden="1">
      <c r="C67" s="194"/>
      <c r="D67" s="44">
        <v>45993</v>
      </c>
      <c r="E67">
        <v>3</v>
      </c>
      <c r="F67" t="s">
        <v>766</v>
      </c>
      <c r="G67" t="s">
        <v>901</v>
      </c>
      <c r="H67">
        <v>333333</v>
      </c>
      <c r="J67">
        <v>0</v>
      </c>
      <c r="K67">
        <v>0</v>
      </c>
      <c r="L67">
        <v>0</v>
      </c>
      <c r="M67">
        <v>0</v>
      </c>
      <c r="N67">
        <v>0</v>
      </c>
      <c r="O67" s="197"/>
    </row>
    <row r="68" spans="3:15" hidden="1">
      <c r="C68" s="194"/>
      <c r="D68" s="44">
        <v>45993</v>
      </c>
      <c r="E68">
        <v>3</v>
      </c>
      <c r="F68" t="s">
        <v>766</v>
      </c>
      <c r="G68" t="s">
        <v>901</v>
      </c>
      <c r="H68">
        <v>333333</v>
      </c>
      <c r="J68">
        <v>0</v>
      </c>
      <c r="K68">
        <v>0</v>
      </c>
      <c r="L68">
        <v>0</v>
      </c>
      <c r="M68">
        <v>0</v>
      </c>
      <c r="N68">
        <v>0</v>
      </c>
      <c r="O68" s="197"/>
    </row>
    <row r="69" spans="3:15" hidden="1">
      <c r="C69" s="194"/>
      <c r="D69" s="44">
        <v>45993</v>
      </c>
      <c r="E69">
        <v>3</v>
      </c>
      <c r="F69" t="s">
        <v>766</v>
      </c>
      <c r="G69" t="s">
        <v>901</v>
      </c>
      <c r="H69">
        <v>333333</v>
      </c>
      <c r="J69">
        <v>0</v>
      </c>
      <c r="K69">
        <v>0</v>
      </c>
      <c r="L69">
        <v>0</v>
      </c>
      <c r="M69">
        <v>0</v>
      </c>
      <c r="N69">
        <v>0</v>
      </c>
      <c r="O69" s="197"/>
    </row>
    <row r="70" spans="3:15" hidden="1">
      <c r="C70" s="194"/>
      <c r="D70" s="44">
        <v>45993</v>
      </c>
      <c r="E70">
        <v>3</v>
      </c>
      <c r="F70" t="s">
        <v>766</v>
      </c>
      <c r="G70" t="s">
        <v>901</v>
      </c>
      <c r="H70">
        <v>333333</v>
      </c>
      <c r="J70">
        <v>0</v>
      </c>
      <c r="K70">
        <v>0</v>
      </c>
      <c r="L70">
        <v>0</v>
      </c>
      <c r="M70">
        <v>0</v>
      </c>
      <c r="N70">
        <v>0</v>
      </c>
      <c r="O70" s="197"/>
    </row>
    <row r="71" spans="3:15" hidden="1">
      <c r="C71" s="194"/>
      <c r="D71" s="44">
        <v>45993</v>
      </c>
      <c r="E71">
        <v>3</v>
      </c>
      <c r="F71" t="s">
        <v>766</v>
      </c>
      <c r="G71" t="s">
        <v>901</v>
      </c>
      <c r="H71">
        <v>333333</v>
      </c>
      <c r="J71">
        <v>0</v>
      </c>
      <c r="K71">
        <v>0</v>
      </c>
      <c r="L71">
        <v>0</v>
      </c>
      <c r="M71">
        <v>0</v>
      </c>
      <c r="N71">
        <v>0</v>
      </c>
      <c r="O71" s="197"/>
    </row>
    <row r="72" spans="3:15" hidden="1">
      <c r="C72" s="194"/>
      <c r="D72" s="44">
        <v>45993</v>
      </c>
      <c r="E72">
        <v>3</v>
      </c>
      <c r="F72" t="s">
        <v>766</v>
      </c>
      <c r="G72" t="s">
        <v>901</v>
      </c>
      <c r="H72">
        <v>333333</v>
      </c>
      <c r="J72">
        <v>0</v>
      </c>
      <c r="K72">
        <v>0</v>
      </c>
      <c r="L72">
        <v>0</v>
      </c>
      <c r="M72">
        <v>0</v>
      </c>
      <c r="N72">
        <v>0</v>
      </c>
      <c r="O72" s="197"/>
    </row>
    <row r="73" spans="3:15" hidden="1">
      <c r="C73" s="194"/>
      <c r="D73" s="44">
        <v>45993</v>
      </c>
      <c r="E73">
        <v>3</v>
      </c>
      <c r="F73" t="s">
        <v>766</v>
      </c>
      <c r="G73" t="s">
        <v>901</v>
      </c>
      <c r="H73">
        <v>333333</v>
      </c>
      <c r="J73">
        <v>0</v>
      </c>
      <c r="K73">
        <v>0</v>
      </c>
      <c r="L73">
        <v>0</v>
      </c>
      <c r="M73">
        <v>0</v>
      </c>
      <c r="N73">
        <v>0</v>
      </c>
      <c r="O73" s="197"/>
    </row>
    <row r="74" spans="3:15" hidden="1">
      <c r="C74" s="194"/>
      <c r="D74" s="44">
        <v>45993</v>
      </c>
      <c r="E74">
        <v>3</v>
      </c>
      <c r="F74" t="s">
        <v>766</v>
      </c>
      <c r="G74" t="s">
        <v>901</v>
      </c>
      <c r="H74">
        <v>333333</v>
      </c>
      <c r="J74">
        <v>0</v>
      </c>
      <c r="K74">
        <v>0</v>
      </c>
      <c r="L74">
        <v>0</v>
      </c>
      <c r="M74">
        <v>0</v>
      </c>
      <c r="N74">
        <v>0</v>
      </c>
      <c r="O74" s="197"/>
    </row>
    <row r="75" spans="3:15" hidden="1">
      <c r="C75" s="194"/>
      <c r="D75" s="44">
        <v>45993</v>
      </c>
      <c r="E75">
        <v>3</v>
      </c>
      <c r="F75" t="s">
        <v>766</v>
      </c>
      <c r="G75" t="s">
        <v>901</v>
      </c>
      <c r="H75">
        <v>333333</v>
      </c>
      <c r="I75">
        <v>413524</v>
      </c>
      <c r="J75">
        <v>0</v>
      </c>
      <c r="K75">
        <v>200000</v>
      </c>
      <c r="L75">
        <v>-200000</v>
      </c>
      <c r="M75">
        <v>0</v>
      </c>
      <c r="N75">
        <v>0</v>
      </c>
      <c r="O75" s="197"/>
    </row>
    <row r="76" spans="3:15" hidden="1">
      <c r="C76" s="194"/>
      <c r="D76" s="44">
        <v>45993</v>
      </c>
      <c r="E76">
        <v>3</v>
      </c>
      <c r="F76" t="s">
        <v>766</v>
      </c>
      <c r="G76" t="s">
        <v>901</v>
      </c>
      <c r="H76">
        <v>333333</v>
      </c>
      <c r="I76">
        <v>240805</v>
      </c>
      <c r="J76">
        <v>0</v>
      </c>
      <c r="K76">
        <v>0</v>
      </c>
      <c r="L76">
        <v>0</v>
      </c>
      <c r="M76">
        <v>0</v>
      </c>
      <c r="N76">
        <v>0</v>
      </c>
      <c r="O76" s="197"/>
    </row>
    <row r="77" spans="3:15" hidden="1">
      <c r="C77" s="194"/>
      <c r="D77" s="44">
        <v>45993</v>
      </c>
      <c r="E77">
        <v>3</v>
      </c>
      <c r="F77" t="s">
        <v>766</v>
      </c>
      <c r="G77" t="s">
        <v>901</v>
      </c>
      <c r="H77">
        <v>333333</v>
      </c>
      <c r="I77">
        <v>246505</v>
      </c>
      <c r="J77">
        <v>0</v>
      </c>
      <c r="K77">
        <v>0</v>
      </c>
      <c r="L77">
        <v>0</v>
      </c>
      <c r="M77">
        <v>0</v>
      </c>
      <c r="N77">
        <v>0</v>
      </c>
      <c r="O77" s="197"/>
    </row>
    <row r="78" spans="3:15" hidden="1">
      <c r="C78" s="194"/>
      <c r="D78" s="44">
        <v>45993</v>
      </c>
      <c r="E78">
        <v>3</v>
      </c>
      <c r="F78" t="s">
        <v>766</v>
      </c>
      <c r="G78" t="s">
        <v>901</v>
      </c>
      <c r="H78">
        <v>333333</v>
      </c>
      <c r="I78">
        <v>143505</v>
      </c>
      <c r="J78">
        <v>0</v>
      </c>
      <c r="K78">
        <v>53076.923076923078</v>
      </c>
      <c r="L78">
        <v>-53076.923076923078</v>
      </c>
      <c r="M78">
        <v>0</v>
      </c>
      <c r="N78">
        <v>0</v>
      </c>
      <c r="O78" s="197"/>
    </row>
    <row r="79" spans="3:15" hidden="1">
      <c r="C79" s="194"/>
      <c r="D79" s="44">
        <v>45993</v>
      </c>
      <c r="E79">
        <v>3</v>
      </c>
      <c r="F79" t="s">
        <v>766</v>
      </c>
      <c r="G79" t="s">
        <v>901</v>
      </c>
      <c r="H79">
        <v>333333</v>
      </c>
      <c r="J79">
        <v>0</v>
      </c>
      <c r="K79">
        <v>0</v>
      </c>
      <c r="L79">
        <v>0</v>
      </c>
      <c r="M79">
        <v>0</v>
      </c>
      <c r="N79">
        <v>0</v>
      </c>
      <c r="O79" s="197"/>
    </row>
    <row r="80" spans="3:15" hidden="1">
      <c r="C80" s="194"/>
      <c r="D80" s="44">
        <v>45993</v>
      </c>
      <c r="E80">
        <v>3</v>
      </c>
      <c r="F80" t="s">
        <v>766</v>
      </c>
      <c r="G80" t="s">
        <v>901</v>
      </c>
      <c r="H80">
        <v>333333</v>
      </c>
      <c r="J80">
        <v>0</v>
      </c>
      <c r="K80">
        <v>0</v>
      </c>
      <c r="L80">
        <v>0</v>
      </c>
      <c r="M80">
        <v>0</v>
      </c>
      <c r="N80">
        <v>0</v>
      </c>
      <c r="O80" s="197"/>
    </row>
    <row r="81" spans="3:15" hidden="1">
      <c r="C81" s="194"/>
      <c r="D81" s="44">
        <v>45993</v>
      </c>
      <c r="E81">
        <v>3</v>
      </c>
      <c r="F81" t="s">
        <v>766</v>
      </c>
      <c r="G81" t="s">
        <v>901</v>
      </c>
      <c r="H81">
        <v>333333</v>
      </c>
      <c r="J81">
        <v>0</v>
      </c>
      <c r="K81">
        <v>0</v>
      </c>
      <c r="L81">
        <v>0</v>
      </c>
      <c r="M81">
        <v>0</v>
      </c>
      <c r="N81">
        <v>0</v>
      </c>
      <c r="O81" s="197"/>
    </row>
    <row r="82" spans="3:15" hidden="1">
      <c r="C82" s="194"/>
      <c r="D82" s="44">
        <v>45993</v>
      </c>
      <c r="E82">
        <v>3</v>
      </c>
      <c r="F82" t="s">
        <v>766</v>
      </c>
      <c r="G82" t="s">
        <v>901</v>
      </c>
      <c r="H82">
        <v>333333</v>
      </c>
      <c r="J82">
        <v>0</v>
      </c>
      <c r="K82">
        <v>0</v>
      </c>
      <c r="L82">
        <v>0</v>
      </c>
      <c r="M82">
        <v>0</v>
      </c>
      <c r="N82">
        <v>0</v>
      </c>
      <c r="O82" s="197"/>
    </row>
    <row r="83" spans="3:15" hidden="1">
      <c r="C83" s="194"/>
      <c r="D83" s="44">
        <v>45993</v>
      </c>
      <c r="E83">
        <v>3</v>
      </c>
      <c r="F83" t="s">
        <v>766</v>
      </c>
      <c r="G83" t="s">
        <v>901</v>
      </c>
      <c r="H83">
        <v>333333</v>
      </c>
      <c r="J83">
        <v>0</v>
      </c>
      <c r="K83">
        <v>0</v>
      </c>
      <c r="L83">
        <v>0</v>
      </c>
      <c r="M83">
        <v>0</v>
      </c>
      <c r="N83">
        <v>0</v>
      </c>
      <c r="O83" s="197"/>
    </row>
    <row r="84" spans="3:15" hidden="1">
      <c r="C84" s="194"/>
      <c r="D84" s="44">
        <v>45993</v>
      </c>
      <c r="E84">
        <v>3</v>
      </c>
      <c r="F84" t="s">
        <v>766</v>
      </c>
      <c r="G84" t="s">
        <v>901</v>
      </c>
      <c r="H84">
        <v>333333</v>
      </c>
      <c r="J84">
        <v>0</v>
      </c>
      <c r="K84">
        <v>0</v>
      </c>
      <c r="L84">
        <v>0</v>
      </c>
      <c r="M84">
        <v>0</v>
      </c>
      <c r="N84">
        <v>0</v>
      </c>
      <c r="O84" s="197"/>
    </row>
    <row r="85" spans="3:15" hidden="1">
      <c r="C85" s="194"/>
      <c r="D85" s="44">
        <v>45993</v>
      </c>
      <c r="E85">
        <v>3</v>
      </c>
      <c r="F85" t="s">
        <v>766</v>
      </c>
      <c r="G85" t="s">
        <v>901</v>
      </c>
      <c r="H85">
        <v>333333</v>
      </c>
      <c r="J85">
        <v>0</v>
      </c>
      <c r="K85">
        <v>0</v>
      </c>
      <c r="L85">
        <v>0</v>
      </c>
      <c r="M85">
        <v>0</v>
      </c>
      <c r="N85">
        <v>0</v>
      </c>
      <c r="O85" s="197"/>
    </row>
    <row r="86" spans="3:15" hidden="1">
      <c r="C86" s="194"/>
      <c r="D86" s="44">
        <v>45993</v>
      </c>
      <c r="E86">
        <v>3</v>
      </c>
      <c r="F86" t="s">
        <v>766</v>
      </c>
      <c r="G86" t="s">
        <v>901</v>
      </c>
      <c r="H86">
        <v>333333</v>
      </c>
      <c r="J86">
        <v>0</v>
      </c>
      <c r="K86">
        <v>0</v>
      </c>
      <c r="L86">
        <v>0</v>
      </c>
      <c r="M86">
        <v>0</v>
      </c>
      <c r="N86">
        <v>0</v>
      </c>
      <c r="O86" s="197"/>
    </row>
    <row r="87" spans="3:15" hidden="1">
      <c r="C87" s="194"/>
      <c r="D87" s="44">
        <v>45993</v>
      </c>
      <c r="E87">
        <v>3</v>
      </c>
      <c r="F87" t="s">
        <v>766</v>
      </c>
      <c r="G87" t="s">
        <v>901</v>
      </c>
      <c r="H87">
        <v>333333</v>
      </c>
      <c r="I87">
        <v>610505</v>
      </c>
      <c r="J87">
        <v>53076.923076923078</v>
      </c>
      <c r="K87">
        <v>0</v>
      </c>
      <c r="L87">
        <v>53076.923076923078</v>
      </c>
      <c r="M87">
        <v>0</v>
      </c>
      <c r="N87">
        <v>0</v>
      </c>
      <c r="O87" s="197"/>
    </row>
    <row r="88" spans="3:15" hidden="1">
      <c r="C88" s="194"/>
      <c r="D88" s="44">
        <v>45993</v>
      </c>
      <c r="E88">
        <v>2</v>
      </c>
      <c r="F88" t="s">
        <v>766</v>
      </c>
      <c r="G88" t="s">
        <v>901</v>
      </c>
      <c r="H88">
        <v>333333</v>
      </c>
      <c r="I88">
        <v>130505</v>
      </c>
      <c r="J88">
        <v>59500</v>
      </c>
      <c r="K88">
        <v>0</v>
      </c>
      <c r="L88">
        <v>59500</v>
      </c>
      <c r="M88">
        <v>0</v>
      </c>
      <c r="N88">
        <v>0</v>
      </c>
      <c r="O88" s="197"/>
    </row>
    <row r="89" spans="3:15" hidden="1">
      <c r="C89" s="194"/>
      <c r="D89" s="44">
        <v>45993</v>
      </c>
      <c r="E89">
        <v>2</v>
      </c>
      <c r="F89" t="s">
        <v>766</v>
      </c>
      <c r="G89" t="s">
        <v>901</v>
      </c>
      <c r="H89">
        <v>333333</v>
      </c>
      <c r="J89">
        <v>0</v>
      </c>
      <c r="K89">
        <v>0</v>
      </c>
      <c r="L89">
        <v>0</v>
      </c>
      <c r="M89">
        <v>0</v>
      </c>
      <c r="N89">
        <v>0</v>
      </c>
      <c r="O89" s="197"/>
    </row>
    <row r="90" spans="3:15" hidden="1">
      <c r="C90" s="194"/>
      <c r="D90" s="44">
        <v>45993</v>
      </c>
      <c r="E90">
        <v>2</v>
      </c>
      <c r="F90" t="s">
        <v>766</v>
      </c>
      <c r="G90" t="s">
        <v>901</v>
      </c>
      <c r="H90">
        <v>333333</v>
      </c>
      <c r="J90">
        <v>0</v>
      </c>
      <c r="K90">
        <v>0</v>
      </c>
      <c r="L90">
        <v>0</v>
      </c>
      <c r="M90">
        <v>0</v>
      </c>
      <c r="N90">
        <v>0</v>
      </c>
      <c r="O90" s="197"/>
    </row>
    <row r="91" spans="3:15" hidden="1">
      <c r="C91" s="194"/>
      <c r="D91" s="44">
        <v>45993</v>
      </c>
      <c r="E91">
        <v>2</v>
      </c>
      <c r="F91" t="s">
        <v>766</v>
      </c>
      <c r="G91" t="s">
        <v>901</v>
      </c>
      <c r="H91">
        <v>333333</v>
      </c>
      <c r="J91">
        <v>0</v>
      </c>
      <c r="K91">
        <v>0</v>
      </c>
      <c r="L91">
        <v>0</v>
      </c>
      <c r="M91">
        <v>0</v>
      </c>
      <c r="N91">
        <v>0</v>
      </c>
      <c r="O91" s="197"/>
    </row>
    <row r="92" spans="3:15" hidden="1">
      <c r="C92" s="194"/>
      <c r="D92" s="44">
        <v>45993</v>
      </c>
      <c r="E92">
        <v>2</v>
      </c>
      <c r="F92" t="s">
        <v>766</v>
      </c>
      <c r="G92" t="s">
        <v>901</v>
      </c>
      <c r="H92">
        <v>333333</v>
      </c>
      <c r="J92">
        <v>0</v>
      </c>
      <c r="K92">
        <v>0</v>
      </c>
      <c r="L92">
        <v>0</v>
      </c>
      <c r="M92">
        <v>0</v>
      </c>
      <c r="N92">
        <v>0</v>
      </c>
      <c r="O92" s="197"/>
    </row>
    <row r="93" spans="3:15" hidden="1">
      <c r="C93" s="194"/>
      <c r="D93" s="44">
        <v>45993</v>
      </c>
      <c r="E93">
        <v>2</v>
      </c>
      <c r="F93" t="s">
        <v>766</v>
      </c>
      <c r="G93" t="s">
        <v>901</v>
      </c>
      <c r="H93">
        <v>333333</v>
      </c>
      <c r="J93">
        <v>0</v>
      </c>
      <c r="K93">
        <v>0</v>
      </c>
      <c r="L93">
        <v>0</v>
      </c>
      <c r="M93">
        <v>0</v>
      </c>
      <c r="N93">
        <v>0</v>
      </c>
      <c r="O93" s="197"/>
    </row>
    <row r="94" spans="3:15" hidden="1">
      <c r="C94" s="194"/>
      <c r="D94" s="44">
        <v>45993</v>
      </c>
      <c r="E94">
        <v>2</v>
      </c>
      <c r="F94" t="s">
        <v>766</v>
      </c>
      <c r="G94" t="s">
        <v>901</v>
      </c>
      <c r="H94">
        <v>333333</v>
      </c>
      <c r="J94">
        <v>0</v>
      </c>
      <c r="K94">
        <v>0</v>
      </c>
      <c r="L94">
        <v>0</v>
      </c>
      <c r="M94">
        <v>0</v>
      </c>
      <c r="N94">
        <v>0</v>
      </c>
      <c r="O94" s="197"/>
    </row>
    <row r="95" spans="3:15" hidden="1">
      <c r="C95" s="194"/>
      <c r="D95" s="44">
        <v>45993</v>
      </c>
      <c r="E95">
        <v>2</v>
      </c>
      <c r="F95" t="s">
        <v>766</v>
      </c>
      <c r="G95" t="s">
        <v>901</v>
      </c>
      <c r="H95">
        <v>333333</v>
      </c>
      <c r="J95">
        <v>0</v>
      </c>
      <c r="K95">
        <v>0</v>
      </c>
      <c r="L95">
        <v>0</v>
      </c>
      <c r="M95">
        <v>0</v>
      </c>
      <c r="N95">
        <v>0</v>
      </c>
      <c r="O95" s="197"/>
    </row>
    <row r="96" spans="3:15" hidden="1">
      <c r="C96" s="194"/>
      <c r="D96" s="44">
        <v>45993</v>
      </c>
      <c r="E96">
        <v>2</v>
      </c>
      <c r="F96" t="s">
        <v>766</v>
      </c>
      <c r="G96" t="s">
        <v>901</v>
      </c>
      <c r="H96">
        <v>333333</v>
      </c>
      <c r="J96">
        <v>0</v>
      </c>
      <c r="K96">
        <v>0</v>
      </c>
      <c r="L96">
        <v>0</v>
      </c>
      <c r="M96">
        <v>0</v>
      </c>
      <c r="N96">
        <v>0</v>
      </c>
      <c r="O96" s="197"/>
    </row>
    <row r="97" spans="3:15" hidden="1">
      <c r="C97" s="194"/>
      <c r="D97" s="44">
        <v>45993</v>
      </c>
      <c r="E97">
        <v>2</v>
      </c>
      <c r="F97" t="s">
        <v>766</v>
      </c>
      <c r="G97" t="s">
        <v>901</v>
      </c>
      <c r="H97">
        <v>333333</v>
      </c>
      <c r="I97">
        <v>413524</v>
      </c>
      <c r="J97">
        <v>0</v>
      </c>
      <c r="K97">
        <v>50000</v>
      </c>
      <c r="L97">
        <v>-50000</v>
      </c>
      <c r="M97">
        <v>0</v>
      </c>
      <c r="N97">
        <v>0</v>
      </c>
      <c r="O97" s="197"/>
    </row>
    <row r="98" spans="3:15" hidden="1">
      <c r="C98" s="194"/>
      <c r="D98" s="44">
        <v>45993</v>
      </c>
      <c r="E98">
        <v>2</v>
      </c>
      <c r="F98" t="s">
        <v>766</v>
      </c>
      <c r="G98" t="s">
        <v>901</v>
      </c>
      <c r="H98">
        <v>333333</v>
      </c>
      <c r="I98">
        <v>240805</v>
      </c>
      <c r="J98">
        <v>0</v>
      </c>
      <c r="K98">
        <v>9500</v>
      </c>
      <c r="L98">
        <v>-9500</v>
      </c>
      <c r="M98">
        <v>0</v>
      </c>
      <c r="N98">
        <v>0</v>
      </c>
      <c r="O98" s="197"/>
    </row>
    <row r="99" spans="3:15" hidden="1">
      <c r="C99" s="194"/>
      <c r="D99" s="44">
        <v>45993</v>
      </c>
      <c r="E99">
        <v>2</v>
      </c>
      <c r="F99" t="s">
        <v>766</v>
      </c>
      <c r="G99" t="s">
        <v>901</v>
      </c>
      <c r="H99">
        <v>333333</v>
      </c>
      <c r="I99">
        <v>246505</v>
      </c>
      <c r="J99">
        <v>0</v>
      </c>
      <c r="K99">
        <v>0</v>
      </c>
      <c r="L99">
        <v>0</v>
      </c>
      <c r="M99">
        <v>0</v>
      </c>
      <c r="N99">
        <v>0</v>
      </c>
      <c r="O99" s="197"/>
    </row>
    <row r="100" spans="3:15" hidden="1">
      <c r="C100" s="194"/>
      <c r="D100" s="44">
        <v>45993</v>
      </c>
      <c r="E100">
        <v>236599</v>
      </c>
      <c r="F100" t="s">
        <v>1111</v>
      </c>
      <c r="G100">
        <v>333333</v>
      </c>
      <c r="H100" t="s">
        <v>903</v>
      </c>
      <c r="I100">
        <v>510512</v>
      </c>
      <c r="J100">
        <v>80000</v>
      </c>
      <c r="K100">
        <v>0</v>
      </c>
      <c r="L100">
        <v>80000</v>
      </c>
      <c r="M100">
        <v>0</v>
      </c>
      <c r="N100">
        <v>0</v>
      </c>
      <c r="O100" s="197"/>
    </row>
    <row r="101" spans="3:15" hidden="1">
      <c r="C101" s="194"/>
      <c r="D101" s="44">
        <v>45993</v>
      </c>
      <c r="E101">
        <v>236599</v>
      </c>
      <c r="F101" t="s">
        <v>1111</v>
      </c>
      <c r="G101">
        <v>333333</v>
      </c>
      <c r="H101" t="s">
        <v>903</v>
      </c>
      <c r="J101">
        <v>0</v>
      </c>
      <c r="K101">
        <v>0</v>
      </c>
      <c r="L101">
        <v>0</v>
      </c>
      <c r="M101">
        <v>0</v>
      </c>
      <c r="N101">
        <v>0</v>
      </c>
      <c r="O101" s="197"/>
    </row>
    <row r="102" spans="3:15" hidden="1">
      <c r="C102" s="194"/>
      <c r="D102" s="44">
        <v>45993</v>
      </c>
      <c r="E102">
        <v>236599</v>
      </c>
      <c r="F102" t="s">
        <v>1111</v>
      </c>
      <c r="G102">
        <v>333333</v>
      </c>
      <c r="H102" t="s">
        <v>903</v>
      </c>
      <c r="J102">
        <v>0</v>
      </c>
      <c r="K102">
        <v>0</v>
      </c>
      <c r="L102">
        <v>0</v>
      </c>
      <c r="M102">
        <v>0</v>
      </c>
      <c r="N102">
        <v>0</v>
      </c>
      <c r="O102" s="197"/>
    </row>
    <row r="103" spans="3:15" hidden="1">
      <c r="C103" s="194"/>
      <c r="D103" s="44">
        <v>45993</v>
      </c>
      <c r="E103">
        <v>236599</v>
      </c>
      <c r="F103" t="s">
        <v>1111</v>
      </c>
      <c r="G103">
        <v>333333</v>
      </c>
      <c r="H103" t="s">
        <v>903</v>
      </c>
      <c r="J103">
        <v>0</v>
      </c>
      <c r="K103">
        <v>0</v>
      </c>
      <c r="L103">
        <v>0</v>
      </c>
      <c r="M103">
        <v>0</v>
      </c>
      <c r="N103">
        <v>0</v>
      </c>
      <c r="O103" s="197"/>
    </row>
    <row r="104" spans="3:15" hidden="1">
      <c r="C104" s="194"/>
      <c r="D104" s="44">
        <v>45993</v>
      </c>
      <c r="E104">
        <v>236599</v>
      </c>
      <c r="F104" t="s">
        <v>1111</v>
      </c>
      <c r="G104">
        <v>333333</v>
      </c>
      <c r="H104" t="s">
        <v>903</v>
      </c>
      <c r="J104">
        <v>0</v>
      </c>
      <c r="K104">
        <v>0</v>
      </c>
      <c r="L104">
        <v>0</v>
      </c>
      <c r="M104">
        <v>0</v>
      </c>
      <c r="N104">
        <v>0</v>
      </c>
      <c r="O104" s="197"/>
    </row>
    <row r="105" spans="3:15" hidden="1">
      <c r="C105" s="194"/>
      <c r="D105" s="44">
        <v>45993</v>
      </c>
      <c r="E105">
        <v>236599</v>
      </c>
      <c r="F105" t="s">
        <v>1111</v>
      </c>
      <c r="G105">
        <v>333333</v>
      </c>
      <c r="H105" t="s">
        <v>903</v>
      </c>
      <c r="J105">
        <v>0</v>
      </c>
      <c r="K105">
        <v>0</v>
      </c>
      <c r="L105">
        <v>0</v>
      </c>
      <c r="M105">
        <v>0</v>
      </c>
      <c r="N105">
        <v>0</v>
      </c>
      <c r="O105" s="197"/>
    </row>
    <row r="106" spans="3:15" hidden="1">
      <c r="C106" s="194"/>
      <c r="D106" s="44">
        <v>45993</v>
      </c>
      <c r="E106">
        <v>236599</v>
      </c>
      <c r="F106" t="s">
        <v>1111</v>
      </c>
      <c r="G106">
        <v>333333</v>
      </c>
      <c r="H106" t="s">
        <v>903</v>
      </c>
      <c r="J106">
        <v>0</v>
      </c>
      <c r="K106">
        <v>0</v>
      </c>
      <c r="L106">
        <v>0</v>
      </c>
      <c r="M106">
        <v>0</v>
      </c>
      <c r="N106">
        <v>0</v>
      </c>
      <c r="O106" s="197"/>
    </row>
    <row r="107" spans="3:15" hidden="1">
      <c r="C107" s="194"/>
      <c r="D107" s="44">
        <v>45993</v>
      </c>
      <c r="E107">
        <v>236599</v>
      </c>
      <c r="F107" t="s">
        <v>1111</v>
      </c>
      <c r="G107">
        <v>333333</v>
      </c>
      <c r="H107" t="s">
        <v>903</v>
      </c>
      <c r="J107">
        <v>0</v>
      </c>
      <c r="K107">
        <v>0</v>
      </c>
      <c r="L107">
        <v>0</v>
      </c>
      <c r="M107">
        <v>0</v>
      </c>
      <c r="N107">
        <v>0</v>
      </c>
      <c r="O107" s="197"/>
    </row>
    <row r="108" spans="3:15" hidden="1">
      <c r="C108" s="194"/>
      <c r="D108" s="44">
        <v>45993</v>
      </c>
      <c r="E108">
        <v>236599</v>
      </c>
      <c r="F108" t="s">
        <v>1111</v>
      </c>
      <c r="G108">
        <v>333333</v>
      </c>
      <c r="H108" t="s">
        <v>903</v>
      </c>
      <c r="J108">
        <v>0</v>
      </c>
      <c r="K108">
        <v>0</v>
      </c>
      <c r="L108">
        <v>0</v>
      </c>
      <c r="M108">
        <v>0</v>
      </c>
      <c r="N108">
        <v>0</v>
      </c>
      <c r="O108" s="197"/>
    </row>
    <row r="109" spans="3:15" hidden="1">
      <c r="C109" s="194"/>
      <c r="D109" s="44">
        <v>45993</v>
      </c>
      <c r="E109">
        <v>236599</v>
      </c>
      <c r="F109" t="s">
        <v>1111</v>
      </c>
      <c r="G109">
        <v>333333</v>
      </c>
      <c r="H109" t="s">
        <v>903</v>
      </c>
      <c r="J109">
        <v>0</v>
      </c>
      <c r="K109">
        <v>0</v>
      </c>
      <c r="L109">
        <v>0</v>
      </c>
      <c r="M109">
        <v>0</v>
      </c>
      <c r="N109">
        <v>0</v>
      </c>
      <c r="O109" s="197"/>
    </row>
    <row r="110" spans="3:15" hidden="1">
      <c r="C110" s="194"/>
      <c r="D110" s="44">
        <v>45993</v>
      </c>
      <c r="E110">
        <v>236599</v>
      </c>
      <c r="F110" t="s">
        <v>1111</v>
      </c>
      <c r="G110">
        <v>333333</v>
      </c>
      <c r="H110" t="s">
        <v>903</v>
      </c>
      <c r="I110">
        <v>220505</v>
      </c>
      <c r="J110">
        <v>0</v>
      </c>
      <c r="K110">
        <v>80000</v>
      </c>
      <c r="L110">
        <v>-80000</v>
      </c>
      <c r="M110">
        <v>0</v>
      </c>
      <c r="N110">
        <v>0</v>
      </c>
      <c r="O110" s="197"/>
    </row>
    <row r="111" spans="3:15" hidden="1">
      <c r="C111" s="194"/>
      <c r="D111" s="44">
        <v>45993</v>
      </c>
      <c r="E111">
        <v>9696955</v>
      </c>
      <c r="F111" t="s">
        <v>1111</v>
      </c>
      <c r="G111">
        <v>333333</v>
      </c>
      <c r="H111" t="s">
        <v>907</v>
      </c>
      <c r="I111">
        <v>143505</v>
      </c>
      <c r="J111">
        <v>450000</v>
      </c>
      <c r="K111">
        <v>0</v>
      </c>
      <c r="L111">
        <v>450000</v>
      </c>
      <c r="M111">
        <v>0</v>
      </c>
      <c r="N111">
        <v>0</v>
      </c>
      <c r="O111" s="197"/>
    </row>
    <row r="112" spans="3:15" hidden="1">
      <c r="C112" s="194"/>
      <c r="D112" s="44">
        <v>45993</v>
      </c>
      <c r="E112">
        <v>9696955</v>
      </c>
      <c r="F112" t="s">
        <v>1111</v>
      </c>
      <c r="G112">
        <v>333333</v>
      </c>
      <c r="H112" t="s">
        <v>907</v>
      </c>
      <c r="I112">
        <v>143505</v>
      </c>
      <c r="J112">
        <v>245000</v>
      </c>
      <c r="K112">
        <v>0</v>
      </c>
      <c r="L112">
        <v>245000</v>
      </c>
      <c r="M112">
        <v>0</v>
      </c>
      <c r="N112">
        <v>0</v>
      </c>
      <c r="O112" s="197"/>
    </row>
    <row r="113" spans="3:15" hidden="1">
      <c r="C113" s="194"/>
      <c r="D113" s="44">
        <v>45993</v>
      </c>
      <c r="E113">
        <v>9696955</v>
      </c>
      <c r="F113" t="s">
        <v>1111</v>
      </c>
      <c r="G113">
        <v>333333</v>
      </c>
      <c r="H113" t="s">
        <v>907</v>
      </c>
      <c r="J113">
        <v>0</v>
      </c>
      <c r="K113">
        <v>0</v>
      </c>
      <c r="L113">
        <v>0</v>
      </c>
      <c r="M113">
        <v>0</v>
      </c>
      <c r="N113">
        <v>0</v>
      </c>
      <c r="O113" s="197"/>
    </row>
    <row r="114" spans="3:15" hidden="1">
      <c r="C114" s="194"/>
      <c r="D114" s="44">
        <v>45993</v>
      </c>
      <c r="E114">
        <v>9696955</v>
      </c>
      <c r="F114" t="s">
        <v>1111</v>
      </c>
      <c r="G114">
        <v>333333</v>
      </c>
      <c r="H114" t="s">
        <v>907</v>
      </c>
      <c r="J114">
        <v>0</v>
      </c>
      <c r="K114">
        <v>0</v>
      </c>
      <c r="L114">
        <v>0</v>
      </c>
      <c r="M114">
        <v>0</v>
      </c>
      <c r="N114">
        <v>0</v>
      </c>
      <c r="O114" s="197"/>
    </row>
    <row r="115" spans="3:15" hidden="1">
      <c r="C115" s="194"/>
      <c r="D115" s="44">
        <v>45993</v>
      </c>
      <c r="E115">
        <v>9696955</v>
      </c>
      <c r="F115" t="s">
        <v>1111</v>
      </c>
      <c r="G115">
        <v>333333</v>
      </c>
      <c r="H115" t="s">
        <v>907</v>
      </c>
      <c r="J115">
        <v>0</v>
      </c>
      <c r="K115">
        <v>0</v>
      </c>
      <c r="L115">
        <v>0</v>
      </c>
      <c r="M115">
        <v>0</v>
      </c>
      <c r="N115">
        <v>0</v>
      </c>
      <c r="O115" s="197"/>
    </row>
    <row r="116" spans="3:15" hidden="1">
      <c r="C116" s="194"/>
      <c r="D116" s="44">
        <v>45993</v>
      </c>
      <c r="E116">
        <v>9696955</v>
      </c>
      <c r="F116" t="s">
        <v>1111</v>
      </c>
      <c r="G116">
        <v>333333</v>
      </c>
      <c r="H116" t="s">
        <v>907</v>
      </c>
      <c r="J116">
        <v>0</v>
      </c>
      <c r="K116">
        <v>0</v>
      </c>
      <c r="L116">
        <v>0</v>
      </c>
      <c r="M116">
        <v>0</v>
      </c>
      <c r="N116">
        <v>0</v>
      </c>
      <c r="O116" s="197"/>
    </row>
    <row r="117" spans="3:15" hidden="1">
      <c r="C117" s="194"/>
      <c r="D117" s="44">
        <v>45993</v>
      </c>
      <c r="E117">
        <v>9696955</v>
      </c>
      <c r="F117" t="s">
        <v>1111</v>
      </c>
      <c r="G117">
        <v>333333</v>
      </c>
      <c r="H117" t="s">
        <v>907</v>
      </c>
      <c r="J117">
        <v>0</v>
      </c>
      <c r="K117">
        <v>0</v>
      </c>
      <c r="L117">
        <v>0</v>
      </c>
      <c r="M117">
        <v>0</v>
      </c>
      <c r="N117">
        <v>0</v>
      </c>
      <c r="O117" s="197"/>
    </row>
    <row r="118" spans="3:15" hidden="1">
      <c r="C118" s="194"/>
      <c r="D118" s="44">
        <v>45993</v>
      </c>
      <c r="E118">
        <v>9696955</v>
      </c>
      <c r="F118" t="s">
        <v>1111</v>
      </c>
      <c r="G118">
        <v>333333</v>
      </c>
      <c r="H118" t="s">
        <v>907</v>
      </c>
      <c r="J118">
        <v>0</v>
      </c>
      <c r="K118">
        <v>0</v>
      </c>
      <c r="L118">
        <v>0</v>
      </c>
      <c r="M118">
        <v>0</v>
      </c>
      <c r="N118">
        <v>0</v>
      </c>
      <c r="O118" s="197"/>
    </row>
    <row r="119" spans="3:15" hidden="1">
      <c r="C119" s="194"/>
      <c r="D119" s="44">
        <v>45993</v>
      </c>
      <c r="E119">
        <v>9696955</v>
      </c>
      <c r="F119" t="s">
        <v>1111</v>
      </c>
      <c r="G119">
        <v>333333</v>
      </c>
      <c r="H119" t="s">
        <v>907</v>
      </c>
      <c r="J119">
        <v>0</v>
      </c>
      <c r="K119">
        <v>0</v>
      </c>
      <c r="L119">
        <v>0</v>
      </c>
      <c r="M119">
        <v>0</v>
      </c>
      <c r="N119">
        <v>0</v>
      </c>
      <c r="O119" s="197"/>
    </row>
    <row r="120" spans="3:15" hidden="1">
      <c r="C120" s="194"/>
      <c r="D120" s="44">
        <v>45993</v>
      </c>
      <c r="E120">
        <v>9696955</v>
      </c>
      <c r="F120" t="s">
        <v>1111</v>
      </c>
      <c r="G120">
        <v>333333</v>
      </c>
      <c r="H120" t="s">
        <v>907</v>
      </c>
      <c r="I120">
        <v>240805</v>
      </c>
      <c r="J120">
        <v>132050</v>
      </c>
      <c r="K120">
        <v>0</v>
      </c>
      <c r="L120">
        <v>132050</v>
      </c>
      <c r="M120">
        <v>0</v>
      </c>
      <c r="N120">
        <v>0</v>
      </c>
      <c r="O120" s="197"/>
    </row>
    <row r="121" spans="3:15" hidden="1">
      <c r="C121" s="194"/>
      <c r="D121" s="44">
        <v>45993</v>
      </c>
      <c r="E121">
        <v>9696955</v>
      </c>
      <c r="F121" t="s">
        <v>1111</v>
      </c>
      <c r="G121">
        <v>333333</v>
      </c>
      <c r="H121" t="s">
        <v>907</v>
      </c>
      <c r="I121">
        <v>220505</v>
      </c>
      <c r="J121">
        <v>0</v>
      </c>
      <c r="K121">
        <v>827050</v>
      </c>
      <c r="L121">
        <v>-827050</v>
      </c>
      <c r="M121">
        <v>0</v>
      </c>
      <c r="N121">
        <v>0</v>
      </c>
      <c r="O121" s="197"/>
    </row>
    <row r="122" spans="3:15" hidden="1">
      <c r="C122" s="194"/>
      <c r="D122" s="44">
        <v>45993</v>
      </c>
      <c r="E122">
        <v>895262</v>
      </c>
      <c r="F122" t="s">
        <v>1111</v>
      </c>
      <c r="G122">
        <v>333333</v>
      </c>
      <c r="H122" t="s">
        <v>907</v>
      </c>
      <c r="I122">
        <v>143505</v>
      </c>
      <c r="J122">
        <v>240000</v>
      </c>
      <c r="K122">
        <v>0</v>
      </c>
      <c r="L122">
        <v>240000</v>
      </c>
      <c r="M122">
        <v>0</v>
      </c>
      <c r="N122">
        <v>0</v>
      </c>
      <c r="O122" s="197"/>
    </row>
    <row r="123" spans="3:15" hidden="1">
      <c r="C123" s="194"/>
      <c r="D123" s="44">
        <v>45993</v>
      </c>
      <c r="E123">
        <v>895262</v>
      </c>
      <c r="F123" t="s">
        <v>1111</v>
      </c>
      <c r="G123">
        <v>333333</v>
      </c>
      <c r="H123" t="s">
        <v>907</v>
      </c>
      <c r="J123">
        <v>0</v>
      </c>
      <c r="K123">
        <v>0</v>
      </c>
      <c r="L123">
        <v>0</v>
      </c>
      <c r="M123">
        <v>0</v>
      </c>
      <c r="N123">
        <v>0</v>
      </c>
      <c r="O123" s="197"/>
    </row>
    <row r="124" spans="3:15" hidden="1">
      <c r="C124" s="194"/>
      <c r="D124" s="44">
        <v>45993</v>
      </c>
      <c r="E124">
        <v>895262</v>
      </c>
      <c r="F124" t="s">
        <v>1111</v>
      </c>
      <c r="G124">
        <v>333333</v>
      </c>
      <c r="H124" t="s">
        <v>907</v>
      </c>
      <c r="J124">
        <v>0</v>
      </c>
      <c r="K124">
        <v>0</v>
      </c>
      <c r="L124">
        <v>0</v>
      </c>
      <c r="M124">
        <v>0</v>
      </c>
      <c r="N124">
        <v>0</v>
      </c>
      <c r="O124" s="197"/>
    </row>
    <row r="125" spans="3:15" hidden="1">
      <c r="C125" s="194"/>
      <c r="D125" s="44">
        <v>45993</v>
      </c>
      <c r="E125">
        <v>895262</v>
      </c>
      <c r="F125" t="s">
        <v>1111</v>
      </c>
      <c r="G125">
        <v>333333</v>
      </c>
      <c r="H125" t="s">
        <v>907</v>
      </c>
      <c r="J125">
        <v>0</v>
      </c>
      <c r="K125">
        <v>0</v>
      </c>
      <c r="L125">
        <v>0</v>
      </c>
      <c r="M125">
        <v>0</v>
      </c>
      <c r="N125">
        <v>0</v>
      </c>
      <c r="O125" s="197"/>
    </row>
    <row r="126" spans="3:15" hidden="1">
      <c r="C126" s="194"/>
      <c r="D126" s="44">
        <v>45993</v>
      </c>
      <c r="E126">
        <v>895262</v>
      </c>
      <c r="F126" t="s">
        <v>1111</v>
      </c>
      <c r="G126">
        <v>333333</v>
      </c>
      <c r="H126" t="s">
        <v>907</v>
      </c>
      <c r="J126">
        <v>0</v>
      </c>
      <c r="K126">
        <v>0</v>
      </c>
      <c r="L126">
        <v>0</v>
      </c>
      <c r="M126">
        <v>0</v>
      </c>
      <c r="N126">
        <v>0</v>
      </c>
      <c r="O126" s="197"/>
    </row>
    <row r="127" spans="3:15" hidden="1">
      <c r="C127" s="194"/>
      <c r="D127" s="44">
        <v>45993</v>
      </c>
      <c r="E127">
        <v>895262</v>
      </c>
      <c r="F127" t="s">
        <v>1111</v>
      </c>
      <c r="G127">
        <v>333333</v>
      </c>
      <c r="H127" t="s">
        <v>907</v>
      </c>
      <c r="J127">
        <v>0</v>
      </c>
      <c r="K127">
        <v>0</v>
      </c>
      <c r="L127">
        <v>0</v>
      </c>
      <c r="M127">
        <v>0</v>
      </c>
      <c r="N127">
        <v>0</v>
      </c>
      <c r="O127" s="197"/>
    </row>
    <row r="128" spans="3:15" hidden="1">
      <c r="C128" s="194"/>
      <c r="D128" s="44">
        <v>45993</v>
      </c>
      <c r="E128">
        <v>895262</v>
      </c>
      <c r="F128" t="s">
        <v>1111</v>
      </c>
      <c r="G128">
        <v>333333</v>
      </c>
      <c r="H128" t="s">
        <v>907</v>
      </c>
      <c r="J128">
        <v>0</v>
      </c>
      <c r="K128">
        <v>0</v>
      </c>
      <c r="L128">
        <v>0</v>
      </c>
      <c r="M128">
        <v>0</v>
      </c>
      <c r="N128">
        <v>0</v>
      </c>
      <c r="O128" s="197"/>
    </row>
    <row r="129" spans="3:15" hidden="1">
      <c r="C129" s="194"/>
      <c r="D129" s="44">
        <v>45993</v>
      </c>
      <c r="E129">
        <v>895262</v>
      </c>
      <c r="F129" t="s">
        <v>1111</v>
      </c>
      <c r="G129">
        <v>333333</v>
      </c>
      <c r="H129" t="s">
        <v>907</v>
      </c>
      <c r="J129">
        <v>0</v>
      </c>
      <c r="K129">
        <v>0</v>
      </c>
      <c r="L129">
        <v>0</v>
      </c>
      <c r="M129">
        <v>0</v>
      </c>
      <c r="N129">
        <v>0</v>
      </c>
      <c r="O129" s="197"/>
    </row>
    <row r="130" spans="3:15" hidden="1">
      <c r="C130" s="194"/>
      <c r="D130" s="44">
        <v>45993</v>
      </c>
      <c r="E130">
        <v>895262</v>
      </c>
      <c r="F130" t="s">
        <v>1111</v>
      </c>
      <c r="G130">
        <v>333333</v>
      </c>
      <c r="H130" t="s">
        <v>907</v>
      </c>
      <c r="J130">
        <v>0</v>
      </c>
      <c r="K130">
        <v>0</v>
      </c>
      <c r="L130">
        <v>0</v>
      </c>
      <c r="M130">
        <v>0</v>
      </c>
      <c r="N130">
        <v>0</v>
      </c>
      <c r="O130" s="197"/>
    </row>
    <row r="131" spans="3:15" hidden="1">
      <c r="C131" s="194"/>
      <c r="D131" s="44">
        <v>45993</v>
      </c>
      <c r="E131">
        <v>895262</v>
      </c>
      <c r="F131" t="s">
        <v>1111</v>
      </c>
      <c r="G131">
        <v>333333</v>
      </c>
      <c r="H131" t="s">
        <v>907</v>
      </c>
      <c r="I131">
        <v>240805</v>
      </c>
      <c r="J131">
        <v>45600</v>
      </c>
      <c r="K131">
        <v>0</v>
      </c>
      <c r="L131">
        <v>45600</v>
      </c>
      <c r="M131">
        <v>0</v>
      </c>
      <c r="N131">
        <v>0</v>
      </c>
      <c r="O131" s="197"/>
    </row>
    <row r="132" spans="3:15" hidden="1">
      <c r="C132" s="194"/>
      <c r="D132" s="44">
        <v>45993</v>
      </c>
      <c r="E132">
        <v>895262</v>
      </c>
      <c r="F132" t="s">
        <v>1111</v>
      </c>
      <c r="G132">
        <v>333333</v>
      </c>
      <c r="H132" t="s">
        <v>907</v>
      </c>
      <c r="I132">
        <v>220505</v>
      </c>
      <c r="J132">
        <v>0</v>
      </c>
      <c r="K132">
        <v>285600</v>
      </c>
      <c r="L132">
        <v>-285600</v>
      </c>
      <c r="M132">
        <v>0</v>
      </c>
      <c r="N132">
        <v>0</v>
      </c>
      <c r="O132" s="197"/>
    </row>
    <row r="133" spans="3:15" hidden="1">
      <c r="C133" s="194"/>
      <c r="D133" s="44">
        <v>45993</v>
      </c>
      <c r="E133">
        <v>656564</v>
      </c>
      <c r="F133" t="s">
        <v>1111</v>
      </c>
      <c r="G133">
        <v>333333</v>
      </c>
      <c r="H133" t="s">
        <v>903</v>
      </c>
      <c r="I133">
        <v>143505</v>
      </c>
      <c r="J133">
        <v>180000</v>
      </c>
      <c r="K133">
        <v>0</v>
      </c>
      <c r="L133">
        <v>180000</v>
      </c>
      <c r="M133">
        <v>0</v>
      </c>
      <c r="N133">
        <v>0</v>
      </c>
      <c r="O133" s="197"/>
    </row>
    <row r="134" spans="3:15" hidden="1">
      <c r="C134" s="194"/>
      <c r="D134" s="44">
        <v>45993</v>
      </c>
      <c r="E134">
        <v>656564</v>
      </c>
      <c r="F134" t="s">
        <v>1111</v>
      </c>
      <c r="G134">
        <v>333333</v>
      </c>
      <c r="H134" t="s">
        <v>903</v>
      </c>
      <c r="J134">
        <v>0</v>
      </c>
      <c r="K134">
        <v>0</v>
      </c>
      <c r="L134">
        <v>0</v>
      </c>
      <c r="M134">
        <v>0</v>
      </c>
      <c r="N134">
        <v>0</v>
      </c>
      <c r="O134" s="197"/>
    </row>
    <row r="135" spans="3:15" hidden="1">
      <c r="C135" s="194"/>
      <c r="D135" s="44">
        <v>45993</v>
      </c>
      <c r="E135">
        <v>656564</v>
      </c>
      <c r="F135" t="s">
        <v>1111</v>
      </c>
      <c r="G135">
        <v>333333</v>
      </c>
      <c r="H135" t="s">
        <v>903</v>
      </c>
      <c r="J135">
        <v>0</v>
      </c>
      <c r="K135">
        <v>0</v>
      </c>
      <c r="L135">
        <v>0</v>
      </c>
      <c r="M135">
        <v>0</v>
      </c>
      <c r="N135">
        <v>0</v>
      </c>
      <c r="O135" s="197"/>
    </row>
    <row r="136" spans="3:15" hidden="1">
      <c r="C136" s="194"/>
      <c r="D136" s="44">
        <v>45993</v>
      </c>
      <c r="E136">
        <v>656564</v>
      </c>
      <c r="F136" t="s">
        <v>1111</v>
      </c>
      <c r="G136">
        <v>333333</v>
      </c>
      <c r="H136" t="s">
        <v>903</v>
      </c>
      <c r="J136">
        <v>0</v>
      </c>
      <c r="K136">
        <v>0</v>
      </c>
      <c r="L136">
        <v>0</v>
      </c>
      <c r="M136">
        <v>0</v>
      </c>
      <c r="N136">
        <v>0</v>
      </c>
      <c r="O136" s="197"/>
    </row>
    <row r="137" spans="3:15" hidden="1">
      <c r="C137" s="194"/>
      <c r="D137" s="44">
        <v>45993</v>
      </c>
      <c r="E137">
        <v>656564</v>
      </c>
      <c r="F137" t="s">
        <v>1111</v>
      </c>
      <c r="G137">
        <v>333333</v>
      </c>
      <c r="H137" t="s">
        <v>903</v>
      </c>
      <c r="J137">
        <v>0</v>
      </c>
      <c r="K137">
        <v>0</v>
      </c>
      <c r="L137">
        <v>0</v>
      </c>
      <c r="M137">
        <v>0</v>
      </c>
      <c r="N137">
        <v>0</v>
      </c>
      <c r="O137" s="197"/>
    </row>
    <row r="138" spans="3:15" hidden="1">
      <c r="C138" s="194"/>
      <c r="D138" s="44">
        <v>45993</v>
      </c>
      <c r="E138">
        <v>656564</v>
      </c>
      <c r="F138" t="s">
        <v>1111</v>
      </c>
      <c r="G138">
        <v>333333</v>
      </c>
      <c r="H138" t="s">
        <v>903</v>
      </c>
      <c r="J138">
        <v>0</v>
      </c>
      <c r="K138">
        <v>0</v>
      </c>
      <c r="L138">
        <v>0</v>
      </c>
      <c r="M138">
        <v>0</v>
      </c>
      <c r="N138">
        <v>0</v>
      </c>
      <c r="O138" s="197"/>
    </row>
    <row r="139" spans="3:15" hidden="1">
      <c r="C139" s="194"/>
      <c r="D139" s="44">
        <v>45993</v>
      </c>
      <c r="E139">
        <v>656564</v>
      </c>
      <c r="F139" t="s">
        <v>1111</v>
      </c>
      <c r="G139">
        <v>333333</v>
      </c>
      <c r="H139" t="s">
        <v>903</v>
      </c>
      <c r="J139">
        <v>0</v>
      </c>
      <c r="K139">
        <v>0</v>
      </c>
      <c r="L139">
        <v>0</v>
      </c>
      <c r="M139">
        <v>0</v>
      </c>
      <c r="N139">
        <v>0</v>
      </c>
      <c r="O139" s="197"/>
    </row>
    <row r="140" spans="3:15" hidden="1">
      <c r="C140" s="194"/>
      <c r="D140" s="44">
        <v>45993</v>
      </c>
      <c r="E140">
        <v>656564</v>
      </c>
      <c r="F140" t="s">
        <v>1111</v>
      </c>
      <c r="G140">
        <v>333333</v>
      </c>
      <c r="H140" t="s">
        <v>903</v>
      </c>
      <c r="J140">
        <v>0</v>
      </c>
      <c r="K140">
        <v>0</v>
      </c>
      <c r="L140">
        <v>0</v>
      </c>
      <c r="M140">
        <v>0</v>
      </c>
      <c r="N140">
        <v>0</v>
      </c>
      <c r="O140" s="197"/>
    </row>
    <row r="141" spans="3:15" hidden="1">
      <c r="C141" s="194"/>
      <c r="D141" s="44">
        <v>45993</v>
      </c>
      <c r="E141">
        <v>656564</v>
      </c>
      <c r="F141" t="s">
        <v>1111</v>
      </c>
      <c r="G141">
        <v>333333</v>
      </c>
      <c r="H141" t="s">
        <v>903</v>
      </c>
      <c r="J141">
        <v>0</v>
      </c>
      <c r="K141">
        <v>0</v>
      </c>
      <c r="L141">
        <v>0</v>
      </c>
      <c r="M141">
        <v>0</v>
      </c>
      <c r="N141">
        <v>0</v>
      </c>
      <c r="O141" s="197"/>
    </row>
    <row r="142" spans="3:15" hidden="1">
      <c r="C142" s="194"/>
      <c r="D142" s="44">
        <v>45993</v>
      </c>
      <c r="E142">
        <v>656564</v>
      </c>
      <c r="F142" t="s">
        <v>1111</v>
      </c>
      <c r="G142">
        <v>333333</v>
      </c>
      <c r="H142" t="s">
        <v>903</v>
      </c>
      <c r="I142">
        <v>240805</v>
      </c>
      <c r="J142">
        <v>34200</v>
      </c>
      <c r="K142">
        <v>0</v>
      </c>
      <c r="L142">
        <v>34200</v>
      </c>
      <c r="M142">
        <v>0</v>
      </c>
      <c r="N142">
        <v>0</v>
      </c>
      <c r="O142" s="197"/>
    </row>
    <row r="143" spans="3:15" hidden="1">
      <c r="C143" s="194"/>
      <c r="D143" s="44">
        <v>45993</v>
      </c>
      <c r="E143">
        <v>656564</v>
      </c>
      <c r="F143" t="s">
        <v>1111</v>
      </c>
      <c r="G143">
        <v>333333</v>
      </c>
      <c r="H143" t="s">
        <v>903</v>
      </c>
      <c r="I143">
        <v>220505</v>
      </c>
      <c r="J143">
        <v>0</v>
      </c>
      <c r="K143">
        <v>214200</v>
      </c>
      <c r="L143">
        <v>-214200</v>
      </c>
      <c r="M143">
        <v>0</v>
      </c>
      <c r="N143">
        <v>0</v>
      </c>
      <c r="O143" s="197"/>
    </row>
    <row r="144" spans="3:15" hidden="1">
      <c r="C144" s="194"/>
      <c r="D144" s="44">
        <v>0</v>
      </c>
      <c r="E144">
        <v>0</v>
      </c>
      <c r="F144">
        <v>0</v>
      </c>
      <c r="G144">
        <v>333333</v>
      </c>
      <c r="H144">
        <v>333333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 s="197"/>
    </row>
    <row r="145" spans="3:15" hidden="1">
      <c r="C145" s="194"/>
      <c r="D145" s="44">
        <v>0</v>
      </c>
      <c r="E145">
        <v>0</v>
      </c>
      <c r="F145">
        <v>0</v>
      </c>
      <c r="G145">
        <v>333333</v>
      </c>
      <c r="H145">
        <v>333333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  <c r="O145" s="197"/>
    </row>
    <row r="146" spans="3:15" hidden="1">
      <c r="C146" s="194"/>
      <c r="D146" s="44">
        <v>0</v>
      </c>
      <c r="E146">
        <v>0</v>
      </c>
      <c r="F146">
        <v>0</v>
      </c>
      <c r="G146">
        <v>333333</v>
      </c>
      <c r="H146">
        <v>333333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 s="197"/>
    </row>
    <row r="147" spans="3:15" hidden="1">
      <c r="C147" s="194"/>
      <c r="D147" s="44">
        <v>0</v>
      </c>
      <c r="E147">
        <v>0</v>
      </c>
      <c r="F147">
        <v>0</v>
      </c>
      <c r="G147">
        <v>333333</v>
      </c>
      <c r="H147">
        <v>333333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 s="197"/>
    </row>
    <row r="148" spans="3:15" hidden="1">
      <c r="C148" s="194"/>
      <c r="D148" s="44">
        <v>45291</v>
      </c>
      <c r="E148">
        <v>0</v>
      </c>
      <c r="F148">
        <v>0</v>
      </c>
      <c r="G148">
        <v>333333</v>
      </c>
      <c r="H148">
        <v>333333</v>
      </c>
      <c r="I148">
        <v>59050501</v>
      </c>
      <c r="J148">
        <v>0</v>
      </c>
      <c r="K148">
        <v>0</v>
      </c>
      <c r="L148">
        <v>0</v>
      </c>
      <c r="M148">
        <v>0</v>
      </c>
      <c r="N148">
        <v>0</v>
      </c>
      <c r="O148" s="197"/>
    </row>
    <row r="149" spans="3:15" hidden="1">
      <c r="C149" s="194"/>
      <c r="D149" s="44">
        <v>45291</v>
      </c>
      <c r="E149">
        <v>0</v>
      </c>
      <c r="F149">
        <v>0</v>
      </c>
      <c r="G149">
        <v>333333</v>
      </c>
      <c r="H149">
        <v>333333</v>
      </c>
      <c r="I149">
        <v>361505</v>
      </c>
      <c r="J149">
        <v>0</v>
      </c>
      <c r="K149">
        <v>0</v>
      </c>
      <c r="L149">
        <v>0</v>
      </c>
      <c r="M149">
        <v>0</v>
      </c>
      <c r="N149">
        <v>0</v>
      </c>
      <c r="O149" s="197"/>
    </row>
    <row r="150" spans="3:15" hidden="1">
      <c r="C150" s="194"/>
      <c r="D150" s="44">
        <v>45657</v>
      </c>
      <c r="E150">
        <v>0</v>
      </c>
      <c r="F150">
        <v>0</v>
      </c>
      <c r="G150">
        <v>333333</v>
      </c>
      <c r="H150">
        <v>333333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 s="197"/>
    </row>
    <row r="151" spans="3:15" hidden="1">
      <c r="C151" s="194"/>
      <c r="D151" s="44">
        <v>45657</v>
      </c>
      <c r="E151">
        <v>0</v>
      </c>
      <c r="F151">
        <v>0</v>
      </c>
      <c r="G151">
        <v>333333</v>
      </c>
      <c r="H151">
        <v>333333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 s="197"/>
    </row>
    <row r="152" spans="3:15" hidden="1">
      <c r="C152" s="194"/>
      <c r="D152" s="44" t="s">
        <v>0</v>
      </c>
      <c r="L152">
        <v>0</v>
      </c>
      <c r="N152">
        <v>0</v>
      </c>
      <c r="O152" s="197"/>
    </row>
    <row r="153" spans="3:15">
      <c r="C153" s="194"/>
      <c r="O153" s="197"/>
    </row>
    <row r="154" spans="3:15">
      <c r="C154" s="194"/>
      <c r="O154" s="197"/>
    </row>
    <row r="155" spans="3:15">
      <c r="C155" s="194"/>
      <c r="O155" s="197"/>
    </row>
    <row r="156" spans="3:15">
      <c r="C156" s="194"/>
      <c r="O156" s="197"/>
    </row>
    <row r="157" spans="3:15">
      <c r="C157" s="194"/>
      <c r="O157" s="197"/>
    </row>
    <row r="158" spans="3:15">
      <c r="C158" s="194"/>
      <c r="O158" s="197"/>
    </row>
    <row r="159" spans="3:15">
      <c r="C159" s="194"/>
      <c r="O159" s="197"/>
    </row>
    <row r="160" spans="3:15">
      <c r="C160" s="194"/>
      <c r="O160" s="197"/>
    </row>
    <row r="161" spans="3:15">
      <c r="C161" s="194"/>
      <c r="O161" s="197"/>
    </row>
    <row r="162" spans="3:15">
      <c r="C162" s="194"/>
      <c r="O162" s="197"/>
    </row>
    <row r="163" spans="3:15">
      <c r="C163" s="194"/>
      <c r="O163" s="197"/>
    </row>
    <row r="164" spans="3:15">
      <c r="C164" s="194"/>
      <c r="O164" s="197"/>
    </row>
    <row r="165" spans="3:15">
      <c r="C165" s="194"/>
      <c r="O165" s="197"/>
    </row>
    <row r="166" spans="3:15">
      <c r="C166" s="194"/>
      <c r="O166" s="197"/>
    </row>
    <row r="167" spans="3:15">
      <c r="C167" s="194"/>
      <c r="O167" s="197"/>
    </row>
    <row r="168" spans="3:15">
      <c r="C168" s="194"/>
      <c r="O168" s="197"/>
    </row>
    <row r="169" spans="3:15">
      <c r="C169" s="194"/>
      <c r="O169" s="197"/>
    </row>
    <row r="170" spans="3:15">
      <c r="C170" s="194"/>
      <c r="O170" s="197"/>
    </row>
    <row r="171" spans="3:15">
      <c r="C171" s="194"/>
      <c r="O171" s="197"/>
    </row>
    <row r="172" spans="3:15">
      <c r="C172" s="194"/>
      <c r="O172" s="197"/>
    </row>
    <row r="173" spans="3:15">
      <c r="C173" s="194"/>
      <c r="O173" s="197"/>
    </row>
    <row r="174" spans="3:15">
      <c r="C174" s="194"/>
      <c r="O174" s="197"/>
    </row>
    <row r="175" spans="3:15">
      <c r="C175" s="194"/>
      <c r="O175" s="197"/>
    </row>
    <row r="176" spans="3:15">
      <c r="C176" s="194"/>
      <c r="O176" s="197"/>
    </row>
    <row r="177" spans="3:15">
      <c r="C177" s="194"/>
      <c r="O177" s="197"/>
    </row>
    <row r="178" spans="3:15">
      <c r="C178" s="194"/>
      <c r="O178" s="197"/>
    </row>
    <row r="179" spans="3:15">
      <c r="C179" s="194"/>
      <c r="O179" s="197"/>
    </row>
    <row r="180" spans="3:15">
      <c r="C180" s="194"/>
      <c r="O180" s="197"/>
    </row>
    <row r="181" spans="3:15">
      <c r="C181" s="194"/>
      <c r="O181" s="197"/>
    </row>
    <row r="182" spans="3:15">
      <c r="C182" s="194"/>
      <c r="O182" s="197"/>
    </row>
    <row r="183" spans="3:15">
      <c r="C183" s="194"/>
      <c r="O183" s="197"/>
    </row>
    <row r="184" spans="3:15">
      <c r="C184" s="194"/>
      <c r="O184" s="197"/>
    </row>
    <row r="185" spans="3:15">
      <c r="C185" s="194"/>
      <c r="O185" s="197"/>
    </row>
    <row r="186" spans="3:15">
      <c r="C186" s="194"/>
      <c r="O186" s="197"/>
    </row>
    <row r="187" spans="3:15">
      <c r="C187" s="194"/>
      <c r="O187" s="197"/>
    </row>
    <row r="188" spans="3:15">
      <c r="C188" s="194"/>
      <c r="O188" s="197"/>
    </row>
    <row r="189" spans="3:15">
      <c r="C189" s="194"/>
      <c r="O189" s="197"/>
    </row>
    <row r="190" spans="3:15">
      <c r="C190" s="194"/>
      <c r="O190" s="197"/>
    </row>
    <row r="191" spans="3:15">
      <c r="C191" s="194"/>
      <c r="O191" s="197"/>
    </row>
    <row r="192" spans="3:15">
      <c r="C192" s="194"/>
      <c r="O192" s="197"/>
    </row>
    <row r="193" spans="3:15">
      <c r="C193" s="194"/>
      <c r="O193" s="197"/>
    </row>
    <row r="194" spans="3:15">
      <c r="C194" s="194"/>
      <c r="O194" s="197"/>
    </row>
    <row r="195" spans="3:15">
      <c r="C195" s="194"/>
      <c r="O195" s="197"/>
    </row>
    <row r="196" spans="3:15">
      <c r="C196" s="194"/>
      <c r="O196" s="197"/>
    </row>
    <row r="197" spans="3:15">
      <c r="C197" s="194"/>
      <c r="O197" s="197"/>
    </row>
    <row r="198" spans="3:15">
      <c r="C198" s="194"/>
      <c r="O198" s="197"/>
    </row>
    <row r="199" spans="3:15">
      <c r="C199" s="194"/>
      <c r="O199" s="197"/>
    </row>
    <row r="200" spans="3:15">
      <c r="C200" s="194"/>
      <c r="O200" s="197"/>
    </row>
    <row r="201" spans="3:15">
      <c r="C201" s="194"/>
      <c r="O201" s="197"/>
    </row>
    <row r="202" spans="3:15">
      <c r="C202" s="194"/>
      <c r="O202" s="197"/>
    </row>
    <row r="203" spans="3:15">
      <c r="C203" s="194"/>
      <c r="O203" s="197"/>
    </row>
    <row r="204" spans="3:15">
      <c r="C204" s="194"/>
      <c r="O204" s="197"/>
    </row>
    <row r="205" spans="3:15">
      <c r="C205" s="194"/>
      <c r="O205" s="197"/>
    </row>
    <row r="206" spans="3:15">
      <c r="C206" s="194"/>
      <c r="O206" s="197"/>
    </row>
    <row r="207" spans="3:15">
      <c r="C207" s="194"/>
      <c r="O207" s="197"/>
    </row>
    <row r="208" spans="3:15">
      <c r="C208" s="194"/>
      <c r="O208" s="197"/>
    </row>
    <row r="209" spans="3:15">
      <c r="C209" s="194"/>
      <c r="O209" s="197"/>
    </row>
    <row r="210" spans="3:15">
      <c r="C210" s="194"/>
      <c r="O210" s="197"/>
    </row>
    <row r="211" spans="3:15">
      <c r="C211" s="194"/>
      <c r="O211" s="197"/>
    </row>
    <row r="212" spans="3:15">
      <c r="C212" s="194"/>
      <c r="O212" s="197"/>
    </row>
    <row r="213" spans="3:15">
      <c r="C213" s="194"/>
      <c r="O213" s="197"/>
    </row>
    <row r="214" spans="3:15">
      <c r="C214" s="194"/>
      <c r="O214" s="197"/>
    </row>
    <row r="215" spans="3:15">
      <c r="C215" s="194"/>
      <c r="O215" s="197"/>
    </row>
    <row r="216" spans="3:15">
      <c r="C216" s="194"/>
      <c r="O216" s="197"/>
    </row>
    <row r="217" spans="3:15">
      <c r="C217" s="194"/>
      <c r="O217" s="197"/>
    </row>
    <row r="218" spans="3:15">
      <c r="C218" s="194"/>
      <c r="O218" s="197"/>
    </row>
    <row r="219" spans="3:15">
      <c r="C219" s="194"/>
      <c r="O219" s="197"/>
    </row>
    <row r="220" spans="3:15">
      <c r="C220" s="194"/>
      <c r="O220" s="197"/>
    </row>
    <row r="221" spans="3:15">
      <c r="C221" s="194"/>
      <c r="O221" s="197"/>
    </row>
    <row r="222" spans="3:15">
      <c r="C222" s="194"/>
      <c r="O222" s="197"/>
    </row>
    <row r="223" spans="3:15">
      <c r="C223" s="194"/>
      <c r="O223" s="197"/>
    </row>
    <row r="224" spans="3:15">
      <c r="C224" s="194"/>
      <c r="O224" s="197"/>
    </row>
    <row r="225" spans="3:15">
      <c r="C225" s="194"/>
      <c r="O225" s="197"/>
    </row>
    <row r="226" spans="3:15">
      <c r="C226" s="194"/>
      <c r="O226" s="197"/>
    </row>
    <row r="227" spans="3:15">
      <c r="C227" s="194"/>
      <c r="O227" s="197"/>
    </row>
    <row r="228" spans="3:15">
      <c r="C228" s="194"/>
      <c r="O228" s="197"/>
    </row>
    <row r="229" spans="3:15">
      <c r="C229" s="194"/>
      <c r="O229" s="197"/>
    </row>
    <row r="230" spans="3:15">
      <c r="C230" s="194"/>
      <c r="O230" s="197"/>
    </row>
    <row r="231" spans="3:15">
      <c r="C231" s="194"/>
      <c r="O231" s="197"/>
    </row>
    <row r="232" spans="3:15">
      <c r="C232" s="194"/>
      <c r="O232" s="197"/>
    </row>
    <row r="233" spans="3:15">
      <c r="C233" s="194"/>
      <c r="O233" s="197"/>
    </row>
    <row r="234" spans="3:15">
      <c r="C234" s="194"/>
      <c r="O234" s="197"/>
    </row>
    <row r="235" spans="3:15">
      <c r="C235" s="194"/>
      <c r="O235" s="197"/>
    </row>
    <row r="236" spans="3:15">
      <c r="C236" s="194"/>
      <c r="O236" s="197"/>
    </row>
    <row r="237" spans="3:15">
      <c r="C237" s="194"/>
      <c r="O237" s="197"/>
    </row>
    <row r="238" spans="3:15">
      <c r="C238" s="194"/>
      <c r="O238" s="197"/>
    </row>
    <row r="239" spans="3:15">
      <c r="C239" s="194"/>
      <c r="O239" s="197"/>
    </row>
    <row r="240" spans="3:15">
      <c r="C240" s="194"/>
      <c r="O240" s="197"/>
    </row>
    <row r="241" spans="3:15">
      <c r="C241" s="194"/>
      <c r="O241" s="197"/>
    </row>
    <row r="242" spans="3:15">
      <c r="C242" s="194"/>
      <c r="O242" s="197"/>
    </row>
    <row r="243" spans="3:15">
      <c r="C243" s="194"/>
      <c r="O243" s="197"/>
    </row>
    <row r="244" spans="3:15">
      <c r="C244" s="194"/>
      <c r="O244" s="197"/>
    </row>
    <row r="245" spans="3:15">
      <c r="C245" s="194"/>
      <c r="O245" s="197"/>
    </row>
    <row r="246" spans="3:15">
      <c r="C246" s="194"/>
      <c r="O246" s="197"/>
    </row>
    <row r="247" spans="3:15">
      <c r="C247" s="194"/>
      <c r="O247" s="197"/>
    </row>
    <row r="248" spans="3:15">
      <c r="C248" s="194"/>
      <c r="O248" s="197"/>
    </row>
    <row r="249" spans="3:15">
      <c r="C249" s="194"/>
      <c r="O249" s="197"/>
    </row>
    <row r="250" spans="3:15">
      <c r="C250" s="194"/>
      <c r="O250" s="197"/>
    </row>
    <row r="251" spans="3:15">
      <c r="C251" s="194"/>
      <c r="O251" s="197"/>
    </row>
    <row r="252" spans="3:15">
      <c r="C252" s="194"/>
      <c r="O252" s="197"/>
    </row>
    <row r="253" spans="3:15">
      <c r="C253" s="194"/>
      <c r="O253" s="197"/>
    </row>
    <row r="254" spans="3:15">
      <c r="C254" s="194"/>
      <c r="O254" s="197"/>
    </row>
    <row r="255" spans="3:15">
      <c r="C255" s="194"/>
      <c r="O255" s="197"/>
    </row>
    <row r="256" spans="3:15">
      <c r="C256" s="194"/>
      <c r="O256" s="197"/>
    </row>
    <row r="257" spans="3:15">
      <c r="C257" s="194"/>
      <c r="O257" s="197"/>
    </row>
    <row r="258" spans="3:15">
      <c r="C258" s="194"/>
      <c r="O258" s="197"/>
    </row>
    <row r="259" spans="3:15">
      <c r="C259" s="194"/>
      <c r="O259" s="197"/>
    </row>
    <row r="260" spans="3:15">
      <c r="C260" s="194"/>
      <c r="O260" s="197"/>
    </row>
    <row r="261" spans="3:15">
      <c r="C261" s="194"/>
      <c r="O261" s="197"/>
    </row>
    <row r="262" spans="3:15">
      <c r="C262" s="194"/>
      <c r="O262" s="197"/>
    </row>
    <row r="263" spans="3:15">
      <c r="C263" s="194"/>
      <c r="O263" s="197"/>
    </row>
    <row r="264" spans="3:15">
      <c r="C264" s="194"/>
      <c r="O264" s="197"/>
    </row>
    <row r="265" spans="3:15">
      <c r="C265" s="194"/>
      <c r="O265" s="197"/>
    </row>
    <row r="266" spans="3:15">
      <c r="C266" s="194"/>
      <c r="O266" s="197"/>
    </row>
    <row r="267" spans="3:15">
      <c r="C267" s="194"/>
      <c r="O267" s="197"/>
    </row>
    <row r="268" spans="3:15">
      <c r="C268" s="194"/>
      <c r="O268" s="197"/>
    </row>
    <row r="269" spans="3:15">
      <c r="C269" s="194"/>
      <c r="O269" s="197"/>
    </row>
    <row r="270" spans="3:15">
      <c r="C270" s="194"/>
      <c r="O270" s="197"/>
    </row>
    <row r="271" spans="3:15">
      <c r="C271" s="194"/>
      <c r="O271" s="197"/>
    </row>
    <row r="272" spans="3:15">
      <c r="C272" s="194"/>
      <c r="O272" s="197"/>
    </row>
    <row r="273" spans="3:15">
      <c r="C273" s="194"/>
      <c r="O273" s="197"/>
    </row>
    <row r="274" spans="3:15">
      <c r="C274" s="194"/>
      <c r="O274" s="197"/>
    </row>
    <row r="275" spans="3:15">
      <c r="C275" s="194"/>
      <c r="O275" s="197"/>
    </row>
    <row r="276" spans="3:15">
      <c r="C276" s="194"/>
      <c r="O276" s="197"/>
    </row>
    <row r="277" spans="3:15">
      <c r="C277" s="194"/>
      <c r="O277" s="197"/>
    </row>
    <row r="278" spans="3:15">
      <c r="C278" s="194"/>
      <c r="O278" s="197"/>
    </row>
    <row r="279" spans="3:15">
      <c r="C279" s="194"/>
      <c r="O279" s="197"/>
    </row>
    <row r="280" spans="3:15">
      <c r="C280" s="194"/>
      <c r="O280" s="197"/>
    </row>
    <row r="281" spans="3:15">
      <c r="C281" s="194"/>
      <c r="O281" s="197"/>
    </row>
    <row r="282" spans="3:15">
      <c r="C282" s="194"/>
      <c r="O282" s="197"/>
    </row>
    <row r="283" spans="3:15">
      <c r="C283" s="194"/>
      <c r="O283" s="197"/>
    </row>
    <row r="284" spans="3:15">
      <c r="C284" s="194"/>
      <c r="O284" s="197"/>
    </row>
    <row r="285" spans="3:15">
      <c r="C285" s="194"/>
      <c r="O285" s="197"/>
    </row>
    <row r="286" spans="3:15">
      <c r="C286" s="194"/>
      <c r="O286" s="197"/>
    </row>
    <row r="287" spans="3:15">
      <c r="C287" s="194"/>
      <c r="O287" s="197"/>
    </row>
    <row r="288" spans="3:15">
      <c r="C288" s="194"/>
      <c r="O288" s="197"/>
    </row>
    <row r="289" spans="3:15">
      <c r="C289" s="194"/>
      <c r="O289" s="197"/>
    </row>
    <row r="290" spans="3:15">
      <c r="C290" s="194"/>
      <c r="O290" s="197"/>
    </row>
    <row r="291" spans="3:15">
      <c r="C291" s="194"/>
      <c r="O291" s="197"/>
    </row>
    <row r="292" spans="3:15">
      <c r="C292" s="194"/>
      <c r="O292" s="197"/>
    </row>
    <row r="293" spans="3:15">
      <c r="C293" s="194"/>
      <c r="O293" s="197"/>
    </row>
    <row r="294" spans="3:15">
      <c r="C294" s="194"/>
      <c r="O294" s="197"/>
    </row>
    <row r="295" spans="3:15">
      <c r="C295" s="194"/>
      <c r="O295" s="197"/>
    </row>
    <row r="296" spans="3:15">
      <c r="C296" s="194"/>
      <c r="O296" s="197"/>
    </row>
    <row r="297" spans="3:15">
      <c r="C297" s="194"/>
      <c r="O297" s="197"/>
    </row>
    <row r="298" spans="3:15">
      <c r="C298" s="194"/>
      <c r="O298" s="197"/>
    </row>
    <row r="299" spans="3:15">
      <c r="C299" s="194"/>
      <c r="O299" s="197"/>
    </row>
    <row r="300" spans="3:15">
      <c r="C300" s="194"/>
      <c r="O300" s="197"/>
    </row>
    <row r="301" spans="3:15">
      <c r="C301" s="194"/>
      <c r="O301" s="197"/>
    </row>
    <row r="302" spans="3:15">
      <c r="C302" s="194"/>
      <c r="O302" s="197"/>
    </row>
    <row r="303" spans="3:15">
      <c r="C303" s="194"/>
      <c r="O303" s="197"/>
    </row>
    <row r="304" spans="3:15">
      <c r="C304" s="194"/>
      <c r="O304" s="197"/>
    </row>
    <row r="305" spans="3:15">
      <c r="C305" s="194"/>
      <c r="O305" s="197"/>
    </row>
    <row r="306" spans="3:15">
      <c r="C306" s="194"/>
      <c r="O306" s="197"/>
    </row>
    <row r="307" spans="3:15">
      <c r="C307" s="194"/>
      <c r="O307" s="197"/>
    </row>
    <row r="308" spans="3:15">
      <c r="C308" s="194"/>
      <c r="O308" s="197"/>
    </row>
    <row r="309" spans="3:15">
      <c r="C309" s="194"/>
      <c r="O309" s="197"/>
    </row>
    <row r="310" spans="3:15">
      <c r="C310" s="194"/>
      <c r="O310" s="197"/>
    </row>
    <row r="311" spans="3:15">
      <c r="C311" s="194"/>
      <c r="O311" s="197"/>
    </row>
    <row r="312" spans="3:15">
      <c r="C312" s="194"/>
      <c r="O312" s="197"/>
    </row>
    <row r="313" spans="3:15">
      <c r="C313" s="194"/>
      <c r="O313" s="197"/>
    </row>
    <row r="314" spans="3:15">
      <c r="C314" s="194"/>
      <c r="O314" s="197"/>
    </row>
    <row r="315" spans="3:15">
      <c r="C315" s="194"/>
      <c r="O315" s="197"/>
    </row>
    <row r="316" spans="3:15">
      <c r="C316" s="194"/>
      <c r="O316" s="197"/>
    </row>
    <row r="317" spans="3:15">
      <c r="C317" s="194"/>
      <c r="O317" s="197"/>
    </row>
    <row r="318" spans="3:15">
      <c r="C318" s="194"/>
      <c r="O318" s="197"/>
    </row>
    <row r="319" spans="3:15">
      <c r="C319" s="194"/>
      <c r="O319" s="197"/>
    </row>
    <row r="320" spans="3:15">
      <c r="C320" s="194"/>
      <c r="O320" s="197"/>
    </row>
    <row r="321" spans="3:15">
      <c r="C321" s="194"/>
      <c r="O321" s="197"/>
    </row>
    <row r="322" spans="3:15">
      <c r="C322" s="194"/>
      <c r="O322" s="197"/>
    </row>
    <row r="323" spans="3:15">
      <c r="C323" s="194"/>
      <c r="O323" s="197"/>
    </row>
    <row r="324" spans="3:15">
      <c r="C324" s="194"/>
      <c r="O324" s="197"/>
    </row>
    <row r="325" spans="3:15">
      <c r="C325" s="194"/>
      <c r="O325" s="197"/>
    </row>
    <row r="326" spans="3:15">
      <c r="C326" s="194"/>
      <c r="O326" s="197"/>
    </row>
    <row r="327" spans="3:15">
      <c r="C327" s="194"/>
      <c r="O327" s="197"/>
    </row>
    <row r="328" spans="3:15">
      <c r="C328" s="194"/>
      <c r="O328" s="197"/>
    </row>
    <row r="329" spans="3:15">
      <c r="C329" s="194"/>
      <c r="O329" s="197"/>
    </row>
    <row r="330" spans="3:15">
      <c r="C330" s="194"/>
      <c r="O330" s="197"/>
    </row>
    <row r="331" spans="3:15">
      <c r="C331" s="194"/>
      <c r="O331" s="197"/>
    </row>
    <row r="332" spans="3:15">
      <c r="C332" s="194"/>
      <c r="O332" s="197"/>
    </row>
    <row r="333" spans="3:15">
      <c r="C333" s="194"/>
      <c r="O333" s="197"/>
    </row>
    <row r="334" spans="3:15">
      <c r="C334" s="194"/>
      <c r="O334" s="197"/>
    </row>
    <row r="335" spans="3:15">
      <c r="C335" s="194"/>
      <c r="O335" s="197"/>
    </row>
    <row r="336" spans="3:15">
      <c r="C336" s="194"/>
      <c r="O336" s="197"/>
    </row>
    <row r="337" spans="3:15">
      <c r="C337" s="194"/>
      <c r="O337" s="197"/>
    </row>
    <row r="338" spans="3:15">
      <c r="C338" s="194"/>
      <c r="O338" s="197"/>
    </row>
    <row r="339" spans="3:15">
      <c r="C339" s="194"/>
      <c r="O339" s="197"/>
    </row>
    <row r="340" spans="3:15">
      <c r="C340" s="194"/>
      <c r="O340" s="197"/>
    </row>
    <row r="341" spans="3:15">
      <c r="C341" s="194"/>
      <c r="O341" s="197"/>
    </row>
    <row r="342" spans="3:15">
      <c r="C342" s="194"/>
      <c r="O342" s="197"/>
    </row>
    <row r="343" spans="3:15">
      <c r="C343" s="194"/>
      <c r="O343" s="197"/>
    </row>
    <row r="344" spans="3:15">
      <c r="C344" s="194"/>
      <c r="O344" s="197"/>
    </row>
    <row r="345" spans="3:15">
      <c r="C345" s="194"/>
      <c r="O345" s="197"/>
    </row>
    <row r="346" spans="3:15">
      <c r="C346" s="194"/>
      <c r="O346" s="197"/>
    </row>
    <row r="347" spans="3:15">
      <c r="C347" s="194"/>
      <c r="O347" s="197"/>
    </row>
    <row r="348" spans="3:15">
      <c r="C348" s="194"/>
      <c r="O348" s="197"/>
    </row>
    <row r="349" spans="3:15">
      <c r="C349" s="194"/>
      <c r="O349" s="197"/>
    </row>
    <row r="350" spans="3:15">
      <c r="C350" s="194"/>
      <c r="O350" s="197"/>
    </row>
    <row r="351" spans="3:15">
      <c r="C351" s="194"/>
      <c r="O351" s="197"/>
    </row>
    <row r="352" spans="3:15">
      <c r="C352" s="194"/>
      <c r="O352" s="197"/>
    </row>
    <row r="353" spans="3:15">
      <c r="C353" s="194"/>
      <c r="O353" s="197"/>
    </row>
    <row r="354" spans="3:15">
      <c r="C354" s="194"/>
      <c r="O354" s="197"/>
    </row>
    <row r="355" spans="3:15">
      <c r="C355" s="194"/>
      <c r="O355" s="197"/>
    </row>
    <row r="356" spans="3:15">
      <c r="C356" s="194"/>
      <c r="O356" s="197"/>
    </row>
    <row r="357" spans="3:15">
      <c r="C357" s="194"/>
      <c r="O357" s="197"/>
    </row>
    <row r="358" spans="3:15">
      <c r="C358" s="194"/>
      <c r="O358" s="197"/>
    </row>
    <row r="359" spans="3:15">
      <c r="C359" s="194"/>
      <c r="O359" s="197"/>
    </row>
    <row r="360" spans="3:15">
      <c r="C360" s="194"/>
      <c r="O360" s="197"/>
    </row>
    <row r="361" spans="3:15">
      <c r="C361" s="194"/>
      <c r="O361" s="197"/>
    </row>
    <row r="362" spans="3:15">
      <c r="C362" s="194"/>
      <c r="O362" s="197"/>
    </row>
    <row r="363" spans="3:15">
      <c r="C363" s="194"/>
      <c r="O363" s="197"/>
    </row>
    <row r="364" spans="3:15">
      <c r="C364" s="194"/>
      <c r="O364" s="197"/>
    </row>
    <row r="365" spans="3:15">
      <c r="C365" s="194"/>
      <c r="O365" s="197"/>
    </row>
    <row r="366" spans="3:15">
      <c r="C366" s="194"/>
      <c r="O366" s="197"/>
    </row>
    <row r="367" spans="3:15">
      <c r="C367" s="194"/>
      <c r="O367" s="197"/>
    </row>
    <row r="368" spans="3:15">
      <c r="C368" s="194"/>
      <c r="O368" s="197"/>
    </row>
    <row r="369" spans="3:15">
      <c r="C369" s="194"/>
      <c r="O369" s="197"/>
    </row>
    <row r="370" spans="3:15">
      <c r="C370" s="194"/>
      <c r="O370" s="197"/>
    </row>
    <row r="371" spans="3:15">
      <c r="C371" s="194"/>
      <c r="O371" s="197"/>
    </row>
    <row r="372" spans="3:15">
      <c r="C372" s="194"/>
      <c r="O372" s="197"/>
    </row>
    <row r="373" spans="3:15">
      <c r="C373" s="194"/>
      <c r="O373" s="197"/>
    </row>
    <row r="374" spans="3:15">
      <c r="C374" s="194"/>
      <c r="O374" s="197"/>
    </row>
    <row r="375" spans="3:15">
      <c r="C375" s="194"/>
      <c r="O375" s="197"/>
    </row>
    <row r="376" spans="3:15">
      <c r="C376" s="194"/>
      <c r="O376" s="197"/>
    </row>
    <row r="377" spans="3:15">
      <c r="C377" s="194"/>
      <c r="O377" s="197"/>
    </row>
    <row r="378" spans="3:15">
      <c r="C378" s="194"/>
      <c r="O378" s="197"/>
    </row>
    <row r="379" spans="3:15">
      <c r="C379" s="194"/>
      <c r="O379" s="197"/>
    </row>
    <row r="380" spans="3:15">
      <c r="C380" s="194"/>
      <c r="O380" s="197"/>
    </row>
    <row r="381" spans="3:15">
      <c r="C381" s="194"/>
      <c r="O381" s="197"/>
    </row>
    <row r="382" spans="3:15">
      <c r="C382" s="194"/>
      <c r="O382" s="197"/>
    </row>
    <row r="383" spans="3:15">
      <c r="C383" s="194"/>
      <c r="O383" s="197"/>
    </row>
    <row r="384" spans="3:15">
      <c r="C384" s="194"/>
      <c r="O384" s="197"/>
    </row>
    <row r="385" spans="3:15">
      <c r="C385" s="194"/>
      <c r="O385" s="197"/>
    </row>
    <row r="386" spans="3:15">
      <c r="C386" s="194"/>
      <c r="O386" s="197"/>
    </row>
    <row r="387" spans="3:15">
      <c r="C387" s="194"/>
      <c r="O387" s="197"/>
    </row>
    <row r="388" spans="3:15">
      <c r="C388" s="194"/>
      <c r="O388" s="197"/>
    </row>
    <row r="389" spans="3:15">
      <c r="C389" s="194"/>
      <c r="O389" s="197"/>
    </row>
    <row r="390" spans="3:15">
      <c r="C390" s="194"/>
      <c r="O390" s="197"/>
    </row>
    <row r="391" spans="3:15">
      <c r="C391" s="194"/>
      <c r="O391" s="197"/>
    </row>
    <row r="392" spans="3:15">
      <c r="C392" s="194"/>
      <c r="O392" s="197"/>
    </row>
    <row r="393" spans="3:15">
      <c r="C393" s="194"/>
      <c r="O393" s="197"/>
    </row>
    <row r="394" spans="3:15">
      <c r="C394" s="194"/>
      <c r="O394" s="197"/>
    </row>
    <row r="395" spans="3:15">
      <c r="C395" s="194"/>
      <c r="O395" s="197"/>
    </row>
    <row r="396" spans="3:15">
      <c r="C396" s="194"/>
      <c r="O396" s="197"/>
    </row>
    <row r="397" spans="3:15">
      <c r="C397" s="194"/>
      <c r="O397" s="197"/>
    </row>
    <row r="398" spans="3:15">
      <c r="C398" s="194"/>
      <c r="O398" s="197"/>
    </row>
    <row r="399" spans="3:15">
      <c r="C399" s="194"/>
      <c r="O399" s="197"/>
    </row>
    <row r="400" spans="3:15">
      <c r="C400" s="194"/>
      <c r="O400" s="197"/>
    </row>
    <row r="401" spans="3:15">
      <c r="C401" s="194"/>
      <c r="O401" s="197"/>
    </row>
    <row r="402" spans="3:15">
      <c r="C402" s="194"/>
      <c r="O402" s="197"/>
    </row>
    <row r="403" spans="3:15">
      <c r="C403" s="194"/>
      <c r="O403" s="197"/>
    </row>
    <row r="404" spans="3:15">
      <c r="C404" s="194"/>
      <c r="O404" s="197"/>
    </row>
    <row r="405" spans="3:15">
      <c r="C405" s="194"/>
      <c r="O405" s="197"/>
    </row>
    <row r="406" spans="3:15">
      <c r="C406" s="194"/>
      <c r="O406" s="197"/>
    </row>
    <row r="407" spans="3:15">
      <c r="C407" s="194"/>
      <c r="O407" s="197"/>
    </row>
    <row r="408" spans="3:15">
      <c r="C408" s="194"/>
      <c r="O408" s="197"/>
    </row>
    <row r="409" spans="3:15">
      <c r="C409" s="194"/>
      <c r="O409" s="197"/>
    </row>
    <row r="410" spans="3:15">
      <c r="C410" s="194"/>
      <c r="O410" s="197"/>
    </row>
    <row r="411" spans="3:15">
      <c r="C411" s="194"/>
      <c r="O411" s="197"/>
    </row>
    <row r="412" spans="3:15">
      <c r="C412" s="194"/>
      <c r="O412" s="197"/>
    </row>
    <row r="413" spans="3:15">
      <c r="C413" s="194"/>
      <c r="O413" s="197"/>
    </row>
    <row r="414" spans="3:15">
      <c r="C414" s="194"/>
      <c r="O414" s="197"/>
    </row>
    <row r="415" spans="3:15">
      <c r="C415" s="194"/>
      <c r="O415" s="197"/>
    </row>
    <row r="416" spans="3:15">
      <c r="C416" s="194"/>
      <c r="O416" s="197"/>
    </row>
    <row r="417" spans="3:15">
      <c r="C417" s="194"/>
      <c r="O417" s="197"/>
    </row>
    <row r="418" spans="3:15">
      <c r="C418" s="194"/>
      <c r="O418" s="197"/>
    </row>
    <row r="419" spans="3:15">
      <c r="C419" s="194"/>
      <c r="O419" s="197"/>
    </row>
    <row r="420" spans="3:15">
      <c r="C420" s="194"/>
      <c r="O420" s="197"/>
    </row>
    <row r="421" spans="3:15">
      <c r="C421" s="194"/>
      <c r="O421" s="197"/>
    </row>
    <row r="422" spans="3:15">
      <c r="C422" s="194"/>
      <c r="O422" s="197"/>
    </row>
    <row r="423" spans="3:15">
      <c r="C423" s="194"/>
      <c r="O423" s="197"/>
    </row>
    <row r="424" spans="3:15">
      <c r="C424" s="194"/>
      <c r="O424" s="197"/>
    </row>
    <row r="425" spans="3:15">
      <c r="C425" s="194"/>
      <c r="O425" s="197"/>
    </row>
    <row r="426" spans="3:15">
      <c r="C426" s="194"/>
      <c r="O426" s="197"/>
    </row>
    <row r="427" spans="3:15">
      <c r="C427" s="194"/>
      <c r="O427" s="197"/>
    </row>
    <row r="428" spans="3:15">
      <c r="C428" s="194"/>
      <c r="O428" s="197"/>
    </row>
    <row r="429" spans="3:15">
      <c r="C429" s="194"/>
      <c r="O429" s="197"/>
    </row>
    <row r="430" spans="3:15">
      <c r="C430" s="194"/>
      <c r="O430" s="197"/>
    </row>
    <row r="431" spans="3:15">
      <c r="C431" s="194"/>
      <c r="O431" s="197"/>
    </row>
    <row r="432" spans="3:15">
      <c r="C432" s="194"/>
      <c r="O432" s="197"/>
    </row>
    <row r="433" spans="3:15">
      <c r="C433" s="194"/>
      <c r="O433" s="197"/>
    </row>
    <row r="434" spans="3:15">
      <c r="C434" s="194"/>
      <c r="O434" s="197"/>
    </row>
    <row r="435" spans="3:15">
      <c r="C435" s="194"/>
      <c r="O435" s="197"/>
    </row>
    <row r="436" spans="3:15">
      <c r="C436" s="194"/>
      <c r="O436" s="197"/>
    </row>
    <row r="437" spans="3:15">
      <c r="C437" s="194"/>
      <c r="O437" s="197"/>
    </row>
    <row r="438" spans="3:15">
      <c r="C438" s="194"/>
      <c r="O438" s="197"/>
    </row>
    <row r="439" spans="3:15">
      <c r="C439" s="194"/>
      <c r="O439" s="197"/>
    </row>
    <row r="440" spans="3:15">
      <c r="C440" s="194"/>
      <c r="O440" s="197"/>
    </row>
    <row r="441" spans="3:15">
      <c r="C441" s="194"/>
      <c r="O441" s="197"/>
    </row>
    <row r="442" spans="3:15">
      <c r="C442" s="194"/>
      <c r="O442" s="197"/>
    </row>
    <row r="443" spans="3:15">
      <c r="C443" s="194"/>
      <c r="O443" s="197"/>
    </row>
    <row r="444" spans="3:15">
      <c r="C444" s="194"/>
      <c r="O444" s="197"/>
    </row>
    <row r="445" spans="3:15">
      <c r="C445" s="194"/>
      <c r="O445" s="197"/>
    </row>
    <row r="446" spans="3:15" ht="11.25" thickBot="1">
      <c r="C446" s="199"/>
      <c r="D446" s="186"/>
      <c r="E446" s="186"/>
      <c r="F446" s="186"/>
      <c r="G446" s="186"/>
      <c r="H446" s="186"/>
      <c r="I446" s="186"/>
      <c r="J446" s="186"/>
      <c r="K446" s="186"/>
      <c r="L446" s="186"/>
      <c r="M446" s="186"/>
      <c r="N446" s="186"/>
      <c r="O446" s="200"/>
    </row>
  </sheetData>
  <mergeCells count="1">
    <mergeCell ref="G7:J8"/>
  </mergeCells>
  <phoneticPr fontId="7" type="noConversion"/>
  <conditionalFormatting sqref="N24:N152">
    <cfRule type="iconSet" priority="1">
      <iconSet iconSet="3Symbols" showValue="0">
        <cfvo type="percent" val="0"/>
        <cfvo type="num" val="0"/>
        <cfvo type="num" val="1"/>
      </iconSet>
    </cfRule>
  </conditionalFormatting>
  <pageMargins left="0.7" right="0.7" top="0.75" bottom="0.75" header="0.3" footer="0.3"/>
  <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xr:uid="{DB86E268-E167-4BBF-8292-2A974ED31FC2}">
          <x14:formula1>
            <xm:f>_xlfn.ANCHORARRAY(PUC!$DE$5)</xm:f>
          </x14:formula1>
          <xm:sqref>I9</xm:sqref>
        </x14:dataValidation>
      </x14:dataValidation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481684-2ECA-4B8F-A048-54DD303F7D7E}">
  <dimension ref="E2:L25"/>
  <sheetViews>
    <sheetView showGridLines="0" showRowColHeaders="0" workbookViewId="0"/>
  </sheetViews>
  <sheetFormatPr baseColWidth="10" defaultRowHeight="12.75"/>
  <cols>
    <col min="6" max="6" width="3.6640625" customWidth="1"/>
    <col min="10" max="10" width="18.5" customWidth="1"/>
    <col min="11" max="11" width="17.83203125" style="234" customWidth="1"/>
  </cols>
  <sheetData>
    <row r="2" spans="5:12" ht="13.5" thickBot="1"/>
    <row r="3" spans="5:12">
      <c r="E3" s="189"/>
      <c r="F3" s="191"/>
      <c r="G3" s="191"/>
      <c r="H3" s="191"/>
      <c r="I3" s="191"/>
      <c r="J3" s="191"/>
      <c r="K3" s="235"/>
      <c r="L3" s="193"/>
    </row>
    <row r="4" spans="5:12" ht="22.5" customHeight="1">
      <c r="E4" s="194"/>
      <c r="F4" s="280">
        <f>INICIO!I8</f>
        <v>0</v>
      </c>
      <c r="G4" s="280"/>
      <c r="H4" s="280"/>
      <c r="I4" s="280"/>
      <c r="J4" s="280"/>
      <c r="K4" s="280"/>
      <c r="L4" s="197"/>
    </row>
    <row r="5" spans="5:12" ht="18">
      <c r="E5" s="194"/>
      <c r="F5" s="277" t="str">
        <f>"Conciliación Bancaria Hasta "&amp;TEXT('Conc. Ban.1'!I14,"dd/mmmm/yyyy")</f>
        <v>Conciliación Bancaria Hasta 31/enero/2025</v>
      </c>
      <c r="G5" s="277"/>
      <c r="H5" s="277"/>
      <c r="I5" s="277"/>
      <c r="J5" s="277"/>
      <c r="K5" s="277"/>
      <c r="L5" s="197"/>
    </row>
    <row r="6" spans="5:12" ht="18">
      <c r="E6" s="194"/>
      <c r="F6" s="277">
        <f>'Conc. Ban.1'!I9</f>
        <v>111005</v>
      </c>
      <c r="G6" s="277"/>
      <c r="H6" s="277"/>
      <c r="I6" s="277"/>
      <c r="J6" s="277"/>
      <c r="K6" s="277"/>
      <c r="L6" s="197"/>
    </row>
    <row r="7" spans="5:12">
      <c r="E7" s="194"/>
      <c r="K7" s="236"/>
      <c r="L7" s="197"/>
    </row>
    <row r="8" spans="5:12">
      <c r="E8" s="194"/>
      <c r="K8" s="236"/>
      <c r="L8" s="197"/>
    </row>
    <row r="9" spans="5:12" ht="15">
      <c r="E9" s="194"/>
      <c r="F9" s="237" t="s">
        <v>1371</v>
      </c>
      <c r="K9" s="238">
        <f>'Conc. Ban.1'!G19</f>
        <v>0</v>
      </c>
      <c r="L9" s="197"/>
    </row>
    <row r="10" spans="5:12">
      <c r="E10" s="194"/>
      <c r="G10" s="33" t="s">
        <v>1372</v>
      </c>
      <c r="K10" s="236">
        <f>'Conc. Ban.1'!I19</f>
        <v>0</v>
      </c>
      <c r="L10" s="197"/>
    </row>
    <row r="11" spans="5:12">
      <c r="E11" s="194"/>
      <c r="G11" s="33" t="s">
        <v>1373</v>
      </c>
      <c r="K11" s="236">
        <f>'Conc. Ban.1'!H19</f>
        <v>10000000</v>
      </c>
      <c r="L11" s="197"/>
    </row>
    <row r="12" spans="5:12">
      <c r="E12" s="194"/>
      <c r="K12" s="236"/>
      <c r="L12" s="197"/>
    </row>
    <row r="13" spans="5:12" ht="15">
      <c r="E13" s="194"/>
      <c r="F13" s="237" t="s">
        <v>1374</v>
      </c>
      <c r="K13" s="238">
        <f>K9-K10+K11</f>
        <v>10000000</v>
      </c>
      <c r="L13" s="197"/>
    </row>
    <row r="14" spans="5:12">
      <c r="E14" s="194"/>
      <c r="K14" s="236"/>
      <c r="L14" s="197"/>
    </row>
    <row r="15" spans="5:12" ht="15">
      <c r="E15" s="194"/>
      <c r="F15" s="237" t="s">
        <v>1375</v>
      </c>
      <c r="K15" s="238">
        <f>'Conc. Ban.1'!J19</f>
        <v>10000000</v>
      </c>
      <c r="L15" s="197"/>
    </row>
    <row r="16" spans="5:12">
      <c r="E16" s="194"/>
      <c r="K16" s="236"/>
      <c r="L16" s="197"/>
    </row>
    <row r="17" spans="5:12">
      <c r="E17" s="194"/>
      <c r="G17" s="33" t="s">
        <v>1376</v>
      </c>
      <c r="K17" s="236">
        <f>SUMIFS(_Regcontabilizados[Debe],_Regcontabilizados[Conciliado],0,_Regcontabilizados[Subcuenta],"="&amp;'Conc. Ban.1'!$I$9)-SUMIFS(_Regcontabilizados[Debe],_Regcontabilizados[Subcuenta],"="&amp;'Conc. Ban.1'!$I$9,_Regcontabilizados[fecha Factura],"&lt;"&amp;'Conc. Ban.1'!$H$14,_Regcontabilizados[fecha Factura],"&gt;"&amp;'Conc. Ban.1'!$I$14)</f>
        <v>0</v>
      </c>
      <c r="L17" s="197"/>
    </row>
    <row r="18" spans="5:12">
      <c r="E18" s="194"/>
      <c r="G18" t="s">
        <v>1377</v>
      </c>
      <c r="K18" s="236">
        <f>SUMIFS(_Regcontabilizados[Haber],_Regcontabilizados[Conciliado],0,_Regcontabilizados[Subcuenta],"="&amp;'Conc. Ban.1'!$I$9)-SUMIFS(_Regcontabilizados[Haber],_Regcontabilizados[Subcuenta],"="&amp;'Conc. Ban.1'!$I$9,_Regcontabilizados[fecha Factura],"&lt;"&amp;'Conc. Ban.1'!$H$14,_Regcontabilizados[fecha Factura],"&gt;"&amp;'Conc. Ban.1'!$I$14)</f>
        <v>0</v>
      </c>
      <c r="L18" s="197"/>
    </row>
    <row r="19" spans="5:12">
      <c r="E19" s="194"/>
      <c r="K19" s="236"/>
      <c r="L19" s="197"/>
    </row>
    <row r="20" spans="5:12" ht="15">
      <c r="E20" s="194"/>
      <c r="F20" s="237" t="s">
        <v>1378</v>
      </c>
      <c r="K20" s="238">
        <f>(K15-K17+K18)-K13</f>
        <v>0</v>
      </c>
      <c r="L20" s="197"/>
    </row>
    <row r="21" spans="5:12">
      <c r="E21" s="194"/>
      <c r="K21" s="236"/>
      <c r="L21" s="197"/>
    </row>
    <row r="22" spans="5:12" ht="15">
      <c r="E22" s="194"/>
      <c r="F22" s="237" t="s">
        <v>1379</v>
      </c>
      <c r="K22" s="238">
        <f>K13</f>
        <v>10000000</v>
      </c>
      <c r="L22" s="197"/>
    </row>
    <row r="23" spans="5:12">
      <c r="E23" s="194"/>
      <c r="K23" s="236"/>
      <c r="L23" s="197"/>
    </row>
    <row r="24" spans="5:12">
      <c r="E24" s="194"/>
      <c r="K24" s="236"/>
      <c r="L24" s="197"/>
    </row>
    <row r="25" spans="5:12" ht="13.5" thickBot="1">
      <c r="E25" s="199"/>
      <c r="F25" s="186"/>
      <c r="G25" s="186"/>
      <c r="H25" s="186"/>
      <c r="I25" s="186"/>
      <c r="J25" s="186"/>
      <c r="K25" s="239"/>
      <c r="L25" s="200"/>
    </row>
  </sheetData>
  <mergeCells count="3">
    <mergeCell ref="F4:K4"/>
    <mergeCell ref="F5:K5"/>
    <mergeCell ref="F6:K6"/>
  </mergeCells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607FE0-461B-402B-8845-5054AADEF3E1}">
  <sheetPr codeName="Hoja3">
    <pageSetUpPr fitToPage="1"/>
  </sheetPr>
  <dimension ref="C2:AX24"/>
  <sheetViews>
    <sheetView showGridLines="0" zoomScale="90" zoomScaleNormal="90" workbookViewId="0">
      <selection activeCell="F18" sqref="C14:F18"/>
    </sheetView>
  </sheetViews>
  <sheetFormatPr baseColWidth="10" defaultRowHeight="15" outlineLevelCol="1"/>
  <cols>
    <col min="1" max="1" width="29" style="58" customWidth="1"/>
    <col min="2" max="2" width="5.33203125" style="58" customWidth="1"/>
    <col min="3" max="3" width="44.5" style="58" customWidth="1"/>
    <col min="4" max="4" width="11.6640625" style="58" customWidth="1"/>
    <col min="5" max="5" width="13.5" style="58" bestFit="1" customWidth="1"/>
    <col min="6" max="6" width="21" style="58" customWidth="1"/>
    <col min="7" max="7" width="11" style="58" bestFit="1" customWidth="1"/>
    <col min="8" max="8" width="14.6640625" style="58" bestFit="1" customWidth="1"/>
    <col min="9" max="9" width="12.83203125" style="58" bestFit="1" customWidth="1"/>
    <col min="10" max="21" width="13.33203125" style="58" hidden="1" customWidth="1" outlineLevel="1"/>
    <col min="22" max="22" width="18.1640625" style="58" bestFit="1" customWidth="1" collapsed="1"/>
    <col min="23" max="34" width="16.83203125" style="58" hidden="1" customWidth="1" outlineLevel="1"/>
    <col min="35" max="35" width="15.6640625" style="58" customWidth="1" collapsed="1"/>
    <col min="36" max="47" width="16.83203125" style="58" hidden="1" customWidth="1" outlineLevel="1"/>
    <col min="48" max="48" width="15.33203125" style="58" customWidth="1" collapsed="1"/>
    <col min="49" max="49" width="16.83203125" style="58" customWidth="1"/>
    <col min="50" max="50" width="17.1640625" style="58" customWidth="1"/>
    <col min="51" max="16384" width="12" style="58"/>
  </cols>
  <sheetData>
    <row r="2" spans="3:50" ht="15.75" thickBot="1"/>
    <row r="3" spans="3:50" ht="57.75" customHeight="1" thickBot="1">
      <c r="C3" s="283" t="s">
        <v>951</v>
      </c>
      <c r="D3" s="284"/>
      <c r="E3" s="285"/>
      <c r="F3" s="150" t="e" vm="7">
        <v>#VALUE!</v>
      </c>
    </row>
    <row r="4" spans="3:50" ht="21">
      <c r="C4" s="89"/>
      <c r="D4" s="89"/>
      <c r="E4" s="89"/>
    </row>
    <row r="5" spans="3:50" s="60" customFormat="1" ht="12.75">
      <c r="C5" s="59"/>
      <c r="D5" s="59"/>
      <c r="E5" s="59"/>
      <c r="F5" s="59"/>
      <c r="G5" s="59"/>
      <c r="H5" s="59"/>
      <c r="I5" s="59"/>
    </row>
    <row r="7" spans="3:50" ht="19.5" customHeight="1">
      <c r="J7" s="286" t="s">
        <v>923</v>
      </c>
      <c r="K7" s="286"/>
      <c r="L7" s="286"/>
      <c r="M7" s="286"/>
      <c r="N7" s="286"/>
      <c r="O7" s="286"/>
      <c r="P7" s="286"/>
      <c r="Q7" s="286"/>
      <c r="R7" s="286"/>
      <c r="S7" s="286"/>
      <c r="T7" s="286"/>
      <c r="U7" s="286"/>
      <c r="V7" s="287" t="s">
        <v>924</v>
      </c>
      <c r="W7" s="286" t="s">
        <v>925</v>
      </c>
      <c r="X7" s="286"/>
      <c r="Y7" s="286"/>
      <c r="Z7" s="286"/>
      <c r="AA7" s="286"/>
      <c r="AB7" s="286"/>
      <c r="AC7" s="286"/>
      <c r="AD7" s="286"/>
      <c r="AE7" s="286"/>
      <c r="AF7" s="286"/>
      <c r="AG7" s="286"/>
      <c r="AH7" s="286"/>
      <c r="AI7" s="287" t="s">
        <v>926</v>
      </c>
      <c r="AJ7" s="286" t="s">
        <v>927</v>
      </c>
      <c r="AK7" s="286"/>
      <c r="AL7" s="286"/>
      <c r="AM7" s="286"/>
      <c r="AN7" s="286"/>
      <c r="AO7" s="286"/>
      <c r="AP7" s="286"/>
      <c r="AQ7" s="286"/>
      <c r="AR7" s="286"/>
      <c r="AS7" s="286"/>
      <c r="AT7" s="286"/>
      <c r="AU7" s="286"/>
      <c r="AV7" s="287" t="s">
        <v>928</v>
      </c>
      <c r="AW7" s="288" t="s">
        <v>929</v>
      </c>
      <c r="AX7" s="289" t="s">
        <v>930</v>
      </c>
    </row>
    <row r="8" spans="3:50" ht="30">
      <c r="C8" s="61"/>
      <c r="D8" s="90" t="s">
        <v>931</v>
      </c>
      <c r="E8" s="90" t="s">
        <v>932</v>
      </c>
      <c r="F8" s="91" t="s">
        <v>933</v>
      </c>
      <c r="G8" s="90" t="s">
        <v>934</v>
      </c>
      <c r="H8" s="90" t="s">
        <v>935</v>
      </c>
      <c r="I8" s="92" t="s">
        <v>936</v>
      </c>
      <c r="J8" s="94" t="s">
        <v>937</v>
      </c>
      <c r="K8" s="94" t="s">
        <v>938</v>
      </c>
      <c r="L8" s="94" t="s">
        <v>939</v>
      </c>
      <c r="M8" s="94" t="s">
        <v>940</v>
      </c>
      <c r="N8" s="94" t="s">
        <v>941</v>
      </c>
      <c r="O8" s="94" t="s">
        <v>942</v>
      </c>
      <c r="P8" s="94" t="s">
        <v>943</v>
      </c>
      <c r="Q8" s="94" t="s">
        <v>944</v>
      </c>
      <c r="R8" s="94" t="s">
        <v>945</v>
      </c>
      <c r="S8" s="94" t="s">
        <v>946</v>
      </c>
      <c r="T8" s="94" t="s">
        <v>947</v>
      </c>
      <c r="U8" s="94" t="s">
        <v>948</v>
      </c>
      <c r="V8" s="287"/>
      <c r="W8" s="94" t="s">
        <v>937</v>
      </c>
      <c r="X8" s="94" t="s">
        <v>938</v>
      </c>
      <c r="Y8" s="94" t="s">
        <v>939</v>
      </c>
      <c r="Z8" s="94" t="s">
        <v>940</v>
      </c>
      <c r="AA8" s="94" t="s">
        <v>941</v>
      </c>
      <c r="AB8" s="94" t="s">
        <v>942</v>
      </c>
      <c r="AC8" s="94" t="s">
        <v>943</v>
      </c>
      <c r="AD8" s="94" t="s">
        <v>944</v>
      </c>
      <c r="AE8" s="94" t="s">
        <v>945</v>
      </c>
      <c r="AF8" s="94" t="s">
        <v>946</v>
      </c>
      <c r="AG8" s="94" t="s">
        <v>947</v>
      </c>
      <c r="AH8" s="94" t="s">
        <v>948</v>
      </c>
      <c r="AI8" s="287"/>
      <c r="AJ8" s="94" t="s">
        <v>937</v>
      </c>
      <c r="AK8" s="94" t="s">
        <v>938</v>
      </c>
      <c r="AL8" s="94" t="s">
        <v>939</v>
      </c>
      <c r="AM8" s="94" t="s">
        <v>940</v>
      </c>
      <c r="AN8" s="94" t="s">
        <v>941</v>
      </c>
      <c r="AO8" s="94" t="s">
        <v>942</v>
      </c>
      <c r="AP8" s="94" t="s">
        <v>943</v>
      </c>
      <c r="AQ8" s="94" t="s">
        <v>944</v>
      </c>
      <c r="AR8" s="94" t="s">
        <v>945</v>
      </c>
      <c r="AS8" s="94" t="s">
        <v>946</v>
      </c>
      <c r="AT8" s="94" t="s">
        <v>947</v>
      </c>
      <c r="AU8" s="94" t="s">
        <v>948</v>
      </c>
      <c r="AV8" s="287"/>
      <c r="AW8" s="288"/>
      <c r="AX8" s="289"/>
    </row>
    <row r="9" spans="3:50" hidden="1">
      <c r="C9" s="61"/>
      <c r="D9" s="90"/>
      <c r="E9" s="90"/>
      <c r="F9" s="91"/>
      <c r="G9" s="90"/>
      <c r="H9" s="90"/>
      <c r="I9" s="92"/>
      <c r="J9" s="95">
        <v>45688</v>
      </c>
      <c r="K9" s="95">
        <v>45716</v>
      </c>
      <c r="L9" s="95">
        <v>45747</v>
      </c>
      <c r="M9" s="95">
        <v>45777</v>
      </c>
      <c r="N9" s="95">
        <v>45808</v>
      </c>
      <c r="O9" s="95">
        <v>45838</v>
      </c>
      <c r="P9" s="95">
        <v>45869</v>
      </c>
      <c r="Q9" s="95">
        <v>45900</v>
      </c>
      <c r="R9" s="95">
        <v>45930</v>
      </c>
      <c r="S9" s="95">
        <v>45961</v>
      </c>
      <c r="T9" s="95">
        <v>45991</v>
      </c>
      <c r="U9" s="95">
        <v>46022</v>
      </c>
      <c r="V9" s="96"/>
      <c r="W9" s="95">
        <v>46053</v>
      </c>
      <c r="X9" s="95" t="s">
        <v>949</v>
      </c>
      <c r="Y9" s="95">
        <v>46112</v>
      </c>
      <c r="Z9" s="95">
        <v>46142</v>
      </c>
      <c r="AA9" s="95">
        <v>46173</v>
      </c>
      <c r="AB9" s="95">
        <v>46203</v>
      </c>
      <c r="AC9" s="95">
        <v>46234</v>
      </c>
      <c r="AD9" s="95">
        <v>46265</v>
      </c>
      <c r="AE9" s="95">
        <v>46295</v>
      </c>
      <c r="AF9" s="95">
        <v>46326</v>
      </c>
      <c r="AG9" s="95">
        <v>46356</v>
      </c>
      <c r="AH9" s="95">
        <v>46387</v>
      </c>
      <c r="AI9" s="96"/>
      <c r="AJ9" s="95">
        <v>46418</v>
      </c>
      <c r="AK9" s="95">
        <v>46446</v>
      </c>
      <c r="AL9" s="95">
        <v>46477</v>
      </c>
      <c r="AM9" s="95">
        <v>46507</v>
      </c>
      <c r="AN9" s="95">
        <v>46538</v>
      </c>
      <c r="AO9" s="95">
        <v>46568</v>
      </c>
      <c r="AP9" s="95">
        <v>46599</v>
      </c>
      <c r="AQ9" s="95">
        <v>46630</v>
      </c>
      <c r="AR9" s="95">
        <v>46660</v>
      </c>
      <c r="AS9" s="95">
        <v>46691</v>
      </c>
      <c r="AT9" s="95">
        <v>46721</v>
      </c>
      <c r="AU9" s="95">
        <v>46752</v>
      </c>
      <c r="AV9" s="96"/>
      <c r="AW9" s="288"/>
      <c r="AX9" s="97"/>
    </row>
    <row r="10" spans="3:50">
      <c r="C10" s="62"/>
      <c r="D10" s="63"/>
      <c r="E10" s="63"/>
      <c r="F10" s="64"/>
      <c r="G10" s="63"/>
      <c r="H10" s="64"/>
      <c r="I10" s="65"/>
      <c r="J10" s="64"/>
      <c r="K10" s="64"/>
      <c r="L10" s="64"/>
      <c r="M10" s="64"/>
      <c r="N10" s="66"/>
      <c r="O10" s="67"/>
      <c r="P10" s="67"/>
      <c r="Q10" s="66"/>
      <c r="R10" s="68"/>
      <c r="S10" s="68"/>
      <c r="T10" s="68"/>
      <c r="U10" s="68"/>
      <c r="V10" s="68"/>
      <c r="W10" s="64"/>
      <c r="X10" s="64"/>
      <c r="Y10" s="64"/>
      <c r="Z10" s="64"/>
      <c r="AA10" s="66"/>
      <c r="AB10" s="67"/>
      <c r="AC10" s="67"/>
      <c r="AD10" s="66"/>
      <c r="AE10" s="68"/>
      <c r="AF10" s="68"/>
      <c r="AG10" s="68"/>
      <c r="AH10" s="68"/>
      <c r="AI10" s="68"/>
      <c r="AJ10" s="64"/>
      <c r="AK10" s="64"/>
      <c r="AL10" s="64"/>
      <c r="AM10" s="64"/>
      <c r="AN10" s="66"/>
      <c r="AO10" s="67"/>
      <c r="AP10" s="67"/>
      <c r="AQ10" s="66"/>
      <c r="AR10" s="68"/>
      <c r="AS10" s="68"/>
      <c r="AT10" s="68"/>
      <c r="AU10" s="68"/>
      <c r="AV10" s="68"/>
      <c r="AW10" s="68"/>
      <c r="AX10" s="69"/>
    </row>
    <row r="11" spans="3:50">
      <c r="C11" s="70"/>
      <c r="D11" s="71"/>
      <c r="E11" s="71">
        <f>D11+(365*G11)</f>
        <v>0</v>
      </c>
      <c r="F11" s="72"/>
      <c r="G11" s="73"/>
      <c r="H11" s="74" t="e">
        <f>ROUND(F11/G11,2)</f>
        <v>#DIV/0!</v>
      </c>
      <c r="I11" s="75" t="e">
        <f>ROUND((H11/12),2)</f>
        <v>#DIV/0!</v>
      </c>
      <c r="J11" s="74">
        <f ca="1">IF( TODAY()&gt;=J$9, IF((AND($D11&lt;=J$9,$E11&gt;=J$9)),$I11,0),0)</f>
        <v>0</v>
      </c>
      <c r="K11" s="74">
        <f t="shared" ref="K11:U12" ca="1" si="0">IF( TODAY()&gt;=K$9, IF((AND($D11&lt;=K$9,$E11&gt;=K$9)),$I11,0),0)</f>
        <v>0</v>
      </c>
      <c r="L11" s="74">
        <f t="shared" ca="1" si="0"/>
        <v>0</v>
      </c>
      <c r="M11" s="74">
        <f t="shared" ca="1" si="0"/>
        <v>0</v>
      </c>
      <c r="N11" s="74">
        <f t="shared" ca="1" si="0"/>
        <v>0</v>
      </c>
      <c r="O11" s="74">
        <f t="shared" ca="1" si="0"/>
        <v>0</v>
      </c>
      <c r="P11" s="74">
        <f t="shared" ca="1" si="0"/>
        <v>0</v>
      </c>
      <c r="Q11" s="74">
        <f t="shared" ca="1" si="0"/>
        <v>0</v>
      </c>
      <c r="R11" s="74">
        <f t="shared" ca="1" si="0"/>
        <v>0</v>
      </c>
      <c r="S11" s="74">
        <f t="shared" ca="1" si="0"/>
        <v>0</v>
      </c>
      <c r="T11" s="74">
        <f t="shared" ca="1" si="0"/>
        <v>0</v>
      </c>
      <c r="U11" s="74">
        <f t="shared" ca="1" si="0"/>
        <v>0</v>
      </c>
      <c r="V11" s="74">
        <f ca="1">IF( (RIGHT($J$7,4)&lt;=TEXT((YEAR(TODAY())),"###0")),SUM(J11:U11),0)</f>
        <v>0</v>
      </c>
      <c r="W11" s="74">
        <f ca="1">IF( TODAY()&gt;=W$9, IF((AND($D11&lt;=W$9,$E11&gt;=W$9)),$I11,0),0)</f>
        <v>0</v>
      </c>
      <c r="X11" s="74">
        <f t="shared" ref="X11:AH12" ca="1" si="1">IF( TODAY()&gt;=X$9, IF((AND($D11&lt;=X$9,$E11&gt;=X$9)),$I11,0),0)</f>
        <v>0</v>
      </c>
      <c r="Y11" s="74">
        <f t="shared" ca="1" si="1"/>
        <v>0</v>
      </c>
      <c r="Z11" s="74">
        <f t="shared" ca="1" si="1"/>
        <v>0</v>
      </c>
      <c r="AA11" s="74">
        <f t="shared" ca="1" si="1"/>
        <v>0</v>
      </c>
      <c r="AB11" s="74">
        <f t="shared" ca="1" si="1"/>
        <v>0</v>
      </c>
      <c r="AC11" s="74">
        <f t="shared" ca="1" si="1"/>
        <v>0</v>
      </c>
      <c r="AD11" s="74">
        <f t="shared" ca="1" si="1"/>
        <v>0</v>
      </c>
      <c r="AE11" s="74">
        <f t="shared" ca="1" si="1"/>
        <v>0</v>
      </c>
      <c r="AF11" s="74">
        <f t="shared" ca="1" si="1"/>
        <v>0</v>
      </c>
      <c r="AG11" s="74">
        <f t="shared" ca="1" si="1"/>
        <v>0</v>
      </c>
      <c r="AH11" s="74">
        <f t="shared" ca="1" si="1"/>
        <v>0</v>
      </c>
      <c r="AI11" s="74">
        <f ca="1">IF( (RIGHT($W$7,4)&lt;=TEXT((YEAR(TODAY())),"###0")),SUM(W11:AH11),0)</f>
        <v>0</v>
      </c>
      <c r="AJ11" s="74">
        <f ca="1">IF( TODAY()&gt;=AJ$9, IF((AND($D11&lt;=AJ$9,$E11&gt;=AJ$9)),$I11,0),0)</f>
        <v>0</v>
      </c>
      <c r="AK11" s="74">
        <f t="shared" ref="AK11:AU12" ca="1" si="2">IF( TODAY()&gt;=AK$9, IF((AND($D11&lt;=AK$9,$E11&gt;=AK$9)),$I11,0),0)</f>
        <v>0</v>
      </c>
      <c r="AL11" s="74">
        <f t="shared" ca="1" si="2"/>
        <v>0</v>
      </c>
      <c r="AM11" s="74">
        <f t="shared" ca="1" si="2"/>
        <v>0</v>
      </c>
      <c r="AN11" s="74">
        <f t="shared" ca="1" si="2"/>
        <v>0</v>
      </c>
      <c r="AO11" s="74">
        <f t="shared" ca="1" si="2"/>
        <v>0</v>
      </c>
      <c r="AP11" s="74">
        <f t="shared" ca="1" si="2"/>
        <v>0</v>
      </c>
      <c r="AQ11" s="74">
        <f t="shared" ca="1" si="2"/>
        <v>0</v>
      </c>
      <c r="AR11" s="74">
        <f t="shared" ca="1" si="2"/>
        <v>0</v>
      </c>
      <c r="AS11" s="74">
        <f t="shared" ca="1" si="2"/>
        <v>0</v>
      </c>
      <c r="AT11" s="74">
        <f t="shared" ca="1" si="2"/>
        <v>0</v>
      </c>
      <c r="AU11" s="74">
        <f t="shared" ca="1" si="2"/>
        <v>0</v>
      </c>
      <c r="AV11" s="74">
        <f ca="1">IF( (RIGHT($W$7,4)&lt;=TEXT((YEAR(TODAY())),"###0")),SUM(AJ11:AU11),0)</f>
        <v>0</v>
      </c>
      <c r="AW11" s="76">
        <f ca="1">+V11+AI11+AV11</f>
        <v>0</v>
      </c>
      <c r="AX11" s="77">
        <f ca="1">+F11-AW11</f>
        <v>0</v>
      </c>
    </row>
    <row r="12" spans="3:50">
      <c r="C12" s="70"/>
      <c r="D12" s="71"/>
      <c r="E12" s="71">
        <f>D12+(365*G12)</f>
        <v>0</v>
      </c>
      <c r="F12" s="72"/>
      <c r="G12" s="73"/>
      <c r="H12" s="74" t="e">
        <f>ROUND(F12/G12,2)</f>
        <v>#DIV/0!</v>
      </c>
      <c r="I12" s="75" t="e">
        <f>ROUND((H12/12),2)</f>
        <v>#DIV/0!</v>
      </c>
      <c r="J12" s="74">
        <f ca="1">IF( TODAY()&gt;=J$9, IF((AND($D12&lt;=J$9,$E12&gt;=J$9)),$I12,0),0)</f>
        <v>0</v>
      </c>
      <c r="K12" s="74">
        <f ca="1">IF( TODAY()&gt;=K$9, IF((AND($D12&lt;=K$9,$E12&gt;=K$9)),$I12,0),0)</f>
        <v>0</v>
      </c>
      <c r="L12" s="74">
        <f t="shared" ca="1" si="0"/>
        <v>0</v>
      </c>
      <c r="M12" s="74">
        <f t="shared" ca="1" si="0"/>
        <v>0</v>
      </c>
      <c r="N12" s="74">
        <f t="shared" ca="1" si="0"/>
        <v>0</v>
      </c>
      <c r="O12" s="74">
        <f t="shared" ca="1" si="0"/>
        <v>0</v>
      </c>
      <c r="P12" s="74">
        <f t="shared" ca="1" si="0"/>
        <v>0</v>
      </c>
      <c r="Q12" s="74">
        <f t="shared" ca="1" si="0"/>
        <v>0</v>
      </c>
      <c r="R12" s="74">
        <f t="shared" ca="1" si="0"/>
        <v>0</v>
      </c>
      <c r="S12" s="74">
        <f t="shared" ca="1" si="0"/>
        <v>0</v>
      </c>
      <c r="T12" s="74">
        <f t="shared" ca="1" si="0"/>
        <v>0</v>
      </c>
      <c r="U12" s="74">
        <f t="shared" ca="1" si="0"/>
        <v>0</v>
      </c>
      <c r="V12" s="74">
        <f ca="1">IF( (RIGHT($J$7,4)&lt;=TEXT((YEAR(TODAY())),"###0")),SUM(J12:U12),0)</f>
        <v>0</v>
      </c>
      <c r="W12" s="74">
        <f ca="1">IF( TODAY()&gt;=W$9, IF((AND($D12&lt;=W$9,$E12&gt;=W$9)),$I12,0),0)</f>
        <v>0</v>
      </c>
      <c r="X12" s="74">
        <f t="shared" ca="1" si="1"/>
        <v>0</v>
      </c>
      <c r="Y12" s="74">
        <f t="shared" ca="1" si="1"/>
        <v>0</v>
      </c>
      <c r="Z12" s="74">
        <f t="shared" ca="1" si="1"/>
        <v>0</v>
      </c>
      <c r="AA12" s="74">
        <f t="shared" ca="1" si="1"/>
        <v>0</v>
      </c>
      <c r="AB12" s="74">
        <f t="shared" ca="1" si="1"/>
        <v>0</v>
      </c>
      <c r="AC12" s="74">
        <f t="shared" ca="1" si="1"/>
        <v>0</v>
      </c>
      <c r="AD12" s="74">
        <f t="shared" ca="1" si="1"/>
        <v>0</v>
      </c>
      <c r="AE12" s="74">
        <f t="shared" ca="1" si="1"/>
        <v>0</v>
      </c>
      <c r="AF12" s="74">
        <f t="shared" ca="1" si="1"/>
        <v>0</v>
      </c>
      <c r="AG12" s="74">
        <f t="shared" ca="1" si="1"/>
        <v>0</v>
      </c>
      <c r="AH12" s="74">
        <f t="shared" ca="1" si="1"/>
        <v>0</v>
      </c>
      <c r="AI12" s="74">
        <f ca="1">IF( (RIGHT($W$7,4)&lt;=TEXT((YEAR(TODAY())),"###0")),SUM(W12:AH12),0)</f>
        <v>0</v>
      </c>
      <c r="AJ12" s="74">
        <f ca="1">IF( TODAY()&gt;=AJ$9, IF((AND($D12&lt;=AJ$9,$E12&gt;=AJ$9)),$I12,0),0)</f>
        <v>0</v>
      </c>
      <c r="AK12" s="74">
        <f t="shared" ca="1" si="2"/>
        <v>0</v>
      </c>
      <c r="AL12" s="74">
        <f t="shared" ca="1" si="2"/>
        <v>0</v>
      </c>
      <c r="AM12" s="74">
        <f t="shared" ca="1" si="2"/>
        <v>0</v>
      </c>
      <c r="AN12" s="74">
        <f t="shared" ca="1" si="2"/>
        <v>0</v>
      </c>
      <c r="AO12" s="74">
        <f t="shared" ca="1" si="2"/>
        <v>0</v>
      </c>
      <c r="AP12" s="74">
        <f t="shared" ca="1" si="2"/>
        <v>0</v>
      </c>
      <c r="AQ12" s="74">
        <f t="shared" ca="1" si="2"/>
        <v>0</v>
      </c>
      <c r="AR12" s="74">
        <f t="shared" ca="1" si="2"/>
        <v>0</v>
      </c>
      <c r="AS12" s="74">
        <f t="shared" ca="1" si="2"/>
        <v>0</v>
      </c>
      <c r="AT12" s="74">
        <f t="shared" ca="1" si="2"/>
        <v>0</v>
      </c>
      <c r="AU12" s="74">
        <f t="shared" ca="1" si="2"/>
        <v>0</v>
      </c>
      <c r="AV12" s="74">
        <f ca="1">IF( (RIGHT($W$7,4)&lt;=TEXT((YEAR(TODAY())),"###0")),SUM(AJ12:AU12),0)</f>
        <v>0</v>
      </c>
      <c r="AW12" s="76">
        <f ca="1">+V12+AI12+AV12</f>
        <v>0</v>
      </c>
      <c r="AX12" s="77">
        <f ca="1">+F12-AW12</f>
        <v>0</v>
      </c>
    </row>
    <row r="13" spans="3:50">
      <c r="C13" s="286" t="str">
        <f>"TOTAL "&amp;C10</f>
        <v xml:space="preserve">TOTAL </v>
      </c>
      <c r="D13" s="286"/>
      <c r="E13" s="93"/>
      <c r="F13" s="93">
        <f>SUM(F11:F11)</f>
        <v>0</v>
      </c>
      <c r="G13" s="99"/>
      <c r="H13" s="93" t="e">
        <f t="shared" ref="H13:AW13" si="3">SUM(H11:H12)</f>
        <v>#DIV/0!</v>
      </c>
      <c r="I13" s="93" t="e">
        <f t="shared" si="3"/>
        <v>#DIV/0!</v>
      </c>
      <c r="J13" s="93">
        <f t="shared" ca="1" si="3"/>
        <v>0</v>
      </c>
      <c r="K13" s="93">
        <f t="shared" ca="1" si="3"/>
        <v>0</v>
      </c>
      <c r="L13" s="93">
        <f t="shared" ca="1" si="3"/>
        <v>0</v>
      </c>
      <c r="M13" s="93">
        <f t="shared" ca="1" si="3"/>
        <v>0</v>
      </c>
      <c r="N13" s="93">
        <f t="shared" ca="1" si="3"/>
        <v>0</v>
      </c>
      <c r="O13" s="93">
        <f t="shared" ca="1" si="3"/>
        <v>0</v>
      </c>
      <c r="P13" s="93">
        <f t="shared" ca="1" si="3"/>
        <v>0</v>
      </c>
      <c r="Q13" s="93">
        <f t="shared" ca="1" si="3"/>
        <v>0</v>
      </c>
      <c r="R13" s="93">
        <f t="shared" ca="1" si="3"/>
        <v>0</v>
      </c>
      <c r="S13" s="93">
        <f t="shared" ca="1" si="3"/>
        <v>0</v>
      </c>
      <c r="T13" s="93">
        <f t="shared" ca="1" si="3"/>
        <v>0</v>
      </c>
      <c r="U13" s="93">
        <f t="shared" ca="1" si="3"/>
        <v>0</v>
      </c>
      <c r="V13" s="93">
        <f t="shared" ca="1" si="3"/>
        <v>0</v>
      </c>
      <c r="W13" s="93">
        <f t="shared" ca="1" si="3"/>
        <v>0</v>
      </c>
      <c r="X13" s="93">
        <f t="shared" ca="1" si="3"/>
        <v>0</v>
      </c>
      <c r="Y13" s="93">
        <f t="shared" ca="1" si="3"/>
        <v>0</v>
      </c>
      <c r="Z13" s="93">
        <f t="shared" ca="1" si="3"/>
        <v>0</v>
      </c>
      <c r="AA13" s="93">
        <f t="shared" ca="1" si="3"/>
        <v>0</v>
      </c>
      <c r="AB13" s="93">
        <f t="shared" ca="1" si="3"/>
        <v>0</v>
      </c>
      <c r="AC13" s="93">
        <f t="shared" ca="1" si="3"/>
        <v>0</v>
      </c>
      <c r="AD13" s="93">
        <f t="shared" ca="1" si="3"/>
        <v>0</v>
      </c>
      <c r="AE13" s="93">
        <f t="shared" ca="1" si="3"/>
        <v>0</v>
      </c>
      <c r="AF13" s="93">
        <f t="shared" ca="1" si="3"/>
        <v>0</v>
      </c>
      <c r="AG13" s="93">
        <f t="shared" ca="1" si="3"/>
        <v>0</v>
      </c>
      <c r="AH13" s="93">
        <f t="shared" ca="1" si="3"/>
        <v>0</v>
      </c>
      <c r="AI13" s="93">
        <f t="shared" ca="1" si="3"/>
        <v>0</v>
      </c>
      <c r="AJ13" s="93">
        <f t="shared" ca="1" si="3"/>
        <v>0</v>
      </c>
      <c r="AK13" s="93">
        <f t="shared" ca="1" si="3"/>
        <v>0</v>
      </c>
      <c r="AL13" s="93">
        <f t="shared" ca="1" si="3"/>
        <v>0</v>
      </c>
      <c r="AM13" s="93">
        <f t="shared" ca="1" si="3"/>
        <v>0</v>
      </c>
      <c r="AN13" s="93">
        <f t="shared" ca="1" si="3"/>
        <v>0</v>
      </c>
      <c r="AO13" s="93">
        <f t="shared" ca="1" si="3"/>
        <v>0</v>
      </c>
      <c r="AP13" s="93">
        <f t="shared" ca="1" si="3"/>
        <v>0</v>
      </c>
      <c r="AQ13" s="93">
        <f t="shared" ca="1" si="3"/>
        <v>0</v>
      </c>
      <c r="AR13" s="93">
        <f t="shared" ca="1" si="3"/>
        <v>0</v>
      </c>
      <c r="AS13" s="93">
        <f t="shared" ca="1" si="3"/>
        <v>0</v>
      </c>
      <c r="AT13" s="93">
        <f t="shared" ca="1" si="3"/>
        <v>0</v>
      </c>
      <c r="AU13" s="93">
        <f t="shared" ca="1" si="3"/>
        <v>0</v>
      </c>
      <c r="AV13" s="93">
        <f t="shared" ca="1" si="3"/>
        <v>0</v>
      </c>
      <c r="AW13" s="78">
        <f t="shared" ca="1" si="3"/>
        <v>0</v>
      </c>
      <c r="AX13" s="98">
        <f ca="1">SUM(AX11:AX12)</f>
        <v>0</v>
      </c>
    </row>
    <row r="14" spans="3:50">
      <c r="I14" s="79"/>
      <c r="AX14" s="80"/>
    </row>
    <row r="15" spans="3:50">
      <c r="C15" s="62"/>
      <c r="D15" s="63"/>
      <c r="E15" s="63"/>
      <c r="F15" s="64"/>
      <c r="G15" s="63"/>
      <c r="H15" s="64"/>
      <c r="I15" s="65"/>
      <c r="J15" s="64"/>
      <c r="K15" s="64"/>
      <c r="L15" s="64"/>
      <c r="M15" s="64"/>
      <c r="N15" s="66"/>
      <c r="O15" s="67"/>
      <c r="P15" s="67"/>
      <c r="Q15" s="66"/>
      <c r="R15" s="68"/>
      <c r="S15" s="68"/>
      <c r="T15" s="68"/>
      <c r="U15" s="68"/>
      <c r="V15" s="68"/>
      <c r="W15" s="64"/>
      <c r="X15" s="64"/>
      <c r="Y15" s="64"/>
      <c r="Z15" s="64"/>
      <c r="AA15" s="66"/>
      <c r="AB15" s="67"/>
      <c r="AC15" s="67"/>
      <c r="AD15" s="66"/>
      <c r="AE15" s="68"/>
      <c r="AF15" s="68"/>
      <c r="AG15" s="68"/>
      <c r="AH15" s="68"/>
      <c r="AI15" s="68"/>
      <c r="AJ15" s="64"/>
      <c r="AK15" s="64"/>
      <c r="AL15" s="64"/>
      <c r="AM15" s="64"/>
      <c r="AN15" s="66"/>
      <c r="AO15" s="67"/>
      <c r="AP15" s="67"/>
      <c r="AQ15" s="66"/>
      <c r="AR15" s="68"/>
      <c r="AS15" s="68"/>
      <c r="AT15" s="68"/>
      <c r="AU15" s="68"/>
      <c r="AV15" s="68"/>
      <c r="AW15" s="68"/>
      <c r="AX15" s="69"/>
    </row>
    <row r="16" spans="3:50">
      <c r="C16" s="70"/>
      <c r="D16" s="71"/>
      <c r="E16" s="71">
        <f>D16+(365*G16)</f>
        <v>0</v>
      </c>
      <c r="F16" s="72"/>
      <c r="G16" s="73"/>
      <c r="H16" s="74" t="e">
        <f>ROUND(F16/G16,2)</f>
        <v>#DIV/0!</v>
      </c>
      <c r="I16" s="75" t="e">
        <f>ROUND((H16/12),2)+0.01</f>
        <v>#DIV/0!</v>
      </c>
      <c r="J16" s="74">
        <f ca="1">IF( TODAY()&gt;=J$9, IF((AND($D16&lt;=J$9,$E16&gt;=J$9)),$I16,0),0)</f>
        <v>0</v>
      </c>
      <c r="K16" s="74">
        <f t="shared" ref="K16:U17" ca="1" si="4">IF( TODAY()&gt;=K$9, IF((AND($D16&lt;=K$9,$E16&gt;=K$9)),$I16,0),0)</f>
        <v>0</v>
      </c>
      <c r="L16" s="74">
        <f t="shared" ca="1" si="4"/>
        <v>0</v>
      </c>
      <c r="M16" s="74">
        <f t="shared" ca="1" si="4"/>
        <v>0</v>
      </c>
      <c r="N16" s="74">
        <f t="shared" ca="1" si="4"/>
        <v>0</v>
      </c>
      <c r="O16" s="74">
        <f t="shared" ca="1" si="4"/>
        <v>0</v>
      </c>
      <c r="P16" s="74">
        <f t="shared" ca="1" si="4"/>
        <v>0</v>
      </c>
      <c r="Q16" s="74">
        <f t="shared" ca="1" si="4"/>
        <v>0</v>
      </c>
      <c r="R16" s="74">
        <f t="shared" ca="1" si="4"/>
        <v>0</v>
      </c>
      <c r="S16" s="74">
        <f t="shared" ca="1" si="4"/>
        <v>0</v>
      </c>
      <c r="T16" s="74">
        <f t="shared" ca="1" si="4"/>
        <v>0</v>
      </c>
      <c r="U16" s="74">
        <f t="shared" ca="1" si="4"/>
        <v>0</v>
      </c>
      <c r="V16" s="74">
        <f ca="1">IF( (RIGHT($J$7,4)&lt;=TEXT((YEAR(TODAY())),"###0")),SUM(J16:U16),0)</f>
        <v>0</v>
      </c>
      <c r="W16" s="74">
        <f ca="1">IF( TODAY()&gt;=W$9, IF((AND($D16&lt;=W$9,$E16&gt;=W$9)),$I16,0),0)</f>
        <v>0</v>
      </c>
      <c r="X16" s="74">
        <f t="shared" ref="X16:AH17" ca="1" si="5">IF( TODAY()&gt;=X$9, IF((AND($D16&lt;=X$9,$E16&gt;=X$9)),$I16,0),0)</f>
        <v>0</v>
      </c>
      <c r="Y16" s="74">
        <f t="shared" ca="1" si="5"/>
        <v>0</v>
      </c>
      <c r="Z16" s="74">
        <f t="shared" ca="1" si="5"/>
        <v>0</v>
      </c>
      <c r="AA16" s="74">
        <f t="shared" ca="1" si="5"/>
        <v>0</v>
      </c>
      <c r="AB16" s="74">
        <f t="shared" ca="1" si="5"/>
        <v>0</v>
      </c>
      <c r="AC16" s="74">
        <f t="shared" ca="1" si="5"/>
        <v>0</v>
      </c>
      <c r="AD16" s="74">
        <f t="shared" ca="1" si="5"/>
        <v>0</v>
      </c>
      <c r="AE16" s="74">
        <f t="shared" ca="1" si="5"/>
        <v>0</v>
      </c>
      <c r="AF16" s="74">
        <f t="shared" ca="1" si="5"/>
        <v>0</v>
      </c>
      <c r="AG16" s="74">
        <f t="shared" ca="1" si="5"/>
        <v>0</v>
      </c>
      <c r="AH16" s="74">
        <f t="shared" ca="1" si="5"/>
        <v>0</v>
      </c>
      <c r="AI16" s="74">
        <f ca="1">IF( (RIGHT($W$7,4)&lt;=TEXT((YEAR(TODAY())),"###0")),SUM(W16:AH16),0)</f>
        <v>0</v>
      </c>
      <c r="AJ16" s="74">
        <f ca="1">IF( TODAY()&gt;=AJ$9, IF((AND($D16&lt;=AJ$9,$E16&gt;=AJ$9)),$I16,0),0)</f>
        <v>0</v>
      </c>
      <c r="AK16" s="74">
        <f t="shared" ref="AK16:AU17" ca="1" si="6">IF( TODAY()&gt;=AK$9, IF((AND($D16&lt;=AK$9,$E16&gt;=AK$9)),$I16,0),0)</f>
        <v>0</v>
      </c>
      <c r="AL16" s="74">
        <f t="shared" ca="1" si="6"/>
        <v>0</v>
      </c>
      <c r="AM16" s="74">
        <f t="shared" ca="1" si="6"/>
        <v>0</v>
      </c>
      <c r="AN16" s="74">
        <f t="shared" ca="1" si="6"/>
        <v>0</v>
      </c>
      <c r="AO16" s="74">
        <f t="shared" ca="1" si="6"/>
        <v>0</v>
      </c>
      <c r="AP16" s="74">
        <f t="shared" ca="1" si="6"/>
        <v>0</v>
      </c>
      <c r="AQ16" s="74">
        <f t="shared" ca="1" si="6"/>
        <v>0</v>
      </c>
      <c r="AR16" s="74">
        <f t="shared" ca="1" si="6"/>
        <v>0</v>
      </c>
      <c r="AS16" s="74">
        <f t="shared" ca="1" si="6"/>
        <v>0</v>
      </c>
      <c r="AT16" s="74">
        <f t="shared" ca="1" si="6"/>
        <v>0</v>
      </c>
      <c r="AU16" s="74">
        <f t="shared" ca="1" si="6"/>
        <v>0</v>
      </c>
      <c r="AV16" s="74">
        <f ca="1">IF( (RIGHT($W$7,4)&lt;=TEXT((YEAR(TODAY())),"###0")),SUM(AJ16:AU16),0)</f>
        <v>0</v>
      </c>
      <c r="AW16" s="76">
        <f ca="1">+V16+AI16+AV16</f>
        <v>0</v>
      </c>
      <c r="AX16" s="77">
        <f ca="1">+F16-AW16</f>
        <v>0</v>
      </c>
    </row>
    <row r="17" spans="3:50">
      <c r="C17" s="70"/>
      <c r="D17" s="71"/>
      <c r="E17" s="71">
        <f>D17+(365*G17)</f>
        <v>0</v>
      </c>
      <c r="F17" s="72"/>
      <c r="G17" s="73"/>
      <c r="H17" s="74" t="e">
        <f>ROUND(F17/G17,2)</f>
        <v>#DIV/0!</v>
      </c>
      <c r="I17" s="75" t="e">
        <f>ROUND((H17/12),2)+0.01</f>
        <v>#DIV/0!</v>
      </c>
      <c r="J17" s="74">
        <f ca="1">IF( TODAY()&gt;=J$9, IF((AND($D17&lt;=J$9,$E17&gt;=J$9)),$I17,0),0)</f>
        <v>0</v>
      </c>
      <c r="K17" s="74">
        <f ca="1">IF( TODAY()&gt;=K$9, IF((AND($D17&lt;=K$9,$E17&gt;=K$9)),$I17,0),0)</f>
        <v>0</v>
      </c>
      <c r="L17" s="74">
        <f t="shared" ca="1" si="4"/>
        <v>0</v>
      </c>
      <c r="M17" s="74">
        <f t="shared" ca="1" si="4"/>
        <v>0</v>
      </c>
      <c r="N17" s="74">
        <f t="shared" ca="1" si="4"/>
        <v>0</v>
      </c>
      <c r="O17" s="74">
        <f t="shared" ca="1" si="4"/>
        <v>0</v>
      </c>
      <c r="P17" s="74">
        <f t="shared" ca="1" si="4"/>
        <v>0</v>
      </c>
      <c r="Q17" s="74">
        <f t="shared" ca="1" si="4"/>
        <v>0</v>
      </c>
      <c r="R17" s="74">
        <f t="shared" ca="1" si="4"/>
        <v>0</v>
      </c>
      <c r="S17" s="74">
        <f t="shared" ca="1" si="4"/>
        <v>0</v>
      </c>
      <c r="T17" s="74">
        <f t="shared" ca="1" si="4"/>
        <v>0</v>
      </c>
      <c r="U17" s="74">
        <f t="shared" ca="1" si="4"/>
        <v>0</v>
      </c>
      <c r="V17" s="74">
        <f ca="1">IF( (RIGHT($J$7,4)&lt;=TEXT((YEAR(TODAY())),"###0")),SUM(J17:U17),0)</f>
        <v>0</v>
      </c>
      <c r="W17" s="74">
        <f ca="1">IF( TODAY()&gt;=W$9, IF((AND($D17&lt;=W$9,$E17&gt;=W$9)),$I17,0),0)</f>
        <v>0</v>
      </c>
      <c r="X17" s="74">
        <f t="shared" ca="1" si="5"/>
        <v>0</v>
      </c>
      <c r="Y17" s="74">
        <f t="shared" ca="1" si="5"/>
        <v>0</v>
      </c>
      <c r="Z17" s="74">
        <f t="shared" ca="1" si="5"/>
        <v>0</v>
      </c>
      <c r="AA17" s="74">
        <f t="shared" ca="1" si="5"/>
        <v>0</v>
      </c>
      <c r="AB17" s="74">
        <f t="shared" ca="1" si="5"/>
        <v>0</v>
      </c>
      <c r="AC17" s="74">
        <f t="shared" ca="1" si="5"/>
        <v>0</v>
      </c>
      <c r="AD17" s="74">
        <f t="shared" ca="1" si="5"/>
        <v>0</v>
      </c>
      <c r="AE17" s="74">
        <f t="shared" ca="1" si="5"/>
        <v>0</v>
      </c>
      <c r="AF17" s="74">
        <f t="shared" ca="1" si="5"/>
        <v>0</v>
      </c>
      <c r="AG17" s="74">
        <f t="shared" ca="1" si="5"/>
        <v>0</v>
      </c>
      <c r="AH17" s="74">
        <f t="shared" ca="1" si="5"/>
        <v>0</v>
      </c>
      <c r="AI17" s="74">
        <f ca="1">IF( (RIGHT($W$7,4)&lt;=TEXT((YEAR(TODAY())),"###0")),SUM(W17:AH17),0)</f>
        <v>0</v>
      </c>
      <c r="AJ17" s="74">
        <f ca="1">IF( TODAY()&gt;=AJ$9, IF((AND($D17&lt;=AJ$9,$E17&gt;=AJ$9)),$I17,0),0)</f>
        <v>0</v>
      </c>
      <c r="AK17" s="74">
        <f t="shared" ca="1" si="6"/>
        <v>0</v>
      </c>
      <c r="AL17" s="74">
        <f t="shared" ca="1" si="6"/>
        <v>0</v>
      </c>
      <c r="AM17" s="74">
        <f t="shared" ca="1" si="6"/>
        <v>0</v>
      </c>
      <c r="AN17" s="74">
        <f t="shared" ca="1" si="6"/>
        <v>0</v>
      </c>
      <c r="AO17" s="74">
        <f t="shared" ca="1" si="6"/>
        <v>0</v>
      </c>
      <c r="AP17" s="74">
        <f t="shared" ca="1" si="6"/>
        <v>0</v>
      </c>
      <c r="AQ17" s="74">
        <f t="shared" ca="1" si="6"/>
        <v>0</v>
      </c>
      <c r="AR17" s="74">
        <f t="shared" ca="1" si="6"/>
        <v>0</v>
      </c>
      <c r="AS17" s="74">
        <f t="shared" ca="1" si="6"/>
        <v>0</v>
      </c>
      <c r="AT17" s="74">
        <f t="shared" ca="1" si="6"/>
        <v>0</v>
      </c>
      <c r="AU17" s="74">
        <f t="shared" ca="1" si="6"/>
        <v>0</v>
      </c>
      <c r="AV17" s="74">
        <f ca="1">IF( (RIGHT($W$7,4)&lt;=TEXT((YEAR(TODAY())),"###0")),SUM(AJ17:AU17),0)</f>
        <v>0</v>
      </c>
      <c r="AW17" s="76">
        <f ca="1">+V17+AI17+AV17</f>
        <v>0</v>
      </c>
      <c r="AX17" s="77">
        <f ca="1">+F17-AW17</f>
        <v>0</v>
      </c>
    </row>
    <row r="18" spans="3:50">
      <c r="C18" s="286" t="str">
        <f>"TOTAL "&amp;C15</f>
        <v xml:space="preserve">TOTAL </v>
      </c>
      <c r="D18" s="286"/>
      <c r="E18" s="93"/>
      <c r="F18" s="93">
        <f>SUM(F16:F16)</f>
        <v>0</v>
      </c>
      <c r="G18" s="99"/>
      <c r="H18" s="93" t="e">
        <f t="shared" ref="H18:AW18" si="7">SUM(H16:H17)</f>
        <v>#DIV/0!</v>
      </c>
      <c r="I18" s="93" t="e">
        <f t="shared" si="7"/>
        <v>#DIV/0!</v>
      </c>
      <c r="J18" s="93">
        <f t="shared" ca="1" si="7"/>
        <v>0</v>
      </c>
      <c r="K18" s="93">
        <f t="shared" ca="1" si="7"/>
        <v>0</v>
      </c>
      <c r="L18" s="93">
        <f t="shared" ca="1" si="7"/>
        <v>0</v>
      </c>
      <c r="M18" s="93">
        <f t="shared" ca="1" si="7"/>
        <v>0</v>
      </c>
      <c r="N18" s="93">
        <f t="shared" ca="1" si="7"/>
        <v>0</v>
      </c>
      <c r="O18" s="93">
        <f t="shared" ca="1" si="7"/>
        <v>0</v>
      </c>
      <c r="P18" s="93">
        <f t="shared" ca="1" si="7"/>
        <v>0</v>
      </c>
      <c r="Q18" s="93">
        <f t="shared" ca="1" si="7"/>
        <v>0</v>
      </c>
      <c r="R18" s="93">
        <f t="shared" ca="1" si="7"/>
        <v>0</v>
      </c>
      <c r="S18" s="93">
        <f t="shared" ca="1" si="7"/>
        <v>0</v>
      </c>
      <c r="T18" s="93">
        <f t="shared" ca="1" si="7"/>
        <v>0</v>
      </c>
      <c r="U18" s="93">
        <f t="shared" ca="1" si="7"/>
        <v>0</v>
      </c>
      <c r="V18" s="93">
        <f t="shared" ca="1" si="7"/>
        <v>0</v>
      </c>
      <c r="W18" s="93">
        <f t="shared" ca="1" si="7"/>
        <v>0</v>
      </c>
      <c r="X18" s="93">
        <f t="shared" ca="1" si="7"/>
        <v>0</v>
      </c>
      <c r="Y18" s="93">
        <f t="shared" ca="1" si="7"/>
        <v>0</v>
      </c>
      <c r="Z18" s="93">
        <f t="shared" ca="1" si="7"/>
        <v>0</v>
      </c>
      <c r="AA18" s="93">
        <f t="shared" ca="1" si="7"/>
        <v>0</v>
      </c>
      <c r="AB18" s="93">
        <f t="shared" ca="1" si="7"/>
        <v>0</v>
      </c>
      <c r="AC18" s="93">
        <f t="shared" ca="1" si="7"/>
        <v>0</v>
      </c>
      <c r="AD18" s="93">
        <f t="shared" ca="1" si="7"/>
        <v>0</v>
      </c>
      <c r="AE18" s="93">
        <f t="shared" ca="1" si="7"/>
        <v>0</v>
      </c>
      <c r="AF18" s="93">
        <f t="shared" ca="1" si="7"/>
        <v>0</v>
      </c>
      <c r="AG18" s="93">
        <f t="shared" ca="1" si="7"/>
        <v>0</v>
      </c>
      <c r="AH18" s="93">
        <f t="shared" ca="1" si="7"/>
        <v>0</v>
      </c>
      <c r="AI18" s="93">
        <f t="shared" ca="1" si="7"/>
        <v>0</v>
      </c>
      <c r="AJ18" s="93">
        <f t="shared" ca="1" si="7"/>
        <v>0</v>
      </c>
      <c r="AK18" s="93">
        <f t="shared" ca="1" si="7"/>
        <v>0</v>
      </c>
      <c r="AL18" s="93">
        <f t="shared" ca="1" si="7"/>
        <v>0</v>
      </c>
      <c r="AM18" s="93">
        <f t="shared" ca="1" si="7"/>
        <v>0</v>
      </c>
      <c r="AN18" s="93">
        <f t="shared" ca="1" si="7"/>
        <v>0</v>
      </c>
      <c r="AO18" s="93">
        <f t="shared" ca="1" si="7"/>
        <v>0</v>
      </c>
      <c r="AP18" s="93">
        <f t="shared" ca="1" si="7"/>
        <v>0</v>
      </c>
      <c r="AQ18" s="93">
        <f t="shared" ca="1" si="7"/>
        <v>0</v>
      </c>
      <c r="AR18" s="93">
        <f t="shared" ca="1" si="7"/>
        <v>0</v>
      </c>
      <c r="AS18" s="93">
        <f t="shared" ca="1" si="7"/>
        <v>0</v>
      </c>
      <c r="AT18" s="93">
        <f t="shared" ca="1" si="7"/>
        <v>0</v>
      </c>
      <c r="AU18" s="93">
        <f t="shared" ca="1" si="7"/>
        <v>0</v>
      </c>
      <c r="AV18" s="93">
        <f t="shared" ca="1" si="7"/>
        <v>0</v>
      </c>
      <c r="AW18" s="78">
        <f t="shared" ca="1" si="7"/>
        <v>0</v>
      </c>
      <c r="AX18" s="98">
        <f ca="1">SUM(AX16:AX17)</f>
        <v>0</v>
      </c>
    </row>
    <row r="19" spans="3:50">
      <c r="I19" s="79"/>
      <c r="AX19" s="80"/>
    </row>
    <row r="20" spans="3:50">
      <c r="C20" s="281" t="s">
        <v>950</v>
      </c>
      <c r="D20" s="282"/>
      <c r="E20" s="78"/>
      <c r="F20" s="81">
        <f>F13+F18</f>
        <v>0</v>
      </c>
      <c r="G20" s="82"/>
      <c r="H20" s="82"/>
      <c r="I20" s="83"/>
      <c r="J20" s="84">
        <f ca="1">J13+J18</f>
        <v>0</v>
      </c>
      <c r="K20" s="84">
        <f t="shared" ref="K20:AX20" ca="1" si="8">K13+K18</f>
        <v>0</v>
      </c>
      <c r="L20" s="84">
        <f t="shared" ca="1" si="8"/>
        <v>0</v>
      </c>
      <c r="M20" s="84">
        <f t="shared" ca="1" si="8"/>
        <v>0</v>
      </c>
      <c r="N20" s="84">
        <f t="shared" ca="1" si="8"/>
        <v>0</v>
      </c>
      <c r="O20" s="84">
        <f t="shared" ca="1" si="8"/>
        <v>0</v>
      </c>
      <c r="P20" s="84">
        <f t="shared" ca="1" si="8"/>
        <v>0</v>
      </c>
      <c r="Q20" s="84">
        <f t="shared" ca="1" si="8"/>
        <v>0</v>
      </c>
      <c r="R20" s="84">
        <f t="shared" ca="1" si="8"/>
        <v>0</v>
      </c>
      <c r="S20" s="84">
        <f t="shared" ca="1" si="8"/>
        <v>0</v>
      </c>
      <c r="T20" s="84">
        <f t="shared" ca="1" si="8"/>
        <v>0</v>
      </c>
      <c r="U20" s="84">
        <f t="shared" ca="1" si="8"/>
        <v>0</v>
      </c>
      <c r="V20" s="84">
        <f t="shared" ca="1" si="8"/>
        <v>0</v>
      </c>
      <c r="W20" s="84">
        <f t="shared" ca="1" si="8"/>
        <v>0</v>
      </c>
      <c r="X20" s="84">
        <f t="shared" ca="1" si="8"/>
        <v>0</v>
      </c>
      <c r="Y20" s="84">
        <f t="shared" ca="1" si="8"/>
        <v>0</v>
      </c>
      <c r="Z20" s="84">
        <f t="shared" ca="1" si="8"/>
        <v>0</v>
      </c>
      <c r="AA20" s="84">
        <f t="shared" ca="1" si="8"/>
        <v>0</v>
      </c>
      <c r="AB20" s="84">
        <f t="shared" ca="1" si="8"/>
        <v>0</v>
      </c>
      <c r="AC20" s="84">
        <f t="shared" ca="1" si="8"/>
        <v>0</v>
      </c>
      <c r="AD20" s="84">
        <f t="shared" ca="1" si="8"/>
        <v>0</v>
      </c>
      <c r="AE20" s="84">
        <f t="shared" ca="1" si="8"/>
        <v>0</v>
      </c>
      <c r="AF20" s="84">
        <f t="shared" ca="1" si="8"/>
        <v>0</v>
      </c>
      <c r="AG20" s="84">
        <f t="shared" ca="1" si="8"/>
        <v>0</v>
      </c>
      <c r="AH20" s="84">
        <f t="shared" ca="1" si="8"/>
        <v>0</v>
      </c>
      <c r="AI20" s="84">
        <f t="shared" ca="1" si="8"/>
        <v>0</v>
      </c>
      <c r="AJ20" s="84">
        <f t="shared" ca="1" si="8"/>
        <v>0</v>
      </c>
      <c r="AK20" s="84">
        <f t="shared" ca="1" si="8"/>
        <v>0</v>
      </c>
      <c r="AL20" s="84">
        <f t="shared" ca="1" si="8"/>
        <v>0</v>
      </c>
      <c r="AM20" s="84">
        <f t="shared" ca="1" si="8"/>
        <v>0</v>
      </c>
      <c r="AN20" s="84">
        <f t="shared" ca="1" si="8"/>
        <v>0</v>
      </c>
      <c r="AO20" s="84">
        <f t="shared" ca="1" si="8"/>
        <v>0</v>
      </c>
      <c r="AP20" s="84">
        <f t="shared" ca="1" si="8"/>
        <v>0</v>
      </c>
      <c r="AQ20" s="84">
        <f t="shared" ca="1" si="8"/>
        <v>0</v>
      </c>
      <c r="AR20" s="84">
        <f t="shared" ca="1" si="8"/>
        <v>0</v>
      </c>
      <c r="AS20" s="84">
        <f t="shared" ca="1" si="8"/>
        <v>0</v>
      </c>
      <c r="AT20" s="84">
        <f t="shared" ca="1" si="8"/>
        <v>0</v>
      </c>
      <c r="AU20" s="84">
        <f t="shared" ca="1" si="8"/>
        <v>0</v>
      </c>
      <c r="AV20" s="84">
        <f t="shared" ca="1" si="8"/>
        <v>0</v>
      </c>
      <c r="AW20" s="84">
        <f t="shared" ca="1" si="8"/>
        <v>0</v>
      </c>
      <c r="AX20" s="84">
        <f t="shared" ca="1" si="8"/>
        <v>0</v>
      </c>
    </row>
    <row r="22" spans="3:50">
      <c r="D22" s="85"/>
      <c r="E22" s="86"/>
    </row>
    <row r="24" spans="3:50">
      <c r="D24" s="71"/>
      <c r="E24" s="87"/>
      <c r="F24" s="71"/>
      <c r="G24" s="88"/>
    </row>
  </sheetData>
  <mergeCells count="12">
    <mergeCell ref="AX7:AX8"/>
    <mergeCell ref="C13:D13"/>
    <mergeCell ref="C18:D18"/>
    <mergeCell ref="J7:U7"/>
    <mergeCell ref="V7:V8"/>
    <mergeCell ref="W7:AH7"/>
    <mergeCell ref="AI7:AI8"/>
    <mergeCell ref="C20:D20"/>
    <mergeCell ref="C3:E3"/>
    <mergeCell ref="AJ7:AU7"/>
    <mergeCell ref="AV7:AV8"/>
    <mergeCell ref="AW7:AW9"/>
  </mergeCells>
  <printOptions horizontalCentered="1"/>
  <pageMargins left="3.937007874015748E-2" right="3.937007874015748E-2" top="0.15748031496062992" bottom="0.19685039370078741" header="0.31496062992125984" footer="0.31496062992125984"/>
  <pageSetup scale="83" fitToHeight="0" orientation="landscape" horizontalDpi="300" verticalDpi="300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2CE885-F210-49DF-BA67-FDE7343402E6}">
  <sheetPr codeName="Hoja1"/>
  <dimension ref="D3:I22"/>
  <sheetViews>
    <sheetView showGridLines="0" showRowColHeaders="0" workbookViewId="0">
      <selection activeCell="D15" sqref="D15"/>
    </sheetView>
  </sheetViews>
  <sheetFormatPr baseColWidth="10" defaultColWidth="12" defaultRowHeight="10.5"/>
  <cols>
    <col min="1" max="3" width="12" customWidth="1"/>
    <col min="4" max="4" width="41.33203125" bestFit="1" customWidth="1"/>
    <col min="5" max="5" width="17" bestFit="1" customWidth="1"/>
    <col min="6" max="21" width="24.33203125" bestFit="1" customWidth="1"/>
    <col min="22" max="22" width="13.6640625" bestFit="1" customWidth="1"/>
    <col min="23" max="26" width="12.5" bestFit="1" customWidth="1"/>
    <col min="27" max="28" width="14.1640625" bestFit="1" customWidth="1"/>
    <col min="29" max="29" width="17.6640625" bestFit="1" customWidth="1"/>
    <col min="30" max="30" width="15" bestFit="1" customWidth="1"/>
    <col min="31" max="31" width="17.6640625" bestFit="1" customWidth="1"/>
    <col min="32" max="32" width="15" bestFit="1" customWidth="1"/>
    <col min="33" max="33" width="17.6640625" bestFit="1" customWidth="1"/>
    <col min="34" max="34" width="15" bestFit="1" customWidth="1"/>
    <col min="35" max="35" width="17.6640625" bestFit="1" customWidth="1"/>
    <col min="36" max="36" width="15" bestFit="1" customWidth="1"/>
    <col min="37" max="37" width="17.6640625" bestFit="1" customWidth="1"/>
    <col min="38" max="38" width="15" bestFit="1" customWidth="1"/>
    <col min="39" max="39" width="17.6640625" bestFit="1" customWidth="1"/>
    <col min="40" max="40" width="15" bestFit="1" customWidth="1"/>
    <col min="41" max="41" width="17.6640625" bestFit="1" customWidth="1"/>
    <col min="42" max="42" width="15" bestFit="1" customWidth="1"/>
    <col min="43" max="43" width="17.6640625" bestFit="1" customWidth="1"/>
    <col min="44" max="44" width="20.5" bestFit="1" customWidth="1"/>
    <col min="45" max="45" width="23.1640625" bestFit="1" customWidth="1"/>
    <col min="46" max="46" width="12" customWidth="1"/>
  </cols>
  <sheetData>
    <row r="3" spans="4:9">
      <c r="I3" s="44"/>
    </row>
    <row r="4" spans="4:9" ht="14.25">
      <c r="D4" s="290" t="s">
        <v>780</v>
      </c>
      <c r="E4" s="290"/>
      <c r="F4" s="24"/>
    </row>
    <row r="5" spans="4:9" ht="14.25">
      <c r="D5" s="290" t="str">
        <f ca="1">TEXT(TODAY(),"MMMM-DD")</f>
        <v>diciembre-15</v>
      </c>
      <c r="E5" s="290"/>
      <c r="F5" s="23"/>
    </row>
    <row r="6" spans="4:9" ht="14.25">
      <c r="D6" s="290" t="s">
        <v>784</v>
      </c>
      <c r="E6" s="290"/>
      <c r="F6" s="23"/>
    </row>
    <row r="7" spans="4:9" ht="14.25">
      <c r="D7" s="23"/>
      <c r="E7" s="23"/>
      <c r="F7" s="23"/>
    </row>
    <row r="9" spans="4:9">
      <c r="D9" s="240" t="s">
        <v>1380</v>
      </c>
      <c r="E9" t="s">
        <v>1396</v>
      </c>
    </row>
    <row r="10" spans="4:9">
      <c r="D10" s="141" t="s">
        <v>821</v>
      </c>
      <c r="E10" s="242">
        <v>10907898.076923076</v>
      </c>
    </row>
    <row r="11" spans="4:9">
      <c r="D11" s="241" t="s">
        <v>848</v>
      </c>
      <c r="E11" s="242">
        <v>9636475</v>
      </c>
    </row>
    <row r="12" spans="4:9">
      <c r="D12" s="241" t="s">
        <v>1386</v>
      </c>
      <c r="E12" s="242">
        <v>209500</v>
      </c>
    </row>
    <row r="13" spans="4:9">
      <c r="D13" s="241" t="s">
        <v>876</v>
      </c>
      <c r="E13" s="242">
        <v>1061923.076923077</v>
      </c>
    </row>
    <row r="14" spans="4:9">
      <c r="D14" s="141" t="s">
        <v>823</v>
      </c>
      <c r="E14" s="242">
        <v>-790975</v>
      </c>
    </row>
    <row r="15" spans="4:9">
      <c r="D15" s="241" t="s">
        <v>785</v>
      </c>
      <c r="E15" s="242">
        <v>-993325</v>
      </c>
    </row>
    <row r="16" spans="4:9">
      <c r="D16" s="241" t="s">
        <v>1387</v>
      </c>
      <c r="E16" s="242">
        <v>202350</v>
      </c>
    </row>
    <row r="17" spans="4:5">
      <c r="D17" s="241" t="s">
        <v>1026</v>
      </c>
      <c r="E17" s="242">
        <v>0</v>
      </c>
    </row>
    <row r="18" spans="4:5">
      <c r="D18" s="141" t="s">
        <v>827</v>
      </c>
      <c r="E18" s="242">
        <v>-10000000</v>
      </c>
    </row>
    <row r="19" spans="4:5">
      <c r="D19" s="241" t="s">
        <v>792</v>
      </c>
      <c r="E19" s="242">
        <v>0</v>
      </c>
    </row>
    <row r="20" spans="4:5">
      <c r="D20" s="241" t="s">
        <v>1384</v>
      </c>
      <c r="E20" s="242">
        <v>5000000</v>
      </c>
    </row>
    <row r="21" spans="4:5">
      <c r="D21" s="241" t="s">
        <v>1385</v>
      </c>
      <c r="E21" s="242">
        <v>-15000000</v>
      </c>
    </row>
    <row r="22" spans="4:5">
      <c r="D22" s="141" t="s">
        <v>1381</v>
      </c>
      <c r="E22" s="242">
        <v>116923.07692307606</v>
      </c>
    </row>
  </sheetData>
  <mergeCells count="3">
    <mergeCell ref="D4:E4"/>
    <mergeCell ref="D5:E5"/>
    <mergeCell ref="D6:E6"/>
  </mergeCells>
  <pageMargins left="0.7" right="0.7" top="0.75" bottom="0.75" header="0.3" footer="0.3"/>
  <pageSetup paperSize="9" orientation="portrait" r:id="rId2"/>
  <drawing r:id="rId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31B3CA-28F6-4AB1-8A23-230FAFE544C4}">
  <sheetPr codeName="Hoja9"/>
  <dimension ref="C4:U48"/>
  <sheetViews>
    <sheetView showGridLines="0" showRowColHeaders="0" workbookViewId="0"/>
  </sheetViews>
  <sheetFormatPr baseColWidth="10" defaultRowHeight="10.5"/>
  <cols>
    <col min="3" max="3" width="53.83203125" customWidth="1"/>
    <col min="4" max="4" width="32.1640625" style="32" customWidth="1"/>
    <col min="5" max="5" width="15.6640625" customWidth="1"/>
    <col min="6" max="6" width="17.1640625" customWidth="1"/>
    <col min="7" max="7" width="16.5" customWidth="1"/>
    <col min="8" max="8" width="17" customWidth="1"/>
    <col min="9" max="9" width="19.33203125" customWidth="1"/>
    <col min="10" max="10" width="20.6640625" bestFit="1" customWidth="1"/>
    <col min="52" max="53" width="12" customWidth="1"/>
    <col min="54" max="54" width="11.33203125" customWidth="1"/>
    <col min="55" max="57" width="12" customWidth="1"/>
  </cols>
  <sheetData>
    <row r="4" spans="3:21" ht="14.25">
      <c r="C4" s="290" t="s">
        <v>826</v>
      </c>
      <c r="D4" s="290"/>
    </row>
    <row r="5" spans="3:21" ht="14.25">
      <c r="C5" s="290" t="str">
        <f ca="1">"Al"&amp;" "&amp;TEXT(TODAY(),"MMMM-DD")</f>
        <v>Al diciembre-15</v>
      </c>
      <c r="D5" s="290"/>
    </row>
    <row r="6" spans="3:21" ht="14.25">
      <c r="C6" s="290" t="s">
        <v>784</v>
      </c>
      <c r="D6" s="290"/>
    </row>
    <row r="8" spans="3:21" ht="14.25">
      <c r="P8" s="291" t="s">
        <v>858</v>
      </c>
      <c r="Q8" s="291"/>
      <c r="R8" s="291"/>
      <c r="S8" s="291"/>
      <c r="T8" s="291"/>
      <c r="U8" s="291"/>
    </row>
    <row r="9" spans="3:21" ht="18.75" customHeight="1">
      <c r="C9" s="240" t="s">
        <v>1397</v>
      </c>
      <c r="D9" t="s">
        <v>1398</v>
      </c>
      <c r="P9" s="46">
        <v>2023</v>
      </c>
      <c r="Q9" s="46">
        <v>2024</v>
      </c>
      <c r="R9" s="46">
        <v>2025</v>
      </c>
      <c r="S9" s="46">
        <v>2026</v>
      </c>
      <c r="T9" s="46">
        <v>2027</v>
      </c>
      <c r="U9" s="46">
        <v>2028</v>
      </c>
    </row>
    <row r="10" spans="3:21">
      <c r="C10" s="141" t="s">
        <v>829</v>
      </c>
      <c r="D10" s="301"/>
      <c r="P10" s="46"/>
      <c r="Q10" s="46"/>
      <c r="R10" s="47"/>
      <c r="S10" s="47"/>
      <c r="T10" s="47"/>
      <c r="U10" s="47"/>
    </row>
    <row r="11" spans="3:21">
      <c r="C11" s="241" t="s">
        <v>1135</v>
      </c>
      <c r="D11" s="301">
        <v>-250000</v>
      </c>
    </row>
    <row r="12" spans="3:21">
      <c r="C12" s="141" t="s">
        <v>831</v>
      </c>
      <c r="D12" s="301"/>
    </row>
    <row r="13" spans="3:21">
      <c r="C13" s="241" t="s">
        <v>1404</v>
      </c>
      <c r="D13" s="301">
        <v>53076.923076923078</v>
      </c>
    </row>
    <row r="14" spans="3:21">
      <c r="C14" s="141" t="s">
        <v>830</v>
      </c>
      <c r="D14" s="301"/>
    </row>
    <row r="15" spans="3:21">
      <c r="C15" s="241" t="s">
        <v>1382</v>
      </c>
      <c r="D15" s="301">
        <v>0</v>
      </c>
    </row>
    <row r="16" spans="3:21">
      <c r="C16" s="241" t="s">
        <v>1383</v>
      </c>
      <c r="D16" s="301">
        <v>80000</v>
      </c>
    </row>
    <row r="17" spans="3:4">
      <c r="C17" s="141" t="s">
        <v>1400</v>
      </c>
      <c r="D17" s="301">
        <v>-116923.07692307694</v>
      </c>
    </row>
    <row r="18" spans="3:4">
      <c r="C18" s="141" t="s">
        <v>1401</v>
      </c>
      <c r="D18" s="301">
        <v>-40923.076923076922</v>
      </c>
    </row>
    <row r="19" spans="3:4">
      <c r="C19" s="141" t="s">
        <v>1399</v>
      </c>
      <c r="D19" s="301">
        <v>-76000</v>
      </c>
    </row>
    <row r="20" spans="3:4">
      <c r="D20"/>
    </row>
    <row r="21" spans="3:4">
      <c r="D21"/>
    </row>
    <row r="22" spans="3:4">
      <c r="D22"/>
    </row>
    <row r="23" spans="3:4">
      <c r="D23"/>
    </row>
    <row r="24" spans="3:4">
      <c r="D24"/>
    </row>
    <row r="25" spans="3:4">
      <c r="D25"/>
    </row>
    <row r="26" spans="3:4">
      <c r="D26"/>
    </row>
    <row r="27" spans="3:4">
      <c r="D27"/>
    </row>
    <row r="28" spans="3:4">
      <c r="D28"/>
    </row>
    <row r="29" spans="3:4">
      <c r="D29"/>
    </row>
    <row r="30" spans="3:4">
      <c r="D30"/>
    </row>
    <row r="31" spans="3:4">
      <c r="D31"/>
    </row>
    <row r="32" spans="3:4">
      <c r="D32"/>
    </row>
    <row r="33" spans="4:4">
      <c r="D33"/>
    </row>
    <row r="34" spans="4:4">
      <c r="D34"/>
    </row>
    <row r="35" spans="4:4">
      <c r="D35"/>
    </row>
    <row r="36" spans="4:4">
      <c r="D36"/>
    </row>
    <row r="37" spans="4:4">
      <c r="D37"/>
    </row>
    <row r="38" spans="4:4">
      <c r="D38"/>
    </row>
    <row r="39" spans="4:4">
      <c r="D39"/>
    </row>
    <row r="40" spans="4:4">
      <c r="D40"/>
    </row>
    <row r="41" spans="4:4">
      <c r="D41"/>
    </row>
    <row r="42" spans="4:4">
      <c r="D42"/>
    </row>
    <row r="43" spans="4:4">
      <c r="D43"/>
    </row>
    <row r="44" spans="4:4">
      <c r="D44"/>
    </row>
    <row r="45" spans="4:4">
      <c r="D45"/>
    </row>
    <row r="46" spans="4:4">
      <c r="D46"/>
    </row>
    <row r="47" spans="4:4">
      <c r="D47"/>
    </row>
    <row r="48" spans="4:4">
      <c r="D48"/>
    </row>
  </sheetData>
  <mergeCells count="4">
    <mergeCell ref="C4:D4"/>
    <mergeCell ref="C5:D5"/>
    <mergeCell ref="C6:D6"/>
    <mergeCell ref="P8:U8"/>
  </mergeCells>
  <pageMargins left="0.7" right="0.7" top="0.75" bottom="0.75" header="0.3" footer="0.3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75DAD7-808F-4795-ACDF-80A6693B7D0F}">
  <sheetPr codeName="Hoja10"/>
  <dimension ref="B5:E47"/>
  <sheetViews>
    <sheetView showGridLines="0" showRowColHeaders="0" workbookViewId="0"/>
  </sheetViews>
  <sheetFormatPr baseColWidth="10" defaultRowHeight="10.5"/>
  <cols>
    <col min="1" max="1" width="19.6640625" customWidth="1"/>
    <col min="2" max="2" width="56.5" bestFit="1" customWidth="1"/>
    <col min="3" max="4" width="25.33203125" bestFit="1" customWidth="1"/>
    <col min="5" max="5" width="13.5" bestFit="1" customWidth="1"/>
  </cols>
  <sheetData>
    <row r="5" spans="2:4" ht="14.25">
      <c r="B5" s="290" t="s">
        <v>840</v>
      </c>
      <c r="C5" s="290"/>
      <c r="D5" s="290"/>
    </row>
    <row r="6" spans="2:4" ht="14.25">
      <c r="B6" s="290" t="str">
        <f ca="1">"Al"&amp;" "&amp;TEXT(TODAY(),"MMMM-DD")</f>
        <v>Al diciembre-15</v>
      </c>
      <c r="C6" s="290"/>
      <c r="D6" s="290"/>
    </row>
    <row r="7" spans="2:4" ht="14.25">
      <c r="B7" s="290" t="s">
        <v>784</v>
      </c>
      <c r="C7" s="290"/>
      <c r="D7" s="290"/>
    </row>
    <row r="11" spans="2:4" ht="14.25">
      <c r="B11" s="39" t="s">
        <v>839</v>
      </c>
      <c r="C11" s="40">
        <f>SUM(C17:C4000)</f>
        <v>16243325</v>
      </c>
      <c r="D11" s="40">
        <f>SUM(D17:D4000)</f>
        <v>16243325</v>
      </c>
    </row>
    <row r="12" spans="2:4" ht="12.75">
      <c r="B12" s="42" t="s">
        <v>845</v>
      </c>
      <c r="C12" s="43">
        <f>C11-D11</f>
        <v>0</v>
      </c>
    </row>
    <row r="16" spans="2:4" ht="14.25">
      <c r="B16" s="36" t="s">
        <v>832</v>
      </c>
      <c r="C16" s="1" t="s">
        <v>837</v>
      </c>
      <c r="D16" s="1" t="s">
        <v>838</v>
      </c>
    </row>
    <row r="17" spans="2:4" ht="14.25">
      <c r="B17" s="25" t="s">
        <v>847</v>
      </c>
      <c r="C17" s="38">
        <v>0</v>
      </c>
      <c r="D17" s="38">
        <v>0</v>
      </c>
    </row>
    <row r="18" spans="2:4" ht="14.25">
      <c r="B18" s="25" t="s">
        <v>844</v>
      </c>
      <c r="C18" s="38">
        <v>0</v>
      </c>
      <c r="D18" s="38">
        <v>0</v>
      </c>
    </row>
    <row r="19" spans="2:4" ht="14.25">
      <c r="B19" s="25" t="s">
        <v>843</v>
      </c>
      <c r="C19" s="38">
        <v>0</v>
      </c>
      <c r="D19" s="38">
        <v>0</v>
      </c>
    </row>
    <row r="20" spans="2:4" ht="14.25">
      <c r="B20" s="25" t="s">
        <v>1348</v>
      </c>
      <c r="C20" s="38">
        <v>5000000</v>
      </c>
      <c r="D20" s="38">
        <v>0</v>
      </c>
    </row>
    <row r="21" spans="2:4" ht="14.25">
      <c r="B21" s="25" t="s">
        <v>1343</v>
      </c>
      <c r="C21" s="38">
        <v>9636475</v>
      </c>
      <c r="D21" s="38">
        <v>0</v>
      </c>
    </row>
    <row r="22" spans="2:4" ht="14.25">
      <c r="B22" s="25" t="s">
        <v>1346</v>
      </c>
      <c r="C22" s="38">
        <v>0</v>
      </c>
      <c r="D22" s="38">
        <v>15000000</v>
      </c>
    </row>
    <row r="23" spans="2:4" ht="14.25">
      <c r="B23" s="25" t="s">
        <v>1388</v>
      </c>
      <c r="C23" s="38">
        <v>0</v>
      </c>
      <c r="D23" s="38">
        <v>993325</v>
      </c>
    </row>
    <row r="24" spans="2:4" ht="14.25">
      <c r="B24" s="25" t="s">
        <v>1389</v>
      </c>
      <c r="C24" s="38">
        <v>0</v>
      </c>
      <c r="D24" s="38">
        <v>0</v>
      </c>
    </row>
    <row r="25" spans="2:4" ht="14.25">
      <c r="B25" s="25" t="s">
        <v>1390</v>
      </c>
      <c r="C25" s="38">
        <v>209500</v>
      </c>
      <c r="D25" s="38">
        <v>0</v>
      </c>
    </row>
    <row r="26" spans="2:4" ht="14.25">
      <c r="B26" s="25" t="s">
        <v>1391</v>
      </c>
      <c r="C26" s="38">
        <v>0</v>
      </c>
      <c r="D26" s="38">
        <v>250000</v>
      </c>
    </row>
    <row r="27" spans="2:4" ht="14.25">
      <c r="B27" s="25" t="s">
        <v>1392</v>
      </c>
      <c r="C27" s="38">
        <v>202350</v>
      </c>
      <c r="D27" s="38">
        <v>0</v>
      </c>
    </row>
    <row r="28" spans="2:4" ht="14.25">
      <c r="B28" s="25" t="s">
        <v>1393</v>
      </c>
      <c r="C28" s="38">
        <v>0</v>
      </c>
      <c r="D28" s="38">
        <v>0</v>
      </c>
    </row>
    <row r="29" spans="2:4" ht="14.25">
      <c r="B29" s="25" t="s">
        <v>1394</v>
      </c>
      <c r="C29" s="38">
        <v>1061923.076923077</v>
      </c>
      <c r="D29" s="38">
        <v>0</v>
      </c>
    </row>
    <row r="30" spans="2:4" ht="14.25">
      <c r="B30" s="25" t="s">
        <v>1395</v>
      </c>
      <c r="C30" s="38">
        <v>80000</v>
      </c>
      <c r="D30" s="38">
        <v>0</v>
      </c>
    </row>
    <row r="31" spans="2:4" ht="14.25">
      <c r="B31" s="25" t="s">
        <v>1405</v>
      </c>
      <c r="C31" s="38">
        <v>53076.923076923078</v>
      </c>
      <c r="D31" s="38">
        <v>0</v>
      </c>
    </row>
    <row r="35" spans="5:5">
      <c r="E35" s="37"/>
    </row>
    <row r="47" spans="5:5" ht="15.75" customHeight="1"/>
  </sheetData>
  <mergeCells count="3">
    <mergeCell ref="B5:D5"/>
    <mergeCell ref="B6:D6"/>
    <mergeCell ref="B7:D7"/>
  </mergeCells>
  <pageMargins left="0.7" right="0.7" top="0.75" bottom="0.75" header="0.3" footer="0.3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12A9AF-FF0A-4D3C-B2E5-D9D856B14966}">
  <sheetPr codeName="Hoja22"/>
  <dimension ref="D3:DT1159"/>
  <sheetViews>
    <sheetView showGridLines="0" zoomScaleNormal="100" workbookViewId="0">
      <selection activeCell="G1133" sqref="G1133:G1135"/>
    </sheetView>
  </sheetViews>
  <sheetFormatPr baseColWidth="10" defaultRowHeight="10.5"/>
  <cols>
    <col min="4" max="4" width="12.83203125" bestFit="1" customWidth="1"/>
    <col min="5" max="5" width="62" customWidth="1"/>
    <col min="7" max="7" width="20.33203125" bestFit="1" customWidth="1"/>
    <col min="8" max="8" width="19.5" bestFit="1" customWidth="1"/>
    <col min="70" max="70" width="41.1640625" customWidth="1"/>
    <col min="71" max="71" width="33" customWidth="1"/>
    <col min="72" max="72" width="34.6640625" customWidth="1"/>
    <col min="73" max="73" width="34.1640625" customWidth="1"/>
    <col min="74" max="74" width="32" customWidth="1"/>
    <col min="75" max="75" width="33.1640625" customWidth="1"/>
    <col min="76" max="76" width="33.5" customWidth="1"/>
    <col min="77" max="77" width="31.1640625" customWidth="1"/>
    <col min="78" max="78" width="28.6640625" customWidth="1"/>
    <col min="79" max="79" width="45.83203125" customWidth="1"/>
    <col min="80" max="83" width="47.5" bestFit="1" customWidth="1"/>
    <col min="84" max="84" width="23.1640625" bestFit="1" customWidth="1"/>
    <col min="85" max="93" width="17" bestFit="1" customWidth="1"/>
    <col min="94" max="96" width="12" style="141"/>
    <col min="97" max="99" width="59.6640625" style="141" bestFit="1" customWidth="1"/>
    <col min="100" max="109" width="12" style="141"/>
  </cols>
  <sheetData>
    <row r="3" spans="4:124" ht="15.75">
      <c r="D3" s="4"/>
      <c r="E3" s="294" t="s">
        <v>740</v>
      </c>
      <c r="F3" s="295"/>
      <c r="G3" s="296"/>
      <c r="I3" s="297" t="s">
        <v>723</v>
      </c>
      <c r="J3" s="298"/>
      <c r="K3" s="298"/>
      <c r="L3" s="298"/>
      <c r="M3" s="298"/>
      <c r="N3" s="298"/>
      <c r="O3" s="298"/>
      <c r="P3" s="298"/>
      <c r="Q3" s="298"/>
      <c r="R3" s="298"/>
      <c r="S3" s="298"/>
      <c r="T3" s="298"/>
      <c r="U3" s="298"/>
      <c r="V3" s="298"/>
      <c r="W3" s="298"/>
      <c r="X3" s="298"/>
      <c r="Y3" s="298"/>
      <c r="Z3" s="298"/>
      <c r="AA3" s="298"/>
      <c r="AB3" s="298"/>
      <c r="AC3" s="298"/>
      <c r="AD3" s="298"/>
      <c r="AE3" s="298"/>
      <c r="AF3" s="300" t="s">
        <v>739</v>
      </c>
      <c r="AG3" s="300"/>
      <c r="AH3" s="300"/>
      <c r="AI3" s="300"/>
      <c r="AJ3" s="300"/>
      <c r="AK3" s="300"/>
      <c r="AL3" s="300"/>
      <c r="AM3" s="300"/>
      <c r="AN3" s="300"/>
      <c r="AO3" s="300"/>
      <c r="AP3" s="300"/>
      <c r="AQ3" s="300"/>
      <c r="AR3" s="300"/>
      <c r="AS3" s="300"/>
      <c r="AT3" s="300"/>
      <c r="AU3" s="300"/>
      <c r="AV3" s="293" t="s">
        <v>747</v>
      </c>
      <c r="AW3" s="293"/>
      <c r="AX3" s="293"/>
      <c r="AY3" s="293"/>
      <c r="AZ3" s="293"/>
      <c r="BA3" s="293"/>
      <c r="BB3" s="293"/>
      <c r="BC3" s="293"/>
      <c r="BD3" s="293"/>
      <c r="BE3" s="293"/>
      <c r="BF3" s="292" t="s">
        <v>759</v>
      </c>
      <c r="BG3" s="292"/>
      <c r="BH3" s="292"/>
      <c r="BI3" s="292"/>
      <c r="BS3" s="298" t="s">
        <v>723</v>
      </c>
      <c r="BT3" s="298"/>
      <c r="BU3" s="298"/>
      <c r="BV3" s="298"/>
      <c r="BW3" s="298"/>
      <c r="BX3" s="298"/>
      <c r="BY3" s="298"/>
      <c r="BZ3" s="298"/>
      <c r="CA3" s="298"/>
      <c r="CB3" s="298"/>
      <c r="CC3" s="298"/>
      <c r="CD3" s="298"/>
      <c r="CE3" s="298"/>
      <c r="CF3" s="298"/>
      <c r="CG3" s="298"/>
      <c r="CH3" s="298"/>
      <c r="CI3" s="298"/>
      <c r="CJ3" s="298"/>
      <c r="CK3" s="298"/>
      <c r="CL3" s="298"/>
      <c r="CM3" s="298"/>
      <c r="CN3" s="298"/>
      <c r="CO3" s="298"/>
      <c r="CP3" s="299" t="s">
        <v>739</v>
      </c>
      <c r="CQ3" s="299"/>
      <c r="CR3" s="299"/>
      <c r="CS3" s="299"/>
      <c r="CT3" s="299"/>
      <c r="CU3" s="299"/>
      <c r="CV3" s="299"/>
      <c r="CW3" s="299"/>
      <c r="CX3" s="299"/>
      <c r="CY3" s="299"/>
      <c r="CZ3" s="299"/>
      <c r="DA3" s="299"/>
      <c r="DB3" s="299"/>
      <c r="DC3" s="299"/>
      <c r="DD3" s="299"/>
      <c r="DE3" s="299"/>
      <c r="DF3" s="293" t="s">
        <v>754</v>
      </c>
      <c r="DG3" s="293"/>
      <c r="DH3" s="293"/>
      <c r="DI3" s="293"/>
      <c r="DJ3" s="293"/>
      <c r="DK3" s="293"/>
      <c r="DL3" s="293"/>
      <c r="DM3" s="293"/>
      <c r="DN3" s="293"/>
      <c r="DO3" s="293"/>
      <c r="DP3" s="292" t="s">
        <v>759</v>
      </c>
      <c r="DQ3" s="292"/>
      <c r="DR3" s="292"/>
      <c r="DS3" s="292"/>
    </row>
    <row r="4" spans="4:124" ht="12.75">
      <c r="D4" s="100" t="s">
        <v>4</v>
      </c>
      <c r="E4" s="101" t="s">
        <v>29</v>
      </c>
      <c r="F4" s="101" t="s">
        <v>952</v>
      </c>
      <c r="G4" s="102" t="s">
        <v>820</v>
      </c>
      <c r="H4" s="102" t="s">
        <v>953</v>
      </c>
      <c r="I4" s="101" t="s">
        <v>677</v>
      </c>
      <c r="J4" s="101" t="s">
        <v>674</v>
      </c>
      <c r="K4" s="101" t="s">
        <v>676</v>
      </c>
      <c r="L4" s="101" t="s">
        <v>678</v>
      </c>
      <c r="M4" s="101" t="s">
        <v>679</v>
      </c>
      <c r="N4" s="101" t="s">
        <v>680</v>
      </c>
      <c r="O4" s="101" t="s">
        <v>681</v>
      </c>
      <c r="P4" s="101" t="s">
        <v>682</v>
      </c>
      <c r="Q4" s="101" t="s">
        <v>691</v>
      </c>
      <c r="R4" s="101" t="s">
        <v>702</v>
      </c>
      <c r="S4" s="101" t="s">
        <v>703</v>
      </c>
      <c r="T4" s="101" t="s">
        <v>704</v>
      </c>
      <c r="U4" s="101" t="s">
        <v>705</v>
      </c>
      <c r="V4" s="101" t="s">
        <v>706</v>
      </c>
      <c r="W4" s="101" t="s">
        <v>707</v>
      </c>
      <c r="X4" s="101" t="s">
        <v>982</v>
      </c>
      <c r="Y4" s="101" t="s">
        <v>981</v>
      </c>
      <c r="Z4" s="101" t="s">
        <v>980</v>
      </c>
      <c r="AA4" s="101" t="s">
        <v>979</v>
      </c>
      <c r="AB4" s="101" t="s">
        <v>978</v>
      </c>
      <c r="AC4" s="101" t="s">
        <v>977</v>
      </c>
      <c r="AD4" s="101" t="s">
        <v>976</v>
      </c>
      <c r="AE4" s="101" t="s">
        <v>708</v>
      </c>
      <c r="AF4" s="101" t="s">
        <v>709</v>
      </c>
      <c r="AG4" s="101" t="s">
        <v>710</v>
      </c>
      <c r="AH4" s="101" t="s">
        <v>711</v>
      </c>
      <c r="AI4" s="101" t="s">
        <v>712</v>
      </c>
      <c r="AJ4" s="101" t="s">
        <v>713</v>
      </c>
      <c r="AK4" s="101" t="s">
        <v>675</v>
      </c>
      <c r="AL4" s="101" t="s">
        <v>714</v>
      </c>
      <c r="AM4" s="101" t="s">
        <v>715</v>
      </c>
      <c r="AN4" s="101" t="s">
        <v>716</v>
      </c>
      <c r="AO4" s="101" t="s">
        <v>717</v>
      </c>
      <c r="AP4" s="101" t="s">
        <v>718</v>
      </c>
      <c r="AQ4" s="101" t="s">
        <v>719</v>
      </c>
      <c r="AR4" s="101" t="s">
        <v>720</v>
      </c>
      <c r="AS4" s="101" t="s">
        <v>721</v>
      </c>
      <c r="AT4" s="101" t="s">
        <v>722</v>
      </c>
      <c r="AU4" s="101" t="s">
        <v>737</v>
      </c>
      <c r="AV4" s="101" t="s">
        <v>741</v>
      </c>
      <c r="AW4" s="101" t="s">
        <v>742</v>
      </c>
      <c r="AX4" s="101" t="s">
        <v>743</v>
      </c>
      <c r="AY4" s="101" t="s">
        <v>744</v>
      </c>
      <c r="AZ4" s="101" t="s">
        <v>745</v>
      </c>
      <c r="BA4" s="101" t="s">
        <v>1144</v>
      </c>
      <c r="BB4" s="101" t="s">
        <v>1143</v>
      </c>
      <c r="BC4" s="101" t="s">
        <v>1142</v>
      </c>
      <c r="BD4" s="101" t="s">
        <v>1141</v>
      </c>
      <c r="BE4" s="101" t="s">
        <v>746</v>
      </c>
      <c r="BF4" s="101" t="s">
        <v>755</v>
      </c>
      <c r="BG4" s="101" t="s">
        <v>756</v>
      </c>
      <c r="BH4" s="101" t="s">
        <v>757</v>
      </c>
      <c r="BI4" s="101" t="s">
        <v>758</v>
      </c>
      <c r="BJ4" s="101" t="s">
        <v>865</v>
      </c>
      <c r="BK4" s="15"/>
      <c r="BL4" s="15"/>
      <c r="BM4" s="15"/>
      <c r="BN4" s="15"/>
      <c r="BO4" s="15"/>
      <c r="BP4" s="15"/>
      <c r="BQ4" s="15"/>
      <c r="BS4" t="s">
        <v>683</v>
      </c>
      <c r="BT4" t="s">
        <v>684</v>
      </c>
      <c r="BU4" t="s">
        <v>685</v>
      </c>
      <c r="BV4" t="s">
        <v>686</v>
      </c>
      <c r="BW4" t="s">
        <v>687</v>
      </c>
      <c r="BX4" t="s">
        <v>688</v>
      </c>
      <c r="BY4" t="s">
        <v>689</v>
      </c>
      <c r="BZ4" t="s">
        <v>690</v>
      </c>
      <c r="CA4" t="s">
        <v>692</v>
      </c>
      <c r="CB4" t="s">
        <v>693</v>
      </c>
      <c r="CC4" t="s">
        <v>694</v>
      </c>
      <c r="CD4" t="s">
        <v>695</v>
      </c>
      <c r="CE4" t="s">
        <v>696</v>
      </c>
      <c r="CF4" t="s">
        <v>697</v>
      </c>
      <c r="CG4" t="s">
        <v>698</v>
      </c>
      <c r="CH4" t="s">
        <v>699</v>
      </c>
      <c r="CI4" t="s">
        <v>700</v>
      </c>
      <c r="CJ4" t="s">
        <v>701</v>
      </c>
      <c r="CK4" t="s">
        <v>724</v>
      </c>
      <c r="CL4" t="s">
        <v>725</v>
      </c>
      <c r="CM4" t="s">
        <v>726</v>
      </c>
      <c r="CN4" t="s">
        <v>727</v>
      </c>
      <c r="CO4" t="s">
        <v>728</v>
      </c>
      <c r="CP4" s="141" t="s">
        <v>700</v>
      </c>
      <c r="CQ4" s="141" t="s">
        <v>701</v>
      </c>
      <c r="CR4" s="141" t="s">
        <v>724</v>
      </c>
      <c r="CS4" s="141" t="s">
        <v>725</v>
      </c>
      <c r="CT4" s="141" t="s">
        <v>726</v>
      </c>
      <c r="CU4" s="141" t="s">
        <v>727</v>
      </c>
      <c r="CV4" s="141" t="s">
        <v>728</v>
      </c>
      <c r="CW4" s="141" t="s">
        <v>729</v>
      </c>
      <c r="CX4" s="141" t="s">
        <v>730</v>
      </c>
      <c r="CY4" s="141" t="s">
        <v>731</v>
      </c>
      <c r="CZ4" s="141" t="s">
        <v>732</v>
      </c>
      <c r="DA4" s="141" t="s">
        <v>733</v>
      </c>
      <c r="DB4" s="141" t="s">
        <v>734</v>
      </c>
      <c r="DC4" s="141" t="s">
        <v>735</v>
      </c>
      <c r="DD4" s="141" t="s">
        <v>736</v>
      </c>
      <c r="DE4" s="141" t="s">
        <v>738</v>
      </c>
      <c r="DF4" t="s">
        <v>748</v>
      </c>
      <c r="DG4" t="s">
        <v>749</v>
      </c>
      <c r="DH4" t="s">
        <v>750</v>
      </c>
      <c r="DI4" t="s">
        <v>751</v>
      </c>
      <c r="DJ4" t="s">
        <v>752</v>
      </c>
      <c r="DK4" t="s">
        <v>753</v>
      </c>
      <c r="DL4" t="s">
        <v>760</v>
      </c>
      <c r="DM4" t="s">
        <v>761</v>
      </c>
      <c r="DN4" t="s">
        <v>762</v>
      </c>
      <c r="DO4" t="s">
        <v>763</v>
      </c>
      <c r="DP4" t="s">
        <v>760</v>
      </c>
      <c r="DQ4" t="s">
        <v>761</v>
      </c>
      <c r="DR4" t="s">
        <v>762</v>
      </c>
      <c r="DS4" t="s">
        <v>763</v>
      </c>
      <c r="DT4" t="s">
        <v>866</v>
      </c>
    </row>
    <row r="5" spans="4:124" ht="12.75">
      <c r="D5" s="7">
        <v>1</v>
      </c>
      <c r="E5" s="6" t="s">
        <v>31</v>
      </c>
      <c r="F5" s="5">
        <v>1</v>
      </c>
      <c r="G5" s="34"/>
      <c r="H5" s="8" t="s">
        <v>32</v>
      </c>
      <c r="I5" t="b">
        <f>+ISNUMBER(SEARCH('F-COMPRA'!$F$28,Tabla11[[#This Row],[Cuenta]],1))</f>
        <v>1</v>
      </c>
      <c r="J5" t="b">
        <f>+ISNUMBER(SEARCH('F-COMPRA'!$F$29,Tabla11[[#This Row],[Cuenta]],1))</f>
        <v>1</v>
      </c>
      <c r="K5" t="b">
        <f>+ISNUMBER(SEARCH('F-COMPRA'!$F$30,Tabla11[[#This Row],[Cuenta]],1))</f>
        <v>1</v>
      </c>
      <c r="L5" t="b">
        <f>+ISNUMBER(SEARCH('F-COMPRA'!$F$31,Tabla11[[#This Row],[Cuenta]],1))</f>
        <v>1</v>
      </c>
      <c r="M5" t="b">
        <f>+ISNUMBER(SEARCH('F-COMPRA'!$G$25,Tabla11[[#This Row],[Cuenta]],1))</f>
        <v>0</v>
      </c>
      <c r="N5" t="b">
        <f>+ISNUMBER(SEARCH(#REF!,Tabla11[[#This Row],[Cuenta]],1))</f>
        <v>0</v>
      </c>
      <c r="O5" t="b">
        <f>+ISNUMBER(SEARCH(#REF!,Tabla11[[#This Row],[Cuenta]],1))</f>
        <v>0</v>
      </c>
      <c r="P5" t="b">
        <f>+ISNUMBER(SEARCH('F-COMPRA'!$F$32,Tabla11[[#This Row],[Cuenta]],1))</f>
        <v>1</v>
      </c>
      <c r="Q5" t="b">
        <f>+ISNUMBER(SEARCH('F-COMPRA'!$F$33,Tabla11[[#This Row],[Cuenta]],1))</f>
        <v>1</v>
      </c>
      <c r="R5" t="b">
        <f>+ISNUMBER(SEARCH('F-COMPRA'!$F$34,Tabla11[[#This Row],[Cuenta]],1))</f>
        <v>1</v>
      </c>
      <c r="S5" t="b">
        <f>+ISNUMBER(SEARCH('F-COMPRA'!$F$35,Tabla11[[#This Row],[Cuenta]],1))</f>
        <v>1</v>
      </c>
      <c r="T5" t="b">
        <f>+ISNUMBER(SEARCH('F-COMPRA'!$F$36,Tabla11[[#This Row],[Cuenta]],1))</f>
        <v>1</v>
      </c>
      <c r="U5" t="b">
        <f>+ISNUMBER(SEARCH('F-COMPRA'!$F$37,Tabla11[[#This Row],[Cuenta]],1))</f>
        <v>1</v>
      </c>
      <c r="V5" t="b">
        <f>+ISNUMBER(SEARCH(#REF!,Tabla11[[#This Row],[Cuenta]],1))</f>
        <v>0</v>
      </c>
      <c r="W5" t="b">
        <f>+ISNUMBER(SEARCH('F-COMPRA'!#REF!,Tabla11[[#This Row],[Cuenta]],1))</f>
        <v>0</v>
      </c>
      <c r="X5" t="b">
        <f>+ISNUMBER(SEARCH('F-COMPRA'!#REF!,Tabla11[[#This Row],[Cuenta]],1))</f>
        <v>0</v>
      </c>
      <c r="Y5" t="b">
        <f>+ISNUMBER(SEARCH('F-COMPRA'!#REF!,Tabla11[[#This Row],[Cuenta]],1))</f>
        <v>0</v>
      </c>
      <c r="Z5" t="b">
        <f>+ISNUMBER(SEARCH('F-COMPRA'!#REF!,Tabla11[[#This Row],[Cuenta]],1))</f>
        <v>0</v>
      </c>
      <c r="AA5" t="b">
        <f>+ISNUMBER(SEARCH('F-COMPRA'!#REF!,Tabla11[[#This Row],[Cuenta]],1))</f>
        <v>0</v>
      </c>
      <c r="AB5" t="b">
        <f>+ISNUMBER(SEARCH('F-COMPRA'!#REF!,Tabla11[[#This Row],[Cuenta]],1))</f>
        <v>0</v>
      </c>
      <c r="AC5" t="b">
        <f>+ISNUMBER(SEARCH('F-COMPRA'!#REF!,Tabla11[[#This Row],[Cuenta]],1))</f>
        <v>0</v>
      </c>
      <c r="AD5" t="b">
        <f>+ISNUMBER(SEARCH('F-COMPRA'!#REF!,Tabla11[[#This Row],[Cuenta]],1))</f>
        <v>0</v>
      </c>
      <c r="AE5" t="b">
        <f>+ISNUMBER(SEARCH('F-COMPRA'!#REF!,Tabla11[[#This Row],[Cuenta]],1))</f>
        <v>0</v>
      </c>
      <c r="AF5" t="b">
        <f>+ISNUMBER(SEARCH('F-VTA'!$G$23,Tabla11[[#This Row],[Cuenta]],1))</f>
        <v>0</v>
      </c>
      <c r="AG5" t="b">
        <f>+ISNUMBER(SEARCH('F-VTA'!$G$24,Tabla11[[#This Row],[Cuenta]],1))</f>
        <v>0</v>
      </c>
      <c r="AH5" t="b">
        <f>+ISNUMBER(SEARCH('F-VTA'!$G$25,Tabla11[[#This Row],[Cuenta]],1))</f>
        <v>0</v>
      </c>
      <c r="AI5" t="b">
        <f>+ISNUMBER(SEARCH('F-VTA'!$F$28,Tabla11[[#This Row],[Cuenta]],1))</f>
        <v>1</v>
      </c>
      <c r="AJ5" t="b">
        <f>+ISNUMBER(SEARCH('F-VTA'!$F$29,Tabla11[[#This Row],[Cuenta]],1))</f>
        <v>1</v>
      </c>
      <c r="AK5" t="b">
        <f>+ISNUMBER(SEARCH('F-VTA'!$F$30,Tabla11[[#This Row],[Cuenta]],1))</f>
        <v>1</v>
      </c>
      <c r="AL5" t="b">
        <f>+ISNUMBER(SEARCH('F-VTA'!$F$31,Tabla11[[#This Row],[Cuenta]],1))</f>
        <v>1</v>
      </c>
      <c r="AM5" t="b">
        <f>+ISNUMBER(SEARCH('F-VTA'!$F$32,Tabla11[[#This Row],[Cuenta]],1))</f>
        <v>1</v>
      </c>
      <c r="AN5" t="b">
        <f>+ISNUMBER(SEARCH('F-VTA'!$F$33,Tabla11[[#This Row],[Cuenta]],1))</f>
        <v>1</v>
      </c>
      <c r="AO5" t="b">
        <f>+ISNUMBER(SEARCH('F-VTA'!$F$34,Tabla11[[#This Row],[Cuenta]],1))</f>
        <v>1</v>
      </c>
      <c r="AP5" t="b">
        <f>+ISNUMBER(SEARCH('F-VTA'!$F$35,Tabla11[[#This Row],[Cuenta]],1))</f>
        <v>1</v>
      </c>
      <c r="AQ5" t="b">
        <f>+ISNUMBER(SEARCH('F-VTA'!$F$36,Tabla11[[#This Row],[Cuenta]],1))</f>
        <v>1</v>
      </c>
      <c r="AR5" t="b">
        <f>+ISNUMBER(SEARCH(#REF!,Tabla11[[#This Row],[Cuenta]],1))</f>
        <v>0</v>
      </c>
      <c r="AS5" t="b">
        <f>+ISNUMBER(SEARCH(#REF!,Tabla11[[#This Row],[Cuenta]],1))</f>
        <v>0</v>
      </c>
      <c r="AT5" t="b">
        <f>+ISNUMBER(SEARCH(#REF!,Tabla11[[#This Row],[Cuenta]],1))</f>
        <v>0</v>
      </c>
      <c r="AU5" t="b">
        <f>+ISNUMBER(SEARCH('Conc. Ban.1'!$I$9,Tabla11[[#This Row],[Cuenta]],1))</f>
        <v>0</v>
      </c>
      <c r="AV5" t="b">
        <f>+ISNUMBER(SEARCH(CompConta!$F$21,Tabla11[[#This Row],[Cuenta]],1))</f>
        <v>1</v>
      </c>
      <c r="AW5" t="b">
        <f>+ISNUMBER(SEARCH(CompConta!$F$22,Tabla11[[#This Row],[Cuenta]],1))</f>
        <v>1</v>
      </c>
      <c r="AX5" t="b">
        <f>+ISNUMBER(SEARCH(CompConta!$F$23,Tabla11[[#This Row],[Cuenta]],1))</f>
        <v>1</v>
      </c>
      <c r="AY5" t="b">
        <f>+ISNUMBER(SEARCH(CompConta!$F$24,Tabla11[[#This Row],[Cuenta]],1))</f>
        <v>1</v>
      </c>
      <c r="AZ5" t="b">
        <f>+ISNUMBER(SEARCH(CompConta!$F$25,Tabla11[[#This Row],[Cuenta]],1))</f>
        <v>1</v>
      </c>
      <c r="BA5" t="b">
        <f>+ISNUMBER(SEARCH(CompConta!$F$26,Tabla11[[#This Row],[Cuenta]],1))</f>
        <v>1</v>
      </c>
      <c r="BB5" t="b">
        <f>+ISNUMBER(SEARCH(CompConta!$F$27,Tabla11[[#This Row],[Cuenta]],1))</f>
        <v>1</v>
      </c>
      <c r="BC5" t="b">
        <f>+ISNUMBER(SEARCH(CompConta!$F$28,Tabla11[[#This Row],[Cuenta]],1))</f>
        <v>1</v>
      </c>
      <c r="BD5" t="b">
        <f>+ISNUMBER(SEARCH(CompConta!$F$29,Tabla11[[#This Row],[Cuenta]],1))</f>
        <v>1</v>
      </c>
      <c r="BE5" t="b">
        <f>+ISNUMBER(SEARCH(CompConta!$F$30,Tabla11[[#This Row],[Cuenta]],1))</f>
        <v>1</v>
      </c>
      <c r="BF5" t="b">
        <f>+ISNUMBER(SEARCH('PAGO Compras'!$E$11,Tabla11[[#This Row],[Cuenta]],1))</f>
        <v>1</v>
      </c>
      <c r="BG5" t="b">
        <f>+ISNUMBER(SEARCH(#REF!,Tabla11[[#This Row],[Cuenta]],1))</f>
        <v>0</v>
      </c>
      <c r="BH5" t="b">
        <f>+ISNUMBER(SEARCH(#REF!,Tabla11[[#This Row],[Cuenta]],1))</f>
        <v>0</v>
      </c>
      <c r="BI5" t="b">
        <f>+ISNUMBER(SEARCH(#REF!,Tabla11[[#This Row],[Cuenta]],1))</f>
        <v>0</v>
      </c>
      <c r="BJ5" t="b">
        <f>+ISNUMBER(SEARCH(#REF!,Tabla11[[#This Row],[Cuenta]],1))</f>
        <v>0</v>
      </c>
      <c r="BS5" t="str" cm="1">
        <f t="array" ref="BS5:BS1159">+_xlfn._xlws.FILTER(Tabla11[Cuenta],Tabla11[aux 1])&amp;" "&amp;_xlfn._xlws.FILTER(Tabla11[Descripción],Tabla11[aux 1])</f>
        <v>1 ACTIVO</v>
      </c>
      <c r="BT5" t="str" cm="1">
        <f t="array" ref="BT5:BT1159">+_xlfn._xlws.FILTER(Tabla11[Cuenta],Tabla11[AUX 2])&amp;" "&amp;_xlfn._xlws.FILTER(Tabla11[Descripción],Tabla11[AUX 2])</f>
        <v>1 ACTIVO</v>
      </c>
      <c r="BU5" t="str" cm="1">
        <f t="array" ref="BU5:BU1159">+_xlfn._xlws.FILTER(Tabla11[Cuenta],Tabla11[AUX 3])&amp;" "&amp;_xlfn._xlws.FILTER(Tabla11[Descripción],Tabla11[AUX 3])</f>
        <v>1 ACTIVO</v>
      </c>
      <c r="BV5" t="str" cm="1">
        <f t="array" ref="BV5:BV1159">+_xlfn._xlws.FILTER(Tabla11[Cuenta],Tabla11[AUX 4])&amp;" "&amp;_xlfn._xlws.FILTER(Tabla11[Descripción],Tabla11[AUX 4])</f>
        <v>1 ACTIVO</v>
      </c>
      <c r="BW5" t="str" cm="1">
        <f t="array" ref="BW5">+_xlfn._xlws.FILTER(Tabla11[Cuenta],Tabla11[AUX 5])&amp;" "&amp;_xlfn._xlws.FILTER(Tabla11[Descripción],Tabla11[AUX 5])</f>
        <v>220505 Proveedores Nacionales</v>
      </c>
      <c r="BX5" t="e" cm="1" vm="2">
        <f t="array" ref="BX5">+_xlfn._xlws.FILTER(Tabla11[Cuenta],Tabla11[AUX 6])&amp;" "&amp;_xlfn._xlws.FILTER(Tabla11[Descripción],Tabla11[AUX 6])</f>
        <v>#VALUE!</v>
      </c>
      <c r="BY5" t="e" cm="1" vm="2">
        <f t="array" ref="BY5">+_xlfn._xlws.FILTER(Tabla11[Cuenta],Tabla11[AUX 7])&amp;" "&amp;_xlfn._xlws.FILTER(Tabla11[Descripción],Tabla11[AUX 7])</f>
        <v>#VALUE!</v>
      </c>
      <c r="BZ5" t="str" cm="1">
        <f t="array" ref="BZ5:BZ1159">+_xlfn._xlws.FILTER(Tabla11[Cuenta],Tabla11[AUX 8])&amp;" "&amp;_xlfn._xlws.FILTER(Tabla11[Descripción],Tabla11[AUX 8])</f>
        <v>1 ACTIVO</v>
      </c>
      <c r="CA5" t="str" cm="1">
        <f t="array" ref="CA5:CA1159">+_xlfn._xlws.FILTER(Tabla11[Cuenta],Tabla11[AUX 9])&amp;" "&amp;_xlfn._xlws.FILTER(Tabla11[Descripción],Tabla11[AUX 9])</f>
        <v>1 ACTIVO</v>
      </c>
      <c r="CB5" t="str" cm="1">
        <f t="array" ref="CB5:CB1159">+_xlfn._xlws.FILTER(Tabla11[Cuenta],Tabla11[AUX 10])&amp;" "&amp;_xlfn._xlws.FILTER(Tabla11[Descripción],Tabla11[AUX 10])</f>
        <v>1 ACTIVO</v>
      </c>
      <c r="CC5" t="str" cm="1">
        <f t="array" ref="CC5:CC1159">+_xlfn._xlws.FILTER(Tabla11[Cuenta],Tabla11[AUX 11])&amp;" "&amp;_xlfn._xlws.FILTER(Tabla11[Descripción],Tabla11[AUX 11])</f>
        <v>1 ACTIVO</v>
      </c>
      <c r="CD5" t="str" cm="1">
        <f t="array" ref="CD5:CD1159">+_xlfn._xlws.FILTER(Tabla11[Cuenta],Tabla11[AUX 12])&amp;" "&amp;_xlfn._xlws.FILTER(Tabla11[Descripción],Tabla11[AUX 12])</f>
        <v>1 ACTIVO</v>
      </c>
      <c r="CE5" t="str" cm="1">
        <f t="array" ref="CE5:CE1159">+_xlfn._xlws.FILTER(Tabla11[Cuenta],Tabla11[AUX 13])&amp;" "&amp;_xlfn._xlws.FILTER(Tabla11[Descripción],Tabla11[AUX 13])</f>
        <v>1 ACTIVO</v>
      </c>
      <c r="CF5" t="e" cm="1" vm="2">
        <f t="array" ref="CF5">+_xlfn._xlws.FILTER(Tabla11[Cuenta],Tabla11[AUX 14])&amp;" "&amp;_xlfn._xlws.FILTER(Tabla11[Descripción],Tabla11[AUX 14])</f>
        <v>#VALUE!</v>
      </c>
      <c r="CG5" t="e" cm="1" vm="2">
        <f t="array" ref="CG5">+_xlfn._xlws.FILTER(Tabla11[Cuenta],Tabla11[AUX 15])&amp;" "&amp;_xlfn._xlws.FILTER(Tabla11[Descripción],Tabla11[AUX 15])</f>
        <v>#VALUE!</v>
      </c>
      <c r="CH5" t="e" cm="1" vm="2">
        <f t="array" ref="CH5">+_xlfn._xlws.FILTER(Tabla11[Cuenta],Tabla11[AUX 158])&amp;" "&amp;_xlfn._xlws.FILTER(Tabla11[Descripción],Tabla11[AUX 158])</f>
        <v>#VALUE!</v>
      </c>
      <c r="CI5" t="e" cm="1" vm="2">
        <f t="array" ref="CI5">+_xlfn._xlws.FILTER(Tabla11[Cuenta],Tabla11[AUX 157])&amp;" "&amp;_xlfn._xlws.FILTER(Tabla11[Descripción],Tabla11[AUX 157])</f>
        <v>#VALUE!</v>
      </c>
      <c r="CJ5" t="e" cm="1" vm="2">
        <f t="array" ref="CJ5">+_xlfn._xlws.FILTER(Tabla11[Cuenta],Tabla11[AUX 156])&amp;" "&amp;_xlfn._xlws.FILTER(Tabla11[Descripción],Tabla11[AUX 156])</f>
        <v>#VALUE!</v>
      </c>
      <c r="CK5" t="e" cm="1" vm="2">
        <f t="array" ref="CK5">+_xlfn._xlws.FILTER(Tabla11[Cuenta],Tabla11[AUX 155])&amp;" "&amp;_xlfn._xlws.FILTER(Tabla11[Descripción],Tabla11[AUX 155])</f>
        <v>#VALUE!</v>
      </c>
      <c r="CL5" t="e" cm="1" vm="2">
        <f t="array" ref="CL5">+_xlfn._xlws.FILTER(Tabla11[Cuenta],Tabla11[AUX 154])&amp;" "&amp;_xlfn._xlws.FILTER(Tabla11[Descripción],Tabla11[AUX 154])</f>
        <v>#VALUE!</v>
      </c>
      <c r="CM5" t="e" cm="1" vm="2">
        <f t="array" ref="CM5">+_xlfn._xlws.FILTER(Tabla11[Cuenta],Tabla11[AUX 153])&amp;" "&amp;_xlfn._xlws.FILTER(Tabla11[Descripción],Tabla11[AUX 153])</f>
        <v>#VALUE!</v>
      </c>
      <c r="CN5" t="e" cm="1" vm="2">
        <f t="array" ref="CN5">+_xlfn._xlws.FILTER(Tabla11[Cuenta],Tabla11[AUX 152])&amp;" "&amp;_xlfn._xlws.FILTER(Tabla11[Descripción],Tabla11[AUX 152])</f>
        <v>#VALUE!</v>
      </c>
      <c r="CO5" t="e" cm="1" vm="2">
        <f t="array" ref="CO5">+_xlfn._xlws.FILTER(Tabla11[Cuenta],Tabla11[AUX 16])&amp;" "&amp;_xlfn._xlws.FILTER(Tabla11[Descripción],Tabla11[AUX 16])</f>
        <v>#VALUE!</v>
      </c>
      <c r="CP5" s="141" t="str" cm="1">
        <f t="array" ref="CP5">+_xlfn._xlws.FILTER(Tabla11[Cuenta],Tabla11[AUX 17])&amp;" "&amp;_xlfn._xlws.FILTER(Tabla11[Descripción],Tabla11[AUX 17])</f>
        <v>413524 Venta de productos textiles, de vestir, de cuero y calzado</v>
      </c>
      <c r="CQ5" s="141" t="str" cm="1">
        <f t="array" ref="CQ5">+_xlfn._xlws.FILTER(Tabla11[Cuenta],Tabla11[AUX 18])&amp;" "&amp;_xlfn._xlws.FILTER(Tabla11[Descripción],Tabla11[AUX 18])</f>
        <v>240805 IMPUESTO SOBRE LAS VENTAS POR PAGAR</v>
      </c>
      <c r="CR5" s="141" t="str" cm="1">
        <f t="array" ref="CR5">+_xlfn._xlws.FILTER(Tabla11[Cuenta],Tabla11[AUX 19])&amp;" "&amp;_xlfn._xlws.FILTER(Tabla11[Descripción],Tabla11[AUX 19])</f>
        <v>246505 INC - Restaurantes</v>
      </c>
      <c r="CS5" s="141" t="str" cm="1">
        <f t="array" ref="CS5:CS1159">+_xlfn._xlws.FILTER(Tabla11[Cuenta],Tabla11[AUX 20])&amp;" "&amp;_xlfn._xlws.FILTER(Tabla11[Descripción],Tabla11[AUX 20])</f>
        <v>1 ACTIVO</v>
      </c>
      <c r="CT5" s="141" t="str" cm="1">
        <f t="array" ref="CT5:CT1159">+_xlfn._xlws.FILTER(Tabla11[Cuenta],Tabla11[AUX 21])&amp;" "&amp;_xlfn._xlws.FILTER(Tabla11[Descripción],Tabla11[AUX 21])</f>
        <v>1 ACTIVO</v>
      </c>
      <c r="CU5" s="141" t="str" cm="1">
        <f t="array" ref="CU5:CU1159">+_xlfn._xlws.FILTER(Tabla11[Cuenta],Tabla11[AUX 22])&amp;" "&amp;_xlfn._xlws.FILTER(Tabla11[Descripción],Tabla11[AUX 22])</f>
        <v>1 ACTIVO</v>
      </c>
      <c r="CV5" s="141" t="str" cm="1">
        <f t="array" ref="CV5:CV1159">+_xlfn._xlws.FILTER(Tabla11[Cuenta],Tabla11[AUX 23])&amp;" "&amp;_xlfn._xlws.FILTER(Tabla11[Descripción],Tabla11[AUX 23])</f>
        <v>1 ACTIVO</v>
      </c>
      <c r="CW5" s="141" t="str" cm="1">
        <f t="array" ref="CW5:CW1159">+_xlfn._xlws.FILTER(Tabla11[Cuenta],Tabla11[AUX 24])&amp;" "&amp;_xlfn._xlws.FILTER(Tabla11[Descripción],Tabla11[AUX 24])</f>
        <v>1 ACTIVO</v>
      </c>
      <c r="CX5" s="141" t="str" cm="1">
        <f t="array" ref="CX5:CX1159">+_xlfn._xlws.FILTER(Tabla11[Cuenta],Tabla11[AUX 25])&amp;" "&amp;_xlfn._xlws.FILTER(Tabla11[Descripción],Tabla11[AUX 25])</f>
        <v>1 ACTIVO</v>
      </c>
      <c r="CY5" s="141" t="str" cm="1">
        <f t="array" ref="CY5:CY1159">+_xlfn._xlws.FILTER(Tabla11[Cuenta],Tabla11[AUX 26])&amp;" "&amp;_xlfn._xlws.FILTER(Tabla11[Descripción],Tabla11[AUX 26])</f>
        <v>1 ACTIVO</v>
      </c>
      <c r="CZ5" s="141" t="str" cm="1">
        <f t="array" ref="CZ5:CZ1159">+_xlfn._xlws.FILTER(Tabla11[Cuenta],Tabla11[AUX 27])&amp;" "&amp;_xlfn._xlws.FILTER(Tabla11[Descripción],Tabla11[AUX 27])</f>
        <v>1 ACTIVO</v>
      </c>
      <c r="DA5" s="141" t="str" cm="1">
        <f t="array" ref="DA5:DA1159">+_xlfn._xlws.FILTER(Tabla11[Cuenta],Tabla11[AUX 28])&amp;" "&amp;_xlfn._xlws.FILTER(Tabla11[Descripción],Tabla11[AUX 28])</f>
        <v>1 ACTIVO</v>
      </c>
      <c r="DB5" s="141" t="e" cm="1" vm="2">
        <f t="array" ref="DB5">+_xlfn._xlws.FILTER(Tabla11[Cuenta],Tabla11[AUX 29])&amp;" "&amp;_xlfn._xlws.FILTER(Tabla11[Descripción],Tabla11[AUX 29])</f>
        <v>#VALUE!</v>
      </c>
      <c r="DC5" s="141" t="e" cm="1" vm="2">
        <f t="array" ref="DC5">+_xlfn._xlws.FILTER(Tabla11[Cuenta],Tabla11[AUX 30])&amp;" "&amp;_xlfn._xlws.FILTER(Tabla11[Descripción],Tabla11[AUX 30])</f>
        <v>#VALUE!</v>
      </c>
      <c r="DD5" s="141" t="e" cm="1" vm="2">
        <f t="array" ref="DD5">+_xlfn._xlws.FILTER(Tabla11[Cuenta],Tabla11[AUX 31])&amp;" "&amp;_xlfn._xlws.FILTER(Tabla11[Descripción],Tabla11[AUX 31])</f>
        <v>#VALUE!</v>
      </c>
      <c r="DE5" s="141" t="str" cm="1">
        <f t="array" ref="DE5">+_xlfn._xlws.FILTER(Tabla11[Cuenta],Tabla11[AUX 32])&amp;" "&amp;_xlfn._xlws.FILTER(Tabla11[Descripción],Tabla11[AUX 32])</f>
        <v>111005 Banco 1</v>
      </c>
      <c r="DF5" t="str" cm="1">
        <f t="array" ref="DF5:DF1159">+_xlfn._xlws.FILTER(Tabla11[Cuenta],Tabla11[AUX 33])&amp;" "&amp;_xlfn._xlws.FILTER(Tabla11[Descripción],Tabla11[AUX 33])</f>
        <v>1 ACTIVO</v>
      </c>
      <c r="DG5" t="str" cm="1">
        <f t="array" ref="DG5:DG1159">+_xlfn._xlws.FILTER(Tabla11[Cuenta],Tabla11[AUX 34])&amp;" "&amp;_xlfn._xlws.FILTER(Tabla11[Descripción],Tabla11[AUX 34])</f>
        <v>1 ACTIVO</v>
      </c>
      <c r="DH5" t="str" cm="1">
        <f t="array" ref="DH5:DH1159">+_xlfn._xlws.FILTER(Tabla11[Cuenta],Tabla11[AUX 35])&amp;" "&amp;_xlfn._xlws.FILTER(Tabla11[Descripción],Tabla11[AUX 35])</f>
        <v>1 ACTIVO</v>
      </c>
      <c r="DI5" t="str" cm="1">
        <f t="array" ref="DI5:DI1159">+_xlfn._xlws.FILTER(Tabla11[Cuenta],Tabla11[AUX 36])&amp;" "&amp;_xlfn._xlws.FILTER(Tabla11[Descripción],Tabla11[AUX 36])</f>
        <v>1 ACTIVO</v>
      </c>
      <c r="DJ5" t="str" cm="1">
        <f t="array" ref="DJ5:DJ1159">+_xlfn._xlws.FILTER(Tabla11[Cuenta],Tabla11[AUX 37])&amp;" "&amp;_xlfn._xlws.FILTER(Tabla11[Descripción],Tabla11[AUX 37])</f>
        <v>1 ACTIVO</v>
      </c>
      <c r="DK5" t="str" cm="1">
        <f t="array" ref="DK5:DK1159">+_xlfn._xlws.FILTER(Tabla11[Cuenta],Tabla11[AUX 375])&amp;" "&amp;_xlfn._xlws.FILTER(Tabla11[Descripción],Tabla11[AUX 375])</f>
        <v>1 ACTIVO</v>
      </c>
      <c r="DL5" t="str" cm="1">
        <f t="array" ref="DL5:DL1159">+_xlfn._xlws.FILTER(Tabla11[Cuenta],Tabla11[AUX 374])&amp;" "&amp;_xlfn._xlws.FILTER(Tabla11[Descripción],Tabla11[AUX 374])</f>
        <v>1 ACTIVO</v>
      </c>
      <c r="DM5" t="str" cm="1">
        <f t="array" ref="DM5:DM1159">+_xlfn._xlws.FILTER(Tabla11[Cuenta],Tabla11[AUX 373])&amp;" "&amp;_xlfn._xlws.FILTER(Tabla11[Descripción],Tabla11[AUX 373])</f>
        <v>1 ACTIVO</v>
      </c>
      <c r="DN5" t="str" cm="1">
        <f t="array" ref="DN5:DN1159">+_xlfn._xlws.FILTER(Tabla11[Cuenta],Tabla11[AUX 372])&amp;" "&amp;_xlfn._xlws.FILTER(Tabla11[Descripción],Tabla11[AUX 372])</f>
        <v>1 ACTIVO</v>
      </c>
      <c r="DO5" t="str" cm="1">
        <f t="array" ref="DO5:DO1159">+_xlfn._xlws.FILTER(Tabla11[Cuenta],Tabla11[AUX 38])&amp;" "&amp;_xlfn._xlws.FILTER(Tabla11[Descripción],Tabla11[AUX 38])</f>
        <v>1 ACTIVO</v>
      </c>
      <c r="DP5" t="str" cm="1">
        <f t="array" ref="DP5:DP1159">+_xlfn._xlws.FILTER(Tabla11[Cuenta],Tabla11[AUX 39])&amp;" "&amp;_xlfn._xlws.FILTER(Tabla11[Descripción],Tabla11[AUX 39])</f>
        <v>1 ACTIVO</v>
      </c>
      <c r="DQ5" t="e" cm="1" vm="2">
        <f t="array" ref="DQ5">+_xlfn._xlws.FILTER(Tabla11[Cuenta],Tabla11[AUX 40])&amp;" "&amp;_xlfn._xlws.FILTER(Tabla11[Descripción],Tabla11[AUX 40])</f>
        <v>#VALUE!</v>
      </c>
      <c r="DR5" t="e" cm="1" vm="2">
        <f t="array" ref="DR5">+_xlfn._xlws.FILTER(Tabla11[Cuenta],Tabla11[AUX 41])&amp;" "&amp;_xlfn._xlws.FILTER(Tabla11[Descripción],Tabla11[AUX 41])</f>
        <v>#VALUE!</v>
      </c>
      <c r="DS5" t="e" cm="1" vm="2">
        <f t="array" ref="DS5">+_xlfn._xlws.FILTER(Tabla11[Cuenta],Tabla11[AUX 42])&amp;" "&amp;_xlfn._xlws.FILTER(Tabla11[Descripción],Tabla11[AUX 42])</f>
        <v>#VALUE!</v>
      </c>
      <c r="DT5" t="e" cm="1" vm="2">
        <f t="array" ref="DT5">+_xlfn._xlws.FILTER(Tabla11[Cuenta],Tabla11[AUX 43])&amp;" "&amp;_xlfn._xlws.FILTER(Tabla11[Descripción],Tabla11[AUX 43])</f>
        <v>#VALUE!</v>
      </c>
    </row>
    <row r="6" spans="4:124" ht="12.75">
      <c r="D6" s="7">
        <v>11</v>
      </c>
      <c r="E6" s="13" t="s">
        <v>828</v>
      </c>
      <c r="F6" s="5">
        <v>2</v>
      </c>
      <c r="G6" s="34"/>
      <c r="H6" s="8" t="s">
        <v>32</v>
      </c>
      <c r="I6" t="b">
        <f>+ISNUMBER(SEARCH('F-COMPRA'!$F$28,Tabla11[[#This Row],[Cuenta]],1))</f>
        <v>1</v>
      </c>
      <c r="J6" t="b">
        <f>+ISNUMBER(SEARCH('F-COMPRA'!$F$29,Tabla11[[#This Row],[Cuenta]],1))</f>
        <v>1</v>
      </c>
      <c r="K6" t="b">
        <f>+ISNUMBER(SEARCH('F-COMPRA'!$F$30,Tabla11[[#This Row],[Cuenta]],1))</f>
        <v>1</v>
      </c>
      <c r="L6" t="b">
        <f>+ISNUMBER(SEARCH('F-COMPRA'!$F$31,Tabla11[[#This Row],[Cuenta]],1))</f>
        <v>1</v>
      </c>
      <c r="M6" t="b">
        <f>+ISNUMBER(SEARCH('F-COMPRA'!$G$25,Tabla11[[#This Row],[Cuenta]],1))</f>
        <v>0</v>
      </c>
      <c r="N6" t="b">
        <f>+ISNUMBER(SEARCH(#REF!,Tabla11[[#This Row],[Cuenta]],1))</f>
        <v>0</v>
      </c>
      <c r="O6" t="b">
        <f>+ISNUMBER(SEARCH(#REF!,Tabla11[[#This Row],[Cuenta]],1))</f>
        <v>0</v>
      </c>
      <c r="P6" t="b">
        <f>+ISNUMBER(SEARCH('F-COMPRA'!$F$32,Tabla11[[#This Row],[Cuenta]],1))</f>
        <v>1</v>
      </c>
      <c r="Q6" t="b">
        <f>+ISNUMBER(SEARCH('F-COMPRA'!$F$33,Tabla11[[#This Row],[Cuenta]],1))</f>
        <v>1</v>
      </c>
      <c r="R6" t="b">
        <f>+ISNUMBER(SEARCH('F-COMPRA'!$F$34,Tabla11[[#This Row],[Cuenta]],1))</f>
        <v>1</v>
      </c>
      <c r="S6" t="b">
        <f>+ISNUMBER(SEARCH('F-COMPRA'!$F$35,Tabla11[[#This Row],[Cuenta]],1))</f>
        <v>1</v>
      </c>
      <c r="T6" t="b">
        <f>+ISNUMBER(SEARCH('F-COMPRA'!$F$36,Tabla11[[#This Row],[Cuenta]],1))</f>
        <v>1</v>
      </c>
      <c r="U6" t="b">
        <f>+ISNUMBER(SEARCH('F-COMPRA'!$F$37,Tabla11[[#This Row],[Cuenta]],1))</f>
        <v>1</v>
      </c>
      <c r="V6" t="b">
        <f>+ISNUMBER(SEARCH(#REF!,Tabla11[[#This Row],[Cuenta]],1))</f>
        <v>0</v>
      </c>
      <c r="W6" t="b">
        <f>+ISNUMBER(SEARCH('F-COMPRA'!#REF!,Tabla11[[#This Row],[Cuenta]],1))</f>
        <v>0</v>
      </c>
      <c r="X6" t="b">
        <f>+ISNUMBER(SEARCH('F-COMPRA'!#REF!,Tabla11[[#This Row],[Cuenta]],1))</f>
        <v>0</v>
      </c>
      <c r="Y6" t="b">
        <f>+ISNUMBER(SEARCH('F-COMPRA'!#REF!,Tabla11[[#This Row],[Cuenta]],1))</f>
        <v>0</v>
      </c>
      <c r="Z6" t="b">
        <f>+ISNUMBER(SEARCH('F-COMPRA'!#REF!,Tabla11[[#This Row],[Cuenta]],1))</f>
        <v>0</v>
      </c>
      <c r="AA6" t="b">
        <f>+ISNUMBER(SEARCH('F-COMPRA'!#REF!,Tabla11[[#This Row],[Cuenta]],1))</f>
        <v>0</v>
      </c>
      <c r="AB6" t="b">
        <f>+ISNUMBER(SEARCH('F-COMPRA'!#REF!,Tabla11[[#This Row],[Cuenta]],1))</f>
        <v>0</v>
      </c>
      <c r="AC6" t="b">
        <f>+ISNUMBER(SEARCH('F-COMPRA'!#REF!,Tabla11[[#This Row],[Cuenta]],1))</f>
        <v>0</v>
      </c>
      <c r="AD6" t="b">
        <f>+ISNUMBER(SEARCH('F-COMPRA'!#REF!,Tabla11[[#This Row],[Cuenta]],1))</f>
        <v>0</v>
      </c>
      <c r="AE6" t="b">
        <f>+ISNUMBER(SEARCH('F-COMPRA'!#REF!,Tabla11[[#This Row],[Cuenta]],1))</f>
        <v>0</v>
      </c>
      <c r="AF6" t="b">
        <f>+ISNUMBER(SEARCH('F-VTA'!$G$23,Tabla11[[#This Row],[Cuenta]],1))</f>
        <v>0</v>
      </c>
      <c r="AG6" t="b">
        <f>+ISNUMBER(SEARCH('F-VTA'!$G$24,Tabla11[[#This Row],[Cuenta]],1))</f>
        <v>0</v>
      </c>
      <c r="AH6" t="b">
        <f>+ISNUMBER(SEARCH('F-VTA'!$G$25,Tabla11[[#This Row],[Cuenta]],1))</f>
        <v>0</v>
      </c>
      <c r="AI6" t="b">
        <f>+ISNUMBER(SEARCH('F-VTA'!$F$28,Tabla11[[#This Row],[Cuenta]],1))</f>
        <v>1</v>
      </c>
      <c r="AJ6" t="b">
        <f>+ISNUMBER(SEARCH('F-VTA'!$F$29,Tabla11[[#This Row],[Cuenta]],1))</f>
        <v>1</v>
      </c>
      <c r="AK6" t="b">
        <f>+ISNUMBER(SEARCH('F-VTA'!$F$30,Tabla11[[#This Row],[Cuenta]],1))</f>
        <v>1</v>
      </c>
      <c r="AL6" t="b">
        <f>+ISNUMBER(SEARCH('F-VTA'!$F$31,Tabla11[[#This Row],[Cuenta]],1))</f>
        <v>1</v>
      </c>
      <c r="AM6" t="b">
        <f>+ISNUMBER(SEARCH('F-VTA'!$F$32,Tabla11[[#This Row],[Cuenta]],1))</f>
        <v>1</v>
      </c>
      <c r="AN6" t="b">
        <f>+ISNUMBER(SEARCH('F-VTA'!$F$33,Tabla11[[#This Row],[Cuenta]],1))</f>
        <v>1</v>
      </c>
      <c r="AO6" t="b">
        <f>+ISNUMBER(SEARCH('F-VTA'!$F$34,Tabla11[[#This Row],[Cuenta]],1))</f>
        <v>1</v>
      </c>
      <c r="AP6" t="b">
        <f>+ISNUMBER(SEARCH('F-VTA'!$F$35,Tabla11[[#This Row],[Cuenta]],1))</f>
        <v>1</v>
      </c>
      <c r="AQ6" t="b">
        <f>+ISNUMBER(SEARCH('F-VTA'!$F$36,Tabla11[[#This Row],[Cuenta]],1))</f>
        <v>1</v>
      </c>
      <c r="AR6" t="b">
        <f>+ISNUMBER(SEARCH(#REF!,Tabla11[[#This Row],[Cuenta]],1))</f>
        <v>0</v>
      </c>
      <c r="AS6" t="b">
        <f>+ISNUMBER(SEARCH(#REF!,Tabla11[[#This Row],[Cuenta]],1))</f>
        <v>0</v>
      </c>
      <c r="AT6" t="b">
        <f>+ISNUMBER(SEARCH(#REF!,Tabla11[[#This Row],[Cuenta]],1))</f>
        <v>0</v>
      </c>
      <c r="AU6" t="b">
        <f>+ISNUMBER(SEARCH('Conc. Ban.1'!$I$9,Tabla11[[#This Row],[Cuenta]],1))</f>
        <v>0</v>
      </c>
      <c r="AV6" t="b">
        <f>+ISNUMBER(SEARCH(CompConta!$F$21,Tabla11[[#This Row],[Cuenta]],1))</f>
        <v>1</v>
      </c>
      <c r="AW6" t="b">
        <f>+ISNUMBER(SEARCH(CompConta!$F$22,Tabla11[[#This Row],[Cuenta]],1))</f>
        <v>1</v>
      </c>
      <c r="AX6" t="b">
        <f>+ISNUMBER(SEARCH(CompConta!$F$23,Tabla11[[#This Row],[Cuenta]],1))</f>
        <v>1</v>
      </c>
      <c r="AY6" t="b">
        <f>+ISNUMBER(SEARCH(CompConta!$F$24,Tabla11[[#This Row],[Cuenta]],1))</f>
        <v>1</v>
      </c>
      <c r="AZ6" t="b">
        <f>+ISNUMBER(SEARCH(CompConta!$F$25,Tabla11[[#This Row],[Cuenta]],1))</f>
        <v>1</v>
      </c>
      <c r="BA6" t="b">
        <f>+ISNUMBER(SEARCH(CompConta!$F$26,Tabla11[[#This Row],[Cuenta]],1))</f>
        <v>1</v>
      </c>
      <c r="BB6" t="b">
        <f>+ISNUMBER(SEARCH(CompConta!$F$27,Tabla11[[#This Row],[Cuenta]],1))</f>
        <v>1</v>
      </c>
      <c r="BC6" t="b">
        <f>+ISNUMBER(SEARCH(CompConta!$F$28,Tabla11[[#This Row],[Cuenta]],1))</f>
        <v>1</v>
      </c>
      <c r="BD6" t="b">
        <f>+ISNUMBER(SEARCH(CompConta!$F$29,Tabla11[[#This Row],[Cuenta]],1))</f>
        <v>1</v>
      </c>
      <c r="BE6" t="b">
        <f>+ISNUMBER(SEARCH(CompConta!$F$30,Tabla11[[#This Row],[Cuenta]],1))</f>
        <v>1</v>
      </c>
      <c r="BF6" t="b">
        <f>+ISNUMBER(SEARCH('PAGO Compras'!$E$11,Tabla11[[#This Row],[Cuenta]],1))</f>
        <v>1</v>
      </c>
      <c r="BG6" t="b">
        <f>+ISNUMBER(SEARCH(#REF!,Tabla11[[#This Row],[Cuenta]],1))</f>
        <v>0</v>
      </c>
      <c r="BH6" t="b">
        <f>+ISNUMBER(SEARCH(#REF!,Tabla11[[#This Row],[Cuenta]],1))</f>
        <v>0</v>
      </c>
      <c r="BI6" t="b">
        <f>+ISNUMBER(SEARCH(#REF!,Tabla11[[#This Row],[Cuenta]],1))</f>
        <v>0</v>
      </c>
      <c r="BJ6" t="b">
        <f>+ISNUMBER(SEARCH(#REF!,Tabla11[[#This Row],[Cuenta]],1))</f>
        <v>0</v>
      </c>
      <c r="BS6" t="str">
        <v>11 Efectivo y Equivalente al Efectivo</v>
      </c>
      <c r="BT6" t="str">
        <v>11 Efectivo y Equivalente al Efectivo</v>
      </c>
      <c r="BU6" t="str">
        <v>11 Efectivo y Equivalente al Efectivo</v>
      </c>
      <c r="BV6" t="str">
        <v>11 Efectivo y Equivalente al Efectivo</v>
      </c>
      <c r="BZ6" t="str">
        <v>11 Efectivo y Equivalente al Efectivo</v>
      </c>
      <c r="CA6" t="str">
        <v>11 Efectivo y Equivalente al Efectivo</v>
      </c>
      <c r="CB6" t="str">
        <v>11 Efectivo y Equivalente al Efectivo</v>
      </c>
      <c r="CC6" t="str">
        <v>11 Efectivo y Equivalente al Efectivo</v>
      </c>
      <c r="CD6" t="str">
        <v>11 Efectivo y Equivalente al Efectivo</v>
      </c>
      <c r="CE6" t="str">
        <v>11 Efectivo y Equivalente al Efectivo</v>
      </c>
      <c r="CS6" s="141" t="str">
        <v>11 Efectivo y Equivalente al Efectivo</v>
      </c>
      <c r="CT6" s="141" t="str">
        <v>11 Efectivo y Equivalente al Efectivo</v>
      </c>
      <c r="CU6" s="141" t="str">
        <v>11 Efectivo y Equivalente al Efectivo</v>
      </c>
      <c r="CV6" s="141" t="str">
        <v>11 Efectivo y Equivalente al Efectivo</v>
      </c>
      <c r="CW6" s="141" t="str">
        <v>11 Efectivo y Equivalente al Efectivo</v>
      </c>
      <c r="CX6" s="141" t="str">
        <v>11 Efectivo y Equivalente al Efectivo</v>
      </c>
      <c r="CY6" s="141" t="str">
        <v>11 Efectivo y Equivalente al Efectivo</v>
      </c>
      <c r="CZ6" s="141" t="str">
        <v>11 Efectivo y Equivalente al Efectivo</v>
      </c>
      <c r="DA6" s="141" t="str">
        <v>11 Efectivo y Equivalente al Efectivo</v>
      </c>
      <c r="DF6" t="str">
        <v>11 Efectivo y Equivalente al Efectivo</v>
      </c>
      <c r="DG6" t="str">
        <v>11 Efectivo y Equivalente al Efectivo</v>
      </c>
      <c r="DH6" t="str">
        <v>11 Efectivo y Equivalente al Efectivo</v>
      </c>
      <c r="DI6" t="str">
        <v>11 Efectivo y Equivalente al Efectivo</v>
      </c>
      <c r="DJ6" t="str">
        <v>11 Efectivo y Equivalente al Efectivo</v>
      </c>
      <c r="DK6" t="str">
        <v>11 Efectivo y Equivalente al Efectivo</v>
      </c>
      <c r="DL6" t="str">
        <v>11 Efectivo y Equivalente al Efectivo</v>
      </c>
      <c r="DM6" t="str">
        <v>11 Efectivo y Equivalente al Efectivo</v>
      </c>
      <c r="DN6" t="str">
        <v>11 Efectivo y Equivalente al Efectivo</v>
      </c>
      <c r="DO6" t="str">
        <v>11 Efectivo y Equivalente al Efectivo</v>
      </c>
      <c r="DP6" t="str">
        <v>11 Efectivo y Equivalente al Efectivo</v>
      </c>
    </row>
    <row r="7" spans="4:124" ht="12.75">
      <c r="D7" s="7">
        <v>1105</v>
      </c>
      <c r="E7" s="6" t="s">
        <v>33</v>
      </c>
      <c r="F7" s="5">
        <v>3</v>
      </c>
      <c r="G7" s="34" t="s">
        <v>821</v>
      </c>
      <c r="H7" s="8" t="s">
        <v>32</v>
      </c>
      <c r="I7" t="b">
        <f>+ISNUMBER(SEARCH('F-COMPRA'!$F$28,Tabla11[[#This Row],[Cuenta]],1))</f>
        <v>1</v>
      </c>
      <c r="J7" t="b">
        <f>+ISNUMBER(SEARCH('F-COMPRA'!$F$29,Tabla11[[#This Row],[Cuenta]],1))</f>
        <v>1</v>
      </c>
      <c r="K7" t="b">
        <f>+ISNUMBER(SEARCH('F-COMPRA'!$F$30,Tabla11[[#This Row],[Cuenta]],1))</f>
        <v>1</v>
      </c>
      <c r="L7" t="b">
        <f>+ISNUMBER(SEARCH('F-COMPRA'!$F$31,Tabla11[[#This Row],[Cuenta]],1))</f>
        <v>1</v>
      </c>
      <c r="M7" t="b">
        <f>+ISNUMBER(SEARCH('F-COMPRA'!$G$25,Tabla11[[#This Row],[Cuenta]],1))</f>
        <v>0</v>
      </c>
      <c r="N7" t="b">
        <f>+ISNUMBER(SEARCH(#REF!,Tabla11[[#This Row],[Cuenta]],1))</f>
        <v>0</v>
      </c>
      <c r="O7" t="b">
        <f>+ISNUMBER(SEARCH(#REF!,Tabla11[[#This Row],[Cuenta]],1))</f>
        <v>0</v>
      </c>
      <c r="P7" t="b">
        <f>+ISNUMBER(SEARCH('F-COMPRA'!$F$32,Tabla11[[#This Row],[Cuenta]],1))</f>
        <v>1</v>
      </c>
      <c r="Q7" t="b">
        <f>+ISNUMBER(SEARCH('F-COMPRA'!$F$33,Tabla11[[#This Row],[Cuenta]],1))</f>
        <v>1</v>
      </c>
      <c r="R7" t="b">
        <f>+ISNUMBER(SEARCH('F-COMPRA'!$F$34,Tabla11[[#This Row],[Cuenta]],1))</f>
        <v>1</v>
      </c>
      <c r="S7" t="b">
        <f>+ISNUMBER(SEARCH('F-COMPRA'!$F$35,Tabla11[[#This Row],[Cuenta]],1))</f>
        <v>1</v>
      </c>
      <c r="T7" t="b">
        <f>+ISNUMBER(SEARCH('F-COMPRA'!$F$36,Tabla11[[#This Row],[Cuenta]],1))</f>
        <v>1</v>
      </c>
      <c r="U7" t="b">
        <f>+ISNUMBER(SEARCH('F-COMPRA'!$F$37,Tabla11[[#This Row],[Cuenta]],1))</f>
        <v>1</v>
      </c>
      <c r="V7" t="b">
        <f>+ISNUMBER(SEARCH(#REF!,Tabla11[[#This Row],[Cuenta]],1))</f>
        <v>0</v>
      </c>
      <c r="W7" t="b">
        <f>+ISNUMBER(SEARCH('F-COMPRA'!#REF!,Tabla11[[#This Row],[Cuenta]],1))</f>
        <v>0</v>
      </c>
      <c r="X7" t="b">
        <f>+ISNUMBER(SEARCH('F-COMPRA'!#REF!,Tabla11[[#This Row],[Cuenta]],1))</f>
        <v>0</v>
      </c>
      <c r="Y7" t="b">
        <f>+ISNUMBER(SEARCH('F-COMPRA'!#REF!,Tabla11[[#This Row],[Cuenta]],1))</f>
        <v>0</v>
      </c>
      <c r="Z7" t="b">
        <f>+ISNUMBER(SEARCH('F-COMPRA'!#REF!,Tabla11[[#This Row],[Cuenta]],1))</f>
        <v>0</v>
      </c>
      <c r="AA7" t="b">
        <f>+ISNUMBER(SEARCH('F-COMPRA'!#REF!,Tabla11[[#This Row],[Cuenta]],1))</f>
        <v>0</v>
      </c>
      <c r="AB7" t="b">
        <f>+ISNUMBER(SEARCH('F-COMPRA'!#REF!,Tabla11[[#This Row],[Cuenta]],1))</f>
        <v>0</v>
      </c>
      <c r="AC7" t="b">
        <f>+ISNUMBER(SEARCH('F-COMPRA'!#REF!,Tabla11[[#This Row],[Cuenta]],1))</f>
        <v>0</v>
      </c>
      <c r="AD7" t="b">
        <f>+ISNUMBER(SEARCH('F-COMPRA'!#REF!,Tabla11[[#This Row],[Cuenta]],1))</f>
        <v>0</v>
      </c>
      <c r="AE7" t="b">
        <f>+ISNUMBER(SEARCH('F-COMPRA'!#REF!,Tabla11[[#This Row],[Cuenta]],1))</f>
        <v>0</v>
      </c>
      <c r="AF7" t="b">
        <f>+ISNUMBER(SEARCH('F-VTA'!$G$23,Tabla11[[#This Row],[Cuenta]],1))</f>
        <v>0</v>
      </c>
      <c r="AG7" t="b">
        <f>+ISNUMBER(SEARCH('F-VTA'!$G$24,Tabla11[[#This Row],[Cuenta]],1))</f>
        <v>0</v>
      </c>
      <c r="AH7" t="b">
        <f>+ISNUMBER(SEARCH('F-VTA'!$G$25,Tabla11[[#This Row],[Cuenta]],1))</f>
        <v>0</v>
      </c>
      <c r="AI7" t="b">
        <f>+ISNUMBER(SEARCH('F-VTA'!$F$28,Tabla11[[#This Row],[Cuenta]],1))</f>
        <v>1</v>
      </c>
      <c r="AJ7" t="b">
        <f>+ISNUMBER(SEARCH('F-VTA'!$F$29,Tabla11[[#This Row],[Cuenta]],1))</f>
        <v>1</v>
      </c>
      <c r="AK7" t="b">
        <f>+ISNUMBER(SEARCH('F-VTA'!$F$30,Tabla11[[#This Row],[Cuenta]],1))</f>
        <v>1</v>
      </c>
      <c r="AL7" t="b">
        <f>+ISNUMBER(SEARCH('F-VTA'!$F$31,Tabla11[[#This Row],[Cuenta]],1))</f>
        <v>1</v>
      </c>
      <c r="AM7" t="b">
        <f>+ISNUMBER(SEARCH('F-VTA'!$F$32,Tabla11[[#This Row],[Cuenta]],1))</f>
        <v>1</v>
      </c>
      <c r="AN7" t="b">
        <f>+ISNUMBER(SEARCH('F-VTA'!$F$33,Tabla11[[#This Row],[Cuenta]],1))</f>
        <v>1</v>
      </c>
      <c r="AO7" t="b">
        <f>+ISNUMBER(SEARCH('F-VTA'!$F$34,Tabla11[[#This Row],[Cuenta]],1))</f>
        <v>1</v>
      </c>
      <c r="AP7" t="b">
        <f>+ISNUMBER(SEARCH('F-VTA'!$F$35,Tabla11[[#This Row],[Cuenta]],1))</f>
        <v>1</v>
      </c>
      <c r="AQ7" t="b">
        <f>+ISNUMBER(SEARCH('F-VTA'!$F$36,Tabla11[[#This Row],[Cuenta]],1))</f>
        <v>1</v>
      </c>
      <c r="AR7" t="b">
        <f>+ISNUMBER(SEARCH(#REF!,Tabla11[[#This Row],[Cuenta]],1))</f>
        <v>0</v>
      </c>
      <c r="AS7" t="b">
        <f>+ISNUMBER(SEARCH(#REF!,Tabla11[[#This Row],[Cuenta]],1))</f>
        <v>0</v>
      </c>
      <c r="AT7" t="b">
        <f>+ISNUMBER(SEARCH(#REF!,Tabla11[[#This Row],[Cuenta]],1))</f>
        <v>0</v>
      </c>
      <c r="AU7" t="b">
        <f>+ISNUMBER(SEARCH('Conc. Ban.1'!$I$9,Tabla11[[#This Row],[Cuenta]],1))</f>
        <v>0</v>
      </c>
      <c r="AV7" t="b">
        <f>+ISNUMBER(SEARCH(CompConta!$F$21,Tabla11[[#This Row],[Cuenta]],1))</f>
        <v>1</v>
      </c>
      <c r="AW7" t="b">
        <f>+ISNUMBER(SEARCH(CompConta!$F$22,Tabla11[[#This Row],[Cuenta]],1))</f>
        <v>1</v>
      </c>
      <c r="AX7" t="b">
        <f>+ISNUMBER(SEARCH(CompConta!$F$23,Tabla11[[#This Row],[Cuenta]],1))</f>
        <v>1</v>
      </c>
      <c r="AY7" t="b">
        <f>+ISNUMBER(SEARCH(CompConta!$F$24,Tabla11[[#This Row],[Cuenta]],1))</f>
        <v>1</v>
      </c>
      <c r="AZ7" t="b">
        <f>+ISNUMBER(SEARCH(CompConta!$F$25,Tabla11[[#This Row],[Cuenta]],1))</f>
        <v>1</v>
      </c>
      <c r="BA7" t="b">
        <f>+ISNUMBER(SEARCH(CompConta!$F$26,Tabla11[[#This Row],[Cuenta]],1))</f>
        <v>1</v>
      </c>
      <c r="BB7" t="b">
        <f>+ISNUMBER(SEARCH(CompConta!$F$27,Tabla11[[#This Row],[Cuenta]],1))</f>
        <v>1</v>
      </c>
      <c r="BC7" t="b">
        <f>+ISNUMBER(SEARCH(CompConta!$F$28,Tabla11[[#This Row],[Cuenta]],1))</f>
        <v>1</v>
      </c>
      <c r="BD7" t="b">
        <f>+ISNUMBER(SEARCH(CompConta!$F$29,Tabla11[[#This Row],[Cuenta]],1))</f>
        <v>1</v>
      </c>
      <c r="BE7" t="b">
        <f>+ISNUMBER(SEARCH(CompConta!$F$30,Tabla11[[#This Row],[Cuenta]],1))</f>
        <v>1</v>
      </c>
      <c r="BF7" t="b">
        <f>+ISNUMBER(SEARCH('PAGO Compras'!$E$11,Tabla11[[#This Row],[Cuenta]],1))</f>
        <v>1</v>
      </c>
      <c r="BG7" t="b">
        <f>+ISNUMBER(SEARCH(#REF!,Tabla11[[#This Row],[Cuenta]],1))</f>
        <v>0</v>
      </c>
      <c r="BH7" t="b">
        <f>+ISNUMBER(SEARCH(#REF!,Tabla11[[#This Row],[Cuenta]],1))</f>
        <v>0</v>
      </c>
      <c r="BI7" t="b">
        <f>+ISNUMBER(SEARCH(#REF!,Tabla11[[#This Row],[Cuenta]],1))</f>
        <v>0</v>
      </c>
      <c r="BJ7" t="b">
        <f>+ISNUMBER(SEARCH(#REF!,Tabla11[[#This Row],[Cuenta]],1))</f>
        <v>0</v>
      </c>
      <c r="BS7" t="str">
        <v>1105 CAJA</v>
      </c>
      <c r="BT7" t="str">
        <v>1105 CAJA</v>
      </c>
      <c r="BU7" t="str">
        <v>1105 CAJA</v>
      </c>
      <c r="BV7" t="str">
        <v>1105 CAJA</v>
      </c>
      <c r="BZ7" t="str">
        <v>1105 CAJA</v>
      </c>
      <c r="CA7" t="str">
        <v>1105 CAJA</v>
      </c>
      <c r="CB7" t="str">
        <v>1105 CAJA</v>
      </c>
      <c r="CC7" t="str">
        <v>1105 CAJA</v>
      </c>
      <c r="CD7" t="str">
        <v>1105 CAJA</v>
      </c>
      <c r="CE7" t="str">
        <v>1105 CAJA</v>
      </c>
      <c r="CS7" s="141" t="str">
        <v>1105 CAJA</v>
      </c>
      <c r="CT7" s="141" t="str">
        <v>1105 CAJA</v>
      </c>
      <c r="CU7" s="141" t="str">
        <v>1105 CAJA</v>
      </c>
      <c r="CV7" s="141" t="str">
        <v>1105 CAJA</v>
      </c>
      <c r="CW7" s="141" t="str">
        <v>1105 CAJA</v>
      </c>
      <c r="CX7" s="141" t="str">
        <v>1105 CAJA</v>
      </c>
      <c r="CY7" s="141" t="str">
        <v>1105 CAJA</v>
      </c>
      <c r="CZ7" s="141" t="str">
        <v>1105 CAJA</v>
      </c>
      <c r="DA7" s="141" t="str">
        <v>1105 CAJA</v>
      </c>
      <c r="DF7" t="str">
        <v>1105 CAJA</v>
      </c>
      <c r="DG7" t="str">
        <v>1105 CAJA</v>
      </c>
      <c r="DH7" t="str">
        <v>1105 CAJA</v>
      </c>
      <c r="DI7" t="str">
        <v>1105 CAJA</v>
      </c>
      <c r="DJ7" t="str">
        <v>1105 CAJA</v>
      </c>
      <c r="DK7" t="str">
        <v>1105 CAJA</v>
      </c>
      <c r="DL7" t="str">
        <v>1105 CAJA</v>
      </c>
      <c r="DM7" t="str">
        <v>1105 CAJA</v>
      </c>
      <c r="DN7" t="str">
        <v>1105 CAJA</v>
      </c>
      <c r="DO7" t="str">
        <v>1105 CAJA</v>
      </c>
      <c r="DP7" t="str">
        <v>1105 CAJA</v>
      </c>
    </row>
    <row r="8" spans="4:124" ht="12.75">
      <c r="D8" s="7">
        <v>110505</v>
      </c>
      <c r="E8" s="6" t="s">
        <v>34</v>
      </c>
      <c r="F8" s="5">
        <v>4</v>
      </c>
      <c r="G8" s="34" t="s">
        <v>821</v>
      </c>
      <c r="H8" s="8" t="s">
        <v>32</v>
      </c>
      <c r="I8" t="b">
        <f>+ISNUMBER(SEARCH('F-COMPRA'!$F$28,Tabla11[[#This Row],[Cuenta]],1))</f>
        <v>1</v>
      </c>
      <c r="J8" t="b">
        <f>+ISNUMBER(SEARCH('F-COMPRA'!$F$29,Tabla11[[#This Row],[Cuenta]],1))</f>
        <v>1</v>
      </c>
      <c r="K8" t="b">
        <f>+ISNUMBER(SEARCH('F-COMPRA'!$F$30,Tabla11[[#This Row],[Cuenta]],1))</f>
        <v>1</v>
      </c>
      <c r="L8" t="b">
        <f>+ISNUMBER(SEARCH('F-COMPRA'!$F$31,Tabla11[[#This Row],[Cuenta]],1))</f>
        <v>1</v>
      </c>
      <c r="M8" t="b">
        <f>+ISNUMBER(SEARCH('F-COMPRA'!$G$25,Tabla11[[#This Row],[Cuenta]],1))</f>
        <v>0</v>
      </c>
      <c r="N8" t="b">
        <f>+ISNUMBER(SEARCH(#REF!,Tabla11[[#This Row],[Cuenta]],1))</f>
        <v>0</v>
      </c>
      <c r="O8" t="b">
        <f>+ISNUMBER(SEARCH(#REF!,Tabla11[[#This Row],[Cuenta]],1))</f>
        <v>0</v>
      </c>
      <c r="P8" t="b">
        <f>+ISNUMBER(SEARCH('F-COMPRA'!$F$32,Tabla11[[#This Row],[Cuenta]],1))</f>
        <v>1</v>
      </c>
      <c r="Q8" t="b">
        <f>+ISNUMBER(SEARCH('F-COMPRA'!$F$33,Tabla11[[#This Row],[Cuenta]],1))</f>
        <v>1</v>
      </c>
      <c r="R8" t="b">
        <f>+ISNUMBER(SEARCH('F-COMPRA'!$F$34,Tabla11[[#This Row],[Cuenta]],1))</f>
        <v>1</v>
      </c>
      <c r="S8" t="b">
        <f>+ISNUMBER(SEARCH('F-COMPRA'!$F$35,Tabla11[[#This Row],[Cuenta]],1))</f>
        <v>1</v>
      </c>
      <c r="T8" t="b">
        <f>+ISNUMBER(SEARCH('F-COMPRA'!$F$36,Tabla11[[#This Row],[Cuenta]],1))</f>
        <v>1</v>
      </c>
      <c r="U8" t="b">
        <f>+ISNUMBER(SEARCH('F-COMPRA'!$F$37,Tabla11[[#This Row],[Cuenta]],1))</f>
        <v>1</v>
      </c>
      <c r="V8" t="b">
        <f>+ISNUMBER(SEARCH(#REF!,Tabla11[[#This Row],[Cuenta]],1))</f>
        <v>0</v>
      </c>
      <c r="W8" t="b">
        <f>+ISNUMBER(SEARCH('F-COMPRA'!#REF!,Tabla11[[#This Row],[Cuenta]],1))</f>
        <v>0</v>
      </c>
      <c r="X8" t="b">
        <f>+ISNUMBER(SEARCH('F-COMPRA'!#REF!,Tabla11[[#This Row],[Cuenta]],1))</f>
        <v>0</v>
      </c>
      <c r="Y8" t="b">
        <f>+ISNUMBER(SEARCH('F-COMPRA'!#REF!,Tabla11[[#This Row],[Cuenta]],1))</f>
        <v>0</v>
      </c>
      <c r="Z8" t="b">
        <f>+ISNUMBER(SEARCH('F-COMPRA'!#REF!,Tabla11[[#This Row],[Cuenta]],1))</f>
        <v>0</v>
      </c>
      <c r="AA8" t="b">
        <f>+ISNUMBER(SEARCH('F-COMPRA'!#REF!,Tabla11[[#This Row],[Cuenta]],1))</f>
        <v>0</v>
      </c>
      <c r="AB8" t="b">
        <f>+ISNUMBER(SEARCH('F-COMPRA'!#REF!,Tabla11[[#This Row],[Cuenta]],1))</f>
        <v>0</v>
      </c>
      <c r="AC8" t="b">
        <f>+ISNUMBER(SEARCH('F-COMPRA'!#REF!,Tabla11[[#This Row],[Cuenta]],1))</f>
        <v>0</v>
      </c>
      <c r="AD8" t="b">
        <f>+ISNUMBER(SEARCH('F-COMPRA'!#REF!,Tabla11[[#This Row],[Cuenta]],1))</f>
        <v>0</v>
      </c>
      <c r="AE8" t="b">
        <f>+ISNUMBER(SEARCH('F-COMPRA'!#REF!,Tabla11[[#This Row],[Cuenta]],1))</f>
        <v>0</v>
      </c>
      <c r="AF8" t="b">
        <f>+ISNUMBER(SEARCH('F-VTA'!$G$23,Tabla11[[#This Row],[Cuenta]],1))</f>
        <v>0</v>
      </c>
      <c r="AG8" t="b">
        <f>+ISNUMBER(SEARCH('F-VTA'!$G$24,Tabla11[[#This Row],[Cuenta]],1))</f>
        <v>0</v>
      </c>
      <c r="AH8" t="b">
        <f>+ISNUMBER(SEARCH('F-VTA'!$G$25,Tabla11[[#This Row],[Cuenta]],1))</f>
        <v>0</v>
      </c>
      <c r="AI8" t="b">
        <f>+ISNUMBER(SEARCH('F-VTA'!$F$28,Tabla11[[#This Row],[Cuenta]],1))</f>
        <v>1</v>
      </c>
      <c r="AJ8" t="b">
        <f>+ISNUMBER(SEARCH('F-VTA'!$F$29,Tabla11[[#This Row],[Cuenta]],1))</f>
        <v>1</v>
      </c>
      <c r="AK8" t="b">
        <f>+ISNUMBER(SEARCH('F-VTA'!$F$30,Tabla11[[#This Row],[Cuenta]],1))</f>
        <v>1</v>
      </c>
      <c r="AL8" t="b">
        <f>+ISNUMBER(SEARCH('F-VTA'!$F$31,Tabla11[[#This Row],[Cuenta]],1))</f>
        <v>1</v>
      </c>
      <c r="AM8" t="b">
        <f>+ISNUMBER(SEARCH('F-VTA'!$F$32,Tabla11[[#This Row],[Cuenta]],1))</f>
        <v>1</v>
      </c>
      <c r="AN8" t="b">
        <f>+ISNUMBER(SEARCH('F-VTA'!$F$33,Tabla11[[#This Row],[Cuenta]],1))</f>
        <v>1</v>
      </c>
      <c r="AO8" t="b">
        <f>+ISNUMBER(SEARCH('F-VTA'!$F$34,Tabla11[[#This Row],[Cuenta]],1))</f>
        <v>1</v>
      </c>
      <c r="AP8" t="b">
        <f>+ISNUMBER(SEARCH('F-VTA'!$F$35,Tabla11[[#This Row],[Cuenta]],1))</f>
        <v>1</v>
      </c>
      <c r="AQ8" t="b">
        <f>+ISNUMBER(SEARCH('F-VTA'!$F$36,Tabla11[[#This Row],[Cuenta]],1))</f>
        <v>1</v>
      </c>
      <c r="AR8" t="b">
        <f>+ISNUMBER(SEARCH(#REF!,Tabla11[[#This Row],[Cuenta]],1))</f>
        <v>0</v>
      </c>
      <c r="AS8" t="b">
        <f>+ISNUMBER(SEARCH(#REF!,Tabla11[[#This Row],[Cuenta]],1))</f>
        <v>0</v>
      </c>
      <c r="AT8" t="b">
        <f>+ISNUMBER(SEARCH(#REF!,Tabla11[[#This Row],[Cuenta]],1))</f>
        <v>0</v>
      </c>
      <c r="AU8" t="b">
        <f>+ISNUMBER(SEARCH('Conc. Ban.1'!$I$9,Tabla11[[#This Row],[Cuenta]],1))</f>
        <v>0</v>
      </c>
      <c r="AV8" t="b">
        <f>+ISNUMBER(SEARCH(CompConta!$F$21,Tabla11[[#This Row],[Cuenta]],1))</f>
        <v>1</v>
      </c>
      <c r="AW8" t="b">
        <f>+ISNUMBER(SEARCH(CompConta!$F$22,Tabla11[[#This Row],[Cuenta]],1))</f>
        <v>1</v>
      </c>
      <c r="AX8" t="b">
        <f>+ISNUMBER(SEARCH(CompConta!$F$23,Tabla11[[#This Row],[Cuenta]],1))</f>
        <v>1</v>
      </c>
      <c r="AY8" t="b">
        <f>+ISNUMBER(SEARCH(CompConta!$F$24,Tabla11[[#This Row],[Cuenta]],1))</f>
        <v>1</v>
      </c>
      <c r="AZ8" t="b">
        <f>+ISNUMBER(SEARCH(CompConta!$F$25,Tabla11[[#This Row],[Cuenta]],1))</f>
        <v>1</v>
      </c>
      <c r="BA8" t="b">
        <f>+ISNUMBER(SEARCH(CompConta!$F$26,Tabla11[[#This Row],[Cuenta]],1))</f>
        <v>1</v>
      </c>
      <c r="BB8" t="b">
        <f>+ISNUMBER(SEARCH(CompConta!$F$27,Tabla11[[#This Row],[Cuenta]],1))</f>
        <v>1</v>
      </c>
      <c r="BC8" t="b">
        <f>+ISNUMBER(SEARCH(CompConta!$F$28,Tabla11[[#This Row],[Cuenta]],1))</f>
        <v>1</v>
      </c>
      <c r="BD8" t="b">
        <f>+ISNUMBER(SEARCH(CompConta!$F$29,Tabla11[[#This Row],[Cuenta]],1))</f>
        <v>1</v>
      </c>
      <c r="BE8" t="b">
        <f>+ISNUMBER(SEARCH(CompConta!$F$30,Tabla11[[#This Row],[Cuenta]],1))</f>
        <v>1</v>
      </c>
      <c r="BF8" t="b">
        <f>+ISNUMBER(SEARCH('PAGO Compras'!$E$11,Tabla11[[#This Row],[Cuenta]],1))</f>
        <v>1</v>
      </c>
      <c r="BG8" t="b">
        <f>+ISNUMBER(SEARCH(#REF!,Tabla11[[#This Row],[Cuenta]],1))</f>
        <v>0</v>
      </c>
      <c r="BH8" t="b">
        <f>+ISNUMBER(SEARCH(#REF!,Tabla11[[#This Row],[Cuenta]],1))</f>
        <v>0</v>
      </c>
      <c r="BI8" t="b">
        <f>+ISNUMBER(SEARCH(#REF!,Tabla11[[#This Row],[Cuenta]],1))</f>
        <v>0</v>
      </c>
      <c r="BJ8" t="b">
        <f>+ISNUMBER(SEARCH(#REF!,Tabla11[[#This Row],[Cuenta]],1))</f>
        <v>0</v>
      </c>
      <c r="BS8" t="str">
        <v>110505 Caja general</v>
      </c>
      <c r="BT8" t="str">
        <v>110505 Caja general</v>
      </c>
      <c r="BU8" t="str">
        <v>110505 Caja general</v>
      </c>
      <c r="BV8" t="str">
        <v>110505 Caja general</v>
      </c>
      <c r="BZ8" t="str">
        <v>110505 Caja general</v>
      </c>
      <c r="CA8" t="str">
        <v>110505 Caja general</v>
      </c>
      <c r="CB8" t="str">
        <v>110505 Caja general</v>
      </c>
      <c r="CC8" t="str">
        <v>110505 Caja general</v>
      </c>
      <c r="CD8" t="str">
        <v>110505 Caja general</v>
      </c>
      <c r="CE8" t="str">
        <v>110505 Caja general</v>
      </c>
      <c r="CS8" s="141" t="str">
        <v>110505 Caja general</v>
      </c>
      <c r="CT8" s="141" t="str">
        <v>110505 Caja general</v>
      </c>
      <c r="CU8" s="141" t="str">
        <v>110505 Caja general</v>
      </c>
      <c r="CV8" s="141" t="str">
        <v>110505 Caja general</v>
      </c>
      <c r="CW8" s="141" t="str">
        <v>110505 Caja general</v>
      </c>
      <c r="CX8" s="141" t="str">
        <v>110505 Caja general</v>
      </c>
      <c r="CY8" s="141" t="str">
        <v>110505 Caja general</v>
      </c>
      <c r="CZ8" s="141" t="str">
        <v>110505 Caja general</v>
      </c>
      <c r="DA8" s="141" t="str">
        <v>110505 Caja general</v>
      </c>
      <c r="DF8" t="str">
        <v>110505 Caja general</v>
      </c>
      <c r="DG8" t="str">
        <v>110505 Caja general</v>
      </c>
      <c r="DH8" t="str">
        <v>110505 Caja general</v>
      </c>
      <c r="DI8" t="str">
        <v>110505 Caja general</v>
      </c>
      <c r="DJ8" t="str">
        <v>110505 Caja general</v>
      </c>
      <c r="DK8" t="str">
        <v>110505 Caja general</v>
      </c>
      <c r="DL8" t="str">
        <v>110505 Caja general</v>
      </c>
      <c r="DM8" t="str">
        <v>110505 Caja general</v>
      </c>
      <c r="DN8" t="str">
        <v>110505 Caja general</v>
      </c>
      <c r="DO8" t="str">
        <v>110505 Caja general</v>
      </c>
      <c r="DP8" t="str">
        <v>110505 Caja general</v>
      </c>
    </row>
    <row r="9" spans="4:124" ht="12.75">
      <c r="D9" s="7">
        <v>110510</v>
      </c>
      <c r="E9" s="6" t="s">
        <v>35</v>
      </c>
      <c r="F9" s="5">
        <v>4</v>
      </c>
      <c r="G9" s="34" t="s">
        <v>821</v>
      </c>
      <c r="H9" s="8" t="s">
        <v>32</v>
      </c>
      <c r="I9" t="b">
        <f>+ISNUMBER(SEARCH('F-COMPRA'!$F$28,Tabla11[[#This Row],[Cuenta]],1))</f>
        <v>1</v>
      </c>
      <c r="J9" t="b">
        <f>+ISNUMBER(SEARCH('F-COMPRA'!$F$29,Tabla11[[#This Row],[Cuenta]],1))</f>
        <v>1</v>
      </c>
      <c r="K9" t="b">
        <f>+ISNUMBER(SEARCH('F-COMPRA'!$F$30,Tabla11[[#This Row],[Cuenta]],1))</f>
        <v>1</v>
      </c>
      <c r="L9" t="b">
        <f>+ISNUMBER(SEARCH('F-COMPRA'!$F$31,Tabla11[[#This Row],[Cuenta]],1))</f>
        <v>1</v>
      </c>
      <c r="M9" t="b">
        <f>+ISNUMBER(SEARCH('F-COMPRA'!$G$25,Tabla11[[#This Row],[Cuenta]],1))</f>
        <v>0</v>
      </c>
      <c r="N9" t="b">
        <f>+ISNUMBER(SEARCH(#REF!,Tabla11[[#This Row],[Cuenta]],1))</f>
        <v>0</v>
      </c>
      <c r="O9" t="b">
        <f>+ISNUMBER(SEARCH(#REF!,Tabla11[[#This Row],[Cuenta]],1))</f>
        <v>0</v>
      </c>
      <c r="P9" t="b">
        <f>+ISNUMBER(SEARCH('F-COMPRA'!$F$32,Tabla11[[#This Row],[Cuenta]],1))</f>
        <v>1</v>
      </c>
      <c r="Q9" t="b">
        <f>+ISNUMBER(SEARCH('F-COMPRA'!$F$33,Tabla11[[#This Row],[Cuenta]],1))</f>
        <v>1</v>
      </c>
      <c r="R9" t="b">
        <f>+ISNUMBER(SEARCH('F-COMPRA'!$F$34,Tabla11[[#This Row],[Cuenta]],1))</f>
        <v>1</v>
      </c>
      <c r="S9" t="b">
        <f>+ISNUMBER(SEARCH('F-COMPRA'!$F$35,Tabla11[[#This Row],[Cuenta]],1))</f>
        <v>1</v>
      </c>
      <c r="T9" t="b">
        <f>+ISNUMBER(SEARCH('F-COMPRA'!$F$36,Tabla11[[#This Row],[Cuenta]],1))</f>
        <v>1</v>
      </c>
      <c r="U9" t="b">
        <f>+ISNUMBER(SEARCH('F-COMPRA'!$F$37,Tabla11[[#This Row],[Cuenta]],1))</f>
        <v>1</v>
      </c>
      <c r="V9" t="b">
        <f>+ISNUMBER(SEARCH(#REF!,Tabla11[[#This Row],[Cuenta]],1))</f>
        <v>0</v>
      </c>
      <c r="W9" t="b">
        <f>+ISNUMBER(SEARCH('F-COMPRA'!#REF!,Tabla11[[#This Row],[Cuenta]],1))</f>
        <v>0</v>
      </c>
      <c r="X9" t="b">
        <f>+ISNUMBER(SEARCH('F-COMPRA'!#REF!,Tabla11[[#This Row],[Cuenta]],1))</f>
        <v>0</v>
      </c>
      <c r="Y9" t="b">
        <f>+ISNUMBER(SEARCH('F-COMPRA'!#REF!,Tabla11[[#This Row],[Cuenta]],1))</f>
        <v>0</v>
      </c>
      <c r="Z9" t="b">
        <f>+ISNUMBER(SEARCH('F-COMPRA'!#REF!,Tabla11[[#This Row],[Cuenta]],1))</f>
        <v>0</v>
      </c>
      <c r="AA9" t="b">
        <f>+ISNUMBER(SEARCH('F-COMPRA'!#REF!,Tabla11[[#This Row],[Cuenta]],1))</f>
        <v>0</v>
      </c>
      <c r="AB9" t="b">
        <f>+ISNUMBER(SEARCH('F-COMPRA'!#REF!,Tabla11[[#This Row],[Cuenta]],1))</f>
        <v>0</v>
      </c>
      <c r="AC9" t="b">
        <f>+ISNUMBER(SEARCH('F-COMPRA'!#REF!,Tabla11[[#This Row],[Cuenta]],1))</f>
        <v>0</v>
      </c>
      <c r="AD9" t="b">
        <f>+ISNUMBER(SEARCH('F-COMPRA'!#REF!,Tabla11[[#This Row],[Cuenta]],1))</f>
        <v>0</v>
      </c>
      <c r="AE9" t="b">
        <f>+ISNUMBER(SEARCH('F-COMPRA'!#REF!,Tabla11[[#This Row],[Cuenta]],1))</f>
        <v>0</v>
      </c>
      <c r="AF9" t="b">
        <f>+ISNUMBER(SEARCH('F-VTA'!$G$23,Tabla11[[#This Row],[Cuenta]],1))</f>
        <v>0</v>
      </c>
      <c r="AG9" t="b">
        <f>+ISNUMBER(SEARCH('F-VTA'!$G$24,Tabla11[[#This Row],[Cuenta]],1))</f>
        <v>0</v>
      </c>
      <c r="AH9" t="b">
        <f>+ISNUMBER(SEARCH('F-VTA'!$G$25,Tabla11[[#This Row],[Cuenta]],1))</f>
        <v>0</v>
      </c>
      <c r="AI9" t="b">
        <f>+ISNUMBER(SEARCH('F-VTA'!$F$28,Tabla11[[#This Row],[Cuenta]],1))</f>
        <v>1</v>
      </c>
      <c r="AJ9" t="b">
        <f>+ISNUMBER(SEARCH('F-VTA'!$F$29,Tabla11[[#This Row],[Cuenta]],1))</f>
        <v>1</v>
      </c>
      <c r="AK9" t="b">
        <f>+ISNUMBER(SEARCH('F-VTA'!$F$30,Tabla11[[#This Row],[Cuenta]],1))</f>
        <v>1</v>
      </c>
      <c r="AL9" t="b">
        <f>+ISNUMBER(SEARCH('F-VTA'!$F$31,Tabla11[[#This Row],[Cuenta]],1))</f>
        <v>1</v>
      </c>
      <c r="AM9" t="b">
        <f>+ISNUMBER(SEARCH('F-VTA'!$F$32,Tabla11[[#This Row],[Cuenta]],1))</f>
        <v>1</v>
      </c>
      <c r="AN9" t="b">
        <f>+ISNUMBER(SEARCH('F-VTA'!$F$33,Tabla11[[#This Row],[Cuenta]],1))</f>
        <v>1</v>
      </c>
      <c r="AO9" t="b">
        <f>+ISNUMBER(SEARCH('F-VTA'!$F$34,Tabla11[[#This Row],[Cuenta]],1))</f>
        <v>1</v>
      </c>
      <c r="AP9" t="b">
        <f>+ISNUMBER(SEARCH('F-VTA'!$F$35,Tabla11[[#This Row],[Cuenta]],1))</f>
        <v>1</v>
      </c>
      <c r="AQ9" t="b">
        <f>+ISNUMBER(SEARCH('F-VTA'!$F$36,Tabla11[[#This Row],[Cuenta]],1))</f>
        <v>1</v>
      </c>
      <c r="AR9" t="b">
        <f>+ISNUMBER(SEARCH(#REF!,Tabla11[[#This Row],[Cuenta]],1))</f>
        <v>0</v>
      </c>
      <c r="AS9" t="b">
        <f>+ISNUMBER(SEARCH(#REF!,Tabla11[[#This Row],[Cuenta]],1))</f>
        <v>0</v>
      </c>
      <c r="AT9" t="b">
        <f>+ISNUMBER(SEARCH(#REF!,Tabla11[[#This Row],[Cuenta]],1))</f>
        <v>0</v>
      </c>
      <c r="AU9" t="b">
        <f>+ISNUMBER(SEARCH('Conc. Ban.1'!$I$9,Tabla11[[#This Row],[Cuenta]],1))</f>
        <v>0</v>
      </c>
      <c r="AV9" t="b">
        <f>+ISNUMBER(SEARCH(CompConta!$F$21,Tabla11[[#This Row],[Cuenta]],1))</f>
        <v>1</v>
      </c>
      <c r="AW9" t="b">
        <f>+ISNUMBER(SEARCH(CompConta!$F$22,Tabla11[[#This Row],[Cuenta]],1))</f>
        <v>1</v>
      </c>
      <c r="AX9" t="b">
        <f>+ISNUMBER(SEARCH(CompConta!$F$23,Tabla11[[#This Row],[Cuenta]],1))</f>
        <v>1</v>
      </c>
      <c r="AY9" t="b">
        <f>+ISNUMBER(SEARCH(CompConta!$F$24,Tabla11[[#This Row],[Cuenta]],1))</f>
        <v>1</v>
      </c>
      <c r="AZ9" t="b">
        <f>+ISNUMBER(SEARCH(CompConta!$F$25,Tabla11[[#This Row],[Cuenta]],1))</f>
        <v>1</v>
      </c>
      <c r="BA9" t="b">
        <f>+ISNUMBER(SEARCH(CompConta!$F$26,Tabla11[[#This Row],[Cuenta]],1))</f>
        <v>1</v>
      </c>
      <c r="BB9" t="b">
        <f>+ISNUMBER(SEARCH(CompConta!$F$27,Tabla11[[#This Row],[Cuenta]],1))</f>
        <v>1</v>
      </c>
      <c r="BC9" t="b">
        <f>+ISNUMBER(SEARCH(CompConta!$F$28,Tabla11[[#This Row],[Cuenta]],1))</f>
        <v>1</v>
      </c>
      <c r="BD9" t="b">
        <f>+ISNUMBER(SEARCH(CompConta!$F$29,Tabla11[[#This Row],[Cuenta]],1))</f>
        <v>1</v>
      </c>
      <c r="BE9" t="b">
        <f>+ISNUMBER(SEARCH(CompConta!$F$30,Tabla11[[#This Row],[Cuenta]],1))</f>
        <v>1</v>
      </c>
      <c r="BF9" t="b">
        <f>+ISNUMBER(SEARCH('PAGO Compras'!$E$11,Tabla11[[#This Row],[Cuenta]],1))</f>
        <v>1</v>
      </c>
      <c r="BG9" t="b">
        <f>+ISNUMBER(SEARCH(#REF!,Tabla11[[#This Row],[Cuenta]],1))</f>
        <v>0</v>
      </c>
      <c r="BH9" t="b">
        <f>+ISNUMBER(SEARCH(#REF!,Tabla11[[#This Row],[Cuenta]],1))</f>
        <v>0</v>
      </c>
      <c r="BI9" t="b">
        <f>+ISNUMBER(SEARCH(#REF!,Tabla11[[#This Row],[Cuenta]],1))</f>
        <v>0</v>
      </c>
      <c r="BJ9" t="b">
        <f>+ISNUMBER(SEARCH(#REF!,Tabla11[[#This Row],[Cuenta]],1))</f>
        <v>0</v>
      </c>
      <c r="BS9" t="str">
        <v>110510 Cajas menores</v>
      </c>
      <c r="BT9" t="str">
        <v>110510 Cajas menores</v>
      </c>
      <c r="BU9" t="str">
        <v>110510 Cajas menores</v>
      </c>
      <c r="BV9" t="str">
        <v>110510 Cajas menores</v>
      </c>
      <c r="BZ9" t="str">
        <v>110510 Cajas menores</v>
      </c>
      <c r="CA9" t="str">
        <v>110510 Cajas menores</v>
      </c>
      <c r="CB9" t="str">
        <v>110510 Cajas menores</v>
      </c>
      <c r="CC9" t="str">
        <v>110510 Cajas menores</v>
      </c>
      <c r="CD9" t="str">
        <v>110510 Cajas menores</v>
      </c>
      <c r="CE9" t="str">
        <v>110510 Cajas menores</v>
      </c>
      <c r="CS9" s="141" t="str">
        <v>110510 Cajas menores</v>
      </c>
      <c r="CT9" s="141" t="str">
        <v>110510 Cajas menores</v>
      </c>
      <c r="CU9" s="141" t="str">
        <v>110510 Cajas menores</v>
      </c>
      <c r="CV9" s="141" t="str">
        <v>110510 Cajas menores</v>
      </c>
      <c r="CW9" s="141" t="str">
        <v>110510 Cajas menores</v>
      </c>
      <c r="CX9" s="141" t="str">
        <v>110510 Cajas menores</v>
      </c>
      <c r="CY9" s="141" t="str">
        <v>110510 Cajas menores</v>
      </c>
      <c r="CZ9" s="141" t="str">
        <v>110510 Cajas menores</v>
      </c>
      <c r="DA9" s="141" t="str">
        <v>110510 Cajas menores</v>
      </c>
      <c r="DF9" t="str">
        <v>110510 Cajas menores</v>
      </c>
      <c r="DG9" t="str">
        <v>110510 Cajas menores</v>
      </c>
      <c r="DH9" t="str">
        <v>110510 Cajas menores</v>
      </c>
      <c r="DI9" t="str">
        <v>110510 Cajas menores</v>
      </c>
      <c r="DJ9" t="str">
        <v>110510 Cajas menores</v>
      </c>
      <c r="DK9" t="str">
        <v>110510 Cajas menores</v>
      </c>
      <c r="DL9" t="str">
        <v>110510 Cajas menores</v>
      </c>
      <c r="DM9" t="str">
        <v>110510 Cajas menores</v>
      </c>
      <c r="DN9" t="str">
        <v>110510 Cajas menores</v>
      </c>
      <c r="DO9" t="str">
        <v>110510 Cajas menores</v>
      </c>
      <c r="DP9" t="str">
        <v>110510 Cajas menores</v>
      </c>
    </row>
    <row r="10" spans="4:124" ht="12.75">
      <c r="D10" s="7">
        <v>110515</v>
      </c>
      <c r="E10" s="13" t="s">
        <v>672</v>
      </c>
      <c r="F10" s="5">
        <v>4</v>
      </c>
      <c r="G10" s="34" t="s">
        <v>821</v>
      </c>
      <c r="H10" s="8" t="s">
        <v>32</v>
      </c>
      <c r="I10" t="b">
        <f>+ISNUMBER(SEARCH('F-COMPRA'!$F$28,Tabla11[[#This Row],[Cuenta]],1))</f>
        <v>1</v>
      </c>
      <c r="J10" t="b">
        <f>+ISNUMBER(SEARCH('F-COMPRA'!$F$29,Tabla11[[#This Row],[Cuenta]],1))</f>
        <v>1</v>
      </c>
      <c r="K10" t="b">
        <f>+ISNUMBER(SEARCH('F-COMPRA'!$F$30,Tabla11[[#This Row],[Cuenta]],1))</f>
        <v>1</v>
      </c>
      <c r="L10" t="b">
        <f>+ISNUMBER(SEARCH('F-COMPRA'!$F$31,Tabla11[[#This Row],[Cuenta]],1))</f>
        <v>1</v>
      </c>
      <c r="M10" t="b">
        <f>+ISNUMBER(SEARCH('F-COMPRA'!$G$25,Tabla11[[#This Row],[Cuenta]],1))</f>
        <v>0</v>
      </c>
      <c r="N10" t="b">
        <f>+ISNUMBER(SEARCH(#REF!,Tabla11[[#This Row],[Cuenta]],1))</f>
        <v>0</v>
      </c>
      <c r="O10" t="b">
        <f>+ISNUMBER(SEARCH(#REF!,Tabla11[[#This Row],[Cuenta]],1))</f>
        <v>0</v>
      </c>
      <c r="P10" t="b">
        <f>+ISNUMBER(SEARCH('F-COMPRA'!$F$32,Tabla11[[#This Row],[Cuenta]],1))</f>
        <v>1</v>
      </c>
      <c r="Q10" t="b">
        <f>+ISNUMBER(SEARCH('F-COMPRA'!$F$33,Tabla11[[#This Row],[Cuenta]],1))</f>
        <v>1</v>
      </c>
      <c r="R10" t="b">
        <f>+ISNUMBER(SEARCH('F-COMPRA'!$F$34,Tabla11[[#This Row],[Cuenta]],1))</f>
        <v>1</v>
      </c>
      <c r="S10" t="b">
        <f>+ISNUMBER(SEARCH('F-COMPRA'!$F$35,Tabla11[[#This Row],[Cuenta]],1))</f>
        <v>1</v>
      </c>
      <c r="T10" t="b">
        <f>+ISNUMBER(SEARCH('F-COMPRA'!$F$36,Tabla11[[#This Row],[Cuenta]],1))</f>
        <v>1</v>
      </c>
      <c r="U10" t="b">
        <f>+ISNUMBER(SEARCH('F-COMPRA'!$F$37,Tabla11[[#This Row],[Cuenta]],1))</f>
        <v>1</v>
      </c>
      <c r="V10" t="b">
        <f>+ISNUMBER(SEARCH(#REF!,Tabla11[[#This Row],[Cuenta]],1))</f>
        <v>0</v>
      </c>
      <c r="W10" t="b">
        <f>+ISNUMBER(SEARCH('F-COMPRA'!#REF!,Tabla11[[#This Row],[Cuenta]],1))</f>
        <v>0</v>
      </c>
      <c r="X10" t="b">
        <f>+ISNUMBER(SEARCH('F-COMPRA'!#REF!,Tabla11[[#This Row],[Cuenta]],1))</f>
        <v>0</v>
      </c>
      <c r="Y10" t="b">
        <f>+ISNUMBER(SEARCH('F-COMPRA'!#REF!,Tabla11[[#This Row],[Cuenta]],1))</f>
        <v>0</v>
      </c>
      <c r="Z10" t="b">
        <f>+ISNUMBER(SEARCH('F-COMPRA'!#REF!,Tabla11[[#This Row],[Cuenta]],1))</f>
        <v>0</v>
      </c>
      <c r="AA10" t="b">
        <f>+ISNUMBER(SEARCH('F-COMPRA'!#REF!,Tabla11[[#This Row],[Cuenta]],1))</f>
        <v>0</v>
      </c>
      <c r="AB10" t="b">
        <f>+ISNUMBER(SEARCH('F-COMPRA'!#REF!,Tabla11[[#This Row],[Cuenta]],1))</f>
        <v>0</v>
      </c>
      <c r="AC10" t="b">
        <f>+ISNUMBER(SEARCH('F-COMPRA'!#REF!,Tabla11[[#This Row],[Cuenta]],1))</f>
        <v>0</v>
      </c>
      <c r="AD10" t="b">
        <f>+ISNUMBER(SEARCH('F-COMPRA'!#REF!,Tabla11[[#This Row],[Cuenta]],1))</f>
        <v>0</v>
      </c>
      <c r="AE10" t="b">
        <f>+ISNUMBER(SEARCH('F-COMPRA'!#REF!,Tabla11[[#This Row],[Cuenta]],1))</f>
        <v>0</v>
      </c>
      <c r="AF10" t="b">
        <f>+ISNUMBER(SEARCH('F-VTA'!$G$23,Tabla11[[#This Row],[Cuenta]],1))</f>
        <v>0</v>
      </c>
      <c r="AG10" t="b">
        <f>+ISNUMBER(SEARCH('F-VTA'!$G$24,Tabla11[[#This Row],[Cuenta]],1))</f>
        <v>0</v>
      </c>
      <c r="AH10" t="b">
        <f>+ISNUMBER(SEARCH('F-VTA'!$G$25,Tabla11[[#This Row],[Cuenta]],1))</f>
        <v>0</v>
      </c>
      <c r="AI10" t="b">
        <f>+ISNUMBER(SEARCH('F-VTA'!$F$28,Tabla11[[#This Row],[Cuenta]],1))</f>
        <v>1</v>
      </c>
      <c r="AJ10" t="b">
        <f>+ISNUMBER(SEARCH('F-VTA'!$F$29,Tabla11[[#This Row],[Cuenta]],1))</f>
        <v>1</v>
      </c>
      <c r="AK10" t="b">
        <f>+ISNUMBER(SEARCH('F-VTA'!$F$30,Tabla11[[#This Row],[Cuenta]],1))</f>
        <v>1</v>
      </c>
      <c r="AL10" t="b">
        <f>+ISNUMBER(SEARCH('F-VTA'!$F$31,Tabla11[[#This Row],[Cuenta]],1))</f>
        <v>1</v>
      </c>
      <c r="AM10" t="b">
        <f>+ISNUMBER(SEARCH('F-VTA'!$F$32,Tabla11[[#This Row],[Cuenta]],1))</f>
        <v>1</v>
      </c>
      <c r="AN10" t="b">
        <f>+ISNUMBER(SEARCH('F-VTA'!$F$33,Tabla11[[#This Row],[Cuenta]],1))</f>
        <v>1</v>
      </c>
      <c r="AO10" t="b">
        <f>+ISNUMBER(SEARCH('F-VTA'!$F$34,Tabla11[[#This Row],[Cuenta]],1))</f>
        <v>1</v>
      </c>
      <c r="AP10" t="b">
        <f>+ISNUMBER(SEARCH('F-VTA'!$F$35,Tabla11[[#This Row],[Cuenta]],1))</f>
        <v>1</v>
      </c>
      <c r="AQ10" t="b">
        <f>+ISNUMBER(SEARCH('F-VTA'!$F$36,Tabla11[[#This Row],[Cuenta]],1))</f>
        <v>1</v>
      </c>
      <c r="AR10" t="b">
        <f>+ISNUMBER(SEARCH(#REF!,Tabla11[[#This Row],[Cuenta]],1))</f>
        <v>0</v>
      </c>
      <c r="AS10" t="b">
        <f>+ISNUMBER(SEARCH(#REF!,Tabla11[[#This Row],[Cuenta]],1))</f>
        <v>0</v>
      </c>
      <c r="AT10" t="b">
        <f>+ISNUMBER(SEARCH(#REF!,Tabla11[[#This Row],[Cuenta]],1))</f>
        <v>0</v>
      </c>
      <c r="AU10" t="b">
        <f>+ISNUMBER(SEARCH('Conc. Ban.1'!$I$9,Tabla11[[#This Row],[Cuenta]],1))</f>
        <v>0</v>
      </c>
      <c r="AV10" t="b">
        <f>+ISNUMBER(SEARCH(CompConta!$F$21,Tabla11[[#This Row],[Cuenta]],1))</f>
        <v>1</v>
      </c>
      <c r="AW10" t="b">
        <f>+ISNUMBER(SEARCH(CompConta!$F$22,Tabla11[[#This Row],[Cuenta]],1))</f>
        <v>1</v>
      </c>
      <c r="AX10" t="b">
        <f>+ISNUMBER(SEARCH(CompConta!$F$23,Tabla11[[#This Row],[Cuenta]],1))</f>
        <v>1</v>
      </c>
      <c r="AY10" t="b">
        <f>+ISNUMBER(SEARCH(CompConta!$F$24,Tabla11[[#This Row],[Cuenta]],1))</f>
        <v>1</v>
      </c>
      <c r="AZ10" t="b">
        <f>+ISNUMBER(SEARCH(CompConta!$F$25,Tabla11[[#This Row],[Cuenta]],1))</f>
        <v>1</v>
      </c>
      <c r="BA10" t="b">
        <f>+ISNUMBER(SEARCH(CompConta!$F$26,Tabla11[[#This Row],[Cuenta]],1))</f>
        <v>1</v>
      </c>
      <c r="BB10" t="b">
        <f>+ISNUMBER(SEARCH(CompConta!$F$27,Tabla11[[#This Row],[Cuenta]],1))</f>
        <v>1</v>
      </c>
      <c r="BC10" t="b">
        <f>+ISNUMBER(SEARCH(CompConta!$F$28,Tabla11[[#This Row],[Cuenta]],1))</f>
        <v>1</v>
      </c>
      <c r="BD10" t="b">
        <f>+ISNUMBER(SEARCH(CompConta!$F$29,Tabla11[[#This Row],[Cuenta]],1))</f>
        <v>1</v>
      </c>
      <c r="BE10" t="b">
        <f>+ISNUMBER(SEARCH(CompConta!$F$30,Tabla11[[#This Row],[Cuenta]],1))</f>
        <v>1</v>
      </c>
      <c r="BF10" t="b">
        <f>+ISNUMBER(SEARCH('PAGO Compras'!$E$11,Tabla11[[#This Row],[Cuenta]],1))</f>
        <v>1</v>
      </c>
      <c r="BG10" t="b">
        <f>+ISNUMBER(SEARCH(#REF!,Tabla11[[#This Row],[Cuenta]],1))</f>
        <v>0</v>
      </c>
      <c r="BH10" t="b">
        <f>+ISNUMBER(SEARCH(#REF!,Tabla11[[#This Row],[Cuenta]],1))</f>
        <v>0</v>
      </c>
      <c r="BI10" t="b">
        <f>+ISNUMBER(SEARCH(#REF!,Tabla11[[#This Row],[Cuenta]],1))</f>
        <v>0</v>
      </c>
      <c r="BJ10" t="b">
        <f>+ISNUMBER(SEARCH(#REF!,Tabla11[[#This Row],[Cuenta]],1))</f>
        <v>0</v>
      </c>
      <c r="BS10" t="str">
        <v>110515 Moneda extranjera</v>
      </c>
      <c r="BT10" t="str">
        <v>110515 Moneda extranjera</v>
      </c>
      <c r="BU10" t="str">
        <v>110515 Moneda extranjera</v>
      </c>
      <c r="BV10" t="str">
        <v>110515 Moneda extranjera</v>
      </c>
      <c r="BZ10" t="str">
        <v>110515 Moneda extranjera</v>
      </c>
      <c r="CA10" t="str">
        <v>110515 Moneda extranjera</v>
      </c>
      <c r="CB10" t="str">
        <v>110515 Moneda extranjera</v>
      </c>
      <c r="CC10" t="str">
        <v>110515 Moneda extranjera</v>
      </c>
      <c r="CD10" t="str">
        <v>110515 Moneda extranjera</v>
      </c>
      <c r="CE10" t="str">
        <v>110515 Moneda extranjera</v>
      </c>
      <c r="CS10" s="141" t="str">
        <v>110515 Moneda extranjera</v>
      </c>
      <c r="CT10" s="141" t="str">
        <v>110515 Moneda extranjera</v>
      </c>
      <c r="CU10" s="141" t="str">
        <v>110515 Moneda extranjera</v>
      </c>
      <c r="CV10" s="141" t="str">
        <v>110515 Moneda extranjera</v>
      </c>
      <c r="CW10" s="141" t="str">
        <v>110515 Moneda extranjera</v>
      </c>
      <c r="CX10" s="141" t="str">
        <v>110515 Moneda extranjera</v>
      </c>
      <c r="CY10" s="141" t="str">
        <v>110515 Moneda extranjera</v>
      </c>
      <c r="CZ10" s="141" t="str">
        <v>110515 Moneda extranjera</v>
      </c>
      <c r="DA10" s="141" t="str">
        <v>110515 Moneda extranjera</v>
      </c>
      <c r="DF10" t="str">
        <v>110515 Moneda extranjera</v>
      </c>
      <c r="DG10" t="str">
        <v>110515 Moneda extranjera</v>
      </c>
      <c r="DH10" t="str">
        <v>110515 Moneda extranjera</v>
      </c>
      <c r="DI10" t="str">
        <v>110515 Moneda extranjera</v>
      </c>
      <c r="DJ10" t="str">
        <v>110515 Moneda extranjera</v>
      </c>
      <c r="DK10" t="str">
        <v>110515 Moneda extranjera</v>
      </c>
      <c r="DL10" t="str">
        <v>110515 Moneda extranjera</v>
      </c>
      <c r="DM10" t="str">
        <v>110515 Moneda extranjera</v>
      </c>
      <c r="DN10" t="str">
        <v>110515 Moneda extranjera</v>
      </c>
      <c r="DO10" t="str">
        <v>110515 Moneda extranjera</v>
      </c>
      <c r="DP10" t="str">
        <v>110515 Moneda extranjera</v>
      </c>
    </row>
    <row r="11" spans="4:124" ht="12.75">
      <c r="D11" s="7">
        <v>1110</v>
      </c>
      <c r="E11" s="6" t="s">
        <v>36</v>
      </c>
      <c r="F11" s="5">
        <v>3</v>
      </c>
      <c r="G11" s="34" t="s">
        <v>821</v>
      </c>
      <c r="H11" s="8" t="s">
        <v>32</v>
      </c>
      <c r="I11" t="b">
        <f>+ISNUMBER(SEARCH('F-COMPRA'!$F$28,Tabla11[[#This Row],[Cuenta]],1))</f>
        <v>1</v>
      </c>
      <c r="J11" t="b">
        <f>+ISNUMBER(SEARCH('F-COMPRA'!$F$29,Tabla11[[#This Row],[Cuenta]],1))</f>
        <v>1</v>
      </c>
      <c r="K11" t="b">
        <f>+ISNUMBER(SEARCH('F-COMPRA'!$F$30,Tabla11[[#This Row],[Cuenta]],1))</f>
        <v>1</v>
      </c>
      <c r="L11" t="b">
        <f>+ISNUMBER(SEARCH('F-COMPRA'!$F$31,Tabla11[[#This Row],[Cuenta]],1))</f>
        <v>1</v>
      </c>
      <c r="M11" t="b">
        <f>+ISNUMBER(SEARCH('F-COMPRA'!$G$25,Tabla11[[#This Row],[Cuenta]],1))</f>
        <v>0</v>
      </c>
      <c r="N11" t="b">
        <f>+ISNUMBER(SEARCH(#REF!,Tabla11[[#This Row],[Cuenta]],1))</f>
        <v>0</v>
      </c>
      <c r="O11" t="b">
        <f>+ISNUMBER(SEARCH(#REF!,Tabla11[[#This Row],[Cuenta]],1))</f>
        <v>0</v>
      </c>
      <c r="P11" t="b">
        <f>+ISNUMBER(SEARCH('F-COMPRA'!$F$32,Tabla11[[#This Row],[Cuenta]],1))</f>
        <v>1</v>
      </c>
      <c r="Q11" t="b">
        <f>+ISNUMBER(SEARCH('F-COMPRA'!$F$33,Tabla11[[#This Row],[Cuenta]],1))</f>
        <v>1</v>
      </c>
      <c r="R11" t="b">
        <f>+ISNUMBER(SEARCH('F-COMPRA'!$F$34,Tabla11[[#This Row],[Cuenta]],1))</f>
        <v>1</v>
      </c>
      <c r="S11" t="b">
        <f>+ISNUMBER(SEARCH('F-COMPRA'!$F$35,Tabla11[[#This Row],[Cuenta]],1))</f>
        <v>1</v>
      </c>
      <c r="T11" t="b">
        <f>+ISNUMBER(SEARCH('F-COMPRA'!$F$36,Tabla11[[#This Row],[Cuenta]],1))</f>
        <v>1</v>
      </c>
      <c r="U11" t="b">
        <f>+ISNUMBER(SEARCH('F-COMPRA'!$F$37,Tabla11[[#This Row],[Cuenta]],1))</f>
        <v>1</v>
      </c>
      <c r="V11" t="b">
        <f>+ISNUMBER(SEARCH(#REF!,Tabla11[[#This Row],[Cuenta]],1))</f>
        <v>0</v>
      </c>
      <c r="W11" t="b">
        <f>+ISNUMBER(SEARCH('F-COMPRA'!#REF!,Tabla11[[#This Row],[Cuenta]],1))</f>
        <v>0</v>
      </c>
      <c r="X11" t="b">
        <f>+ISNUMBER(SEARCH('F-COMPRA'!#REF!,Tabla11[[#This Row],[Cuenta]],1))</f>
        <v>0</v>
      </c>
      <c r="Y11" t="b">
        <f>+ISNUMBER(SEARCH('F-COMPRA'!#REF!,Tabla11[[#This Row],[Cuenta]],1))</f>
        <v>0</v>
      </c>
      <c r="Z11" t="b">
        <f>+ISNUMBER(SEARCH('F-COMPRA'!#REF!,Tabla11[[#This Row],[Cuenta]],1))</f>
        <v>0</v>
      </c>
      <c r="AA11" t="b">
        <f>+ISNUMBER(SEARCH('F-COMPRA'!#REF!,Tabla11[[#This Row],[Cuenta]],1))</f>
        <v>0</v>
      </c>
      <c r="AB11" t="b">
        <f>+ISNUMBER(SEARCH('F-COMPRA'!#REF!,Tabla11[[#This Row],[Cuenta]],1))</f>
        <v>0</v>
      </c>
      <c r="AC11" t="b">
        <f>+ISNUMBER(SEARCH('F-COMPRA'!#REF!,Tabla11[[#This Row],[Cuenta]],1))</f>
        <v>0</v>
      </c>
      <c r="AD11" t="b">
        <f>+ISNUMBER(SEARCH('F-COMPRA'!#REF!,Tabla11[[#This Row],[Cuenta]],1))</f>
        <v>0</v>
      </c>
      <c r="AE11" t="b">
        <f>+ISNUMBER(SEARCH('F-COMPRA'!#REF!,Tabla11[[#This Row],[Cuenta]],1))</f>
        <v>0</v>
      </c>
      <c r="AF11" t="b">
        <f>+ISNUMBER(SEARCH('F-VTA'!$G$23,Tabla11[[#This Row],[Cuenta]],1))</f>
        <v>0</v>
      </c>
      <c r="AG11" t="b">
        <f>+ISNUMBER(SEARCH('F-VTA'!$G$24,Tabla11[[#This Row],[Cuenta]],1))</f>
        <v>0</v>
      </c>
      <c r="AH11" t="b">
        <f>+ISNUMBER(SEARCH('F-VTA'!$G$25,Tabla11[[#This Row],[Cuenta]],1))</f>
        <v>0</v>
      </c>
      <c r="AI11" t="b">
        <f>+ISNUMBER(SEARCH('F-VTA'!$F$28,Tabla11[[#This Row],[Cuenta]],1))</f>
        <v>1</v>
      </c>
      <c r="AJ11" t="b">
        <f>+ISNUMBER(SEARCH('F-VTA'!$F$29,Tabla11[[#This Row],[Cuenta]],1))</f>
        <v>1</v>
      </c>
      <c r="AK11" t="b">
        <f>+ISNUMBER(SEARCH('F-VTA'!$F$30,Tabla11[[#This Row],[Cuenta]],1))</f>
        <v>1</v>
      </c>
      <c r="AL11" t="b">
        <f>+ISNUMBER(SEARCH('F-VTA'!$F$31,Tabla11[[#This Row],[Cuenta]],1))</f>
        <v>1</v>
      </c>
      <c r="AM11" t="b">
        <f>+ISNUMBER(SEARCH('F-VTA'!$F$32,Tabla11[[#This Row],[Cuenta]],1))</f>
        <v>1</v>
      </c>
      <c r="AN11" t="b">
        <f>+ISNUMBER(SEARCH('F-VTA'!$F$33,Tabla11[[#This Row],[Cuenta]],1))</f>
        <v>1</v>
      </c>
      <c r="AO11" t="b">
        <f>+ISNUMBER(SEARCH('F-VTA'!$F$34,Tabla11[[#This Row],[Cuenta]],1))</f>
        <v>1</v>
      </c>
      <c r="AP11" t="b">
        <f>+ISNUMBER(SEARCH('F-VTA'!$F$35,Tabla11[[#This Row],[Cuenta]],1))</f>
        <v>1</v>
      </c>
      <c r="AQ11" t="b">
        <f>+ISNUMBER(SEARCH('F-VTA'!$F$36,Tabla11[[#This Row],[Cuenta]],1))</f>
        <v>1</v>
      </c>
      <c r="AR11" t="b">
        <f>+ISNUMBER(SEARCH(#REF!,Tabla11[[#This Row],[Cuenta]],1))</f>
        <v>0</v>
      </c>
      <c r="AS11" t="b">
        <f>+ISNUMBER(SEARCH(#REF!,Tabla11[[#This Row],[Cuenta]],1))</f>
        <v>0</v>
      </c>
      <c r="AT11" t="b">
        <f>+ISNUMBER(SEARCH(#REF!,Tabla11[[#This Row],[Cuenta]],1))</f>
        <v>0</v>
      </c>
      <c r="AU11" t="b">
        <f>+ISNUMBER(SEARCH('Conc. Ban.1'!$I$9,Tabla11[[#This Row],[Cuenta]],1))</f>
        <v>0</v>
      </c>
      <c r="AV11" t="b">
        <f>+ISNUMBER(SEARCH(CompConta!$F$21,Tabla11[[#This Row],[Cuenta]],1))</f>
        <v>1</v>
      </c>
      <c r="AW11" t="b">
        <f>+ISNUMBER(SEARCH(CompConta!$F$22,Tabla11[[#This Row],[Cuenta]],1))</f>
        <v>1</v>
      </c>
      <c r="AX11" t="b">
        <f>+ISNUMBER(SEARCH(CompConta!$F$23,Tabla11[[#This Row],[Cuenta]],1))</f>
        <v>1</v>
      </c>
      <c r="AY11" t="b">
        <f>+ISNUMBER(SEARCH(CompConta!$F$24,Tabla11[[#This Row],[Cuenta]],1))</f>
        <v>1</v>
      </c>
      <c r="AZ11" t="b">
        <f>+ISNUMBER(SEARCH(CompConta!$F$25,Tabla11[[#This Row],[Cuenta]],1))</f>
        <v>1</v>
      </c>
      <c r="BA11" t="b">
        <f>+ISNUMBER(SEARCH(CompConta!$F$26,Tabla11[[#This Row],[Cuenta]],1))</f>
        <v>1</v>
      </c>
      <c r="BB11" t="b">
        <f>+ISNUMBER(SEARCH(CompConta!$F$27,Tabla11[[#This Row],[Cuenta]],1))</f>
        <v>1</v>
      </c>
      <c r="BC11" t="b">
        <f>+ISNUMBER(SEARCH(CompConta!$F$28,Tabla11[[#This Row],[Cuenta]],1))</f>
        <v>1</v>
      </c>
      <c r="BD11" t="b">
        <f>+ISNUMBER(SEARCH(CompConta!$F$29,Tabla11[[#This Row],[Cuenta]],1))</f>
        <v>1</v>
      </c>
      <c r="BE11" t="b">
        <f>+ISNUMBER(SEARCH(CompConta!$F$30,Tabla11[[#This Row],[Cuenta]],1))</f>
        <v>1</v>
      </c>
      <c r="BF11" t="b">
        <f>+ISNUMBER(SEARCH('PAGO Compras'!$E$11,Tabla11[[#This Row],[Cuenta]],1))</f>
        <v>1</v>
      </c>
      <c r="BG11" t="b">
        <f>+ISNUMBER(SEARCH(#REF!,Tabla11[[#This Row],[Cuenta]],1))</f>
        <v>0</v>
      </c>
      <c r="BH11" t="b">
        <f>+ISNUMBER(SEARCH(#REF!,Tabla11[[#This Row],[Cuenta]],1))</f>
        <v>0</v>
      </c>
      <c r="BI11" t="b">
        <f>+ISNUMBER(SEARCH(#REF!,Tabla11[[#This Row],[Cuenta]],1))</f>
        <v>0</v>
      </c>
      <c r="BJ11" t="b">
        <f>+ISNUMBER(SEARCH(#REF!,Tabla11[[#This Row],[Cuenta]],1))</f>
        <v>0</v>
      </c>
      <c r="BS11" t="str">
        <v>1110 BANCOS</v>
      </c>
      <c r="BT11" t="str">
        <v>1110 BANCOS</v>
      </c>
      <c r="BU11" t="str">
        <v>1110 BANCOS</v>
      </c>
      <c r="BV11" t="str">
        <v>1110 BANCOS</v>
      </c>
      <c r="BZ11" t="str">
        <v>1110 BANCOS</v>
      </c>
      <c r="CA11" t="str">
        <v>1110 BANCOS</v>
      </c>
      <c r="CB11" t="str">
        <v>1110 BANCOS</v>
      </c>
      <c r="CC11" t="str">
        <v>1110 BANCOS</v>
      </c>
      <c r="CD11" t="str">
        <v>1110 BANCOS</v>
      </c>
      <c r="CE11" t="str">
        <v>1110 BANCOS</v>
      </c>
      <c r="CS11" s="141" t="str">
        <v>1110 BANCOS</v>
      </c>
      <c r="CT11" s="141" t="str">
        <v>1110 BANCOS</v>
      </c>
      <c r="CU11" s="141" t="str">
        <v>1110 BANCOS</v>
      </c>
      <c r="CV11" s="141" t="str">
        <v>1110 BANCOS</v>
      </c>
      <c r="CW11" s="141" t="str">
        <v>1110 BANCOS</v>
      </c>
      <c r="CX11" s="141" t="str">
        <v>1110 BANCOS</v>
      </c>
      <c r="CY11" s="141" t="str">
        <v>1110 BANCOS</v>
      </c>
      <c r="CZ11" s="141" t="str">
        <v>1110 BANCOS</v>
      </c>
      <c r="DA11" s="141" t="str">
        <v>1110 BANCOS</v>
      </c>
      <c r="DF11" t="str">
        <v>1110 BANCOS</v>
      </c>
      <c r="DG11" t="str">
        <v>1110 BANCOS</v>
      </c>
      <c r="DH11" t="str">
        <v>1110 BANCOS</v>
      </c>
      <c r="DI11" t="str">
        <v>1110 BANCOS</v>
      </c>
      <c r="DJ11" t="str">
        <v>1110 BANCOS</v>
      </c>
      <c r="DK11" t="str">
        <v>1110 BANCOS</v>
      </c>
      <c r="DL11" t="str">
        <v>1110 BANCOS</v>
      </c>
      <c r="DM11" t="str">
        <v>1110 BANCOS</v>
      </c>
      <c r="DN11" t="str">
        <v>1110 BANCOS</v>
      </c>
      <c r="DO11" t="str">
        <v>1110 BANCOS</v>
      </c>
      <c r="DP11" t="str">
        <v>1110 BANCOS</v>
      </c>
    </row>
    <row r="12" spans="4:124" ht="12.75">
      <c r="D12" s="7">
        <v>111005</v>
      </c>
      <c r="E12" s="13" t="s">
        <v>848</v>
      </c>
      <c r="F12" s="5">
        <v>4</v>
      </c>
      <c r="G12" s="34" t="s">
        <v>821</v>
      </c>
      <c r="H12" s="8" t="s">
        <v>32</v>
      </c>
      <c r="I12" t="b">
        <f>+ISNUMBER(SEARCH('F-COMPRA'!$F$28,Tabla11[[#This Row],[Cuenta]],1))</f>
        <v>1</v>
      </c>
      <c r="J12" t="b">
        <f>+ISNUMBER(SEARCH('F-COMPRA'!$F$29,Tabla11[[#This Row],[Cuenta]],1))</f>
        <v>1</v>
      </c>
      <c r="K12" t="b">
        <f>+ISNUMBER(SEARCH('F-COMPRA'!$F$30,Tabla11[[#This Row],[Cuenta]],1))</f>
        <v>1</v>
      </c>
      <c r="L12" t="b">
        <f>+ISNUMBER(SEARCH('F-COMPRA'!$F$31,Tabla11[[#This Row],[Cuenta]],1))</f>
        <v>1</v>
      </c>
      <c r="M12" t="b">
        <f>+ISNUMBER(SEARCH('F-COMPRA'!$G$25,Tabla11[[#This Row],[Cuenta]],1))</f>
        <v>0</v>
      </c>
      <c r="N12" t="b">
        <f>+ISNUMBER(SEARCH(#REF!,Tabla11[[#This Row],[Cuenta]],1))</f>
        <v>0</v>
      </c>
      <c r="O12" t="b">
        <f>+ISNUMBER(SEARCH(#REF!,Tabla11[[#This Row],[Cuenta]],1))</f>
        <v>0</v>
      </c>
      <c r="P12" t="b">
        <f>+ISNUMBER(SEARCH('F-COMPRA'!$F$32,Tabla11[[#This Row],[Cuenta]],1))</f>
        <v>1</v>
      </c>
      <c r="Q12" t="b">
        <f>+ISNUMBER(SEARCH('F-COMPRA'!$F$33,Tabla11[[#This Row],[Cuenta]],1))</f>
        <v>1</v>
      </c>
      <c r="R12" t="b">
        <f>+ISNUMBER(SEARCH('F-COMPRA'!$F$34,Tabla11[[#This Row],[Cuenta]],1))</f>
        <v>1</v>
      </c>
      <c r="S12" t="b">
        <f>+ISNUMBER(SEARCH('F-COMPRA'!$F$35,Tabla11[[#This Row],[Cuenta]],1))</f>
        <v>1</v>
      </c>
      <c r="T12" t="b">
        <f>+ISNUMBER(SEARCH('F-COMPRA'!$F$36,Tabla11[[#This Row],[Cuenta]],1))</f>
        <v>1</v>
      </c>
      <c r="U12" t="b">
        <f>+ISNUMBER(SEARCH('F-COMPRA'!$F$37,Tabla11[[#This Row],[Cuenta]],1))</f>
        <v>1</v>
      </c>
      <c r="V12" t="b">
        <f>+ISNUMBER(SEARCH(#REF!,Tabla11[[#This Row],[Cuenta]],1))</f>
        <v>0</v>
      </c>
      <c r="W12" t="b">
        <f>+ISNUMBER(SEARCH('F-COMPRA'!#REF!,Tabla11[[#This Row],[Cuenta]],1))</f>
        <v>0</v>
      </c>
      <c r="X12" t="b">
        <f>+ISNUMBER(SEARCH('F-COMPRA'!#REF!,Tabla11[[#This Row],[Cuenta]],1))</f>
        <v>0</v>
      </c>
      <c r="Y12" t="b">
        <f>+ISNUMBER(SEARCH('F-COMPRA'!#REF!,Tabla11[[#This Row],[Cuenta]],1))</f>
        <v>0</v>
      </c>
      <c r="Z12" t="b">
        <f>+ISNUMBER(SEARCH('F-COMPRA'!#REF!,Tabla11[[#This Row],[Cuenta]],1))</f>
        <v>0</v>
      </c>
      <c r="AA12" t="b">
        <f>+ISNUMBER(SEARCH('F-COMPRA'!#REF!,Tabla11[[#This Row],[Cuenta]],1))</f>
        <v>0</v>
      </c>
      <c r="AB12" t="b">
        <f>+ISNUMBER(SEARCH('F-COMPRA'!#REF!,Tabla11[[#This Row],[Cuenta]],1))</f>
        <v>0</v>
      </c>
      <c r="AC12" t="b">
        <f>+ISNUMBER(SEARCH('F-COMPRA'!#REF!,Tabla11[[#This Row],[Cuenta]],1))</f>
        <v>0</v>
      </c>
      <c r="AD12" t="b">
        <f>+ISNUMBER(SEARCH('F-COMPRA'!#REF!,Tabla11[[#This Row],[Cuenta]],1))</f>
        <v>0</v>
      </c>
      <c r="AE12" t="b">
        <f>+ISNUMBER(SEARCH('F-COMPRA'!#REF!,Tabla11[[#This Row],[Cuenta]],1))</f>
        <v>0</v>
      </c>
      <c r="AF12" t="b">
        <f>+ISNUMBER(SEARCH('F-VTA'!$G$23,Tabla11[[#This Row],[Cuenta]],1))</f>
        <v>0</v>
      </c>
      <c r="AG12" t="b">
        <f>+ISNUMBER(SEARCH('F-VTA'!$G$24,Tabla11[[#This Row],[Cuenta]],1))</f>
        <v>0</v>
      </c>
      <c r="AH12" t="b">
        <f>+ISNUMBER(SEARCH('F-VTA'!$G$25,Tabla11[[#This Row],[Cuenta]],1))</f>
        <v>0</v>
      </c>
      <c r="AI12" t="b">
        <f>+ISNUMBER(SEARCH('F-VTA'!$F$28,Tabla11[[#This Row],[Cuenta]],1))</f>
        <v>1</v>
      </c>
      <c r="AJ12" t="b">
        <f>+ISNUMBER(SEARCH('F-VTA'!$F$29,Tabla11[[#This Row],[Cuenta]],1))</f>
        <v>1</v>
      </c>
      <c r="AK12" t="b">
        <f>+ISNUMBER(SEARCH('F-VTA'!$F$30,Tabla11[[#This Row],[Cuenta]],1))</f>
        <v>1</v>
      </c>
      <c r="AL12" t="b">
        <f>+ISNUMBER(SEARCH('F-VTA'!$F$31,Tabla11[[#This Row],[Cuenta]],1))</f>
        <v>1</v>
      </c>
      <c r="AM12" t="b">
        <f>+ISNUMBER(SEARCH('F-VTA'!$F$32,Tabla11[[#This Row],[Cuenta]],1))</f>
        <v>1</v>
      </c>
      <c r="AN12" t="b">
        <f>+ISNUMBER(SEARCH('F-VTA'!$F$33,Tabla11[[#This Row],[Cuenta]],1))</f>
        <v>1</v>
      </c>
      <c r="AO12" t="b">
        <f>+ISNUMBER(SEARCH('F-VTA'!$F$34,Tabla11[[#This Row],[Cuenta]],1))</f>
        <v>1</v>
      </c>
      <c r="AP12" t="b">
        <f>+ISNUMBER(SEARCH('F-VTA'!$F$35,Tabla11[[#This Row],[Cuenta]],1))</f>
        <v>1</v>
      </c>
      <c r="AQ12" t="b">
        <f>+ISNUMBER(SEARCH('F-VTA'!$F$36,Tabla11[[#This Row],[Cuenta]],1))</f>
        <v>1</v>
      </c>
      <c r="AR12" t="b">
        <f>+ISNUMBER(SEARCH(#REF!,Tabla11[[#This Row],[Cuenta]],1))</f>
        <v>0</v>
      </c>
      <c r="AS12" t="b">
        <f>+ISNUMBER(SEARCH(#REF!,Tabla11[[#This Row],[Cuenta]],1))</f>
        <v>0</v>
      </c>
      <c r="AT12" t="b">
        <f>+ISNUMBER(SEARCH(#REF!,Tabla11[[#This Row],[Cuenta]],1))</f>
        <v>0</v>
      </c>
      <c r="AU12" t="b">
        <f>+ISNUMBER(SEARCH('Conc. Ban.1'!$I$9,Tabla11[[#This Row],[Cuenta]],1))</f>
        <v>1</v>
      </c>
      <c r="AV12" t="b">
        <f>+ISNUMBER(SEARCH(CompConta!$F$21,Tabla11[[#This Row],[Cuenta]],1))</f>
        <v>1</v>
      </c>
      <c r="AW12" t="b">
        <f>+ISNUMBER(SEARCH(CompConta!$F$22,Tabla11[[#This Row],[Cuenta]],1))</f>
        <v>1</v>
      </c>
      <c r="AX12" t="b">
        <f>+ISNUMBER(SEARCH(CompConta!$F$23,Tabla11[[#This Row],[Cuenta]],1))</f>
        <v>1</v>
      </c>
      <c r="AY12" t="b">
        <f>+ISNUMBER(SEARCH(CompConta!$F$24,Tabla11[[#This Row],[Cuenta]],1))</f>
        <v>1</v>
      </c>
      <c r="AZ12" t="b">
        <f>+ISNUMBER(SEARCH(CompConta!$F$25,Tabla11[[#This Row],[Cuenta]],1))</f>
        <v>1</v>
      </c>
      <c r="BA12" t="b">
        <f>+ISNUMBER(SEARCH(CompConta!$F$26,Tabla11[[#This Row],[Cuenta]],1))</f>
        <v>1</v>
      </c>
      <c r="BB12" t="b">
        <f>+ISNUMBER(SEARCH(CompConta!$F$27,Tabla11[[#This Row],[Cuenta]],1))</f>
        <v>1</v>
      </c>
      <c r="BC12" t="b">
        <f>+ISNUMBER(SEARCH(CompConta!$F$28,Tabla11[[#This Row],[Cuenta]],1))</f>
        <v>1</v>
      </c>
      <c r="BD12" t="b">
        <f>+ISNUMBER(SEARCH(CompConta!$F$29,Tabla11[[#This Row],[Cuenta]],1))</f>
        <v>1</v>
      </c>
      <c r="BE12" t="b">
        <f>+ISNUMBER(SEARCH(CompConta!$F$30,Tabla11[[#This Row],[Cuenta]],1))</f>
        <v>1</v>
      </c>
      <c r="BF12" t="b">
        <f>+ISNUMBER(SEARCH('PAGO Compras'!$E$11,Tabla11[[#This Row],[Cuenta]],1))</f>
        <v>1</v>
      </c>
      <c r="BG12" t="b">
        <f>+ISNUMBER(SEARCH(#REF!,Tabla11[[#This Row],[Cuenta]],1))</f>
        <v>0</v>
      </c>
      <c r="BH12" t="b">
        <f>+ISNUMBER(SEARCH(#REF!,Tabla11[[#This Row],[Cuenta]],1))</f>
        <v>0</v>
      </c>
      <c r="BI12" t="b">
        <f>+ISNUMBER(SEARCH(#REF!,Tabla11[[#This Row],[Cuenta]],1))</f>
        <v>0</v>
      </c>
      <c r="BJ12" t="b">
        <f>+ISNUMBER(SEARCH(#REF!,Tabla11[[#This Row],[Cuenta]],1))</f>
        <v>0</v>
      </c>
      <c r="BS12" t="str">
        <v>111005 Banco 1</v>
      </c>
      <c r="BT12" t="str">
        <v>111005 Banco 1</v>
      </c>
      <c r="BU12" t="str">
        <v>111005 Banco 1</v>
      </c>
      <c r="BV12" t="str">
        <v>111005 Banco 1</v>
      </c>
      <c r="BZ12" t="str">
        <v>111005 Banco 1</v>
      </c>
      <c r="CA12" t="str">
        <v>111005 Banco 1</v>
      </c>
      <c r="CB12" t="str">
        <v>111005 Banco 1</v>
      </c>
      <c r="CC12" t="str">
        <v>111005 Banco 1</v>
      </c>
      <c r="CD12" t="str">
        <v>111005 Banco 1</v>
      </c>
      <c r="CE12" t="str">
        <v>111005 Banco 1</v>
      </c>
      <c r="CS12" s="141" t="str">
        <v>111005 Banco 1</v>
      </c>
      <c r="CT12" s="141" t="str">
        <v>111005 Banco 1</v>
      </c>
      <c r="CU12" s="141" t="str">
        <v>111005 Banco 1</v>
      </c>
      <c r="CV12" s="141" t="str">
        <v>111005 Banco 1</v>
      </c>
      <c r="CW12" s="141" t="str">
        <v>111005 Banco 1</v>
      </c>
      <c r="CX12" s="141" t="str">
        <v>111005 Banco 1</v>
      </c>
      <c r="CY12" s="141" t="str">
        <v>111005 Banco 1</v>
      </c>
      <c r="CZ12" s="141" t="str">
        <v>111005 Banco 1</v>
      </c>
      <c r="DA12" s="141" t="str">
        <v>111005 Banco 1</v>
      </c>
      <c r="DF12" t="str">
        <v>111005 Banco 1</v>
      </c>
      <c r="DG12" t="str">
        <v>111005 Banco 1</v>
      </c>
      <c r="DH12" t="str">
        <v>111005 Banco 1</v>
      </c>
      <c r="DI12" t="str">
        <v>111005 Banco 1</v>
      </c>
      <c r="DJ12" t="str">
        <v>111005 Banco 1</v>
      </c>
      <c r="DK12" t="str">
        <v>111005 Banco 1</v>
      </c>
      <c r="DL12" t="str">
        <v>111005 Banco 1</v>
      </c>
      <c r="DM12" t="str">
        <v>111005 Banco 1</v>
      </c>
      <c r="DN12" t="str">
        <v>111005 Banco 1</v>
      </c>
      <c r="DO12" t="str">
        <v>111005 Banco 1</v>
      </c>
      <c r="DP12" t="str">
        <v>111005 Banco 1</v>
      </c>
    </row>
    <row r="13" spans="4:124" ht="12.75">
      <c r="D13" s="7">
        <v>111010</v>
      </c>
      <c r="E13" s="13" t="s">
        <v>849</v>
      </c>
      <c r="F13" s="5">
        <v>4</v>
      </c>
      <c r="G13" s="34" t="s">
        <v>821</v>
      </c>
      <c r="H13" s="8" t="s">
        <v>32</v>
      </c>
      <c r="I13" t="b">
        <f>+ISNUMBER(SEARCH('F-COMPRA'!$F$28,Tabla11[[#This Row],[Cuenta]],1))</f>
        <v>1</v>
      </c>
      <c r="J13" t="b">
        <f>+ISNUMBER(SEARCH('F-COMPRA'!$F$29,Tabla11[[#This Row],[Cuenta]],1))</f>
        <v>1</v>
      </c>
      <c r="K13" t="b">
        <f>+ISNUMBER(SEARCH('F-COMPRA'!$F$30,Tabla11[[#This Row],[Cuenta]],1))</f>
        <v>1</v>
      </c>
      <c r="L13" t="b">
        <f>+ISNUMBER(SEARCH('F-COMPRA'!$F$31,Tabla11[[#This Row],[Cuenta]],1))</f>
        <v>1</v>
      </c>
      <c r="M13" t="b">
        <f>+ISNUMBER(SEARCH('F-COMPRA'!$G$25,Tabla11[[#This Row],[Cuenta]],1))</f>
        <v>0</v>
      </c>
      <c r="N13" t="b">
        <f>+ISNUMBER(SEARCH(#REF!,Tabla11[[#This Row],[Cuenta]],1))</f>
        <v>0</v>
      </c>
      <c r="O13" t="b">
        <f>+ISNUMBER(SEARCH(#REF!,Tabla11[[#This Row],[Cuenta]],1))</f>
        <v>0</v>
      </c>
      <c r="P13" t="b">
        <f>+ISNUMBER(SEARCH('F-COMPRA'!$F$32,Tabla11[[#This Row],[Cuenta]],1))</f>
        <v>1</v>
      </c>
      <c r="Q13" t="b">
        <f>+ISNUMBER(SEARCH('F-COMPRA'!$F$33,Tabla11[[#This Row],[Cuenta]],1))</f>
        <v>1</v>
      </c>
      <c r="R13" t="b">
        <f>+ISNUMBER(SEARCH('F-COMPRA'!$F$34,Tabla11[[#This Row],[Cuenta]],1))</f>
        <v>1</v>
      </c>
      <c r="S13" t="b">
        <f>+ISNUMBER(SEARCH('F-COMPRA'!$F$35,Tabla11[[#This Row],[Cuenta]],1))</f>
        <v>1</v>
      </c>
      <c r="T13" t="b">
        <f>+ISNUMBER(SEARCH('F-COMPRA'!$F$36,Tabla11[[#This Row],[Cuenta]],1))</f>
        <v>1</v>
      </c>
      <c r="U13" t="b">
        <f>+ISNUMBER(SEARCH('F-COMPRA'!$F$37,Tabla11[[#This Row],[Cuenta]],1))</f>
        <v>1</v>
      </c>
      <c r="V13" t="b">
        <f>+ISNUMBER(SEARCH(#REF!,Tabla11[[#This Row],[Cuenta]],1))</f>
        <v>0</v>
      </c>
      <c r="W13" t="b">
        <f>+ISNUMBER(SEARCH('F-COMPRA'!#REF!,Tabla11[[#This Row],[Cuenta]],1))</f>
        <v>0</v>
      </c>
      <c r="X13" t="b">
        <f>+ISNUMBER(SEARCH('F-COMPRA'!#REF!,Tabla11[[#This Row],[Cuenta]],1))</f>
        <v>0</v>
      </c>
      <c r="Y13" t="b">
        <f>+ISNUMBER(SEARCH('F-COMPRA'!#REF!,Tabla11[[#This Row],[Cuenta]],1))</f>
        <v>0</v>
      </c>
      <c r="Z13" t="b">
        <f>+ISNUMBER(SEARCH('F-COMPRA'!#REF!,Tabla11[[#This Row],[Cuenta]],1))</f>
        <v>0</v>
      </c>
      <c r="AA13" t="b">
        <f>+ISNUMBER(SEARCH('F-COMPRA'!#REF!,Tabla11[[#This Row],[Cuenta]],1))</f>
        <v>0</v>
      </c>
      <c r="AB13" t="b">
        <f>+ISNUMBER(SEARCH('F-COMPRA'!#REF!,Tabla11[[#This Row],[Cuenta]],1))</f>
        <v>0</v>
      </c>
      <c r="AC13" t="b">
        <f>+ISNUMBER(SEARCH('F-COMPRA'!#REF!,Tabla11[[#This Row],[Cuenta]],1))</f>
        <v>0</v>
      </c>
      <c r="AD13" t="b">
        <f>+ISNUMBER(SEARCH('F-COMPRA'!#REF!,Tabla11[[#This Row],[Cuenta]],1))</f>
        <v>0</v>
      </c>
      <c r="AE13" t="b">
        <f>+ISNUMBER(SEARCH('F-COMPRA'!#REF!,Tabla11[[#This Row],[Cuenta]],1))</f>
        <v>0</v>
      </c>
      <c r="AF13" t="b">
        <f>+ISNUMBER(SEARCH('F-VTA'!$G$23,Tabla11[[#This Row],[Cuenta]],1))</f>
        <v>0</v>
      </c>
      <c r="AG13" t="b">
        <f>+ISNUMBER(SEARCH('F-VTA'!$G$24,Tabla11[[#This Row],[Cuenta]],1))</f>
        <v>0</v>
      </c>
      <c r="AH13" t="b">
        <f>+ISNUMBER(SEARCH('F-VTA'!$G$25,Tabla11[[#This Row],[Cuenta]],1))</f>
        <v>0</v>
      </c>
      <c r="AI13" t="b">
        <f>+ISNUMBER(SEARCH('F-VTA'!$F$28,Tabla11[[#This Row],[Cuenta]],1))</f>
        <v>1</v>
      </c>
      <c r="AJ13" t="b">
        <f>+ISNUMBER(SEARCH('F-VTA'!$F$29,Tabla11[[#This Row],[Cuenta]],1))</f>
        <v>1</v>
      </c>
      <c r="AK13" t="b">
        <f>+ISNUMBER(SEARCH('F-VTA'!$F$30,Tabla11[[#This Row],[Cuenta]],1))</f>
        <v>1</v>
      </c>
      <c r="AL13" t="b">
        <f>+ISNUMBER(SEARCH('F-VTA'!$F$31,Tabla11[[#This Row],[Cuenta]],1))</f>
        <v>1</v>
      </c>
      <c r="AM13" t="b">
        <f>+ISNUMBER(SEARCH('F-VTA'!$F$32,Tabla11[[#This Row],[Cuenta]],1))</f>
        <v>1</v>
      </c>
      <c r="AN13" t="b">
        <f>+ISNUMBER(SEARCH('F-VTA'!$F$33,Tabla11[[#This Row],[Cuenta]],1))</f>
        <v>1</v>
      </c>
      <c r="AO13" t="b">
        <f>+ISNUMBER(SEARCH('F-VTA'!$F$34,Tabla11[[#This Row],[Cuenta]],1))</f>
        <v>1</v>
      </c>
      <c r="AP13" t="b">
        <f>+ISNUMBER(SEARCH('F-VTA'!$F$35,Tabla11[[#This Row],[Cuenta]],1))</f>
        <v>1</v>
      </c>
      <c r="AQ13" t="b">
        <f>+ISNUMBER(SEARCH('F-VTA'!$F$36,Tabla11[[#This Row],[Cuenta]],1))</f>
        <v>1</v>
      </c>
      <c r="AR13" t="b">
        <f>+ISNUMBER(SEARCH(#REF!,Tabla11[[#This Row],[Cuenta]],1))</f>
        <v>0</v>
      </c>
      <c r="AS13" t="b">
        <f>+ISNUMBER(SEARCH(#REF!,Tabla11[[#This Row],[Cuenta]],1))</f>
        <v>0</v>
      </c>
      <c r="AT13" t="b">
        <f>+ISNUMBER(SEARCH(#REF!,Tabla11[[#This Row],[Cuenta]],1))</f>
        <v>0</v>
      </c>
      <c r="AU13" t="b">
        <f>+ISNUMBER(SEARCH('Conc. Ban.1'!$I$9,Tabla11[[#This Row],[Cuenta]],1))</f>
        <v>0</v>
      </c>
      <c r="AV13" t="b">
        <f>+ISNUMBER(SEARCH(CompConta!$F$21,Tabla11[[#This Row],[Cuenta]],1))</f>
        <v>1</v>
      </c>
      <c r="AW13" t="b">
        <f>+ISNUMBER(SEARCH(CompConta!$F$22,Tabla11[[#This Row],[Cuenta]],1))</f>
        <v>1</v>
      </c>
      <c r="AX13" t="b">
        <f>+ISNUMBER(SEARCH(CompConta!$F$23,Tabla11[[#This Row],[Cuenta]],1))</f>
        <v>1</v>
      </c>
      <c r="AY13" t="b">
        <f>+ISNUMBER(SEARCH(CompConta!$F$24,Tabla11[[#This Row],[Cuenta]],1))</f>
        <v>1</v>
      </c>
      <c r="AZ13" t="b">
        <f>+ISNUMBER(SEARCH(CompConta!$F$25,Tabla11[[#This Row],[Cuenta]],1))</f>
        <v>1</v>
      </c>
      <c r="BA13" t="b">
        <f>+ISNUMBER(SEARCH(CompConta!$F$26,Tabla11[[#This Row],[Cuenta]],1))</f>
        <v>1</v>
      </c>
      <c r="BB13" t="b">
        <f>+ISNUMBER(SEARCH(CompConta!$F$27,Tabla11[[#This Row],[Cuenta]],1))</f>
        <v>1</v>
      </c>
      <c r="BC13" t="b">
        <f>+ISNUMBER(SEARCH(CompConta!$F$28,Tabla11[[#This Row],[Cuenta]],1))</f>
        <v>1</v>
      </c>
      <c r="BD13" t="b">
        <f>+ISNUMBER(SEARCH(CompConta!$F$29,Tabla11[[#This Row],[Cuenta]],1))</f>
        <v>1</v>
      </c>
      <c r="BE13" t="b">
        <f>+ISNUMBER(SEARCH(CompConta!$F$30,Tabla11[[#This Row],[Cuenta]],1))</f>
        <v>1</v>
      </c>
      <c r="BF13" t="b">
        <f>+ISNUMBER(SEARCH('PAGO Compras'!$E$11,Tabla11[[#This Row],[Cuenta]],1))</f>
        <v>1</v>
      </c>
      <c r="BG13" t="b">
        <f>+ISNUMBER(SEARCH(#REF!,Tabla11[[#This Row],[Cuenta]],1))</f>
        <v>0</v>
      </c>
      <c r="BH13" t="b">
        <f>+ISNUMBER(SEARCH(#REF!,Tabla11[[#This Row],[Cuenta]],1))</f>
        <v>0</v>
      </c>
      <c r="BI13" t="b">
        <f>+ISNUMBER(SEARCH(#REF!,Tabla11[[#This Row],[Cuenta]],1))</f>
        <v>0</v>
      </c>
      <c r="BJ13" t="b">
        <f>+ISNUMBER(SEARCH(#REF!,Tabla11[[#This Row],[Cuenta]],1))</f>
        <v>0</v>
      </c>
      <c r="BS13" t="str">
        <v>111010 Banco 2</v>
      </c>
      <c r="BT13" t="str">
        <v>111010 Banco 2</v>
      </c>
      <c r="BU13" t="str">
        <v>111010 Banco 2</v>
      </c>
      <c r="BV13" t="str">
        <v>111010 Banco 2</v>
      </c>
      <c r="BZ13" t="str">
        <v>111010 Banco 2</v>
      </c>
      <c r="CA13" t="str">
        <v>111010 Banco 2</v>
      </c>
      <c r="CB13" t="str">
        <v>111010 Banco 2</v>
      </c>
      <c r="CC13" t="str">
        <v>111010 Banco 2</v>
      </c>
      <c r="CD13" t="str">
        <v>111010 Banco 2</v>
      </c>
      <c r="CE13" t="str">
        <v>111010 Banco 2</v>
      </c>
      <c r="CS13" s="141" t="str">
        <v>111010 Banco 2</v>
      </c>
      <c r="CT13" s="141" t="str">
        <v>111010 Banco 2</v>
      </c>
      <c r="CU13" s="141" t="str">
        <v>111010 Banco 2</v>
      </c>
      <c r="CV13" s="141" t="str">
        <v>111010 Banco 2</v>
      </c>
      <c r="CW13" s="141" t="str">
        <v>111010 Banco 2</v>
      </c>
      <c r="CX13" s="141" t="str">
        <v>111010 Banco 2</v>
      </c>
      <c r="CY13" s="141" t="str">
        <v>111010 Banco 2</v>
      </c>
      <c r="CZ13" s="141" t="str">
        <v>111010 Banco 2</v>
      </c>
      <c r="DA13" s="141" t="str">
        <v>111010 Banco 2</v>
      </c>
      <c r="DF13" t="str">
        <v>111010 Banco 2</v>
      </c>
      <c r="DG13" t="str">
        <v>111010 Banco 2</v>
      </c>
      <c r="DH13" t="str">
        <v>111010 Banco 2</v>
      </c>
      <c r="DI13" t="str">
        <v>111010 Banco 2</v>
      </c>
      <c r="DJ13" t="str">
        <v>111010 Banco 2</v>
      </c>
      <c r="DK13" t="str">
        <v>111010 Banco 2</v>
      </c>
      <c r="DL13" t="str">
        <v>111010 Banco 2</v>
      </c>
      <c r="DM13" t="str">
        <v>111010 Banco 2</v>
      </c>
      <c r="DN13" t="str">
        <v>111010 Banco 2</v>
      </c>
      <c r="DO13" t="str">
        <v>111010 Banco 2</v>
      </c>
      <c r="DP13" t="str">
        <v>111010 Banco 2</v>
      </c>
    </row>
    <row r="14" spans="4:124" ht="12.75">
      <c r="D14" s="7">
        <v>1120</v>
      </c>
      <c r="E14" s="6" t="s">
        <v>37</v>
      </c>
      <c r="F14" s="5">
        <v>3</v>
      </c>
      <c r="G14" s="34" t="s">
        <v>821</v>
      </c>
      <c r="H14" s="8" t="s">
        <v>32</v>
      </c>
      <c r="I14" t="b">
        <f>+ISNUMBER(SEARCH('F-COMPRA'!$F$28,Tabla11[[#This Row],[Cuenta]],1))</f>
        <v>1</v>
      </c>
      <c r="J14" t="b">
        <f>+ISNUMBER(SEARCH('F-COMPRA'!$F$29,Tabla11[[#This Row],[Cuenta]],1))</f>
        <v>1</v>
      </c>
      <c r="K14" t="b">
        <f>+ISNUMBER(SEARCH('F-COMPRA'!$F$30,Tabla11[[#This Row],[Cuenta]],1))</f>
        <v>1</v>
      </c>
      <c r="L14" t="b">
        <f>+ISNUMBER(SEARCH('F-COMPRA'!$F$31,Tabla11[[#This Row],[Cuenta]],1))</f>
        <v>1</v>
      </c>
      <c r="M14" t="b">
        <f>+ISNUMBER(SEARCH('F-COMPRA'!$G$25,Tabla11[[#This Row],[Cuenta]],1))</f>
        <v>0</v>
      </c>
      <c r="N14" t="b">
        <f>+ISNUMBER(SEARCH(#REF!,Tabla11[[#This Row],[Cuenta]],1))</f>
        <v>0</v>
      </c>
      <c r="O14" t="b">
        <f>+ISNUMBER(SEARCH(#REF!,Tabla11[[#This Row],[Cuenta]],1))</f>
        <v>0</v>
      </c>
      <c r="P14" t="b">
        <f>+ISNUMBER(SEARCH('F-COMPRA'!$F$32,Tabla11[[#This Row],[Cuenta]],1))</f>
        <v>1</v>
      </c>
      <c r="Q14" t="b">
        <f>+ISNUMBER(SEARCH('F-COMPRA'!$F$33,Tabla11[[#This Row],[Cuenta]],1))</f>
        <v>1</v>
      </c>
      <c r="R14" t="b">
        <f>+ISNUMBER(SEARCH('F-COMPRA'!$F$34,Tabla11[[#This Row],[Cuenta]],1))</f>
        <v>1</v>
      </c>
      <c r="S14" t="b">
        <f>+ISNUMBER(SEARCH('F-COMPRA'!$F$35,Tabla11[[#This Row],[Cuenta]],1))</f>
        <v>1</v>
      </c>
      <c r="T14" t="b">
        <f>+ISNUMBER(SEARCH('F-COMPRA'!$F$36,Tabla11[[#This Row],[Cuenta]],1))</f>
        <v>1</v>
      </c>
      <c r="U14" t="b">
        <f>+ISNUMBER(SEARCH('F-COMPRA'!$F$37,Tabla11[[#This Row],[Cuenta]],1))</f>
        <v>1</v>
      </c>
      <c r="V14" t="b">
        <f>+ISNUMBER(SEARCH(#REF!,Tabla11[[#This Row],[Cuenta]],1))</f>
        <v>0</v>
      </c>
      <c r="W14" t="b">
        <f>+ISNUMBER(SEARCH('F-COMPRA'!#REF!,Tabla11[[#This Row],[Cuenta]],1))</f>
        <v>0</v>
      </c>
      <c r="X14" t="b">
        <f>+ISNUMBER(SEARCH('F-COMPRA'!#REF!,Tabla11[[#This Row],[Cuenta]],1))</f>
        <v>0</v>
      </c>
      <c r="Y14" t="b">
        <f>+ISNUMBER(SEARCH('F-COMPRA'!#REF!,Tabla11[[#This Row],[Cuenta]],1))</f>
        <v>0</v>
      </c>
      <c r="Z14" t="b">
        <f>+ISNUMBER(SEARCH('F-COMPRA'!#REF!,Tabla11[[#This Row],[Cuenta]],1))</f>
        <v>0</v>
      </c>
      <c r="AA14" t="b">
        <f>+ISNUMBER(SEARCH('F-COMPRA'!#REF!,Tabla11[[#This Row],[Cuenta]],1))</f>
        <v>0</v>
      </c>
      <c r="AB14" t="b">
        <f>+ISNUMBER(SEARCH('F-COMPRA'!#REF!,Tabla11[[#This Row],[Cuenta]],1))</f>
        <v>0</v>
      </c>
      <c r="AC14" t="b">
        <f>+ISNUMBER(SEARCH('F-COMPRA'!#REF!,Tabla11[[#This Row],[Cuenta]],1))</f>
        <v>0</v>
      </c>
      <c r="AD14" t="b">
        <f>+ISNUMBER(SEARCH('F-COMPRA'!#REF!,Tabla11[[#This Row],[Cuenta]],1))</f>
        <v>0</v>
      </c>
      <c r="AE14" t="b">
        <f>+ISNUMBER(SEARCH('F-COMPRA'!#REF!,Tabla11[[#This Row],[Cuenta]],1))</f>
        <v>0</v>
      </c>
      <c r="AF14" t="b">
        <f>+ISNUMBER(SEARCH('F-VTA'!$G$23,Tabla11[[#This Row],[Cuenta]],1))</f>
        <v>0</v>
      </c>
      <c r="AG14" t="b">
        <f>+ISNUMBER(SEARCH('F-VTA'!$G$24,Tabla11[[#This Row],[Cuenta]],1))</f>
        <v>0</v>
      </c>
      <c r="AH14" t="b">
        <f>+ISNUMBER(SEARCH('F-VTA'!$G$25,Tabla11[[#This Row],[Cuenta]],1))</f>
        <v>0</v>
      </c>
      <c r="AI14" t="b">
        <f>+ISNUMBER(SEARCH('F-VTA'!$F$28,Tabla11[[#This Row],[Cuenta]],1))</f>
        <v>1</v>
      </c>
      <c r="AJ14" t="b">
        <f>+ISNUMBER(SEARCH('F-VTA'!$F$29,Tabla11[[#This Row],[Cuenta]],1))</f>
        <v>1</v>
      </c>
      <c r="AK14" t="b">
        <f>+ISNUMBER(SEARCH('F-VTA'!$F$30,Tabla11[[#This Row],[Cuenta]],1))</f>
        <v>1</v>
      </c>
      <c r="AL14" t="b">
        <f>+ISNUMBER(SEARCH('F-VTA'!$F$31,Tabla11[[#This Row],[Cuenta]],1))</f>
        <v>1</v>
      </c>
      <c r="AM14" t="b">
        <f>+ISNUMBER(SEARCH('F-VTA'!$F$32,Tabla11[[#This Row],[Cuenta]],1))</f>
        <v>1</v>
      </c>
      <c r="AN14" t="b">
        <f>+ISNUMBER(SEARCH('F-VTA'!$F$33,Tabla11[[#This Row],[Cuenta]],1))</f>
        <v>1</v>
      </c>
      <c r="AO14" t="b">
        <f>+ISNUMBER(SEARCH('F-VTA'!$F$34,Tabla11[[#This Row],[Cuenta]],1))</f>
        <v>1</v>
      </c>
      <c r="AP14" t="b">
        <f>+ISNUMBER(SEARCH('F-VTA'!$F$35,Tabla11[[#This Row],[Cuenta]],1))</f>
        <v>1</v>
      </c>
      <c r="AQ14" t="b">
        <f>+ISNUMBER(SEARCH('F-VTA'!$F$36,Tabla11[[#This Row],[Cuenta]],1))</f>
        <v>1</v>
      </c>
      <c r="AR14" t="b">
        <f>+ISNUMBER(SEARCH(#REF!,Tabla11[[#This Row],[Cuenta]],1))</f>
        <v>0</v>
      </c>
      <c r="AS14" t="b">
        <f>+ISNUMBER(SEARCH(#REF!,Tabla11[[#This Row],[Cuenta]],1))</f>
        <v>0</v>
      </c>
      <c r="AT14" t="b">
        <f>+ISNUMBER(SEARCH(#REF!,Tabla11[[#This Row],[Cuenta]],1))</f>
        <v>0</v>
      </c>
      <c r="AU14" t="b">
        <f>+ISNUMBER(SEARCH('Conc. Ban.1'!$I$9,Tabla11[[#This Row],[Cuenta]],1))</f>
        <v>0</v>
      </c>
      <c r="AV14" t="b">
        <f>+ISNUMBER(SEARCH(CompConta!$F$21,Tabla11[[#This Row],[Cuenta]],1))</f>
        <v>1</v>
      </c>
      <c r="AW14" t="b">
        <f>+ISNUMBER(SEARCH(CompConta!$F$22,Tabla11[[#This Row],[Cuenta]],1))</f>
        <v>1</v>
      </c>
      <c r="AX14" t="b">
        <f>+ISNUMBER(SEARCH(CompConta!$F$23,Tabla11[[#This Row],[Cuenta]],1))</f>
        <v>1</v>
      </c>
      <c r="AY14" t="b">
        <f>+ISNUMBER(SEARCH(CompConta!$F$24,Tabla11[[#This Row],[Cuenta]],1))</f>
        <v>1</v>
      </c>
      <c r="AZ14" t="b">
        <f>+ISNUMBER(SEARCH(CompConta!$F$25,Tabla11[[#This Row],[Cuenta]],1))</f>
        <v>1</v>
      </c>
      <c r="BA14" t="b">
        <f>+ISNUMBER(SEARCH(CompConta!$F$26,Tabla11[[#This Row],[Cuenta]],1))</f>
        <v>1</v>
      </c>
      <c r="BB14" t="b">
        <f>+ISNUMBER(SEARCH(CompConta!$F$27,Tabla11[[#This Row],[Cuenta]],1))</f>
        <v>1</v>
      </c>
      <c r="BC14" t="b">
        <f>+ISNUMBER(SEARCH(CompConta!$F$28,Tabla11[[#This Row],[Cuenta]],1))</f>
        <v>1</v>
      </c>
      <c r="BD14" t="b">
        <f>+ISNUMBER(SEARCH(CompConta!$F$29,Tabla11[[#This Row],[Cuenta]],1))</f>
        <v>1</v>
      </c>
      <c r="BE14" t="b">
        <f>+ISNUMBER(SEARCH(CompConta!$F$30,Tabla11[[#This Row],[Cuenta]],1))</f>
        <v>1</v>
      </c>
      <c r="BF14" t="b">
        <f>+ISNUMBER(SEARCH('PAGO Compras'!$E$11,Tabla11[[#This Row],[Cuenta]],1))</f>
        <v>1</v>
      </c>
      <c r="BG14" t="b">
        <f>+ISNUMBER(SEARCH(#REF!,Tabla11[[#This Row],[Cuenta]],1))</f>
        <v>0</v>
      </c>
      <c r="BH14" t="b">
        <f>+ISNUMBER(SEARCH(#REF!,Tabla11[[#This Row],[Cuenta]],1))</f>
        <v>0</v>
      </c>
      <c r="BI14" t="b">
        <f>+ISNUMBER(SEARCH(#REF!,Tabla11[[#This Row],[Cuenta]],1))</f>
        <v>0</v>
      </c>
      <c r="BJ14" t="b">
        <f>+ISNUMBER(SEARCH(#REF!,Tabla11[[#This Row],[Cuenta]],1))</f>
        <v>0</v>
      </c>
      <c r="BS14" t="str">
        <v>1120 CUENTAS DE AHORRO</v>
      </c>
      <c r="BT14" t="str">
        <v>1120 CUENTAS DE AHORRO</v>
      </c>
      <c r="BU14" t="str">
        <v>1120 CUENTAS DE AHORRO</v>
      </c>
      <c r="BV14" t="str">
        <v>1120 CUENTAS DE AHORRO</v>
      </c>
      <c r="BZ14" t="str">
        <v>1120 CUENTAS DE AHORRO</v>
      </c>
      <c r="CA14" t="str">
        <v>1120 CUENTAS DE AHORRO</v>
      </c>
      <c r="CB14" t="str">
        <v>1120 CUENTAS DE AHORRO</v>
      </c>
      <c r="CC14" t="str">
        <v>1120 CUENTAS DE AHORRO</v>
      </c>
      <c r="CD14" t="str">
        <v>1120 CUENTAS DE AHORRO</v>
      </c>
      <c r="CE14" t="str">
        <v>1120 CUENTAS DE AHORRO</v>
      </c>
      <c r="CS14" s="141" t="str">
        <v>1120 CUENTAS DE AHORRO</v>
      </c>
      <c r="CT14" s="141" t="str">
        <v>1120 CUENTAS DE AHORRO</v>
      </c>
      <c r="CU14" s="141" t="str">
        <v>1120 CUENTAS DE AHORRO</v>
      </c>
      <c r="CV14" s="141" t="str">
        <v>1120 CUENTAS DE AHORRO</v>
      </c>
      <c r="CW14" s="141" t="str">
        <v>1120 CUENTAS DE AHORRO</v>
      </c>
      <c r="CX14" s="141" t="str">
        <v>1120 CUENTAS DE AHORRO</v>
      </c>
      <c r="CY14" s="141" t="str">
        <v>1120 CUENTAS DE AHORRO</v>
      </c>
      <c r="CZ14" s="141" t="str">
        <v>1120 CUENTAS DE AHORRO</v>
      </c>
      <c r="DA14" s="141" t="str">
        <v>1120 CUENTAS DE AHORRO</v>
      </c>
      <c r="DF14" t="str">
        <v>1120 CUENTAS DE AHORRO</v>
      </c>
      <c r="DG14" t="str">
        <v>1120 CUENTAS DE AHORRO</v>
      </c>
      <c r="DH14" t="str">
        <v>1120 CUENTAS DE AHORRO</v>
      </c>
      <c r="DI14" t="str">
        <v>1120 CUENTAS DE AHORRO</v>
      </c>
      <c r="DJ14" t="str">
        <v>1120 CUENTAS DE AHORRO</v>
      </c>
      <c r="DK14" t="str">
        <v>1120 CUENTAS DE AHORRO</v>
      </c>
      <c r="DL14" t="str">
        <v>1120 CUENTAS DE AHORRO</v>
      </c>
      <c r="DM14" t="str">
        <v>1120 CUENTAS DE AHORRO</v>
      </c>
      <c r="DN14" t="str">
        <v>1120 CUENTAS DE AHORRO</v>
      </c>
      <c r="DO14" t="str">
        <v>1120 CUENTAS DE AHORRO</v>
      </c>
      <c r="DP14" t="str">
        <v>1120 CUENTAS DE AHORRO</v>
      </c>
    </row>
    <row r="15" spans="4:124" ht="12.75">
      <c r="D15" s="7">
        <v>112005</v>
      </c>
      <c r="E15" s="6" t="s">
        <v>38</v>
      </c>
      <c r="F15" s="5">
        <v>4</v>
      </c>
      <c r="G15" s="34" t="s">
        <v>821</v>
      </c>
      <c r="H15" s="8" t="s">
        <v>32</v>
      </c>
      <c r="I15" t="b">
        <f>+ISNUMBER(SEARCH('F-COMPRA'!$F$28,Tabla11[[#This Row],[Cuenta]],1))</f>
        <v>1</v>
      </c>
      <c r="J15" t="b">
        <f>+ISNUMBER(SEARCH('F-COMPRA'!$F$29,Tabla11[[#This Row],[Cuenta]],1))</f>
        <v>1</v>
      </c>
      <c r="K15" t="b">
        <f>+ISNUMBER(SEARCH('F-COMPRA'!$F$30,Tabla11[[#This Row],[Cuenta]],1))</f>
        <v>1</v>
      </c>
      <c r="L15" t="b">
        <f>+ISNUMBER(SEARCH('F-COMPRA'!$F$31,Tabla11[[#This Row],[Cuenta]],1))</f>
        <v>1</v>
      </c>
      <c r="M15" t="b">
        <f>+ISNUMBER(SEARCH('F-COMPRA'!$G$25,Tabla11[[#This Row],[Cuenta]],1))</f>
        <v>0</v>
      </c>
      <c r="N15" t="b">
        <f>+ISNUMBER(SEARCH(#REF!,Tabla11[[#This Row],[Cuenta]],1))</f>
        <v>0</v>
      </c>
      <c r="O15" t="b">
        <f>+ISNUMBER(SEARCH(#REF!,Tabla11[[#This Row],[Cuenta]],1))</f>
        <v>0</v>
      </c>
      <c r="P15" t="b">
        <f>+ISNUMBER(SEARCH('F-COMPRA'!$F$32,Tabla11[[#This Row],[Cuenta]],1))</f>
        <v>1</v>
      </c>
      <c r="Q15" t="b">
        <f>+ISNUMBER(SEARCH('F-COMPRA'!$F$33,Tabla11[[#This Row],[Cuenta]],1))</f>
        <v>1</v>
      </c>
      <c r="R15" t="b">
        <f>+ISNUMBER(SEARCH('F-COMPRA'!$F$34,Tabla11[[#This Row],[Cuenta]],1))</f>
        <v>1</v>
      </c>
      <c r="S15" t="b">
        <f>+ISNUMBER(SEARCH('F-COMPRA'!$F$35,Tabla11[[#This Row],[Cuenta]],1))</f>
        <v>1</v>
      </c>
      <c r="T15" t="b">
        <f>+ISNUMBER(SEARCH('F-COMPRA'!$F$36,Tabla11[[#This Row],[Cuenta]],1))</f>
        <v>1</v>
      </c>
      <c r="U15" t="b">
        <f>+ISNUMBER(SEARCH('F-COMPRA'!$F$37,Tabla11[[#This Row],[Cuenta]],1))</f>
        <v>1</v>
      </c>
      <c r="V15" t="b">
        <f>+ISNUMBER(SEARCH(#REF!,Tabla11[[#This Row],[Cuenta]],1))</f>
        <v>0</v>
      </c>
      <c r="W15" t="b">
        <f>+ISNUMBER(SEARCH('F-COMPRA'!#REF!,Tabla11[[#This Row],[Cuenta]],1))</f>
        <v>0</v>
      </c>
      <c r="X15" t="b">
        <f>+ISNUMBER(SEARCH('F-COMPRA'!#REF!,Tabla11[[#This Row],[Cuenta]],1))</f>
        <v>0</v>
      </c>
      <c r="Y15" t="b">
        <f>+ISNUMBER(SEARCH('F-COMPRA'!#REF!,Tabla11[[#This Row],[Cuenta]],1))</f>
        <v>0</v>
      </c>
      <c r="Z15" t="b">
        <f>+ISNUMBER(SEARCH('F-COMPRA'!#REF!,Tabla11[[#This Row],[Cuenta]],1))</f>
        <v>0</v>
      </c>
      <c r="AA15" t="b">
        <f>+ISNUMBER(SEARCH('F-COMPRA'!#REF!,Tabla11[[#This Row],[Cuenta]],1))</f>
        <v>0</v>
      </c>
      <c r="AB15" t="b">
        <f>+ISNUMBER(SEARCH('F-COMPRA'!#REF!,Tabla11[[#This Row],[Cuenta]],1))</f>
        <v>0</v>
      </c>
      <c r="AC15" t="b">
        <f>+ISNUMBER(SEARCH('F-COMPRA'!#REF!,Tabla11[[#This Row],[Cuenta]],1))</f>
        <v>0</v>
      </c>
      <c r="AD15" t="b">
        <f>+ISNUMBER(SEARCH('F-COMPRA'!#REF!,Tabla11[[#This Row],[Cuenta]],1))</f>
        <v>0</v>
      </c>
      <c r="AE15" t="b">
        <f>+ISNUMBER(SEARCH('F-COMPRA'!#REF!,Tabla11[[#This Row],[Cuenta]],1))</f>
        <v>0</v>
      </c>
      <c r="AF15" t="b">
        <f>+ISNUMBER(SEARCH('F-VTA'!$G$23,Tabla11[[#This Row],[Cuenta]],1))</f>
        <v>0</v>
      </c>
      <c r="AG15" t="b">
        <f>+ISNUMBER(SEARCH('F-VTA'!$G$24,Tabla11[[#This Row],[Cuenta]],1))</f>
        <v>0</v>
      </c>
      <c r="AH15" t="b">
        <f>+ISNUMBER(SEARCH('F-VTA'!$G$25,Tabla11[[#This Row],[Cuenta]],1))</f>
        <v>0</v>
      </c>
      <c r="AI15" t="b">
        <f>+ISNUMBER(SEARCH('F-VTA'!$F$28,Tabla11[[#This Row],[Cuenta]],1))</f>
        <v>1</v>
      </c>
      <c r="AJ15" t="b">
        <f>+ISNUMBER(SEARCH('F-VTA'!$F$29,Tabla11[[#This Row],[Cuenta]],1))</f>
        <v>1</v>
      </c>
      <c r="AK15" t="b">
        <f>+ISNUMBER(SEARCH('F-VTA'!$F$30,Tabla11[[#This Row],[Cuenta]],1))</f>
        <v>1</v>
      </c>
      <c r="AL15" t="b">
        <f>+ISNUMBER(SEARCH('F-VTA'!$F$31,Tabla11[[#This Row],[Cuenta]],1))</f>
        <v>1</v>
      </c>
      <c r="AM15" t="b">
        <f>+ISNUMBER(SEARCH('F-VTA'!$F$32,Tabla11[[#This Row],[Cuenta]],1))</f>
        <v>1</v>
      </c>
      <c r="AN15" t="b">
        <f>+ISNUMBER(SEARCH('F-VTA'!$F$33,Tabla11[[#This Row],[Cuenta]],1))</f>
        <v>1</v>
      </c>
      <c r="AO15" t="b">
        <f>+ISNUMBER(SEARCH('F-VTA'!$F$34,Tabla11[[#This Row],[Cuenta]],1))</f>
        <v>1</v>
      </c>
      <c r="AP15" t="b">
        <f>+ISNUMBER(SEARCH('F-VTA'!$F$35,Tabla11[[#This Row],[Cuenta]],1))</f>
        <v>1</v>
      </c>
      <c r="AQ15" t="b">
        <f>+ISNUMBER(SEARCH('F-VTA'!$F$36,Tabla11[[#This Row],[Cuenta]],1))</f>
        <v>1</v>
      </c>
      <c r="AR15" t="b">
        <f>+ISNUMBER(SEARCH(#REF!,Tabla11[[#This Row],[Cuenta]],1))</f>
        <v>0</v>
      </c>
      <c r="AS15" t="b">
        <f>+ISNUMBER(SEARCH(#REF!,Tabla11[[#This Row],[Cuenta]],1))</f>
        <v>0</v>
      </c>
      <c r="AT15" t="b">
        <f>+ISNUMBER(SEARCH(#REF!,Tabla11[[#This Row],[Cuenta]],1))</f>
        <v>0</v>
      </c>
      <c r="AU15" t="b">
        <f>+ISNUMBER(SEARCH('Conc. Ban.1'!$I$9,Tabla11[[#This Row],[Cuenta]],1))</f>
        <v>0</v>
      </c>
      <c r="AV15" t="b">
        <f>+ISNUMBER(SEARCH(CompConta!$F$21,Tabla11[[#This Row],[Cuenta]],1))</f>
        <v>1</v>
      </c>
      <c r="AW15" t="b">
        <f>+ISNUMBER(SEARCH(CompConta!$F$22,Tabla11[[#This Row],[Cuenta]],1))</f>
        <v>1</v>
      </c>
      <c r="AX15" t="b">
        <f>+ISNUMBER(SEARCH(CompConta!$F$23,Tabla11[[#This Row],[Cuenta]],1))</f>
        <v>1</v>
      </c>
      <c r="AY15" t="b">
        <f>+ISNUMBER(SEARCH(CompConta!$F$24,Tabla11[[#This Row],[Cuenta]],1))</f>
        <v>1</v>
      </c>
      <c r="AZ15" t="b">
        <f>+ISNUMBER(SEARCH(CompConta!$F$25,Tabla11[[#This Row],[Cuenta]],1))</f>
        <v>1</v>
      </c>
      <c r="BA15" t="b">
        <f>+ISNUMBER(SEARCH(CompConta!$F$26,Tabla11[[#This Row],[Cuenta]],1))</f>
        <v>1</v>
      </c>
      <c r="BB15" t="b">
        <f>+ISNUMBER(SEARCH(CompConta!$F$27,Tabla11[[#This Row],[Cuenta]],1))</f>
        <v>1</v>
      </c>
      <c r="BC15" t="b">
        <f>+ISNUMBER(SEARCH(CompConta!$F$28,Tabla11[[#This Row],[Cuenta]],1))</f>
        <v>1</v>
      </c>
      <c r="BD15" t="b">
        <f>+ISNUMBER(SEARCH(CompConta!$F$29,Tabla11[[#This Row],[Cuenta]],1))</f>
        <v>1</v>
      </c>
      <c r="BE15" t="b">
        <f>+ISNUMBER(SEARCH(CompConta!$F$30,Tabla11[[#This Row],[Cuenta]],1))</f>
        <v>1</v>
      </c>
      <c r="BF15" t="b">
        <f>+ISNUMBER(SEARCH('PAGO Compras'!$E$11,Tabla11[[#This Row],[Cuenta]],1))</f>
        <v>1</v>
      </c>
      <c r="BG15" t="b">
        <f>+ISNUMBER(SEARCH(#REF!,Tabla11[[#This Row],[Cuenta]],1))</f>
        <v>0</v>
      </c>
      <c r="BH15" t="b">
        <f>+ISNUMBER(SEARCH(#REF!,Tabla11[[#This Row],[Cuenta]],1))</f>
        <v>0</v>
      </c>
      <c r="BI15" t="b">
        <f>+ISNUMBER(SEARCH(#REF!,Tabla11[[#This Row],[Cuenta]],1))</f>
        <v>0</v>
      </c>
      <c r="BJ15" t="b">
        <f>+ISNUMBER(SEARCH(#REF!,Tabla11[[#This Row],[Cuenta]],1))</f>
        <v>0</v>
      </c>
      <c r="BS15" t="str">
        <v>112005 Bancos</v>
      </c>
      <c r="BT15" t="str">
        <v>112005 Bancos</v>
      </c>
      <c r="BU15" t="str">
        <v>112005 Bancos</v>
      </c>
      <c r="BV15" t="str">
        <v>112005 Bancos</v>
      </c>
      <c r="BZ15" t="str">
        <v>112005 Bancos</v>
      </c>
      <c r="CA15" t="str">
        <v>112005 Bancos</v>
      </c>
      <c r="CB15" t="str">
        <v>112005 Bancos</v>
      </c>
      <c r="CC15" t="str">
        <v>112005 Bancos</v>
      </c>
      <c r="CD15" t="str">
        <v>112005 Bancos</v>
      </c>
      <c r="CE15" t="str">
        <v>112005 Bancos</v>
      </c>
      <c r="CS15" s="141" t="str">
        <v>112005 Bancos</v>
      </c>
      <c r="CT15" s="141" t="str">
        <v>112005 Bancos</v>
      </c>
      <c r="CU15" s="141" t="str">
        <v>112005 Bancos</v>
      </c>
      <c r="CV15" s="141" t="str">
        <v>112005 Bancos</v>
      </c>
      <c r="CW15" s="141" t="str">
        <v>112005 Bancos</v>
      </c>
      <c r="CX15" s="141" t="str">
        <v>112005 Bancos</v>
      </c>
      <c r="CY15" s="141" t="str">
        <v>112005 Bancos</v>
      </c>
      <c r="CZ15" s="141" t="str">
        <v>112005 Bancos</v>
      </c>
      <c r="DA15" s="141" t="str">
        <v>112005 Bancos</v>
      </c>
      <c r="DF15" t="str">
        <v>112005 Bancos</v>
      </c>
      <c r="DG15" t="str">
        <v>112005 Bancos</v>
      </c>
      <c r="DH15" t="str">
        <v>112005 Bancos</v>
      </c>
      <c r="DI15" t="str">
        <v>112005 Bancos</v>
      </c>
      <c r="DJ15" t="str">
        <v>112005 Bancos</v>
      </c>
      <c r="DK15" t="str">
        <v>112005 Bancos</v>
      </c>
      <c r="DL15" t="str">
        <v>112005 Bancos</v>
      </c>
      <c r="DM15" t="str">
        <v>112005 Bancos</v>
      </c>
      <c r="DN15" t="str">
        <v>112005 Bancos</v>
      </c>
      <c r="DO15" t="str">
        <v>112005 Bancos</v>
      </c>
      <c r="DP15" t="str">
        <v>112005 Bancos</v>
      </c>
    </row>
    <row r="16" spans="4:124" ht="12.75">
      <c r="D16" s="7">
        <v>112010</v>
      </c>
      <c r="E16" s="6" t="s">
        <v>39</v>
      </c>
      <c r="F16" s="5">
        <v>4</v>
      </c>
      <c r="G16" s="34" t="s">
        <v>821</v>
      </c>
      <c r="H16" s="8" t="s">
        <v>32</v>
      </c>
      <c r="I16" t="b">
        <f>+ISNUMBER(SEARCH('F-COMPRA'!$F$28,Tabla11[[#This Row],[Cuenta]],1))</f>
        <v>1</v>
      </c>
      <c r="J16" t="b">
        <f>+ISNUMBER(SEARCH('F-COMPRA'!$F$29,Tabla11[[#This Row],[Cuenta]],1))</f>
        <v>1</v>
      </c>
      <c r="K16" t="b">
        <f>+ISNUMBER(SEARCH('F-COMPRA'!$F$30,Tabla11[[#This Row],[Cuenta]],1))</f>
        <v>1</v>
      </c>
      <c r="L16" t="b">
        <f>+ISNUMBER(SEARCH('F-COMPRA'!$F$31,Tabla11[[#This Row],[Cuenta]],1))</f>
        <v>1</v>
      </c>
      <c r="M16" t="b">
        <f>+ISNUMBER(SEARCH('F-COMPRA'!$G$25,Tabla11[[#This Row],[Cuenta]],1))</f>
        <v>0</v>
      </c>
      <c r="N16" t="b">
        <f>+ISNUMBER(SEARCH(#REF!,Tabla11[[#This Row],[Cuenta]],1))</f>
        <v>0</v>
      </c>
      <c r="O16" t="b">
        <f>+ISNUMBER(SEARCH(#REF!,Tabla11[[#This Row],[Cuenta]],1))</f>
        <v>0</v>
      </c>
      <c r="P16" t="b">
        <f>+ISNUMBER(SEARCH('F-COMPRA'!$F$32,Tabla11[[#This Row],[Cuenta]],1))</f>
        <v>1</v>
      </c>
      <c r="Q16" t="b">
        <f>+ISNUMBER(SEARCH('F-COMPRA'!$F$33,Tabla11[[#This Row],[Cuenta]],1))</f>
        <v>1</v>
      </c>
      <c r="R16" t="b">
        <f>+ISNUMBER(SEARCH('F-COMPRA'!$F$34,Tabla11[[#This Row],[Cuenta]],1))</f>
        <v>1</v>
      </c>
      <c r="S16" t="b">
        <f>+ISNUMBER(SEARCH('F-COMPRA'!$F$35,Tabla11[[#This Row],[Cuenta]],1))</f>
        <v>1</v>
      </c>
      <c r="T16" t="b">
        <f>+ISNUMBER(SEARCH('F-COMPRA'!$F$36,Tabla11[[#This Row],[Cuenta]],1))</f>
        <v>1</v>
      </c>
      <c r="U16" t="b">
        <f>+ISNUMBER(SEARCH('F-COMPRA'!$F$37,Tabla11[[#This Row],[Cuenta]],1))</f>
        <v>1</v>
      </c>
      <c r="V16" t="b">
        <f>+ISNUMBER(SEARCH(#REF!,Tabla11[[#This Row],[Cuenta]],1))</f>
        <v>0</v>
      </c>
      <c r="W16" t="b">
        <f>+ISNUMBER(SEARCH('F-COMPRA'!#REF!,Tabla11[[#This Row],[Cuenta]],1))</f>
        <v>0</v>
      </c>
      <c r="X16" t="b">
        <f>+ISNUMBER(SEARCH('F-COMPRA'!#REF!,Tabla11[[#This Row],[Cuenta]],1))</f>
        <v>0</v>
      </c>
      <c r="Y16" t="b">
        <f>+ISNUMBER(SEARCH('F-COMPRA'!#REF!,Tabla11[[#This Row],[Cuenta]],1))</f>
        <v>0</v>
      </c>
      <c r="Z16" t="b">
        <f>+ISNUMBER(SEARCH('F-COMPRA'!#REF!,Tabla11[[#This Row],[Cuenta]],1))</f>
        <v>0</v>
      </c>
      <c r="AA16" t="b">
        <f>+ISNUMBER(SEARCH('F-COMPRA'!#REF!,Tabla11[[#This Row],[Cuenta]],1))</f>
        <v>0</v>
      </c>
      <c r="AB16" t="b">
        <f>+ISNUMBER(SEARCH('F-COMPRA'!#REF!,Tabla11[[#This Row],[Cuenta]],1))</f>
        <v>0</v>
      </c>
      <c r="AC16" t="b">
        <f>+ISNUMBER(SEARCH('F-COMPRA'!#REF!,Tabla11[[#This Row],[Cuenta]],1))</f>
        <v>0</v>
      </c>
      <c r="AD16" t="b">
        <f>+ISNUMBER(SEARCH('F-COMPRA'!#REF!,Tabla11[[#This Row],[Cuenta]],1))</f>
        <v>0</v>
      </c>
      <c r="AE16" t="b">
        <f>+ISNUMBER(SEARCH('F-COMPRA'!#REF!,Tabla11[[#This Row],[Cuenta]],1))</f>
        <v>0</v>
      </c>
      <c r="AF16" t="b">
        <f>+ISNUMBER(SEARCH('F-VTA'!$G$23,Tabla11[[#This Row],[Cuenta]],1))</f>
        <v>0</v>
      </c>
      <c r="AG16" t="b">
        <f>+ISNUMBER(SEARCH('F-VTA'!$G$24,Tabla11[[#This Row],[Cuenta]],1))</f>
        <v>0</v>
      </c>
      <c r="AH16" t="b">
        <f>+ISNUMBER(SEARCH('F-VTA'!$G$25,Tabla11[[#This Row],[Cuenta]],1))</f>
        <v>0</v>
      </c>
      <c r="AI16" t="b">
        <f>+ISNUMBER(SEARCH('F-VTA'!$F$28,Tabla11[[#This Row],[Cuenta]],1))</f>
        <v>1</v>
      </c>
      <c r="AJ16" t="b">
        <f>+ISNUMBER(SEARCH('F-VTA'!$F$29,Tabla11[[#This Row],[Cuenta]],1))</f>
        <v>1</v>
      </c>
      <c r="AK16" t="b">
        <f>+ISNUMBER(SEARCH('F-VTA'!$F$30,Tabla11[[#This Row],[Cuenta]],1))</f>
        <v>1</v>
      </c>
      <c r="AL16" t="b">
        <f>+ISNUMBER(SEARCH('F-VTA'!$F$31,Tabla11[[#This Row],[Cuenta]],1))</f>
        <v>1</v>
      </c>
      <c r="AM16" t="b">
        <f>+ISNUMBER(SEARCH('F-VTA'!$F$32,Tabla11[[#This Row],[Cuenta]],1))</f>
        <v>1</v>
      </c>
      <c r="AN16" t="b">
        <f>+ISNUMBER(SEARCH('F-VTA'!$F$33,Tabla11[[#This Row],[Cuenta]],1))</f>
        <v>1</v>
      </c>
      <c r="AO16" t="b">
        <f>+ISNUMBER(SEARCH('F-VTA'!$F$34,Tabla11[[#This Row],[Cuenta]],1))</f>
        <v>1</v>
      </c>
      <c r="AP16" t="b">
        <f>+ISNUMBER(SEARCH('F-VTA'!$F$35,Tabla11[[#This Row],[Cuenta]],1))</f>
        <v>1</v>
      </c>
      <c r="AQ16" t="b">
        <f>+ISNUMBER(SEARCH('F-VTA'!$F$36,Tabla11[[#This Row],[Cuenta]],1))</f>
        <v>1</v>
      </c>
      <c r="AR16" t="b">
        <f>+ISNUMBER(SEARCH(#REF!,Tabla11[[#This Row],[Cuenta]],1))</f>
        <v>0</v>
      </c>
      <c r="AS16" t="b">
        <f>+ISNUMBER(SEARCH(#REF!,Tabla11[[#This Row],[Cuenta]],1))</f>
        <v>0</v>
      </c>
      <c r="AT16" t="b">
        <f>+ISNUMBER(SEARCH(#REF!,Tabla11[[#This Row],[Cuenta]],1))</f>
        <v>0</v>
      </c>
      <c r="AU16" t="b">
        <f>+ISNUMBER(SEARCH('Conc. Ban.1'!$I$9,Tabla11[[#This Row],[Cuenta]],1))</f>
        <v>0</v>
      </c>
      <c r="AV16" t="b">
        <f>+ISNUMBER(SEARCH(CompConta!$F$21,Tabla11[[#This Row],[Cuenta]],1))</f>
        <v>1</v>
      </c>
      <c r="AW16" t="b">
        <f>+ISNUMBER(SEARCH(CompConta!$F$22,Tabla11[[#This Row],[Cuenta]],1))</f>
        <v>1</v>
      </c>
      <c r="AX16" t="b">
        <f>+ISNUMBER(SEARCH(CompConta!$F$23,Tabla11[[#This Row],[Cuenta]],1))</f>
        <v>1</v>
      </c>
      <c r="AY16" t="b">
        <f>+ISNUMBER(SEARCH(CompConta!$F$24,Tabla11[[#This Row],[Cuenta]],1))</f>
        <v>1</v>
      </c>
      <c r="AZ16" t="b">
        <f>+ISNUMBER(SEARCH(CompConta!$F$25,Tabla11[[#This Row],[Cuenta]],1))</f>
        <v>1</v>
      </c>
      <c r="BA16" t="b">
        <f>+ISNUMBER(SEARCH(CompConta!$F$26,Tabla11[[#This Row],[Cuenta]],1))</f>
        <v>1</v>
      </c>
      <c r="BB16" t="b">
        <f>+ISNUMBER(SEARCH(CompConta!$F$27,Tabla11[[#This Row],[Cuenta]],1))</f>
        <v>1</v>
      </c>
      <c r="BC16" t="b">
        <f>+ISNUMBER(SEARCH(CompConta!$F$28,Tabla11[[#This Row],[Cuenta]],1))</f>
        <v>1</v>
      </c>
      <c r="BD16" t="b">
        <f>+ISNUMBER(SEARCH(CompConta!$F$29,Tabla11[[#This Row],[Cuenta]],1))</f>
        <v>1</v>
      </c>
      <c r="BE16" t="b">
        <f>+ISNUMBER(SEARCH(CompConta!$F$30,Tabla11[[#This Row],[Cuenta]],1))</f>
        <v>1</v>
      </c>
      <c r="BF16" t="b">
        <f>+ISNUMBER(SEARCH('PAGO Compras'!$E$11,Tabla11[[#This Row],[Cuenta]],1))</f>
        <v>1</v>
      </c>
      <c r="BG16" t="b">
        <f>+ISNUMBER(SEARCH(#REF!,Tabla11[[#This Row],[Cuenta]],1))</f>
        <v>0</v>
      </c>
      <c r="BH16" t="b">
        <f>+ISNUMBER(SEARCH(#REF!,Tabla11[[#This Row],[Cuenta]],1))</f>
        <v>0</v>
      </c>
      <c r="BI16" t="b">
        <f>+ISNUMBER(SEARCH(#REF!,Tabla11[[#This Row],[Cuenta]],1))</f>
        <v>0</v>
      </c>
      <c r="BJ16" t="b">
        <f>+ISNUMBER(SEARCH(#REF!,Tabla11[[#This Row],[Cuenta]],1))</f>
        <v>0</v>
      </c>
      <c r="BS16" t="str">
        <v>112010 Corporaciones de ahorro y vivienda</v>
      </c>
      <c r="BT16" t="str">
        <v>112010 Corporaciones de ahorro y vivienda</v>
      </c>
      <c r="BU16" t="str">
        <v>112010 Corporaciones de ahorro y vivienda</v>
      </c>
      <c r="BV16" t="str">
        <v>112010 Corporaciones de ahorro y vivienda</v>
      </c>
      <c r="BZ16" t="str">
        <v>112010 Corporaciones de ahorro y vivienda</v>
      </c>
      <c r="CA16" t="str">
        <v>112010 Corporaciones de ahorro y vivienda</v>
      </c>
      <c r="CB16" t="str">
        <v>112010 Corporaciones de ahorro y vivienda</v>
      </c>
      <c r="CC16" t="str">
        <v>112010 Corporaciones de ahorro y vivienda</v>
      </c>
      <c r="CD16" t="str">
        <v>112010 Corporaciones de ahorro y vivienda</v>
      </c>
      <c r="CE16" t="str">
        <v>112010 Corporaciones de ahorro y vivienda</v>
      </c>
      <c r="CS16" s="141" t="str">
        <v>112010 Corporaciones de ahorro y vivienda</v>
      </c>
      <c r="CT16" s="141" t="str">
        <v>112010 Corporaciones de ahorro y vivienda</v>
      </c>
      <c r="CU16" s="141" t="str">
        <v>112010 Corporaciones de ahorro y vivienda</v>
      </c>
      <c r="CV16" s="141" t="str">
        <v>112010 Corporaciones de ahorro y vivienda</v>
      </c>
      <c r="CW16" s="141" t="str">
        <v>112010 Corporaciones de ahorro y vivienda</v>
      </c>
      <c r="CX16" s="141" t="str">
        <v>112010 Corporaciones de ahorro y vivienda</v>
      </c>
      <c r="CY16" s="141" t="str">
        <v>112010 Corporaciones de ahorro y vivienda</v>
      </c>
      <c r="CZ16" s="141" t="str">
        <v>112010 Corporaciones de ahorro y vivienda</v>
      </c>
      <c r="DA16" s="141" t="str">
        <v>112010 Corporaciones de ahorro y vivienda</v>
      </c>
      <c r="DF16" t="str">
        <v>112010 Corporaciones de ahorro y vivienda</v>
      </c>
      <c r="DG16" t="str">
        <v>112010 Corporaciones de ahorro y vivienda</v>
      </c>
      <c r="DH16" t="str">
        <v>112010 Corporaciones de ahorro y vivienda</v>
      </c>
      <c r="DI16" t="str">
        <v>112010 Corporaciones de ahorro y vivienda</v>
      </c>
      <c r="DJ16" t="str">
        <v>112010 Corporaciones de ahorro y vivienda</v>
      </c>
      <c r="DK16" t="str">
        <v>112010 Corporaciones de ahorro y vivienda</v>
      </c>
      <c r="DL16" t="str">
        <v>112010 Corporaciones de ahorro y vivienda</v>
      </c>
      <c r="DM16" t="str">
        <v>112010 Corporaciones de ahorro y vivienda</v>
      </c>
      <c r="DN16" t="str">
        <v>112010 Corporaciones de ahorro y vivienda</v>
      </c>
      <c r="DO16" t="str">
        <v>112010 Corporaciones de ahorro y vivienda</v>
      </c>
      <c r="DP16" t="str">
        <v>112010 Corporaciones de ahorro y vivienda</v>
      </c>
    </row>
    <row r="17" spans="4:120" ht="12.75">
      <c r="D17" s="7">
        <v>112015</v>
      </c>
      <c r="E17" s="6" t="s">
        <v>40</v>
      </c>
      <c r="F17" s="5">
        <v>4</v>
      </c>
      <c r="G17" s="34" t="s">
        <v>821</v>
      </c>
      <c r="H17" s="8" t="s">
        <v>32</v>
      </c>
      <c r="I17" t="b">
        <f>+ISNUMBER(SEARCH('F-COMPRA'!$F$28,Tabla11[[#This Row],[Cuenta]],1))</f>
        <v>1</v>
      </c>
      <c r="J17" t="b">
        <f>+ISNUMBER(SEARCH('F-COMPRA'!$F$29,Tabla11[[#This Row],[Cuenta]],1))</f>
        <v>1</v>
      </c>
      <c r="K17" t="b">
        <f>+ISNUMBER(SEARCH('F-COMPRA'!$F$30,Tabla11[[#This Row],[Cuenta]],1))</f>
        <v>1</v>
      </c>
      <c r="L17" t="b">
        <f>+ISNUMBER(SEARCH('F-COMPRA'!$F$31,Tabla11[[#This Row],[Cuenta]],1))</f>
        <v>1</v>
      </c>
      <c r="M17" t="b">
        <f>+ISNUMBER(SEARCH('F-COMPRA'!$G$25,Tabla11[[#This Row],[Cuenta]],1))</f>
        <v>0</v>
      </c>
      <c r="N17" t="b">
        <f>+ISNUMBER(SEARCH(#REF!,Tabla11[[#This Row],[Cuenta]],1))</f>
        <v>0</v>
      </c>
      <c r="O17" t="b">
        <f>+ISNUMBER(SEARCH(#REF!,Tabla11[[#This Row],[Cuenta]],1))</f>
        <v>0</v>
      </c>
      <c r="P17" t="b">
        <f>+ISNUMBER(SEARCH('F-COMPRA'!$F$32,Tabla11[[#This Row],[Cuenta]],1))</f>
        <v>1</v>
      </c>
      <c r="Q17" t="b">
        <f>+ISNUMBER(SEARCH('F-COMPRA'!$F$33,Tabla11[[#This Row],[Cuenta]],1))</f>
        <v>1</v>
      </c>
      <c r="R17" t="b">
        <f>+ISNUMBER(SEARCH('F-COMPRA'!$F$34,Tabla11[[#This Row],[Cuenta]],1))</f>
        <v>1</v>
      </c>
      <c r="S17" t="b">
        <f>+ISNUMBER(SEARCH('F-COMPRA'!$F$35,Tabla11[[#This Row],[Cuenta]],1))</f>
        <v>1</v>
      </c>
      <c r="T17" t="b">
        <f>+ISNUMBER(SEARCH('F-COMPRA'!$F$36,Tabla11[[#This Row],[Cuenta]],1))</f>
        <v>1</v>
      </c>
      <c r="U17" t="b">
        <f>+ISNUMBER(SEARCH('F-COMPRA'!$F$37,Tabla11[[#This Row],[Cuenta]],1))</f>
        <v>1</v>
      </c>
      <c r="V17" t="b">
        <f>+ISNUMBER(SEARCH(#REF!,Tabla11[[#This Row],[Cuenta]],1))</f>
        <v>0</v>
      </c>
      <c r="W17" t="b">
        <f>+ISNUMBER(SEARCH('F-COMPRA'!#REF!,Tabla11[[#This Row],[Cuenta]],1))</f>
        <v>0</v>
      </c>
      <c r="X17" t="b">
        <f>+ISNUMBER(SEARCH('F-COMPRA'!#REF!,Tabla11[[#This Row],[Cuenta]],1))</f>
        <v>0</v>
      </c>
      <c r="Y17" t="b">
        <f>+ISNUMBER(SEARCH('F-COMPRA'!#REF!,Tabla11[[#This Row],[Cuenta]],1))</f>
        <v>0</v>
      </c>
      <c r="Z17" t="b">
        <f>+ISNUMBER(SEARCH('F-COMPRA'!#REF!,Tabla11[[#This Row],[Cuenta]],1))</f>
        <v>0</v>
      </c>
      <c r="AA17" t="b">
        <f>+ISNUMBER(SEARCH('F-COMPRA'!#REF!,Tabla11[[#This Row],[Cuenta]],1))</f>
        <v>0</v>
      </c>
      <c r="AB17" t="b">
        <f>+ISNUMBER(SEARCH('F-COMPRA'!#REF!,Tabla11[[#This Row],[Cuenta]],1))</f>
        <v>0</v>
      </c>
      <c r="AC17" t="b">
        <f>+ISNUMBER(SEARCH('F-COMPRA'!#REF!,Tabla11[[#This Row],[Cuenta]],1))</f>
        <v>0</v>
      </c>
      <c r="AD17" t="b">
        <f>+ISNUMBER(SEARCH('F-COMPRA'!#REF!,Tabla11[[#This Row],[Cuenta]],1))</f>
        <v>0</v>
      </c>
      <c r="AE17" t="b">
        <f>+ISNUMBER(SEARCH('F-COMPRA'!#REF!,Tabla11[[#This Row],[Cuenta]],1))</f>
        <v>0</v>
      </c>
      <c r="AF17" t="b">
        <f>+ISNUMBER(SEARCH('F-VTA'!$G$23,Tabla11[[#This Row],[Cuenta]],1))</f>
        <v>0</v>
      </c>
      <c r="AG17" t="b">
        <f>+ISNUMBER(SEARCH('F-VTA'!$G$24,Tabla11[[#This Row],[Cuenta]],1))</f>
        <v>0</v>
      </c>
      <c r="AH17" t="b">
        <f>+ISNUMBER(SEARCH('F-VTA'!$G$25,Tabla11[[#This Row],[Cuenta]],1))</f>
        <v>0</v>
      </c>
      <c r="AI17" t="b">
        <f>+ISNUMBER(SEARCH('F-VTA'!$F$28,Tabla11[[#This Row],[Cuenta]],1))</f>
        <v>1</v>
      </c>
      <c r="AJ17" t="b">
        <f>+ISNUMBER(SEARCH('F-VTA'!$F$29,Tabla11[[#This Row],[Cuenta]],1))</f>
        <v>1</v>
      </c>
      <c r="AK17" t="b">
        <f>+ISNUMBER(SEARCH('F-VTA'!$F$30,Tabla11[[#This Row],[Cuenta]],1))</f>
        <v>1</v>
      </c>
      <c r="AL17" t="b">
        <f>+ISNUMBER(SEARCH('F-VTA'!$F$31,Tabla11[[#This Row],[Cuenta]],1))</f>
        <v>1</v>
      </c>
      <c r="AM17" t="b">
        <f>+ISNUMBER(SEARCH('F-VTA'!$F$32,Tabla11[[#This Row],[Cuenta]],1))</f>
        <v>1</v>
      </c>
      <c r="AN17" t="b">
        <f>+ISNUMBER(SEARCH('F-VTA'!$F$33,Tabla11[[#This Row],[Cuenta]],1))</f>
        <v>1</v>
      </c>
      <c r="AO17" t="b">
        <f>+ISNUMBER(SEARCH('F-VTA'!$F$34,Tabla11[[#This Row],[Cuenta]],1))</f>
        <v>1</v>
      </c>
      <c r="AP17" t="b">
        <f>+ISNUMBER(SEARCH('F-VTA'!$F$35,Tabla11[[#This Row],[Cuenta]],1))</f>
        <v>1</v>
      </c>
      <c r="AQ17" t="b">
        <f>+ISNUMBER(SEARCH('F-VTA'!$F$36,Tabla11[[#This Row],[Cuenta]],1))</f>
        <v>1</v>
      </c>
      <c r="AR17" t="b">
        <f>+ISNUMBER(SEARCH(#REF!,Tabla11[[#This Row],[Cuenta]],1))</f>
        <v>0</v>
      </c>
      <c r="AS17" t="b">
        <f>+ISNUMBER(SEARCH(#REF!,Tabla11[[#This Row],[Cuenta]],1))</f>
        <v>0</v>
      </c>
      <c r="AT17" t="b">
        <f>+ISNUMBER(SEARCH(#REF!,Tabla11[[#This Row],[Cuenta]],1))</f>
        <v>0</v>
      </c>
      <c r="AU17" t="b">
        <f>+ISNUMBER(SEARCH('Conc. Ban.1'!$I$9,Tabla11[[#This Row],[Cuenta]],1))</f>
        <v>0</v>
      </c>
      <c r="AV17" t="b">
        <f>+ISNUMBER(SEARCH(CompConta!$F$21,Tabla11[[#This Row],[Cuenta]],1))</f>
        <v>1</v>
      </c>
      <c r="AW17" t="b">
        <f>+ISNUMBER(SEARCH(CompConta!$F$22,Tabla11[[#This Row],[Cuenta]],1))</f>
        <v>1</v>
      </c>
      <c r="AX17" t="b">
        <f>+ISNUMBER(SEARCH(CompConta!$F$23,Tabla11[[#This Row],[Cuenta]],1))</f>
        <v>1</v>
      </c>
      <c r="AY17" t="b">
        <f>+ISNUMBER(SEARCH(CompConta!$F$24,Tabla11[[#This Row],[Cuenta]],1))</f>
        <v>1</v>
      </c>
      <c r="AZ17" t="b">
        <f>+ISNUMBER(SEARCH(CompConta!$F$25,Tabla11[[#This Row],[Cuenta]],1))</f>
        <v>1</v>
      </c>
      <c r="BA17" t="b">
        <f>+ISNUMBER(SEARCH(CompConta!$F$26,Tabla11[[#This Row],[Cuenta]],1))</f>
        <v>1</v>
      </c>
      <c r="BB17" t="b">
        <f>+ISNUMBER(SEARCH(CompConta!$F$27,Tabla11[[#This Row],[Cuenta]],1))</f>
        <v>1</v>
      </c>
      <c r="BC17" t="b">
        <f>+ISNUMBER(SEARCH(CompConta!$F$28,Tabla11[[#This Row],[Cuenta]],1))</f>
        <v>1</v>
      </c>
      <c r="BD17" t="b">
        <f>+ISNUMBER(SEARCH(CompConta!$F$29,Tabla11[[#This Row],[Cuenta]],1))</f>
        <v>1</v>
      </c>
      <c r="BE17" t="b">
        <f>+ISNUMBER(SEARCH(CompConta!$F$30,Tabla11[[#This Row],[Cuenta]],1))</f>
        <v>1</v>
      </c>
      <c r="BF17" t="b">
        <f>+ISNUMBER(SEARCH('PAGO Compras'!$E$11,Tabla11[[#This Row],[Cuenta]],1))</f>
        <v>1</v>
      </c>
      <c r="BG17" t="b">
        <f>+ISNUMBER(SEARCH(#REF!,Tabla11[[#This Row],[Cuenta]],1))</f>
        <v>0</v>
      </c>
      <c r="BH17" t="b">
        <f>+ISNUMBER(SEARCH(#REF!,Tabla11[[#This Row],[Cuenta]],1))</f>
        <v>0</v>
      </c>
      <c r="BI17" t="b">
        <f>+ISNUMBER(SEARCH(#REF!,Tabla11[[#This Row],[Cuenta]],1))</f>
        <v>0</v>
      </c>
      <c r="BJ17" t="b">
        <f>+ISNUMBER(SEARCH(#REF!,Tabla11[[#This Row],[Cuenta]],1))</f>
        <v>0</v>
      </c>
      <c r="BS17" t="str">
        <v>112015 Organismos cooperativos financieros</v>
      </c>
      <c r="BT17" t="str">
        <v>112015 Organismos cooperativos financieros</v>
      </c>
      <c r="BU17" t="str">
        <v>112015 Organismos cooperativos financieros</v>
      </c>
      <c r="BV17" t="str">
        <v>112015 Organismos cooperativos financieros</v>
      </c>
      <c r="BZ17" t="str">
        <v>112015 Organismos cooperativos financieros</v>
      </c>
      <c r="CA17" t="str">
        <v>112015 Organismos cooperativos financieros</v>
      </c>
      <c r="CB17" t="str">
        <v>112015 Organismos cooperativos financieros</v>
      </c>
      <c r="CC17" t="str">
        <v>112015 Organismos cooperativos financieros</v>
      </c>
      <c r="CD17" t="str">
        <v>112015 Organismos cooperativos financieros</v>
      </c>
      <c r="CE17" t="str">
        <v>112015 Organismos cooperativos financieros</v>
      </c>
      <c r="CS17" s="141" t="str">
        <v>112015 Organismos cooperativos financieros</v>
      </c>
      <c r="CT17" s="141" t="str">
        <v>112015 Organismos cooperativos financieros</v>
      </c>
      <c r="CU17" s="141" t="str">
        <v>112015 Organismos cooperativos financieros</v>
      </c>
      <c r="CV17" s="141" t="str">
        <v>112015 Organismos cooperativos financieros</v>
      </c>
      <c r="CW17" s="141" t="str">
        <v>112015 Organismos cooperativos financieros</v>
      </c>
      <c r="CX17" s="141" t="str">
        <v>112015 Organismos cooperativos financieros</v>
      </c>
      <c r="CY17" s="141" t="str">
        <v>112015 Organismos cooperativos financieros</v>
      </c>
      <c r="CZ17" s="141" t="str">
        <v>112015 Organismos cooperativos financieros</v>
      </c>
      <c r="DA17" s="141" t="str">
        <v>112015 Organismos cooperativos financieros</v>
      </c>
      <c r="DF17" t="str">
        <v>112015 Organismos cooperativos financieros</v>
      </c>
      <c r="DG17" t="str">
        <v>112015 Organismos cooperativos financieros</v>
      </c>
      <c r="DH17" t="str">
        <v>112015 Organismos cooperativos financieros</v>
      </c>
      <c r="DI17" t="str">
        <v>112015 Organismos cooperativos financieros</v>
      </c>
      <c r="DJ17" t="str">
        <v>112015 Organismos cooperativos financieros</v>
      </c>
      <c r="DK17" t="str">
        <v>112015 Organismos cooperativos financieros</v>
      </c>
      <c r="DL17" t="str">
        <v>112015 Organismos cooperativos financieros</v>
      </c>
      <c r="DM17" t="str">
        <v>112015 Organismos cooperativos financieros</v>
      </c>
      <c r="DN17" t="str">
        <v>112015 Organismos cooperativos financieros</v>
      </c>
      <c r="DO17" t="str">
        <v>112015 Organismos cooperativos financieros</v>
      </c>
      <c r="DP17" t="str">
        <v>112015 Organismos cooperativos financieros</v>
      </c>
    </row>
    <row r="18" spans="4:120" ht="12.75">
      <c r="D18" s="7">
        <v>12</v>
      </c>
      <c r="E18" s="6" t="s">
        <v>41</v>
      </c>
      <c r="F18" s="5">
        <v>2</v>
      </c>
      <c r="G18" s="34" t="s">
        <v>821</v>
      </c>
      <c r="H18" s="8" t="s">
        <v>32</v>
      </c>
      <c r="I18" t="b">
        <f>+ISNUMBER(SEARCH('F-COMPRA'!$F$28,Tabla11[[#This Row],[Cuenta]],1))</f>
        <v>1</v>
      </c>
      <c r="J18" t="b">
        <f>+ISNUMBER(SEARCH('F-COMPRA'!$F$29,Tabla11[[#This Row],[Cuenta]],1))</f>
        <v>1</v>
      </c>
      <c r="K18" t="b">
        <f>+ISNUMBER(SEARCH('F-COMPRA'!$F$30,Tabla11[[#This Row],[Cuenta]],1))</f>
        <v>1</v>
      </c>
      <c r="L18" t="b">
        <f>+ISNUMBER(SEARCH('F-COMPRA'!$F$31,Tabla11[[#This Row],[Cuenta]],1))</f>
        <v>1</v>
      </c>
      <c r="M18" t="b">
        <f>+ISNUMBER(SEARCH('F-COMPRA'!$G$25,Tabla11[[#This Row],[Cuenta]],1))</f>
        <v>0</v>
      </c>
      <c r="N18" t="b">
        <f>+ISNUMBER(SEARCH(#REF!,Tabla11[[#This Row],[Cuenta]],1))</f>
        <v>0</v>
      </c>
      <c r="O18" t="b">
        <f>+ISNUMBER(SEARCH(#REF!,Tabla11[[#This Row],[Cuenta]],1))</f>
        <v>0</v>
      </c>
      <c r="P18" t="b">
        <f>+ISNUMBER(SEARCH('F-COMPRA'!$F$32,Tabla11[[#This Row],[Cuenta]],1))</f>
        <v>1</v>
      </c>
      <c r="Q18" t="b">
        <f>+ISNUMBER(SEARCH('F-COMPRA'!$F$33,Tabla11[[#This Row],[Cuenta]],1))</f>
        <v>1</v>
      </c>
      <c r="R18" t="b">
        <f>+ISNUMBER(SEARCH('F-COMPRA'!$F$34,Tabla11[[#This Row],[Cuenta]],1))</f>
        <v>1</v>
      </c>
      <c r="S18" t="b">
        <f>+ISNUMBER(SEARCH('F-COMPRA'!$F$35,Tabla11[[#This Row],[Cuenta]],1))</f>
        <v>1</v>
      </c>
      <c r="T18" t="b">
        <f>+ISNUMBER(SEARCH('F-COMPRA'!$F$36,Tabla11[[#This Row],[Cuenta]],1))</f>
        <v>1</v>
      </c>
      <c r="U18" t="b">
        <f>+ISNUMBER(SEARCH('F-COMPRA'!$F$37,Tabla11[[#This Row],[Cuenta]],1))</f>
        <v>1</v>
      </c>
      <c r="V18" t="b">
        <f>+ISNUMBER(SEARCH(#REF!,Tabla11[[#This Row],[Cuenta]],1))</f>
        <v>0</v>
      </c>
      <c r="W18" t="b">
        <f>+ISNUMBER(SEARCH('F-COMPRA'!#REF!,Tabla11[[#This Row],[Cuenta]],1))</f>
        <v>0</v>
      </c>
      <c r="X18" t="b">
        <f>+ISNUMBER(SEARCH('F-COMPRA'!#REF!,Tabla11[[#This Row],[Cuenta]],1))</f>
        <v>0</v>
      </c>
      <c r="Y18" t="b">
        <f>+ISNUMBER(SEARCH('F-COMPRA'!#REF!,Tabla11[[#This Row],[Cuenta]],1))</f>
        <v>0</v>
      </c>
      <c r="Z18" t="b">
        <f>+ISNUMBER(SEARCH('F-COMPRA'!#REF!,Tabla11[[#This Row],[Cuenta]],1))</f>
        <v>0</v>
      </c>
      <c r="AA18" t="b">
        <f>+ISNUMBER(SEARCH('F-COMPRA'!#REF!,Tabla11[[#This Row],[Cuenta]],1))</f>
        <v>0</v>
      </c>
      <c r="AB18" t="b">
        <f>+ISNUMBER(SEARCH('F-COMPRA'!#REF!,Tabla11[[#This Row],[Cuenta]],1))</f>
        <v>0</v>
      </c>
      <c r="AC18" t="b">
        <f>+ISNUMBER(SEARCH('F-COMPRA'!#REF!,Tabla11[[#This Row],[Cuenta]],1))</f>
        <v>0</v>
      </c>
      <c r="AD18" t="b">
        <f>+ISNUMBER(SEARCH('F-COMPRA'!#REF!,Tabla11[[#This Row],[Cuenta]],1))</f>
        <v>0</v>
      </c>
      <c r="AE18" t="b">
        <f>+ISNUMBER(SEARCH('F-COMPRA'!#REF!,Tabla11[[#This Row],[Cuenta]],1))</f>
        <v>0</v>
      </c>
      <c r="AF18" t="b">
        <f>+ISNUMBER(SEARCH('F-VTA'!$G$23,Tabla11[[#This Row],[Cuenta]],1))</f>
        <v>0</v>
      </c>
      <c r="AG18" t="b">
        <f>+ISNUMBER(SEARCH('F-VTA'!$G$24,Tabla11[[#This Row],[Cuenta]],1))</f>
        <v>0</v>
      </c>
      <c r="AH18" t="b">
        <f>+ISNUMBER(SEARCH('F-VTA'!$G$25,Tabla11[[#This Row],[Cuenta]],1))</f>
        <v>0</v>
      </c>
      <c r="AI18" t="b">
        <f>+ISNUMBER(SEARCH('F-VTA'!$F$28,Tabla11[[#This Row],[Cuenta]],1))</f>
        <v>1</v>
      </c>
      <c r="AJ18" t="b">
        <f>+ISNUMBER(SEARCH('F-VTA'!$F$29,Tabla11[[#This Row],[Cuenta]],1))</f>
        <v>1</v>
      </c>
      <c r="AK18" t="b">
        <f>+ISNUMBER(SEARCH('F-VTA'!$F$30,Tabla11[[#This Row],[Cuenta]],1))</f>
        <v>1</v>
      </c>
      <c r="AL18" t="b">
        <f>+ISNUMBER(SEARCH('F-VTA'!$F$31,Tabla11[[#This Row],[Cuenta]],1))</f>
        <v>1</v>
      </c>
      <c r="AM18" t="b">
        <f>+ISNUMBER(SEARCH('F-VTA'!$F$32,Tabla11[[#This Row],[Cuenta]],1))</f>
        <v>1</v>
      </c>
      <c r="AN18" t="b">
        <f>+ISNUMBER(SEARCH('F-VTA'!$F$33,Tabla11[[#This Row],[Cuenta]],1))</f>
        <v>1</v>
      </c>
      <c r="AO18" t="b">
        <f>+ISNUMBER(SEARCH('F-VTA'!$F$34,Tabla11[[#This Row],[Cuenta]],1))</f>
        <v>1</v>
      </c>
      <c r="AP18" t="b">
        <f>+ISNUMBER(SEARCH('F-VTA'!$F$35,Tabla11[[#This Row],[Cuenta]],1))</f>
        <v>1</v>
      </c>
      <c r="AQ18" t="b">
        <f>+ISNUMBER(SEARCH('F-VTA'!$F$36,Tabla11[[#This Row],[Cuenta]],1))</f>
        <v>1</v>
      </c>
      <c r="AR18" t="b">
        <f>+ISNUMBER(SEARCH(#REF!,Tabla11[[#This Row],[Cuenta]],1))</f>
        <v>0</v>
      </c>
      <c r="AS18" t="b">
        <f>+ISNUMBER(SEARCH(#REF!,Tabla11[[#This Row],[Cuenta]],1))</f>
        <v>0</v>
      </c>
      <c r="AT18" t="b">
        <f>+ISNUMBER(SEARCH(#REF!,Tabla11[[#This Row],[Cuenta]],1))</f>
        <v>0</v>
      </c>
      <c r="AU18" t="b">
        <f>+ISNUMBER(SEARCH('Conc. Ban.1'!$I$9,Tabla11[[#This Row],[Cuenta]],1))</f>
        <v>0</v>
      </c>
      <c r="AV18" t="b">
        <f>+ISNUMBER(SEARCH(CompConta!$F$21,Tabla11[[#This Row],[Cuenta]],1))</f>
        <v>1</v>
      </c>
      <c r="AW18" t="b">
        <f>+ISNUMBER(SEARCH(CompConta!$F$22,Tabla11[[#This Row],[Cuenta]],1))</f>
        <v>1</v>
      </c>
      <c r="AX18" t="b">
        <f>+ISNUMBER(SEARCH(CompConta!$F$23,Tabla11[[#This Row],[Cuenta]],1))</f>
        <v>1</v>
      </c>
      <c r="AY18" t="b">
        <f>+ISNUMBER(SEARCH(CompConta!$F$24,Tabla11[[#This Row],[Cuenta]],1))</f>
        <v>1</v>
      </c>
      <c r="AZ18" t="b">
        <f>+ISNUMBER(SEARCH(CompConta!$F$25,Tabla11[[#This Row],[Cuenta]],1))</f>
        <v>1</v>
      </c>
      <c r="BA18" t="b">
        <f>+ISNUMBER(SEARCH(CompConta!$F$26,Tabla11[[#This Row],[Cuenta]],1))</f>
        <v>1</v>
      </c>
      <c r="BB18" t="b">
        <f>+ISNUMBER(SEARCH(CompConta!$F$27,Tabla11[[#This Row],[Cuenta]],1))</f>
        <v>1</v>
      </c>
      <c r="BC18" t="b">
        <f>+ISNUMBER(SEARCH(CompConta!$F$28,Tabla11[[#This Row],[Cuenta]],1))</f>
        <v>1</v>
      </c>
      <c r="BD18" t="b">
        <f>+ISNUMBER(SEARCH(CompConta!$F$29,Tabla11[[#This Row],[Cuenta]],1))</f>
        <v>1</v>
      </c>
      <c r="BE18" t="b">
        <f>+ISNUMBER(SEARCH(CompConta!$F$30,Tabla11[[#This Row],[Cuenta]],1))</f>
        <v>1</v>
      </c>
      <c r="BF18" t="b">
        <f>+ISNUMBER(SEARCH('PAGO Compras'!$E$11,Tabla11[[#This Row],[Cuenta]],1))</f>
        <v>1</v>
      </c>
      <c r="BG18" t="b">
        <f>+ISNUMBER(SEARCH(#REF!,Tabla11[[#This Row],[Cuenta]],1))</f>
        <v>0</v>
      </c>
      <c r="BH18" t="b">
        <f>+ISNUMBER(SEARCH(#REF!,Tabla11[[#This Row],[Cuenta]],1))</f>
        <v>0</v>
      </c>
      <c r="BI18" t="b">
        <f>+ISNUMBER(SEARCH(#REF!,Tabla11[[#This Row],[Cuenta]],1))</f>
        <v>0</v>
      </c>
      <c r="BJ18" t="b">
        <f>+ISNUMBER(SEARCH(#REF!,Tabla11[[#This Row],[Cuenta]],1))</f>
        <v>0</v>
      </c>
      <c r="BS18" t="str">
        <v>12 INVERSIONES</v>
      </c>
      <c r="BT18" t="str">
        <v>12 INVERSIONES</v>
      </c>
      <c r="BU18" t="str">
        <v>12 INVERSIONES</v>
      </c>
      <c r="BV18" t="str">
        <v>12 INVERSIONES</v>
      </c>
      <c r="BZ18" t="str">
        <v>12 INVERSIONES</v>
      </c>
      <c r="CA18" t="str">
        <v>12 INVERSIONES</v>
      </c>
      <c r="CB18" t="str">
        <v>12 INVERSIONES</v>
      </c>
      <c r="CC18" t="str">
        <v>12 INVERSIONES</v>
      </c>
      <c r="CD18" t="str">
        <v>12 INVERSIONES</v>
      </c>
      <c r="CE18" t="str">
        <v>12 INVERSIONES</v>
      </c>
      <c r="CS18" s="141" t="str">
        <v>12 INVERSIONES</v>
      </c>
      <c r="CT18" s="141" t="str">
        <v>12 INVERSIONES</v>
      </c>
      <c r="CU18" s="141" t="str">
        <v>12 INVERSIONES</v>
      </c>
      <c r="CV18" s="141" t="str">
        <v>12 INVERSIONES</v>
      </c>
      <c r="CW18" s="141" t="str">
        <v>12 INVERSIONES</v>
      </c>
      <c r="CX18" s="141" t="str">
        <v>12 INVERSIONES</v>
      </c>
      <c r="CY18" s="141" t="str">
        <v>12 INVERSIONES</v>
      </c>
      <c r="CZ18" s="141" t="str">
        <v>12 INVERSIONES</v>
      </c>
      <c r="DA18" s="141" t="str">
        <v>12 INVERSIONES</v>
      </c>
      <c r="DF18" t="str">
        <v>12 INVERSIONES</v>
      </c>
      <c r="DG18" t="str">
        <v>12 INVERSIONES</v>
      </c>
      <c r="DH18" t="str">
        <v>12 INVERSIONES</v>
      </c>
      <c r="DI18" t="str">
        <v>12 INVERSIONES</v>
      </c>
      <c r="DJ18" t="str">
        <v>12 INVERSIONES</v>
      </c>
      <c r="DK18" t="str">
        <v>12 INVERSIONES</v>
      </c>
      <c r="DL18" t="str">
        <v>12 INVERSIONES</v>
      </c>
      <c r="DM18" t="str">
        <v>12 INVERSIONES</v>
      </c>
      <c r="DN18" t="str">
        <v>12 INVERSIONES</v>
      </c>
      <c r="DO18" t="str">
        <v>12 INVERSIONES</v>
      </c>
      <c r="DP18" t="str">
        <v>12 INVERSIONES</v>
      </c>
    </row>
    <row r="19" spans="4:120" ht="12.75">
      <c r="D19" s="7">
        <v>1205</v>
      </c>
      <c r="E19" s="6" t="s">
        <v>42</v>
      </c>
      <c r="F19" s="5">
        <v>3</v>
      </c>
      <c r="G19" s="34" t="s">
        <v>821</v>
      </c>
      <c r="H19" s="8" t="s">
        <v>32</v>
      </c>
      <c r="I19" t="b">
        <f>+ISNUMBER(SEARCH('F-COMPRA'!$F$28,Tabla11[[#This Row],[Cuenta]],1))</f>
        <v>1</v>
      </c>
      <c r="J19" t="b">
        <f>+ISNUMBER(SEARCH('F-COMPRA'!$F$29,Tabla11[[#This Row],[Cuenta]],1))</f>
        <v>1</v>
      </c>
      <c r="K19" t="b">
        <f>+ISNUMBER(SEARCH('F-COMPRA'!$F$30,Tabla11[[#This Row],[Cuenta]],1))</f>
        <v>1</v>
      </c>
      <c r="L19" t="b">
        <f>+ISNUMBER(SEARCH('F-COMPRA'!$F$31,Tabla11[[#This Row],[Cuenta]],1))</f>
        <v>1</v>
      </c>
      <c r="M19" t="b">
        <f>+ISNUMBER(SEARCH('F-COMPRA'!$G$25,Tabla11[[#This Row],[Cuenta]],1))</f>
        <v>0</v>
      </c>
      <c r="N19" t="b">
        <f>+ISNUMBER(SEARCH(#REF!,Tabla11[[#This Row],[Cuenta]],1))</f>
        <v>0</v>
      </c>
      <c r="O19" t="b">
        <f>+ISNUMBER(SEARCH(#REF!,Tabla11[[#This Row],[Cuenta]],1))</f>
        <v>0</v>
      </c>
      <c r="P19" t="b">
        <f>+ISNUMBER(SEARCH('F-COMPRA'!$F$32,Tabla11[[#This Row],[Cuenta]],1))</f>
        <v>1</v>
      </c>
      <c r="Q19" t="b">
        <f>+ISNUMBER(SEARCH('F-COMPRA'!$F$33,Tabla11[[#This Row],[Cuenta]],1))</f>
        <v>1</v>
      </c>
      <c r="R19" t="b">
        <f>+ISNUMBER(SEARCH('F-COMPRA'!$F$34,Tabla11[[#This Row],[Cuenta]],1))</f>
        <v>1</v>
      </c>
      <c r="S19" t="b">
        <f>+ISNUMBER(SEARCH('F-COMPRA'!$F$35,Tabla11[[#This Row],[Cuenta]],1))</f>
        <v>1</v>
      </c>
      <c r="T19" t="b">
        <f>+ISNUMBER(SEARCH('F-COMPRA'!$F$36,Tabla11[[#This Row],[Cuenta]],1))</f>
        <v>1</v>
      </c>
      <c r="U19" t="b">
        <f>+ISNUMBER(SEARCH('F-COMPRA'!$F$37,Tabla11[[#This Row],[Cuenta]],1))</f>
        <v>1</v>
      </c>
      <c r="V19" t="b">
        <f>+ISNUMBER(SEARCH(#REF!,Tabla11[[#This Row],[Cuenta]],1))</f>
        <v>0</v>
      </c>
      <c r="W19" t="b">
        <f>+ISNUMBER(SEARCH('F-COMPRA'!#REF!,Tabla11[[#This Row],[Cuenta]],1))</f>
        <v>0</v>
      </c>
      <c r="X19" t="b">
        <f>+ISNUMBER(SEARCH('F-COMPRA'!#REF!,Tabla11[[#This Row],[Cuenta]],1))</f>
        <v>0</v>
      </c>
      <c r="Y19" t="b">
        <f>+ISNUMBER(SEARCH('F-COMPRA'!#REF!,Tabla11[[#This Row],[Cuenta]],1))</f>
        <v>0</v>
      </c>
      <c r="Z19" t="b">
        <f>+ISNUMBER(SEARCH('F-COMPRA'!#REF!,Tabla11[[#This Row],[Cuenta]],1))</f>
        <v>0</v>
      </c>
      <c r="AA19" t="b">
        <f>+ISNUMBER(SEARCH('F-COMPRA'!#REF!,Tabla11[[#This Row],[Cuenta]],1))</f>
        <v>0</v>
      </c>
      <c r="AB19" t="b">
        <f>+ISNUMBER(SEARCH('F-COMPRA'!#REF!,Tabla11[[#This Row],[Cuenta]],1))</f>
        <v>0</v>
      </c>
      <c r="AC19" t="b">
        <f>+ISNUMBER(SEARCH('F-COMPRA'!#REF!,Tabla11[[#This Row],[Cuenta]],1))</f>
        <v>0</v>
      </c>
      <c r="AD19" t="b">
        <f>+ISNUMBER(SEARCH('F-COMPRA'!#REF!,Tabla11[[#This Row],[Cuenta]],1))</f>
        <v>0</v>
      </c>
      <c r="AE19" t="b">
        <f>+ISNUMBER(SEARCH('F-COMPRA'!#REF!,Tabla11[[#This Row],[Cuenta]],1))</f>
        <v>0</v>
      </c>
      <c r="AF19" t="b">
        <f>+ISNUMBER(SEARCH('F-VTA'!$G$23,Tabla11[[#This Row],[Cuenta]],1))</f>
        <v>0</v>
      </c>
      <c r="AG19" t="b">
        <f>+ISNUMBER(SEARCH('F-VTA'!$G$24,Tabla11[[#This Row],[Cuenta]],1))</f>
        <v>0</v>
      </c>
      <c r="AH19" t="b">
        <f>+ISNUMBER(SEARCH('F-VTA'!$G$25,Tabla11[[#This Row],[Cuenta]],1))</f>
        <v>0</v>
      </c>
      <c r="AI19" t="b">
        <f>+ISNUMBER(SEARCH('F-VTA'!$F$28,Tabla11[[#This Row],[Cuenta]],1))</f>
        <v>1</v>
      </c>
      <c r="AJ19" t="b">
        <f>+ISNUMBER(SEARCH('F-VTA'!$F$29,Tabla11[[#This Row],[Cuenta]],1))</f>
        <v>1</v>
      </c>
      <c r="AK19" t="b">
        <f>+ISNUMBER(SEARCH('F-VTA'!$F$30,Tabla11[[#This Row],[Cuenta]],1))</f>
        <v>1</v>
      </c>
      <c r="AL19" t="b">
        <f>+ISNUMBER(SEARCH('F-VTA'!$F$31,Tabla11[[#This Row],[Cuenta]],1))</f>
        <v>1</v>
      </c>
      <c r="AM19" t="b">
        <f>+ISNUMBER(SEARCH('F-VTA'!$F$32,Tabla11[[#This Row],[Cuenta]],1))</f>
        <v>1</v>
      </c>
      <c r="AN19" t="b">
        <f>+ISNUMBER(SEARCH('F-VTA'!$F$33,Tabla11[[#This Row],[Cuenta]],1))</f>
        <v>1</v>
      </c>
      <c r="AO19" t="b">
        <f>+ISNUMBER(SEARCH('F-VTA'!$F$34,Tabla11[[#This Row],[Cuenta]],1))</f>
        <v>1</v>
      </c>
      <c r="AP19" t="b">
        <f>+ISNUMBER(SEARCH('F-VTA'!$F$35,Tabla11[[#This Row],[Cuenta]],1))</f>
        <v>1</v>
      </c>
      <c r="AQ19" t="b">
        <f>+ISNUMBER(SEARCH('F-VTA'!$F$36,Tabla11[[#This Row],[Cuenta]],1))</f>
        <v>1</v>
      </c>
      <c r="AR19" t="b">
        <f>+ISNUMBER(SEARCH(#REF!,Tabla11[[#This Row],[Cuenta]],1))</f>
        <v>0</v>
      </c>
      <c r="AS19" t="b">
        <f>+ISNUMBER(SEARCH(#REF!,Tabla11[[#This Row],[Cuenta]],1))</f>
        <v>0</v>
      </c>
      <c r="AT19" t="b">
        <f>+ISNUMBER(SEARCH(#REF!,Tabla11[[#This Row],[Cuenta]],1))</f>
        <v>0</v>
      </c>
      <c r="AU19" t="b">
        <f>+ISNUMBER(SEARCH('Conc. Ban.1'!$I$9,Tabla11[[#This Row],[Cuenta]],1))</f>
        <v>0</v>
      </c>
      <c r="AV19" t="b">
        <f>+ISNUMBER(SEARCH(CompConta!$F$21,Tabla11[[#This Row],[Cuenta]],1))</f>
        <v>1</v>
      </c>
      <c r="AW19" t="b">
        <f>+ISNUMBER(SEARCH(CompConta!$F$22,Tabla11[[#This Row],[Cuenta]],1))</f>
        <v>1</v>
      </c>
      <c r="AX19" t="b">
        <f>+ISNUMBER(SEARCH(CompConta!$F$23,Tabla11[[#This Row],[Cuenta]],1))</f>
        <v>1</v>
      </c>
      <c r="AY19" t="b">
        <f>+ISNUMBER(SEARCH(CompConta!$F$24,Tabla11[[#This Row],[Cuenta]],1))</f>
        <v>1</v>
      </c>
      <c r="AZ19" t="b">
        <f>+ISNUMBER(SEARCH(CompConta!$F$25,Tabla11[[#This Row],[Cuenta]],1))</f>
        <v>1</v>
      </c>
      <c r="BA19" t="b">
        <f>+ISNUMBER(SEARCH(CompConta!$F$26,Tabla11[[#This Row],[Cuenta]],1))</f>
        <v>1</v>
      </c>
      <c r="BB19" t="b">
        <f>+ISNUMBER(SEARCH(CompConta!$F$27,Tabla11[[#This Row],[Cuenta]],1))</f>
        <v>1</v>
      </c>
      <c r="BC19" t="b">
        <f>+ISNUMBER(SEARCH(CompConta!$F$28,Tabla11[[#This Row],[Cuenta]],1))</f>
        <v>1</v>
      </c>
      <c r="BD19" t="b">
        <f>+ISNUMBER(SEARCH(CompConta!$F$29,Tabla11[[#This Row],[Cuenta]],1))</f>
        <v>1</v>
      </c>
      <c r="BE19" t="b">
        <f>+ISNUMBER(SEARCH(CompConta!$F$30,Tabla11[[#This Row],[Cuenta]],1))</f>
        <v>1</v>
      </c>
      <c r="BF19" t="b">
        <f>+ISNUMBER(SEARCH('PAGO Compras'!$E$11,Tabla11[[#This Row],[Cuenta]],1))</f>
        <v>1</v>
      </c>
      <c r="BG19" t="b">
        <f>+ISNUMBER(SEARCH(#REF!,Tabla11[[#This Row],[Cuenta]],1))</f>
        <v>0</v>
      </c>
      <c r="BH19" t="b">
        <f>+ISNUMBER(SEARCH(#REF!,Tabla11[[#This Row],[Cuenta]],1))</f>
        <v>0</v>
      </c>
      <c r="BI19" t="b">
        <f>+ISNUMBER(SEARCH(#REF!,Tabla11[[#This Row],[Cuenta]],1))</f>
        <v>0</v>
      </c>
      <c r="BJ19" t="b">
        <f>+ISNUMBER(SEARCH(#REF!,Tabla11[[#This Row],[Cuenta]],1))</f>
        <v>0</v>
      </c>
      <c r="BS19" t="str">
        <v>1205 ACCIONES</v>
      </c>
      <c r="BT19" t="str">
        <v>1205 ACCIONES</v>
      </c>
      <c r="BU19" t="str">
        <v>1205 ACCIONES</v>
      </c>
      <c r="BV19" t="str">
        <v>1205 ACCIONES</v>
      </c>
      <c r="BZ19" t="str">
        <v>1205 ACCIONES</v>
      </c>
      <c r="CA19" t="str">
        <v>1205 ACCIONES</v>
      </c>
      <c r="CB19" t="str">
        <v>1205 ACCIONES</v>
      </c>
      <c r="CC19" t="str">
        <v>1205 ACCIONES</v>
      </c>
      <c r="CD19" t="str">
        <v>1205 ACCIONES</v>
      </c>
      <c r="CE19" t="str">
        <v>1205 ACCIONES</v>
      </c>
      <c r="CS19" s="141" t="str">
        <v>1205 ACCIONES</v>
      </c>
      <c r="CT19" s="141" t="str">
        <v>1205 ACCIONES</v>
      </c>
      <c r="CU19" s="141" t="str">
        <v>1205 ACCIONES</v>
      </c>
      <c r="CV19" s="141" t="str">
        <v>1205 ACCIONES</v>
      </c>
      <c r="CW19" s="141" t="str">
        <v>1205 ACCIONES</v>
      </c>
      <c r="CX19" s="141" t="str">
        <v>1205 ACCIONES</v>
      </c>
      <c r="CY19" s="141" t="str">
        <v>1205 ACCIONES</v>
      </c>
      <c r="CZ19" s="141" t="str">
        <v>1205 ACCIONES</v>
      </c>
      <c r="DA19" s="141" t="str">
        <v>1205 ACCIONES</v>
      </c>
      <c r="DF19" t="str">
        <v>1205 ACCIONES</v>
      </c>
      <c r="DG19" t="str">
        <v>1205 ACCIONES</v>
      </c>
      <c r="DH19" t="str">
        <v>1205 ACCIONES</v>
      </c>
      <c r="DI19" t="str">
        <v>1205 ACCIONES</v>
      </c>
      <c r="DJ19" t="str">
        <v>1205 ACCIONES</v>
      </c>
      <c r="DK19" t="str">
        <v>1205 ACCIONES</v>
      </c>
      <c r="DL19" t="str">
        <v>1205 ACCIONES</v>
      </c>
      <c r="DM19" t="str">
        <v>1205 ACCIONES</v>
      </c>
      <c r="DN19" t="str">
        <v>1205 ACCIONES</v>
      </c>
      <c r="DO19" t="str">
        <v>1205 ACCIONES</v>
      </c>
      <c r="DP19" t="str">
        <v>1205 ACCIONES</v>
      </c>
    </row>
    <row r="20" spans="4:120" ht="12.75">
      <c r="D20" s="7">
        <v>120505</v>
      </c>
      <c r="E20" s="6" t="s">
        <v>43</v>
      </c>
      <c r="F20" s="5">
        <v>4</v>
      </c>
      <c r="G20" s="34" t="s">
        <v>821</v>
      </c>
      <c r="H20" s="8" t="s">
        <v>32</v>
      </c>
      <c r="I20" t="b">
        <f>+ISNUMBER(SEARCH('F-COMPRA'!$F$28,Tabla11[[#This Row],[Cuenta]],1))</f>
        <v>1</v>
      </c>
      <c r="J20" t="b">
        <f>+ISNUMBER(SEARCH('F-COMPRA'!$F$29,Tabla11[[#This Row],[Cuenta]],1))</f>
        <v>1</v>
      </c>
      <c r="K20" t="b">
        <f>+ISNUMBER(SEARCH('F-COMPRA'!$F$30,Tabla11[[#This Row],[Cuenta]],1))</f>
        <v>1</v>
      </c>
      <c r="L20" t="b">
        <f>+ISNUMBER(SEARCH('F-COMPRA'!$F$31,Tabla11[[#This Row],[Cuenta]],1))</f>
        <v>1</v>
      </c>
      <c r="M20" t="b">
        <f>+ISNUMBER(SEARCH('F-COMPRA'!$G$25,Tabla11[[#This Row],[Cuenta]],1))</f>
        <v>0</v>
      </c>
      <c r="N20" t="b">
        <f>+ISNUMBER(SEARCH(#REF!,Tabla11[[#This Row],[Cuenta]],1))</f>
        <v>0</v>
      </c>
      <c r="O20" t="b">
        <f>+ISNUMBER(SEARCH(#REF!,Tabla11[[#This Row],[Cuenta]],1))</f>
        <v>0</v>
      </c>
      <c r="P20" t="b">
        <f>+ISNUMBER(SEARCH('F-COMPRA'!$F$32,Tabla11[[#This Row],[Cuenta]],1))</f>
        <v>1</v>
      </c>
      <c r="Q20" t="b">
        <f>+ISNUMBER(SEARCH('F-COMPRA'!$F$33,Tabla11[[#This Row],[Cuenta]],1))</f>
        <v>1</v>
      </c>
      <c r="R20" t="b">
        <f>+ISNUMBER(SEARCH('F-COMPRA'!$F$34,Tabla11[[#This Row],[Cuenta]],1))</f>
        <v>1</v>
      </c>
      <c r="S20" t="b">
        <f>+ISNUMBER(SEARCH('F-COMPRA'!$F$35,Tabla11[[#This Row],[Cuenta]],1))</f>
        <v>1</v>
      </c>
      <c r="T20" t="b">
        <f>+ISNUMBER(SEARCH('F-COMPRA'!$F$36,Tabla11[[#This Row],[Cuenta]],1))</f>
        <v>1</v>
      </c>
      <c r="U20" t="b">
        <f>+ISNUMBER(SEARCH('F-COMPRA'!$F$37,Tabla11[[#This Row],[Cuenta]],1))</f>
        <v>1</v>
      </c>
      <c r="V20" t="b">
        <f>+ISNUMBER(SEARCH(#REF!,Tabla11[[#This Row],[Cuenta]],1))</f>
        <v>0</v>
      </c>
      <c r="W20" t="b">
        <f>+ISNUMBER(SEARCH('F-COMPRA'!#REF!,Tabla11[[#This Row],[Cuenta]],1))</f>
        <v>0</v>
      </c>
      <c r="X20" t="b">
        <f>+ISNUMBER(SEARCH('F-COMPRA'!#REF!,Tabla11[[#This Row],[Cuenta]],1))</f>
        <v>0</v>
      </c>
      <c r="Y20" t="b">
        <f>+ISNUMBER(SEARCH('F-COMPRA'!#REF!,Tabla11[[#This Row],[Cuenta]],1))</f>
        <v>0</v>
      </c>
      <c r="Z20" t="b">
        <f>+ISNUMBER(SEARCH('F-COMPRA'!#REF!,Tabla11[[#This Row],[Cuenta]],1))</f>
        <v>0</v>
      </c>
      <c r="AA20" t="b">
        <f>+ISNUMBER(SEARCH('F-COMPRA'!#REF!,Tabla11[[#This Row],[Cuenta]],1))</f>
        <v>0</v>
      </c>
      <c r="AB20" t="b">
        <f>+ISNUMBER(SEARCH('F-COMPRA'!#REF!,Tabla11[[#This Row],[Cuenta]],1))</f>
        <v>0</v>
      </c>
      <c r="AC20" t="b">
        <f>+ISNUMBER(SEARCH('F-COMPRA'!#REF!,Tabla11[[#This Row],[Cuenta]],1))</f>
        <v>0</v>
      </c>
      <c r="AD20" t="b">
        <f>+ISNUMBER(SEARCH('F-COMPRA'!#REF!,Tabla11[[#This Row],[Cuenta]],1))</f>
        <v>0</v>
      </c>
      <c r="AE20" t="b">
        <f>+ISNUMBER(SEARCH('F-COMPRA'!#REF!,Tabla11[[#This Row],[Cuenta]],1))</f>
        <v>0</v>
      </c>
      <c r="AF20" t="b">
        <f>+ISNUMBER(SEARCH('F-VTA'!$G$23,Tabla11[[#This Row],[Cuenta]],1))</f>
        <v>0</v>
      </c>
      <c r="AG20" t="b">
        <f>+ISNUMBER(SEARCH('F-VTA'!$G$24,Tabla11[[#This Row],[Cuenta]],1))</f>
        <v>0</v>
      </c>
      <c r="AH20" t="b">
        <f>+ISNUMBER(SEARCH('F-VTA'!$G$25,Tabla11[[#This Row],[Cuenta]],1))</f>
        <v>0</v>
      </c>
      <c r="AI20" t="b">
        <f>+ISNUMBER(SEARCH('F-VTA'!$F$28,Tabla11[[#This Row],[Cuenta]],1))</f>
        <v>1</v>
      </c>
      <c r="AJ20" t="b">
        <f>+ISNUMBER(SEARCH('F-VTA'!$F$29,Tabla11[[#This Row],[Cuenta]],1))</f>
        <v>1</v>
      </c>
      <c r="AK20" t="b">
        <f>+ISNUMBER(SEARCH('F-VTA'!$F$30,Tabla11[[#This Row],[Cuenta]],1))</f>
        <v>1</v>
      </c>
      <c r="AL20" t="b">
        <f>+ISNUMBER(SEARCH('F-VTA'!$F$31,Tabla11[[#This Row],[Cuenta]],1))</f>
        <v>1</v>
      </c>
      <c r="AM20" t="b">
        <f>+ISNUMBER(SEARCH('F-VTA'!$F$32,Tabla11[[#This Row],[Cuenta]],1))</f>
        <v>1</v>
      </c>
      <c r="AN20" t="b">
        <f>+ISNUMBER(SEARCH('F-VTA'!$F$33,Tabla11[[#This Row],[Cuenta]],1))</f>
        <v>1</v>
      </c>
      <c r="AO20" t="b">
        <f>+ISNUMBER(SEARCH('F-VTA'!$F$34,Tabla11[[#This Row],[Cuenta]],1))</f>
        <v>1</v>
      </c>
      <c r="AP20" t="b">
        <f>+ISNUMBER(SEARCH('F-VTA'!$F$35,Tabla11[[#This Row],[Cuenta]],1))</f>
        <v>1</v>
      </c>
      <c r="AQ20" t="b">
        <f>+ISNUMBER(SEARCH('F-VTA'!$F$36,Tabla11[[#This Row],[Cuenta]],1))</f>
        <v>1</v>
      </c>
      <c r="AR20" t="b">
        <f>+ISNUMBER(SEARCH(#REF!,Tabla11[[#This Row],[Cuenta]],1))</f>
        <v>0</v>
      </c>
      <c r="AS20" t="b">
        <f>+ISNUMBER(SEARCH(#REF!,Tabla11[[#This Row],[Cuenta]],1))</f>
        <v>0</v>
      </c>
      <c r="AT20" t="b">
        <f>+ISNUMBER(SEARCH(#REF!,Tabla11[[#This Row],[Cuenta]],1))</f>
        <v>0</v>
      </c>
      <c r="AU20" t="b">
        <f>+ISNUMBER(SEARCH('Conc. Ban.1'!$I$9,Tabla11[[#This Row],[Cuenta]],1))</f>
        <v>0</v>
      </c>
      <c r="AV20" t="b">
        <f>+ISNUMBER(SEARCH(CompConta!$F$21,Tabla11[[#This Row],[Cuenta]],1))</f>
        <v>1</v>
      </c>
      <c r="AW20" t="b">
        <f>+ISNUMBER(SEARCH(CompConta!$F$22,Tabla11[[#This Row],[Cuenta]],1))</f>
        <v>1</v>
      </c>
      <c r="AX20" t="b">
        <f>+ISNUMBER(SEARCH(CompConta!$F$23,Tabla11[[#This Row],[Cuenta]],1))</f>
        <v>1</v>
      </c>
      <c r="AY20" t="b">
        <f>+ISNUMBER(SEARCH(CompConta!$F$24,Tabla11[[#This Row],[Cuenta]],1))</f>
        <v>1</v>
      </c>
      <c r="AZ20" t="b">
        <f>+ISNUMBER(SEARCH(CompConta!$F$25,Tabla11[[#This Row],[Cuenta]],1))</f>
        <v>1</v>
      </c>
      <c r="BA20" t="b">
        <f>+ISNUMBER(SEARCH(CompConta!$F$26,Tabla11[[#This Row],[Cuenta]],1))</f>
        <v>1</v>
      </c>
      <c r="BB20" t="b">
        <f>+ISNUMBER(SEARCH(CompConta!$F$27,Tabla11[[#This Row],[Cuenta]],1))</f>
        <v>1</v>
      </c>
      <c r="BC20" t="b">
        <f>+ISNUMBER(SEARCH(CompConta!$F$28,Tabla11[[#This Row],[Cuenta]],1))</f>
        <v>1</v>
      </c>
      <c r="BD20" t="b">
        <f>+ISNUMBER(SEARCH(CompConta!$F$29,Tabla11[[#This Row],[Cuenta]],1))</f>
        <v>1</v>
      </c>
      <c r="BE20" t="b">
        <f>+ISNUMBER(SEARCH(CompConta!$F$30,Tabla11[[#This Row],[Cuenta]],1))</f>
        <v>1</v>
      </c>
      <c r="BF20" t="b">
        <f>+ISNUMBER(SEARCH('PAGO Compras'!$E$11,Tabla11[[#This Row],[Cuenta]],1))</f>
        <v>1</v>
      </c>
      <c r="BG20" t="b">
        <f>+ISNUMBER(SEARCH(#REF!,Tabla11[[#This Row],[Cuenta]],1))</f>
        <v>0</v>
      </c>
      <c r="BH20" t="b">
        <f>+ISNUMBER(SEARCH(#REF!,Tabla11[[#This Row],[Cuenta]],1))</f>
        <v>0</v>
      </c>
      <c r="BI20" t="b">
        <f>+ISNUMBER(SEARCH(#REF!,Tabla11[[#This Row],[Cuenta]],1))</f>
        <v>0</v>
      </c>
      <c r="BJ20" t="b">
        <f>+ISNUMBER(SEARCH(#REF!,Tabla11[[#This Row],[Cuenta]],1))</f>
        <v>0</v>
      </c>
      <c r="BS20" t="str">
        <v>120505 Agricultura, ganadería, caza y silvicultura</v>
      </c>
      <c r="BT20" t="str">
        <v>120505 Agricultura, ganadería, caza y silvicultura</v>
      </c>
      <c r="BU20" t="str">
        <v>120505 Agricultura, ganadería, caza y silvicultura</v>
      </c>
      <c r="BV20" t="str">
        <v>120505 Agricultura, ganadería, caza y silvicultura</v>
      </c>
      <c r="BZ20" t="str">
        <v>120505 Agricultura, ganadería, caza y silvicultura</v>
      </c>
      <c r="CA20" t="str">
        <v>120505 Agricultura, ganadería, caza y silvicultura</v>
      </c>
      <c r="CB20" t="str">
        <v>120505 Agricultura, ganadería, caza y silvicultura</v>
      </c>
      <c r="CC20" t="str">
        <v>120505 Agricultura, ganadería, caza y silvicultura</v>
      </c>
      <c r="CD20" t="str">
        <v>120505 Agricultura, ganadería, caza y silvicultura</v>
      </c>
      <c r="CE20" t="str">
        <v>120505 Agricultura, ganadería, caza y silvicultura</v>
      </c>
      <c r="CS20" s="141" t="str">
        <v>120505 Agricultura, ganadería, caza y silvicultura</v>
      </c>
      <c r="CT20" s="141" t="str">
        <v>120505 Agricultura, ganadería, caza y silvicultura</v>
      </c>
      <c r="CU20" s="141" t="str">
        <v>120505 Agricultura, ganadería, caza y silvicultura</v>
      </c>
      <c r="CV20" s="141" t="str">
        <v>120505 Agricultura, ganadería, caza y silvicultura</v>
      </c>
      <c r="CW20" s="141" t="str">
        <v>120505 Agricultura, ganadería, caza y silvicultura</v>
      </c>
      <c r="CX20" s="141" t="str">
        <v>120505 Agricultura, ganadería, caza y silvicultura</v>
      </c>
      <c r="CY20" s="141" t="str">
        <v>120505 Agricultura, ganadería, caza y silvicultura</v>
      </c>
      <c r="CZ20" s="141" t="str">
        <v>120505 Agricultura, ganadería, caza y silvicultura</v>
      </c>
      <c r="DA20" s="141" t="str">
        <v>120505 Agricultura, ganadería, caza y silvicultura</v>
      </c>
      <c r="DF20" t="str">
        <v>120505 Agricultura, ganadería, caza y silvicultura</v>
      </c>
      <c r="DG20" t="str">
        <v>120505 Agricultura, ganadería, caza y silvicultura</v>
      </c>
      <c r="DH20" t="str">
        <v>120505 Agricultura, ganadería, caza y silvicultura</v>
      </c>
      <c r="DI20" t="str">
        <v>120505 Agricultura, ganadería, caza y silvicultura</v>
      </c>
      <c r="DJ20" t="str">
        <v>120505 Agricultura, ganadería, caza y silvicultura</v>
      </c>
      <c r="DK20" t="str">
        <v>120505 Agricultura, ganadería, caza y silvicultura</v>
      </c>
      <c r="DL20" t="str">
        <v>120505 Agricultura, ganadería, caza y silvicultura</v>
      </c>
      <c r="DM20" t="str">
        <v>120505 Agricultura, ganadería, caza y silvicultura</v>
      </c>
      <c r="DN20" t="str">
        <v>120505 Agricultura, ganadería, caza y silvicultura</v>
      </c>
      <c r="DO20" t="str">
        <v>120505 Agricultura, ganadería, caza y silvicultura</v>
      </c>
      <c r="DP20" t="str">
        <v>120505 Agricultura, ganadería, caza y silvicultura</v>
      </c>
    </row>
    <row r="21" spans="4:120" ht="12.75">
      <c r="D21" s="7">
        <v>13</v>
      </c>
      <c r="E21" s="6" t="s">
        <v>58</v>
      </c>
      <c r="F21" s="5">
        <v>2</v>
      </c>
      <c r="G21" s="34" t="s">
        <v>821</v>
      </c>
      <c r="H21" s="8" t="s">
        <v>32</v>
      </c>
      <c r="I21" t="b">
        <f>+ISNUMBER(SEARCH('F-COMPRA'!$F$28,Tabla11[[#This Row],[Cuenta]],1))</f>
        <v>1</v>
      </c>
      <c r="J21" t="b">
        <f>+ISNUMBER(SEARCH('F-COMPRA'!$F$29,Tabla11[[#This Row],[Cuenta]],1))</f>
        <v>1</v>
      </c>
      <c r="K21" t="b">
        <f>+ISNUMBER(SEARCH('F-COMPRA'!$F$30,Tabla11[[#This Row],[Cuenta]],1))</f>
        <v>1</v>
      </c>
      <c r="L21" t="b">
        <f>+ISNUMBER(SEARCH('F-COMPRA'!$F$31,Tabla11[[#This Row],[Cuenta]],1))</f>
        <v>1</v>
      </c>
      <c r="M21" t="b">
        <f>+ISNUMBER(SEARCH('F-COMPRA'!$G$25,Tabla11[[#This Row],[Cuenta]],1))</f>
        <v>0</v>
      </c>
      <c r="N21" t="b">
        <f>+ISNUMBER(SEARCH(#REF!,Tabla11[[#This Row],[Cuenta]],1))</f>
        <v>0</v>
      </c>
      <c r="O21" t="b">
        <f>+ISNUMBER(SEARCH(#REF!,Tabla11[[#This Row],[Cuenta]],1))</f>
        <v>0</v>
      </c>
      <c r="P21" t="b">
        <f>+ISNUMBER(SEARCH('F-COMPRA'!$F$32,Tabla11[[#This Row],[Cuenta]],1))</f>
        <v>1</v>
      </c>
      <c r="Q21" t="b">
        <f>+ISNUMBER(SEARCH('F-COMPRA'!$F$33,Tabla11[[#This Row],[Cuenta]],1))</f>
        <v>1</v>
      </c>
      <c r="R21" t="b">
        <f>+ISNUMBER(SEARCH('F-COMPRA'!$F$34,Tabla11[[#This Row],[Cuenta]],1))</f>
        <v>1</v>
      </c>
      <c r="S21" t="b">
        <f>+ISNUMBER(SEARCH('F-COMPRA'!$F$35,Tabla11[[#This Row],[Cuenta]],1))</f>
        <v>1</v>
      </c>
      <c r="T21" t="b">
        <f>+ISNUMBER(SEARCH('F-COMPRA'!$F$36,Tabla11[[#This Row],[Cuenta]],1))</f>
        <v>1</v>
      </c>
      <c r="U21" t="b">
        <f>+ISNUMBER(SEARCH('F-COMPRA'!$F$37,Tabla11[[#This Row],[Cuenta]],1))</f>
        <v>1</v>
      </c>
      <c r="V21" t="b">
        <f>+ISNUMBER(SEARCH(#REF!,Tabla11[[#This Row],[Cuenta]],1))</f>
        <v>0</v>
      </c>
      <c r="W21" t="b">
        <f>+ISNUMBER(SEARCH('F-COMPRA'!#REF!,Tabla11[[#This Row],[Cuenta]],1))</f>
        <v>0</v>
      </c>
      <c r="X21" t="b">
        <f>+ISNUMBER(SEARCH('F-COMPRA'!#REF!,Tabla11[[#This Row],[Cuenta]],1))</f>
        <v>0</v>
      </c>
      <c r="Y21" t="b">
        <f>+ISNUMBER(SEARCH('F-COMPRA'!#REF!,Tabla11[[#This Row],[Cuenta]],1))</f>
        <v>0</v>
      </c>
      <c r="Z21" t="b">
        <f>+ISNUMBER(SEARCH('F-COMPRA'!#REF!,Tabla11[[#This Row],[Cuenta]],1))</f>
        <v>0</v>
      </c>
      <c r="AA21" t="b">
        <f>+ISNUMBER(SEARCH('F-COMPRA'!#REF!,Tabla11[[#This Row],[Cuenta]],1))</f>
        <v>0</v>
      </c>
      <c r="AB21" t="b">
        <f>+ISNUMBER(SEARCH('F-COMPRA'!#REF!,Tabla11[[#This Row],[Cuenta]],1))</f>
        <v>0</v>
      </c>
      <c r="AC21" t="b">
        <f>+ISNUMBER(SEARCH('F-COMPRA'!#REF!,Tabla11[[#This Row],[Cuenta]],1))</f>
        <v>0</v>
      </c>
      <c r="AD21" t="b">
        <f>+ISNUMBER(SEARCH('F-COMPRA'!#REF!,Tabla11[[#This Row],[Cuenta]],1))</f>
        <v>0</v>
      </c>
      <c r="AE21" t="b">
        <f>+ISNUMBER(SEARCH('F-COMPRA'!#REF!,Tabla11[[#This Row],[Cuenta]],1))</f>
        <v>0</v>
      </c>
      <c r="AF21" t="b">
        <f>+ISNUMBER(SEARCH('F-VTA'!$G$23,Tabla11[[#This Row],[Cuenta]],1))</f>
        <v>0</v>
      </c>
      <c r="AG21" t="b">
        <f>+ISNUMBER(SEARCH('F-VTA'!$G$24,Tabla11[[#This Row],[Cuenta]],1))</f>
        <v>0</v>
      </c>
      <c r="AH21" t="b">
        <f>+ISNUMBER(SEARCH('F-VTA'!$G$25,Tabla11[[#This Row],[Cuenta]],1))</f>
        <v>0</v>
      </c>
      <c r="AI21" t="b">
        <f>+ISNUMBER(SEARCH('F-VTA'!$F$28,Tabla11[[#This Row],[Cuenta]],1))</f>
        <v>1</v>
      </c>
      <c r="AJ21" t="b">
        <f>+ISNUMBER(SEARCH('F-VTA'!$F$29,Tabla11[[#This Row],[Cuenta]],1))</f>
        <v>1</v>
      </c>
      <c r="AK21" t="b">
        <f>+ISNUMBER(SEARCH('F-VTA'!$F$30,Tabla11[[#This Row],[Cuenta]],1))</f>
        <v>1</v>
      </c>
      <c r="AL21" t="b">
        <f>+ISNUMBER(SEARCH('F-VTA'!$F$31,Tabla11[[#This Row],[Cuenta]],1))</f>
        <v>1</v>
      </c>
      <c r="AM21" t="b">
        <f>+ISNUMBER(SEARCH('F-VTA'!$F$32,Tabla11[[#This Row],[Cuenta]],1))</f>
        <v>1</v>
      </c>
      <c r="AN21" t="b">
        <f>+ISNUMBER(SEARCH('F-VTA'!$F$33,Tabla11[[#This Row],[Cuenta]],1))</f>
        <v>1</v>
      </c>
      <c r="AO21" t="b">
        <f>+ISNUMBER(SEARCH('F-VTA'!$F$34,Tabla11[[#This Row],[Cuenta]],1))</f>
        <v>1</v>
      </c>
      <c r="AP21" t="b">
        <f>+ISNUMBER(SEARCH('F-VTA'!$F$35,Tabla11[[#This Row],[Cuenta]],1))</f>
        <v>1</v>
      </c>
      <c r="AQ21" t="b">
        <f>+ISNUMBER(SEARCH('F-VTA'!$F$36,Tabla11[[#This Row],[Cuenta]],1))</f>
        <v>1</v>
      </c>
      <c r="AR21" t="b">
        <f>+ISNUMBER(SEARCH(#REF!,Tabla11[[#This Row],[Cuenta]],1))</f>
        <v>0</v>
      </c>
      <c r="AS21" t="b">
        <f>+ISNUMBER(SEARCH(#REF!,Tabla11[[#This Row],[Cuenta]],1))</f>
        <v>0</v>
      </c>
      <c r="AT21" t="b">
        <f>+ISNUMBER(SEARCH(#REF!,Tabla11[[#This Row],[Cuenta]],1))</f>
        <v>0</v>
      </c>
      <c r="AU21" t="b">
        <f>+ISNUMBER(SEARCH('Conc. Ban.1'!$I$9,Tabla11[[#This Row],[Cuenta]],1))</f>
        <v>0</v>
      </c>
      <c r="AV21" t="b">
        <f>+ISNUMBER(SEARCH(CompConta!$F$21,Tabla11[[#This Row],[Cuenta]],1))</f>
        <v>1</v>
      </c>
      <c r="AW21" t="b">
        <f>+ISNUMBER(SEARCH(CompConta!$F$22,Tabla11[[#This Row],[Cuenta]],1))</f>
        <v>1</v>
      </c>
      <c r="AX21" t="b">
        <f>+ISNUMBER(SEARCH(CompConta!$F$23,Tabla11[[#This Row],[Cuenta]],1))</f>
        <v>1</v>
      </c>
      <c r="AY21" t="b">
        <f>+ISNUMBER(SEARCH(CompConta!$F$24,Tabla11[[#This Row],[Cuenta]],1))</f>
        <v>1</v>
      </c>
      <c r="AZ21" t="b">
        <f>+ISNUMBER(SEARCH(CompConta!$F$25,Tabla11[[#This Row],[Cuenta]],1))</f>
        <v>1</v>
      </c>
      <c r="BA21" t="b">
        <f>+ISNUMBER(SEARCH(CompConta!$F$26,Tabla11[[#This Row],[Cuenta]],1))</f>
        <v>1</v>
      </c>
      <c r="BB21" t="b">
        <f>+ISNUMBER(SEARCH(CompConta!$F$27,Tabla11[[#This Row],[Cuenta]],1))</f>
        <v>1</v>
      </c>
      <c r="BC21" t="b">
        <f>+ISNUMBER(SEARCH(CompConta!$F$28,Tabla11[[#This Row],[Cuenta]],1))</f>
        <v>1</v>
      </c>
      <c r="BD21" t="b">
        <f>+ISNUMBER(SEARCH(CompConta!$F$29,Tabla11[[#This Row],[Cuenta]],1))</f>
        <v>1</v>
      </c>
      <c r="BE21" t="b">
        <f>+ISNUMBER(SEARCH(CompConta!$F$30,Tabla11[[#This Row],[Cuenta]],1))</f>
        <v>1</v>
      </c>
      <c r="BF21" t="b">
        <f>+ISNUMBER(SEARCH('PAGO Compras'!$E$11,Tabla11[[#This Row],[Cuenta]],1))</f>
        <v>1</v>
      </c>
      <c r="BG21" t="b">
        <f>+ISNUMBER(SEARCH(#REF!,Tabla11[[#This Row],[Cuenta]],1))</f>
        <v>0</v>
      </c>
      <c r="BH21" t="b">
        <f>+ISNUMBER(SEARCH(#REF!,Tabla11[[#This Row],[Cuenta]],1))</f>
        <v>0</v>
      </c>
      <c r="BI21" t="b">
        <f>+ISNUMBER(SEARCH(#REF!,Tabla11[[#This Row],[Cuenta]],1))</f>
        <v>0</v>
      </c>
      <c r="BJ21" t="b">
        <f>+ISNUMBER(SEARCH(#REF!,Tabla11[[#This Row],[Cuenta]],1))</f>
        <v>0</v>
      </c>
      <c r="BS21" t="str">
        <v>13 DEUDORES</v>
      </c>
      <c r="BT21" t="str">
        <v>13 DEUDORES</v>
      </c>
      <c r="BU21" t="str">
        <v>13 DEUDORES</v>
      </c>
      <c r="BV21" t="str">
        <v>13 DEUDORES</v>
      </c>
      <c r="BZ21" t="str">
        <v>13 DEUDORES</v>
      </c>
      <c r="CA21" t="str">
        <v>13 DEUDORES</v>
      </c>
      <c r="CB21" t="str">
        <v>13 DEUDORES</v>
      </c>
      <c r="CC21" t="str">
        <v>13 DEUDORES</v>
      </c>
      <c r="CD21" t="str">
        <v>13 DEUDORES</v>
      </c>
      <c r="CE21" t="str">
        <v>13 DEUDORES</v>
      </c>
      <c r="CS21" s="141" t="str">
        <v>13 DEUDORES</v>
      </c>
      <c r="CT21" s="141" t="str">
        <v>13 DEUDORES</v>
      </c>
      <c r="CU21" s="141" t="str">
        <v>13 DEUDORES</v>
      </c>
      <c r="CV21" s="141" t="str">
        <v>13 DEUDORES</v>
      </c>
      <c r="CW21" s="141" t="str">
        <v>13 DEUDORES</v>
      </c>
      <c r="CX21" s="141" t="str">
        <v>13 DEUDORES</v>
      </c>
      <c r="CY21" s="141" t="str">
        <v>13 DEUDORES</v>
      </c>
      <c r="CZ21" s="141" t="str">
        <v>13 DEUDORES</v>
      </c>
      <c r="DA21" s="141" t="str">
        <v>13 DEUDORES</v>
      </c>
      <c r="DF21" t="str">
        <v>13 DEUDORES</v>
      </c>
      <c r="DG21" t="str">
        <v>13 DEUDORES</v>
      </c>
      <c r="DH21" t="str">
        <v>13 DEUDORES</v>
      </c>
      <c r="DI21" t="str">
        <v>13 DEUDORES</v>
      </c>
      <c r="DJ21" t="str">
        <v>13 DEUDORES</v>
      </c>
      <c r="DK21" t="str">
        <v>13 DEUDORES</v>
      </c>
      <c r="DL21" t="str">
        <v>13 DEUDORES</v>
      </c>
      <c r="DM21" t="str">
        <v>13 DEUDORES</v>
      </c>
      <c r="DN21" t="str">
        <v>13 DEUDORES</v>
      </c>
      <c r="DO21" t="str">
        <v>13 DEUDORES</v>
      </c>
      <c r="DP21" t="str">
        <v>13 DEUDORES</v>
      </c>
    </row>
    <row r="22" spans="4:120" ht="12.75">
      <c r="D22" s="7">
        <v>1305</v>
      </c>
      <c r="E22" s="6" t="s">
        <v>59</v>
      </c>
      <c r="F22" s="5">
        <v>3</v>
      </c>
      <c r="G22" s="34" t="s">
        <v>821</v>
      </c>
      <c r="H22" s="8" t="s">
        <v>32</v>
      </c>
      <c r="I22" t="b">
        <f>+ISNUMBER(SEARCH('F-COMPRA'!$F$28,Tabla11[[#This Row],[Cuenta]],1))</f>
        <v>1</v>
      </c>
      <c r="J22" t="b">
        <f>+ISNUMBER(SEARCH('F-COMPRA'!$F$29,Tabla11[[#This Row],[Cuenta]],1))</f>
        <v>1</v>
      </c>
      <c r="K22" t="b">
        <f>+ISNUMBER(SEARCH('F-COMPRA'!$F$30,Tabla11[[#This Row],[Cuenta]],1))</f>
        <v>1</v>
      </c>
      <c r="L22" t="b">
        <f>+ISNUMBER(SEARCH('F-COMPRA'!$F$31,Tabla11[[#This Row],[Cuenta]],1))</f>
        <v>1</v>
      </c>
      <c r="M22" t="b">
        <f>+ISNUMBER(SEARCH('F-COMPRA'!$G$25,Tabla11[[#This Row],[Cuenta]],1))</f>
        <v>0</v>
      </c>
      <c r="N22" t="b">
        <f>+ISNUMBER(SEARCH(#REF!,Tabla11[[#This Row],[Cuenta]],1))</f>
        <v>0</v>
      </c>
      <c r="O22" t="b">
        <f>+ISNUMBER(SEARCH(#REF!,Tabla11[[#This Row],[Cuenta]],1))</f>
        <v>0</v>
      </c>
      <c r="P22" t="b">
        <f>+ISNUMBER(SEARCH('F-COMPRA'!$F$32,Tabla11[[#This Row],[Cuenta]],1))</f>
        <v>1</v>
      </c>
      <c r="Q22" t="b">
        <f>+ISNUMBER(SEARCH('F-COMPRA'!$F$33,Tabla11[[#This Row],[Cuenta]],1))</f>
        <v>1</v>
      </c>
      <c r="R22" t="b">
        <f>+ISNUMBER(SEARCH('F-COMPRA'!$F$34,Tabla11[[#This Row],[Cuenta]],1))</f>
        <v>1</v>
      </c>
      <c r="S22" t="b">
        <f>+ISNUMBER(SEARCH('F-COMPRA'!$F$35,Tabla11[[#This Row],[Cuenta]],1))</f>
        <v>1</v>
      </c>
      <c r="T22" t="b">
        <f>+ISNUMBER(SEARCH('F-COMPRA'!$F$36,Tabla11[[#This Row],[Cuenta]],1))</f>
        <v>1</v>
      </c>
      <c r="U22" t="b">
        <f>+ISNUMBER(SEARCH('F-COMPRA'!$F$37,Tabla11[[#This Row],[Cuenta]],1))</f>
        <v>1</v>
      </c>
      <c r="V22" t="b">
        <f>+ISNUMBER(SEARCH(#REF!,Tabla11[[#This Row],[Cuenta]],1))</f>
        <v>0</v>
      </c>
      <c r="W22" t="b">
        <f>+ISNUMBER(SEARCH('F-COMPRA'!#REF!,Tabla11[[#This Row],[Cuenta]],1))</f>
        <v>0</v>
      </c>
      <c r="X22" t="b">
        <f>+ISNUMBER(SEARCH('F-COMPRA'!#REF!,Tabla11[[#This Row],[Cuenta]],1))</f>
        <v>0</v>
      </c>
      <c r="Y22" t="b">
        <f>+ISNUMBER(SEARCH('F-COMPRA'!#REF!,Tabla11[[#This Row],[Cuenta]],1))</f>
        <v>0</v>
      </c>
      <c r="Z22" t="b">
        <f>+ISNUMBER(SEARCH('F-COMPRA'!#REF!,Tabla11[[#This Row],[Cuenta]],1))</f>
        <v>0</v>
      </c>
      <c r="AA22" t="b">
        <f>+ISNUMBER(SEARCH('F-COMPRA'!#REF!,Tabla11[[#This Row],[Cuenta]],1))</f>
        <v>0</v>
      </c>
      <c r="AB22" t="b">
        <f>+ISNUMBER(SEARCH('F-COMPRA'!#REF!,Tabla11[[#This Row],[Cuenta]],1))</f>
        <v>0</v>
      </c>
      <c r="AC22" t="b">
        <f>+ISNUMBER(SEARCH('F-COMPRA'!#REF!,Tabla11[[#This Row],[Cuenta]],1))</f>
        <v>0</v>
      </c>
      <c r="AD22" t="b">
        <f>+ISNUMBER(SEARCH('F-COMPRA'!#REF!,Tabla11[[#This Row],[Cuenta]],1))</f>
        <v>0</v>
      </c>
      <c r="AE22" t="b">
        <f>+ISNUMBER(SEARCH('F-COMPRA'!#REF!,Tabla11[[#This Row],[Cuenta]],1))</f>
        <v>0</v>
      </c>
      <c r="AF22" t="b">
        <f>+ISNUMBER(SEARCH('F-VTA'!$G$23,Tabla11[[#This Row],[Cuenta]],1))</f>
        <v>0</v>
      </c>
      <c r="AG22" t="b">
        <f>+ISNUMBER(SEARCH('F-VTA'!$G$24,Tabla11[[#This Row],[Cuenta]],1))</f>
        <v>0</v>
      </c>
      <c r="AH22" t="b">
        <f>+ISNUMBER(SEARCH('F-VTA'!$G$25,Tabla11[[#This Row],[Cuenta]],1))</f>
        <v>0</v>
      </c>
      <c r="AI22" t="b">
        <f>+ISNUMBER(SEARCH('F-VTA'!$F$28,Tabla11[[#This Row],[Cuenta]],1))</f>
        <v>1</v>
      </c>
      <c r="AJ22" t="b">
        <f>+ISNUMBER(SEARCH('F-VTA'!$F$29,Tabla11[[#This Row],[Cuenta]],1))</f>
        <v>1</v>
      </c>
      <c r="AK22" t="b">
        <f>+ISNUMBER(SEARCH('F-VTA'!$F$30,Tabla11[[#This Row],[Cuenta]],1))</f>
        <v>1</v>
      </c>
      <c r="AL22" t="b">
        <f>+ISNUMBER(SEARCH('F-VTA'!$F$31,Tabla11[[#This Row],[Cuenta]],1))</f>
        <v>1</v>
      </c>
      <c r="AM22" t="b">
        <f>+ISNUMBER(SEARCH('F-VTA'!$F$32,Tabla11[[#This Row],[Cuenta]],1))</f>
        <v>1</v>
      </c>
      <c r="AN22" t="b">
        <f>+ISNUMBER(SEARCH('F-VTA'!$F$33,Tabla11[[#This Row],[Cuenta]],1))</f>
        <v>1</v>
      </c>
      <c r="AO22" t="b">
        <f>+ISNUMBER(SEARCH('F-VTA'!$F$34,Tabla11[[#This Row],[Cuenta]],1))</f>
        <v>1</v>
      </c>
      <c r="AP22" t="b">
        <f>+ISNUMBER(SEARCH('F-VTA'!$F$35,Tabla11[[#This Row],[Cuenta]],1))</f>
        <v>1</v>
      </c>
      <c r="AQ22" t="b">
        <f>+ISNUMBER(SEARCH('F-VTA'!$F$36,Tabla11[[#This Row],[Cuenta]],1))</f>
        <v>1</v>
      </c>
      <c r="AR22" t="b">
        <f>+ISNUMBER(SEARCH(#REF!,Tabla11[[#This Row],[Cuenta]],1))</f>
        <v>0</v>
      </c>
      <c r="AS22" t="b">
        <f>+ISNUMBER(SEARCH(#REF!,Tabla11[[#This Row],[Cuenta]],1))</f>
        <v>0</v>
      </c>
      <c r="AT22" t="b">
        <f>+ISNUMBER(SEARCH(#REF!,Tabla11[[#This Row],[Cuenta]],1))</f>
        <v>0</v>
      </c>
      <c r="AU22" t="b">
        <f>+ISNUMBER(SEARCH('Conc. Ban.1'!$I$9,Tabla11[[#This Row],[Cuenta]],1))</f>
        <v>0</v>
      </c>
      <c r="AV22" t="b">
        <f>+ISNUMBER(SEARCH(CompConta!$F$21,Tabla11[[#This Row],[Cuenta]],1))</f>
        <v>1</v>
      </c>
      <c r="AW22" t="b">
        <f>+ISNUMBER(SEARCH(CompConta!$F$22,Tabla11[[#This Row],[Cuenta]],1))</f>
        <v>1</v>
      </c>
      <c r="AX22" t="b">
        <f>+ISNUMBER(SEARCH(CompConta!$F$23,Tabla11[[#This Row],[Cuenta]],1))</f>
        <v>1</v>
      </c>
      <c r="AY22" t="b">
        <f>+ISNUMBER(SEARCH(CompConta!$F$24,Tabla11[[#This Row],[Cuenta]],1))</f>
        <v>1</v>
      </c>
      <c r="AZ22" t="b">
        <f>+ISNUMBER(SEARCH(CompConta!$F$25,Tabla11[[#This Row],[Cuenta]],1))</f>
        <v>1</v>
      </c>
      <c r="BA22" t="b">
        <f>+ISNUMBER(SEARCH(CompConta!$F$26,Tabla11[[#This Row],[Cuenta]],1))</f>
        <v>1</v>
      </c>
      <c r="BB22" t="b">
        <f>+ISNUMBER(SEARCH(CompConta!$F$27,Tabla11[[#This Row],[Cuenta]],1))</f>
        <v>1</v>
      </c>
      <c r="BC22" t="b">
        <f>+ISNUMBER(SEARCH(CompConta!$F$28,Tabla11[[#This Row],[Cuenta]],1))</f>
        <v>1</v>
      </c>
      <c r="BD22" t="b">
        <f>+ISNUMBER(SEARCH(CompConta!$F$29,Tabla11[[#This Row],[Cuenta]],1))</f>
        <v>1</v>
      </c>
      <c r="BE22" t="b">
        <f>+ISNUMBER(SEARCH(CompConta!$F$30,Tabla11[[#This Row],[Cuenta]],1))</f>
        <v>1</v>
      </c>
      <c r="BF22" t="b">
        <f>+ISNUMBER(SEARCH('PAGO Compras'!$E$11,Tabla11[[#This Row],[Cuenta]],1))</f>
        <v>1</v>
      </c>
      <c r="BG22" t="b">
        <f>+ISNUMBER(SEARCH(#REF!,Tabla11[[#This Row],[Cuenta]],1))</f>
        <v>0</v>
      </c>
      <c r="BH22" t="b">
        <f>+ISNUMBER(SEARCH(#REF!,Tabla11[[#This Row],[Cuenta]],1))</f>
        <v>0</v>
      </c>
      <c r="BI22" t="b">
        <f>+ISNUMBER(SEARCH(#REF!,Tabla11[[#This Row],[Cuenta]],1))</f>
        <v>0</v>
      </c>
      <c r="BJ22" t="b">
        <f>+ISNUMBER(SEARCH(#REF!,Tabla11[[#This Row],[Cuenta]],1))</f>
        <v>0</v>
      </c>
      <c r="BS22" t="str">
        <v>1305 CLIENTES</v>
      </c>
      <c r="BT22" t="str">
        <v>1305 CLIENTES</v>
      </c>
      <c r="BU22" t="str">
        <v>1305 CLIENTES</v>
      </c>
      <c r="BV22" t="str">
        <v>1305 CLIENTES</v>
      </c>
      <c r="BZ22" t="str">
        <v>1305 CLIENTES</v>
      </c>
      <c r="CA22" t="str">
        <v>1305 CLIENTES</v>
      </c>
      <c r="CB22" t="str">
        <v>1305 CLIENTES</v>
      </c>
      <c r="CC22" t="str">
        <v>1305 CLIENTES</v>
      </c>
      <c r="CD22" t="str">
        <v>1305 CLIENTES</v>
      </c>
      <c r="CE22" t="str">
        <v>1305 CLIENTES</v>
      </c>
      <c r="CS22" s="141" t="str">
        <v>1305 CLIENTES</v>
      </c>
      <c r="CT22" s="141" t="str">
        <v>1305 CLIENTES</v>
      </c>
      <c r="CU22" s="141" t="str">
        <v>1305 CLIENTES</v>
      </c>
      <c r="CV22" s="141" t="str">
        <v>1305 CLIENTES</v>
      </c>
      <c r="CW22" s="141" t="str">
        <v>1305 CLIENTES</v>
      </c>
      <c r="CX22" s="141" t="str">
        <v>1305 CLIENTES</v>
      </c>
      <c r="CY22" s="141" t="str">
        <v>1305 CLIENTES</v>
      </c>
      <c r="CZ22" s="141" t="str">
        <v>1305 CLIENTES</v>
      </c>
      <c r="DA22" s="141" t="str">
        <v>1305 CLIENTES</v>
      </c>
      <c r="DF22" t="str">
        <v>1305 CLIENTES</v>
      </c>
      <c r="DG22" t="str">
        <v>1305 CLIENTES</v>
      </c>
      <c r="DH22" t="str">
        <v>1305 CLIENTES</v>
      </c>
      <c r="DI22" t="str">
        <v>1305 CLIENTES</v>
      </c>
      <c r="DJ22" t="str">
        <v>1305 CLIENTES</v>
      </c>
      <c r="DK22" t="str">
        <v>1305 CLIENTES</v>
      </c>
      <c r="DL22" t="str">
        <v>1305 CLIENTES</v>
      </c>
      <c r="DM22" t="str">
        <v>1305 CLIENTES</v>
      </c>
      <c r="DN22" t="str">
        <v>1305 CLIENTES</v>
      </c>
      <c r="DO22" t="str">
        <v>1305 CLIENTES</v>
      </c>
      <c r="DP22" t="str">
        <v>1305 CLIENTES</v>
      </c>
    </row>
    <row r="23" spans="4:120" ht="12.75">
      <c r="D23" s="7">
        <v>130505</v>
      </c>
      <c r="E23" s="6" t="s">
        <v>60</v>
      </c>
      <c r="F23" s="5">
        <v>4</v>
      </c>
      <c r="G23" s="34" t="s">
        <v>821</v>
      </c>
      <c r="H23" s="8" t="s">
        <v>32</v>
      </c>
      <c r="I23" t="b">
        <f>+ISNUMBER(SEARCH('F-COMPRA'!$F$28,Tabla11[[#This Row],[Cuenta]],1))</f>
        <v>1</v>
      </c>
      <c r="J23" t="b">
        <f>+ISNUMBER(SEARCH('F-COMPRA'!$F$29,Tabla11[[#This Row],[Cuenta]],1))</f>
        <v>1</v>
      </c>
      <c r="K23" t="b">
        <f>+ISNUMBER(SEARCH('F-COMPRA'!$F$30,Tabla11[[#This Row],[Cuenta]],1))</f>
        <v>1</v>
      </c>
      <c r="L23" t="b">
        <f>+ISNUMBER(SEARCH('F-COMPRA'!$F$31,Tabla11[[#This Row],[Cuenta]],1))</f>
        <v>1</v>
      </c>
      <c r="M23" t="b">
        <f>+ISNUMBER(SEARCH('F-COMPRA'!$G$25,Tabla11[[#This Row],[Cuenta]],1))</f>
        <v>0</v>
      </c>
      <c r="N23" t="b">
        <f>+ISNUMBER(SEARCH(#REF!,Tabla11[[#This Row],[Cuenta]],1))</f>
        <v>0</v>
      </c>
      <c r="O23" t="b">
        <f>+ISNUMBER(SEARCH(#REF!,Tabla11[[#This Row],[Cuenta]],1))</f>
        <v>0</v>
      </c>
      <c r="P23" t="b">
        <f>+ISNUMBER(SEARCH('F-COMPRA'!$F$32,Tabla11[[#This Row],[Cuenta]],1))</f>
        <v>1</v>
      </c>
      <c r="Q23" t="b">
        <f>+ISNUMBER(SEARCH('F-COMPRA'!$F$33,Tabla11[[#This Row],[Cuenta]],1))</f>
        <v>1</v>
      </c>
      <c r="R23" t="b">
        <f>+ISNUMBER(SEARCH('F-COMPRA'!$F$34,Tabla11[[#This Row],[Cuenta]],1))</f>
        <v>1</v>
      </c>
      <c r="S23" t="b">
        <f>+ISNUMBER(SEARCH('F-COMPRA'!$F$35,Tabla11[[#This Row],[Cuenta]],1))</f>
        <v>1</v>
      </c>
      <c r="T23" t="b">
        <f>+ISNUMBER(SEARCH('F-COMPRA'!$F$36,Tabla11[[#This Row],[Cuenta]],1))</f>
        <v>1</v>
      </c>
      <c r="U23" t="b">
        <f>+ISNUMBER(SEARCH('F-COMPRA'!$F$37,Tabla11[[#This Row],[Cuenta]],1))</f>
        <v>1</v>
      </c>
      <c r="V23" t="b">
        <f>+ISNUMBER(SEARCH(#REF!,Tabla11[[#This Row],[Cuenta]],1))</f>
        <v>0</v>
      </c>
      <c r="W23" t="b">
        <f>+ISNUMBER(SEARCH('F-COMPRA'!#REF!,Tabla11[[#This Row],[Cuenta]],1))</f>
        <v>0</v>
      </c>
      <c r="X23" t="b">
        <f>+ISNUMBER(SEARCH('F-COMPRA'!#REF!,Tabla11[[#This Row],[Cuenta]],1))</f>
        <v>0</v>
      </c>
      <c r="Y23" t="b">
        <f>+ISNUMBER(SEARCH('F-COMPRA'!#REF!,Tabla11[[#This Row],[Cuenta]],1))</f>
        <v>0</v>
      </c>
      <c r="Z23" t="b">
        <f>+ISNUMBER(SEARCH('F-COMPRA'!#REF!,Tabla11[[#This Row],[Cuenta]],1))</f>
        <v>0</v>
      </c>
      <c r="AA23" t="b">
        <f>+ISNUMBER(SEARCH('F-COMPRA'!#REF!,Tabla11[[#This Row],[Cuenta]],1))</f>
        <v>0</v>
      </c>
      <c r="AB23" t="b">
        <f>+ISNUMBER(SEARCH('F-COMPRA'!#REF!,Tabla11[[#This Row],[Cuenta]],1))</f>
        <v>0</v>
      </c>
      <c r="AC23" t="b">
        <f>+ISNUMBER(SEARCH('F-COMPRA'!#REF!,Tabla11[[#This Row],[Cuenta]],1))</f>
        <v>0</v>
      </c>
      <c r="AD23" t="b">
        <f>+ISNUMBER(SEARCH('F-COMPRA'!#REF!,Tabla11[[#This Row],[Cuenta]],1))</f>
        <v>0</v>
      </c>
      <c r="AE23" t="b">
        <f>+ISNUMBER(SEARCH('F-COMPRA'!#REF!,Tabla11[[#This Row],[Cuenta]],1))</f>
        <v>0</v>
      </c>
      <c r="AF23" t="b">
        <f>+ISNUMBER(SEARCH('F-VTA'!$G$23,Tabla11[[#This Row],[Cuenta]],1))</f>
        <v>0</v>
      </c>
      <c r="AG23" t="b">
        <f>+ISNUMBER(SEARCH('F-VTA'!$G$24,Tabla11[[#This Row],[Cuenta]],1))</f>
        <v>0</v>
      </c>
      <c r="AH23" t="b">
        <f>+ISNUMBER(SEARCH('F-VTA'!$G$25,Tabla11[[#This Row],[Cuenta]],1))</f>
        <v>0</v>
      </c>
      <c r="AI23" t="b">
        <f>+ISNUMBER(SEARCH('F-VTA'!$F$28,Tabla11[[#This Row],[Cuenta]],1))</f>
        <v>1</v>
      </c>
      <c r="AJ23" t="b">
        <f>+ISNUMBER(SEARCH('F-VTA'!$F$29,Tabla11[[#This Row],[Cuenta]],1))</f>
        <v>1</v>
      </c>
      <c r="AK23" t="b">
        <f>+ISNUMBER(SEARCH('F-VTA'!$F$30,Tabla11[[#This Row],[Cuenta]],1))</f>
        <v>1</v>
      </c>
      <c r="AL23" t="b">
        <f>+ISNUMBER(SEARCH('F-VTA'!$F$31,Tabla11[[#This Row],[Cuenta]],1))</f>
        <v>1</v>
      </c>
      <c r="AM23" t="b">
        <f>+ISNUMBER(SEARCH('F-VTA'!$F$32,Tabla11[[#This Row],[Cuenta]],1))</f>
        <v>1</v>
      </c>
      <c r="AN23" t="b">
        <f>+ISNUMBER(SEARCH('F-VTA'!$F$33,Tabla11[[#This Row],[Cuenta]],1))</f>
        <v>1</v>
      </c>
      <c r="AO23" t="b">
        <f>+ISNUMBER(SEARCH('F-VTA'!$F$34,Tabla11[[#This Row],[Cuenta]],1))</f>
        <v>1</v>
      </c>
      <c r="AP23" t="b">
        <f>+ISNUMBER(SEARCH('F-VTA'!$F$35,Tabla11[[#This Row],[Cuenta]],1))</f>
        <v>1</v>
      </c>
      <c r="AQ23" t="b">
        <f>+ISNUMBER(SEARCH('F-VTA'!$F$36,Tabla11[[#This Row],[Cuenta]],1))</f>
        <v>1</v>
      </c>
      <c r="AR23" t="b">
        <f>+ISNUMBER(SEARCH(#REF!,Tabla11[[#This Row],[Cuenta]],1))</f>
        <v>0</v>
      </c>
      <c r="AS23" t="b">
        <f>+ISNUMBER(SEARCH(#REF!,Tabla11[[#This Row],[Cuenta]],1))</f>
        <v>0</v>
      </c>
      <c r="AT23" t="b">
        <f>+ISNUMBER(SEARCH(#REF!,Tabla11[[#This Row],[Cuenta]],1))</f>
        <v>0</v>
      </c>
      <c r="AU23" t="b">
        <f>+ISNUMBER(SEARCH('Conc. Ban.1'!$I$9,Tabla11[[#This Row],[Cuenta]],1))</f>
        <v>0</v>
      </c>
      <c r="AV23" t="b">
        <f>+ISNUMBER(SEARCH(CompConta!$F$21,Tabla11[[#This Row],[Cuenta]],1))</f>
        <v>1</v>
      </c>
      <c r="AW23" t="b">
        <f>+ISNUMBER(SEARCH(CompConta!$F$22,Tabla11[[#This Row],[Cuenta]],1))</f>
        <v>1</v>
      </c>
      <c r="AX23" t="b">
        <f>+ISNUMBER(SEARCH(CompConta!$F$23,Tabla11[[#This Row],[Cuenta]],1))</f>
        <v>1</v>
      </c>
      <c r="AY23" t="b">
        <f>+ISNUMBER(SEARCH(CompConta!$F$24,Tabla11[[#This Row],[Cuenta]],1))</f>
        <v>1</v>
      </c>
      <c r="AZ23" t="b">
        <f>+ISNUMBER(SEARCH(CompConta!$F$25,Tabla11[[#This Row],[Cuenta]],1))</f>
        <v>1</v>
      </c>
      <c r="BA23" t="b">
        <f>+ISNUMBER(SEARCH(CompConta!$F$26,Tabla11[[#This Row],[Cuenta]],1))</f>
        <v>1</v>
      </c>
      <c r="BB23" t="b">
        <f>+ISNUMBER(SEARCH(CompConta!$F$27,Tabla11[[#This Row],[Cuenta]],1))</f>
        <v>1</v>
      </c>
      <c r="BC23" t="b">
        <f>+ISNUMBER(SEARCH(CompConta!$F$28,Tabla11[[#This Row],[Cuenta]],1))</f>
        <v>1</v>
      </c>
      <c r="BD23" t="b">
        <f>+ISNUMBER(SEARCH(CompConta!$F$29,Tabla11[[#This Row],[Cuenta]],1))</f>
        <v>1</v>
      </c>
      <c r="BE23" t="b">
        <f>+ISNUMBER(SEARCH(CompConta!$F$30,Tabla11[[#This Row],[Cuenta]],1))</f>
        <v>1</v>
      </c>
      <c r="BF23" t="b">
        <f>+ISNUMBER(SEARCH('PAGO Compras'!$E$11,Tabla11[[#This Row],[Cuenta]],1))</f>
        <v>1</v>
      </c>
      <c r="BG23" t="b">
        <f>+ISNUMBER(SEARCH(#REF!,Tabla11[[#This Row],[Cuenta]],1))</f>
        <v>0</v>
      </c>
      <c r="BH23" t="b">
        <f>+ISNUMBER(SEARCH(#REF!,Tabla11[[#This Row],[Cuenta]],1))</f>
        <v>0</v>
      </c>
      <c r="BI23" t="b">
        <f>+ISNUMBER(SEARCH(#REF!,Tabla11[[#This Row],[Cuenta]],1))</f>
        <v>0</v>
      </c>
      <c r="BJ23" t="b">
        <f>+ISNUMBER(SEARCH(#REF!,Tabla11[[#This Row],[Cuenta]],1))</f>
        <v>0</v>
      </c>
      <c r="BS23" t="str">
        <v>130505 Nacionales</v>
      </c>
      <c r="BT23" t="str">
        <v>130505 Nacionales</v>
      </c>
      <c r="BU23" t="str">
        <v>130505 Nacionales</v>
      </c>
      <c r="BV23" t="str">
        <v>130505 Nacionales</v>
      </c>
      <c r="BZ23" t="str">
        <v>130505 Nacionales</v>
      </c>
      <c r="CA23" t="str">
        <v>130505 Nacionales</v>
      </c>
      <c r="CB23" t="str">
        <v>130505 Nacionales</v>
      </c>
      <c r="CC23" t="str">
        <v>130505 Nacionales</v>
      </c>
      <c r="CD23" t="str">
        <v>130505 Nacionales</v>
      </c>
      <c r="CE23" t="str">
        <v>130505 Nacionales</v>
      </c>
      <c r="CS23" s="141" t="str">
        <v>130505 Nacionales</v>
      </c>
      <c r="CT23" s="141" t="str">
        <v>130505 Nacionales</v>
      </c>
      <c r="CU23" s="141" t="str">
        <v>130505 Nacionales</v>
      </c>
      <c r="CV23" s="141" t="str">
        <v>130505 Nacionales</v>
      </c>
      <c r="CW23" s="141" t="str">
        <v>130505 Nacionales</v>
      </c>
      <c r="CX23" s="141" t="str">
        <v>130505 Nacionales</v>
      </c>
      <c r="CY23" s="141" t="str">
        <v>130505 Nacionales</v>
      </c>
      <c r="CZ23" s="141" t="str">
        <v>130505 Nacionales</v>
      </c>
      <c r="DA23" s="141" t="str">
        <v>130505 Nacionales</v>
      </c>
      <c r="DF23" t="str">
        <v>130505 Nacionales</v>
      </c>
      <c r="DG23" t="str">
        <v>130505 Nacionales</v>
      </c>
      <c r="DH23" t="str">
        <v>130505 Nacionales</v>
      </c>
      <c r="DI23" t="str">
        <v>130505 Nacionales</v>
      </c>
      <c r="DJ23" t="str">
        <v>130505 Nacionales</v>
      </c>
      <c r="DK23" t="str">
        <v>130505 Nacionales</v>
      </c>
      <c r="DL23" t="str">
        <v>130505 Nacionales</v>
      </c>
      <c r="DM23" t="str">
        <v>130505 Nacionales</v>
      </c>
      <c r="DN23" t="str">
        <v>130505 Nacionales</v>
      </c>
      <c r="DO23" t="str">
        <v>130505 Nacionales</v>
      </c>
      <c r="DP23" t="str">
        <v>130505 Nacionales</v>
      </c>
    </row>
    <row r="24" spans="4:120" ht="12.75">
      <c r="D24" s="7">
        <v>130510</v>
      </c>
      <c r="E24" s="6" t="s">
        <v>61</v>
      </c>
      <c r="F24" s="5">
        <v>4</v>
      </c>
      <c r="G24" s="34" t="s">
        <v>821</v>
      </c>
      <c r="H24" s="8" t="s">
        <v>32</v>
      </c>
      <c r="I24" t="b">
        <f>+ISNUMBER(SEARCH('F-COMPRA'!$F$28,Tabla11[[#This Row],[Cuenta]],1))</f>
        <v>1</v>
      </c>
      <c r="J24" t="b">
        <f>+ISNUMBER(SEARCH('F-COMPRA'!$F$29,Tabla11[[#This Row],[Cuenta]],1))</f>
        <v>1</v>
      </c>
      <c r="K24" t="b">
        <f>+ISNUMBER(SEARCH('F-COMPRA'!$F$30,Tabla11[[#This Row],[Cuenta]],1))</f>
        <v>1</v>
      </c>
      <c r="L24" t="b">
        <f>+ISNUMBER(SEARCH('F-COMPRA'!$F$31,Tabla11[[#This Row],[Cuenta]],1))</f>
        <v>1</v>
      </c>
      <c r="M24" t="b">
        <f>+ISNUMBER(SEARCH('F-COMPRA'!$G$25,Tabla11[[#This Row],[Cuenta]],1))</f>
        <v>0</v>
      </c>
      <c r="N24" t="b">
        <f>+ISNUMBER(SEARCH(#REF!,Tabla11[[#This Row],[Cuenta]],1))</f>
        <v>0</v>
      </c>
      <c r="O24" t="b">
        <f>+ISNUMBER(SEARCH(#REF!,Tabla11[[#This Row],[Cuenta]],1))</f>
        <v>0</v>
      </c>
      <c r="P24" t="b">
        <f>+ISNUMBER(SEARCH('F-COMPRA'!$F$32,Tabla11[[#This Row],[Cuenta]],1))</f>
        <v>1</v>
      </c>
      <c r="Q24" t="b">
        <f>+ISNUMBER(SEARCH('F-COMPRA'!$F$33,Tabla11[[#This Row],[Cuenta]],1))</f>
        <v>1</v>
      </c>
      <c r="R24" t="b">
        <f>+ISNUMBER(SEARCH('F-COMPRA'!$F$34,Tabla11[[#This Row],[Cuenta]],1))</f>
        <v>1</v>
      </c>
      <c r="S24" t="b">
        <f>+ISNUMBER(SEARCH('F-COMPRA'!$F$35,Tabla11[[#This Row],[Cuenta]],1))</f>
        <v>1</v>
      </c>
      <c r="T24" t="b">
        <f>+ISNUMBER(SEARCH('F-COMPRA'!$F$36,Tabla11[[#This Row],[Cuenta]],1))</f>
        <v>1</v>
      </c>
      <c r="U24" t="b">
        <f>+ISNUMBER(SEARCH('F-COMPRA'!$F$37,Tabla11[[#This Row],[Cuenta]],1))</f>
        <v>1</v>
      </c>
      <c r="V24" t="b">
        <f>+ISNUMBER(SEARCH(#REF!,Tabla11[[#This Row],[Cuenta]],1))</f>
        <v>0</v>
      </c>
      <c r="W24" t="b">
        <f>+ISNUMBER(SEARCH('F-COMPRA'!#REF!,Tabla11[[#This Row],[Cuenta]],1))</f>
        <v>0</v>
      </c>
      <c r="X24" t="b">
        <f>+ISNUMBER(SEARCH('F-COMPRA'!#REF!,Tabla11[[#This Row],[Cuenta]],1))</f>
        <v>0</v>
      </c>
      <c r="Y24" t="b">
        <f>+ISNUMBER(SEARCH('F-COMPRA'!#REF!,Tabla11[[#This Row],[Cuenta]],1))</f>
        <v>0</v>
      </c>
      <c r="Z24" t="b">
        <f>+ISNUMBER(SEARCH('F-COMPRA'!#REF!,Tabla11[[#This Row],[Cuenta]],1))</f>
        <v>0</v>
      </c>
      <c r="AA24" t="b">
        <f>+ISNUMBER(SEARCH('F-COMPRA'!#REF!,Tabla11[[#This Row],[Cuenta]],1))</f>
        <v>0</v>
      </c>
      <c r="AB24" t="b">
        <f>+ISNUMBER(SEARCH('F-COMPRA'!#REF!,Tabla11[[#This Row],[Cuenta]],1))</f>
        <v>0</v>
      </c>
      <c r="AC24" t="b">
        <f>+ISNUMBER(SEARCH('F-COMPRA'!#REF!,Tabla11[[#This Row],[Cuenta]],1))</f>
        <v>0</v>
      </c>
      <c r="AD24" t="b">
        <f>+ISNUMBER(SEARCH('F-COMPRA'!#REF!,Tabla11[[#This Row],[Cuenta]],1))</f>
        <v>0</v>
      </c>
      <c r="AE24" t="b">
        <f>+ISNUMBER(SEARCH('F-COMPRA'!#REF!,Tabla11[[#This Row],[Cuenta]],1))</f>
        <v>0</v>
      </c>
      <c r="AF24" t="b">
        <f>+ISNUMBER(SEARCH('F-VTA'!$G$23,Tabla11[[#This Row],[Cuenta]],1))</f>
        <v>0</v>
      </c>
      <c r="AG24" t="b">
        <f>+ISNUMBER(SEARCH('F-VTA'!$G$24,Tabla11[[#This Row],[Cuenta]],1))</f>
        <v>0</v>
      </c>
      <c r="AH24" t="b">
        <f>+ISNUMBER(SEARCH('F-VTA'!$G$25,Tabla11[[#This Row],[Cuenta]],1))</f>
        <v>0</v>
      </c>
      <c r="AI24" t="b">
        <f>+ISNUMBER(SEARCH('F-VTA'!$F$28,Tabla11[[#This Row],[Cuenta]],1))</f>
        <v>1</v>
      </c>
      <c r="AJ24" t="b">
        <f>+ISNUMBER(SEARCH('F-VTA'!$F$29,Tabla11[[#This Row],[Cuenta]],1))</f>
        <v>1</v>
      </c>
      <c r="AK24" t="b">
        <f>+ISNUMBER(SEARCH('F-VTA'!$F$30,Tabla11[[#This Row],[Cuenta]],1))</f>
        <v>1</v>
      </c>
      <c r="AL24" t="b">
        <f>+ISNUMBER(SEARCH('F-VTA'!$F$31,Tabla11[[#This Row],[Cuenta]],1))</f>
        <v>1</v>
      </c>
      <c r="AM24" t="b">
        <f>+ISNUMBER(SEARCH('F-VTA'!$F$32,Tabla11[[#This Row],[Cuenta]],1))</f>
        <v>1</v>
      </c>
      <c r="AN24" t="b">
        <f>+ISNUMBER(SEARCH('F-VTA'!$F$33,Tabla11[[#This Row],[Cuenta]],1))</f>
        <v>1</v>
      </c>
      <c r="AO24" t="b">
        <f>+ISNUMBER(SEARCH('F-VTA'!$F$34,Tabla11[[#This Row],[Cuenta]],1))</f>
        <v>1</v>
      </c>
      <c r="AP24" t="b">
        <f>+ISNUMBER(SEARCH('F-VTA'!$F$35,Tabla11[[#This Row],[Cuenta]],1))</f>
        <v>1</v>
      </c>
      <c r="AQ24" t="b">
        <f>+ISNUMBER(SEARCH('F-VTA'!$F$36,Tabla11[[#This Row],[Cuenta]],1))</f>
        <v>1</v>
      </c>
      <c r="AR24" t="b">
        <f>+ISNUMBER(SEARCH(#REF!,Tabla11[[#This Row],[Cuenta]],1))</f>
        <v>0</v>
      </c>
      <c r="AS24" t="b">
        <f>+ISNUMBER(SEARCH(#REF!,Tabla11[[#This Row],[Cuenta]],1))</f>
        <v>0</v>
      </c>
      <c r="AT24" t="b">
        <f>+ISNUMBER(SEARCH(#REF!,Tabla11[[#This Row],[Cuenta]],1))</f>
        <v>0</v>
      </c>
      <c r="AU24" t="b">
        <f>+ISNUMBER(SEARCH('Conc. Ban.1'!$I$9,Tabla11[[#This Row],[Cuenta]],1))</f>
        <v>0</v>
      </c>
      <c r="AV24" t="b">
        <f>+ISNUMBER(SEARCH(CompConta!$F$21,Tabla11[[#This Row],[Cuenta]],1))</f>
        <v>1</v>
      </c>
      <c r="AW24" t="b">
        <f>+ISNUMBER(SEARCH(CompConta!$F$22,Tabla11[[#This Row],[Cuenta]],1))</f>
        <v>1</v>
      </c>
      <c r="AX24" t="b">
        <f>+ISNUMBER(SEARCH(CompConta!$F$23,Tabla11[[#This Row],[Cuenta]],1))</f>
        <v>1</v>
      </c>
      <c r="AY24" t="b">
        <f>+ISNUMBER(SEARCH(CompConta!$F$24,Tabla11[[#This Row],[Cuenta]],1))</f>
        <v>1</v>
      </c>
      <c r="AZ24" t="b">
        <f>+ISNUMBER(SEARCH(CompConta!$F$25,Tabla11[[#This Row],[Cuenta]],1))</f>
        <v>1</v>
      </c>
      <c r="BA24" t="b">
        <f>+ISNUMBER(SEARCH(CompConta!$F$26,Tabla11[[#This Row],[Cuenta]],1))</f>
        <v>1</v>
      </c>
      <c r="BB24" t="b">
        <f>+ISNUMBER(SEARCH(CompConta!$F$27,Tabla11[[#This Row],[Cuenta]],1))</f>
        <v>1</v>
      </c>
      <c r="BC24" t="b">
        <f>+ISNUMBER(SEARCH(CompConta!$F$28,Tabla11[[#This Row],[Cuenta]],1))</f>
        <v>1</v>
      </c>
      <c r="BD24" t="b">
        <f>+ISNUMBER(SEARCH(CompConta!$F$29,Tabla11[[#This Row],[Cuenta]],1))</f>
        <v>1</v>
      </c>
      <c r="BE24" t="b">
        <f>+ISNUMBER(SEARCH(CompConta!$F$30,Tabla11[[#This Row],[Cuenta]],1))</f>
        <v>1</v>
      </c>
      <c r="BF24" t="b">
        <f>+ISNUMBER(SEARCH('PAGO Compras'!$E$11,Tabla11[[#This Row],[Cuenta]],1))</f>
        <v>1</v>
      </c>
      <c r="BG24" t="b">
        <f>+ISNUMBER(SEARCH(#REF!,Tabla11[[#This Row],[Cuenta]],1))</f>
        <v>0</v>
      </c>
      <c r="BH24" t="b">
        <f>+ISNUMBER(SEARCH(#REF!,Tabla11[[#This Row],[Cuenta]],1))</f>
        <v>0</v>
      </c>
      <c r="BI24" t="b">
        <f>+ISNUMBER(SEARCH(#REF!,Tabla11[[#This Row],[Cuenta]],1))</f>
        <v>0</v>
      </c>
      <c r="BJ24" t="b">
        <f>+ISNUMBER(SEARCH(#REF!,Tabla11[[#This Row],[Cuenta]],1))</f>
        <v>0</v>
      </c>
      <c r="BS24" t="str">
        <v>130510 Del exterior</v>
      </c>
      <c r="BT24" t="str">
        <v>130510 Del exterior</v>
      </c>
      <c r="BU24" t="str">
        <v>130510 Del exterior</v>
      </c>
      <c r="BV24" t="str">
        <v>130510 Del exterior</v>
      </c>
      <c r="BZ24" t="str">
        <v>130510 Del exterior</v>
      </c>
      <c r="CA24" t="str">
        <v>130510 Del exterior</v>
      </c>
      <c r="CB24" t="str">
        <v>130510 Del exterior</v>
      </c>
      <c r="CC24" t="str">
        <v>130510 Del exterior</v>
      </c>
      <c r="CD24" t="str">
        <v>130510 Del exterior</v>
      </c>
      <c r="CE24" t="str">
        <v>130510 Del exterior</v>
      </c>
      <c r="CS24" s="141" t="str">
        <v>130510 Del exterior</v>
      </c>
      <c r="CT24" s="141" t="str">
        <v>130510 Del exterior</v>
      </c>
      <c r="CU24" s="141" t="str">
        <v>130510 Del exterior</v>
      </c>
      <c r="CV24" s="141" t="str">
        <v>130510 Del exterior</v>
      </c>
      <c r="CW24" s="141" t="str">
        <v>130510 Del exterior</v>
      </c>
      <c r="CX24" s="141" t="str">
        <v>130510 Del exterior</v>
      </c>
      <c r="CY24" s="141" t="str">
        <v>130510 Del exterior</v>
      </c>
      <c r="CZ24" s="141" t="str">
        <v>130510 Del exterior</v>
      </c>
      <c r="DA24" s="141" t="str">
        <v>130510 Del exterior</v>
      </c>
      <c r="DF24" t="str">
        <v>130510 Del exterior</v>
      </c>
      <c r="DG24" t="str">
        <v>130510 Del exterior</v>
      </c>
      <c r="DH24" t="str">
        <v>130510 Del exterior</v>
      </c>
      <c r="DI24" t="str">
        <v>130510 Del exterior</v>
      </c>
      <c r="DJ24" t="str">
        <v>130510 Del exterior</v>
      </c>
      <c r="DK24" t="str">
        <v>130510 Del exterior</v>
      </c>
      <c r="DL24" t="str">
        <v>130510 Del exterior</v>
      </c>
      <c r="DM24" t="str">
        <v>130510 Del exterior</v>
      </c>
      <c r="DN24" t="str">
        <v>130510 Del exterior</v>
      </c>
      <c r="DO24" t="str">
        <v>130510 Del exterior</v>
      </c>
      <c r="DP24" t="str">
        <v>130510 Del exterior</v>
      </c>
    </row>
    <row r="25" spans="4:120" ht="12.75">
      <c r="D25" s="7">
        <v>1330</v>
      </c>
      <c r="E25" s="6" t="s">
        <v>63</v>
      </c>
      <c r="F25" s="5">
        <v>3</v>
      </c>
      <c r="G25" s="34" t="s">
        <v>821</v>
      </c>
      <c r="H25" s="8" t="s">
        <v>32</v>
      </c>
      <c r="I25" t="b">
        <f>+ISNUMBER(SEARCH('F-COMPRA'!$F$28,Tabla11[[#This Row],[Cuenta]],1))</f>
        <v>1</v>
      </c>
      <c r="J25" t="b">
        <f>+ISNUMBER(SEARCH('F-COMPRA'!$F$29,Tabla11[[#This Row],[Cuenta]],1))</f>
        <v>1</v>
      </c>
      <c r="K25" t="b">
        <f>+ISNUMBER(SEARCH('F-COMPRA'!$F$30,Tabla11[[#This Row],[Cuenta]],1))</f>
        <v>1</v>
      </c>
      <c r="L25" t="b">
        <f>+ISNUMBER(SEARCH('F-COMPRA'!$F$31,Tabla11[[#This Row],[Cuenta]],1))</f>
        <v>1</v>
      </c>
      <c r="M25" t="b">
        <f>+ISNUMBER(SEARCH('F-COMPRA'!$G$25,Tabla11[[#This Row],[Cuenta]],1))</f>
        <v>0</v>
      </c>
      <c r="N25" t="b">
        <f>+ISNUMBER(SEARCH(#REF!,Tabla11[[#This Row],[Cuenta]],1))</f>
        <v>0</v>
      </c>
      <c r="O25" t="b">
        <f>+ISNUMBER(SEARCH(#REF!,Tabla11[[#This Row],[Cuenta]],1))</f>
        <v>0</v>
      </c>
      <c r="P25" t="b">
        <f>+ISNUMBER(SEARCH('F-COMPRA'!$F$32,Tabla11[[#This Row],[Cuenta]],1))</f>
        <v>1</v>
      </c>
      <c r="Q25" t="b">
        <f>+ISNUMBER(SEARCH('F-COMPRA'!$F$33,Tabla11[[#This Row],[Cuenta]],1))</f>
        <v>1</v>
      </c>
      <c r="R25" t="b">
        <f>+ISNUMBER(SEARCH('F-COMPRA'!$F$34,Tabla11[[#This Row],[Cuenta]],1))</f>
        <v>1</v>
      </c>
      <c r="S25" t="b">
        <f>+ISNUMBER(SEARCH('F-COMPRA'!$F$35,Tabla11[[#This Row],[Cuenta]],1))</f>
        <v>1</v>
      </c>
      <c r="T25" t="b">
        <f>+ISNUMBER(SEARCH('F-COMPRA'!$F$36,Tabla11[[#This Row],[Cuenta]],1))</f>
        <v>1</v>
      </c>
      <c r="U25" t="b">
        <f>+ISNUMBER(SEARCH('F-COMPRA'!$F$37,Tabla11[[#This Row],[Cuenta]],1))</f>
        <v>1</v>
      </c>
      <c r="V25" t="b">
        <f>+ISNUMBER(SEARCH(#REF!,Tabla11[[#This Row],[Cuenta]],1))</f>
        <v>0</v>
      </c>
      <c r="W25" t="b">
        <f>+ISNUMBER(SEARCH('F-COMPRA'!#REF!,Tabla11[[#This Row],[Cuenta]],1))</f>
        <v>0</v>
      </c>
      <c r="X25" t="b">
        <f>+ISNUMBER(SEARCH('F-COMPRA'!#REF!,Tabla11[[#This Row],[Cuenta]],1))</f>
        <v>0</v>
      </c>
      <c r="Y25" t="b">
        <f>+ISNUMBER(SEARCH('F-COMPRA'!#REF!,Tabla11[[#This Row],[Cuenta]],1))</f>
        <v>0</v>
      </c>
      <c r="Z25" t="b">
        <f>+ISNUMBER(SEARCH('F-COMPRA'!#REF!,Tabla11[[#This Row],[Cuenta]],1))</f>
        <v>0</v>
      </c>
      <c r="AA25" t="b">
        <f>+ISNUMBER(SEARCH('F-COMPRA'!#REF!,Tabla11[[#This Row],[Cuenta]],1))</f>
        <v>0</v>
      </c>
      <c r="AB25" t="b">
        <f>+ISNUMBER(SEARCH('F-COMPRA'!#REF!,Tabla11[[#This Row],[Cuenta]],1))</f>
        <v>0</v>
      </c>
      <c r="AC25" t="b">
        <f>+ISNUMBER(SEARCH('F-COMPRA'!#REF!,Tabla11[[#This Row],[Cuenta]],1))</f>
        <v>0</v>
      </c>
      <c r="AD25" t="b">
        <f>+ISNUMBER(SEARCH('F-COMPRA'!#REF!,Tabla11[[#This Row],[Cuenta]],1))</f>
        <v>0</v>
      </c>
      <c r="AE25" t="b">
        <f>+ISNUMBER(SEARCH('F-COMPRA'!#REF!,Tabla11[[#This Row],[Cuenta]],1))</f>
        <v>0</v>
      </c>
      <c r="AF25" t="b">
        <f>+ISNUMBER(SEARCH('F-VTA'!$G$23,Tabla11[[#This Row],[Cuenta]],1))</f>
        <v>0</v>
      </c>
      <c r="AG25" t="b">
        <f>+ISNUMBER(SEARCH('F-VTA'!$G$24,Tabla11[[#This Row],[Cuenta]],1))</f>
        <v>0</v>
      </c>
      <c r="AH25" t="b">
        <f>+ISNUMBER(SEARCH('F-VTA'!$G$25,Tabla11[[#This Row],[Cuenta]],1))</f>
        <v>0</v>
      </c>
      <c r="AI25" t="b">
        <f>+ISNUMBER(SEARCH('F-VTA'!$F$28,Tabla11[[#This Row],[Cuenta]],1))</f>
        <v>1</v>
      </c>
      <c r="AJ25" t="b">
        <f>+ISNUMBER(SEARCH('F-VTA'!$F$29,Tabla11[[#This Row],[Cuenta]],1))</f>
        <v>1</v>
      </c>
      <c r="AK25" t="b">
        <f>+ISNUMBER(SEARCH('F-VTA'!$F$30,Tabla11[[#This Row],[Cuenta]],1))</f>
        <v>1</v>
      </c>
      <c r="AL25" t="b">
        <f>+ISNUMBER(SEARCH('F-VTA'!$F$31,Tabla11[[#This Row],[Cuenta]],1))</f>
        <v>1</v>
      </c>
      <c r="AM25" t="b">
        <f>+ISNUMBER(SEARCH('F-VTA'!$F$32,Tabla11[[#This Row],[Cuenta]],1))</f>
        <v>1</v>
      </c>
      <c r="AN25" t="b">
        <f>+ISNUMBER(SEARCH('F-VTA'!$F$33,Tabla11[[#This Row],[Cuenta]],1))</f>
        <v>1</v>
      </c>
      <c r="AO25" t="b">
        <f>+ISNUMBER(SEARCH('F-VTA'!$F$34,Tabla11[[#This Row],[Cuenta]],1))</f>
        <v>1</v>
      </c>
      <c r="AP25" t="b">
        <f>+ISNUMBER(SEARCH('F-VTA'!$F$35,Tabla11[[#This Row],[Cuenta]],1))</f>
        <v>1</v>
      </c>
      <c r="AQ25" t="b">
        <f>+ISNUMBER(SEARCH('F-VTA'!$F$36,Tabla11[[#This Row],[Cuenta]],1))</f>
        <v>1</v>
      </c>
      <c r="AR25" t="b">
        <f>+ISNUMBER(SEARCH(#REF!,Tabla11[[#This Row],[Cuenta]],1))</f>
        <v>0</v>
      </c>
      <c r="AS25" t="b">
        <f>+ISNUMBER(SEARCH(#REF!,Tabla11[[#This Row],[Cuenta]],1))</f>
        <v>0</v>
      </c>
      <c r="AT25" t="b">
        <f>+ISNUMBER(SEARCH(#REF!,Tabla11[[#This Row],[Cuenta]],1))</f>
        <v>0</v>
      </c>
      <c r="AU25" t="b">
        <f>+ISNUMBER(SEARCH('Conc. Ban.1'!$I$9,Tabla11[[#This Row],[Cuenta]],1))</f>
        <v>0</v>
      </c>
      <c r="AV25" t="b">
        <f>+ISNUMBER(SEARCH(CompConta!$F$21,Tabla11[[#This Row],[Cuenta]],1))</f>
        <v>1</v>
      </c>
      <c r="AW25" t="b">
        <f>+ISNUMBER(SEARCH(CompConta!$F$22,Tabla11[[#This Row],[Cuenta]],1))</f>
        <v>1</v>
      </c>
      <c r="AX25" t="b">
        <f>+ISNUMBER(SEARCH(CompConta!$F$23,Tabla11[[#This Row],[Cuenta]],1))</f>
        <v>1</v>
      </c>
      <c r="AY25" t="b">
        <f>+ISNUMBER(SEARCH(CompConta!$F$24,Tabla11[[#This Row],[Cuenta]],1))</f>
        <v>1</v>
      </c>
      <c r="AZ25" t="b">
        <f>+ISNUMBER(SEARCH(CompConta!$F$25,Tabla11[[#This Row],[Cuenta]],1))</f>
        <v>1</v>
      </c>
      <c r="BA25" t="b">
        <f>+ISNUMBER(SEARCH(CompConta!$F$26,Tabla11[[#This Row],[Cuenta]],1))</f>
        <v>1</v>
      </c>
      <c r="BB25" t="b">
        <f>+ISNUMBER(SEARCH(CompConta!$F$27,Tabla11[[#This Row],[Cuenta]],1))</f>
        <v>1</v>
      </c>
      <c r="BC25" t="b">
        <f>+ISNUMBER(SEARCH(CompConta!$F$28,Tabla11[[#This Row],[Cuenta]],1))</f>
        <v>1</v>
      </c>
      <c r="BD25" t="b">
        <f>+ISNUMBER(SEARCH(CompConta!$F$29,Tabla11[[#This Row],[Cuenta]],1))</f>
        <v>1</v>
      </c>
      <c r="BE25" t="b">
        <f>+ISNUMBER(SEARCH(CompConta!$F$30,Tabla11[[#This Row],[Cuenta]],1))</f>
        <v>1</v>
      </c>
      <c r="BF25" t="b">
        <f>+ISNUMBER(SEARCH('PAGO Compras'!$E$11,Tabla11[[#This Row],[Cuenta]],1))</f>
        <v>1</v>
      </c>
      <c r="BG25" t="b">
        <f>+ISNUMBER(SEARCH(#REF!,Tabla11[[#This Row],[Cuenta]],1))</f>
        <v>0</v>
      </c>
      <c r="BH25" t="b">
        <f>+ISNUMBER(SEARCH(#REF!,Tabla11[[#This Row],[Cuenta]],1))</f>
        <v>0</v>
      </c>
      <c r="BI25" t="b">
        <f>+ISNUMBER(SEARCH(#REF!,Tabla11[[#This Row],[Cuenta]],1))</f>
        <v>0</v>
      </c>
      <c r="BJ25" t="b">
        <f>+ISNUMBER(SEARCH(#REF!,Tabla11[[#This Row],[Cuenta]],1))</f>
        <v>0</v>
      </c>
      <c r="BS25" t="str">
        <v>1330 ANTICIPOS Y AVANCES</v>
      </c>
      <c r="BT25" t="str">
        <v>1330 ANTICIPOS Y AVANCES</v>
      </c>
      <c r="BU25" t="str">
        <v>1330 ANTICIPOS Y AVANCES</v>
      </c>
      <c r="BV25" t="str">
        <v>1330 ANTICIPOS Y AVANCES</v>
      </c>
      <c r="BZ25" t="str">
        <v>1330 ANTICIPOS Y AVANCES</v>
      </c>
      <c r="CA25" t="str">
        <v>1330 ANTICIPOS Y AVANCES</v>
      </c>
      <c r="CB25" t="str">
        <v>1330 ANTICIPOS Y AVANCES</v>
      </c>
      <c r="CC25" t="str">
        <v>1330 ANTICIPOS Y AVANCES</v>
      </c>
      <c r="CD25" t="str">
        <v>1330 ANTICIPOS Y AVANCES</v>
      </c>
      <c r="CE25" t="str">
        <v>1330 ANTICIPOS Y AVANCES</v>
      </c>
      <c r="CS25" s="141" t="str">
        <v>1330 ANTICIPOS Y AVANCES</v>
      </c>
      <c r="CT25" s="141" t="str">
        <v>1330 ANTICIPOS Y AVANCES</v>
      </c>
      <c r="CU25" s="141" t="str">
        <v>1330 ANTICIPOS Y AVANCES</v>
      </c>
      <c r="CV25" s="141" t="str">
        <v>1330 ANTICIPOS Y AVANCES</v>
      </c>
      <c r="CW25" s="141" t="str">
        <v>1330 ANTICIPOS Y AVANCES</v>
      </c>
      <c r="CX25" s="141" t="str">
        <v>1330 ANTICIPOS Y AVANCES</v>
      </c>
      <c r="CY25" s="141" t="str">
        <v>1330 ANTICIPOS Y AVANCES</v>
      </c>
      <c r="CZ25" s="141" t="str">
        <v>1330 ANTICIPOS Y AVANCES</v>
      </c>
      <c r="DA25" s="141" t="str">
        <v>1330 ANTICIPOS Y AVANCES</v>
      </c>
      <c r="DF25" t="str">
        <v>1330 ANTICIPOS Y AVANCES</v>
      </c>
      <c r="DG25" t="str">
        <v>1330 ANTICIPOS Y AVANCES</v>
      </c>
      <c r="DH25" t="str">
        <v>1330 ANTICIPOS Y AVANCES</v>
      </c>
      <c r="DI25" t="str">
        <v>1330 ANTICIPOS Y AVANCES</v>
      </c>
      <c r="DJ25" t="str">
        <v>1330 ANTICIPOS Y AVANCES</v>
      </c>
      <c r="DK25" t="str">
        <v>1330 ANTICIPOS Y AVANCES</v>
      </c>
      <c r="DL25" t="str">
        <v>1330 ANTICIPOS Y AVANCES</v>
      </c>
      <c r="DM25" t="str">
        <v>1330 ANTICIPOS Y AVANCES</v>
      </c>
      <c r="DN25" t="str">
        <v>1330 ANTICIPOS Y AVANCES</v>
      </c>
      <c r="DO25" t="str">
        <v>1330 ANTICIPOS Y AVANCES</v>
      </c>
      <c r="DP25" t="str">
        <v>1330 ANTICIPOS Y AVANCES</v>
      </c>
    </row>
    <row r="26" spans="4:120" ht="12.75">
      <c r="D26" s="7">
        <v>133005</v>
      </c>
      <c r="E26" s="6" t="s">
        <v>64</v>
      </c>
      <c r="F26" s="5">
        <v>4</v>
      </c>
      <c r="G26" s="34" t="s">
        <v>821</v>
      </c>
      <c r="H26" s="8" t="s">
        <v>32</v>
      </c>
      <c r="I26" t="b">
        <f>+ISNUMBER(SEARCH('F-COMPRA'!$F$28,Tabla11[[#This Row],[Cuenta]],1))</f>
        <v>1</v>
      </c>
      <c r="J26" t="b">
        <f>+ISNUMBER(SEARCH('F-COMPRA'!$F$29,Tabla11[[#This Row],[Cuenta]],1))</f>
        <v>1</v>
      </c>
      <c r="K26" t="b">
        <f>+ISNUMBER(SEARCH('F-COMPRA'!$F$30,Tabla11[[#This Row],[Cuenta]],1))</f>
        <v>1</v>
      </c>
      <c r="L26" t="b">
        <f>+ISNUMBER(SEARCH('F-COMPRA'!$F$31,Tabla11[[#This Row],[Cuenta]],1))</f>
        <v>1</v>
      </c>
      <c r="M26" t="b">
        <f>+ISNUMBER(SEARCH('F-COMPRA'!$G$25,Tabla11[[#This Row],[Cuenta]],1))</f>
        <v>0</v>
      </c>
      <c r="N26" t="b">
        <f>+ISNUMBER(SEARCH(#REF!,Tabla11[[#This Row],[Cuenta]],1))</f>
        <v>0</v>
      </c>
      <c r="O26" t="b">
        <f>+ISNUMBER(SEARCH(#REF!,Tabla11[[#This Row],[Cuenta]],1))</f>
        <v>0</v>
      </c>
      <c r="P26" t="b">
        <f>+ISNUMBER(SEARCH('F-COMPRA'!$F$32,Tabla11[[#This Row],[Cuenta]],1))</f>
        <v>1</v>
      </c>
      <c r="Q26" t="b">
        <f>+ISNUMBER(SEARCH('F-COMPRA'!$F$33,Tabla11[[#This Row],[Cuenta]],1))</f>
        <v>1</v>
      </c>
      <c r="R26" t="b">
        <f>+ISNUMBER(SEARCH('F-COMPRA'!$F$34,Tabla11[[#This Row],[Cuenta]],1))</f>
        <v>1</v>
      </c>
      <c r="S26" t="b">
        <f>+ISNUMBER(SEARCH('F-COMPRA'!$F$35,Tabla11[[#This Row],[Cuenta]],1))</f>
        <v>1</v>
      </c>
      <c r="T26" t="b">
        <f>+ISNUMBER(SEARCH('F-COMPRA'!$F$36,Tabla11[[#This Row],[Cuenta]],1))</f>
        <v>1</v>
      </c>
      <c r="U26" t="b">
        <f>+ISNUMBER(SEARCH('F-COMPRA'!$F$37,Tabla11[[#This Row],[Cuenta]],1))</f>
        <v>1</v>
      </c>
      <c r="V26" t="b">
        <f>+ISNUMBER(SEARCH(#REF!,Tabla11[[#This Row],[Cuenta]],1))</f>
        <v>0</v>
      </c>
      <c r="W26" t="b">
        <f>+ISNUMBER(SEARCH('F-COMPRA'!#REF!,Tabla11[[#This Row],[Cuenta]],1))</f>
        <v>0</v>
      </c>
      <c r="X26" t="b">
        <f>+ISNUMBER(SEARCH('F-COMPRA'!#REF!,Tabla11[[#This Row],[Cuenta]],1))</f>
        <v>0</v>
      </c>
      <c r="Y26" t="b">
        <f>+ISNUMBER(SEARCH('F-COMPRA'!#REF!,Tabla11[[#This Row],[Cuenta]],1))</f>
        <v>0</v>
      </c>
      <c r="Z26" t="b">
        <f>+ISNUMBER(SEARCH('F-COMPRA'!#REF!,Tabla11[[#This Row],[Cuenta]],1))</f>
        <v>0</v>
      </c>
      <c r="AA26" t="b">
        <f>+ISNUMBER(SEARCH('F-COMPRA'!#REF!,Tabla11[[#This Row],[Cuenta]],1))</f>
        <v>0</v>
      </c>
      <c r="AB26" t="b">
        <f>+ISNUMBER(SEARCH('F-COMPRA'!#REF!,Tabla11[[#This Row],[Cuenta]],1))</f>
        <v>0</v>
      </c>
      <c r="AC26" t="b">
        <f>+ISNUMBER(SEARCH('F-COMPRA'!#REF!,Tabla11[[#This Row],[Cuenta]],1))</f>
        <v>0</v>
      </c>
      <c r="AD26" t="b">
        <f>+ISNUMBER(SEARCH('F-COMPRA'!#REF!,Tabla11[[#This Row],[Cuenta]],1))</f>
        <v>0</v>
      </c>
      <c r="AE26" t="b">
        <f>+ISNUMBER(SEARCH('F-COMPRA'!#REF!,Tabla11[[#This Row],[Cuenta]],1))</f>
        <v>0</v>
      </c>
      <c r="AF26" t="b">
        <f>+ISNUMBER(SEARCH('F-VTA'!$G$23,Tabla11[[#This Row],[Cuenta]],1))</f>
        <v>0</v>
      </c>
      <c r="AG26" t="b">
        <f>+ISNUMBER(SEARCH('F-VTA'!$G$24,Tabla11[[#This Row],[Cuenta]],1))</f>
        <v>0</v>
      </c>
      <c r="AH26" t="b">
        <f>+ISNUMBER(SEARCH('F-VTA'!$G$25,Tabla11[[#This Row],[Cuenta]],1))</f>
        <v>0</v>
      </c>
      <c r="AI26" t="b">
        <f>+ISNUMBER(SEARCH('F-VTA'!$F$28,Tabla11[[#This Row],[Cuenta]],1))</f>
        <v>1</v>
      </c>
      <c r="AJ26" t="b">
        <f>+ISNUMBER(SEARCH('F-VTA'!$F$29,Tabla11[[#This Row],[Cuenta]],1))</f>
        <v>1</v>
      </c>
      <c r="AK26" t="b">
        <f>+ISNUMBER(SEARCH('F-VTA'!$F$30,Tabla11[[#This Row],[Cuenta]],1))</f>
        <v>1</v>
      </c>
      <c r="AL26" t="b">
        <f>+ISNUMBER(SEARCH('F-VTA'!$F$31,Tabla11[[#This Row],[Cuenta]],1))</f>
        <v>1</v>
      </c>
      <c r="AM26" t="b">
        <f>+ISNUMBER(SEARCH('F-VTA'!$F$32,Tabla11[[#This Row],[Cuenta]],1))</f>
        <v>1</v>
      </c>
      <c r="AN26" t="b">
        <f>+ISNUMBER(SEARCH('F-VTA'!$F$33,Tabla11[[#This Row],[Cuenta]],1))</f>
        <v>1</v>
      </c>
      <c r="AO26" t="b">
        <f>+ISNUMBER(SEARCH('F-VTA'!$F$34,Tabla11[[#This Row],[Cuenta]],1))</f>
        <v>1</v>
      </c>
      <c r="AP26" t="b">
        <f>+ISNUMBER(SEARCH('F-VTA'!$F$35,Tabla11[[#This Row],[Cuenta]],1))</f>
        <v>1</v>
      </c>
      <c r="AQ26" t="b">
        <f>+ISNUMBER(SEARCH('F-VTA'!$F$36,Tabla11[[#This Row],[Cuenta]],1))</f>
        <v>1</v>
      </c>
      <c r="AR26" t="b">
        <f>+ISNUMBER(SEARCH(#REF!,Tabla11[[#This Row],[Cuenta]],1))</f>
        <v>0</v>
      </c>
      <c r="AS26" t="b">
        <f>+ISNUMBER(SEARCH(#REF!,Tabla11[[#This Row],[Cuenta]],1))</f>
        <v>0</v>
      </c>
      <c r="AT26" t="b">
        <f>+ISNUMBER(SEARCH(#REF!,Tabla11[[#This Row],[Cuenta]],1))</f>
        <v>0</v>
      </c>
      <c r="AU26" t="b">
        <f>+ISNUMBER(SEARCH('Conc. Ban.1'!$I$9,Tabla11[[#This Row],[Cuenta]],1))</f>
        <v>0</v>
      </c>
      <c r="AV26" t="b">
        <f>+ISNUMBER(SEARCH(CompConta!$F$21,Tabla11[[#This Row],[Cuenta]],1))</f>
        <v>1</v>
      </c>
      <c r="AW26" t="b">
        <f>+ISNUMBER(SEARCH(CompConta!$F$22,Tabla11[[#This Row],[Cuenta]],1))</f>
        <v>1</v>
      </c>
      <c r="AX26" t="b">
        <f>+ISNUMBER(SEARCH(CompConta!$F$23,Tabla11[[#This Row],[Cuenta]],1))</f>
        <v>1</v>
      </c>
      <c r="AY26" t="b">
        <f>+ISNUMBER(SEARCH(CompConta!$F$24,Tabla11[[#This Row],[Cuenta]],1))</f>
        <v>1</v>
      </c>
      <c r="AZ26" t="b">
        <f>+ISNUMBER(SEARCH(CompConta!$F$25,Tabla11[[#This Row],[Cuenta]],1))</f>
        <v>1</v>
      </c>
      <c r="BA26" t="b">
        <f>+ISNUMBER(SEARCH(CompConta!$F$26,Tabla11[[#This Row],[Cuenta]],1))</f>
        <v>1</v>
      </c>
      <c r="BB26" t="b">
        <f>+ISNUMBER(SEARCH(CompConta!$F$27,Tabla11[[#This Row],[Cuenta]],1))</f>
        <v>1</v>
      </c>
      <c r="BC26" t="b">
        <f>+ISNUMBER(SEARCH(CompConta!$F$28,Tabla11[[#This Row],[Cuenta]],1))</f>
        <v>1</v>
      </c>
      <c r="BD26" t="b">
        <f>+ISNUMBER(SEARCH(CompConta!$F$29,Tabla11[[#This Row],[Cuenta]],1))</f>
        <v>1</v>
      </c>
      <c r="BE26" t="b">
        <f>+ISNUMBER(SEARCH(CompConta!$F$30,Tabla11[[#This Row],[Cuenta]],1))</f>
        <v>1</v>
      </c>
      <c r="BF26" t="b">
        <f>+ISNUMBER(SEARCH('PAGO Compras'!$E$11,Tabla11[[#This Row],[Cuenta]],1))</f>
        <v>1</v>
      </c>
      <c r="BG26" t="b">
        <f>+ISNUMBER(SEARCH(#REF!,Tabla11[[#This Row],[Cuenta]],1))</f>
        <v>0</v>
      </c>
      <c r="BH26" t="b">
        <f>+ISNUMBER(SEARCH(#REF!,Tabla11[[#This Row],[Cuenta]],1))</f>
        <v>0</v>
      </c>
      <c r="BI26" t="b">
        <f>+ISNUMBER(SEARCH(#REF!,Tabla11[[#This Row],[Cuenta]],1))</f>
        <v>0</v>
      </c>
      <c r="BJ26" t="b">
        <f>+ISNUMBER(SEARCH(#REF!,Tabla11[[#This Row],[Cuenta]],1))</f>
        <v>0</v>
      </c>
      <c r="BS26" t="str">
        <v>133005 A proveedores</v>
      </c>
      <c r="BT26" t="str">
        <v>133005 A proveedores</v>
      </c>
      <c r="BU26" t="str">
        <v>133005 A proveedores</v>
      </c>
      <c r="BV26" t="str">
        <v>133005 A proveedores</v>
      </c>
      <c r="BZ26" t="str">
        <v>133005 A proveedores</v>
      </c>
      <c r="CA26" t="str">
        <v>133005 A proveedores</v>
      </c>
      <c r="CB26" t="str">
        <v>133005 A proveedores</v>
      </c>
      <c r="CC26" t="str">
        <v>133005 A proveedores</v>
      </c>
      <c r="CD26" t="str">
        <v>133005 A proveedores</v>
      </c>
      <c r="CE26" t="str">
        <v>133005 A proveedores</v>
      </c>
      <c r="CS26" s="141" t="str">
        <v>133005 A proveedores</v>
      </c>
      <c r="CT26" s="141" t="str">
        <v>133005 A proveedores</v>
      </c>
      <c r="CU26" s="141" t="str">
        <v>133005 A proveedores</v>
      </c>
      <c r="CV26" s="141" t="str">
        <v>133005 A proveedores</v>
      </c>
      <c r="CW26" s="141" t="str">
        <v>133005 A proveedores</v>
      </c>
      <c r="CX26" s="141" t="str">
        <v>133005 A proveedores</v>
      </c>
      <c r="CY26" s="141" t="str">
        <v>133005 A proveedores</v>
      </c>
      <c r="CZ26" s="141" t="str">
        <v>133005 A proveedores</v>
      </c>
      <c r="DA26" s="141" t="str">
        <v>133005 A proveedores</v>
      </c>
      <c r="DF26" t="str">
        <v>133005 A proveedores</v>
      </c>
      <c r="DG26" t="str">
        <v>133005 A proveedores</v>
      </c>
      <c r="DH26" t="str">
        <v>133005 A proveedores</v>
      </c>
      <c r="DI26" t="str">
        <v>133005 A proveedores</v>
      </c>
      <c r="DJ26" t="str">
        <v>133005 A proveedores</v>
      </c>
      <c r="DK26" t="str">
        <v>133005 A proveedores</v>
      </c>
      <c r="DL26" t="str">
        <v>133005 A proveedores</v>
      </c>
      <c r="DM26" t="str">
        <v>133005 A proveedores</v>
      </c>
      <c r="DN26" t="str">
        <v>133005 A proveedores</v>
      </c>
      <c r="DO26" t="str">
        <v>133005 A proveedores</v>
      </c>
      <c r="DP26" t="str">
        <v>133005 A proveedores</v>
      </c>
    </row>
    <row r="27" spans="4:120" ht="12.75">
      <c r="D27" s="7">
        <v>133010</v>
      </c>
      <c r="E27" s="6" t="s">
        <v>65</v>
      </c>
      <c r="F27" s="5">
        <v>4</v>
      </c>
      <c r="G27" s="34" t="s">
        <v>821</v>
      </c>
      <c r="H27" s="8" t="s">
        <v>32</v>
      </c>
      <c r="I27" t="b">
        <f>+ISNUMBER(SEARCH('F-COMPRA'!$F$28,Tabla11[[#This Row],[Cuenta]],1))</f>
        <v>1</v>
      </c>
      <c r="J27" t="b">
        <f>+ISNUMBER(SEARCH('F-COMPRA'!$F$29,Tabla11[[#This Row],[Cuenta]],1))</f>
        <v>1</v>
      </c>
      <c r="K27" t="b">
        <f>+ISNUMBER(SEARCH('F-COMPRA'!$F$30,Tabla11[[#This Row],[Cuenta]],1))</f>
        <v>1</v>
      </c>
      <c r="L27" t="b">
        <f>+ISNUMBER(SEARCH('F-COMPRA'!$F$31,Tabla11[[#This Row],[Cuenta]],1))</f>
        <v>1</v>
      </c>
      <c r="M27" t="b">
        <f>+ISNUMBER(SEARCH('F-COMPRA'!$G$25,Tabla11[[#This Row],[Cuenta]],1))</f>
        <v>0</v>
      </c>
      <c r="N27" t="b">
        <f>+ISNUMBER(SEARCH(#REF!,Tabla11[[#This Row],[Cuenta]],1))</f>
        <v>0</v>
      </c>
      <c r="O27" t="b">
        <f>+ISNUMBER(SEARCH(#REF!,Tabla11[[#This Row],[Cuenta]],1))</f>
        <v>0</v>
      </c>
      <c r="P27" t="b">
        <f>+ISNUMBER(SEARCH('F-COMPRA'!$F$32,Tabla11[[#This Row],[Cuenta]],1))</f>
        <v>1</v>
      </c>
      <c r="Q27" t="b">
        <f>+ISNUMBER(SEARCH('F-COMPRA'!$F$33,Tabla11[[#This Row],[Cuenta]],1))</f>
        <v>1</v>
      </c>
      <c r="R27" t="b">
        <f>+ISNUMBER(SEARCH('F-COMPRA'!$F$34,Tabla11[[#This Row],[Cuenta]],1))</f>
        <v>1</v>
      </c>
      <c r="S27" t="b">
        <f>+ISNUMBER(SEARCH('F-COMPRA'!$F$35,Tabla11[[#This Row],[Cuenta]],1))</f>
        <v>1</v>
      </c>
      <c r="T27" t="b">
        <f>+ISNUMBER(SEARCH('F-COMPRA'!$F$36,Tabla11[[#This Row],[Cuenta]],1))</f>
        <v>1</v>
      </c>
      <c r="U27" t="b">
        <f>+ISNUMBER(SEARCH('F-COMPRA'!$F$37,Tabla11[[#This Row],[Cuenta]],1))</f>
        <v>1</v>
      </c>
      <c r="V27" t="b">
        <f>+ISNUMBER(SEARCH(#REF!,Tabla11[[#This Row],[Cuenta]],1))</f>
        <v>0</v>
      </c>
      <c r="W27" t="b">
        <f>+ISNUMBER(SEARCH('F-COMPRA'!#REF!,Tabla11[[#This Row],[Cuenta]],1))</f>
        <v>0</v>
      </c>
      <c r="X27" t="b">
        <f>+ISNUMBER(SEARCH('F-COMPRA'!#REF!,Tabla11[[#This Row],[Cuenta]],1))</f>
        <v>0</v>
      </c>
      <c r="Y27" t="b">
        <f>+ISNUMBER(SEARCH('F-COMPRA'!#REF!,Tabla11[[#This Row],[Cuenta]],1))</f>
        <v>0</v>
      </c>
      <c r="Z27" t="b">
        <f>+ISNUMBER(SEARCH('F-COMPRA'!#REF!,Tabla11[[#This Row],[Cuenta]],1))</f>
        <v>0</v>
      </c>
      <c r="AA27" t="b">
        <f>+ISNUMBER(SEARCH('F-COMPRA'!#REF!,Tabla11[[#This Row],[Cuenta]],1))</f>
        <v>0</v>
      </c>
      <c r="AB27" t="b">
        <f>+ISNUMBER(SEARCH('F-COMPRA'!#REF!,Tabla11[[#This Row],[Cuenta]],1))</f>
        <v>0</v>
      </c>
      <c r="AC27" t="b">
        <f>+ISNUMBER(SEARCH('F-COMPRA'!#REF!,Tabla11[[#This Row],[Cuenta]],1))</f>
        <v>0</v>
      </c>
      <c r="AD27" t="b">
        <f>+ISNUMBER(SEARCH('F-COMPRA'!#REF!,Tabla11[[#This Row],[Cuenta]],1))</f>
        <v>0</v>
      </c>
      <c r="AE27" t="b">
        <f>+ISNUMBER(SEARCH('F-COMPRA'!#REF!,Tabla11[[#This Row],[Cuenta]],1))</f>
        <v>0</v>
      </c>
      <c r="AF27" t="b">
        <f>+ISNUMBER(SEARCH('F-VTA'!$G$23,Tabla11[[#This Row],[Cuenta]],1))</f>
        <v>0</v>
      </c>
      <c r="AG27" t="b">
        <f>+ISNUMBER(SEARCH('F-VTA'!$G$24,Tabla11[[#This Row],[Cuenta]],1))</f>
        <v>0</v>
      </c>
      <c r="AH27" t="b">
        <f>+ISNUMBER(SEARCH('F-VTA'!$G$25,Tabla11[[#This Row],[Cuenta]],1))</f>
        <v>0</v>
      </c>
      <c r="AI27" t="b">
        <f>+ISNUMBER(SEARCH('F-VTA'!$F$28,Tabla11[[#This Row],[Cuenta]],1))</f>
        <v>1</v>
      </c>
      <c r="AJ27" t="b">
        <f>+ISNUMBER(SEARCH('F-VTA'!$F$29,Tabla11[[#This Row],[Cuenta]],1))</f>
        <v>1</v>
      </c>
      <c r="AK27" t="b">
        <f>+ISNUMBER(SEARCH('F-VTA'!$F$30,Tabla11[[#This Row],[Cuenta]],1))</f>
        <v>1</v>
      </c>
      <c r="AL27" t="b">
        <f>+ISNUMBER(SEARCH('F-VTA'!$F$31,Tabla11[[#This Row],[Cuenta]],1))</f>
        <v>1</v>
      </c>
      <c r="AM27" t="b">
        <f>+ISNUMBER(SEARCH('F-VTA'!$F$32,Tabla11[[#This Row],[Cuenta]],1))</f>
        <v>1</v>
      </c>
      <c r="AN27" t="b">
        <f>+ISNUMBER(SEARCH('F-VTA'!$F$33,Tabla11[[#This Row],[Cuenta]],1))</f>
        <v>1</v>
      </c>
      <c r="AO27" t="b">
        <f>+ISNUMBER(SEARCH('F-VTA'!$F$34,Tabla11[[#This Row],[Cuenta]],1))</f>
        <v>1</v>
      </c>
      <c r="AP27" t="b">
        <f>+ISNUMBER(SEARCH('F-VTA'!$F$35,Tabla11[[#This Row],[Cuenta]],1))</f>
        <v>1</v>
      </c>
      <c r="AQ27" t="b">
        <f>+ISNUMBER(SEARCH('F-VTA'!$F$36,Tabla11[[#This Row],[Cuenta]],1))</f>
        <v>1</v>
      </c>
      <c r="AR27" t="b">
        <f>+ISNUMBER(SEARCH(#REF!,Tabla11[[#This Row],[Cuenta]],1))</f>
        <v>0</v>
      </c>
      <c r="AS27" t="b">
        <f>+ISNUMBER(SEARCH(#REF!,Tabla11[[#This Row],[Cuenta]],1))</f>
        <v>0</v>
      </c>
      <c r="AT27" t="b">
        <f>+ISNUMBER(SEARCH(#REF!,Tabla11[[#This Row],[Cuenta]],1))</f>
        <v>0</v>
      </c>
      <c r="AU27" t="b">
        <f>+ISNUMBER(SEARCH('Conc. Ban.1'!$I$9,Tabla11[[#This Row],[Cuenta]],1))</f>
        <v>0</v>
      </c>
      <c r="AV27" t="b">
        <f>+ISNUMBER(SEARCH(CompConta!$F$21,Tabla11[[#This Row],[Cuenta]],1))</f>
        <v>1</v>
      </c>
      <c r="AW27" t="b">
        <f>+ISNUMBER(SEARCH(CompConta!$F$22,Tabla11[[#This Row],[Cuenta]],1))</f>
        <v>1</v>
      </c>
      <c r="AX27" t="b">
        <f>+ISNUMBER(SEARCH(CompConta!$F$23,Tabla11[[#This Row],[Cuenta]],1))</f>
        <v>1</v>
      </c>
      <c r="AY27" t="b">
        <f>+ISNUMBER(SEARCH(CompConta!$F$24,Tabla11[[#This Row],[Cuenta]],1))</f>
        <v>1</v>
      </c>
      <c r="AZ27" t="b">
        <f>+ISNUMBER(SEARCH(CompConta!$F$25,Tabla11[[#This Row],[Cuenta]],1))</f>
        <v>1</v>
      </c>
      <c r="BA27" t="b">
        <f>+ISNUMBER(SEARCH(CompConta!$F$26,Tabla11[[#This Row],[Cuenta]],1))</f>
        <v>1</v>
      </c>
      <c r="BB27" t="b">
        <f>+ISNUMBER(SEARCH(CompConta!$F$27,Tabla11[[#This Row],[Cuenta]],1))</f>
        <v>1</v>
      </c>
      <c r="BC27" t="b">
        <f>+ISNUMBER(SEARCH(CompConta!$F$28,Tabla11[[#This Row],[Cuenta]],1))</f>
        <v>1</v>
      </c>
      <c r="BD27" t="b">
        <f>+ISNUMBER(SEARCH(CompConta!$F$29,Tabla11[[#This Row],[Cuenta]],1))</f>
        <v>1</v>
      </c>
      <c r="BE27" t="b">
        <f>+ISNUMBER(SEARCH(CompConta!$F$30,Tabla11[[#This Row],[Cuenta]],1))</f>
        <v>1</v>
      </c>
      <c r="BF27" t="b">
        <f>+ISNUMBER(SEARCH('PAGO Compras'!$E$11,Tabla11[[#This Row],[Cuenta]],1))</f>
        <v>1</v>
      </c>
      <c r="BG27" t="b">
        <f>+ISNUMBER(SEARCH(#REF!,Tabla11[[#This Row],[Cuenta]],1))</f>
        <v>0</v>
      </c>
      <c r="BH27" t="b">
        <f>+ISNUMBER(SEARCH(#REF!,Tabla11[[#This Row],[Cuenta]],1))</f>
        <v>0</v>
      </c>
      <c r="BI27" t="b">
        <f>+ISNUMBER(SEARCH(#REF!,Tabla11[[#This Row],[Cuenta]],1))</f>
        <v>0</v>
      </c>
      <c r="BJ27" t="b">
        <f>+ISNUMBER(SEARCH(#REF!,Tabla11[[#This Row],[Cuenta]],1))</f>
        <v>0</v>
      </c>
      <c r="BS27" t="str">
        <v>133010 A contratistas</v>
      </c>
      <c r="BT27" t="str">
        <v>133010 A contratistas</v>
      </c>
      <c r="BU27" t="str">
        <v>133010 A contratistas</v>
      </c>
      <c r="BV27" t="str">
        <v>133010 A contratistas</v>
      </c>
      <c r="BZ27" t="str">
        <v>133010 A contratistas</v>
      </c>
      <c r="CA27" t="str">
        <v>133010 A contratistas</v>
      </c>
      <c r="CB27" t="str">
        <v>133010 A contratistas</v>
      </c>
      <c r="CC27" t="str">
        <v>133010 A contratistas</v>
      </c>
      <c r="CD27" t="str">
        <v>133010 A contratistas</v>
      </c>
      <c r="CE27" t="str">
        <v>133010 A contratistas</v>
      </c>
      <c r="CS27" s="141" t="str">
        <v>133010 A contratistas</v>
      </c>
      <c r="CT27" s="141" t="str">
        <v>133010 A contratistas</v>
      </c>
      <c r="CU27" s="141" t="str">
        <v>133010 A contratistas</v>
      </c>
      <c r="CV27" s="141" t="str">
        <v>133010 A contratistas</v>
      </c>
      <c r="CW27" s="141" t="str">
        <v>133010 A contratistas</v>
      </c>
      <c r="CX27" s="141" t="str">
        <v>133010 A contratistas</v>
      </c>
      <c r="CY27" s="141" t="str">
        <v>133010 A contratistas</v>
      </c>
      <c r="CZ27" s="141" t="str">
        <v>133010 A contratistas</v>
      </c>
      <c r="DA27" s="141" t="str">
        <v>133010 A contratistas</v>
      </c>
      <c r="DF27" t="str">
        <v>133010 A contratistas</v>
      </c>
      <c r="DG27" t="str">
        <v>133010 A contratistas</v>
      </c>
      <c r="DH27" t="str">
        <v>133010 A contratistas</v>
      </c>
      <c r="DI27" t="str">
        <v>133010 A contratistas</v>
      </c>
      <c r="DJ27" t="str">
        <v>133010 A contratistas</v>
      </c>
      <c r="DK27" t="str">
        <v>133010 A contratistas</v>
      </c>
      <c r="DL27" t="str">
        <v>133010 A contratistas</v>
      </c>
      <c r="DM27" t="str">
        <v>133010 A contratistas</v>
      </c>
      <c r="DN27" t="str">
        <v>133010 A contratistas</v>
      </c>
      <c r="DO27" t="str">
        <v>133010 A contratistas</v>
      </c>
      <c r="DP27" t="str">
        <v>133010 A contratistas</v>
      </c>
    </row>
    <row r="28" spans="4:120" ht="12.75">
      <c r="D28" s="7">
        <v>133015</v>
      </c>
      <c r="E28" s="6" t="s">
        <v>66</v>
      </c>
      <c r="F28" s="5">
        <v>4</v>
      </c>
      <c r="G28" s="34" t="s">
        <v>821</v>
      </c>
      <c r="H28" s="8" t="s">
        <v>32</v>
      </c>
      <c r="I28" t="b">
        <f>+ISNUMBER(SEARCH('F-COMPRA'!$F$28,Tabla11[[#This Row],[Cuenta]],1))</f>
        <v>1</v>
      </c>
      <c r="J28" t="b">
        <f>+ISNUMBER(SEARCH('F-COMPRA'!$F$29,Tabla11[[#This Row],[Cuenta]],1))</f>
        <v>1</v>
      </c>
      <c r="K28" t="b">
        <f>+ISNUMBER(SEARCH('F-COMPRA'!$F$30,Tabla11[[#This Row],[Cuenta]],1))</f>
        <v>1</v>
      </c>
      <c r="L28" t="b">
        <f>+ISNUMBER(SEARCH('F-COMPRA'!$F$31,Tabla11[[#This Row],[Cuenta]],1))</f>
        <v>1</v>
      </c>
      <c r="M28" t="b">
        <f>+ISNUMBER(SEARCH('F-COMPRA'!$G$25,Tabla11[[#This Row],[Cuenta]],1))</f>
        <v>0</v>
      </c>
      <c r="N28" t="b">
        <f>+ISNUMBER(SEARCH(#REF!,Tabla11[[#This Row],[Cuenta]],1))</f>
        <v>0</v>
      </c>
      <c r="O28" t="b">
        <f>+ISNUMBER(SEARCH(#REF!,Tabla11[[#This Row],[Cuenta]],1))</f>
        <v>0</v>
      </c>
      <c r="P28" t="b">
        <f>+ISNUMBER(SEARCH('F-COMPRA'!$F$32,Tabla11[[#This Row],[Cuenta]],1))</f>
        <v>1</v>
      </c>
      <c r="Q28" t="b">
        <f>+ISNUMBER(SEARCH('F-COMPRA'!$F$33,Tabla11[[#This Row],[Cuenta]],1))</f>
        <v>1</v>
      </c>
      <c r="R28" t="b">
        <f>+ISNUMBER(SEARCH('F-COMPRA'!$F$34,Tabla11[[#This Row],[Cuenta]],1))</f>
        <v>1</v>
      </c>
      <c r="S28" t="b">
        <f>+ISNUMBER(SEARCH('F-COMPRA'!$F$35,Tabla11[[#This Row],[Cuenta]],1))</f>
        <v>1</v>
      </c>
      <c r="T28" t="b">
        <f>+ISNUMBER(SEARCH('F-COMPRA'!$F$36,Tabla11[[#This Row],[Cuenta]],1))</f>
        <v>1</v>
      </c>
      <c r="U28" t="b">
        <f>+ISNUMBER(SEARCH('F-COMPRA'!$F$37,Tabla11[[#This Row],[Cuenta]],1))</f>
        <v>1</v>
      </c>
      <c r="V28" t="b">
        <f>+ISNUMBER(SEARCH(#REF!,Tabla11[[#This Row],[Cuenta]],1))</f>
        <v>0</v>
      </c>
      <c r="W28" t="b">
        <f>+ISNUMBER(SEARCH('F-COMPRA'!#REF!,Tabla11[[#This Row],[Cuenta]],1))</f>
        <v>0</v>
      </c>
      <c r="X28" t="b">
        <f>+ISNUMBER(SEARCH('F-COMPRA'!#REF!,Tabla11[[#This Row],[Cuenta]],1))</f>
        <v>0</v>
      </c>
      <c r="Y28" t="b">
        <f>+ISNUMBER(SEARCH('F-COMPRA'!#REF!,Tabla11[[#This Row],[Cuenta]],1))</f>
        <v>0</v>
      </c>
      <c r="Z28" t="b">
        <f>+ISNUMBER(SEARCH('F-COMPRA'!#REF!,Tabla11[[#This Row],[Cuenta]],1))</f>
        <v>0</v>
      </c>
      <c r="AA28" t="b">
        <f>+ISNUMBER(SEARCH('F-COMPRA'!#REF!,Tabla11[[#This Row],[Cuenta]],1))</f>
        <v>0</v>
      </c>
      <c r="AB28" t="b">
        <f>+ISNUMBER(SEARCH('F-COMPRA'!#REF!,Tabla11[[#This Row],[Cuenta]],1))</f>
        <v>0</v>
      </c>
      <c r="AC28" t="b">
        <f>+ISNUMBER(SEARCH('F-COMPRA'!#REF!,Tabla11[[#This Row],[Cuenta]],1))</f>
        <v>0</v>
      </c>
      <c r="AD28" t="b">
        <f>+ISNUMBER(SEARCH('F-COMPRA'!#REF!,Tabla11[[#This Row],[Cuenta]],1))</f>
        <v>0</v>
      </c>
      <c r="AE28" t="b">
        <f>+ISNUMBER(SEARCH('F-COMPRA'!#REF!,Tabla11[[#This Row],[Cuenta]],1))</f>
        <v>0</v>
      </c>
      <c r="AF28" t="b">
        <f>+ISNUMBER(SEARCH('F-VTA'!$G$23,Tabla11[[#This Row],[Cuenta]],1))</f>
        <v>0</v>
      </c>
      <c r="AG28" t="b">
        <f>+ISNUMBER(SEARCH('F-VTA'!$G$24,Tabla11[[#This Row],[Cuenta]],1))</f>
        <v>0</v>
      </c>
      <c r="AH28" t="b">
        <f>+ISNUMBER(SEARCH('F-VTA'!$G$25,Tabla11[[#This Row],[Cuenta]],1))</f>
        <v>0</v>
      </c>
      <c r="AI28" t="b">
        <f>+ISNUMBER(SEARCH('F-VTA'!$F$28,Tabla11[[#This Row],[Cuenta]],1))</f>
        <v>1</v>
      </c>
      <c r="AJ28" t="b">
        <f>+ISNUMBER(SEARCH('F-VTA'!$F$29,Tabla11[[#This Row],[Cuenta]],1))</f>
        <v>1</v>
      </c>
      <c r="AK28" t="b">
        <f>+ISNUMBER(SEARCH('F-VTA'!$F$30,Tabla11[[#This Row],[Cuenta]],1))</f>
        <v>1</v>
      </c>
      <c r="AL28" t="b">
        <f>+ISNUMBER(SEARCH('F-VTA'!$F$31,Tabla11[[#This Row],[Cuenta]],1))</f>
        <v>1</v>
      </c>
      <c r="AM28" t="b">
        <f>+ISNUMBER(SEARCH('F-VTA'!$F$32,Tabla11[[#This Row],[Cuenta]],1))</f>
        <v>1</v>
      </c>
      <c r="AN28" t="b">
        <f>+ISNUMBER(SEARCH('F-VTA'!$F$33,Tabla11[[#This Row],[Cuenta]],1))</f>
        <v>1</v>
      </c>
      <c r="AO28" t="b">
        <f>+ISNUMBER(SEARCH('F-VTA'!$F$34,Tabla11[[#This Row],[Cuenta]],1))</f>
        <v>1</v>
      </c>
      <c r="AP28" t="b">
        <f>+ISNUMBER(SEARCH('F-VTA'!$F$35,Tabla11[[#This Row],[Cuenta]],1))</f>
        <v>1</v>
      </c>
      <c r="AQ28" t="b">
        <f>+ISNUMBER(SEARCH('F-VTA'!$F$36,Tabla11[[#This Row],[Cuenta]],1))</f>
        <v>1</v>
      </c>
      <c r="AR28" t="b">
        <f>+ISNUMBER(SEARCH(#REF!,Tabla11[[#This Row],[Cuenta]],1))</f>
        <v>0</v>
      </c>
      <c r="AS28" t="b">
        <f>+ISNUMBER(SEARCH(#REF!,Tabla11[[#This Row],[Cuenta]],1))</f>
        <v>0</v>
      </c>
      <c r="AT28" t="b">
        <f>+ISNUMBER(SEARCH(#REF!,Tabla11[[#This Row],[Cuenta]],1))</f>
        <v>0</v>
      </c>
      <c r="AU28" t="b">
        <f>+ISNUMBER(SEARCH('Conc. Ban.1'!$I$9,Tabla11[[#This Row],[Cuenta]],1))</f>
        <v>0</v>
      </c>
      <c r="AV28" t="b">
        <f>+ISNUMBER(SEARCH(CompConta!$F$21,Tabla11[[#This Row],[Cuenta]],1))</f>
        <v>1</v>
      </c>
      <c r="AW28" t="b">
        <f>+ISNUMBER(SEARCH(CompConta!$F$22,Tabla11[[#This Row],[Cuenta]],1))</f>
        <v>1</v>
      </c>
      <c r="AX28" t="b">
        <f>+ISNUMBER(SEARCH(CompConta!$F$23,Tabla11[[#This Row],[Cuenta]],1))</f>
        <v>1</v>
      </c>
      <c r="AY28" t="b">
        <f>+ISNUMBER(SEARCH(CompConta!$F$24,Tabla11[[#This Row],[Cuenta]],1))</f>
        <v>1</v>
      </c>
      <c r="AZ28" t="b">
        <f>+ISNUMBER(SEARCH(CompConta!$F$25,Tabla11[[#This Row],[Cuenta]],1))</f>
        <v>1</v>
      </c>
      <c r="BA28" t="b">
        <f>+ISNUMBER(SEARCH(CompConta!$F$26,Tabla11[[#This Row],[Cuenta]],1))</f>
        <v>1</v>
      </c>
      <c r="BB28" t="b">
        <f>+ISNUMBER(SEARCH(CompConta!$F$27,Tabla11[[#This Row],[Cuenta]],1))</f>
        <v>1</v>
      </c>
      <c r="BC28" t="b">
        <f>+ISNUMBER(SEARCH(CompConta!$F$28,Tabla11[[#This Row],[Cuenta]],1))</f>
        <v>1</v>
      </c>
      <c r="BD28" t="b">
        <f>+ISNUMBER(SEARCH(CompConta!$F$29,Tabla11[[#This Row],[Cuenta]],1))</f>
        <v>1</v>
      </c>
      <c r="BE28" t="b">
        <f>+ISNUMBER(SEARCH(CompConta!$F$30,Tabla11[[#This Row],[Cuenta]],1))</f>
        <v>1</v>
      </c>
      <c r="BF28" t="b">
        <f>+ISNUMBER(SEARCH('PAGO Compras'!$E$11,Tabla11[[#This Row],[Cuenta]],1))</f>
        <v>1</v>
      </c>
      <c r="BG28" t="b">
        <f>+ISNUMBER(SEARCH(#REF!,Tabla11[[#This Row],[Cuenta]],1))</f>
        <v>0</v>
      </c>
      <c r="BH28" t="b">
        <f>+ISNUMBER(SEARCH(#REF!,Tabla11[[#This Row],[Cuenta]],1))</f>
        <v>0</v>
      </c>
      <c r="BI28" t="b">
        <f>+ISNUMBER(SEARCH(#REF!,Tabla11[[#This Row],[Cuenta]],1))</f>
        <v>0</v>
      </c>
      <c r="BJ28" t="b">
        <f>+ISNUMBER(SEARCH(#REF!,Tabla11[[#This Row],[Cuenta]],1))</f>
        <v>0</v>
      </c>
      <c r="BS28" t="str">
        <v>133015 A trabajadores</v>
      </c>
      <c r="BT28" t="str">
        <v>133015 A trabajadores</v>
      </c>
      <c r="BU28" t="str">
        <v>133015 A trabajadores</v>
      </c>
      <c r="BV28" t="str">
        <v>133015 A trabajadores</v>
      </c>
      <c r="BZ28" t="str">
        <v>133015 A trabajadores</v>
      </c>
      <c r="CA28" t="str">
        <v>133015 A trabajadores</v>
      </c>
      <c r="CB28" t="str">
        <v>133015 A trabajadores</v>
      </c>
      <c r="CC28" t="str">
        <v>133015 A trabajadores</v>
      </c>
      <c r="CD28" t="str">
        <v>133015 A trabajadores</v>
      </c>
      <c r="CE28" t="str">
        <v>133015 A trabajadores</v>
      </c>
      <c r="CS28" s="141" t="str">
        <v>133015 A trabajadores</v>
      </c>
      <c r="CT28" s="141" t="str">
        <v>133015 A trabajadores</v>
      </c>
      <c r="CU28" s="141" t="str">
        <v>133015 A trabajadores</v>
      </c>
      <c r="CV28" s="141" t="str">
        <v>133015 A trabajadores</v>
      </c>
      <c r="CW28" s="141" t="str">
        <v>133015 A trabajadores</v>
      </c>
      <c r="CX28" s="141" t="str">
        <v>133015 A trabajadores</v>
      </c>
      <c r="CY28" s="141" t="str">
        <v>133015 A trabajadores</v>
      </c>
      <c r="CZ28" s="141" t="str">
        <v>133015 A trabajadores</v>
      </c>
      <c r="DA28" s="141" t="str">
        <v>133015 A trabajadores</v>
      </c>
      <c r="DF28" t="str">
        <v>133015 A trabajadores</v>
      </c>
      <c r="DG28" t="str">
        <v>133015 A trabajadores</v>
      </c>
      <c r="DH28" t="str">
        <v>133015 A trabajadores</v>
      </c>
      <c r="DI28" t="str">
        <v>133015 A trabajadores</v>
      </c>
      <c r="DJ28" t="str">
        <v>133015 A trabajadores</v>
      </c>
      <c r="DK28" t="str">
        <v>133015 A trabajadores</v>
      </c>
      <c r="DL28" t="str">
        <v>133015 A trabajadores</v>
      </c>
      <c r="DM28" t="str">
        <v>133015 A trabajadores</v>
      </c>
      <c r="DN28" t="str">
        <v>133015 A trabajadores</v>
      </c>
      <c r="DO28" t="str">
        <v>133015 A trabajadores</v>
      </c>
      <c r="DP28" t="str">
        <v>133015 A trabajadores</v>
      </c>
    </row>
    <row r="29" spans="4:120" ht="12.75">
      <c r="D29" s="7">
        <v>133020</v>
      </c>
      <c r="E29" s="6" t="s">
        <v>67</v>
      </c>
      <c r="F29" s="5">
        <v>4</v>
      </c>
      <c r="G29" s="34" t="s">
        <v>821</v>
      </c>
      <c r="H29" s="8" t="s">
        <v>32</v>
      </c>
      <c r="I29" t="b">
        <f>+ISNUMBER(SEARCH('F-COMPRA'!$F$28,Tabla11[[#This Row],[Cuenta]],1))</f>
        <v>1</v>
      </c>
      <c r="J29" t="b">
        <f>+ISNUMBER(SEARCH('F-COMPRA'!$F$29,Tabla11[[#This Row],[Cuenta]],1))</f>
        <v>1</v>
      </c>
      <c r="K29" t="b">
        <f>+ISNUMBER(SEARCH('F-COMPRA'!$F$30,Tabla11[[#This Row],[Cuenta]],1))</f>
        <v>1</v>
      </c>
      <c r="L29" t="b">
        <f>+ISNUMBER(SEARCH('F-COMPRA'!$F$31,Tabla11[[#This Row],[Cuenta]],1))</f>
        <v>1</v>
      </c>
      <c r="M29" t="b">
        <f>+ISNUMBER(SEARCH('F-COMPRA'!$G$25,Tabla11[[#This Row],[Cuenta]],1))</f>
        <v>0</v>
      </c>
      <c r="N29" t="b">
        <f>+ISNUMBER(SEARCH(#REF!,Tabla11[[#This Row],[Cuenta]],1))</f>
        <v>0</v>
      </c>
      <c r="O29" t="b">
        <f>+ISNUMBER(SEARCH(#REF!,Tabla11[[#This Row],[Cuenta]],1))</f>
        <v>0</v>
      </c>
      <c r="P29" t="b">
        <f>+ISNUMBER(SEARCH('F-COMPRA'!$F$32,Tabla11[[#This Row],[Cuenta]],1))</f>
        <v>1</v>
      </c>
      <c r="Q29" t="b">
        <f>+ISNUMBER(SEARCH('F-COMPRA'!$F$33,Tabla11[[#This Row],[Cuenta]],1))</f>
        <v>1</v>
      </c>
      <c r="R29" t="b">
        <f>+ISNUMBER(SEARCH('F-COMPRA'!$F$34,Tabla11[[#This Row],[Cuenta]],1))</f>
        <v>1</v>
      </c>
      <c r="S29" t="b">
        <f>+ISNUMBER(SEARCH('F-COMPRA'!$F$35,Tabla11[[#This Row],[Cuenta]],1))</f>
        <v>1</v>
      </c>
      <c r="T29" t="b">
        <f>+ISNUMBER(SEARCH('F-COMPRA'!$F$36,Tabla11[[#This Row],[Cuenta]],1))</f>
        <v>1</v>
      </c>
      <c r="U29" t="b">
        <f>+ISNUMBER(SEARCH('F-COMPRA'!$F$37,Tabla11[[#This Row],[Cuenta]],1))</f>
        <v>1</v>
      </c>
      <c r="V29" t="b">
        <f>+ISNUMBER(SEARCH(#REF!,Tabla11[[#This Row],[Cuenta]],1))</f>
        <v>0</v>
      </c>
      <c r="W29" t="b">
        <f>+ISNUMBER(SEARCH('F-COMPRA'!#REF!,Tabla11[[#This Row],[Cuenta]],1))</f>
        <v>0</v>
      </c>
      <c r="X29" t="b">
        <f>+ISNUMBER(SEARCH('F-COMPRA'!#REF!,Tabla11[[#This Row],[Cuenta]],1))</f>
        <v>0</v>
      </c>
      <c r="Y29" t="b">
        <f>+ISNUMBER(SEARCH('F-COMPRA'!#REF!,Tabla11[[#This Row],[Cuenta]],1))</f>
        <v>0</v>
      </c>
      <c r="Z29" t="b">
        <f>+ISNUMBER(SEARCH('F-COMPRA'!#REF!,Tabla11[[#This Row],[Cuenta]],1))</f>
        <v>0</v>
      </c>
      <c r="AA29" t="b">
        <f>+ISNUMBER(SEARCH('F-COMPRA'!#REF!,Tabla11[[#This Row],[Cuenta]],1))</f>
        <v>0</v>
      </c>
      <c r="AB29" t="b">
        <f>+ISNUMBER(SEARCH('F-COMPRA'!#REF!,Tabla11[[#This Row],[Cuenta]],1))</f>
        <v>0</v>
      </c>
      <c r="AC29" t="b">
        <f>+ISNUMBER(SEARCH('F-COMPRA'!#REF!,Tabla11[[#This Row],[Cuenta]],1))</f>
        <v>0</v>
      </c>
      <c r="AD29" t="b">
        <f>+ISNUMBER(SEARCH('F-COMPRA'!#REF!,Tabla11[[#This Row],[Cuenta]],1))</f>
        <v>0</v>
      </c>
      <c r="AE29" t="b">
        <f>+ISNUMBER(SEARCH('F-COMPRA'!#REF!,Tabla11[[#This Row],[Cuenta]],1))</f>
        <v>0</v>
      </c>
      <c r="AF29" t="b">
        <f>+ISNUMBER(SEARCH('F-VTA'!$G$23,Tabla11[[#This Row],[Cuenta]],1))</f>
        <v>0</v>
      </c>
      <c r="AG29" t="b">
        <f>+ISNUMBER(SEARCH('F-VTA'!$G$24,Tabla11[[#This Row],[Cuenta]],1))</f>
        <v>0</v>
      </c>
      <c r="AH29" t="b">
        <f>+ISNUMBER(SEARCH('F-VTA'!$G$25,Tabla11[[#This Row],[Cuenta]],1))</f>
        <v>0</v>
      </c>
      <c r="AI29" t="b">
        <f>+ISNUMBER(SEARCH('F-VTA'!$F$28,Tabla11[[#This Row],[Cuenta]],1))</f>
        <v>1</v>
      </c>
      <c r="AJ29" t="b">
        <f>+ISNUMBER(SEARCH('F-VTA'!$F$29,Tabla11[[#This Row],[Cuenta]],1))</f>
        <v>1</v>
      </c>
      <c r="AK29" t="b">
        <f>+ISNUMBER(SEARCH('F-VTA'!$F$30,Tabla11[[#This Row],[Cuenta]],1))</f>
        <v>1</v>
      </c>
      <c r="AL29" t="b">
        <f>+ISNUMBER(SEARCH('F-VTA'!$F$31,Tabla11[[#This Row],[Cuenta]],1))</f>
        <v>1</v>
      </c>
      <c r="AM29" t="b">
        <f>+ISNUMBER(SEARCH('F-VTA'!$F$32,Tabla11[[#This Row],[Cuenta]],1))</f>
        <v>1</v>
      </c>
      <c r="AN29" t="b">
        <f>+ISNUMBER(SEARCH('F-VTA'!$F$33,Tabla11[[#This Row],[Cuenta]],1))</f>
        <v>1</v>
      </c>
      <c r="AO29" t="b">
        <f>+ISNUMBER(SEARCH('F-VTA'!$F$34,Tabla11[[#This Row],[Cuenta]],1))</f>
        <v>1</v>
      </c>
      <c r="AP29" t="b">
        <f>+ISNUMBER(SEARCH('F-VTA'!$F$35,Tabla11[[#This Row],[Cuenta]],1))</f>
        <v>1</v>
      </c>
      <c r="AQ29" t="b">
        <f>+ISNUMBER(SEARCH('F-VTA'!$F$36,Tabla11[[#This Row],[Cuenta]],1))</f>
        <v>1</v>
      </c>
      <c r="AR29" t="b">
        <f>+ISNUMBER(SEARCH(#REF!,Tabla11[[#This Row],[Cuenta]],1))</f>
        <v>0</v>
      </c>
      <c r="AS29" t="b">
        <f>+ISNUMBER(SEARCH(#REF!,Tabla11[[#This Row],[Cuenta]],1))</f>
        <v>0</v>
      </c>
      <c r="AT29" t="b">
        <f>+ISNUMBER(SEARCH(#REF!,Tabla11[[#This Row],[Cuenta]],1))</f>
        <v>0</v>
      </c>
      <c r="AU29" t="b">
        <f>+ISNUMBER(SEARCH('Conc. Ban.1'!$I$9,Tabla11[[#This Row],[Cuenta]],1))</f>
        <v>0</v>
      </c>
      <c r="AV29" t="b">
        <f>+ISNUMBER(SEARCH(CompConta!$F$21,Tabla11[[#This Row],[Cuenta]],1))</f>
        <v>1</v>
      </c>
      <c r="AW29" t="b">
        <f>+ISNUMBER(SEARCH(CompConta!$F$22,Tabla11[[#This Row],[Cuenta]],1))</f>
        <v>1</v>
      </c>
      <c r="AX29" t="b">
        <f>+ISNUMBER(SEARCH(CompConta!$F$23,Tabla11[[#This Row],[Cuenta]],1))</f>
        <v>1</v>
      </c>
      <c r="AY29" t="b">
        <f>+ISNUMBER(SEARCH(CompConta!$F$24,Tabla11[[#This Row],[Cuenta]],1))</f>
        <v>1</v>
      </c>
      <c r="AZ29" t="b">
        <f>+ISNUMBER(SEARCH(CompConta!$F$25,Tabla11[[#This Row],[Cuenta]],1))</f>
        <v>1</v>
      </c>
      <c r="BA29" t="b">
        <f>+ISNUMBER(SEARCH(CompConta!$F$26,Tabla11[[#This Row],[Cuenta]],1))</f>
        <v>1</v>
      </c>
      <c r="BB29" t="b">
        <f>+ISNUMBER(SEARCH(CompConta!$F$27,Tabla11[[#This Row],[Cuenta]],1))</f>
        <v>1</v>
      </c>
      <c r="BC29" t="b">
        <f>+ISNUMBER(SEARCH(CompConta!$F$28,Tabla11[[#This Row],[Cuenta]],1))</f>
        <v>1</v>
      </c>
      <c r="BD29" t="b">
        <f>+ISNUMBER(SEARCH(CompConta!$F$29,Tabla11[[#This Row],[Cuenta]],1))</f>
        <v>1</v>
      </c>
      <c r="BE29" t="b">
        <f>+ISNUMBER(SEARCH(CompConta!$F$30,Tabla11[[#This Row],[Cuenta]],1))</f>
        <v>1</v>
      </c>
      <c r="BF29" t="b">
        <f>+ISNUMBER(SEARCH('PAGO Compras'!$E$11,Tabla11[[#This Row],[Cuenta]],1))</f>
        <v>1</v>
      </c>
      <c r="BG29" t="b">
        <f>+ISNUMBER(SEARCH(#REF!,Tabla11[[#This Row],[Cuenta]],1))</f>
        <v>0</v>
      </c>
      <c r="BH29" t="b">
        <f>+ISNUMBER(SEARCH(#REF!,Tabla11[[#This Row],[Cuenta]],1))</f>
        <v>0</v>
      </c>
      <c r="BI29" t="b">
        <f>+ISNUMBER(SEARCH(#REF!,Tabla11[[#This Row],[Cuenta]],1))</f>
        <v>0</v>
      </c>
      <c r="BJ29" t="b">
        <f>+ISNUMBER(SEARCH(#REF!,Tabla11[[#This Row],[Cuenta]],1))</f>
        <v>0</v>
      </c>
      <c r="BS29" t="str">
        <v>133020 A agentes</v>
      </c>
      <c r="BT29" t="str">
        <v>133020 A agentes</v>
      </c>
      <c r="BU29" t="str">
        <v>133020 A agentes</v>
      </c>
      <c r="BV29" t="str">
        <v>133020 A agentes</v>
      </c>
      <c r="BZ29" t="str">
        <v>133020 A agentes</v>
      </c>
      <c r="CA29" t="str">
        <v>133020 A agentes</v>
      </c>
      <c r="CB29" t="str">
        <v>133020 A agentes</v>
      </c>
      <c r="CC29" t="str">
        <v>133020 A agentes</v>
      </c>
      <c r="CD29" t="str">
        <v>133020 A agentes</v>
      </c>
      <c r="CE29" t="str">
        <v>133020 A agentes</v>
      </c>
      <c r="CS29" s="141" t="str">
        <v>133020 A agentes</v>
      </c>
      <c r="CT29" s="141" t="str">
        <v>133020 A agentes</v>
      </c>
      <c r="CU29" s="141" t="str">
        <v>133020 A agentes</v>
      </c>
      <c r="CV29" s="141" t="str">
        <v>133020 A agentes</v>
      </c>
      <c r="CW29" s="141" t="str">
        <v>133020 A agentes</v>
      </c>
      <c r="CX29" s="141" t="str">
        <v>133020 A agentes</v>
      </c>
      <c r="CY29" s="141" t="str">
        <v>133020 A agentes</v>
      </c>
      <c r="CZ29" s="141" t="str">
        <v>133020 A agentes</v>
      </c>
      <c r="DA29" s="141" t="str">
        <v>133020 A agentes</v>
      </c>
      <c r="DF29" t="str">
        <v>133020 A agentes</v>
      </c>
      <c r="DG29" t="str">
        <v>133020 A agentes</v>
      </c>
      <c r="DH29" t="str">
        <v>133020 A agentes</v>
      </c>
      <c r="DI29" t="str">
        <v>133020 A agentes</v>
      </c>
      <c r="DJ29" t="str">
        <v>133020 A agentes</v>
      </c>
      <c r="DK29" t="str">
        <v>133020 A agentes</v>
      </c>
      <c r="DL29" t="str">
        <v>133020 A agentes</v>
      </c>
      <c r="DM29" t="str">
        <v>133020 A agentes</v>
      </c>
      <c r="DN29" t="str">
        <v>133020 A agentes</v>
      </c>
      <c r="DO29" t="str">
        <v>133020 A agentes</v>
      </c>
      <c r="DP29" t="str">
        <v>133020 A agentes</v>
      </c>
    </row>
    <row r="30" spans="4:120" ht="12.75">
      <c r="D30" s="7">
        <v>133025</v>
      </c>
      <c r="E30" s="6" t="s">
        <v>68</v>
      </c>
      <c r="F30" s="5">
        <v>4</v>
      </c>
      <c r="G30" s="34" t="s">
        <v>821</v>
      </c>
      <c r="H30" s="8" t="s">
        <v>32</v>
      </c>
      <c r="I30" t="b">
        <f>+ISNUMBER(SEARCH('F-COMPRA'!$F$28,Tabla11[[#This Row],[Cuenta]],1))</f>
        <v>1</v>
      </c>
      <c r="J30" t="b">
        <f>+ISNUMBER(SEARCH('F-COMPRA'!$F$29,Tabla11[[#This Row],[Cuenta]],1))</f>
        <v>1</v>
      </c>
      <c r="K30" t="b">
        <f>+ISNUMBER(SEARCH('F-COMPRA'!$F$30,Tabla11[[#This Row],[Cuenta]],1))</f>
        <v>1</v>
      </c>
      <c r="L30" t="b">
        <f>+ISNUMBER(SEARCH('F-COMPRA'!$F$31,Tabla11[[#This Row],[Cuenta]],1))</f>
        <v>1</v>
      </c>
      <c r="M30" t="b">
        <f>+ISNUMBER(SEARCH('F-COMPRA'!$G$25,Tabla11[[#This Row],[Cuenta]],1))</f>
        <v>0</v>
      </c>
      <c r="N30" t="b">
        <f>+ISNUMBER(SEARCH(#REF!,Tabla11[[#This Row],[Cuenta]],1))</f>
        <v>0</v>
      </c>
      <c r="O30" t="b">
        <f>+ISNUMBER(SEARCH(#REF!,Tabla11[[#This Row],[Cuenta]],1))</f>
        <v>0</v>
      </c>
      <c r="P30" t="b">
        <f>+ISNUMBER(SEARCH('F-COMPRA'!$F$32,Tabla11[[#This Row],[Cuenta]],1))</f>
        <v>1</v>
      </c>
      <c r="Q30" t="b">
        <f>+ISNUMBER(SEARCH('F-COMPRA'!$F$33,Tabla11[[#This Row],[Cuenta]],1))</f>
        <v>1</v>
      </c>
      <c r="R30" t="b">
        <f>+ISNUMBER(SEARCH('F-COMPRA'!$F$34,Tabla11[[#This Row],[Cuenta]],1))</f>
        <v>1</v>
      </c>
      <c r="S30" t="b">
        <f>+ISNUMBER(SEARCH('F-COMPRA'!$F$35,Tabla11[[#This Row],[Cuenta]],1))</f>
        <v>1</v>
      </c>
      <c r="T30" t="b">
        <f>+ISNUMBER(SEARCH('F-COMPRA'!$F$36,Tabla11[[#This Row],[Cuenta]],1))</f>
        <v>1</v>
      </c>
      <c r="U30" t="b">
        <f>+ISNUMBER(SEARCH('F-COMPRA'!$F$37,Tabla11[[#This Row],[Cuenta]],1))</f>
        <v>1</v>
      </c>
      <c r="V30" t="b">
        <f>+ISNUMBER(SEARCH(#REF!,Tabla11[[#This Row],[Cuenta]],1))</f>
        <v>0</v>
      </c>
      <c r="W30" t="b">
        <f>+ISNUMBER(SEARCH('F-COMPRA'!#REF!,Tabla11[[#This Row],[Cuenta]],1))</f>
        <v>0</v>
      </c>
      <c r="X30" t="b">
        <f>+ISNUMBER(SEARCH('F-COMPRA'!#REF!,Tabla11[[#This Row],[Cuenta]],1))</f>
        <v>0</v>
      </c>
      <c r="Y30" t="b">
        <f>+ISNUMBER(SEARCH('F-COMPRA'!#REF!,Tabla11[[#This Row],[Cuenta]],1))</f>
        <v>0</v>
      </c>
      <c r="Z30" t="b">
        <f>+ISNUMBER(SEARCH('F-COMPRA'!#REF!,Tabla11[[#This Row],[Cuenta]],1))</f>
        <v>0</v>
      </c>
      <c r="AA30" t="b">
        <f>+ISNUMBER(SEARCH('F-COMPRA'!#REF!,Tabla11[[#This Row],[Cuenta]],1))</f>
        <v>0</v>
      </c>
      <c r="AB30" t="b">
        <f>+ISNUMBER(SEARCH('F-COMPRA'!#REF!,Tabla11[[#This Row],[Cuenta]],1))</f>
        <v>0</v>
      </c>
      <c r="AC30" t="b">
        <f>+ISNUMBER(SEARCH('F-COMPRA'!#REF!,Tabla11[[#This Row],[Cuenta]],1))</f>
        <v>0</v>
      </c>
      <c r="AD30" t="b">
        <f>+ISNUMBER(SEARCH('F-COMPRA'!#REF!,Tabla11[[#This Row],[Cuenta]],1))</f>
        <v>0</v>
      </c>
      <c r="AE30" t="b">
        <f>+ISNUMBER(SEARCH('F-COMPRA'!#REF!,Tabla11[[#This Row],[Cuenta]],1))</f>
        <v>0</v>
      </c>
      <c r="AF30" t="b">
        <f>+ISNUMBER(SEARCH('F-VTA'!$G$23,Tabla11[[#This Row],[Cuenta]],1))</f>
        <v>0</v>
      </c>
      <c r="AG30" t="b">
        <f>+ISNUMBER(SEARCH('F-VTA'!$G$24,Tabla11[[#This Row],[Cuenta]],1))</f>
        <v>0</v>
      </c>
      <c r="AH30" t="b">
        <f>+ISNUMBER(SEARCH('F-VTA'!$G$25,Tabla11[[#This Row],[Cuenta]],1))</f>
        <v>0</v>
      </c>
      <c r="AI30" t="b">
        <f>+ISNUMBER(SEARCH('F-VTA'!$F$28,Tabla11[[#This Row],[Cuenta]],1))</f>
        <v>1</v>
      </c>
      <c r="AJ30" t="b">
        <f>+ISNUMBER(SEARCH('F-VTA'!$F$29,Tabla11[[#This Row],[Cuenta]],1))</f>
        <v>1</v>
      </c>
      <c r="AK30" t="b">
        <f>+ISNUMBER(SEARCH('F-VTA'!$F$30,Tabla11[[#This Row],[Cuenta]],1))</f>
        <v>1</v>
      </c>
      <c r="AL30" t="b">
        <f>+ISNUMBER(SEARCH('F-VTA'!$F$31,Tabla11[[#This Row],[Cuenta]],1))</f>
        <v>1</v>
      </c>
      <c r="AM30" t="b">
        <f>+ISNUMBER(SEARCH('F-VTA'!$F$32,Tabla11[[#This Row],[Cuenta]],1))</f>
        <v>1</v>
      </c>
      <c r="AN30" t="b">
        <f>+ISNUMBER(SEARCH('F-VTA'!$F$33,Tabla11[[#This Row],[Cuenta]],1))</f>
        <v>1</v>
      </c>
      <c r="AO30" t="b">
        <f>+ISNUMBER(SEARCH('F-VTA'!$F$34,Tabla11[[#This Row],[Cuenta]],1))</f>
        <v>1</v>
      </c>
      <c r="AP30" t="b">
        <f>+ISNUMBER(SEARCH('F-VTA'!$F$35,Tabla11[[#This Row],[Cuenta]],1))</f>
        <v>1</v>
      </c>
      <c r="AQ30" t="b">
        <f>+ISNUMBER(SEARCH('F-VTA'!$F$36,Tabla11[[#This Row],[Cuenta]],1))</f>
        <v>1</v>
      </c>
      <c r="AR30" t="b">
        <f>+ISNUMBER(SEARCH(#REF!,Tabla11[[#This Row],[Cuenta]],1))</f>
        <v>0</v>
      </c>
      <c r="AS30" t="b">
        <f>+ISNUMBER(SEARCH(#REF!,Tabla11[[#This Row],[Cuenta]],1))</f>
        <v>0</v>
      </c>
      <c r="AT30" t="b">
        <f>+ISNUMBER(SEARCH(#REF!,Tabla11[[#This Row],[Cuenta]],1))</f>
        <v>0</v>
      </c>
      <c r="AU30" t="b">
        <f>+ISNUMBER(SEARCH('Conc. Ban.1'!$I$9,Tabla11[[#This Row],[Cuenta]],1))</f>
        <v>0</v>
      </c>
      <c r="AV30" t="b">
        <f>+ISNUMBER(SEARCH(CompConta!$F$21,Tabla11[[#This Row],[Cuenta]],1))</f>
        <v>1</v>
      </c>
      <c r="AW30" t="b">
        <f>+ISNUMBER(SEARCH(CompConta!$F$22,Tabla11[[#This Row],[Cuenta]],1))</f>
        <v>1</v>
      </c>
      <c r="AX30" t="b">
        <f>+ISNUMBER(SEARCH(CompConta!$F$23,Tabla11[[#This Row],[Cuenta]],1))</f>
        <v>1</v>
      </c>
      <c r="AY30" t="b">
        <f>+ISNUMBER(SEARCH(CompConta!$F$24,Tabla11[[#This Row],[Cuenta]],1))</f>
        <v>1</v>
      </c>
      <c r="AZ30" t="b">
        <f>+ISNUMBER(SEARCH(CompConta!$F$25,Tabla11[[#This Row],[Cuenta]],1))</f>
        <v>1</v>
      </c>
      <c r="BA30" t="b">
        <f>+ISNUMBER(SEARCH(CompConta!$F$26,Tabla11[[#This Row],[Cuenta]],1))</f>
        <v>1</v>
      </c>
      <c r="BB30" t="b">
        <f>+ISNUMBER(SEARCH(CompConta!$F$27,Tabla11[[#This Row],[Cuenta]],1))</f>
        <v>1</v>
      </c>
      <c r="BC30" t="b">
        <f>+ISNUMBER(SEARCH(CompConta!$F$28,Tabla11[[#This Row],[Cuenta]],1))</f>
        <v>1</v>
      </c>
      <c r="BD30" t="b">
        <f>+ISNUMBER(SEARCH(CompConta!$F$29,Tabla11[[#This Row],[Cuenta]],1))</f>
        <v>1</v>
      </c>
      <c r="BE30" t="b">
        <f>+ISNUMBER(SEARCH(CompConta!$F$30,Tabla11[[#This Row],[Cuenta]],1))</f>
        <v>1</v>
      </c>
      <c r="BF30" t="b">
        <f>+ISNUMBER(SEARCH('PAGO Compras'!$E$11,Tabla11[[#This Row],[Cuenta]],1))</f>
        <v>1</v>
      </c>
      <c r="BG30" t="b">
        <f>+ISNUMBER(SEARCH(#REF!,Tabla11[[#This Row],[Cuenta]],1))</f>
        <v>0</v>
      </c>
      <c r="BH30" t="b">
        <f>+ISNUMBER(SEARCH(#REF!,Tabla11[[#This Row],[Cuenta]],1))</f>
        <v>0</v>
      </c>
      <c r="BI30" t="b">
        <f>+ISNUMBER(SEARCH(#REF!,Tabla11[[#This Row],[Cuenta]],1))</f>
        <v>0</v>
      </c>
      <c r="BJ30" t="b">
        <f>+ISNUMBER(SEARCH(#REF!,Tabla11[[#This Row],[Cuenta]],1))</f>
        <v>0</v>
      </c>
      <c r="BS30" t="str">
        <v>133025 A concesionarios</v>
      </c>
      <c r="BT30" t="str">
        <v>133025 A concesionarios</v>
      </c>
      <c r="BU30" t="str">
        <v>133025 A concesionarios</v>
      </c>
      <c r="BV30" t="str">
        <v>133025 A concesionarios</v>
      </c>
      <c r="BZ30" t="str">
        <v>133025 A concesionarios</v>
      </c>
      <c r="CA30" t="str">
        <v>133025 A concesionarios</v>
      </c>
      <c r="CB30" t="str">
        <v>133025 A concesionarios</v>
      </c>
      <c r="CC30" t="str">
        <v>133025 A concesionarios</v>
      </c>
      <c r="CD30" t="str">
        <v>133025 A concesionarios</v>
      </c>
      <c r="CE30" t="str">
        <v>133025 A concesionarios</v>
      </c>
      <c r="CS30" s="141" t="str">
        <v>133025 A concesionarios</v>
      </c>
      <c r="CT30" s="141" t="str">
        <v>133025 A concesionarios</v>
      </c>
      <c r="CU30" s="141" t="str">
        <v>133025 A concesionarios</v>
      </c>
      <c r="CV30" s="141" t="str">
        <v>133025 A concesionarios</v>
      </c>
      <c r="CW30" s="141" t="str">
        <v>133025 A concesionarios</v>
      </c>
      <c r="CX30" s="141" t="str">
        <v>133025 A concesionarios</v>
      </c>
      <c r="CY30" s="141" t="str">
        <v>133025 A concesionarios</v>
      </c>
      <c r="CZ30" s="141" t="str">
        <v>133025 A concesionarios</v>
      </c>
      <c r="DA30" s="141" t="str">
        <v>133025 A concesionarios</v>
      </c>
      <c r="DF30" t="str">
        <v>133025 A concesionarios</v>
      </c>
      <c r="DG30" t="str">
        <v>133025 A concesionarios</v>
      </c>
      <c r="DH30" t="str">
        <v>133025 A concesionarios</v>
      </c>
      <c r="DI30" t="str">
        <v>133025 A concesionarios</v>
      </c>
      <c r="DJ30" t="str">
        <v>133025 A concesionarios</v>
      </c>
      <c r="DK30" t="str">
        <v>133025 A concesionarios</v>
      </c>
      <c r="DL30" t="str">
        <v>133025 A concesionarios</v>
      </c>
      <c r="DM30" t="str">
        <v>133025 A concesionarios</v>
      </c>
      <c r="DN30" t="str">
        <v>133025 A concesionarios</v>
      </c>
      <c r="DO30" t="str">
        <v>133025 A concesionarios</v>
      </c>
      <c r="DP30" t="str">
        <v>133025 A concesionarios</v>
      </c>
    </row>
    <row r="31" spans="4:120" ht="12.75">
      <c r="D31" s="7">
        <v>133030</v>
      </c>
      <c r="E31" s="6" t="s">
        <v>69</v>
      </c>
      <c r="F31" s="5">
        <v>4</v>
      </c>
      <c r="G31" s="34" t="s">
        <v>821</v>
      </c>
      <c r="H31" s="8" t="s">
        <v>32</v>
      </c>
      <c r="I31" t="b">
        <f>+ISNUMBER(SEARCH('F-COMPRA'!$F$28,Tabla11[[#This Row],[Cuenta]],1))</f>
        <v>1</v>
      </c>
      <c r="J31" t="b">
        <f>+ISNUMBER(SEARCH('F-COMPRA'!$F$29,Tabla11[[#This Row],[Cuenta]],1))</f>
        <v>1</v>
      </c>
      <c r="K31" t="b">
        <f>+ISNUMBER(SEARCH('F-COMPRA'!$F$30,Tabla11[[#This Row],[Cuenta]],1))</f>
        <v>1</v>
      </c>
      <c r="L31" t="b">
        <f>+ISNUMBER(SEARCH('F-COMPRA'!$F$31,Tabla11[[#This Row],[Cuenta]],1))</f>
        <v>1</v>
      </c>
      <c r="M31" t="b">
        <f>+ISNUMBER(SEARCH('F-COMPRA'!$G$25,Tabla11[[#This Row],[Cuenta]],1))</f>
        <v>0</v>
      </c>
      <c r="N31" t="b">
        <f>+ISNUMBER(SEARCH(#REF!,Tabla11[[#This Row],[Cuenta]],1))</f>
        <v>0</v>
      </c>
      <c r="O31" t="b">
        <f>+ISNUMBER(SEARCH(#REF!,Tabla11[[#This Row],[Cuenta]],1))</f>
        <v>0</v>
      </c>
      <c r="P31" t="b">
        <f>+ISNUMBER(SEARCH('F-COMPRA'!$F$32,Tabla11[[#This Row],[Cuenta]],1))</f>
        <v>1</v>
      </c>
      <c r="Q31" t="b">
        <f>+ISNUMBER(SEARCH('F-COMPRA'!$F$33,Tabla11[[#This Row],[Cuenta]],1))</f>
        <v>1</v>
      </c>
      <c r="R31" t="b">
        <f>+ISNUMBER(SEARCH('F-COMPRA'!$F$34,Tabla11[[#This Row],[Cuenta]],1))</f>
        <v>1</v>
      </c>
      <c r="S31" t="b">
        <f>+ISNUMBER(SEARCH('F-COMPRA'!$F$35,Tabla11[[#This Row],[Cuenta]],1))</f>
        <v>1</v>
      </c>
      <c r="T31" t="b">
        <f>+ISNUMBER(SEARCH('F-COMPRA'!$F$36,Tabla11[[#This Row],[Cuenta]],1))</f>
        <v>1</v>
      </c>
      <c r="U31" t="b">
        <f>+ISNUMBER(SEARCH('F-COMPRA'!$F$37,Tabla11[[#This Row],[Cuenta]],1))</f>
        <v>1</v>
      </c>
      <c r="V31" t="b">
        <f>+ISNUMBER(SEARCH(#REF!,Tabla11[[#This Row],[Cuenta]],1))</f>
        <v>0</v>
      </c>
      <c r="W31" t="b">
        <f>+ISNUMBER(SEARCH('F-COMPRA'!#REF!,Tabla11[[#This Row],[Cuenta]],1))</f>
        <v>0</v>
      </c>
      <c r="X31" t="b">
        <f>+ISNUMBER(SEARCH('F-COMPRA'!#REF!,Tabla11[[#This Row],[Cuenta]],1))</f>
        <v>0</v>
      </c>
      <c r="Y31" t="b">
        <f>+ISNUMBER(SEARCH('F-COMPRA'!#REF!,Tabla11[[#This Row],[Cuenta]],1))</f>
        <v>0</v>
      </c>
      <c r="Z31" t="b">
        <f>+ISNUMBER(SEARCH('F-COMPRA'!#REF!,Tabla11[[#This Row],[Cuenta]],1))</f>
        <v>0</v>
      </c>
      <c r="AA31" t="b">
        <f>+ISNUMBER(SEARCH('F-COMPRA'!#REF!,Tabla11[[#This Row],[Cuenta]],1))</f>
        <v>0</v>
      </c>
      <c r="AB31" t="b">
        <f>+ISNUMBER(SEARCH('F-COMPRA'!#REF!,Tabla11[[#This Row],[Cuenta]],1))</f>
        <v>0</v>
      </c>
      <c r="AC31" t="b">
        <f>+ISNUMBER(SEARCH('F-COMPRA'!#REF!,Tabla11[[#This Row],[Cuenta]],1))</f>
        <v>0</v>
      </c>
      <c r="AD31" t="b">
        <f>+ISNUMBER(SEARCH('F-COMPRA'!#REF!,Tabla11[[#This Row],[Cuenta]],1))</f>
        <v>0</v>
      </c>
      <c r="AE31" t="b">
        <f>+ISNUMBER(SEARCH('F-COMPRA'!#REF!,Tabla11[[#This Row],[Cuenta]],1))</f>
        <v>0</v>
      </c>
      <c r="AF31" t="b">
        <f>+ISNUMBER(SEARCH('F-VTA'!$G$23,Tabla11[[#This Row],[Cuenta]],1))</f>
        <v>0</v>
      </c>
      <c r="AG31" t="b">
        <f>+ISNUMBER(SEARCH('F-VTA'!$G$24,Tabla11[[#This Row],[Cuenta]],1))</f>
        <v>0</v>
      </c>
      <c r="AH31" t="b">
        <f>+ISNUMBER(SEARCH('F-VTA'!$G$25,Tabla11[[#This Row],[Cuenta]],1))</f>
        <v>0</v>
      </c>
      <c r="AI31" t="b">
        <f>+ISNUMBER(SEARCH('F-VTA'!$F$28,Tabla11[[#This Row],[Cuenta]],1))</f>
        <v>1</v>
      </c>
      <c r="AJ31" t="b">
        <f>+ISNUMBER(SEARCH('F-VTA'!$F$29,Tabla11[[#This Row],[Cuenta]],1))</f>
        <v>1</v>
      </c>
      <c r="AK31" t="b">
        <f>+ISNUMBER(SEARCH('F-VTA'!$F$30,Tabla11[[#This Row],[Cuenta]],1))</f>
        <v>1</v>
      </c>
      <c r="AL31" t="b">
        <f>+ISNUMBER(SEARCH('F-VTA'!$F$31,Tabla11[[#This Row],[Cuenta]],1))</f>
        <v>1</v>
      </c>
      <c r="AM31" t="b">
        <f>+ISNUMBER(SEARCH('F-VTA'!$F$32,Tabla11[[#This Row],[Cuenta]],1))</f>
        <v>1</v>
      </c>
      <c r="AN31" t="b">
        <f>+ISNUMBER(SEARCH('F-VTA'!$F$33,Tabla11[[#This Row],[Cuenta]],1))</f>
        <v>1</v>
      </c>
      <c r="AO31" t="b">
        <f>+ISNUMBER(SEARCH('F-VTA'!$F$34,Tabla11[[#This Row],[Cuenta]],1))</f>
        <v>1</v>
      </c>
      <c r="AP31" t="b">
        <f>+ISNUMBER(SEARCH('F-VTA'!$F$35,Tabla11[[#This Row],[Cuenta]],1))</f>
        <v>1</v>
      </c>
      <c r="AQ31" t="b">
        <f>+ISNUMBER(SEARCH('F-VTA'!$F$36,Tabla11[[#This Row],[Cuenta]],1))</f>
        <v>1</v>
      </c>
      <c r="AR31" t="b">
        <f>+ISNUMBER(SEARCH(#REF!,Tabla11[[#This Row],[Cuenta]],1))</f>
        <v>0</v>
      </c>
      <c r="AS31" t="b">
        <f>+ISNUMBER(SEARCH(#REF!,Tabla11[[#This Row],[Cuenta]],1))</f>
        <v>0</v>
      </c>
      <c r="AT31" t="b">
        <f>+ISNUMBER(SEARCH(#REF!,Tabla11[[#This Row],[Cuenta]],1))</f>
        <v>0</v>
      </c>
      <c r="AU31" t="b">
        <f>+ISNUMBER(SEARCH('Conc. Ban.1'!$I$9,Tabla11[[#This Row],[Cuenta]],1))</f>
        <v>0</v>
      </c>
      <c r="AV31" t="b">
        <f>+ISNUMBER(SEARCH(CompConta!$F$21,Tabla11[[#This Row],[Cuenta]],1))</f>
        <v>1</v>
      </c>
      <c r="AW31" t="b">
        <f>+ISNUMBER(SEARCH(CompConta!$F$22,Tabla11[[#This Row],[Cuenta]],1))</f>
        <v>1</v>
      </c>
      <c r="AX31" t="b">
        <f>+ISNUMBER(SEARCH(CompConta!$F$23,Tabla11[[#This Row],[Cuenta]],1))</f>
        <v>1</v>
      </c>
      <c r="AY31" t="b">
        <f>+ISNUMBER(SEARCH(CompConta!$F$24,Tabla11[[#This Row],[Cuenta]],1))</f>
        <v>1</v>
      </c>
      <c r="AZ31" t="b">
        <f>+ISNUMBER(SEARCH(CompConta!$F$25,Tabla11[[#This Row],[Cuenta]],1))</f>
        <v>1</v>
      </c>
      <c r="BA31" t="b">
        <f>+ISNUMBER(SEARCH(CompConta!$F$26,Tabla11[[#This Row],[Cuenta]],1))</f>
        <v>1</v>
      </c>
      <c r="BB31" t="b">
        <f>+ISNUMBER(SEARCH(CompConta!$F$27,Tabla11[[#This Row],[Cuenta]],1))</f>
        <v>1</v>
      </c>
      <c r="BC31" t="b">
        <f>+ISNUMBER(SEARCH(CompConta!$F$28,Tabla11[[#This Row],[Cuenta]],1))</f>
        <v>1</v>
      </c>
      <c r="BD31" t="b">
        <f>+ISNUMBER(SEARCH(CompConta!$F$29,Tabla11[[#This Row],[Cuenta]],1))</f>
        <v>1</v>
      </c>
      <c r="BE31" t="b">
        <f>+ISNUMBER(SEARCH(CompConta!$F$30,Tabla11[[#This Row],[Cuenta]],1))</f>
        <v>1</v>
      </c>
      <c r="BF31" t="b">
        <f>+ISNUMBER(SEARCH('PAGO Compras'!$E$11,Tabla11[[#This Row],[Cuenta]],1))</f>
        <v>1</v>
      </c>
      <c r="BG31" t="b">
        <f>+ISNUMBER(SEARCH(#REF!,Tabla11[[#This Row],[Cuenta]],1))</f>
        <v>0</v>
      </c>
      <c r="BH31" t="b">
        <f>+ISNUMBER(SEARCH(#REF!,Tabla11[[#This Row],[Cuenta]],1))</f>
        <v>0</v>
      </c>
      <c r="BI31" t="b">
        <f>+ISNUMBER(SEARCH(#REF!,Tabla11[[#This Row],[Cuenta]],1))</f>
        <v>0</v>
      </c>
      <c r="BJ31" t="b">
        <f>+ISNUMBER(SEARCH(#REF!,Tabla11[[#This Row],[Cuenta]],1))</f>
        <v>0</v>
      </c>
      <c r="BS31" t="str">
        <v>133030 De adjudicaciones</v>
      </c>
      <c r="BT31" t="str">
        <v>133030 De adjudicaciones</v>
      </c>
      <c r="BU31" t="str">
        <v>133030 De adjudicaciones</v>
      </c>
      <c r="BV31" t="str">
        <v>133030 De adjudicaciones</v>
      </c>
      <c r="BZ31" t="str">
        <v>133030 De adjudicaciones</v>
      </c>
      <c r="CA31" t="str">
        <v>133030 De adjudicaciones</v>
      </c>
      <c r="CB31" t="str">
        <v>133030 De adjudicaciones</v>
      </c>
      <c r="CC31" t="str">
        <v>133030 De adjudicaciones</v>
      </c>
      <c r="CD31" t="str">
        <v>133030 De adjudicaciones</v>
      </c>
      <c r="CE31" t="str">
        <v>133030 De adjudicaciones</v>
      </c>
      <c r="CS31" s="141" t="str">
        <v>133030 De adjudicaciones</v>
      </c>
      <c r="CT31" s="141" t="str">
        <v>133030 De adjudicaciones</v>
      </c>
      <c r="CU31" s="141" t="str">
        <v>133030 De adjudicaciones</v>
      </c>
      <c r="CV31" s="141" t="str">
        <v>133030 De adjudicaciones</v>
      </c>
      <c r="CW31" s="141" t="str">
        <v>133030 De adjudicaciones</v>
      </c>
      <c r="CX31" s="141" t="str">
        <v>133030 De adjudicaciones</v>
      </c>
      <c r="CY31" s="141" t="str">
        <v>133030 De adjudicaciones</v>
      </c>
      <c r="CZ31" s="141" t="str">
        <v>133030 De adjudicaciones</v>
      </c>
      <c r="DA31" s="141" t="str">
        <v>133030 De adjudicaciones</v>
      </c>
      <c r="DF31" t="str">
        <v>133030 De adjudicaciones</v>
      </c>
      <c r="DG31" t="str">
        <v>133030 De adjudicaciones</v>
      </c>
      <c r="DH31" t="str">
        <v>133030 De adjudicaciones</v>
      </c>
      <c r="DI31" t="str">
        <v>133030 De adjudicaciones</v>
      </c>
      <c r="DJ31" t="str">
        <v>133030 De adjudicaciones</v>
      </c>
      <c r="DK31" t="str">
        <v>133030 De adjudicaciones</v>
      </c>
      <c r="DL31" t="str">
        <v>133030 De adjudicaciones</v>
      </c>
      <c r="DM31" t="str">
        <v>133030 De adjudicaciones</v>
      </c>
      <c r="DN31" t="str">
        <v>133030 De adjudicaciones</v>
      </c>
      <c r="DO31" t="str">
        <v>133030 De adjudicaciones</v>
      </c>
      <c r="DP31" t="str">
        <v>133030 De adjudicaciones</v>
      </c>
    </row>
    <row r="32" spans="4:120" ht="12.75">
      <c r="D32" s="7">
        <v>133095</v>
      </c>
      <c r="E32" s="6" t="s">
        <v>45</v>
      </c>
      <c r="F32" s="5">
        <v>4</v>
      </c>
      <c r="G32" s="34" t="s">
        <v>821</v>
      </c>
      <c r="H32" s="8" t="s">
        <v>32</v>
      </c>
      <c r="I32" t="b">
        <f>+ISNUMBER(SEARCH('F-COMPRA'!$F$28,Tabla11[[#This Row],[Cuenta]],1))</f>
        <v>1</v>
      </c>
      <c r="J32" t="b">
        <f>+ISNUMBER(SEARCH('F-COMPRA'!$F$29,Tabla11[[#This Row],[Cuenta]],1))</f>
        <v>1</v>
      </c>
      <c r="K32" t="b">
        <f>+ISNUMBER(SEARCH('F-COMPRA'!$F$30,Tabla11[[#This Row],[Cuenta]],1))</f>
        <v>1</v>
      </c>
      <c r="L32" t="b">
        <f>+ISNUMBER(SEARCH('F-COMPRA'!$F$31,Tabla11[[#This Row],[Cuenta]],1))</f>
        <v>1</v>
      </c>
      <c r="M32" t="b">
        <f>+ISNUMBER(SEARCH('F-COMPRA'!$G$25,Tabla11[[#This Row],[Cuenta]],1))</f>
        <v>0</v>
      </c>
      <c r="N32" t="b">
        <f>+ISNUMBER(SEARCH(#REF!,Tabla11[[#This Row],[Cuenta]],1))</f>
        <v>0</v>
      </c>
      <c r="O32" t="b">
        <f>+ISNUMBER(SEARCH(#REF!,Tabla11[[#This Row],[Cuenta]],1))</f>
        <v>0</v>
      </c>
      <c r="P32" t="b">
        <f>+ISNUMBER(SEARCH('F-COMPRA'!$F$32,Tabla11[[#This Row],[Cuenta]],1))</f>
        <v>1</v>
      </c>
      <c r="Q32" t="b">
        <f>+ISNUMBER(SEARCH('F-COMPRA'!$F$33,Tabla11[[#This Row],[Cuenta]],1))</f>
        <v>1</v>
      </c>
      <c r="R32" t="b">
        <f>+ISNUMBER(SEARCH('F-COMPRA'!$F$34,Tabla11[[#This Row],[Cuenta]],1))</f>
        <v>1</v>
      </c>
      <c r="S32" t="b">
        <f>+ISNUMBER(SEARCH('F-COMPRA'!$F$35,Tabla11[[#This Row],[Cuenta]],1))</f>
        <v>1</v>
      </c>
      <c r="T32" t="b">
        <f>+ISNUMBER(SEARCH('F-COMPRA'!$F$36,Tabla11[[#This Row],[Cuenta]],1))</f>
        <v>1</v>
      </c>
      <c r="U32" t="b">
        <f>+ISNUMBER(SEARCH('F-COMPRA'!$F$37,Tabla11[[#This Row],[Cuenta]],1))</f>
        <v>1</v>
      </c>
      <c r="V32" t="b">
        <f>+ISNUMBER(SEARCH(#REF!,Tabla11[[#This Row],[Cuenta]],1))</f>
        <v>0</v>
      </c>
      <c r="W32" t="b">
        <f>+ISNUMBER(SEARCH('F-COMPRA'!#REF!,Tabla11[[#This Row],[Cuenta]],1))</f>
        <v>0</v>
      </c>
      <c r="X32" t="b">
        <f>+ISNUMBER(SEARCH('F-COMPRA'!#REF!,Tabla11[[#This Row],[Cuenta]],1))</f>
        <v>0</v>
      </c>
      <c r="Y32" t="b">
        <f>+ISNUMBER(SEARCH('F-COMPRA'!#REF!,Tabla11[[#This Row],[Cuenta]],1))</f>
        <v>0</v>
      </c>
      <c r="Z32" t="b">
        <f>+ISNUMBER(SEARCH('F-COMPRA'!#REF!,Tabla11[[#This Row],[Cuenta]],1))</f>
        <v>0</v>
      </c>
      <c r="AA32" t="b">
        <f>+ISNUMBER(SEARCH('F-COMPRA'!#REF!,Tabla11[[#This Row],[Cuenta]],1))</f>
        <v>0</v>
      </c>
      <c r="AB32" t="b">
        <f>+ISNUMBER(SEARCH('F-COMPRA'!#REF!,Tabla11[[#This Row],[Cuenta]],1))</f>
        <v>0</v>
      </c>
      <c r="AC32" t="b">
        <f>+ISNUMBER(SEARCH('F-COMPRA'!#REF!,Tabla11[[#This Row],[Cuenta]],1))</f>
        <v>0</v>
      </c>
      <c r="AD32" t="b">
        <f>+ISNUMBER(SEARCH('F-COMPRA'!#REF!,Tabla11[[#This Row],[Cuenta]],1))</f>
        <v>0</v>
      </c>
      <c r="AE32" t="b">
        <f>+ISNUMBER(SEARCH('F-COMPRA'!#REF!,Tabla11[[#This Row],[Cuenta]],1))</f>
        <v>0</v>
      </c>
      <c r="AF32" t="b">
        <f>+ISNUMBER(SEARCH('F-VTA'!$G$23,Tabla11[[#This Row],[Cuenta]],1))</f>
        <v>0</v>
      </c>
      <c r="AG32" t="b">
        <f>+ISNUMBER(SEARCH('F-VTA'!$G$24,Tabla11[[#This Row],[Cuenta]],1))</f>
        <v>0</v>
      </c>
      <c r="AH32" t="b">
        <f>+ISNUMBER(SEARCH('F-VTA'!$G$25,Tabla11[[#This Row],[Cuenta]],1))</f>
        <v>0</v>
      </c>
      <c r="AI32" t="b">
        <f>+ISNUMBER(SEARCH('F-VTA'!$F$28,Tabla11[[#This Row],[Cuenta]],1))</f>
        <v>1</v>
      </c>
      <c r="AJ32" t="b">
        <f>+ISNUMBER(SEARCH('F-VTA'!$F$29,Tabla11[[#This Row],[Cuenta]],1))</f>
        <v>1</v>
      </c>
      <c r="AK32" t="b">
        <f>+ISNUMBER(SEARCH('F-VTA'!$F$30,Tabla11[[#This Row],[Cuenta]],1))</f>
        <v>1</v>
      </c>
      <c r="AL32" t="b">
        <f>+ISNUMBER(SEARCH('F-VTA'!$F$31,Tabla11[[#This Row],[Cuenta]],1))</f>
        <v>1</v>
      </c>
      <c r="AM32" t="b">
        <f>+ISNUMBER(SEARCH('F-VTA'!$F$32,Tabla11[[#This Row],[Cuenta]],1))</f>
        <v>1</v>
      </c>
      <c r="AN32" t="b">
        <f>+ISNUMBER(SEARCH('F-VTA'!$F$33,Tabla11[[#This Row],[Cuenta]],1))</f>
        <v>1</v>
      </c>
      <c r="AO32" t="b">
        <f>+ISNUMBER(SEARCH('F-VTA'!$F$34,Tabla11[[#This Row],[Cuenta]],1))</f>
        <v>1</v>
      </c>
      <c r="AP32" t="b">
        <f>+ISNUMBER(SEARCH('F-VTA'!$F$35,Tabla11[[#This Row],[Cuenta]],1))</f>
        <v>1</v>
      </c>
      <c r="AQ32" t="b">
        <f>+ISNUMBER(SEARCH('F-VTA'!$F$36,Tabla11[[#This Row],[Cuenta]],1))</f>
        <v>1</v>
      </c>
      <c r="AR32" t="b">
        <f>+ISNUMBER(SEARCH(#REF!,Tabla11[[#This Row],[Cuenta]],1))</f>
        <v>0</v>
      </c>
      <c r="AS32" t="b">
        <f>+ISNUMBER(SEARCH(#REF!,Tabla11[[#This Row],[Cuenta]],1))</f>
        <v>0</v>
      </c>
      <c r="AT32" t="b">
        <f>+ISNUMBER(SEARCH(#REF!,Tabla11[[#This Row],[Cuenta]],1))</f>
        <v>0</v>
      </c>
      <c r="AU32" t="b">
        <f>+ISNUMBER(SEARCH('Conc. Ban.1'!$I$9,Tabla11[[#This Row],[Cuenta]],1))</f>
        <v>0</v>
      </c>
      <c r="AV32" t="b">
        <f>+ISNUMBER(SEARCH(CompConta!$F$21,Tabla11[[#This Row],[Cuenta]],1))</f>
        <v>1</v>
      </c>
      <c r="AW32" t="b">
        <f>+ISNUMBER(SEARCH(CompConta!$F$22,Tabla11[[#This Row],[Cuenta]],1))</f>
        <v>1</v>
      </c>
      <c r="AX32" t="b">
        <f>+ISNUMBER(SEARCH(CompConta!$F$23,Tabla11[[#This Row],[Cuenta]],1))</f>
        <v>1</v>
      </c>
      <c r="AY32" t="b">
        <f>+ISNUMBER(SEARCH(CompConta!$F$24,Tabla11[[#This Row],[Cuenta]],1))</f>
        <v>1</v>
      </c>
      <c r="AZ32" t="b">
        <f>+ISNUMBER(SEARCH(CompConta!$F$25,Tabla11[[#This Row],[Cuenta]],1))</f>
        <v>1</v>
      </c>
      <c r="BA32" t="b">
        <f>+ISNUMBER(SEARCH(CompConta!$F$26,Tabla11[[#This Row],[Cuenta]],1))</f>
        <v>1</v>
      </c>
      <c r="BB32" t="b">
        <f>+ISNUMBER(SEARCH(CompConta!$F$27,Tabla11[[#This Row],[Cuenta]],1))</f>
        <v>1</v>
      </c>
      <c r="BC32" t="b">
        <f>+ISNUMBER(SEARCH(CompConta!$F$28,Tabla11[[#This Row],[Cuenta]],1))</f>
        <v>1</v>
      </c>
      <c r="BD32" t="b">
        <f>+ISNUMBER(SEARCH(CompConta!$F$29,Tabla11[[#This Row],[Cuenta]],1))</f>
        <v>1</v>
      </c>
      <c r="BE32" t="b">
        <f>+ISNUMBER(SEARCH(CompConta!$F$30,Tabla11[[#This Row],[Cuenta]],1))</f>
        <v>1</v>
      </c>
      <c r="BF32" t="b">
        <f>+ISNUMBER(SEARCH('PAGO Compras'!$E$11,Tabla11[[#This Row],[Cuenta]],1))</f>
        <v>1</v>
      </c>
      <c r="BG32" t="b">
        <f>+ISNUMBER(SEARCH(#REF!,Tabla11[[#This Row],[Cuenta]],1))</f>
        <v>0</v>
      </c>
      <c r="BH32" t="b">
        <f>+ISNUMBER(SEARCH(#REF!,Tabla11[[#This Row],[Cuenta]],1))</f>
        <v>0</v>
      </c>
      <c r="BI32" t="b">
        <f>+ISNUMBER(SEARCH(#REF!,Tabla11[[#This Row],[Cuenta]],1))</f>
        <v>0</v>
      </c>
      <c r="BJ32" t="b">
        <f>+ISNUMBER(SEARCH(#REF!,Tabla11[[#This Row],[Cuenta]],1))</f>
        <v>0</v>
      </c>
      <c r="BS32" t="str">
        <v>133095 Otros</v>
      </c>
      <c r="BT32" t="str">
        <v>133095 Otros</v>
      </c>
      <c r="BU32" t="str">
        <v>133095 Otros</v>
      </c>
      <c r="BV32" t="str">
        <v>133095 Otros</v>
      </c>
      <c r="BZ32" t="str">
        <v>133095 Otros</v>
      </c>
      <c r="CA32" t="str">
        <v>133095 Otros</v>
      </c>
      <c r="CB32" t="str">
        <v>133095 Otros</v>
      </c>
      <c r="CC32" t="str">
        <v>133095 Otros</v>
      </c>
      <c r="CD32" t="str">
        <v>133095 Otros</v>
      </c>
      <c r="CE32" t="str">
        <v>133095 Otros</v>
      </c>
      <c r="CS32" s="141" t="str">
        <v>133095 Otros</v>
      </c>
      <c r="CT32" s="141" t="str">
        <v>133095 Otros</v>
      </c>
      <c r="CU32" s="141" t="str">
        <v>133095 Otros</v>
      </c>
      <c r="CV32" s="141" t="str">
        <v>133095 Otros</v>
      </c>
      <c r="CW32" s="141" t="str">
        <v>133095 Otros</v>
      </c>
      <c r="CX32" s="141" t="str">
        <v>133095 Otros</v>
      </c>
      <c r="CY32" s="141" t="str">
        <v>133095 Otros</v>
      </c>
      <c r="CZ32" s="141" t="str">
        <v>133095 Otros</v>
      </c>
      <c r="DA32" s="141" t="str">
        <v>133095 Otros</v>
      </c>
      <c r="DF32" t="str">
        <v>133095 Otros</v>
      </c>
      <c r="DG32" t="str">
        <v>133095 Otros</v>
      </c>
      <c r="DH32" t="str">
        <v>133095 Otros</v>
      </c>
      <c r="DI32" t="str">
        <v>133095 Otros</v>
      </c>
      <c r="DJ32" t="str">
        <v>133095 Otros</v>
      </c>
      <c r="DK32" t="str">
        <v>133095 Otros</v>
      </c>
      <c r="DL32" t="str">
        <v>133095 Otros</v>
      </c>
      <c r="DM32" t="str">
        <v>133095 Otros</v>
      </c>
      <c r="DN32" t="str">
        <v>133095 Otros</v>
      </c>
      <c r="DO32" t="str">
        <v>133095 Otros</v>
      </c>
      <c r="DP32" t="str">
        <v>133095 Otros</v>
      </c>
    </row>
    <row r="33" spans="4:120" ht="12.75">
      <c r="D33" s="7">
        <v>133099</v>
      </c>
      <c r="E33" s="6" t="s">
        <v>44</v>
      </c>
      <c r="F33" s="5">
        <v>4</v>
      </c>
      <c r="G33" s="34" t="s">
        <v>821</v>
      </c>
      <c r="H33" s="8" t="s">
        <v>32</v>
      </c>
      <c r="I33" t="b">
        <f>+ISNUMBER(SEARCH('F-COMPRA'!$F$28,Tabla11[[#This Row],[Cuenta]],1))</f>
        <v>1</v>
      </c>
      <c r="J33" t="b">
        <f>+ISNUMBER(SEARCH('F-COMPRA'!$F$29,Tabla11[[#This Row],[Cuenta]],1))</f>
        <v>1</v>
      </c>
      <c r="K33" t="b">
        <f>+ISNUMBER(SEARCH('F-COMPRA'!$F$30,Tabla11[[#This Row],[Cuenta]],1))</f>
        <v>1</v>
      </c>
      <c r="L33" t="b">
        <f>+ISNUMBER(SEARCH('F-COMPRA'!$F$31,Tabla11[[#This Row],[Cuenta]],1))</f>
        <v>1</v>
      </c>
      <c r="M33" t="b">
        <f>+ISNUMBER(SEARCH('F-COMPRA'!$G$25,Tabla11[[#This Row],[Cuenta]],1))</f>
        <v>0</v>
      </c>
      <c r="N33" t="b">
        <f>+ISNUMBER(SEARCH(#REF!,Tabla11[[#This Row],[Cuenta]],1))</f>
        <v>0</v>
      </c>
      <c r="O33" t="b">
        <f>+ISNUMBER(SEARCH(#REF!,Tabla11[[#This Row],[Cuenta]],1))</f>
        <v>0</v>
      </c>
      <c r="P33" t="b">
        <f>+ISNUMBER(SEARCH('F-COMPRA'!$F$32,Tabla11[[#This Row],[Cuenta]],1))</f>
        <v>1</v>
      </c>
      <c r="Q33" t="b">
        <f>+ISNUMBER(SEARCH('F-COMPRA'!$F$33,Tabla11[[#This Row],[Cuenta]],1))</f>
        <v>1</v>
      </c>
      <c r="R33" t="b">
        <f>+ISNUMBER(SEARCH('F-COMPRA'!$F$34,Tabla11[[#This Row],[Cuenta]],1))</f>
        <v>1</v>
      </c>
      <c r="S33" t="b">
        <f>+ISNUMBER(SEARCH('F-COMPRA'!$F$35,Tabla11[[#This Row],[Cuenta]],1))</f>
        <v>1</v>
      </c>
      <c r="T33" t="b">
        <f>+ISNUMBER(SEARCH('F-COMPRA'!$F$36,Tabla11[[#This Row],[Cuenta]],1))</f>
        <v>1</v>
      </c>
      <c r="U33" t="b">
        <f>+ISNUMBER(SEARCH('F-COMPRA'!$F$37,Tabla11[[#This Row],[Cuenta]],1))</f>
        <v>1</v>
      </c>
      <c r="V33" t="b">
        <f>+ISNUMBER(SEARCH(#REF!,Tabla11[[#This Row],[Cuenta]],1))</f>
        <v>0</v>
      </c>
      <c r="W33" t="b">
        <f>+ISNUMBER(SEARCH('F-COMPRA'!#REF!,Tabla11[[#This Row],[Cuenta]],1))</f>
        <v>0</v>
      </c>
      <c r="X33" t="b">
        <f>+ISNUMBER(SEARCH('F-COMPRA'!#REF!,Tabla11[[#This Row],[Cuenta]],1))</f>
        <v>0</v>
      </c>
      <c r="Y33" t="b">
        <f>+ISNUMBER(SEARCH('F-COMPRA'!#REF!,Tabla11[[#This Row],[Cuenta]],1))</f>
        <v>0</v>
      </c>
      <c r="Z33" t="b">
        <f>+ISNUMBER(SEARCH('F-COMPRA'!#REF!,Tabla11[[#This Row],[Cuenta]],1))</f>
        <v>0</v>
      </c>
      <c r="AA33" t="b">
        <f>+ISNUMBER(SEARCH('F-COMPRA'!#REF!,Tabla11[[#This Row],[Cuenta]],1))</f>
        <v>0</v>
      </c>
      <c r="AB33" t="b">
        <f>+ISNUMBER(SEARCH('F-COMPRA'!#REF!,Tabla11[[#This Row],[Cuenta]],1))</f>
        <v>0</v>
      </c>
      <c r="AC33" t="b">
        <f>+ISNUMBER(SEARCH('F-COMPRA'!#REF!,Tabla11[[#This Row],[Cuenta]],1))</f>
        <v>0</v>
      </c>
      <c r="AD33" t="b">
        <f>+ISNUMBER(SEARCH('F-COMPRA'!#REF!,Tabla11[[#This Row],[Cuenta]],1))</f>
        <v>0</v>
      </c>
      <c r="AE33" t="b">
        <f>+ISNUMBER(SEARCH('F-COMPRA'!#REF!,Tabla11[[#This Row],[Cuenta]],1))</f>
        <v>0</v>
      </c>
      <c r="AF33" t="b">
        <f>+ISNUMBER(SEARCH('F-VTA'!$G$23,Tabla11[[#This Row],[Cuenta]],1))</f>
        <v>0</v>
      </c>
      <c r="AG33" t="b">
        <f>+ISNUMBER(SEARCH('F-VTA'!$G$24,Tabla11[[#This Row],[Cuenta]],1))</f>
        <v>0</v>
      </c>
      <c r="AH33" t="b">
        <f>+ISNUMBER(SEARCH('F-VTA'!$G$25,Tabla11[[#This Row],[Cuenta]],1))</f>
        <v>0</v>
      </c>
      <c r="AI33" t="b">
        <f>+ISNUMBER(SEARCH('F-VTA'!$F$28,Tabla11[[#This Row],[Cuenta]],1))</f>
        <v>1</v>
      </c>
      <c r="AJ33" t="b">
        <f>+ISNUMBER(SEARCH('F-VTA'!$F$29,Tabla11[[#This Row],[Cuenta]],1))</f>
        <v>1</v>
      </c>
      <c r="AK33" t="b">
        <f>+ISNUMBER(SEARCH('F-VTA'!$F$30,Tabla11[[#This Row],[Cuenta]],1))</f>
        <v>1</v>
      </c>
      <c r="AL33" t="b">
        <f>+ISNUMBER(SEARCH('F-VTA'!$F$31,Tabla11[[#This Row],[Cuenta]],1))</f>
        <v>1</v>
      </c>
      <c r="AM33" t="b">
        <f>+ISNUMBER(SEARCH('F-VTA'!$F$32,Tabla11[[#This Row],[Cuenta]],1))</f>
        <v>1</v>
      </c>
      <c r="AN33" t="b">
        <f>+ISNUMBER(SEARCH('F-VTA'!$F$33,Tabla11[[#This Row],[Cuenta]],1))</f>
        <v>1</v>
      </c>
      <c r="AO33" t="b">
        <f>+ISNUMBER(SEARCH('F-VTA'!$F$34,Tabla11[[#This Row],[Cuenta]],1))</f>
        <v>1</v>
      </c>
      <c r="AP33" t="b">
        <f>+ISNUMBER(SEARCH('F-VTA'!$F$35,Tabla11[[#This Row],[Cuenta]],1))</f>
        <v>1</v>
      </c>
      <c r="AQ33" t="b">
        <f>+ISNUMBER(SEARCH('F-VTA'!$F$36,Tabla11[[#This Row],[Cuenta]],1))</f>
        <v>1</v>
      </c>
      <c r="AR33" t="b">
        <f>+ISNUMBER(SEARCH(#REF!,Tabla11[[#This Row],[Cuenta]],1))</f>
        <v>0</v>
      </c>
      <c r="AS33" t="b">
        <f>+ISNUMBER(SEARCH(#REF!,Tabla11[[#This Row],[Cuenta]],1))</f>
        <v>0</v>
      </c>
      <c r="AT33" t="b">
        <f>+ISNUMBER(SEARCH(#REF!,Tabla11[[#This Row],[Cuenta]],1))</f>
        <v>0</v>
      </c>
      <c r="AU33" t="b">
        <f>+ISNUMBER(SEARCH('Conc. Ban.1'!$I$9,Tabla11[[#This Row],[Cuenta]],1))</f>
        <v>0</v>
      </c>
      <c r="AV33" t="b">
        <f>+ISNUMBER(SEARCH(CompConta!$F$21,Tabla11[[#This Row],[Cuenta]],1))</f>
        <v>1</v>
      </c>
      <c r="AW33" t="b">
        <f>+ISNUMBER(SEARCH(CompConta!$F$22,Tabla11[[#This Row],[Cuenta]],1))</f>
        <v>1</v>
      </c>
      <c r="AX33" t="b">
        <f>+ISNUMBER(SEARCH(CompConta!$F$23,Tabla11[[#This Row],[Cuenta]],1))</f>
        <v>1</v>
      </c>
      <c r="AY33" t="b">
        <f>+ISNUMBER(SEARCH(CompConta!$F$24,Tabla11[[#This Row],[Cuenta]],1))</f>
        <v>1</v>
      </c>
      <c r="AZ33" t="b">
        <f>+ISNUMBER(SEARCH(CompConta!$F$25,Tabla11[[#This Row],[Cuenta]],1))</f>
        <v>1</v>
      </c>
      <c r="BA33" t="b">
        <f>+ISNUMBER(SEARCH(CompConta!$F$26,Tabla11[[#This Row],[Cuenta]],1))</f>
        <v>1</v>
      </c>
      <c r="BB33" t="b">
        <f>+ISNUMBER(SEARCH(CompConta!$F$27,Tabla11[[#This Row],[Cuenta]],1))</f>
        <v>1</v>
      </c>
      <c r="BC33" t="b">
        <f>+ISNUMBER(SEARCH(CompConta!$F$28,Tabla11[[#This Row],[Cuenta]],1))</f>
        <v>1</v>
      </c>
      <c r="BD33" t="b">
        <f>+ISNUMBER(SEARCH(CompConta!$F$29,Tabla11[[#This Row],[Cuenta]],1))</f>
        <v>1</v>
      </c>
      <c r="BE33" t="b">
        <f>+ISNUMBER(SEARCH(CompConta!$F$30,Tabla11[[#This Row],[Cuenta]],1))</f>
        <v>1</v>
      </c>
      <c r="BF33" t="b">
        <f>+ISNUMBER(SEARCH('PAGO Compras'!$E$11,Tabla11[[#This Row],[Cuenta]],1))</f>
        <v>1</v>
      </c>
      <c r="BG33" t="b">
        <f>+ISNUMBER(SEARCH(#REF!,Tabla11[[#This Row],[Cuenta]],1))</f>
        <v>0</v>
      </c>
      <c r="BH33" t="b">
        <f>+ISNUMBER(SEARCH(#REF!,Tabla11[[#This Row],[Cuenta]],1))</f>
        <v>0</v>
      </c>
      <c r="BI33" t="b">
        <f>+ISNUMBER(SEARCH(#REF!,Tabla11[[#This Row],[Cuenta]],1))</f>
        <v>0</v>
      </c>
      <c r="BJ33" t="b">
        <f>+ISNUMBER(SEARCH(#REF!,Tabla11[[#This Row],[Cuenta]],1))</f>
        <v>0</v>
      </c>
      <c r="BS33" t="str">
        <v>133099 Ajustes por inflación</v>
      </c>
      <c r="BT33" t="str">
        <v>133099 Ajustes por inflación</v>
      </c>
      <c r="BU33" t="str">
        <v>133099 Ajustes por inflación</v>
      </c>
      <c r="BV33" t="str">
        <v>133099 Ajustes por inflación</v>
      </c>
      <c r="BZ33" t="str">
        <v>133099 Ajustes por inflación</v>
      </c>
      <c r="CA33" t="str">
        <v>133099 Ajustes por inflación</v>
      </c>
      <c r="CB33" t="str">
        <v>133099 Ajustes por inflación</v>
      </c>
      <c r="CC33" t="str">
        <v>133099 Ajustes por inflación</v>
      </c>
      <c r="CD33" t="str">
        <v>133099 Ajustes por inflación</v>
      </c>
      <c r="CE33" t="str">
        <v>133099 Ajustes por inflación</v>
      </c>
      <c r="CS33" s="141" t="str">
        <v>133099 Ajustes por inflación</v>
      </c>
      <c r="CT33" s="141" t="str">
        <v>133099 Ajustes por inflación</v>
      </c>
      <c r="CU33" s="141" t="str">
        <v>133099 Ajustes por inflación</v>
      </c>
      <c r="CV33" s="141" t="str">
        <v>133099 Ajustes por inflación</v>
      </c>
      <c r="CW33" s="141" t="str">
        <v>133099 Ajustes por inflación</v>
      </c>
      <c r="CX33" s="141" t="str">
        <v>133099 Ajustes por inflación</v>
      </c>
      <c r="CY33" s="141" t="str">
        <v>133099 Ajustes por inflación</v>
      </c>
      <c r="CZ33" s="141" t="str">
        <v>133099 Ajustes por inflación</v>
      </c>
      <c r="DA33" s="141" t="str">
        <v>133099 Ajustes por inflación</v>
      </c>
      <c r="DF33" t="str">
        <v>133099 Ajustes por inflación</v>
      </c>
      <c r="DG33" t="str">
        <v>133099 Ajustes por inflación</v>
      </c>
      <c r="DH33" t="str">
        <v>133099 Ajustes por inflación</v>
      </c>
      <c r="DI33" t="str">
        <v>133099 Ajustes por inflación</v>
      </c>
      <c r="DJ33" t="str">
        <v>133099 Ajustes por inflación</v>
      </c>
      <c r="DK33" t="str">
        <v>133099 Ajustes por inflación</v>
      </c>
      <c r="DL33" t="str">
        <v>133099 Ajustes por inflación</v>
      </c>
      <c r="DM33" t="str">
        <v>133099 Ajustes por inflación</v>
      </c>
      <c r="DN33" t="str">
        <v>133099 Ajustes por inflación</v>
      </c>
      <c r="DO33" t="str">
        <v>133099 Ajustes por inflación</v>
      </c>
      <c r="DP33" t="str">
        <v>133099 Ajustes por inflación</v>
      </c>
    </row>
    <row r="34" spans="4:120" ht="12.75">
      <c r="D34" s="7">
        <v>1345</v>
      </c>
      <c r="E34" s="6" t="s">
        <v>71</v>
      </c>
      <c r="F34" s="5">
        <v>3</v>
      </c>
      <c r="G34" s="34" t="s">
        <v>821</v>
      </c>
      <c r="H34" s="8" t="s">
        <v>32</v>
      </c>
      <c r="I34" t="b">
        <f>+ISNUMBER(SEARCH('F-COMPRA'!$F$28,Tabla11[[#This Row],[Cuenta]],1))</f>
        <v>1</v>
      </c>
      <c r="J34" t="b">
        <f>+ISNUMBER(SEARCH('F-COMPRA'!$F$29,Tabla11[[#This Row],[Cuenta]],1))</f>
        <v>1</v>
      </c>
      <c r="K34" t="b">
        <f>+ISNUMBER(SEARCH('F-COMPRA'!$F$30,Tabla11[[#This Row],[Cuenta]],1))</f>
        <v>1</v>
      </c>
      <c r="L34" t="b">
        <f>+ISNUMBER(SEARCH('F-COMPRA'!$F$31,Tabla11[[#This Row],[Cuenta]],1))</f>
        <v>1</v>
      </c>
      <c r="M34" t="b">
        <f>+ISNUMBER(SEARCH('F-COMPRA'!$G$25,Tabla11[[#This Row],[Cuenta]],1))</f>
        <v>0</v>
      </c>
      <c r="N34" t="b">
        <f>+ISNUMBER(SEARCH(#REF!,Tabla11[[#This Row],[Cuenta]],1))</f>
        <v>0</v>
      </c>
      <c r="O34" t="b">
        <f>+ISNUMBER(SEARCH(#REF!,Tabla11[[#This Row],[Cuenta]],1))</f>
        <v>0</v>
      </c>
      <c r="P34" t="b">
        <f>+ISNUMBER(SEARCH('F-COMPRA'!$F$32,Tabla11[[#This Row],[Cuenta]],1))</f>
        <v>1</v>
      </c>
      <c r="Q34" t="b">
        <f>+ISNUMBER(SEARCH('F-COMPRA'!$F$33,Tabla11[[#This Row],[Cuenta]],1))</f>
        <v>1</v>
      </c>
      <c r="R34" t="b">
        <f>+ISNUMBER(SEARCH('F-COMPRA'!$F$34,Tabla11[[#This Row],[Cuenta]],1))</f>
        <v>1</v>
      </c>
      <c r="S34" t="b">
        <f>+ISNUMBER(SEARCH('F-COMPRA'!$F$35,Tabla11[[#This Row],[Cuenta]],1))</f>
        <v>1</v>
      </c>
      <c r="T34" t="b">
        <f>+ISNUMBER(SEARCH('F-COMPRA'!$F$36,Tabla11[[#This Row],[Cuenta]],1))</f>
        <v>1</v>
      </c>
      <c r="U34" t="b">
        <f>+ISNUMBER(SEARCH('F-COMPRA'!$F$37,Tabla11[[#This Row],[Cuenta]],1))</f>
        <v>1</v>
      </c>
      <c r="V34" t="b">
        <f>+ISNUMBER(SEARCH(#REF!,Tabla11[[#This Row],[Cuenta]],1))</f>
        <v>0</v>
      </c>
      <c r="W34" t="b">
        <f>+ISNUMBER(SEARCH('F-COMPRA'!#REF!,Tabla11[[#This Row],[Cuenta]],1))</f>
        <v>0</v>
      </c>
      <c r="X34" t="b">
        <f>+ISNUMBER(SEARCH('F-COMPRA'!#REF!,Tabla11[[#This Row],[Cuenta]],1))</f>
        <v>0</v>
      </c>
      <c r="Y34" t="b">
        <f>+ISNUMBER(SEARCH('F-COMPRA'!#REF!,Tabla11[[#This Row],[Cuenta]],1))</f>
        <v>0</v>
      </c>
      <c r="Z34" t="b">
        <f>+ISNUMBER(SEARCH('F-COMPRA'!#REF!,Tabla11[[#This Row],[Cuenta]],1))</f>
        <v>0</v>
      </c>
      <c r="AA34" t="b">
        <f>+ISNUMBER(SEARCH('F-COMPRA'!#REF!,Tabla11[[#This Row],[Cuenta]],1))</f>
        <v>0</v>
      </c>
      <c r="AB34" t="b">
        <f>+ISNUMBER(SEARCH('F-COMPRA'!#REF!,Tabla11[[#This Row],[Cuenta]],1))</f>
        <v>0</v>
      </c>
      <c r="AC34" t="b">
        <f>+ISNUMBER(SEARCH('F-COMPRA'!#REF!,Tabla11[[#This Row],[Cuenta]],1))</f>
        <v>0</v>
      </c>
      <c r="AD34" t="b">
        <f>+ISNUMBER(SEARCH('F-COMPRA'!#REF!,Tabla11[[#This Row],[Cuenta]],1))</f>
        <v>0</v>
      </c>
      <c r="AE34" t="b">
        <f>+ISNUMBER(SEARCH('F-COMPRA'!#REF!,Tabla11[[#This Row],[Cuenta]],1))</f>
        <v>0</v>
      </c>
      <c r="AF34" t="b">
        <f>+ISNUMBER(SEARCH('F-VTA'!$G$23,Tabla11[[#This Row],[Cuenta]],1))</f>
        <v>0</v>
      </c>
      <c r="AG34" t="b">
        <f>+ISNUMBER(SEARCH('F-VTA'!$G$24,Tabla11[[#This Row],[Cuenta]],1))</f>
        <v>0</v>
      </c>
      <c r="AH34" t="b">
        <f>+ISNUMBER(SEARCH('F-VTA'!$G$25,Tabla11[[#This Row],[Cuenta]],1))</f>
        <v>0</v>
      </c>
      <c r="AI34" t="b">
        <f>+ISNUMBER(SEARCH('F-VTA'!$F$28,Tabla11[[#This Row],[Cuenta]],1))</f>
        <v>1</v>
      </c>
      <c r="AJ34" t="b">
        <f>+ISNUMBER(SEARCH('F-VTA'!$F$29,Tabla11[[#This Row],[Cuenta]],1))</f>
        <v>1</v>
      </c>
      <c r="AK34" t="b">
        <f>+ISNUMBER(SEARCH('F-VTA'!$F$30,Tabla11[[#This Row],[Cuenta]],1))</f>
        <v>1</v>
      </c>
      <c r="AL34" t="b">
        <f>+ISNUMBER(SEARCH('F-VTA'!$F$31,Tabla11[[#This Row],[Cuenta]],1))</f>
        <v>1</v>
      </c>
      <c r="AM34" t="b">
        <f>+ISNUMBER(SEARCH('F-VTA'!$F$32,Tabla11[[#This Row],[Cuenta]],1))</f>
        <v>1</v>
      </c>
      <c r="AN34" t="b">
        <f>+ISNUMBER(SEARCH('F-VTA'!$F$33,Tabla11[[#This Row],[Cuenta]],1))</f>
        <v>1</v>
      </c>
      <c r="AO34" t="b">
        <f>+ISNUMBER(SEARCH('F-VTA'!$F$34,Tabla11[[#This Row],[Cuenta]],1))</f>
        <v>1</v>
      </c>
      <c r="AP34" t="b">
        <f>+ISNUMBER(SEARCH('F-VTA'!$F$35,Tabla11[[#This Row],[Cuenta]],1))</f>
        <v>1</v>
      </c>
      <c r="AQ34" t="b">
        <f>+ISNUMBER(SEARCH('F-VTA'!$F$36,Tabla11[[#This Row],[Cuenta]],1))</f>
        <v>1</v>
      </c>
      <c r="AR34" t="b">
        <f>+ISNUMBER(SEARCH(#REF!,Tabla11[[#This Row],[Cuenta]],1))</f>
        <v>0</v>
      </c>
      <c r="AS34" t="b">
        <f>+ISNUMBER(SEARCH(#REF!,Tabla11[[#This Row],[Cuenta]],1))</f>
        <v>0</v>
      </c>
      <c r="AT34" t="b">
        <f>+ISNUMBER(SEARCH(#REF!,Tabla11[[#This Row],[Cuenta]],1))</f>
        <v>0</v>
      </c>
      <c r="AU34" t="b">
        <f>+ISNUMBER(SEARCH('Conc. Ban.1'!$I$9,Tabla11[[#This Row],[Cuenta]],1))</f>
        <v>0</v>
      </c>
      <c r="AV34" t="b">
        <f>+ISNUMBER(SEARCH(CompConta!$F$21,Tabla11[[#This Row],[Cuenta]],1))</f>
        <v>1</v>
      </c>
      <c r="AW34" t="b">
        <f>+ISNUMBER(SEARCH(CompConta!$F$22,Tabla11[[#This Row],[Cuenta]],1))</f>
        <v>1</v>
      </c>
      <c r="AX34" t="b">
        <f>+ISNUMBER(SEARCH(CompConta!$F$23,Tabla11[[#This Row],[Cuenta]],1))</f>
        <v>1</v>
      </c>
      <c r="AY34" t="b">
        <f>+ISNUMBER(SEARCH(CompConta!$F$24,Tabla11[[#This Row],[Cuenta]],1))</f>
        <v>1</v>
      </c>
      <c r="AZ34" t="b">
        <f>+ISNUMBER(SEARCH(CompConta!$F$25,Tabla11[[#This Row],[Cuenta]],1))</f>
        <v>1</v>
      </c>
      <c r="BA34" t="b">
        <f>+ISNUMBER(SEARCH(CompConta!$F$26,Tabla11[[#This Row],[Cuenta]],1))</f>
        <v>1</v>
      </c>
      <c r="BB34" t="b">
        <f>+ISNUMBER(SEARCH(CompConta!$F$27,Tabla11[[#This Row],[Cuenta]],1))</f>
        <v>1</v>
      </c>
      <c r="BC34" t="b">
        <f>+ISNUMBER(SEARCH(CompConta!$F$28,Tabla11[[#This Row],[Cuenta]],1))</f>
        <v>1</v>
      </c>
      <c r="BD34" t="b">
        <f>+ISNUMBER(SEARCH(CompConta!$F$29,Tabla11[[#This Row],[Cuenta]],1))</f>
        <v>1</v>
      </c>
      <c r="BE34" t="b">
        <f>+ISNUMBER(SEARCH(CompConta!$F$30,Tabla11[[#This Row],[Cuenta]],1))</f>
        <v>1</v>
      </c>
      <c r="BF34" t="b">
        <f>+ISNUMBER(SEARCH('PAGO Compras'!$E$11,Tabla11[[#This Row],[Cuenta]],1))</f>
        <v>1</v>
      </c>
      <c r="BG34" t="b">
        <f>+ISNUMBER(SEARCH(#REF!,Tabla11[[#This Row],[Cuenta]],1))</f>
        <v>0</v>
      </c>
      <c r="BH34" t="b">
        <f>+ISNUMBER(SEARCH(#REF!,Tabla11[[#This Row],[Cuenta]],1))</f>
        <v>0</v>
      </c>
      <c r="BI34" t="b">
        <f>+ISNUMBER(SEARCH(#REF!,Tabla11[[#This Row],[Cuenta]],1))</f>
        <v>0</v>
      </c>
      <c r="BJ34" t="b">
        <f>+ISNUMBER(SEARCH(#REF!,Tabla11[[#This Row],[Cuenta]],1))</f>
        <v>0</v>
      </c>
      <c r="BS34" t="str">
        <v>1345 INGRESOS POR COBRAR</v>
      </c>
      <c r="BT34" t="str">
        <v>1345 INGRESOS POR COBRAR</v>
      </c>
      <c r="BU34" t="str">
        <v>1345 INGRESOS POR COBRAR</v>
      </c>
      <c r="BV34" t="str">
        <v>1345 INGRESOS POR COBRAR</v>
      </c>
      <c r="BZ34" t="str">
        <v>1345 INGRESOS POR COBRAR</v>
      </c>
      <c r="CA34" t="str">
        <v>1345 INGRESOS POR COBRAR</v>
      </c>
      <c r="CB34" t="str">
        <v>1345 INGRESOS POR COBRAR</v>
      </c>
      <c r="CC34" t="str">
        <v>1345 INGRESOS POR COBRAR</v>
      </c>
      <c r="CD34" t="str">
        <v>1345 INGRESOS POR COBRAR</v>
      </c>
      <c r="CE34" t="str">
        <v>1345 INGRESOS POR COBRAR</v>
      </c>
      <c r="CS34" s="141" t="str">
        <v>1345 INGRESOS POR COBRAR</v>
      </c>
      <c r="CT34" s="141" t="str">
        <v>1345 INGRESOS POR COBRAR</v>
      </c>
      <c r="CU34" s="141" t="str">
        <v>1345 INGRESOS POR COBRAR</v>
      </c>
      <c r="CV34" s="141" t="str">
        <v>1345 INGRESOS POR COBRAR</v>
      </c>
      <c r="CW34" s="141" t="str">
        <v>1345 INGRESOS POR COBRAR</v>
      </c>
      <c r="CX34" s="141" t="str">
        <v>1345 INGRESOS POR COBRAR</v>
      </c>
      <c r="CY34" s="141" t="str">
        <v>1345 INGRESOS POR COBRAR</v>
      </c>
      <c r="CZ34" s="141" t="str">
        <v>1345 INGRESOS POR COBRAR</v>
      </c>
      <c r="DA34" s="141" t="str">
        <v>1345 INGRESOS POR COBRAR</v>
      </c>
      <c r="DF34" t="str">
        <v>1345 INGRESOS POR COBRAR</v>
      </c>
      <c r="DG34" t="str">
        <v>1345 INGRESOS POR COBRAR</v>
      </c>
      <c r="DH34" t="str">
        <v>1345 INGRESOS POR COBRAR</v>
      </c>
      <c r="DI34" t="str">
        <v>1345 INGRESOS POR COBRAR</v>
      </c>
      <c r="DJ34" t="str">
        <v>1345 INGRESOS POR COBRAR</v>
      </c>
      <c r="DK34" t="str">
        <v>1345 INGRESOS POR COBRAR</v>
      </c>
      <c r="DL34" t="str">
        <v>1345 INGRESOS POR COBRAR</v>
      </c>
      <c r="DM34" t="str">
        <v>1345 INGRESOS POR COBRAR</v>
      </c>
      <c r="DN34" t="str">
        <v>1345 INGRESOS POR COBRAR</v>
      </c>
      <c r="DO34" t="str">
        <v>1345 INGRESOS POR COBRAR</v>
      </c>
      <c r="DP34" t="str">
        <v>1345 INGRESOS POR COBRAR</v>
      </c>
    </row>
    <row r="35" spans="4:120" ht="12.75">
      <c r="D35" s="7">
        <v>134505</v>
      </c>
      <c r="E35" s="6" t="s">
        <v>72</v>
      </c>
      <c r="F35" s="5">
        <v>4</v>
      </c>
      <c r="G35" s="34" t="s">
        <v>821</v>
      </c>
      <c r="H35" s="8" t="s">
        <v>32</v>
      </c>
      <c r="I35" t="b">
        <f>+ISNUMBER(SEARCH('F-COMPRA'!$F$28,Tabla11[[#This Row],[Cuenta]],1))</f>
        <v>1</v>
      </c>
      <c r="J35" t="b">
        <f>+ISNUMBER(SEARCH('F-COMPRA'!$F$29,Tabla11[[#This Row],[Cuenta]],1))</f>
        <v>1</v>
      </c>
      <c r="K35" t="b">
        <f>+ISNUMBER(SEARCH('F-COMPRA'!$F$30,Tabla11[[#This Row],[Cuenta]],1))</f>
        <v>1</v>
      </c>
      <c r="L35" t="b">
        <f>+ISNUMBER(SEARCH('F-COMPRA'!$F$31,Tabla11[[#This Row],[Cuenta]],1))</f>
        <v>1</v>
      </c>
      <c r="M35" t="b">
        <f>+ISNUMBER(SEARCH('F-COMPRA'!$G$25,Tabla11[[#This Row],[Cuenta]],1))</f>
        <v>0</v>
      </c>
      <c r="N35" t="b">
        <f>+ISNUMBER(SEARCH(#REF!,Tabla11[[#This Row],[Cuenta]],1))</f>
        <v>0</v>
      </c>
      <c r="O35" t="b">
        <f>+ISNUMBER(SEARCH(#REF!,Tabla11[[#This Row],[Cuenta]],1))</f>
        <v>0</v>
      </c>
      <c r="P35" t="b">
        <f>+ISNUMBER(SEARCH('F-COMPRA'!$F$32,Tabla11[[#This Row],[Cuenta]],1))</f>
        <v>1</v>
      </c>
      <c r="Q35" t="b">
        <f>+ISNUMBER(SEARCH('F-COMPRA'!$F$33,Tabla11[[#This Row],[Cuenta]],1))</f>
        <v>1</v>
      </c>
      <c r="R35" t="b">
        <f>+ISNUMBER(SEARCH('F-COMPRA'!$F$34,Tabla11[[#This Row],[Cuenta]],1))</f>
        <v>1</v>
      </c>
      <c r="S35" t="b">
        <f>+ISNUMBER(SEARCH('F-COMPRA'!$F$35,Tabla11[[#This Row],[Cuenta]],1))</f>
        <v>1</v>
      </c>
      <c r="T35" t="b">
        <f>+ISNUMBER(SEARCH('F-COMPRA'!$F$36,Tabla11[[#This Row],[Cuenta]],1))</f>
        <v>1</v>
      </c>
      <c r="U35" t="b">
        <f>+ISNUMBER(SEARCH('F-COMPRA'!$F$37,Tabla11[[#This Row],[Cuenta]],1))</f>
        <v>1</v>
      </c>
      <c r="V35" t="b">
        <f>+ISNUMBER(SEARCH(#REF!,Tabla11[[#This Row],[Cuenta]],1))</f>
        <v>0</v>
      </c>
      <c r="W35" t="b">
        <f>+ISNUMBER(SEARCH('F-COMPRA'!#REF!,Tabla11[[#This Row],[Cuenta]],1))</f>
        <v>0</v>
      </c>
      <c r="X35" t="b">
        <f>+ISNUMBER(SEARCH('F-COMPRA'!#REF!,Tabla11[[#This Row],[Cuenta]],1))</f>
        <v>0</v>
      </c>
      <c r="Y35" t="b">
        <f>+ISNUMBER(SEARCH('F-COMPRA'!#REF!,Tabla11[[#This Row],[Cuenta]],1))</f>
        <v>0</v>
      </c>
      <c r="Z35" t="b">
        <f>+ISNUMBER(SEARCH('F-COMPRA'!#REF!,Tabla11[[#This Row],[Cuenta]],1))</f>
        <v>0</v>
      </c>
      <c r="AA35" t="b">
        <f>+ISNUMBER(SEARCH('F-COMPRA'!#REF!,Tabla11[[#This Row],[Cuenta]],1))</f>
        <v>0</v>
      </c>
      <c r="AB35" t="b">
        <f>+ISNUMBER(SEARCH('F-COMPRA'!#REF!,Tabla11[[#This Row],[Cuenta]],1))</f>
        <v>0</v>
      </c>
      <c r="AC35" t="b">
        <f>+ISNUMBER(SEARCH('F-COMPRA'!#REF!,Tabla11[[#This Row],[Cuenta]],1))</f>
        <v>0</v>
      </c>
      <c r="AD35" t="b">
        <f>+ISNUMBER(SEARCH('F-COMPRA'!#REF!,Tabla11[[#This Row],[Cuenta]],1))</f>
        <v>0</v>
      </c>
      <c r="AE35" t="b">
        <f>+ISNUMBER(SEARCH('F-COMPRA'!#REF!,Tabla11[[#This Row],[Cuenta]],1))</f>
        <v>0</v>
      </c>
      <c r="AF35" t="b">
        <f>+ISNUMBER(SEARCH('F-VTA'!$G$23,Tabla11[[#This Row],[Cuenta]],1))</f>
        <v>0</v>
      </c>
      <c r="AG35" t="b">
        <f>+ISNUMBER(SEARCH('F-VTA'!$G$24,Tabla11[[#This Row],[Cuenta]],1))</f>
        <v>0</v>
      </c>
      <c r="AH35" t="b">
        <f>+ISNUMBER(SEARCH('F-VTA'!$G$25,Tabla11[[#This Row],[Cuenta]],1))</f>
        <v>0</v>
      </c>
      <c r="AI35" t="b">
        <f>+ISNUMBER(SEARCH('F-VTA'!$F$28,Tabla11[[#This Row],[Cuenta]],1))</f>
        <v>1</v>
      </c>
      <c r="AJ35" t="b">
        <f>+ISNUMBER(SEARCH('F-VTA'!$F$29,Tabla11[[#This Row],[Cuenta]],1))</f>
        <v>1</v>
      </c>
      <c r="AK35" t="b">
        <f>+ISNUMBER(SEARCH('F-VTA'!$F$30,Tabla11[[#This Row],[Cuenta]],1))</f>
        <v>1</v>
      </c>
      <c r="AL35" t="b">
        <f>+ISNUMBER(SEARCH('F-VTA'!$F$31,Tabla11[[#This Row],[Cuenta]],1))</f>
        <v>1</v>
      </c>
      <c r="AM35" t="b">
        <f>+ISNUMBER(SEARCH('F-VTA'!$F$32,Tabla11[[#This Row],[Cuenta]],1))</f>
        <v>1</v>
      </c>
      <c r="AN35" t="b">
        <f>+ISNUMBER(SEARCH('F-VTA'!$F$33,Tabla11[[#This Row],[Cuenta]],1))</f>
        <v>1</v>
      </c>
      <c r="AO35" t="b">
        <f>+ISNUMBER(SEARCH('F-VTA'!$F$34,Tabla11[[#This Row],[Cuenta]],1))</f>
        <v>1</v>
      </c>
      <c r="AP35" t="b">
        <f>+ISNUMBER(SEARCH('F-VTA'!$F$35,Tabla11[[#This Row],[Cuenta]],1))</f>
        <v>1</v>
      </c>
      <c r="AQ35" t="b">
        <f>+ISNUMBER(SEARCH('F-VTA'!$F$36,Tabla11[[#This Row],[Cuenta]],1))</f>
        <v>1</v>
      </c>
      <c r="AR35" t="b">
        <f>+ISNUMBER(SEARCH(#REF!,Tabla11[[#This Row],[Cuenta]],1))</f>
        <v>0</v>
      </c>
      <c r="AS35" t="b">
        <f>+ISNUMBER(SEARCH(#REF!,Tabla11[[#This Row],[Cuenta]],1))</f>
        <v>0</v>
      </c>
      <c r="AT35" t="b">
        <f>+ISNUMBER(SEARCH(#REF!,Tabla11[[#This Row],[Cuenta]],1))</f>
        <v>0</v>
      </c>
      <c r="AU35" t="b">
        <f>+ISNUMBER(SEARCH('Conc. Ban.1'!$I$9,Tabla11[[#This Row],[Cuenta]],1))</f>
        <v>0</v>
      </c>
      <c r="AV35" t="b">
        <f>+ISNUMBER(SEARCH(CompConta!$F$21,Tabla11[[#This Row],[Cuenta]],1))</f>
        <v>1</v>
      </c>
      <c r="AW35" t="b">
        <f>+ISNUMBER(SEARCH(CompConta!$F$22,Tabla11[[#This Row],[Cuenta]],1))</f>
        <v>1</v>
      </c>
      <c r="AX35" t="b">
        <f>+ISNUMBER(SEARCH(CompConta!$F$23,Tabla11[[#This Row],[Cuenta]],1))</f>
        <v>1</v>
      </c>
      <c r="AY35" t="b">
        <f>+ISNUMBER(SEARCH(CompConta!$F$24,Tabla11[[#This Row],[Cuenta]],1))</f>
        <v>1</v>
      </c>
      <c r="AZ35" t="b">
        <f>+ISNUMBER(SEARCH(CompConta!$F$25,Tabla11[[#This Row],[Cuenta]],1))</f>
        <v>1</v>
      </c>
      <c r="BA35" t="b">
        <f>+ISNUMBER(SEARCH(CompConta!$F$26,Tabla11[[#This Row],[Cuenta]],1))</f>
        <v>1</v>
      </c>
      <c r="BB35" t="b">
        <f>+ISNUMBER(SEARCH(CompConta!$F$27,Tabla11[[#This Row],[Cuenta]],1))</f>
        <v>1</v>
      </c>
      <c r="BC35" t="b">
        <f>+ISNUMBER(SEARCH(CompConta!$F$28,Tabla11[[#This Row],[Cuenta]],1))</f>
        <v>1</v>
      </c>
      <c r="BD35" t="b">
        <f>+ISNUMBER(SEARCH(CompConta!$F$29,Tabla11[[#This Row],[Cuenta]],1))</f>
        <v>1</v>
      </c>
      <c r="BE35" t="b">
        <f>+ISNUMBER(SEARCH(CompConta!$F$30,Tabla11[[#This Row],[Cuenta]],1))</f>
        <v>1</v>
      </c>
      <c r="BF35" t="b">
        <f>+ISNUMBER(SEARCH('PAGO Compras'!$E$11,Tabla11[[#This Row],[Cuenta]],1))</f>
        <v>1</v>
      </c>
      <c r="BG35" t="b">
        <f>+ISNUMBER(SEARCH(#REF!,Tabla11[[#This Row],[Cuenta]],1))</f>
        <v>0</v>
      </c>
      <c r="BH35" t="b">
        <f>+ISNUMBER(SEARCH(#REF!,Tabla11[[#This Row],[Cuenta]],1))</f>
        <v>0</v>
      </c>
      <c r="BI35" t="b">
        <f>+ISNUMBER(SEARCH(#REF!,Tabla11[[#This Row],[Cuenta]],1))</f>
        <v>0</v>
      </c>
      <c r="BJ35" t="b">
        <f>+ISNUMBER(SEARCH(#REF!,Tabla11[[#This Row],[Cuenta]],1))</f>
        <v>0</v>
      </c>
      <c r="BS35" t="str">
        <v>134505 Dividendos y/o participaciones</v>
      </c>
      <c r="BT35" t="str">
        <v>134505 Dividendos y/o participaciones</v>
      </c>
      <c r="BU35" t="str">
        <v>134505 Dividendos y/o participaciones</v>
      </c>
      <c r="BV35" t="str">
        <v>134505 Dividendos y/o participaciones</v>
      </c>
      <c r="BZ35" t="str">
        <v>134505 Dividendos y/o participaciones</v>
      </c>
      <c r="CA35" t="str">
        <v>134505 Dividendos y/o participaciones</v>
      </c>
      <c r="CB35" t="str">
        <v>134505 Dividendos y/o participaciones</v>
      </c>
      <c r="CC35" t="str">
        <v>134505 Dividendos y/o participaciones</v>
      </c>
      <c r="CD35" t="str">
        <v>134505 Dividendos y/o participaciones</v>
      </c>
      <c r="CE35" t="str">
        <v>134505 Dividendos y/o participaciones</v>
      </c>
      <c r="CS35" s="141" t="str">
        <v>134505 Dividendos y/o participaciones</v>
      </c>
      <c r="CT35" s="141" t="str">
        <v>134505 Dividendos y/o participaciones</v>
      </c>
      <c r="CU35" s="141" t="str">
        <v>134505 Dividendos y/o participaciones</v>
      </c>
      <c r="CV35" s="141" t="str">
        <v>134505 Dividendos y/o participaciones</v>
      </c>
      <c r="CW35" s="141" t="str">
        <v>134505 Dividendos y/o participaciones</v>
      </c>
      <c r="CX35" s="141" t="str">
        <v>134505 Dividendos y/o participaciones</v>
      </c>
      <c r="CY35" s="141" t="str">
        <v>134505 Dividendos y/o participaciones</v>
      </c>
      <c r="CZ35" s="141" t="str">
        <v>134505 Dividendos y/o participaciones</v>
      </c>
      <c r="DA35" s="141" t="str">
        <v>134505 Dividendos y/o participaciones</v>
      </c>
      <c r="DF35" t="str">
        <v>134505 Dividendos y/o participaciones</v>
      </c>
      <c r="DG35" t="str">
        <v>134505 Dividendos y/o participaciones</v>
      </c>
      <c r="DH35" t="str">
        <v>134505 Dividendos y/o participaciones</v>
      </c>
      <c r="DI35" t="str">
        <v>134505 Dividendos y/o participaciones</v>
      </c>
      <c r="DJ35" t="str">
        <v>134505 Dividendos y/o participaciones</v>
      </c>
      <c r="DK35" t="str">
        <v>134505 Dividendos y/o participaciones</v>
      </c>
      <c r="DL35" t="str">
        <v>134505 Dividendos y/o participaciones</v>
      </c>
      <c r="DM35" t="str">
        <v>134505 Dividendos y/o participaciones</v>
      </c>
      <c r="DN35" t="str">
        <v>134505 Dividendos y/o participaciones</v>
      </c>
      <c r="DO35" t="str">
        <v>134505 Dividendos y/o participaciones</v>
      </c>
      <c r="DP35" t="str">
        <v>134505 Dividendos y/o participaciones</v>
      </c>
    </row>
    <row r="36" spans="4:120" ht="12.75">
      <c r="D36" s="7">
        <v>134510</v>
      </c>
      <c r="E36" s="6" t="s">
        <v>73</v>
      </c>
      <c r="F36" s="5">
        <v>4</v>
      </c>
      <c r="G36" s="34" t="s">
        <v>821</v>
      </c>
      <c r="H36" s="8" t="s">
        <v>32</v>
      </c>
      <c r="I36" t="b">
        <f>+ISNUMBER(SEARCH('F-COMPRA'!$F$28,Tabla11[[#This Row],[Cuenta]],1))</f>
        <v>1</v>
      </c>
      <c r="J36" t="b">
        <f>+ISNUMBER(SEARCH('F-COMPRA'!$F$29,Tabla11[[#This Row],[Cuenta]],1))</f>
        <v>1</v>
      </c>
      <c r="K36" t="b">
        <f>+ISNUMBER(SEARCH('F-COMPRA'!$F$30,Tabla11[[#This Row],[Cuenta]],1))</f>
        <v>1</v>
      </c>
      <c r="L36" t="b">
        <f>+ISNUMBER(SEARCH('F-COMPRA'!$F$31,Tabla11[[#This Row],[Cuenta]],1))</f>
        <v>1</v>
      </c>
      <c r="M36" t="b">
        <f>+ISNUMBER(SEARCH('F-COMPRA'!$G$25,Tabla11[[#This Row],[Cuenta]],1))</f>
        <v>0</v>
      </c>
      <c r="N36" t="b">
        <f>+ISNUMBER(SEARCH(#REF!,Tabla11[[#This Row],[Cuenta]],1))</f>
        <v>0</v>
      </c>
      <c r="O36" t="b">
        <f>+ISNUMBER(SEARCH(#REF!,Tabla11[[#This Row],[Cuenta]],1))</f>
        <v>0</v>
      </c>
      <c r="P36" t="b">
        <f>+ISNUMBER(SEARCH('F-COMPRA'!$F$32,Tabla11[[#This Row],[Cuenta]],1))</f>
        <v>1</v>
      </c>
      <c r="Q36" t="b">
        <f>+ISNUMBER(SEARCH('F-COMPRA'!$F$33,Tabla11[[#This Row],[Cuenta]],1))</f>
        <v>1</v>
      </c>
      <c r="R36" t="b">
        <f>+ISNUMBER(SEARCH('F-COMPRA'!$F$34,Tabla11[[#This Row],[Cuenta]],1))</f>
        <v>1</v>
      </c>
      <c r="S36" t="b">
        <f>+ISNUMBER(SEARCH('F-COMPRA'!$F$35,Tabla11[[#This Row],[Cuenta]],1))</f>
        <v>1</v>
      </c>
      <c r="T36" t="b">
        <f>+ISNUMBER(SEARCH('F-COMPRA'!$F$36,Tabla11[[#This Row],[Cuenta]],1))</f>
        <v>1</v>
      </c>
      <c r="U36" t="b">
        <f>+ISNUMBER(SEARCH('F-COMPRA'!$F$37,Tabla11[[#This Row],[Cuenta]],1))</f>
        <v>1</v>
      </c>
      <c r="V36" t="b">
        <f>+ISNUMBER(SEARCH(#REF!,Tabla11[[#This Row],[Cuenta]],1))</f>
        <v>0</v>
      </c>
      <c r="W36" t="b">
        <f>+ISNUMBER(SEARCH('F-COMPRA'!#REF!,Tabla11[[#This Row],[Cuenta]],1))</f>
        <v>0</v>
      </c>
      <c r="X36" t="b">
        <f>+ISNUMBER(SEARCH('F-COMPRA'!#REF!,Tabla11[[#This Row],[Cuenta]],1))</f>
        <v>0</v>
      </c>
      <c r="Y36" t="b">
        <f>+ISNUMBER(SEARCH('F-COMPRA'!#REF!,Tabla11[[#This Row],[Cuenta]],1))</f>
        <v>0</v>
      </c>
      <c r="Z36" t="b">
        <f>+ISNUMBER(SEARCH('F-COMPRA'!#REF!,Tabla11[[#This Row],[Cuenta]],1))</f>
        <v>0</v>
      </c>
      <c r="AA36" t="b">
        <f>+ISNUMBER(SEARCH('F-COMPRA'!#REF!,Tabla11[[#This Row],[Cuenta]],1))</f>
        <v>0</v>
      </c>
      <c r="AB36" t="b">
        <f>+ISNUMBER(SEARCH('F-COMPRA'!#REF!,Tabla11[[#This Row],[Cuenta]],1))</f>
        <v>0</v>
      </c>
      <c r="AC36" t="b">
        <f>+ISNUMBER(SEARCH('F-COMPRA'!#REF!,Tabla11[[#This Row],[Cuenta]],1))</f>
        <v>0</v>
      </c>
      <c r="AD36" t="b">
        <f>+ISNUMBER(SEARCH('F-COMPRA'!#REF!,Tabla11[[#This Row],[Cuenta]],1))</f>
        <v>0</v>
      </c>
      <c r="AE36" t="b">
        <f>+ISNUMBER(SEARCH('F-COMPRA'!#REF!,Tabla11[[#This Row],[Cuenta]],1))</f>
        <v>0</v>
      </c>
      <c r="AF36" t="b">
        <f>+ISNUMBER(SEARCH('F-VTA'!$G$23,Tabla11[[#This Row],[Cuenta]],1))</f>
        <v>0</v>
      </c>
      <c r="AG36" t="b">
        <f>+ISNUMBER(SEARCH('F-VTA'!$G$24,Tabla11[[#This Row],[Cuenta]],1))</f>
        <v>0</v>
      </c>
      <c r="AH36" t="b">
        <f>+ISNUMBER(SEARCH('F-VTA'!$G$25,Tabla11[[#This Row],[Cuenta]],1))</f>
        <v>0</v>
      </c>
      <c r="AI36" t="b">
        <f>+ISNUMBER(SEARCH('F-VTA'!$F$28,Tabla11[[#This Row],[Cuenta]],1))</f>
        <v>1</v>
      </c>
      <c r="AJ36" t="b">
        <f>+ISNUMBER(SEARCH('F-VTA'!$F$29,Tabla11[[#This Row],[Cuenta]],1))</f>
        <v>1</v>
      </c>
      <c r="AK36" t="b">
        <f>+ISNUMBER(SEARCH('F-VTA'!$F$30,Tabla11[[#This Row],[Cuenta]],1))</f>
        <v>1</v>
      </c>
      <c r="AL36" t="b">
        <f>+ISNUMBER(SEARCH('F-VTA'!$F$31,Tabla11[[#This Row],[Cuenta]],1))</f>
        <v>1</v>
      </c>
      <c r="AM36" t="b">
        <f>+ISNUMBER(SEARCH('F-VTA'!$F$32,Tabla11[[#This Row],[Cuenta]],1))</f>
        <v>1</v>
      </c>
      <c r="AN36" t="b">
        <f>+ISNUMBER(SEARCH('F-VTA'!$F$33,Tabla11[[#This Row],[Cuenta]],1))</f>
        <v>1</v>
      </c>
      <c r="AO36" t="b">
        <f>+ISNUMBER(SEARCH('F-VTA'!$F$34,Tabla11[[#This Row],[Cuenta]],1))</f>
        <v>1</v>
      </c>
      <c r="AP36" t="b">
        <f>+ISNUMBER(SEARCH('F-VTA'!$F$35,Tabla11[[#This Row],[Cuenta]],1))</f>
        <v>1</v>
      </c>
      <c r="AQ36" t="b">
        <f>+ISNUMBER(SEARCH('F-VTA'!$F$36,Tabla11[[#This Row],[Cuenta]],1))</f>
        <v>1</v>
      </c>
      <c r="AR36" t="b">
        <f>+ISNUMBER(SEARCH(#REF!,Tabla11[[#This Row],[Cuenta]],1))</f>
        <v>0</v>
      </c>
      <c r="AS36" t="b">
        <f>+ISNUMBER(SEARCH(#REF!,Tabla11[[#This Row],[Cuenta]],1))</f>
        <v>0</v>
      </c>
      <c r="AT36" t="b">
        <f>+ISNUMBER(SEARCH(#REF!,Tabla11[[#This Row],[Cuenta]],1))</f>
        <v>0</v>
      </c>
      <c r="AU36" t="b">
        <f>+ISNUMBER(SEARCH('Conc. Ban.1'!$I$9,Tabla11[[#This Row],[Cuenta]],1))</f>
        <v>0</v>
      </c>
      <c r="AV36" t="b">
        <f>+ISNUMBER(SEARCH(CompConta!$F$21,Tabla11[[#This Row],[Cuenta]],1))</f>
        <v>1</v>
      </c>
      <c r="AW36" t="b">
        <f>+ISNUMBER(SEARCH(CompConta!$F$22,Tabla11[[#This Row],[Cuenta]],1))</f>
        <v>1</v>
      </c>
      <c r="AX36" t="b">
        <f>+ISNUMBER(SEARCH(CompConta!$F$23,Tabla11[[#This Row],[Cuenta]],1))</f>
        <v>1</v>
      </c>
      <c r="AY36" t="b">
        <f>+ISNUMBER(SEARCH(CompConta!$F$24,Tabla11[[#This Row],[Cuenta]],1))</f>
        <v>1</v>
      </c>
      <c r="AZ36" t="b">
        <f>+ISNUMBER(SEARCH(CompConta!$F$25,Tabla11[[#This Row],[Cuenta]],1))</f>
        <v>1</v>
      </c>
      <c r="BA36" t="b">
        <f>+ISNUMBER(SEARCH(CompConta!$F$26,Tabla11[[#This Row],[Cuenta]],1))</f>
        <v>1</v>
      </c>
      <c r="BB36" t="b">
        <f>+ISNUMBER(SEARCH(CompConta!$F$27,Tabla11[[#This Row],[Cuenta]],1))</f>
        <v>1</v>
      </c>
      <c r="BC36" t="b">
        <f>+ISNUMBER(SEARCH(CompConta!$F$28,Tabla11[[#This Row],[Cuenta]],1))</f>
        <v>1</v>
      </c>
      <c r="BD36" t="b">
        <f>+ISNUMBER(SEARCH(CompConta!$F$29,Tabla11[[#This Row],[Cuenta]],1))</f>
        <v>1</v>
      </c>
      <c r="BE36" t="b">
        <f>+ISNUMBER(SEARCH(CompConta!$F$30,Tabla11[[#This Row],[Cuenta]],1))</f>
        <v>1</v>
      </c>
      <c r="BF36" t="b">
        <f>+ISNUMBER(SEARCH('PAGO Compras'!$E$11,Tabla11[[#This Row],[Cuenta]],1))</f>
        <v>1</v>
      </c>
      <c r="BG36" t="b">
        <f>+ISNUMBER(SEARCH(#REF!,Tabla11[[#This Row],[Cuenta]],1))</f>
        <v>0</v>
      </c>
      <c r="BH36" t="b">
        <f>+ISNUMBER(SEARCH(#REF!,Tabla11[[#This Row],[Cuenta]],1))</f>
        <v>0</v>
      </c>
      <c r="BI36" t="b">
        <f>+ISNUMBER(SEARCH(#REF!,Tabla11[[#This Row],[Cuenta]],1))</f>
        <v>0</v>
      </c>
      <c r="BJ36" t="b">
        <f>+ISNUMBER(SEARCH(#REF!,Tabla11[[#This Row],[Cuenta]],1))</f>
        <v>0</v>
      </c>
      <c r="BS36" t="str">
        <v>134510 Intereses</v>
      </c>
      <c r="BT36" t="str">
        <v>134510 Intereses</v>
      </c>
      <c r="BU36" t="str">
        <v>134510 Intereses</v>
      </c>
      <c r="BV36" t="str">
        <v>134510 Intereses</v>
      </c>
      <c r="BZ36" t="str">
        <v>134510 Intereses</v>
      </c>
      <c r="CA36" t="str">
        <v>134510 Intereses</v>
      </c>
      <c r="CB36" t="str">
        <v>134510 Intereses</v>
      </c>
      <c r="CC36" t="str">
        <v>134510 Intereses</v>
      </c>
      <c r="CD36" t="str">
        <v>134510 Intereses</v>
      </c>
      <c r="CE36" t="str">
        <v>134510 Intereses</v>
      </c>
      <c r="CS36" s="141" t="str">
        <v>134510 Intereses</v>
      </c>
      <c r="CT36" s="141" t="str">
        <v>134510 Intereses</v>
      </c>
      <c r="CU36" s="141" t="str">
        <v>134510 Intereses</v>
      </c>
      <c r="CV36" s="141" t="str">
        <v>134510 Intereses</v>
      </c>
      <c r="CW36" s="141" t="str">
        <v>134510 Intereses</v>
      </c>
      <c r="CX36" s="141" t="str">
        <v>134510 Intereses</v>
      </c>
      <c r="CY36" s="141" t="str">
        <v>134510 Intereses</v>
      </c>
      <c r="CZ36" s="141" t="str">
        <v>134510 Intereses</v>
      </c>
      <c r="DA36" s="141" t="str">
        <v>134510 Intereses</v>
      </c>
      <c r="DF36" t="str">
        <v>134510 Intereses</v>
      </c>
      <c r="DG36" t="str">
        <v>134510 Intereses</v>
      </c>
      <c r="DH36" t="str">
        <v>134510 Intereses</v>
      </c>
      <c r="DI36" t="str">
        <v>134510 Intereses</v>
      </c>
      <c r="DJ36" t="str">
        <v>134510 Intereses</v>
      </c>
      <c r="DK36" t="str">
        <v>134510 Intereses</v>
      </c>
      <c r="DL36" t="str">
        <v>134510 Intereses</v>
      </c>
      <c r="DM36" t="str">
        <v>134510 Intereses</v>
      </c>
      <c r="DN36" t="str">
        <v>134510 Intereses</v>
      </c>
      <c r="DO36" t="str">
        <v>134510 Intereses</v>
      </c>
      <c r="DP36" t="str">
        <v>134510 Intereses</v>
      </c>
    </row>
    <row r="37" spans="4:120" ht="12.75">
      <c r="D37" s="7">
        <v>134515</v>
      </c>
      <c r="E37" s="6" t="s">
        <v>74</v>
      </c>
      <c r="F37" s="5">
        <v>4</v>
      </c>
      <c r="G37" s="34" t="s">
        <v>821</v>
      </c>
      <c r="H37" s="8" t="s">
        <v>32</v>
      </c>
      <c r="I37" t="b">
        <f>+ISNUMBER(SEARCH('F-COMPRA'!$F$28,Tabla11[[#This Row],[Cuenta]],1))</f>
        <v>1</v>
      </c>
      <c r="J37" t="b">
        <f>+ISNUMBER(SEARCH('F-COMPRA'!$F$29,Tabla11[[#This Row],[Cuenta]],1))</f>
        <v>1</v>
      </c>
      <c r="K37" t="b">
        <f>+ISNUMBER(SEARCH('F-COMPRA'!$F$30,Tabla11[[#This Row],[Cuenta]],1))</f>
        <v>1</v>
      </c>
      <c r="L37" t="b">
        <f>+ISNUMBER(SEARCH('F-COMPRA'!$F$31,Tabla11[[#This Row],[Cuenta]],1))</f>
        <v>1</v>
      </c>
      <c r="M37" t="b">
        <f>+ISNUMBER(SEARCH('F-COMPRA'!$G$25,Tabla11[[#This Row],[Cuenta]],1))</f>
        <v>0</v>
      </c>
      <c r="N37" t="b">
        <f>+ISNUMBER(SEARCH(#REF!,Tabla11[[#This Row],[Cuenta]],1))</f>
        <v>0</v>
      </c>
      <c r="O37" t="b">
        <f>+ISNUMBER(SEARCH(#REF!,Tabla11[[#This Row],[Cuenta]],1))</f>
        <v>0</v>
      </c>
      <c r="P37" t="b">
        <f>+ISNUMBER(SEARCH('F-COMPRA'!$F$32,Tabla11[[#This Row],[Cuenta]],1))</f>
        <v>1</v>
      </c>
      <c r="Q37" t="b">
        <f>+ISNUMBER(SEARCH('F-COMPRA'!$F$33,Tabla11[[#This Row],[Cuenta]],1))</f>
        <v>1</v>
      </c>
      <c r="R37" t="b">
        <f>+ISNUMBER(SEARCH('F-COMPRA'!$F$34,Tabla11[[#This Row],[Cuenta]],1))</f>
        <v>1</v>
      </c>
      <c r="S37" t="b">
        <f>+ISNUMBER(SEARCH('F-COMPRA'!$F$35,Tabla11[[#This Row],[Cuenta]],1))</f>
        <v>1</v>
      </c>
      <c r="T37" t="b">
        <f>+ISNUMBER(SEARCH('F-COMPRA'!$F$36,Tabla11[[#This Row],[Cuenta]],1))</f>
        <v>1</v>
      </c>
      <c r="U37" t="b">
        <f>+ISNUMBER(SEARCH('F-COMPRA'!$F$37,Tabla11[[#This Row],[Cuenta]],1))</f>
        <v>1</v>
      </c>
      <c r="V37" t="b">
        <f>+ISNUMBER(SEARCH(#REF!,Tabla11[[#This Row],[Cuenta]],1))</f>
        <v>0</v>
      </c>
      <c r="W37" t="b">
        <f>+ISNUMBER(SEARCH('F-COMPRA'!#REF!,Tabla11[[#This Row],[Cuenta]],1))</f>
        <v>0</v>
      </c>
      <c r="X37" t="b">
        <f>+ISNUMBER(SEARCH('F-COMPRA'!#REF!,Tabla11[[#This Row],[Cuenta]],1))</f>
        <v>0</v>
      </c>
      <c r="Y37" t="b">
        <f>+ISNUMBER(SEARCH('F-COMPRA'!#REF!,Tabla11[[#This Row],[Cuenta]],1))</f>
        <v>0</v>
      </c>
      <c r="Z37" t="b">
        <f>+ISNUMBER(SEARCH('F-COMPRA'!#REF!,Tabla11[[#This Row],[Cuenta]],1))</f>
        <v>0</v>
      </c>
      <c r="AA37" t="b">
        <f>+ISNUMBER(SEARCH('F-COMPRA'!#REF!,Tabla11[[#This Row],[Cuenta]],1))</f>
        <v>0</v>
      </c>
      <c r="AB37" t="b">
        <f>+ISNUMBER(SEARCH('F-COMPRA'!#REF!,Tabla11[[#This Row],[Cuenta]],1))</f>
        <v>0</v>
      </c>
      <c r="AC37" t="b">
        <f>+ISNUMBER(SEARCH('F-COMPRA'!#REF!,Tabla11[[#This Row],[Cuenta]],1))</f>
        <v>0</v>
      </c>
      <c r="AD37" t="b">
        <f>+ISNUMBER(SEARCH('F-COMPRA'!#REF!,Tabla11[[#This Row],[Cuenta]],1))</f>
        <v>0</v>
      </c>
      <c r="AE37" t="b">
        <f>+ISNUMBER(SEARCH('F-COMPRA'!#REF!,Tabla11[[#This Row],[Cuenta]],1))</f>
        <v>0</v>
      </c>
      <c r="AF37" t="b">
        <f>+ISNUMBER(SEARCH('F-VTA'!$G$23,Tabla11[[#This Row],[Cuenta]],1))</f>
        <v>0</v>
      </c>
      <c r="AG37" t="b">
        <f>+ISNUMBER(SEARCH('F-VTA'!$G$24,Tabla11[[#This Row],[Cuenta]],1))</f>
        <v>0</v>
      </c>
      <c r="AH37" t="b">
        <f>+ISNUMBER(SEARCH('F-VTA'!$G$25,Tabla11[[#This Row],[Cuenta]],1))</f>
        <v>0</v>
      </c>
      <c r="AI37" t="b">
        <f>+ISNUMBER(SEARCH('F-VTA'!$F$28,Tabla11[[#This Row],[Cuenta]],1))</f>
        <v>1</v>
      </c>
      <c r="AJ37" t="b">
        <f>+ISNUMBER(SEARCH('F-VTA'!$F$29,Tabla11[[#This Row],[Cuenta]],1))</f>
        <v>1</v>
      </c>
      <c r="AK37" t="b">
        <f>+ISNUMBER(SEARCH('F-VTA'!$F$30,Tabla11[[#This Row],[Cuenta]],1))</f>
        <v>1</v>
      </c>
      <c r="AL37" t="b">
        <f>+ISNUMBER(SEARCH('F-VTA'!$F$31,Tabla11[[#This Row],[Cuenta]],1))</f>
        <v>1</v>
      </c>
      <c r="AM37" t="b">
        <f>+ISNUMBER(SEARCH('F-VTA'!$F$32,Tabla11[[#This Row],[Cuenta]],1))</f>
        <v>1</v>
      </c>
      <c r="AN37" t="b">
        <f>+ISNUMBER(SEARCH('F-VTA'!$F$33,Tabla11[[#This Row],[Cuenta]],1))</f>
        <v>1</v>
      </c>
      <c r="AO37" t="b">
        <f>+ISNUMBER(SEARCH('F-VTA'!$F$34,Tabla11[[#This Row],[Cuenta]],1))</f>
        <v>1</v>
      </c>
      <c r="AP37" t="b">
        <f>+ISNUMBER(SEARCH('F-VTA'!$F$35,Tabla11[[#This Row],[Cuenta]],1))</f>
        <v>1</v>
      </c>
      <c r="AQ37" t="b">
        <f>+ISNUMBER(SEARCH('F-VTA'!$F$36,Tabla11[[#This Row],[Cuenta]],1))</f>
        <v>1</v>
      </c>
      <c r="AR37" t="b">
        <f>+ISNUMBER(SEARCH(#REF!,Tabla11[[#This Row],[Cuenta]],1))</f>
        <v>0</v>
      </c>
      <c r="AS37" t="b">
        <f>+ISNUMBER(SEARCH(#REF!,Tabla11[[#This Row],[Cuenta]],1))</f>
        <v>0</v>
      </c>
      <c r="AT37" t="b">
        <f>+ISNUMBER(SEARCH(#REF!,Tabla11[[#This Row],[Cuenta]],1))</f>
        <v>0</v>
      </c>
      <c r="AU37" t="b">
        <f>+ISNUMBER(SEARCH('Conc. Ban.1'!$I$9,Tabla11[[#This Row],[Cuenta]],1))</f>
        <v>0</v>
      </c>
      <c r="AV37" t="b">
        <f>+ISNUMBER(SEARCH(CompConta!$F$21,Tabla11[[#This Row],[Cuenta]],1))</f>
        <v>1</v>
      </c>
      <c r="AW37" t="b">
        <f>+ISNUMBER(SEARCH(CompConta!$F$22,Tabla11[[#This Row],[Cuenta]],1))</f>
        <v>1</v>
      </c>
      <c r="AX37" t="b">
        <f>+ISNUMBER(SEARCH(CompConta!$F$23,Tabla11[[#This Row],[Cuenta]],1))</f>
        <v>1</v>
      </c>
      <c r="AY37" t="b">
        <f>+ISNUMBER(SEARCH(CompConta!$F$24,Tabla11[[#This Row],[Cuenta]],1))</f>
        <v>1</v>
      </c>
      <c r="AZ37" t="b">
        <f>+ISNUMBER(SEARCH(CompConta!$F$25,Tabla11[[#This Row],[Cuenta]],1))</f>
        <v>1</v>
      </c>
      <c r="BA37" t="b">
        <f>+ISNUMBER(SEARCH(CompConta!$F$26,Tabla11[[#This Row],[Cuenta]],1))</f>
        <v>1</v>
      </c>
      <c r="BB37" t="b">
        <f>+ISNUMBER(SEARCH(CompConta!$F$27,Tabla11[[#This Row],[Cuenta]],1))</f>
        <v>1</v>
      </c>
      <c r="BC37" t="b">
        <f>+ISNUMBER(SEARCH(CompConta!$F$28,Tabla11[[#This Row],[Cuenta]],1))</f>
        <v>1</v>
      </c>
      <c r="BD37" t="b">
        <f>+ISNUMBER(SEARCH(CompConta!$F$29,Tabla11[[#This Row],[Cuenta]],1))</f>
        <v>1</v>
      </c>
      <c r="BE37" t="b">
        <f>+ISNUMBER(SEARCH(CompConta!$F$30,Tabla11[[#This Row],[Cuenta]],1))</f>
        <v>1</v>
      </c>
      <c r="BF37" t="b">
        <f>+ISNUMBER(SEARCH('PAGO Compras'!$E$11,Tabla11[[#This Row],[Cuenta]],1))</f>
        <v>1</v>
      </c>
      <c r="BG37" t="b">
        <f>+ISNUMBER(SEARCH(#REF!,Tabla11[[#This Row],[Cuenta]],1))</f>
        <v>0</v>
      </c>
      <c r="BH37" t="b">
        <f>+ISNUMBER(SEARCH(#REF!,Tabla11[[#This Row],[Cuenta]],1))</f>
        <v>0</v>
      </c>
      <c r="BI37" t="b">
        <f>+ISNUMBER(SEARCH(#REF!,Tabla11[[#This Row],[Cuenta]],1))</f>
        <v>0</v>
      </c>
      <c r="BJ37" t="b">
        <f>+ISNUMBER(SEARCH(#REF!,Tabla11[[#This Row],[Cuenta]],1))</f>
        <v>0</v>
      </c>
      <c r="BS37" t="str">
        <v>134515 Comisiones</v>
      </c>
      <c r="BT37" t="str">
        <v>134515 Comisiones</v>
      </c>
      <c r="BU37" t="str">
        <v>134515 Comisiones</v>
      </c>
      <c r="BV37" t="str">
        <v>134515 Comisiones</v>
      </c>
      <c r="BZ37" t="str">
        <v>134515 Comisiones</v>
      </c>
      <c r="CA37" t="str">
        <v>134515 Comisiones</v>
      </c>
      <c r="CB37" t="str">
        <v>134515 Comisiones</v>
      </c>
      <c r="CC37" t="str">
        <v>134515 Comisiones</v>
      </c>
      <c r="CD37" t="str">
        <v>134515 Comisiones</v>
      </c>
      <c r="CE37" t="str">
        <v>134515 Comisiones</v>
      </c>
      <c r="CS37" s="141" t="str">
        <v>134515 Comisiones</v>
      </c>
      <c r="CT37" s="141" t="str">
        <v>134515 Comisiones</v>
      </c>
      <c r="CU37" s="141" t="str">
        <v>134515 Comisiones</v>
      </c>
      <c r="CV37" s="141" t="str">
        <v>134515 Comisiones</v>
      </c>
      <c r="CW37" s="141" t="str">
        <v>134515 Comisiones</v>
      </c>
      <c r="CX37" s="141" t="str">
        <v>134515 Comisiones</v>
      </c>
      <c r="CY37" s="141" t="str">
        <v>134515 Comisiones</v>
      </c>
      <c r="CZ37" s="141" t="str">
        <v>134515 Comisiones</v>
      </c>
      <c r="DA37" s="141" t="str">
        <v>134515 Comisiones</v>
      </c>
      <c r="DF37" t="str">
        <v>134515 Comisiones</v>
      </c>
      <c r="DG37" t="str">
        <v>134515 Comisiones</v>
      </c>
      <c r="DH37" t="str">
        <v>134515 Comisiones</v>
      </c>
      <c r="DI37" t="str">
        <v>134515 Comisiones</v>
      </c>
      <c r="DJ37" t="str">
        <v>134515 Comisiones</v>
      </c>
      <c r="DK37" t="str">
        <v>134515 Comisiones</v>
      </c>
      <c r="DL37" t="str">
        <v>134515 Comisiones</v>
      </c>
      <c r="DM37" t="str">
        <v>134515 Comisiones</v>
      </c>
      <c r="DN37" t="str">
        <v>134515 Comisiones</v>
      </c>
      <c r="DO37" t="str">
        <v>134515 Comisiones</v>
      </c>
      <c r="DP37" t="str">
        <v>134515 Comisiones</v>
      </c>
    </row>
    <row r="38" spans="4:120" ht="12.75">
      <c r="D38" s="7">
        <v>134520</v>
      </c>
      <c r="E38" s="6" t="s">
        <v>75</v>
      </c>
      <c r="F38" s="5">
        <v>4</v>
      </c>
      <c r="G38" s="34" t="s">
        <v>821</v>
      </c>
      <c r="H38" s="8" t="s">
        <v>32</v>
      </c>
      <c r="I38" t="b">
        <f>+ISNUMBER(SEARCH('F-COMPRA'!$F$28,Tabla11[[#This Row],[Cuenta]],1))</f>
        <v>1</v>
      </c>
      <c r="J38" t="b">
        <f>+ISNUMBER(SEARCH('F-COMPRA'!$F$29,Tabla11[[#This Row],[Cuenta]],1))</f>
        <v>1</v>
      </c>
      <c r="K38" t="b">
        <f>+ISNUMBER(SEARCH('F-COMPRA'!$F$30,Tabla11[[#This Row],[Cuenta]],1))</f>
        <v>1</v>
      </c>
      <c r="L38" t="b">
        <f>+ISNUMBER(SEARCH('F-COMPRA'!$F$31,Tabla11[[#This Row],[Cuenta]],1))</f>
        <v>1</v>
      </c>
      <c r="M38" t="b">
        <f>+ISNUMBER(SEARCH('F-COMPRA'!$G$25,Tabla11[[#This Row],[Cuenta]],1))</f>
        <v>0</v>
      </c>
      <c r="N38" t="b">
        <f>+ISNUMBER(SEARCH(#REF!,Tabla11[[#This Row],[Cuenta]],1))</f>
        <v>0</v>
      </c>
      <c r="O38" t="b">
        <f>+ISNUMBER(SEARCH(#REF!,Tabla11[[#This Row],[Cuenta]],1))</f>
        <v>0</v>
      </c>
      <c r="P38" t="b">
        <f>+ISNUMBER(SEARCH('F-COMPRA'!$F$32,Tabla11[[#This Row],[Cuenta]],1))</f>
        <v>1</v>
      </c>
      <c r="Q38" t="b">
        <f>+ISNUMBER(SEARCH('F-COMPRA'!$F$33,Tabla11[[#This Row],[Cuenta]],1))</f>
        <v>1</v>
      </c>
      <c r="R38" t="b">
        <f>+ISNUMBER(SEARCH('F-COMPRA'!$F$34,Tabla11[[#This Row],[Cuenta]],1))</f>
        <v>1</v>
      </c>
      <c r="S38" t="b">
        <f>+ISNUMBER(SEARCH('F-COMPRA'!$F$35,Tabla11[[#This Row],[Cuenta]],1))</f>
        <v>1</v>
      </c>
      <c r="T38" t="b">
        <f>+ISNUMBER(SEARCH('F-COMPRA'!$F$36,Tabla11[[#This Row],[Cuenta]],1))</f>
        <v>1</v>
      </c>
      <c r="U38" t="b">
        <f>+ISNUMBER(SEARCH('F-COMPRA'!$F$37,Tabla11[[#This Row],[Cuenta]],1))</f>
        <v>1</v>
      </c>
      <c r="V38" t="b">
        <f>+ISNUMBER(SEARCH(#REF!,Tabla11[[#This Row],[Cuenta]],1))</f>
        <v>0</v>
      </c>
      <c r="W38" t="b">
        <f>+ISNUMBER(SEARCH('F-COMPRA'!#REF!,Tabla11[[#This Row],[Cuenta]],1))</f>
        <v>0</v>
      </c>
      <c r="X38" t="b">
        <f>+ISNUMBER(SEARCH('F-COMPRA'!#REF!,Tabla11[[#This Row],[Cuenta]],1))</f>
        <v>0</v>
      </c>
      <c r="Y38" t="b">
        <f>+ISNUMBER(SEARCH('F-COMPRA'!#REF!,Tabla11[[#This Row],[Cuenta]],1))</f>
        <v>0</v>
      </c>
      <c r="Z38" t="b">
        <f>+ISNUMBER(SEARCH('F-COMPRA'!#REF!,Tabla11[[#This Row],[Cuenta]],1))</f>
        <v>0</v>
      </c>
      <c r="AA38" t="b">
        <f>+ISNUMBER(SEARCH('F-COMPRA'!#REF!,Tabla11[[#This Row],[Cuenta]],1))</f>
        <v>0</v>
      </c>
      <c r="AB38" t="b">
        <f>+ISNUMBER(SEARCH('F-COMPRA'!#REF!,Tabla11[[#This Row],[Cuenta]],1))</f>
        <v>0</v>
      </c>
      <c r="AC38" t="b">
        <f>+ISNUMBER(SEARCH('F-COMPRA'!#REF!,Tabla11[[#This Row],[Cuenta]],1))</f>
        <v>0</v>
      </c>
      <c r="AD38" t="b">
        <f>+ISNUMBER(SEARCH('F-COMPRA'!#REF!,Tabla11[[#This Row],[Cuenta]],1))</f>
        <v>0</v>
      </c>
      <c r="AE38" t="b">
        <f>+ISNUMBER(SEARCH('F-COMPRA'!#REF!,Tabla11[[#This Row],[Cuenta]],1))</f>
        <v>0</v>
      </c>
      <c r="AF38" t="b">
        <f>+ISNUMBER(SEARCH('F-VTA'!$G$23,Tabla11[[#This Row],[Cuenta]],1))</f>
        <v>0</v>
      </c>
      <c r="AG38" t="b">
        <f>+ISNUMBER(SEARCH('F-VTA'!$G$24,Tabla11[[#This Row],[Cuenta]],1))</f>
        <v>0</v>
      </c>
      <c r="AH38" t="b">
        <f>+ISNUMBER(SEARCH('F-VTA'!$G$25,Tabla11[[#This Row],[Cuenta]],1))</f>
        <v>0</v>
      </c>
      <c r="AI38" t="b">
        <f>+ISNUMBER(SEARCH('F-VTA'!$F$28,Tabla11[[#This Row],[Cuenta]],1))</f>
        <v>1</v>
      </c>
      <c r="AJ38" t="b">
        <f>+ISNUMBER(SEARCH('F-VTA'!$F$29,Tabla11[[#This Row],[Cuenta]],1))</f>
        <v>1</v>
      </c>
      <c r="AK38" t="b">
        <f>+ISNUMBER(SEARCH('F-VTA'!$F$30,Tabla11[[#This Row],[Cuenta]],1))</f>
        <v>1</v>
      </c>
      <c r="AL38" t="b">
        <f>+ISNUMBER(SEARCH('F-VTA'!$F$31,Tabla11[[#This Row],[Cuenta]],1))</f>
        <v>1</v>
      </c>
      <c r="AM38" t="b">
        <f>+ISNUMBER(SEARCH('F-VTA'!$F$32,Tabla11[[#This Row],[Cuenta]],1))</f>
        <v>1</v>
      </c>
      <c r="AN38" t="b">
        <f>+ISNUMBER(SEARCH('F-VTA'!$F$33,Tabla11[[#This Row],[Cuenta]],1))</f>
        <v>1</v>
      </c>
      <c r="AO38" t="b">
        <f>+ISNUMBER(SEARCH('F-VTA'!$F$34,Tabla11[[#This Row],[Cuenta]],1))</f>
        <v>1</v>
      </c>
      <c r="AP38" t="b">
        <f>+ISNUMBER(SEARCH('F-VTA'!$F$35,Tabla11[[#This Row],[Cuenta]],1))</f>
        <v>1</v>
      </c>
      <c r="AQ38" t="b">
        <f>+ISNUMBER(SEARCH('F-VTA'!$F$36,Tabla11[[#This Row],[Cuenta]],1))</f>
        <v>1</v>
      </c>
      <c r="AR38" t="b">
        <f>+ISNUMBER(SEARCH(#REF!,Tabla11[[#This Row],[Cuenta]],1))</f>
        <v>0</v>
      </c>
      <c r="AS38" t="b">
        <f>+ISNUMBER(SEARCH(#REF!,Tabla11[[#This Row],[Cuenta]],1))</f>
        <v>0</v>
      </c>
      <c r="AT38" t="b">
        <f>+ISNUMBER(SEARCH(#REF!,Tabla11[[#This Row],[Cuenta]],1))</f>
        <v>0</v>
      </c>
      <c r="AU38" t="b">
        <f>+ISNUMBER(SEARCH('Conc. Ban.1'!$I$9,Tabla11[[#This Row],[Cuenta]],1))</f>
        <v>0</v>
      </c>
      <c r="AV38" t="b">
        <f>+ISNUMBER(SEARCH(CompConta!$F$21,Tabla11[[#This Row],[Cuenta]],1))</f>
        <v>1</v>
      </c>
      <c r="AW38" t="b">
        <f>+ISNUMBER(SEARCH(CompConta!$F$22,Tabla11[[#This Row],[Cuenta]],1))</f>
        <v>1</v>
      </c>
      <c r="AX38" t="b">
        <f>+ISNUMBER(SEARCH(CompConta!$F$23,Tabla11[[#This Row],[Cuenta]],1))</f>
        <v>1</v>
      </c>
      <c r="AY38" t="b">
        <f>+ISNUMBER(SEARCH(CompConta!$F$24,Tabla11[[#This Row],[Cuenta]],1))</f>
        <v>1</v>
      </c>
      <c r="AZ38" t="b">
        <f>+ISNUMBER(SEARCH(CompConta!$F$25,Tabla11[[#This Row],[Cuenta]],1))</f>
        <v>1</v>
      </c>
      <c r="BA38" t="b">
        <f>+ISNUMBER(SEARCH(CompConta!$F$26,Tabla11[[#This Row],[Cuenta]],1))</f>
        <v>1</v>
      </c>
      <c r="BB38" t="b">
        <f>+ISNUMBER(SEARCH(CompConta!$F$27,Tabla11[[#This Row],[Cuenta]],1))</f>
        <v>1</v>
      </c>
      <c r="BC38" t="b">
        <f>+ISNUMBER(SEARCH(CompConta!$F$28,Tabla11[[#This Row],[Cuenta]],1))</f>
        <v>1</v>
      </c>
      <c r="BD38" t="b">
        <f>+ISNUMBER(SEARCH(CompConta!$F$29,Tabla11[[#This Row],[Cuenta]],1))</f>
        <v>1</v>
      </c>
      <c r="BE38" t="b">
        <f>+ISNUMBER(SEARCH(CompConta!$F$30,Tabla11[[#This Row],[Cuenta]],1))</f>
        <v>1</v>
      </c>
      <c r="BF38" t="b">
        <f>+ISNUMBER(SEARCH('PAGO Compras'!$E$11,Tabla11[[#This Row],[Cuenta]],1))</f>
        <v>1</v>
      </c>
      <c r="BG38" t="b">
        <f>+ISNUMBER(SEARCH(#REF!,Tabla11[[#This Row],[Cuenta]],1))</f>
        <v>0</v>
      </c>
      <c r="BH38" t="b">
        <f>+ISNUMBER(SEARCH(#REF!,Tabla11[[#This Row],[Cuenta]],1))</f>
        <v>0</v>
      </c>
      <c r="BI38" t="b">
        <f>+ISNUMBER(SEARCH(#REF!,Tabla11[[#This Row],[Cuenta]],1))</f>
        <v>0</v>
      </c>
      <c r="BJ38" t="b">
        <f>+ISNUMBER(SEARCH(#REF!,Tabla11[[#This Row],[Cuenta]],1))</f>
        <v>0</v>
      </c>
      <c r="BS38" t="str">
        <v>134520 Honorarios</v>
      </c>
      <c r="BT38" t="str">
        <v>134520 Honorarios</v>
      </c>
      <c r="BU38" t="str">
        <v>134520 Honorarios</v>
      </c>
      <c r="BV38" t="str">
        <v>134520 Honorarios</v>
      </c>
      <c r="BZ38" t="str">
        <v>134520 Honorarios</v>
      </c>
      <c r="CA38" t="str">
        <v>134520 Honorarios</v>
      </c>
      <c r="CB38" t="str">
        <v>134520 Honorarios</v>
      </c>
      <c r="CC38" t="str">
        <v>134520 Honorarios</v>
      </c>
      <c r="CD38" t="str">
        <v>134520 Honorarios</v>
      </c>
      <c r="CE38" t="str">
        <v>134520 Honorarios</v>
      </c>
      <c r="CS38" s="141" t="str">
        <v>134520 Honorarios</v>
      </c>
      <c r="CT38" s="141" t="str">
        <v>134520 Honorarios</v>
      </c>
      <c r="CU38" s="141" t="str">
        <v>134520 Honorarios</v>
      </c>
      <c r="CV38" s="141" t="str">
        <v>134520 Honorarios</v>
      </c>
      <c r="CW38" s="141" t="str">
        <v>134520 Honorarios</v>
      </c>
      <c r="CX38" s="141" t="str">
        <v>134520 Honorarios</v>
      </c>
      <c r="CY38" s="141" t="str">
        <v>134520 Honorarios</v>
      </c>
      <c r="CZ38" s="141" t="str">
        <v>134520 Honorarios</v>
      </c>
      <c r="DA38" s="141" t="str">
        <v>134520 Honorarios</v>
      </c>
      <c r="DF38" t="str">
        <v>134520 Honorarios</v>
      </c>
      <c r="DG38" t="str">
        <v>134520 Honorarios</v>
      </c>
      <c r="DH38" t="str">
        <v>134520 Honorarios</v>
      </c>
      <c r="DI38" t="str">
        <v>134520 Honorarios</v>
      </c>
      <c r="DJ38" t="str">
        <v>134520 Honorarios</v>
      </c>
      <c r="DK38" t="str">
        <v>134520 Honorarios</v>
      </c>
      <c r="DL38" t="str">
        <v>134520 Honorarios</v>
      </c>
      <c r="DM38" t="str">
        <v>134520 Honorarios</v>
      </c>
      <c r="DN38" t="str">
        <v>134520 Honorarios</v>
      </c>
      <c r="DO38" t="str">
        <v>134520 Honorarios</v>
      </c>
      <c r="DP38" t="str">
        <v>134520 Honorarios</v>
      </c>
    </row>
    <row r="39" spans="4:120" ht="12.75">
      <c r="D39" s="7">
        <v>134525</v>
      </c>
      <c r="E39" s="6" t="s">
        <v>76</v>
      </c>
      <c r="F39" s="5">
        <v>4</v>
      </c>
      <c r="G39" s="34" t="s">
        <v>821</v>
      </c>
      <c r="H39" s="8" t="s">
        <v>32</v>
      </c>
      <c r="I39" t="b">
        <f>+ISNUMBER(SEARCH('F-COMPRA'!$F$28,Tabla11[[#This Row],[Cuenta]],1))</f>
        <v>1</v>
      </c>
      <c r="J39" t="b">
        <f>+ISNUMBER(SEARCH('F-COMPRA'!$F$29,Tabla11[[#This Row],[Cuenta]],1))</f>
        <v>1</v>
      </c>
      <c r="K39" t="b">
        <f>+ISNUMBER(SEARCH('F-COMPRA'!$F$30,Tabla11[[#This Row],[Cuenta]],1))</f>
        <v>1</v>
      </c>
      <c r="L39" t="b">
        <f>+ISNUMBER(SEARCH('F-COMPRA'!$F$31,Tabla11[[#This Row],[Cuenta]],1))</f>
        <v>1</v>
      </c>
      <c r="M39" t="b">
        <f>+ISNUMBER(SEARCH('F-COMPRA'!$G$25,Tabla11[[#This Row],[Cuenta]],1))</f>
        <v>0</v>
      </c>
      <c r="N39" t="b">
        <f>+ISNUMBER(SEARCH(#REF!,Tabla11[[#This Row],[Cuenta]],1))</f>
        <v>0</v>
      </c>
      <c r="O39" t="b">
        <f>+ISNUMBER(SEARCH(#REF!,Tabla11[[#This Row],[Cuenta]],1))</f>
        <v>0</v>
      </c>
      <c r="P39" t="b">
        <f>+ISNUMBER(SEARCH('F-COMPRA'!$F$32,Tabla11[[#This Row],[Cuenta]],1))</f>
        <v>1</v>
      </c>
      <c r="Q39" t="b">
        <f>+ISNUMBER(SEARCH('F-COMPRA'!$F$33,Tabla11[[#This Row],[Cuenta]],1))</f>
        <v>1</v>
      </c>
      <c r="R39" t="b">
        <f>+ISNUMBER(SEARCH('F-COMPRA'!$F$34,Tabla11[[#This Row],[Cuenta]],1))</f>
        <v>1</v>
      </c>
      <c r="S39" t="b">
        <f>+ISNUMBER(SEARCH('F-COMPRA'!$F$35,Tabla11[[#This Row],[Cuenta]],1))</f>
        <v>1</v>
      </c>
      <c r="T39" t="b">
        <f>+ISNUMBER(SEARCH('F-COMPRA'!$F$36,Tabla11[[#This Row],[Cuenta]],1))</f>
        <v>1</v>
      </c>
      <c r="U39" t="b">
        <f>+ISNUMBER(SEARCH('F-COMPRA'!$F$37,Tabla11[[#This Row],[Cuenta]],1))</f>
        <v>1</v>
      </c>
      <c r="V39" t="b">
        <f>+ISNUMBER(SEARCH(#REF!,Tabla11[[#This Row],[Cuenta]],1))</f>
        <v>0</v>
      </c>
      <c r="W39" t="b">
        <f>+ISNUMBER(SEARCH('F-COMPRA'!#REF!,Tabla11[[#This Row],[Cuenta]],1))</f>
        <v>0</v>
      </c>
      <c r="X39" t="b">
        <f>+ISNUMBER(SEARCH('F-COMPRA'!#REF!,Tabla11[[#This Row],[Cuenta]],1))</f>
        <v>0</v>
      </c>
      <c r="Y39" t="b">
        <f>+ISNUMBER(SEARCH('F-COMPRA'!#REF!,Tabla11[[#This Row],[Cuenta]],1))</f>
        <v>0</v>
      </c>
      <c r="Z39" t="b">
        <f>+ISNUMBER(SEARCH('F-COMPRA'!#REF!,Tabla11[[#This Row],[Cuenta]],1))</f>
        <v>0</v>
      </c>
      <c r="AA39" t="b">
        <f>+ISNUMBER(SEARCH('F-COMPRA'!#REF!,Tabla11[[#This Row],[Cuenta]],1))</f>
        <v>0</v>
      </c>
      <c r="AB39" t="b">
        <f>+ISNUMBER(SEARCH('F-COMPRA'!#REF!,Tabla11[[#This Row],[Cuenta]],1))</f>
        <v>0</v>
      </c>
      <c r="AC39" t="b">
        <f>+ISNUMBER(SEARCH('F-COMPRA'!#REF!,Tabla11[[#This Row],[Cuenta]],1))</f>
        <v>0</v>
      </c>
      <c r="AD39" t="b">
        <f>+ISNUMBER(SEARCH('F-COMPRA'!#REF!,Tabla11[[#This Row],[Cuenta]],1))</f>
        <v>0</v>
      </c>
      <c r="AE39" t="b">
        <f>+ISNUMBER(SEARCH('F-COMPRA'!#REF!,Tabla11[[#This Row],[Cuenta]],1))</f>
        <v>0</v>
      </c>
      <c r="AF39" t="b">
        <f>+ISNUMBER(SEARCH('F-VTA'!$G$23,Tabla11[[#This Row],[Cuenta]],1))</f>
        <v>0</v>
      </c>
      <c r="AG39" t="b">
        <f>+ISNUMBER(SEARCH('F-VTA'!$G$24,Tabla11[[#This Row],[Cuenta]],1))</f>
        <v>0</v>
      </c>
      <c r="AH39" t="b">
        <f>+ISNUMBER(SEARCH('F-VTA'!$G$25,Tabla11[[#This Row],[Cuenta]],1))</f>
        <v>0</v>
      </c>
      <c r="AI39" t="b">
        <f>+ISNUMBER(SEARCH('F-VTA'!$F$28,Tabla11[[#This Row],[Cuenta]],1))</f>
        <v>1</v>
      </c>
      <c r="AJ39" t="b">
        <f>+ISNUMBER(SEARCH('F-VTA'!$F$29,Tabla11[[#This Row],[Cuenta]],1))</f>
        <v>1</v>
      </c>
      <c r="AK39" t="b">
        <f>+ISNUMBER(SEARCH('F-VTA'!$F$30,Tabla11[[#This Row],[Cuenta]],1))</f>
        <v>1</v>
      </c>
      <c r="AL39" t="b">
        <f>+ISNUMBER(SEARCH('F-VTA'!$F$31,Tabla11[[#This Row],[Cuenta]],1))</f>
        <v>1</v>
      </c>
      <c r="AM39" t="b">
        <f>+ISNUMBER(SEARCH('F-VTA'!$F$32,Tabla11[[#This Row],[Cuenta]],1))</f>
        <v>1</v>
      </c>
      <c r="AN39" t="b">
        <f>+ISNUMBER(SEARCH('F-VTA'!$F$33,Tabla11[[#This Row],[Cuenta]],1))</f>
        <v>1</v>
      </c>
      <c r="AO39" t="b">
        <f>+ISNUMBER(SEARCH('F-VTA'!$F$34,Tabla11[[#This Row],[Cuenta]],1))</f>
        <v>1</v>
      </c>
      <c r="AP39" t="b">
        <f>+ISNUMBER(SEARCH('F-VTA'!$F$35,Tabla11[[#This Row],[Cuenta]],1))</f>
        <v>1</v>
      </c>
      <c r="AQ39" t="b">
        <f>+ISNUMBER(SEARCH('F-VTA'!$F$36,Tabla11[[#This Row],[Cuenta]],1))</f>
        <v>1</v>
      </c>
      <c r="AR39" t="b">
        <f>+ISNUMBER(SEARCH(#REF!,Tabla11[[#This Row],[Cuenta]],1))</f>
        <v>0</v>
      </c>
      <c r="AS39" t="b">
        <f>+ISNUMBER(SEARCH(#REF!,Tabla11[[#This Row],[Cuenta]],1))</f>
        <v>0</v>
      </c>
      <c r="AT39" t="b">
        <f>+ISNUMBER(SEARCH(#REF!,Tabla11[[#This Row],[Cuenta]],1))</f>
        <v>0</v>
      </c>
      <c r="AU39" t="b">
        <f>+ISNUMBER(SEARCH('Conc. Ban.1'!$I$9,Tabla11[[#This Row],[Cuenta]],1))</f>
        <v>0</v>
      </c>
      <c r="AV39" t="b">
        <f>+ISNUMBER(SEARCH(CompConta!$F$21,Tabla11[[#This Row],[Cuenta]],1))</f>
        <v>1</v>
      </c>
      <c r="AW39" t="b">
        <f>+ISNUMBER(SEARCH(CompConta!$F$22,Tabla11[[#This Row],[Cuenta]],1))</f>
        <v>1</v>
      </c>
      <c r="AX39" t="b">
        <f>+ISNUMBER(SEARCH(CompConta!$F$23,Tabla11[[#This Row],[Cuenta]],1))</f>
        <v>1</v>
      </c>
      <c r="AY39" t="b">
        <f>+ISNUMBER(SEARCH(CompConta!$F$24,Tabla11[[#This Row],[Cuenta]],1))</f>
        <v>1</v>
      </c>
      <c r="AZ39" t="b">
        <f>+ISNUMBER(SEARCH(CompConta!$F$25,Tabla11[[#This Row],[Cuenta]],1))</f>
        <v>1</v>
      </c>
      <c r="BA39" t="b">
        <f>+ISNUMBER(SEARCH(CompConta!$F$26,Tabla11[[#This Row],[Cuenta]],1))</f>
        <v>1</v>
      </c>
      <c r="BB39" t="b">
        <f>+ISNUMBER(SEARCH(CompConta!$F$27,Tabla11[[#This Row],[Cuenta]],1))</f>
        <v>1</v>
      </c>
      <c r="BC39" t="b">
        <f>+ISNUMBER(SEARCH(CompConta!$F$28,Tabla11[[#This Row],[Cuenta]],1))</f>
        <v>1</v>
      </c>
      <c r="BD39" t="b">
        <f>+ISNUMBER(SEARCH(CompConta!$F$29,Tabla11[[#This Row],[Cuenta]],1))</f>
        <v>1</v>
      </c>
      <c r="BE39" t="b">
        <f>+ISNUMBER(SEARCH(CompConta!$F$30,Tabla11[[#This Row],[Cuenta]],1))</f>
        <v>1</v>
      </c>
      <c r="BF39" t="b">
        <f>+ISNUMBER(SEARCH('PAGO Compras'!$E$11,Tabla11[[#This Row],[Cuenta]],1))</f>
        <v>1</v>
      </c>
      <c r="BG39" t="b">
        <f>+ISNUMBER(SEARCH(#REF!,Tabla11[[#This Row],[Cuenta]],1))</f>
        <v>0</v>
      </c>
      <c r="BH39" t="b">
        <f>+ISNUMBER(SEARCH(#REF!,Tabla11[[#This Row],[Cuenta]],1))</f>
        <v>0</v>
      </c>
      <c r="BI39" t="b">
        <f>+ISNUMBER(SEARCH(#REF!,Tabla11[[#This Row],[Cuenta]],1))</f>
        <v>0</v>
      </c>
      <c r="BJ39" t="b">
        <f>+ISNUMBER(SEARCH(#REF!,Tabla11[[#This Row],[Cuenta]],1))</f>
        <v>0</v>
      </c>
      <c r="BS39" t="str">
        <v>134525 Servicios</v>
      </c>
      <c r="BT39" t="str">
        <v>134525 Servicios</v>
      </c>
      <c r="BU39" t="str">
        <v>134525 Servicios</v>
      </c>
      <c r="BV39" t="str">
        <v>134525 Servicios</v>
      </c>
      <c r="BZ39" t="str">
        <v>134525 Servicios</v>
      </c>
      <c r="CA39" t="str">
        <v>134525 Servicios</v>
      </c>
      <c r="CB39" t="str">
        <v>134525 Servicios</v>
      </c>
      <c r="CC39" t="str">
        <v>134525 Servicios</v>
      </c>
      <c r="CD39" t="str">
        <v>134525 Servicios</v>
      </c>
      <c r="CE39" t="str">
        <v>134525 Servicios</v>
      </c>
      <c r="CS39" s="141" t="str">
        <v>134525 Servicios</v>
      </c>
      <c r="CT39" s="141" t="str">
        <v>134525 Servicios</v>
      </c>
      <c r="CU39" s="141" t="str">
        <v>134525 Servicios</v>
      </c>
      <c r="CV39" s="141" t="str">
        <v>134525 Servicios</v>
      </c>
      <c r="CW39" s="141" t="str">
        <v>134525 Servicios</v>
      </c>
      <c r="CX39" s="141" t="str">
        <v>134525 Servicios</v>
      </c>
      <c r="CY39" s="141" t="str">
        <v>134525 Servicios</v>
      </c>
      <c r="CZ39" s="141" t="str">
        <v>134525 Servicios</v>
      </c>
      <c r="DA39" s="141" t="str">
        <v>134525 Servicios</v>
      </c>
      <c r="DF39" t="str">
        <v>134525 Servicios</v>
      </c>
      <c r="DG39" t="str">
        <v>134525 Servicios</v>
      </c>
      <c r="DH39" t="str">
        <v>134525 Servicios</v>
      </c>
      <c r="DI39" t="str">
        <v>134525 Servicios</v>
      </c>
      <c r="DJ39" t="str">
        <v>134525 Servicios</v>
      </c>
      <c r="DK39" t="str">
        <v>134525 Servicios</v>
      </c>
      <c r="DL39" t="str">
        <v>134525 Servicios</v>
      </c>
      <c r="DM39" t="str">
        <v>134525 Servicios</v>
      </c>
      <c r="DN39" t="str">
        <v>134525 Servicios</v>
      </c>
      <c r="DO39" t="str">
        <v>134525 Servicios</v>
      </c>
      <c r="DP39" t="str">
        <v>134525 Servicios</v>
      </c>
    </row>
    <row r="40" spans="4:120" ht="12.75">
      <c r="D40" s="7">
        <v>134530</v>
      </c>
      <c r="E40" s="6" t="s">
        <v>77</v>
      </c>
      <c r="F40" s="5">
        <v>4</v>
      </c>
      <c r="G40" s="34" t="s">
        <v>821</v>
      </c>
      <c r="H40" s="8" t="s">
        <v>32</v>
      </c>
      <c r="I40" t="b">
        <f>+ISNUMBER(SEARCH('F-COMPRA'!$F$28,Tabla11[[#This Row],[Cuenta]],1))</f>
        <v>1</v>
      </c>
      <c r="J40" t="b">
        <f>+ISNUMBER(SEARCH('F-COMPRA'!$F$29,Tabla11[[#This Row],[Cuenta]],1))</f>
        <v>1</v>
      </c>
      <c r="K40" t="b">
        <f>+ISNUMBER(SEARCH('F-COMPRA'!$F$30,Tabla11[[#This Row],[Cuenta]],1))</f>
        <v>1</v>
      </c>
      <c r="L40" t="b">
        <f>+ISNUMBER(SEARCH('F-COMPRA'!$F$31,Tabla11[[#This Row],[Cuenta]],1))</f>
        <v>1</v>
      </c>
      <c r="M40" t="b">
        <f>+ISNUMBER(SEARCH('F-COMPRA'!$G$25,Tabla11[[#This Row],[Cuenta]],1))</f>
        <v>0</v>
      </c>
      <c r="N40" t="b">
        <f>+ISNUMBER(SEARCH(#REF!,Tabla11[[#This Row],[Cuenta]],1))</f>
        <v>0</v>
      </c>
      <c r="O40" t="b">
        <f>+ISNUMBER(SEARCH(#REF!,Tabla11[[#This Row],[Cuenta]],1))</f>
        <v>0</v>
      </c>
      <c r="P40" t="b">
        <f>+ISNUMBER(SEARCH('F-COMPRA'!$F$32,Tabla11[[#This Row],[Cuenta]],1))</f>
        <v>1</v>
      </c>
      <c r="Q40" t="b">
        <f>+ISNUMBER(SEARCH('F-COMPRA'!$F$33,Tabla11[[#This Row],[Cuenta]],1))</f>
        <v>1</v>
      </c>
      <c r="R40" t="b">
        <f>+ISNUMBER(SEARCH('F-COMPRA'!$F$34,Tabla11[[#This Row],[Cuenta]],1))</f>
        <v>1</v>
      </c>
      <c r="S40" t="b">
        <f>+ISNUMBER(SEARCH('F-COMPRA'!$F$35,Tabla11[[#This Row],[Cuenta]],1))</f>
        <v>1</v>
      </c>
      <c r="T40" t="b">
        <f>+ISNUMBER(SEARCH('F-COMPRA'!$F$36,Tabla11[[#This Row],[Cuenta]],1))</f>
        <v>1</v>
      </c>
      <c r="U40" t="b">
        <f>+ISNUMBER(SEARCH('F-COMPRA'!$F$37,Tabla11[[#This Row],[Cuenta]],1))</f>
        <v>1</v>
      </c>
      <c r="V40" t="b">
        <f>+ISNUMBER(SEARCH(#REF!,Tabla11[[#This Row],[Cuenta]],1))</f>
        <v>0</v>
      </c>
      <c r="W40" t="b">
        <f>+ISNUMBER(SEARCH('F-COMPRA'!#REF!,Tabla11[[#This Row],[Cuenta]],1))</f>
        <v>0</v>
      </c>
      <c r="X40" t="b">
        <f>+ISNUMBER(SEARCH('F-COMPRA'!#REF!,Tabla11[[#This Row],[Cuenta]],1))</f>
        <v>0</v>
      </c>
      <c r="Y40" t="b">
        <f>+ISNUMBER(SEARCH('F-COMPRA'!#REF!,Tabla11[[#This Row],[Cuenta]],1))</f>
        <v>0</v>
      </c>
      <c r="Z40" t="b">
        <f>+ISNUMBER(SEARCH('F-COMPRA'!#REF!,Tabla11[[#This Row],[Cuenta]],1))</f>
        <v>0</v>
      </c>
      <c r="AA40" t="b">
        <f>+ISNUMBER(SEARCH('F-COMPRA'!#REF!,Tabla11[[#This Row],[Cuenta]],1))</f>
        <v>0</v>
      </c>
      <c r="AB40" t="b">
        <f>+ISNUMBER(SEARCH('F-COMPRA'!#REF!,Tabla11[[#This Row],[Cuenta]],1))</f>
        <v>0</v>
      </c>
      <c r="AC40" t="b">
        <f>+ISNUMBER(SEARCH('F-COMPRA'!#REF!,Tabla11[[#This Row],[Cuenta]],1))</f>
        <v>0</v>
      </c>
      <c r="AD40" t="b">
        <f>+ISNUMBER(SEARCH('F-COMPRA'!#REF!,Tabla11[[#This Row],[Cuenta]],1))</f>
        <v>0</v>
      </c>
      <c r="AE40" t="b">
        <f>+ISNUMBER(SEARCH('F-COMPRA'!#REF!,Tabla11[[#This Row],[Cuenta]],1))</f>
        <v>0</v>
      </c>
      <c r="AF40" t="b">
        <f>+ISNUMBER(SEARCH('F-VTA'!$G$23,Tabla11[[#This Row],[Cuenta]],1))</f>
        <v>0</v>
      </c>
      <c r="AG40" t="b">
        <f>+ISNUMBER(SEARCH('F-VTA'!$G$24,Tabla11[[#This Row],[Cuenta]],1))</f>
        <v>0</v>
      </c>
      <c r="AH40" t="b">
        <f>+ISNUMBER(SEARCH('F-VTA'!$G$25,Tabla11[[#This Row],[Cuenta]],1))</f>
        <v>0</v>
      </c>
      <c r="AI40" t="b">
        <f>+ISNUMBER(SEARCH('F-VTA'!$F$28,Tabla11[[#This Row],[Cuenta]],1))</f>
        <v>1</v>
      </c>
      <c r="AJ40" t="b">
        <f>+ISNUMBER(SEARCH('F-VTA'!$F$29,Tabla11[[#This Row],[Cuenta]],1))</f>
        <v>1</v>
      </c>
      <c r="AK40" t="b">
        <f>+ISNUMBER(SEARCH('F-VTA'!$F$30,Tabla11[[#This Row],[Cuenta]],1))</f>
        <v>1</v>
      </c>
      <c r="AL40" t="b">
        <f>+ISNUMBER(SEARCH('F-VTA'!$F$31,Tabla11[[#This Row],[Cuenta]],1))</f>
        <v>1</v>
      </c>
      <c r="AM40" t="b">
        <f>+ISNUMBER(SEARCH('F-VTA'!$F$32,Tabla11[[#This Row],[Cuenta]],1))</f>
        <v>1</v>
      </c>
      <c r="AN40" t="b">
        <f>+ISNUMBER(SEARCH('F-VTA'!$F$33,Tabla11[[#This Row],[Cuenta]],1))</f>
        <v>1</v>
      </c>
      <c r="AO40" t="b">
        <f>+ISNUMBER(SEARCH('F-VTA'!$F$34,Tabla11[[#This Row],[Cuenta]],1))</f>
        <v>1</v>
      </c>
      <c r="AP40" t="b">
        <f>+ISNUMBER(SEARCH('F-VTA'!$F$35,Tabla11[[#This Row],[Cuenta]],1))</f>
        <v>1</v>
      </c>
      <c r="AQ40" t="b">
        <f>+ISNUMBER(SEARCH('F-VTA'!$F$36,Tabla11[[#This Row],[Cuenta]],1))</f>
        <v>1</v>
      </c>
      <c r="AR40" t="b">
        <f>+ISNUMBER(SEARCH(#REF!,Tabla11[[#This Row],[Cuenta]],1))</f>
        <v>0</v>
      </c>
      <c r="AS40" t="b">
        <f>+ISNUMBER(SEARCH(#REF!,Tabla11[[#This Row],[Cuenta]],1))</f>
        <v>0</v>
      </c>
      <c r="AT40" t="b">
        <f>+ISNUMBER(SEARCH(#REF!,Tabla11[[#This Row],[Cuenta]],1))</f>
        <v>0</v>
      </c>
      <c r="AU40" t="b">
        <f>+ISNUMBER(SEARCH('Conc. Ban.1'!$I$9,Tabla11[[#This Row],[Cuenta]],1))</f>
        <v>0</v>
      </c>
      <c r="AV40" t="b">
        <f>+ISNUMBER(SEARCH(CompConta!$F$21,Tabla11[[#This Row],[Cuenta]],1))</f>
        <v>1</v>
      </c>
      <c r="AW40" t="b">
        <f>+ISNUMBER(SEARCH(CompConta!$F$22,Tabla11[[#This Row],[Cuenta]],1))</f>
        <v>1</v>
      </c>
      <c r="AX40" t="b">
        <f>+ISNUMBER(SEARCH(CompConta!$F$23,Tabla11[[#This Row],[Cuenta]],1))</f>
        <v>1</v>
      </c>
      <c r="AY40" t="b">
        <f>+ISNUMBER(SEARCH(CompConta!$F$24,Tabla11[[#This Row],[Cuenta]],1))</f>
        <v>1</v>
      </c>
      <c r="AZ40" t="b">
        <f>+ISNUMBER(SEARCH(CompConta!$F$25,Tabla11[[#This Row],[Cuenta]],1))</f>
        <v>1</v>
      </c>
      <c r="BA40" t="b">
        <f>+ISNUMBER(SEARCH(CompConta!$F$26,Tabla11[[#This Row],[Cuenta]],1))</f>
        <v>1</v>
      </c>
      <c r="BB40" t="b">
        <f>+ISNUMBER(SEARCH(CompConta!$F$27,Tabla11[[#This Row],[Cuenta]],1))</f>
        <v>1</v>
      </c>
      <c r="BC40" t="b">
        <f>+ISNUMBER(SEARCH(CompConta!$F$28,Tabla11[[#This Row],[Cuenta]],1))</f>
        <v>1</v>
      </c>
      <c r="BD40" t="b">
        <f>+ISNUMBER(SEARCH(CompConta!$F$29,Tabla11[[#This Row],[Cuenta]],1))</f>
        <v>1</v>
      </c>
      <c r="BE40" t="b">
        <f>+ISNUMBER(SEARCH(CompConta!$F$30,Tabla11[[#This Row],[Cuenta]],1))</f>
        <v>1</v>
      </c>
      <c r="BF40" t="b">
        <f>+ISNUMBER(SEARCH('PAGO Compras'!$E$11,Tabla11[[#This Row],[Cuenta]],1))</f>
        <v>1</v>
      </c>
      <c r="BG40" t="b">
        <f>+ISNUMBER(SEARCH(#REF!,Tabla11[[#This Row],[Cuenta]],1))</f>
        <v>0</v>
      </c>
      <c r="BH40" t="b">
        <f>+ISNUMBER(SEARCH(#REF!,Tabla11[[#This Row],[Cuenta]],1))</f>
        <v>0</v>
      </c>
      <c r="BI40" t="b">
        <f>+ISNUMBER(SEARCH(#REF!,Tabla11[[#This Row],[Cuenta]],1))</f>
        <v>0</v>
      </c>
      <c r="BJ40" t="b">
        <f>+ISNUMBER(SEARCH(#REF!,Tabla11[[#This Row],[Cuenta]],1))</f>
        <v>0</v>
      </c>
      <c r="BS40" t="str">
        <v>134530 Arrendamientos</v>
      </c>
      <c r="BT40" t="str">
        <v>134530 Arrendamientos</v>
      </c>
      <c r="BU40" t="str">
        <v>134530 Arrendamientos</v>
      </c>
      <c r="BV40" t="str">
        <v>134530 Arrendamientos</v>
      </c>
      <c r="BZ40" t="str">
        <v>134530 Arrendamientos</v>
      </c>
      <c r="CA40" t="str">
        <v>134530 Arrendamientos</v>
      </c>
      <c r="CB40" t="str">
        <v>134530 Arrendamientos</v>
      </c>
      <c r="CC40" t="str">
        <v>134530 Arrendamientos</v>
      </c>
      <c r="CD40" t="str">
        <v>134530 Arrendamientos</v>
      </c>
      <c r="CE40" t="str">
        <v>134530 Arrendamientos</v>
      </c>
      <c r="CS40" s="141" t="str">
        <v>134530 Arrendamientos</v>
      </c>
      <c r="CT40" s="141" t="str">
        <v>134530 Arrendamientos</v>
      </c>
      <c r="CU40" s="141" t="str">
        <v>134530 Arrendamientos</v>
      </c>
      <c r="CV40" s="141" t="str">
        <v>134530 Arrendamientos</v>
      </c>
      <c r="CW40" s="141" t="str">
        <v>134530 Arrendamientos</v>
      </c>
      <c r="CX40" s="141" t="str">
        <v>134530 Arrendamientos</v>
      </c>
      <c r="CY40" s="141" t="str">
        <v>134530 Arrendamientos</v>
      </c>
      <c r="CZ40" s="141" t="str">
        <v>134530 Arrendamientos</v>
      </c>
      <c r="DA40" s="141" t="str">
        <v>134530 Arrendamientos</v>
      </c>
      <c r="DF40" t="str">
        <v>134530 Arrendamientos</v>
      </c>
      <c r="DG40" t="str">
        <v>134530 Arrendamientos</v>
      </c>
      <c r="DH40" t="str">
        <v>134530 Arrendamientos</v>
      </c>
      <c r="DI40" t="str">
        <v>134530 Arrendamientos</v>
      </c>
      <c r="DJ40" t="str">
        <v>134530 Arrendamientos</v>
      </c>
      <c r="DK40" t="str">
        <v>134530 Arrendamientos</v>
      </c>
      <c r="DL40" t="str">
        <v>134530 Arrendamientos</v>
      </c>
      <c r="DM40" t="str">
        <v>134530 Arrendamientos</v>
      </c>
      <c r="DN40" t="str">
        <v>134530 Arrendamientos</v>
      </c>
      <c r="DO40" t="str">
        <v>134530 Arrendamientos</v>
      </c>
      <c r="DP40" t="str">
        <v>134530 Arrendamientos</v>
      </c>
    </row>
    <row r="41" spans="4:120" ht="12.75">
      <c r="D41" s="7">
        <v>134535</v>
      </c>
      <c r="E41" s="6" t="s">
        <v>78</v>
      </c>
      <c r="F41" s="5">
        <v>4</v>
      </c>
      <c r="G41" s="34" t="s">
        <v>821</v>
      </c>
      <c r="H41" s="8" t="s">
        <v>32</v>
      </c>
      <c r="I41" t="b">
        <f>+ISNUMBER(SEARCH('F-COMPRA'!$F$28,Tabla11[[#This Row],[Cuenta]],1))</f>
        <v>1</v>
      </c>
      <c r="J41" t="b">
        <f>+ISNUMBER(SEARCH('F-COMPRA'!$F$29,Tabla11[[#This Row],[Cuenta]],1))</f>
        <v>1</v>
      </c>
      <c r="K41" t="b">
        <f>+ISNUMBER(SEARCH('F-COMPRA'!$F$30,Tabla11[[#This Row],[Cuenta]],1))</f>
        <v>1</v>
      </c>
      <c r="L41" t="b">
        <f>+ISNUMBER(SEARCH('F-COMPRA'!$F$31,Tabla11[[#This Row],[Cuenta]],1))</f>
        <v>1</v>
      </c>
      <c r="M41" t="b">
        <f>+ISNUMBER(SEARCH('F-COMPRA'!$G$25,Tabla11[[#This Row],[Cuenta]],1))</f>
        <v>0</v>
      </c>
      <c r="N41" t="b">
        <f>+ISNUMBER(SEARCH(#REF!,Tabla11[[#This Row],[Cuenta]],1))</f>
        <v>0</v>
      </c>
      <c r="O41" t="b">
        <f>+ISNUMBER(SEARCH(#REF!,Tabla11[[#This Row],[Cuenta]],1))</f>
        <v>0</v>
      </c>
      <c r="P41" t="b">
        <f>+ISNUMBER(SEARCH('F-COMPRA'!$F$32,Tabla11[[#This Row],[Cuenta]],1))</f>
        <v>1</v>
      </c>
      <c r="Q41" t="b">
        <f>+ISNUMBER(SEARCH('F-COMPRA'!$F$33,Tabla11[[#This Row],[Cuenta]],1))</f>
        <v>1</v>
      </c>
      <c r="R41" t="b">
        <f>+ISNUMBER(SEARCH('F-COMPRA'!$F$34,Tabla11[[#This Row],[Cuenta]],1))</f>
        <v>1</v>
      </c>
      <c r="S41" t="b">
        <f>+ISNUMBER(SEARCH('F-COMPRA'!$F$35,Tabla11[[#This Row],[Cuenta]],1))</f>
        <v>1</v>
      </c>
      <c r="T41" t="b">
        <f>+ISNUMBER(SEARCH('F-COMPRA'!$F$36,Tabla11[[#This Row],[Cuenta]],1))</f>
        <v>1</v>
      </c>
      <c r="U41" t="b">
        <f>+ISNUMBER(SEARCH('F-COMPRA'!$F$37,Tabla11[[#This Row],[Cuenta]],1))</f>
        <v>1</v>
      </c>
      <c r="V41" t="b">
        <f>+ISNUMBER(SEARCH(#REF!,Tabla11[[#This Row],[Cuenta]],1))</f>
        <v>0</v>
      </c>
      <c r="W41" t="b">
        <f>+ISNUMBER(SEARCH('F-COMPRA'!#REF!,Tabla11[[#This Row],[Cuenta]],1))</f>
        <v>0</v>
      </c>
      <c r="X41" t="b">
        <f>+ISNUMBER(SEARCH('F-COMPRA'!#REF!,Tabla11[[#This Row],[Cuenta]],1))</f>
        <v>0</v>
      </c>
      <c r="Y41" t="b">
        <f>+ISNUMBER(SEARCH('F-COMPRA'!#REF!,Tabla11[[#This Row],[Cuenta]],1))</f>
        <v>0</v>
      </c>
      <c r="Z41" t="b">
        <f>+ISNUMBER(SEARCH('F-COMPRA'!#REF!,Tabla11[[#This Row],[Cuenta]],1))</f>
        <v>0</v>
      </c>
      <c r="AA41" t="b">
        <f>+ISNUMBER(SEARCH('F-COMPRA'!#REF!,Tabla11[[#This Row],[Cuenta]],1))</f>
        <v>0</v>
      </c>
      <c r="AB41" t="b">
        <f>+ISNUMBER(SEARCH('F-COMPRA'!#REF!,Tabla11[[#This Row],[Cuenta]],1))</f>
        <v>0</v>
      </c>
      <c r="AC41" t="b">
        <f>+ISNUMBER(SEARCH('F-COMPRA'!#REF!,Tabla11[[#This Row],[Cuenta]],1))</f>
        <v>0</v>
      </c>
      <c r="AD41" t="b">
        <f>+ISNUMBER(SEARCH('F-COMPRA'!#REF!,Tabla11[[#This Row],[Cuenta]],1))</f>
        <v>0</v>
      </c>
      <c r="AE41" t="b">
        <f>+ISNUMBER(SEARCH('F-COMPRA'!#REF!,Tabla11[[#This Row],[Cuenta]],1))</f>
        <v>0</v>
      </c>
      <c r="AF41" t="b">
        <f>+ISNUMBER(SEARCH('F-VTA'!$G$23,Tabla11[[#This Row],[Cuenta]],1))</f>
        <v>0</v>
      </c>
      <c r="AG41" t="b">
        <f>+ISNUMBER(SEARCH('F-VTA'!$G$24,Tabla11[[#This Row],[Cuenta]],1))</f>
        <v>0</v>
      </c>
      <c r="AH41" t="b">
        <f>+ISNUMBER(SEARCH('F-VTA'!$G$25,Tabla11[[#This Row],[Cuenta]],1))</f>
        <v>0</v>
      </c>
      <c r="AI41" t="b">
        <f>+ISNUMBER(SEARCH('F-VTA'!$F$28,Tabla11[[#This Row],[Cuenta]],1))</f>
        <v>1</v>
      </c>
      <c r="AJ41" t="b">
        <f>+ISNUMBER(SEARCH('F-VTA'!$F$29,Tabla11[[#This Row],[Cuenta]],1))</f>
        <v>1</v>
      </c>
      <c r="AK41" t="b">
        <f>+ISNUMBER(SEARCH('F-VTA'!$F$30,Tabla11[[#This Row],[Cuenta]],1))</f>
        <v>1</v>
      </c>
      <c r="AL41" t="b">
        <f>+ISNUMBER(SEARCH('F-VTA'!$F$31,Tabla11[[#This Row],[Cuenta]],1))</f>
        <v>1</v>
      </c>
      <c r="AM41" t="b">
        <f>+ISNUMBER(SEARCH('F-VTA'!$F$32,Tabla11[[#This Row],[Cuenta]],1))</f>
        <v>1</v>
      </c>
      <c r="AN41" t="b">
        <f>+ISNUMBER(SEARCH('F-VTA'!$F$33,Tabla11[[#This Row],[Cuenta]],1))</f>
        <v>1</v>
      </c>
      <c r="AO41" t="b">
        <f>+ISNUMBER(SEARCH('F-VTA'!$F$34,Tabla11[[#This Row],[Cuenta]],1))</f>
        <v>1</v>
      </c>
      <c r="AP41" t="b">
        <f>+ISNUMBER(SEARCH('F-VTA'!$F$35,Tabla11[[#This Row],[Cuenta]],1))</f>
        <v>1</v>
      </c>
      <c r="AQ41" t="b">
        <f>+ISNUMBER(SEARCH('F-VTA'!$F$36,Tabla11[[#This Row],[Cuenta]],1))</f>
        <v>1</v>
      </c>
      <c r="AR41" t="b">
        <f>+ISNUMBER(SEARCH(#REF!,Tabla11[[#This Row],[Cuenta]],1))</f>
        <v>0</v>
      </c>
      <c r="AS41" t="b">
        <f>+ISNUMBER(SEARCH(#REF!,Tabla11[[#This Row],[Cuenta]],1))</f>
        <v>0</v>
      </c>
      <c r="AT41" t="b">
        <f>+ISNUMBER(SEARCH(#REF!,Tabla11[[#This Row],[Cuenta]],1))</f>
        <v>0</v>
      </c>
      <c r="AU41" t="b">
        <f>+ISNUMBER(SEARCH('Conc. Ban.1'!$I$9,Tabla11[[#This Row],[Cuenta]],1))</f>
        <v>0</v>
      </c>
      <c r="AV41" t="b">
        <f>+ISNUMBER(SEARCH(CompConta!$F$21,Tabla11[[#This Row],[Cuenta]],1))</f>
        <v>1</v>
      </c>
      <c r="AW41" t="b">
        <f>+ISNUMBER(SEARCH(CompConta!$F$22,Tabla11[[#This Row],[Cuenta]],1))</f>
        <v>1</v>
      </c>
      <c r="AX41" t="b">
        <f>+ISNUMBER(SEARCH(CompConta!$F$23,Tabla11[[#This Row],[Cuenta]],1))</f>
        <v>1</v>
      </c>
      <c r="AY41" t="b">
        <f>+ISNUMBER(SEARCH(CompConta!$F$24,Tabla11[[#This Row],[Cuenta]],1))</f>
        <v>1</v>
      </c>
      <c r="AZ41" t="b">
        <f>+ISNUMBER(SEARCH(CompConta!$F$25,Tabla11[[#This Row],[Cuenta]],1))</f>
        <v>1</v>
      </c>
      <c r="BA41" t="b">
        <f>+ISNUMBER(SEARCH(CompConta!$F$26,Tabla11[[#This Row],[Cuenta]],1))</f>
        <v>1</v>
      </c>
      <c r="BB41" t="b">
        <f>+ISNUMBER(SEARCH(CompConta!$F$27,Tabla11[[#This Row],[Cuenta]],1))</f>
        <v>1</v>
      </c>
      <c r="BC41" t="b">
        <f>+ISNUMBER(SEARCH(CompConta!$F$28,Tabla11[[#This Row],[Cuenta]],1))</f>
        <v>1</v>
      </c>
      <c r="BD41" t="b">
        <f>+ISNUMBER(SEARCH(CompConta!$F$29,Tabla11[[#This Row],[Cuenta]],1))</f>
        <v>1</v>
      </c>
      <c r="BE41" t="b">
        <f>+ISNUMBER(SEARCH(CompConta!$F$30,Tabla11[[#This Row],[Cuenta]],1))</f>
        <v>1</v>
      </c>
      <c r="BF41" t="b">
        <f>+ISNUMBER(SEARCH('PAGO Compras'!$E$11,Tabla11[[#This Row],[Cuenta]],1))</f>
        <v>1</v>
      </c>
      <c r="BG41" t="b">
        <f>+ISNUMBER(SEARCH(#REF!,Tabla11[[#This Row],[Cuenta]],1))</f>
        <v>0</v>
      </c>
      <c r="BH41" t="b">
        <f>+ISNUMBER(SEARCH(#REF!,Tabla11[[#This Row],[Cuenta]],1))</f>
        <v>0</v>
      </c>
      <c r="BI41" t="b">
        <f>+ISNUMBER(SEARCH(#REF!,Tabla11[[#This Row],[Cuenta]],1))</f>
        <v>0</v>
      </c>
      <c r="BJ41" t="b">
        <f>+ISNUMBER(SEARCH(#REF!,Tabla11[[#This Row],[Cuenta]],1))</f>
        <v>0</v>
      </c>
      <c r="BS41" t="str">
        <v>134535 CERT por cobrar</v>
      </c>
      <c r="BT41" t="str">
        <v>134535 CERT por cobrar</v>
      </c>
      <c r="BU41" t="str">
        <v>134535 CERT por cobrar</v>
      </c>
      <c r="BV41" t="str">
        <v>134535 CERT por cobrar</v>
      </c>
      <c r="BZ41" t="str">
        <v>134535 CERT por cobrar</v>
      </c>
      <c r="CA41" t="str">
        <v>134535 CERT por cobrar</v>
      </c>
      <c r="CB41" t="str">
        <v>134535 CERT por cobrar</v>
      </c>
      <c r="CC41" t="str">
        <v>134535 CERT por cobrar</v>
      </c>
      <c r="CD41" t="str">
        <v>134535 CERT por cobrar</v>
      </c>
      <c r="CE41" t="str">
        <v>134535 CERT por cobrar</v>
      </c>
      <c r="CS41" s="141" t="str">
        <v>134535 CERT por cobrar</v>
      </c>
      <c r="CT41" s="141" t="str">
        <v>134535 CERT por cobrar</v>
      </c>
      <c r="CU41" s="141" t="str">
        <v>134535 CERT por cobrar</v>
      </c>
      <c r="CV41" s="141" t="str">
        <v>134535 CERT por cobrar</v>
      </c>
      <c r="CW41" s="141" t="str">
        <v>134535 CERT por cobrar</v>
      </c>
      <c r="CX41" s="141" t="str">
        <v>134535 CERT por cobrar</v>
      </c>
      <c r="CY41" s="141" t="str">
        <v>134535 CERT por cobrar</v>
      </c>
      <c r="CZ41" s="141" t="str">
        <v>134535 CERT por cobrar</v>
      </c>
      <c r="DA41" s="141" t="str">
        <v>134535 CERT por cobrar</v>
      </c>
      <c r="DF41" t="str">
        <v>134535 CERT por cobrar</v>
      </c>
      <c r="DG41" t="str">
        <v>134535 CERT por cobrar</v>
      </c>
      <c r="DH41" t="str">
        <v>134535 CERT por cobrar</v>
      </c>
      <c r="DI41" t="str">
        <v>134535 CERT por cobrar</v>
      </c>
      <c r="DJ41" t="str">
        <v>134535 CERT por cobrar</v>
      </c>
      <c r="DK41" t="str">
        <v>134535 CERT por cobrar</v>
      </c>
      <c r="DL41" t="str">
        <v>134535 CERT por cobrar</v>
      </c>
      <c r="DM41" t="str">
        <v>134535 CERT por cobrar</v>
      </c>
      <c r="DN41" t="str">
        <v>134535 CERT por cobrar</v>
      </c>
      <c r="DO41" t="str">
        <v>134535 CERT por cobrar</v>
      </c>
      <c r="DP41" t="str">
        <v>134535 CERT por cobrar</v>
      </c>
    </row>
    <row r="42" spans="4:120" ht="12.75">
      <c r="D42" s="7">
        <v>134595</v>
      </c>
      <c r="E42" s="6" t="s">
        <v>45</v>
      </c>
      <c r="F42" s="5">
        <v>4</v>
      </c>
      <c r="G42" s="34" t="s">
        <v>821</v>
      </c>
      <c r="H42" s="8" t="s">
        <v>32</v>
      </c>
      <c r="I42" t="b">
        <f>+ISNUMBER(SEARCH('F-COMPRA'!$F$28,Tabla11[[#This Row],[Cuenta]],1))</f>
        <v>1</v>
      </c>
      <c r="J42" t="b">
        <f>+ISNUMBER(SEARCH('F-COMPRA'!$F$29,Tabla11[[#This Row],[Cuenta]],1))</f>
        <v>1</v>
      </c>
      <c r="K42" t="b">
        <f>+ISNUMBER(SEARCH('F-COMPRA'!$F$30,Tabla11[[#This Row],[Cuenta]],1))</f>
        <v>1</v>
      </c>
      <c r="L42" t="b">
        <f>+ISNUMBER(SEARCH('F-COMPRA'!$F$31,Tabla11[[#This Row],[Cuenta]],1))</f>
        <v>1</v>
      </c>
      <c r="M42" t="b">
        <f>+ISNUMBER(SEARCH('F-COMPRA'!$G$25,Tabla11[[#This Row],[Cuenta]],1))</f>
        <v>0</v>
      </c>
      <c r="N42" t="b">
        <f>+ISNUMBER(SEARCH(#REF!,Tabla11[[#This Row],[Cuenta]],1))</f>
        <v>0</v>
      </c>
      <c r="O42" t="b">
        <f>+ISNUMBER(SEARCH(#REF!,Tabla11[[#This Row],[Cuenta]],1))</f>
        <v>0</v>
      </c>
      <c r="P42" t="b">
        <f>+ISNUMBER(SEARCH('F-COMPRA'!$F$32,Tabla11[[#This Row],[Cuenta]],1))</f>
        <v>1</v>
      </c>
      <c r="Q42" t="b">
        <f>+ISNUMBER(SEARCH('F-COMPRA'!$F$33,Tabla11[[#This Row],[Cuenta]],1))</f>
        <v>1</v>
      </c>
      <c r="R42" t="b">
        <f>+ISNUMBER(SEARCH('F-COMPRA'!$F$34,Tabla11[[#This Row],[Cuenta]],1))</f>
        <v>1</v>
      </c>
      <c r="S42" t="b">
        <f>+ISNUMBER(SEARCH('F-COMPRA'!$F$35,Tabla11[[#This Row],[Cuenta]],1))</f>
        <v>1</v>
      </c>
      <c r="T42" t="b">
        <f>+ISNUMBER(SEARCH('F-COMPRA'!$F$36,Tabla11[[#This Row],[Cuenta]],1))</f>
        <v>1</v>
      </c>
      <c r="U42" t="b">
        <f>+ISNUMBER(SEARCH('F-COMPRA'!$F$37,Tabla11[[#This Row],[Cuenta]],1))</f>
        <v>1</v>
      </c>
      <c r="V42" t="b">
        <f>+ISNUMBER(SEARCH(#REF!,Tabla11[[#This Row],[Cuenta]],1))</f>
        <v>0</v>
      </c>
      <c r="W42" t="b">
        <f>+ISNUMBER(SEARCH('F-COMPRA'!#REF!,Tabla11[[#This Row],[Cuenta]],1))</f>
        <v>0</v>
      </c>
      <c r="X42" t="b">
        <f>+ISNUMBER(SEARCH('F-COMPRA'!#REF!,Tabla11[[#This Row],[Cuenta]],1))</f>
        <v>0</v>
      </c>
      <c r="Y42" t="b">
        <f>+ISNUMBER(SEARCH('F-COMPRA'!#REF!,Tabla11[[#This Row],[Cuenta]],1))</f>
        <v>0</v>
      </c>
      <c r="Z42" t="b">
        <f>+ISNUMBER(SEARCH('F-COMPRA'!#REF!,Tabla11[[#This Row],[Cuenta]],1))</f>
        <v>0</v>
      </c>
      <c r="AA42" t="b">
        <f>+ISNUMBER(SEARCH('F-COMPRA'!#REF!,Tabla11[[#This Row],[Cuenta]],1))</f>
        <v>0</v>
      </c>
      <c r="AB42" t="b">
        <f>+ISNUMBER(SEARCH('F-COMPRA'!#REF!,Tabla11[[#This Row],[Cuenta]],1))</f>
        <v>0</v>
      </c>
      <c r="AC42" t="b">
        <f>+ISNUMBER(SEARCH('F-COMPRA'!#REF!,Tabla11[[#This Row],[Cuenta]],1))</f>
        <v>0</v>
      </c>
      <c r="AD42" t="b">
        <f>+ISNUMBER(SEARCH('F-COMPRA'!#REF!,Tabla11[[#This Row],[Cuenta]],1))</f>
        <v>0</v>
      </c>
      <c r="AE42" t="b">
        <f>+ISNUMBER(SEARCH('F-COMPRA'!#REF!,Tabla11[[#This Row],[Cuenta]],1))</f>
        <v>0</v>
      </c>
      <c r="AF42" t="b">
        <f>+ISNUMBER(SEARCH('F-VTA'!$G$23,Tabla11[[#This Row],[Cuenta]],1))</f>
        <v>0</v>
      </c>
      <c r="AG42" t="b">
        <f>+ISNUMBER(SEARCH('F-VTA'!$G$24,Tabla11[[#This Row],[Cuenta]],1))</f>
        <v>0</v>
      </c>
      <c r="AH42" t="b">
        <f>+ISNUMBER(SEARCH('F-VTA'!$G$25,Tabla11[[#This Row],[Cuenta]],1))</f>
        <v>0</v>
      </c>
      <c r="AI42" t="b">
        <f>+ISNUMBER(SEARCH('F-VTA'!$F$28,Tabla11[[#This Row],[Cuenta]],1))</f>
        <v>1</v>
      </c>
      <c r="AJ42" t="b">
        <f>+ISNUMBER(SEARCH('F-VTA'!$F$29,Tabla11[[#This Row],[Cuenta]],1))</f>
        <v>1</v>
      </c>
      <c r="AK42" t="b">
        <f>+ISNUMBER(SEARCH('F-VTA'!$F$30,Tabla11[[#This Row],[Cuenta]],1))</f>
        <v>1</v>
      </c>
      <c r="AL42" t="b">
        <f>+ISNUMBER(SEARCH('F-VTA'!$F$31,Tabla11[[#This Row],[Cuenta]],1))</f>
        <v>1</v>
      </c>
      <c r="AM42" t="b">
        <f>+ISNUMBER(SEARCH('F-VTA'!$F$32,Tabla11[[#This Row],[Cuenta]],1))</f>
        <v>1</v>
      </c>
      <c r="AN42" t="b">
        <f>+ISNUMBER(SEARCH('F-VTA'!$F$33,Tabla11[[#This Row],[Cuenta]],1))</f>
        <v>1</v>
      </c>
      <c r="AO42" t="b">
        <f>+ISNUMBER(SEARCH('F-VTA'!$F$34,Tabla11[[#This Row],[Cuenta]],1))</f>
        <v>1</v>
      </c>
      <c r="AP42" t="b">
        <f>+ISNUMBER(SEARCH('F-VTA'!$F$35,Tabla11[[#This Row],[Cuenta]],1))</f>
        <v>1</v>
      </c>
      <c r="AQ42" t="b">
        <f>+ISNUMBER(SEARCH('F-VTA'!$F$36,Tabla11[[#This Row],[Cuenta]],1))</f>
        <v>1</v>
      </c>
      <c r="AR42" t="b">
        <f>+ISNUMBER(SEARCH(#REF!,Tabla11[[#This Row],[Cuenta]],1))</f>
        <v>0</v>
      </c>
      <c r="AS42" t="b">
        <f>+ISNUMBER(SEARCH(#REF!,Tabla11[[#This Row],[Cuenta]],1))</f>
        <v>0</v>
      </c>
      <c r="AT42" t="b">
        <f>+ISNUMBER(SEARCH(#REF!,Tabla11[[#This Row],[Cuenta]],1))</f>
        <v>0</v>
      </c>
      <c r="AU42" t="b">
        <f>+ISNUMBER(SEARCH('Conc. Ban.1'!$I$9,Tabla11[[#This Row],[Cuenta]],1))</f>
        <v>0</v>
      </c>
      <c r="AV42" t="b">
        <f>+ISNUMBER(SEARCH(CompConta!$F$21,Tabla11[[#This Row],[Cuenta]],1))</f>
        <v>1</v>
      </c>
      <c r="AW42" t="b">
        <f>+ISNUMBER(SEARCH(CompConta!$F$22,Tabla11[[#This Row],[Cuenta]],1))</f>
        <v>1</v>
      </c>
      <c r="AX42" t="b">
        <f>+ISNUMBER(SEARCH(CompConta!$F$23,Tabla11[[#This Row],[Cuenta]],1))</f>
        <v>1</v>
      </c>
      <c r="AY42" t="b">
        <f>+ISNUMBER(SEARCH(CompConta!$F$24,Tabla11[[#This Row],[Cuenta]],1))</f>
        <v>1</v>
      </c>
      <c r="AZ42" t="b">
        <f>+ISNUMBER(SEARCH(CompConta!$F$25,Tabla11[[#This Row],[Cuenta]],1))</f>
        <v>1</v>
      </c>
      <c r="BA42" t="b">
        <f>+ISNUMBER(SEARCH(CompConta!$F$26,Tabla11[[#This Row],[Cuenta]],1))</f>
        <v>1</v>
      </c>
      <c r="BB42" t="b">
        <f>+ISNUMBER(SEARCH(CompConta!$F$27,Tabla11[[#This Row],[Cuenta]],1))</f>
        <v>1</v>
      </c>
      <c r="BC42" t="b">
        <f>+ISNUMBER(SEARCH(CompConta!$F$28,Tabla11[[#This Row],[Cuenta]],1))</f>
        <v>1</v>
      </c>
      <c r="BD42" t="b">
        <f>+ISNUMBER(SEARCH(CompConta!$F$29,Tabla11[[#This Row],[Cuenta]],1))</f>
        <v>1</v>
      </c>
      <c r="BE42" t="b">
        <f>+ISNUMBER(SEARCH(CompConta!$F$30,Tabla11[[#This Row],[Cuenta]],1))</f>
        <v>1</v>
      </c>
      <c r="BF42" t="b">
        <f>+ISNUMBER(SEARCH('PAGO Compras'!$E$11,Tabla11[[#This Row],[Cuenta]],1))</f>
        <v>1</v>
      </c>
      <c r="BG42" t="b">
        <f>+ISNUMBER(SEARCH(#REF!,Tabla11[[#This Row],[Cuenta]],1))</f>
        <v>0</v>
      </c>
      <c r="BH42" t="b">
        <f>+ISNUMBER(SEARCH(#REF!,Tabla11[[#This Row],[Cuenta]],1))</f>
        <v>0</v>
      </c>
      <c r="BI42" t="b">
        <f>+ISNUMBER(SEARCH(#REF!,Tabla11[[#This Row],[Cuenta]],1))</f>
        <v>0</v>
      </c>
      <c r="BJ42" t="b">
        <f>+ISNUMBER(SEARCH(#REF!,Tabla11[[#This Row],[Cuenta]],1))</f>
        <v>0</v>
      </c>
      <c r="BS42" t="str">
        <v>134595 Otros</v>
      </c>
      <c r="BT42" t="str">
        <v>134595 Otros</v>
      </c>
      <c r="BU42" t="str">
        <v>134595 Otros</v>
      </c>
      <c r="BV42" t="str">
        <v>134595 Otros</v>
      </c>
      <c r="BZ42" t="str">
        <v>134595 Otros</v>
      </c>
      <c r="CA42" t="str">
        <v>134595 Otros</v>
      </c>
      <c r="CB42" t="str">
        <v>134595 Otros</v>
      </c>
      <c r="CC42" t="str">
        <v>134595 Otros</v>
      </c>
      <c r="CD42" t="str">
        <v>134595 Otros</v>
      </c>
      <c r="CE42" t="str">
        <v>134595 Otros</v>
      </c>
      <c r="CS42" s="141" t="str">
        <v>134595 Otros</v>
      </c>
      <c r="CT42" s="141" t="str">
        <v>134595 Otros</v>
      </c>
      <c r="CU42" s="141" t="str">
        <v>134595 Otros</v>
      </c>
      <c r="CV42" s="141" t="str">
        <v>134595 Otros</v>
      </c>
      <c r="CW42" s="141" t="str">
        <v>134595 Otros</v>
      </c>
      <c r="CX42" s="141" t="str">
        <v>134595 Otros</v>
      </c>
      <c r="CY42" s="141" t="str">
        <v>134595 Otros</v>
      </c>
      <c r="CZ42" s="141" t="str">
        <v>134595 Otros</v>
      </c>
      <c r="DA42" s="141" t="str">
        <v>134595 Otros</v>
      </c>
      <c r="DF42" t="str">
        <v>134595 Otros</v>
      </c>
      <c r="DG42" t="str">
        <v>134595 Otros</v>
      </c>
      <c r="DH42" t="str">
        <v>134595 Otros</v>
      </c>
      <c r="DI42" t="str">
        <v>134595 Otros</v>
      </c>
      <c r="DJ42" t="str">
        <v>134595 Otros</v>
      </c>
      <c r="DK42" t="str">
        <v>134595 Otros</v>
      </c>
      <c r="DL42" t="str">
        <v>134595 Otros</v>
      </c>
      <c r="DM42" t="str">
        <v>134595 Otros</v>
      </c>
      <c r="DN42" t="str">
        <v>134595 Otros</v>
      </c>
      <c r="DO42" t="str">
        <v>134595 Otros</v>
      </c>
      <c r="DP42" t="str">
        <v>134595 Otros</v>
      </c>
    </row>
    <row r="43" spans="4:120" ht="12.75">
      <c r="D43" s="7">
        <v>1350</v>
      </c>
      <c r="E43" s="6" t="s">
        <v>79</v>
      </c>
      <c r="F43" s="5">
        <v>3</v>
      </c>
      <c r="G43" s="34" t="s">
        <v>821</v>
      </c>
      <c r="H43" s="8" t="s">
        <v>32</v>
      </c>
      <c r="I43" t="b">
        <f>+ISNUMBER(SEARCH('F-COMPRA'!$F$28,Tabla11[[#This Row],[Cuenta]],1))</f>
        <v>1</v>
      </c>
      <c r="J43" t="b">
        <f>+ISNUMBER(SEARCH('F-COMPRA'!$F$29,Tabla11[[#This Row],[Cuenta]],1))</f>
        <v>1</v>
      </c>
      <c r="K43" t="b">
        <f>+ISNUMBER(SEARCH('F-COMPRA'!$F$30,Tabla11[[#This Row],[Cuenta]],1))</f>
        <v>1</v>
      </c>
      <c r="L43" t="b">
        <f>+ISNUMBER(SEARCH('F-COMPRA'!$F$31,Tabla11[[#This Row],[Cuenta]],1))</f>
        <v>1</v>
      </c>
      <c r="M43" t="b">
        <f>+ISNUMBER(SEARCH('F-COMPRA'!$G$25,Tabla11[[#This Row],[Cuenta]],1))</f>
        <v>0</v>
      </c>
      <c r="N43" t="b">
        <f>+ISNUMBER(SEARCH(#REF!,Tabla11[[#This Row],[Cuenta]],1))</f>
        <v>0</v>
      </c>
      <c r="O43" t="b">
        <f>+ISNUMBER(SEARCH(#REF!,Tabla11[[#This Row],[Cuenta]],1))</f>
        <v>0</v>
      </c>
      <c r="P43" t="b">
        <f>+ISNUMBER(SEARCH('F-COMPRA'!$F$32,Tabla11[[#This Row],[Cuenta]],1))</f>
        <v>1</v>
      </c>
      <c r="Q43" t="b">
        <f>+ISNUMBER(SEARCH('F-COMPRA'!$F$33,Tabla11[[#This Row],[Cuenta]],1))</f>
        <v>1</v>
      </c>
      <c r="R43" t="b">
        <f>+ISNUMBER(SEARCH('F-COMPRA'!$F$34,Tabla11[[#This Row],[Cuenta]],1))</f>
        <v>1</v>
      </c>
      <c r="S43" t="b">
        <f>+ISNUMBER(SEARCH('F-COMPRA'!$F$35,Tabla11[[#This Row],[Cuenta]],1))</f>
        <v>1</v>
      </c>
      <c r="T43" t="b">
        <f>+ISNUMBER(SEARCH('F-COMPRA'!$F$36,Tabla11[[#This Row],[Cuenta]],1))</f>
        <v>1</v>
      </c>
      <c r="U43" t="b">
        <f>+ISNUMBER(SEARCH('F-COMPRA'!$F$37,Tabla11[[#This Row],[Cuenta]],1))</f>
        <v>1</v>
      </c>
      <c r="V43" t="b">
        <f>+ISNUMBER(SEARCH(#REF!,Tabla11[[#This Row],[Cuenta]],1))</f>
        <v>0</v>
      </c>
      <c r="W43" t="b">
        <f>+ISNUMBER(SEARCH('F-COMPRA'!#REF!,Tabla11[[#This Row],[Cuenta]],1))</f>
        <v>0</v>
      </c>
      <c r="X43" t="b">
        <f>+ISNUMBER(SEARCH('F-COMPRA'!#REF!,Tabla11[[#This Row],[Cuenta]],1))</f>
        <v>0</v>
      </c>
      <c r="Y43" t="b">
        <f>+ISNUMBER(SEARCH('F-COMPRA'!#REF!,Tabla11[[#This Row],[Cuenta]],1))</f>
        <v>0</v>
      </c>
      <c r="Z43" t="b">
        <f>+ISNUMBER(SEARCH('F-COMPRA'!#REF!,Tabla11[[#This Row],[Cuenta]],1))</f>
        <v>0</v>
      </c>
      <c r="AA43" t="b">
        <f>+ISNUMBER(SEARCH('F-COMPRA'!#REF!,Tabla11[[#This Row],[Cuenta]],1))</f>
        <v>0</v>
      </c>
      <c r="AB43" t="b">
        <f>+ISNUMBER(SEARCH('F-COMPRA'!#REF!,Tabla11[[#This Row],[Cuenta]],1))</f>
        <v>0</v>
      </c>
      <c r="AC43" t="b">
        <f>+ISNUMBER(SEARCH('F-COMPRA'!#REF!,Tabla11[[#This Row],[Cuenta]],1))</f>
        <v>0</v>
      </c>
      <c r="AD43" t="b">
        <f>+ISNUMBER(SEARCH('F-COMPRA'!#REF!,Tabla11[[#This Row],[Cuenta]],1))</f>
        <v>0</v>
      </c>
      <c r="AE43" t="b">
        <f>+ISNUMBER(SEARCH('F-COMPRA'!#REF!,Tabla11[[#This Row],[Cuenta]],1))</f>
        <v>0</v>
      </c>
      <c r="AF43" t="b">
        <f>+ISNUMBER(SEARCH('F-VTA'!$G$23,Tabla11[[#This Row],[Cuenta]],1))</f>
        <v>0</v>
      </c>
      <c r="AG43" t="b">
        <f>+ISNUMBER(SEARCH('F-VTA'!$G$24,Tabla11[[#This Row],[Cuenta]],1))</f>
        <v>0</v>
      </c>
      <c r="AH43" t="b">
        <f>+ISNUMBER(SEARCH('F-VTA'!$G$25,Tabla11[[#This Row],[Cuenta]],1))</f>
        <v>0</v>
      </c>
      <c r="AI43" t="b">
        <f>+ISNUMBER(SEARCH('F-VTA'!$F$28,Tabla11[[#This Row],[Cuenta]],1))</f>
        <v>1</v>
      </c>
      <c r="AJ43" t="b">
        <f>+ISNUMBER(SEARCH('F-VTA'!$F$29,Tabla11[[#This Row],[Cuenta]],1))</f>
        <v>1</v>
      </c>
      <c r="AK43" t="b">
        <f>+ISNUMBER(SEARCH('F-VTA'!$F$30,Tabla11[[#This Row],[Cuenta]],1))</f>
        <v>1</v>
      </c>
      <c r="AL43" t="b">
        <f>+ISNUMBER(SEARCH('F-VTA'!$F$31,Tabla11[[#This Row],[Cuenta]],1))</f>
        <v>1</v>
      </c>
      <c r="AM43" t="b">
        <f>+ISNUMBER(SEARCH('F-VTA'!$F$32,Tabla11[[#This Row],[Cuenta]],1))</f>
        <v>1</v>
      </c>
      <c r="AN43" t="b">
        <f>+ISNUMBER(SEARCH('F-VTA'!$F$33,Tabla11[[#This Row],[Cuenta]],1))</f>
        <v>1</v>
      </c>
      <c r="AO43" t="b">
        <f>+ISNUMBER(SEARCH('F-VTA'!$F$34,Tabla11[[#This Row],[Cuenta]],1))</f>
        <v>1</v>
      </c>
      <c r="AP43" t="b">
        <f>+ISNUMBER(SEARCH('F-VTA'!$F$35,Tabla11[[#This Row],[Cuenta]],1))</f>
        <v>1</v>
      </c>
      <c r="AQ43" t="b">
        <f>+ISNUMBER(SEARCH('F-VTA'!$F$36,Tabla11[[#This Row],[Cuenta]],1))</f>
        <v>1</v>
      </c>
      <c r="AR43" t="b">
        <f>+ISNUMBER(SEARCH(#REF!,Tabla11[[#This Row],[Cuenta]],1))</f>
        <v>0</v>
      </c>
      <c r="AS43" t="b">
        <f>+ISNUMBER(SEARCH(#REF!,Tabla11[[#This Row],[Cuenta]],1))</f>
        <v>0</v>
      </c>
      <c r="AT43" t="b">
        <f>+ISNUMBER(SEARCH(#REF!,Tabla11[[#This Row],[Cuenta]],1))</f>
        <v>0</v>
      </c>
      <c r="AU43" t="b">
        <f>+ISNUMBER(SEARCH('Conc. Ban.1'!$I$9,Tabla11[[#This Row],[Cuenta]],1))</f>
        <v>0</v>
      </c>
      <c r="AV43" t="b">
        <f>+ISNUMBER(SEARCH(CompConta!$F$21,Tabla11[[#This Row],[Cuenta]],1))</f>
        <v>1</v>
      </c>
      <c r="AW43" t="b">
        <f>+ISNUMBER(SEARCH(CompConta!$F$22,Tabla11[[#This Row],[Cuenta]],1))</f>
        <v>1</v>
      </c>
      <c r="AX43" t="b">
        <f>+ISNUMBER(SEARCH(CompConta!$F$23,Tabla11[[#This Row],[Cuenta]],1))</f>
        <v>1</v>
      </c>
      <c r="AY43" t="b">
        <f>+ISNUMBER(SEARCH(CompConta!$F$24,Tabla11[[#This Row],[Cuenta]],1))</f>
        <v>1</v>
      </c>
      <c r="AZ43" t="b">
        <f>+ISNUMBER(SEARCH(CompConta!$F$25,Tabla11[[#This Row],[Cuenta]],1))</f>
        <v>1</v>
      </c>
      <c r="BA43" t="b">
        <f>+ISNUMBER(SEARCH(CompConta!$F$26,Tabla11[[#This Row],[Cuenta]],1))</f>
        <v>1</v>
      </c>
      <c r="BB43" t="b">
        <f>+ISNUMBER(SEARCH(CompConta!$F$27,Tabla11[[#This Row],[Cuenta]],1))</f>
        <v>1</v>
      </c>
      <c r="BC43" t="b">
        <f>+ISNUMBER(SEARCH(CompConta!$F$28,Tabla11[[#This Row],[Cuenta]],1))</f>
        <v>1</v>
      </c>
      <c r="BD43" t="b">
        <f>+ISNUMBER(SEARCH(CompConta!$F$29,Tabla11[[#This Row],[Cuenta]],1))</f>
        <v>1</v>
      </c>
      <c r="BE43" t="b">
        <f>+ISNUMBER(SEARCH(CompConta!$F$30,Tabla11[[#This Row],[Cuenta]],1))</f>
        <v>1</v>
      </c>
      <c r="BF43" t="b">
        <f>+ISNUMBER(SEARCH('PAGO Compras'!$E$11,Tabla11[[#This Row],[Cuenta]],1))</f>
        <v>1</v>
      </c>
      <c r="BG43" t="b">
        <f>+ISNUMBER(SEARCH(#REF!,Tabla11[[#This Row],[Cuenta]],1))</f>
        <v>0</v>
      </c>
      <c r="BH43" t="b">
        <f>+ISNUMBER(SEARCH(#REF!,Tabla11[[#This Row],[Cuenta]],1))</f>
        <v>0</v>
      </c>
      <c r="BI43" t="b">
        <f>+ISNUMBER(SEARCH(#REF!,Tabla11[[#This Row],[Cuenta]],1))</f>
        <v>0</v>
      </c>
      <c r="BJ43" t="b">
        <f>+ISNUMBER(SEARCH(#REF!,Tabla11[[#This Row],[Cuenta]],1))</f>
        <v>0</v>
      </c>
      <c r="BS43" t="str">
        <v>1350 RETENCIÓN SOBRE CONTRATOS</v>
      </c>
      <c r="BT43" t="str">
        <v>1350 RETENCIÓN SOBRE CONTRATOS</v>
      </c>
      <c r="BU43" t="str">
        <v>1350 RETENCIÓN SOBRE CONTRATOS</v>
      </c>
      <c r="BV43" t="str">
        <v>1350 RETENCIÓN SOBRE CONTRATOS</v>
      </c>
      <c r="BZ43" t="str">
        <v>1350 RETENCIÓN SOBRE CONTRATOS</v>
      </c>
      <c r="CA43" t="str">
        <v>1350 RETENCIÓN SOBRE CONTRATOS</v>
      </c>
      <c r="CB43" t="str">
        <v>1350 RETENCIÓN SOBRE CONTRATOS</v>
      </c>
      <c r="CC43" t="str">
        <v>1350 RETENCIÓN SOBRE CONTRATOS</v>
      </c>
      <c r="CD43" t="str">
        <v>1350 RETENCIÓN SOBRE CONTRATOS</v>
      </c>
      <c r="CE43" t="str">
        <v>1350 RETENCIÓN SOBRE CONTRATOS</v>
      </c>
      <c r="CS43" s="141" t="str">
        <v>1350 RETENCIÓN SOBRE CONTRATOS</v>
      </c>
      <c r="CT43" s="141" t="str">
        <v>1350 RETENCIÓN SOBRE CONTRATOS</v>
      </c>
      <c r="CU43" s="141" t="str">
        <v>1350 RETENCIÓN SOBRE CONTRATOS</v>
      </c>
      <c r="CV43" s="141" t="str">
        <v>1350 RETENCIÓN SOBRE CONTRATOS</v>
      </c>
      <c r="CW43" s="141" t="str">
        <v>1350 RETENCIÓN SOBRE CONTRATOS</v>
      </c>
      <c r="CX43" s="141" t="str">
        <v>1350 RETENCIÓN SOBRE CONTRATOS</v>
      </c>
      <c r="CY43" s="141" t="str">
        <v>1350 RETENCIÓN SOBRE CONTRATOS</v>
      </c>
      <c r="CZ43" s="141" t="str">
        <v>1350 RETENCIÓN SOBRE CONTRATOS</v>
      </c>
      <c r="DA43" s="141" t="str">
        <v>1350 RETENCIÓN SOBRE CONTRATOS</v>
      </c>
      <c r="DF43" t="str">
        <v>1350 RETENCIÓN SOBRE CONTRATOS</v>
      </c>
      <c r="DG43" t="str">
        <v>1350 RETENCIÓN SOBRE CONTRATOS</v>
      </c>
      <c r="DH43" t="str">
        <v>1350 RETENCIÓN SOBRE CONTRATOS</v>
      </c>
      <c r="DI43" t="str">
        <v>1350 RETENCIÓN SOBRE CONTRATOS</v>
      </c>
      <c r="DJ43" t="str">
        <v>1350 RETENCIÓN SOBRE CONTRATOS</v>
      </c>
      <c r="DK43" t="str">
        <v>1350 RETENCIÓN SOBRE CONTRATOS</v>
      </c>
      <c r="DL43" t="str">
        <v>1350 RETENCIÓN SOBRE CONTRATOS</v>
      </c>
      <c r="DM43" t="str">
        <v>1350 RETENCIÓN SOBRE CONTRATOS</v>
      </c>
      <c r="DN43" t="str">
        <v>1350 RETENCIÓN SOBRE CONTRATOS</v>
      </c>
      <c r="DO43" t="str">
        <v>1350 RETENCIÓN SOBRE CONTRATOS</v>
      </c>
      <c r="DP43" t="str">
        <v>1350 RETENCIÓN SOBRE CONTRATOS</v>
      </c>
    </row>
    <row r="44" spans="4:120" ht="12.75">
      <c r="D44" s="7">
        <v>135005</v>
      </c>
      <c r="E44" s="6" t="s">
        <v>80</v>
      </c>
      <c r="F44" s="5">
        <v>4</v>
      </c>
      <c r="G44" s="34" t="s">
        <v>821</v>
      </c>
      <c r="H44" s="8" t="s">
        <v>32</v>
      </c>
      <c r="I44" t="b">
        <f>+ISNUMBER(SEARCH('F-COMPRA'!$F$28,Tabla11[[#This Row],[Cuenta]],1))</f>
        <v>1</v>
      </c>
      <c r="J44" t="b">
        <f>+ISNUMBER(SEARCH('F-COMPRA'!$F$29,Tabla11[[#This Row],[Cuenta]],1))</f>
        <v>1</v>
      </c>
      <c r="K44" t="b">
        <f>+ISNUMBER(SEARCH('F-COMPRA'!$F$30,Tabla11[[#This Row],[Cuenta]],1))</f>
        <v>1</v>
      </c>
      <c r="L44" t="b">
        <f>+ISNUMBER(SEARCH('F-COMPRA'!$F$31,Tabla11[[#This Row],[Cuenta]],1))</f>
        <v>1</v>
      </c>
      <c r="M44" t="b">
        <f>+ISNUMBER(SEARCH('F-COMPRA'!$G$25,Tabla11[[#This Row],[Cuenta]],1))</f>
        <v>0</v>
      </c>
      <c r="N44" t="b">
        <f>+ISNUMBER(SEARCH(#REF!,Tabla11[[#This Row],[Cuenta]],1))</f>
        <v>0</v>
      </c>
      <c r="O44" t="b">
        <f>+ISNUMBER(SEARCH(#REF!,Tabla11[[#This Row],[Cuenta]],1))</f>
        <v>0</v>
      </c>
      <c r="P44" t="b">
        <f>+ISNUMBER(SEARCH('F-COMPRA'!$F$32,Tabla11[[#This Row],[Cuenta]],1))</f>
        <v>1</v>
      </c>
      <c r="Q44" t="b">
        <f>+ISNUMBER(SEARCH('F-COMPRA'!$F$33,Tabla11[[#This Row],[Cuenta]],1))</f>
        <v>1</v>
      </c>
      <c r="R44" t="b">
        <f>+ISNUMBER(SEARCH('F-COMPRA'!$F$34,Tabla11[[#This Row],[Cuenta]],1))</f>
        <v>1</v>
      </c>
      <c r="S44" t="b">
        <f>+ISNUMBER(SEARCH('F-COMPRA'!$F$35,Tabla11[[#This Row],[Cuenta]],1))</f>
        <v>1</v>
      </c>
      <c r="T44" t="b">
        <f>+ISNUMBER(SEARCH('F-COMPRA'!$F$36,Tabla11[[#This Row],[Cuenta]],1))</f>
        <v>1</v>
      </c>
      <c r="U44" t="b">
        <f>+ISNUMBER(SEARCH('F-COMPRA'!$F$37,Tabla11[[#This Row],[Cuenta]],1))</f>
        <v>1</v>
      </c>
      <c r="V44" t="b">
        <f>+ISNUMBER(SEARCH(#REF!,Tabla11[[#This Row],[Cuenta]],1))</f>
        <v>0</v>
      </c>
      <c r="W44" t="b">
        <f>+ISNUMBER(SEARCH('F-COMPRA'!#REF!,Tabla11[[#This Row],[Cuenta]],1))</f>
        <v>0</v>
      </c>
      <c r="X44" t="b">
        <f>+ISNUMBER(SEARCH('F-COMPRA'!#REF!,Tabla11[[#This Row],[Cuenta]],1))</f>
        <v>0</v>
      </c>
      <c r="Y44" t="b">
        <f>+ISNUMBER(SEARCH('F-COMPRA'!#REF!,Tabla11[[#This Row],[Cuenta]],1))</f>
        <v>0</v>
      </c>
      <c r="Z44" t="b">
        <f>+ISNUMBER(SEARCH('F-COMPRA'!#REF!,Tabla11[[#This Row],[Cuenta]],1))</f>
        <v>0</v>
      </c>
      <c r="AA44" t="b">
        <f>+ISNUMBER(SEARCH('F-COMPRA'!#REF!,Tabla11[[#This Row],[Cuenta]],1))</f>
        <v>0</v>
      </c>
      <c r="AB44" t="b">
        <f>+ISNUMBER(SEARCH('F-COMPRA'!#REF!,Tabla11[[#This Row],[Cuenta]],1))</f>
        <v>0</v>
      </c>
      <c r="AC44" t="b">
        <f>+ISNUMBER(SEARCH('F-COMPRA'!#REF!,Tabla11[[#This Row],[Cuenta]],1))</f>
        <v>0</v>
      </c>
      <c r="AD44" t="b">
        <f>+ISNUMBER(SEARCH('F-COMPRA'!#REF!,Tabla11[[#This Row],[Cuenta]],1))</f>
        <v>0</v>
      </c>
      <c r="AE44" t="b">
        <f>+ISNUMBER(SEARCH('F-COMPRA'!#REF!,Tabla11[[#This Row],[Cuenta]],1))</f>
        <v>0</v>
      </c>
      <c r="AF44" t="b">
        <f>+ISNUMBER(SEARCH('F-VTA'!$G$23,Tabla11[[#This Row],[Cuenta]],1))</f>
        <v>0</v>
      </c>
      <c r="AG44" t="b">
        <f>+ISNUMBER(SEARCH('F-VTA'!$G$24,Tabla11[[#This Row],[Cuenta]],1))</f>
        <v>0</v>
      </c>
      <c r="AH44" t="b">
        <f>+ISNUMBER(SEARCH('F-VTA'!$G$25,Tabla11[[#This Row],[Cuenta]],1))</f>
        <v>0</v>
      </c>
      <c r="AI44" t="b">
        <f>+ISNUMBER(SEARCH('F-VTA'!$F$28,Tabla11[[#This Row],[Cuenta]],1))</f>
        <v>1</v>
      </c>
      <c r="AJ44" t="b">
        <f>+ISNUMBER(SEARCH('F-VTA'!$F$29,Tabla11[[#This Row],[Cuenta]],1))</f>
        <v>1</v>
      </c>
      <c r="AK44" t="b">
        <f>+ISNUMBER(SEARCH('F-VTA'!$F$30,Tabla11[[#This Row],[Cuenta]],1))</f>
        <v>1</v>
      </c>
      <c r="AL44" t="b">
        <f>+ISNUMBER(SEARCH('F-VTA'!$F$31,Tabla11[[#This Row],[Cuenta]],1))</f>
        <v>1</v>
      </c>
      <c r="AM44" t="b">
        <f>+ISNUMBER(SEARCH('F-VTA'!$F$32,Tabla11[[#This Row],[Cuenta]],1))</f>
        <v>1</v>
      </c>
      <c r="AN44" t="b">
        <f>+ISNUMBER(SEARCH('F-VTA'!$F$33,Tabla11[[#This Row],[Cuenta]],1))</f>
        <v>1</v>
      </c>
      <c r="AO44" t="b">
        <f>+ISNUMBER(SEARCH('F-VTA'!$F$34,Tabla11[[#This Row],[Cuenta]],1))</f>
        <v>1</v>
      </c>
      <c r="AP44" t="b">
        <f>+ISNUMBER(SEARCH('F-VTA'!$F$35,Tabla11[[#This Row],[Cuenta]],1))</f>
        <v>1</v>
      </c>
      <c r="AQ44" t="b">
        <f>+ISNUMBER(SEARCH('F-VTA'!$F$36,Tabla11[[#This Row],[Cuenta]],1))</f>
        <v>1</v>
      </c>
      <c r="AR44" t="b">
        <f>+ISNUMBER(SEARCH(#REF!,Tabla11[[#This Row],[Cuenta]],1))</f>
        <v>0</v>
      </c>
      <c r="AS44" t="b">
        <f>+ISNUMBER(SEARCH(#REF!,Tabla11[[#This Row],[Cuenta]],1))</f>
        <v>0</v>
      </c>
      <c r="AT44" t="b">
        <f>+ISNUMBER(SEARCH(#REF!,Tabla11[[#This Row],[Cuenta]],1))</f>
        <v>0</v>
      </c>
      <c r="AU44" t="b">
        <f>+ISNUMBER(SEARCH('Conc. Ban.1'!$I$9,Tabla11[[#This Row],[Cuenta]],1))</f>
        <v>0</v>
      </c>
      <c r="AV44" t="b">
        <f>+ISNUMBER(SEARCH(CompConta!$F$21,Tabla11[[#This Row],[Cuenta]],1))</f>
        <v>1</v>
      </c>
      <c r="AW44" t="b">
        <f>+ISNUMBER(SEARCH(CompConta!$F$22,Tabla11[[#This Row],[Cuenta]],1))</f>
        <v>1</v>
      </c>
      <c r="AX44" t="b">
        <f>+ISNUMBER(SEARCH(CompConta!$F$23,Tabla11[[#This Row],[Cuenta]],1))</f>
        <v>1</v>
      </c>
      <c r="AY44" t="b">
        <f>+ISNUMBER(SEARCH(CompConta!$F$24,Tabla11[[#This Row],[Cuenta]],1))</f>
        <v>1</v>
      </c>
      <c r="AZ44" t="b">
        <f>+ISNUMBER(SEARCH(CompConta!$F$25,Tabla11[[#This Row],[Cuenta]],1))</f>
        <v>1</v>
      </c>
      <c r="BA44" t="b">
        <f>+ISNUMBER(SEARCH(CompConta!$F$26,Tabla11[[#This Row],[Cuenta]],1))</f>
        <v>1</v>
      </c>
      <c r="BB44" t="b">
        <f>+ISNUMBER(SEARCH(CompConta!$F$27,Tabla11[[#This Row],[Cuenta]],1))</f>
        <v>1</v>
      </c>
      <c r="BC44" t="b">
        <f>+ISNUMBER(SEARCH(CompConta!$F$28,Tabla11[[#This Row],[Cuenta]],1))</f>
        <v>1</v>
      </c>
      <c r="BD44" t="b">
        <f>+ISNUMBER(SEARCH(CompConta!$F$29,Tabla11[[#This Row],[Cuenta]],1))</f>
        <v>1</v>
      </c>
      <c r="BE44" t="b">
        <f>+ISNUMBER(SEARCH(CompConta!$F$30,Tabla11[[#This Row],[Cuenta]],1))</f>
        <v>1</v>
      </c>
      <c r="BF44" t="b">
        <f>+ISNUMBER(SEARCH('PAGO Compras'!$E$11,Tabla11[[#This Row],[Cuenta]],1))</f>
        <v>1</v>
      </c>
      <c r="BG44" t="b">
        <f>+ISNUMBER(SEARCH(#REF!,Tabla11[[#This Row],[Cuenta]],1))</f>
        <v>0</v>
      </c>
      <c r="BH44" t="b">
        <f>+ISNUMBER(SEARCH(#REF!,Tabla11[[#This Row],[Cuenta]],1))</f>
        <v>0</v>
      </c>
      <c r="BI44" t="b">
        <f>+ISNUMBER(SEARCH(#REF!,Tabla11[[#This Row],[Cuenta]],1))</f>
        <v>0</v>
      </c>
      <c r="BJ44" t="b">
        <f>+ISNUMBER(SEARCH(#REF!,Tabla11[[#This Row],[Cuenta]],1))</f>
        <v>0</v>
      </c>
      <c r="BS44" t="str">
        <v>135005 De construcción</v>
      </c>
      <c r="BT44" t="str">
        <v>135005 De construcción</v>
      </c>
      <c r="BU44" t="str">
        <v>135005 De construcción</v>
      </c>
      <c r="BV44" t="str">
        <v>135005 De construcción</v>
      </c>
      <c r="BZ44" t="str">
        <v>135005 De construcción</v>
      </c>
      <c r="CA44" t="str">
        <v>135005 De construcción</v>
      </c>
      <c r="CB44" t="str">
        <v>135005 De construcción</v>
      </c>
      <c r="CC44" t="str">
        <v>135005 De construcción</v>
      </c>
      <c r="CD44" t="str">
        <v>135005 De construcción</v>
      </c>
      <c r="CE44" t="str">
        <v>135005 De construcción</v>
      </c>
      <c r="CS44" s="141" t="str">
        <v>135005 De construcción</v>
      </c>
      <c r="CT44" s="141" t="str">
        <v>135005 De construcción</v>
      </c>
      <c r="CU44" s="141" t="str">
        <v>135005 De construcción</v>
      </c>
      <c r="CV44" s="141" t="str">
        <v>135005 De construcción</v>
      </c>
      <c r="CW44" s="141" t="str">
        <v>135005 De construcción</v>
      </c>
      <c r="CX44" s="141" t="str">
        <v>135005 De construcción</v>
      </c>
      <c r="CY44" s="141" t="str">
        <v>135005 De construcción</v>
      </c>
      <c r="CZ44" s="141" t="str">
        <v>135005 De construcción</v>
      </c>
      <c r="DA44" s="141" t="str">
        <v>135005 De construcción</v>
      </c>
      <c r="DF44" t="str">
        <v>135005 De construcción</v>
      </c>
      <c r="DG44" t="str">
        <v>135005 De construcción</v>
      </c>
      <c r="DH44" t="str">
        <v>135005 De construcción</v>
      </c>
      <c r="DI44" t="str">
        <v>135005 De construcción</v>
      </c>
      <c r="DJ44" t="str">
        <v>135005 De construcción</v>
      </c>
      <c r="DK44" t="str">
        <v>135005 De construcción</v>
      </c>
      <c r="DL44" t="str">
        <v>135005 De construcción</v>
      </c>
      <c r="DM44" t="str">
        <v>135005 De construcción</v>
      </c>
      <c r="DN44" t="str">
        <v>135005 De construcción</v>
      </c>
      <c r="DO44" t="str">
        <v>135005 De construcción</v>
      </c>
      <c r="DP44" t="str">
        <v>135005 De construcción</v>
      </c>
    </row>
    <row r="45" spans="4:120" ht="12.75">
      <c r="D45" s="7">
        <v>135010</v>
      </c>
      <c r="E45" s="6" t="s">
        <v>81</v>
      </c>
      <c r="F45" s="5">
        <v>4</v>
      </c>
      <c r="G45" s="34" t="s">
        <v>821</v>
      </c>
      <c r="H45" s="8" t="s">
        <v>32</v>
      </c>
      <c r="I45" t="b">
        <f>+ISNUMBER(SEARCH('F-COMPRA'!$F$28,Tabla11[[#This Row],[Cuenta]],1))</f>
        <v>1</v>
      </c>
      <c r="J45" t="b">
        <f>+ISNUMBER(SEARCH('F-COMPRA'!$F$29,Tabla11[[#This Row],[Cuenta]],1))</f>
        <v>1</v>
      </c>
      <c r="K45" t="b">
        <f>+ISNUMBER(SEARCH('F-COMPRA'!$F$30,Tabla11[[#This Row],[Cuenta]],1))</f>
        <v>1</v>
      </c>
      <c r="L45" t="b">
        <f>+ISNUMBER(SEARCH('F-COMPRA'!$F$31,Tabla11[[#This Row],[Cuenta]],1))</f>
        <v>1</v>
      </c>
      <c r="M45" t="b">
        <f>+ISNUMBER(SEARCH('F-COMPRA'!$G$25,Tabla11[[#This Row],[Cuenta]],1))</f>
        <v>0</v>
      </c>
      <c r="N45" t="b">
        <f>+ISNUMBER(SEARCH(#REF!,Tabla11[[#This Row],[Cuenta]],1))</f>
        <v>0</v>
      </c>
      <c r="O45" t="b">
        <f>+ISNUMBER(SEARCH(#REF!,Tabla11[[#This Row],[Cuenta]],1))</f>
        <v>0</v>
      </c>
      <c r="P45" t="b">
        <f>+ISNUMBER(SEARCH('F-COMPRA'!$F$32,Tabla11[[#This Row],[Cuenta]],1))</f>
        <v>1</v>
      </c>
      <c r="Q45" t="b">
        <f>+ISNUMBER(SEARCH('F-COMPRA'!$F$33,Tabla11[[#This Row],[Cuenta]],1))</f>
        <v>1</v>
      </c>
      <c r="R45" t="b">
        <f>+ISNUMBER(SEARCH('F-COMPRA'!$F$34,Tabla11[[#This Row],[Cuenta]],1))</f>
        <v>1</v>
      </c>
      <c r="S45" t="b">
        <f>+ISNUMBER(SEARCH('F-COMPRA'!$F$35,Tabla11[[#This Row],[Cuenta]],1))</f>
        <v>1</v>
      </c>
      <c r="T45" t="b">
        <f>+ISNUMBER(SEARCH('F-COMPRA'!$F$36,Tabla11[[#This Row],[Cuenta]],1))</f>
        <v>1</v>
      </c>
      <c r="U45" t="b">
        <f>+ISNUMBER(SEARCH('F-COMPRA'!$F$37,Tabla11[[#This Row],[Cuenta]],1))</f>
        <v>1</v>
      </c>
      <c r="V45" t="b">
        <f>+ISNUMBER(SEARCH(#REF!,Tabla11[[#This Row],[Cuenta]],1))</f>
        <v>0</v>
      </c>
      <c r="W45" t="b">
        <f>+ISNUMBER(SEARCH('F-COMPRA'!#REF!,Tabla11[[#This Row],[Cuenta]],1))</f>
        <v>0</v>
      </c>
      <c r="X45" t="b">
        <f>+ISNUMBER(SEARCH('F-COMPRA'!#REF!,Tabla11[[#This Row],[Cuenta]],1))</f>
        <v>0</v>
      </c>
      <c r="Y45" t="b">
        <f>+ISNUMBER(SEARCH('F-COMPRA'!#REF!,Tabla11[[#This Row],[Cuenta]],1))</f>
        <v>0</v>
      </c>
      <c r="Z45" t="b">
        <f>+ISNUMBER(SEARCH('F-COMPRA'!#REF!,Tabla11[[#This Row],[Cuenta]],1))</f>
        <v>0</v>
      </c>
      <c r="AA45" t="b">
        <f>+ISNUMBER(SEARCH('F-COMPRA'!#REF!,Tabla11[[#This Row],[Cuenta]],1))</f>
        <v>0</v>
      </c>
      <c r="AB45" t="b">
        <f>+ISNUMBER(SEARCH('F-COMPRA'!#REF!,Tabla11[[#This Row],[Cuenta]],1))</f>
        <v>0</v>
      </c>
      <c r="AC45" t="b">
        <f>+ISNUMBER(SEARCH('F-COMPRA'!#REF!,Tabla11[[#This Row],[Cuenta]],1))</f>
        <v>0</v>
      </c>
      <c r="AD45" t="b">
        <f>+ISNUMBER(SEARCH('F-COMPRA'!#REF!,Tabla11[[#This Row],[Cuenta]],1))</f>
        <v>0</v>
      </c>
      <c r="AE45" t="b">
        <f>+ISNUMBER(SEARCH('F-COMPRA'!#REF!,Tabla11[[#This Row],[Cuenta]],1))</f>
        <v>0</v>
      </c>
      <c r="AF45" t="b">
        <f>+ISNUMBER(SEARCH('F-VTA'!$G$23,Tabla11[[#This Row],[Cuenta]],1))</f>
        <v>0</v>
      </c>
      <c r="AG45" t="b">
        <f>+ISNUMBER(SEARCH('F-VTA'!$G$24,Tabla11[[#This Row],[Cuenta]],1))</f>
        <v>0</v>
      </c>
      <c r="AH45" t="b">
        <f>+ISNUMBER(SEARCH('F-VTA'!$G$25,Tabla11[[#This Row],[Cuenta]],1))</f>
        <v>0</v>
      </c>
      <c r="AI45" t="b">
        <f>+ISNUMBER(SEARCH('F-VTA'!$F$28,Tabla11[[#This Row],[Cuenta]],1))</f>
        <v>1</v>
      </c>
      <c r="AJ45" t="b">
        <f>+ISNUMBER(SEARCH('F-VTA'!$F$29,Tabla11[[#This Row],[Cuenta]],1))</f>
        <v>1</v>
      </c>
      <c r="AK45" t="b">
        <f>+ISNUMBER(SEARCH('F-VTA'!$F$30,Tabla11[[#This Row],[Cuenta]],1))</f>
        <v>1</v>
      </c>
      <c r="AL45" t="b">
        <f>+ISNUMBER(SEARCH('F-VTA'!$F$31,Tabla11[[#This Row],[Cuenta]],1))</f>
        <v>1</v>
      </c>
      <c r="AM45" t="b">
        <f>+ISNUMBER(SEARCH('F-VTA'!$F$32,Tabla11[[#This Row],[Cuenta]],1))</f>
        <v>1</v>
      </c>
      <c r="AN45" t="b">
        <f>+ISNUMBER(SEARCH('F-VTA'!$F$33,Tabla11[[#This Row],[Cuenta]],1))</f>
        <v>1</v>
      </c>
      <c r="AO45" t="b">
        <f>+ISNUMBER(SEARCH('F-VTA'!$F$34,Tabla11[[#This Row],[Cuenta]],1))</f>
        <v>1</v>
      </c>
      <c r="AP45" t="b">
        <f>+ISNUMBER(SEARCH('F-VTA'!$F$35,Tabla11[[#This Row],[Cuenta]],1))</f>
        <v>1</v>
      </c>
      <c r="AQ45" t="b">
        <f>+ISNUMBER(SEARCH('F-VTA'!$F$36,Tabla11[[#This Row],[Cuenta]],1))</f>
        <v>1</v>
      </c>
      <c r="AR45" t="b">
        <f>+ISNUMBER(SEARCH(#REF!,Tabla11[[#This Row],[Cuenta]],1))</f>
        <v>0</v>
      </c>
      <c r="AS45" t="b">
        <f>+ISNUMBER(SEARCH(#REF!,Tabla11[[#This Row],[Cuenta]],1))</f>
        <v>0</v>
      </c>
      <c r="AT45" t="b">
        <f>+ISNUMBER(SEARCH(#REF!,Tabla11[[#This Row],[Cuenta]],1))</f>
        <v>0</v>
      </c>
      <c r="AU45" t="b">
        <f>+ISNUMBER(SEARCH('Conc. Ban.1'!$I$9,Tabla11[[#This Row],[Cuenta]],1))</f>
        <v>0</v>
      </c>
      <c r="AV45" t="b">
        <f>+ISNUMBER(SEARCH(CompConta!$F$21,Tabla11[[#This Row],[Cuenta]],1))</f>
        <v>1</v>
      </c>
      <c r="AW45" t="b">
        <f>+ISNUMBER(SEARCH(CompConta!$F$22,Tabla11[[#This Row],[Cuenta]],1))</f>
        <v>1</v>
      </c>
      <c r="AX45" t="b">
        <f>+ISNUMBER(SEARCH(CompConta!$F$23,Tabla11[[#This Row],[Cuenta]],1))</f>
        <v>1</v>
      </c>
      <c r="AY45" t="b">
        <f>+ISNUMBER(SEARCH(CompConta!$F$24,Tabla11[[#This Row],[Cuenta]],1))</f>
        <v>1</v>
      </c>
      <c r="AZ45" t="b">
        <f>+ISNUMBER(SEARCH(CompConta!$F$25,Tabla11[[#This Row],[Cuenta]],1))</f>
        <v>1</v>
      </c>
      <c r="BA45" t="b">
        <f>+ISNUMBER(SEARCH(CompConta!$F$26,Tabla11[[#This Row],[Cuenta]],1))</f>
        <v>1</v>
      </c>
      <c r="BB45" t="b">
        <f>+ISNUMBER(SEARCH(CompConta!$F$27,Tabla11[[#This Row],[Cuenta]],1))</f>
        <v>1</v>
      </c>
      <c r="BC45" t="b">
        <f>+ISNUMBER(SEARCH(CompConta!$F$28,Tabla11[[#This Row],[Cuenta]],1))</f>
        <v>1</v>
      </c>
      <c r="BD45" t="b">
        <f>+ISNUMBER(SEARCH(CompConta!$F$29,Tabla11[[#This Row],[Cuenta]],1))</f>
        <v>1</v>
      </c>
      <c r="BE45" t="b">
        <f>+ISNUMBER(SEARCH(CompConta!$F$30,Tabla11[[#This Row],[Cuenta]],1))</f>
        <v>1</v>
      </c>
      <c r="BF45" t="b">
        <f>+ISNUMBER(SEARCH('PAGO Compras'!$E$11,Tabla11[[#This Row],[Cuenta]],1))</f>
        <v>1</v>
      </c>
      <c r="BG45" t="b">
        <f>+ISNUMBER(SEARCH(#REF!,Tabla11[[#This Row],[Cuenta]],1))</f>
        <v>0</v>
      </c>
      <c r="BH45" t="b">
        <f>+ISNUMBER(SEARCH(#REF!,Tabla11[[#This Row],[Cuenta]],1))</f>
        <v>0</v>
      </c>
      <c r="BI45" t="b">
        <f>+ISNUMBER(SEARCH(#REF!,Tabla11[[#This Row],[Cuenta]],1))</f>
        <v>0</v>
      </c>
      <c r="BJ45" t="b">
        <f>+ISNUMBER(SEARCH(#REF!,Tabla11[[#This Row],[Cuenta]],1))</f>
        <v>0</v>
      </c>
      <c r="BS45" t="str">
        <v>135010 De prestación de servicios</v>
      </c>
      <c r="BT45" t="str">
        <v>135010 De prestación de servicios</v>
      </c>
      <c r="BU45" t="str">
        <v>135010 De prestación de servicios</v>
      </c>
      <c r="BV45" t="str">
        <v>135010 De prestación de servicios</v>
      </c>
      <c r="BZ45" t="str">
        <v>135010 De prestación de servicios</v>
      </c>
      <c r="CA45" t="str">
        <v>135010 De prestación de servicios</v>
      </c>
      <c r="CB45" t="str">
        <v>135010 De prestación de servicios</v>
      </c>
      <c r="CC45" t="str">
        <v>135010 De prestación de servicios</v>
      </c>
      <c r="CD45" t="str">
        <v>135010 De prestación de servicios</v>
      </c>
      <c r="CE45" t="str">
        <v>135010 De prestación de servicios</v>
      </c>
      <c r="CS45" s="141" t="str">
        <v>135010 De prestación de servicios</v>
      </c>
      <c r="CT45" s="141" t="str">
        <v>135010 De prestación de servicios</v>
      </c>
      <c r="CU45" s="141" t="str">
        <v>135010 De prestación de servicios</v>
      </c>
      <c r="CV45" s="141" t="str">
        <v>135010 De prestación de servicios</v>
      </c>
      <c r="CW45" s="141" t="str">
        <v>135010 De prestación de servicios</v>
      </c>
      <c r="CX45" s="141" t="str">
        <v>135010 De prestación de servicios</v>
      </c>
      <c r="CY45" s="141" t="str">
        <v>135010 De prestación de servicios</v>
      </c>
      <c r="CZ45" s="141" t="str">
        <v>135010 De prestación de servicios</v>
      </c>
      <c r="DA45" s="141" t="str">
        <v>135010 De prestación de servicios</v>
      </c>
      <c r="DF45" t="str">
        <v>135010 De prestación de servicios</v>
      </c>
      <c r="DG45" t="str">
        <v>135010 De prestación de servicios</v>
      </c>
      <c r="DH45" t="str">
        <v>135010 De prestación de servicios</v>
      </c>
      <c r="DI45" t="str">
        <v>135010 De prestación de servicios</v>
      </c>
      <c r="DJ45" t="str">
        <v>135010 De prestación de servicios</v>
      </c>
      <c r="DK45" t="str">
        <v>135010 De prestación de servicios</v>
      </c>
      <c r="DL45" t="str">
        <v>135010 De prestación de servicios</v>
      </c>
      <c r="DM45" t="str">
        <v>135010 De prestación de servicios</v>
      </c>
      <c r="DN45" t="str">
        <v>135010 De prestación de servicios</v>
      </c>
      <c r="DO45" t="str">
        <v>135010 De prestación de servicios</v>
      </c>
      <c r="DP45" t="str">
        <v>135010 De prestación de servicios</v>
      </c>
    </row>
    <row r="46" spans="4:120" ht="12.75">
      <c r="D46" s="7">
        <v>135095</v>
      </c>
      <c r="E46" s="6" t="s">
        <v>45</v>
      </c>
      <c r="F46" s="5">
        <v>4</v>
      </c>
      <c r="G46" s="34" t="s">
        <v>821</v>
      </c>
      <c r="H46" s="8" t="s">
        <v>32</v>
      </c>
      <c r="I46" t="b">
        <f>+ISNUMBER(SEARCH('F-COMPRA'!$F$28,Tabla11[[#This Row],[Cuenta]],1))</f>
        <v>1</v>
      </c>
      <c r="J46" t="b">
        <f>+ISNUMBER(SEARCH('F-COMPRA'!$F$29,Tabla11[[#This Row],[Cuenta]],1))</f>
        <v>1</v>
      </c>
      <c r="K46" t="b">
        <f>+ISNUMBER(SEARCH('F-COMPRA'!$F$30,Tabla11[[#This Row],[Cuenta]],1))</f>
        <v>1</v>
      </c>
      <c r="L46" t="b">
        <f>+ISNUMBER(SEARCH('F-COMPRA'!$F$31,Tabla11[[#This Row],[Cuenta]],1))</f>
        <v>1</v>
      </c>
      <c r="M46" t="b">
        <f>+ISNUMBER(SEARCH('F-COMPRA'!$G$25,Tabla11[[#This Row],[Cuenta]],1))</f>
        <v>0</v>
      </c>
      <c r="N46" t="b">
        <f>+ISNUMBER(SEARCH(#REF!,Tabla11[[#This Row],[Cuenta]],1))</f>
        <v>0</v>
      </c>
      <c r="O46" t="b">
        <f>+ISNUMBER(SEARCH(#REF!,Tabla11[[#This Row],[Cuenta]],1))</f>
        <v>0</v>
      </c>
      <c r="P46" t="b">
        <f>+ISNUMBER(SEARCH('F-COMPRA'!$F$32,Tabla11[[#This Row],[Cuenta]],1))</f>
        <v>1</v>
      </c>
      <c r="Q46" t="b">
        <f>+ISNUMBER(SEARCH('F-COMPRA'!$F$33,Tabla11[[#This Row],[Cuenta]],1))</f>
        <v>1</v>
      </c>
      <c r="R46" t="b">
        <f>+ISNUMBER(SEARCH('F-COMPRA'!$F$34,Tabla11[[#This Row],[Cuenta]],1))</f>
        <v>1</v>
      </c>
      <c r="S46" t="b">
        <f>+ISNUMBER(SEARCH('F-COMPRA'!$F$35,Tabla11[[#This Row],[Cuenta]],1))</f>
        <v>1</v>
      </c>
      <c r="T46" t="b">
        <f>+ISNUMBER(SEARCH('F-COMPRA'!$F$36,Tabla11[[#This Row],[Cuenta]],1))</f>
        <v>1</v>
      </c>
      <c r="U46" t="b">
        <f>+ISNUMBER(SEARCH('F-COMPRA'!$F$37,Tabla11[[#This Row],[Cuenta]],1))</f>
        <v>1</v>
      </c>
      <c r="V46" t="b">
        <f>+ISNUMBER(SEARCH(#REF!,Tabla11[[#This Row],[Cuenta]],1))</f>
        <v>0</v>
      </c>
      <c r="W46" t="b">
        <f>+ISNUMBER(SEARCH('F-COMPRA'!#REF!,Tabla11[[#This Row],[Cuenta]],1))</f>
        <v>0</v>
      </c>
      <c r="X46" t="b">
        <f>+ISNUMBER(SEARCH('F-COMPRA'!#REF!,Tabla11[[#This Row],[Cuenta]],1))</f>
        <v>0</v>
      </c>
      <c r="Y46" t="b">
        <f>+ISNUMBER(SEARCH('F-COMPRA'!#REF!,Tabla11[[#This Row],[Cuenta]],1))</f>
        <v>0</v>
      </c>
      <c r="Z46" t="b">
        <f>+ISNUMBER(SEARCH('F-COMPRA'!#REF!,Tabla11[[#This Row],[Cuenta]],1))</f>
        <v>0</v>
      </c>
      <c r="AA46" t="b">
        <f>+ISNUMBER(SEARCH('F-COMPRA'!#REF!,Tabla11[[#This Row],[Cuenta]],1))</f>
        <v>0</v>
      </c>
      <c r="AB46" t="b">
        <f>+ISNUMBER(SEARCH('F-COMPRA'!#REF!,Tabla11[[#This Row],[Cuenta]],1))</f>
        <v>0</v>
      </c>
      <c r="AC46" t="b">
        <f>+ISNUMBER(SEARCH('F-COMPRA'!#REF!,Tabla11[[#This Row],[Cuenta]],1))</f>
        <v>0</v>
      </c>
      <c r="AD46" t="b">
        <f>+ISNUMBER(SEARCH('F-COMPRA'!#REF!,Tabla11[[#This Row],[Cuenta]],1))</f>
        <v>0</v>
      </c>
      <c r="AE46" t="b">
        <f>+ISNUMBER(SEARCH('F-COMPRA'!#REF!,Tabla11[[#This Row],[Cuenta]],1))</f>
        <v>0</v>
      </c>
      <c r="AF46" t="b">
        <f>+ISNUMBER(SEARCH('F-VTA'!$G$23,Tabla11[[#This Row],[Cuenta]],1))</f>
        <v>0</v>
      </c>
      <c r="AG46" t="b">
        <f>+ISNUMBER(SEARCH('F-VTA'!$G$24,Tabla11[[#This Row],[Cuenta]],1))</f>
        <v>0</v>
      </c>
      <c r="AH46" t="b">
        <f>+ISNUMBER(SEARCH('F-VTA'!$G$25,Tabla11[[#This Row],[Cuenta]],1))</f>
        <v>0</v>
      </c>
      <c r="AI46" t="b">
        <f>+ISNUMBER(SEARCH('F-VTA'!$F$28,Tabla11[[#This Row],[Cuenta]],1))</f>
        <v>1</v>
      </c>
      <c r="AJ46" t="b">
        <f>+ISNUMBER(SEARCH('F-VTA'!$F$29,Tabla11[[#This Row],[Cuenta]],1))</f>
        <v>1</v>
      </c>
      <c r="AK46" t="b">
        <f>+ISNUMBER(SEARCH('F-VTA'!$F$30,Tabla11[[#This Row],[Cuenta]],1))</f>
        <v>1</v>
      </c>
      <c r="AL46" t="b">
        <f>+ISNUMBER(SEARCH('F-VTA'!$F$31,Tabla11[[#This Row],[Cuenta]],1))</f>
        <v>1</v>
      </c>
      <c r="AM46" t="b">
        <f>+ISNUMBER(SEARCH('F-VTA'!$F$32,Tabla11[[#This Row],[Cuenta]],1))</f>
        <v>1</v>
      </c>
      <c r="AN46" t="b">
        <f>+ISNUMBER(SEARCH('F-VTA'!$F$33,Tabla11[[#This Row],[Cuenta]],1))</f>
        <v>1</v>
      </c>
      <c r="AO46" t="b">
        <f>+ISNUMBER(SEARCH('F-VTA'!$F$34,Tabla11[[#This Row],[Cuenta]],1))</f>
        <v>1</v>
      </c>
      <c r="AP46" t="b">
        <f>+ISNUMBER(SEARCH('F-VTA'!$F$35,Tabla11[[#This Row],[Cuenta]],1))</f>
        <v>1</v>
      </c>
      <c r="AQ46" t="b">
        <f>+ISNUMBER(SEARCH('F-VTA'!$F$36,Tabla11[[#This Row],[Cuenta]],1))</f>
        <v>1</v>
      </c>
      <c r="AR46" t="b">
        <f>+ISNUMBER(SEARCH(#REF!,Tabla11[[#This Row],[Cuenta]],1))</f>
        <v>0</v>
      </c>
      <c r="AS46" t="b">
        <f>+ISNUMBER(SEARCH(#REF!,Tabla11[[#This Row],[Cuenta]],1))</f>
        <v>0</v>
      </c>
      <c r="AT46" t="b">
        <f>+ISNUMBER(SEARCH(#REF!,Tabla11[[#This Row],[Cuenta]],1))</f>
        <v>0</v>
      </c>
      <c r="AU46" t="b">
        <f>+ISNUMBER(SEARCH('Conc. Ban.1'!$I$9,Tabla11[[#This Row],[Cuenta]],1))</f>
        <v>0</v>
      </c>
      <c r="AV46" t="b">
        <f>+ISNUMBER(SEARCH(CompConta!$F$21,Tabla11[[#This Row],[Cuenta]],1))</f>
        <v>1</v>
      </c>
      <c r="AW46" t="b">
        <f>+ISNUMBER(SEARCH(CompConta!$F$22,Tabla11[[#This Row],[Cuenta]],1))</f>
        <v>1</v>
      </c>
      <c r="AX46" t="b">
        <f>+ISNUMBER(SEARCH(CompConta!$F$23,Tabla11[[#This Row],[Cuenta]],1))</f>
        <v>1</v>
      </c>
      <c r="AY46" t="b">
        <f>+ISNUMBER(SEARCH(CompConta!$F$24,Tabla11[[#This Row],[Cuenta]],1))</f>
        <v>1</v>
      </c>
      <c r="AZ46" t="b">
        <f>+ISNUMBER(SEARCH(CompConta!$F$25,Tabla11[[#This Row],[Cuenta]],1))</f>
        <v>1</v>
      </c>
      <c r="BA46" t="b">
        <f>+ISNUMBER(SEARCH(CompConta!$F$26,Tabla11[[#This Row],[Cuenta]],1))</f>
        <v>1</v>
      </c>
      <c r="BB46" t="b">
        <f>+ISNUMBER(SEARCH(CompConta!$F$27,Tabla11[[#This Row],[Cuenta]],1))</f>
        <v>1</v>
      </c>
      <c r="BC46" t="b">
        <f>+ISNUMBER(SEARCH(CompConta!$F$28,Tabla11[[#This Row],[Cuenta]],1))</f>
        <v>1</v>
      </c>
      <c r="BD46" t="b">
        <f>+ISNUMBER(SEARCH(CompConta!$F$29,Tabla11[[#This Row],[Cuenta]],1))</f>
        <v>1</v>
      </c>
      <c r="BE46" t="b">
        <f>+ISNUMBER(SEARCH(CompConta!$F$30,Tabla11[[#This Row],[Cuenta]],1))</f>
        <v>1</v>
      </c>
      <c r="BF46" t="b">
        <f>+ISNUMBER(SEARCH('PAGO Compras'!$E$11,Tabla11[[#This Row],[Cuenta]],1))</f>
        <v>1</v>
      </c>
      <c r="BG46" t="b">
        <f>+ISNUMBER(SEARCH(#REF!,Tabla11[[#This Row],[Cuenta]],1))</f>
        <v>0</v>
      </c>
      <c r="BH46" t="b">
        <f>+ISNUMBER(SEARCH(#REF!,Tabla11[[#This Row],[Cuenta]],1))</f>
        <v>0</v>
      </c>
      <c r="BI46" t="b">
        <f>+ISNUMBER(SEARCH(#REF!,Tabla11[[#This Row],[Cuenta]],1))</f>
        <v>0</v>
      </c>
      <c r="BJ46" t="b">
        <f>+ISNUMBER(SEARCH(#REF!,Tabla11[[#This Row],[Cuenta]],1))</f>
        <v>0</v>
      </c>
      <c r="BS46" t="str">
        <v>135095 Otros</v>
      </c>
      <c r="BT46" t="str">
        <v>135095 Otros</v>
      </c>
      <c r="BU46" t="str">
        <v>135095 Otros</v>
      </c>
      <c r="BV46" t="str">
        <v>135095 Otros</v>
      </c>
      <c r="BZ46" t="str">
        <v>135095 Otros</v>
      </c>
      <c r="CA46" t="str">
        <v>135095 Otros</v>
      </c>
      <c r="CB46" t="str">
        <v>135095 Otros</v>
      </c>
      <c r="CC46" t="str">
        <v>135095 Otros</v>
      </c>
      <c r="CD46" t="str">
        <v>135095 Otros</v>
      </c>
      <c r="CE46" t="str">
        <v>135095 Otros</v>
      </c>
      <c r="CS46" s="141" t="str">
        <v>135095 Otros</v>
      </c>
      <c r="CT46" s="141" t="str">
        <v>135095 Otros</v>
      </c>
      <c r="CU46" s="141" t="str">
        <v>135095 Otros</v>
      </c>
      <c r="CV46" s="141" t="str">
        <v>135095 Otros</v>
      </c>
      <c r="CW46" s="141" t="str">
        <v>135095 Otros</v>
      </c>
      <c r="CX46" s="141" t="str">
        <v>135095 Otros</v>
      </c>
      <c r="CY46" s="141" t="str">
        <v>135095 Otros</v>
      </c>
      <c r="CZ46" s="141" t="str">
        <v>135095 Otros</v>
      </c>
      <c r="DA46" s="141" t="str">
        <v>135095 Otros</v>
      </c>
      <c r="DF46" t="str">
        <v>135095 Otros</v>
      </c>
      <c r="DG46" t="str">
        <v>135095 Otros</v>
      </c>
      <c r="DH46" t="str">
        <v>135095 Otros</v>
      </c>
      <c r="DI46" t="str">
        <v>135095 Otros</v>
      </c>
      <c r="DJ46" t="str">
        <v>135095 Otros</v>
      </c>
      <c r="DK46" t="str">
        <v>135095 Otros</v>
      </c>
      <c r="DL46" t="str">
        <v>135095 Otros</v>
      </c>
      <c r="DM46" t="str">
        <v>135095 Otros</v>
      </c>
      <c r="DN46" t="str">
        <v>135095 Otros</v>
      </c>
      <c r="DO46" t="str">
        <v>135095 Otros</v>
      </c>
      <c r="DP46" t="str">
        <v>135095 Otros</v>
      </c>
    </row>
    <row r="47" spans="4:120" ht="12.75">
      <c r="D47" s="7">
        <v>1355</v>
      </c>
      <c r="E47" s="6" t="s">
        <v>82</v>
      </c>
      <c r="F47" s="5">
        <v>3</v>
      </c>
      <c r="G47" s="34" t="s">
        <v>821</v>
      </c>
      <c r="H47" s="8" t="s">
        <v>32</v>
      </c>
      <c r="I47" t="b">
        <f>+ISNUMBER(SEARCH('F-COMPRA'!$F$28,Tabla11[[#This Row],[Cuenta]],1))</f>
        <v>1</v>
      </c>
      <c r="J47" t="b">
        <f>+ISNUMBER(SEARCH('F-COMPRA'!$F$29,Tabla11[[#This Row],[Cuenta]],1))</f>
        <v>1</v>
      </c>
      <c r="K47" t="b">
        <f>+ISNUMBER(SEARCH('F-COMPRA'!$F$30,Tabla11[[#This Row],[Cuenta]],1))</f>
        <v>1</v>
      </c>
      <c r="L47" t="b">
        <f>+ISNUMBER(SEARCH('F-COMPRA'!$F$31,Tabla11[[#This Row],[Cuenta]],1))</f>
        <v>1</v>
      </c>
      <c r="M47" t="b">
        <f>+ISNUMBER(SEARCH('F-COMPRA'!$G$25,Tabla11[[#This Row],[Cuenta]],1))</f>
        <v>0</v>
      </c>
      <c r="N47" t="b">
        <f>+ISNUMBER(SEARCH(#REF!,Tabla11[[#This Row],[Cuenta]],1))</f>
        <v>0</v>
      </c>
      <c r="O47" t="b">
        <f>+ISNUMBER(SEARCH(#REF!,Tabla11[[#This Row],[Cuenta]],1))</f>
        <v>0</v>
      </c>
      <c r="P47" t="b">
        <f>+ISNUMBER(SEARCH('F-COMPRA'!$F$32,Tabla11[[#This Row],[Cuenta]],1))</f>
        <v>1</v>
      </c>
      <c r="Q47" t="b">
        <f>+ISNUMBER(SEARCH('F-COMPRA'!$F$33,Tabla11[[#This Row],[Cuenta]],1))</f>
        <v>1</v>
      </c>
      <c r="R47" t="b">
        <f>+ISNUMBER(SEARCH('F-COMPRA'!$F$34,Tabla11[[#This Row],[Cuenta]],1))</f>
        <v>1</v>
      </c>
      <c r="S47" t="b">
        <f>+ISNUMBER(SEARCH('F-COMPRA'!$F$35,Tabla11[[#This Row],[Cuenta]],1))</f>
        <v>1</v>
      </c>
      <c r="T47" t="b">
        <f>+ISNUMBER(SEARCH('F-COMPRA'!$F$36,Tabla11[[#This Row],[Cuenta]],1))</f>
        <v>1</v>
      </c>
      <c r="U47" t="b">
        <f>+ISNUMBER(SEARCH('F-COMPRA'!$F$37,Tabla11[[#This Row],[Cuenta]],1))</f>
        <v>1</v>
      </c>
      <c r="V47" t="b">
        <f>+ISNUMBER(SEARCH(#REF!,Tabla11[[#This Row],[Cuenta]],1))</f>
        <v>0</v>
      </c>
      <c r="W47" t="b">
        <f>+ISNUMBER(SEARCH('F-COMPRA'!#REF!,Tabla11[[#This Row],[Cuenta]],1))</f>
        <v>0</v>
      </c>
      <c r="X47" t="b">
        <f>+ISNUMBER(SEARCH('F-COMPRA'!#REF!,Tabla11[[#This Row],[Cuenta]],1))</f>
        <v>0</v>
      </c>
      <c r="Y47" t="b">
        <f>+ISNUMBER(SEARCH('F-COMPRA'!#REF!,Tabla11[[#This Row],[Cuenta]],1))</f>
        <v>0</v>
      </c>
      <c r="Z47" t="b">
        <f>+ISNUMBER(SEARCH('F-COMPRA'!#REF!,Tabla11[[#This Row],[Cuenta]],1))</f>
        <v>0</v>
      </c>
      <c r="AA47" t="b">
        <f>+ISNUMBER(SEARCH('F-COMPRA'!#REF!,Tabla11[[#This Row],[Cuenta]],1))</f>
        <v>0</v>
      </c>
      <c r="AB47" t="b">
        <f>+ISNUMBER(SEARCH('F-COMPRA'!#REF!,Tabla11[[#This Row],[Cuenta]],1))</f>
        <v>0</v>
      </c>
      <c r="AC47" t="b">
        <f>+ISNUMBER(SEARCH('F-COMPRA'!#REF!,Tabla11[[#This Row],[Cuenta]],1))</f>
        <v>0</v>
      </c>
      <c r="AD47" t="b">
        <f>+ISNUMBER(SEARCH('F-COMPRA'!#REF!,Tabla11[[#This Row],[Cuenta]],1))</f>
        <v>0</v>
      </c>
      <c r="AE47" t="b">
        <f>+ISNUMBER(SEARCH('F-COMPRA'!#REF!,Tabla11[[#This Row],[Cuenta]],1))</f>
        <v>0</v>
      </c>
      <c r="AF47" t="b">
        <f>+ISNUMBER(SEARCH('F-VTA'!$G$23,Tabla11[[#This Row],[Cuenta]],1))</f>
        <v>0</v>
      </c>
      <c r="AG47" t="b">
        <f>+ISNUMBER(SEARCH('F-VTA'!$G$24,Tabla11[[#This Row],[Cuenta]],1))</f>
        <v>0</v>
      </c>
      <c r="AH47" t="b">
        <f>+ISNUMBER(SEARCH('F-VTA'!$G$25,Tabla11[[#This Row],[Cuenta]],1))</f>
        <v>0</v>
      </c>
      <c r="AI47" t="b">
        <f>+ISNUMBER(SEARCH('F-VTA'!$F$28,Tabla11[[#This Row],[Cuenta]],1))</f>
        <v>1</v>
      </c>
      <c r="AJ47" t="b">
        <f>+ISNUMBER(SEARCH('F-VTA'!$F$29,Tabla11[[#This Row],[Cuenta]],1))</f>
        <v>1</v>
      </c>
      <c r="AK47" t="b">
        <f>+ISNUMBER(SEARCH('F-VTA'!$F$30,Tabla11[[#This Row],[Cuenta]],1))</f>
        <v>1</v>
      </c>
      <c r="AL47" t="b">
        <f>+ISNUMBER(SEARCH('F-VTA'!$F$31,Tabla11[[#This Row],[Cuenta]],1))</f>
        <v>1</v>
      </c>
      <c r="AM47" t="b">
        <f>+ISNUMBER(SEARCH('F-VTA'!$F$32,Tabla11[[#This Row],[Cuenta]],1))</f>
        <v>1</v>
      </c>
      <c r="AN47" t="b">
        <f>+ISNUMBER(SEARCH('F-VTA'!$F$33,Tabla11[[#This Row],[Cuenta]],1))</f>
        <v>1</v>
      </c>
      <c r="AO47" t="b">
        <f>+ISNUMBER(SEARCH('F-VTA'!$F$34,Tabla11[[#This Row],[Cuenta]],1))</f>
        <v>1</v>
      </c>
      <c r="AP47" t="b">
        <f>+ISNUMBER(SEARCH('F-VTA'!$F$35,Tabla11[[#This Row],[Cuenta]],1))</f>
        <v>1</v>
      </c>
      <c r="AQ47" t="b">
        <f>+ISNUMBER(SEARCH('F-VTA'!$F$36,Tabla11[[#This Row],[Cuenta]],1))</f>
        <v>1</v>
      </c>
      <c r="AR47" t="b">
        <f>+ISNUMBER(SEARCH(#REF!,Tabla11[[#This Row],[Cuenta]],1))</f>
        <v>0</v>
      </c>
      <c r="AS47" t="b">
        <f>+ISNUMBER(SEARCH(#REF!,Tabla11[[#This Row],[Cuenta]],1))</f>
        <v>0</v>
      </c>
      <c r="AT47" t="b">
        <f>+ISNUMBER(SEARCH(#REF!,Tabla11[[#This Row],[Cuenta]],1))</f>
        <v>0</v>
      </c>
      <c r="AU47" t="b">
        <f>+ISNUMBER(SEARCH('Conc. Ban.1'!$I$9,Tabla11[[#This Row],[Cuenta]],1))</f>
        <v>0</v>
      </c>
      <c r="AV47" t="b">
        <f>+ISNUMBER(SEARCH(CompConta!$F$21,Tabla11[[#This Row],[Cuenta]],1))</f>
        <v>1</v>
      </c>
      <c r="AW47" t="b">
        <f>+ISNUMBER(SEARCH(CompConta!$F$22,Tabla11[[#This Row],[Cuenta]],1))</f>
        <v>1</v>
      </c>
      <c r="AX47" t="b">
        <f>+ISNUMBER(SEARCH(CompConta!$F$23,Tabla11[[#This Row],[Cuenta]],1))</f>
        <v>1</v>
      </c>
      <c r="AY47" t="b">
        <f>+ISNUMBER(SEARCH(CompConta!$F$24,Tabla11[[#This Row],[Cuenta]],1))</f>
        <v>1</v>
      </c>
      <c r="AZ47" t="b">
        <f>+ISNUMBER(SEARCH(CompConta!$F$25,Tabla11[[#This Row],[Cuenta]],1))</f>
        <v>1</v>
      </c>
      <c r="BA47" t="b">
        <f>+ISNUMBER(SEARCH(CompConta!$F$26,Tabla11[[#This Row],[Cuenta]],1))</f>
        <v>1</v>
      </c>
      <c r="BB47" t="b">
        <f>+ISNUMBER(SEARCH(CompConta!$F$27,Tabla11[[#This Row],[Cuenta]],1))</f>
        <v>1</v>
      </c>
      <c r="BC47" t="b">
        <f>+ISNUMBER(SEARCH(CompConta!$F$28,Tabla11[[#This Row],[Cuenta]],1))</f>
        <v>1</v>
      </c>
      <c r="BD47" t="b">
        <f>+ISNUMBER(SEARCH(CompConta!$F$29,Tabla11[[#This Row],[Cuenta]],1))</f>
        <v>1</v>
      </c>
      <c r="BE47" t="b">
        <f>+ISNUMBER(SEARCH(CompConta!$F$30,Tabla11[[#This Row],[Cuenta]],1))</f>
        <v>1</v>
      </c>
      <c r="BF47" t="b">
        <f>+ISNUMBER(SEARCH('PAGO Compras'!$E$11,Tabla11[[#This Row],[Cuenta]],1))</f>
        <v>1</v>
      </c>
      <c r="BG47" t="b">
        <f>+ISNUMBER(SEARCH(#REF!,Tabla11[[#This Row],[Cuenta]],1))</f>
        <v>0</v>
      </c>
      <c r="BH47" t="b">
        <f>+ISNUMBER(SEARCH(#REF!,Tabla11[[#This Row],[Cuenta]],1))</f>
        <v>0</v>
      </c>
      <c r="BI47" t="b">
        <f>+ISNUMBER(SEARCH(#REF!,Tabla11[[#This Row],[Cuenta]],1))</f>
        <v>0</v>
      </c>
      <c r="BJ47" t="b">
        <f>+ISNUMBER(SEARCH(#REF!,Tabla11[[#This Row],[Cuenta]],1))</f>
        <v>0</v>
      </c>
      <c r="BS47" t="str">
        <v>1355 ANTIC DE IMPTOS Y CONTRIBUC. O SALDOS A FA</v>
      </c>
      <c r="BT47" t="str">
        <v>1355 ANTIC DE IMPTOS Y CONTRIBUC. O SALDOS A FA</v>
      </c>
      <c r="BU47" t="str">
        <v>1355 ANTIC DE IMPTOS Y CONTRIBUC. O SALDOS A FA</v>
      </c>
      <c r="BV47" t="str">
        <v>1355 ANTIC DE IMPTOS Y CONTRIBUC. O SALDOS A FA</v>
      </c>
      <c r="BZ47" t="str">
        <v>1355 ANTIC DE IMPTOS Y CONTRIBUC. O SALDOS A FA</v>
      </c>
      <c r="CA47" t="str">
        <v>1355 ANTIC DE IMPTOS Y CONTRIBUC. O SALDOS A FA</v>
      </c>
      <c r="CB47" t="str">
        <v>1355 ANTIC DE IMPTOS Y CONTRIBUC. O SALDOS A FA</v>
      </c>
      <c r="CC47" t="str">
        <v>1355 ANTIC DE IMPTOS Y CONTRIBUC. O SALDOS A FA</v>
      </c>
      <c r="CD47" t="str">
        <v>1355 ANTIC DE IMPTOS Y CONTRIBUC. O SALDOS A FA</v>
      </c>
      <c r="CE47" t="str">
        <v>1355 ANTIC DE IMPTOS Y CONTRIBUC. O SALDOS A FA</v>
      </c>
      <c r="CS47" s="141" t="str">
        <v>1355 ANTIC DE IMPTOS Y CONTRIBUC. O SALDOS A FA</v>
      </c>
      <c r="CT47" s="141" t="str">
        <v>1355 ANTIC DE IMPTOS Y CONTRIBUC. O SALDOS A FA</v>
      </c>
      <c r="CU47" s="141" t="str">
        <v>1355 ANTIC DE IMPTOS Y CONTRIBUC. O SALDOS A FA</v>
      </c>
      <c r="CV47" s="141" t="str">
        <v>1355 ANTIC DE IMPTOS Y CONTRIBUC. O SALDOS A FA</v>
      </c>
      <c r="CW47" s="141" t="str">
        <v>1355 ANTIC DE IMPTOS Y CONTRIBUC. O SALDOS A FA</v>
      </c>
      <c r="CX47" s="141" t="str">
        <v>1355 ANTIC DE IMPTOS Y CONTRIBUC. O SALDOS A FA</v>
      </c>
      <c r="CY47" s="141" t="str">
        <v>1355 ANTIC DE IMPTOS Y CONTRIBUC. O SALDOS A FA</v>
      </c>
      <c r="CZ47" s="141" t="str">
        <v>1355 ANTIC DE IMPTOS Y CONTRIBUC. O SALDOS A FA</v>
      </c>
      <c r="DA47" s="141" t="str">
        <v>1355 ANTIC DE IMPTOS Y CONTRIBUC. O SALDOS A FA</v>
      </c>
      <c r="DF47" t="str">
        <v>1355 ANTIC DE IMPTOS Y CONTRIBUC. O SALDOS A FA</v>
      </c>
      <c r="DG47" t="str">
        <v>1355 ANTIC DE IMPTOS Y CONTRIBUC. O SALDOS A FA</v>
      </c>
      <c r="DH47" t="str">
        <v>1355 ANTIC DE IMPTOS Y CONTRIBUC. O SALDOS A FA</v>
      </c>
      <c r="DI47" t="str">
        <v>1355 ANTIC DE IMPTOS Y CONTRIBUC. O SALDOS A FA</v>
      </c>
      <c r="DJ47" t="str">
        <v>1355 ANTIC DE IMPTOS Y CONTRIBUC. O SALDOS A FA</v>
      </c>
      <c r="DK47" t="str">
        <v>1355 ANTIC DE IMPTOS Y CONTRIBUC. O SALDOS A FA</v>
      </c>
      <c r="DL47" t="str">
        <v>1355 ANTIC DE IMPTOS Y CONTRIBUC. O SALDOS A FA</v>
      </c>
      <c r="DM47" t="str">
        <v>1355 ANTIC DE IMPTOS Y CONTRIBUC. O SALDOS A FA</v>
      </c>
      <c r="DN47" t="str">
        <v>1355 ANTIC DE IMPTOS Y CONTRIBUC. O SALDOS A FA</v>
      </c>
      <c r="DO47" t="str">
        <v>1355 ANTIC DE IMPTOS Y CONTRIBUC. O SALDOS A FA</v>
      </c>
      <c r="DP47" t="str">
        <v>1355 ANTIC DE IMPTOS Y CONTRIBUC. O SALDOS A FA</v>
      </c>
    </row>
    <row r="48" spans="4:120" ht="12.75">
      <c r="D48" s="7">
        <v>135505</v>
      </c>
      <c r="E48" s="6" t="s">
        <v>83</v>
      </c>
      <c r="F48" s="5">
        <v>4</v>
      </c>
      <c r="G48" s="34" t="s">
        <v>821</v>
      </c>
      <c r="H48" s="8" t="s">
        <v>32</v>
      </c>
      <c r="I48" t="b">
        <f>+ISNUMBER(SEARCH('F-COMPRA'!$F$28,Tabla11[[#This Row],[Cuenta]],1))</f>
        <v>1</v>
      </c>
      <c r="J48" t="b">
        <f>+ISNUMBER(SEARCH('F-COMPRA'!$F$29,Tabla11[[#This Row],[Cuenta]],1))</f>
        <v>1</v>
      </c>
      <c r="K48" t="b">
        <f>+ISNUMBER(SEARCH('F-COMPRA'!$F$30,Tabla11[[#This Row],[Cuenta]],1))</f>
        <v>1</v>
      </c>
      <c r="L48" t="b">
        <f>+ISNUMBER(SEARCH('F-COMPRA'!$F$31,Tabla11[[#This Row],[Cuenta]],1))</f>
        <v>1</v>
      </c>
      <c r="M48" t="b">
        <f>+ISNUMBER(SEARCH('F-COMPRA'!$G$25,Tabla11[[#This Row],[Cuenta]],1))</f>
        <v>0</v>
      </c>
      <c r="N48" t="b">
        <f>+ISNUMBER(SEARCH(#REF!,Tabla11[[#This Row],[Cuenta]],1))</f>
        <v>0</v>
      </c>
      <c r="O48" t="b">
        <f>+ISNUMBER(SEARCH(#REF!,Tabla11[[#This Row],[Cuenta]],1))</f>
        <v>0</v>
      </c>
      <c r="P48" t="b">
        <f>+ISNUMBER(SEARCH('F-COMPRA'!$F$32,Tabla11[[#This Row],[Cuenta]],1))</f>
        <v>1</v>
      </c>
      <c r="Q48" t="b">
        <f>+ISNUMBER(SEARCH('F-COMPRA'!$F$33,Tabla11[[#This Row],[Cuenta]],1))</f>
        <v>1</v>
      </c>
      <c r="R48" t="b">
        <f>+ISNUMBER(SEARCH('F-COMPRA'!$F$34,Tabla11[[#This Row],[Cuenta]],1))</f>
        <v>1</v>
      </c>
      <c r="S48" t="b">
        <f>+ISNUMBER(SEARCH('F-COMPRA'!$F$35,Tabla11[[#This Row],[Cuenta]],1))</f>
        <v>1</v>
      </c>
      <c r="T48" t="b">
        <f>+ISNUMBER(SEARCH('F-COMPRA'!$F$36,Tabla11[[#This Row],[Cuenta]],1))</f>
        <v>1</v>
      </c>
      <c r="U48" t="b">
        <f>+ISNUMBER(SEARCH('F-COMPRA'!$F$37,Tabla11[[#This Row],[Cuenta]],1))</f>
        <v>1</v>
      </c>
      <c r="V48" t="b">
        <f>+ISNUMBER(SEARCH(#REF!,Tabla11[[#This Row],[Cuenta]],1))</f>
        <v>0</v>
      </c>
      <c r="W48" t="b">
        <f>+ISNUMBER(SEARCH('F-COMPRA'!#REF!,Tabla11[[#This Row],[Cuenta]],1))</f>
        <v>0</v>
      </c>
      <c r="X48" t="b">
        <f>+ISNUMBER(SEARCH('F-COMPRA'!#REF!,Tabla11[[#This Row],[Cuenta]],1))</f>
        <v>0</v>
      </c>
      <c r="Y48" t="b">
        <f>+ISNUMBER(SEARCH('F-COMPRA'!#REF!,Tabla11[[#This Row],[Cuenta]],1))</f>
        <v>0</v>
      </c>
      <c r="Z48" t="b">
        <f>+ISNUMBER(SEARCH('F-COMPRA'!#REF!,Tabla11[[#This Row],[Cuenta]],1))</f>
        <v>0</v>
      </c>
      <c r="AA48" t="b">
        <f>+ISNUMBER(SEARCH('F-COMPRA'!#REF!,Tabla11[[#This Row],[Cuenta]],1))</f>
        <v>0</v>
      </c>
      <c r="AB48" t="b">
        <f>+ISNUMBER(SEARCH('F-COMPRA'!#REF!,Tabla11[[#This Row],[Cuenta]],1))</f>
        <v>0</v>
      </c>
      <c r="AC48" t="b">
        <f>+ISNUMBER(SEARCH('F-COMPRA'!#REF!,Tabla11[[#This Row],[Cuenta]],1))</f>
        <v>0</v>
      </c>
      <c r="AD48" t="b">
        <f>+ISNUMBER(SEARCH('F-COMPRA'!#REF!,Tabla11[[#This Row],[Cuenta]],1))</f>
        <v>0</v>
      </c>
      <c r="AE48" t="b">
        <f>+ISNUMBER(SEARCH('F-COMPRA'!#REF!,Tabla11[[#This Row],[Cuenta]],1))</f>
        <v>0</v>
      </c>
      <c r="AF48" t="b">
        <f>+ISNUMBER(SEARCH('F-VTA'!$G$23,Tabla11[[#This Row],[Cuenta]],1))</f>
        <v>0</v>
      </c>
      <c r="AG48" t="b">
        <f>+ISNUMBER(SEARCH('F-VTA'!$G$24,Tabla11[[#This Row],[Cuenta]],1))</f>
        <v>0</v>
      </c>
      <c r="AH48" t="b">
        <f>+ISNUMBER(SEARCH('F-VTA'!$G$25,Tabla11[[#This Row],[Cuenta]],1))</f>
        <v>0</v>
      </c>
      <c r="AI48" t="b">
        <f>+ISNUMBER(SEARCH('F-VTA'!$F$28,Tabla11[[#This Row],[Cuenta]],1))</f>
        <v>1</v>
      </c>
      <c r="AJ48" t="b">
        <f>+ISNUMBER(SEARCH('F-VTA'!$F$29,Tabla11[[#This Row],[Cuenta]],1))</f>
        <v>1</v>
      </c>
      <c r="AK48" t="b">
        <f>+ISNUMBER(SEARCH('F-VTA'!$F$30,Tabla11[[#This Row],[Cuenta]],1))</f>
        <v>1</v>
      </c>
      <c r="AL48" t="b">
        <f>+ISNUMBER(SEARCH('F-VTA'!$F$31,Tabla11[[#This Row],[Cuenta]],1))</f>
        <v>1</v>
      </c>
      <c r="AM48" t="b">
        <f>+ISNUMBER(SEARCH('F-VTA'!$F$32,Tabla11[[#This Row],[Cuenta]],1))</f>
        <v>1</v>
      </c>
      <c r="AN48" t="b">
        <f>+ISNUMBER(SEARCH('F-VTA'!$F$33,Tabla11[[#This Row],[Cuenta]],1))</f>
        <v>1</v>
      </c>
      <c r="AO48" t="b">
        <f>+ISNUMBER(SEARCH('F-VTA'!$F$34,Tabla11[[#This Row],[Cuenta]],1))</f>
        <v>1</v>
      </c>
      <c r="AP48" t="b">
        <f>+ISNUMBER(SEARCH('F-VTA'!$F$35,Tabla11[[#This Row],[Cuenta]],1))</f>
        <v>1</v>
      </c>
      <c r="AQ48" t="b">
        <f>+ISNUMBER(SEARCH('F-VTA'!$F$36,Tabla11[[#This Row],[Cuenta]],1))</f>
        <v>1</v>
      </c>
      <c r="AR48" t="b">
        <f>+ISNUMBER(SEARCH(#REF!,Tabla11[[#This Row],[Cuenta]],1))</f>
        <v>0</v>
      </c>
      <c r="AS48" t="b">
        <f>+ISNUMBER(SEARCH(#REF!,Tabla11[[#This Row],[Cuenta]],1))</f>
        <v>0</v>
      </c>
      <c r="AT48" t="b">
        <f>+ISNUMBER(SEARCH(#REF!,Tabla11[[#This Row],[Cuenta]],1))</f>
        <v>0</v>
      </c>
      <c r="AU48" t="b">
        <f>+ISNUMBER(SEARCH('Conc. Ban.1'!$I$9,Tabla11[[#This Row],[Cuenta]],1))</f>
        <v>0</v>
      </c>
      <c r="AV48" t="b">
        <f>+ISNUMBER(SEARCH(CompConta!$F$21,Tabla11[[#This Row],[Cuenta]],1))</f>
        <v>1</v>
      </c>
      <c r="AW48" t="b">
        <f>+ISNUMBER(SEARCH(CompConta!$F$22,Tabla11[[#This Row],[Cuenta]],1))</f>
        <v>1</v>
      </c>
      <c r="AX48" t="b">
        <f>+ISNUMBER(SEARCH(CompConta!$F$23,Tabla11[[#This Row],[Cuenta]],1))</f>
        <v>1</v>
      </c>
      <c r="AY48" t="b">
        <f>+ISNUMBER(SEARCH(CompConta!$F$24,Tabla11[[#This Row],[Cuenta]],1))</f>
        <v>1</v>
      </c>
      <c r="AZ48" t="b">
        <f>+ISNUMBER(SEARCH(CompConta!$F$25,Tabla11[[#This Row],[Cuenta]],1))</f>
        <v>1</v>
      </c>
      <c r="BA48" t="b">
        <f>+ISNUMBER(SEARCH(CompConta!$F$26,Tabla11[[#This Row],[Cuenta]],1))</f>
        <v>1</v>
      </c>
      <c r="BB48" t="b">
        <f>+ISNUMBER(SEARCH(CompConta!$F$27,Tabla11[[#This Row],[Cuenta]],1))</f>
        <v>1</v>
      </c>
      <c r="BC48" t="b">
        <f>+ISNUMBER(SEARCH(CompConta!$F$28,Tabla11[[#This Row],[Cuenta]],1))</f>
        <v>1</v>
      </c>
      <c r="BD48" t="b">
        <f>+ISNUMBER(SEARCH(CompConta!$F$29,Tabla11[[#This Row],[Cuenta]],1))</f>
        <v>1</v>
      </c>
      <c r="BE48" t="b">
        <f>+ISNUMBER(SEARCH(CompConta!$F$30,Tabla11[[#This Row],[Cuenta]],1))</f>
        <v>1</v>
      </c>
      <c r="BF48" t="b">
        <f>+ISNUMBER(SEARCH('PAGO Compras'!$E$11,Tabla11[[#This Row],[Cuenta]],1))</f>
        <v>1</v>
      </c>
      <c r="BG48" t="b">
        <f>+ISNUMBER(SEARCH(#REF!,Tabla11[[#This Row],[Cuenta]],1))</f>
        <v>0</v>
      </c>
      <c r="BH48" t="b">
        <f>+ISNUMBER(SEARCH(#REF!,Tabla11[[#This Row],[Cuenta]],1))</f>
        <v>0</v>
      </c>
      <c r="BI48" t="b">
        <f>+ISNUMBER(SEARCH(#REF!,Tabla11[[#This Row],[Cuenta]],1))</f>
        <v>0</v>
      </c>
      <c r="BJ48" t="b">
        <f>+ISNUMBER(SEARCH(#REF!,Tabla11[[#This Row],[Cuenta]],1))</f>
        <v>0</v>
      </c>
      <c r="BS48" t="str">
        <v>135505 Anticipo de impuestos de renta y complementar</v>
      </c>
      <c r="BT48" t="str">
        <v>135505 Anticipo de impuestos de renta y complementar</v>
      </c>
      <c r="BU48" t="str">
        <v>135505 Anticipo de impuestos de renta y complementar</v>
      </c>
      <c r="BV48" t="str">
        <v>135505 Anticipo de impuestos de renta y complementar</v>
      </c>
      <c r="BZ48" t="str">
        <v>135505 Anticipo de impuestos de renta y complementar</v>
      </c>
      <c r="CA48" t="str">
        <v>135505 Anticipo de impuestos de renta y complementar</v>
      </c>
      <c r="CB48" t="str">
        <v>135505 Anticipo de impuestos de renta y complementar</v>
      </c>
      <c r="CC48" t="str">
        <v>135505 Anticipo de impuestos de renta y complementar</v>
      </c>
      <c r="CD48" t="str">
        <v>135505 Anticipo de impuestos de renta y complementar</v>
      </c>
      <c r="CE48" t="str">
        <v>135505 Anticipo de impuestos de renta y complementar</v>
      </c>
      <c r="CS48" s="141" t="str">
        <v>135505 Anticipo de impuestos de renta y complementar</v>
      </c>
      <c r="CT48" s="141" t="str">
        <v>135505 Anticipo de impuestos de renta y complementar</v>
      </c>
      <c r="CU48" s="141" t="str">
        <v>135505 Anticipo de impuestos de renta y complementar</v>
      </c>
      <c r="CV48" s="141" t="str">
        <v>135505 Anticipo de impuestos de renta y complementar</v>
      </c>
      <c r="CW48" s="141" t="str">
        <v>135505 Anticipo de impuestos de renta y complementar</v>
      </c>
      <c r="CX48" s="141" t="str">
        <v>135505 Anticipo de impuestos de renta y complementar</v>
      </c>
      <c r="CY48" s="141" t="str">
        <v>135505 Anticipo de impuestos de renta y complementar</v>
      </c>
      <c r="CZ48" s="141" t="str">
        <v>135505 Anticipo de impuestos de renta y complementar</v>
      </c>
      <c r="DA48" s="141" t="str">
        <v>135505 Anticipo de impuestos de renta y complementar</v>
      </c>
      <c r="DF48" t="str">
        <v>135505 Anticipo de impuestos de renta y complementar</v>
      </c>
      <c r="DG48" t="str">
        <v>135505 Anticipo de impuestos de renta y complementar</v>
      </c>
      <c r="DH48" t="str">
        <v>135505 Anticipo de impuestos de renta y complementar</v>
      </c>
      <c r="DI48" t="str">
        <v>135505 Anticipo de impuestos de renta y complementar</v>
      </c>
      <c r="DJ48" t="str">
        <v>135505 Anticipo de impuestos de renta y complementar</v>
      </c>
      <c r="DK48" t="str">
        <v>135505 Anticipo de impuestos de renta y complementar</v>
      </c>
      <c r="DL48" t="str">
        <v>135505 Anticipo de impuestos de renta y complementar</v>
      </c>
      <c r="DM48" t="str">
        <v>135505 Anticipo de impuestos de renta y complementar</v>
      </c>
      <c r="DN48" t="str">
        <v>135505 Anticipo de impuestos de renta y complementar</v>
      </c>
      <c r="DO48" t="str">
        <v>135505 Anticipo de impuestos de renta y complementar</v>
      </c>
      <c r="DP48" t="str">
        <v>135505 Anticipo de impuestos de renta y complementar</v>
      </c>
    </row>
    <row r="49" spans="4:120" ht="12.75">
      <c r="D49" s="7">
        <v>135510</v>
      </c>
      <c r="E49" s="6" t="s">
        <v>84</v>
      </c>
      <c r="F49" s="5">
        <v>4</v>
      </c>
      <c r="G49" s="34" t="s">
        <v>821</v>
      </c>
      <c r="H49" s="8" t="s">
        <v>32</v>
      </c>
      <c r="I49" t="b">
        <f>+ISNUMBER(SEARCH('F-COMPRA'!$F$28,Tabla11[[#This Row],[Cuenta]],1))</f>
        <v>1</v>
      </c>
      <c r="J49" t="b">
        <f>+ISNUMBER(SEARCH('F-COMPRA'!$F$29,Tabla11[[#This Row],[Cuenta]],1))</f>
        <v>1</v>
      </c>
      <c r="K49" t="b">
        <f>+ISNUMBER(SEARCH('F-COMPRA'!$F$30,Tabla11[[#This Row],[Cuenta]],1))</f>
        <v>1</v>
      </c>
      <c r="L49" t="b">
        <f>+ISNUMBER(SEARCH('F-COMPRA'!$F$31,Tabla11[[#This Row],[Cuenta]],1))</f>
        <v>1</v>
      </c>
      <c r="M49" t="b">
        <f>+ISNUMBER(SEARCH('F-COMPRA'!$G$25,Tabla11[[#This Row],[Cuenta]],1))</f>
        <v>0</v>
      </c>
      <c r="N49" t="b">
        <f>+ISNUMBER(SEARCH(#REF!,Tabla11[[#This Row],[Cuenta]],1))</f>
        <v>0</v>
      </c>
      <c r="O49" t="b">
        <f>+ISNUMBER(SEARCH(#REF!,Tabla11[[#This Row],[Cuenta]],1))</f>
        <v>0</v>
      </c>
      <c r="P49" t="b">
        <f>+ISNUMBER(SEARCH('F-COMPRA'!$F$32,Tabla11[[#This Row],[Cuenta]],1))</f>
        <v>1</v>
      </c>
      <c r="Q49" t="b">
        <f>+ISNUMBER(SEARCH('F-COMPRA'!$F$33,Tabla11[[#This Row],[Cuenta]],1))</f>
        <v>1</v>
      </c>
      <c r="R49" t="b">
        <f>+ISNUMBER(SEARCH('F-COMPRA'!$F$34,Tabla11[[#This Row],[Cuenta]],1))</f>
        <v>1</v>
      </c>
      <c r="S49" t="b">
        <f>+ISNUMBER(SEARCH('F-COMPRA'!$F$35,Tabla11[[#This Row],[Cuenta]],1))</f>
        <v>1</v>
      </c>
      <c r="T49" t="b">
        <f>+ISNUMBER(SEARCH('F-COMPRA'!$F$36,Tabla11[[#This Row],[Cuenta]],1))</f>
        <v>1</v>
      </c>
      <c r="U49" t="b">
        <f>+ISNUMBER(SEARCH('F-COMPRA'!$F$37,Tabla11[[#This Row],[Cuenta]],1))</f>
        <v>1</v>
      </c>
      <c r="V49" t="b">
        <f>+ISNUMBER(SEARCH(#REF!,Tabla11[[#This Row],[Cuenta]],1))</f>
        <v>0</v>
      </c>
      <c r="W49" t="b">
        <f>+ISNUMBER(SEARCH('F-COMPRA'!#REF!,Tabla11[[#This Row],[Cuenta]],1))</f>
        <v>0</v>
      </c>
      <c r="X49" t="b">
        <f>+ISNUMBER(SEARCH('F-COMPRA'!#REF!,Tabla11[[#This Row],[Cuenta]],1))</f>
        <v>0</v>
      </c>
      <c r="Y49" t="b">
        <f>+ISNUMBER(SEARCH('F-COMPRA'!#REF!,Tabla11[[#This Row],[Cuenta]],1))</f>
        <v>0</v>
      </c>
      <c r="Z49" t="b">
        <f>+ISNUMBER(SEARCH('F-COMPRA'!#REF!,Tabla11[[#This Row],[Cuenta]],1))</f>
        <v>0</v>
      </c>
      <c r="AA49" t="b">
        <f>+ISNUMBER(SEARCH('F-COMPRA'!#REF!,Tabla11[[#This Row],[Cuenta]],1))</f>
        <v>0</v>
      </c>
      <c r="AB49" t="b">
        <f>+ISNUMBER(SEARCH('F-COMPRA'!#REF!,Tabla11[[#This Row],[Cuenta]],1))</f>
        <v>0</v>
      </c>
      <c r="AC49" t="b">
        <f>+ISNUMBER(SEARCH('F-COMPRA'!#REF!,Tabla11[[#This Row],[Cuenta]],1))</f>
        <v>0</v>
      </c>
      <c r="AD49" t="b">
        <f>+ISNUMBER(SEARCH('F-COMPRA'!#REF!,Tabla11[[#This Row],[Cuenta]],1))</f>
        <v>0</v>
      </c>
      <c r="AE49" t="b">
        <f>+ISNUMBER(SEARCH('F-COMPRA'!#REF!,Tabla11[[#This Row],[Cuenta]],1))</f>
        <v>0</v>
      </c>
      <c r="AF49" t="b">
        <f>+ISNUMBER(SEARCH('F-VTA'!$G$23,Tabla11[[#This Row],[Cuenta]],1))</f>
        <v>0</v>
      </c>
      <c r="AG49" t="b">
        <f>+ISNUMBER(SEARCH('F-VTA'!$G$24,Tabla11[[#This Row],[Cuenta]],1))</f>
        <v>0</v>
      </c>
      <c r="AH49" t="b">
        <f>+ISNUMBER(SEARCH('F-VTA'!$G$25,Tabla11[[#This Row],[Cuenta]],1))</f>
        <v>0</v>
      </c>
      <c r="AI49" t="b">
        <f>+ISNUMBER(SEARCH('F-VTA'!$F$28,Tabla11[[#This Row],[Cuenta]],1))</f>
        <v>1</v>
      </c>
      <c r="AJ49" t="b">
        <f>+ISNUMBER(SEARCH('F-VTA'!$F$29,Tabla11[[#This Row],[Cuenta]],1))</f>
        <v>1</v>
      </c>
      <c r="AK49" t="b">
        <f>+ISNUMBER(SEARCH('F-VTA'!$F$30,Tabla11[[#This Row],[Cuenta]],1))</f>
        <v>1</v>
      </c>
      <c r="AL49" t="b">
        <f>+ISNUMBER(SEARCH('F-VTA'!$F$31,Tabla11[[#This Row],[Cuenta]],1))</f>
        <v>1</v>
      </c>
      <c r="AM49" t="b">
        <f>+ISNUMBER(SEARCH('F-VTA'!$F$32,Tabla11[[#This Row],[Cuenta]],1))</f>
        <v>1</v>
      </c>
      <c r="AN49" t="b">
        <f>+ISNUMBER(SEARCH('F-VTA'!$F$33,Tabla11[[#This Row],[Cuenta]],1))</f>
        <v>1</v>
      </c>
      <c r="AO49" t="b">
        <f>+ISNUMBER(SEARCH('F-VTA'!$F$34,Tabla11[[#This Row],[Cuenta]],1))</f>
        <v>1</v>
      </c>
      <c r="AP49" t="b">
        <f>+ISNUMBER(SEARCH('F-VTA'!$F$35,Tabla11[[#This Row],[Cuenta]],1))</f>
        <v>1</v>
      </c>
      <c r="AQ49" t="b">
        <f>+ISNUMBER(SEARCH('F-VTA'!$F$36,Tabla11[[#This Row],[Cuenta]],1))</f>
        <v>1</v>
      </c>
      <c r="AR49" t="b">
        <f>+ISNUMBER(SEARCH(#REF!,Tabla11[[#This Row],[Cuenta]],1))</f>
        <v>0</v>
      </c>
      <c r="AS49" t="b">
        <f>+ISNUMBER(SEARCH(#REF!,Tabla11[[#This Row],[Cuenta]],1))</f>
        <v>0</v>
      </c>
      <c r="AT49" t="b">
        <f>+ISNUMBER(SEARCH(#REF!,Tabla11[[#This Row],[Cuenta]],1))</f>
        <v>0</v>
      </c>
      <c r="AU49" t="b">
        <f>+ISNUMBER(SEARCH('Conc. Ban.1'!$I$9,Tabla11[[#This Row],[Cuenta]],1))</f>
        <v>0</v>
      </c>
      <c r="AV49" t="b">
        <f>+ISNUMBER(SEARCH(CompConta!$F$21,Tabla11[[#This Row],[Cuenta]],1))</f>
        <v>1</v>
      </c>
      <c r="AW49" t="b">
        <f>+ISNUMBER(SEARCH(CompConta!$F$22,Tabla11[[#This Row],[Cuenta]],1))</f>
        <v>1</v>
      </c>
      <c r="AX49" t="b">
        <f>+ISNUMBER(SEARCH(CompConta!$F$23,Tabla11[[#This Row],[Cuenta]],1))</f>
        <v>1</v>
      </c>
      <c r="AY49" t="b">
        <f>+ISNUMBER(SEARCH(CompConta!$F$24,Tabla11[[#This Row],[Cuenta]],1))</f>
        <v>1</v>
      </c>
      <c r="AZ49" t="b">
        <f>+ISNUMBER(SEARCH(CompConta!$F$25,Tabla11[[#This Row],[Cuenta]],1))</f>
        <v>1</v>
      </c>
      <c r="BA49" t="b">
        <f>+ISNUMBER(SEARCH(CompConta!$F$26,Tabla11[[#This Row],[Cuenta]],1))</f>
        <v>1</v>
      </c>
      <c r="BB49" t="b">
        <f>+ISNUMBER(SEARCH(CompConta!$F$27,Tabla11[[#This Row],[Cuenta]],1))</f>
        <v>1</v>
      </c>
      <c r="BC49" t="b">
        <f>+ISNUMBER(SEARCH(CompConta!$F$28,Tabla11[[#This Row],[Cuenta]],1))</f>
        <v>1</v>
      </c>
      <c r="BD49" t="b">
        <f>+ISNUMBER(SEARCH(CompConta!$F$29,Tabla11[[#This Row],[Cuenta]],1))</f>
        <v>1</v>
      </c>
      <c r="BE49" t="b">
        <f>+ISNUMBER(SEARCH(CompConta!$F$30,Tabla11[[#This Row],[Cuenta]],1))</f>
        <v>1</v>
      </c>
      <c r="BF49" t="b">
        <f>+ISNUMBER(SEARCH('PAGO Compras'!$E$11,Tabla11[[#This Row],[Cuenta]],1))</f>
        <v>1</v>
      </c>
      <c r="BG49" t="b">
        <f>+ISNUMBER(SEARCH(#REF!,Tabla11[[#This Row],[Cuenta]],1))</f>
        <v>0</v>
      </c>
      <c r="BH49" t="b">
        <f>+ISNUMBER(SEARCH(#REF!,Tabla11[[#This Row],[Cuenta]],1))</f>
        <v>0</v>
      </c>
      <c r="BI49" t="b">
        <f>+ISNUMBER(SEARCH(#REF!,Tabla11[[#This Row],[Cuenta]],1))</f>
        <v>0</v>
      </c>
      <c r="BJ49" t="b">
        <f>+ISNUMBER(SEARCH(#REF!,Tabla11[[#This Row],[Cuenta]],1))</f>
        <v>0</v>
      </c>
      <c r="BS49" t="str">
        <v>135510 Anticipo de impuestos de industria y comercio</v>
      </c>
      <c r="BT49" t="str">
        <v>135510 Anticipo de impuestos de industria y comercio</v>
      </c>
      <c r="BU49" t="str">
        <v>135510 Anticipo de impuestos de industria y comercio</v>
      </c>
      <c r="BV49" t="str">
        <v>135510 Anticipo de impuestos de industria y comercio</v>
      </c>
      <c r="BZ49" t="str">
        <v>135510 Anticipo de impuestos de industria y comercio</v>
      </c>
      <c r="CA49" t="str">
        <v>135510 Anticipo de impuestos de industria y comercio</v>
      </c>
      <c r="CB49" t="str">
        <v>135510 Anticipo de impuestos de industria y comercio</v>
      </c>
      <c r="CC49" t="str">
        <v>135510 Anticipo de impuestos de industria y comercio</v>
      </c>
      <c r="CD49" t="str">
        <v>135510 Anticipo de impuestos de industria y comercio</v>
      </c>
      <c r="CE49" t="str">
        <v>135510 Anticipo de impuestos de industria y comercio</v>
      </c>
      <c r="CS49" s="141" t="str">
        <v>135510 Anticipo de impuestos de industria y comercio</v>
      </c>
      <c r="CT49" s="141" t="str">
        <v>135510 Anticipo de impuestos de industria y comercio</v>
      </c>
      <c r="CU49" s="141" t="str">
        <v>135510 Anticipo de impuestos de industria y comercio</v>
      </c>
      <c r="CV49" s="141" t="str">
        <v>135510 Anticipo de impuestos de industria y comercio</v>
      </c>
      <c r="CW49" s="141" t="str">
        <v>135510 Anticipo de impuestos de industria y comercio</v>
      </c>
      <c r="CX49" s="141" t="str">
        <v>135510 Anticipo de impuestos de industria y comercio</v>
      </c>
      <c r="CY49" s="141" t="str">
        <v>135510 Anticipo de impuestos de industria y comercio</v>
      </c>
      <c r="CZ49" s="141" t="str">
        <v>135510 Anticipo de impuestos de industria y comercio</v>
      </c>
      <c r="DA49" s="141" t="str">
        <v>135510 Anticipo de impuestos de industria y comercio</v>
      </c>
      <c r="DF49" t="str">
        <v>135510 Anticipo de impuestos de industria y comercio</v>
      </c>
      <c r="DG49" t="str">
        <v>135510 Anticipo de impuestos de industria y comercio</v>
      </c>
      <c r="DH49" t="str">
        <v>135510 Anticipo de impuestos de industria y comercio</v>
      </c>
      <c r="DI49" t="str">
        <v>135510 Anticipo de impuestos de industria y comercio</v>
      </c>
      <c r="DJ49" t="str">
        <v>135510 Anticipo de impuestos de industria y comercio</v>
      </c>
      <c r="DK49" t="str">
        <v>135510 Anticipo de impuestos de industria y comercio</v>
      </c>
      <c r="DL49" t="str">
        <v>135510 Anticipo de impuestos de industria y comercio</v>
      </c>
      <c r="DM49" t="str">
        <v>135510 Anticipo de impuestos de industria y comercio</v>
      </c>
      <c r="DN49" t="str">
        <v>135510 Anticipo de impuestos de industria y comercio</v>
      </c>
      <c r="DO49" t="str">
        <v>135510 Anticipo de impuestos de industria y comercio</v>
      </c>
      <c r="DP49" t="str">
        <v>135510 Anticipo de impuestos de industria y comercio</v>
      </c>
    </row>
    <row r="50" spans="4:120" ht="12.75">
      <c r="D50" s="7">
        <v>135515</v>
      </c>
      <c r="E50" s="6" t="s">
        <v>85</v>
      </c>
      <c r="F50" s="5">
        <v>4</v>
      </c>
      <c r="G50" s="34" t="s">
        <v>821</v>
      </c>
      <c r="H50" s="8" t="s">
        <v>32</v>
      </c>
      <c r="I50" t="b">
        <f>+ISNUMBER(SEARCH('F-COMPRA'!$F$28,Tabla11[[#This Row],[Cuenta]],1))</f>
        <v>1</v>
      </c>
      <c r="J50" t="b">
        <f>+ISNUMBER(SEARCH('F-COMPRA'!$F$29,Tabla11[[#This Row],[Cuenta]],1))</f>
        <v>1</v>
      </c>
      <c r="K50" t="b">
        <f>+ISNUMBER(SEARCH('F-COMPRA'!$F$30,Tabla11[[#This Row],[Cuenta]],1))</f>
        <v>1</v>
      </c>
      <c r="L50" t="b">
        <f>+ISNUMBER(SEARCH('F-COMPRA'!$F$31,Tabla11[[#This Row],[Cuenta]],1))</f>
        <v>1</v>
      </c>
      <c r="M50" t="b">
        <f>+ISNUMBER(SEARCH('F-COMPRA'!$G$25,Tabla11[[#This Row],[Cuenta]],1))</f>
        <v>0</v>
      </c>
      <c r="N50" t="b">
        <f>+ISNUMBER(SEARCH(#REF!,Tabla11[[#This Row],[Cuenta]],1))</f>
        <v>0</v>
      </c>
      <c r="O50" t="b">
        <f>+ISNUMBER(SEARCH(#REF!,Tabla11[[#This Row],[Cuenta]],1))</f>
        <v>0</v>
      </c>
      <c r="P50" t="b">
        <f>+ISNUMBER(SEARCH('F-COMPRA'!$F$32,Tabla11[[#This Row],[Cuenta]],1))</f>
        <v>1</v>
      </c>
      <c r="Q50" t="b">
        <f>+ISNUMBER(SEARCH('F-COMPRA'!$F$33,Tabla11[[#This Row],[Cuenta]],1))</f>
        <v>1</v>
      </c>
      <c r="R50" t="b">
        <f>+ISNUMBER(SEARCH('F-COMPRA'!$F$34,Tabla11[[#This Row],[Cuenta]],1))</f>
        <v>1</v>
      </c>
      <c r="S50" t="b">
        <f>+ISNUMBER(SEARCH('F-COMPRA'!$F$35,Tabla11[[#This Row],[Cuenta]],1))</f>
        <v>1</v>
      </c>
      <c r="T50" t="b">
        <f>+ISNUMBER(SEARCH('F-COMPRA'!$F$36,Tabla11[[#This Row],[Cuenta]],1))</f>
        <v>1</v>
      </c>
      <c r="U50" t="b">
        <f>+ISNUMBER(SEARCH('F-COMPRA'!$F$37,Tabla11[[#This Row],[Cuenta]],1))</f>
        <v>1</v>
      </c>
      <c r="V50" t="b">
        <f>+ISNUMBER(SEARCH(#REF!,Tabla11[[#This Row],[Cuenta]],1))</f>
        <v>0</v>
      </c>
      <c r="W50" t="b">
        <f>+ISNUMBER(SEARCH('F-COMPRA'!#REF!,Tabla11[[#This Row],[Cuenta]],1))</f>
        <v>0</v>
      </c>
      <c r="X50" t="b">
        <f>+ISNUMBER(SEARCH('F-COMPRA'!#REF!,Tabla11[[#This Row],[Cuenta]],1))</f>
        <v>0</v>
      </c>
      <c r="Y50" t="b">
        <f>+ISNUMBER(SEARCH('F-COMPRA'!#REF!,Tabla11[[#This Row],[Cuenta]],1))</f>
        <v>0</v>
      </c>
      <c r="Z50" t="b">
        <f>+ISNUMBER(SEARCH('F-COMPRA'!#REF!,Tabla11[[#This Row],[Cuenta]],1))</f>
        <v>0</v>
      </c>
      <c r="AA50" t="b">
        <f>+ISNUMBER(SEARCH('F-COMPRA'!#REF!,Tabla11[[#This Row],[Cuenta]],1))</f>
        <v>0</v>
      </c>
      <c r="AB50" t="b">
        <f>+ISNUMBER(SEARCH('F-COMPRA'!#REF!,Tabla11[[#This Row],[Cuenta]],1))</f>
        <v>0</v>
      </c>
      <c r="AC50" t="b">
        <f>+ISNUMBER(SEARCH('F-COMPRA'!#REF!,Tabla11[[#This Row],[Cuenta]],1))</f>
        <v>0</v>
      </c>
      <c r="AD50" t="b">
        <f>+ISNUMBER(SEARCH('F-COMPRA'!#REF!,Tabla11[[#This Row],[Cuenta]],1))</f>
        <v>0</v>
      </c>
      <c r="AE50" t="b">
        <f>+ISNUMBER(SEARCH('F-COMPRA'!#REF!,Tabla11[[#This Row],[Cuenta]],1))</f>
        <v>0</v>
      </c>
      <c r="AF50" t="b">
        <f>+ISNUMBER(SEARCH('F-VTA'!$G$23,Tabla11[[#This Row],[Cuenta]],1))</f>
        <v>0</v>
      </c>
      <c r="AG50" t="b">
        <f>+ISNUMBER(SEARCH('F-VTA'!$G$24,Tabla11[[#This Row],[Cuenta]],1))</f>
        <v>0</v>
      </c>
      <c r="AH50" t="b">
        <f>+ISNUMBER(SEARCH('F-VTA'!$G$25,Tabla11[[#This Row],[Cuenta]],1))</f>
        <v>0</v>
      </c>
      <c r="AI50" t="b">
        <f>+ISNUMBER(SEARCH('F-VTA'!$F$28,Tabla11[[#This Row],[Cuenta]],1))</f>
        <v>1</v>
      </c>
      <c r="AJ50" t="b">
        <f>+ISNUMBER(SEARCH('F-VTA'!$F$29,Tabla11[[#This Row],[Cuenta]],1))</f>
        <v>1</v>
      </c>
      <c r="AK50" t="b">
        <f>+ISNUMBER(SEARCH('F-VTA'!$F$30,Tabla11[[#This Row],[Cuenta]],1))</f>
        <v>1</v>
      </c>
      <c r="AL50" t="b">
        <f>+ISNUMBER(SEARCH('F-VTA'!$F$31,Tabla11[[#This Row],[Cuenta]],1))</f>
        <v>1</v>
      </c>
      <c r="AM50" t="b">
        <f>+ISNUMBER(SEARCH('F-VTA'!$F$32,Tabla11[[#This Row],[Cuenta]],1))</f>
        <v>1</v>
      </c>
      <c r="AN50" t="b">
        <f>+ISNUMBER(SEARCH('F-VTA'!$F$33,Tabla11[[#This Row],[Cuenta]],1))</f>
        <v>1</v>
      </c>
      <c r="AO50" t="b">
        <f>+ISNUMBER(SEARCH('F-VTA'!$F$34,Tabla11[[#This Row],[Cuenta]],1))</f>
        <v>1</v>
      </c>
      <c r="AP50" t="b">
        <f>+ISNUMBER(SEARCH('F-VTA'!$F$35,Tabla11[[#This Row],[Cuenta]],1))</f>
        <v>1</v>
      </c>
      <c r="AQ50" t="b">
        <f>+ISNUMBER(SEARCH('F-VTA'!$F$36,Tabla11[[#This Row],[Cuenta]],1))</f>
        <v>1</v>
      </c>
      <c r="AR50" t="b">
        <f>+ISNUMBER(SEARCH(#REF!,Tabla11[[#This Row],[Cuenta]],1))</f>
        <v>0</v>
      </c>
      <c r="AS50" t="b">
        <f>+ISNUMBER(SEARCH(#REF!,Tabla11[[#This Row],[Cuenta]],1))</f>
        <v>0</v>
      </c>
      <c r="AT50" t="b">
        <f>+ISNUMBER(SEARCH(#REF!,Tabla11[[#This Row],[Cuenta]],1))</f>
        <v>0</v>
      </c>
      <c r="AU50" t="b">
        <f>+ISNUMBER(SEARCH('Conc. Ban.1'!$I$9,Tabla11[[#This Row],[Cuenta]],1))</f>
        <v>0</v>
      </c>
      <c r="AV50" t="b">
        <f>+ISNUMBER(SEARCH(CompConta!$F$21,Tabla11[[#This Row],[Cuenta]],1))</f>
        <v>1</v>
      </c>
      <c r="AW50" t="b">
        <f>+ISNUMBER(SEARCH(CompConta!$F$22,Tabla11[[#This Row],[Cuenta]],1))</f>
        <v>1</v>
      </c>
      <c r="AX50" t="b">
        <f>+ISNUMBER(SEARCH(CompConta!$F$23,Tabla11[[#This Row],[Cuenta]],1))</f>
        <v>1</v>
      </c>
      <c r="AY50" t="b">
        <f>+ISNUMBER(SEARCH(CompConta!$F$24,Tabla11[[#This Row],[Cuenta]],1))</f>
        <v>1</v>
      </c>
      <c r="AZ50" t="b">
        <f>+ISNUMBER(SEARCH(CompConta!$F$25,Tabla11[[#This Row],[Cuenta]],1))</f>
        <v>1</v>
      </c>
      <c r="BA50" t="b">
        <f>+ISNUMBER(SEARCH(CompConta!$F$26,Tabla11[[#This Row],[Cuenta]],1))</f>
        <v>1</v>
      </c>
      <c r="BB50" t="b">
        <f>+ISNUMBER(SEARCH(CompConta!$F$27,Tabla11[[#This Row],[Cuenta]],1))</f>
        <v>1</v>
      </c>
      <c r="BC50" t="b">
        <f>+ISNUMBER(SEARCH(CompConta!$F$28,Tabla11[[#This Row],[Cuenta]],1))</f>
        <v>1</v>
      </c>
      <c r="BD50" t="b">
        <f>+ISNUMBER(SEARCH(CompConta!$F$29,Tabla11[[#This Row],[Cuenta]],1))</f>
        <v>1</v>
      </c>
      <c r="BE50" t="b">
        <f>+ISNUMBER(SEARCH(CompConta!$F$30,Tabla11[[#This Row],[Cuenta]],1))</f>
        <v>1</v>
      </c>
      <c r="BF50" t="b">
        <f>+ISNUMBER(SEARCH('PAGO Compras'!$E$11,Tabla11[[#This Row],[Cuenta]],1))</f>
        <v>1</v>
      </c>
      <c r="BG50" t="b">
        <f>+ISNUMBER(SEARCH(#REF!,Tabla11[[#This Row],[Cuenta]],1))</f>
        <v>0</v>
      </c>
      <c r="BH50" t="b">
        <f>+ISNUMBER(SEARCH(#REF!,Tabla11[[#This Row],[Cuenta]],1))</f>
        <v>0</v>
      </c>
      <c r="BI50" t="b">
        <f>+ISNUMBER(SEARCH(#REF!,Tabla11[[#This Row],[Cuenta]],1))</f>
        <v>0</v>
      </c>
      <c r="BJ50" t="b">
        <f>+ISNUMBER(SEARCH(#REF!,Tabla11[[#This Row],[Cuenta]],1))</f>
        <v>0</v>
      </c>
      <c r="BS50" t="str">
        <v>135515 Retención en la fuente</v>
      </c>
      <c r="BT50" t="str">
        <v>135515 Retención en la fuente</v>
      </c>
      <c r="BU50" t="str">
        <v>135515 Retención en la fuente</v>
      </c>
      <c r="BV50" t="str">
        <v>135515 Retención en la fuente</v>
      </c>
      <c r="BZ50" t="str">
        <v>135515 Retención en la fuente</v>
      </c>
      <c r="CA50" t="str">
        <v>135515 Retención en la fuente</v>
      </c>
      <c r="CB50" t="str">
        <v>135515 Retención en la fuente</v>
      </c>
      <c r="CC50" t="str">
        <v>135515 Retención en la fuente</v>
      </c>
      <c r="CD50" t="str">
        <v>135515 Retención en la fuente</v>
      </c>
      <c r="CE50" t="str">
        <v>135515 Retención en la fuente</v>
      </c>
      <c r="CS50" s="141" t="str">
        <v>135515 Retención en la fuente</v>
      </c>
      <c r="CT50" s="141" t="str">
        <v>135515 Retención en la fuente</v>
      </c>
      <c r="CU50" s="141" t="str">
        <v>135515 Retención en la fuente</v>
      </c>
      <c r="CV50" s="141" t="str">
        <v>135515 Retención en la fuente</v>
      </c>
      <c r="CW50" s="141" t="str">
        <v>135515 Retención en la fuente</v>
      </c>
      <c r="CX50" s="141" t="str">
        <v>135515 Retención en la fuente</v>
      </c>
      <c r="CY50" s="141" t="str">
        <v>135515 Retención en la fuente</v>
      </c>
      <c r="CZ50" s="141" t="str">
        <v>135515 Retención en la fuente</v>
      </c>
      <c r="DA50" s="141" t="str">
        <v>135515 Retención en la fuente</v>
      </c>
      <c r="DF50" t="str">
        <v>135515 Retención en la fuente</v>
      </c>
      <c r="DG50" t="str">
        <v>135515 Retención en la fuente</v>
      </c>
      <c r="DH50" t="str">
        <v>135515 Retención en la fuente</v>
      </c>
      <c r="DI50" t="str">
        <v>135515 Retención en la fuente</v>
      </c>
      <c r="DJ50" t="str">
        <v>135515 Retención en la fuente</v>
      </c>
      <c r="DK50" t="str">
        <v>135515 Retención en la fuente</v>
      </c>
      <c r="DL50" t="str">
        <v>135515 Retención en la fuente</v>
      </c>
      <c r="DM50" t="str">
        <v>135515 Retención en la fuente</v>
      </c>
      <c r="DN50" t="str">
        <v>135515 Retención en la fuente</v>
      </c>
      <c r="DO50" t="str">
        <v>135515 Retención en la fuente</v>
      </c>
      <c r="DP50" t="str">
        <v>135515 Retención en la fuente</v>
      </c>
    </row>
    <row r="51" spans="4:120" ht="12.75">
      <c r="D51" s="7">
        <v>135517</v>
      </c>
      <c r="E51" s="6" t="s">
        <v>86</v>
      </c>
      <c r="F51" s="5">
        <v>4</v>
      </c>
      <c r="G51" s="34" t="s">
        <v>821</v>
      </c>
      <c r="H51" s="8" t="s">
        <v>32</v>
      </c>
      <c r="I51" t="b">
        <f>+ISNUMBER(SEARCH('F-COMPRA'!$F$28,Tabla11[[#This Row],[Cuenta]],1))</f>
        <v>1</v>
      </c>
      <c r="J51" t="b">
        <f>+ISNUMBER(SEARCH('F-COMPRA'!$F$29,Tabla11[[#This Row],[Cuenta]],1))</f>
        <v>1</v>
      </c>
      <c r="K51" t="b">
        <f>+ISNUMBER(SEARCH('F-COMPRA'!$F$30,Tabla11[[#This Row],[Cuenta]],1))</f>
        <v>1</v>
      </c>
      <c r="L51" t="b">
        <f>+ISNUMBER(SEARCH('F-COMPRA'!$F$31,Tabla11[[#This Row],[Cuenta]],1))</f>
        <v>1</v>
      </c>
      <c r="M51" t="b">
        <f>+ISNUMBER(SEARCH('F-COMPRA'!$G$25,Tabla11[[#This Row],[Cuenta]],1))</f>
        <v>0</v>
      </c>
      <c r="N51" t="b">
        <f>+ISNUMBER(SEARCH(#REF!,Tabla11[[#This Row],[Cuenta]],1))</f>
        <v>0</v>
      </c>
      <c r="O51" t="b">
        <f>+ISNUMBER(SEARCH(#REF!,Tabla11[[#This Row],[Cuenta]],1))</f>
        <v>0</v>
      </c>
      <c r="P51" t="b">
        <f>+ISNUMBER(SEARCH('F-COMPRA'!$F$32,Tabla11[[#This Row],[Cuenta]],1))</f>
        <v>1</v>
      </c>
      <c r="Q51" t="b">
        <f>+ISNUMBER(SEARCH('F-COMPRA'!$F$33,Tabla11[[#This Row],[Cuenta]],1))</f>
        <v>1</v>
      </c>
      <c r="R51" t="b">
        <f>+ISNUMBER(SEARCH('F-COMPRA'!$F$34,Tabla11[[#This Row],[Cuenta]],1))</f>
        <v>1</v>
      </c>
      <c r="S51" t="b">
        <f>+ISNUMBER(SEARCH('F-COMPRA'!$F$35,Tabla11[[#This Row],[Cuenta]],1))</f>
        <v>1</v>
      </c>
      <c r="T51" t="b">
        <f>+ISNUMBER(SEARCH('F-COMPRA'!$F$36,Tabla11[[#This Row],[Cuenta]],1))</f>
        <v>1</v>
      </c>
      <c r="U51" t="b">
        <f>+ISNUMBER(SEARCH('F-COMPRA'!$F$37,Tabla11[[#This Row],[Cuenta]],1))</f>
        <v>1</v>
      </c>
      <c r="V51" t="b">
        <f>+ISNUMBER(SEARCH(#REF!,Tabla11[[#This Row],[Cuenta]],1))</f>
        <v>0</v>
      </c>
      <c r="W51" t="b">
        <f>+ISNUMBER(SEARCH('F-COMPRA'!#REF!,Tabla11[[#This Row],[Cuenta]],1))</f>
        <v>0</v>
      </c>
      <c r="X51" t="b">
        <f>+ISNUMBER(SEARCH('F-COMPRA'!#REF!,Tabla11[[#This Row],[Cuenta]],1))</f>
        <v>0</v>
      </c>
      <c r="Y51" t="b">
        <f>+ISNUMBER(SEARCH('F-COMPRA'!#REF!,Tabla11[[#This Row],[Cuenta]],1))</f>
        <v>0</v>
      </c>
      <c r="Z51" t="b">
        <f>+ISNUMBER(SEARCH('F-COMPRA'!#REF!,Tabla11[[#This Row],[Cuenta]],1))</f>
        <v>0</v>
      </c>
      <c r="AA51" t="b">
        <f>+ISNUMBER(SEARCH('F-COMPRA'!#REF!,Tabla11[[#This Row],[Cuenta]],1))</f>
        <v>0</v>
      </c>
      <c r="AB51" t="b">
        <f>+ISNUMBER(SEARCH('F-COMPRA'!#REF!,Tabla11[[#This Row],[Cuenta]],1))</f>
        <v>0</v>
      </c>
      <c r="AC51" t="b">
        <f>+ISNUMBER(SEARCH('F-COMPRA'!#REF!,Tabla11[[#This Row],[Cuenta]],1))</f>
        <v>0</v>
      </c>
      <c r="AD51" t="b">
        <f>+ISNUMBER(SEARCH('F-COMPRA'!#REF!,Tabla11[[#This Row],[Cuenta]],1))</f>
        <v>0</v>
      </c>
      <c r="AE51" t="b">
        <f>+ISNUMBER(SEARCH('F-COMPRA'!#REF!,Tabla11[[#This Row],[Cuenta]],1))</f>
        <v>0</v>
      </c>
      <c r="AF51" t="b">
        <f>+ISNUMBER(SEARCH('F-VTA'!$G$23,Tabla11[[#This Row],[Cuenta]],1))</f>
        <v>0</v>
      </c>
      <c r="AG51" t="b">
        <f>+ISNUMBER(SEARCH('F-VTA'!$G$24,Tabla11[[#This Row],[Cuenta]],1))</f>
        <v>0</v>
      </c>
      <c r="AH51" t="b">
        <f>+ISNUMBER(SEARCH('F-VTA'!$G$25,Tabla11[[#This Row],[Cuenta]],1))</f>
        <v>0</v>
      </c>
      <c r="AI51" t="b">
        <f>+ISNUMBER(SEARCH('F-VTA'!$F$28,Tabla11[[#This Row],[Cuenta]],1))</f>
        <v>1</v>
      </c>
      <c r="AJ51" t="b">
        <f>+ISNUMBER(SEARCH('F-VTA'!$F$29,Tabla11[[#This Row],[Cuenta]],1))</f>
        <v>1</v>
      </c>
      <c r="AK51" t="b">
        <f>+ISNUMBER(SEARCH('F-VTA'!$F$30,Tabla11[[#This Row],[Cuenta]],1))</f>
        <v>1</v>
      </c>
      <c r="AL51" t="b">
        <f>+ISNUMBER(SEARCH('F-VTA'!$F$31,Tabla11[[#This Row],[Cuenta]],1))</f>
        <v>1</v>
      </c>
      <c r="AM51" t="b">
        <f>+ISNUMBER(SEARCH('F-VTA'!$F$32,Tabla11[[#This Row],[Cuenta]],1))</f>
        <v>1</v>
      </c>
      <c r="AN51" t="b">
        <f>+ISNUMBER(SEARCH('F-VTA'!$F$33,Tabla11[[#This Row],[Cuenta]],1))</f>
        <v>1</v>
      </c>
      <c r="AO51" t="b">
        <f>+ISNUMBER(SEARCH('F-VTA'!$F$34,Tabla11[[#This Row],[Cuenta]],1))</f>
        <v>1</v>
      </c>
      <c r="AP51" t="b">
        <f>+ISNUMBER(SEARCH('F-VTA'!$F$35,Tabla11[[#This Row],[Cuenta]],1))</f>
        <v>1</v>
      </c>
      <c r="AQ51" t="b">
        <f>+ISNUMBER(SEARCH('F-VTA'!$F$36,Tabla11[[#This Row],[Cuenta]],1))</f>
        <v>1</v>
      </c>
      <c r="AR51" t="b">
        <f>+ISNUMBER(SEARCH(#REF!,Tabla11[[#This Row],[Cuenta]],1))</f>
        <v>0</v>
      </c>
      <c r="AS51" t="b">
        <f>+ISNUMBER(SEARCH(#REF!,Tabla11[[#This Row],[Cuenta]],1))</f>
        <v>0</v>
      </c>
      <c r="AT51" t="b">
        <f>+ISNUMBER(SEARCH(#REF!,Tabla11[[#This Row],[Cuenta]],1))</f>
        <v>0</v>
      </c>
      <c r="AU51" t="b">
        <f>+ISNUMBER(SEARCH('Conc. Ban.1'!$I$9,Tabla11[[#This Row],[Cuenta]],1))</f>
        <v>0</v>
      </c>
      <c r="AV51" t="b">
        <f>+ISNUMBER(SEARCH(CompConta!$F$21,Tabla11[[#This Row],[Cuenta]],1))</f>
        <v>1</v>
      </c>
      <c r="AW51" t="b">
        <f>+ISNUMBER(SEARCH(CompConta!$F$22,Tabla11[[#This Row],[Cuenta]],1))</f>
        <v>1</v>
      </c>
      <c r="AX51" t="b">
        <f>+ISNUMBER(SEARCH(CompConta!$F$23,Tabla11[[#This Row],[Cuenta]],1))</f>
        <v>1</v>
      </c>
      <c r="AY51" t="b">
        <f>+ISNUMBER(SEARCH(CompConta!$F$24,Tabla11[[#This Row],[Cuenta]],1))</f>
        <v>1</v>
      </c>
      <c r="AZ51" t="b">
        <f>+ISNUMBER(SEARCH(CompConta!$F$25,Tabla11[[#This Row],[Cuenta]],1))</f>
        <v>1</v>
      </c>
      <c r="BA51" t="b">
        <f>+ISNUMBER(SEARCH(CompConta!$F$26,Tabla11[[#This Row],[Cuenta]],1))</f>
        <v>1</v>
      </c>
      <c r="BB51" t="b">
        <f>+ISNUMBER(SEARCH(CompConta!$F$27,Tabla11[[#This Row],[Cuenta]],1))</f>
        <v>1</v>
      </c>
      <c r="BC51" t="b">
        <f>+ISNUMBER(SEARCH(CompConta!$F$28,Tabla11[[#This Row],[Cuenta]],1))</f>
        <v>1</v>
      </c>
      <c r="BD51" t="b">
        <f>+ISNUMBER(SEARCH(CompConta!$F$29,Tabla11[[#This Row],[Cuenta]],1))</f>
        <v>1</v>
      </c>
      <c r="BE51" t="b">
        <f>+ISNUMBER(SEARCH(CompConta!$F$30,Tabla11[[#This Row],[Cuenta]],1))</f>
        <v>1</v>
      </c>
      <c r="BF51" t="b">
        <f>+ISNUMBER(SEARCH('PAGO Compras'!$E$11,Tabla11[[#This Row],[Cuenta]],1))</f>
        <v>1</v>
      </c>
      <c r="BG51" t="b">
        <f>+ISNUMBER(SEARCH(#REF!,Tabla11[[#This Row],[Cuenta]],1))</f>
        <v>0</v>
      </c>
      <c r="BH51" t="b">
        <f>+ISNUMBER(SEARCH(#REF!,Tabla11[[#This Row],[Cuenta]],1))</f>
        <v>0</v>
      </c>
      <c r="BI51" t="b">
        <f>+ISNUMBER(SEARCH(#REF!,Tabla11[[#This Row],[Cuenta]],1))</f>
        <v>0</v>
      </c>
      <c r="BJ51" t="b">
        <f>+ISNUMBER(SEARCH(#REF!,Tabla11[[#This Row],[Cuenta]],1))</f>
        <v>0</v>
      </c>
      <c r="BS51" t="str">
        <v>135517 Impuesto a las ventas retenido</v>
      </c>
      <c r="BT51" t="str">
        <v>135517 Impuesto a las ventas retenido</v>
      </c>
      <c r="BU51" t="str">
        <v>135517 Impuesto a las ventas retenido</v>
      </c>
      <c r="BV51" t="str">
        <v>135517 Impuesto a las ventas retenido</v>
      </c>
      <c r="BZ51" t="str">
        <v>135517 Impuesto a las ventas retenido</v>
      </c>
      <c r="CA51" t="str">
        <v>135517 Impuesto a las ventas retenido</v>
      </c>
      <c r="CB51" t="str">
        <v>135517 Impuesto a las ventas retenido</v>
      </c>
      <c r="CC51" t="str">
        <v>135517 Impuesto a las ventas retenido</v>
      </c>
      <c r="CD51" t="str">
        <v>135517 Impuesto a las ventas retenido</v>
      </c>
      <c r="CE51" t="str">
        <v>135517 Impuesto a las ventas retenido</v>
      </c>
      <c r="CS51" s="141" t="str">
        <v>135517 Impuesto a las ventas retenido</v>
      </c>
      <c r="CT51" s="141" t="str">
        <v>135517 Impuesto a las ventas retenido</v>
      </c>
      <c r="CU51" s="141" t="str">
        <v>135517 Impuesto a las ventas retenido</v>
      </c>
      <c r="CV51" s="141" t="str">
        <v>135517 Impuesto a las ventas retenido</v>
      </c>
      <c r="CW51" s="141" t="str">
        <v>135517 Impuesto a las ventas retenido</v>
      </c>
      <c r="CX51" s="141" t="str">
        <v>135517 Impuesto a las ventas retenido</v>
      </c>
      <c r="CY51" s="141" t="str">
        <v>135517 Impuesto a las ventas retenido</v>
      </c>
      <c r="CZ51" s="141" t="str">
        <v>135517 Impuesto a las ventas retenido</v>
      </c>
      <c r="DA51" s="141" t="str">
        <v>135517 Impuesto a las ventas retenido</v>
      </c>
      <c r="DF51" t="str">
        <v>135517 Impuesto a las ventas retenido</v>
      </c>
      <c r="DG51" t="str">
        <v>135517 Impuesto a las ventas retenido</v>
      </c>
      <c r="DH51" t="str">
        <v>135517 Impuesto a las ventas retenido</v>
      </c>
      <c r="DI51" t="str">
        <v>135517 Impuesto a las ventas retenido</v>
      </c>
      <c r="DJ51" t="str">
        <v>135517 Impuesto a las ventas retenido</v>
      </c>
      <c r="DK51" t="str">
        <v>135517 Impuesto a las ventas retenido</v>
      </c>
      <c r="DL51" t="str">
        <v>135517 Impuesto a las ventas retenido</v>
      </c>
      <c r="DM51" t="str">
        <v>135517 Impuesto a las ventas retenido</v>
      </c>
      <c r="DN51" t="str">
        <v>135517 Impuesto a las ventas retenido</v>
      </c>
      <c r="DO51" t="str">
        <v>135517 Impuesto a las ventas retenido</v>
      </c>
      <c r="DP51" t="str">
        <v>135517 Impuesto a las ventas retenido</v>
      </c>
    </row>
    <row r="52" spans="4:120" ht="12.75">
      <c r="D52" s="7">
        <v>135518</v>
      </c>
      <c r="E52" s="6" t="s">
        <v>87</v>
      </c>
      <c r="F52" s="5">
        <v>4</v>
      </c>
      <c r="G52" s="34" t="s">
        <v>821</v>
      </c>
      <c r="H52" s="8" t="s">
        <v>32</v>
      </c>
      <c r="I52" t="b">
        <f>+ISNUMBER(SEARCH('F-COMPRA'!$F$28,Tabla11[[#This Row],[Cuenta]],1))</f>
        <v>1</v>
      </c>
      <c r="J52" t="b">
        <f>+ISNUMBER(SEARCH('F-COMPRA'!$F$29,Tabla11[[#This Row],[Cuenta]],1))</f>
        <v>1</v>
      </c>
      <c r="K52" t="b">
        <f>+ISNUMBER(SEARCH('F-COMPRA'!$F$30,Tabla11[[#This Row],[Cuenta]],1))</f>
        <v>1</v>
      </c>
      <c r="L52" t="b">
        <f>+ISNUMBER(SEARCH('F-COMPRA'!$F$31,Tabla11[[#This Row],[Cuenta]],1))</f>
        <v>1</v>
      </c>
      <c r="M52" t="b">
        <f>+ISNUMBER(SEARCH('F-COMPRA'!$G$25,Tabla11[[#This Row],[Cuenta]],1))</f>
        <v>0</v>
      </c>
      <c r="N52" t="b">
        <f>+ISNUMBER(SEARCH(#REF!,Tabla11[[#This Row],[Cuenta]],1))</f>
        <v>0</v>
      </c>
      <c r="O52" t="b">
        <f>+ISNUMBER(SEARCH(#REF!,Tabla11[[#This Row],[Cuenta]],1))</f>
        <v>0</v>
      </c>
      <c r="P52" t="b">
        <f>+ISNUMBER(SEARCH('F-COMPRA'!$F$32,Tabla11[[#This Row],[Cuenta]],1))</f>
        <v>1</v>
      </c>
      <c r="Q52" t="b">
        <f>+ISNUMBER(SEARCH('F-COMPRA'!$F$33,Tabla11[[#This Row],[Cuenta]],1))</f>
        <v>1</v>
      </c>
      <c r="R52" t="b">
        <f>+ISNUMBER(SEARCH('F-COMPRA'!$F$34,Tabla11[[#This Row],[Cuenta]],1))</f>
        <v>1</v>
      </c>
      <c r="S52" t="b">
        <f>+ISNUMBER(SEARCH('F-COMPRA'!$F$35,Tabla11[[#This Row],[Cuenta]],1))</f>
        <v>1</v>
      </c>
      <c r="T52" t="b">
        <f>+ISNUMBER(SEARCH('F-COMPRA'!$F$36,Tabla11[[#This Row],[Cuenta]],1))</f>
        <v>1</v>
      </c>
      <c r="U52" t="b">
        <f>+ISNUMBER(SEARCH('F-COMPRA'!$F$37,Tabla11[[#This Row],[Cuenta]],1))</f>
        <v>1</v>
      </c>
      <c r="V52" t="b">
        <f>+ISNUMBER(SEARCH(#REF!,Tabla11[[#This Row],[Cuenta]],1))</f>
        <v>0</v>
      </c>
      <c r="W52" t="b">
        <f>+ISNUMBER(SEARCH('F-COMPRA'!#REF!,Tabla11[[#This Row],[Cuenta]],1))</f>
        <v>0</v>
      </c>
      <c r="X52" t="b">
        <f>+ISNUMBER(SEARCH('F-COMPRA'!#REF!,Tabla11[[#This Row],[Cuenta]],1))</f>
        <v>0</v>
      </c>
      <c r="Y52" t="b">
        <f>+ISNUMBER(SEARCH('F-COMPRA'!#REF!,Tabla11[[#This Row],[Cuenta]],1))</f>
        <v>0</v>
      </c>
      <c r="Z52" t="b">
        <f>+ISNUMBER(SEARCH('F-COMPRA'!#REF!,Tabla11[[#This Row],[Cuenta]],1))</f>
        <v>0</v>
      </c>
      <c r="AA52" t="b">
        <f>+ISNUMBER(SEARCH('F-COMPRA'!#REF!,Tabla11[[#This Row],[Cuenta]],1))</f>
        <v>0</v>
      </c>
      <c r="AB52" t="b">
        <f>+ISNUMBER(SEARCH('F-COMPRA'!#REF!,Tabla11[[#This Row],[Cuenta]],1))</f>
        <v>0</v>
      </c>
      <c r="AC52" t="b">
        <f>+ISNUMBER(SEARCH('F-COMPRA'!#REF!,Tabla11[[#This Row],[Cuenta]],1))</f>
        <v>0</v>
      </c>
      <c r="AD52" t="b">
        <f>+ISNUMBER(SEARCH('F-COMPRA'!#REF!,Tabla11[[#This Row],[Cuenta]],1))</f>
        <v>0</v>
      </c>
      <c r="AE52" t="b">
        <f>+ISNUMBER(SEARCH('F-COMPRA'!#REF!,Tabla11[[#This Row],[Cuenta]],1))</f>
        <v>0</v>
      </c>
      <c r="AF52" t="b">
        <f>+ISNUMBER(SEARCH('F-VTA'!$G$23,Tabla11[[#This Row],[Cuenta]],1))</f>
        <v>0</v>
      </c>
      <c r="AG52" t="b">
        <f>+ISNUMBER(SEARCH('F-VTA'!$G$24,Tabla11[[#This Row],[Cuenta]],1))</f>
        <v>0</v>
      </c>
      <c r="AH52" t="b">
        <f>+ISNUMBER(SEARCH('F-VTA'!$G$25,Tabla11[[#This Row],[Cuenta]],1))</f>
        <v>0</v>
      </c>
      <c r="AI52" t="b">
        <f>+ISNUMBER(SEARCH('F-VTA'!$F$28,Tabla11[[#This Row],[Cuenta]],1))</f>
        <v>1</v>
      </c>
      <c r="AJ52" t="b">
        <f>+ISNUMBER(SEARCH('F-VTA'!$F$29,Tabla11[[#This Row],[Cuenta]],1))</f>
        <v>1</v>
      </c>
      <c r="AK52" t="b">
        <f>+ISNUMBER(SEARCH('F-VTA'!$F$30,Tabla11[[#This Row],[Cuenta]],1))</f>
        <v>1</v>
      </c>
      <c r="AL52" t="b">
        <f>+ISNUMBER(SEARCH('F-VTA'!$F$31,Tabla11[[#This Row],[Cuenta]],1))</f>
        <v>1</v>
      </c>
      <c r="AM52" t="b">
        <f>+ISNUMBER(SEARCH('F-VTA'!$F$32,Tabla11[[#This Row],[Cuenta]],1))</f>
        <v>1</v>
      </c>
      <c r="AN52" t="b">
        <f>+ISNUMBER(SEARCH('F-VTA'!$F$33,Tabla11[[#This Row],[Cuenta]],1))</f>
        <v>1</v>
      </c>
      <c r="AO52" t="b">
        <f>+ISNUMBER(SEARCH('F-VTA'!$F$34,Tabla11[[#This Row],[Cuenta]],1))</f>
        <v>1</v>
      </c>
      <c r="AP52" t="b">
        <f>+ISNUMBER(SEARCH('F-VTA'!$F$35,Tabla11[[#This Row],[Cuenta]],1))</f>
        <v>1</v>
      </c>
      <c r="AQ52" t="b">
        <f>+ISNUMBER(SEARCH('F-VTA'!$F$36,Tabla11[[#This Row],[Cuenta]],1))</f>
        <v>1</v>
      </c>
      <c r="AR52" t="b">
        <f>+ISNUMBER(SEARCH(#REF!,Tabla11[[#This Row],[Cuenta]],1))</f>
        <v>0</v>
      </c>
      <c r="AS52" t="b">
        <f>+ISNUMBER(SEARCH(#REF!,Tabla11[[#This Row],[Cuenta]],1))</f>
        <v>0</v>
      </c>
      <c r="AT52" t="b">
        <f>+ISNUMBER(SEARCH(#REF!,Tabla11[[#This Row],[Cuenta]],1))</f>
        <v>0</v>
      </c>
      <c r="AU52" t="b">
        <f>+ISNUMBER(SEARCH('Conc. Ban.1'!$I$9,Tabla11[[#This Row],[Cuenta]],1))</f>
        <v>0</v>
      </c>
      <c r="AV52" t="b">
        <f>+ISNUMBER(SEARCH(CompConta!$F$21,Tabla11[[#This Row],[Cuenta]],1))</f>
        <v>1</v>
      </c>
      <c r="AW52" t="b">
        <f>+ISNUMBER(SEARCH(CompConta!$F$22,Tabla11[[#This Row],[Cuenta]],1))</f>
        <v>1</v>
      </c>
      <c r="AX52" t="b">
        <f>+ISNUMBER(SEARCH(CompConta!$F$23,Tabla11[[#This Row],[Cuenta]],1))</f>
        <v>1</v>
      </c>
      <c r="AY52" t="b">
        <f>+ISNUMBER(SEARCH(CompConta!$F$24,Tabla11[[#This Row],[Cuenta]],1))</f>
        <v>1</v>
      </c>
      <c r="AZ52" t="b">
        <f>+ISNUMBER(SEARCH(CompConta!$F$25,Tabla11[[#This Row],[Cuenta]],1))</f>
        <v>1</v>
      </c>
      <c r="BA52" t="b">
        <f>+ISNUMBER(SEARCH(CompConta!$F$26,Tabla11[[#This Row],[Cuenta]],1))</f>
        <v>1</v>
      </c>
      <c r="BB52" t="b">
        <f>+ISNUMBER(SEARCH(CompConta!$F$27,Tabla11[[#This Row],[Cuenta]],1))</f>
        <v>1</v>
      </c>
      <c r="BC52" t="b">
        <f>+ISNUMBER(SEARCH(CompConta!$F$28,Tabla11[[#This Row],[Cuenta]],1))</f>
        <v>1</v>
      </c>
      <c r="BD52" t="b">
        <f>+ISNUMBER(SEARCH(CompConta!$F$29,Tabla11[[#This Row],[Cuenta]],1))</f>
        <v>1</v>
      </c>
      <c r="BE52" t="b">
        <f>+ISNUMBER(SEARCH(CompConta!$F$30,Tabla11[[#This Row],[Cuenta]],1))</f>
        <v>1</v>
      </c>
      <c r="BF52" t="b">
        <f>+ISNUMBER(SEARCH('PAGO Compras'!$E$11,Tabla11[[#This Row],[Cuenta]],1))</f>
        <v>1</v>
      </c>
      <c r="BG52" t="b">
        <f>+ISNUMBER(SEARCH(#REF!,Tabla11[[#This Row],[Cuenta]],1))</f>
        <v>0</v>
      </c>
      <c r="BH52" t="b">
        <f>+ISNUMBER(SEARCH(#REF!,Tabla11[[#This Row],[Cuenta]],1))</f>
        <v>0</v>
      </c>
      <c r="BI52" t="b">
        <f>+ISNUMBER(SEARCH(#REF!,Tabla11[[#This Row],[Cuenta]],1))</f>
        <v>0</v>
      </c>
      <c r="BJ52" t="b">
        <f>+ISNUMBER(SEARCH(#REF!,Tabla11[[#This Row],[Cuenta]],1))</f>
        <v>0</v>
      </c>
      <c r="BS52" t="str">
        <v>135518 Impuesto de industria y comercio retenido</v>
      </c>
      <c r="BT52" t="str">
        <v>135518 Impuesto de industria y comercio retenido</v>
      </c>
      <c r="BU52" t="str">
        <v>135518 Impuesto de industria y comercio retenido</v>
      </c>
      <c r="BV52" t="str">
        <v>135518 Impuesto de industria y comercio retenido</v>
      </c>
      <c r="BZ52" t="str">
        <v>135518 Impuesto de industria y comercio retenido</v>
      </c>
      <c r="CA52" t="str">
        <v>135518 Impuesto de industria y comercio retenido</v>
      </c>
      <c r="CB52" t="str">
        <v>135518 Impuesto de industria y comercio retenido</v>
      </c>
      <c r="CC52" t="str">
        <v>135518 Impuesto de industria y comercio retenido</v>
      </c>
      <c r="CD52" t="str">
        <v>135518 Impuesto de industria y comercio retenido</v>
      </c>
      <c r="CE52" t="str">
        <v>135518 Impuesto de industria y comercio retenido</v>
      </c>
      <c r="CS52" s="141" t="str">
        <v>135518 Impuesto de industria y comercio retenido</v>
      </c>
      <c r="CT52" s="141" t="str">
        <v>135518 Impuesto de industria y comercio retenido</v>
      </c>
      <c r="CU52" s="141" t="str">
        <v>135518 Impuesto de industria y comercio retenido</v>
      </c>
      <c r="CV52" s="141" t="str">
        <v>135518 Impuesto de industria y comercio retenido</v>
      </c>
      <c r="CW52" s="141" t="str">
        <v>135518 Impuesto de industria y comercio retenido</v>
      </c>
      <c r="CX52" s="141" t="str">
        <v>135518 Impuesto de industria y comercio retenido</v>
      </c>
      <c r="CY52" s="141" t="str">
        <v>135518 Impuesto de industria y comercio retenido</v>
      </c>
      <c r="CZ52" s="141" t="str">
        <v>135518 Impuesto de industria y comercio retenido</v>
      </c>
      <c r="DA52" s="141" t="str">
        <v>135518 Impuesto de industria y comercio retenido</v>
      </c>
      <c r="DF52" t="str">
        <v>135518 Impuesto de industria y comercio retenido</v>
      </c>
      <c r="DG52" t="str">
        <v>135518 Impuesto de industria y comercio retenido</v>
      </c>
      <c r="DH52" t="str">
        <v>135518 Impuesto de industria y comercio retenido</v>
      </c>
      <c r="DI52" t="str">
        <v>135518 Impuesto de industria y comercio retenido</v>
      </c>
      <c r="DJ52" t="str">
        <v>135518 Impuesto de industria y comercio retenido</v>
      </c>
      <c r="DK52" t="str">
        <v>135518 Impuesto de industria y comercio retenido</v>
      </c>
      <c r="DL52" t="str">
        <v>135518 Impuesto de industria y comercio retenido</v>
      </c>
      <c r="DM52" t="str">
        <v>135518 Impuesto de industria y comercio retenido</v>
      </c>
      <c r="DN52" t="str">
        <v>135518 Impuesto de industria y comercio retenido</v>
      </c>
      <c r="DO52" t="str">
        <v>135518 Impuesto de industria y comercio retenido</v>
      </c>
      <c r="DP52" t="str">
        <v>135518 Impuesto de industria y comercio retenido</v>
      </c>
    </row>
    <row r="53" spans="4:120" ht="12.75">
      <c r="D53" s="7">
        <v>135520</v>
      </c>
      <c r="E53" s="6" t="s">
        <v>88</v>
      </c>
      <c r="F53" s="5">
        <v>4</v>
      </c>
      <c r="G53" s="34" t="s">
        <v>821</v>
      </c>
      <c r="H53" s="8" t="s">
        <v>32</v>
      </c>
      <c r="I53" t="b">
        <f>+ISNUMBER(SEARCH('F-COMPRA'!$F$28,Tabla11[[#This Row],[Cuenta]],1))</f>
        <v>1</v>
      </c>
      <c r="J53" t="b">
        <f>+ISNUMBER(SEARCH('F-COMPRA'!$F$29,Tabla11[[#This Row],[Cuenta]],1))</f>
        <v>1</v>
      </c>
      <c r="K53" t="b">
        <f>+ISNUMBER(SEARCH('F-COMPRA'!$F$30,Tabla11[[#This Row],[Cuenta]],1))</f>
        <v>1</v>
      </c>
      <c r="L53" t="b">
        <f>+ISNUMBER(SEARCH('F-COMPRA'!$F$31,Tabla11[[#This Row],[Cuenta]],1))</f>
        <v>1</v>
      </c>
      <c r="M53" t="b">
        <f>+ISNUMBER(SEARCH('F-COMPRA'!$G$25,Tabla11[[#This Row],[Cuenta]],1))</f>
        <v>0</v>
      </c>
      <c r="N53" t="b">
        <f>+ISNUMBER(SEARCH(#REF!,Tabla11[[#This Row],[Cuenta]],1))</f>
        <v>0</v>
      </c>
      <c r="O53" t="b">
        <f>+ISNUMBER(SEARCH(#REF!,Tabla11[[#This Row],[Cuenta]],1))</f>
        <v>0</v>
      </c>
      <c r="P53" t="b">
        <f>+ISNUMBER(SEARCH('F-COMPRA'!$F$32,Tabla11[[#This Row],[Cuenta]],1))</f>
        <v>1</v>
      </c>
      <c r="Q53" t="b">
        <f>+ISNUMBER(SEARCH('F-COMPRA'!$F$33,Tabla11[[#This Row],[Cuenta]],1))</f>
        <v>1</v>
      </c>
      <c r="R53" t="b">
        <f>+ISNUMBER(SEARCH('F-COMPRA'!$F$34,Tabla11[[#This Row],[Cuenta]],1))</f>
        <v>1</v>
      </c>
      <c r="S53" t="b">
        <f>+ISNUMBER(SEARCH('F-COMPRA'!$F$35,Tabla11[[#This Row],[Cuenta]],1))</f>
        <v>1</v>
      </c>
      <c r="T53" t="b">
        <f>+ISNUMBER(SEARCH('F-COMPRA'!$F$36,Tabla11[[#This Row],[Cuenta]],1))</f>
        <v>1</v>
      </c>
      <c r="U53" t="b">
        <f>+ISNUMBER(SEARCH('F-COMPRA'!$F$37,Tabla11[[#This Row],[Cuenta]],1))</f>
        <v>1</v>
      </c>
      <c r="V53" t="b">
        <f>+ISNUMBER(SEARCH(#REF!,Tabla11[[#This Row],[Cuenta]],1))</f>
        <v>0</v>
      </c>
      <c r="W53" t="b">
        <f>+ISNUMBER(SEARCH('F-COMPRA'!#REF!,Tabla11[[#This Row],[Cuenta]],1))</f>
        <v>0</v>
      </c>
      <c r="X53" t="b">
        <f>+ISNUMBER(SEARCH('F-COMPRA'!#REF!,Tabla11[[#This Row],[Cuenta]],1))</f>
        <v>0</v>
      </c>
      <c r="Y53" t="b">
        <f>+ISNUMBER(SEARCH('F-COMPRA'!#REF!,Tabla11[[#This Row],[Cuenta]],1))</f>
        <v>0</v>
      </c>
      <c r="Z53" t="b">
        <f>+ISNUMBER(SEARCH('F-COMPRA'!#REF!,Tabla11[[#This Row],[Cuenta]],1))</f>
        <v>0</v>
      </c>
      <c r="AA53" t="b">
        <f>+ISNUMBER(SEARCH('F-COMPRA'!#REF!,Tabla11[[#This Row],[Cuenta]],1))</f>
        <v>0</v>
      </c>
      <c r="AB53" t="b">
        <f>+ISNUMBER(SEARCH('F-COMPRA'!#REF!,Tabla11[[#This Row],[Cuenta]],1))</f>
        <v>0</v>
      </c>
      <c r="AC53" t="b">
        <f>+ISNUMBER(SEARCH('F-COMPRA'!#REF!,Tabla11[[#This Row],[Cuenta]],1))</f>
        <v>0</v>
      </c>
      <c r="AD53" t="b">
        <f>+ISNUMBER(SEARCH('F-COMPRA'!#REF!,Tabla11[[#This Row],[Cuenta]],1))</f>
        <v>0</v>
      </c>
      <c r="AE53" t="b">
        <f>+ISNUMBER(SEARCH('F-COMPRA'!#REF!,Tabla11[[#This Row],[Cuenta]],1))</f>
        <v>0</v>
      </c>
      <c r="AF53" t="b">
        <f>+ISNUMBER(SEARCH('F-VTA'!$G$23,Tabla11[[#This Row],[Cuenta]],1))</f>
        <v>0</v>
      </c>
      <c r="AG53" t="b">
        <f>+ISNUMBER(SEARCH('F-VTA'!$G$24,Tabla11[[#This Row],[Cuenta]],1))</f>
        <v>0</v>
      </c>
      <c r="AH53" t="b">
        <f>+ISNUMBER(SEARCH('F-VTA'!$G$25,Tabla11[[#This Row],[Cuenta]],1))</f>
        <v>0</v>
      </c>
      <c r="AI53" t="b">
        <f>+ISNUMBER(SEARCH('F-VTA'!$F$28,Tabla11[[#This Row],[Cuenta]],1))</f>
        <v>1</v>
      </c>
      <c r="AJ53" t="b">
        <f>+ISNUMBER(SEARCH('F-VTA'!$F$29,Tabla11[[#This Row],[Cuenta]],1))</f>
        <v>1</v>
      </c>
      <c r="AK53" t="b">
        <f>+ISNUMBER(SEARCH('F-VTA'!$F$30,Tabla11[[#This Row],[Cuenta]],1))</f>
        <v>1</v>
      </c>
      <c r="AL53" t="b">
        <f>+ISNUMBER(SEARCH('F-VTA'!$F$31,Tabla11[[#This Row],[Cuenta]],1))</f>
        <v>1</v>
      </c>
      <c r="AM53" t="b">
        <f>+ISNUMBER(SEARCH('F-VTA'!$F$32,Tabla11[[#This Row],[Cuenta]],1))</f>
        <v>1</v>
      </c>
      <c r="AN53" t="b">
        <f>+ISNUMBER(SEARCH('F-VTA'!$F$33,Tabla11[[#This Row],[Cuenta]],1))</f>
        <v>1</v>
      </c>
      <c r="AO53" t="b">
        <f>+ISNUMBER(SEARCH('F-VTA'!$F$34,Tabla11[[#This Row],[Cuenta]],1))</f>
        <v>1</v>
      </c>
      <c r="AP53" t="b">
        <f>+ISNUMBER(SEARCH('F-VTA'!$F$35,Tabla11[[#This Row],[Cuenta]],1))</f>
        <v>1</v>
      </c>
      <c r="AQ53" t="b">
        <f>+ISNUMBER(SEARCH('F-VTA'!$F$36,Tabla11[[#This Row],[Cuenta]],1))</f>
        <v>1</v>
      </c>
      <c r="AR53" t="b">
        <f>+ISNUMBER(SEARCH(#REF!,Tabla11[[#This Row],[Cuenta]],1))</f>
        <v>0</v>
      </c>
      <c r="AS53" t="b">
        <f>+ISNUMBER(SEARCH(#REF!,Tabla11[[#This Row],[Cuenta]],1))</f>
        <v>0</v>
      </c>
      <c r="AT53" t="b">
        <f>+ISNUMBER(SEARCH(#REF!,Tabla11[[#This Row],[Cuenta]],1))</f>
        <v>0</v>
      </c>
      <c r="AU53" t="b">
        <f>+ISNUMBER(SEARCH('Conc. Ban.1'!$I$9,Tabla11[[#This Row],[Cuenta]],1))</f>
        <v>0</v>
      </c>
      <c r="AV53" t="b">
        <f>+ISNUMBER(SEARCH(CompConta!$F$21,Tabla11[[#This Row],[Cuenta]],1))</f>
        <v>1</v>
      </c>
      <c r="AW53" t="b">
        <f>+ISNUMBER(SEARCH(CompConta!$F$22,Tabla11[[#This Row],[Cuenta]],1))</f>
        <v>1</v>
      </c>
      <c r="AX53" t="b">
        <f>+ISNUMBER(SEARCH(CompConta!$F$23,Tabla11[[#This Row],[Cuenta]],1))</f>
        <v>1</v>
      </c>
      <c r="AY53" t="b">
        <f>+ISNUMBER(SEARCH(CompConta!$F$24,Tabla11[[#This Row],[Cuenta]],1))</f>
        <v>1</v>
      </c>
      <c r="AZ53" t="b">
        <f>+ISNUMBER(SEARCH(CompConta!$F$25,Tabla11[[#This Row],[Cuenta]],1))</f>
        <v>1</v>
      </c>
      <c r="BA53" t="b">
        <f>+ISNUMBER(SEARCH(CompConta!$F$26,Tabla11[[#This Row],[Cuenta]],1))</f>
        <v>1</v>
      </c>
      <c r="BB53" t="b">
        <f>+ISNUMBER(SEARCH(CompConta!$F$27,Tabla11[[#This Row],[Cuenta]],1))</f>
        <v>1</v>
      </c>
      <c r="BC53" t="b">
        <f>+ISNUMBER(SEARCH(CompConta!$F$28,Tabla11[[#This Row],[Cuenta]],1))</f>
        <v>1</v>
      </c>
      <c r="BD53" t="b">
        <f>+ISNUMBER(SEARCH(CompConta!$F$29,Tabla11[[#This Row],[Cuenta]],1))</f>
        <v>1</v>
      </c>
      <c r="BE53" t="b">
        <f>+ISNUMBER(SEARCH(CompConta!$F$30,Tabla11[[#This Row],[Cuenta]],1))</f>
        <v>1</v>
      </c>
      <c r="BF53" t="b">
        <f>+ISNUMBER(SEARCH('PAGO Compras'!$E$11,Tabla11[[#This Row],[Cuenta]],1))</f>
        <v>1</v>
      </c>
      <c r="BG53" t="b">
        <f>+ISNUMBER(SEARCH(#REF!,Tabla11[[#This Row],[Cuenta]],1))</f>
        <v>0</v>
      </c>
      <c r="BH53" t="b">
        <f>+ISNUMBER(SEARCH(#REF!,Tabla11[[#This Row],[Cuenta]],1))</f>
        <v>0</v>
      </c>
      <c r="BI53" t="b">
        <f>+ISNUMBER(SEARCH(#REF!,Tabla11[[#This Row],[Cuenta]],1))</f>
        <v>0</v>
      </c>
      <c r="BJ53" t="b">
        <f>+ISNUMBER(SEARCH(#REF!,Tabla11[[#This Row],[Cuenta]],1))</f>
        <v>0</v>
      </c>
      <c r="BS53" t="str">
        <v>135520 Sobrantes en liquidación privada de impuestos</v>
      </c>
      <c r="BT53" t="str">
        <v>135520 Sobrantes en liquidación privada de impuestos</v>
      </c>
      <c r="BU53" t="str">
        <v>135520 Sobrantes en liquidación privada de impuestos</v>
      </c>
      <c r="BV53" t="str">
        <v>135520 Sobrantes en liquidación privada de impuestos</v>
      </c>
      <c r="BZ53" t="str">
        <v>135520 Sobrantes en liquidación privada de impuestos</v>
      </c>
      <c r="CA53" t="str">
        <v>135520 Sobrantes en liquidación privada de impuestos</v>
      </c>
      <c r="CB53" t="str">
        <v>135520 Sobrantes en liquidación privada de impuestos</v>
      </c>
      <c r="CC53" t="str">
        <v>135520 Sobrantes en liquidación privada de impuestos</v>
      </c>
      <c r="CD53" t="str">
        <v>135520 Sobrantes en liquidación privada de impuestos</v>
      </c>
      <c r="CE53" t="str">
        <v>135520 Sobrantes en liquidación privada de impuestos</v>
      </c>
      <c r="CS53" s="141" t="str">
        <v>135520 Sobrantes en liquidación privada de impuestos</v>
      </c>
      <c r="CT53" s="141" t="str">
        <v>135520 Sobrantes en liquidación privada de impuestos</v>
      </c>
      <c r="CU53" s="141" t="str">
        <v>135520 Sobrantes en liquidación privada de impuestos</v>
      </c>
      <c r="CV53" s="141" t="str">
        <v>135520 Sobrantes en liquidación privada de impuestos</v>
      </c>
      <c r="CW53" s="141" t="str">
        <v>135520 Sobrantes en liquidación privada de impuestos</v>
      </c>
      <c r="CX53" s="141" t="str">
        <v>135520 Sobrantes en liquidación privada de impuestos</v>
      </c>
      <c r="CY53" s="141" t="str">
        <v>135520 Sobrantes en liquidación privada de impuestos</v>
      </c>
      <c r="CZ53" s="141" t="str">
        <v>135520 Sobrantes en liquidación privada de impuestos</v>
      </c>
      <c r="DA53" s="141" t="str">
        <v>135520 Sobrantes en liquidación privada de impuestos</v>
      </c>
      <c r="DF53" t="str">
        <v>135520 Sobrantes en liquidación privada de impuestos</v>
      </c>
      <c r="DG53" t="str">
        <v>135520 Sobrantes en liquidación privada de impuestos</v>
      </c>
      <c r="DH53" t="str">
        <v>135520 Sobrantes en liquidación privada de impuestos</v>
      </c>
      <c r="DI53" t="str">
        <v>135520 Sobrantes en liquidación privada de impuestos</v>
      </c>
      <c r="DJ53" t="str">
        <v>135520 Sobrantes en liquidación privada de impuestos</v>
      </c>
      <c r="DK53" t="str">
        <v>135520 Sobrantes en liquidación privada de impuestos</v>
      </c>
      <c r="DL53" t="str">
        <v>135520 Sobrantes en liquidación privada de impuestos</v>
      </c>
      <c r="DM53" t="str">
        <v>135520 Sobrantes en liquidación privada de impuestos</v>
      </c>
      <c r="DN53" t="str">
        <v>135520 Sobrantes en liquidación privada de impuestos</v>
      </c>
      <c r="DO53" t="str">
        <v>135520 Sobrantes en liquidación privada de impuestos</v>
      </c>
      <c r="DP53" t="str">
        <v>135520 Sobrantes en liquidación privada de impuestos</v>
      </c>
    </row>
    <row r="54" spans="4:120" ht="12.75">
      <c r="D54" s="7">
        <v>135525</v>
      </c>
      <c r="E54" s="6" t="s">
        <v>89</v>
      </c>
      <c r="F54" s="5">
        <v>4</v>
      </c>
      <c r="G54" s="34" t="s">
        <v>821</v>
      </c>
      <c r="H54" s="8" t="s">
        <v>32</v>
      </c>
      <c r="I54" t="b">
        <f>+ISNUMBER(SEARCH('F-COMPRA'!$F$28,Tabla11[[#This Row],[Cuenta]],1))</f>
        <v>1</v>
      </c>
      <c r="J54" t="b">
        <f>+ISNUMBER(SEARCH('F-COMPRA'!$F$29,Tabla11[[#This Row],[Cuenta]],1))</f>
        <v>1</v>
      </c>
      <c r="K54" t="b">
        <f>+ISNUMBER(SEARCH('F-COMPRA'!$F$30,Tabla11[[#This Row],[Cuenta]],1))</f>
        <v>1</v>
      </c>
      <c r="L54" t="b">
        <f>+ISNUMBER(SEARCH('F-COMPRA'!$F$31,Tabla11[[#This Row],[Cuenta]],1))</f>
        <v>1</v>
      </c>
      <c r="M54" t="b">
        <f>+ISNUMBER(SEARCH('F-COMPRA'!$G$25,Tabla11[[#This Row],[Cuenta]],1))</f>
        <v>0</v>
      </c>
      <c r="N54" t="b">
        <f>+ISNUMBER(SEARCH(#REF!,Tabla11[[#This Row],[Cuenta]],1))</f>
        <v>0</v>
      </c>
      <c r="O54" t="b">
        <f>+ISNUMBER(SEARCH(#REF!,Tabla11[[#This Row],[Cuenta]],1))</f>
        <v>0</v>
      </c>
      <c r="P54" t="b">
        <f>+ISNUMBER(SEARCH('F-COMPRA'!$F$32,Tabla11[[#This Row],[Cuenta]],1))</f>
        <v>1</v>
      </c>
      <c r="Q54" t="b">
        <f>+ISNUMBER(SEARCH('F-COMPRA'!$F$33,Tabla11[[#This Row],[Cuenta]],1))</f>
        <v>1</v>
      </c>
      <c r="R54" t="b">
        <f>+ISNUMBER(SEARCH('F-COMPRA'!$F$34,Tabla11[[#This Row],[Cuenta]],1))</f>
        <v>1</v>
      </c>
      <c r="S54" t="b">
        <f>+ISNUMBER(SEARCH('F-COMPRA'!$F$35,Tabla11[[#This Row],[Cuenta]],1))</f>
        <v>1</v>
      </c>
      <c r="T54" t="b">
        <f>+ISNUMBER(SEARCH('F-COMPRA'!$F$36,Tabla11[[#This Row],[Cuenta]],1))</f>
        <v>1</v>
      </c>
      <c r="U54" t="b">
        <f>+ISNUMBER(SEARCH('F-COMPRA'!$F$37,Tabla11[[#This Row],[Cuenta]],1))</f>
        <v>1</v>
      </c>
      <c r="V54" t="b">
        <f>+ISNUMBER(SEARCH(#REF!,Tabla11[[#This Row],[Cuenta]],1))</f>
        <v>0</v>
      </c>
      <c r="W54" t="b">
        <f>+ISNUMBER(SEARCH('F-COMPRA'!#REF!,Tabla11[[#This Row],[Cuenta]],1))</f>
        <v>0</v>
      </c>
      <c r="X54" t="b">
        <f>+ISNUMBER(SEARCH('F-COMPRA'!#REF!,Tabla11[[#This Row],[Cuenta]],1))</f>
        <v>0</v>
      </c>
      <c r="Y54" t="b">
        <f>+ISNUMBER(SEARCH('F-COMPRA'!#REF!,Tabla11[[#This Row],[Cuenta]],1))</f>
        <v>0</v>
      </c>
      <c r="Z54" t="b">
        <f>+ISNUMBER(SEARCH('F-COMPRA'!#REF!,Tabla11[[#This Row],[Cuenta]],1))</f>
        <v>0</v>
      </c>
      <c r="AA54" t="b">
        <f>+ISNUMBER(SEARCH('F-COMPRA'!#REF!,Tabla11[[#This Row],[Cuenta]],1))</f>
        <v>0</v>
      </c>
      <c r="AB54" t="b">
        <f>+ISNUMBER(SEARCH('F-COMPRA'!#REF!,Tabla11[[#This Row],[Cuenta]],1))</f>
        <v>0</v>
      </c>
      <c r="AC54" t="b">
        <f>+ISNUMBER(SEARCH('F-COMPRA'!#REF!,Tabla11[[#This Row],[Cuenta]],1))</f>
        <v>0</v>
      </c>
      <c r="AD54" t="b">
        <f>+ISNUMBER(SEARCH('F-COMPRA'!#REF!,Tabla11[[#This Row],[Cuenta]],1))</f>
        <v>0</v>
      </c>
      <c r="AE54" t="b">
        <f>+ISNUMBER(SEARCH('F-COMPRA'!#REF!,Tabla11[[#This Row],[Cuenta]],1))</f>
        <v>0</v>
      </c>
      <c r="AF54" t="b">
        <f>+ISNUMBER(SEARCH('F-VTA'!$G$23,Tabla11[[#This Row],[Cuenta]],1))</f>
        <v>0</v>
      </c>
      <c r="AG54" t="b">
        <f>+ISNUMBER(SEARCH('F-VTA'!$G$24,Tabla11[[#This Row],[Cuenta]],1))</f>
        <v>0</v>
      </c>
      <c r="AH54" t="b">
        <f>+ISNUMBER(SEARCH('F-VTA'!$G$25,Tabla11[[#This Row],[Cuenta]],1))</f>
        <v>0</v>
      </c>
      <c r="AI54" t="b">
        <f>+ISNUMBER(SEARCH('F-VTA'!$F$28,Tabla11[[#This Row],[Cuenta]],1))</f>
        <v>1</v>
      </c>
      <c r="AJ54" t="b">
        <f>+ISNUMBER(SEARCH('F-VTA'!$F$29,Tabla11[[#This Row],[Cuenta]],1))</f>
        <v>1</v>
      </c>
      <c r="AK54" t="b">
        <f>+ISNUMBER(SEARCH('F-VTA'!$F$30,Tabla11[[#This Row],[Cuenta]],1))</f>
        <v>1</v>
      </c>
      <c r="AL54" t="b">
        <f>+ISNUMBER(SEARCH('F-VTA'!$F$31,Tabla11[[#This Row],[Cuenta]],1))</f>
        <v>1</v>
      </c>
      <c r="AM54" t="b">
        <f>+ISNUMBER(SEARCH('F-VTA'!$F$32,Tabla11[[#This Row],[Cuenta]],1))</f>
        <v>1</v>
      </c>
      <c r="AN54" t="b">
        <f>+ISNUMBER(SEARCH('F-VTA'!$F$33,Tabla11[[#This Row],[Cuenta]],1))</f>
        <v>1</v>
      </c>
      <c r="AO54" t="b">
        <f>+ISNUMBER(SEARCH('F-VTA'!$F$34,Tabla11[[#This Row],[Cuenta]],1))</f>
        <v>1</v>
      </c>
      <c r="AP54" t="b">
        <f>+ISNUMBER(SEARCH('F-VTA'!$F$35,Tabla11[[#This Row],[Cuenta]],1))</f>
        <v>1</v>
      </c>
      <c r="AQ54" t="b">
        <f>+ISNUMBER(SEARCH('F-VTA'!$F$36,Tabla11[[#This Row],[Cuenta]],1))</f>
        <v>1</v>
      </c>
      <c r="AR54" t="b">
        <f>+ISNUMBER(SEARCH(#REF!,Tabla11[[#This Row],[Cuenta]],1))</f>
        <v>0</v>
      </c>
      <c r="AS54" t="b">
        <f>+ISNUMBER(SEARCH(#REF!,Tabla11[[#This Row],[Cuenta]],1))</f>
        <v>0</v>
      </c>
      <c r="AT54" t="b">
        <f>+ISNUMBER(SEARCH(#REF!,Tabla11[[#This Row],[Cuenta]],1))</f>
        <v>0</v>
      </c>
      <c r="AU54" t="b">
        <f>+ISNUMBER(SEARCH('Conc. Ban.1'!$I$9,Tabla11[[#This Row],[Cuenta]],1))</f>
        <v>0</v>
      </c>
      <c r="AV54" t="b">
        <f>+ISNUMBER(SEARCH(CompConta!$F$21,Tabla11[[#This Row],[Cuenta]],1))</f>
        <v>1</v>
      </c>
      <c r="AW54" t="b">
        <f>+ISNUMBER(SEARCH(CompConta!$F$22,Tabla11[[#This Row],[Cuenta]],1))</f>
        <v>1</v>
      </c>
      <c r="AX54" t="b">
        <f>+ISNUMBER(SEARCH(CompConta!$F$23,Tabla11[[#This Row],[Cuenta]],1))</f>
        <v>1</v>
      </c>
      <c r="AY54" t="b">
        <f>+ISNUMBER(SEARCH(CompConta!$F$24,Tabla11[[#This Row],[Cuenta]],1))</f>
        <v>1</v>
      </c>
      <c r="AZ54" t="b">
        <f>+ISNUMBER(SEARCH(CompConta!$F$25,Tabla11[[#This Row],[Cuenta]],1))</f>
        <v>1</v>
      </c>
      <c r="BA54" t="b">
        <f>+ISNUMBER(SEARCH(CompConta!$F$26,Tabla11[[#This Row],[Cuenta]],1))</f>
        <v>1</v>
      </c>
      <c r="BB54" t="b">
        <f>+ISNUMBER(SEARCH(CompConta!$F$27,Tabla11[[#This Row],[Cuenta]],1))</f>
        <v>1</v>
      </c>
      <c r="BC54" t="b">
        <f>+ISNUMBER(SEARCH(CompConta!$F$28,Tabla11[[#This Row],[Cuenta]],1))</f>
        <v>1</v>
      </c>
      <c r="BD54" t="b">
        <f>+ISNUMBER(SEARCH(CompConta!$F$29,Tabla11[[#This Row],[Cuenta]],1))</f>
        <v>1</v>
      </c>
      <c r="BE54" t="b">
        <f>+ISNUMBER(SEARCH(CompConta!$F$30,Tabla11[[#This Row],[Cuenta]],1))</f>
        <v>1</v>
      </c>
      <c r="BF54" t="b">
        <f>+ISNUMBER(SEARCH('PAGO Compras'!$E$11,Tabla11[[#This Row],[Cuenta]],1))</f>
        <v>1</v>
      </c>
      <c r="BG54" t="b">
        <f>+ISNUMBER(SEARCH(#REF!,Tabla11[[#This Row],[Cuenta]],1))</f>
        <v>0</v>
      </c>
      <c r="BH54" t="b">
        <f>+ISNUMBER(SEARCH(#REF!,Tabla11[[#This Row],[Cuenta]],1))</f>
        <v>0</v>
      </c>
      <c r="BI54" t="b">
        <f>+ISNUMBER(SEARCH(#REF!,Tabla11[[#This Row],[Cuenta]],1))</f>
        <v>0</v>
      </c>
      <c r="BJ54" t="b">
        <f>+ISNUMBER(SEARCH(#REF!,Tabla11[[#This Row],[Cuenta]],1))</f>
        <v>0</v>
      </c>
      <c r="BS54" t="str">
        <v>135525 Contribuciones</v>
      </c>
      <c r="BT54" t="str">
        <v>135525 Contribuciones</v>
      </c>
      <c r="BU54" t="str">
        <v>135525 Contribuciones</v>
      </c>
      <c r="BV54" t="str">
        <v>135525 Contribuciones</v>
      </c>
      <c r="BZ54" t="str">
        <v>135525 Contribuciones</v>
      </c>
      <c r="CA54" t="str">
        <v>135525 Contribuciones</v>
      </c>
      <c r="CB54" t="str">
        <v>135525 Contribuciones</v>
      </c>
      <c r="CC54" t="str">
        <v>135525 Contribuciones</v>
      </c>
      <c r="CD54" t="str">
        <v>135525 Contribuciones</v>
      </c>
      <c r="CE54" t="str">
        <v>135525 Contribuciones</v>
      </c>
      <c r="CS54" s="141" t="str">
        <v>135525 Contribuciones</v>
      </c>
      <c r="CT54" s="141" t="str">
        <v>135525 Contribuciones</v>
      </c>
      <c r="CU54" s="141" t="str">
        <v>135525 Contribuciones</v>
      </c>
      <c r="CV54" s="141" t="str">
        <v>135525 Contribuciones</v>
      </c>
      <c r="CW54" s="141" t="str">
        <v>135525 Contribuciones</v>
      </c>
      <c r="CX54" s="141" t="str">
        <v>135525 Contribuciones</v>
      </c>
      <c r="CY54" s="141" t="str">
        <v>135525 Contribuciones</v>
      </c>
      <c r="CZ54" s="141" t="str">
        <v>135525 Contribuciones</v>
      </c>
      <c r="DA54" s="141" t="str">
        <v>135525 Contribuciones</v>
      </c>
      <c r="DF54" t="str">
        <v>135525 Contribuciones</v>
      </c>
      <c r="DG54" t="str">
        <v>135525 Contribuciones</v>
      </c>
      <c r="DH54" t="str">
        <v>135525 Contribuciones</v>
      </c>
      <c r="DI54" t="str">
        <v>135525 Contribuciones</v>
      </c>
      <c r="DJ54" t="str">
        <v>135525 Contribuciones</v>
      </c>
      <c r="DK54" t="str">
        <v>135525 Contribuciones</v>
      </c>
      <c r="DL54" t="str">
        <v>135525 Contribuciones</v>
      </c>
      <c r="DM54" t="str">
        <v>135525 Contribuciones</v>
      </c>
      <c r="DN54" t="str">
        <v>135525 Contribuciones</v>
      </c>
      <c r="DO54" t="str">
        <v>135525 Contribuciones</v>
      </c>
      <c r="DP54" t="str">
        <v>135525 Contribuciones</v>
      </c>
    </row>
    <row r="55" spans="4:120" ht="12.75">
      <c r="D55" s="7">
        <v>135530</v>
      </c>
      <c r="E55" s="6" t="s">
        <v>90</v>
      </c>
      <c r="F55" s="5">
        <v>4</v>
      </c>
      <c r="G55" s="34" t="s">
        <v>821</v>
      </c>
      <c r="H55" s="8" t="s">
        <v>32</v>
      </c>
      <c r="I55" t="b">
        <f>+ISNUMBER(SEARCH('F-COMPRA'!$F$28,Tabla11[[#This Row],[Cuenta]],1))</f>
        <v>1</v>
      </c>
      <c r="J55" t="b">
        <f>+ISNUMBER(SEARCH('F-COMPRA'!$F$29,Tabla11[[#This Row],[Cuenta]],1))</f>
        <v>1</v>
      </c>
      <c r="K55" t="b">
        <f>+ISNUMBER(SEARCH('F-COMPRA'!$F$30,Tabla11[[#This Row],[Cuenta]],1))</f>
        <v>1</v>
      </c>
      <c r="L55" t="b">
        <f>+ISNUMBER(SEARCH('F-COMPRA'!$F$31,Tabla11[[#This Row],[Cuenta]],1))</f>
        <v>1</v>
      </c>
      <c r="M55" t="b">
        <f>+ISNUMBER(SEARCH('F-COMPRA'!$G$25,Tabla11[[#This Row],[Cuenta]],1))</f>
        <v>0</v>
      </c>
      <c r="N55" t="b">
        <f>+ISNUMBER(SEARCH(#REF!,Tabla11[[#This Row],[Cuenta]],1))</f>
        <v>0</v>
      </c>
      <c r="O55" t="b">
        <f>+ISNUMBER(SEARCH(#REF!,Tabla11[[#This Row],[Cuenta]],1))</f>
        <v>0</v>
      </c>
      <c r="P55" t="b">
        <f>+ISNUMBER(SEARCH('F-COMPRA'!$F$32,Tabla11[[#This Row],[Cuenta]],1))</f>
        <v>1</v>
      </c>
      <c r="Q55" t="b">
        <f>+ISNUMBER(SEARCH('F-COMPRA'!$F$33,Tabla11[[#This Row],[Cuenta]],1))</f>
        <v>1</v>
      </c>
      <c r="R55" t="b">
        <f>+ISNUMBER(SEARCH('F-COMPRA'!$F$34,Tabla11[[#This Row],[Cuenta]],1))</f>
        <v>1</v>
      </c>
      <c r="S55" t="b">
        <f>+ISNUMBER(SEARCH('F-COMPRA'!$F$35,Tabla11[[#This Row],[Cuenta]],1))</f>
        <v>1</v>
      </c>
      <c r="T55" t="b">
        <f>+ISNUMBER(SEARCH('F-COMPRA'!$F$36,Tabla11[[#This Row],[Cuenta]],1))</f>
        <v>1</v>
      </c>
      <c r="U55" t="b">
        <f>+ISNUMBER(SEARCH('F-COMPRA'!$F$37,Tabla11[[#This Row],[Cuenta]],1))</f>
        <v>1</v>
      </c>
      <c r="V55" t="b">
        <f>+ISNUMBER(SEARCH(#REF!,Tabla11[[#This Row],[Cuenta]],1))</f>
        <v>0</v>
      </c>
      <c r="W55" t="b">
        <f>+ISNUMBER(SEARCH('F-COMPRA'!#REF!,Tabla11[[#This Row],[Cuenta]],1))</f>
        <v>0</v>
      </c>
      <c r="X55" t="b">
        <f>+ISNUMBER(SEARCH('F-COMPRA'!#REF!,Tabla11[[#This Row],[Cuenta]],1))</f>
        <v>0</v>
      </c>
      <c r="Y55" t="b">
        <f>+ISNUMBER(SEARCH('F-COMPRA'!#REF!,Tabla11[[#This Row],[Cuenta]],1))</f>
        <v>0</v>
      </c>
      <c r="Z55" t="b">
        <f>+ISNUMBER(SEARCH('F-COMPRA'!#REF!,Tabla11[[#This Row],[Cuenta]],1))</f>
        <v>0</v>
      </c>
      <c r="AA55" t="b">
        <f>+ISNUMBER(SEARCH('F-COMPRA'!#REF!,Tabla11[[#This Row],[Cuenta]],1))</f>
        <v>0</v>
      </c>
      <c r="AB55" t="b">
        <f>+ISNUMBER(SEARCH('F-COMPRA'!#REF!,Tabla11[[#This Row],[Cuenta]],1))</f>
        <v>0</v>
      </c>
      <c r="AC55" t="b">
        <f>+ISNUMBER(SEARCH('F-COMPRA'!#REF!,Tabla11[[#This Row],[Cuenta]],1))</f>
        <v>0</v>
      </c>
      <c r="AD55" t="b">
        <f>+ISNUMBER(SEARCH('F-COMPRA'!#REF!,Tabla11[[#This Row],[Cuenta]],1))</f>
        <v>0</v>
      </c>
      <c r="AE55" t="b">
        <f>+ISNUMBER(SEARCH('F-COMPRA'!#REF!,Tabla11[[#This Row],[Cuenta]],1))</f>
        <v>0</v>
      </c>
      <c r="AF55" t="b">
        <f>+ISNUMBER(SEARCH('F-VTA'!$G$23,Tabla11[[#This Row],[Cuenta]],1))</f>
        <v>0</v>
      </c>
      <c r="AG55" t="b">
        <f>+ISNUMBER(SEARCH('F-VTA'!$G$24,Tabla11[[#This Row],[Cuenta]],1))</f>
        <v>0</v>
      </c>
      <c r="AH55" t="b">
        <f>+ISNUMBER(SEARCH('F-VTA'!$G$25,Tabla11[[#This Row],[Cuenta]],1))</f>
        <v>0</v>
      </c>
      <c r="AI55" t="b">
        <f>+ISNUMBER(SEARCH('F-VTA'!$F$28,Tabla11[[#This Row],[Cuenta]],1))</f>
        <v>1</v>
      </c>
      <c r="AJ55" t="b">
        <f>+ISNUMBER(SEARCH('F-VTA'!$F$29,Tabla11[[#This Row],[Cuenta]],1))</f>
        <v>1</v>
      </c>
      <c r="AK55" t="b">
        <f>+ISNUMBER(SEARCH('F-VTA'!$F$30,Tabla11[[#This Row],[Cuenta]],1))</f>
        <v>1</v>
      </c>
      <c r="AL55" t="b">
        <f>+ISNUMBER(SEARCH('F-VTA'!$F$31,Tabla11[[#This Row],[Cuenta]],1))</f>
        <v>1</v>
      </c>
      <c r="AM55" t="b">
        <f>+ISNUMBER(SEARCH('F-VTA'!$F$32,Tabla11[[#This Row],[Cuenta]],1))</f>
        <v>1</v>
      </c>
      <c r="AN55" t="b">
        <f>+ISNUMBER(SEARCH('F-VTA'!$F$33,Tabla11[[#This Row],[Cuenta]],1))</f>
        <v>1</v>
      </c>
      <c r="AO55" t="b">
        <f>+ISNUMBER(SEARCH('F-VTA'!$F$34,Tabla11[[#This Row],[Cuenta]],1))</f>
        <v>1</v>
      </c>
      <c r="AP55" t="b">
        <f>+ISNUMBER(SEARCH('F-VTA'!$F$35,Tabla11[[#This Row],[Cuenta]],1))</f>
        <v>1</v>
      </c>
      <c r="AQ55" t="b">
        <f>+ISNUMBER(SEARCH('F-VTA'!$F$36,Tabla11[[#This Row],[Cuenta]],1))</f>
        <v>1</v>
      </c>
      <c r="AR55" t="b">
        <f>+ISNUMBER(SEARCH(#REF!,Tabla11[[#This Row],[Cuenta]],1))</f>
        <v>0</v>
      </c>
      <c r="AS55" t="b">
        <f>+ISNUMBER(SEARCH(#REF!,Tabla11[[#This Row],[Cuenta]],1))</f>
        <v>0</v>
      </c>
      <c r="AT55" t="b">
        <f>+ISNUMBER(SEARCH(#REF!,Tabla11[[#This Row],[Cuenta]],1))</f>
        <v>0</v>
      </c>
      <c r="AU55" t="b">
        <f>+ISNUMBER(SEARCH('Conc. Ban.1'!$I$9,Tabla11[[#This Row],[Cuenta]],1))</f>
        <v>0</v>
      </c>
      <c r="AV55" t="b">
        <f>+ISNUMBER(SEARCH(CompConta!$F$21,Tabla11[[#This Row],[Cuenta]],1))</f>
        <v>1</v>
      </c>
      <c r="AW55" t="b">
        <f>+ISNUMBER(SEARCH(CompConta!$F$22,Tabla11[[#This Row],[Cuenta]],1))</f>
        <v>1</v>
      </c>
      <c r="AX55" t="b">
        <f>+ISNUMBER(SEARCH(CompConta!$F$23,Tabla11[[#This Row],[Cuenta]],1))</f>
        <v>1</v>
      </c>
      <c r="AY55" t="b">
        <f>+ISNUMBER(SEARCH(CompConta!$F$24,Tabla11[[#This Row],[Cuenta]],1))</f>
        <v>1</v>
      </c>
      <c r="AZ55" t="b">
        <f>+ISNUMBER(SEARCH(CompConta!$F$25,Tabla11[[#This Row],[Cuenta]],1))</f>
        <v>1</v>
      </c>
      <c r="BA55" t="b">
        <f>+ISNUMBER(SEARCH(CompConta!$F$26,Tabla11[[#This Row],[Cuenta]],1))</f>
        <v>1</v>
      </c>
      <c r="BB55" t="b">
        <f>+ISNUMBER(SEARCH(CompConta!$F$27,Tabla11[[#This Row],[Cuenta]],1))</f>
        <v>1</v>
      </c>
      <c r="BC55" t="b">
        <f>+ISNUMBER(SEARCH(CompConta!$F$28,Tabla11[[#This Row],[Cuenta]],1))</f>
        <v>1</v>
      </c>
      <c r="BD55" t="b">
        <f>+ISNUMBER(SEARCH(CompConta!$F$29,Tabla11[[#This Row],[Cuenta]],1))</f>
        <v>1</v>
      </c>
      <c r="BE55" t="b">
        <f>+ISNUMBER(SEARCH(CompConta!$F$30,Tabla11[[#This Row],[Cuenta]],1))</f>
        <v>1</v>
      </c>
      <c r="BF55" t="b">
        <f>+ISNUMBER(SEARCH('PAGO Compras'!$E$11,Tabla11[[#This Row],[Cuenta]],1))</f>
        <v>1</v>
      </c>
      <c r="BG55" t="b">
        <f>+ISNUMBER(SEARCH(#REF!,Tabla11[[#This Row],[Cuenta]],1))</f>
        <v>0</v>
      </c>
      <c r="BH55" t="b">
        <f>+ISNUMBER(SEARCH(#REF!,Tabla11[[#This Row],[Cuenta]],1))</f>
        <v>0</v>
      </c>
      <c r="BI55" t="b">
        <f>+ISNUMBER(SEARCH(#REF!,Tabla11[[#This Row],[Cuenta]],1))</f>
        <v>0</v>
      </c>
      <c r="BJ55" t="b">
        <f>+ISNUMBER(SEARCH(#REF!,Tabla11[[#This Row],[Cuenta]],1))</f>
        <v>0</v>
      </c>
      <c r="BS55" t="str">
        <v>135530 Impuestos descontables</v>
      </c>
      <c r="BT55" t="str">
        <v>135530 Impuestos descontables</v>
      </c>
      <c r="BU55" t="str">
        <v>135530 Impuestos descontables</v>
      </c>
      <c r="BV55" t="str">
        <v>135530 Impuestos descontables</v>
      </c>
      <c r="BZ55" t="str">
        <v>135530 Impuestos descontables</v>
      </c>
      <c r="CA55" t="str">
        <v>135530 Impuestos descontables</v>
      </c>
      <c r="CB55" t="str">
        <v>135530 Impuestos descontables</v>
      </c>
      <c r="CC55" t="str">
        <v>135530 Impuestos descontables</v>
      </c>
      <c r="CD55" t="str">
        <v>135530 Impuestos descontables</v>
      </c>
      <c r="CE55" t="str">
        <v>135530 Impuestos descontables</v>
      </c>
      <c r="CS55" s="141" t="str">
        <v>135530 Impuestos descontables</v>
      </c>
      <c r="CT55" s="141" t="str">
        <v>135530 Impuestos descontables</v>
      </c>
      <c r="CU55" s="141" t="str">
        <v>135530 Impuestos descontables</v>
      </c>
      <c r="CV55" s="141" t="str">
        <v>135530 Impuestos descontables</v>
      </c>
      <c r="CW55" s="141" t="str">
        <v>135530 Impuestos descontables</v>
      </c>
      <c r="CX55" s="141" t="str">
        <v>135530 Impuestos descontables</v>
      </c>
      <c r="CY55" s="141" t="str">
        <v>135530 Impuestos descontables</v>
      </c>
      <c r="CZ55" s="141" t="str">
        <v>135530 Impuestos descontables</v>
      </c>
      <c r="DA55" s="141" t="str">
        <v>135530 Impuestos descontables</v>
      </c>
      <c r="DF55" t="str">
        <v>135530 Impuestos descontables</v>
      </c>
      <c r="DG55" t="str">
        <v>135530 Impuestos descontables</v>
      </c>
      <c r="DH55" t="str">
        <v>135530 Impuestos descontables</v>
      </c>
      <c r="DI55" t="str">
        <v>135530 Impuestos descontables</v>
      </c>
      <c r="DJ55" t="str">
        <v>135530 Impuestos descontables</v>
      </c>
      <c r="DK55" t="str">
        <v>135530 Impuestos descontables</v>
      </c>
      <c r="DL55" t="str">
        <v>135530 Impuestos descontables</v>
      </c>
      <c r="DM55" t="str">
        <v>135530 Impuestos descontables</v>
      </c>
      <c r="DN55" t="str">
        <v>135530 Impuestos descontables</v>
      </c>
      <c r="DO55" t="str">
        <v>135530 Impuestos descontables</v>
      </c>
      <c r="DP55" t="str">
        <v>135530 Impuestos descontables</v>
      </c>
    </row>
    <row r="56" spans="4:120" ht="12.75">
      <c r="D56" s="7">
        <v>135595</v>
      </c>
      <c r="E56" s="6" t="s">
        <v>45</v>
      </c>
      <c r="F56" s="5">
        <v>4</v>
      </c>
      <c r="G56" s="34" t="s">
        <v>821</v>
      </c>
      <c r="H56" s="8" t="s">
        <v>32</v>
      </c>
      <c r="I56" t="b">
        <f>+ISNUMBER(SEARCH('F-COMPRA'!$F$28,Tabla11[[#This Row],[Cuenta]],1))</f>
        <v>1</v>
      </c>
      <c r="J56" t="b">
        <f>+ISNUMBER(SEARCH('F-COMPRA'!$F$29,Tabla11[[#This Row],[Cuenta]],1))</f>
        <v>1</v>
      </c>
      <c r="K56" t="b">
        <f>+ISNUMBER(SEARCH('F-COMPRA'!$F$30,Tabla11[[#This Row],[Cuenta]],1))</f>
        <v>1</v>
      </c>
      <c r="L56" t="b">
        <f>+ISNUMBER(SEARCH('F-COMPRA'!$F$31,Tabla11[[#This Row],[Cuenta]],1))</f>
        <v>1</v>
      </c>
      <c r="M56" t="b">
        <f>+ISNUMBER(SEARCH('F-COMPRA'!$G$25,Tabla11[[#This Row],[Cuenta]],1))</f>
        <v>0</v>
      </c>
      <c r="N56" t="b">
        <f>+ISNUMBER(SEARCH(#REF!,Tabla11[[#This Row],[Cuenta]],1))</f>
        <v>0</v>
      </c>
      <c r="O56" t="b">
        <f>+ISNUMBER(SEARCH(#REF!,Tabla11[[#This Row],[Cuenta]],1))</f>
        <v>0</v>
      </c>
      <c r="P56" t="b">
        <f>+ISNUMBER(SEARCH('F-COMPRA'!$F$32,Tabla11[[#This Row],[Cuenta]],1))</f>
        <v>1</v>
      </c>
      <c r="Q56" t="b">
        <f>+ISNUMBER(SEARCH('F-COMPRA'!$F$33,Tabla11[[#This Row],[Cuenta]],1))</f>
        <v>1</v>
      </c>
      <c r="R56" t="b">
        <f>+ISNUMBER(SEARCH('F-COMPRA'!$F$34,Tabla11[[#This Row],[Cuenta]],1))</f>
        <v>1</v>
      </c>
      <c r="S56" t="b">
        <f>+ISNUMBER(SEARCH('F-COMPRA'!$F$35,Tabla11[[#This Row],[Cuenta]],1))</f>
        <v>1</v>
      </c>
      <c r="T56" t="b">
        <f>+ISNUMBER(SEARCH('F-COMPRA'!$F$36,Tabla11[[#This Row],[Cuenta]],1))</f>
        <v>1</v>
      </c>
      <c r="U56" t="b">
        <f>+ISNUMBER(SEARCH('F-COMPRA'!$F$37,Tabla11[[#This Row],[Cuenta]],1))</f>
        <v>1</v>
      </c>
      <c r="V56" t="b">
        <f>+ISNUMBER(SEARCH(#REF!,Tabla11[[#This Row],[Cuenta]],1))</f>
        <v>0</v>
      </c>
      <c r="W56" t="b">
        <f>+ISNUMBER(SEARCH('F-COMPRA'!#REF!,Tabla11[[#This Row],[Cuenta]],1))</f>
        <v>0</v>
      </c>
      <c r="X56" t="b">
        <f>+ISNUMBER(SEARCH('F-COMPRA'!#REF!,Tabla11[[#This Row],[Cuenta]],1))</f>
        <v>0</v>
      </c>
      <c r="Y56" t="b">
        <f>+ISNUMBER(SEARCH('F-COMPRA'!#REF!,Tabla11[[#This Row],[Cuenta]],1))</f>
        <v>0</v>
      </c>
      <c r="Z56" t="b">
        <f>+ISNUMBER(SEARCH('F-COMPRA'!#REF!,Tabla11[[#This Row],[Cuenta]],1))</f>
        <v>0</v>
      </c>
      <c r="AA56" t="b">
        <f>+ISNUMBER(SEARCH('F-COMPRA'!#REF!,Tabla11[[#This Row],[Cuenta]],1))</f>
        <v>0</v>
      </c>
      <c r="AB56" t="b">
        <f>+ISNUMBER(SEARCH('F-COMPRA'!#REF!,Tabla11[[#This Row],[Cuenta]],1))</f>
        <v>0</v>
      </c>
      <c r="AC56" t="b">
        <f>+ISNUMBER(SEARCH('F-COMPRA'!#REF!,Tabla11[[#This Row],[Cuenta]],1))</f>
        <v>0</v>
      </c>
      <c r="AD56" t="b">
        <f>+ISNUMBER(SEARCH('F-COMPRA'!#REF!,Tabla11[[#This Row],[Cuenta]],1))</f>
        <v>0</v>
      </c>
      <c r="AE56" t="b">
        <f>+ISNUMBER(SEARCH('F-COMPRA'!#REF!,Tabla11[[#This Row],[Cuenta]],1))</f>
        <v>0</v>
      </c>
      <c r="AF56" t="b">
        <f>+ISNUMBER(SEARCH('F-VTA'!$G$23,Tabla11[[#This Row],[Cuenta]],1))</f>
        <v>0</v>
      </c>
      <c r="AG56" t="b">
        <f>+ISNUMBER(SEARCH('F-VTA'!$G$24,Tabla11[[#This Row],[Cuenta]],1))</f>
        <v>0</v>
      </c>
      <c r="AH56" t="b">
        <f>+ISNUMBER(SEARCH('F-VTA'!$G$25,Tabla11[[#This Row],[Cuenta]],1))</f>
        <v>0</v>
      </c>
      <c r="AI56" t="b">
        <f>+ISNUMBER(SEARCH('F-VTA'!$F$28,Tabla11[[#This Row],[Cuenta]],1))</f>
        <v>1</v>
      </c>
      <c r="AJ56" t="b">
        <f>+ISNUMBER(SEARCH('F-VTA'!$F$29,Tabla11[[#This Row],[Cuenta]],1))</f>
        <v>1</v>
      </c>
      <c r="AK56" t="b">
        <f>+ISNUMBER(SEARCH('F-VTA'!$F$30,Tabla11[[#This Row],[Cuenta]],1))</f>
        <v>1</v>
      </c>
      <c r="AL56" t="b">
        <f>+ISNUMBER(SEARCH('F-VTA'!$F$31,Tabla11[[#This Row],[Cuenta]],1))</f>
        <v>1</v>
      </c>
      <c r="AM56" t="b">
        <f>+ISNUMBER(SEARCH('F-VTA'!$F$32,Tabla11[[#This Row],[Cuenta]],1))</f>
        <v>1</v>
      </c>
      <c r="AN56" t="b">
        <f>+ISNUMBER(SEARCH('F-VTA'!$F$33,Tabla11[[#This Row],[Cuenta]],1))</f>
        <v>1</v>
      </c>
      <c r="AO56" t="b">
        <f>+ISNUMBER(SEARCH('F-VTA'!$F$34,Tabla11[[#This Row],[Cuenta]],1))</f>
        <v>1</v>
      </c>
      <c r="AP56" t="b">
        <f>+ISNUMBER(SEARCH('F-VTA'!$F$35,Tabla11[[#This Row],[Cuenta]],1))</f>
        <v>1</v>
      </c>
      <c r="AQ56" t="b">
        <f>+ISNUMBER(SEARCH('F-VTA'!$F$36,Tabla11[[#This Row],[Cuenta]],1))</f>
        <v>1</v>
      </c>
      <c r="AR56" t="b">
        <f>+ISNUMBER(SEARCH(#REF!,Tabla11[[#This Row],[Cuenta]],1))</f>
        <v>0</v>
      </c>
      <c r="AS56" t="b">
        <f>+ISNUMBER(SEARCH(#REF!,Tabla11[[#This Row],[Cuenta]],1))</f>
        <v>0</v>
      </c>
      <c r="AT56" t="b">
        <f>+ISNUMBER(SEARCH(#REF!,Tabla11[[#This Row],[Cuenta]],1))</f>
        <v>0</v>
      </c>
      <c r="AU56" t="b">
        <f>+ISNUMBER(SEARCH('Conc. Ban.1'!$I$9,Tabla11[[#This Row],[Cuenta]],1))</f>
        <v>0</v>
      </c>
      <c r="AV56" t="b">
        <f>+ISNUMBER(SEARCH(CompConta!$F$21,Tabla11[[#This Row],[Cuenta]],1))</f>
        <v>1</v>
      </c>
      <c r="AW56" t="b">
        <f>+ISNUMBER(SEARCH(CompConta!$F$22,Tabla11[[#This Row],[Cuenta]],1))</f>
        <v>1</v>
      </c>
      <c r="AX56" t="b">
        <f>+ISNUMBER(SEARCH(CompConta!$F$23,Tabla11[[#This Row],[Cuenta]],1))</f>
        <v>1</v>
      </c>
      <c r="AY56" t="b">
        <f>+ISNUMBER(SEARCH(CompConta!$F$24,Tabla11[[#This Row],[Cuenta]],1))</f>
        <v>1</v>
      </c>
      <c r="AZ56" t="b">
        <f>+ISNUMBER(SEARCH(CompConta!$F$25,Tabla11[[#This Row],[Cuenta]],1))</f>
        <v>1</v>
      </c>
      <c r="BA56" t="b">
        <f>+ISNUMBER(SEARCH(CompConta!$F$26,Tabla11[[#This Row],[Cuenta]],1))</f>
        <v>1</v>
      </c>
      <c r="BB56" t="b">
        <f>+ISNUMBER(SEARCH(CompConta!$F$27,Tabla11[[#This Row],[Cuenta]],1))</f>
        <v>1</v>
      </c>
      <c r="BC56" t="b">
        <f>+ISNUMBER(SEARCH(CompConta!$F$28,Tabla11[[#This Row],[Cuenta]],1))</f>
        <v>1</v>
      </c>
      <c r="BD56" t="b">
        <f>+ISNUMBER(SEARCH(CompConta!$F$29,Tabla11[[#This Row],[Cuenta]],1))</f>
        <v>1</v>
      </c>
      <c r="BE56" t="b">
        <f>+ISNUMBER(SEARCH(CompConta!$F$30,Tabla11[[#This Row],[Cuenta]],1))</f>
        <v>1</v>
      </c>
      <c r="BF56" t="b">
        <f>+ISNUMBER(SEARCH('PAGO Compras'!$E$11,Tabla11[[#This Row],[Cuenta]],1))</f>
        <v>1</v>
      </c>
      <c r="BG56" t="b">
        <f>+ISNUMBER(SEARCH(#REF!,Tabla11[[#This Row],[Cuenta]],1))</f>
        <v>0</v>
      </c>
      <c r="BH56" t="b">
        <f>+ISNUMBER(SEARCH(#REF!,Tabla11[[#This Row],[Cuenta]],1))</f>
        <v>0</v>
      </c>
      <c r="BI56" t="b">
        <f>+ISNUMBER(SEARCH(#REF!,Tabla11[[#This Row],[Cuenta]],1))</f>
        <v>0</v>
      </c>
      <c r="BJ56" t="b">
        <f>+ISNUMBER(SEARCH(#REF!,Tabla11[[#This Row],[Cuenta]],1))</f>
        <v>0</v>
      </c>
      <c r="BS56" t="str">
        <v>135595 Otros</v>
      </c>
      <c r="BT56" t="str">
        <v>135595 Otros</v>
      </c>
      <c r="BU56" t="str">
        <v>135595 Otros</v>
      </c>
      <c r="BV56" t="str">
        <v>135595 Otros</v>
      </c>
      <c r="BZ56" t="str">
        <v>135595 Otros</v>
      </c>
      <c r="CA56" t="str">
        <v>135595 Otros</v>
      </c>
      <c r="CB56" t="str">
        <v>135595 Otros</v>
      </c>
      <c r="CC56" t="str">
        <v>135595 Otros</v>
      </c>
      <c r="CD56" t="str">
        <v>135595 Otros</v>
      </c>
      <c r="CE56" t="str">
        <v>135595 Otros</v>
      </c>
      <c r="CS56" s="141" t="str">
        <v>135595 Otros</v>
      </c>
      <c r="CT56" s="141" t="str">
        <v>135595 Otros</v>
      </c>
      <c r="CU56" s="141" t="str">
        <v>135595 Otros</v>
      </c>
      <c r="CV56" s="141" t="str">
        <v>135595 Otros</v>
      </c>
      <c r="CW56" s="141" t="str">
        <v>135595 Otros</v>
      </c>
      <c r="CX56" s="141" t="str">
        <v>135595 Otros</v>
      </c>
      <c r="CY56" s="141" t="str">
        <v>135595 Otros</v>
      </c>
      <c r="CZ56" s="141" t="str">
        <v>135595 Otros</v>
      </c>
      <c r="DA56" s="141" t="str">
        <v>135595 Otros</v>
      </c>
      <c r="DF56" t="str">
        <v>135595 Otros</v>
      </c>
      <c r="DG56" t="str">
        <v>135595 Otros</v>
      </c>
      <c r="DH56" t="str">
        <v>135595 Otros</v>
      </c>
      <c r="DI56" t="str">
        <v>135595 Otros</v>
      </c>
      <c r="DJ56" t="str">
        <v>135595 Otros</v>
      </c>
      <c r="DK56" t="str">
        <v>135595 Otros</v>
      </c>
      <c r="DL56" t="str">
        <v>135595 Otros</v>
      </c>
      <c r="DM56" t="str">
        <v>135595 Otros</v>
      </c>
      <c r="DN56" t="str">
        <v>135595 Otros</v>
      </c>
      <c r="DO56" t="str">
        <v>135595 Otros</v>
      </c>
      <c r="DP56" t="str">
        <v>135595 Otros</v>
      </c>
    </row>
    <row r="57" spans="4:120" ht="12.75">
      <c r="D57" s="7">
        <v>14</v>
      </c>
      <c r="E57" s="6" t="s">
        <v>91</v>
      </c>
      <c r="F57" s="5">
        <v>2</v>
      </c>
      <c r="G57" s="34" t="s">
        <v>821</v>
      </c>
      <c r="H57" s="8" t="s">
        <v>32</v>
      </c>
      <c r="I57" t="b">
        <f>+ISNUMBER(SEARCH('F-COMPRA'!$F$28,Tabla11[[#This Row],[Cuenta]],1))</f>
        <v>1</v>
      </c>
      <c r="J57" t="b">
        <f>+ISNUMBER(SEARCH('F-COMPRA'!$F$29,Tabla11[[#This Row],[Cuenta]],1))</f>
        <v>1</v>
      </c>
      <c r="K57" t="b">
        <f>+ISNUMBER(SEARCH('F-COMPRA'!$F$30,Tabla11[[#This Row],[Cuenta]],1))</f>
        <v>1</v>
      </c>
      <c r="L57" t="b">
        <f>+ISNUMBER(SEARCH('F-COMPRA'!$F$31,Tabla11[[#This Row],[Cuenta]],1))</f>
        <v>1</v>
      </c>
      <c r="M57" t="b">
        <f>+ISNUMBER(SEARCH('F-COMPRA'!$G$25,Tabla11[[#This Row],[Cuenta]],1))</f>
        <v>0</v>
      </c>
      <c r="N57" t="b">
        <f>+ISNUMBER(SEARCH(#REF!,Tabla11[[#This Row],[Cuenta]],1))</f>
        <v>0</v>
      </c>
      <c r="O57" t="b">
        <f>+ISNUMBER(SEARCH(#REF!,Tabla11[[#This Row],[Cuenta]],1))</f>
        <v>0</v>
      </c>
      <c r="P57" t="b">
        <f>+ISNUMBER(SEARCH('F-COMPRA'!$F$32,Tabla11[[#This Row],[Cuenta]],1))</f>
        <v>1</v>
      </c>
      <c r="Q57" t="b">
        <f>+ISNUMBER(SEARCH('F-COMPRA'!$F$33,Tabla11[[#This Row],[Cuenta]],1))</f>
        <v>1</v>
      </c>
      <c r="R57" t="b">
        <f>+ISNUMBER(SEARCH('F-COMPRA'!$F$34,Tabla11[[#This Row],[Cuenta]],1))</f>
        <v>1</v>
      </c>
      <c r="S57" t="b">
        <f>+ISNUMBER(SEARCH('F-COMPRA'!$F$35,Tabla11[[#This Row],[Cuenta]],1))</f>
        <v>1</v>
      </c>
      <c r="T57" t="b">
        <f>+ISNUMBER(SEARCH('F-COMPRA'!$F$36,Tabla11[[#This Row],[Cuenta]],1))</f>
        <v>1</v>
      </c>
      <c r="U57" t="b">
        <f>+ISNUMBER(SEARCH('F-COMPRA'!$F$37,Tabla11[[#This Row],[Cuenta]],1))</f>
        <v>1</v>
      </c>
      <c r="V57" t="b">
        <f>+ISNUMBER(SEARCH(#REF!,Tabla11[[#This Row],[Cuenta]],1))</f>
        <v>0</v>
      </c>
      <c r="W57" t="b">
        <f>+ISNUMBER(SEARCH('F-COMPRA'!#REF!,Tabla11[[#This Row],[Cuenta]],1))</f>
        <v>0</v>
      </c>
      <c r="X57" t="b">
        <f>+ISNUMBER(SEARCH('F-COMPRA'!#REF!,Tabla11[[#This Row],[Cuenta]],1))</f>
        <v>0</v>
      </c>
      <c r="Y57" t="b">
        <f>+ISNUMBER(SEARCH('F-COMPRA'!#REF!,Tabla11[[#This Row],[Cuenta]],1))</f>
        <v>0</v>
      </c>
      <c r="Z57" t="b">
        <f>+ISNUMBER(SEARCH('F-COMPRA'!#REF!,Tabla11[[#This Row],[Cuenta]],1))</f>
        <v>0</v>
      </c>
      <c r="AA57" t="b">
        <f>+ISNUMBER(SEARCH('F-COMPRA'!#REF!,Tabla11[[#This Row],[Cuenta]],1))</f>
        <v>0</v>
      </c>
      <c r="AB57" t="b">
        <f>+ISNUMBER(SEARCH('F-COMPRA'!#REF!,Tabla11[[#This Row],[Cuenta]],1))</f>
        <v>0</v>
      </c>
      <c r="AC57" t="b">
        <f>+ISNUMBER(SEARCH('F-COMPRA'!#REF!,Tabla11[[#This Row],[Cuenta]],1))</f>
        <v>0</v>
      </c>
      <c r="AD57" t="b">
        <f>+ISNUMBER(SEARCH('F-COMPRA'!#REF!,Tabla11[[#This Row],[Cuenta]],1))</f>
        <v>0</v>
      </c>
      <c r="AE57" t="b">
        <f>+ISNUMBER(SEARCH('F-COMPRA'!#REF!,Tabla11[[#This Row],[Cuenta]],1))</f>
        <v>0</v>
      </c>
      <c r="AF57" t="b">
        <f>+ISNUMBER(SEARCH('F-VTA'!$G$23,Tabla11[[#This Row],[Cuenta]],1))</f>
        <v>0</v>
      </c>
      <c r="AG57" t="b">
        <f>+ISNUMBER(SEARCH('F-VTA'!$G$24,Tabla11[[#This Row],[Cuenta]],1))</f>
        <v>0</v>
      </c>
      <c r="AH57" t="b">
        <f>+ISNUMBER(SEARCH('F-VTA'!$G$25,Tabla11[[#This Row],[Cuenta]],1))</f>
        <v>0</v>
      </c>
      <c r="AI57" t="b">
        <f>+ISNUMBER(SEARCH('F-VTA'!$F$28,Tabla11[[#This Row],[Cuenta]],1))</f>
        <v>1</v>
      </c>
      <c r="AJ57" t="b">
        <f>+ISNUMBER(SEARCH('F-VTA'!$F$29,Tabla11[[#This Row],[Cuenta]],1))</f>
        <v>1</v>
      </c>
      <c r="AK57" t="b">
        <f>+ISNUMBER(SEARCH('F-VTA'!$F$30,Tabla11[[#This Row],[Cuenta]],1))</f>
        <v>1</v>
      </c>
      <c r="AL57" t="b">
        <f>+ISNUMBER(SEARCH('F-VTA'!$F$31,Tabla11[[#This Row],[Cuenta]],1))</f>
        <v>1</v>
      </c>
      <c r="AM57" t="b">
        <f>+ISNUMBER(SEARCH('F-VTA'!$F$32,Tabla11[[#This Row],[Cuenta]],1))</f>
        <v>1</v>
      </c>
      <c r="AN57" t="b">
        <f>+ISNUMBER(SEARCH('F-VTA'!$F$33,Tabla11[[#This Row],[Cuenta]],1))</f>
        <v>1</v>
      </c>
      <c r="AO57" t="b">
        <f>+ISNUMBER(SEARCH('F-VTA'!$F$34,Tabla11[[#This Row],[Cuenta]],1))</f>
        <v>1</v>
      </c>
      <c r="AP57" t="b">
        <f>+ISNUMBER(SEARCH('F-VTA'!$F$35,Tabla11[[#This Row],[Cuenta]],1))</f>
        <v>1</v>
      </c>
      <c r="AQ57" t="b">
        <f>+ISNUMBER(SEARCH('F-VTA'!$F$36,Tabla11[[#This Row],[Cuenta]],1))</f>
        <v>1</v>
      </c>
      <c r="AR57" t="b">
        <f>+ISNUMBER(SEARCH(#REF!,Tabla11[[#This Row],[Cuenta]],1))</f>
        <v>0</v>
      </c>
      <c r="AS57" t="b">
        <f>+ISNUMBER(SEARCH(#REF!,Tabla11[[#This Row],[Cuenta]],1))</f>
        <v>0</v>
      </c>
      <c r="AT57" t="b">
        <f>+ISNUMBER(SEARCH(#REF!,Tabla11[[#This Row],[Cuenta]],1))</f>
        <v>0</v>
      </c>
      <c r="AU57" t="b">
        <f>+ISNUMBER(SEARCH('Conc. Ban.1'!$I$9,Tabla11[[#This Row],[Cuenta]],1))</f>
        <v>0</v>
      </c>
      <c r="AV57" t="b">
        <f>+ISNUMBER(SEARCH(CompConta!$F$21,Tabla11[[#This Row],[Cuenta]],1))</f>
        <v>1</v>
      </c>
      <c r="AW57" t="b">
        <f>+ISNUMBER(SEARCH(CompConta!$F$22,Tabla11[[#This Row],[Cuenta]],1))</f>
        <v>1</v>
      </c>
      <c r="AX57" t="b">
        <f>+ISNUMBER(SEARCH(CompConta!$F$23,Tabla11[[#This Row],[Cuenta]],1))</f>
        <v>1</v>
      </c>
      <c r="AY57" t="b">
        <f>+ISNUMBER(SEARCH(CompConta!$F$24,Tabla11[[#This Row],[Cuenta]],1))</f>
        <v>1</v>
      </c>
      <c r="AZ57" t="b">
        <f>+ISNUMBER(SEARCH(CompConta!$F$25,Tabla11[[#This Row],[Cuenta]],1))</f>
        <v>1</v>
      </c>
      <c r="BA57" t="b">
        <f>+ISNUMBER(SEARCH(CompConta!$F$26,Tabla11[[#This Row],[Cuenta]],1))</f>
        <v>1</v>
      </c>
      <c r="BB57" t="b">
        <f>+ISNUMBER(SEARCH(CompConta!$F$27,Tabla11[[#This Row],[Cuenta]],1))</f>
        <v>1</v>
      </c>
      <c r="BC57" t="b">
        <f>+ISNUMBER(SEARCH(CompConta!$F$28,Tabla11[[#This Row],[Cuenta]],1))</f>
        <v>1</v>
      </c>
      <c r="BD57" t="b">
        <f>+ISNUMBER(SEARCH(CompConta!$F$29,Tabla11[[#This Row],[Cuenta]],1))</f>
        <v>1</v>
      </c>
      <c r="BE57" t="b">
        <f>+ISNUMBER(SEARCH(CompConta!$F$30,Tabla11[[#This Row],[Cuenta]],1))</f>
        <v>1</v>
      </c>
      <c r="BF57" t="b">
        <f>+ISNUMBER(SEARCH('PAGO Compras'!$E$11,Tabla11[[#This Row],[Cuenta]],1))</f>
        <v>1</v>
      </c>
      <c r="BG57" t="b">
        <f>+ISNUMBER(SEARCH(#REF!,Tabla11[[#This Row],[Cuenta]],1))</f>
        <v>0</v>
      </c>
      <c r="BH57" t="b">
        <f>+ISNUMBER(SEARCH(#REF!,Tabla11[[#This Row],[Cuenta]],1))</f>
        <v>0</v>
      </c>
      <c r="BI57" t="b">
        <f>+ISNUMBER(SEARCH(#REF!,Tabla11[[#This Row],[Cuenta]],1))</f>
        <v>0</v>
      </c>
      <c r="BJ57" t="b">
        <f>+ISNUMBER(SEARCH(#REF!,Tabla11[[#This Row],[Cuenta]],1))</f>
        <v>0</v>
      </c>
      <c r="BS57" t="str">
        <v>14 INVENTARIOS</v>
      </c>
      <c r="BT57" t="str">
        <v>14 INVENTARIOS</v>
      </c>
      <c r="BU57" t="str">
        <v>14 INVENTARIOS</v>
      </c>
      <c r="BV57" t="str">
        <v>14 INVENTARIOS</v>
      </c>
      <c r="BZ57" t="str">
        <v>14 INVENTARIOS</v>
      </c>
      <c r="CA57" t="str">
        <v>14 INVENTARIOS</v>
      </c>
      <c r="CB57" t="str">
        <v>14 INVENTARIOS</v>
      </c>
      <c r="CC57" t="str">
        <v>14 INVENTARIOS</v>
      </c>
      <c r="CD57" t="str">
        <v>14 INVENTARIOS</v>
      </c>
      <c r="CE57" t="str">
        <v>14 INVENTARIOS</v>
      </c>
      <c r="CS57" s="141" t="str">
        <v>14 INVENTARIOS</v>
      </c>
      <c r="CT57" s="141" t="str">
        <v>14 INVENTARIOS</v>
      </c>
      <c r="CU57" s="141" t="str">
        <v>14 INVENTARIOS</v>
      </c>
      <c r="CV57" s="141" t="str">
        <v>14 INVENTARIOS</v>
      </c>
      <c r="CW57" s="141" t="str">
        <v>14 INVENTARIOS</v>
      </c>
      <c r="CX57" s="141" t="str">
        <v>14 INVENTARIOS</v>
      </c>
      <c r="CY57" s="141" t="str">
        <v>14 INVENTARIOS</v>
      </c>
      <c r="CZ57" s="141" t="str">
        <v>14 INVENTARIOS</v>
      </c>
      <c r="DA57" s="141" t="str">
        <v>14 INVENTARIOS</v>
      </c>
      <c r="DF57" t="str">
        <v>14 INVENTARIOS</v>
      </c>
      <c r="DG57" t="str">
        <v>14 INVENTARIOS</v>
      </c>
      <c r="DH57" t="str">
        <v>14 INVENTARIOS</v>
      </c>
      <c r="DI57" t="str">
        <v>14 INVENTARIOS</v>
      </c>
      <c r="DJ57" t="str">
        <v>14 INVENTARIOS</v>
      </c>
      <c r="DK57" t="str">
        <v>14 INVENTARIOS</v>
      </c>
      <c r="DL57" t="str">
        <v>14 INVENTARIOS</v>
      </c>
      <c r="DM57" t="str">
        <v>14 INVENTARIOS</v>
      </c>
      <c r="DN57" t="str">
        <v>14 INVENTARIOS</v>
      </c>
      <c r="DO57" t="str">
        <v>14 INVENTARIOS</v>
      </c>
      <c r="DP57" t="str">
        <v>14 INVENTARIOS</v>
      </c>
    </row>
    <row r="58" spans="4:120" ht="12.75">
      <c r="D58" s="7">
        <v>1405</v>
      </c>
      <c r="E58" s="6" t="s">
        <v>92</v>
      </c>
      <c r="F58" s="5">
        <v>3</v>
      </c>
      <c r="G58" s="34" t="s">
        <v>821</v>
      </c>
      <c r="H58" s="8" t="s">
        <v>32</v>
      </c>
      <c r="I58" t="b">
        <f>+ISNUMBER(SEARCH('F-COMPRA'!$F$28,Tabla11[[#This Row],[Cuenta]],1))</f>
        <v>1</v>
      </c>
      <c r="J58" t="b">
        <f>+ISNUMBER(SEARCH('F-COMPRA'!$F$29,Tabla11[[#This Row],[Cuenta]],1))</f>
        <v>1</v>
      </c>
      <c r="K58" t="b">
        <f>+ISNUMBER(SEARCH('F-COMPRA'!$F$30,Tabla11[[#This Row],[Cuenta]],1))</f>
        <v>1</v>
      </c>
      <c r="L58" t="b">
        <f>+ISNUMBER(SEARCH('F-COMPRA'!$F$31,Tabla11[[#This Row],[Cuenta]],1))</f>
        <v>1</v>
      </c>
      <c r="M58" t="b">
        <f>+ISNUMBER(SEARCH('F-COMPRA'!$G$25,Tabla11[[#This Row],[Cuenta]],1))</f>
        <v>0</v>
      </c>
      <c r="N58" t="b">
        <f>+ISNUMBER(SEARCH(#REF!,Tabla11[[#This Row],[Cuenta]],1))</f>
        <v>0</v>
      </c>
      <c r="O58" t="b">
        <f>+ISNUMBER(SEARCH(#REF!,Tabla11[[#This Row],[Cuenta]],1))</f>
        <v>0</v>
      </c>
      <c r="P58" t="b">
        <f>+ISNUMBER(SEARCH('F-COMPRA'!$F$32,Tabla11[[#This Row],[Cuenta]],1))</f>
        <v>1</v>
      </c>
      <c r="Q58" t="b">
        <f>+ISNUMBER(SEARCH('F-COMPRA'!$F$33,Tabla11[[#This Row],[Cuenta]],1))</f>
        <v>1</v>
      </c>
      <c r="R58" t="b">
        <f>+ISNUMBER(SEARCH('F-COMPRA'!$F$34,Tabla11[[#This Row],[Cuenta]],1))</f>
        <v>1</v>
      </c>
      <c r="S58" t="b">
        <f>+ISNUMBER(SEARCH('F-COMPRA'!$F$35,Tabla11[[#This Row],[Cuenta]],1))</f>
        <v>1</v>
      </c>
      <c r="T58" t="b">
        <f>+ISNUMBER(SEARCH('F-COMPRA'!$F$36,Tabla11[[#This Row],[Cuenta]],1))</f>
        <v>1</v>
      </c>
      <c r="U58" t="b">
        <f>+ISNUMBER(SEARCH('F-COMPRA'!$F$37,Tabla11[[#This Row],[Cuenta]],1))</f>
        <v>1</v>
      </c>
      <c r="V58" t="b">
        <f>+ISNUMBER(SEARCH(#REF!,Tabla11[[#This Row],[Cuenta]],1))</f>
        <v>0</v>
      </c>
      <c r="W58" t="b">
        <f>+ISNUMBER(SEARCH('F-COMPRA'!#REF!,Tabla11[[#This Row],[Cuenta]],1))</f>
        <v>0</v>
      </c>
      <c r="X58" t="b">
        <f>+ISNUMBER(SEARCH('F-COMPRA'!#REF!,Tabla11[[#This Row],[Cuenta]],1))</f>
        <v>0</v>
      </c>
      <c r="Y58" t="b">
        <f>+ISNUMBER(SEARCH('F-COMPRA'!#REF!,Tabla11[[#This Row],[Cuenta]],1))</f>
        <v>0</v>
      </c>
      <c r="Z58" t="b">
        <f>+ISNUMBER(SEARCH('F-COMPRA'!#REF!,Tabla11[[#This Row],[Cuenta]],1))</f>
        <v>0</v>
      </c>
      <c r="AA58" t="b">
        <f>+ISNUMBER(SEARCH('F-COMPRA'!#REF!,Tabla11[[#This Row],[Cuenta]],1))</f>
        <v>0</v>
      </c>
      <c r="AB58" t="b">
        <f>+ISNUMBER(SEARCH('F-COMPRA'!#REF!,Tabla11[[#This Row],[Cuenta]],1))</f>
        <v>0</v>
      </c>
      <c r="AC58" t="b">
        <f>+ISNUMBER(SEARCH('F-COMPRA'!#REF!,Tabla11[[#This Row],[Cuenta]],1))</f>
        <v>0</v>
      </c>
      <c r="AD58" t="b">
        <f>+ISNUMBER(SEARCH('F-COMPRA'!#REF!,Tabla11[[#This Row],[Cuenta]],1))</f>
        <v>0</v>
      </c>
      <c r="AE58" t="b">
        <f>+ISNUMBER(SEARCH('F-COMPRA'!#REF!,Tabla11[[#This Row],[Cuenta]],1))</f>
        <v>0</v>
      </c>
      <c r="AF58" t="b">
        <f>+ISNUMBER(SEARCH('F-VTA'!$G$23,Tabla11[[#This Row],[Cuenta]],1))</f>
        <v>0</v>
      </c>
      <c r="AG58" t="b">
        <f>+ISNUMBER(SEARCH('F-VTA'!$G$24,Tabla11[[#This Row],[Cuenta]],1))</f>
        <v>0</v>
      </c>
      <c r="AH58" t="b">
        <f>+ISNUMBER(SEARCH('F-VTA'!$G$25,Tabla11[[#This Row],[Cuenta]],1))</f>
        <v>0</v>
      </c>
      <c r="AI58" t="b">
        <f>+ISNUMBER(SEARCH('F-VTA'!$F$28,Tabla11[[#This Row],[Cuenta]],1))</f>
        <v>1</v>
      </c>
      <c r="AJ58" t="b">
        <f>+ISNUMBER(SEARCH('F-VTA'!$F$29,Tabla11[[#This Row],[Cuenta]],1))</f>
        <v>1</v>
      </c>
      <c r="AK58" t="b">
        <f>+ISNUMBER(SEARCH('F-VTA'!$F$30,Tabla11[[#This Row],[Cuenta]],1))</f>
        <v>1</v>
      </c>
      <c r="AL58" t="b">
        <f>+ISNUMBER(SEARCH('F-VTA'!$F$31,Tabla11[[#This Row],[Cuenta]],1))</f>
        <v>1</v>
      </c>
      <c r="AM58" t="b">
        <f>+ISNUMBER(SEARCH('F-VTA'!$F$32,Tabla11[[#This Row],[Cuenta]],1))</f>
        <v>1</v>
      </c>
      <c r="AN58" t="b">
        <f>+ISNUMBER(SEARCH('F-VTA'!$F$33,Tabla11[[#This Row],[Cuenta]],1))</f>
        <v>1</v>
      </c>
      <c r="AO58" t="b">
        <f>+ISNUMBER(SEARCH('F-VTA'!$F$34,Tabla11[[#This Row],[Cuenta]],1))</f>
        <v>1</v>
      </c>
      <c r="AP58" t="b">
        <f>+ISNUMBER(SEARCH('F-VTA'!$F$35,Tabla11[[#This Row],[Cuenta]],1))</f>
        <v>1</v>
      </c>
      <c r="AQ58" t="b">
        <f>+ISNUMBER(SEARCH('F-VTA'!$F$36,Tabla11[[#This Row],[Cuenta]],1))</f>
        <v>1</v>
      </c>
      <c r="AR58" t="b">
        <f>+ISNUMBER(SEARCH(#REF!,Tabla11[[#This Row],[Cuenta]],1))</f>
        <v>0</v>
      </c>
      <c r="AS58" t="b">
        <f>+ISNUMBER(SEARCH(#REF!,Tabla11[[#This Row],[Cuenta]],1))</f>
        <v>0</v>
      </c>
      <c r="AT58" t="b">
        <f>+ISNUMBER(SEARCH(#REF!,Tabla11[[#This Row],[Cuenta]],1))</f>
        <v>0</v>
      </c>
      <c r="AU58" t="b">
        <f>+ISNUMBER(SEARCH('Conc. Ban.1'!$I$9,Tabla11[[#This Row],[Cuenta]],1))</f>
        <v>0</v>
      </c>
      <c r="AV58" t="b">
        <f>+ISNUMBER(SEARCH(CompConta!$F$21,Tabla11[[#This Row],[Cuenta]],1))</f>
        <v>1</v>
      </c>
      <c r="AW58" t="b">
        <f>+ISNUMBER(SEARCH(CompConta!$F$22,Tabla11[[#This Row],[Cuenta]],1))</f>
        <v>1</v>
      </c>
      <c r="AX58" t="b">
        <f>+ISNUMBER(SEARCH(CompConta!$F$23,Tabla11[[#This Row],[Cuenta]],1))</f>
        <v>1</v>
      </c>
      <c r="AY58" t="b">
        <f>+ISNUMBER(SEARCH(CompConta!$F$24,Tabla11[[#This Row],[Cuenta]],1))</f>
        <v>1</v>
      </c>
      <c r="AZ58" t="b">
        <f>+ISNUMBER(SEARCH(CompConta!$F$25,Tabla11[[#This Row],[Cuenta]],1))</f>
        <v>1</v>
      </c>
      <c r="BA58" t="b">
        <f>+ISNUMBER(SEARCH(CompConta!$F$26,Tabla11[[#This Row],[Cuenta]],1))</f>
        <v>1</v>
      </c>
      <c r="BB58" t="b">
        <f>+ISNUMBER(SEARCH(CompConta!$F$27,Tabla11[[#This Row],[Cuenta]],1))</f>
        <v>1</v>
      </c>
      <c r="BC58" t="b">
        <f>+ISNUMBER(SEARCH(CompConta!$F$28,Tabla11[[#This Row],[Cuenta]],1))</f>
        <v>1</v>
      </c>
      <c r="BD58" t="b">
        <f>+ISNUMBER(SEARCH(CompConta!$F$29,Tabla11[[#This Row],[Cuenta]],1))</f>
        <v>1</v>
      </c>
      <c r="BE58" t="b">
        <f>+ISNUMBER(SEARCH(CompConta!$F$30,Tabla11[[#This Row],[Cuenta]],1))</f>
        <v>1</v>
      </c>
      <c r="BF58" t="b">
        <f>+ISNUMBER(SEARCH('PAGO Compras'!$E$11,Tabla11[[#This Row],[Cuenta]],1))</f>
        <v>1</v>
      </c>
      <c r="BG58" t="b">
        <f>+ISNUMBER(SEARCH(#REF!,Tabla11[[#This Row],[Cuenta]],1))</f>
        <v>0</v>
      </c>
      <c r="BH58" t="b">
        <f>+ISNUMBER(SEARCH(#REF!,Tabla11[[#This Row],[Cuenta]],1))</f>
        <v>0</v>
      </c>
      <c r="BI58" t="b">
        <f>+ISNUMBER(SEARCH(#REF!,Tabla11[[#This Row],[Cuenta]],1))</f>
        <v>0</v>
      </c>
      <c r="BJ58" t="b">
        <f>+ISNUMBER(SEARCH(#REF!,Tabla11[[#This Row],[Cuenta]],1))</f>
        <v>0</v>
      </c>
      <c r="BS58" t="str">
        <v>1405 MATERIAS PRIMAS</v>
      </c>
      <c r="BT58" t="str">
        <v>1405 MATERIAS PRIMAS</v>
      </c>
      <c r="BU58" t="str">
        <v>1405 MATERIAS PRIMAS</v>
      </c>
      <c r="BV58" t="str">
        <v>1405 MATERIAS PRIMAS</v>
      </c>
      <c r="BZ58" t="str">
        <v>1405 MATERIAS PRIMAS</v>
      </c>
      <c r="CA58" t="str">
        <v>1405 MATERIAS PRIMAS</v>
      </c>
      <c r="CB58" t="str">
        <v>1405 MATERIAS PRIMAS</v>
      </c>
      <c r="CC58" t="str">
        <v>1405 MATERIAS PRIMAS</v>
      </c>
      <c r="CD58" t="str">
        <v>1405 MATERIAS PRIMAS</v>
      </c>
      <c r="CE58" t="str">
        <v>1405 MATERIAS PRIMAS</v>
      </c>
      <c r="CS58" s="141" t="str">
        <v>1405 MATERIAS PRIMAS</v>
      </c>
      <c r="CT58" s="141" t="str">
        <v>1405 MATERIAS PRIMAS</v>
      </c>
      <c r="CU58" s="141" t="str">
        <v>1405 MATERIAS PRIMAS</v>
      </c>
      <c r="CV58" s="141" t="str">
        <v>1405 MATERIAS PRIMAS</v>
      </c>
      <c r="CW58" s="141" t="str">
        <v>1405 MATERIAS PRIMAS</v>
      </c>
      <c r="CX58" s="141" t="str">
        <v>1405 MATERIAS PRIMAS</v>
      </c>
      <c r="CY58" s="141" t="str">
        <v>1405 MATERIAS PRIMAS</v>
      </c>
      <c r="CZ58" s="141" t="str">
        <v>1405 MATERIAS PRIMAS</v>
      </c>
      <c r="DA58" s="141" t="str">
        <v>1405 MATERIAS PRIMAS</v>
      </c>
      <c r="DF58" t="str">
        <v>1405 MATERIAS PRIMAS</v>
      </c>
      <c r="DG58" t="str">
        <v>1405 MATERIAS PRIMAS</v>
      </c>
      <c r="DH58" t="str">
        <v>1405 MATERIAS PRIMAS</v>
      </c>
      <c r="DI58" t="str">
        <v>1405 MATERIAS PRIMAS</v>
      </c>
      <c r="DJ58" t="str">
        <v>1405 MATERIAS PRIMAS</v>
      </c>
      <c r="DK58" t="str">
        <v>1405 MATERIAS PRIMAS</v>
      </c>
      <c r="DL58" t="str">
        <v>1405 MATERIAS PRIMAS</v>
      </c>
      <c r="DM58" t="str">
        <v>1405 MATERIAS PRIMAS</v>
      </c>
      <c r="DN58" t="str">
        <v>1405 MATERIAS PRIMAS</v>
      </c>
      <c r="DO58" t="str">
        <v>1405 MATERIAS PRIMAS</v>
      </c>
      <c r="DP58" t="str">
        <v>1405 MATERIAS PRIMAS</v>
      </c>
    </row>
    <row r="59" spans="4:120" ht="12.75">
      <c r="D59" s="7">
        <v>140599</v>
      </c>
      <c r="E59" s="6" t="s">
        <v>93</v>
      </c>
      <c r="F59" s="5">
        <v>4</v>
      </c>
      <c r="G59" s="34" t="s">
        <v>821</v>
      </c>
      <c r="H59" s="8" t="s">
        <v>32</v>
      </c>
      <c r="I59" t="b">
        <f>+ISNUMBER(SEARCH('F-COMPRA'!$F$28,Tabla11[[#This Row],[Cuenta]],1))</f>
        <v>1</v>
      </c>
      <c r="J59" t="b">
        <f>+ISNUMBER(SEARCH('F-COMPRA'!$F$29,Tabla11[[#This Row],[Cuenta]],1))</f>
        <v>1</v>
      </c>
      <c r="K59" t="b">
        <f>+ISNUMBER(SEARCH('F-COMPRA'!$F$30,Tabla11[[#This Row],[Cuenta]],1))</f>
        <v>1</v>
      </c>
      <c r="L59" t="b">
        <f>+ISNUMBER(SEARCH('F-COMPRA'!$F$31,Tabla11[[#This Row],[Cuenta]],1))</f>
        <v>1</v>
      </c>
      <c r="M59" t="b">
        <f>+ISNUMBER(SEARCH('F-COMPRA'!$G$25,Tabla11[[#This Row],[Cuenta]],1))</f>
        <v>0</v>
      </c>
      <c r="N59" t="b">
        <f>+ISNUMBER(SEARCH(#REF!,Tabla11[[#This Row],[Cuenta]],1))</f>
        <v>0</v>
      </c>
      <c r="O59" t="b">
        <f>+ISNUMBER(SEARCH(#REF!,Tabla11[[#This Row],[Cuenta]],1))</f>
        <v>0</v>
      </c>
      <c r="P59" t="b">
        <f>+ISNUMBER(SEARCH('F-COMPRA'!$F$32,Tabla11[[#This Row],[Cuenta]],1))</f>
        <v>1</v>
      </c>
      <c r="Q59" t="b">
        <f>+ISNUMBER(SEARCH('F-COMPRA'!$F$33,Tabla11[[#This Row],[Cuenta]],1))</f>
        <v>1</v>
      </c>
      <c r="R59" t="b">
        <f>+ISNUMBER(SEARCH('F-COMPRA'!$F$34,Tabla11[[#This Row],[Cuenta]],1))</f>
        <v>1</v>
      </c>
      <c r="S59" t="b">
        <f>+ISNUMBER(SEARCH('F-COMPRA'!$F$35,Tabla11[[#This Row],[Cuenta]],1))</f>
        <v>1</v>
      </c>
      <c r="T59" t="b">
        <f>+ISNUMBER(SEARCH('F-COMPRA'!$F$36,Tabla11[[#This Row],[Cuenta]],1))</f>
        <v>1</v>
      </c>
      <c r="U59" t="b">
        <f>+ISNUMBER(SEARCH('F-COMPRA'!$F$37,Tabla11[[#This Row],[Cuenta]],1))</f>
        <v>1</v>
      </c>
      <c r="V59" t="b">
        <f>+ISNUMBER(SEARCH(#REF!,Tabla11[[#This Row],[Cuenta]],1))</f>
        <v>0</v>
      </c>
      <c r="W59" t="b">
        <f>+ISNUMBER(SEARCH('F-COMPRA'!#REF!,Tabla11[[#This Row],[Cuenta]],1))</f>
        <v>0</v>
      </c>
      <c r="X59" t="b">
        <f>+ISNUMBER(SEARCH('F-COMPRA'!#REF!,Tabla11[[#This Row],[Cuenta]],1))</f>
        <v>0</v>
      </c>
      <c r="Y59" t="b">
        <f>+ISNUMBER(SEARCH('F-COMPRA'!#REF!,Tabla11[[#This Row],[Cuenta]],1))</f>
        <v>0</v>
      </c>
      <c r="Z59" t="b">
        <f>+ISNUMBER(SEARCH('F-COMPRA'!#REF!,Tabla11[[#This Row],[Cuenta]],1))</f>
        <v>0</v>
      </c>
      <c r="AA59" t="b">
        <f>+ISNUMBER(SEARCH('F-COMPRA'!#REF!,Tabla11[[#This Row],[Cuenta]],1))</f>
        <v>0</v>
      </c>
      <c r="AB59" t="b">
        <f>+ISNUMBER(SEARCH('F-COMPRA'!#REF!,Tabla11[[#This Row],[Cuenta]],1))</f>
        <v>0</v>
      </c>
      <c r="AC59" t="b">
        <f>+ISNUMBER(SEARCH('F-COMPRA'!#REF!,Tabla11[[#This Row],[Cuenta]],1))</f>
        <v>0</v>
      </c>
      <c r="AD59" t="b">
        <f>+ISNUMBER(SEARCH('F-COMPRA'!#REF!,Tabla11[[#This Row],[Cuenta]],1))</f>
        <v>0</v>
      </c>
      <c r="AE59" t="b">
        <f>+ISNUMBER(SEARCH('F-COMPRA'!#REF!,Tabla11[[#This Row],[Cuenta]],1))</f>
        <v>0</v>
      </c>
      <c r="AF59" t="b">
        <f>+ISNUMBER(SEARCH('F-VTA'!$G$23,Tabla11[[#This Row],[Cuenta]],1))</f>
        <v>0</v>
      </c>
      <c r="AG59" t="b">
        <f>+ISNUMBER(SEARCH('F-VTA'!$G$24,Tabla11[[#This Row],[Cuenta]],1))</f>
        <v>0</v>
      </c>
      <c r="AH59" t="b">
        <f>+ISNUMBER(SEARCH('F-VTA'!$G$25,Tabla11[[#This Row],[Cuenta]],1))</f>
        <v>0</v>
      </c>
      <c r="AI59" t="b">
        <f>+ISNUMBER(SEARCH('F-VTA'!$F$28,Tabla11[[#This Row],[Cuenta]],1))</f>
        <v>1</v>
      </c>
      <c r="AJ59" t="b">
        <f>+ISNUMBER(SEARCH('F-VTA'!$F$29,Tabla11[[#This Row],[Cuenta]],1))</f>
        <v>1</v>
      </c>
      <c r="AK59" t="b">
        <f>+ISNUMBER(SEARCH('F-VTA'!$F$30,Tabla11[[#This Row],[Cuenta]],1))</f>
        <v>1</v>
      </c>
      <c r="AL59" t="b">
        <f>+ISNUMBER(SEARCH('F-VTA'!$F$31,Tabla11[[#This Row],[Cuenta]],1))</f>
        <v>1</v>
      </c>
      <c r="AM59" t="b">
        <f>+ISNUMBER(SEARCH('F-VTA'!$F$32,Tabla11[[#This Row],[Cuenta]],1))</f>
        <v>1</v>
      </c>
      <c r="AN59" t="b">
        <f>+ISNUMBER(SEARCH('F-VTA'!$F$33,Tabla11[[#This Row],[Cuenta]],1))</f>
        <v>1</v>
      </c>
      <c r="AO59" t="b">
        <f>+ISNUMBER(SEARCH('F-VTA'!$F$34,Tabla11[[#This Row],[Cuenta]],1))</f>
        <v>1</v>
      </c>
      <c r="AP59" t="b">
        <f>+ISNUMBER(SEARCH('F-VTA'!$F$35,Tabla11[[#This Row],[Cuenta]],1))</f>
        <v>1</v>
      </c>
      <c r="AQ59" t="b">
        <f>+ISNUMBER(SEARCH('F-VTA'!$F$36,Tabla11[[#This Row],[Cuenta]],1))</f>
        <v>1</v>
      </c>
      <c r="AR59" t="b">
        <f>+ISNUMBER(SEARCH(#REF!,Tabla11[[#This Row],[Cuenta]],1))</f>
        <v>0</v>
      </c>
      <c r="AS59" t="b">
        <f>+ISNUMBER(SEARCH(#REF!,Tabla11[[#This Row],[Cuenta]],1))</f>
        <v>0</v>
      </c>
      <c r="AT59" t="b">
        <f>+ISNUMBER(SEARCH(#REF!,Tabla11[[#This Row],[Cuenta]],1))</f>
        <v>0</v>
      </c>
      <c r="AU59" t="b">
        <f>+ISNUMBER(SEARCH('Conc. Ban.1'!$I$9,Tabla11[[#This Row],[Cuenta]],1))</f>
        <v>0</v>
      </c>
      <c r="AV59" t="b">
        <f>+ISNUMBER(SEARCH(CompConta!$F$21,Tabla11[[#This Row],[Cuenta]],1))</f>
        <v>1</v>
      </c>
      <c r="AW59" t="b">
        <f>+ISNUMBER(SEARCH(CompConta!$F$22,Tabla11[[#This Row],[Cuenta]],1))</f>
        <v>1</v>
      </c>
      <c r="AX59" t="b">
        <f>+ISNUMBER(SEARCH(CompConta!$F$23,Tabla11[[#This Row],[Cuenta]],1))</f>
        <v>1</v>
      </c>
      <c r="AY59" t="b">
        <f>+ISNUMBER(SEARCH(CompConta!$F$24,Tabla11[[#This Row],[Cuenta]],1))</f>
        <v>1</v>
      </c>
      <c r="AZ59" t="b">
        <f>+ISNUMBER(SEARCH(CompConta!$F$25,Tabla11[[#This Row],[Cuenta]],1))</f>
        <v>1</v>
      </c>
      <c r="BA59" t="b">
        <f>+ISNUMBER(SEARCH(CompConta!$F$26,Tabla11[[#This Row],[Cuenta]],1))</f>
        <v>1</v>
      </c>
      <c r="BB59" t="b">
        <f>+ISNUMBER(SEARCH(CompConta!$F$27,Tabla11[[#This Row],[Cuenta]],1))</f>
        <v>1</v>
      </c>
      <c r="BC59" t="b">
        <f>+ISNUMBER(SEARCH(CompConta!$F$28,Tabla11[[#This Row],[Cuenta]],1))</f>
        <v>1</v>
      </c>
      <c r="BD59" t="b">
        <f>+ISNUMBER(SEARCH(CompConta!$F$29,Tabla11[[#This Row],[Cuenta]],1))</f>
        <v>1</v>
      </c>
      <c r="BE59" t="b">
        <f>+ISNUMBER(SEARCH(CompConta!$F$30,Tabla11[[#This Row],[Cuenta]],1))</f>
        <v>1</v>
      </c>
      <c r="BF59" t="b">
        <f>+ISNUMBER(SEARCH('PAGO Compras'!$E$11,Tabla11[[#This Row],[Cuenta]],1))</f>
        <v>1</v>
      </c>
      <c r="BG59" t="b">
        <f>+ISNUMBER(SEARCH(#REF!,Tabla11[[#This Row],[Cuenta]],1))</f>
        <v>0</v>
      </c>
      <c r="BH59" t="b">
        <f>+ISNUMBER(SEARCH(#REF!,Tabla11[[#This Row],[Cuenta]],1))</f>
        <v>0</v>
      </c>
      <c r="BI59" t="b">
        <f>+ISNUMBER(SEARCH(#REF!,Tabla11[[#This Row],[Cuenta]],1))</f>
        <v>0</v>
      </c>
      <c r="BJ59" t="b">
        <f>+ISNUMBER(SEARCH(#REF!,Tabla11[[#This Row],[Cuenta]],1))</f>
        <v>0</v>
      </c>
      <c r="BS59" t="str">
        <v>140599 *Ajustes por inflación</v>
      </c>
      <c r="BT59" t="str">
        <v>140599 *Ajustes por inflación</v>
      </c>
      <c r="BU59" t="str">
        <v>140599 *Ajustes por inflación</v>
      </c>
      <c r="BV59" t="str">
        <v>140599 *Ajustes por inflación</v>
      </c>
      <c r="BZ59" t="str">
        <v>140599 *Ajustes por inflación</v>
      </c>
      <c r="CA59" t="str">
        <v>140599 *Ajustes por inflación</v>
      </c>
      <c r="CB59" t="str">
        <v>140599 *Ajustes por inflación</v>
      </c>
      <c r="CC59" t="str">
        <v>140599 *Ajustes por inflación</v>
      </c>
      <c r="CD59" t="str">
        <v>140599 *Ajustes por inflación</v>
      </c>
      <c r="CE59" t="str">
        <v>140599 *Ajustes por inflación</v>
      </c>
      <c r="CS59" s="141" t="str">
        <v>140599 *Ajustes por inflación</v>
      </c>
      <c r="CT59" s="141" t="str">
        <v>140599 *Ajustes por inflación</v>
      </c>
      <c r="CU59" s="141" t="str">
        <v>140599 *Ajustes por inflación</v>
      </c>
      <c r="CV59" s="141" t="str">
        <v>140599 *Ajustes por inflación</v>
      </c>
      <c r="CW59" s="141" t="str">
        <v>140599 *Ajustes por inflación</v>
      </c>
      <c r="CX59" s="141" t="str">
        <v>140599 *Ajustes por inflación</v>
      </c>
      <c r="CY59" s="141" t="str">
        <v>140599 *Ajustes por inflación</v>
      </c>
      <c r="CZ59" s="141" t="str">
        <v>140599 *Ajustes por inflación</v>
      </c>
      <c r="DA59" s="141" t="str">
        <v>140599 *Ajustes por inflación</v>
      </c>
      <c r="DF59" t="str">
        <v>140599 *Ajustes por inflación</v>
      </c>
      <c r="DG59" t="str">
        <v>140599 *Ajustes por inflación</v>
      </c>
      <c r="DH59" t="str">
        <v>140599 *Ajustes por inflación</v>
      </c>
      <c r="DI59" t="str">
        <v>140599 *Ajustes por inflación</v>
      </c>
      <c r="DJ59" t="str">
        <v>140599 *Ajustes por inflación</v>
      </c>
      <c r="DK59" t="str">
        <v>140599 *Ajustes por inflación</v>
      </c>
      <c r="DL59" t="str">
        <v>140599 *Ajustes por inflación</v>
      </c>
      <c r="DM59" t="str">
        <v>140599 *Ajustes por inflación</v>
      </c>
      <c r="DN59" t="str">
        <v>140599 *Ajustes por inflación</v>
      </c>
      <c r="DO59" t="str">
        <v>140599 *Ajustes por inflación</v>
      </c>
      <c r="DP59" t="str">
        <v>140599 *Ajustes por inflación</v>
      </c>
    </row>
    <row r="60" spans="4:120" ht="12.75">
      <c r="D60" s="7">
        <v>1410</v>
      </c>
      <c r="E60" s="6" t="s">
        <v>94</v>
      </c>
      <c r="F60" s="5">
        <v>3</v>
      </c>
      <c r="G60" s="34" t="s">
        <v>821</v>
      </c>
      <c r="H60" s="8" t="s">
        <v>32</v>
      </c>
      <c r="I60" t="b">
        <f>+ISNUMBER(SEARCH('F-COMPRA'!$F$28,Tabla11[[#This Row],[Cuenta]],1))</f>
        <v>1</v>
      </c>
      <c r="J60" t="b">
        <f>+ISNUMBER(SEARCH('F-COMPRA'!$F$29,Tabla11[[#This Row],[Cuenta]],1))</f>
        <v>1</v>
      </c>
      <c r="K60" t="b">
        <f>+ISNUMBER(SEARCH('F-COMPRA'!$F$30,Tabla11[[#This Row],[Cuenta]],1))</f>
        <v>1</v>
      </c>
      <c r="L60" t="b">
        <f>+ISNUMBER(SEARCH('F-COMPRA'!$F$31,Tabla11[[#This Row],[Cuenta]],1))</f>
        <v>1</v>
      </c>
      <c r="M60" t="b">
        <f>+ISNUMBER(SEARCH('F-COMPRA'!$G$25,Tabla11[[#This Row],[Cuenta]],1))</f>
        <v>0</v>
      </c>
      <c r="N60" t="b">
        <f>+ISNUMBER(SEARCH(#REF!,Tabla11[[#This Row],[Cuenta]],1))</f>
        <v>0</v>
      </c>
      <c r="O60" t="b">
        <f>+ISNUMBER(SEARCH(#REF!,Tabla11[[#This Row],[Cuenta]],1))</f>
        <v>0</v>
      </c>
      <c r="P60" t="b">
        <f>+ISNUMBER(SEARCH('F-COMPRA'!$F$32,Tabla11[[#This Row],[Cuenta]],1))</f>
        <v>1</v>
      </c>
      <c r="Q60" t="b">
        <f>+ISNUMBER(SEARCH('F-COMPRA'!$F$33,Tabla11[[#This Row],[Cuenta]],1))</f>
        <v>1</v>
      </c>
      <c r="R60" t="b">
        <f>+ISNUMBER(SEARCH('F-COMPRA'!$F$34,Tabla11[[#This Row],[Cuenta]],1))</f>
        <v>1</v>
      </c>
      <c r="S60" t="b">
        <f>+ISNUMBER(SEARCH('F-COMPRA'!$F$35,Tabla11[[#This Row],[Cuenta]],1))</f>
        <v>1</v>
      </c>
      <c r="T60" t="b">
        <f>+ISNUMBER(SEARCH('F-COMPRA'!$F$36,Tabla11[[#This Row],[Cuenta]],1))</f>
        <v>1</v>
      </c>
      <c r="U60" t="b">
        <f>+ISNUMBER(SEARCH('F-COMPRA'!$F$37,Tabla11[[#This Row],[Cuenta]],1))</f>
        <v>1</v>
      </c>
      <c r="V60" t="b">
        <f>+ISNUMBER(SEARCH(#REF!,Tabla11[[#This Row],[Cuenta]],1))</f>
        <v>0</v>
      </c>
      <c r="W60" t="b">
        <f>+ISNUMBER(SEARCH('F-COMPRA'!#REF!,Tabla11[[#This Row],[Cuenta]],1))</f>
        <v>0</v>
      </c>
      <c r="X60" t="b">
        <f>+ISNUMBER(SEARCH('F-COMPRA'!#REF!,Tabla11[[#This Row],[Cuenta]],1))</f>
        <v>0</v>
      </c>
      <c r="Y60" t="b">
        <f>+ISNUMBER(SEARCH('F-COMPRA'!#REF!,Tabla11[[#This Row],[Cuenta]],1))</f>
        <v>0</v>
      </c>
      <c r="Z60" t="b">
        <f>+ISNUMBER(SEARCH('F-COMPRA'!#REF!,Tabla11[[#This Row],[Cuenta]],1))</f>
        <v>0</v>
      </c>
      <c r="AA60" t="b">
        <f>+ISNUMBER(SEARCH('F-COMPRA'!#REF!,Tabla11[[#This Row],[Cuenta]],1))</f>
        <v>0</v>
      </c>
      <c r="AB60" t="b">
        <f>+ISNUMBER(SEARCH('F-COMPRA'!#REF!,Tabla11[[#This Row],[Cuenta]],1))</f>
        <v>0</v>
      </c>
      <c r="AC60" t="b">
        <f>+ISNUMBER(SEARCH('F-COMPRA'!#REF!,Tabla11[[#This Row],[Cuenta]],1))</f>
        <v>0</v>
      </c>
      <c r="AD60" t="b">
        <f>+ISNUMBER(SEARCH('F-COMPRA'!#REF!,Tabla11[[#This Row],[Cuenta]],1))</f>
        <v>0</v>
      </c>
      <c r="AE60" t="b">
        <f>+ISNUMBER(SEARCH('F-COMPRA'!#REF!,Tabla11[[#This Row],[Cuenta]],1))</f>
        <v>0</v>
      </c>
      <c r="AF60" t="b">
        <f>+ISNUMBER(SEARCH('F-VTA'!$G$23,Tabla11[[#This Row],[Cuenta]],1))</f>
        <v>0</v>
      </c>
      <c r="AG60" t="b">
        <f>+ISNUMBER(SEARCH('F-VTA'!$G$24,Tabla11[[#This Row],[Cuenta]],1))</f>
        <v>0</v>
      </c>
      <c r="AH60" t="b">
        <f>+ISNUMBER(SEARCH('F-VTA'!$G$25,Tabla11[[#This Row],[Cuenta]],1))</f>
        <v>0</v>
      </c>
      <c r="AI60" t="b">
        <f>+ISNUMBER(SEARCH('F-VTA'!$F$28,Tabla11[[#This Row],[Cuenta]],1))</f>
        <v>1</v>
      </c>
      <c r="AJ60" t="b">
        <f>+ISNUMBER(SEARCH('F-VTA'!$F$29,Tabla11[[#This Row],[Cuenta]],1))</f>
        <v>1</v>
      </c>
      <c r="AK60" t="b">
        <f>+ISNUMBER(SEARCH('F-VTA'!$F$30,Tabla11[[#This Row],[Cuenta]],1))</f>
        <v>1</v>
      </c>
      <c r="AL60" t="b">
        <f>+ISNUMBER(SEARCH('F-VTA'!$F$31,Tabla11[[#This Row],[Cuenta]],1))</f>
        <v>1</v>
      </c>
      <c r="AM60" t="b">
        <f>+ISNUMBER(SEARCH('F-VTA'!$F$32,Tabla11[[#This Row],[Cuenta]],1))</f>
        <v>1</v>
      </c>
      <c r="AN60" t="b">
        <f>+ISNUMBER(SEARCH('F-VTA'!$F$33,Tabla11[[#This Row],[Cuenta]],1))</f>
        <v>1</v>
      </c>
      <c r="AO60" t="b">
        <f>+ISNUMBER(SEARCH('F-VTA'!$F$34,Tabla11[[#This Row],[Cuenta]],1))</f>
        <v>1</v>
      </c>
      <c r="AP60" t="b">
        <f>+ISNUMBER(SEARCH('F-VTA'!$F$35,Tabla11[[#This Row],[Cuenta]],1))</f>
        <v>1</v>
      </c>
      <c r="AQ60" t="b">
        <f>+ISNUMBER(SEARCH('F-VTA'!$F$36,Tabla11[[#This Row],[Cuenta]],1))</f>
        <v>1</v>
      </c>
      <c r="AR60" t="b">
        <f>+ISNUMBER(SEARCH(#REF!,Tabla11[[#This Row],[Cuenta]],1))</f>
        <v>0</v>
      </c>
      <c r="AS60" t="b">
        <f>+ISNUMBER(SEARCH(#REF!,Tabla11[[#This Row],[Cuenta]],1))</f>
        <v>0</v>
      </c>
      <c r="AT60" t="b">
        <f>+ISNUMBER(SEARCH(#REF!,Tabla11[[#This Row],[Cuenta]],1))</f>
        <v>0</v>
      </c>
      <c r="AU60" t="b">
        <f>+ISNUMBER(SEARCH('Conc. Ban.1'!$I$9,Tabla11[[#This Row],[Cuenta]],1))</f>
        <v>0</v>
      </c>
      <c r="AV60" t="b">
        <f>+ISNUMBER(SEARCH(CompConta!$F$21,Tabla11[[#This Row],[Cuenta]],1))</f>
        <v>1</v>
      </c>
      <c r="AW60" t="b">
        <f>+ISNUMBER(SEARCH(CompConta!$F$22,Tabla11[[#This Row],[Cuenta]],1))</f>
        <v>1</v>
      </c>
      <c r="AX60" t="b">
        <f>+ISNUMBER(SEARCH(CompConta!$F$23,Tabla11[[#This Row],[Cuenta]],1))</f>
        <v>1</v>
      </c>
      <c r="AY60" t="b">
        <f>+ISNUMBER(SEARCH(CompConta!$F$24,Tabla11[[#This Row],[Cuenta]],1))</f>
        <v>1</v>
      </c>
      <c r="AZ60" t="b">
        <f>+ISNUMBER(SEARCH(CompConta!$F$25,Tabla11[[#This Row],[Cuenta]],1))</f>
        <v>1</v>
      </c>
      <c r="BA60" t="b">
        <f>+ISNUMBER(SEARCH(CompConta!$F$26,Tabla11[[#This Row],[Cuenta]],1))</f>
        <v>1</v>
      </c>
      <c r="BB60" t="b">
        <f>+ISNUMBER(SEARCH(CompConta!$F$27,Tabla11[[#This Row],[Cuenta]],1))</f>
        <v>1</v>
      </c>
      <c r="BC60" t="b">
        <f>+ISNUMBER(SEARCH(CompConta!$F$28,Tabla11[[#This Row],[Cuenta]],1))</f>
        <v>1</v>
      </c>
      <c r="BD60" t="b">
        <f>+ISNUMBER(SEARCH(CompConta!$F$29,Tabla11[[#This Row],[Cuenta]],1))</f>
        <v>1</v>
      </c>
      <c r="BE60" t="b">
        <f>+ISNUMBER(SEARCH(CompConta!$F$30,Tabla11[[#This Row],[Cuenta]],1))</f>
        <v>1</v>
      </c>
      <c r="BF60" t="b">
        <f>+ISNUMBER(SEARCH('PAGO Compras'!$E$11,Tabla11[[#This Row],[Cuenta]],1))</f>
        <v>1</v>
      </c>
      <c r="BG60" t="b">
        <f>+ISNUMBER(SEARCH(#REF!,Tabla11[[#This Row],[Cuenta]],1))</f>
        <v>0</v>
      </c>
      <c r="BH60" t="b">
        <f>+ISNUMBER(SEARCH(#REF!,Tabla11[[#This Row],[Cuenta]],1))</f>
        <v>0</v>
      </c>
      <c r="BI60" t="b">
        <f>+ISNUMBER(SEARCH(#REF!,Tabla11[[#This Row],[Cuenta]],1))</f>
        <v>0</v>
      </c>
      <c r="BJ60" t="b">
        <f>+ISNUMBER(SEARCH(#REF!,Tabla11[[#This Row],[Cuenta]],1))</f>
        <v>0</v>
      </c>
      <c r="BS60" t="str">
        <v>1410 PRODUCTOS EN PROCESO</v>
      </c>
      <c r="BT60" t="str">
        <v>1410 PRODUCTOS EN PROCESO</v>
      </c>
      <c r="BU60" t="str">
        <v>1410 PRODUCTOS EN PROCESO</v>
      </c>
      <c r="BV60" t="str">
        <v>1410 PRODUCTOS EN PROCESO</v>
      </c>
      <c r="BZ60" t="str">
        <v>1410 PRODUCTOS EN PROCESO</v>
      </c>
      <c r="CA60" t="str">
        <v>1410 PRODUCTOS EN PROCESO</v>
      </c>
      <c r="CB60" t="str">
        <v>1410 PRODUCTOS EN PROCESO</v>
      </c>
      <c r="CC60" t="str">
        <v>1410 PRODUCTOS EN PROCESO</v>
      </c>
      <c r="CD60" t="str">
        <v>1410 PRODUCTOS EN PROCESO</v>
      </c>
      <c r="CE60" t="str">
        <v>1410 PRODUCTOS EN PROCESO</v>
      </c>
      <c r="CS60" s="141" t="str">
        <v>1410 PRODUCTOS EN PROCESO</v>
      </c>
      <c r="CT60" s="141" t="str">
        <v>1410 PRODUCTOS EN PROCESO</v>
      </c>
      <c r="CU60" s="141" t="str">
        <v>1410 PRODUCTOS EN PROCESO</v>
      </c>
      <c r="CV60" s="141" t="str">
        <v>1410 PRODUCTOS EN PROCESO</v>
      </c>
      <c r="CW60" s="141" t="str">
        <v>1410 PRODUCTOS EN PROCESO</v>
      </c>
      <c r="CX60" s="141" t="str">
        <v>1410 PRODUCTOS EN PROCESO</v>
      </c>
      <c r="CY60" s="141" t="str">
        <v>1410 PRODUCTOS EN PROCESO</v>
      </c>
      <c r="CZ60" s="141" t="str">
        <v>1410 PRODUCTOS EN PROCESO</v>
      </c>
      <c r="DA60" s="141" t="str">
        <v>1410 PRODUCTOS EN PROCESO</v>
      </c>
      <c r="DF60" t="str">
        <v>1410 PRODUCTOS EN PROCESO</v>
      </c>
      <c r="DG60" t="str">
        <v>1410 PRODUCTOS EN PROCESO</v>
      </c>
      <c r="DH60" t="str">
        <v>1410 PRODUCTOS EN PROCESO</v>
      </c>
      <c r="DI60" t="str">
        <v>1410 PRODUCTOS EN PROCESO</v>
      </c>
      <c r="DJ60" t="str">
        <v>1410 PRODUCTOS EN PROCESO</v>
      </c>
      <c r="DK60" t="str">
        <v>1410 PRODUCTOS EN PROCESO</v>
      </c>
      <c r="DL60" t="str">
        <v>1410 PRODUCTOS EN PROCESO</v>
      </c>
      <c r="DM60" t="str">
        <v>1410 PRODUCTOS EN PROCESO</v>
      </c>
      <c r="DN60" t="str">
        <v>1410 PRODUCTOS EN PROCESO</v>
      </c>
      <c r="DO60" t="str">
        <v>1410 PRODUCTOS EN PROCESO</v>
      </c>
      <c r="DP60" t="str">
        <v>1410 PRODUCTOS EN PROCESO</v>
      </c>
    </row>
    <row r="61" spans="4:120" ht="12.75">
      <c r="D61" s="7">
        <v>141099</v>
      </c>
      <c r="E61" s="6" t="s">
        <v>93</v>
      </c>
      <c r="F61" s="5">
        <v>4</v>
      </c>
      <c r="G61" s="34" t="s">
        <v>821</v>
      </c>
      <c r="H61" s="8" t="s">
        <v>32</v>
      </c>
      <c r="I61" t="b">
        <f>+ISNUMBER(SEARCH('F-COMPRA'!$F$28,Tabla11[[#This Row],[Cuenta]],1))</f>
        <v>1</v>
      </c>
      <c r="J61" t="b">
        <f>+ISNUMBER(SEARCH('F-COMPRA'!$F$29,Tabla11[[#This Row],[Cuenta]],1))</f>
        <v>1</v>
      </c>
      <c r="K61" t="b">
        <f>+ISNUMBER(SEARCH('F-COMPRA'!$F$30,Tabla11[[#This Row],[Cuenta]],1))</f>
        <v>1</v>
      </c>
      <c r="L61" t="b">
        <f>+ISNUMBER(SEARCH('F-COMPRA'!$F$31,Tabla11[[#This Row],[Cuenta]],1))</f>
        <v>1</v>
      </c>
      <c r="M61" t="b">
        <f>+ISNUMBER(SEARCH('F-COMPRA'!$G$25,Tabla11[[#This Row],[Cuenta]],1))</f>
        <v>0</v>
      </c>
      <c r="N61" t="b">
        <f>+ISNUMBER(SEARCH(#REF!,Tabla11[[#This Row],[Cuenta]],1))</f>
        <v>0</v>
      </c>
      <c r="O61" t="b">
        <f>+ISNUMBER(SEARCH(#REF!,Tabla11[[#This Row],[Cuenta]],1))</f>
        <v>0</v>
      </c>
      <c r="P61" t="b">
        <f>+ISNUMBER(SEARCH('F-COMPRA'!$F$32,Tabla11[[#This Row],[Cuenta]],1))</f>
        <v>1</v>
      </c>
      <c r="Q61" t="b">
        <f>+ISNUMBER(SEARCH('F-COMPRA'!$F$33,Tabla11[[#This Row],[Cuenta]],1))</f>
        <v>1</v>
      </c>
      <c r="R61" t="b">
        <f>+ISNUMBER(SEARCH('F-COMPRA'!$F$34,Tabla11[[#This Row],[Cuenta]],1))</f>
        <v>1</v>
      </c>
      <c r="S61" t="b">
        <f>+ISNUMBER(SEARCH('F-COMPRA'!$F$35,Tabla11[[#This Row],[Cuenta]],1))</f>
        <v>1</v>
      </c>
      <c r="T61" t="b">
        <f>+ISNUMBER(SEARCH('F-COMPRA'!$F$36,Tabla11[[#This Row],[Cuenta]],1))</f>
        <v>1</v>
      </c>
      <c r="U61" t="b">
        <f>+ISNUMBER(SEARCH('F-COMPRA'!$F$37,Tabla11[[#This Row],[Cuenta]],1))</f>
        <v>1</v>
      </c>
      <c r="V61" t="b">
        <f>+ISNUMBER(SEARCH(#REF!,Tabla11[[#This Row],[Cuenta]],1))</f>
        <v>0</v>
      </c>
      <c r="W61" t="b">
        <f>+ISNUMBER(SEARCH('F-COMPRA'!#REF!,Tabla11[[#This Row],[Cuenta]],1))</f>
        <v>0</v>
      </c>
      <c r="X61" t="b">
        <f>+ISNUMBER(SEARCH('F-COMPRA'!#REF!,Tabla11[[#This Row],[Cuenta]],1))</f>
        <v>0</v>
      </c>
      <c r="Y61" t="b">
        <f>+ISNUMBER(SEARCH('F-COMPRA'!#REF!,Tabla11[[#This Row],[Cuenta]],1))</f>
        <v>0</v>
      </c>
      <c r="Z61" t="b">
        <f>+ISNUMBER(SEARCH('F-COMPRA'!#REF!,Tabla11[[#This Row],[Cuenta]],1))</f>
        <v>0</v>
      </c>
      <c r="AA61" t="b">
        <f>+ISNUMBER(SEARCH('F-COMPRA'!#REF!,Tabla11[[#This Row],[Cuenta]],1))</f>
        <v>0</v>
      </c>
      <c r="AB61" t="b">
        <f>+ISNUMBER(SEARCH('F-COMPRA'!#REF!,Tabla11[[#This Row],[Cuenta]],1))</f>
        <v>0</v>
      </c>
      <c r="AC61" t="b">
        <f>+ISNUMBER(SEARCH('F-COMPRA'!#REF!,Tabla11[[#This Row],[Cuenta]],1))</f>
        <v>0</v>
      </c>
      <c r="AD61" t="b">
        <f>+ISNUMBER(SEARCH('F-COMPRA'!#REF!,Tabla11[[#This Row],[Cuenta]],1))</f>
        <v>0</v>
      </c>
      <c r="AE61" t="b">
        <f>+ISNUMBER(SEARCH('F-COMPRA'!#REF!,Tabla11[[#This Row],[Cuenta]],1))</f>
        <v>0</v>
      </c>
      <c r="AF61" t="b">
        <f>+ISNUMBER(SEARCH('F-VTA'!$G$23,Tabla11[[#This Row],[Cuenta]],1))</f>
        <v>0</v>
      </c>
      <c r="AG61" t="b">
        <f>+ISNUMBER(SEARCH('F-VTA'!$G$24,Tabla11[[#This Row],[Cuenta]],1))</f>
        <v>0</v>
      </c>
      <c r="AH61" t="b">
        <f>+ISNUMBER(SEARCH('F-VTA'!$G$25,Tabla11[[#This Row],[Cuenta]],1))</f>
        <v>0</v>
      </c>
      <c r="AI61" t="b">
        <f>+ISNUMBER(SEARCH('F-VTA'!$F$28,Tabla11[[#This Row],[Cuenta]],1))</f>
        <v>1</v>
      </c>
      <c r="AJ61" t="b">
        <f>+ISNUMBER(SEARCH('F-VTA'!$F$29,Tabla11[[#This Row],[Cuenta]],1))</f>
        <v>1</v>
      </c>
      <c r="AK61" t="b">
        <f>+ISNUMBER(SEARCH('F-VTA'!$F$30,Tabla11[[#This Row],[Cuenta]],1))</f>
        <v>1</v>
      </c>
      <c r="AL61" t="b">
        <f>+ISNUMBER(SEARCH('F-VTA'!$F$31,Tabla11[[#This Row],[Cuenta]],1))</f>
        <v>1</v>
      </c>
      <c r="AM61" t="b">
        <f>+ISNUMBER(SEARCH('F-VTA'!$F$32,Tabla11[[#This Row],[Cuenta]],1))</f>
        <v>1</v>
      </c>
      <c r="AN61" t="b">
        <f>+ISNUMBER(SEARCH('F-VTA'!$F$33,Tabla11[[#This Row],[Cuenta]],1))</f>
        <v>1</v>
      </c>
      <c r="AO61" t="b">
        <f>+ISNUMBER(SEARCH('F-VTA'!$F$34,Tabla11[[#This Row],[Cuenta]],1))</f>
        <v>1</v>
      </c>
      <c r="AP61" t="b">
        <f>+ISNUMBER(SEARCH('F-VTA'!$F$35,Tabla11[[#This Row],[Cuenta]],1))</f>
        <v>1</v>
      </c>
      <c r="AQ61" t="b">
        <f>+ISNUMBER(SEARCH('F-VTA'!$F$36,Tabla11[[#This Row],[Cuenta]],1))</f>
        <v>1</v>
      </c>
      <c r="AR61" t="b">
        <f>+ISNUMBER(SEARCH(#REF!,Tabla11[[#This Row],[Cuenta]],1))</f>
        <v>0</v>
      </c>
      <c r="AS61" t="b">
        <f>+ISNUMBER(SEARCH(#REF!,Tabla11[[#This Row],[Cuenta]],1))</f>
        <v>0</v>
      </c>
      <c r="AT61" t="b">
        <f>+ISNUMBER(SEARCH(#REF!,Tabla11[[#This Row],[Cuenta]],1))</f>
        <v>0</v>
      </c>
      <c r="AU61" t="b">
        <f>+ISNUMBER(SEARCH('Conc. Ban.1'!$I$9,Tabla11[[#This Row],[Cuenta]],1))</f>
        <v>0</v>
      </c>
      <c r="AV61" t="b">
        <f>+ISNUMBER(SEARCH(CompConta!$F$21,Tabla11[[#This Row],[Cuenta]],1))</f>
        <v>1</v>
      </c>
      <c r="AW61" t="b">
        <f>+ISNUMBER(SEARCH(CompConta!$F$22,Tabla11[[#This Row],[Cuenta]],1))</f>
        <v>1</v>
      </c>
      <c r="AX61" t="b">
        <f>+ISNUMBER(SEARCH(CompConta!$F$23,Tabla11[[#This Row],[Cuenta]],1))</f>
        <v>1</v>
      </c>
      <c r="AY61" t="b">
        <f>+ISNUMBER(SEARCH(CompConta!$F$24,Tabla11[[#This Row],[Cuenta]],1))</f>
        <v>1</v>
      </c>
      <c r="AZ61" t="b">
        <f>+ISNUMBER(SEARCH(CompConta!$F$25,Tabla11[[#This Row],[Cuenta]],1))</f>
        <v>1</v>
      </c>
      <c r="BA61" t="b">
        <f>+ISNUMBER(SEARCH(CompConta!$F$26,Tabla11[[#This Row],[Cuenta]],1))</f>
        <v>1</v>
      </c>
      <c r="BB61" t="b">
        <f>+ISNUMBER(SEARCH(CompConta!$F$27,Tabla11[[#This Row],[Cuenta]],1))</f>
        <v>1</v>
      </c>
      <c r="BC61" t="b">
        <f>+ISNUMBER(SEARCH(CompConta!$F$28,Tabla11[[#This Row],[Cuenta]],1))</f>
        <v>1</v>
      </c>
      <c r="BD61" t="b">
        <f>+ISNUMBER(SEARCH(CompConta!$F$29,Tabla11[[#This Row],[Cuenta]],1))</f>
        <v>1</v>
      </c>
      <c r="BE61" t="b">
        <f>+ISNUMBER(SEARCH(CompConta!$F$30,Tabla11[[#This Row],[Cuenta]],1))</f>
        <v>1</v>
      </c>
      <c r="BF61" t="b">
        <f>+ISNUMBER(SEARCH('PAGO Compras'!$E$11,Tabla11[[#This Row],[Cuenta]],1))</f>
        <v>1</v>
      </c>
      <c r="BG61" t="b">
        <f>+ISNUMBER(SEARCH(#REF!,Tabla11[[#This Row],[Cuenta]],1))</f>
        <v>0</v>
      </c>
      <c r="BH61" t="b">
        <f>+ISNUMBER(SEARCH(#REF!,Tabla11[[#This Row],[Cuenta]],1))</f>
        <v>0</v>
      </c>
      <c r="BI61" t="b">
        <f>+ISNUMBER(SEARCH(#REF!,Tabla11[[#This Row],[Cuenta]],1))</f>
        <v>0</v>
      </c>
      <c r="BJ61" t="b">
        <f>+ISNUMBER(SEARCH(#REF!,Tabla11[[#This Row],[Cuenta]],1))</f>
        <v>0</v>
      </c>
      <c r="BS61" t="str">
        <v>141099 *Ajustes por inflación</v>
      </c>
      <c r="BT61" t="str">
        <v>141099 *Ajustes por inflación</v>
      </c>
      <c r="BU61" t="str">
        <v>141099 *Ajustes por inflación</v>
      </c>
      <c r="BV61" t="str">
        <v>141099 *Ajustes por inflación</v>
      </c>
      <c r="BZ61" t="str">
        <v>141099 *Ajustes por inflación</v>
      </c>
      <c r="CA61" t="str">
        <v>141099 *Ajustes por inflación</v>
      </c>
      <c r="CB61" t="str">
        <v>141099 *Ajustes por inflación</v>
      </c>
      <c r="CC61" t="str">
        <v>141099 *Ajustes por inflación</v>
      </c>
      <c r="CD61" t="str">
        <v>141099 *Ajustes por inflación</v>
      </c>
      <c r="CE61" t="str">
        <v>141099 *Ajustes por inflación</v>
      </c>
      <c r="CS61" s="141" t="str">
        <v>141099 *Ajustes por inflación</v>
      </c>
      <c r="CT61" s="141" t="str">
        <v>141099 *Ajustes por inflación</v>
      </c>
      <c r="CU61" s="141" t="str">
        <v>141099 *Ajustes por inflación</v>
      </c>
      <c r="CV61" s="141" t="str">
        <v>141099 *Ajustes por inflación</v>
      </c>
      <c r="CW61" s="141" t="str">
        <v>141099 *Ajustes por inflación</v>
      </c>
      <c r="CX61" s="141" t="str">
        <v>141099 *Ajustes por inflación</v>
      </c>
      <c r="CY61" s="141" t="str">
        <v>141099 *Ajustes por inflación</v>
      </c>
      <c r="CZ61" s="141" t="str">
        <v>141099 *Ajustes por inflación</v>
      </c>
      <c r="DA61" s="141" t="str">
        <v>141099 *Ajustes por inflación</v>
      </c>
      <c r="DF61" t="str">
        <v>141099 *Ajustes por inflación</v>
      </c>
      <c r="DG61" t="str">
        <v>141099 *Ajustes por inflación</v>
      </c>
      <c r="DH61" t="str">
        <v>141099 *Ajustes por inflación</v>
      </c>
      <c r="DI61" t="str">
        <v>141099 *Ajustes por inflación</v>
      </c>
      <c r="DJ61" t="str">
        <v>141099 *Ajustes por inflación</v>
      </c>
      <c r="DK61" t="str">
        <v>141099 *Ajustes por inflación</v>
      </c>
      <c r="DL61" t="str">
        <v>141099 *Ajustes por inflación</v>
      </c>
      <c r="DM61" t="str">
        <v>141099 *Ajustes por inflación</v>
      </c>
      <c r="DN61" t="str">
        <v>141099 *Ajustes por inflación</v>
      </c>
      <c r="DO61" t="str">
        <v>141099 *Ajustes por inflación</v>
      </c>
      <c r="DP61" t="str">
        <v>141099 *Ajustes por inflación</v>
      </c>
    </row>
    <row r="62" spans="4:120" ht="12.75">
      <c r="D62" s="7">
        <v>1430</v>
      </c>
      <c r="E62" s="6" t="s">
        <v>95</v>
      </c>
      <c r="F62" s="5">
        <v>3</v>
      </c>
      <c r="G62" s="34" t="s">
        <v>821</v>
      </c>
      <c r="H62" s="8" t="s">
        <v>32</v>
      </c>
      <c r="I62" t="b">
        <f>+ISNUMBER(SEARCH('F-COMPRA'!$F$28,Tabla11[[#This Row],[Cuenta]],1))</f>
        <v>1</v>
      </c>
      <c r="J62" t="b">
        <f>+ISNUMBER(SEARCH('F-COMPRA'!$F$29,Tabla11[[#This Row],[Cuenta]],1))</f>
        <v>1</v>
      </c>
      <c r="K62" t="b">
        <f>+ISNUMBER(SEARCH('F-COMPRA'!$F$30,Tabla11[[#This Row],[Cuenta]],1))</f>
        <v>1</v>
      </c>
      <c r="L62" t="b">
        <f>+ISNUMBER(SEARCH('F-COMPRA'!$F$31,Tabla11[[#This Row],[Cuenta]],1))</f>
        <v>1</v>
      </c>
      <c r="M62" t="b">
        <f>+ISNUMBER(SEARCH('F-COMPRA'!$G$25,Tabla11[[#This Row],[Cuenta]],1))</f>
        <v>0</v>
      </c>
      <c r="N62" t="b">
        <f>+ISNUMBER(SEARCH(#REF!,Tabla11[[#This Row],[Cuenta]],1))</f>
        <v>0</v>
      </c>
      <c r="O62" t="b">
        <f>+ISNUMBER(SEARCH(#REF!,Tabla11[[#This Row],[Cuenta]],1))</f>
        <v>0</v>
      </c>
      <c r="P62" t="b">
        <f>+ISNUMBER(SEARCH('F-COMPRA'!$F$32,Tabla11[[#This Row],[Cuenta]],1))</f>
        <v>1</v>
      </c>
      <c r="Q62" t="b">
        <f>+ISNUMBER(SEARCH('F-COMPRA'!$F$33,Tabla11[[#This Row],[Cuenta]],1))</f>
        <v>1</v>
      </c>
      <c r="R62" t="b">
        <f>+ISNUMBER(SEARCH('F-COMPRA'!$F$34,Tabla11[[#This Row],[Cuenta]],1))</f>
        <v>1</v>
      </c>
      <c r="S62" t="b">
        <f>+ISNUMBER(SEARCH('F-COMPRA'!$F$35,Tabla11[[#This Row],[Cuenta]],1))</f>
        <v>1</v>
      </c>
      <c r="T62" t="b">
        <f>+ISNUMBER(SEARCH('F-COMPRA'!$F$36,Tabla11[[#This Row],[Cuenta]],1))</f>
        <v>1</v>
      </c>
      <c r="U62" t="b">
        <f>+ISNUMBER(SEARCH('F-COMPRA'!$F$37,Tabla11[[#This Row],[Cuenta]],1))</f>
        <v>1</v>
      </c>
      <c r="V62" t="b">
        <f>+ISNUMBER(SEARCH(#REF!,Tabla11[[#This Row],[Cuenta]],1))</f>
        <v>0</v>
      </c>
      <c r="W62" t="b">
        <f>+ISNUMBER(SEARCH('F-COMPRA'!#REF!,Tabla11[[#This Row],[Cuenta]],1))</f>
        <v>0</v>
      </c>
      <c r="X62" t="b">
        <f>+ISNUMBER(SEARCH('F-COMPRA'!#REF!,Tabla11[[#This Row],[Cuenta]],1))</f>
        <v>0</v>
      </c>
      <c r="Y62" t="b">
        <f>+ISNUMBER(SEARCH('F-COMPRA'!#REF!,Tabla11[[#This Row],[Cuenta]],1))</f>
        <v>0</v>
      </c>
      <c r="Z62" t="b">
        <f>+ISNUMBER(SEARCH('F-COMPRA'!#REF!,Tabla11[[#This Row],[Cuenta]],1))</f>
        <v>0</v>
      </c>
      <c r="AA62" t="b">
        <f>+ISNUMBER(SEARCH('F-COMPRA'!#REF!,Tabla11[[#This Row],[Cuenta]],1))</f>
        <v>0</v>
      </c>
      <c r="AB62" t="b">
        <f>+ISNUMBER(SEARCH('F-COMPRA'!#REF!,Tabla11[[#This Row],[Cuenta]],1))</f>
        <v>0</v>
      </c>
      <c r="AC62" t="b">
        <f>+ISNUMBER(SEARCH('F-COMPRA'!#REF!,Tabla11[[#This Row],[Cuenta]],1))</f>
        <v>0</v>
      </c>
      <c r="AD62" t="b">
        <f>+ISNUMBER(SEARCH('F-COMPRA'!#REF!,Tabla11[[#This Row],[Cuenta]],1))</f>
        <v>0</v>
      </c>
      <c r="AE62" t="b">
        <f>+ISNUMBER(SEARCH('F-COMPRA'!#REF!,Tabla11[[#This Row],[Cuenta]],1))</f>
        <v>0</v>
      </c>
      <c r="AF62" t="b">
        <f>+ISNUMBER(SEARCH('F-VTA'!$G$23,Tabla11[[#This Row],[Cuenta]],1))</f>
        <v>0</v>
      </c>
      <c r="AG62" t="b">
        <f>+ISNUMBER(SEARCH('F-VTA'!$G$24,Tabla11[[#This Row],[Cuenta]],1))</f>
        <v>0</v>
      </c>
      <c r="AH62" t="b">
        <f>+ISNUMBER(SEARCH('F-VTA'!$G$25,Tabla11[[#This Row],[Cuenta]],1))</f>
        <v>0</v>
      </c>
      <c r="AI62" t="b">
        <f>+ISNUMBER(SEARCH('F-VTA'!$F$28,Tabla11[[#This Row],[Cuenta]],1))</f>
        <v>1</v>
      </c>
      <c r="AJ62" t="b">
        <f>+ISNUMBER(SEARCH('F-VTA'!$F$29,Tabla11[[#This Row],[Cuenta]],1))</f>
        <v>1</v>
      </c>
      <c r="AK62" t="b">
        <f>+ISNUMBER(SEARCH('F-VTA'!$F$30,Tabla11[[#This Row],[Cuenta]],1))</f>
        <v>1</v>
      </c>
      <c r="AL62" t="b">
        <f>+ISNUMBER(SEARCH('F-VTA'!$F$31,Tabla11[[#This Row],[Cuenta]],1))</f>
        <v>1</v>
      </c>
      <c r="AM62" t="b">
        <f>+ISNUMBER(SEARCH('F-VTA'!$F$32,Tabla11[[#This Row],[Cuenta]],1))</f>
        <v>1</v>
      </c>
      <c r="AN62" t="b">
        <f>+ISNUMBER(SEARCH('F-VTA'!$F$33,Tabla11[[#This Row],[Cuenta]],1))</f>
        <v>1</v>
      </c>
      <c r="AO62" t="b">
        <f>+ISNUMBER(SEARCH('F-VTA'!$F$34,Tabla11[[#This Row],[Cuenta]],1))</f>
        <v>1</v>
      </c>
      <c r="AP62" t="b">
        <f>+ISNUMBER(SEARCH('F-VTA'!$F$35,Tabla11[[#This Row],[Cuenta]],1))</f>
        <v>1</v>
      </c>
      <c r="AQ62" t="b">
        <f>+ISNUMBER(SEARCH('F-VTA'!$F$36,Tabla11[[#This Row],[Cuenta]],1))</f>
        <v>1</v>
      </c>
      <c r="AR62" t="b">
        <f>+ISNUMBER(SEARCH(#REF!,Tabla11[[#This Row],[Cuenta]],1))</f>
        <v>0</v>
      </c>
      <c r="AS62" t="b">
        <f>+ISNUMBER(SEARCH(#REF!,Tabla11[[#This Row],[Cuenta]],1))</f>
        <v>0</v>
      </c>
      <c r="AT62" t="b">
        <f>+ISNUMBER(SEARCH(#REF!,Tabla11[[#This Row],[Cuenta]],1))</f>
        <v>0</v>
      </c>
      <c r="AU62" t="b">
        <f>+ISNUMBER(SEARCH('Conc. Ban.1'!$I$9,Tabla11[[#This Row],[Cuenta]],1))</f>
        <v>0</v>
      </c>
      <c r="AV62" t="b">
        <f>+ISNUMBER(SEARCH(CompConta!$F$21,Tabla11[[#This Row],[Cuenta]],1))</f>
        <v>1</v>
      </c>
      <c r="AW62" t="b">
        <f>+ISNUMBER(SEARCH(CompConta!$F$22,Tabla11[[#This Row],[Cuenta]],1))</f>
        <v>1</v>
      </c>
      <c r="AX62" t="b">
        <f>+ISNUMBER(SEARCH(CompConta!$F$23,Tabla11[[#This Row],[Cuenta]],1))</f>
        <v>1</v>
      </c>
      <c r="AY62" t="b">
        <f>+ISNUMBER(SEARCH(CompConta!$F$24,Tabla11[[#This Row],[Cuenta]],1))</f>
        <v>1</v>
      </c>
      <c r="AZ62" t="b">
        <f>+ISNUMBER(SEARCH(CompConta!$F$25,Tabla11[[#This Row],[Cuenta]],1))</f>
        <v>1</v>
      </c>
      <c r="BA62" t="b">
        <f>+ISNUMBER(SEARCH(CompConta!$F$26,Tabla11[[#This Row],[Cuenta]],1))</f>
        <v>1</v>
      </c>
      <c r="BB62" t="b">
        <f>+ISNUMBER(SEARCH(CompConta!$F$27,Tabla11[[#This Row],[Cuenta]],1))</f>
        <v>1</v>
      </c>
      <c r="BC62" t="b">
        <f>+ISNUMBER(SEARCH(CompConta!$F$28,Tabla11[[#This Row],[Cuenta]],1))</f>
        <v>1</v>
      </c>
      <c r="BD62" t="b">
        <f>+ISNUMBER(SEARCH(CompConta!$F$29,Tabla11[[#This Row],[Cuenta]],1))</f>
        <v>1</v>
      </c>
      <c r="BE62" t="b">
        <f>+ISNUMBER(SEARCH(CompConta!$F$30,Tabla11[[#This Row],[Cuenta]],1))</f>
        <v>1</v>
      </c>
      <c r="BF62" t="b">
        <f>+ISNUMBER(SEARCH('PAGO Compras'!$E$11,Tabla11[[#This Row],[Cuenta]],1))</f>
        <v>1</v>
      </c>
      <c r="BG62" t="b">
        <f>+ISNUMBER(SEARCH(#REF!,Tabla11[[#This Row],[Cuenta]],1))</f>
        <v>0</v>
      </c>
      <c r="BH62" t="b">
        <f>+ISNUMBER(SEARCH(#REF!,Tabla11[[#This Row],[Cuenta]],1))</f>
        <v>0</v>
      </c>
      <c r="BI62" t="b">
        <f>+ISNUMBER(SEARCH(#REF!,Tabla11[[#This Row],[Cuenta]],1))</f>
        <v>0</v>
      </c>
      <c r="BJ62" t="b">
        <f>+ISNUMBER(SEARCH(#REF!,Tabla11[[#This Row],[Cuenta]],1))</f>
        <v>0</v>
      </c>
      <c r="BS62" t="str">
        <v>1430 PRODUCTOS TERMINADOS</v>
      </c>
      <c r="BT62" t="str">
        <v>1430 PRODUCTOS TERMINADOS</v>
      </c>
      <c r="BU62" t="str">
        <v>1430 PRODUCTOS TERMINADOS</v>
      </c>
      <c r="BV62" t="str">
        <v>1430 PRODUCTOS TERMINADOS</v>
      </c>
      <c r="BZ62" t="str">
        <v>1430 PRODUCTOS TERMINADOS</v>
      </c>
      <c r="CA62" t="str">
        <v>1430 PRODUCTOS TERMINADOS</v>
      </c>
      <c r="CB62" t="str">
        <v>1430 PRODUCTOS TERMINADOS</v>
      </c>
      <c r="CC62" t="str">
        <v>1430 PRODUCTOS TERMINADOS</v>
      </c>
      <c r="CD62" t="str">
        <v>1430 PRODUCTOS TERMINADOS</v>
      </c>
      <c r="CE62" t="str">
        <v>1430 PRODUCTOS TERMINADOS</v>
      </c>
      <c r="CS62" s="141" t="str">
        <v>1430 PRODUCTOS TERMINADOS</v>
      </c>
      <c r="CT62" s="141" t="str">
        <v>1430 PRODUCTOS TERMINADOS</v>
      </c>
      <c r="CU62" s="141" t="str">
        <v>1430 PRODUCTOS TERMINADOS</v>
      </c>
      <c r="CV62" s="141" t="str">
        <v>1430 PRODUCTOS TERMINADOS</v>
      </c>
      <c r="CW62" s="141" t="str">
        <v>1430 PRODUCTOS TERMINADOS</v>
      </c>
      <c r="CX62" s="141" t="str">
        <v>1430 PRODUCTOS TERMINADOS</v>
      </c>
      <c r="CY62" s="141" t="str">
        <v>1430 PRODUCTOS TERMINADOS</v>
      </c>
      <c r="CZ62" s="141" t="str">
        <v>1430 PRODUCTOS TERMINADOS</v>
      </c>
      <c r="DA62" s="141" t="str">
        <v>1430 PRODUCTOS TERMINADOS</v>
      </c>
      <c r="DF62" t="str">
        <v>1430 PRODUCTOS TERMINADOS</v>
      </c>
      <c r="DG62" t="str">
        <v>1430 PRODUCTOS TERMINADOS</v>
      </c>
      <c r="DH62" t="str">
        <v>1430 PRODUCTOS TERMINADOS</v>
      </c>
      <c r="DI62" t="str">
        <v>1430 PRODUCTOS TERMINADOS</v>
      </c>
      <c r="DJ62" t="str">
        <v>1430 PRODUCTOS TERMINADOS</v>
      </c>
      <c r="DK62" t="str">
        <v>1430 PRODUCTOS TERMINADOS</v>
      </c>
      <c r="DL62" t="str">
        <v>1430 PRODUCTOS TERMINADOS</v>
      </c>
      <c r="DM62" t="str">
        <v>1430 PRODUCTOS TERMINADOS</v>
      </c>
      <c r="DN62" t="str">
        <v>1430 PRODUCTOS TERMINADOS</v>
      </c>
      <c r="DO62" t="str">
        <v>1430 PRODUCTOS TERMINADOS</v>
      </c>
      <c r="DP62" t="str">
        <v>1430 PRODUCTOS TERMINADOS</v>
      </c>
    </row>
    <row r="63" spans="4:120" ht="12.75">
      <c r="D63" s="7">
        <v>143005</v>
      </c>
      <c r="E63" s="6" t="s">
        <v>96</v>
      </c>
      <c r="F63" s="5">
        <v>4</v>
      </c>
      <c r="G63" s="34" t="s">
        <v>821</v>
      </c>
      <c r="H63" s="8" t="s">
        <v>32</v>
      </c>
      <c r="I63" t="b">
        <f>+ISNUMBER(SEARCH('F-COMPRA'!$F$28,Tabla11[[#This Row],[Cuenta]],1))</f>
        <v>1</v>
      </c>
      <c r="J63" t="b">
        <f>+ISNUMBER(SEARCH('F-COMPRA'!$F$29,Tabla11[[#This Row],[Cuenta]],1))</f>
        <v>1</v>
      </c>
      <c r="K63" t="b">
        <f>+ISNUMBER(SEARCH('F-COMPRA'!$F$30,Tabla11[[#This Row],[Cuenta]],1))</f>
        <v>1</v>
      </c>
      <c r="L63" t="b">
        <f>+ISNUMBER(SEARCH('F-COMPRA'!$F$31,Tabla11[[#This Row],[Cuenta]],1))</f>
        <v>1</v>
      </c>
      <c r="M63" t="b">
        <f>+ISNUMBER(SEARCH('F-COMPRA'!$G$25,Tabla11[[#This Row],[Cuenta]],1))</f>
        <v>0</v>
      </c>
      <c r="N63" t="b">
        <f>+ISNUMBER(SEARCH(#REF!,Tabla11[[#This Row],[Cuenta]],1))</f>
        <v>0</v>
      </c>
      <c r="O63" t="b">
        <f>+ISNUMBER(SEARCH(#REF!,Tabla11[[#This Row],[Cuenta]],1))</f>
        <v>0</v>
      </c>
      <c r="P63" t="b">
        <f>+ISNUMBER(SEARCH('F-COMPRA'!$F$32,Tabla11[[#This Row],[Cuenta]],1))</f>
        <v>1</v>
      </c>
      <c r="Q63" t="b">
        <f>+ISNUMBER(SEARCH('F-COMPRA'!$F$33,Tabla11[[#This Row],[Cuenta]],1))</f>
        <v>1</v>
      </c>
      <c r="R63" t="b">
        <f>+ISNUMBER(SEARCH('F-COMPRA'!$F$34,Tabla11[[#This Row],[Cuenta]],1))</f>
        <v>1</v>
      </c>
      <c r="S63" t="b">
        <f>+ISNUMBER(SEARCH('F-COMPRA'!$F$35,Tabla11[[#This Row],[Cuenta]],1))</f>
        <v>1</v>
      </c>
      <c r="T63" t="b">
        <f>+ISNUMBER(SEARCH('F-COMPRA'!$F$36,Tabla11[[#This Row],[Cuenta]],1))</f>
        <v>1</v>
      </c>
      <c r="U63" t="b">
        <f>+ISNUMBER(SEARCH('F-COMPRA'!$F$37,Tabla11[[#This Row],[Cuenta]],1))</f>
        <v>1</v>
      </c>
      <c r="V63" t="b">
        <f>+ISNUMBER(SEARCH(#REF!,Tabla11[[#This Row],[Cuenta]],1))</f>
        <v>0</v>
      </c>
      <c r="W63" t="b">
        <f>+ISNUMBER(SEARCH('F-COMPRA'!#REF!,Tabla11[[#This Row],[Cuenta]],1))</f>
        <v>0</v>
      </c>
      <c r="X63" t="b">
        <f>+ISNUMBER(SEARCH('F-COMPRA'!#REF!,Tabla11[[#This Row],[Cuenta]],1))</f>
        <v>0</v>
      </c>
      <c r="Y63" t="b">
        <f>+ISNUMBER(SEARCH('F-COMPRA'!#REF!,Tabla11[[#This Row],[Cuenta]],1))</f>
        <v>0</v>
      </c>
      <c r="Z63" t="b">
        <f>+ISNUMBER(SEARCH('F-COMPRA'!#REF!,Tabla11[[#This Row],[Cuenta]],1))</f>
        <v>0</v>
      </c>
      <c r="AA63" t="b">
        <f>+ISNUMBER(SEARCH('F-COMPRA'!#REF!,Tabla11[[#This Row],[Cuenta]],1))</f>
        <v>0</v>
      </c>
      <c r="AB63" t="b">
        <f>+ISNUMBER(SEARCH('F-COMPRA'!#REF!,Tabla11[[#This Row],[Cuenta]],1))</f>
        <v>0</v>
      </c>
      <c r="AC63" t="b">
        <f>+ISNUMBER(SEARCH('F-COMPRA'!#REF!,Tabla11[[#This Row],[Cuenta]],1))</f>
        <v>0</v>
      </c>
      <c r="AD63" t="b">
        <f>+ISNUMBER(SEARCH('F-COMPRA'!#REF!,Tabla11[[#This Row],[Cuenta]],1))</f>
        <v>0</v>
      </c>
      <c r="AE63" t="b">
        <f>+ISNUMBER(SEARCH('F-COMPRA'!#REF!,Tabla11[[#This Row],[Cuenta]],1))</f>
        <v>0</v>
      </c>
      <c r="AF63" t="b">
        <f>+ISNUMBER(SEARCH('F-VTA'!$G$23,Tabla11[[#This Row],[Cuenta]],1))</f>
        <v>0</v>
      </c>
      <c r="AG63" t="b">
        <f>+ISNUMBER(SEARCH('F-VTA'!$G$24,Tabla11[[#This Row],[Cuenta]],1))</f>
        <v>0</v>
      </c>
      <c r="AH63" t="b">
        <f>+ISNUMBER(SEARCH('F-VTA'!$G$25,Tabla11[[#This Row],[Cuenta]],1))</f>
        <v>0</v>
      </c>
      <c r="AI63" t="b">
        <f>+ISNUMBER(SEARCH('F-VTA'!$F$28,Tabla11[[#This Row],[Cuenta]],1))</f>
        <v>1</v>
      </c>
      <c r="AJ63" t="b">
        <f>+ISNUMBER(SEARCH('F-VTA'!$F$29,Tabla11[[#This Row],[Cuenta]],1))</f>
        <v>1</v>
      </c>
      <c r="AK63" t="b">
        <f>+ISNUMBER(SEARCH('F-VTA'!$F$30,Tabla11[[#This Row],[Cuenta]],1))</f>
        <v>1</v>
      </c>
      <c r="AL63" t="b">
        <f>+ISNUMBER(SEARCH('F-VTA'!$F$31,Tabla11[[#This Row],[Cuenta]],1))</f>
        <v>1</v>
      </c>
      <c r="AM63" t="b">
        <f>+ISNUMBER(SEARCH('F-VTA'!$F$32,Tabla11[[#This Row],[Cuenta]],1))</f>
        <v>1</v>
      </c>
      <c r="AN63" t="b">
        <f>+ISNUMBER(SEARCH('F-VTA'!$F$33,Tabla11[[#This Row],[Cuenta]],1))</f>
        <v>1</v>
      </c>
      <c r="AO63" t="b">
        <f>+ISNUMBER(SEARCH('F-VTA'!$F$34,Tabla11[[#This Row],[Cuenta]],1))</f>
        <v>1</v>
      </c>
      <c r="AP63" t="b">
        <f>+ISNUMBER(SEARCH('F-VTA'!$F$35,Tabla11[[#This Row],[Cuenta]],1))</f>
        <v>1</v>
      </c>
      <c r="AQ63" t="b">
        <f>+ISNUMBER(SEARCH('F-VTA'!$F$36,Tabla11[[#This Row],[Cuenta]],1))</f>
        <v>1</v>
      </c>
      <c r="AR63" t="b">
        <f>+ISNUMBER(SEARCH(#REF!,Tabla11[[#This Row],[Cuenta]],1))</f>
        <v>0</v>
      </c>
      <c r="AS63" t="b">
        <f>+ISNUMBER(SEARCH(#REF!,Tabla11[[#This Row],[Cuenta]],1))</f>
        <v>0</v>
      </c>
      <c r="AT63" t="b">
        <f>+ISNUMBER(SEARCH(#REF!,Tabla11[[#This Row],[Cuenta]],1))</f>
        <v>0</v>
      </c>
      <c r="AU63" t="b">
        <f>+ISNUMBER(SEARCH('Conc. Ban.1'!$I$9,Tabla11[[#This Row],[Cuenta]],1))</f>
        <v>0</v>
      </c>
      <c r="AV63" t="b">
        <f>+ISNUMBER(SEARCH(CompConta!$F$21,Tabla11[[#This Row],[Cuenta]],1))</f>
        <v>1</v>
      </c>
      <c r="AW63" t="b">
        <f>+ISNUMBER(SEARCH(CompConta!$F$22,Tabla11[[#This Row],[Cuenta]],1))</f>
        <v>1</v>
      </c>
      <c r="AX63" t="b">
        <f>+ISNUMBER(SEARCH(CompConta!$F$23,Tabla11[[#This Row],[Cuenta]],1))</f>
        <v>1</v>
      </c>
      <c r="AY63" t="b">
        <f>+ISNUMBER(SEARCH(CompConta!$F$24,Tabla11[[#This Row],[Cuenta]],1))</f>
        <v>1</v>
      </c>
      <c r="AZ63" t="b">
        <f>+ISNUMBER(SEARCH(CompConta!$F$25,Tabla11[[#This Row],[Cuenta]],1))</f>
        <v>1</v>
      </c>
      <c r="BA63" t="b">
        <f>+ISNUMBER(SEARCH(CompConta!$F$26,Tabla11[[#This Row],[Cuenta]],1))</f>
        <v>1</v>
      </c>
      <c r="BB63" t="b">
        <f>+ISNUMBER(SEARCH(CompConta!$F$27,Tabla11[[#This Row],[Cuenta]],1))</f>
        <v>1</v>
      </c>
      <c r="BC63" t="b">
        <f>+ISNUMBER(SEARCH(CompConta!$F$28,Tabla11[[#This Row],[Cuenta]],1))</f>
        <v>1</v>
      </c>
      <c r="BD63" t="b">
        <f>+ISNUMBER(SEARCH(CompConta!$F$29,Tabla11[[#This Row],[Cuenta]],1))</f>
        <v>1</v>
      </c>
      <c r="BE63" t="b">
        <f>+ISNUMBER(SEARCH(CompConta!$F$30,Tabla11[[#This Row],[Cuenta]],1))</f>
        <v>1</v>
      </c>
      <c r="BF63" t="b">
        <f>+ISNUMBER(SEARCH('PAGO Compras'!$E$11,Tabla11[[#This Row],[Cuenta]],1))</f>
        <v>1</v>
      </c>
      <c r="BG63" t="b">
        <f>+ISNUMBER(SEARCH(#REF!,Tabla11[[#This Row],[Cuenta]],1))</f>
        <v>0</v>
      </c>
      <c r="BH63" t="b">
        <f>+ISNUMBER(SEARCH(#REF!,Tabla11[[#This Row],[Cuenta]],1))</f>
        <v>0</v>
      </c>
      <c r="BI63" t="b">
        <f>+ISNUMBER(SEARCH(#REF!,Tabla11[[#This Row],[Cuenta]],1))</f>
        <v>0</v>
      </c>
      <c r="BJ63" t="b">
        <f>+ISNUMBER(SEARCH(#REF!,Tabla11[[#This Row],[Cuenta]],1))</f>
        <v>0</v>
      </c>
      <c r="BS63" t="str">
        <v>143005 Productos manufacturados</v>
      </c>
      <c r="BT63" t="str">
        <v>143005 Productos manufacturados</v>
      </c>
      <c r="BU63" t="str">
        <v>143005 Productos manufacturados</v>
      </c>
      <c r="BV63" t="str">
        <v>143005 Productos manufacturados</v>
      </c>
      <c r="BZ63" t="str">
        <v>143005 Productos manufacturados</v>
      </c>
      <c r="CA63" t="str">
        <v>143005 Productos manufacturados</v>
      </c>
      <c r="CB63" t="str">
        <v>143005 Productos manufacturados</v>
      </c>
      <c r="CC63" t="str">
        <v>143005 Productos manufacturados</v>
      </c>
      <c r="CD63" t="str">
        <v>143005 Productos manufacturados</v>
      </c>
      <c r="CE63" t="str">
        <v>143005 Productos manufacturados</v>
      </c>
      <c r="CS63" s="141" t="str">
        <v>143005 Productos manufacturados</v>
      </c>
      <c r="CT63" s="141" t="str">
        <v>143005 Productos manufacturados</v>
      </c>
      <c r="CU63" s="141" t="str">
        <v>143005 Productos manufacturados</v>
      </c>
      <c r="CV63" s="141" t="str">
        <v>143005 Productos manufacturados</v>
      </c>
      <c r="CW63" s="141" t="str">
        <v>143005 Productos manufacturados</v>
      </c>
      <c r="CX63" s="141" t="str">
        <v>143005 Productos manufacturados</v>
      </c>
      <c r="CY63" s="141" t="str">
        <v>143005 Productos manufacturados</v>
      </c>
      <c r="CZ63" s="141" t="str">
        <v>143005 Productos manufacturados</v>
      </c>
      <c r="DA63" s="141" t="str">
        <v>143005 Productos manufacturados</v>
      </c>
      <c r="DF63" t="str">
        <v>143005 Productos manufacturados</v>
      </c>
      <c r="DG63" t="str">
        <v>143005 Productos manufacturados</v>
      </c>
      <c r="DH63" t="str">
        <v>143005 Productos manufacturados</v>
      </c>
      <c r="DI63" t="str">
        <v>143005 Productos manufacturados</v>
      </c>
      <c r="DJ63" t="str">
        <v>143005 Productos manufacturados</v>
      </c>
      <c r="DK63" t="str">
        <v>143005 Productos manufacturados</v>
      </c>
      <c r="DL63" t="str">
        <v>143005 Productos manufacturados</v>
      </c>
      <c r="DM63" t="str">
        <v>143005 Productos manufacturados</v>
      </c>
      <c r="DN63" t="str">
        <v>143005 Productos manufacturados</v>
      </c>
      <c r="DO63" t="str">
        <v>143005 Productos manufacturados</v>
      </c>
      <c r="DP63" t="str">
        <v>143005 Productos manufacturados</v>
      </c>
    </row>
    <row r="64" spans="4:120" ht="12.75">
      <c r="D64" s="7">
        <v>143010</v>
      </c>
      <c r="E64" s="6" t="s">
        <v>97</v>
      </c>
      <c r="F64" s="5">
        <v>4</v>
      </c>
      <c r="G64" s="34" t="s">
        <v>821</v>
      </c>
      <c r="H64" s="8" t="s">
        <v>32</v>
      </c>
      <c r="I64" t="b">
        <f>+ISNUMBER(SEARCH('F-COMPRA'!$F$28,Tabla11[[#This Row],[Cuenta]],1))</f>
        <v>1</v>
      </c>
      <c r="J64" t="b">
        <f>+ISNUMBER(SEARCH('F-COMPRA'!$F$29,Tabla11[[#This Row],[Cuenta]],1))</f>
        <v>1</v>
      </c>
      <c r="K64" t="b">
        <f>+ISNUMBER(SEARCH('F-COMPRA'!$F$30,Tabla11[[#This Row],[Cuenta]],1))</f>
        <v>1</v>
      </c>
      <c r="L64" t="b">
        <f>+ISNUMBER(SEARCH('F-COMPRA'!$F$31,Tabla11[[#This Row],[Cuenta]],1))</f>
        <v>1</v>
      </c>
      <c r="M64" t="b">
        <f>+ISNUMBER(SEARCH('F-COMPRA'!$G$25,Tabla11[[#This Row],[Cuenta]],1))</f>
        <v>0</v>
      </c>
      <c r="N64" t="b">
        <f>+ISNUMBER(SEARCH(#REF!,Tabla11[[#This Row],[Cuenta]],1))</f>
        <v>0</v>
      </c>
      <c r="O64" t="b">
        <f>+ISNUMBER(SEARCH(#REF!,Tabla11[[#This Row],[Cuenta]],1))</f>
        <v>0</v>
      </c>
      <c r="P64" t="b">
        <f>+ISNUMBER(SEARCH('F-COMPRA'!$F$32,Tabla11[[#This Row],[Cuenta]],1))</f>
        <v>1</v>
      </c>
      <c r="Q64" t="b">
        <f>+ISNUMBER(SEARCH('F-COMPRA'!$F$33,Tabla11[[#This Row],[Cuenta]],1))</f>
        <v>1</v>
      </c>
      <c r="R64" t="b">
        <f>+ISNUMBER(SEARCH('F-COMPRA'!$F$34,Tabla11[[#This Row],[Cuenta]],1))</f>
        <v>1</v>
      </c>
      <c r="S64" t="b">
        <f>+ISNUMBER(SEARCH('F-COMPRA'!$F$35,Tabla11[[#This Row],[Cuenta]],1))</f>
        <v>1</v>
      </c>
      <c r="T64" t="b">
        <f>+ISNUMBER(SEARCH('F-COMPRA'!$F$36,Tabla11[[#This Row],[Cuenta]],1))</f>
        <v>1</v>
      </c>
      <c r="U64" t="b">
        <f>+ISNUMBER(SEARCH('F-COMPRA'!$F$37,Tabla11[[#This Row],[Cuenta]],1))</f>
        <v>1</v>
      </c>
      <c r="V64" t="b">
        <f>+ISNUMBER(SEARCH(#REF!,Tabla11[[#This Row],[Cuenta]],1))</f>
        <v>0</v>
      </c>
      <c r="W64" t="b">
        <f>+ISNUMBER(SEARCH('F-COMPRA'!#REF!,Tabla11[[#This Row],[Cuenta]],1))</f>
        <v>0</v>
      </c>
      <c r="X64" t="b">
        <f>+ISNUMBER(SEARCH('F-COMPRA'!#REF!,Tabla11[[#This Row],[Cuenta]],1))</f>
        <v>0</v>
      </c>
      <c r="Y64" t="b">
        <f>+ISNUMBER(SEARCH('F-COMPRA'!#REF!,Tabla11[[#This Row],[Cuenta]],1))</f>
        <v>0</v>
      </c>
      <c r="Z64" t="b">
        <f>+ISNUMBER(SEARCH('F-COMPRA'!#REF!,Tabla11[[#This Row],[Cuenta]],1))</f>
        <v>0</v>
      </c>
      <c r="AA64" t="b">
        <f>+ISNUMBER(SEARCH('F-COMPRA'!#REF!,Tabla11[[#This Row],[Cuenta]],1))</f>
        <v>0</v>
      </c>
      <c r="AB64" t="b">
        <f>+ISNUMBER(SEARCH('F-COMPRA'!#REF!,Tabla11[[#This Row],[Cuenta]],1))</f>
        <v>0</v>
      </c>
      <c r="AC64" t="b">
        <f>+ISNUMBER(SEARCH('F-COMPRA'!#REF!,Tabla11[[#This Row],[Cuenta]],1))</f>
        <v>0</v>
      </c>
      <c r="AD64" t="b">
        <f>+ISNUMBER(SEARCH('F-COMPRA'!#REF!,Tabla11[[#This Row],[Cuenta]],1))</f>
        <v>0</v>
      </c>
      <c r="AE64" t="b">
        <f>+ISNUMBER(SEARCH('F-COMPRA'!#REF!,Tabla11[[#This Row],[Cuenta]],1))</f>
        <v>0</v>
      </c>
      <c r="AF64" t="b">
        <f>+ISNUMBER(SEARCH('F-VTA'!$G$23,Tabla11[[#This Row],[Cuenta]],1))</f>
        <v>0</v>
      </c>
      <c r="AG64" t="b">
        <f>+ISNUMBER(SEARCH('F-VTA'!$G$24,Tabla11[[#This Row],[Cuenta]],1))</f>
        <v>0</v>
      </c>
      <c r="AH64" t="b">
        <f>+ISNUMBER(SEARCH('F-VTA'!$G$25,Tabla11[[#This Row],[Cuenta]],1))</f>
        <v>0</v>
      </c>
      <c r="AI64" t="b">
        <f>+ISNUMBER(SEARCH('F-VTA'!$F$28,Tabla11[[#This Row],[Cuenta]],1))</f>
        <v>1</v>
      </c>
      <c r="AJ64" t="b">
        <f>+ISNUMBER(SEARCH('F-VTA'!$F$29,Tabla11[[#This Row],[Cuenta]],1))</f>
        <v>1</v>
      </c>
      <c r="AK64" t="b">
        <f>+ISNUMBER(SEARCH('F-VTA'!$F$30,Tabla11[[#This Row],[Cuenta]],1))</f>
        <v>1</v>
      </c>
      <c r="AL64" t="b">
        <f>+ISNUMBER(SEARCH('F-VTA'!$F$31,Tabla11[[#This Row],[Cuenta]],1))</f>
        <v>1</v>
      </c>
      <c r="AM64" t="b">
        <f>+ISNUMBER(SEARCH('F-VTA'!$F$32,Tabla11[[#This Row],[Cuenta]],1))</f>
        <v>1</v>
      </c>
      <c r="AN64" t="b">
        <f>+ISNUMBER(SEARCH('F-VTA'!$F$33,Tabla11[[#This Row],[Cuenta]],1))</f>
        <v>1</v>
      </c>
      <c r="AO64" t="b">
        <f>+ISNUMBER(SEARCH('F-VTA'!$F$34,Tabla11[[#This Row],[Cuenta]],1))</f>
        <v>1</v>
      </c>
      <c r="AP64" t="b">
        <f>+ISNUMBER(SEARCH('F-VTA'!$F$35,Tabla11[[#This Row],[Cuenta]],1))</f>
        <v>1</v>
      </c>
      <c r="AQ64" t="b">
        <f>+ISNUMBER(SEARCH('F-VTA'!$F$36,Tabla11[[#This Row],[Cuenta]],1))</f>
        <v>1</v>
      </c>
      <c r="AR64" t="b">
        <f>+ISNUMBER(SEARCH(#REF!,Tabla11[[#This Row],[Cuenta]],1))</f>
        <v>0</v>
      </c>
      <c r="AS64" t="b">
        <f>+ISNUMBER(SEARCH(#REF!,Tabla11[[#This Row],[Cuenta]],1))</f>
        <v>0</v>
      </c>
      <c r="AT64" t="b">
        <f>+ISNUMBER(SEARCH(#REF!,Tabla11[[#This Row],[Cuenta]],1))</f>
        <v>0</v>
      </c>
      <c r="AU64" t="b">
        <f>+ISNUMBER(SEARCH('Conc. Ban.1'!$I$9,Tabla11[[#This Row],[Cuenta]],1))</f>
        <v>0</v>
      </c>
      <c r="AV64" t="b">
        <f>+ISNUMBER(SEARCH(CompConta!$F$21,Tabla11[[#This Row],[Cuenta]],1))</f>
        <v>1</v>
      </c>
      <c r="AW64" t="b">
        <f>+ISNUMBER(SEARCH(CompConta!$F$22,Tabla11[[#This Row],[Cuenta]],1))</f>
        <v>1</v>
      </c>
      <c r="AX64" t="b">
        <f>+ISNUMBER(SEARCH(CompConta!$F$23,Tabla11[[#This Row],[Cuenta]],1))</f>
        <v>1</v>
      </c>
      <c r="AY64" t="b">
        <f>+ISNUMBER(SEARCH(CompConta!$F$24,Tabla11[[#This Row],[Cuenta]],1))</f>
        <v>1</v>
      </c>
      <c r="AZ64" t="b">
        <f>+ISNUMBER(SEARCH(CompConta!$F$25,Tabla11[[#This Row],[Cuenta]],1))</f>
        <v>1</v>
      </c>
      <c r="BA64" t="b">
        <f>+ISNUMBER(SEARCH(CompConta!$F$26,Tabla11[[#This Row],[Cuenta]],1))</f>
        <v>1</v>
      </c>
      <c r="BB64" t="b">
        <f>+ISNUMBER(SEARCH(CompConta!$F$27,Tabla11[[#This Row],[Cuenta]],1))</f>
        <v>1</v>
      </c>
      <c r="BC64" t="b">
        <f>+ISNUMBER(SEARCH(CompConta!$F$28,Tabla11[[#This Row],[Cuenta]],1))</f>
        <v>1</v>
      </c>
      <c r="BD64" t="b">
        <f>+ISNUMBER(SEARCH(CompConta!$F$29,Tabla11[[#This Row],[Cuenta]],1))</f>
        <v>1</v>
      </c>
      <c r="BE64" t="b">
        <f>+ISNUMBER(SEARCH(CompConta!$F$30,Tabla11[[#This Row],[Cuenta]],1))</f>
        <v>1</v>
      </c>
      <c r="BF64" t="b">
        <f>+ISNUMBER(SEARCH('PAGO Compras'!$E$11,Tabla11[[#This Row],[Cuenta]],1))</f>
        <v>1</v>
      </c>
      <c r="BG64" t="b">
        <f>+ISNUMBER(SEARCH(#REF!,Tabla11[[#This Row],[Cuenta]],1))</f>
        <v>0</v>
      </c>
      <c r="BH64" t="b">
        <f>+ISNUMBER(SEARCH(#REF!,Tabla11[[#This Row],[Cuenta]],1))</f>
        <v>0</v>
      </c>
      <c r="BI64" t="b">
        <f>+ISNUMBER(SEARCH(#REF!,Tabla11[[#This Row],[Cuenta]],1))</f>
        <v>0</v>
      </c>
      <c r="BJ64" t="b">
        <f>+ISNUMBER(SEARCH(#REF!,Tabla11[[#This Row],[Cuenta]],1))</f>
        <v>0</v>
      </c>
      <c r="BS64" t="str">
        <v>143010 Productos extraídos y/o procesados</v>
      </c>
      <c r="BT64" t="str">
        <v>143010 Productos extraídos y/o procesados</v>
      </c>
      <c r="BU64" t="str">
        <v>143010 Productos extraídos y/o procesados</v>
      </c>
      <c r="BV64" t="str">
        <v>143010 Productos extraídos y/o procesados</v>
      </c>
      <c r="BZ64" t="str">
        <v>143010 Productos extraídos y/o procesados</v>
      </c>
      <c r="CA64" t="str">
        <v>143010 Productos extraídos y/o procesados</v>
      </c>
      <c r="CB64" t="str">
        <v>143010 Productos extraídos y/o procesados</v>
      </c>
      <c r="CC64" t="str">
        <v>143010 Productos extraídos y/o procesados</v>
      </c>
      <c r="CD64" t="str">
        <v>143010 Productos extraídos y/o procesados</v>
      </c>
      <c r="CE64" t="str">
        <v>143010 Productos extraídos y/o procesados</v>
      </c>
      <c r="CS64" s="141" t="str">
        <v>143010 Productos extraídos y/o procesados</v>
      </c>
      <c r="CT64" s="141" t="str">
        <v>143010 Productos extraídos y/o procesados</v>
      </c>
      <c r="CU64" s="141" t="str">
        <v>143010 Productos extraídos y/o procesados</v>
      </c>
      <c r="CV64" s="141" t="str">
        <v>143010 Productos extraídos y/o procesados</v>
      </c>
      <c r="CW64" s="141" t="str">
        <v>143010 Productos extraídos y/o procesados</v>
      </c>
      <c r="CX64" s="141" t="str">
        <v>143010 Productos extraídos y/o procesados</v>
      </c>
      <c r="CY64" s="141" t="str">
        <v>143010 Productos extraídos y/o procesados</v>
      </c>
      <c r="CZ64" s="141" t="str">
        <v>143010 Productos extraídos y/o procesados</v>
      </c>
      <c r="DA64" s="141" t="str">
        <v>143010 Productos extraídos y/o procesados</v>
      </c>
      <c r="DF64" t="str">
        <v>143010 Productos extraídos y/o procesados</v>
      </c>
      <c r="DG64" t="str">
        <v>143010 Productos extraídos y/o procesados</v>
      </c>
      <c r="DH64" t="str">
        <v>143010 Productos extraídos y/o procesados</v>
      </c>
      <c r="DI64" t="str">
        <v>143010 Productos extraídos y/o procesados</v>
      </c>
      <c r="DJ64" t="str">
        <v>143010 Productos extraídos y/o procesados</v>
      </c>
      <c r="DK64" t="str">
        <v>143010 Productos extraídos y/o procesados</v>
      </c>
      <c r="DL64" t="str">
        <v>143010 Productos extraídos y/o procesados</v>
      </c>
      <c r="DM64" t="str">
        <v>143010 Productos extraídos y/o procesados</v>
      </c>
      <c r="DN64" t="str">
        <v>143010 Productos extraídos y/o procesados</v>
      </c>
      <c r="DO64" t="str">
        <v>143010 Productos extraídos y/o procesados</v>
      </c>
      <c r="DP64" t="str">
        <v>143010 Productos extraídos y/o procesados</v>
      </c>
    </row>
    <row r="65" spans="4:120" ht="12.75">
      <c r="D65" s="7">
        <v>143015</v>
      </c>
      <c r="E65" s="6" t="s">
        <v>98</v>
      </c>
      <c r="F65" s="5">
        <v>4</v>
      </c>
      <c r="G65" s="34" t="s">
        <v>821</v>
      </c>
      <c r="H65" s="8" t="s">
        <v>32</v>
      </c>
      <c r="I65" t="b">
        <f>+ISNUMBER(SEARCH('F-COMPRA'!$F$28,Tabla11[[#This Row],[Cuenta]],1))</f>
        <v>1</v>
      </c>
      <c r="J65" t="b">
        <f>+ISNUMBER(SEARCH('F-COMPRA'!$F$29,Tabla11[[#This Row],[Cuenta]],1))</f>
        <v>1</v>
      </c>
      <c r="K65" t="b">
        <f>+ISNUMBER(SEARCH('F-COMPRA'!$F$30,Tabla11[[#This Row],[Cuenta]],1))</f>
        <v>1</v>
      </c>
      <c r="L65" t="b">
        <f>+ISNUMBER(SEARCH('F-COMPRA'!$F$31,Tabla11[[#This Row],[Cuenta]],1))</f>
        <v>1</v>
      </c>
      <c r="M65" t="b">
        <f>+ISNUMBER(SEARCH('F-COMPRA'!$G$25,Tabla11[[#This Row],[Cuenta]],1))</f>
        <v>0</v>
      </c>
      <c r="N65" t="b">
        <f>+ISNUMBER(SEARCH(#REF!,Tabla11[[#This Row],[Cuenta]],1))</f>
        <v>0</v>
      </c>
      <c r="O65" t="b">
        <f>+ISNUMBER(SEARCH(#REF!,Tabla11[[#This Row],[Cuenta]],1))</f>
        <v>0</v>
      </c>
      <c r="P65" t="b">
        <f>+ISNUMBER(SEARCH('F-COMPRA'!$F$32,Tabla11[[#This Row],[Cuenta]],1))</f>
        <v>1</v>
      </c>
      <c r="Q65" t="b">
        <f>+ISNUMBER(SEARCH('F-COMPRA'!$F$33,Tabla11[[#This Row],[Cuenta]],1))</f>
        <v>1</v>
      </c>
      <c r="R65" t="b">
        <f>+ISNUMBER(SEARCH('F-COMPRA'!$F$34,Tabla11[[#This Row],[Cuenta]],1))</f>
        <v>1</v>
      </c>
      <c r="S65" t="b">
        <f>+ISNUMBER(SEARCH('F-COMPRA'!$F$35,Tabla11[[#This Row],[Cuenta]],1))</f>
        <v>1</v>
      </c>
      <c r="T65" t="b">
        <f>+ISNUMBER(SEARCH('F-COMPRA'!$F$36,Tabla11[[#This Row],[Cuenta]],1))</f>
        <v>1</v>
      </c>
      <c r="U65" t="b">
        <f>+ISNUMBER(SEARCH('F-COMPRA'!$F$37,Tabla11[[#This Row],[Cuenta]],1))</f>
        <v>1</v>
      </c>
      <c r="V65" t="b">
        <f>+ISNUMBER(SEARCH(#REF!,Tabla11[[#This Row],[Cuenta]],1))</f>
        <v>0</v>
      </c>
      <c r="W65" t="b">
        <f>+ISNUMBER(SEARCH('F-COMPRA'!#REF!,Tabla11[[#This Row],[Cuenta]],1))</f>
        <v>0</v>
      </c>
      <c r="X65" t="b">
        <f>+ISNUMBER(SEARCH('F-COMPRA'!#REF!,Tabla11[[#This Row],[Cuenta]],1))</f>
        <v>0</v>
      </c>
      <c r="Y65" t="b">
        <f>+ISNUMBER(SEARCH('F-COMPRA'!#REF!,Tabla11[[#This Row],[Cuenta]],1))</f>
        <v>0</v>
      </c>
      <c r="Z65" t="b">
        <f>+ISNUMBER(SEARCH('F-COMPRA'!#REF!,Tabla11[[#This Row],[Cuenta]],1))</f>
        <v>0</v>
      </c>
      <c r="AA65" t="b">
        <f>+ISNUMBER(SEARCH('F-COMPRA'!#REF!,Tabla11[[#This Row],[Cuenta]],1))</f>
        <v>0</v>
      </c>
      <c r="AB65" t="b">
        <f>+ISNUMBER(SEARCH('F-COMPRA'!#REF!,Tabla11[[#This Row],[Cuenta]],1))</f>
        <v>0</v>
      </c>
      <c r="AC65" t="b">
        <f>+ISNUMBER(SEARCH('F-COMPRA'!#REF!,Tabla11[[#This Row],[Cuenta]],1))</f>
        <v>0</v>
      </c>
      <c r="AD65" t="b">
        <f>+ISNUMBER(SEARCH('F-COMPRA'!#REF!,Tabla11[[#This Row],[Cuenta]],1))</f>
        <v>0</v>
      </c>
      <c r="AE65" t="b">
        <f>+ISNUMBER(SEARCH('F-COMPRA'!#REF!,Tabla11[[#This Row],[Cuenta]],1))</f>
        <v>0</v>
      </c>
      <c r="AF65" t="b">
        <f>+ISNUMBER(SEARCH('F-VTA'!$G$23,Tabla11[[#This Row],[Cuenta]],1))</f>
        <v>0</v>
      </c>
      <c r="AG65" t="b">
        <f>+ISNUMBER(SEARCH('F-VTA'!$G$24,Tabla11[[#This Row],[Cuenta]],1))</f>
        <v>0</v>
      </c>
      <c r="AH65" t="b">
        <f>+ISNUMBER(SEARCH('F-VTA'!$G$25,Tabla11[[#This Row],[Cuenta]],1))</f>
        <v>0</v>
      </c>
      <c r="AI65" t="b">
        <f>+ISNUMBER(SEARCH('F-VTA'!$F$28,Tabla11[[#This Row],[Cuenta]],1))</f>
        <v>1</v>
      </c>
      <c r="AJ65" t="b">
        <f>+ISNUMBER(SEARCH('F-VTA'!$F$29,Tabla11[[#This Row],[Cuenta]],1))</f>
        <v>1</v>
      </c>
      <c r="AK65" t="b">
        <f>+ISNUMBER(SEARCH('F-VTA'!$F$30,Tabla11[[#This Row],[Cuenta]],1))</f>
        <v>1</v>
      </c>
      <c r="AL65" t="b">
        <f>+ISNUMBER(SEARCH('F-VTA'!$F$31,Tabla11[[#This Row],[Cuenta]],1))</f>
        <v>1</v>
      </c>
      <c r="AM65" t="b">
        <f>+ISNUMBER(SEARCH('F-VTA'!$F$32,Tabla11[[#This Row],[Cuenta]],1))</f>
        <v>1</v>
      </c>
      <c r="AN65" t="b">
        <f>+ISNUMBER(SEARCH('F-VTA'!$F$33,Tabla11[[#This Row],[Cuenta]],1))</f>
        <v>1</v>
      </c>
      <c r="AO65" t="b">
        <f>+ISNUMBER(SEARCH('F-VTA'!$F$34,Tabla11[[#This Row],[Cuenta]],1))</f>
        <v>1</v>
      </c>
      <c r="AP65" t="b">
        <f>+ISNUMBER(SEARCH('F-VTA'!$F$35,Tabla11[[#This Row],[Cuenta]],1))</f>
        <v>1</v>
      </c>
      <c r="AQ65" t="b">
        <f>+ISNUMBER(SEARCH('F-VTA'!$F$36,Tabla11[[#This Row],[Cuenta]],1))</f>
        <v>1</v>
      </c>
      <c r="AR65" t="b">
        <f>+ISNUMBER(SEARCH(#REF!,Tabla11[[#This Row],[Cuenta]],1))</f>
        <v>0</v>
      </c>
      <c r="AS65" t="b">
        <f>+ISNUMBER(SEARCH(#REF!,Tabla11[[#This Row],[Cuenta]],1))</f>
        <v>0</v>
      </c>
      <c r="AT65" t="b">
        <f>+ISNUMBER(SEARCH(#REF!,Tabla11[[#This Row],[Cuenta]],1))</f>
        <v>0</v>
      </c>
      <c r="AU65" t="b">
        <f>+ISNUMBER(SEARCH('Conc. Ban.1'!$I$9,Tabla11[[#This Row],[Cuenta]],1))</f>
        <v>0</v>
      </c>
      <c r="AV65" t="b">
        <f>+ISNUMBER(SEARCH(CompConta!$F$21,Tabla11[[#This Row],[Cuenta]],1))</f>
        <v>1</v>
      </c>
      <c r="AW65" t="b">
        <f>+ISNUMBER(SEARCH(CompConta!$F$22,Tabla11[[#This Row],[Cuenta]],1))</f>
        <v>1</v>
      </c>
      <c r="AX65" t="b">
        <f>+ISNUMBER(SEARCH(CompConta!$F$23,Tabla11[[#This Row],[Cuenta]],1))</f>
        <v>1</v>
      </c>
      <c r="AY65" t="b">
        <f>+ISNUMBER(SEARCH(CompConta!$F$24,Tabla11[[#This Row],[Cuenta]],1))</f>
        <v>1</v>
      </c>
      <c r="AZ65" t="b">
        <f>+ISNUMBER(SEARCH(CompConta!$F$25,Tabla11[[#This Row],[Cuenta]],1))</f>
        <v>1</v>
      </c>
      <c r="BA65" t="b">
        <f>+ISNUMBER(SEARCH(CompConta!$F$26,Tabla11[[#This Row],[Cuenta]],1))</f>
        <v>1</v>
      </c>
      <c r="BB65" t="b">
        <f>+ISNUMBER(SEARCH(CompConta!$F$27,Tabla11[[#This Row],[Cuenta]],1))</f>
        <v>1</v>
      </c>
      <c r="BC65" t="b">
        <f>+ISNUMBER(SEARCH(CompConta!$F$28,Tabla11[[#This Row],[Cuenta]],1))</f>
        <v>1</v>
      </c>
      <c r="BD65" t="b">
        <f>+ISNUMBER(SEARCH(CompConta!$F$29,Tabla11[[#This Row],[Cuenta]],1))</f>
        <v>1</v>
      </c>
      <c r="BE65" t="b">
        <f>+ISNUMBER(SEARCH(CompConta!$F$30,Tabla11[[#This Row],[Cuenta]],1))</f>
        <v>1</v>
      </c>
      <c r="BF65" t="b">
        <f>+ISNUMBER(SEARCH('PAGO Compras'!$E$11,Tabla11[[#This Row],[Cuenta]],1))</f>
        <v>1</v>
      </c>
      <c r="BG65" t="b">
        <f>+ISNUMBER(SEARCH(#REF!,Tabla11[[#This Row],[Cuenta]],1))</f>
        <v>0</v>
      </c>
      <c r="BH65" t="b">
        <f>+ISNUMBER(SEARCH(#REF!,Tabla11[[#This Row],[Cuenta]],1))</f>
        <v>0</v>
      </c>
      <c r="BI65" t="b">
        <f>+ISNUMBER(SEARCH(#REF!,Tabla11[[#This Row],[Cuenta]],1))</f>
        <v>0</v>
      </c>
      <c r="BJ65" t="b">
        <f>+ISNUMBER(SEARCH(#REF!,Tabla11[[#This Row],[Cuenta]],1))</f>
        <v>0</v>
      </c>
      <c r="BS65" t="str">
        <v>143015 Productos agrícolas y forestales</v>
      </c>
      <c r="BT65" t="str">
        <v>143015 Productos agrícolas y forestales</v>
      </c>
      <c r="BU65" t="str">
        <v>143015 Productos agrícolas y forestales</v>
      </c>
      <c r="BV65" t="str">
        <v>143015 Productos agrícolas y forestales</v>
      </c>
      <c r="BZ65" t="str">
        <v>143015 Productos agrícolas y forestales</v>
      </c>
      <c r="CA65" t="str">
        <v>143015 Productos agrícolas y forestales</v>
      </c>
      <c r="CB65" t="str">
        <v>143015 Productos agrícolas y forestales</v>
      </c>
      <c r="CC65" t="str">
        <v>143015 Productos agrícolas y forestales</v>
      </c>
      <c r="CD65" t="str">
        <v>143015 Productos agrícolas y forestales</v>
      </c>
      <c r="CE65" t="str">
        <v>143015 Productos agrícolas y forestales</v>
      </c>
      <c r="CS65" s="141" t="str">
        <v>143015 Productos agrícolas y forestales</v>
      </c>
      <c r="CT65" s="141" t="str">
        <v>143015 Productos agrícolas y forestales</v>
      </c>
      <c r="CU65" s="141" t="str">
        <v>143015 Productos agrícolas y forestales</v>
      </c>
      <c r="CV65" s="141" t="str">
        <v>143015 Productos agrícolas y forestales</v>
      </c>
      <c r="CW65" s="141" t="str">
        <v>143015 Productos agrícolas y forestales</v>
      </c>
      <c r="CX65" s="141" t="str">
        <v>143015 Productos agrícolas y forestales</v>
      </c>
      <c r="CY65" s="141" t="str">
        <v>143015 Productos agrícolas y forestales</v>
      </c>
      <c r="CZ65" s="141" t="str">
        <v>143015 Productos agrícolas y forestales</v>
      </c>
      <c r="DA65" s="141" t="str">
        <v>143015 Productos agrícolas y forestales</v>
      </c>
      <c r="DF65" t="str">
        <v>143015 Productos agrícolas y forestales</v>
      </c>
      <c r="DG65" t="str">
        <v>143015 Productos agrícolas y forestales</v>
      </c>
      <c r="DH65" t="str">
        <v>143015 Productos agrícolas y forestales</v>
      </c>
      <c r="DI65" t="str">
        <v>143015 Productos agrícolas y forestales</v>
      </c>
      <c r="DJ65" t="str">
        <v>143015 Productos agrícolas y forestales</v>
      </c>
      <c r="DK65" t="str">
        <v>143015 Productos agrícolas y forestales</v>
      </c>
      <c r="DL65" t="str">
        <v>143015 Productos agrícolas y forestales</v>
      </c>
      <c r="DM65" t="str">
        <v>143015 Productos agrícolas y forestales</v>
      </c>
      <c r="DN65" t="str">
        <v>143015 Productos agrícolas y forestales</v>
      </c>
      <c r="DO65" t="str">
        <v>143015 Productos agrícolas y forestales</v>
      </c>
      <c r="DP65" t="str">
        <v>143015 Productos agrícolas y forestales</v>
      </c>
    </row>
    <row r="66" spans="4:120" ht="12.75">
      <c r="D66" s="7">
        <v>143020</v>
      </c>
      <c r="E66" s="6" t="s">
        <v>99</v>
      </c>
      <c r="F66" s="5">
        <v>4</v>
      </c>
      <c r="G66" s="34" t="s">
        <v>821</v>
      </c>
      <c r="H66" s="8" t="s">
        <v>32</v>
      </c>
      <c r="I66" t="b">
        <f>+ISNUMBER(SEARCH('F-COMPRA'!$F$28,Tabla11[[#This Row],[Cuenta]],1))</f>
        <v>1</v>
      </c>
      <c r="J66" t="b">
        <f>+ISNUMBER(SEARCH('F-COMPRA'!$F$29,Tabla11[[#This Row],[Cuenta]],1))</f>
        <v>1</v>
      </c>
      <c r="K66" t="b">
        <f>+ISNUMBER(SEARCH('F-COMPRA'!$F$30,Tabla11[[#This Row],[Cuenta]],1))</f>
        <v>1</v>
      </c>
      <c r="L66" t="b">
        <f>+ISNUMBER(SEARCH('F-COMPRA'!$F$31,Tabla11[[#This Row],[Cuenta]],1))</f>
        <v>1</v>
      </c>
      <c r="M66" t="b">
        <f>+ISNUMBER(SEARCH('F-COMPRA'!$G$25,Tabla11[[#This Row],[Cuenta]],1))</f>
        <v>0</v>
      </c>
      <c r="N66" t="b">
        <f>+ISNUMBER(SEARCH(#REF!,Tabla11[[#This Row],[Cuenta]],1))</f>
        <v>0</v>
      </c>
      <c r="O66" t="b">
        <f>+ISNUMBER(SEARCH(#REF!,Tabla11[[#This Row],[Cuenta]],1))</f>
        <v>0</v>
      </c>
      <c r="P66" t="b">
        <f>+ISNUMBER(SEARCH('F-COMPRA'!$F$32,Tabla11[[#This Row],[Cuenta]],1))</f>
        <v>1</v>
      </c>
      <c r="Q66" t="b">
        <f>+ISNUMBER(SEARCH('F-COMPRA'!$F$33,Tabla11[[#This Row],[Cuenta]],1))</f>
        <v>1</v>
      </c>
      <c r="R66" t="b">
        <f>+ISNUMBER(SEARCH('F-COMPRA'!$F$34,Tabla11[[#This Row],[Cuenta]],1))</f>
        <v>1</v>
      </c>
      <c r="S66" t="b">
        <f>+ISNUMBER(SEARCH('F-COMPRA'!$F$35,Tabla11[[#This Row],[Cuenta]],1))</f>
        <v>1</v>
      </c>
      <c r="T66" t="b">
        <f>+ISNUMBER(SEARCH('F-COMPRA'!$F$36,Tabla11[[#This Row],[Cuenta]],1))</f>
        <v>1</v>
      </c>
      <c r="U66" t="b">
        <f>+ISNUMBER(SEARCH('F-COMPRA'!$F$37,Tabla11[[#This Row],[Cuenta]],1))</f>
        <v>1</v>
      </c>
      <c r="V66" t="b">
        <f>+ISNUMBER(SEARCH(#REF!,Tabla11[[#This Row],[Cuenta]],1))</f>
        <v>0</v>
      </c>
      <c r="W66" t="b">
        <f>+ISNUMBER(SEARCH('F-COMPRA'!#REF!,Tabla11[[#This Row],[Cuenta]],1))</f>
        <v>0</v>
      </c>
      <c r="X66" t="b">
        <f>+ISNUMBER(SEARCH('F-COMPRA'!#REF!,Tabla11[[#This Row],[Cuenta]],1))</f>
        <v>0</v>
      </c>
      <c r="Y66" t="b">
        <f>+ISNUMBER(SEARCH('F-COMPRA'!#REF!,Tabla11[[#This Row],[Cuenta]],1))</f>
        <v>0</v>
      </c>
      <c r="Z66" t="b">
        <f>+ISNUMBER(SEARCH('F-COMPRA'!#REF!,Tabla11[[#This Row],[Cuenta]],1))</f>
        <v>0</v>
      </c>
      <c r="AA66" t="b">
        <f>+ISNUMBER(SEARCH('F-COMPRA'!#REF!,Tabla11[[#This Row],[Cuenta]],1))</f>
        <v>0</v>
      </c>
      <c r="AB66" t="b">
        <f>+ISNUMBER(SEARCH('F-COMPRA'!#REF!,Tabla11[[#This Row],[Cuenta]],1))</f>
        <v>0</v>
      </c>
      <c r="AC66" t="b">
        <f>+ISNUMBER(SEARCH('F-COMPRA'!#REF!,Tabla11[[#This Row],[Cuenta]],1))</f>
        <v>0</v>
      </c>
      <c r="AD66" t="b">
        <f>+ISNUMBER(SEARCH('F-COMPRA'!#REF!,Tabla11[[#This Row],[Cuenta]],1))</f>
        <v>0</v>
      </c>
      <c r="AE66" t="b">
        <f>+ISNUMBER(SEARCH('F-COMPRA'!#REF!,Tabla11[[#This Row],[Cuenta]],1))</f>
        <v>0</v>
      </c>
      <c r="AF66" t="b">
        <f>+ISNUMBER(SEARCH('F-VTA'!$G$23,Tabla11[[#This Row],[Cuenta]],1))</f>
        <v>0</v>
      </c>
      <c r="AG66" t="b">
        <f>+ISNUMBER(SEARCH('F-VTA'!$G$24,Tabla11[[#This Row],[Cuenta]],1))</f>
        <v>0</v>
      </c>
      <c r="AH66" t="b">
        <f>+ISNUMBER(SEARCH('F-VTA'!$G$25,Tabla11[[#This Row],[Cuenta]],1))</f>
        <v>0</v>
      </c>
      <c r="AI66" t="b">
        <f>+ISNUMBER(SEARCH('F-VTA'!$F$28,Tabla11[[#This Row],[Cuenta]],1))</f>
        <v>1</v>
      </c>
      <c r="AJ66" t="b">
        <f>+ISNUMBER(SEARCH('F-VTA'!$F$29,Tabla11[[#This Row],[Cuenta]],1))</f>
        <v>1</v>
      </c>
      <c r="AK66" t="b">
        <f>+ISNUMBER(SEARCH('F-VTA'!$F$30,Tabla11[[#This Row],[Cuenta]],1))</f>
        <v>1</v>
      </c>
      <c r="AL66" t="b">
        <f>+ISNUMBER(SEARCH('F-VTA'!$F$31,Tabla11[[#This Row],[Cuenta]],1))</f>
        <v>1</v>
      </c>
      <c r="AM66" t="b">
        <f>+ISNUMBER(SEARCH('F-VTA'!$F$32,Tabla11[[#This Row],[Cuenta]],1))</f>
        <v>1</v>
      </c>
      <c r="AN66" t="b">
        <f>+ISNUMBER(SEARCH('F-VTA'!$F$33,Tabla11[[#This Row],[Cuenta]],1))</f>
        <v>1</v>
      </c>
      <c r="AO66" t="b">
        <f>+ISNUMBER(SEARCH('F-VTA'!$F$34,Tabla11[[#This Row],[Cuenta]],1))</f>
        <v>1</v>
      </c>
      <c r="AP66" t="b">
        <f>+ISNUMBER(SEARCH('F-VTA'!$F$35,Tabla11[[#This Row],[Cuenta]],1))</f>
        <v>1</v>
      </c>
      <c r="AQ66" t="b">
        <f>+ISNUMBER(SEARCH('F-VTA'!$F$36,Tabla11[[#This Row],[Cuenta]],1))</f>
        <v>1</v>
      </c>
      <c r="AR66" t="b">
        <f>+ISNUMBER(SEARCH(#REF!,Tabla11[[#This Row],[Cuenta]],1))</f>
        <v>0</v>
      </c>
      <c r="AS66" t="b">
        <f>+ISNUMBER(SEARCH(#REF!,Tabla11[[#This Row],[Cuenta]],1))</f>
        <v>0</v>
      </c>
      <c r="AT66" t="b">
        <f>+ISNUMBER(SEARCH(#REF!,Tabla11[[#This Row],[Cuenta]],1))</f>
        <v>0</v>
      </c>
      <c r="AU66" t="b">
        <f>+ISNUMBER(SEARCH('Conc. Ban.1'!$I$9,Tabla11[[#This Row],[Cuenta]],1))</f>
        <v>0</v>
      </c>
      <c r="AV66" t="b">
        <f>+ISNUMBER(SEARCH(CompConta!$F$21,Tabla11[[#This Row],[Cuenta]],1))</f>
        <v>1</v>
      </c>
      <c r="AW66" t="b">
        <f>+ISNUMBER(SEARCH(CompConta!$F$22,Tabla11[[#This Row],[Cuenta]],1))</f>
        <v>1</v>
      </c>
      <c r="AX66" t="b">
        <f>+ISNUMBER(SEARCH(CompConta!$F$23,Tabla11[[#This Row],[Cuenta]],1))</f>
        <v>1</v>
      </c>
      <c r="AY66" t="b">
        <f>+ISNUMBER(SEARCH(CompConta!$F$24,Tabla11[[#This Row],[Cuenta]],1))</f>
        <v>1</v>
      </c>
      <c r="AZ66" t="b">
        <f>+ISNUMBER(SEARCH(CompConta!$F$25,Tabla11[[#This Row],[Cuenta]],1))</f>
        <v>1</v>
      </c>
      <c r="BA66" t="b">
        <f>+ISNUMBER(SEARCH(CompConta!$F$26,Tabla11[[#This Row],[Cuenta]],1))</f>
        <v>1</v>
      </c>
      <c r="BB66" t="b">
        <f>+ISNUMBER(SEARCH(CompConta!$F$27,Tabla11[[#This Row],[Cuenta]],1))</f>
        <v>1</v>
      </c>
      <c r="BC66" t="b">
        <f>+ISNUMBER(SEARCH(CompConta!$F$28,Tabla11[[#This Row],[Cuenta]],1))</f>
        <v>1</v>
      </c>
      <c r="BD66" t="b">
        <f>+ISNUMBER(SEARCH(CompConta!$F$29,Tabla11[[#This Row],[Cuenta]],1))</f>
        <v>1</v>
      </c>
      <c r="BE66" t="b">
        <f>+ISNUMBER(SEARCH(CompConta!$F$30,Tabla11[[#This Row],[Cuenta]],1))</f>
        <v>1</v>
      </c>
      <c r="BF66" t="b">
        <f>+ISNUMBER(SEARCH('PAGO Compras'!$E$11,Tabla11[[#This Row],[Cuenta]],1))</f>
        <v>1</v>
      </c>
      <c r="BG66" t="b">
        <f>+ISNUMBER(SEARCH(#REF!,Tabla11[[#This Row],[Cuenta]],1))</f>
        <v>0</v>
      </c>
      <c r="BH66" t="b">
        <f>+ISNUMBER(SEARCH(#REF!,Tabla11[[#This Row],[Cuenta]],1))</f>
        <v>0</v>
      </c>
      <c r="BI66" t="b">
        <f>+ISNUMBER(SEARCH(#REF!,Tabla11[[#This Row],[Cuenta]],1))</f>
        <v>0</v>
      </c>
      <c r="BJ66" t="b">
        <f>+ISNUMBER(SEARCH(#REF!,Tabla11[[#This Row],[Cuenta]],1))</f>
        <v>0</v>
      </c>
      <c r="BS66" t="str">
        <v>143020 Subproductos</v>
      </c>
      <c r="BT66" t="str">
        <v>143020 Subproductos</v>
      </c>
      <c r="BU66" t="str">
        <v>143020 Subproductos</v>
      </c>
      <c r="BV66" t="str">
        <v>143020 Subproductos</v>
      </c>
      <c r="BZ66" t="str">
        <v>143020 Subproductos</v>
      </c>
      <c r="CA66" t="str">
        <v>143020 Subproductos</v>
      </c>
      <c r="CB66" t="str">
        <v>143020 Subproductos</v>
      </c>
      <c r="CC66" t="str">
        <v>143020 Subproductos</v>
      </c>
      <c r="CD66" t="str">
        <v>143020 Subproductos</v>
      </c>
      <c r="CE66" t="str">
        <v>143020 Subproductos</v>
      </c>
      <c r="CS66" s="141" t="str">
        <v>143020 Subproductos</v>
      </c>
      <c r="CT66" s="141" t="str">
        <v>143020 Subproductos</v>
      </c>
      <c r="CU66" s="141" t="str">
        <v>143020 Subproductos</v>
      </c>
      <c r="CV66" s="141" t="str">
        <v>143020 Subproductos</v>
      </c>
      <c r="CW66" s="141" t="str">
        <v>143020 Subproductos</v>
      </c>
      <c r="CX66" s="141" t="str">
        <v>143020 Subproductos</v>
      </c>
      <c r="CY66" s="141" t="str">
        <v>143020 Subproductos</v>
      </c>
      <c r="CZ66" s="141" t="str">
        <v>143020 Subproductos</v>
      </c>
      <c r="DA66" s="141" t="str">
        <v>143020 Subproductos</v>
      </c>
      <c r="DF66" t="str">
        <v>143020 Subproductos</v>
      </c>
      <c r="DG66" t="str">
        <v>143020 Subproductos</v>
      </c>
      <c r="DH66" t="str">
        <v>143020 Subproductos</v>
      </c>
      <c r="DI66" t="str">
        <v>143020 Subproductos</v>
      </c>
      <c r="DJ66" t="str">
        <v>143020 Subproductos</v>
      </c>
      <c r="DK66" t="str">
        <v>143020 Subproductos</v>
      </c>
      <c r="DL66" t="str">
        <v>143020 Subproductos</v>
      </c>
      <c r="DM66" t="str">
        <v>143020 Subproductos</v>
      </c>
      <c r="DN66" t="str">
        <v>143020 Subproductos</v>
      </c>
      <c r="DO66" t="str">
        <v>143020 Subproductos</v>
      </c>
      <c r="DP66" t="str">
        <v>143020 Subproductos</v>
      </c>
    </row>
    <row r="67" spans="4:120" ht="12.75">
      <c r="D67" s="7">
        <v>143025</v>
      </c>
      <c r="E67" s="6" t="s">
        <v>100</v>
      </c>
      <c r="F67" s="5">
        <v>4</v>
      </c>
      <c r="G67" s="34" t="s">
        <v>821</v>
      </c>
      <c r="H67" s="8" t="s">
        <v>32</v>
      </c>
      <c r="I67" t="b">
        <f>+ISNUMBER(SEARCH('F-COMPRA'!$F$28,Tabla11[[#This Row],[Cuenta]],1))</f>
        <v>1</v>
      </c>
      <c r="J67" t="b">
        <f>+ISNUMBER(SEARCH('F-COMPRA'!$F$29,Tabla11[[#This Row],[Cuenta]],1))</f>
        <v>1</v>
      </c>
      <c r="K67" t="b">
        <f>+ISNUMBER(SEARCH('F-COMPRA'!$F$30,Tabla11[[#This Row],[Cuenta]],1))</f>
        <v>1</v>
      </c>
      <c r="L67" t="b">
        <f>+ISNUMBER(SEARCH('F-COMPRA'!$F$31,Tabla11[[#This Row],[Cuenta]],1))</f>
        <v>1</v>
      </c>
      <c r="M67" t="b">
        <f>+ISNUMBER(SEARCH('F-COMPRA'!$G$25,Tabla11[[#This Row],[Cuenta]],1))</f>
        <v>0</v>
      </c>
      <c r="N67" t="b">
        <f>+ISNUMBER(SEARCH(#REF!,Tabla11[[#This Row],[Cuenta]],1))</f>
        <v>0</v>
      </c>
      <c r="O67" t="b">
        <f>+ISNUMBER(SEARCH(#REF!,Tabla11[[#This Row],[Cuenta]],1))</f>
        <v>0</v>
      </c>
      <c r="P67" t="b">
        <f>+ISNUMBER(SEARCH('F-COMPRA'!$F$32,Tabla11[[#This Row],[Cuenta]],1))</f>
        <v>1</v>
      </c>
      <c r="Q67" t="b">
        <f>+ISNUMBER(SEARCH('F-COMPRA'!$F$33,Tabla11[[#This Row],[Cuenta]],1))</f>
        <v>1</v>
      </c>
      <c r="R67" t="b">
        <f>+ISNUMBER(SEARCH('F-COMPRA'!$F$34,Tabla11[[#This Row],[Cuenta]],1))</f>
        <v>1</v>
      </c>
      <c r="S67" t="b">
        <f>+ISNUMBER(SEARCH('F-COMPRA'!$F$35,Tabla11[[#This Row],[Cuenta]],1))</f>
        <v>1</v>
      </c>
      <c r="T67" t="b">
        <f>+ISNUMBER(SEARCH('F-COMPRA'!$F$36,Tabla11[[#This Row],[Cuenta]],1))</f>
        <v>1</v>
      </c>
      <c r="U67" t="b">
        <f>+ISNUMBER(SEARCH('F-COMPRA'!$F$37,Tabla11[[#This Row],[Cuenta]],1))</f>
        <v>1</v>
      </c>
      <c r="V67" t="b">
        <f>+ISNUMBER(SEARCH(#REF!,Tabla11[[#This Row],[Cuenta]],1))</f>
        <v>0</v>
      </c>
      <c r="W67" t="b">
        <f>+ISNUMBER(SEARCH('F-COMPRA'!#REF!,Tabla11[[#This Row],[Cuenta]],1))</f>
        <v>0</v>
      </c>
      <c r="X67" t="b">
        <f>+ISNUMBER(SEARCH('F-COMPRA'!#REF!,Tabla11[[#This Row],[Cuenta]],1))</f>
        <v>0</v>
      </c>
      <c r="Y67" t="b">
        <f>+ISNUMBER(SEARCH('F-COMPRA'!#REF!,Tabla11[[#This Row],[Cuenta]],1))</f>
        <v>0</v>
      </c>
      <c r="Z67" t="b">
        <f>+ISNUMBER(SEARCH('F-COMPRA'!#REF!,Tabla11[[#This Row],[Cuenta]],1))</f>
        <v>0</v>
      </c>
      <c r="AA67" t="b">
        <f>+ISNUMBER(SEARCH('F-COMPRA'!#REF!,Tabla11[[#This Row],[Cuenta]],1))</f>
        <v>0</v>
      </c>
      <c r="AB67" t="b">
        <f>+ISNUMBER(SEARCH('F-COMPRA'!#REF!,Tabla11[[#This Row],[Cuenta]],1))</f>
        <v>0</v>
      </c>
      <c r="AC67" t="b">
        <f>+ISNUMBER(SEARCH('F-COMPRA'!#REF!,Tabla11[[#This Row],[Cuenta]],1))</f>
        <v>0</v>
      </c>
      <c r="AD67" t="b">
        <f>+ISNUMBER(SEARCH('F-COMPRA'!#REF!,Tabla11[[#This Row],[Cuenta]],1))</f>
        <v>0</v>
      </c>
      <c r="AE67" t="b">
        <f>+ISNUMBER(SEARCH('F-COMPRA'!#REF!,Tabla11[[#This Row],[Cuenta]],1))</f>
        <v>0</v>
      </c>
      <c r="AF67" t="b">
        <f>+ISNUMBER(SEARCH('F-VTA'!$G$23,Tabla11[[#This Row],[Cuenta]],1))</f>
        <v>0</v>
      </c>
      <c r="AG67" t="b">
        <f>+ISNUMBER(SEARCH('F-VTA'!$G$24,Tabla11[[#This Row],[Cuenta]],1))</f>
        <v>0</v>
      </c>
      <c r="AH67" t="b">
        <f>+ISNUMBER(SEARCH('F-VTA'!$G$25,Tabla11[[#This Row],[Cuenta]],1))</f>
        <v>0</v>
      </c>
      <c r="AI67" t="b">
        <f>+ISNUMBER(SEARCH('F-VTA'!$F$28,Tabla11[[#This Row],[Cuenta]],1))</f>
        <v>1</v>
      </c>
      <c r="AJ67" t="b">
        <f>+ISNUMBER(SEARCH('F-VTA'!$F$29,Tabla11[[#This Row],[Cuenta]],1))</f>
        <v>1</v>
      </c>
      <c r="AK67" t="b">
        <f>+ISNUMBER(SEARCH('F-VTA'!$F$30,Tabla11[[#This Row],[Cuenta]],1))</f>
        <v>1</v>
      </c>
      <c r="AL67" t="b">
        <f>+ISNUMBER(SEARCH('F-VTA'!$F$31,Tabla11[[#This Row],[Cuenta]],1))</f>
        <v>1</v>
      </c>
      <c r="AM67" t="b">
        <f>+ISNUMBER(SEARCH('F-VTA'!$F$32,Tabla11[[#This Row],[Cuenta]],1))</f>
        <v>1</v>
      </c>
      <c r="AN67" t="b">
        <f>+ISNUMBER(SEARCH('F-VTA'!$F$33,Tabla11[[#This Row],[Cuenta]],1))</f>
        <v>1</v>
      </c>
      <c r="AO67" t="b">
        <f>+ISNUMBER(SEARCH('F-VTA'!$F$34,Tabla11[[#This Row],[Cuenta]],1))</f>
        <v>1</v>
      </c>
      <c r="AP67" t="b">
        <f>+ISNUMBER(SEARCH('F-VTA'!$F$35,Tabla11[[#This Row],[Cuenta]],1))</f>
        <v>1</v>
      </c>
      <c r="AQ67" t="b">
        <f>+ISNUMBER(SEARCH('F-VTA'!$F$36,Tabla11[[#This Row],[Cuenta]],1))</f>
        <v>1</v>
      </c>
      <c r="AR67" t="b">
        <f>+ISNUMBER(SEARCH(#REF!,Tabla11[[#This Row],[Cuenta]],1))</f>
        <v>0</v>
      </c>
      <c r="AS67" t="b">
        <f>+ISNUMBER(SEARCH(#REF!,Tabla11[[#This Row],[Cuenta]],1))</f>
        <v>0</v>
      </c>
      <c r="AT67" t="b">
        <f>+ISNUMBER(SEARCH(#REF!,Tabla11[[#This Row],[Cuenta]],1))</f>
        <v>0</v>
      </c>
      <c r="AU67" t="b">
        <f>+ISNUMBER(SEARCH('Conc. Ban.1'!$I$9,Tabla11[[#This Row],[Cuenta]],1))</f>
        <v>0</v>
      </c>
      <c r="AV67" t="b">
        <f>+ISNUMBER(SEARCH(CompConta!$F$21,Tabla11[[#This Row],[Cuenta]],1))</f>
        <v>1</v>
      </c>
      <c r="AW67" t="b">
        <f>+ISNUMBER(SEARCH(CompConta!$F$22,Tabla11[[#This Row],[Cuenta]],1))</f>
        <v>1</v>
      </c>
      <c r="AX67" t="b">
        <f>+ISNUMBER(SEARCH(CompConta!$F$23,Tabla11[[#This Row],[Cuenta]],1))</f>
        <v>1</v>
      </c>
      <c r="AY67" t="b">
        <f>+ISNUMBER(SEARCH(CompConta!$F$24,Tabla11[[#This Row],[Cuenta]],1))</f>
        <v>1</v>
      </c>
      <c r="AZ67" t="b">
        <f>+ISNUMBER(SEARCH(CompConta!$F$25,Tabla11[[#This Row],[Cuenta]],1))</f>
        <v>1</v>
      </c>
      <c r="BA67" t="b">
        <f>+ISNUMBER(SEARCH(CompConta!$F$26,Tabla11[[#This Row],[Cuenta]],1))</f>
        <v>1</v>
      </c>
      <c r="BB67" t="b">
        <f>+ISNUMBER(SEARCH(CompConta!$F$27,Tabla11[[#This Row],[Cuenta]],1))</f>
        <v>1</v>
      </c>
      <c r="BC67" t="b">
        <f>+ISNUMBER(SEARCH(CompConta!$F$28,Tabla11[[#This Row],[Cuenta]],1))</f>
        <v>1</v>
      </c>
      <c r="BD67" t="b">
        <f>+ISNUMBER(SEARCH(CompConta!$F$29,Tabla11[[#This Row],[Cuenta]],1))</f>
        <v>1</v>
      </c>
      <c r="BE67" t="b">
        <f>+ISNUMBER(SEARCH(CompConta!$F$30,Tabla11[[#This Row],[Cuenta]],1))</f>
        <v>1</v>
      </c>
      <c r="BF67" t="b">
        <f>+ISNUMBER(SEARCH('PAGO Compras'!$E$11,Tabla11[[#This Row],[Cuenta]],1))</f>
        <v>1</v>
      </c>
      <c r="BG67" t="b">
        <f>+ISNUMBER(SEARCH(#REF!,Tabla11[[#This Row],[Cuenta]],1))</f>
        <v>0</v>
      </c>
      <c r="BH67" t="b">
        <f>+ISNUMBER(SEARCH(#REF!,Tabla11[[#This Row],[Cuenta]],1))</f>
        <v>0</v>
      </c>
      <c r="BI67" t="b">
        <f>+ISNUMBER(SEARCH(#REF!,Tabla11[[#This Row],[Cuenta]],1))</f>
        <v>0</v>
      </c>
      <c r="BJ67" t="b">
        <f>+ISNUMBER(SEARCH(#REF!,Tabla11[[#This Row],[Cuenta]],1))</f>
        <v>0</v>
      </c>
      <c r="BS67" t="str">
        <v>143025 Productos de pesca</v>
      </c>
      <c r="BT67" t="str">
        <v>143025 Productos de pesca</v>
      </c>
      <c r="BU67" t="str">
        <v>143025 Productos de pesca</v>
      </c>
      <c r="BV67" t="str">
        <v>143025 Productos de pesca</v>
      </c>
      <c r="BZ67" t="str">
        <v>143025 Productos de pesca</v>
      </c>
      <c r="CA67" t="str">
        <v>143025 Productos de pesca</v>
      </c>
      <c r="CB67" t="str">
        <v>143025 Productos de pesca</v>
      </c>
      <c r="CC67" t="str">
        <v>143025 Productos de pesca</v>
      </c>
      <c r="CD67" t="str">
        <v>143025 Productos de pesca</v>
      </c>
      <c r="CE67" t="str">
        <v>143025 Productos de pesca</v>
      </c>
      <c r="CS67" s="141" t="str">
        <v>143025 Productos de pesca</v>
      </c>
      <c r="CT67" s="141" t="str">
        <v>143025 Productos de pesca</v>
      </c>
      <c r="CU67" s="141" t="str">
        <v>143025 Productos de pesca</v>
      </c>
      <c r="CV67" s="141" t="str">
        <v>143025 Productos de pesca</v>
      </c>
      <c r="CW67" s="141" t="str">
        <v>143025 Productos de pesca</v>
      </c>
      <c r="CX67" s="141" t="str">
        <v>143025 Productos de pesca</v>
      </c>
      <c r="CY67" s="141" t="str">
        <v>143025 Productos de pesca</v>
      </c>
      <c r="CZ67" s="141" t="str">
        <v>143025 Productos de pesca</v>
      </c>
      <c r="DA67" s="141" t="str">
        <v>143025 Productos de pesca</v>
      </c>
      <c r="DF67" t="str">
        <v>143025 Productos de pesca</v>
      </c>
      <c r="DG67" t="str">
        <v>143025 Productos de pesca</v>
      </c>
      <c r="DH67" t="str">
        <v>143025 Productos de pesca</v>
      </c>
      <c r="DI67" t="str">
        <v>143025 Productos de pesca</v>
      </c>
      <c r="DJ67" t="str">
        <v>143025 Productos de pesca</v>
      </c>
      <c r="DK67" t="str">
        <v>143025 Productos de pesca</v>
      </c>
      <c r="DL67" t="str">
        <v>143025 Productos de pesca</v>
      </c>
      <c r="DM67" t="str">
        <v>143025 Productos de pesca</v>
      </c>
      <c r="DN67" t="str">
        <v>143025 Productos de pesca</v>
      </c>
      <c r="DO67" t="str">
        <v>143025 Productos de pesca</v>
      </c>
      <c r="DP67" t="str">
        <v>143025 Productos de pesca</v>
      </c>
    </row>
    <row r="68" spans="4:120" ht="12.75">
      <c r="D68" s="7">
        <v>143099</v>
      </c>
      <c r="E68" s="6" t="s">
        <v>93</v>
      </c>
      <c r="F68" s="5">
        <v>4</v>
      </c>
      <c r="G68" s="34" t="s">
        <v>821</v>
      </c>
      <c r="H68" s="8" t="s">
        <v>32</v>
      </c>
      <c r="I68" t="b">
        <f>+ISNUMBER(SEARCH('F-COMPRA'!$F$28,Tabla11[[#This Row],[Cuenta]],1))</f>
        <v>1</v>
      </c>
      <c r="J68" t="b">
        <f>+ISNUMBER(SEARCH('F-COMPRA'!$F$29,Tabla11[[#This Row],[Cuenta]],1))</f>
        <v>1</v>
      </c>
      <c r="K68" t="b">
        <f>+ISNUMBER(SEARCH('F-COMPRA'!$F$30,Tabla11[[#This Row],[Cuenta]],1))</f>
        <v>1</v>
      </c>
      <c r="L68" t="b">
        <f>+ISNUMBER(SEARCH('F-COMPRA'!$F$31,Tabla11[[#This Row],[Cuenta]],1))</f>
        <v>1</v>
      </c>
      <c r="M68" t="b">
        <f>+ISNUMBER(SEARCH('F-COMPRA'!$G$25,Tabla11[[#This Row],[Cuenta]],1))</f>
        <v>0</v>
      </c>
      <c r="N68" t="b">
        <f>+ISNUMBER(SEARCH(#REF!,Tabla11[[#This Row],[Cuenta]],1))</f>
        <v>0</v>
      </c>
      <c r="O68" t="b">
        <f>+ISNUMBER(SEARCH(#REF!,Tabla11[[#This Row],[Cuenta]],1))</f>
        <v>0</v>
      </c>
      <c r="P68" t="b">
        <f>+ISNUMBER(SEARCH('F-COMPRA'!$F$32,Tabla11[[#This Row],[Cuenta]],1))</f>
        <v>1</v>
      </c>
      <c r="Q68" t="b">
        <f>+ISNUMBER(SEARCH('F-COMPRA'!$F$33,Tabla11[[#This Row],[Cuenta]],1))</f>
        <v>1</v>
      </c>
      <c r="R68" t="b">
        <f>+ISNUMBER(SEARCH('F-COMPRA'!$F$34,Tabla11[[#This Row],[Cuenta]],1))</f>
        <v>1</v>
      </c>
      <c r="S68" t="b">
        <f>+ISNUMBER(SEARCH('F-COMPRA'!$F$35,Tabla11[[#This Row],[Cuenta]],1))</f>
        <v>1</v>
      </c>
      <c r="T68" t="b">
        <f>+ISNUMBER(SEARCH('F-COMPRA'!$F$36,Tabla11[[#This Row],[Cuenta]],1))</f>
        <v>1</v>
      </c>
      <c r="U68" t="b">
        <f>+ISNUMBER(SEARCH('F-COMPRA'!$F$37,Tabla11[[#This Row],[Cuenta]],1))</f>
        <v>1</v>
      </c>
      <c r="V68" t="b">
        <f>+ISNUMBER(SEARCH(#REF!,Tabla11[[#This Row],[Cuenta]],1))</f>
        <v>0</v>
      </c>
      <c r="W68" t="b">
        <f>+ISNUMBER(SEARCH('F-COMPRA'!#REF!,Tabla11[[#This Row],[Cuenta]],1))</f>
        <v>0</v>
      </c>
      <c r="X68" t="b">
        <f>+ISNUMBER(SEARCH('F-COMPRA'!#REF!,Tabla11[[#This Row],[Cuenta]],1))</f>
        <v>0</v>
      </c>
      <c r="Y68" t="b">
        <f>+ISNUMBER(SEARCH('F-COMPRA'!#REF!,Tabla11[[#This Row],[Cuenta]],1))</f>
        <v>0</v>
      </c>
      <c r="Z68" t="b">
        <f>+ISNUMBER(SEARCH('F-COMPRA'!#REF!,Tabla11[[#This Row],[Cuenta]],1))</f>
        <v>0</v>
      </c>
      <c r="AA68" t="b">
        <f>+ISNUMBER(SEARCH('F-COMPRA'!#REF!,Tabla11[[#This Row],[Cuenta]],1))</f>
        <v>0</v>
      </c>
      <c r="AB68" t="b">
        <f>+ISNUMBER(SEARCH('F-COMPRA'!#REF!,Tabla11[[#This Row],[Cuenta]],1))</f>
        <v>0</v>
      </c>
      <c r="AC68" t="b">
        <f>+ISNUMBER(SEARCH('F-COMPRA'!#REF!,Tabla11[[#This Row],[Cuenta]],1))</f>
        <v>0</v>
      </c>
      <c r="AD68" t="b">
        <f>+ISNUMBER(SEARCH('F-COMPRA'!#REF!,Tabla11[[#This Row],[Cuenta]],1))</f>
        <v>0</v>
      </c>
      <c r="AE68" t="b">
        <f>+ISNUMBER(SEARCH('F-COMPRA'!#REF!,Tabla11[[#This Row],[Cuenta]],1))</f>
        <v>0</v>
      </c>
      <c r="AF68" t="b">
        <f>+ISNUMBER(SEARCH('F-VTA'!$G$23,Tabla11[[#This Row],[Cuenta]],1))</f>
        <v>0</v>
      </c>
      <c r="AG68" t="b">
        <f>+ISNUMBER(SEARCH('F-VTA'!$G$24,Tabla11[[#This Row],[Cuenta]],1))</f>
        <v>0</v>
      </c>
      <c r="AH68" t="b">
        <f>+ISNUMBER(SEARCH('F-VTA'!$G$25,Tabla11[[#This Row],[Cuenta]],1))</f>
        <v>0</v>
      </c>
      <c r="AI68" t="b">
        <f>+ISNUMBER(SEARCH('F-VTA'!$F$28,Tabla11[[#This Row],[Cuenta]],1))</f>
        <v>1</v>
      </c>
      <c r="AJ68" t="b">
        <f>+ISNUMBER(SEARCH('F-VTA'!$F$29,Tabla11[[#This Row],[Cuenta]],1))</f>
        <v>1</v>
      </c>
      <c r="AK68" t="b">
        <f>+ISNUMBER(SEARCH('F-VTA'!$F$30,Tabla11[[#This Row],[Cuenta]],1))</f>
        <v>1</v>
      </c>
      <c r="AL68" t="b">
        <f>+ISNUMBER(SEARCH('F-VTA'!$F$31,Tabla11[[#This Row],[Cuenta]],1))</f>
        <v>1</v>
      </c>
      <c r="AM68" t="b">
        <f>+ISNUMBER(SEARCH('F-VTA'!$F$32,Tabla11[[#This Row],[Cuenta]],1))</f>
        <v>1</v>
      </c>
      <c r="AN68" t="b">
        <f>+ISNUMBER(SEARCH('F-VTA'!$F$33,Tabla11[[#This Row],[Cuenta]],1))</f>
        <v>1</v>
      </c>
      <c r="AO68" t="b">
        <f>+ISNUMBER(SEARCH('F-VTA'!$F$34,Tabla11[[#This Row],[Cuenta]],1))</f>
        <v>1</v>
      </c>
      <c r="AP68" t="b">
        <f>+ISNUMBER(SEARCH('F-VTA'!$F$35,Tabla11[[#This Row],[Cuenta]],1))</f>
        <v>1</v>
      </c>
      <c r="AQ68" t="b">
        <f>+ISNUMBER(SEARCH('F-VTA'!$F$36,Tabla11[[#This Row],[Cuenta]],1))</f>
        <v>1</v>
      </c>
      <c r="AR68" t="b">
        <f>+ISNUMBER(SEARCH(#REF!,Tabla11[[#This Row],[Cuenta]],1))</f>
        <v>0</v>
      </c>
      <c r="AS68" t="b">
        <f>+ISNUMBER(SEARCH(#REF!,Tabla11[[#This Row],[Cuenta]],1))</f>
        <v>0</v>
      </c>
      <c r="AT68" t="b">
        <f>+ISNUMBER(SEARCH(#REF!,Tabla11[[#This Row],[Cuenta]],1))</f>
        <v>0</v>
      </c>
      <c r="AU68" t="b">
        <f>+ISNUMBER(SEARCH('Conc. Ban.1'!$I$9,Tabla11[[#This Row],[Cuenta]],1))</f>
        <v>0</v>
      </c>
      <c r="AV68" t="b">
        <f>+ISNUMBER(SEARCH(CompConta!$F$21,Tabla11[[#This Row],[Cuenta]],1))</f>
        <v>1</v>
      </c>
      <c r="AW68" t="b">
        <f>+ISNUMBER(SEARCH(CompConta!$F$22,Tabla11[[#This Row],[Cuenta]],1))</f>
        <v>1</v>
      </c>
      <c r="AX68" t="b">
        <f>+ISNUMBER(SEARCH(CompConta!$F$23,Tabla11[[#This Row],[Cuenta]],1))</f>
        <v>1</v>
      </c>
      <c r="AY68" t="b">
        <f>+ISNUMBER(SEARCH(CompConta!$F$24,Tabla11[[#This Row],[Cuenta]],1))</f>
        <v>1</v>
      </c>
      <c r="AZ68" t="b">
        <f>+ISNUMBER(SEARCH(CompConta!$F$25,Tabla11[[#This Row],[Cuenta]],1))</f>
        <v>1</v>
      </c>
      <c r="BA68" t="b">
        <f>+ISNUMBER(SEARCH(CompConta!$F$26,Tabla11[[#This Row],[Cuenta]],1))</f>
        <v>1</v>
      </c>
      <c r="BB68" t="b">
        <f>+ISNUMBER(SEARCH(CompConta!$F$27,Tabla11[[#This Row],[Cuenta]],1))</f>
        <v>1</v>
      </c>
      <c r="BC68" t="b">
        <f>+ISNUMBER(SEARCH(CompConta!$F$28,Tabla11[[#This Row],[Cuenta]],1))</f>
        <v>1</v>
      </c>
      <c r="BD68" t="b">
        <f>+ISNUMBER(SEARCH(CompConta!$F$29,Tabla11[[#This Row],[Cuenta]],1))</f>
        <v>1</v>
      </c>
      <c r="BE68" t="b">
        <f>+ISNUMBER(SEARCH(CompConta!$F$30,Tabla11[[#This Row],[Cuenta]],1))</f>
        <v>1</v>
      </c>
      <c r="BF68" t="b">
        <f>+ISNUMBER(SEARCH('PAGO Compras'!$E$11,Tabla11[[#This Row],[Cuenta]],1))</f>
        <v>1</v>
      </c>
      <c r="BG68" t="b">
        <f>+ISNUMBER(SEARCH(#REF!,Tabla11[[#This Row],[Cuenta]],1))</f>
        <v>0</v>
      </c>
      <c r="BH68" t="b">
        <f>+ISNUMBER(SEARCH(#REF!,Tabla11[[#This Row],[Cuenta]],1))</f>
        <v>0</v>
      </c>
      <c r="BI68" t="b">
        <f>+ISNUMBER(SEARCH(#REF!,Tabla11[[#This Row],[Cuenta]],1))</f>
        <v>0</v>
      </c>
      <c r="BJ68" t="b">
        <f>+ISNUMBER(SEARCH(#REF!,Tabla11[[#This Row],[Cuenta]],1))</f>
        <v>0</v>
      </c>
      <c r="BS68" t="str">
        <v>143099 *Ajustes por inflación</v>
      </c>
      <c r="BT68" t="str">
        <v>143099 *Ajustes por inflación</v>
      </c>
      <c r="BU68" t="str">
        <v>143099 *Ajustes por inflación</v>
      </c>
      <c r="BV68" t="str">
        <v>143099 *Ajustes por inflación</v>
      </c>
      <c r="BZ68" t="str">
        <v>143099 *Ajustes por inflación</v>
      </c>
      <c r="CA68" t="str">
        <v>143099 *Ajustes por inflación</v>
      </c>
      <c r="CB68" t="str">
        <v>143099 *Ajustes por inflación</v>
      </c>
      <c r="CC68" t="str">
        <v>143099 *Ajustes por inflación</v>
      </c>
      <c r="CD68" t="str">
        <v>143099 *Ajustes por inflación</v>
      </c>
      <c r="CE68" t="str">
        <v>143099 *Ajustes por inflación</v>
      </c>
      <c r="CS68" s="141" t="str">
        <v>143099 *Ajustes por inflación</v>
      </c>
      <c r="CT68" s="141" t="str">
        <v>143099 *Ajustes por inflación</v>
      </c>
      <c r="CU68" s="141" t="str">
        <v>143099 *Ajustes por inflación</v>
      </c>
      <c r="CV68" s="141" t="str">
        <v>143099 *Ajustes por inflación</v>
      </c>
      <c r="CW68" s="141" t="str">
        <v>143099 *Ajustes por inflación</v>
      </c>
      <c r="CX68" s="141" t="str">
        <v>143099 *Ajustes por inflación</v>
      </c>
      <c r="CY68" s="141" t="str">
        <v>143099 *Ajustes por inflación</v>
      </c>
      <c r="CZ68" s="141" t="str">
        <v>143099 *Ajustes por inflación</v>
      </c>
      <c r="DA68" s="141" t="str">
        <v>143099 *Ajustes por inflación</v>
      </c>
      <c r="DF68" t="str">
        <v>143099 *Ajustes por inflación</v>
      </c>
      <c r="DG68" t="str">
        <v>143099 *Ajustes por inflación</v>
      </c>
      <c r="DH68" t="str">
        <v>143099 *Ajustes por inflación</v>
      </c>
      <c r="DI68" t="str">
        <v>143099 *Ajustes por inflación</v>
      </c>
      <c r="DJ68" t="str">
        <v>143099 *Ajustes por inflación</v>
      </c>
      <c r="DK68" t="str">
        <v>143099 *Ajustes por inflación</v>
      </c>
      <c r="DL68" t="str">
        <v>143099 *Ajustes por inflación</v>
      </c>
      <c r="DM68" t="str">
        <v>143099 *Ajustes por inflación</v>
      </c>
      <c r="DN68" t="str">
        <v>143099 *Ajustes por inflación</v>
      </c>
      <c r="DO68" t="str">
        <v>143099 *Ajustes por inflación</v>
      </c>
      <c r="DP68" t="str">
        <v>143099 *Ajustes por inflación</v>
      </c>
    </row>
    <row r="69" spans="4:120" ht="12.75">
      <c r="D69" s="7">
        <v>1435</v>
      </c>
      <c r="E69" s="6" t="s">
        <v>101</v>
      </c>
      <c r="F69" s="5">
        <v>3</v>
      </c>
      <c r="G69" s="34" t="s">
        <v>821</v>
      </c>
      <c r="H69" s="8" t="s">
        <v>32</v>
      </c>
      <c r="I69" t="b">
        <f>+ISNUMBER(SEARCH('F-COMPRA'!$F$28,Tabla11[[#This Row],[Cuenta]],1))</f>
        <v>1</v>
      </c>
      <c r="J69" t="b">
        <f>+ISNUMBER(SEARCH('F-COMPRA'!$F$29,Tabla11[[#This Row],[Cuenta]],1))</f>
        <v>1</v>
      </c>
      <c r="K69" t="b">
        <f>+ISNUMBER(SEARCH('F-COMPRA'!$F$30,Tabla11[[#This Row],[Cuenta]],1))</f>
        <v>1</v>
      </c>
      <c r="L69" t="b">
        <f>+ISNUMBER(SEARCH('F-COMPRA'!$F$31,Tabla11[[#This Row],[Cuenta]],1))</f>
        <v>1</v>
      </c>
      <c r="M69" t="b">
        <f>+ISNUMBER(SEARCH('F-COMPRA'!$G$25,Tabla11[[#This Row],[Cuenta]],1))</f>
        <v>0</v>
      </c>
      <c r="N69" t="b">
        <f>+ISNUMBER(SEARCH(#REF!,Tabla11[[#This Row],[Cuenta]],1))</f>
        <v>0</v>
      </c>
      <c r="O69" t="b">
        <f>+ISNUMBER(SEARCH(#REF!,Tabla11[[#This Row],[Cuenta]],1))</f>
        <v>0</v>
      </c>
      <c r="P69" t="b">
        <f>+ISNUMBER(SEARCH('F-COMPRA'!$F$32,Tabla11[[#This Row],[Cuenta]],1))</f>
        <v>1</v>
      </c>
      <c r="Q69" t="b">
        <f>+ISNUMBER(SEARCH('F-COMPRA'!$F$33,Tabla11[[#This Row],[Cuenta]],1))</f>
        <v>1</v>
      </c>
      <c r="R69" t="b">
        <f>+ISNUMBER(SEARCH('F-COMPRA'!$F$34,Tabla11[[#This Row],[Cuenta]],1))</f>
        <v>1</v>
      </c>
      <c r="S69" t="b">
        <f>+ISNUMBER(SEARCH('F-COMPRA'!$F$35,Tabla11[[#This Row],[Cuenta]],1))</f>
        <v>1</v>
      </c>
      <c r="T69" t="b">
        <f>+ISNUMBER(SEARCH('F-COMPRA'!$F$36,Tabla11[[#This Row],[Cuenta]],1))</f>
        <v>1</v>
      </c>
      <c r="U69" t="b">
        <f>+ISNUMBER(SEARCH('F-COMPRA'!$F$37,Tabla11[[#This Row],[Cuenta]],1))</f>
        <v>1</v>
      </c>
      <c r="V69" t="b">
        <f>+ISNUMBER(SEARCH(#REF!,Tabla11[[#This Row],[Cuenta]],1))</f>
        <v>0</v>
      </c>
      <c r="W69" t="b">
        <f>+ISNUMBER(SEARCH('F-COMPRA'!#REF!,Tabla11[[#This Row],[Cuenta]],1))</f>
        <v>0</v>
      </c>
      <c r="X69" t="b">
        <f>+ISNUMBER(SEARCH('F-COMPRA'!#REF!,Tabla11[[#This Row],[Cuenta]],1))</f>
        <v>0</v>
      </c>
      <c r="Y69" t="b">
        <f>+ISNUMBER(SEARCH('F-COMPRA'!#REF!,Tabla11[[#This Row],[Cuenta]],1))</f>
        <v>0</v>
      </c>
      <c r="Z69" t="b">
        <f>+ISNUMBER(SEARCH('F-COMPRA'!#REF!,Tabla11[[#This Row],[Cuenta]],1))</f>
        <v>0</v>
      </c>
      <c r="AA69" t="b">
        <f>+ISNUMBER(SEARCH('F-COMPRA'!#REF!,Tabla11[[#This Row],[Cuenta]],1))</f>
        <v>0</v>
      </c>
      <c r="AB69" t="b">
        <f>+ISNUMBER(SEARCH('F-COMPRA'!#REF!,Tabla11[[#This Row],[Cuenta]],1))</f>
        <v>0</v>
      </c>
      <c r="AC69" t="b">
        <f>+ISNUMBER(SEARCH('F-COMPRA'!#REF!,Tabla11[[#This Row],[Cuenta]],1))</f>
        <v>0</v>
      </c>
      <c r="AD69" t="b">
        <f>+ISNUMBER(SEARCH('F-COMPRA'!#REF!,Tabla11[[#This Row],[Cuenta]],1))</f>
        <v>0</v>
      </c>
      <c r="AE69" t="b">
        <f>+ISNUMBER(SEARCH('F-COMPRA'!#REF!,Tabla11[[#This Row],[Cuenta]],1))</f>
        <v>0</v>
      </c>
      <c r="AF69" t="b">
        <f>+ISNUMBER(SEARCH('F-VTA'!$G$23,Tabla11[[#This Row],[Cuenta]],1))</f>
        <v>0</v>
      </c>
      <c r="AG69" t="b">
        <f>+ISNUMBER(SEARCH('F-VTA'!$G$24,Tabla11[[#This Row],[Cuenta]],1))</f>
        <v>0</v>
      </c>
      <c r="AH69" t="b">
        <f>+ISNUMBER(SEARCH('F-VTA'!$G$25,Tabla11[[#This Row],[Cuenta]],1))</f>
        <v>0</v>
      </c>
      <c r="AI69" t="b">
        <f>+ISNUMBER(SEARCH('F-VTA'!$F$28,Tabla11[[#This Row],[Cuenta]],1))</f>
        <v>1</v>
      </c>
      <c r="AJ69" t="b">
        <f>+ISNUMBER(SEARCH('F-VTA'!$F$29,Tabla11[[#This Row],[Cuenta]],1))</f>
        <v>1</v>
      </c>
      <c r="AK69" t="b">
        <f>+ISNUMBER(SEARCH('F-VTA'!$F$30,Tabla11[[#This Row],[Cuenta]],1))</f>
        <v>1</v>
      </c>
      <c r="AL69" t="b">
        <f>+ISNUMBER(SEARCH('F-VTA'!$F$31,Tabla11[[#This Row],[Cuenta]],1))</f>
        <v>1</v>
      </c>
      <c r="AM69" t="b">
        <f>+ISNUMBER(SEARCH('F-VTA'!$F$32,Tabla11[[#This Row],[Cuenta]],1))</f>
        <v>1</v>
      </c>
      <c r="AN69" t="b">
        <f>+ISNUMBER(SEARCH('F-VTA'!$F$33,Tabla11[[#This Row],[Cuenta]],1))</f>
        <v>1</v>
      </c>
      <c r="AO69" t="b">
        <f>+ISNUMBER(SEARCH('F-VTA'!$F$34,Tabla11[[#This Row],[Cuenta]],1))</f>
        <v>1</v>
      </c>
      <c r="AP69" t="b">
        <f>+ISNUMBER(SEARCH('F-VTA'!$F$35,Tabla11[[#This Row],[Cuenta]],1))</f>
        <v>1</v>
      </c>
      <c r="AQ69" t="b">
        <f>+ISNUMBER(SEARCH('F-VTA'!$F$36,Tabla11[[#This Row],[Cuenta]],1))</f>
        <v>1</v>
      </c>
      <c r="AR69" t="b">
        <f>+ISNUMBER(SEARCH(#REF!,Tabla11[[#This Row],[Cuenta]],1))</f>
        <v>0</v>
      </c>
      <c r="AS69" t="b">
        <f>+ISNUMBER(SEARCH(#REF!,Tabla11[[#This Row],[Cuenta]],1))</f>
        <v>0</v>
      </c>
      <c r="AT69" t="b">
        <f>+ISNUMBER(SEARCH(#REF!,Tabla11[[#This Row],[Cuenta]],1))</f>
        <v>0</v>
      </c>
      <c r="AU69" t="b">
        <f>+ISNUMBER(SEARCH('Conc. Ban.1'!$I$9,Tabla11[[#This Row],[Cuenta]],1))</f>
        <v>0</v>
      </c>
      <c r="AV69" t="b">
        <f>+ISNUMBER(SEARCH(CompConta!$F$21,Tabla11[[#This Row],[Cuenta]],1))</f>
        <v>1</v>
      </c>
      <c r="AW69" t="b">
        <f>+ISNUMBER(SEARCH(CompConta!$F$22,Tabla11[[#This Row],[Cuenta]],1))</f>
        <v>1</v>
      </c>
      <c r="AX69" t="b">
        <f>+ISNUMBER(SEARCH(CompConta!$F$23,Tabla11[[#This Row],[Cuenta]],1))</f>
        <v>1</v>
      </c>
      <c r="AY69" t="b">
        <f>+ISNUMBER(SEARCH(CompConta!$F$24,Tabla11[[#This Row],[Cuenta]],1))</f>
        <v>1</v>
      </c>
      <c r="AZ69" t="b">
        <f>+ISNUMBER(SEARCH(CompConta!$F$25,Tabla11[[#This Row],[Cuenta]],1))</f>
        <v>1</v>
      </c>
      <c r="BA69" t="b">
        <f>+ISNUMBER(SEARCH(CompConta!$F$26,Tabla11[[#This Row],[Cuenta]],1))</f>
        <v>1</v>
      </c>
      <c r="BB69" t="b">
        <f>+ISNUMBER(SEARCH(CompConta!$F$27,Tabla11[[#This Row],[Cuenta]],1))</f>
        <v>1</v>
      </c>
      <c r="BC69" t="b">
        <f>+ISNUMBER(SEARCH(CompConta!$F$28,Tabla11[[#This Row],[Cuenta]],1))</f>
        <v>1</v>
      </c>
      <c r="BD69" t="b">
        <f>+ISNUMBER(SEARCH(CompConta!$F$29,Tabla11[[#This Row],[Cuenta]],1))</f>
        <v>1</v>
      </c>
      <c r="BE69" t="b">
        <f>+ISNUMBER(SEARCH(CompConta!$F$30,Tabla11[[#This Row],[Cuenta]],1))</f>
        <v>1</v>
      </c>
      <c r="BF69" t="b">
        <f>+ISNUMBER(SEARCH('PAGO Compras'!$E$11,Tabla11[[#This Row],[Cuenta]],1))</f>
        <v>1</v>
      </c>
      <c r="BG69" t="b">
        <f>+ISNUMBER(SEARCH(#REF!,Tabla11[[#This Row],[Cuenta]],1))</f>
        <v>0</v>
      </c>
      <c r="BH69" t="b">
        <f>+ISNUMBER(SEARCH(#REF!,Tabla11[[#This Row],[Cuenta]],1))</f>
        <v>0</v>
      </c>
      <c r="BI69" t="b">
        <f>+ISNUMBER(SEARCH(#REF!,Tabla11[[#This Row],[Cuenta]],1))</f>
        <v>0</v>
      </c>
      <c r="BJ69" t="b">
        <f>+ISNUMBER(SEARCH(#REF!,Tabla11[[#This Row],[Cuenta]],1))</f>
        <v>0</v>
      </c>
      <c r="BS69" t="str">
        <v>1435 MERCANCÍAS NO FABRICADAS POR LA EMPRESA</v>
      </c>
      <c r="BT69" t="str">
        <v>1435 MERCANCÍAS NO FABRICADAS POR LA EMPRESA</v>
      </c>
      <c r="BU69" t="str">
        <v>1435 MERCANCÍAS NO FABRICADAS POR LA EMPRESA</v>
      </c>
      <c r="BV69" t="str">
        <v>1435 MERCANCÍAS NO FABRICADAS POR LA EMPRESA</v>
      </c>
      <c r="BZ69" t="str">
        <v>1435 MERCANCÍAS NO FABRICADAS POR LA EMPRESA</v>
      </c>
      <c r="CA69" t="str">
        <v>1435 MERCANCÍAS NO FABRICADAS POR LA EMPRESA</v>
      </c>
      <c r="CB69" t="str">
        <v>1435 MERCANCÍAS NO FABRICADAS POR LA EMPRESA</v>
      </c>
      <c r="CC69" t="str">
        <v>1435 MERCANCÍAS NO FABRICADAS POR LA EMPRESA</v>
      </c>
      <c r="CD69" t="str">
        <v>1435 MERCANCÍAS NO FABRICADAS POR LA EMPRESA</v>
      </c>
      <c r="CE69" t="str">
        <v>1435 MERCANCÍAS NO FABRICADAS POR LA EMPRESA</v>
      </c>
      <c r="CS69" s="141" t="str">
        <v>1435 MERCANCÍAS NO FABRICADAS POR LA EMPRESA</v>
      </c>
      <c r="CT69" s="141" t="str">
        <v>1435 MERCANCÍAS NO FABRICADAS POR LA EMPRESA</v>
      </c>
      <c r="CU69" s="141" t="str">
        <v>1435 MERCANCÍAS NO FABRICADAS POR LA EMPRESA</v>
      </c>
      <c r="CV69" s="141" t="str">
        <v>1435 MERCANCÍAS NO FABRICADAS POR LA EMPRESA</v>
      </c>
      <c r="CW69" s="141" t="str">
        <v>1435 MERCANCÍAS NO FABRICADAS POR LA EMPRESA</v>
      </c>
      <c r="CX69" s="141" t="str">
        <v>1435 MERCANCÍAS NO FABRICADAS POR LA EMPRESA</v>
      </c>
      <c r="CY69" s="141" t="str">
        <v>1435 MERCANCÍAS NO FABRICADAS POR LA EMPRESA</v>
      </c>
      <c r="CZ69" s="141" t="str">
        <v>1435 MERCANCÍAS NO FABRICADAS POR LA EMPRESA</v>
      </c>
      <c r="DA69" s="141" t="str">
        <v>1435 MERCANCÍAS NO FABRICADAS POR LA EMPRESA</v>
      </c>
      <c r="DF69" t="str">
        <v>1435 MERCANCÍAS NO FABRICADAS POR LA EMPRESA</v>
      </c>
      <c r="DG69" t="str">
        <v>1435 MERCANCÍAS NO FABRICADAS POR LA EMPRESA</v>
      </c>
      <c r="DH69" t="str">
        <v>1435 MERCANCÍAS NO FABRICADAS POR LA EMPRESA</v>
      </c>
      <c r="DI69" t="str">
        <v>1435 MERCANCÍAS NO FABRICADAS POR LA EMPRESA</v>
      </c>
      <c r="DJ69" t="str">
        <v>1435 MERCANCÍAS NO FABRICADAS POR LA EMPRESA</v>
      </c>
      <c r="DK69" t="str">
        <v>1435 MERCANCÍAS NO FABRICADAS POR LA EMPRESA</v>
      </c>
      <c r="DL69" t="str">
        <v>1435 MERCANCÍAS NO FABRICADAS POR LA EMPRESA</v>
      </c>
      <c r="DM69" t="str">
        <v>1435 MERCANCÍAS NO FABRICADAS POR LA EMPRESA</v>
      </c>
      <c r="DN69" t="str">
        <v>1435 MERCANCÍAS NO FABRICADAS POR LA EMPRESA</v>
      </c>
      <c r="DO69" t="str">
        <v>1435 MERCANCÍAS NO FABRICADAS POR LA EMPRESA</v>
      </c>
      <c r="DP69" t="str">
        <v>1435 MERCANCÍAS NO FABRICADAS POR LA EMPRESA</v>
      </c>
    </row>
    <row r="70" spans="4:120" ht="12.75">
      <c r="D70" s="7">
        <v>143505</v>
      </c>
      <c r="E70" s="6" t="s">
        <v>876</v>
      </c>
      <c r="F70" s="5">
        <v>4</v>
      </c>
      <c r="G70" s="35" t="s">
        <v>821</v>
      </c>
      <c r="H70" s="8" t="s">
        <v>764</v>
      </c>
      <c r="I70" t="b">
        <f>+ISNUMBER(SEARCH('F-COMPRA'!$F$28,Tabla11[[#This Row],[Cuenta]],1))</f>
        <v>1</v>
      </c>
      <c r="J70" t="b">
        <f>+ISNUMBER(SEARCH('F-COMPRA'!$F$29,Tabla11[[#This Row],[Cuenta]],1))</f>
        <v>1</v>
      </c>
      <c r="K70" t="b">
        <f>+ISNUMBER(SEARCH('F-COMPRA'!$F$30,Tabla11[[#This Row],[Cuenta]],1))</f>
        <v>1</v>
      </c>
      <c r="L70" t="b">
        <f>+ISNUMBER(SEARCH('F-COMPRA'!$F$31,Tabla11[[#This Row],[Cuenta]],1))</f>
        <v>1</v>
      </c>
      <c r="M70" t="b">
        <f>+ISNUMBER(SEARCH('F-COMPRA'!$G$25,Tabla11[[#This Row],[Cuenta]],1))</f>
        <v>0</v>
      </c>
      <c r="N70" t="b">
        <f>+ISNUMBER(SEARCH(#REF!,Tabla11[[#This Row],[Cuenta]],1))</f>
        <v>0</v>
      </c>
      <c r="O70" t="b">
        <f>+ISNUMBER(SEARCH(#REF!,Tabla11[[#This Row],[Cuenta]],1))</f>
        <v>0</v>
      </c>
      <c r="P70" t="b">
        <f>+ISNUMBER(SEARCH('F-COMPRA'!$F$32,Tabla11[[#This Row],[Cuenta]],1))</f>
        <v>1</v>
      </c>
      <c r="Q70" t="b">
        <f>+ISNUMBER(SEARCH('F-COMPRA'!$F$33,Tabla11[[#This Row],[Cuenta]],1))</f>
        <v>1</v>
      </c>
      <c r="R70" t="b">
        <f>+ISNUMBER(SEARCH('F-COMPRA'!$F$34,Tabla11[[#This Row],[Cuenta]],1))</f>
        <v>1</v>
      </c>
      <c r="S70" t="b">
        <f>+ISNUMBER(SEARCH('F-COMPRA'!$F$35,Tabla11[[#This Row],[Cuenta]],1))</f>
        <v>1</v>
      </c>
      <c r="T70" t="b">
        <f>+ISNUMBER(SEARCH('F-COMPRA'!$F$36,Tabla11[[#This Row],[Cuenta]],1))</f>
        <v>1</v>
      </c>
      <c r="U70" t="b">
        <f>+ISNUMBER(SEARCH('F-COMPRA'!$F$37,Tabla11[[#This Row],[Cuenta]],1))</f>
        <v>1</v>
      </c>
      <c r="V70" t="b">
        <f>+ISNUMBER(SEARCH(#REF!,Tabla11[[#This Row],[Cuenta]],1))</f>
        <v>0</v>
      </c>
      <c r="W70" t="b">
        <f>+ISNUMBER(SEARCH('F-COMPRA'!#REF!,Tabla11[[#This Row],[Cuenta]],1))</f>
        <v>0</v>
      </c>
      <c r="X70" t="b">
        <f>+ISNUMBER(SEARCH('F-COMPRA'!#REF!,Tabla11[[#This Row],[Cuenta]],1))</f>
        <v>0</v>
      </c>
      <c r="Y70" t="b">
        <f>+ISNUMBER(SEARCH('F-COMPRA'!#REF!,Tabla11[[#This Row],[Cuenta]],1))</f>
        <v>0</v>
      </c>
      <c r="Z70" t="b">
        <f>+ISNUMBER(SEARCH('F-COMPRA'!#REF!,Tabla11[[#This Row],[Cuenta]],1))</f>
        <v>0</v>
      </c>
      <c r="AA70" t="b">
        <f>+ISNUMBER(SEARCH('F-COMPRA'!#REF!,Tabla11[[#This Row],[Cuenta]],1))</f>
        <v>0</v>
      </c>
      <c r="AB70" t="b">
        <f>+ISNUMBER(SEARCH('F-COMPRA'!#REF!,Tabla11[[#This Row],[Cuenta]],1))</f>
        <v>0</v>
      </c>
      <c r="AC70" t="b">
        <f>+ISNUMBER(SEARCH('F-COMPRA'!#REF!,Tabla11[[#This Row],[Cuenta]],1))</f>
        <v>0</v>
      </c>
      <c r="AD70" t="b">
        <f>+ISNUMBER(SEARCH('F-COMPRA'!#REF!,Tabla11[[#This Row],[Cuenta]],1))</f>
        <v>0</v>
      </c>
      <c r="AE70" t="b">
        <f>+ISNUMBER(SEARCH('F-COMPRA'!#REF!,Tabla11[[#This Row],[Cuenta]],1))</f>
        <v>0</v>
      </c>
      <c r="AF70" t="b">
        <f>+ISNUMBER(SEARCH('F-VTA'!$G$23,Tabla11[[#This Row],[Cuenta]],1))</f>
        <v>0</v>
      </c>
      <c r="AG70" t="b">
        <f>+ISNUMBER(SEARCH('F-VTA'!$G$24,Tabla11[[#This Row],[Cuenta]],1))</f>
        <v>0</v>
      </c>
      <c r="AH70" t="b">
        <f>+ISNUMBER(SEARCH('F-VTA'!$G$25,Tabla11[[#This Row],[Cuenta]],1))</f>
        <v>0</v>
      </c>
      <c r="AI70" t="b">
        <f>+ISNUMBER(SEARCH('F-VTA'!$F$28,Tabla11[[#This Row],[Cuenta]],1))</f>
        <v>1</v>
      </c>
      <c r="AJ70" t="b">
        <f>+ISNUMBER(SEARCH('F-VTA'!$F$29,Tabla11[[#This Row],[Cuenta]],1))</f>
        <v>1</v>
      </c>
      <c r="AK70" t="b">
        <f>+ISNUMBER(SEARCH('F-VTA'!$F$30,Tabla11[[#This Row],[Cuenta]],1))</f>
        <v>1</v>
      </c>
      <c r="AL70" t="b">
        <f>+ISNUMBER(SEARCH('F-VTA'!$F$31,Tabla11[[#This Row],[Cuenta]],1))</f>
        <v>1</v>
      </c>
      <c r="AM70" t="b">
        <f>+ISNUMBER(SEARCH('F-VTA'!$F$32,Tabla11[[#This Row],[Cuenta]],1))</f>
        <v>1</v>
      </c>
      <c r="AN70" t="b">
        <f>+ISNUMBER(SEARCH('F-VTA'!$F$33,Tabla11[[#This Row],[Cuenta]],1))</f>
        <v>1</v>
      </c>
      <c r="AO70" t="b">
        <f>+ISNUMBER(SEARCH('F-VTA'!$F$34,Tabla11[[#This Row],[Cuenta]],1))</f>
        <v>1</v>
      </c>
      <c r="AP70" t="b">
        <f>+ISNUMBER(SEARCH('F-VTA'!$F$35,Tabla11[[#This Row],[Cuenta]],1))</f>
        <v>1</v>
      </c>
      <c r="AQ70" t="b">
        <f>+ISNUMBER(SEARCH('F-VTA'!$F$36,Tabla11[[#This Row],[Cuenta]],1))</f>
        <v>1</v>
      </c>
      <c r="AR70" t="b">
        <f>+ISNUMBER(SEARCH(#REF!,Tabla11[[#This Row],[Cuenta]],1))</f>
        <v>0</v>
      </c>
      <c r="AS70" t="b">
        <f>+ISNUMBER(SEARCH(#REF!,Tabla11[[#This Row],[Cuenta]],1))</f>
        <v>0</v>
      </c>
      <c r="AT70" t="b">
        <f>+ISNUMBER(SEARCH(#REF!,Tabla11[[#This Row],[Cuenta]],1))</f>
        <v>0</v>
      </c>
      <c r="AU70" t="b">
        <f>+ISNUMBER(SEARCH('Conc. Ban.1'!$I$9,Tabla11[[#This Row],[Cuenta]],1))</f>
        <v>0</v>
      </c>
      <c r="AV70" t="b">
        <f>+ISNUMBER(SEARCH(CompConta!$F$21,Tabla11[[#This Row],[Cuenta]],1))</f>
        <v>1</v>
      </c>
      <c r="AW70" t="b">
        <f>+ISNUMBER(SEARCH(CompConta!$F$22,Tabla11[[#This Row],[Cuenta]],1))</f>
        <v>1</v>
      </c>
      <c r="AX70" t="b">
        <f>+ISNUMBER(SEARCH(CompConta!$F$23,Tabla11[[#This Row],[Cuenta]],1))</f>
        <v>1</v>
      </c>
      <c r="AY70" t="b">
        <f>+ISNUMBER(SEARCH(CompConta!$F$24,Tabla11[[#This Row],[Cuenta]],1))</f>
        <v>1</v>
      </c>
      <c r="AZ70" t="b">
        <f>+ISNUMBER(SEARCH(CompConta!$F$25,Tabla11[[#This Row],[Cuenta]],1))</f>
        <v>1</v>
      </c>
      <c r="BA70" t="b">
        <f>+ISNUMBER(SEARCH(CompConta!$F$26,Tabla11[[#This Row],[Cuenta]],1))</f>
        <v>1</v>
      </c>
      <c r="BB70" t="b">
        <f>+ISNUMBER(SEARCH(CompConta!$F$27,Tabla11[[#This Row],[Cuenta]],1))</f>
        <v>1</v>
      </c>
      <c r="BC70" t="b">
        <f>+ISNUMBER(SEARCH(CompConta!$F$28,Tabla11[[#This Row],[Cuenta]],1))</f>
        <v>1</v>
      </c>
      <c r="BD70" t="b">
        <f>+ISNUMBER(SEARCH(CompConta!$F$29,Tabla11[[#This Row],[Cuenta]],1))</f>
        <v>1</v>
      </c>
      <c r="BE70" t="b">
        <f>+ISNUMBER(SEARCH(CompConta!$F$30,Tabla11[[#This Row],[Cuenta]],1))</f>
        <v>1</v>
      </c>
      <c r="BF70" t="b">
        <f>+ISNUMBER(SEARCH('PAGO Compras'!$E$11,Tabla11[[#This Row],[Cuenta]],1))</f>
        <v>1</v>
      </c>
      <c r="BG70" t="b">
        <f>+ISNUMBER(SEARCH(#REF!,Tabla11[[#This Row],[Cuenta]],1))</f>
        <v>0</v>
      </c>
      <c r="BH70" t="b">
        <f>+ISNUMBER(SEARCH(#REF!,Tabla11[[#This Row],[Cuenta]],1))</f>
        <v>0</v>
      </c>
      <c r="BI70" t="b">
        <f>+ISNUMBER(SEARCH(#REF!,Tabla11[[#This Row],[Cuenta]],1))</f>
        <v>0</v>
      </c>
      <c r="BJ70" t="b">
        <f>+ISNUMBER(SEARCH(#REF!,Tabla11[[#This Row],[Cuenta]],1))</f>
        <v>0</v>
      </c>
      <c r="BS70" t="str">
        <v>143505 MERCANCÍAS DETAL</v>
      </c>
      <c r="BT70" t="str">
        <v>143505 MERCANCÍAS DETAL</v>
      </c>
      <c r="BU70" t="str">
        <v>143505 MERCANCÍAS DETAL</v>
      </c>
      <c r="BV70" t="str">
        <v>143505 MERCANCÍAS DETAL</v>
      </c>
      <c r="BZ70" t="str">
        <v>143505 MERCANCÍAS DETAL</v>
      </c>
      <c r="CA70" t="str">
        <v>143505 MERCANCÍAS DETAL</v>
      </c>
      <c r="CB70" t="str">
        <v>143505 MERCANCÍAS DETAL</v>
      </c>
      <c r="CC70" t="str">
        <v>143505 MERCANCÍAS DETAL</v>
      </c>
      <c r="CD70" t="str">
        <v>143505 MERCANCÍAS DETAL</v>
      </c>
      <c r="CE70" t="str">
        <v>143505 MERCANCÍAS DETAL</v>
      </c>
      <c r="CS70" s="141" t="str">
        <v>143505 MERCANCÍAS DETAL</v>
      </c>
      <c r="CT70" s="141" t="str">
        <v>143505 MERCANCÍAS DETAL</v>
      </c>
      <c r="CU70" s="141" t="str">
        <v>143505 MERCANCÍAS DETAL</v>
      </c>
      <c r="CV70" s="141" t="str">
        <v>143505 MERCANCÍAS DETAL</v>
      </c>
      <c r="CW70" s="141" t="str">
        <v>143505 MERCANCÍAS DETAL</v>
      </c>
      <c r="CX70" s="141" t="str">
        <v>143505 MERCANCÍAS DETAL</v>
      </c>
      <c r="CY70" s="141" t="str">
        <v>143505 MERCANCÍAS DETAL</v>
      </c>
      <c r="CZ70" s="141" t="str">
        <v>143505 MERCANCÍAS DETAL</v>
      </c>
      <c r="DA70" s="141" t="str">
        <v>143505 MERCANCÍAS DETAL</v>
      </c>
      <c r="DF70" t="str">
        <v>143505 MERCANCÍAS DETAL</v>
      </c>
      <c r="DG70" t="str">
        <v>143505 MERCANCÍAS DETAL</v>
      </c>
      <c r="DH70" t="str">
        <v>143505 MERCANCÍAS DETAL</v>
      </c>
      <c r="DI70" t="str">
        <v>143505 MERCANCÍAS DETAL</v>
      </c>
      <c r="DJ70" t="str">
        <v>143505 MERCANCÍAS DETAL</v>
      </c>
      <c r="DK70" t="str">
        <v>143505 MERCANCÍAS DETAL</v>
      </c>
      <c r="DL70" t="str">
        <v>143505 MERCANCÍAS DETAL</v>
      </c>
      <c r="DM70" t="str">
        <v>143505 MERCANCÍAS DETAL</v>
      </c>
      <c r="DN70" t="str">
        <v>143505 MERCANCÍAS DETAL</v>
      </c>
      <c r="DO70" t="str">
        <v>143505 MERCANCÍAS DETAL</v>
      </c>
      <c r="DP70" t="str">
        <v>143505 MERCANCÍAS DETAL</v>
      </c>
    </row>
    <row r="71" spans="4:120" ht="12.75">
      <c r="D71" s="7">
        <v>143599</v>
      </c>
      <c r="E71" s="6" t="s">
        <v>93</v>
      </c>
      <c r="F71" s="5">
        <v>4</v>
      </c>
      <c r="G71" s="34" t="s">
        <v>821</v>
      </c>
      <c r="H71" s="8" t="s">
        <v>32</v>
      </c>
      <c r="I71" t="b">
        <f>+ISNUMBER(SEARCH('F-COMPRA'!$F$28,Tabla11[[#This Row],[Cuenta]],1))</f>
        <v>1</v>
      </c>
      <c r="J71" t="b">
        <f>+ISNUMBER(SEARCH('F-COMPRA'!$F$29,Tabla11[[#This Row],[Cuenta]],1))</f>
        <v>1</v>
      </c>
      <c r="K71" t="b">
        <f>+ISNUMBER(SEARCH('F-COMPRA'!$F$30,Tabla11[[#This Row],[Cuenta]],1))</f>
        <v>1</v>
      </c>
      <c r="L71" t="b">
        <f>+ISNUMBER(SEARCH('F-COMPRA'!$F$31,Tabla11[[#This Row],[Cuenta]],1))</f>
        <v>1</v>
      </c>
      <c r="M71" t="b">
        <f>+ISNUMBER(SEARCH('F-COMPRA'!$G$25,Tabla11[[#This Row],[Cuenta]],1))</f>
        <v>0</v>
      </c>
      <c r="N71" t="b">
        <f>+ISNUMBER(SEARCH(#REF!,Tabla11[[#This Row],[Cuenta]],1))</f>
        <v>0</v>
      </c>
      <c r="O71" t="b">
        <f>+ISNUMBER(SEARCH(#REF!,Tabla11[[#This Row],[Cuenta]],1))</f>
        <v>0</v>
      </c>
      <c r="P71" t="b">
        <f>+ISNUMBER(SEARCH('F-COMPRA'!$F$32,Tabla11[[#This Row],[Cuenta]],1))</f>
        <v>1</v>
      </c>
      <c r="Q71" t="b">
        <f>+ISNUMBER(SEARCH('F-COMPRA'!$F$33,Tabla11[[#This Row],[Cuenta]],1))</f>
        <v>1</v>
      </c>
      <c r="R71" t="b">
        <f>+ISNUMBER(SEARCH('F-COMPRA'!$F$34,Tabla11[[#This Row],[Cuenta]],1))</f>
        <v>1</v>
      </c>
      <c r="S71" t="b">
        <f>+ISNUMBER(SEARCH('F-COMPRA'!$F$35,Tabla11[[#This Row],[Cuenta]],1))</f>
        <v>1</v>
      </c>
      <c r="T71" t="b">
        <f>+ISNUMBER(SEARCH('F-COMPRA'!$F$36,Tabla11[[#This Row],[Cuenta]],1))</f>
        <v>1</v>
      </c>
      <c r="U71" t="b">
        <f>+ISNUMBER(SEARCH('F-COMPRA'!$F$37,Tabla11[[#This Row],[Cuenta]],1))</f>
        <v>1</v>
      </c>
      <c r="V71" t="b">
        <f>+ISNUMBER(SEARCH(#REF!,Tabla11[[#This Row],[Cuenta]],1))</f>
        <v>0</v>
      </c>
      <c r="W71" t="b">
        <f>+ISNUMBER(SEARCH('F-COMPRA'!#REF!,Tabla11[[#This Row],[Cuenta]],1))</f>
        <v>0</v>
      </c>
      <c r="X71" t="b">
        <f>+ISNUMBER(SEARCH('F-COMPRA'!#REF!,Tabla11[[#This Row],[Cuenta]],1))</f>
        <v>0</v>
      </c>
      <c r="Y71" t="b">
        <f>+ISNUMBER(SEARCH('F-COMPRA'!#REF!,Tabla11[[#This Row],[Cuenta]],1))</f>
        <v>0</v>
      </c>
      <c r="Z71" t="b">
        <f>+ISNUMBER(SEARCH('F-COMPRA'!#REF!,Tabla11[[#This Row],[Cuenta]],1))</f>
        <v>0</v>
      </c>
      <c r="AA71" t="b">
        <f>+ISNUMBER(SEARCH('F-COMPRA'!#REF!,Tabla11[[#This Row],[Cuenta]],1))</f>
        <v>0</v>
      </c>
      <c r="AB71" t="b">
        <f>+ISNUMBER(SEARCH('F-COMPRA'!#REF!,Tabla11[[#This Row],[Cuenta]],1))</f>
        <v>0</v>
      </c>
      <c r="AC71" t="b">
        <f>+ISNUMBER(SEARCH('F-COMPRA'!#REF!,Tabla11[[#This Row],[Cuenta]],1))</f>
        <v>0</v>
      </c>
      <c r="AD71" t="b">
        <f>+ISNUMBER(SEARCH('F-COMPRA'!#REF!,Tabla11[[#This Row],[Cuenta]],1))</f>
        <v>0</v>
      </c>
      <c r="AE71" t="b">
        <f>+ISNUMBER(SEARCH('F-COMPRA'!#REF!,Tabla11[[#This Row],[Cuenta]],1))</f>
        <v>0</v>
      </c>
      <c r="AF71" t="b">
        <f>+ISNUMBER(SEARCH('F-VTA'!$G$23,Tabla11[[#This Row],[Cuenta]],1))</f>
        <v>0</v>
      </c>
      <c r="AG71" t="b">
        <f>+ISNUMBER(SEARCH('F-VTA'!$G$24,Tabla11[[#This Row],[Cuenta]],1))</f>
        <v>0</v>
      </c>
      <c r="AH71" t="b">
        <f>+ISNUMBER(SEARCH('F-VTA'!$G$25,Tabla11[[#This Row],[Cuenta]],1))</f>
        <v>0</v>
      </c>
      <c r="AI71" t="b">
        <f>+ISNUMBER(SEARCH('F-VTA'!$F$28,Tabla11[[#This Row],[Cuenta]],1))</f>
        <v>1</v>
      </c>
      <c r="AJ71" t="b">
        <f>+ISNUMBER(SEARCH('F-VTA'!$F$29,Tabla11[[#This Row],[Cuenta]],1))</f>
        <v>1</v>
      </c>
      <c r="AK71" t="b">
        <f>+ISNUMBER(SEARCH('F-VTA'!$F$30,Tabla11[[#This Row],[Cuenta]],1))</f>
        <v>1</v>
      </c>
      <c r="AL71" t="b">
        <f>+ISNUMBER(SEARCH('F-VTA'!$F$31,Tabla11[[#This Row],[Cuenta]],1))</f>
        <v>1</v>
      </c>
      <c r="AM71" t="b">
        <f>+ISNUMBER(SEARCH('F-VTA'!$F$32,Tabla11[[#This Row],[Cuenta]],1))</f>
        <v>1</v>
      </c>
      <c r="AN71" t="b">
        <f>+ISNUMBER(SEARCH('F-VTA'!$F$33,Tabla11[[#This Row],[Cuenta]],1))</f>
        <v>1</v>
      </c>
      <c r="AO71" t="b">
        <f>+ISNUMBER(SEARCH('F-VTA'!$F$34,Tabla11[[#This Row],[Cuenta]],1))</f>
        <v>1</v>
      </c>
      <c r="AP71" t="b">
        <f>+ISNUMBER(SEARCH('F-VTA'!$F$35,Tabla11[[#This Row],[Cuenta]],1))</f>
        <v>1</v>
      </c>
      <c r="AQ71" t="b">
        <f>+ISNUMBER(SEARCH('F-VTA'!$F$36,Tabla11[[#This Row],[Cuenta]],1))</f>
        <v>1</v>
      </c>
      <c r="AR71" t="b">
        <f>+ISNUMBER(SEARCH(#REF!,Tabla11[[#This Row],[Cuenta]],1))</f>
        <v>0</v>
      </c>
      <c r="AS71" t="b">
        <f>+ISNUMBER(SEARCH(#REF!,Tabla11[[#This Row],[Cuenta]],1))</f>
        <v>0</v>
      </c>
      <c r="AT71" t="b">
        <f>+ISNUMBER(SEARCH(#REF!,Tabla11[[#This Row],[Cuenta]],1))</f>
        <v>0</v>
      </c>
      <c r="AU71" t="b">
        <f>+ISNUMBER(SEARCH('Conc. Ban.1'!$I$9,Tabla11[[#This Row],[Cuenta]],1))</f>
        <v>0</v>
      </c>
      <c r="AV71" t="b">
        <f>+ISNUMBER(SEARCH(CompConta!$F$21,Tabla11[[#This Row],[Cuenta]],1))</f>
        <v>1</v>
      </c>
      <c r="AW71" t="b">
        <f>+ISNUMBER(SEARCH(CompConta!$F$22,Tabla11[[#This Row],[Cuenta]],1))</f>
        <v>1</v>
      </c>
      <c r="AX71" t="b">
        <f>+ISNUMBER(SEARCH(CompConta!$F$23,Tabla11[[#This Row],[Cuenta]],1))</f>
        <v>1</v>
      </c>
      <c r="AY71" t="b">
        <f>+ISNUMBER(SEARCH(CompConta!$F$24,Tabla11[[#This Row],[Cuenta]],1))</f>
        <v>1</v>
      </c>
      <c r="AZ71" t="b">
        <f>+ISNUMBER(SEARCH(CompConta!$F$25,Tabla11[[#This Row],[Cuenta]],1))</f>
        <v>1</v>
      </c>
      <c r="BA71" t="b">
        <f>+ISNUMBER(SEARCH(CompConta!$F$26,Tabla11[[#This Row],[Cuenta]],1))</f>
        <v>1</v>
      </c>
      <c r="BB71" t="b">
        <f>+ISNUMBER(SEARCH(CompConta!$F$27,Tabla11[[#This Row],[Cuenta]],1))</f>
        <v>1</v>
      </c>
      <c r="BC71" t="b">
        <f>+ISNUMBER(SEARCH(CompConta!$F$28,Tabla11[[#This Row],[Cuenta]],1))</f>
        <v>1</v>
      </c>
      <c r="BD71" t="b">
        <f>+ISNUMBER(SEARCH(CompConta!$F$29,Tabla11[[#This Row],[Cuenta]],1))</f>
        <v>1</v>
      </c>
      <c r="BE71" t="b">
        <f>+ISNUMBER(SEARCH(CompConta!$F$30,Tabla11[[#This Row],[Cuenta]],1))</f>
        <v>1</v>
      </c>
      <c r="BF71" t="b">
        <f>+ISNUMBER(SEARCH('PAGO Compras'!$E$11,Tabla11[[#This Row],[Cuenta]],1))</f>
        <v>1</v>
      </c>
      <c r="BG71" t="b">
        <f>+ISNUMBER(SEARCH(#REF!,Tabla11[[#This Row],[Cuenta]],1))</f>
        <v>0</v>
      </c>
      <c r="BH71" t="b">
        <f>+ISNUMBER(SEARCH(#REF!,Tabla11[[#This Row],[Cuenta]],1))</f>
        <v>0</v>
      </c>
      <c r="BI71" t="b">
        <f>+ISNUMBER(SEARCH(#REF!,Tabla11[[#This Row],[Cuenta]],1))</f>
        <v>0</v>
      </c>
      <c r="BJ71" t="b">
        <f>+ISNUMBER(SEARCH(#REF!,Tabla11[[#This Row],[Cuenta]],1))</f>
        <v>0</v>
      </c>
      <c r="BS71" t="str">
        <v>143599 *Ajustes por inflación</v>
      </c>
      <c r="BT71" t="str">
        <v>143599 *Ajustes por inflación</v>
      </c>
      <c r="BU71" t="str">
        <v>143599 *Ajustes por inflación</v>
      </c>
      <c r="BV71" t="str">
        <v>143599 *Ajustes por inflación</v>
      </c>
      <c r="BZ71" t="str">
        <v>143599 *Ajustes por inflación</v>
      </c>
      <c r="CA71" t="str">
        <v>143599 *Ajustes por inflación</v>
      </c>
      <c r="CB71" t="str">
        <v>143599 *Ajustes por inflación</v>
      </c>
      <c r="CC71" t="str">
        <v>143599 *Ajustes por inflación</v>
      </c>
      <c r="CD71" t="str">
        <v>143599 *Ajustes por inflación</v>
      </c>
      <c r="CE71" t="str">
        <v>143599 *Ajustes por inflación</v>
      </c>
      <c r="CS71" s="141" t="str">
        <v>143599 *Ajustes por inflación</v>
      </c>
      <c r="CT71" s="141" t="str">
        <v>143599 *Ajustes por inflación</v>
      </c>
      <c r="CU71" s="141" t="str">
        <v>143599 *Ajustes por inflación</v>
      </c>
      <c r="CV71" s="141" t="str">
        <v>143599 *Ajustes por inflación</v>
      </c>
      <c r="CW71" s="141" t="str">
        <v>143599 *Ajustes por inflación</v>
      </c>
      <c r="CX71" s="141" t="str">
        <v>143599 *Ajustes por inflación</v>
      </c>
      <c r="CY71" s="141" t="str">
        <v>143599 *Ajustes por inflación</v>
      </c>
      <c r="CZ71" s="141" t="str">
        <v>143599 *Ajustes por inflación</v>
      </c>
      <c r="DA71" s="141" t="str">
        <v>143599 *Ajustes por inflación</v>
      </c>
      <c r="DF71" t="str">
        <v>143599 *Ajustes por inflación</v>
      </c>
      <c r="DG71" t="str">
        <v>143599 *Ajustes por inflación</v>
      </c>
      <c r="DH71" t="str">
        <v>143599 *Ajustes por inflación</v>
      </c>
      <c r="DI71" t="str">
        <v>143599 *Ajustes por inflación</v>
      </c>
      <c r="DJ71" t="str">
        <v>143599 *Ajustes por inflación</v>
      </c>
      <c r="DK71" t="str">
        <v>143599 *Ajustes por inflación</v>
      </c>
      <c r="DL71" t="str">
        <v>143599 *Ajustes por inflación</v>
      </c>
      <c r="DM71" t="str">
        <v>143599 *Ajustes por inflación</v>
      </c>
      <c r="DN71" t="str">
        <v>143599 *Ajustes por inflación</v>
      </c>
      <c r="DO71" t="str">
        <v>143599 *Ajustes por inflación</v>
      </c>
      <c r="DP71" t="str">
        <v>143599 *Ajustes por inflación</v>
      </c>
    </row>
    <row r="72" spans="4:120" ht="12.75">
      <c r="D72" s="7">
        <v>1445</v>
      </c>
      <c r="E72" s="6" t="s">
        <v>102</v>
      </c>
      <c r="F72" s="5">
        <v>3</v>
      </c>
      <c r="G72" s="34" t="s">
        <v>821</v>
      </c>
      <c r="H72" s="8" t="s">
        <v>32</v>
      </c>
      <c r="I72" t="b">
        <f>+ISNUMBER(SEARCH('F-COMPRA'!$F$28,Tabla11[[#This Row],[Cuenta]],1))</f>
        <v>1</v>
      </c>
      <c r="J72" t="b">
        <f>+ISNUMBER(SEARCH('F-COMPRA'!$F$29,Tabla11[[#This Row],[Cuenta]],1))</f>
        <v>1</v>
      </c>
      <c r="K72" t="b">
        <f>+ISNUMBER(SEARCH('F-COMPRA'!$F$30,Tabla11[[#This Row],[Cuenta]],1))</f>
        <v>1</v>
      </c>
      <c r="L72" t="b">
        <f>+ISNUMBER(SEARCH('F-COMPRA'!$F$31,Tabla11[[#This Row],[Cuenta]],1))</f>
        <v>1</v>
      </c>
      <c r="M72" t="b">
        <f>+ISNUMBER(SEARCH('F-COMPRA'!$G$25,Tabla11[[#This Row],[Cuenta]],1))</f>
        <v>0</v>
      </c>
      <c r="N72" t="b">
        <f>+ISNUMBER(SEARCH(#REF!,Tabla11[[#This Row],[Cuenta]],1))</f>
        <v>0</v>
      </c>
      <c r="O72" t="b">
        <f>+ISNUMBER(SEARCH(#REF!,Tabla11[[#This Row],[Cuenta]],1))</f>
        <v>0</v>
      </c>
      <c r="P72" t="b">
        <f>+ISNUMBER(SEARCH('F-COMPRA'!$F$32,Tabla11[[#This Row],[Cuenta]],1))</f>
        <v>1</v>
      </c>
      <c r="Q72" t="b">
        <f>+ISNUMBER(SEARCH('F-COMPRA'!$F$33,Tabla11[[#This Row],[Cuenta]],1))</f>
        <v>1</v>
      </c>
      <c r="R72" t="b">
        <f>+ISNUMBER(SEARCH('F-COMPRA'!$F$34,Tabla11[[#This Row],[Cuenta]],1))</f>
        <v>1</v>
      </c>
      <c r="S72" t="b">
        <f>+ISNUMBER(SEARCH('F-COMPRA'!$F$35,Tabla11[[#This Row],[Cuenta]],1))</f>
        <v>1</v>
      </c>
      <c r="T72" t="b">
        <f>+ISNUMBER(SEARCH('F-COMPRA'!$F$36,Tabla11[[#This Row],[Cuenta]],1))</f>
        <v>1</v>
      </c>
      <c r="U72" t="b">
        <f>+ISNUMBER(SEARCH('F-COMPRA'!$F$37,Tabla11[[#This Row],[Cuenta]],1))</f>
        <v>1</v>
      </c>
      <c r="V72" t="b">
        <f>+ISNUMBER(SEARCH(#REF!,Tabla11[[#This Row],[Cuenta]],1))</f>
        <v>0</v>
      </c>
      <c r="W72" t="b">
        <f>+ISNUMBER(SEARCH('F-COMPRA'!#REF!,Tabla11[[#This Row],[Cuenta]],1))</f>
        <v>0</v>
      </c>
      <c r="X72" t="b">
        <f>+ISNUMBER(SEARCH('F-COMPRA'!#REF!,Tabla11[[#This Row],[Cuenta]],1))</f>
        <v>0</v>
      </c>
      <c r="Y72" t="b">
        <f>+ISNUMBER(SEARCH('F-COMPRA'!#REF!,Tabla11[[#This Row],[Cuenta]],1))</f>
        <v>0</v>
      </c>
      <c r="Z72" t="b">
        <f>+ISNUMBER(SEARCH('F-COMPRA'!#REF!,Tabla11[[#This Row],[Cuenta]],1))</f>
        <v>0</v>
      </c>
      <c r="AA72" t="b">
        <f>+ISNUMBER(SEARCH('F-COMPRA'!#REF!,Tabla11[[#This Row],[Cuenta]],1))</f>
        <v>0</v>
      </c>
      <c r="AB72" t="b">
        <f>+ISNUMBER(SEARCH('F-COMPRA'!#REF!,Tabla11[[#This Row],[Cuenta]],1))</f>
        <v>0</v>
      </c>
      <c r="AC72" t="b">
        <f>+ISNUMBER(SEARCH('F-COMPRA'!#REF!,Tabla11[[#This Row],[Cuenta]],1))</f>
        <v>0</v>
      </c>
      <c r="AD72" t="b">
        <f>+ISNUMBER(SEARCH('F-COMPRA'!#REF!,Tabla11[[#This Row],[Cuenta]],1))</f>
        <v>0</v>
      </c>
      <c r="AE72" t="b">
        <f>+ISNUMBER(SEARCH('F-COMPRA'!#REF!,Tabla11[[#This Row],[Cuenta]],1))</f>
        <v>0</v>
      </c>
      <c r="AF72" t="b">
        <f>+ISNUMBER(SEARCH('F-VTA'!$G$23,Tabla11[[#This Row],[Cuenta]],1))</f>
        <v>0</v>
      </c>
      <c r="AG72" t="b">
        <f>+ISNUMBER(SEARCH('F-VTA'!$G$24,Tabla11[[#This Row],[Cuenta]],1))</f>
        <v>0</v>
      </c>
      <c r="AH72" t="b">
        <f>+ISNUMBER(SEARCH('F-VTA'!$G$25,Tabla11[[#This Row],[Cuenta]],1))</f>
        <v>0</v>
      </c>
      <c r="AI72" t="b">
        <f>+ISNUMBER(SEARCH('F-VTA'!$F$28,Tabla11[[#This Row],[Cuenta]],1))</f>
        <v>1</v>
      </c>
      <c r="AJ72" t="b">
        <f>+ISNUMBER(SEARCH('F-VTA'!$F$29,Tabla11[[#This Row],[Cuenta]],1))</f>
        <v>1</v>
      </c>
      <c r="AK72" t="b">
        <f>+ISNUMBER(SEARCH('F-VTA'!$F$30,Tabla11[[#This Row],[Cuenta]],1))</f>
        <v>1</v>
      </c>
      <c r="AL72" t="b">
        <f>+ISNUMBER(SEARCH('F-VTA'!$F$31,Tabla11[[#This Row],[Cuenta]],1))</f>
        <v>1</v>
      </c>
      <c r="AM72" t="b">
        <f>+ISNUMBER(SEARCH('F-VTA'!$F$32,Tabla11[[#This Row],[Cuenta]],1))</f>
        <v>1</v>
      </c>
      <c r="AN72" t="b">
        <f>+ISNUMBER(SEARCH('F-VTA'!$F$33,Tabla11[[#This Row],[Cuenta]],1))</f>
        <v>1</v>
      </c>
      <c r="AO72" t="b">
        <f>+ISNUMBER(SEARCH('F-VTA'!$F$34,Tabla11[[#This Row],[Cuenta]],1))</f>
        <v>1</v>
      </c>
      <c r="AP72" t="b">
        <f>+ISNUMBER(SEARCH('F-VTA'!$F$35,Tabla11[[#This Row],[Cuenta]],1))</f>
        <v>1</v>
      </c>
      <c r="AQ72" t="b">
        <f>+ISNUMBER(SEARCH('F-VTA'!$F$36,Tabla11[[#This Row],[Cuenta]],1))</f>
        <v>1</v>
      </c>
      <c r="AR72" t="b">
        <f>+ISNUMBER(SEARCH(#REF!,Tabla11[[#This Row],[Cuenta]],1))</f>
        <v>0</v>
      </c>
      <c r="AS72" t="b">
        <f>+ISNUMBER(SEARCH(#REF!,Tabla11[[#This Row],[Cuenta]],1))</f>
        <v>0</v>
      </c>
      <c r="AT72" t="b">
        <f>+ISNUMBER(SEARCH(#REF!,Tabla11[[#This Row],[Cuenta]],1))</f>
        <v>0</v>
      </c>
      <c r="AU72" t="b">
        <f>+ISNUMBER(SEARCH('Conc. Ban.1'!$I$9,Tabla11[[#This Row],[Cuenta]],1))</f>
        <v>0</v>
      </c>
      <c r="AV72" t="b">
        <f>+ISNUMBER(SEARCH(CompConta!$F$21,Tabla11[[#This Row],[Cuenta]],1))</f>
        <v>1</v>
      </c>
      <c r="AW72" t="b">
        <f>+ISNUMBER(SEARCH(CompConta!$F$22,Tabla11[[#This Row],[Cuenta]],1))</f>
        <v>1</v>
      </c>
      <c r="AX72" t="b">
        <f>+ISNUMBER(SEARCH(CompConta!$F$23,Tabla11[[#This Row],[Cuenta]],1))</f>
        <v>1</v>
      </c>
      <c r="AY72" t="b">
        <f>+ISNUMBER(SEARCH(CompConta!$F$24,Tabla11[[#This Row],[Cuenta]],1))</f>
        <v>1</v>
      </c>
      <c r="AZ72" t="b">
        <f>+ISNUMBER(SEARCH(CompConta!$F$25,Tabla11[[#This Row],[Cuenta]],1))</f>
        <v>1</v>
      </c>
      <c r="BA72" t="b">
        <f>+ISNUMBER(SEARCH(CompConta!$F$26,Tabla11[[#This Row],[Cuenta]],1))</f>
        <v>1</v>
      </c>
      <c r="BB72" t="b">
        <f>+ISNUMBER(SEARCH(CompConta!$F$27,Tabla11[[#This Row],[Cuenta]],1))</f>
        <v>1</v>
      </c>
      <c r="BC72" t="b">
        <f>+ISNUMBER(SEARCH(CompConta!$F$28,Tabla11[[#This Row],[Cuenta]],1))</f>
        <v>1</v>
      </c>
      <c r="BD72" t="b">
        <f>+ISNUMBER(SEARCH(CompConta!$F$29,Tabla11[[#This Row],[Cuenta]],1))</f>
        <v>1</v>
      </c>
      <c r="BE72" t="b">
        <f>+ISNUMBER(SEARCH(CompConta!$F$30,Tabla11[[#This Row],[Cuenta]],1))</f>
        <v>1</v>
      </c>
      <c r="BF72" t="b">
        <f>+ISNUMBER(SEARCH('PAGO Compras'!$E$11,Tabla11[[#This Row],[Cuenta]],1))</f>
        <v>1</v>
      </c>
      <c r="BG72" t="b">
        <f>+ISNUMBER(SEARCH(#REF!,Tabla11[[#This Row],[Cuenta]],1))</f>
        <v>0</v>
      </c>
      <c r="BH72" t="b">
        <f>+ISNUMBER(SEARCH(#REF!,Tabla11[[#This Row],[Cuenta]],1))</f>
        <v>0</v>
      </c>
      <c r="BI72" t="b">
        <f>+ISNUMBER(SEARCH(#REF!,Tabla11[[#This Row],[Cuenta]],1))</f>
        <v>0</v>
      </c>
      <c r="BJ72" t="b">
        <f>+ISNUMBER(SEARCH(#REF!,Tabla11[[#This Row],[Cuenta]],1))</f>
        <v>0</v>
      </c>
      <c r="BS72" t="str">
        <v>1445 SEMOVIENTES</v>
      </c>
      <c r="BT72" t="str">
        <v>1445 SEMOVIENTES</v>
      </c>
      <c r="BU72" t="str">
        <v>1445 SEMOVIENTES</v>
      </c>
      <c r="BV72" t="str">
        <v>1445 SEMOVIENTES</v>
      </c>
      <c r="BZ72" t="str">
        <v>1445 SEMOVIENTES</v>
      </c>
      <c r="CA72" t="str">
        <v>1445 SEMOVIENTES</v>
      </c>
      <c r="CB72" t="str">
        <v>1445 SEMOVIENTES</v>
      </c>
      <c r="CC72" t="str">
        <v>1445 SEMOVIENTES</v>
      </c>
      <c r="CD72" t="str">
        <v>1445 SEMOVIENTES</v>
      </c>
      <c r="CE72" t="str">
        <v>1445 SEMOVIENTES</v>
      </c>
      <c r="CS72" s="141" t="str">
        <v>1445 SEMOVIENTES</v>
      </c>
      <c r="CT72" s="141" t="str">
        <v>1445 SEMOVIENTES</v>
      </c>
      <c r="CU72" s="141" t="str">
        <v>1445 SEMOVIENTES</v>
      </c>
      <c r="CV72" s="141" t="str">
        <v>1445 SEMOVIENTES</v>
      </c>
      <c r="CW72" s="141" t="str">
        <v>1445 SEMOVIENTES</v>
      </c>
      <c r="CX72" s="141" t="str">
        <v>1445 SEMOVIENTES</v>
      </c>
      <c r="CY72" s="141" t="str">
        <v>1445 SEMOVIENTES</v>
      </c>
      <c r="CZ72" s="141" t="str">
        <v>1445 SEMOVIENTES</v>
      </c>
      <c r="DA72" s="141" t="str">
        <v>1445 SEMOVIENTES</v>
      </c>
      <c r="DF72" t="str">
        <v>1445 SEMOVIENTES</v>
      </c>
      <c r="DG72" t="str">
        <v>1445 SEMOVIENTES</v>
      </c>
      <c r="DH72" t="str">
        <v>1445 SEMOVIENTES</v>
      </c>
      <c r="DI72" t="str">
        <v>1445 SEMOVIENTES</v>
      </c>
      <c r="DJ72" t="str">
        <v>1445 SEMOVIENTES</v>
      </c>
      <c r="DK72" t="str">
        <v>1445 SEMOVIENTES</v>
      </c>
      <c r="DL72" t="str">
        <v>1445 SEMOVIENTES</v>
      </c>
      <c r="DM72" t="str">
        <v>1445 SEMOVIENTES</v>
      </c>
      <c r="DN72" t="str">
        <v>1445 SEMOVIENTES</v>
      </c>
      <c r="DO72" t="str">
        <v>1445 SEMOVIENTES</v>
      </c>
      <c r="DP72" t="str">
        <v>1445 SEMOVIENTES</v>
      </c>
    </row>
    <row r="73" spans="4:120" ht="12.75">
      <c r="D73" s="7">
        <v>144505</v>
      </c>
      <c r="E73" s="6" t="s">
        <v>673</v>
      </c>
      <c r="F73" s="5"/>
      <c r="G73" s="34" t="s">
        <v>821</v>
      </c>
      <c r="H73" s="8"/>
      <c r="I73" t="b">
        <f>+ISNUMBER(SEARCH('F-COMPRA'!$F$28,Tabla11[[#This Row],[Cuenta]],1))</f>
        <v>1</v>
      </c>
      <c r="J73" t="b">
        <f>+ISNUMBER(SEARCH('F-COMPRA'!$F$29,Tabla11[[#This Row],[Cuenta]],1))</f>
        <v>1</v>
      </c>
      <c r="K73" t="b">
        <f>+ISNUMBER(SEARCH('F-COMPRA'!$F$30,Tabla11[[#This Row],[Cuenta]],1))</f>
        <v>1</v>
      </c>
      <c r="L73" t="b">
        <f>+ISNUMBER(SEARCH('F-COMPRA'!$F$31,Tabla11[[#This Row],[Cuenta]],1))</f>
        <v>1</v>
      </c>
      <c r="M73" t="b">
        <f>+ISNUMBER(SEARCH('F-COMPRA'!$G$25,Tabla11[[#This Row],[Cuenta]],1))</f>
        <v>0</v>
      </c>
      <c r="N73" t="b">
        <f>+ISNUMBER(SEARCH(#REF!,Tabla11[[#This Row],[Cuenta]],1))</f>
        <v>0</v>
      </c>
      <c r="O73" t="b">
        <f>+ISNUMBER(SEARCH(#REF!,Tabla11[[#This Row],[Cuenta]],1))</f>
        <v>0</v>
      </c>
      <c r="P73" t="b">
        <f>+ISNUMBER(SEARCH('F-COMPRA'!$F$32,Tabla11[[#This Row],[Cuenta]],1))</f>
        <v>1</v>
      </c>
      <c r="Q73" t="b">
        <f>+ISNUMBER(SEARCH('F-COMPRA'!$F$33,Tabla11[[#This Row],[Cuenta]],1))</f>
        <v>1</v>
      </c>
      <c r="R73" t="b">
        <f>+ISNUMBER(SEARCH('F-COMPRA'!$F$34,Tabla11[[#This Row],[Cuenta]],1))</f>
        <v>1</v>
      </c>
      <c r="S73" t="b">
        <f>+ISNUMBER(SEARCH('F-COMPRA'!$F$35,Tabla11[[#This Row],[Cuenta]],1))</f>
        <v>1</v>
      </c>
      <c r="T73" t="b">
        <f>+ISNUMBER(SEARCH('F-COMPRA'!$F$36,Tabla11[[#This Row],[Cuenta]],1))</f>
        <v>1</v>
      </c>
      <c r="U73" t="b">
        <f>+ISNUMBER(SEARCH('F-COMPRA'!$F$37,Tabla11[[#This Row],[Cuenta]],1))</f>
        <v>1</v>
      </c>
      <c r="V73" t="b">
        <f>+ISNUMBER(SEARCH(#REF!,Tabla11[[#This Row],[Cuenta]],1))</f>
        <v>0</v>
      </c>
      <c r="W73" t="b">
        <f>+ISNUMBER(SEARCH('F-COMPRA'!#REF!,Tabla11[[#This Row],[Cuenta]],1))</f>
        <v>0</v>
      </c>
      <c r="X73" t="b">
        <f>+ISNUMBER(SEARCH('F-COMPRA'!#REF!,Tabla11[[#This Row],[Cuenta]],1))</f>
        <v>0</v>
      </c>
      <c r="Y73" t="b">
        <f>+ISNUMBER(SEARCH('F-COMPRA'!#REF!,Tabla11[[#This Row],[Cuenta]],1))</f>
        <v>0</v>
      </c>
      <c r="Z73" t="b">
        <f>+ISNUMBER(SEARCH('F-COMPRA'!#REF!,Tabla11[[#This Row],[Cuenta]],1))</f>
        <v>0</v>
      </c>
      <c r="AA73" t="b">
        <f>+ISNUMBER(SEARCH('F-COMPRA'!#REF!,Tabla11[[#This Row],[Cuenta]],1))</f>
        <v>0</v>
      </c>
      <c r="AB73" t="b">
        <f>+ISNUMBER(SEARCH('F-COMPRA'!#REF!,Tabla11[[#This Row],[Cuenta]],1))</f>
        <v>0</v>
      </c>
      <c r="AC73" t="b">
        <f>+ISNUMBER(SEARCH('F-COMPRA'!#REF!,Tabla11[[#This Row],[Cuenta]],1))</f>
        <v>0</v>
      </c>
      <c r="AD73" t="b">
        <f>+ISNUMBER(SEARCH('F-COMPRA'!#REF!,Tabla11[[#This Row],[Cuenta]],1))</f>
        <v>0</v>
      </c>
      <c r="AE73" t="b">
        <f>+ISNUMBER(SEARCH('F-COMPRA'!#REF!,Tabla11[[#This Row],[Cuenta]],1))</f>
        <v>0</v>
      </c>
      <c r="AF73" t="b">
        <f>+ISNUMBER(SEARCH('F-VTA'!$G$23,Tabla11[[#This Row],[Cuenta]],1))</f>
        <v>0</v>
      </c>
      <c r="AG73" t="b">
        <f>+ISNUMBER(SEARCH('F-VTA'!$G$24,Tabla11[[#This Row],[Cuenta]],1))</f>
        <v>0</v>
      </c>
      <c r="AH73" t="b">
        <f>+ISNUMBER(SEARCH('F-VTA'!$G$25,Tabla11[[#This Row],[Cuenta]],1))</f>
        <v>0</v>
      </c>
      <c r="AI73" t="b">
        <f>+ISNUMBER(SEARCH('F-VTA'!$F$28,Tabla11[[#This Row],[Cuenta]],1))</f>
        <v>1</v>
      </c>
      <c r="AJ73" t="b">
        <f>+ISNUMBER(SEARCH('F-VTA'!$F$29,Tabla11[[#This Row],[Cuenta]],1))</f>
        <v>1</v>
      </c>
      <c r="AK73" t="b">
        <f>+ISNUMBER(SEARCH('F-VTA'!$F$30,Tabla11[[#This Row],[Cuenta]],1))</f>
        <v>1</v>
      </c>
      <c r="AL73" t="b">
        <f>+ISNUMBER(SEARCH('F-VTA'!$F$31,Tabla11[[#This Row],[Cuenta]],1))</f>
        <v>1</v>
      </c>
      <c r="AM73" t="b">
        <f>+ISNUMBER(SEARCH('F-VTA'!$F$32,Tabla11[[#This Row],[Cuenta]],1))</f>
        <v>1</v>
      </c>
      <c r="AN73" t="b">
        <f>+ISNUMBER(SEARCH('F-VTA'!$F$33,Tabla11[[#This Row],[Cuenta]],1))</f>
        <v>1</v>
      </c>
      <c r="AO73" t="b">
        <f>+ISNUMBER(SEARCH('F-VTA'!$F$34,Tabla11[[#This Row],[Cuenta]],1))</f>
        <v>1</v>
      </c>
      <c r="AP73" t="b">
        <f>+ISNUMBER(SEARCH('F-VTA'!$F$35,Tabla11[[#This Row],[Cuenta]],1))</f>
        <v>1</v>
      </c>
      <c r="AQ73" t="b">
        <f>+ISNUMBER(SEARCH('F-VTA'!$F$36,Tabla11[[#This Row],[Cuenta]],1))</f>
        <v>1</v>
      </c>
      <c r="AR73" t="b">
        <f>+ISNUMBER(SEARCH(#REF!,Tabla11[[#This Row],[Cuenta]],1))</f>
        <v>0</v>
      </c>
      <c r="AS73" t="b">
        <f>+ISNUMBER(SEARCH(#REF!,Tabla11[[#This Row],[Cuenta]],1))</f>
        <v>0</v>
      </c>
      <c r="AT73" t="b">
        <f>+ISNUMBER(SEARCH(#REF!,Tabla11[[#This Row],[Cuenta]],1))</f>
        <v>0</v>
      </c>
      <c r="AU73" t="b">
        <f>+ISNUMBER(SEARCH('Conc. Ban.1'!$I$9,Tabla11[[#This Row],[Cuenta]],1))</f>
        <v>0</v>
      </c>
      <c r="AV73" t="b">
        <f>+ISNUMBER(SEARCH(CompConta!$F$21,Tabla11[[#This Row],[Cuenta]],1))</f>
        <v>1</v>
      </c>
      <c r="AW73" t="b">
        <f>+ISNUMBER(SEARCH(CompConta!$F$22,Tabla11[[#This Row],[Cuenta]],1))</f>
        <v>1</v>
      </c>
      <c r="AX73" t="b">
        <f>+ISNUMBER(SEARCH(CompConta!$F$23,Tabla11[[#This Row],[Cuenta]],1))</f>
        <v>1</v>
      </c>
      <c r="AY73" t="b">
        <f>+ISNUMBER(SEARCH(CompConta!$F$24,Tabla11[[#This Row],[Cuenta]],1))</f>
        <v>1</v>
      </c>
      <c r="AZ73" t="b">
        <f>+ISNUMBER(SEARCH(CompConta!$F$25,Tabla11[[#This Row],[Cuenta]],1))</f>
        <v>1</v>
      </c>
      <c r="BA73" t="b">
        <f>+ISNUMBER(SEARCH(CompConta!$F$26,Tabla11[[#This Row],[Cuenta]],1))</f>
        <v>1</v>
      </c>
      <c r="BB73" t="b">
        <f>+ISNUMBER(SEARCH(CompConta!$F$27,Tabla11[[#This Row],[Cuenta]],1))</f>
        <v>1</v>
      </c>
      <c r="BC73" t="b">
        <f>+ISNUMBER(SEARCH(CompConta!$F$28,Tabla11[[#This Row],[Cuenta]],1))</f>
        <v>1</v>
      </c>
      <c r="BD73" t="b">
        <f>+ISNUMBER(SEARCH(CompConta!$F$29,Tabla11[[#This Row],[Cuenta]],1))</f>
        <v>1</v>
      </c>
      <c r="BE73" t="b">
        <f>+ISNUMBER(SEARCH(CompConta!$F$30,Tabla11[[#This Row],[Cuenta]],1))</f>
        <v>1</v>
      </c>
      <c r="BF73" t="b">
        <f>+ISNUMBER(SEARCH('PAGO Compras'!$E$11,Tabla11[[#This Row],[Cuenta]],1))</f>
        <v>1</v>
      </c>
      <c r="BG73" t="b">
        <f>+ISNUMBER(SEARCH(#REF!,Tabla11[[#This Row],[Cuenta]],1))</f>
        <v>0</v>
      </c>
      <c r="BH73" t="b">
        <f>+ISNUMBER(SEARCH(#REF!,Tabla11[[#This Row],[Cuenta]],1))</f>
        <v>0</v>
      </c>
      <c r="BI73" t="b">
        <f>+ISNUMBER(SEARCH(#REF!,Tabla11[[#This Row],[Cuenta]],1))</f>
        <v>0</v>
      </c>
      <c r="BJ73" t="b">
        <f>+ISNUMBER(SEARCH(#REF!,Tabla11[[#This Row],[Cuenta]],1))</f>
        <v>0</v>
      </c>
      <c r="BS73" t="str">
        <v>144505 Vacas</v>
      </c>
      <c r="BT73" t="str">
        <v>144505 Vacas</v>
      </c>
      <c r="BU73" t="str">
        <v>144505 Vacas</v>
      </c>
      <c r="BV73" t="str">
        <v>144505 Vacas</v>
      </c>
      <c r="BZ73" t="str">
        <v>144505 Vacas</v>
      </c>
      <c r="CA73" t="str">
        <v>144505 Vacas</v>
      </c>
      <c r="CB73" t="str">
        <v>144505 Vacas</v>
      </c>
      <c r="CC73" t="str">
        <v>144505 Vacas</v>
      </c>
      <c r="CD73" t="str">
        <v>144505 Vacas</v>
      </c>
      <c r="CE73" t="str">
        <v>144505 Vacas</v>
      </c>
      <c r="CS73" s="141" t="str">
        <v>144505 Vacas</v>
      </c>
      <c r="CT73" s="141" t="str">
        <v>144505 Vacas</v>
      </c>
      <c r="CU73" s="141" t="str">
        <v>144505 Vacas</v>
      </c>
      <c r="CV73" s="141" t="str">
        <v>144505 Vacas</v>
      </c>
      <c r="CW73" s="141" t="str">
        <v>144505 Vacas</v>
      </c>
      <c r="CX73" s="141" t="str">
        <v>144505 Vacas</v>
      </c>
      <c r="CY73" s="141" t="str">
        <v>144505 Vacas</v>
      </c>
      <c r="CZ73" s="141" t="str">
        <v>144505 Vacas</v>
      </c>
      <c r="DA73" s="141" t="str">
        <v>144505 Vacas</v>
      </c>
      <c r="DF73" t="str">
        <v>144505 Vacas</v>
      </c>
      <c r="DG73" t="str">
        <v>144505 Vacas</v>
      </c>
      <c r="DH73" t="str">
        <v>144505 Vacas</v>
      </c>
      <c r="DI73" t="str">
        <v>144505 Vacas</v>
      </c>
      <c r="DJ73" t="str">
        <v>144505 Vacas</v>
      </c>
      <c r="DK73" t="str">
        <v>144505 Vacas</v>
      </c>
      <c r="DL73" t="str">
        <v>144505 Vacas</v>
      </c>
      <c r="DM73" t="str">
        <v>144505 Vacas</v>
      </c>
      <c r="DN73" t="str">
        <v>144505 Vacas</v>
      </c>
      <c r="DO73" t="str">
        <v>144505 Vacas</v>
      </c>
      <c r="DP73" t="str">
        <v>144505 Vacas</v>
      </c>
    </row>
    <row r="74" spans="4:120" ht="12.75">
      <c r="D74" s="7">
        <v>144599</v>
      </c>
      <c r="E74" s="6" t="s">
        <v>93</v>
      </c>
      <c r="F74" s="5">
        <v>4</v>
      </c>
      <c r="G74" s="34" t="s">
        <v>821</v>
      </c>
      <c r="H74" s="8" t="s">
        <v>32</v>
      </c>
      <c r="I74" t="b">
        <f>+ISNUMBER(SEARCH('F-COMPRA'!$F$28,Tabla11[[#This Row],[Cuenta]],1))</f>
        <v>1</v>
      </c>
      <c r="J74" t="b">
        <f>+ISNUMBER(SEARCH('F-COMPRA'!$F$29,Tabla11[[#This Row],[Cuenta]],1))</f>
        <v>1</v>
      </c>
      <c r="K74" t="b">
        <f>+ISNUMBER(SEARCH('F-COMPRA'!$F$30,Tabla11[[#This Row],[Cuenta]],1))</f>
        <v>1</v>
      </c>
      <c r="L74" t="b">
        <f>+ISNUMBER(SEARCH('F-COMPRA'!$F$31,Tabla11[[#This Row],[Cuenta]],1))</f>
        <v>1</v>
      </c>
      <c r="M74" t="b">
        <f>+ISNUMBER(SEARCH('F-COMPRA'!$G$25,Tabla11[[#This Row],[Cuenta]],1))</f>
        <v>0</v>
      </c>
      <c r="N74" t="b">
        <f>+ISNUMBER(SEARCH(#REF!,Tabla11[[#This Row],[Cuenta]],1))</f>
        <v>0</v>
      </c>
      <c r="O74" t="b">
        <f>+ISNUMBER(SEARCH(#REF!,Tabla11[[#This Row],[Cuenta]],1))</f>
        <v>0</v>
      </c>
      <c r="P74" t="b">
        <f>+ISNUMBER(SEARCH('F-COMPRA'!$F$32,Tabla11[[#This Row],[Cuenta]],1))</f>
        <v>1</v>
      </c>
      <c r="Q74" t="b">
        <f>+ISNUMBER(SEARCH('F-COMPRA'!$F$33,Tabla11[[#This Row],[Cuenta]],1))</f>
        <v>1</v>
      </c>
      <c r="R74" t="b">
        <f>+ISNUMBER(SEARCH('F-COMPRA'!$F$34,Tabla11[[#This Row],[Cuenta]],1))</f>
        <v>1</v>
      </c>
      <c r="S74" t="b">
        <f>+ISNUMBER(SEARCH('F-COMPRA'!$F$35,Tabla11[[#This Row],[Cuenta]],1))</f>
        <v>1</v>
      </c>
      <c r="T74" t="b">
        <f>+ISNUMBER(SEARCH('F-COMPRA'!$F$36,Tabla11[[#This Row],[Cuenta]],1))</f>
        <v>1</v>
      </c>
      <c r="U74" t="b">
        <f>+ISNUMBER(SEARCH('F-COMPRA'!$F$37,Tabla11[[#This Row],[Cuenta]],1))</f>
        <v>1</v>
      </c>
      <c r="V74" t="b">
        <f>+ISNUMBER(SEARCH(#REF!,Tabla11[[#This Row],[Cuenta]],1))</f>
        <v>0</v>
      </c>
      <c r="W74" t="b">
        <f>+ISNUMBER(SEARCH('F-COMPRA'!#REF!,Tabla11[[#This Row],[Cuenta]],1))</f>
        <v>0</v>
      </c>
      <c r="X74" t="b">
        <f>+ISNUMBER(SEARCH('F-COMPRA'!#REF!,Tabla11[[#This Row],[Cuenta]],1))</f>
        <v>0</v>
      </c>
      <c r="Y74" t="b">
        <f>+ISNUMBER(SEARCH('F-COMPRA'!#REF!,Tabla11[[#This Row],[Cuenta]],1))</f>
        <v>0</v>
      </c>
      <c r="Z74" t="b">
        <f>+ISNUMBER(SEARCH('F-COMPRA'!#REF!,Tabla11[[#This Row],[Cuenta]],1))</f>
        <v>0</v>
      </c>
      <c r="AA74" t="b">
        <f>+ISNUMBER(SEARCH('F-COMPRA'!#REF!,Tabla11[[#This Row],[Cuenta]],1))</f>
        <v>0</v>
      </c>
      <c r="AB74" t="b">
        <f>+ISNUMBER(SEARCH('F-COMPRA'!#REF!,Tabla11[[#This Row],[Cuenta]],1))</f>
        <v>0</v>
      </c>
      <c r="AC74" t="b">
        <f>+ISNUMBER(SEARCH('F-COMPRA'!#REF!,Tabla11[[#This Row],[Cuenta]],1))</f>
        <v>0</v>
      </c>
      <c r="AD74" t="b">
        <f>+ISNUMBER(SEARCH('F-COMPRA'!#REF!,Tabla11[[#This Row],[Cuenta]],1))</f>
        <v>0</v>
      </c>
      <c r="AE74" t="b">
        <f>+ISNUMBER(SEARCH('F-COMPRA'!#REF!,Tabla11[[#This Row],[Cuenta]],1))</f>
        <v>0</v>
      </c>
      <c r="AF74" t="b">
        <f>+ISNUMBER(SEARCH('F-VTA'!$G$23,Tabla11[[#This Row],[Cuenta]],1))</f>
        <v>0</v>
      </c>
      <c r="AG74" t="b">
        <f>+ISNUMBER(SEARCH('F-VTA'!$G$24,Tabla11[[#This Row],[Cuenta]],1))</f>
        <v>0</v>
      </c>
      <c r="AH74" t="b">
        <f>+ISNUMBER(SEARCH('F-VTA'!$G$25,Tabla11[[#This Row],[Cuenta]],1))</f>
        <v>0</v>
      </c>
      <c r="AI74" t="b">
        <f>+ISNUMBER(SEARCH('F-VTA'!$F$28,Tabla11[[#This Row],[Cuenta]],1))</f>
        <v>1</v>
      </c>
      <c r="AJ74" t="b">
        <f>+ISNUMBER(SEARCH('F-VTA'!$F$29,Tabla11[[#This Row],[Cuenta]],1))</f>
        <v>1</v>
      </c>
      <c r="AK74" t="b">
        <f>+ISNUMBER(SEARCH('F-VTA'!$F$30,Tabla11[[#This Row],[Cuenta]],1))</f>
        <v>1</v>
      </c>
      <c r="AL74" t="b">
        <f>+ISNUMBER(SEARCH('F-VTA'!$F$31,Tabla11[[#This Row],[Cuenta]],1))</f>
        <v>1</v>
      </c>
      <c r="AM74" t="b">
        <f>+ISNUMBER(SEARCH('F-VTA'!$F$32,Tabla11[[#This Row],[Cuenta]],1))</f>
        <v>1</v>
      </c>
      <c r="AN74" t="b">
        <f>+ISNUMBER(SEARCH('F-VTA'!$F$33,Tabla11[[#This Row],[Cuenta]],1))</f>
        <v>1</v>
      </c>
      <c r="AO74" t="b">
        <f>+ISNUMBER(SEARCH('F-VTA'!$F$34,Tabla11[[#This Row],[Cuenta]],1))</f>
        <v>1</v>
      </c>
      <c r="AP74" t="b">
        <f>+ISNUMBER(SEARCH('F-VTA'!$F$35,Tabla11[[#This Row],[Cuenta]],1))</f>
        <v>1</v>
      </c>
      <c r="AQ74" t="b">
        <f>+ISNUMBER(SEARCH('F-VTA'!$F$36,Tabla11[[#This Row],[Cuenta]],1))</f>
        <v>1</v>
      </c>
      <c r="AR74" t="b">
        <f>+ISNUMBER(SEARCH(#REF!,Tabla11[[#This Row],[Cuenta]],1))</f>
        <v>0</v>
      </c>
      <c r="AS74" t="b">
        <f>+ISNUMBER(SEARCH(#REF!,Tabla11[[#This Row],[Cuenta]],1))</f>
        <v>0</v>
      </c>
      <c r="AT74" t="b">
        <f>+ISNUMBER(SEARCH(#REF!,Tabla11[[#This Row],[Cuenta]],1))</f>
        <v>0</v>
      </c>
      <c r="AU74" t="b">
        <f>+ISNUMBER(SEARCH('Conc. Ban.1'!$I$9,Tabla11[[#This Row],[Cuenta]],1))</f>
        <v>0</v>
      </c>
      <c r="AV74" t="b">
        <f>+ISNUMBER(SEARCH(CompConta!$F$21,Tabla11[[#This Row],[Cuenta]],1))</f>
        <v>1</v>
      </c>
      <c r="AW74" t="b">
        <f>+ISNUMBER(SEARCH(CompConta!$F$22,Tabla11[[#This Row],[Cuenta]],1))</f>
        <v>1</v>
      </c>
      <c r="AX74" t="b">
        <f>+ISNUMBER(SEARCH(CompConta!$F$23,Tabla11[[#This Row],[Cuenta]],1))</f>
        <v>1</v>
      </c>
      <c r="AY74" t="b">
        <f>+ISNUMBER(SEARCH(CompConta!$F$24,Tabla11[[#This Row],[Cuenta]],1))</f>
        <v>1</v>
      </c>
      <c r="AZ74" t="b">
        <f>+ISNUMBER(SEARCH(CompConta!$F$25,Tabla11[[#This Row],[Cuenta]],1))</f>
        <v>1</v>
      </c>
      <c r="BA74" t="b">
        <f>+ISNUMBER(SEARCH(CompConta!$F$26,Tabla11[[#This Row],[Cuenta]],1))</f>
        <v>1</v>
      </c>
      <c r="BB74" t="b">
        <f>+ISNUMBER(SEARCH(CompConta!$F$27,Tabla11[[#This Row],[Cuenta]],1))</f>
        <v>1</v>
      </c>
      <c r="BC74" t="b">
        <f>+ISNUMBER(SEARCH(CompConta!$F$28,Tabla11[[#This Row],[Cuenta]],1))</f>
        <v>1</v>
      </c>
      <c r="BD74" t="b">
        <f>+ISNUMBER(SEARCH(CompConta!$F$29,Tabla11[[#This Row],[Cuenta]],1))</f>
        <v>1</v>
      </c>
      <c r="BE74" t="b">
        <f>+ISNUMBER(SEARCH(CompConta!$F$30,Tabla11[[#This Row],[Cuenta]],1))</f>
        <v>1</v>
      </c>
      <c r="BF74" t="b">
        <f>+ISNUMBER(SEARCH('PAGO Compras'!$E$11,Tabla11[[#This Row],[Cuenta]],1))</f>
        <v>1</v>
      </c>
      <c r="BG74" t="b">
        <f>+ISNUMBER(SEARCH(#REF!,Tabla11[[#This Row],[Cuenta]],1))</f>
        <v>0</v>
      </c>
      <c r="BH74" t="b">
        <f>+ISNUMBER(SEARCH(#REF!,Tabla11[[#This Row],[Cuenta]],1))</f>
        <v>0</v>
      </c>
      <c r="BI74" t="b">
        <f>+ISNUMBER(SEARCH(#REF!,Tabla11[[#This Row],[Cuenta]],1))</f>
        <v>0</v>
      </c>
      <c r="BJ74" t="b">
        <f>+ISNUMBER(SEARCH(#REF!,Tabla11[[#This Row],[Cuenta]],1))</f>
        <v>0</v>
      </c>
      <c r="BS74" t="str">
        <v>144599 *Ajustes por inflación</v>
      </c>
      <c r="BT74" t="str">
        <v>144599 *Ajustes por inflación</v>
      </c>
      <c r="BU74" t="str">
        <v>144599 *Ajustes por inflación</v>
      </c>
      <c r="BV74" t="str">
        <v>144599 *Ajustes por inflación</v>
      </c>
      <c r="BZ74" t="str">
        <v>144599 *Ajustes por inflación</v>
      </c>
      <c r="CA74" t="str">
        <v>144599 *Ajustes por inflación</v>
      </c>
      <c r="CB74" t="str">
        <v>144599 *Ajustes por inflación</v>
      </c>
      <c r="CC74" t="str">
        <v>144599 *Ajustes por inflación</v>
      </c>
      <c r="CD74" t="str">
        <v>144599 *Ajustes por inflación</v>
      </c>
      <c r="CE74" t="str">
        <v>144599 *Ajustes por inflación</v>
      </c>
      <c r="CS74" s="141" t="str">
        <v>144599 *Ajustes por inflación</v>
      </c>
      <c r="CT74" s="141" t="str">
        <v>144599 *Ajustes por inflación</v>
      </c>
      <c r="CU74" s="141" t="str">
        <v>144599 *Ajustes por inflación</v>
      </c>
      <c r="CV74" s="141" t="str">
        <v>144599 *Ajustes por inflación</v>
      </c>
      <c r="CW74" s="141" t="str">
        <v>144599 *Ajustes por inflación</v>
      </c>
      <c r="CX74" s="141" t="str">
        <v>144599 *Ajustes por inflación</v>
      </c>
      <c r="CY74" s="141" t="str">
        <v>144599 *Ajustes por inflación</v>
      </c>
      <c r="CZ74" s="141" t="str">
        <v>144599 *Ajustes por inflación</v>
      </c>
      <c r="DA74" s="141" t="str">
        <v>144599 *Ajustes por inflación</v>
      </c>
      <c r="DF74" t="str">
        <v>144599 *Ajustes por inflación</v>
      </c>
      <c r="DG74" t="str">
        <v>144599 *Ajustes por inflación</v>
      </c>
      <c r="DH74" t="str">
        <v>144599 *Ajustes por inflación</v>
      </c>
      <c r="DI74" t="str">
        <v>144599 *Ajustes por inflación</v>
      </c>
      <c r="DJ74" t="str">
        <v>144599 *Ajustes por inflación</v>
      </c>
      <c r="DK74" t="str">
        <v>144599 *Ajustes por inflación</v>
      </c>
      <c r="DL74" t="str">
        <v>144599 *Ajustes por inflación</v>
      </c>
      <c r="DM74" t="str">
        <v>144599 *Ajustes por inflación</v>
      </c>
      <c r="DN74" t="str">
        <v>144599 *Ajustes por inflación</v>
      </c>
      <c r="DO74" t="str">
        <v>144599 *Ajustes por inflación</v>
      </c>
      <c r="DP74" t="str">
        <v>144599 *Ajustes por inflación</v>
      </c>
    </row>
    <row r="75" spans="4:120" ht="12.75">
      <c r="D75" s="7">
        <v>1450</v>
      </c>
      <c r="E75" s="6" t="s">
        <v>103</v>
      </c>
      <c r="F75" s="5">
        <v>3</v>
      </c>
      <c r="G75" s="34" t="s">
        <v>821</v>
      </c>
      <c r="H75" s="8" t="s">
        <v>32</v>
      </c>
      <c r="I75" t="b">
        <f>+ISNUMBER(SEARCH('F-COMPRA'!$F$28,Tabla11[[#This Row],[Cuenta]],1))</f>
        <v>1</v>
      </c>
      <c r="J75" t="b">
        <f>+ISNUMBER(SEARCH('F-COMPRA'!$F$29,Tabla11[[#This Row],[Cuenta]],1))</f>
        <v>1</v>
      </c>
      <c r="K75" t="b">
        <f>+ISNUMBER(SEARCH('F-COMPRA'!$F$30,Tabla11[[#This Row],[Cuenta]],1))</f>
        <v>1</v>
      </c>
      <c r="L75" t="b">
        <f>+ISNUMBER(SEARCH('F-COMPRA'!$F$31,Tabla11[[#This Row],[Cuenta]],1))</f>
        <v>1</v>
      </c>
      <c r="M75" t="b">
        <f>+ISNUMBER(SEARCH('F-COMPRA'!$G$25,Tabla11[[#This Row],[Cuenta]],1))</f>
        <v>0</v>
      </c>
      <c r="N75" t="b">
        <f>+ISNUMBER(SEARCH(#REF!,Tabla11[[#This Row],[Cuenta]],1))</f>
        <v>0</v>
      </c>
      <c r="O75" t="b">
        <f>+ISNUMBER(SEARCH(#REF!,Tabla11[[#This Row],[Cuenta]],1))</f>
        <v>0</v>
      </c>
      <c r="P75" t="b">
        <f>+ISNUMBER(SEARCH('F-COMPRA'!$F$32,Tabla11[[#This Row],[Cuenta]],1))</f>
        <v>1</v>
      </c>
      <c r="Q75" t="b">
        <f>+ISNUMBER(SEARCH('F-COMPRA'!$F$33,Tabla11[[#This Row],[Cuenta]],1))</f>
        <v>1</v>
      </c>
      <c r="R75" t="b">
        <f>+ISNUMBER(SEARCH('F-COMPRA'!$F$34,Tabla11[[#This Row],[Cuenta]],1))</f>
        <v>1</v>
      </c>
      <c r="S75" t="b">
        <f>+ISNUMBER(SEARCH('F-COMPRA'!$F$35,Tabla11[[#This Row],[Cuenta]],1))</f>
        <v>1</v>
      </c>
      <c r="T75" t="b">
        <f>+ISNUMBER(SEARCH('F-COMPRA'!$F$36,Tabla11[[#This Row],[Cuenta]],1))</f>
        <v>1</v>
      </c>
      <c r="U75" t="b">
        <f>+ISNUMBER(SEARCH('F-COMPRA'!$F$37,Tabla11[[#This Row],[Cuenta]],1))</f>
        <v>1</v>
      </c>
      <c r="V75" t="b">
        <f>+ISNUMBER(SEARCH(#REF!,Tabla11[[#This Row],[Cuenta]],1))</f>
        <v>0</v>
      </c>
      <c r="W75" t="b">
        <f>+ISNUMBER(SEARCH('F-COMPRA'!#REF!,Tabla11[[#This Row],[Cuenta]],1))</f>
        <v>0</v>
      </c>
      <c r="X75" t="b">
        <f>+ISNUMBER(SEARCH('F-COMPRA'!#REF!,Tabla11[[#This Row],[Cuenta]],1))</f>
        <v>0</v>
      </c>
      <c r="Y75" t="b">
        <f>+ISNUMBER(SEARCH('F-COMPRA'!#REF!,Tabla11[[#This Row],[Cuenta]],1))</f>
        <v>0</v>
      </c>
      <c r="Z75" t="b">
        <f>+ISNUMBER(SEARCH('F-COMPRA'!#REF!,Tabla11[[#This Row],[Cuenta]],1))</f>
        <v>0</v>
      </c>
      <c r="AA75" t="b">
        <f>+ISNUMBER(SEARCH('F-COMPRA'!#REF!,Tabla11[[#This Row],[Cuenta]],1))</f>
        <v>0</v>
      </c>
      <c r="AB75" t="b">
        <f>+ISNUMBER(SEARCH('F-COMPRA'!#REF!,Tabla11[[#This Row],[Cuenta]],1))</f>
        <v>0</v>
      </c>
      <c r="AC75" t="b">
        <f>+ISNUMBER(SEARCH('F-COMPRA'!#REF!,Tabla11[[#This Row],[Cuenta]],1))</f>
        <v>0</v>
      </c>
      <c r="AD75" t="b">
        <f>+ISNUMBER(SEARCH('F-COMPRA'!#REF!,Tabla11[[#This Row],[Cuenta]],1))</f>
        <v>0</v>
      </c>
      <c r="AE75" t="b">
        <f>+ISNUMBER(SEARCH('F-COMPRA'!#REF!,Tabla11[[#This Row],[Cuenta]],1))</f>
        <v>0</v>
      </c>
      <c r="AF75" t="b">
        <f>+ISNUMBER(SEARCH('F-VTA'!$G$23,Tabla11[[#This Row],[Cuenta]],1))</f>
        <v>0</v>
      </c>
      <c r="AG75" t="b">
        <f>+ISNUMBER(SEARCH('F-VTA'!$G$24,Tabla11[[#This Row],[Cuenta]],1))</f>
        <v>0</v>
      </c>
      <c r="AH75" t="b">
        <f>+ISNUMBER(SEARCH('F-VTA'!$G$25,Tabla11[[#This Row],[Cuenta]],1))</f>
        <v>0</v>
      </c>
      <c r="AI75" t="b">
        <f>+ISNUMBER(SEARCH('F-VTA'!$F$28,Tabla11[[#This Row],[Cuenta]],1))</f>
        <v>1</v>
      </c>
      <c r="AJ75" t="b">
        <f>+ISNUMBER(SEARCH('F-VTA'!$F$29,Tabla11[[#This Row],[Cuenta]],1))</f>
        <v>1</v>
      </c>
      <c r="AK75" t="b">
        <f>+ISNUMBER(SEARCH('F-VTA'!$F$30,Tabla11[[#This Row],[Cuenta]],1))</f>
        <v>1</v>
      </c>
      <c r="AL75" t="b">
        <f>+ISNUMBER(SEARCH('F-VTA'!$F$31,Tabla11[[#This Row],[Cuenta]],1))</f>
        <v>1</v>
      </c>
      <c r="AM75" t="b">
        <f>+ISNUMBER(SEARCH('F-VTA'!$F$32,Tabla11[[#This Row],[Cuenta]],1))</f>
        <v>1</v>
      </c>
      <c r="AN75" t="b">
        <f>+ISNUMBER(SEARCH('F-VTA'!$F$33,Tabla11[[#This Row],[Cuenta]],1))</f>
        <v>1</v>
      </c>
      <c r="AO75" t="b">
        <f>+ISNUMBER(SEARCH('F-VTA'!$F$34,Tabla11[[#This Row],[Cuenta]],1))</f>
        <v>1</v>
      </c>
      <c r="AP75" t="b">
        <f>+ISNUMBER(SEARCH('F-VTA'!$F$35,Tabla11[[#This Row],[Cuenta]],1))</f>
        <v>1</v>
      </c>
      <c r="AQ75" t="b">
        <f>+ISNUMBER(SEARCH('F-VTA'!$F$36,Tabla11[[#This Row],[Cuenta]],1))</f>
        <v>1</v>
      </c>
      <c r="AR75" t="b">
        <f>+ISNUMBER(SEARCH(#REF!,Tabla11[[#This Row],[Cuenta]],1))</f>
        <v>0</v>
      </c>
      <c r="AS75" t="b">
        <f>+ISNUMBER(SEARCH(#REF!,Tabla11[[#This Row],[Cuenta]],1))</f>
        <v>0</v>
      </c>
      <c r="AT75" t="b">
        <f>+ISNUMBER(SEARCH(#REF!,Tabla11[[#This Row],[Cuenta]],1))</f>
        <v>0</v>
      </c>
      <c r="AU75" t="b">
        <f>+ISNUMBER(SEARCH('Conc. Ban.1'!$I$9,Tabla11[[#This Row],[Cuenta]],1))</f>
        <v>0</v>
      </c>
      <c r="AV75" t="b">
        <f>+ISNUMBER(SEARCH(CompConta!$F$21,Tabla11[[#This Row],[Cuenta]],1))</f>
        <v>1</v>
      </c>
      <c r="AW75" t="b">
        <f>+ISNUMBER(SEARCH(CompConta!$F$22,Tabla11[[#This Row],[Cuenta]],1))</f>
        <v>1</v>
      </c>
      <c r="AX75" t="b">
        <f>+ISNUMBER(SEARCH(CompConta!$F$23,Tabla11[[#This Row],[Cuenta]],1))</f>
        <v>1</v>
      </c>
      <c r="AY75" t="b">
        <f>+ISNUMBER(SEARCH(CompConta!$F$24,Tabla11[[#This Row],[Cuenta]],1))</f>
        <v>1</v>
      </c>
      <c r="AZ75" t="b">
        <f>+ISNUMBER(SEARCH(CompConta!$F$25,Tabla11[[#This Row],[Cuenta]],1))</f>
        <v>1</v>
      </c>
      <c r="BA75" t="b">
        <f>+ISNUMBER(SEARCH(CompConta!$F$26,Tabla11[[#This Row],[Cuenta]],1))</f>
        <v>1</v>
      </c>
      <c r="BB75" t="b">
        <f>+ISNUMBER(SEARCH(CompConta!$F$27,Tabla11[[#This Row],[Cuenta]],1))</f>
        <v>1</v>
      </c>
      <c r="BC75" t="b">
        <f>+ISNUMBER(SEARCH(CompConta!$F$28,Tabla11[[#This Row],[Cuenta]],1))</f>
        <v>1</v>
      </c>
      <c r="BD75" t="b">
        <f>+ISNUMBER(SEARCH(CompConta!$F$29,Tabla11[[#This Row],[Cuenta]],1))</f>
        <v>1</v>
      </c>
      <c r="BE75" t="b">
        <f>+ISNUMBER(SEARCH(CompConta!$F$30,Tabla11[[#This Row],[Cuenta]],1))</f>
        <v>1</v>
      </c>
      <c r="BF75" t="b">
        <f>+ISNUMBER(SEARCH('PAGO Compras'!$E$11,Tabla11[[#This Row],[Cuenta]],1))</f>
        <v>1</v>
      </c>
      <c r="BG75" t="b">
        <f>+ISNUMBER(SEARCH(#REF!,Tabla11[[#This Row],[Cuenta]],1))</f>
        <v>0</v>
      </c>
      <c r="BH75" t="b">
        <f>+ISNUMBER(SEARCH(#REF!,Tabla11[[#This Row],[Cuenta]],1))</f>
        <v>0</v>
      </c>
      <c r="BI75" t="b">
        <f>+ISNUMBER(SEARCH(#REF!,Tabla11[[#This Row],[Cuenta]],1))</f>
        <v>0</v>
      </c>
      <c r="BJ75" t="b">
        <f>+ISNUMBER(SEARCH(#REF!,Tabla11[[#This Row],[Cuenta]],1))</f>
        <v>0</v>
      </c>
      <c r="BS75" t="str">
        <v>1450 TERRENOS</v>
      </c>
      <c r="BT75" t="str">
        <v>1450 TERRENOS</v>
      </c>
      <c r="BU75" t="str">
        <v>1450 TERRENOS</v>
      </c>
      <c r="BV75" t="str">
        <v>1450 TERRENOS</v>
      </c>
      <c r="BZ75" t="str">
        <v>1450 TERRENOS</v>
      </c>
      <c r="CA75" t="str">
        <v>1450 TERRENOS</v>
      </c>
      <c r="CB75" t="str">
        <v>1450 TERRENOS</v>
      </c>
      <c r="CC75" t="str">
        <v>1450 TERRENOS</v>
      </c>
      <c r="CD75" t="str">
        <v>1450 TERRENOS</v>
      </c>
      <c r="CE75" t="str">
        <v>1450 TERRENOS</v>
      </c>
      <c r="CS75" s="141" t="str">
        <v>1450 TERRENOS</v>
      </c>
      <c r="CT75" s="141" t="str">
        <v>1450 TERRENOS</v>
      </c>
      <c r="CU75" s="141" t="str">
        <v>1450 TERRENOS</v>
      </c>
      <c r="CV75" s="141" t="str">
        <v>1450 TERRENOS</v>
      </c>
      <c r="CW75" s="141" t="str">
        <v>1450 TERRENOS</v>
      </c>
      <c r="CX75" s="141" t="str">
        <v>1450 TERRENOS</v>
      </c>
      <c r="CY75" s="141" t="str">
        <v>1450 TERRENOS</v>
      </c>
      <c r="CZ75" s="141" t="str">
        <v>1450 TERRENOS</v>
      </c>
      <c r="DA75" s="141" t="str">
        <v>1450 TERRENOS</v>
      </c>
      <c r="DF75" t="str">
        <v>1450 TERRENOS</v>
      </c>
      <c r="DG75" t="str">
        <v>1450 TERRENOS</v>
      </c>
      <c r="DH75" t="str">
        <v>1450 TERRENOS</v>
      </c>
      <c r="DI75" t="str">
        <v>1450 TERRENOS</v>
      </c>
      <c r="DJ75" t="str">
        <v>1450 TERRENOS</v>
      </c>
      <c r="DK75" t="str">
        <v>1450 TERRENOS</v>
      </c>
      <c r="DL75" t="str">
        <v>1450 TERRENOS</v>
      </c>
      <c r="DM75" t="str">
        <v>1450 TERRENOS</v>
      </c>
      <c r="DN75" t="str">
        <v>1450 TERRENOS</v>
      </c>
      <c r="DO75" t="str">
        <v>1450 TERRENOS</v>
      </c>
      <c r="DP75" t="str">
        <v>1450 TERRENOS</v>
      </c>
    </row>
    <row r="76" spans="4:120" ht="12.75">
      <c r="D76" s="7">
        <v>145005</v>
      </c>
      <c r="E76" s="6" t="s">
        <v>104</v>
      </c>
      <c r="F76" s="5">
        <v>4</v>
      </c>
      <c r="G76" s="34" t="s">
        <v>821</v>
      </c>
      <c r="H76" s="8" t="s">
        <v>32</v>
      </c>
      <c r="I76" t="b">
        <f>+ISNUMBER(SEARCH('F-COMPRA'!$F$28,Tabla11[[#This Row],[Cuenta]],1))</f>
        <v>1</v>
      </c>
      <c r="J76" t="b">
        <f>+ISNUMBER(SEARCH('F-COMPRA'!$F$29,Tabla11[[#This Row],[Cuenta]],1))</f>
        <v>1</v>
      </c>
      <c r="K76" t="b">
        <f>+ISNUMBER(SEARCH('F-COMPRA'!$F$30,Tabla11[[#This Row],[Cuenta]],1))</f>
        <v>1</v>
      </c>
      <c r="L76" t="b">
        <f>+ISNUMBER(SEARCH('F-COMPRA'!$F$31,Tabla11[[#This Row],[Cuenta]],1))</f>
        <v>1</v>
      </c>
      <c r="M76" t="b">
        <f>+ISNUMBER(SEARCH('F-COMPRA'!$G$25,Tabla11[[#This Row],[Cuenta]],1))</f>
        <v>0</v>
      </c>
      <c r="N76" t="b">
        <f>+ISNUMBER(SEARCH(#REF!,Tabla11[[#This Row],[Cuenta]],1))</f>
        <v>0</v>
      </c>
      <c r="O76" t="b">
        <f>+ISNUMBER(SEARCH(#REF!,Tabla11[[#This Row],[Cuenta]],1))</f>
        <v>0</v>
      </c>
      <c r="P76" t="b">
        <f>+ISNUMBER(SEARCH('F-COMPRA'!$F$32,Tabla11[[#This Row],[Cuenta]],1))</f>
        <v>1</v>
      </c>
      <c r="Q76" t="b">
        <f>+ISNUMBER(SEARCH('F-COMPRA'!$F$33,Tabla11[[#This Row],[Cuenta]],1))</f>
        <v>1</v>
      </c>
      <c r="R76" t="b">
        <f>+ISNUMBER(SEARCH('F-COMPRA'!$F$34,Tabla11[[#This Row],[Cuenta]],1))</f>
        <v>1</v>
      </c>
      <c r="S76" t="b">
        <f>+ISNUMBER(SEARCH('F-COMPRA'!$F$35,Tabla11[[#This Row],[Cuenta]],1))</f>
        <v>1</v>
      </c>
      <c r="T76" t="b">
        <f>+ISNUMBER(SEARCH('F-COMPRA'!$F$36,Tabla11[[#This Row],[Cuenta]],1))</f>
        <v>1</v>
      </c>
      <c r="U76" t="b">
        <f>+ISNUMBER(SEARCH('F-COMPRA'!$F$37,Tabla11[[#This Row],[Cuenta]],1))</f>
        <v>1</v>
      </c>
      <c r="V76" t="b">
        <f>+ISNUMBER(SEARCH(#REF!,Tabla11[[#This Row],[Cuenta]],1))</f>
        <v>0</v>
      </c>
      <c r="W76" t="b">
        <f>+ISNUMBER(SEARCH('F-COMPRA'!#REF!,Tabla11[[#This Row],[Cuenta]],1))</f>
        <v>0</v>
      </c>
      <c r="X76" t="b">
        <f>+ISNUMBER(SEARCH('F-COMPRA'!#REF!,Tabla11[[#This Row],[Cuenta]],1))</f>
        <v>0</v>
      </c>
      <c r="Y76" t="b">
        <f>+ISNUMBER(SEARCH('F-COMPRA'!#REF!,Tabla11[[#This Row],[Cuenta]],1))</f>
        <v>0</v>
      </c>
      <c r="Z76" t="b">
        <f>+ISNUMBER(SEARCH('F-COMPRA'!#REF!,Tabla11[[#This Row],[Cuenta]],1))</f>
        <v>0</v>
      </c>
      <c r="AA76" t="b">
        <f>+ISNUMBER(SEARCH('F-COMPRA'!#REF!,Tabla11[[#This Row],[Cuenta]],1))</f>
        <v>0</v>
      </c>
      <c r="AB76" t="b">
        <f>+ISNUMBER(SEARCH('F-COMPRA'!#REF!,Tabla11[[#This Row],[Cuenta]],1))</f>
        <v>0</v>
      </c>
      <c r="AC76" t="b">
        <f>+ISNUMBER(SEARCH('F-COMPRA'!#REF!,Tabla11[[#This Row],[Cuenta]],1))</f>
        <v>0</v>
      </c>
      <c r="AD76" t="b">
        <f>+ISNUMBER(SEARCH('F-COMPRA'!#REF!,Tabla11[[#This Row],[Cuenta]],1))</f>
        <v>0</v>
      </c>
      <c r="AE76" t="b">
        <f>+ISNUMBER(SEARCH('F-COMPRA'!#REF!,Tabla11[[#This Row],[Cuenta]],1))</f>
        <v>0</v>
      </c>
      <c r="AF76" t="b">
        <f>+ISNUMBER(SEARCH('F-VTA'!$G$23,Tabla11[[#This Row],[Cuenta]],1))</f>
        <v>0</v>
      </c>
      <c r="AG76" t="b">
        <f>+ISNUMBER(SEARCH('F-VTA'!$G$24,Tabla11[[#This Row],[Cuenta]],1))</f>
        <v>0</v>
      </c>
      <c r="AH76" t="b">
        <f>+ISNUMBER(SEARCH('F-VTA'!$G$25,Tabla11[[#This Row],[Cuenta]],1))</f>
        <v>0</v>
      </c>
      <c r="AI76" t="b">
        <f>+ISNUMBER(SEARCH('F-VTA'!$F$28,Tabla11[[#This Row],[Cuenta]],1))</f>
        <v>1</v>
      </c>
      <c r="AJ76" t="b">
        <f>+ISNUMBER(SEARCH('F-VTA'!$F$29,Tabla11[[#This Row],[Cuenta]],1))</f>
        <v>1</v>
      </c>
      <c r="AK76" t="b">
        <f>+ISNUMBER(SEARCH('F-VTA'!$F$30,Tabla11[[#This Row],[Cuenta]],1))</f>
        <v>1</v>
      </c>
      <c r="AL76" t="b">
        <f>+ISNUMBER(SEARCH('F-VTA'!$F$31,Tabla11[[#This Row],[Cuenta]],1))</f>
        <v>1</v>
      </c>
      <c r="AM76" t="b">
        <f>+ISNUMBER(SEARCH('F-VTA'!$F$32,Tabla11[[#This Row],[Cuenta]],1))</f>
        <v>1</v>
      </c>
      <c r="AN76" t="b">
        <f>+ISNUMBER(SEARCH('F-VTA'!$F$33,Tabla11[[#This Row],[Cuenta]],1))</f>
        <v>1</v>
      </c>
      <c r="AO76" t="b">
        <f>+ISNUMBER(SEARCH('F-VTA'!$F$34,Tabla11[[#This Row],[Cuenta]],1))</f>
        <v>1</v>
      </c>
      <c r="AP76" t="b">
        <f>+ISNUMBER(SEARCH('F-VTA'!$F$35,Tabla11[[#This Row],[Cuenta]],1))</f>
        <v>1</v>
      </c>
      <c r="AQ76" t="b">
        <f>+ISNUMBER(SEARCH('F-VTA'!$F$36,Tabla11[[#This Row],[Cuenta]],1))</f>
        <v>1</v>
      </c>
      <c r="AR76" t="b">
        <f>+ISNUMBER(SEARCH(#REF!,Tabla11[[#This Row],[Cuenta]],1))</f>
        <v>0</v>
      </c>
      <c r="AS76" t="b">
        <f>+ISNUMBER(SEARCH(#REF!,Tabla11[[#This Row],[Cuenta]],1))</f>
        <v>0</v>
      </c>
      <c r="AT76" t="b">
        <f>+ISNUMBER(SEARCH(#REF!,Tabla11[[#This Row],[Cuenta]],1))</f>
        <v>0</v>
      </c>
      <c r="AU76" t="b">
        <f>+ISNUMBER(SEARCH('Conc. Ban.1'!$I$9,Tabla11[[#This Row],[Cuenta]],1))</f>
        <v>0</v>
      </c>
      <c r="AV76" t="b">
        <f>+ISNUMBER(SEARCH(CompConta!$F$21,Tabla11[[#This Row],[Cuenta]],1))</f>
        <v>1</v>
      </c>
      <c r="AW76" t="b">
        <f>+ISNUMBER(SEARCH(CompConta!$F$22,Tabla11[[#This Row],[Cuenta]],1))</f>
        <v>1</v>
      </c>
      <c r="AX76" t="b">
        <f>+ISNUMBER(SEARCH(CompConta!$F$23,Tabla11[[#This Row],[Cuenta]],1))</f>
        <v>1</v>
      </c>
      <c r="AY76" t="b">
        <f>+ISNUMBER(SEARCH(CompConta!$F$24,Tabla11[[#This Row],[Cuenta]],1))</f>
        <v>1</v>
      </c>
      <c r="AZ76" t="b">
        <f>+ISNUMBER(SEARCH(CompConta!$F$25,Tabla11[[#This Row],[Cuenta]],1))</f>
        <v>1</v>
      </c>
      <c r="BA76" t="b">
        <f>+ISNUMBER(SEARCH(CompConta!$F$26,Tabla11[[#This Row],[Cuenta]],1))</f>
        <v>1</v>
      </c>
      <c r="BB76" t="b">
        <f>+ISNUMBER(SEARCH(CompConta!$F$27,Tabla11[[#This Row],[Cuenta]],1))</f>
        <v>1</v>
      </c>
      <c r="BC76" t="b">
        <f>+ISNUMBER(SEARCH(CompConta!$F$28,Tabla11[[#This Row],[Cuenta]],1))</f>
        <v>1</v>
      </c>
      <c r="BD76" t="b">
        <f>+ISNUMBER(SEARCH(CompConta!$F$29,Tabla11[[#This Row],[Cuenta]],1))</f>
        <v>1</v>
      </c>
      <c r="BE76" t="b">
        <f>+ISNUMBER(SEARCH(CompConta!$F$30,Tabla11[[#This Row],[Cuenta]],1))</f>
        <v>1</v>
      </c>
      <c r="BF76" t="b">
        <f>+ISNUMBER(SEARCH('PAGO Compras'!$E$11,Tabla11[[#This Row],[Cuenta]],1))</f>
        <v>1</v>
      </c>
      <c r="BG76" t="b">
        <f>+ISNUMBER(SEARCH(#REF!,Tabla11[[#This Row],[Cuenta]],1))</f>
        <v>0</v>
      </c>
      <c r="BH76" t="b">
        <f>+ISNUMBER(SEARCH(#REF!,Tabla11[[#This Row],[Cuenta]],1))</f>
        <v>0</v>
      </c>
      <c r="BI76" t="b">
        <f>+ISNUMBER(SEARCH(#REF!,Tabla11[[#This Row],[Cuenta]],1))</f>
        <v>0</v>
      </c>
      <c r="BJ76" t="b">
        <f>+ISNUMBER(SEARCH(#REF!,Tabla11[[#This Row],[Cuenta]],1))</f>
        <v>0</v>
      </c>
      <c r="BS76" t="str">
        <v>145005 Por urbanizar</v>
      </c>
      <c r="BT76" t="str">
        <v>145005 Por urbanizar</v>
      </c>
      <c r="BU76" t="str">
        <v>145005 Por urbanizar</v>
      </c>
      <c r="BV76" t="str">
        <v>145005 Por urbanizar</v>
      </c>
      <c r="BZ76" t="str">
        <v>145005 Por urbanizar</v>
      </c>
      <c r="CA76" t="str">
        <v>145005 Por urbanizar</v>
      </c>
      <c r="CB76" t="str">
        <v>145005 Por urbanizar</v>
      </c>
      <c r="CC76" t="str">
        <v>145005 Por urbanizar</v>
      </c>
      <c r="CD76" t="str">
        <v>145005 Por urbanizar</v>
      </c>
      <c r="CE76" t="str">
        <v>145005 Por urbanizar</v>
      </c>
      <c r="CS76" s="141" t="str">
        <v>145005 Por urbanizar</v>
      </c>
      <c r="CT76" s="141" t="str">
        <v>145005 Por urbanizar</v>
      </c>
      <c r="CU76" s="141" t="str">
        <v>145005 Por urbanizar</v>
      </c>
      <c r="CV76" s="141" t="str">
        <v>145005 Por urbanizar</v>
      </c>
      <c r="CW76" s="141" t="str">
        <v>145005 Por urbanizar</v>
      </c>
      <c r="CX76" s="141" t="str">
        <v>145005 Por urbanizar</v>
      </c>
      <c r="CY76" s="141" t="str">
        <v>145005 Por urbanizar</v>
      </c>
      <c r="CZ76" s="141" t="str">
        <v>145005 Por urbanizar</v>
      </c>
      <c r="DA76" s="141" t="str">
        <v>145005 Por urbanizar</v>
      </c>
      <c r="DF76" t="str">
        <v>145005 Por urbanizar</v>
      </c>
      <c r="DG76" t="str">
        <v>145005 Por urbanizar</v>
      </c>
      <c r="DH76" t="str">
        <v>145005 Por urbanizar</v>
      </c>
      <c r="DI76" t="str">
        <v>145005 Por urbanizar</v>
      </c>
      <c r="DJ76" t="str">
        <v>145005 Por urbanizar</v>
      </c>
      <c r="DK76" t="str">
        <v>145005 Por urbanizar</v>
      </c>
      <c r="DL76" t="str">
        <v>145005 Por urbanizar</v>
      </c>
      <c r="DM76" t="str">
        <v>145005 Por urbanizar</v>
      </c>
      <c r="DN76" t="str">
        <v>145005 Por urbanizar</v>
      </c>
      <c r="DO76" t="str">
        <v>145005 Por urbanizar</v>
      </c>
      <c r="DP76" t="str">
        <v>145005 Por urbanizar</v>
      </c>
    </row>
    <row r="77" spans="4:120" ht="12.75">
      <c r="D77" s="7">
        <v>145010</v>
      </c>
      <c r="E77" s="6" t="s">
        <v>105</v>
      </c>
      <c r="F77" s="5">
        <v>4</v>
      </c>
      <c r="G77" s="34" t="s">
        <v>821</v>
      </c>
      <c r="H77" s="8" t="s">
        <v>32</v>
      </c>
      <c r="I77" t="b">
        <f>+ISNUMBER(SEARCH('F-COMPRA'!$F$28,Tabla11[[#This Row],[Cuenta]],1))</f>
        <v>1</v>
      </c>
      <c r="J77" t="b">
        <f>+ISNUMBER(SEARCH('F-COMPRA'!$F$29,Tabla11[[#This Row],[Cuenta]],1))</f>
        <v>1</v>
      </c>
      <c r="K77" t="b">
        <f>+ISNUMBER(SEARCH('F-COMPRA'!$F$30,Tabla11[[#This Row],[Cuenta]],1))</f>
        <v>1</v>
      </c>
      <c r="L77" t="b">
        <f>+ISNUMBER(SEARCH('F-COMPRA'!$F$31,Tabla11[[#This Row],[Cuenta]],1))</f>
        <v>1</v>
      </c>
      <c r="M77" t="b">
        <f>+ISNUMBER(SEARCH('F-COMPRA'!$G$25,Tabla11[[#This Row],[Cuenta]],1))</f>
        <v>0</v>
      </c>
      <c r="N77" t="b">
        <f>+ISNUMBER(SEARCH(#REF!,Tabla11[[#This Row],[Cuenta]],1))</f>
        <v>0</v>
      </c>
      <c r="O77" t="b">
        <f>+ISNUMBER(SEARCH(#REF!,Tabla11[[#This Row],[Cuenta]],1))</f>
        <v>0</v>
      </c>
      <c r="P77" t="b">
        <f>+ISNUMBER(SEARCH('F-COMPRA'!$F$32,Tabla11[[#This Row],[Cuenta]],1))</f>
        <v>1</v>
      </c>
      <c r="Q77" t="b">
        <f>+ISNUMBER(SEARCH('F-COMPRA'!$F$33,Tabla11[[#This Row],[Cuenta]],1))</f>
        <v>1</v>
      </c>
      <c r="R77" t="b">
        <f>+ISNUMBER(SEARCH('F-COMPRA'!$F$34,Tabla11[[#This Row],[Cuenta]],1))</f>
        <v>1</v>
      </c>
      <c r="S77" t="b">
        <f>+ISNUMBER(SEARCH('F-COMPRA'!$F$35,Tabla11[[#This Row],[Cuenta]],1))</f>
        <v>1</v>
      </c>
      <c r="T77" t="b">
        <f>+ISNUMBER(SEARCH('F-COMPRA'!$F$36,Tabla11[[#This Row],[Cuenta]],1))</f>
        <v>1</v>
      </c>
      <c r="U77" t="b">
        <f>+ISNUMBER(SEARCH('F-COMPRA'!$F$37,Tabla11[[#This Row],[Cuenta]],1))</f>
        <v>1</v>
      </c>
      <c r="V77" t="b">
        <f>+ISNUMBER(SEARCH(#REF!,Tabla11[[#This Row],[Cuenta]],1))</f>
        <v>0</v>
      </c>
      <c r="W77" t="b">
        <f>+ISNUMBER(SEARCH('F-COMPRA'!#REF!,Tabla11[[#This Row],[Cuenta]],1))</f>
        <v>0</v>
      </c>
      <c r="X77" t="b">
        <f>+ISNUMBER(SEARCH('F-COMPRA'!#REF!,Tabla11[[#This Row],[Cuenta]],1))</f>
        <v>0</v>
      </c>
      <c r="Y77" t="b">
        <f>+ISNUMBER(SEARCH('F-COMPRA'!#REF!,Tabla11[[#This Row],[Cuenta]],1))</f>
        <v>0</v>
      </c>
      <c r="Z77" t="b">
        <f>+ISNUMBER(SEARCH('F-COMPRA'!#REF!,Tabla11[[#This Row],[Cuenta]],1))</f>
        <v>0</v>
      </c>
      <c r="AA77" t="b">
        <f>+ISNUMBER(SEARCH('F-COMPRA'!#REF!,Tabla11[[#This Row],[Cuenta]],1))</f>
        <v>0</v>
      </c>
      <c r="AB77" t="b">
        <f>+ISNUMBER(SEARCH('F-COMPRA'!#REF!,Tabla11[[#This Row],[Cuenta]],1))</f>
        <v>0</v>
      </c>
      <c r="AC77" t="b">
        <f>+ISNUMBER(SEARCH('F-COMPRA'!#REF!,Tabla11[[#This Row],[Cuenta]],1))</f>
        <v>0</v>
      </c>
      <c r="AD77" t="b">
        <f>+ISNUMBER(SEARCH('F-COMPRA'!#REF!,Tabla11[[#This Row],[Cuenta]],1))</f>
        <v>0</v>
      </c>
      <c r="AE77" t="b">
        <f>+ISNUMBER(SEARCH('F-COMPRA'!#REF!,Tabla11[[#This Row],[Cuenta]],1))</f>
        <v>0</v>
      </c>
      <c r="AF77" t="b">
        <f>+ISNUMBER(SEARCH('F-VTA'!$G$23,Tabla11[[#This Row],[Cuenta]],1))</f>
        <v>0</v>
      </c>
      <c r="AG77" t="b">
        <f>+ISNUMBER(SEARCH('F-VTA'!$G$24,Tabla11[[#This Row],[Cuenta]],1))</f>
        <v>0</v>
      </c>
      <c r="AH77" t="b">
        <f>+ISNUMBER(SEARCH('F-VTA'!$G$25,Tabla11[[#This Row],[Cuenta]],1))</f>
        <v>0</v>
      </c>
      <c r="AI77" t="b">
        <f>+ISNUMBER(SEARCH('F-VTA'!$F$28,Tabla11[[#This Row],[Cuenta]],1))</f>
        <v>1</v>
      </c>
      <c r="AJ77" t="b">
        <f>+ISNUMBER(SEARCH('F-VTA'!$F$29,Tabla11[[#This Row],[Cuenta]],1))</f>
        <v>1</v>
      </c>
      <c r="AK77" t="b">
        <f>+ISNUMBER(SEARCH('F-VTA'!$F$30,Tabla11[[#This Row],[Cuenta]],1))</f>
        <v>1</v>
      </c>
      <c r="AL77" t="b">
        <f>+ISNUMBER(SEARCH('F-VTA'!$F$31,Tabla11[[#This Row],[Cuenta]],1))</f>
        <v>1</v>
      </c>
      <c r="AM77" t="b">
        <f>+ISNUMBER(SEARCH('F-VTA'!$F$32,Tabla11[[#This Row],[Cuenta]],1))</f>
        <v>1</v>
      </c>
      <c r="AN77" t="b">
        <f>+ISNUMBER(SEARCH('F-VTA'!$F$33,Tabla11[[#This Row],[Cuenta]],1))</f>
        <v>1</v>
      </c>
      <c r="AO77" t="b">
        <f>+ISNUMBER(SEARCH('F-VTA'!$F$34,Tabla11[[#This Row],[Cuenta]],1))</f>
        <v>1</v>
      </c>
      <c r="AP77" t="b">
        <f>+ISNUMBER(SEARCH('F-VTA'!$F$35,Tabla11[[#This Row],[Cuenta]],1))</f>
        <v>1</v>
      </c>
      <c r="AQ77" t="b">
        <f>+ISNUMBER(SEARCH('F-VTA'!$F$36,Tabla11[[#This Row],[Cuenta]],1))</f>
        <v>1</v>
      </c>
      <c r="AR77" t="b">
        <f>+ISNUMBER(SEARCH(#REF!,Tabla11[[#This Row],[Cuenta]],1))</f>
        <v>0</v>
      </c>
      <c r="AS77" t="b">
        <f>+ISNUMBER(SEARCH(#REF!,Tabla11[[#This Row],[Cuenta]],1))</f>
        <v>0</v>
      </c>
      <c r="AT77" t="b">
        <f>+ISNUMBER(SEARCH(#REF!,Tabla11[[#This Row],[Cuenta]],1))</f>
        <v>0</v>
      </c>
      <c r="AU77" t="b">
        <f>+ISNUMBER(SEARCH('Conc. Ban.1'!$I$9,Tabla11[[#This Row],[Cuenta]],1))</f>
        <v>0</v>
      </c>
      <c r="AV77" t="b">
        <f>+ISNUMBER(SEARCH(CompConta!$F$21,Tabla11[[#This Row],[Cuenta]],1))</f>
        <v>1</v>
      </c>
      <c r="AW77" t="b">
        <f>+ISNUMBER(SEARCH(CompConta!$F$22,Tabla11[[#This Row],[Cuenta]],1))</f>
        <v>1</v>
      </c>
      <c r="AX77" t="b">
        <f>+ISNUMBER(SEARCH(CompConta!$F$23,Tabla11[[#This Row],[Cuenta]],1))</f>
        <v>1</v>
      </c>
      <c r="AY77" t="b">
        <f>+ISNUMBER(SEARCH(CompConta!$F$24,Tabla11[[#This Row],[Cuenta]],1))</f>
        <v>1</v>
      </c>
      <c r="AZ77" t="b">
        <f>+ISNUMBER(SEARCH(CompConta!$F$25,Tabla11[[#This Row],[Cuenta]],1))</f>
        <v>1</v>
      </c>
      <c r="BA77" t="b">
        <f>+ISNUMBER(SEARCH(CompConta!$F$26,Tabla11[[#This Row],[Cuenta]],1))</f>
        <v>1</v>
      </c>
      <c r="BB77" t="b">
        <f>+ISNUMBER(SEARCH(CompConta!$F$27,Tabla11[[#This Row],[Cuenta]],1))</f>
        <v>1</v>
      </c>
      <c r="BC77" t="b">
        <f>+ISNUMBER(SEARCH(CompConta!$F$28,Tabla11[[#This Row],[Cuenta]],1))</f>
        <v>1</v>
      </c>
      <c r="BD77" t="b">
        <f>+ISNUMBER(SEARCH(CompConta!$F$29,Tabla11[[#This Row],[Cuenta]],1))</f>
        <v>1</v>
      </c>
      <c r="BE77" t="b">
        <f>+ISNUMBER(SEARCH(CompConta!$F$30,Tabla11[[#This Row],[Cuenta]],1))</f>
        <v>1</v>
      </c>
      <c r="BF77" t="b">
        <f>+ISNUMBER(SEARCH('PAGO Compras'!$E$11,Tabla11[[#This Row],[Cuenta]],1))</f>
        <v>1</v>
      </c>
      <c r="BG77" t="b">
        <f>+ISNUMBER(SEARCH(#REF!,Tabla11[[#This Row],[Cuenta]],1))</f>
        <v>0</v>
      </c>
      <c r="BH77" t="b">
        <f>+ISNUMBER(SEARCH(#REF!,Tabla11[[#This Row],[Cuenta]],1))</f>
        <v>0</v>
      </c>
      <c r="BI77" t="b">
        <f>+ISNUMBER(SEARCH(#REF!,Tabla11[[#This Row],[Cuenta]],1))</f>
        <v>0</v>
      </c>
      <c r="BJ77" t="b">
        <f>+ISNUMBER(SEARCH(#REF!,Tabla11[[#This Row],[Cuenta]],1))</f>
        <v>0</v>
      </c>
      <c r="BS77" t="str">
        <v>145010 Urbanizados por construir</v>
      </c>
      <c r="BT77" t="str">
        <v>145010 Urbanizados por construir</v>
      </c>
      <c r="BU77" t="str">
        <v>145010 Urbanizados por construir</v>
      </c>
      <c r="BV77" t="str">
        <v>145010 Urbanizados por construir</v>
      </c>
      <c r="BZ77" t="str">
        <v>145010 Urbanizados por construir</v>
      </c>
      <c r="CA77" t="str">
        <v>145010 Urbanizados por construir</v>
      </c>
      <c r="CB77" t="str">
        <v>145010 Urbanizados por construir</v>
      </c>
      <c r="CC77" t="str">
        <v>145010 Urbanizados por construir</v>
      </c>
      <c r="CD77" t="str">
        <v>145010 Urbanizados por construir</v>
      </c>
      <c r="CE77" t="str">
        <v>145010 Urbanizados por construir</v>
      </c>
      <c r="CS77" s="141" t="str">
        <v>145010 Urbanizados por construir</v>
      </c>
      <c r="CT77" s="141" t="str">
        <v>145010 Urbanizados por construir</v>
      </c>
      <c r="CU77" s="141" t="str">
        <v>145010 Urbanizados por construir</v>
      </c>
      <c r="CV77" s="141" t="str">
        <v>145010 Urbanizados por construir</v>
      </c>
      <c r="CW77" s="141" t="str">
        <v>145010 Urbanizados por construir</v>
      </c>
      <c r="CX77" s="141" t="str">
        <v>145010 Urbanizados por construir</v>
      </c>
      <c r="CY77" s="141" t="str">
        <v>145010 Urbanizados por construir</v>
      </c>
      <c r="CZ77" s="141" t="str">
        <v>145010 Urbanizados por construir</v>
      </c>
      <c r="DA77" s="141" t="str">
        <v>145010 Urbanizados por construir</v>
      </c>
      <c r="DF77" t="str">
        <v>145010 Urbanizados por construir</v>
      </c>
      <c r="DG77" t="str">
        <v>145010 Urbanizados por construir</v>
      </c>
      <c r="DH77" t="str">
        <v>145010 Urbanizados por construir</v>
      </c>
      <c r="DI77" t="str">
        <v>145010 Urbanizados por construir</v>
      </c>
      <c r="DJ77" t="str">
        <v>145010 Urbanizados por construir</v>
      </c>
      <c r="DK77" t="str">
        <v>145010 Urbanizados por construir</v>
      </c>
      <c r="DL77" t="str">
        <v>145010 Urbanizados por construir</v>
      </c>
      <c r="DM77" t="str">
        <v>145010 Urbanizados por construir</v>
      </c>
      <c r="DN77" t="str">
        <v>145010 Urbanizados por construir</v>
      </c>
      <c r="DO77" t="str">
        <v>145010 Urbanizados por construir</v>
      </c>
      <c r="DP77" t="str">
        <v>145010 Urbanizados por construir</v>
      </c>
    </row>
    <row r="78" spans="4:120" ht="12.75">
      <c r="D78" s="7">
        <v>145099</v>
      </c>
      <c r="E78" s="6" t="s">
        <v>93</v>
      </c>
      <c r="F78" s="5">
        <v>4</v>
      </c>
      <c r="G78" s="34" t="s">
        <v>821</v>
      </c>
      <c r="H78" s="8" t="s">
        <v>32</v>
      </c>
      <c r="I78" t="b">
        <f>+ISNUMBER(SEARCH('F-COMPRA'!$F$28,Tabla11[[#This Row],[Cuenta]],1))</f>
        <v>1</v>
      </c>
      <c r="J78" t="b">
        <f>+ISNUMBER(SEARCH('F-COMPRA'!$F$29,Tabla11[[#This Row],[Cuenta]],1))</f>
        <v>1</v>
      </c>
      <c r="K78" t="b">
        <f>+ISNUMBER(SEARCH('F-COMPRA'!$F$30,Tabla11[[#This Row],[Cuenta]],1))</f>
        <v>1</v>
      </c>
      <c r="L78" t="b">
        <f>+ISNUMBER(SEARCH('F-COMPRA'!$F$31,Tabla11[[#This Row],[Cuenta]],1))</f>
        <v>1</v>
      </c>
      <c r="M78" t="b">
        <f>+ISNUMBER(SEARCH('F-COMPRA'!$G$25,Tabla11[[#This Row],[Cuenta]],1))</f>
        <v>0</v>
      </c>
      <c r="N78" t="b">
        <f>+ISNUMBER(SEARCH(#REF!,Tabla11[[#This Row],[Cuenta]],1))</f>
        <v>0</v>
      </c>
      <c r="O78" t="b">
        <f>+ISNUMBER(SEARCH(#REF!,Tabla11[[#This Row],[Cuenta]],1))</f>
        <v>0</v>
      </c>
      <c r="P78" t="b">
        <f>+ISNUMBER(SEARCH('F-COMPRA'!$F$32,Tabla11[[#This Row],[Cuenta]],1))</f>
        <v>1</v>
      </c>
      <c r="Q78" t="b">
        <f>+ISNUMBER(SEARCH('F-COMPRA'!$F$33,Tabla11[[#This Row],[Cuenta]],1))</f>
        <v>1</v>
      </c>
      <c r="R78" t="b">
        <f>+ISNUMBER(SEARCH('F-COMPRA'!$F$34,Tabla11[[#This Row],[Cuenta]],1))</f>
        <v>1</v>
      </c>
      <c r="S78" t="b">
        <f>+ISNUMBER(SEARCH('F-COMPRA'!$F$35,Tabla11[[#This Row],[Cuenta]],1))</f>
        <v>1</v>
      </c>
      <c r="T78" t="b">
        <f>+ISNUMBER(SEARCH('F-COMPRA'!$F$36,Tabla11[[#This Row],[Cuenta]],1))</f>
        <v>1</v>
      </c>
      <c r="U78" t="b">
        <f>+ISNUMBER(SEARCH('F-COMPRA'!$F$37,Tabla11[[#This Row],[Cuenta]],1))</f>
        <v>1</v>
      </c>
      <c r="V78" t="b">
        <f>+ISNUMBER(SEARCH(#REF!,Tabla11[[#This Row],[Cuenta]],1))</f>
        <v>0</v>
      </c>
      <c r="W78" t="b">
        <f>+ISNUMBER(SEARCH('F-COMPRA'!#REF!,Tabla11[[#This Row],[Cuenta]],1))</f>
        <v>0</v>
      </c>
      <c r="X78" t="b">
        <f>+ISNUMBER(SEARCH('F-COMPRA'!#REF!,Tabla11[[#This Row],[Cuenta]],1))</f>
        <v>0</v>
      </c>
      <c r="Y78" t="b">
        <f>+ISNUMBER(SEARCH('F-COMPRA'!#REF!,Tabla11[[#This Row],[Cuenta]],1))</f>
        <v>0</v>
      </c>
      <c r="Z78" t="b">
        <f>+ISNUMBER(SEARCH('F-COMPRA'!#REF!,Tabla11[[#This Row],[Cuenta]],1))</f>
        <v>0</v>
      </c>
      <c r="AA78" t="b">
        <f>+ISNUMBER(SEARCH('F-COMPRA'!#REF!,Tabla11[[#This Row],[Cuenta]],1))</f>
        <v>0</v>
      </c>
      <c r="AB78" t="b">
        <f>+ISNUMBER(SEARCH('F-COMPRA'!#REF!,Tabla11[[#This Row],[Cuenta]],1))</f>
        <v>0</v>
      </c>
      <c r="AC78" t="b">
        <f>+ISNUMBER(SEARCH('F-COMPRA'!#REF!,Tabla11[[#This Row],[Cuenta]],1))</f>
        <v>0</v>
      </c>
      <c r="AD78" t="b">
        <f>+ISNUMBER(SEARCH('F-COMPRA'!#REF!,Tabla11[[#This Row],[Cuenta]],1))</f>
        <v>0</v>
      </c>
      <c r="AE78" t="b">
        <f>+ISNUMBER(SEARCH('F-COMPRA'!#REF!,Tabla11[[#This Row],[Cuenta]],1))</f>
        <v>0</v>
      </c>
      <c r="AF78" t="b">
        <f>+ISNUMBER(SEARCH('F-VTA'!$G$23,Tabla11[[#This Row],[Cuenta]],1))</f>
        <v>0</v>
      </c>
      <c r="AG78" t="b">
        <f>+ISNUMBER(SEARCH('F-VTA'!$G$24,Tabla11[[#This Row],[Cuenta]],1))</f>
        <v>0</v>
      </c>
      <c r="AH78" t="b">
        <f>+ISNUMBER(SEARCH('F-VTA'!$G$25,Tabla11[[#This Row],[Cuenta]],1))</f>
        <v>0</v>
      </c>
      <c r="AI78" t="b">
        <f>+ISNUMBER(SEARCH('F-VTA'!$F$28,Tabla11[[#This Row],[Cuenta]],1))</f>
        <v>1</v>
      </c>
      <c r="AJ78" t="b">
        <f>+ISNUMBER(SEARCH('F-VTA'!$F$29,Tabla11[[#This Row],[Cuenta]],1))</f>
        <v>1</v>
      </c>
      <c r="AK78" t="b">
        <f>+ISNUMBER(SEARCH('F-VTA'!$F$30,Tabla11[[#This Row],[Cuenta]],1))</f>
        <v>1</v>
      </c>
      <c r="AL78" t="b">
        <f>+ISNUMBER(SEARCH('F-VTA'!$F$31,Tabla11[[#This Row],[Cuenta]],1))</f>
        <v>1</v>
      </c>
      <c r="AM78" t="b">
        <f>+ISNUMBER(SEARCH('F-VTA'!$F$32,Tabla11[[#This Row],[Cuenta]],1))</f>
        <v>1</v>
      </c>
      <c r="AN78" t="b">
        <f>+ISNUMBER(SEARCH('F-VTA'!$F$33,Tabla11[[#This Row],[Cuenta]],1))</f>
        <v>1</v>
      </c>
      <c r="AO78" t="b">
        <f>+ISNUMBER(SEARCH('F-VTA'!$F$34,Tabla11[[#This Row],[Cuenta]],1))</f>
        <v>1</v>
      </c>
      <c r="AP78" t="b">
        <f>+ISNUMBER(SEARCH('F-VTA'!$F$35,Tabla11[[#This Row],[Cuenta]],1))</f>
        <v>1</v>
      </c>
      <c r="AQ78" t="b">
        <f>+ISNUMBER(SEARCH('F-VTA'!$F$36,Tabla11[[#This Row],[Cuenta]],1))</f>
        <v>1</v>
      </c>
      <c r="AR78" t="b">
        <f>+ISNUMBER(SEARCH(#REF!,Tabla11[[#This Row],[Cuenta]],1))</f>
        <v>0</v>
      </c>
      <c r="AS78" t="b">
        <f>+ISNUMBER(SEARCH(#REF!,Tabla11[[#This Row],[Cuenta]],1))</f>
        <v>0</v>
      </c>
      <c r="AT78" t="b">
        <f>+ISNUMBER(SEARCH(#REF!,Tabla11[[#This Row],[Cuenta]],1))</f>
        <v>0</v>
      </c>
      <c r="AU78" t="b">
        <f>+ISNUMBER(SEARCH('Conc. Ban.1'!$I$9,Tabla11[[#This Row],[Cuenta]],1))</f>
        <v>0</v>
      </c>
      <c r="AV78" t="b">
        <f>+ISNUMBER(SEARCH(CompConta!$F$21,Tabla11[[#This Row],[Cuenta]],1))</f>
        <v>1</v>
      </c>
      <c r="AW78" t="b">
        <f>+ISNUMBER(SEARCH(CompConta!$F$22,Tabla11[[#This Row],[Cuenta]],1))</f>
        <v>1</v>
      </c>
      <c r="AX78" t="b">
        <f>+ISNUMBER(SEARCH(CompConta!$F$23,Tabla11[[#This Row],[Cuenta]],1))</f>
        <v>1</v>
      </c>
      <c r="AY78" t="b">
        <f>+ISNUMBER(SEARCH(CompConta!$F$24,Tabla11[[#This Row],[Cuenta]],1))</f>
        <v>1</v>
      </c>
      <c r="AZ78" t="b">
        <f>+ISNUMBER(SEARCH(CompConta!$F$25,Tabla11[[#This Row],[Cuenta]],1))</f>
        <v>1</v>
      </c>
      <c r="BA78" t="b">
        <f>+ISNUMBER(SEARCH(CompConta!$F$26,Tabla11[[#This Row],[Cuenta]],1))</f>
        <v>1</v>
      </c>
      <c r="BB78" t="b">
        <f>+ISNUMBER(SEARCH(CompConta!$F$27,Tabla11[[#This Row],[Cuenta]],1))</f>
        <v>1</v>
      </c>
      <c r="BC78" t="b">
        <f>+ISNUMBER(SEARCH(CompConta!$F$28,Tabla11[[#This Row],[Cuenta]],1))</f>
        <v>1</v>
      </c>
      <c r="BD78" t="b">
        <f>+ISNUMBER(SEARCH(CompConta!$F$29,Tabla11[[#This Row],[Cuenta]],1))</f>
        <v>1</v>
      </c>
      <c r="BE78" t="b">
        <f>+ISNUMBER(SEARCH(CompConta!$F$30,Tabla11[[#This Row],[Cuenta]],1))</f>
        <v>1</v>
      </c>
      <c r="BF78" t="b">
        <f>+ISNUMBER(SEARCH('PAGO Compras'!$E$11,Tabla11[[#This Row],[Cuenta]],1))</f>
        <v>1</v>
      </c>
      <c r="BG78" t="b">
        <f>+ISNUMBER(SEARCH(#REF!,Tabla11[[#This Row],[Cuenta]],1))</f>
        <v>0</v>
      </c>
      <c r="BH78" t="b">
        <f>+ISNUMBER(SEARCH(#REF!,Tabla11[[#This Row],[Cuenta]],1))</f>
        <v>0</v>
      </c>
      <c r="BI78" t="b">
        <f>+ISNUMBER(SEARCH(#REF!,Tabla11[[#This Row],[Cuenta]],1))</f>
        <v>0</v>
      </c>
      <c r="BJ78" t="b">
        <f>+ISNUMBER(SEARCH(#REF!,Tabla11[[#This Row],[Cuenta]],1))</f>
        <v>0</v>
      </c>
      <c r="BS78" t="str">
        <v>145099 *Ajustes por inflación</v>
      </c>
      <c r="BT78" t="str">
        <v>145099 *Ajustes por inflación</v>
      </c>
      <c r="BU78" t="str">
        <v>145099 *Ajustes por inflación</v>
      </c>
      <c r="BV78" t="str">
        <v>145099 *Ajustes por inflación</v>
      </c>
      <c r="BZ78" t="str">
        <v>145099 *Ajustes por inflación</v>
      </c>
      <c r="CA78" t="str">
        <v>145099 *Ajustes por inflación</v>
      </c>
      <c r="CB78" t="str">
        <v>145099 *Ajustes por inflación</v>
      </c>
      <c r="CC78" t="str">
        <v>145099 *Ajustes por inflación</v>
      </c>
      <c r="CD78" t="str">
        <v>145099 *Ajustes por inflación</v>
      </c>
      <c r="CE78" t="str">
        <v>145099 *Ajustes por inflación</v>
      </c>
      <c r="CS78" s="141" t="str">
        <v>145099 *Ajustes por inflación</v>
      </c>
      <c r="CT78" s="141" t="str">
        <v>145099 *Ajustes por inflación</v>
      </c>
      <c r="CU78" s="141" t="str">
        <v>145099 *Ajustes por inflación</v>
      </c>
      <c r="CV78" s="141" t="str">
        <v>145099 *Ajustes por inflación</v>
      </c>
      <c r="CW78" s="141" t="str">
        <v>145099 *Ajustes por inflación</v>
      </c>
      <c r="CX78" s="141" t="str">
        <v>145099 *Ajustes por inflación</v>
      </c>
      <c r="CY78" s="141" t="str">
        <v>145099 *Ajustes por inflación</v>
      </c>
      <c r="CZ78" s="141" t="str">
        <v>145099 *Ajustes por inflación</v>
      </c>
      <c r="DA78" s="141" t="str">
        <v>145099 *Ajustes por inflación</v>
      </c>
      <c r="DF78" t="str">
        <v>145099 *Ajustes por inflación</v>
      </c>
      <c r="DG78" t="str">
        <v>145099 *Ajustes por inflación</v>
      </c>
      <c r="DH78" t="str">
        <v>145099 *Ajustes por inflación</v>
      </c>
      <c r="DI78" t="str">
        <v>145099 *Ajustes por inflación</v>
      </c>
      <c r="DJ78" t="str">
        <v>145099 *Ajustes por inflación</v>
      </c>
      <c r="DK78" t="str">
        <v>145099 *Ajustes por inflación</v>
      </c>
      <c r="DL78" t="str">
        <v>145099 *Ajustes por inflación</v>
      </c>
      <c r="DM78" t="str">
        <v>145099 *Ajustes por inflación</v>
      </c>
      <c r="DN78" t="str">
        <v>145099 *Ajustes por inflación</v>
      </c>
      <c r="DO78" t="str">
        <v>145099 *Ajustes por inflación</v>
      </c>
      <c r="DP78" t="str">
        <v>145099 *Ajustes por inflación</v>
      </c>
    </row>
    <row r="79" spans="4:120" ht="12.75">
      <c r="D79" s="7">
        <v>1455</v>
      </c>
      <c r="E79" s="6" t="s">
        <v>106</v>
      </c>
      <c r="F79" s="5">
        <v>3</v>
      </c>
      <c r="G79" s="34" t="s">
        <v>821</v>
      </c>
      <c r="H79" s="8" t="s">
        <v>32</v>
      </c>
      <c r="I79" t="b">
        <f>+ISNUMBER(SEARCH('F-COMPRA'!$F$28,Tabla11[[#This Row],[Cuenta]],1))</f>
        <v>1</v>
      </c>
      <c r="J79" t="b">
        <f>+ISNUMBER(SEARCH('F-COMPRA'!$F$29,Tabla11[[#This Row],[Cuenta]],1))</f>
        <v>1</v>
      </c>
      <c r="K79" t="b">
        <f>+ISNUMBER(SEARCH('F-COMPRA'!$F$30,Tabla11[[#This Row],[Cuenta]],1))</f>
        <v>1</v>
      </c>
      <c r="L79" t="b">
        <f>+ISNUMBER(SEARCH('F-COMPRA'!$F$31,Tabla11[[#This Row],[Cuenta]],1))</f>
        <v>1</v>
      </c>
      <c r="M79" t="b">
        <f>+ISNUMBER(SEARCH('F-COMPRA'!$G$25,Tabla11[[#This Row],[Cuenta]],1))</f>
        <v>0</v>
      </c>
      <c r="N79" t="b">
        <f>+ISNUMBER(SEARCH(#REF!,Tabla11[[#This Row],[Cuenta]],1))</f>
        <v>0</v>
      </c>
      <c r="O79" t="b">
        <f>+ISNUMBER(SEARCH(#REF!,Tabla11[[#This Row],[Cuenta]],1))</f>
        <v>0</v>
      </c>
      <c r="P79" t="b">
        <f>+ISNUMBER(SEARCH('F-COMPRA'!$F$32,Tabla11[[#This Row],[Cuenta]],1))</f>
        <v>1</v>
      </c>
      <c r="Q79" t="b">
        <f>+ISNUMBER(SEARCH('F-COMPRA'!$F$33,Tabla11[[#This Row],[Cuenta]],1))</f>
        <v>1</v>
      </c>
      <c r="R79" t="b">
        <f>+ISNUMBER(SEARCH('F-COMPRA'!$F$34,Tabla11[[#This Row],[Cuenta]],1))</f>
        <v>1</v>
      </c>
      <c r="S79" t="b">
        <f>+ISNUMBER(SEARCH('F-COMPRA'!$F$35,Tabla11[[#This Row],[Cuenta]],1))</f>
        <v>1</v>
      </c>
      <c r="T79" t="b">
        <f>+ISNUMBER(SEARCH('F-COMPRA'!$F$36,Tabla11[[#This Row],[Cuenta]],1))</f>
        <v>1</v>
      </c>
      <c r="U79" t="b">
        <f>+ISNUMBER(SEARCH('F-COMPRA'!$F$37,Tabla11[[#This Row],[Cuenta]],1))</f>
        <v>1</v>
      </c>
      <c r="V79" t="b">
        <f>+ISNUMBER(SEARCH(#REF!,Tabla11[[#This Row],[Cuenta]],1))</f>
        <v>0</v>
      </c>
      <c r="W79" t="b">
        <f>+ISNUMBER(SEARCH('F-COMPRA'!#REF!,Tabla11[[#This Row],[Cuenta]],1))</f>
        <v>0</v>
      </c>
      <c r="X79" t="b">
        <f>+ISNUMBER(SEARCH('F-COMPRA'!#REF!,Tabla11[[#This Row],[Cuenta]],1))</f>
        <v>0</v>
      </c>
      <c r="Y79" t="b">
        <f>+ISNUMBER(SEARCH('F-COMPRA'!#REF!,Tabla11[[#This Row],[Cuenta]],1))</f>
        <v>0</v>
      </c>
      <c r="Z79" t="b">
        <f>+ISNUMBER(SEARCH('F-COMPRA'!#REF!,Tabla11[[#This Row],[Cuenta]],1))</f>
        <v>0</v>
      </c>
      <c r="AA79" t="b">
        <f>+ISNUMBER(SEARCH('F-COMPRA'!#REF!,Tabla11[[#This Row],[Cuenta]],1))</f>
        <v>0</v>
      </c>
      <c r="AB79" t="b">
        <f>+ISNUMBER(SEARCH('F-COMPRA'!#REF!,Tabla11[[#This Row],[Cuenta]],1))</f>
        <v>0</v>
      </c>
      <c r="AC79" t="b">
        <f>+ISNUMBER(SEARCH('F-COMPRA'!#REF!,Tabla11[[#This Row],[Cuenta]],1))</f>
        <v>0</v>
      </c>
      <c r="AD79" t="b">
        <f>+ISNUMBER(SEARCH('F-COMPRA'!#REF!,Tabla11[[#This Row],[Cuenta]],1))</f>
        <v>0</v>
      </c>
      <c r="AE79" t="b">
        <f>+ISNUMBER(SEARCH('F-COMPRA'!#REF!,Tabla11[[#This Row],[Cuenta]],1))</f>
        <v>0</v>
      </c>
      <c r="AF79" t="b">
        <f>+ISNUMBER(SEARCH('F-VTA'!$G$23,Tabla11[[#This Row],[Cuenta]],1))</f>
        <v>0</v>
      </c>
      <c r="AG79" t="b">
        <f>+ISNUMBER(SEARCH('F-VTA'!$G$24,Tabla11[[#This Row],[Cuenta]],1))</f>
        <v>0</v>
      </c>
      <c r="AH79" t="b">
        <f>+ISNUMBER(SEARCH('F-VTA'!$G$25,Tabla11[[#This Row],[Cuenta]],1))</f>
        <v>0</v>
      </c>
      <c r="AI79" t="b">
        <f>+ISNUMBER(SEARCH('F-VTA'!$F$28,Tabla11[[#This Row],[Cuenta]],1))</f>
        <v>1</v>
      </c>
      <c r="AJ79" t="b">
        <f>+ISNUMBER(SEARCH('F-VTA'!$F$29,Tabla11[[#This Row],[Cuenta]],1))</f>
        <v>1</v>
      </c>
      <c r="AK79" t="b">
        <f>+ISNUMBER(SEARCH('F-VTA'!$F$30,Tabla11[[#This Row],[Cuenta]],1))</f>
        <v>1</v>
      </c>
      <c r="AL79" t="b">
        <f>+ISNUMBER(SEARCH('F-VTA'!$F$31,Tabla11[[#This Row],[Cuenta]],1))</f>
        <v>1</v>
      </c>
      <c r="AM79" t="b">
        <f>+ISNUMBER(SEARCH('F-VTA'!$F$32,Tabla11[[#This Row],[Cuenta]],1))</f>
        <v>1</v>
      </c>
      <c r="AN79" t="b">
        <f>+ISNUMBER(SEARCH('F-VTA'!$F$33,Tabla11[[#This Row],[Cuenta]],1))</f>
        <v>1</v>
      </c>
      <c r="AO79" t="b">
        <f>+ISNUMBER(SEARCH('F-VTA'!$F$34,Tabla11[[#This Row],[Cuenta]],1))</f>
        <v>1</v>
      </c>
      <c r="AP79" t="b">
        <f>+ISNUMBER(SEARCH('F-VTA'!$F$35,Tabla11[[#This Row],[Cuenta]],1))</f>
        <v>1</v>
      </c>
      <c r="AQ79" t="b">
        <f>+ISNUMBER(SEARCH('F-VTA'!$F$36,Tabla11[[#This Row],[Cuenta]],1))</f>
        <v>1</v>
      </c>
      <c r="AR79" t="b">
        <f>+ISNUMBER(SEARCH(#REF!,Tabla11[[#This Row],[Cuenta]],1))</f>
        <v>0</v>
      </c>
      <c r="AS79" t="b">
        <f>+ISNUMBER(SEARCH(#REF!,Tabla11[[#This Row],[Cuenta]],1))</f>
        <v>0</v>
      </c>
      <c r="AT79" t="b">
        <f>+ISNUMBER(SEARCH(#REF!,Tabla11[[#This Row],[Cuenta]],1))</f>
        <v>0</v>
      </c>
      <c r="AU79" t="b">
        <f>+ISNUMBER(SEARCH('Conc. Ban.1'!$I$9,Tabla11[[#This Row],[Cuenta]],1))</f>
        <v>0</v>
      </c>
      <c r="AV79" t="b">
        <f>+ISNUMBER(SEARCH(CompConta!$F$21,Tabla11[[#This Row],[Cuenta]],1))</f>
        <v>1</v>
      </c>
      <c r="AW79" t="b">
        <f>+ISNUMBER(SEARCH(CompConta!$F$22,Tabla11[[#This Row],[Cuenta]],1))</f>
        <v>1</v>
      </c>
      <c r="AX79" t="b">
        <f>+ISNUMBER(SEARCH(CompConta!$F$23,Tabla11[[#This Row],[Cuenta]],1))</f>
        <v>1</v>
      </c>
      <c r="AY79" t="b">
        <f>+ISNUMBER(SEARCH(CompConta!$F$24,Tabla11[[#This Row],[Cuenta]],1))</f>
        <v>1</v>
      </c>
      <c r="AZ79" t="b">
        <f>+ISNUMBER(SEARCH(CompConta!$F$25,Tabla11[[#This Row],[Cuenta]],1))</f>
        <v>1</v>
      </c>
      <c r="BA79" t="b">
        <f>+ISNUMBER(SEARCH(CompConta!$F$26,Tabla11[[#This Row],[Cuenta]],1))</f>
        <v>1</v>
      </c>
      <c r="BB79" t="b">
        <f>+ISNUMBER(SEARCH(CompConta!$F$27,Tabla11[[#This Row],[Cuenta]],1))</f>
        <v>1</v>
      </c>
      <c r="BC79" t="b">
        <f>+ISNUMBER(SEARCH(CompConta!$F$28,Tabla11[[#This Row],[Cuenta]],1))</f>
        <v>1</v>
      </c>
      <c r="BD79" t="b">
        <f>+ISNUMBER(SEARCH(CompConta!$F$29,Tabla11[[#This Row],[Cuenta]],1))</f>
        <v>1</v>
      </c>
      <c r="BE79" t="b">
        <f>+ISNUMBER(SEARCH(CompConta!$F$30,Tabla11[[#This Row],[Cuenta]],1))</f>
        <v>1</v>
      </c>
      <c r="BF79" t="b">
        <f>+ISNUMBER(SEARCH('PAGO Compras'!$E$11,Tabla11[[#This Row],[Cuenta]],1))</f>
        <v>1</v>
      </c>
      <c r="BG79" t="b">
        <f>+ISNUMBER(SEARCH(#REF!,Tabla11[[#This Row],[Cuenta]],1))</f>
        <v>0</v>
      </c>
      <c r="BH79" t="b">
        <f>+ISNUMBER(SEARCH(#REF!,Tabla11[[#This Row],[Cuenta]],1))</f>
        <v>0</v>
      </c>
      <c r="BI79" t="b">
        <f>+ISNUMBER(SEARCH(#REF!,Tabla11[[#This Row],[Cuenta]],1))</f>
        <v>0</v>
      </c>
      <c r="BJ79" t="b">
        <f>+ISNUMBER(SEARCH(#REF!,Tabla11[[#This Row],[Cuenta]],1))</f>
        <v>0</v>
      </c>
      <c r="BS79" t="str">
        <v>1455 MATERIALES, REPUESTOS Y ACCESORIOS</v>
      </c>
      <c r="BT79" t="str">
        <v>1455 MATERIALES, REPUESTOS Y ACCESORIOS</v>
      </c>
      <c r="BU79" t="str">
        <v>1455 MATERIALES, REPUESTOS Y ACCESORIOS</v>
      </c>
      <c r="BV79" t="str">
        <v>1455 MATERIALES, REPUESTOS Y ACCESORIOS</v>
      </c>
      <c r="BZ79" t="str">
        <v>1455 MATERIALES, REPUESTOS Y ACCESORIOS</v>
      </c>
      <c r="CA79" t="str">
        <v>1455 MATERIALES, REPUESTOS Y ACCESORIOS</v>
      </c>
      <c r="CB79" t="str">
        <v>1455 MATERIALES, REPUESTOS Y ACCESORIOS</v>
      </c>
      <c r="CC79" t="str">
        <v>1455 MATERIALES, REPUESTOS Y ACCESORIOS</v>
      </c>
      <c r="CD79" t="str">
        <v>1455 MATERIALES, REPUESTOS Y ACCESORIOS</v>
      </c>
      <c r="CE79" t="str">
        <v>1455 MATERIALES, REPUESTOS Y ACCESORIOS</v>
      </c>
      <c r="CS79" s="141" t="str">
        <v>1455 MATERIALES, REPUESTOS Y ACCESORIOS</v>
      </c>
      <c r="CT79" s="141" t="str">
        <v>1455 MATERIALES, REPUESTOS Y ACCESORIOS</v>
      </c>
      <c r="CU79" s="141" t="str">
        <v>1455 MATERIALES, REPUESTOS Y ACCESORIOS</v>
      </c>
      <c r="CV79" s="141" t="str">
        <v>1455 MATERIALES, REPUESTOS Y ACCESORIOS</v>
      </c>
      <c r="CW79" s="141" t="str">
        <v>1455 MATERIALES, REPUESTOS Y ACCESORIOS</v>
      </c>
      <c r="CX79" s="141" t="str">
        <v>1455 MATERIALES, REPUESTOS Y ACCESORIOS</v>
      </c>
      <c r="CY79" s="141" t="str">
        <v>1455 MATERIALES, REPUESTOS Y ACCESORIOS</v>
      </c>
      <c r="CZ79" s="141" t="str">
        <v>1455 MATERIALES, REPUESTOS Y ACCESORIOS</v>
      </c>
      <c r="DA79" s="141" t="str">
        <v>1455 MATERIALES, REPUESTOS Y ACCESORIOS</v>
      </c>
      <c r="DF79" t="str">
        <v>1455 MATERIALES, REPUESTOS Y ACCESORIOS</v>
      </c>
      <c r="DG79" t="str">
        <v>1455 MATERIALES, REPUESTOS Y ACCESORIOS</v>
      </c>
      <c r="DH79" t="str">
        <v>1455 MATERIALES, REPUESTOS Y ACCESORIOS</v>
      </c>
      <c r="DI79" t="str">
        <v>1455 MATERIALES, REPUESTOS Y ACCESORIOS</v>
      </c>
      <c r="DJ79" t="str">
        <v>1455 MATERIALES, REPUESTOS Y ACCESORIOS</v>
      </c>
      <c r="DK79" t="str">
        <v>1455 MATERIALES, REPUESTOS Y ACCESORIOS</v>
      </c>
      <c r="DL79" t="str">
        <v>1455 MATERIALES, REPUESTOS Y ACCESORIOS</v>
      </c>
      <c r="DM79" t="str">
        <v>1455 MATERIALES, REPUESTOS Y ACCESORIOS</v>
      </c>
      <c r="DN79" t="str">
        <v>1455 MATERIALES, REPUESTOS Y ACCESORIOS</v>
      </c>
      <c r="DO79" t="str">
        <v>1455 MATERIALES, REPUESTOS Y ACCESORIOS</v>
      </c>
      <c r="DP79" t="str">
        <v>1455 MATERIALES, REPUESTOS Y ACCESORIOS</v>
      </c>
    </row>
    <row r="80" spans="4:120" ht="12.75">
      <c r="D80" s="7">
        <v>145599</v>
      </c>
      <c r="E80" s="6" t="s">
        <v>93</v>
      </c>
      <c r="F80" s="5">
        <v>4</v>
      </c>
      <c r="G80" s="34" t="s">
        <v>821</v>
      </c>
      <c r="H80" s="8" t="s">
        <v>32</v>
      </c>
      <c r="I80" t="b">
        <f>+ISNUMBER(SEARCH('F-COMPRA'!$F$28,Tabla11[[#This Row],[Cuenta]],1))</f>
        <v>1</v>
      </c>
      <c r="J80" t="b">
        <f>+ISNUMBER(SEARCH('F-COMPRA'!$F$29,Tabla11[[#This Row],[Cuenta]],1))</f>
        <v>1</v>
      </c>
      <c r="K80" t="b">
        <f>+ISNUMBER(SEARCH('F-COMPRA'!$F$30,Tabla11[[#This Row],[Cuenta]],1))</f>
        <v>1</v>
      </c>
      <c r="L80" t="b">
        <f>+ISNUMBER(SEARCH('F-COMPRA'!$F$31,Tabla11[[#This Row],[Cuenta]],1))</f>
        <v>1</v>
      </c>
      <c r="M80" t="b">
        <f>+ISNUMBER(SEARCH('F-COMPRA'!$G$25,Tabla11[[#This Row],[Cuenta]],1))</f>
        <v>0</v>
      </c>
      <c r="N80" t="b">
        <f>+ISNUMBER(SEARCH(#REF!,Tabla11[[#This Row],[Cuenta]],1))</f>
        <v>0</v>
      </c>
      <c r="O80" t="b">
        <f>+ISNUMBER(SEARCH(#REF!,Tabla11[[#This Row],[Cuenta]],1))</f>
        <v>0</v>
      </c>
      <c r="P80" t="b">
        <f>+ISNUMBER(SEARCH('F-COMPRA'!$F$32,Tabla11[[#This Row],[Cuenta]],1))</f>
        <v>1</v>
      </c>
      <c r="Q80" t="b">
        <f>+ISNUMBER(SEARCH('F-COMPRA'!$F$33,Tabla11[[#This Row],[Cuenta]],1))</f>
        <v>1</v>
      </c>
      <c r="R80" t="b">
        <f>+ISNUMBER(SEARCH('F-COMPRA'!$F$34,Tabla11[[#This Row],[Cuenta]],1))</f>
        <v>1</v>
      </c>
      <c r="S80" t="b">
        <f>+ISNUMBER(SEARCH('F-COMPRA'!$F$35,Tabla11[[#This Row],[Cuenta]],1))</f>
        <v>1</v>
      </c>
      <c r="T80" t="b">
        <f>+ISNUMBER(SEARCH('F-COMPRA'!$F$36,Tabla11[[#This Row],[Cuenta]],1))</f>
        <v>1</v>
      </c>
      <c r="U80" t="b">
        <f>+ISNUMBER(SEARCH('F-COMPRA'!$F$37,Tabla11[[#This Row],[Cuenta]],1))</f>
        <v>1</v>
      </c>
      <c r="V80" t="b">
        <f>+ISNUMBER(SEARCH(#REF!,Tabla11[[#This Row],[Cuenta]],1))</f>
        <v>0</v>
      </c>
      <c r="W80" t="b">
        <f>+ISNUMBER(SEARCH('F-COMPRA'!#REF!,Tabla11[[#This Row],[Cuenta]],1))</f>
        <v>0</v>
      </c>
      <c r="X80" t="b">
        <f>+ISNUMBER(SEARCH('F-COMPRA'!#REF!,Tabla11[[#This Row],[Cuenta]],1))</f>
        <v>0</v>
      </c>
      <c r="Y80" t="b">
        <f>+ISNUMBER(SEARCH('F-COMPRA'!#REF!,Tabla11[[#This Row],[Cuenta]],1))</f>
        <v>0</v>
      </c>
      <c r="Z80" t="b">
        <f>+ISNUMBER(SEARCH('F-COMPRA'!#REF!,Tabla11[[#This Row],[Cuenta]],1))</f>
        <v>0</v>
      </c>
      <c r="AA80" t="b">
        <f>+ISNUMBER(SEARCH('F-COMPRA'!#REF!,Tabla11[[#This Row],[Cuenta]],1))</f>
        <v>0</v>
      </c>
      <c r="AB80" t="b">
        <f>+ISNUMBER(SEARCH('F-COMPRA'!#REF!,Tabla11[[#This Row],[Cuenta]],1))</f>
        <v>0</v>
      </c>
      <c r="AC80" t="b">
        <f>+ISNUMBER(SEARCH('F-COMPRA'!#REF!,Tabla11[[#This Row],[Cuenta]],1))</f>
        <v>0</v>
      </c>
      <c r="AD80" t="b">
        <f>+ISNUMBER(SEARCH('F-COMPRA'!#REF!,Tabla11[[#This Row],[Cuenta]],1))</f>
        <v>0</v>
      </c>
      <c r="AE80" t="b">
        <f>+ISNUMBER(SEARCH('F-COMPRA'!#REF!,Tabla11[[#This Row],[Cuenta]],1))</f>
        <v>0</v>
      </c>
      <c r="AF80" t="b">
        <f>+ISNUMBER(SEARCH('F-VTA'!$G$23,Tabla11[[#This Row],[Cuenta]],1))</f>
        <v>0</v>
      </c>
      <c r="AG80" t="b">
        <f>+ISNUMBER(SEARCH('F-VTA'!$G$24,Tabla11[[#This Row],[Cuenta]],1))</f>
        <v>0</v>
      </c>
      <c r="AH80" t="b">
        <f>+ISNUMBER(SEARCH('F-VTA'!$G$25,Tabla11[[#This Row],[Cuenta]],1))</f>
        <v>0</v>
      </c>
      <c r="AI80" t="b">
        <f>+ISNUMBER(SEARCH('F-VTA'!$F$28,Tabla11[[#This Row],[Cuenta]],1))</f>
        <v>1</v>
      </c>
      <c r="AJ80" t="b">
        <f>+ISNUMBER(SEARCH('F-VTA'!$F$29,Tabla11[[#This Row],[Cuenta]],1))</f>
        <v>1</v>
      </c>
      <c r="AK80" t="b">
        <f>+ISNUMBER(SEARCH('F-VTA'!$F$30,Tabla11[[#This Row],[Cuenta]],1))</f>
        <v>1</v>
      </c>
      <c r="AL80" t="b">
        <f>+ISNUMBER(SEARCH('F-VTA'!$F$31,Tabla11[[#This Row],[Cuenta]],1))</f>
        <v>1</v>
      </c>
      <c r="AM80" t="b">
        <f>+ISNUMBER(SEARCH('F-VTA'!$F$32,Tabla11[[#This Row],[Cuenta]],1))</f>
        <v>1</v>
      </c>
      <c r="AN80" t="b">
        <f>+ISNUMBER(SEARCH('F-VTA'!$F$33,Tabla11[[#This Row],[Cuenta]],1))</f>
        <v>1</v>
      </c>
      <c r="AO80" t="b">
        <f>+ISNUMBER(SEARCH('F-VTA'!$F$34,Tabla11[[#This Row],[Cuenta]],1))</f>
        <v>1</v>
      </c>
      <c r="AP80" t="b">
        <f>+ISNUMBER(SEARCH('F-VTA'!$F$35,Tabla11[[#This Row],[Cuenta]],1))</f>
        <v>1</v>
      </c>
      <c r="AQ80" t="b">
        <f>+ISNUMBER(SEARCH('F-VTA'!$F$36,Tabla11[[#This Row],[Cuenta]],1))</f>
        <v>1</v>
      </c>
      <c r="AR80" t="b">
        <f>+ISNUMBER(SEARCH(#REF!,Tabla11[[#This Row],[Cuenta]],1))</f>
        <v>0</v>
      </c>
      <c r="AS80" t="b">
        <f>+ISNUMBER(SEARCH(#REF!,Tabla11[[#This Row],[Cuenta]],1))</f>
        <v>0</v>
      </c>
      <c r="AT80" t="b">
        <f>+ISNUMBER(SEARCH(#REF!,Tabla11[[#This Row],[Cuenta]],1))</f>
        <v>0</v>
      </c>
      <c r="AU80" t="b">
        <f>+ISNUMBER(SEARCH('Conc. Ban.1'!$I$9,Tabla11[[#This Row],[Cuenta]],1))</f>
        <v>0</v>
      </c>
      <c r="AV80" t="b">
        <f>+ISNUMBER(SEARCH(CompConta!$F$21,Tabla11[[#This Row],[Cuenta]],1))</f>
        <v>1</v>
      </c>
      <c r="AW80" t="b">
        <f>+ISNUMBER(SEARCH(CompConta!$F$22,Tabla11[[#This Row],[Cuenta]],1))</f>
        <v>1</v>
      </c>
      <c r="AX80" t="b">
        <f>+ISNUMBER(SEARCH(CompConta!$F$23,Tabla11[[#This Row],[Cuenta]],1))</f>
        <v>1</v>
      </c>
      <c r="AY80" t="b">
        <f>+ISNUMBER(SEARCH(CompConta!$F$24,Tabla11[[#This Row],[Cuenta]],1))</f>
        <v>1</v>
      </c>
      <c r="AZ80" t="b">
        <f>+ISNUMBER(SEARCH(CompConta!$F$25,Tabla11[[#This Row],[Cuenta]],1))</f>
        <v>1</v>
      </c>
      <c r="BA80" t="b">
        <f>+ISNUMBER(SEARCH(CompConta!$F$26,Tabla11[[#This Row],[Cuenta]],1))</f>
        <v>1</v>
      </c>
      <c r="BB80" t="b">
        <f>+ISNUMBER(SEARCH(CompConta!$F$27,Tabla11[[#This Row],[Cuenta]],1))</f>
        <v>1</v>
      </c>
      <c r="BC80" t="b">
        <f>+ISNUMBER(SEARCH(CompConta!$F$28,Tabla11[[#This Row],[Cuenta]],1))</f>
        <v>1</v>
      </c>
      <c r="BD80" t="b">
        <f>+ISNUMBER(SEARCH(CompConta!$F$29,Tabla11[[#This Row],[Cuenta]],1))</f>
        <v>1</v>
      </c>
      <c r="BE80" t="b">
        <f>+ISNUMBER(SEARCH(CompConta!$F$30,Tabla11[[#This Row],[Cuenta]],1))</f>
        <v>1</v>
      </c>
      <c r="BF80" t="b">
        <f>+ISNUMBER(SEARCH('PAGO Compras'!$E$11,Tabla11[[#This Row],[Cuenta]],1))</f>
        <v>1</v>
      </c>
      <c r="BG80" t="b">
        <f>+ISNUMBER(SEARCH(#REF!,Tabla11[[#This Row],[Cuenta]],1))</f>
        <v>0</v>
      </c>
      <c r="BH80" t="b">
        <f>+ISNUMBER(SEARCH(#REF!,Tabla11[[#This Row],[Cuenta]],1))</f>
        <v>0</v>
      </c>
      <c r="BI80" t="b">
        <f>+ISNUMBER(SEARCH(#REF!,Tabla11[[#This Row],[Cuenta]],1))</f>
        <v>0</v>
      </c>
      <c r="BJ80" t="b">
        <f>+ISNUMBER(SEARCH(#REF!,Tabla11[[#This Row],[Cuenta]],1))</f>
        <v>0</v>
      </c>
      <c r="BS80" t="str">
        <v>145599 *Ajustes por inflación</v>
      </c>
      <c r="BT80" t="str">
        <v>145599 *Ajustes por inflación</v>
      </c>
      <c r="BU80" t="str">
        <v>145599 *Ajustes por inflación</v>
      </c>
      <c r="BV80" t="str">
        <v>145599 *Ajustes por inflación</v>
      </c>
      <c r="BZ80" t="str">
        <v>145599 *Ajustes por inflación</v>
      </c>
      <c r="CA80" t="str">
        <v>145599 *Ajustes por inflación</v>
      </c>
      <c r="CB80" t="str">
        <v>145599 *Ajustes por inflación</v>
      </c>
      <c r="CC80" t="str">
        <v>145599 *Ajustes por inflación</v>
      </c>
      <c r="CD80" t="str">
        <v>145599 *Ajustes por inflación</v>
      </c>
      <c r="CE80" t="str">
        <v>145599 *Ajustes por inflación</v>
      </c>
      <c r="CS80" s="141" t="str">
        <v>145599 *Ajustes por inflación</v>
      </c>
      <c r="CT80" s="141" t="str">
        <v>145599 *Ajustes por inflación</v>
      </c>
      <c r="CU80" s="141" t="str">
        <v>145599 *Ajustes por inflación</v>
      </c>
      <c r="CV80" s="141" t="str">
        <v>145599 *Ajustes por inflación</v>
      </c>
      <c r="CW80" s="141" t="str">
        <v>145599 *Ajustes por inflación</v>
      </c>
      <c r="CX80" s="141" t="str">
        <v>145599 *Ajustes por inflación</v>
      </c>
      <c r="CY80" s="141" t="str">
        <v>145599 *Ajustes por inflación</v>
      </c>
      <c r="CZ80" s="141" t="str">
        <v>145599 *Ajustes por inflación</v>
      </c>
      <c r="DA80" s="141" t="str">
        <v>145599 *Ajustes por inflación</v>
      </c>
      <c r="DF80" t="str">
        <v>145599 *Ajustes por inflación</v>
      </c>
      <c r="DG80" t="str">
        <v>145599 *Ajustes por inflación</v>
      </c>
      <c r="DH80" t="str">
        <v>145599 *Ajustes por inflación</v>
      </c>
      <c r="DI80" t="str">
        <v>145599 *Ajustes por inflación</v>
      </c>
      <c r="DJ80" t="str">
        <v>145599 *Ajustes por inflación</v>
      </c>
      <c r="DK80" t="str">
        <v>145599 *Ajustes por inflación</v>
      </c>
      <c r="DL80" t="str">
        <v>145599 *Ajustes por inflación</v>
      </c>
      <c r="DM80" t="str">
        <v>145599 *Ajustes por inflación</v>
      </c>
      <c r="DN80" t="str">
        <v>145599 *Ajustes por inflación</v>
      </c>
      <c r="DO80" t="str">
        <v>145599 *Ajustes por inflación</v>
      </c>
      <c r="DP80" t="str">
        <v>145599 *Ajustes por inflación</v>
      </c>
    </row>
    <row r="81" spans="4:120" ht="12.75">
      <c r="D81" s="7">
        <v>1460</v>
      </c>
      <c r="E81" s="6" t="s">
        <v>107</v>
      </c>
      <c r="F81" s="5">
        <v>3</v>
      </c>
      <c r="G81" s="34" t="s">
        <v>821</v>
      </c>
      <c r="H81" s="8" t="s">
        <v>32</v>
      </c>
      <c r="I81" t="b">
        <f>+ISNUMBER(SEARCH('F-COMPRA'!$F$28,Tabla11[[#This Row],[Cuenta]],1))</f>
        <v>1</v>
      </c>
      <c r="J81" t="b">
        <f>+ISNUMBER(SEARCH('F-COMPRA'!$F$29,Tabla11[[#This Row],[Cuenta]],1))</f>
        <v>1</v>
      </c>
      <c r="K81" t="b">
        <f>+ISNUMBER(SEARCH('F-COMPRA'!$F$30,Tabla11[[#This Row],[Cuenta]],1))</f>
        <v>1</v>
      </c>
      <c r="L81" t="b">
        <f>+ISNUMBER(SEARCH('F-COMPRA'!$F$31,Tabla11[[#This Row],[Cuenta]],1))</f>
        <v>1</v>
      </c>
      <c r="M81" t="b">
        <f>+ISNUMBER(SEARCH('F-COMPRA'!$G$25,Tabla11[[#This Row],[Cuenta]],1))</f>
        <v>0</v>
      </c>
      <c r="N81" t="b">
        <f>+ISNUMBER(SEARCH(#REF!,Tabla11[[#This Row],[Cuenta]],1))</f>
        <v>0</v>
      </c>
      <c r="O81" t="b">
        <f>+ISNUMBER(SEARCH(#REF!,Tabla11[[#This Row],[Cuenta]],1))</f>
        <v>0</v>
      </c>
      <c r="P81" t="b">
        <f>+ISNUMBER(SEARCH('F-COMPRA'!$F$32,Tabla11[[#This Row],[Cuenta]],1))</f>
        <v>1</v>
      </c>
      <c r="Q81" t="b">
        <f>+ISNUMBER(SEARCH('F-COMPRA'!$F$33,Tabla11[[#This Row],[Cuenta]],1))</f>
        <v>1</v>
      </c>
      <c r="R81" t="b">
        <f>+ISNUMBER(SEARCH('F-COMPRA'!$F$34,Tabla11[[#This Row],[Cuenta]],1))</f>
        <v>1</v>
      </c>
      <c r="S81" t="b">
        <f>+ISNUMBER(SEARCH('F-COMPRA'!$F$35,Tabla11[[#This Row],[Cuenta]],1))</f>
        <v>1</v>
      </c>
      <c r="T81" t="b">
        <f>+ISNUMBER(SEARCH('F-COMPRA'!$F$36,Tabla11[[#This Row],[Cuenta]],1))</f>
        <v>1</v>
      </c>
      <c r="U81" t="b">
        <f>+ISNUMBER(SEARCH('F-COMPRA'!$F$37,Tabla11[[#This Row],[Cuenta]],1))</f>
        <v>1</v>
      </c>
      <c r="V81" t="b">
        <f>+ISNUMBER(SEARCH(#REF!,Tabla11[[#This Row],[Cuenta]],1))</f>
        <v>0</v>
      </c>
      <c r="W81" t="b">
        <f>+ISNUMBER(SEARCH('F-COMPRA'!#REF!,Tabla11[[#This Row],[Cuenta]],1))</f>
        <v>0</v>
      </c>
      <c r="X81" t="b">
        <f>+ISNUMBER(SEARCH('F-COMPRA'!#REF!,Tabla11[[#This Row],[Cuenta]],1))</f>
        <v>0</v>
      </c>
      <c r="Y81" t="b">
        <f>+ISNUMBER(SEARCH('F-COMPRA'!#REF!,Tabla11[[#This Row],[Cuenta]],1))</f>
        <v>0</v>
      </c>
      <c r="Z81" t="b">
        <f>+ISNUMBER(SEARCH('F-COMPRA'!#REF!,Tabla11[[#This Row],[Cuenta]],1))</f>
        <v>0</v>
      </c>
      <c r="AA81" t="b">
        <f>+ISNUMBER(SEARCH('F-COMPRA'!#REF!,Tabla11[[#This Row],[Cuenta]],1))</f>
        <v>0</v>
      </c>
      <c r="AB81" t="b">
        <f>+ISNUMBER(SEARCH('F-COMPRA'!#REF!,Tabla11[[#This Row],[Cuenta]],1))</f>
        <v>0</v>
      </c>
      <c r="AC81" t="b">
        <f>+ISNUMBER(SEARCH('F-COMPRA'!#REF!,Tabla11[[#This Row],[Cuenta]],1))</f>
        <v>0</v>
      </c>
      <c r="AD81" t="b">
        <f>+ISNUMBER(SEARCH('F-COMPRA'!#REF!,Tabla11[[#This Row],[Cuenta]],1))</f>
        <v>0</v>
      </c>
      <c r="AE81" t="b">
        <f>+ISNUMBER(SEARCH('F-COMPRA'!#REF!,Tabla11[[#This Row],[Cuenta]],1))</f>
        <v>0</v>
      </c>
      <c r="AF81" t="b">
        <f>+ISNUMBER(SEARCH('F-VTA'!$G$23,Tabla11[[#This Row],[Cuenta]],1))</f>
        <v>0</v>
      </c>
      <c r="AG81" t="b">
        <f>+ISNUMBER(SEARCH('F-VTA'!$G$24,Tabla11[[#This Row],[Cuenta]],1))</f>
        <v>0</v>
      </c>
      <c r="AH81" t="b">
        <f>+ISNUMBER(SEARCH('F-VTA'!$G$25,Tabla11[[#This Row],[Cuenta]],1))</f>
        <v>0</v>
      </c>
      <c r="AI81" t="b">
        <f>+ISNUMBER(SEARCH('F-VTA'!$F$28,Tabla11[[#This Row],[Cuenta]],1))</f>
        <v>1</v>
      </c>
      <c r="AJ81" t="b">
        <f>+ISNUMBER(SEARCH('F-VTA'!$F$29,Tabla11[[#This Row],[Cuenta]],1))</f>
        <v>1</v>
      </c>
      <c r="AK81" t="b">
        <f>+ISNUMBER(SEARCH('F-VTA'!$F$30,Tabla11[[#This Row],[Cuenta]],1))</f>
        <v>1</v>
      </c>
      <c r="AL81" t="b">
        <f>+ISNUMBER(SEARCH('F-VTA'!$F$31,Tabla11[[#This Row],[Cuenta]],1))</f>
        <v>1</v>
      </c>
      <c r="AM81" t="b">
        <f>+ISNUMBER(SEARCH('F-VTA'!$F$32,Tabla11[[#This Row],[Cuenta]],1))</f>
        <v>1</v>
      </c>
      <c r="AN81" t="b">
        <f>+ISNUMBER(SEARCH('F-VTA'!$F$33,Tabla11[[#This Row],[Cuenta]],1))</f>
        <v>1</v>
      </c>
      <c r="AO81" t="b">
        <f>+ISNUMBER(SEARCH('F-VTA'!$F$34,Tabla11[[#This Row],[Cuenta]],1))</f>
        <v>1</v>
      </c>
      <c r="AP81" t="b">
        <f>+ISNUMBER(SEARCH('F-VTA'!$F$35,Tabla11[[#This Row],[Cuenta]],1))</f>
        <v>1</v>
      </c>
      <c r="AQ81" t="b">
        <f>+ISNUMBER(SEARCH('F-VTA'!$F$36,Tabla11[[#This Row],[Cuenta]],1))</f>
        <v>1</v>
      </c>
      <c r="AR81" t="b">
        <f>+ISNUMBER(SEARCH(#REF!,Tabla11[[#This Row],[Cuenta]],1))</f>
        <v>0</v>
      </c>
      <c r="AS81" t="b">
        <f>+ISNUMBER(SEARCH(#REF!,Tabla11[[#This Row],[Cuenta]],1))</f>
        <v>0</v>
      </c>
      <c r="AT81" t="b">
        <f>+ISNUMBER(SEARCH(#REF!,Tabla11[[#This Row],[Cuenta]],1))</f>
        <v>0</v>
      </c>
      <c r="AU81" t="b">
        <f>+ISNUMBER(SEARCH('Conc. Ban.1'!$I$9,Tabla11[[#This Row],[Cuenta]],1))</f>
        <v>0</v>
      </c>
      <c r="AV81" t="b">
        <f>+ISNUMBER(SEARCH(CompConta!$F$21,Tabla11[[#This Row],[Cuenta]],1))</f>
        <v>1</v>
      </c>
      <c r="AW81" t="b">
        <f>+ISNUMBER(SEARCH(CompConta!$F$22,Tabla11[[#This Row],[Cuenta]],1))</f>
        <v>1</v>
      </c>
      <c r="AX81" t="b">
        <f>+ISNUMBER(SEARCH(CompConta!$F$23,Tabla11[[#This Row],[Cuenta]],1))</f>
        <v>1</v>
      </c>
      <c r="AY81" t="b">
        <f>+ISNUMBER(SEARCH(CompConta!$F$24,Tabla11[[#This Row],[Cuenta]],1))</f>
        <v>1</v>
      </c>
      <c r="AZ81" t="b">
        <f>+ISNUMBER(SEARCH(CompConta!$F$25,Tabla11[[#This Row],[Cuenta]],1))</f>
        <v>1</v>
      </c>
      <c r="BA81" t="b">
        <f>+ISNUMBER(SEARCH(CompConta!$F$26,Tabla11[[#This Row],[Cuenta]],1))</f>
        <v>1</v>
      </c>
      <c r="BB81" t="b">
        <f>+ISNUMBER(SEARCH(CompConta!$F$27,Tabla11[[#This Row],[Cuenta]],1))</f>
        <v>1</v>
      </c>
      <c r="BC81" t="b">
        <f>+ISNUMBER(SEARCH(CompConta!$F$28,Tabla11[[#This Row],[Cuenta]],1))</f>
        <v>1</v>
      </c>
      <c r="BD81" t="b">
        <f>+ISNUMBER(SEARCH(CompConta!$F$29,Tabla11[[#This Row],[Cuenta]],1))</f>
        <v>1</v>
      </c>
      <c r="BE81" t="b">
        <f>+ISNUMBER(SEARCH(CompConta!$F$30,Tabla11[[#This Row],[Cuenta]],1))</f>
        <v>1</v>
      </c>
      <c r="BF81" t="b">
        <f>+ISNUMBER(SEARCH('PAGO Compras'!$E$11,Tabla11[[#This Row],[Cuenta]],1))</f>
        <v>1</v>
      </c>
      <c r="BG81" t="b">
        <f>+ISNUMBER(SEARCH(#REF!,Tabla11[[#This Row],[Cuenta]],1))</f>
        <v>0</v>
      </c>
      <c r="BH81" t="b">
        <f>+ISNUMBER(SEARCH(#REF!,Tabla11[[#This Row],[Cuenta]],1))</f>
        <v>0</v>
      </c>
      <c r="BI81" t="b">
        <f>+ISNUMBER(SEARCH(#REF!,Tabla11[[#This Row],[Cuenta]],1))</f>
        <v>0</v>
      </c>
      <c r="BJ81" t="b">
        <f>+ISNUMBER(SEARCH(#REF!,Tabla11[[#This Row],[Cuenta]],1))</f>
        <v>0</v>
      </c>
      <c r="BS81" t="str">
        <v>1460 ENVASES Y EMPAQUES</v>
      </c>
      <c r="BT81" t="str">
        <v>1460 ENVASES Y EMPAQUES</v>
      </c>
      <c r="BU81" t="str">
        <v>1460 ENVASES Y EMPAQUES</v>
      </c>
      <c r="BV81" t="str">
        <v>1460 ENVASES Y EMPAQUES</v>
      </c>
      <c r="BZ81" t="str">
        <v>1460 ENVASES Y EMPAQUES</v>
      </c>
      <c r="CA81" t="str">
        <v>1460 ENVASES Y EMPAQUES</v>
      </c>
      <c r="CB81" t="str">
        <v>1460 ENVASES Y EMPAQUES</v>
      </c>
      <c r="CC81" t="str">
        <v>1460 ENVASES Y EMPAQUES</v>
      </c>
      <c r="CD81" t="str">
        <v>1460 ENVASES Y EMPAQUES</v>
      </c>
      <c r="CE81" t="str">
        <v>1460 ENVASES Y EMPAQUES</v>
      </c>
      <c r="CS81" s="141" t="str">
        <v>1460 ENVASES Y EMPAQUES</v>
      </c>
      <c r="CT81" s="141" t="str">
        <v>1460 ENVASES Y EMPAQUES</v>
      </c>
      <c r="CU81" s="141" t="str">
        <v>1460 ENVASES Y EMPAQUES</v>
      </c>
      <c r="CV81" s="141" t="str">
        <v>1460 ENVASES Y EMPAQUES</v>
      </c>
      <c r="CW81" s="141" t="str">
        <v>1460 ENVASES Y EMPAQUES</v>
      </c>
      <c r="CX81" s="141" t="str">
        <v>1460 ENVASES Y EMPAQUES</v>
      </c>
      <c r="CY81" s="141" t="str">
        <v>1460 ENVASES Y EMPAQUES</v>
      </c>
      <c r="CZ81" s="141" t="str">
        <v>1460 ENVASES Y EMPAQUES</v>
      </c>
      <c r="DA81" s="141" t="str">
        <v>1460 ENVASES Y EMPAQUES</v>
      </c>
      <c r="DF81" t="str">
        <v>1460 ENVASES Y EMPAQUES</v>
      </c>
      <c r="DG81" t="str">
        <v>1460 ENVASES Y EMPAQUES</v>
      </c>
      <c r="DH81" t="str">
        <v>1460 ENVASES Y EMPAQUES</v>
      </c>
      <c r="DI81" t="str">
        <v>1460 ENVASES Y EMPAQUES</v>
      </c>
      <c r="DJ81" t="str">
        <v>1460 ENVASES Y EMPAQUES</v>
      </c>
      <c r="DK81" t="str">
        <v>1460 ENVASES Y EMPAQUES</v>
      </c>
      <c r="DL81" t="str">
        <v>1460 ENVASES Y EMPAQUES</v>
      </c>
      <c r="DM81" t="str">
        <v>1460 ENVASES Y EMPAQUES</v>
      </c>
      <c r="DN81" t="str">
        <v>1460 ENVASES Y EMPAQUES</v>
      </c>
      <c r="DO81" t="str">
        <v>1460 ENVASES Y EMPAQUES</v>
      </c>
      <c r="DP81" t="str">
        <v>1460 ENVASES Y EMPAQUES</v>
      </c>
    </row>
    <row r="82" spans="4:120" ht="12.75">
      <c r="D82" s="7">
        <v>146099</v>
      </c>
      <c r="E82" s="6" t="s">
        <v>93</v>
      </c>
      <c r="F82" s="5">
        <v>4</v>
      </c>
      <c r="G82" s="34" t="s">
        <v>821</v>
      </c>
      <c r="H82" s="8" t="s">
        <v>32</v>
      </c>
      <c r="I82" t="b">
        <f>+ISNUMBER(SEARCH('F-COMPRA'!$F$28,Tabla11[[#This Row],[Cuenta]],1))</f>
        <v>1</v>
      </c>
      <c r="J82" t="b">
        <f>+ISNUMBER(SEARCH('F-COMPRA'!$F$29,Tabla11[[#This Row],[Cuenta]],1))</f>
        <v>1</v>
      </c>
      <c r="K82" t="b">
        <f>+ISNUMBER(SEARCH('F-COMPRA'!$F$30,Tabla11[[#This Row],[Cuenta]],1))</f>
        <v>1</v>
      </c>
      <c r="L82" t="b">
        <f>+ISNUMBER(SEARCH('F-COMPRA'!$F$31,Tabla11[[#This Row],[Cuenta]],1))</f>
        <v>1</v>
      </c>
      <c r="M82" t="b">
        <f>+ISNUMBER(SEARCH('F-COMPRA'!$G$25,Tabla11[[#This Row],[Cuenta]],1))</f>
        <v>0</v>
      </c>
      <c r="N82" t="b">
        <f>+ISNUMBER(SEARCH(#REF!,Tabla11[[#This Row],[Cuenta]],1))</f>
        <v>0</v>
      </c>
      <c r="O82" t="b">
        <f>+ISNUMBER(SEARCH(#REF!,Tabla11[[#This Row],[Cuenta]],1))</f>
        <v>0</v>
      </c>
      <c r="P82" t="b">
        <f>+ISNUMBER(SEARCH('F-COMPRA'!$F$32,Tabla11[[#This Row],[Cuenta]],1))</f>
        <v>1</v>
      </c>
      <c r="Q82" t="b">
        <f>+ISNUMBER(SEARCH('F-COMPRA'!$F$33,Tabla11[[#This Row],[Cuenta]],1))</f>
        <v>1</v>
      </c>
      <c r="R82" t="b">
        <f>+ISNUMBER(SEARCH('F-COMPRA'!$F$34,Tabla11[[#This Row],[Cuenta]],1))</f>
        <v>1</v>
      </c>
      <c r="S82" t="b">
        <f>+ISNUMBER(SEARCH('F-COMPRA'!$F$35,Tabla11[[#This Row],[Cuenta]],1))</f>
        <v>1</v>
      </c>
      <c r="T82" t="b">
        <f>+ISNUMBER(SEARCH('F-COMPRA'!$F$36,Tabla11[[#This Row],[Cuenta]],1))</f>
        <v>1</v>
      </c>
      <c r="U82" t="b">
        <f>+ISNUMBER(SEARCH('F-COMPRA'!$F$37,Tabla11[[#This Row],[Cuenta]],1))</f>
        <v>1</v>
      </c>
      <c r="V82" t="b">
        <f>+ISNUMBER(SEARCH(#REF!,Tabla11[[#This Row],[Cuenta]],1))</f>
        <v>0</v>
      </c>
      <c r="W82" t="b">
        <f>+ISNUMBER(SEARCH('F-COMPRA'!#REF!,Tabla11[[#This Row],[Cuenta]],1))</f>
        <v>0</v>
      </c>
      <c r="X82" t="b">
        <f>+ISNUMBER(SEARCH('F-COMPRA'!#REF!,Tabla11[[#This Row],[Cuenta]],1))</f>
        <v>0</v>
      </c>
      <c r="Y82" t="b">
        <f>+ISNUMBER(SEARCH('F-COMPRA'!#REF!,Tabla11[[#This Row],[Cuenta]],1))</f>
        <v>0</v>
      </c>
      <c r="Z82" t="b">
        <f>+ISNUMBER(SEARCH('F-COMPRA'!#REF!,Tabla11[[#This Row],[Cuenta]],1))</f>
        <v>0</v>
      </c>
      <c r="AA82" t="b">
        <f>+ISNUMBER(SEARCH('F-COMPRA'!#REF!,Tabla11[[#This Row],[Cuenta]],1))</f>
        <v>0</v>
      </c>
      <c r="AB82" t="b">
        <f>+ISNUMBER(SEARCH('F-COMPRA'!#REF!,Tabla11[[#This Row],[Cuenta]],1))</f>
        <v>0</v>
      </c>
      <c r="AC82" t="b">
        <f>+ISNUMBER(SEARCH('F-COMPRA'!#REF!,Tabla11[[#This Row],[Cuenta]],1))</f>
        <v>0</v>
      </c>
      <c r="AD82" t="b">
        <f>+ISNUMBER(SEARCH('F-COMPRA'!#REF!,Tabla11[[#This Row],[Cuenta]],1))</f>
        <v>0</v>
      </c>
      <c r="AE82" t="b">
        <f>+ISNUMBER(SEARCH('F-COMPRA'!#REF!,Tabla11[[#This Row],[Cuenta]],1))</f>
        <v>0</v>
      </c>
      <c r="AF82" t="b">
        <f>+ISNUMBER(SEARCH('F-VTA'!$G$23,Tabla11[[#This Row],[Cuenta]],1))</f>
        <v>0</v>
      </c>
      <c r="AG82" t="b">
        <f>+ISNUMBER(SEARCH('F-VTA'!$G$24,Tabla11[[#This Row],[Cuenta]],1))</f>
        <v>0</v>
      </c>
      <c r="AH82" t="b">
        <f>+ISNUMBER(SEARCH('F-VTA'!$G$25,Tabla11[[#This Row],[Cuenta]],1))</f>
        <v>0</v>
      </c>
      <c r="AI82" t="b">
        <f>+ISNUMBER(SEARCH('F-VTA'!$F$28,Tabla11[[#This Row],[Cuenta]],1))</f>
        <v>1</v>
      </c>
      <c r="AJ82" t="b">
        <f>+ISNUMBER(SEARCH('F-VTA'!$F$29,Tabla11[[#This Row],[Cuenta]],1))</f>
        <v>1</v>
      </c>
      <c r="AK82" t="b">
        <f>+ISNUMBER(SEARCH('F-VTA'!$F$30,Tabla11[[#This Row],[Cuenta]],1))</f>
        <v>1</v>
      </c>
      <c r="AL82" t="b">
        <f>+ISNUMBER(SEARCH('F-VTA'!$F$31,Tabla11[[#This Row],[Cuenta]],1))</f>
        <v>1</v>
      </c>
      <c r="AM82" t="b">
        <f>+ISNUMBER(SEARCH('F-VTA'!$F$32,Tabla11[[#This Row],[Cuenta]],1))</f>
        <v>1</v>
      </c>
      <c r="AN82" t="b">
        <f>+ISNUMBER(SEARCH('F-VTA'!$F$33,Tabla11[[#This Row],[Cuenta]],1))</f>
        <v>1</v>
      </c>
      <c r="AO82" t="b">
        <f>+ISNUMBER(SEARCH('F-VTA'!$F$34,Tabla11[[#This Row],[Cuenta]],1))</f>
        <v>1</v>
      </c>
      <c r="AP82" t="b">
        <f>+ISNUMBER(SEARCH('F-VTA'!$F$35,Tabla11[[#This Row],[Cuenta]],1))</f>
        <v>1</v>
      </c>
      <c r="AQ82" t="b">
        <f>+ISNUMBER(SEARCH('F-VTA'!$F$36,Tabla11[[#This Row],[Cuenta]],1))</f>
        <v>1</v>
      </c>
      <c r="AR82" t="b">
        <f>+ISNUMBER(SEARCH(#REF!,Tabla11[[#This Row],[Cuenta]],1))</f>
        <v>0</v>
      </c>
      <c r="AS82" t="b">
        <f>+ISNUMBER(SEARCH(#REF!,Tabla11[[#This Row],[Cuenta]],1))</f>
        <v>0</v>
      </c>
      <c r="AT82" t="b">
        <f>+ISNUMBER(SEARCH(#REF!,Tabla11[[#This Row],[Cuenta]],1))</f>
        <v>0</v>
      </c>
      <c r="AU82" t="b">
        <f>+ISNUMBER(SEARCH('Conc. Ban.1'!$I$9,Tabla11[[#This Row],[Cuenta]],1))</f>
        <v>0</v>
      </c>
      <c r="AV82" t="b">
        <f>+ISNUMBER(SEARCH(CompConta!$F$21,Tabla11[[#This Row],[Cuenta]],1))</f>
        <v>1</v>
      </c>
      <c r="AW82" t="b">
        <f>+ISNUMBER(SEARCH(CompConta!$F$22,Tabla11[[#This Row],[Cuenta]],1))</f>
        <v>1</v>
      </c>
      <c r="AX82" t="b">
        <f>+ISNUMBER(SEARCH(CompConta!$F$23,Tabla11[[#This Row],[Cuenta]],1))</f>
        <v>1</v>
      </c>
      <c r="AY82" t="b">
        <f>+ISNUMBER(SEARCH(CompConta!$F$24,Tabla11[[#This Row],[Cuenta]],1))</f>
        <v>1</v>
      </c>
      <c r="AZ82" t="b">
        <f>+ISNUMBER(SEARCH(CompConta!$F$25,Tabla11[[#This Row],[Cuenta]],1))</f>
        <v>1</v>
      </c>
      <c r="BA82" t="b">
        <f>+ISNUMBER(SEARCH(CompConta!$F$26,Tabla11[[#This Row],[Cuenta]],1))</f>
        <v>1</v>
      </c>
      <c r="BB82" t="b">
        <f>+ISNUMBER(SEARCH(CompConta!$F$27,Tabla11[[#This Row],[Cuenta]],1))</f>
        <v>1</v>
      </c>
      <c r="BC82" t="b">
        <f>+ISNUMBER(SEARCH(CompConta!$F$28,Tabla11[[#This Row],[Cuenta]],1))</f>
        <v>1</v>
      </c>
      <c r="BD82" t="b">
        <f>+ISNUMBER(SEARCH(CompConta!$F$29,Tabla11[[#This Row],[Cuenta]],1))</f>
        <v>1</v>
      </c>
      <c r="BE82" t="b">
        <f>+ISNUMBER(SEARCH(CompConta!$F$30,Tabla11[[#This Row],[Cuenta]],1))</f>
        <v>1</v>
      </c>
      <c r="BF82" t="b">
        <f>+ISNUMBER(SEARCH('PAGO Compras'!$E$11,Tabla11[[#This Row],[Cuenta]],1))</f>
        <v>1</v>
      </c>
      <c r="BG82" t="b">
        <f>+ISNUMBER(SEARCH(#REF!,Tabla11[[#This Row],[Cuenta]],1))</f>
        <v>0</v>
      </c>
      <c r="BH82" t="b">
        <f>+ISNUMBER(SEARCH(#REF!,Tabla11[[#This Row],[Cuenta]],1))</f>
        <v>0</v>
      </c>
      <c r="BI82" t="b">
        <f>+ISNUMBER(SEARCH(#REF!,Tabla11[[#This Row],[Cuenta]],1))</f>
        <v>0</v>
      </c>
      <c r="BJ82" t="b">
        <f>+ISNUMBER(SEARCH(#REF!,Tabla11[[#This Row],[Cuenta]],1))</f>
        <v>0</v>
      </c>
      <c r="BS82" t="str">
        <v>146099 *Ajustes por inflación</v>
      </c>
      <c r="BT82" t="str">
        <v>146099 *Ajustes por inflación</v>
      </c>
      <c r="BU82" t="str">
        <v>146099 *Ajustes por inflación</v>
      </c>
      <c r="BV82" t="str">
        <v>146099 *Ajustes por inflación</v>
      </c>
      <c r="BZ82" t="str">
        <v>146099 *Ajustes por inflación</v>
      </c>
      <c r="CA82" t="str">
        <v>146099 *Ajustes por inflación</v>
      </c>
      <c r="CB82" t="str">
        <v>146099 *Ajustes por inflación</v>
      </c>
      <c r="CC82" t="str">
        <v>146099 *Ajustes por inflación</v>
      </c>
      <c r="CD82" t="str">
        <v>146099 *Ajustes por inflación</v>
      </c>
      <c r="CE82" t="str">
        <v>146099 *Ajustes por inflación</v>
      </c>
      <c r="CS82" s="141" t="str">
        <v>146099 *Ajustes por inflación</v>
      </c>
      <c r="CT82" s="141" t="str">
        <v>146099 *Ajustes por inflación</v>
      </c>
      <c r="CU82" s="141" t="str">
        <v>146099 *Ajustes por inflación</v>
      </c>
      <c r="CV82" s="141" t="str">
        <v>146099 *Ajustes por inflación</v>
      </c>
      <c r="CW82" s="141" t="str">
        <v>146099 *Ajustes por inflación</v>
      </c>
      <c r="CX82" s="141" t="str">
        <v>146099 *Ajustes por inflación</v>
      </c>
      <c r="CY82" s="141" t="str">
        <v>146099 *Ajustes por inflación</v>
      </c>
      <c r="CZ82" s="141" t="str">
        <v>146099 *Ajustes por inflación</v>
      </c>
      <c r="DA82" s="141" t="str">
        <v>146099 *Ajustes por inflación</v>
      </c>
      <c r="DF82" t="str">
        <v>146099 *Ajustes por inflación</v>
      </c>
      <c r="DG82" t="str">
        <v>146099 *Ajustes por inflación</v>
      </c>
      <c r="DH82" t="str">
        <v>146099 *Ajustes por inflación</v>
      </c>
      <c r="DI82" t="str">
        <v>146099 *Ajustes por inflación</v>
      </c>
      <c r="DJ82" t="str">
        <v>146099 *Ajustes por inflación</v>
      </c>
      <c r="DK82" t="str">
        <v>146099 *Ajustes por inflación</v>
      </c>
      <c r="DL82" t="str">
        <v>146099 *Ajustes por inflación</v>
      </c>
      <c r="DM82" t="str">
        <v>146099 *Ajustes por inflación</v>
      </c>
      <c r="DN82" t="str">
        <v>146099 *Ajustes por inflación</v>
      </c>
      <c r="DO82" t="str">
        <v>146099 *Ajustes por inflación</v>
      </c>
      <c r="DP82" t="str">
        <v>146099 *Ajustes por inflación</v>
      </c>
    </row>
    <row r="83" spans="4:120" ht="12.75">
      <c r="D83" s="7">
        <v>1465</v>
      </c>
      <c r="E83" s="6" t="s">
        <v>108</v>
      </c>
      <c r="F83" s="5">
        <v>3</v>
      </c>
      <c r="G83" s="34" t="s">
        <v>821</v>
      </c>
      <c r="H83" s="8" t="s">
        <v>32</v>
      </c>
      <c r="I83" t="b">
        <f>+ISNUMBER(SEARCH('F-COMPRA'!$F$28,Tabla11[[#This Row],[Cuenta]],1))</f>
        <v>1</v>
      </c>
      <c r="J83" t="b">
        <f>+ISNUMBER(SEARCH('F-COMPRA'!$F$29,Tabla11[[#This Row],[Cuenta]],1))</f>
        <v>1</v>
      </c>
      <c r="K83" t="b">
        <f>+ISNUMBER(SEARCH('F-COMPRA'!$F$30,Tabla11[[#This Row],[Cuenta]],1))</f>
        <v>1</v>
      </c>
      <c r="L83" t="b">
        <f>+ISNUMBER(SEARCH('F-COMPRA'!$F$31,Tabla11[[#This Row],[Cuenta]],1))</f>
        <v>1</v>
      </c>
      <c r="M83" t="b">
        <f>+ISNUMBER(SEARCH('F-COMPRA'!$G$25,Tabla11[[#This Row],[Cuenta]],1))</f>
        <v>0</v>
      </c>
      <c r="N83" t="b">
        <f>+ISNUMBER(SEARCH(#REF!,Tabla11[[#This Row],[Cuenta]],1))</f>
        <v>0</v>
      </c>
      <c r="O83" t="b">
        <f>+ISNUMBER(SEARCH(#REF!,Tabla11[[#This Row],[Cuenta]],1))</f>
        <v>0</v>
      </c>
      <c r="P83" t="b">
        <f>+ISNUMBER(SEARCH('F-COMPRA'!$F$32,Tabla11[[#This Row],[Cuenta]],1))</f>
        <v>1</v>
      </c>
      <c r="Q83" t="b">
        <f>+ISNUMBER(SEARCH('F-COMPRA'!$F$33,Tabla11[[#This Row],[Cuenta]],1))</f>
        <v>1</v>
      </c>
      <c r="R83" t="b">
        <f>+ISNUMBER(SEARCH('F-COMPRA'!$F$34,Tabla11[[#This Row],[Cuenta]],1))</f>
        <v>1</v>
      </c>
      <c r="S83" t="b">
        <f>+ISNUMBER(SEARCH('F-COMPRA'!$F$35,Tabla11[[#This Row],[Cuenta]],1))</f>
        <v>1</v>
      </c>
      <c r="T83" t="b">
        <f>+ISNUMBER(SEARCH('F-COMPRA'!$F$36,Tabla11[[#This Row],[Cuenta]],1))</f>
        <v>1</v>
      </c>
      <c r="U83" t="b">
        <f>+ISNUMBER(SEARCH('F-COMPRA'!$F$37,Tabla11[[#This Row],[Cuenta]],1))</f>
        <v>1</v>
      </c>
      <c r="V83" t="b">
        <f>+ISNUMBER(SEARCH(#REF!,Tabla11[[#This Row],[Cuenta]],1))</f>
        <v>0</v>
      </c>
      <c r="W83" t="b">
        <f>+ISNUMBER(SEARCH('F-COMPRA'!#REF!,Tabla11[[#This Row],[Cuenta]],1))</f>
        <v>0</v>
      </c>
      <c r="X83" t="b">
        <f>+ISNUMBER(SEARCH('F-COMPRA'!#REF!,Tabla11[[#This Row],[Cuenta]],1))</f>
        <v>0</v>
      </c>
      <c r="Y83" t="b">
        <f>+ISNUMBER(SEARCH('F-COMPRA'!#REF!,Tabla11[[#This Row],[Cuenta]],1))</f>
        <v>0</v>
      </c>
      <c r="Z83" t="b">
        <f>+ISNUMBER(SEARCH('F-COMPRA'!#REF!,Tabla11[[#This Row],[Cuenta]],1))</f>
        <v>0</v>
      </c>
      <c r="AA83" t="b">
        <f>+ISNUMBER(SEARCH('F-COMPRA'!#REF!,Tabla11[[#This Row],[Cuenta]],1))</f>
        <v>0</v>
      </c>
      <c r="AB83" t="b">
        <f>+ISNUMBER(SEARCH('F-COMPRA'!#REF!,Tabla11[[#This Row],[Cuenta]],1))</f>
        <v>0</v>
      </c>
      <c r="AC83" t="b">
        <f>+ISNUMBER(SEARCH('F-COMPRA'!#REF!,Tabla11[[#This Row],[Cuenta]],1))</f>
        <v>0</v>
      </c>
      <c r="AD83" t="b">
        <f>+ISNUMBER(SEARCH('F-COMPRA'!#REF!,Tabla11[[#This Row],[Cuenta]],1))</f>
        <v>0</v>
      </c>
      <c r="AE83" t="b">
        <f>+ISNUMBER(SEARCH('F-COMPRA'!#REF!,Tabla11[[#This Row],[Cuenta]],1))</f>
        <v>0</v>
      </c>
      <c r="AF83" t="b">
        <f>+ISNUMBER(SEARCH('F-VTA'!$G$23,Tabla11[[#This Row],[Cuenta]],1))</f>
        <v>0</v>
      </c>
      <c r="AG83" t="b">
        <f>+ISNUMBER(SEARCH('F-VTA'!$G$24,Tabla11[[#This Row],[Cuenta]],1))</f>
        <v>0</v>
      </c>
      <c r="AH83" t="b">
        <f>+ISNUMBER(SEARCH('F-VTA'!$G$25,Tabla11[[#This Row],[Cuenta]],1))</f>
        <v>0</v>
      </c>
      <c r="AI83" t="b">
        <f>+ISNUMBER(SEARCH('F-VTA'!$F$28,Tabla11[[#This Row],[Cuenta]],1))</f>
        <v>1</v>
      </c>
      <c r="AJ83" t="b">
        <f>+ISNUMBER(SEARCH('F-VTA'!$F$29,Tabla11[[#This Row],[Cuenta]],1))</f>
        <v>1</v>
      </c>
      <c r="AK83" t="b">
        <f>+ISNUMBER(SEARCH('F-VTA'!$F$30,Tabla11[[#This Row],[Cuenta]],1))</f>
        <v>1</v>
      </c>
      <c r="AL83" t="b">
        <f>+ISNUMBER(SEARCH('F-VTA'!$F$31,Tabla11[[#This Row],[Cuenta]],1))</f>
        <v>1</v>
      </c>
      <c r="AM83" t="b">
        <f>+ISNUMBER(SEARCH('F-VTA'!$F$32,Tabla11[[#This Row],[Cuenta]],1))</f>
        <v>1</v>
      </c>
      <c r="AN83" t="b">
        <f>+ISNUMBER(SEARCH('F-VTA'!$F$33,Tabla11[[#This Row],[Cuenta]],1))</f>
        <v>1</v>
      </c>
      <c r="AO83" t="b">
        <f>+ISNUMBER(SEARCH('F-VTA'!$F$34,Tabla11[[#This Row],[Cuenta]],1))</f>
        <v>1</v>
      </c>
      <c r="AP83" t="b">
        <f>+ISNUMBER(SEARCH('F-VTA'!$F$35,Tabla11[[#This Row],[Cuenta]],1))</f>
        <v>1</v>
      </c>
      <c r="AQ83" t="b">
        <f>+ISNUMBER(SEARCH('F-VTA'!$F$36,Tabla11[[#This Row],[Cuenta]],1))</f>
        <v>1</v>
      </c>
      <c r="AR83" t="b">
        <f>+ISNUMBER(SEARCH(#REF!,Tabla11[[#This Row],[Cuenta]],1))</f>
        <v>0</v>
      </c>
      <c r="AS83" t="b">
        <f>+ISNUMBER(SEARCH(#REF!,Tabla11[[#This Row],[Cuenta]],1))</f>
        <v>0</v>
      </c>
      <c r="AT83" t="b">
        <f>+ISNUMBER(SEARCH(#REF!,Tabla11[[#This Row],[Cuenta]],1))</f>
        <v>0</v>
      </c>
      <c r="AU83" t="b">
        <f>+ISNUMBER(SEARCH('Conc. Ban.1'!$I$9,Tabla11[[#This Row],[Cuenta]],1))</f>
        <v>0</v>
      </c>
      <c r="AV83" t="b">
        <f>+ISNUMBER(SEARCH(CompConta!$F$21,Tabla11[[#This Row],[Cuenta]],1))</f>
        <v>1</v>
      </c>
      <c r="AW83" t="b">
        <f>+ISNUMBER(SEARCH(CompConta!$F$22,Tabla11[[#This Row],[Cuenta]],1))</f>
        <v>1</v>
      </c>
      <c r="AX83" t="b">
        <f>+ISNUMBER(SEARCH(CompConta!$F$23,Tabla11[[#This Row],[Cuenta]],1))</f>
        <v>1</v>
      </c>
      <c r="AY83" t="b">
        <f>+ISNUMBER(SEARCH(CompConta!$F$24,Tabla11[[#This Row],[Cuenta]],1))</f>
        <v>1</v>
      </c>
      <c r="AZ83" t="b">
        <f>+ISNUMBER(SEARCH(CompConta!$F$25,Tabla11[[#This Row],[Cuenta]],1))</f>
        <v>1</v>
      </c>
      <c r="BA83" t="b">
        <f>+ISNUMBER(SEARCH(CompConta!$F$26,Tabla11[[#This Row],[Cuenta]],1))</f>
        <v>1</v>
      </c>
      <c r="BB83" t="b">
        <f>+ISNUMBER(SEARCH(CompConta!$F$27,Tabla11[[#This Row],[Cuenta]],1))</f>
        <v>1</v>
      </c>
      <c r="BC83" t="b">
        <f>+ISNUMBER(SEARCH(CompConta!$F$28,Tabla11[[#This Row],[Cuenta]],1))</f>
        <v>1</v>
      </c>
      <c r="BD83" t="b">
        <f>+ISNUMBER(SEARCH(CompConta!$F$29,Tabla11[[#This Row],[Cuenta]],1))</f>
        <v>1</v>
      </c>
      <c r="BE83" t="b">
        <f>+ISNUMBER(SEARCH(CompConta!$F$30,Tabla11[[#This Row],[Cuenta]],1))</f>
        <v>1</v>
      </c>
      <c r="BF83" t="b">
        <f>+ISNUMBER(SEARCH('PAGO Compras'!$E$11,Tabla11[[#This Row],[Cuenta]],1))</f>
        <v>1</v>
      </c>
      <c r="BG83" t="b">
        <f>+ISNUMBER(SEARCH(#REF!,Tabla11[[#This Row],[Cuenta]],1))</f>
        <v>0</v>
      </c>
      <c r="BH83" t="b">
        <f>+ISNUMBER(SEARCH(#REF!,Tabla11[[#This Row],[Cuenta]],1))</f>
        <v>0</v>
      </c>
      <c r="BI83" t="b">
        <f>+ISNUMBER(SEARCH(#REF!,Tabla11[[#This Row],[Cuenta]],1))</f>
        <v>0</v>
      </c>
      <c r="BJ83" t="b">
        <f>+ISNUMBER(SEARCH(#REF!,Tabla11[[#This Row],[Cuenta]],1))</f>
        <v>0</v>
      </c>
      <c r="BS83" t="str">
        <v>1465 INVENTARIOS EN TRÁNSITO</v>
      </c>
      <c r="BT83" t="str">
        <v>1465 INVENTARIOS EN TRÁNSITO</v>
      </c>
      <c r="BU83" t="str">
        <v>1465 INVENTARIOS EN TRÁNSITO</v>
      </c>
      <c r="BV83" t="str">
        <v>1465 INVENTARIOS EN TRÁNSITO</v>
      </c>
      <c r="BZ83" t="str">
        <v>1465 INVENTARIOS EN TRÁNSITO</v>
      </c>
      <c r="CA83" t="str">
        <v>1465 INVENTARIOS EN TRÁNSITO</v>
      </c>
      <c r="CB83" t="str">
        <v>1465 INVENTARIOS EN TRÁNSITO</v>
      </c>
      <c r="CC83" t="str">
        <v>1465 INVENTARIOS EN TRÁNSITO</v>
      </c>
      <c r="CD83" t="str">
        <v>1465 INVENTARIOS EN TRÁNSITO</v>
      </c>
      <c r="CE83" t="str">
        <v>1465 INVENTARIOS EN TRÁNSITO</v>
      </c>
      <c r="CS83" s="141" t="str">
        <v>1465 INVENTARIOS EN TRÁNSITO</v>
      </c>
      <c r="CT83" s="141" t="str">
        <v>1465 INVENTARIOS EN TRÁNSITO</v>
      </c>
      <c r="CU83" s="141" t="str">
        <v>1465 INVENTARIOS EN TRÁNSITO</v>
      </c>
      <c r="CV83" s="141" t="str">
        <v>1465 INVENTARIOS EN TRÁNSITO</v>
      </c>
      <c r="CW83" s="141" t="str">
        <v>1465 INVENTARIOS EN TRÁNSITO</v>
      </c>
      <c r="CX83" s="141" t="str">
        <v>1465 INVENTARIOS EN TRÁNSITO</v>
      </c>
      <c r="CY83" s="141" t="str">
        <v>1465 INVENTARIOS EN TRÁNSITO</v>
      </c>
      <c r="CZ83" s="141" t="str">
        <v>1465 INVENTARIOS EN TRÁNSITO</v>
      </c>
      <c r="DA83" s="141" t="str">
        <v>1465 INVENTARIOS EN TRÁNSITO</v>
      </c>
      <c r="DF83" t="str">
        <v>1465 INVENTARIOS EN TRÁNSITO</v>
      </c>
      <c r="DG83" t="str">
        <v>1465 INVENTARIOS EN TRÁNSITO</v>
      </c>
      <c r="DH83" t="str">
        <v>1465 INVENTARIOS EN TRÁNSITO</v>
      </c>
      <c r="DI83" t="str">
        <v>1465 INVENTARIOS EN TRÁNSITO</v>
      </c>
      <c r="DJ83" t="str">
        <v>1465 INVENTARIOS EN TRÁNSITO</v>
      </c>
      <c r="DK83" t="str">
        <v>1465 INVENTARIOS EN TRÁNSITO</v>
      </c>
      <c r="DL83" t="str">
        <v>1465 INVENTARIOS EN TRÁNSITO</v>
      </c>
      <c r="DM83" t="str">
        <v>1465 INVENTARIOS EN TRÁNSITO</v>
      </c>
      <c r="DN83" t="str">
        <v>1465 INVENTARIOS EN TRÁNSITO</v>
      </c>
      <c r="DO83" t="str">
        <v>1465 INVENTARIOS EN TRÁNSITO</v>
      </c>
      <c r="DP83" t="str">
        <v>1465 INVENTARIOS EN TRÁNSITO</v>
      </c>
    </row>
    <row r="84" spans="4:120" ht="12.75">
      <c r="D84" s="7">
        <v>146599</v>
      </c>
      <c r="E84" s="6" t="s">
        <v>93</v>
      </c>
      <c r="F84" s="5">
        <v>4</v>
      </c>
      <c r="G84" s="34" t="s">
        <v>821</v>
      </c>
      <c r="H84" s="8" t="s">
        <v>32</v>
      </c>
      <c r="I84" t="b">
        <f>+ISNUMBER(SEARCH('F-COMPRA'!$F$28,Tabla11[[#This Row],[Cuenta]],1))</f>
        <v>1</v>
      </c>
      <c r="J84" t="b">
        <f>+ISNUMBER(SEARCH('F-COMPRA'!$F$29,Tabla11[[#This Row],[Cuenta]],1))</f>
        <v>1</v>
      </c>
      <c r="K84" t="b">
        <f>+ISNUMBER(SEARCH('F-COMPRA'!$F$30,Tabla11[[#This Row],[Cuenta]],1))</f>
        <v>1</v>
      </c>
      <c r="L84" t="b">
        <f>+ISNUMBER(SEARCH('F-COMPRA'!$F$31,Tabla11[[#This Row],[Cuenta]],1))</f>
        <v>1</v>
      </c>
      <c r="M84" t="b">
        <f>+ISNUMBER(SEARCH('F-COMPRA'!$G$25,Tabla11[[#This Row],[Cuenta]],1))</f>
        <v>0</v>
      </c>
      <c r="N84" t="b">
        <f>+ISNUMBER(SEARCH(#REF!,Tabla11[[#This Row],[Cuenta]],1))</f>
        <v>0</v>
      </c>
      <c r="O84" t="b">
        <f>+ISNUMBER(SEARCH(#REF!,Tabla11[[#This Row],[Cuenta]],1))</f>
        <v>0</v>
      </c>
      <c r="P84" t="b">
        <f>+ISNUMBER(SEARCH('F-COMPRA'!$F$32,Tabla11[[#This Row],[Cuenta]],1))</f>
        <v>1</v>
      </c>
      <c r="Q84" t="b">
        <f>+ISNUMBER(SEARCH('F-COMPRA'!$F$33,Tabla11[[#This Row],[Cuenta]],1))</f>
        <v>1</v>
      </c>
      <c r="R84" t="b">
        <f>+ISNUMBER(SEARCH('F-COMPRA'!$F$34,Tabla11[[#This Row],[Cuenta]],1))</f>
        <v>1</v>
      </c>
      <c r="S84" t="b">
        <f>+ISNUMBER(SEARCH('F-COMPRA'!$F$35,Tabla11[[#This Row],[Cuenta]],1))</f>
        <v>1</v>
      </c>
      <c r="T84" t="b">
        <f>+ISNUMBER(SEARCH('F-COMPRA'!$F$36,Tabla11[[#This Row],[Cuenta]],1))</f>
        <v>1</v>
      </c>
      <c r="U84" t="b">
        <f>+ISNUMBER(SEARCH('F-COMPRA'!$F$37,Tabla11[[#This Row],[Cuenta]],1))</f>
        <v>1</v>
      </c>
      <c r="V84" t="b">
        <f>+ISNUMBER(SEARCH(#REF!,Tabla11[[#This Row],[Cuenta]],1))</f>
        <v>0</v>
      </c>
      <c r="W84" t="b">
        <f>+ISNUMBER(SEARCH('F-COMPRA'!#REF!,Tabla11[[#This Row],[Cuenta]],1))</f>
        <v>0</v>
      </c>
      <c r="X84" t="b">
        <f>+ISNUMBER(SEARCH('F-COMPRA'!#REF!,Tabla11[[#This Row],[Cuenta]],1))</f>
        <v>0</v>
      </c>
      <c r="Y84" t="b">
        <f>+ISNUMBER(SEARCH('F-COMPRA'!#REF!,Tabla11[[#This Row],[Cuenta]],1))</f>
        <v>0</v>
      </c>
      <c r="Z84" t="b">
        <f>+ISNUMBER(SEARCH('F-COMPRA'!#REF!,Tabla11[[#This Row],[Cuenta]],1))</f>
        <v>0</v>
      </c>
      <c r="AA84" t="b">
        <f>+ISNUMBER(SEARCH('F-COMPRA'!#REF!,Tabla11[[#This Row],[Cuenta]],1))</f>
        <v>0</v>
      </c>
      <c r="AB84" t="b">
        <f>+ISNUMBER(SEARCH('F-COMPRA'!#REF!,Tabla11[[#This Row],[Cuenta]],1))</f>
        <v>0</v>
      </c>
      <c r="AC84" t="b">
        <f>+ISNUMBER(SEARCH('F-COMPRA'!#REF!,Tabla11[[#This Row],[Cuenta]],1))</f>
        <v>0</v>
      </c>
      <c r="AD84" t="b">
        <f>+ISNUMBER(SEARCH('F-COMPRA'!#REF!,Tabla11[[#This Row],[Cuenta]],1))</f>
        <v>0</v>
      </c>
      <c r="AE84" t="b">
        <f>+ISNUMBER(SEARCH('F-COMPRA'!#REF!,Tabla11[[#This Row],[Cuenta]],1))</f>
        <v>0</v>
      </c>
      <c r="AF84" t="b">
        <f>+ISNUMBER(SEARCH('F-VTA'!$G$23,Tabla11[[#This Row],[Cuenta]],1))</f>
        <v>0</v>
      </c>
      <c r="AG84" t="b">
        <f>+ISNUMBER(SEARCH('F-VTA'!$G$24,Tabla11[[#This Row],[Cuenta]],1))</f>
        <v>0</v>
      </c>
      <c r="AH84" t="b">
        <f>+ISNUMBER(SEARCH('F-VTA'!$G$25,Tabla11[[#This Row],[Cuenta]],1))</f>
        <v>0</v>
      </c>
      <c r="AI84" t="b">
        <f>+ISNUMBER(SEARCH('F-VTA'!$F$28,Tabla11[[#This Row],[Cuenta]],1))</f>
        <v>1</v>
      </c>
      <c r="AJ84" t="b">
        <f>+ISNUMBER(SEARCH('F-VTA'!$F$29,Tabla11[[#This Row],[Cuenta]],1))</f>
        <v>1</v>
      </c>
      <c r="AK84" t="b">
        <f>+ISNUMBER(SEARCH('F-VTA'!$F$30,Tabla11[[#This Row],[Cuenta]],1))</f>
        <v>1</v>
      </c>
      <c r="AL84" t="b">
        <f>+ISNUMBER(SEARCH('F-VTA'!$F$31,Tabla11[[#This Row],[Cuenta]],1))</f>
        <v>1</v>
      </c>
      <c r="AM84" t="b">
        <f>+ISNUMBER(SEARCH('F-VTA'!$F$32,Tabla11[[#This Row],[Cuenta]],1))</f>
        <v>1</v>
      </c>
      <c r="AN84" t="b">
        <f>+ISNUMBER(SEARCH('F-VTA'!$F$33,Tabla11[[#This Row],[Cuenta]],1))</f>
        <v>1</v>
      </c>
      <c r="AO84" t="b">
        <f>+ISNUMBER(SEARCH('F-VTA'!$F$34,Tabla11[[#This Row],[Cuenta]],1))</f>
        <v>1</v>
      </c>
      <c r="AP84" t="b">
        <f>+ISNUMBER(SEARCH('F-VTA'!$F$35,Tabla11[[#This Row],[Cuenta]],1))</f>
        <v>1</v>
      </c>
      <c r="AQ84" t="b">
        <f>+ISNUMBER(SEARCH('F-VTA'!$F$36,Tabla11[[#This Row],[Cuenta]],1))</f>
        <v>1</v>
      </c>
      <c r="AR84" t="b">
        <f>+ISNUMBER(SEARCH(#REF!,Tabla11[[#This Row],[Cuenta]],1))</f>
        <v>0</v>
      </c>
      <c r="AS84" t="b">
        <f>+ISNUMBER(SEARCH(#REF!,Tabla11[[#This Row],[Cuenta]],1))</f>
        <v>0</v>
      </c>
      <c r="AT84" t="b">
        <f>+ISNUMBER(SEARCH(#REF!,Tabla11[[#This Row],[Cuenta]],1))</f>
        <v>0</v>
      </c>
      <c r="AU84" t="b">
        <f>+ISNUMBER(SEARCH('Conc. Ban.1'!$I$9,Tabla11[[#This Row],[Cuenta]],1))</f>
        <v>0</v>
      </c>
      <c r="AV84" t="b">
        <f>+ISNUMBER(SEARCH(CompConta!$F$21,Tabla11[[#This Row],[Cuenta]],1))</f>
        <v>1</v>
      </c>
      <c r="AW84" t="b">
        <f>+ISNUMBER(SEARCH(CompConta!$F$22,Tabla11[[#This Row],[Cuenta]],1))</f>
        <v>1</v>
      </c>
      <c r="AX84" t="b">
        <f>+ISNUMBER(SEARCH(CompConta!$F$23,Tabla11[[#This Row],[Cuenta]],1))</f>
        <v>1</v>
      </c>
      <c r="AY84" t="b">
        <f>+ISNUMBER(SEARCH(CompConta!$F$24,Tabla11[[#This Row],[Cuenta]],1))</f>
        <v>1</v>
      </c>
      <c r="AZ84" t="b">
        <f>+ISNUMBER(SEARCH(CompConta!$F$25,Tabla11[[#This Row],[Cuenta]],1))</f>
        <v>1</v>
      </c>
      <c r="BA84" t="b">
        <f>+ISNUMBER(SEARCH(CompConta!$F$26,Tabla11[[#This Row],[Cuenta]],1))</f>
        <v>1</v>
      </c>
      <c r="BB84" t="b">
        <f>+ISNUMBER(SEARCH(CompConta!$F$27,Tabla11[[#This Row],[Cuenta]],1))</f>
        <v>1</v>
      </c>
      <c r="BC84" t="b">
        <f>+ISNUMBER(SEARCH(CompConta!$F$28,Tabla11[[#This Row],[Cuenta]],1))</f>
        <v>1</v>
      </c>
      <c r="BD84" t="b">
        <f>+ISNUMBER(SEARCH(CompConta!$F$29,Tabla11[[#This Row],[Cuenta]],1))</f>
        <v>1</v>
      </c>
      <c r="BE84" t="b">
        <f>+ISNUMBER(SEARCH(CompConta!$F$30,Tabla11[[#This Row],[Cuenta]],1))</f>
        <v>1</v>
      </c>
      <c r="BF84" t="b">
        <f>+ISNUMBER(SEARCH('PAGO Compras'!$E$11,Tabla11[[#This Row],[Cuenta]],1))</f>
        <v>1</v>
      </c>
      <c r="BG84" t="b">
        <f>+ISNUMBER(SEARCH(#REF!,Tabla11[[#This Row],[Cuenta]],1))</f>
        <v>0</v>
      </c>
      <c r="BH84" t="b">
        <f>+ISNUMBER(SEARCH(#REF!,Tabla11[[#This Row],[Cuenta]],1))</f>
        <v>0</v>
      </c>
      <c r="BI84" t="b">
        <f>+ISNUMBER(SEARCH(#REF!,Tabla11[[#This Row],[Cuenta]],1))</f>
        <v>0</v>
      </c>
      <c r="BJ84" t="b">
        <f>+ISNUMBER(SEARCH(#REF!,Tabla11[[#This Row],[Cuenta]],1))</f>
        <v>0</v>
      </c>
      <c r="BS84" t="str">
        <v>146599 *Ajustes por inflación</v>
      </c>
      <c r="BT84" t="str">
        <v>146599 *Ajustes por inflación</v>
      </c>
      <c r="BU84" t="str">
        <v>146599 *Ajustes por inflación</v>
      </c>
      <c r="BV84" t="str">
        <v>146599 *Ajustes por inflación</v>
      </c>
      <c r="BZ84" t="str">
        <v>146599 *Ajustes por inflación</v>
      </c>
      <c r="CA84" t="str">
        <v>146599 *Ajustes por inflación</v>
      </c>
      <c r="CB84" t="str">
        <v>146599 *Ajustes por inflación</v>
      </c>
      <c r="CC84" t="str">
        <v>146599 *Ajustes por inflación</v>
      </c>
      <c r="CD84" t="str">
        <v>146599 *Ajustes por inflación</v>
      </c>
      <c r="CE84" t="str">
        <v>146599 *Ajustes por inflación</v>
      </c>
      <c r="CS84" s="141" t="str">
        <v>146599 *Ajustes por inflación</v>
      </c>
      <c r="CT84" s="141" t="str">
        <v>146599 *Ajustes por inflación</v>
      </c>
      <c r="CU84" s="141" t="str">
        <v>146599 *Ajustes por inflación</v>
      </c>
      <c r="CV84" s="141" t="str">
        <v>146599 *Ajustes por inflación</v>
      </c>
      <c r="CW84" s="141" t="str">
        <v>146599 *Ajustes por inflación</v>
      </c>
      <c r="CX84" s="141" t="str">
        <v>146599 *Ajustes por inflación</v>
      </c>
      <c r="CY84" s="141" t="str">
        <v>146599 *Ajustes por inflación</v>
      </c>
      <c r="CZ84" s="141" t="str">
        <v>146599 *Ajustes por inflación</v>
      </c>
      <c r="DA84" s="141" t="str">
        <v>146599 *Ajustes por inflación</v>
      </c>
      <c r="DF84" t="str">
        <v>146599 *Ajustes por inflación</v>
      </c>
      <c r="DG84" t="str">
        <v>146599 *Ajustes por inflación</v>
      </c>
      <c r="DH84" t="str">
        <v>146599 *Ajustes por inflación</v>
      </c>
      <c r="DI84" t="str">
        <v>146599 *Ajustes por inflación</v>
      </c>
      <c r="DJ84" t="str">
        <v>146599 *Ajustes por inflación</v>
      </c>
      <c r="DK84" t="str">
        <v>146599 *Ajustes por inflación</v>
      </c>
      <c r="DL84" t="str">
        <v>146599 *Ajustes por inflación</v>
      </c>
      <c r="DM84" t="str">
        <v>146599 *Ajustes por inflación</v>
      </c>
      <c r="DN84" t="str">
        <v>146599 *Ajustes por inflación</v>
      </c>
      <c r="DO84" t="str">
        <v>146599 *Ajustes por inflación</v>
      </c>
      <c r="DP84" t="str">
        <v>146599 *Ajustes por inflación</v>
      </c>
    </row>
    <row r="85" spans="4:120" ht="12.75">
      <c r="D85" s="7">
        <v>1499</v>
      </c>
      <c r="E85" s="6" t="s">
        <v>55</v>
      </c>
      <c r="F85" s="5">
        <v>3</v>
      </c>
      <c r="G85" s="34" t="s">
        <v>821</v>
      </c>
      <c r="H85" s="8" t="s">
        <v>56</v>
      </c>
      <c r="I85" t="b">
        <f>+ISNUMBER(SEARCH('F-COMPRA'!$F$28,Tabla11[[#This Row],[Cuenta]],1))</f>
        <v>1</v>
      </c>
      <c r="J85" t="b">
        <f>+ISNUMBER(SEARCH('F-COMPRA'!$F$29,Tabla11[[#This Row],[Cuenta]],1))</f>
        <v>1</v>
      </c>
      <c r="K85" t="b">
        <f>+ISNUMBER(SEARCH('F-COMPRA'!$F$30,Tabla11[[#This Row],[Cuenta]],1))</f>
        <v>1</v>
      </c>
      <c r="L85" t="b">
        <f>+ISNUMBER(SEARCH('F-COMPRA'!$F$31,Tabla11[[#This Row],[Cuenta]],1))</f>
        <v>1</v>
      </c>
      <c r="M85" t="b">
        <f>+ISNUMBER(SEARCH('F-COMPRA'!$G$25,Tabla11[[#This Row],[Cuenta]],1))</f>
        <v>0</v>
      </c>
      <c r="N85" t="b">
        <f>+ISNUMBER(SEARCH(#REF!,Tabla11[[#This Row],[Cuenta]],1))</f>
        <v>0</v>
      </c>
      <c r="O85" t="b">
        <f>+ISNUMBER(SEARCH(#REF!,Tabla11[[#This Row],[Cuenta]],1))</f>
        <v>0</v>
      </c>
      <c r="P85" t="b">
        <f>+ISNUMBER(SEARCH('F-COMPRA'!$F$32,Tabla11[[#This Row],[Cuenta]],1))</f>
        <v>1</v>
      </c>
      <c r="Q85" t="b">
        <f>+ISNUMBER(SEARCH('F-COMPRA'!$F$33,Tabla11[[#This Row],[Cuenta]],1))</f>
        <v>1</v>
      </c>
      <c r="R85" t="b">
        <f>+ISNUMBER(SEARCH('F-COMPRA'!$F$34,Tabla11[[#This Row],[Cuenta]],1))</f>
        <v>1</v>
      </c>
      <c r="S85" t="b">
        <f>+ISNUMBER(SEARCH('F-COMPRA'!$F$35,Tabla11[[#This Row],[Cuenta]],1))</f>
        <v>1</v>
      </c>
      <c r="T85" t="b">
        <f>+ISNUMBER(SEARCH('F-COMPRA'!$F$36,Tabla11[[#This Row],[Cuenta]],1))</f>
        <v>1</v>
      </c>
      <c r="U85" t="b">
        <f>+ISNUMBER(SEARCH('F-COMPRA'!$F$37,Tabla11[[#This Row],[Cuenta]],1))</f>
        <v>1</v>
      </c>
      <c r="V85" t="b">
        <f>+ISNUMBER(SEARCH(#REF!,Tabla11[[#This Row],[Cuenta]],1))</f>
        <v>0</v>
      </c>
      <c r="W85" t="b">
        <f>+ISNUMBER(SEARCH('F-COMPRA'!#REF!,Tabla11[[#This Row],[Cuenta]],1))</f>
        <v>0</v>
      </c>
      <c r="X85" t="b">
        <f>+ISNUMBER(SEARCH('F-COMPRA'!#REF!,Tabla11[[#This Row],[Cuenta]],1))</f>
        <v>0</v>
      </c>
      <c r="Y85" t="b">
        <f>+ISNUMBER(SEARCH('F-COMPRA'!#REF!,Tabla11[[#This Row],[Cuenta]],1))</f>
        <v>0</v>
      </c>
      <c r="Z85" t="b">
        <f>+ISNUMBER(SEARCH('F-COMPRA'!#REF!,Tabla11[[#This Row],[Cuenta]],1))</f>
        <v>0</v>
      </c>
      <c r="AA85" t="b">
        <f>+ISNUMBER(SEARCH('F-COMPRA'!#REF!,Tabla11[[#This Row],[Cuenta]],1))</f>
        <v>0</v>
      </c>
      <c r="AB85" t="b">
        <f>+ISNUMBER(SEARCH('F-COMPRA'!#REF!,Tabla11[[#This Row],[Cuenta]],1))</f>
        <v>0</v>
      </c>
      <c r="AC85" t="b">
        <f>+ISNUMBER(SEARCH('F-COMPRA'!#REF!,Tabla11[[#This Row],[Cuenta]],1))</f>
        <v>0</v>
      </c>
      <c r="AD85" t="b">
        <f>+ISNUMBER(SEARCH('F-COMPRA'!#REF!,Tabla11[[#This Row],[Cuenta]],1))</f>
        <v>0</v>
      </c>
      <c r="AE85" t="b">
        <f>+ISNUMBER(SEARCH('F-COMPRA'!#REF!,Tabla11[[#This Row],[Cuenta]],1))</f>
        <v>0</v>
      </c>
      <c r="AF85" t="b">
        <f>+ISNUMBER(SEARCH('F-VTA'!$G$23,Tabla11[[#This Row],[Cuenta]],1))</f>
        <v>0</v>
      </c>
      <c r="AG85" t="b">
        <f>+ISNUMBER(SEARCH('F-VTA'!$G$24,Tabla11[[#This Row],[Cuenta]],1))</f>
        <v>0</v>
      </c>
      <c r="AH85" t="b">
        <f>+ISNUMBER(SEARCH('F-VTA'!$G$25,Tabla11[[#This Row],[Cuenta]],1))</f>
        <v>0</v>
      </c>
      <c r="AI85" t="b">
        <f>+ISNUMBER(SEARCH('F-VTA'!$F$28,Tabla11[[#This Row],[Cuenta]],1))</f>
        <v>1</v>
      </c>
      <c r="AJ85" t="b">
        <f>+ISNUMBER(SEARCH('F-VTA'!$F$29,Tabla11[[#This Row],[Cuenta]],1))</f>
        <v>1</v>
      </c>
      <c r="AK85" t="b">
        <f>+ISNUMBER(SEARCH('F-VTA'!$F$30,Tabla11[[#This Row],[Cuenta]],1))</f>
        <v>1</v>
      </c>
      <c r="AL85" t="b">
        <f>+ISNUMBER(SEARCH('F-VTA'!$F$31,Tabla11[[#This Row],[Cuenta]],1))</f>
        <v>1</v>
      </c>
      <c r="AM85" t="b">
        <f>+ISNUMBER(SEARCH('F-VTA'!$F$32,Tabla11[[#This Row],[Cuenta]],1))</f>
        <v>1</v>
      </c>
      <c r="AN85" t="b">
        <f>+ISNUMBER(SEARCH('F-VTA'!$F$33,Tabla11[[#This Row],[Cuenta]],1))</f>
        <v>1</v>
      </c>
      <c r="AO85" t="b">
        <f>+ISNUMBER(SEARCH('F-VTA'!$F$34,Tabla11[[#This Row],[Cuenta]],1))</f>
        <v>1</v>
      </c>
      <c r="AP85" t="b">
        <f>+ISNUMBER(SEARCH('F-VTA'!$F$35,Tabla11[[#This Row],[Cuenta]],1))</f>
        <v>1</v>
      </c>
      <c r="AQ85" t="b">
        <f>+ISNUMBER(SEARCH('F-VTA'!$F$36,Tabla11[[#This Row],[Cuenta]],1))</f>
        <v>1</v>
      </c>
      <c r="AR85" t="b">
        <f>+ISNUMBER(SEARCH(#REF!,Tabla11[[#This Row],[Cuenta]],1))</f>
        <v>0</v>
      </c>
      <c r="AS85" t="b">
        <f>+ISNUMBER(SEARCH(#REF!,Tabla11[[#This Row],[Cuenta]],1))</f>
        <v>0</v>
      </c>
      <c r="AT85" t="b">
        <f>+ISNUMBER(SEARCH(#REF!,Tabla11[[#This Row],[Cuenta]],1))</f>
        <v>0</v>
      </c>
      <c r="AU85" t="b">
        <f>+ISNUMBER(SEARCH('Conc. Ban.1'!$I$9,Tabla11[[#This Row],[Cuenta]],1))</f>
        <v>0</v>
      </c>
      <c r="AV85" t="b">
        <f>+ISNUMBER(SEARCH(CompConta!$F$21,Tabla11[[#This Row],[Cuenta]],1))</f>
        <v>1</v>
      </c>
      <c r="AW85" t="b">
        <f>+ISNUMBER(SEARCH(CompConta!$F$22,Tabla11[[#This Row],[Cuenta]],1))</f>
        <v>1</v>
      </c>
      <c r="AX85" t="b">
        <f>+ISNUMBER(SEARCH(CompConta!$F$23,Tabla11[[#This Row],[Cuenta]],1))</f>
        <v>1</v>
      </c>
      <c r="AY85" t="b">
        <f>+ISNUMBER(SEARCH(CompConta!$F$24,Tabla11[[#This Row],[Cuenta]],1))</f>
        <v>1</v>
      </c>
      <c r="AZ85" t="b">
        <f>+ISNUMBER(SEARCH(CompConta!$F$25,Tabla11[[#This Row],[Cuenta]],1))</f>
        <v>1</v>
      </c>
      <c r="BA85" t="b">
        <f>+ISNUMBER(SEARCH(CompConta!$F$26,Tabla11[[#This Row],[Cuenta]],1))</f>
        <v>1</v>
      </c>
      <c r="BB85" t="b">
        <f>+ISNUMBER(SEARCH(CompConta!$F$27,Tabla11[[#This Row],[Cuenta]],1))</f>
        <v>1</v>
      </c>
      <c r="BC85" t="b">
        <f>+ISNUMBER(SEARCH(CompConta!$F$28,Tabla11[[#This Row],[Cuenta]],1))</f>
        <v>1</v>
      </c>
      <c r="BD85" t="b">
        <f>+ISNUMBER(SEARCH(CompConta!$F$29,Tabla11[[#This Row],[Cuenta]],1))</f>
        <v>1</v>
      </c>
      <c r="BE85" t="b">
        <f>+ISNUMBER(SEARCH(CompConta!$F$30,Tabla11[[#This Row],[Cuenta]],1))</f>
        <v>1</v>
      </c>
      <c r="BF85" t="b">
        <f>+ISNUMBER(SEARCH('PAGO Compras'!$E$11,Tabla11[[#This Row],[Cuenta]],1))</f>
        <v>1</v>
      </c>
      <c r="BG85" t="b">
        <f>+ISNUMBER(SEARCH(#REF!,Tabla11[[#This Row],[Cuenta]],1))</f>
        <v>0</v>
      </c>
      <c r="BH85" t="b">
        <f>+ISNUMBER(SEARCH(#REF!,Tabla11[[#This Row],[Cuenta]],1))</f>
        <v>0</v>
      </c>
      <c r="BI85" t="b">
        <f>+ISNUMBER(SEARCH(#REF!,Tabla11[[#This Row],[Cuenta]],1))</f>
        <v>0</v>
      </c>
      <c r="BJ85" t="b">
        <f>+ISNUMBER(SEARCH(#REF!,Tabla11[[#This Row],[Cuenta]],1))</f>
        <v>0</v>
      </c>
      <c r="BS85" t="str">
        <v>1499 PROVISIONES</v>
      </c>
      <c r="BT85" t="str">
        <v>1499 PROVISIONES</v>
      </c>
      <c r="BU85" t="str">
        <v>1499 PROVISIONES</v>
      </c>
      <c r="BV85" t="str">
        <v>1499 PROVISIONES</v>
      </c>
      <c r="BZ85" t="str">
        <v>1499 PROVISIONES</v>
      </c>
      <c r="CA85" t="str">
        <v>1499 PROVISIONES</v>
      </c>
      <c r="CB85" t="str">
        <v>1499 PROVISIONES</v>
      </c>
      <c r="CC85" t="str">
        <v>1499 PROVISIONES</v>
      </c>
      <c r="CD85" t="str">
        <v>1499 PROVISIONES</v>
      </c>
      <c r="CE85" t="str">
        <v>1499 PROVISIONES</v>
      </c>
      <c r="CS85" s="141" t="str">
        <v>1499 PROVISIONES</v>
      </c>
      <c r="CT85" s="141" t="str">
        <v>1499 PROVISIONES</v>
      </c>
      <c r="CU85" s="141" t="str">
        <v>1499 PROVISIONES</v>
      </c>
      <c r="CV85" s="141" t="str">
        <v>1499 PROVISIONES</v>
      </c>
      <c r="CW85" s="141" t="str">
        <v>1499 PROVISIONES</v>
      </c>
      <c r="CX85" s="141" t="str">
        <v>1499 PROVISIONES</v>
      </c>
      <c r="CY85" s="141" t="str">
        <v>1499 PROVISIONES</v>
      </c>
      <c r="CZ85" s="141" t="str">
        <v>1499 PROVISIONES</v>
      </c>
      <c r="DA85" s="141" t="str">
        <v>1499 PROVISIONES</v>
      </c>
      <c r="DF85" t="str">
        <v>1499 PROVISIONES</v>
      </c>
      <c r="DG85" t="str">
        <v>1499 PROVISIONES</v>
      </c>
      <c r="DH85" t="str">
        <v>1499 PROVISIONES</v>
      </c>
      <c r="DI85" t="str">
        <v>1499 PROVISIONES</v>
      </c>
      <c r="DJ85" t="str">
        <v>1499 PROVISIONES</v>
      </c>
      <c r="DK85" t="str">
        <v>1499 PROVISIONES</v>
      </c>
      <c r="DL85" t="str">
        <v>1499 PROVISIONES</v>
      </c>
      <c r="DM85" t="str">
        <v>1499 PROVISIONES</v>
      </c>
      <c r="DN85" t="str">
        <v>1499 PROVISIONES</v>
      </c>
      <c r="DO85" t="str">
        <v>1499 PROVISIONES</v>
      </c>
      <c r="DP85" t="str">
        <v>1499 PROVISIONES</v>
      </c>
    </row>
    <row r="86" spans="4:120" ht="12.75">
      <c r="D86" s="7">
        <v>149905</v>
      </c>
      <c r="E86" s="6" t="s">
        <v>109</v>
      </c>
      <c r="F86" s="5">
        <v>4</v>
      </c>
      <c r="G86" s="34" t="s">
        <v>821</v>
      </c>
      <c r="H86" s="8" t="s">
        <v>56</v>
      </c>
      <c r="I86" t="b">
        <f>+ISNUMBER(SEARCH('F-COMPRA'!$F$28,Tabla11[[#This Row],[Cuenta]],1))</f>
        <v>1</v>
      </c>
      <c r="J86" t="b">
        <f>+ISNUMBER(SEARCH('F-COMPRA'!$F$29,Tabla11[[#This Row],[Cuenta]],1))</f>
        <v>1</v>
      </c>
      <c r="K86" t="b">
        <f>+ISNUMBER(SEARCH('F-COMPRA'!$F$30,Tabla11[[#This Row],[Cuenta]],1))</f>
        <v>1</v>
      </c>
      <c r="L86" t="b">
        <f>+ISNUMBER(SEARCH('F-COMPRA'!$F$31,Tabla11[[#This Row],[Cuenta]],1))</f>
        <v>1</v>
      </c>
      <c r="M86" t="b">
        <f>+ISNUMBER(SEARCH('F-COMPRA'!$G$25,Tabla11[[#This Row],[Cuenta]],1))</f>
        <v>0</v>
      </c>
      <c r="N86" t="b">
        <f>+ISNUMBER(SEARCH(#REF!,Tabla11[[#This Row],[Cuenta]],1))</f>
        <v>0</v>
      </c>
      <c r="O86" t="b">
        <f>+ISNUMBER(SEARCH(#REF!,Tabla11[[#This Row],[Cuenta]],1))</f>
        <v>0</v>
      </c>
      <c r="P86" t="b">
        <f>+ISNUMBER(SEARCH('F-COMPRA'!$F$32,Tabla11[[#This Row],[Cuenta]],1))</f>
        <v>1</v>
      </c>
      <c r="Q86" t="b">
        <f>+ISNUMBER(SEARCH('F-COMPRA'!$F$33,Tabla11[[#This Row],[Cuenta]],1))</f>
        <v>1</v>
      </c>
      <c r="R86" t="b">
        <f>+ISNUMBER(SEARCH('F-COMPRA'!$F$34,Tabla11[[#This Row],[Cuenta]],1))</f>
        <v>1</v>
      </c>
      <c r="S86" t="b">
        <f>+ISNUMBER(SEARCH('F-COMPRA'!$F$35,Tabla11[[#This Row],[Cuenta]],1))</f>
        <v>1</v>
      </c>
      <c r="T86" t="b">
        <f>+ISNUMBER(SEARCH('F-COMPRA'!$F$36,Tabla11[[#This Row],[Cuenta]],1))</f>
        <v>1</v>
      </c>
      <c r="U86" t="b">
        <f>+ISNUMBER(SEARCH('F-COMPRA'!$F$37,Tabla11[[#This Row],[Cuenta]],1))</f>
        <v>1</v>
      </c>
      <c r="V86" t="b">
        <f>+ISNUMBER(SEARCH(#REF!,Tabla11[[#This Row],[Cuenta]],1))</f>
        <v>0</v>
      </c>
      <c r="W86" t="b">
        <f>+ISNUMBER(SEARCH('F-COMPRA'!#REF!,Tabla11[[#This Row],[Cuenta]],1))</f>
        <v>0</v>
      </c>
      <c r="X86" t="b">
        <f>+ISNUMBER(SEARCH('F-COMPRA'!#REF!,Tabla11[[#This Row],[Cuenta]],1))</f>
        <v>0</v>
      </c>
      <c r="Y86" t="b">
        <f>+ISNUMBER(SEARCH('F-COMPRA'!#REF!,Tabla11[[#This Row],[Cuenta]],1))</f>
        <v>0</v>
      </c>
      <c r="Z86" t="b">
        <f>+ISNUMBER(SEARCH('F-COMPRA'!#REF!,Tabla11[[#This Row],[Cuenta]],1))</f>
        <v>0</v>
      </c>
      <c r="AA86" t="b">
        <f>+ISNUMBER(SEARCH('F-COMPRA'!#REF!,Tabla11[[#This Row],[Cuenta]],1))</f>
        <v>0</v>
      </c>
      <c r="AB86" t="b">
        <f>+ISNUMBER(SEARCH('F-COMPRA'!#REF!,Tabla11[[#This Row],[Cuenta]],1))</f>
        <v>0</v>
      </c>
      <c r="AC86" t="b">
        <f>+ISNUMBER(SEARCH('F-COMPRA'!#REF!,Tabla11[[#This Row],[Cuenta]],1))</f>
        <v>0</v>
      </c>
      <c r="AD86" t="b">
        <f>+ISNUMBER(SEARCH('F-COMPRA'!#REF!,Tabla11[[#This Row],[Cuenta]],1))</f>
        <v>0</v>
      </c>
      <c r="AE86" t="b">
        <f>+ISNUMBER(SEARCH('F-COMPRA'!#REF!,Tabla11[[#This Row],[Cuenta]],1))</f>
        <v>0</v>
      </c>
      <c r="AF86" t="b">
        <f>+ISNUMBER(SEARCH('F-VTA'!$G$23,Tabla11[[#This Row],[Cuenta]],1))</f>
        <v>0</v>
      </c>
      <c r="AG86" t="b">
        <f>+ISNUMBER(SEARCH('F-VTA'!$G$24,Tabla11[[#This Row],[Cuenta]],1))</f>
        <v>0</v>
      </c>
      <c r="AH86" t="b">
        <f>+ISNUMBER(SEARCH('F-VTA'!$G$25,Tabla11[[#This Row],[Cuenta]],1))</f>
        <v>0</v>
      </c>
      <c r="AI86" t="b">
        <f>+ISNUMBER(SEARCH('F-VTA'!$F$28,Tabla11[[#This Row],[Cuenta]],1))</f>
        <v>1</v>
      </c>
      <c r="AJ86" t="b">
        <f>+ISNUMBER(SEARCH('F-VTA'!$F$29,Tabla11[[#This Row],[Cuenta]],1))</f>
        <v>1</v>
      </c>
      <c r="AK86" t="b">
        <f>+ISNUMBER(SEARCH('F-VTA'!$F$30,Tabla11[[#This Row],[Cuenta]],1))</f>
        <v>1</v>
      </c>
      <c r="AL86" t="b">
        <f>+ISNUMBER(SEARCH('F-VTA'!$F$31,Tabla11[[#This Row],[Cuenta]],1))</f>
        <v>1</v>
      </c>
      <c r="AM86" t="b">
        <f>+ISNUMBER(SEARCH('F-VTA'!$F$32,Tabla11[[#This Row],[Cuenta]],1))</f>
        <v>1</v>
      </c>
      <c r="AN86" t="b">
        <f>+ISNUMBER(SEARCH('F-VTA'!$F$33,Tabla11[[#This Row],[Cuenta]],1))</f>
        <v>1</v>
      </c>
      <c r="AO86" t="b">
        <f>+ISNUMBER(SEARCH('F-VTA'!$F$34,Tabla11[[#This Row],[Cuenta]],1))</f>
        <v>1</v>
      </c>
      <c r="AP86" t="b">
        <f>+ISNUMBER(SEARCH('F-VTA'!$F$35,Tabla11[[#This Row],[Cuenta]],1))</f>
        <v>1</v>
      </c>
      <c r="AQ86" t="b">
        <f>+ISNUMBER(SEARCH('F-VTA'!$F$36,Tabla11[[#This Row],[Cuenta]],1))</f>
        <v>1</v>
      </c>
      <c r="AR86" t="b">
        <f>+ISNUMBER(SEARCH(#REF!,Tabla11[[#This Row],[Cuenta]],1))</f>
        <v>0</v>
      </c>
      <c r="AS86" t="b">
        <f>+ISNUMBER(SEARCH(#REF!,Tabla11[[#This Row],[Cuenta]],1))</f>
        <v>0</v>
      </c>
      <c r="AT86" t="b">
        <f>+ISNUMBER(SEARCH(#REF!,Tabla11[[#This Row],[Cuenta]],1))</f>
        <v>0</v>
      </c>
      <c r="AU86" t="b">
        <f>+ISNUMBER(SEARCH('Conc. Ban.1'!$I$9,Tabla11[[#This Row],[Cuenta]],1))</f>
        <v>0</v>
      </c>
      <c r="AV86" t="b">
        <f>+ISNUMBER(SEARCH(CompConta!$F$21,Tabla11[[#This Row],[Cuenta]],1))</f>
        <v>1</v>
      </c>
      <c r="AW86" t="b">
        <f>+ISNUMBER(SEARCH(CompConta!$F$22,Tabla11[[#This Row],[Cuenta]],1))</f>
        <v>1</v>
      </c>
      <c r="AX86" t="b">
        <f>+ISNUMBER(SEARCH(CompConta!$F$23,Tabla11[[#This Row],[Cuenta]],1))</f>
        <v>1</v>
      </c>
      <c r="AY86" t="b">
        <f>+ISNUMBER(SEARCH(CompConta!$F$24,Tabla11[[#This Row],[Cuenta]],1))</f>
        <v>1</v>
      </c>
      <c r="AZ86" t="b">
        <f>+ISNUMBER(SEARCH(CompConta!$F$25,Tabla11[[#This Row],[Cuenta]],1))</f>
        <v>1</v>
      </c>
      <c r="BA86" t="b">
        <f>+ISNUMBER(SEARCH(CompConta!$F$26,Tabla11[[#This Row],[Cuenta]],1))</f>
        <v>1</v>
      </c>
      <c r="BB86" t="b">
        <f>+ISNUMBER(SEARCH(CompConta!$F$27,Tabla11[[#This Row],[Cuenta]],1))</f>
        <v>1</v>
      </c>
      <c r="BC86" t="b">
        <f>+ISNUMBER(SEARCH(CompConta!$F$28,Tabla11[[#This Row],[Cuenta]],1))</f>
        <v>1</v>
      </c>
      <c r="BD86" t="b">
        <f>+ISNUMBER(SEARCH(CompConta!$F$29,Tabla11[[#This Row],[Cuenta]],1))</f>
        <v>1</v>
      </c>
      <c r="BE86" t="b">
        <f>+ISNUMBER(SEARCH(CompConta!$F$30,Tabla11[[#This Row],[Cuenta]],1))</f>
        <v>1</v>
      </c>
      <c r="BF86" t="b">
        <f>+ISNUMBER(SEARCH('PAGO Compras'!$E$11,Tabla11[[#This Row],[Cuenta]],1))</f>
        <v>1</v>
      </c>
      <c r="BG86" t="b">
        <f>+ISNUMBER(SEARCH(#REF!,Tabla11[[#This Row],[Cuenta]],1))</f>
        <v>0</v>
      </c>
      <c r="BH86" t="b">
        <f>+ISNUMBER(SEARCH(#REF!,Tabla11[[#This Row],[Cuenta]],1))</f>
        <v>0</v>
      </c>
      <c r="BI86" t="b">
        <f>+ISNUMBER(SEARCH(#REF!,Tabla11[[#This Row],[Cuenta]],1))</f>
        <v>0</v>
      </c>
      <c r="BJ86" t="b">
        <f>+ISNUMBER(SEARCH(#REF!,Tabla11[[#This Row],[Cuenta]],1))</f>
        <v>0</v>
      </c>
      <c r="BS86" t="str">
        <v>149905 Para obsolescencia</v>
      </c>
      <c r="BT86" t="str">
        <v>149905 Para obsolescencia</v>
      </c>
      <c r="BU86" t="str">
        <v>149905 Para obsolescencia</v>
      </c>
      <c r="BV86" t="str">
        <v>149905 Para obsolescencia</v>
      </c>
      <c r="BZ86" t="str">
        <v>149905 Para obsolescencia</v>
      </c>
      <c r="CA86" t="str">
        <v>149905 Para obsolescencia</v>
      </c>
      <c r="CB86" t="str">
        <v>149905 Para obsolescencia</v>
      </c>
      <c r="CC86" t="str">
        <v>149905 Para obsolescencia</v>
      </c>
      <c r="CD86" t="str">
        <v>149905 Para obsolescencia</v>
      </c>
      <c r="CE86" t="str">
        <v>149905 Para obsolescencia</v>
      </c>
      <c r="CS86" s="141" t="str">
        <v>149905 Para obsolescencia</v>
      </c>
      <c r="CT86" s="141" t="str">
        <v>149905 Para obsolescencia</v>
      </c>
      <c r="CU86" s="141" t="str">
        <v>149905 Para obsolescencia</v>
      </c>
      <c r="CV86" s="141" t="str">
        <v>149905 Para obsolescencia</v>
      </c>
      <c r="CW86" s="141" t="str">
        <v>149905 Para obsolescencia</v>
      </c>
      <c r="CX86" s="141" t="str">
        <v>149905 Para obsolescencia</v>
      </c>
      <c r="CY86" s="141" t="str">
        <v>149905 Para obsolescencia</v>
      </c>
      <c r="CZ86" s="141" t="str">
        <v>149905 Para obsolescencia</v>
      </c>
      <c r="DA86" s="141" t="str">
        <v>149905 Para obsolescencia</v>
      </c>
      <c r="DF86" t="str">
        <v>149905 Para obsolescencia</v>
      </c>
      <c r="DG86" t="str">
        <v>149905 Para obsolescencia</v>
      </c>
      <c r="DH86" t="str">
        <v>149905 Para obsolescencia</v>
      </c>
      <c r="DI86" t="str">
        <v>149905 Para obsolescencia</v>
      </c>
      <c r="DJ86" t="str">
        <v>149905 Para obsolescencia</v>
      </c>
      <c r="DK86" t="str">
        <v>149905 Para obsolescencia</v>
      </c>
      <c r="DL86" t="str">
        <v>149905 Para obsolescencia</v>
      </c>
      <c r="DM86" t="str">
        <v>149905 Para obsolescencia</v>
      </c>
      <c r="DN86" t="str">
        <v>149905 Para obsolescencia</v>
      </c>
      <c r="DO86" t="str">
        <v>149905 Para obsolescencia</v>
      </c>
      <c r="DP86" t="str">
        <v>149905 Para obsolescencia</v>
      </c>
    </row>
    <row r="87" spans="4:120" ht="12.75">
      <c r="D87" s="7">
        <v>149910</v>
      </c>
      <c r="E87" s="6" t="s">
        <v>110</v>
      </c>
      <c r="F87" s="5">
        <v>4</v>
      </c>
      <c r="G87" s="34" t="s">
        <v>821</v>
      </c>
      <c r="H87" s="8" t="s">
        <v>56</v>
      </c>
      <c r="I87" t="b">
        <f>+ISNUMBER(SEARCH('F-COMPRA'!$F$28,Tabla11[[#This Row],[Cuenta]],1))</f>
        <v>1</v>
      </c>
      <c r="J87" t="b">
        <f>+ISNUMBER(SEARCH('F-COMPRA'!$F$29,Tabla11[[#This Row],[Cuenta]],1))</f>
        <v>1</v>
      </c>
      <c r="K87" t="b">
        <f>+ISNUMBER(SEARCH('F-COMPRA'!$F$30,Tabla11[[#This Row],[Cuenta]],1))</f>
        <v>1</v>
      </c>
      <c r="L87" t="b">
        <f>+ISNUMBER(SEARCH('F-COMPRA'!$F$31,Tabla11[[#This Row],[Cuenta]],1))</f>
        <v>1</v>
      </c>
      <c r="M87" t="b">
        <f>+ISNUMBER(SEARCH('F-COMPRA'!$G$25,Tabla11[[#This Row],[Cuenta]],1))</f>
        <v>0</v>
      </c>
      <c r="N87" t="b">
        <f>+ISNUMBER(SEARCH(#REF!,Tabla11[[#This Row],[Cuenta]],1))</f>
        <v>0</v>
      </c>
      <c r="O87" t="b">
        <f>+ISNUMBER(SEARCH(#REF!,Tabla11[[#This Row],[Cuenta]],1))</f>
        <v>0</v>
      </c>
      <c r="P87" t="b">
        <f>+ISNUMBER(SEARCH('F-COMPRA'!$F$32,Tabla11[[#This Row],[Cuenta]],1))</f>
        <v>1</v>
      </c>
      <c r="Q87" t="b">
        <f>+ISNUMBER(SEARCH('F-COMPRA'!$F$33,Tabla11[[#This Row],[Cuenta]],1))</f>
        <v>1</v>
      </c>
      <c r="R87" t="b">
        <f>+ISNUMBER(SEARCH('F-COMPRA'!$F$34,Tabla11[[#This Row],[Cuenta]],1))</f>
        <v>1</v>
      </c>
      <c r="S87" t="b">
        <f>+ISNUMBER(SEARCH('F-COMPRA'!$F$35,Tabla11[[#This Row],[Cuenta]],1))</f>
        <v>1</v>
      </c>
      <c r="T87" t="b">
        <f>+ISNUMBER(SEARCH('F-COMPRA'!$F$36,Tabla11[[#This Row],[Cuenta]],1))</f>
        <v>1</v>
      </c>
      <c r="U87" t="b">
        <f>+ISNUMBER(SEARCH('F-COMPRA'!$F$37,Tabla11[[#This Row],[Cuenta]],1))</f>
        <v>1</v>
      </c>
      <c r="V87" t="b">
        <f>+ISNUMBER(SEARCH(#REF!,Tabla11[[#This Row],[Cuenta]],1))</f>
        <v>0</v>
      </c>
      <c r="W87" t="b">
        <f>+ISNUMBER(SEARCH('F-COMPRA'!#REF!,Tabla11[[#This Row],[Cuenta]],1))</f>
        <v>0</v>
      </c>
      <c r="X87" t="b">
        <f>+ISNUMBER(SEARCH('F-COMPRA'!#REF!,Tabla11[[#This Row],[Cuenta]],1))</f>
        <v>0</v>
      </c>
      <c r="Y87" t="b">
        <f>+ISNUMBER(SEARCH('F-COMPRA'!#REF!,Tabla11[[#This Row],[Cuenta]],1))</f>
        <v>0</v>
      </c>
      <c r="Z87" t="b">
        <f>+ISNUMBER(SEARCH('F-COMPRA'!#REF!,Tabla11[[#This Row],[Cuenta]],1))</f>
        <v>0</v>
      </c>
      <c r="AA87" t="b">
        <f>+ISNUMBER(SEARCH('F-COMPRA'!#REF!,Tabla11[[#This Row],[Cuenta]],1))</f>
        <v>0</v>
      </c>
      <c r="AB87" t="b">
        <f>+ISNUMBER(SEARCH('F-COMPRA'!#REF!,Tabla11[[#This Row],[Cuenta]],1))</f>
        <v>0</v>
      </c>
      <c r="AC87" t="b">
        <f>+ISNUMBER(SEARCH('F-COMPRA'!#REF!,Tabla11[[#This Row],[Cuenta]],1))</f>
        <v>0</v>
      </c>
      <c r="AD87" t="b">
        <f>+ISNUMBER(SEARCH('F-COMPRA'!#REF!,Tabla11[[#This Row],[Cuenta]],1))</f>
        <v>0</v>
      </c>
      <c r="AE87" t="b">
        <f>+ISNUMBER(SEARCH('F-COMPRA'!#REF!,Tabla11[[#This Row],[Cuenta]],1))</f>
        <v>0</v>
      </c>
      <c r="AF87" t="b">
        <f>+ISNUMBER(SEARCH('F-VTA'!$G$23,Tabla11[[#This Row],[Cuenta]],1))</f>
        <v>0</v>
      </c>
      <c r="AG87" t="b">
        <f>+ISNUMBER(SEARCH('F-VTA'!$G$24,Tabla11[[#This Row],[Cuenta]],1))</f>
        <v>0</v>
      </c>
      <c r="AH87" t="b">
        <f>+ISNUMBER(SEARCH('F-VTA'!$G$25,Tabla11[[#This Row],[Cuenta]],1))</f>
        <v>0</v>
      </c>
      <c r="AI87" t="b">
        <f>+ISNUMBER(SEARCH('F-VTA'!$F$28,Tabla11[[#This Row],[Cuenta]],1))</f>
        <v>1</v>
      </c>
      <c r="AJ87" t="b">
        <f>+ISNUMBER(SEARCH('F-VTA'!$F$29,Tabla11[[#This Row],[Cuenta]],1))</f>
        <v>1</v>
      </c>
      <c r="AK87" t="b">
        <f>+ISNUMBER(SEARCH('F-VTA'!$F$30,Tabla11[[#This Row],[Cuenta]],1))</f>
        <v>1</v>
      </c>
      <c r="AL87" t="b">
        <f>+ISNUMBER(SEARCH('F-VTA'!$F$31,Tabla11[[#This Row],[Cuenta]],1))</f>
        <v>1</v>
      </c>
      <c r="AM87" t="b">
        <f>+ISNUMBER(SEARCH('F-VTA'!$F$32,Tabla11[[#This Row],[Cuenta]],1))</f>
        <v>1</v>
      </c>
      <c r="AN87" t="b">
        <f>+ISNUMBER(SEARCH('F-VTA'!$F$33,Tabla11[[#This Row],[Cuenta]],1))</f>
        <v>1</v>
      </c>
      <c r="AO87" t="b">
        <f>+ISNUMBER(SEARCH('F-VTA'!$F$34,Tabla11[[#This Row],[Cuenta]],1))</f>
        <v>1</v>
      </c>
      <c r="AP87" t="b">
        <f>+ISNUMBER(SEARCH('F-VTA'!$F$35,Tabla11[[#This Row],[Cuenta]],1))</f>
        <v>1</v>
      </c>
      <c r="AQ87" t="b">
        <f>+ISNUMBER(SEARCH('F-VTA'!$F$36,Tabla11[[#This Row],[Cuenta]],1))</f>
        <v>1</v>
      </c>
      <c r="AR87" t="b">
        <f>+ISNUMBER(SEARCH(#REF!,Tabla11[[#This Row],[Cuenta]],1))</f>
        <v>0</v>
      </c>
      <c r="AS87" t="b">
        <f>+ISNUMBER(SEARCH(#REF!,Tabla11[[#This Row],[Cuenta]],1))</f>
        <v>0</v>
      </c>
      <c r="AT87" t="b">
        <f>+ISNUMBER(SEARCH(#REF!,Tabla11[[#This Row],[Cuenta]],1))</f>
        <v>0</v>
      </c>
      <c r="AU87" t="b">
        <f>+ISNUMBER(SEARCH('Conc. Ban.1'!$I$9,Tabla11[[#This Row],[Cuenta]],1))</f>
        <v>0</v>
      </c>
      <c r="AV87" t="b">
        <f>+ISNUMBER(SEARCH(CompConta!$F$21,Tabla11[[#This Row],[Cuenta]],1))</f>
        <v>1</v>
      </c>
      <c r="AW87" t="b">
        <f>+ISNUMBER(SEARCH(CompConta!$F$22,Tabla11[[#This Row],[Cuenta]],1))</f>
        <v>1</v>
      </c>
      <c r="AX87" t="b">
        <f>+ISNUMBER(SEARCH(CompConta!$F$23,Tabla11[[#This Row],[Cuenta]],1))</f>
        <v>1</v>
      </c>
      <c r="AY87" t="b">
        <f>+ISNUMBER(SEARCH(CompConta!$F$24,Tabla11[[#This Row],[Cuenta]],1))</f>
        <v>1</v>
      </c>
      <c r="AZ87" t="b">
        <f>+ISNUMBER(SEARCH(CompConta!$F$25,Tabla11[[#This Row],[Cuenta]],1))</f>
        <v>1</v>
      </c>
      <c r="BA87" t="b">
        <f>+ISNUMBER(SEARCH(CompConta!$F$26,Tabla11[[#This Row],[Cuenta]],1))</f>
        <v>1</v>
      </c>
      <c r="BB87" t="b">
        <f>+ISNUMBER(SEARCH(CompConta!$F$27,Tabla11[[#This Row],[Cuenta]],1))</f>
        <v>1</v>
      </c>
      <c r="BC87" t="b">
        <f>+ISNUMBER(SEARCH(CompConta!$F$28,Tabla11[[#This Row],[Cuenta]],1))</f>
        <v>1</v>
      </c>
      <c r="BD87" t="b">
        <f>+ISNUMBER(SEARCH(CompConta!$F$29,Tabla11[[#This Row],[Cuenta]],1))</f>
        <v>1</v>
      </c>
      <c r="BE87" t="b">
        <f>+ISNUMBER(SEARCH(CompConta!$F$30,Tabla11[[#This Row],[Cuenta]],1))</f>
        <v>1</v>
      </c>
      <c r="BF87" t="b">
        <f>+ISNUMBER(SEARCH('PAGO Compras'!$E$11,Tabla11[[#This Row],[Cuenta]],1))</f>
        <v>1</v>
      </c>
      <c r="BG87" t="b">
        <f>+ISNUMBER(SEARCH(#REF!,Tabla11[[#This Row],[Cuenta]],1))</f>
        <v>0</v>
      </c>
      <c r="BH87" t="b">
        <f>+ISNUMBER(SEARCH(#REF!,Tabla11[[#This Row],[Cuenta]],1))</f>
        <v>0</v>
      </c>
      <c r="BI87" t="b">
        <f>+ISNUMBER(SEARCH(#REF!,Tabla11[[#This Row],[Cuenta]],1))</f>
        <v>0</v>
      </c>
      <c r="BJ87" t="b">
        <f>+ISNUMBER(SEARCH(#REF!,Tabla11[[#This Row],[Cuenta]],1))</f>
        <v>0</v>
      </c>
      <c r="BS87" t="str">
        <v>149910 Para diferencia de inventario físico</v>
      </c>
      <c r="BT87" t="str">
        <v>149910 Para diferencia de inventario físico</v>
      </c>
      <c r="BU87" t="str">
        <v>149910 Para diferencia de inventario físico</v>
      </c>
      <c r="BV87" t="str">
        <v>149910 Para diferencia de inventario físico</v>
      </c>
      <c r="BZ87" t="str">
        <v>149910 Para diferencia de inventario físico</v>
      </c>
      <c r="CA87" t="str">
        <v>149910 Para diferencia de inventario físico</v>
      </c>
      <c r="CB87" t="str">
        <v>149910 Para diferencia de inventario físico</v>
      </c>
      <c r="CC87" t="str">
        <v>149910 Para diferencia de inventario físico</v>
      </c>
      <c r="CD87" t="str">
        <v>149910 Para diferencia de inventario físico</v>
      </c>
      <c r="CE87" t="str">
        <v>149910 Para diferencia de inventario físico</v>
      </c>
      <c r="CS87" s="141" t="str">
        <v>149910 Para diferencia de inventario físico</v>
      </c>
      <c r="CT87" s="141" t="str">
        <v>149910 Para diferencia de inventario físico</v>
      </c>
      <c r="CU87" s="141" t="str">
        <v>149910 Para diferencia de inventario físico</v>
      </c>
      <c r="CV87" s="141" t="str">
        <v>149910 Para diferencia de inventario físico</v>
      </c>
      <c r="CW87" s="141" t="str">
        <v>149910 Para diferencia de inventario físico</v>
      </c>
      <c r="CX87" s="141" t="str">
        <v>149910 Para diferencia de inventario físico</v>
      </c>
      <c r="CY87" s="141" t="str">
        <v>149910 Para diferencia de inventario físico</v>
      </c>
      <c r="CZ87" s="141" t="str">
        <v>149910 Para diferencia de inventario físico</v>
      </c>
      <c r="DA87" s="141" t="str">
        <v>149910 Para diferencia de inventario físico</v>
      </c>
      <c r="DF87" t="str">
        <v>149910 Para diferencia de inventario físico</v>
      </c>
      <c r="DG87" t="str">
        <v>149910 Para diferencia de inventario físico</v>
      </c>
      <c r="DH87" t="str">
        <v>149910 Para diferencia de inventario físico</v>
      </c>
      <c r="DI87" t="str">
        <v>149910 Para diferencia de inventario físico</v>
      </c>
      <c r="DJ87" t="str">
        <v>149910 Para diferencia de inventario físico</v>
      </c>
      <c r="DK87" t="str">
        <v>149910 Para diferencia de inventario físico</v>
      </c>
      <c r="DL87" t="str">
        <v>149910 Para diferencia de inventario físico</v>
      </c>
      <c r="DM87" t="str">
        <v>149910 Para diferencia de inventario físico</v>
      </c>
      <c r="DN87" t="str">
        <v>149910 Para diferencia de inventario físico</v>
      </c>
      <c r="DO87" t="str">
        <v>149910 Para diferencia de inventario físico</v>
      </c>
      <c r="DP87" t="str">
        <v>149910 Para diferencia de inventario físico</v>
      </c>
    </row>
    <row r="88" spans="4:120" ht="12.75">
      <c r="D88" s="7">
        <v>149915</v>
      </c>
      <c r="E88" s="6" t="s">
        <v>111</v>
      </c>
      <c r="F88" s="5">
        <v>4</v>
      </c>
      <c r="G88" s="34" t="s">
        <v>821</v>
      </c>
      <c r="H88" s="8" t="s">
        <v>56</v>
      </c>
      <c r="I88" t="b">
        <f>+ISNUMBER(SEARCH('F-COMPRA'!$F$28,Tabla11[[#This Row],[Cuenta]],1))</f>
        <v>1</v>
      </c>
      <c r="J88" t="b">
        <f>+ISNUMBER(SEARCH('F-COMPRA'!$F$29,Tabla11[[#This Row],[Cuenta]],1))</f>
        <v>1</v>
      </c>
      <c r="K88" t="b">
        <f>+ISNUMBER(SEARCH('F-COMPRA'!$F$30,Tabla11[[#This Row],[Cuenta]],1))</f>
        <v>1</v>
      </c>
      <c r="L88" t="b">
        <f>+ISNUMBER(SEARCH('F-COMPRA'!$F$31,Tabla11[[#This Row],[Cuenta]],1))</f>
        <v>1</v>
      </c>
      <c r="M88" t="b">
        <f>+ISNUMBER(SEARCH('F-COMPRA'!$G$25,Tabla11[[#This Row],[Cuenta]],1))</f>
        <v>0</v>
      </c>
      <c r="N88" t="b">
        <f>+ISNUMBER(SEARCH(#REF!,Tabla11[[#This Row],[Cuenta]],1))</f>
        <v>0</v>
      </c>
      <c r="O88" t="b">
        <f>+ISNUMBER(SEARCH(#REF!,Tabla11[[#This Row],[Cuenta]],1))</f>
        <v>0</v>
      </c>
      <c r="P88" t="b">
        <f>+ISNUMBER(SEARCH('F-COMPRA'!$F$32,Tabla11[[#This Row],[Cuenta]],1))</f>
        <v>1</v>
      </c>
      <c r="Q88" t="b">
        <f>+ISNUMBER(SEARCH('F-COMPRA'!$F$33,Tabla11[[#This Row],[Cuenta]],1))</f>
        <v>1</v>
      </c>
      <c r="R88" t="b">
        <f>+ISNUMBER(SEARCH('F-COMPRA'!$F$34,Tabla11[[#This Row],[Cuenta]],1))</f>
        <v>1</v>
      </c>
      <c r="S88" t="b">
        <f>+ISNUMBER(SEARCH('F-COMPRA'!$F$35,Tabla11[[#This Row],[Cuenta]],1))</f>
        <v>1</v>
      </c>
      <c r="T88" t="b">
        <f>+ISNUMBER(SEARCH('F-COMPRA'!$F$36,Tabla11[[#This Row],[Cuenta]],1))</f>
        <v>1</v>
      </c>
      <c r="U88" t="b">
        <f>+ISNUMBER(SEARCH('F-COMPRA'!$F$37,Tabla11[[#This Row],[Cuenta]],1))</f>
        <v>1</v>
      </c>
      <c r="V88" t="b">
        <f>+ISNUMBER(SEARCH(#REF!,Tabla11[[#This Row],[Cuenta]],1))</f>
        <v>0</v>
      </c>
      <c r="W88" t="b">
        <f>+ISNUMBER(SEARCH('F-COMPRA'!#REF!,Tabla11[[#This Row],[Cuenta]],1))</f>
        <v>0</v>
      </c>
      <c r="X88" t="b">
        <f>+ISNUMBER(SEARCH('F-COMPRA'!#REF!,Tabla11[[#This Row],[Cuenta]],1))</f>
        <v>0</v>
      </c>
      <c r="Y88" t="b">
        <f>+ISNUMBER(SEARCH('F-COMPRA'!#REF!,Tabla11[[#This Row],[Cuenta]],1))</f>
        <v>0</v>
      </c>
      <c r="Z88" t="b">
        <f>+ISNUMBER(SEARCH('F-COMPRA'!#REF!,Tabla11[[#This Row],[Cuenta]],1))</f>
        <v>0</v>
      </c>
      <c r="AA88" t="b">
        <f>+ISNUMBER(SEARCH('F-COMPRA'!#REF!,Tabla11[[#This Row],[Cuenta]],1))</f>
        <v>0</v>
      </c>
      <c r="AB88" t="b">
        <f>+ISNUMBER(SEARCH('F-COMPRA'!#REF!,Tabla11[[#This Row],[Cuenta]],1))</f>
        <v>0</v>
      </c>
      <c r="AC88" t="b">
        <f>+ISNUMBER(SEARCH('F-COMPRA'!#REF!,Tabla11[[#This Row],[Cuenta]],1))</f>
        <v>0</v>
      </c>
      <c r="AD88" t="b">
        <f>+ISNUMBER(SEARCH('F-COMPRA'!#REF!,Tabla11[[#This Row],[Cuenta]],1))</f>
        <v>0</v>
      </c>
      <c r="AE88" t="b">
        <f>+ISNUMBER(SEARCH('F-COMPRA'!#REF!,Tabla11[[#This Row],[Cuenta]],1))</f>
        <v>0</v>
      </c>
      <c r="AF88" t="b">
        <f>+ISNUMBER(SEARCH('F-VTA'!$G$23,Tabla11[[#This Row],[Cuenta]],1))</f>
        <v>0</v>
      </c>
      <c r="AG88" t="b">
        <f>+ISNUMBER(SEARCH('F-VTA'!$G$24,Tabla11[[#This Row],[Cuenta]],1))</f>
        <v>0</v>
      </c>
      <c r="AH88" t="b">
        <f>+ISNUMBER(SEARCH('F-VTA'!$G$25,Tabla11[[#This Row],[Cuenta]],1))</f>
        <v>0</v>
      </c>
      <c r="AI88" t="b">
        <f>+ISNUMBER(SEARCH('F-VTA'!$F$28,Tabla11[[#This Row],[Cuenta]],1))</f>
        <v>1</v>
      </c>
      <c r="AJ88" t="b">
        <f>+ISNUMBER(SEARCH('F-VTA'!$F$29,Tabla11[[#This Row],[Cuenta]],1))</f>
        <v>1</v>
      </c>
      <c r="AK88" t="b">
        <f>+ISNUMBER(SEARCH('F-VTA'!$F$30,Tabla11[[#This Row],[Cuenta]],1))</f>
        <v>1</v>
      </c>
      <c r="AL88" t="b">
        <f>+ISNUMBER(SEARCH('F-VTA'!$F$31,Tabla11[[#This Row],[Cuenta]],1))</f>
        <v>1</v>
      </c>
      <c r="AM88" t="b">
        <f>+ISNUMBER(SEARCH('F-VTA'!$F$32,Tabla11[[#This Row],[Cuenta]],1))</f>
        <v>1</v>
      </c>
      <c r="AN88" t="b">
        <f>+ISNUMBER(SEARCH('F-VTA'!$F$33,Tabla11[[#This Row],[Cuenta]],1))</f>
        <v>1</v>
      </c>
      <c r="AO88" t="b">
        <f>+ISNUMBER(SEARCH('F-VTA'!$F$34,Tabla11[[#This Row],[Cuenta]],1))</f>
        <v>1</v>
      </c>
      <c r="AP88" t="b">
        <f>+ISNUMBER(SEARCH('F-VTA'!$F$35,Tabla11[[#This Row],[Cuenta]],1))</f>
        <v>1</v>
      </c>
      <c r="AQ88" t="b">
        <f>+ISNUMBER(SEARCH('F-VTA'!$F$36,Tabla11[[#This Row],[Cuenta]],1))</f>
        <v>1</v>
      </c>
      <c r="AR88" t="b">
        <f>+ISNUMBER(SEARCH(#REF!,Tabla11[[#This Row],[Cuenta]],1))</f>
        <v>0</v>
      </c>
      <c r="AS88" t="b">
        <f>+ISNUMBER(SEARCH(#REF!,Tabla11[[#This Row],[Cuenta]],1))</f>
        <v>0</v>
      </c>
      <c r="AT88" t="b">
        <f>+ISNUMBER(SEARCH(#REF!,Tabla11[[#This Row],[Cuenta]],1))</f>
        <v>0</v>
      </c>
      <c r="AU88" t="b">
        <f>+ISNUMBER(SEARCH('Conc. Ban.1'!$I$9,Tabla11[[#This Row],[Cuenta]],1))</f>
        <v>0</v>
      </c>
      <c r="AV88" t="b">
        <f>+ISNUMBER(SEARCH(CompConta!$F$21,Tabla11[[#This Row],[Cuenta]],1))</f>
        <v>1</v>
      </c>
      <c r="AW88" t="b">
        <f>+ISNUMBER(SEARCH(CompConta!$F$22,Tabla11[[#This Row],[Cuenta]],1))</f>
        <v>1</v>
      </c>
      <c r="AX88" t="b">
        <f>+ISNUMBER(SEARCH(CompConta!$F$23,Tabla11[[#This Row],[Cuenta]],1))</f>
        <v>1</v>
      </c>
      <c r="AY88" t="b">
        <f>+ISNUMBER(SEARCH(CompConta!$F$24,Tabla11[[#This Row],[Cuenta]],1))</f>
        <v>1</v>
      </c>
      <c r="AZ88" t="b">
        <f>+ISNUMBER(SEARCH(CompConta!$F$25,Tabla11[[#This Row],[Cuenta]],1))</f>
        <v>1</v>
      </c>
      <c r="BA88" t="b">
        <f>+ISNUMBER(SEARCH(CompConta!$F$26,Tabla11[[#This Row],[Cuenta]],1))</f>
        <v>1</v>
      </c>
      <c r="BB88" t="b">
        <f>+ISNUMBER(SEARCH(CompConta!$F$27,Tabla11[[#This Row],[Cuenta]],1))</f>
        <v>1</v>
      </c>
      <c r="BC88" t="b">
        <f>+ISNUMBER(SEARCH(CompConta!$F$28,Tabla11[[#This Row],[Cuenta]],1))</f>
        <v>1</v>
      </c>
      <c r="BD88" t="b">
        <f>+ISNUMBER(SEARCH(CompConta!$F$29,Tabla11[[#This Row],[Cuenta]],1))</f>
        <v>1</v>
      </c>
      <c r="BE88" t="b">
        <f>+ISNUMBER(SEARCH(CompConta!$F$30,Tabla11[[#This Row],[Cuenta]],1))</f>
        <v>1</v>
      </c>
      <c r="BF88" t="b">
        <f>+ISNUMBER(SEARCH('PAGO Compras'!$E$11,Tabla11[[#This Row],[Cuenta]],1))</f>
        <v>1</v>
      </c>
      <c r="BG88" t="b">
        <f>+ISNUMBER(SEARCH(#REF!,Tabla11[[#This Row],[Cuenta]],1))</f>
        <v>0</v>
      </c>
      <c r="BH88" t="b">
        <f>+ISNUMBER(SEARCH(#REF!,Tabla11[[#This Row],[Cuenta]],1))</f>
        <v>0</v>
      </c>
      <c r="BI88" t="b">
        <f>+ISNUMBER(SEARCH(#REF!,Tabla11[[#This Row],[Cuenta]],1))</f>
        <v>0</v>
      </c>
      <c r="BJ88" t="b">
        <f>+ISNUMBER(SEARCH(#REF!,Tabla11[[#This Row],[Cuenta]],1))</f>
        <v>0</v>
      </c>
      <c r="BS88" t="str">
        <v>149915 Para pérdidas de inventarios</v>
      </c>
      <c r="BT88" t="str">
        <v>149915 Para pérdidas de inventarios</v>
      </c>
      <c r="BU88" t="str">
        <v>149915 Para pérdidas de inventarios</v>
      </c>
      <c r="BV88" t="str">
        <v>149915 Para pérdidas de inventarios</v>
      </c>
      <c r="BZ88" t="str">
        <v>149915 Para pérdidas de inventarios</v>
      </c>
      <c r="CA88" t="str">
        <v>149915 Para pérdidas de inventarios</v>
      </c>
      <c r="CB88" t="str">
        <v>149915 Para pérdidas de inventarios</v>
      </c>
      <c r="CC88" t="str">
        <v>149915 Para pérdidas de inventarios</v>
      </c>
      <c r="CD88" t="str">
        <v>149915 Para pérdidas de inventarios</v>
      </c>
      <c r="CE88" t="str">
        <v>149915 Para pérdidas de inventarios</v>
      </c>
      <c r="CS88" s="141" t="str">
        <v>149915 Para pérdidas de inventarios</v>
      </c>
      <c r="CT88" s="141" t="str">
        <v>149915 Para pérdidas de inventarios</v>
      </c>
      <c r="CU88" s="141" t="str">
        <v>149915 Para pérdidas de inventarios</v>
      </c>
      <c r="CV88" s="141" t="str">
        <v>149915 Para pérdidas de inventarios</v>
      </c>
      <c r="CW88" s="141" t="str">
        <v>149915 Para pérdidas de inventarios</v>
      </c>
      <c r="CX88" s="141" t="str">
        <v>149915 Para pérdidas de inventarios</v>
      </c>
      <c r="CY88" s="141" t="str">
        <v>149915 Para pérdidas de inventarios</v>
      </c>
      <c r="CZ88" s="141" t="str">
        <v>149915 Para pérdidas de inventarios</v>
      </c>
      <c r="DA88" s="141" t="str">
        <v>149915 Para pérdidas de inventarios</v>
      </c>
      <c r="DF88" t="str">
        <v>149915 Para pérdidas de inventarios</v>
      </c>
      <c r="DG88" t="str">
        <v>149915 Para pérdidas de inventarios</v>
      </c>
      <c r="DH88" t="str">
        <v>149915 Para pérdidas de inventarios</v>
      </c>
      <c r="DI88" t="str">
        <v>149915 Para pérdidas de inventarios</v>
      </c>
      <c r="DJ88" t="str">
        <v>149915 Para pérdidas de inventarios</v>
      </c>
      <c r="DK88" t="str">
        <v>149915 Para pérdidas de inventarios</v>
      </c>
      <c r="DL88" t="str">
        <v>149915 Para pérdidas de inventarios</v>
      </c>
      <c r="DM88" t="str">
        <v>149915 Para pérdidas de inventarios</v>
      </c>
      <c r="DN88" t="str">
        <v>149915 Para pérdidas de inventarios</v>
      </c>
      <c r="DO88" t="str">
        <v>149915 Para pérdidas de inventarios</v>
      </c>
      <c r="DP88" t="str">
        <v>149915 Para pérdidas de inventarios</v>
      </c>
    </row>
    <row r="89" spans="4:120" ht="12.75">
      <c r="D89" s="7">
        <v>149920</v>
      </c>
      <c r="E89" s="6" t="s">
        <v>112</v>
      </c>
      <c r="F89" s="5">
        <v>4</v>
      </c>
      <c r="G89" s="34" t="s">
        <v>821</v>
      </c>
      <c r="H89" s="8" t="s">
        <v>56</v>
      </c>
      <c r="I89" t="b">
        <f>+ISNUMBER(SEARCH('F-COMPRA'!$F$28,Tabla11[[#This Row],[Cuenta]],1))</f>
        <v>1</v>
      </c>
      <c r="J89" t="b">
        <f>+ISNUMBER(SEARCH('F-COMPRA'!$F$29,Tabla11[[#This Row],[Cuenta]],1))</f>
        <v>1</v>
      </c>
      <c r="K89" t="b">
        <f>+ISNUMBER(SEARCH('F-COMPRA'!$F$30,Tabla11[[#This Row],[Cuenta]],1))</f>
        <v>1</v>
      </c>
      <c r="L89" t="b">
        <f>+ISNUMBER(SEARCH('F-COMPRA'!$F$31,Tabla11[[#This Row],[Cuenta]],1))</f>
        <v>1</v>
      </c>
      <c r="M89" t="b">
        <f>+ISNUMBER(SEARCH('F-COMPRA'!$G$25,Tabla11[[#This Row],[Cuenta]],1))</f>
        <v>0</v>
      </c>
      <c r="N89" t="b">
        <f>+ISNUMBER(SEARCH(#REF!,Tabla11[[#This Row],[Cuenta]],1))</f>
        <v>0</v>
      </c>
      <c r="O89" t="b">
        <f>+ISNUMBER(SEARCH(#REF!,Tabla11[[#This Row],[Cuenta]],1))</f>
        <v>0</v>
      </c>
      <c r="P89" t="b">
        <f>+ISNUMBER(SEARCH('F-COMPRA'!$F$32,Tabla11[[#This Row],[Cuenta]],1))</f>
        <v>1</v>
      </c>
      <c r="Q89" t="b">
        <f>+ISNUMBER(SEARCH('F-COMPRA'!$F$33,Tabla11[[#This Row],[Cuenta]],1))</f>
        <v>1</v>
      </c>
      <c r="R89" t="b">
        <f>+ISNUMBER(SEARCH('F-COMPRA'!$F$34,Tabla11[[#This Row],[Cuenta]],1))</f>
        <v>1</v>
      </c>
      <c r="S89" t="b">
        <f>+ISNUMBER(SEARCH('F-COMPRA'!$F$35,Tabla11[[#This Row],[Cuenta]],1))</f>
        <v>1</v>
      </c>
      <c r="T89" t="b">
        <f>+ISNUMBER(SEARCH('F-COMPRA'!$F$36,Tabla11[[#This Row],[Cuenta]],1))</f>
        <v>1</v>
      </c>
      <c r="U89" t="b">
        <f>+ISNUMBER(SEARCH('F-COMPRA'!$F$37,Tabla11[[#This Row],[Cuenta]],1))</f>
        <v>1</v>
      </c>
      <c r="V89" t="b">
        <f>+ISNUMBER(SEARCH(#REF!,Tabla11[[#This Row],[Cuenta]],1))</f>
        <v>0</v>
      </c>
      <c r="W89" t="b">
        <f>+ISNUMBER(SEARCH('F-COMPRA'!#REF!,Tabla11[[#This Row],[Cuenta]],1))</f>
        <v>0</v>
      </c>
      <c r="X89" t="b">
        <f>+ISNUMBER(SEARCH('F-COMPRA'!#REF!,Tabla11[[#This Row],[Cuenta]],1))</f>
        <v>0</v>
      </c>
      <c r="Y89" t="b">
        <f>+ISNUMBER(SEARCH('F-COMPRA'!#REF!,Tabla11[[#This Row],[Cuenta]],1))</f>
        <v>0</v>
      </c>
      <c r="Z89" t="b">
        <f>+ISNUMBER(SEARCH('F-COMPRA'!#REF!,Tabla11[[#This Row],[Cuenta]],1))</f>
        <v>0</v>
      </c>
      <c r="AA89" t="b">
        <f>+ISNUMBER(SEARCH('F-COMPRA'!#REF!,Tabla11[[#This Row],[Cuenta]],1))</f>
        <v>0</v>
      </c>
      <c r="AB89" t="b">
        <f>+ISNUMBER(SEARCH('F-COMPRA'!#REF!,Tabla11[[#This Row],[Cuenta]],1))</f>
        <v>0</v>
      </c>
      <c r="AC89" t="b">
        <f>+ISNUMBER(SEARCH('F-COMPRA'!#REF!,Tabla11[[#This Row],[Cuenta]],1))</f>
        <v>0</v>
      </c>
      <c r="AD89" t="b">
        <f>+ISNUMBER(SEARCH('F-COMPRA'!#REF!,Tabla11[[#This Row],[Cuenta]],1))</f>
        <v>0</v>
      </c>
      <c r="AE89" t="b">
        <f>+ISNUMBER(SEARCH('F-COMPRA'!#REF!,Tabla11[[#This Row],[Cuenta]],1))</f>
        <v>0</v>
      </c>
      <c r="AF89" t="b">
        <f>+ISNUMBER(SEARCH('F-VTA'!$G$23,Tabla11[[#This Row],[Cuenta]],1))</f>
        <v>0</v>
      </c>
      <c r="AG89" t="b">
        <f>+ISNUMBER(SEARCH('F-VTA'!$G$24,Tabla11[[#This Row],[Cuenta]],1))</f>
        <v>0</v>
      </c>
      <c r="AH89" t="b">
        <f>+ISNUMBER(SEARCH('F-VTA'!$G$25,Tabla11[[#This Row],[Cuenta]],1))</f>
        <v>0</v>
      </c>
      <c r="AI89" t="b">
        <f>+ISNUMBER(SEARCH('F-VTA'!$F$28,Tabla11[[#This Row],[Cuenta]],1))</f>
        <v>1</v>
      </c>
      <c r="AJ89" t="b">
        <f>+ISNUMBER(SEARCH('F-VTA'!$F$29,Tabla11[[#This Row],[Cuenta]],1))</f>
        <v>1</v>
      </c>
      <c r="AK89" t="b">
        <f>+ISNUMBER(SEARCH('F-VTA'!$F$30,Tabla11[[#This Row],[Cuenta]],1))</f>
        <v>1</v>
      </c>
      <c r="AL89" t="b">
        <f>+ISNUMBER(SEARCH('F-VTA'!$F$31,Tabla11[[#This Row],[Cuenta]],1))</f>
        <v>1</v>
      </c>
      <c r="AM89" t="b">
        <f>+ISNUMBER(SEARCH('F-VTA'!$F$32,Tabla11[[#This Row],[Cuenta]],1))</f>
        <v>1</v>
      </c>
      <c r="AN89" t="b">
        <f>+ISNUMBER(SEARCH('F-VTA'!$F$33,Tabla11[[#This Row],[Cuenta]],1))</f>
        <v>1</v>
      </c>
      <c r="AO89" t="b">
        <f>+ISNUMBER(SEARCH('F-VTA'!$F$34,Tabla11[[#This Row],[Cuenta]],1))</f>
        <v>1</v>
      </c>
      <c r="AP89" t="b">
        <f>+ISNUMBER(SEARCH('F-VTA'!$F$35,Tabla11[[#This Row],[Cuenta]],1))</f>
        <v>1</v>
      </c>
      <c r="AQ89" t="b">
        <f>+ISNUMBER(SEARCH('F-VTA'!$F$36,Tabla11[[#This Row],[Cuenta]],1))</f>
        <v>1</v>
      </c>
      <c r="AR89" t="b">
        <f>+ISNUMBER(SEARCH(#REF!,Tabla11[[#This Row],[Cuenta]],1))</f>
        <v>0</v>
      </c>
      <c r="AS89" t="b">
        <f>+ISNUMBER(SEARCH(#REF!,Tabla11[[#This Row],[Cuenta]],1))</f>
        <v>0</v>
      </c>
      <c r="AT89" t="b">
        <f>+ISNUMBER(SEARCH(#REF!,Tabla11[[#This Row],[Cuenta]],1))</f>
        <v>0</v>
      </c>
      <c r="AU89" t="b">
        <f>+ISNUMBER(SEARCH('Conc. Ban.1'!$I$9,Tabla11[[#This Row],[Cuenta]],1))</f>
        <v>0</v>
      </c>
      <c r="AV89" t="b">
        <f>+ISNUMBER(SEARCH(CompConta!$F$21,Tabla11[[#This Row],[Cuenta]],1))</f>
        <v>1</v>
      </c>
      <c r="AW89" t="b">
        <f>+ISNUMBER(SEARCH(CompConta!$F$22,Tabla11[[#This Row],[Cuenta]],1))</f>
        <v>1</v>
      </c>
      <c r="AX89" t="b">
        <f>+ISNUMBER(SEARCH(CompConta!$F$23,Tabla11[[#This Row],[Cuenta]],1))</f>
        <v>1</v>
      </c>
      <c r="AY89" t="b">
        <f>+ISNUMBER(SEARCH(CompConta!$F$24,Tabla11[[#This Row],[Cuenta]],1))</f>
        <v>1</v>
      </c>
      <c r="AZ89" t="b">
        <f>+ISNUMBER(SEARCH(CompConta!$F$25,Tabla11[[#This Row],[Cuenta]],1))</f>
        <v>1</v>
      </c>
      <c r="BA89" t="b">
        <f>+ISNUMBER(SEARCH(CompConta!$F$26,Tabla11[[#This Row],[Cuenta]],1))</f>
        <v>1</v>
      </c>
      <c r="BB89" t="b">
        <f>+ISNUMBER(SEARCH(CompConta!$F$27,Tabla11[[#This Row],[Cuenta]],1))</f>
        <v>1</v>
      </c>
      <c r="BC89" t="b">
        <f>+ISNUMBER(SEARCH(CompConta!$F$28,Tabla11[[#This Row],[Cuenta]],1))</f>
        <v>1</v>
      </c>
      <c r="BD89" t="b">
        <f>+ISNUMBER(SEARCH(CompConta!$F$29,Tabla11[[#This Row],[Cuenta]],1))</f>
        <v>1</v>
      </c>
      <c r="BE89" t="b">
        <f>+ISNUMBER(SEARCH(CompConta!$F$30,Tabla11[[#This Row],[Cuenta]],1))</f>
        <v>1</v>
      </c>
      <c r="BF89" t="b">
        <f>+ISNUMBER(SEARCH('PAGO Compras'!$E$11,Tabla11[[#This Row],[Cuenta]],1))</f>
        <v>1</v>
      </c>
      <c r="BG89" t="b">
        <f>+ISNUMBER(SEARCH(#REF!,Tabla11[[#This Row],[Cuenta]],1))</f>
        <v>0</v>
      </c>
      <c r="BH89" t="b">
        <f>+ISNUMBER(SEARCH(#REF!,Tabla11[[#This Row],[Cuenta]],1))</f>
        <v>0</v>
      </c>
      <c r="BI89" t="b">
        <f>+ISNUMBER(SEARCH(#REF!,Tabla11[[#This Row],[Cuenta]],1))</f>
        <v>0</v>
      </c>
      <c r="BJ89" t="b">
        <f>+ISNUMBER(SEARCH(#REF!,Tabla11[[#This Row],[Cuenta]],1))</f>
        <v>0</v>
      </c>
      <c r="BS89" t="str">
        <v>149920 Lifo</v>
      </c>
      <c r="BT89" t="str">
        <v>149920 Lifo</v>
      </c>
      <c r="BU89" t="str">
        <v>149920 Lifo</v>
      </c>
      <c r="BV89" t="str">
        <v>149920 Lifo</v>
      </c>
      <c r="BZ89" t="str">
        <v>149920 Lifo</v>
      </c>
      <c r="CA89" t="str">
        <v>149920 Lifo</v>
      </c>
      <c r="CB89" t="str">
        <v>149920 Lifo</v>
      </c>
      <c r="CC89" t="str">
        <v>149920 Lifo</v>
      </c>
      <c r="CD89" t="str">
        <v>149920 Lifo</v>
      </c>
      <c r="CE89" t="str">
        <v>149920 Lifo</v>
      </c>
      <c r="CS89" s="141" t="str">
        <v>149920 Lifo</v>
      </c>
      <c r="CT89" s="141" t="str">
        <v>149920 Lifo</v>
      </c>
      <c r="CU89" s="141" t="str">
        <v>149920 Lifo</v>
      </c>
      <c r="CV89" s="141" t="str">
        <v>149920 Lifo</v>
      </c>
      <c r="CW89" s="141" t="str">
        <v>149920 Lifo</v>
      </c>
      <c r="CX89" s="141" t="str">
        <v>149920 Lifo</v>
      </c>
      <c r="CY89" s="141" t="str">
        <v>149920 Lifo</v>
      </c>
      <c r="CZ89" s="141" t="str">
        <v>149920 Lifo</v>
      </c>
      <c r="DA89" s="141" t="str">
        <v>149920 Lifo</v>
      </c>
      <c r="DF89" t="str">
        <v>149920 Lifo</v>
      </c>
      <c r="DG89" t="str">
        <v>149920 Lifo</v>
      </c>
      <c r="DH89" t="str">
        <v>149920 Lifo</v>
      </c>
      <c r="DI89" t="str">
        <v>149920 Lifo</v>
      </c>
      <c r="DJ89" t="str">
        <v>149920 Lifo</v>
      </c>
      <c r="DK89" t="str">
        <v>149920 Lifo</v>
      </c>
      <c r="DL89" t="str">
        <v>149920 Lifo</v>
      </c>
      <c r="DM89" t="str">
        <v>149920 Lifo</v>
      </c>
      <c r="DN89" t="str">
        <v>149920 Lifo</v>
      </c>
      <c r="DO89" t="str">
        <v>149920 Lifo</v>
      </c>
      <c r="DP89" t="str">
        <v>149920 Lifo</v>
      </c>
    </row>
    <row r="90" spans="4:120" ht="12.75">
      <c r="D90" s="7">
        <v>15</v>
      </c>
      <c r="E90" s="6" t="s">
        <v>113</v>
      </c>
      <c r="F90" s="5">
        <v>2</v>
      </c>
      <c r="G90" s="34"/>
      <c r="H90" s="8" t="s">
        <v>32</v>
      </c>
      <c r="I90" t="b">
        <f>+ISNUMBER(SEARCH('F-COMPRA'!$F$28,Tabla11[[#This Row],[Cuenta]],1))</f>
        <v>1</v>
      </c>
      <c r="J90" t="b">
        <f>+ISNUMBER(SEARCH('F-COMPRA'!$F$29,Tabla11[[#This Row],[Cuenta]],1))</f>
        <v>1</v>
      </c>
      <c r="K90" t="b">
        <f>+ISNUMBER(SEARCH('F-COMPRA'!$F$30,Tabla11[[#This Row],[Cuenta]],1))</f>
        <v>1</v>
      </c>
      <c r="L90" t="b">
        <f>+ISNUMBER(SEARCH('F-COMPRA'!$F$31,Tabla11[[#This Row],[Cuenta]],1))</f>
        <v>1</v>
      </c>
      <c r="M90" t="b">
        <f>+ISNUMBER(SEARCH('F-COMPRA'!$G$25,Tabla11[[#This Row],[Cuenta]],1))</f>
        <v>0</v>
      </c>
      <c r="N90" t="b">
        <f>+ISNUMBER(SEARCH(#REF!,Tabla11[[#This Row],[Cuenta]],1))</f>
        <v>0</v>
      </c>
      <c r="O90" t="b">
        <f>+ISNUMBER(SEARCH(#REF!,Tabla11[[#This Row],[Cuenta]],1))</f>
        <v>0</v>
      </c>
      <c r="P90" t="b">
        <f>+ISNUMBER(SEARCH('F-COMPRA'!$F$32,Tabla11[[#This Row],[Cuenta]],1))</f>
        <v>1</v>
      </c>
      <c r="Q90" t="b">
        <f>+ISNUMBER(SEARCH('F-COMPRA'!$F$33,Tabla11[[#This Row],[Cuenta]],1))</f>
        <v>1</v>
      </c>
      <c r="R90" t="b">
        <f>+ISNUMBER(SEARCH('F-COMPRA'!$F$34,Tabla11[[#This Row],[Cuenta]],1))</f>
        <v>1</v>
      </c>
      <c r="S90" t="b">
        <f>+ISNUMBER(SEARCH('F-COMPRA'!$F$35,Tabla11[[#This Row],[Cuenta]],1))</f>
        <v>1</v>
      </c>
      <c r="T90" t="b">
        <f>+ISNUMBER(SEARCH('F-COMPRA'!$F$36,Tabla11[[#This Row],[Cuenta]],1))</f>
        <v>1</v>
      </c>
      <c r="U90" t="b">
        <f>+ISNUMBER(SEARCH('F-COMPRA'!$F$37,Tabla11[[#This Row],[Cuenta]],1))</f>
        <v>1</v>
      </c>
      <c r="V90" t="b">
        <f>+ISNUMBER(SEARCH(#REF!,Tabla11[[#This Row],[Cuenta]],1))</f>
        <v>0</v>
      </c>
      <c r="W90" t="b">
        <f>+ISNUMBER(SEARCH('F-COMPRA'!#REF!,Tabla11[[#This Row],[Cuenta]],1))</f>
        <v>0</v>
      </c>
      <c r="X90" t="b">
        <f>+ISNUMBER(SEARCH('F-COMPRA'!#REF!,Tabla11[[#This Row],[Cuenta]],1))</f>
        <v>0</v>
      </c>
      <c r="Y90" t="b">
        <f>+ISNUMBER(SEARCH('F-COMPRA'!#REF!,Tabla11[[#This Row],[Cuenta]],1))</f>
        <v>0</v>
      </c>
      <c r="Z90" t="b">
        <f>+ISNUMBER(SEARCH('F-COMPRA'!#REF!,Tabla11[[#This Row],[Cuenta]],1))</f>
        <v>0</v>
      </c>
      <c r="AA90" t="b">
        <f>+ISNUMBER(SEARCH('F-COMPRA'!#REF!,Tabla11[[#This Row],[Cuenta]],1))</f>
        <v>0</v>
      </c>
      <c r="AB90" t="b">
        <f>+ISNUMBER(SEARCH('F-COMPRA'!#REF!,Tabla11[[#This Row],[Cuenta]],1))</f>
        <v>0</v>
      </c>
      <c r="AC90" t="b">
        <f>+ISNUMBER(SEARCH('F-COMPRA'!#REF!,Tabla11[[#This Row],[Cuenta]],1))</f>
        <v>0</v>
      </c>
      <c r="AD90" t="b">
        <f>+ISNUMBER(SEARCH('F-COMPRA'!#REF!,Tabla11[[#This Row],[Cuenta]],1))</f>
        <v>0</v>
      </c>
      <c r="AE90" t="b">
        <f>+ISNUMBER(SEARCH('F-COMPRA'!#REF!,Tabla11[[#This Row],[Cuenta]],1))</f>
        <v>0</v>
      </c>
      <c r="AF90" t="b">
        <f>+ISNUMBER(SEARCH('F-VTA'!$G$23,Tabla11[[#This Row],[Cuenta]],1))</f>
        <v>0</v>
      </c>
      <c r="AG90" t="b">
        <f>+ISNUMBER(SEARCH('F-VTA'!$G$24,Tabla11[[#This Row],[Cuenta]],1))</f>
        <v>0</v>
      </c>
      <c r="AH90" t="b">
        <f>+ISNUMBER(SEARCH('F-VTA'!$G$25,Tabla11[[#This Row],[Cuenta]],1))</f>
        <v>0</v>
      </c>
      <c r="AI90" t="b">
        <f>+ISNUMBER(SEARCH('F-VTA'!$F$28,Tabla11[[#This Row],[Cuenta]],1))</f>
        <v>1</v>
      </c>
      <c r="AJ90" t="b">
        <f>+ISNUMBER(SEARCH('F-VTA'!$F$29,Tabla11[[#This Row],[Cuenta]],1))</f>
        <v>1</v>
      </c>
      <c r="AK90" t="b">
        <f>+ISNUMBER(SEARCH('F-VTA'!$F$30,Tabla11[[#This Row],[Cuenta]],1))</f>
        <v>1</v>
      </c>
      <c r="AL90" t="b">
        <f>+ISNUMBER(SEARCH('F-VTA'!$F$31,Tabla11[[#This Row],[Cuenta]],1))</f>
        <v>1</v>
      </c>
      <c r="AM90" t="b">
        <f>+ISNUMBER(SEARCH('F-VTA'!$F$32,Tabla11[[#This Row],[Cuenta]],1))</f>
        <v>1</v>
      </c>
      <c r="AN90" t="b">
        <f>+ISNUMBER(SEARCH('F-VTA'!$F$33,Tabla11[[#This Row],[Cuenta]],1))</f>
        <v>1</v>
      </c>
      <c r="AO90" t="b">
        <f>+ISNUMBER(SEARCH('F-VTA'!$F$34,Tabla11[[#This Row],[Cuenta]],1))</f>
        <v>1</v>
      </c>
      <c r="AP90" t="b">
        <f>+ISNUMBER(SEARCH('F-VTA'!$F$35,Tabla11[[#This Row],[Cuenta]],1))</f>
        <v>1</v>
      </c>
      <c r="AQ90" t="b">
        <f>+ISNUMBER(SEARCH('F-VTA'!$F$36,Tabla11[[#This Row],[Cuenta]],1))</f>
        <v>1</v>
      </c>
      <c r="AR90" t="b">
        <f>+ISNUMBER(SEARCH(#REF!,Tabla11[[#This Row],[Cuenta]],1))</f>
        <v>0</v>
      </c>
      <c r="AS90" t="b">
        <f>+ISNUMBER(SEARCH(#REF!,Tabla11[[#This Row],[Cuenta]],1))</f>
        <v>0</v>
      </c>
      <c r="AT90" t="b">
        <f>+ISNUMBER(SEARCH(#REF!,Tabla11[[#This Row],[Cuenta]],1))</f>
        <v>0</v>
      </c>
      <c r="AU90" t="b">
        <f>+ISNUMBER(SEARCH('Conc. Ban.1'!$I$9,Tabla11[[#This Row],[Cuenta]],1))</f>
        <v>0</v>
      </c>
      <c r="AV90" t="b">
        <f>+ISNUMBER(SEARCH(CompConta!$F$21,Tabla11[[#This Row],[Cuenta]],1))</f>
        <v>1</v>
      </c>
      <c r="AW90" t="b">
        <f>+ISNUMBER(SEARCH(CompConta!$F$22,Tabla11[[#This Row],[Cuenta]],1))</f>
        <v>1</v>
      </c>
      <c r="AX90" t="b">
        <f>+ISNUMBER(SEARCH(CompConta!$F$23,Tabla11[[#This Row],[Cuenta]],1))</f>
        <v>1</v>
      </c>
      <c r="AY90" t="b">
        <f>+ISNUMBER(SEARCH(CompConta!$F$24,Tabla11[[#This Row],[Cuenta]],1))</f>
        <v>1</v>
      </c>
      <c r="AZ90" t="b">
        <f>+ISNUMBER(SEARCH(CompConta!$F$25,Tabla11[[#This Row],[Cuenta]],1))</f>
        <v>1</v>
      </c>
      <c r="BA90" t="b">
        <f>+ISNUMBER(SEARCH(CompConta!$F$26,Tabla11[[#This Row],[Cuenta]],1))</f>
        <v>1</v>
      </c>
      <c r="BB90" t="b">
        <f>+ISNUMBER(SEARCH(CompConta!$F$27,Tabla11[[#This Row],[Cuenta]],1))</f>
        <v>1</v>
      </c>
      <c r="BC90" t="b">
        <f>+ISNUMBER(SEARCH(CompConta!$F$28,Tabla11[[#This Row],[Cuenta]],1))</f>
        <v>1</v>
      </c>
      <c r="BD90" t="b">
        <f>+ISNUMBER(SEARCH(CompConta!$F$29,Tabla11[[#This Row],[Cuenta]],1))</f>
        <v>1</v>
      </c>
      <c r="BE90" t="b">
        <f>+ISNUMBER(SEARCH(CompConta!$F$30,Tabla11[[#This Row],[Cuenta]],1))</f>
        <v>1</v>
      </c>
      <c r="BF90" t="b">
        <f>+ISNUMBER(SEARCH('PAGO Compras'!$E$11,Tabla11[[#This Row],[Cuenta]],1))</f>
        <v>1</v>
      </c>
      <c r="BG90" t="b">
        <f>+ISNUMBER(SEARCH(#REF!,Tabla11[[#This Row],[Cuenta]],1))</f>
        <v>0</v>
      </c>
      <c r="BH90" t="b">
        <f>+ISNUMBER(SEARCH(#REF!,Tabla11[[#This Row],[Cuenta]],1))</f>
        <v>0</v>
      </c>
      <c r="BI90" t="b">
        <f>+ISNUMBER(SEARCH(#REF!,Tabla11[[#This Row],[Cuenta]],1))</f>
        <v>0</v>
      </c>
      <c r="BJ90" t="b">
        <f>+ISNUMBER(SEARCH(#REF!,Tabla11[[#This Row],[Cuenta]],1))</f>
        <v>0</v>
      </c>
      <c r="BS90" t="str">
        <v>15 PROPIEDADES, PLANTA Y EQUIPO</v>
      </c>
      <c r="BT90" t="str">
        <v>15 PROPIEDADES, PLANTA Y EQUIPO</v>
      </c>
      <c r="BU90" t="str">
        <v>15 PROPIEDADES, PLANTA Y EQUIPO</v>
      </c>
      <c r="BV90" t="str">
        <v>15 PROPIEDADES, PLANTA Y EQUIPO</v>
      </c>
      <c r="BZ90" t="str">
        <v>15 PROPIEDADES, PLANTA Y EQUIPO</v>
      </c>
      <c r="CA90" t="str">
        <v>15 PROPIEDADES, PLANTA Y EQUIPO</v>
      </c>
      <c r="CB90" t="str">
        <v>15 PROPIEDADES, PLANTA Y EQUIPO</v>
      </c>
      <c r="CC90" t="str">
        <v>15 PROPIEDADES, PLANTA Y EQUIPO</v>
      </c>
      <c r="CD90" t="str">
        <v>15 PROPIEDADES, PLANTA Y EQUIPO</v>
      </c>
      <c r="CE90" t="str">
        <v>15 PROPIEDADES, PLANTA Y EQUIPO</v>
      </c>
      <c r="CS90" s="141" t="str">
        <v>15 PROPIEDADES, PLANTA Y EQUIPO</v>
      </c>
      <c r="CT90" s="141" t="str">
        <v>15 PROPIEDADES, PLANTA Y EQUIPO</v>
      </c>
      <c r="CU90" s="141" t="str">
        <v>15 PROPIEDADES, PLANTA Y EQUIPO</v>
      </c>
      <c r="CV90" s="141" t="str">
        <v>15 PROPIEDADES, PLANTA Y EQUIPO</v>
      </c>
      <c r="CW90" s="141" t="str">
        <v>15 PROPIEDADES, PLANTA Y EQUIPO</v>
      </c>
      <c r="CX90" s="141" t="str">
        <v>15 PROPIEDADES, PLANTA Y EQUIPO</v>
      </c>
      <c r="CY90" s="141" t="str">
        <v>15 PROPIEDADES, PLANTA Y EQUIPO</v>
      </c>
      <c r="CZ90" s="141" t="str">
        <v>15 PROPIEDADES, PLANTA Y EQUIPO</v>
      </c>
      <c r="DA90" s="141" t="str">
        <v>15 PROPIEDADES, PLANTA Y EQUIPO</v>
      </c>
      <c r="DF90" t="str">
        <v>15 PROPIEDADES, PLANTA Y EQUIPO</v>
      </c>
      <c r="DG90" t="str">
        <v>15 PROPIEDADES, PLANTA Y EQUIPO</v>
      </c>
      <c r="DH90" t="str">
        <v>15 PROPIEDADES, PLANTA Y EQUIPO</v>
      </c>
      <c r="DI90" t="str">
        <v>15 PROPIEDADES, PLANTA Y EQUIPO</v>
      </c>
      <c r="DJ90" t="str">
        <v>15 PROPIEDADES, PLANTA Y EQUIPO</v>
      </c>
      <c r="DK90" t="str">
        <v>15 PROPIEDADES, PLANTA Y EQUIPO</v>
      </c>
      <c r="DL90" t="str">
        <v>15 PROPIEDADES, PLANTA Y EQUIPO</v>
      </c>
      <c r="DM90" t="str">
        <v>15 PROPIEDADES, PLANTA Y EQUIPO</v>
      </c>
      <c r="DN90" t="str">
        <v>15 PROPIEDADES, PLANTA Y EQUIPO</v>
      </c>
      <c r="DO90" t="str">
        <v>15 PROPIEDADES, PLANTA Y EQUIPO</v>
      </c>
      <c r="DP90" t="str">
        <v>15 PROPIEDADES, PLANTA Y EQUIPO</v>
      </c>
    </row>
    <row r="91" spans="4:120" ht="12.75">
      <c r="D91" s="7">
        <v>1504</v>
      </c>
      <c r="E91" s="6" t="s">
        <v>103</v>
      </c>
      <c r="F91" s="5">
        <v>3</v>
      </c>
      <c r="G91" s="34" t="s">
        <v>822</v>
      </c>
      <c r="H91" s="8" t="s">
        <v>32</v>
      </c>
      <c r="I91" t="b">
        <f>+ISNUMBER(SEARCH('F-COMPRA'!$F$28,Tabla11[[#This Row],[Cuenta]],1))</f>
        <v>1</v>
      </c>
      <c r="J91" t="b">
        <f>+ISNUMBER(SEARCH('F-COMPRA'!$F$29,Tabla11[[#This Row],[Cuenta]],1))</f>
        <v>1</v>
      </c>
      <c r="K91" t="b">
        <f>+ISNUMBER(SEARCH('F-COMPRA'!$F$30,Tabla11[[#This Row],[Cuenta]],1))</f>
        <v>1</v>
      </c>
      <c r="L91" t="b">
        <f>+ISNUMBER(SEARCH('F-COMPRA'!$F$31,Tabla11[[#This Row],[Cuenta]],1))</f>
        <v>1</v>
      </c>
      <c r="M91" t="b">
        <f>+ISNUMBER(SEARCH('F-COMPRA'!$G$25,Tabla11[[#This Row],[Cuenta]],1))</f>
        <v>0</v>
      </c>
      <c r="N91" t="b">
        <f>+ISNUMBER(SEARCH(#REF!,Tabla11[[#This Row],[Cuenta]],1))</f>
        <v>0</v>
      </c>
      <c r="O91" t="b">
        <f>+ISNUMBER(SEARCH(#REF!,Tabla11[[#This Row],[Cuenta]],1))</f>
        <v>0</v>
      </c>
      <c r="P91" t="b">
        <f>+ISNUMBER(SEARCH('F-COMPRA'!$F$32,Tabla11[[#This Row],[Cuenta]],1))</f>
        <v>1</v>
      </c>
      <c r="Q91" t="b">
        <f>+ISNUMBER(SEARCH('F-COMPRA'!$F$33,Tabla11[[#This Row],[Cuenta]],1))</f>
        <v>1</v>
      </c>
      <c r="R91" t="b">
        <f>+ISNUMBER(SEARCH('F-COMPRA'!$F$34,Tabla11[[#This Row],[Cuenta]],1))</f>
        <v>1</v>
      </c>
      <c r="S91" t="b">
        <f>+ISNUMBER(SEARCH('F-COMPRA'!$F$35,Tabla11[[#This Row],[Cuenta]],1))</f>
        <v>1</v>
      </c>
      <c r="T91" t="b">
        <f>+ISNUMBER(SEARCH('F-COMPRA'!$F$36,Tabla11[[#This Row],[Cuenta]],1))</f>
        <v>1</v>
      </c>
      <c r="U91" t="b">
        <f>+ISNUMBER(SEARCH('F-COMPRA'!$F$37,Tabla11[[#This Row],[Cuenta]],1))</f>
        <v>1</v>
      </c>
      <c r="V91" t="b">
        <f>+ISNUMBER(SEARCH(#REF!,Tabla11[[#This Row],[Cuenta]],1))</f>
        <v>0</v>
      </c>
      <c r="W91" t="b">
        <f>+ISNUMBER(SEARCH('F-COMPRA'!#REF!,Tabla11[[#This Row],[Cuenta]],1))</f>
        <v>0</v>
      </c>
      <c r="X91" t="b">
        <f>+ISNUMBER(SEARCH('F-COMPRA'!#REF!,Tabla11[[#This Row],[Cuenta]],1))</f>
        <v>0</v>
      </c>
      <c r="Y91" t="b">
        <f>+ISNUMBER(SEARCH('F-COMPRA'!#REF!,Tabla11[[#This Row],[Cuenta]],1))</f>
        <v>0</v>
      </c>
      <c r="Z91" t="b">
        <f>+ISNUMBER(SEARCH('F-COMPRA'!#REF!,Tabla11[[#This Row],[Cuenta]],1))</f>
        <v>0</v>
      </c>
      <c r="AA91" t="b">
        <f>+ISNUMBER(SEARCH('F-COMPRA'!#REF!,Tabla11[[#This Row],[Cuenta]],1))</f>
        <v>0</v>
      </c>
      <c r="AB91" t="b">
        <f>+ISNUMBER(SEARCH('F-COMPRA'!#REF!,Tabla11[[#This Row],[Cuenta]],1))</f>
        <v>0</v>
      </c>
      <c r="AC91" t="b">
        <f>+ISNUMBER(SEARCH('F-COMPRA'!#REF!,Tabla11[[#This Row],[Cuenta]],1))</f>
        <v>0</v>
      </c>
      <c r="AD91" t="b">
        <f>+ISNUMBER(SEARCH('F-COMPRA'!#REF!,Tabla11[[#This Row],[Cuenta]],1))</f>
        <v>0</v>
      </c>
      <c r="AE91" t="b">
        <f>+ISNUMBER(SEARCH('F-COMPRA'!#REF!,Tabla11[[#This Row],[Cuenta]],1))</f>
        <v>0</v>
      </c>
      <c r="AF91" t="b">
        <f>+ISNUMBER(SEARCH('F-VTA'!$G$23,Tabla11[[#This Row],[Cuenta]],1))</f>
        <v>0</v>
      </c>
      <c r="AG91" t="b">
        <f>+ISNUMBER(SEARCH('F-VTA'!$G$24,Tabla11[[#This Row],[Cuenta]],1))</f>
        <v>0</v>
      </c>
      <c r="AH91" t="b">
        <f>+ISNUMBER(SEARCH('F-VTA'!$G$25,Tabla11[[#This Row],[Cuenta]],1))</f>
        <v>0</v>
      </c>
      <c r="AI91" t="b">
        <f>+ISNUMBER(SEARCH('F-VTA'!$F$28,Tabla11[[#This Row],[Cuenta]],1))</f>
        <v>1</v>
      </c>
      <c r="AJ91" t="b">
        <f>+ISNUMBER(SEARCH('F-VTA'!$F$29,Tabla11[[#This Row],[Cuenta]],1))</f>
        <v>1</v>
      </c>
      <c r="AK91" t="b">
        <f>+ISNUMBER(SEARCH('F-VTA'!$F$30,Tabla11[[#This Row],[Cuenta]],1))</f>
        <v>1</v>
      </c>
      <c r="AL91" t="b">
        <f>+ISNUMBER(SEARCH('F-VTA'!$F$31,Tabla11[[#This Row],[Cuenta]],1))</f>
        <v>1</v>
      </c>
      <c r="AM91" t="b">
        <f>+ISNUMBER(SEARCH('F-VTA'!$F$32,Tabla11[[#This Row],[Cuenta]],1))</f>
        <v>1</v>
      </c>
      <c r="AN91" t="b">
        <f>+ISNUMBER(SEARCH('F-VTA'!$F$33,Tabla11[[#This Row],[Cuenta]],1))</f>
        <v>1</v>
      </c>
      <c r="AO91" t="b">
        <f>+ISNUMBER(SEARCH('F-VTA'!$F$34,Tabla11[[#This Row],[Cuenta]],1))</f>
        <v>1</v>
      </c>
      <c r="AP91" t="b">
        <f>+ISNUMBER(SEARCH('F-VTA'!$F$35,Tabla11[[#This Row],[Cuenta]],1))</f>
        <v>1</v>
      </c>
      <c r="AQ91" t="b">
        <f>+ISNUMBER(SEARCH('F-VTA'!$F$36,Tabla11[[#This Row],[Cuenta]],1))</f>
        <v>1</v>
      </c>
      <c r="AR91" t="b">
        <f>+ISNUMBER(SEARCH(#REF!,Tabla11[[#This Row],[Cuenta]],1))</f>
        <v>0</v>
      </c>
      <c r="AS91" t="b">
        <f>+ISNUMBER(SEARCH(#REF!,Tabla11[[#This Row],[Cuenta]],1))</f>
        <v>0</v>
      </c>
      <c r="AT91" t="b">
        <f>+ISNUMBER(SEARCH(#REF!,Tabla11[[#This Row],[Cuenta]],1))</f>
        <v>0</v>
      </c>
      <c r="AU91" t="b">
        <f>+ISNUMBER(SEARCH('Conc. Ban.1'!$I$9,Tabla11[[#This Row],[Cuenta]],1))</f>
        <v>0</v>
      </c>
      <c r="AV91" t="b">
        <f>+ISNUMBER(SEARCH(CompConta!$F$21,Tabla11[[#This Row],[Cuenta]],1))</f>
        <v>1</v>
      </c>
      <c r="AW91" t="b">
        <f>+ISNUMBER(SEARCH(CompConta!$F$22,Tabla11[[#This Row],[Cuenta]],1))</f>
        <v>1</v>
      </c>
      <c r="AX91" t="b">
        <f>+ISNUMBER(SEARCH(CompConta!$F$23,Tabla11[[#This Row],[Cuenta]],1))</f>
        <v>1</v>
      </c>
      <c r="AY91" t="b">
        <f>+ISNUMBER(SEARCH(CompConta!$F$24,Tabla11[[#This Row],[Cuenta]],1))</f>
        <v>1</v>
      </c>
      <c r="AZ91" t="b">
        <f>+ISNUMBER(SEARCH(CompConta!$F$25,Tabla11[[#This Row],[Cuenta]],1))</f>
        <v>1</v>
      </c>
      <c r="BA91" t="b">
        <f>+ISNUMBER(SEARCH(CompConta!$F$26,Tabla11[[#This Row],[Cuenta]],1))</f>
        <v>1</v>
      </c>
      <c r="BB91" t="b">
        <f>+ISNUMBER(SEARCH(CompConta!$F$27,Tabla11[[#This Row],[Cuenta]],1))</f>
        <v>1</v>
      </c>
      <c r="BC91" t="b">
        <f>+ISNUMBER(SEARCH(CompConta!$F$28,Tabla11[[#This Row],[Cuenta]],1))</f>
        <v>1</v>
      </c>
      <c r="BD91" t="b">
        <f>+ISNUMBER(SEARCH(CompConta!$F$29,Tabla11[[#This Row],[Cuenta]],1))</f>
        <v>1</v>
      </c>
      <c r="BE91" t="b">
        <f>+ISNUMBER(SEARCH(CompConta!$F$30,Tabla11[[#This Row],[Cuenta]],1))</f>
        <v>1</v>
      </c>
      <c r="BF91" t="b">
        <f>+ISNUMBER(SEARCH('PAGO Compras'!$E$11,Tabla11[[#This Row],[Cuenta]],1))</f>
        <v>1</v>
      </c>
      <c r="BG91" t="b">
        <f>+ISNUMBER(SEARCH(#REF!,Tabla11[[#This Row],[Cuenta]],1))</f>
        <v>0</v>
      </c>
      <c r="BH91" t="b">
        <f>+ISNUMBER(SEARCH(#REF!,Tabla11[[#This Row],[Cuenta]],1))</f>
        <v>0</v>
      </c>
      <c r="BI91" t="b">
        <f>+ISNUMBER(SEARCH(#REF!,Tabla11[[#This Row],[Cuenta]],1))</f>
        <v>0</v>
      </c>
      <c r="BJ91" t="b">
        <f>+ISNUMBER(SEARCH(#REF!,Tabla11[[#This Row],[Cuenta]],1))</f>
        <v>0</v>
      </c>
      <c r="BS91" t="str">
        <v>1504 TERRENOS</v>
      </c>
      <c r="BT91" t="str">
        <v>1504 TERRENOS</v>
      </c>
      <c r="BU91" t="str">
        <v>1504 TERRENOS</v>
      </c>
      <c r="BV91" t="str">
        <v>1504 TERRENOS</v>
      </c>
      <c r="BZ91" t="str">
        <v>1504 TERRENOS</v>
      </c>
      <c r="CA91" t="str">
        <v>1504 TERRENOS</v>
      </c>
      <c r="CB91" t="str">
        <v>1504 TERRENOS</v>
      </c>
      <c r="CC91" t="str">
        <v>1504 TERRENOS</v>
      </c>
      <c r="CD91" t="str">
        <v>1504 TERRENOS</v>
      </c>
      <c r="CE91" t="str">
        <v>1504 TERRENOS</v>
      </c>
      <c r="CS91" s="141" t="str">
        <v>1504 TERRENOS</v>
      </c>
      <c r="CT91" s="141" t="str">
        <v>1504 TERRENOS</v>
      </c>
      <c r="CU91" s="141" t="str">
        <v>1504 TERRENOS</v>
      </c>
      <c r="CV91" s="141" t="str">
        <v>1504 TERRENOS</v>
      </c>
      <c r="CW91" s="141" t="str">
        <v>1504 TERRENOS</v>
      </c>
      <c r="CX91" s="141" t="str">
        <v>1504 TERRENOS</v>
      </c>
      <c r="CY91" s="141" t="str">
        <v>1504 TERRENOS</v>
      </c>
      <c r="CZ91" s="141" t="str">
        <v>1504 TERRENOS</v>
      </c>
      <c r="DA91" s="141" t="str">
        <v>1504 TERRENOS</v>
      </c>
      <c r="DF91" t="str">
        <v>1504 TERRENOS</v>
      </c>
      <c r="DG91" t="str">
        <v>1504 TERRENOS</v>
      </c>
      <c r="DH91" t="str">
        <v>1504 TERRENOS</v>
      </c>
      <c r="DI91" t="str">
        <v>1504 TERRENOS</v>
      </c>
      <c r="DJ91" t="str">
        <v>1504 TERRENOS</v>
      </c>
      <c r="DK91" t="str">
        <v>1504 TERRENOS</v>
      </c>
      <c r="DL91" t="str">
        <v>1504 TERRENOS</v>
      </c>
      <c r="DM91" t="str">
        <v>1504 TERRENOS</v>
      </c>
      <c r="DN91" t="str">
        <v>1504 TERRENOS</v>
      </c>
      <c r="DO91" t="str">
        <v>1504 TERRENOS</v>
      </c>
      <c r="DP91" t="str">
        <v>1504 TERRENOS</v>
      </c>
    </row>
    <row r="92" spans="4:120" ht="12.75">
      <c r="D92" s="7">
        <v>150405</v>
      </c>
      <c r="E92" s="6" t="s">
        <v>114</v>
      </c>
      <c r="F92" s="5">
        <v>4</v>
      </c>
      <c r="G92" s="34" t="s">
        <v>822</v>
      </c>
      <c r="H92" s="8" t="s">
        <v>32</v>
      </c>
      <c r="I92" t="b">
        <f>+ISNUMBER(SEARCH('F-COMPRA'!$F$28,Tabla11[[#This Row],[Cuenta]],1))</f>
        <v>1</v>
      </c>
      <c r="J92" t="b">
        <f>+ISNUMBER(SEARCH('F-COMPRA'!$F$29,Tabla11[[#This Row],[Cuenta]],1))</f>
        <v>1</v>
      </c>
      <c r="K92" t="b">
        <f>+ISNUMBER(SEARCH('F-COMPRA'!$F$30,Tabla11[[#This Row],[Cuenta]],1))</f>
        <v>1</v>
      </c>
      <c r="L92" t="b">
        <f>+ISNUMBER(SEARCH('F-COMPRA'!$F$31,Tabla11[[#This Row],[Cuenta]],1))</f>
        <v>1</v>
      </c>
      <c r="M92" t="b">
        <f>+ISNUMBER(SEARCH('F-COMPRA'!$G$25,Tabla11[[#This Row],[Cuenta]],1))</f>
        <v>0</v>
      </c>
      <c r="N92" t="b">
        <f>+ISNUMBER(SEARCH(#REF!,Tabla11[[#This Row],[Cuenta]],1))</f>
        <v>0</v>
      </c>
      <c r="O92" t="b">
        <f>+ISNUMBER(SEARCH(#REF!,Tabla11[[#This Row],[Cuenta]],1))</f>
        <v>0</v>
      </c>
      <c r="P92" t="b">
        <f>+ISNUMBER(SEARCH('F-COMPRA'!$F$32,Tabla11[[#This Row],[Cuenta]],1))</f>
        <v>1</v>
      </c>
      <c r="Q92" t="b">
        <f>+ISNUMBER(SEARCH('F-COMPRA'!$F$33,Tabla11[[#This Row],[Cuenta]],1))</f>
        <v>1</v>
      </c>
      <c r="R92" t="b">
        <f>+ISNUMBER(SEARCH('F-COMPRA'!$F$34,Tabla11[[#This Row],[Cuenta]],1))</f>
        <v>1</v>
      </c>
      <c r="S92" t="b">
        <f>+ISNUMBER(SEARCH('F-COMPRA'!$F$35,Tabla11[[#This Row],[Cuenta]],1))</f>
        <v>1</v>
      </c>
      <c r="T92" t="b">
        <f>+ISNUMBER(SEARCH('F-COMPRA'!$F$36,Tabla11[[#This Row],[Cuenta]],1))</f>
        <v>1</v>
      </c>
      <c r="U92" t="b">
        <f>+ISNUMBER(SEARCH('F-COMPRA'!$F$37,Tabla11[[#This Row],[Cuenta]],1))</f>
        <v>1</v>
      </c>
      <c r="V92" t="b">
        <f>+ISNUMBER(SEARCH(#REF!,Tabla11[[#This Row],[Cuenta]],1))</f>
        <v>0</v>
      </c>
      <c r="W92" t="b">
        <f>+ISNUMBER(SEARCH('F-COMPRA'!#REF!,Tabla11[[#This Row],[Cuenta]],1))</f>
        <v>0</v>
      </c>
      <c r="X92" t="b">
        <f>+ISNUMBER(SEARCH('F-COMPRA'!#REF!,Tabla11[[#This Row],[Cuenta]],1))</f>
        <v>0</v>
      </c>
      <c r="Y92" t="b">
        <f>+ISNUMBER(SEARCH('F-COMPRA'!#REF!,Tabla11[[#This Row],[Cuenta]],1))</f>
        <v>0</v>
      </c>
      <c r="Z92" t="b">
        <f>+ISNUMBER(SEARCH('F-COMPRA'!#REF!,Tabla11[[#This Row],[Cuenta]],1))</f>
        <v>0</v>
      </c>
      <c r="AA92" t="b">
        <f>+ISNUMBER(SEARCH('F-COMPRA'!#REF!,Tabla11[[#This Row],[Cuenta]],1))</f>
        <v>0</v>
      </c>
      <c r="AB92" t="b">
        <f>+ISNUMBER(SEARCH('F-COMPRA'!#REF!,Tabla11[[#This Row],[Cuenta]],1))</f>
        <v>0</v>
      </c>
      <c r="AC92" t="b">
        <f>+ISNUMBER(SEARCH('F-COMPRA'!#REF!,Tabla11[[#This Row],[Cuenta]],1))</f>
        <v>0</v>
      </c>
      <c r="AD92" t="b">
        <f>+ISNUMBER(SEARCH('F-COMPRA'!#REF!,Tabla11[[#This Row],[Cuenta]],1))</f>
        <v>0</v>
      </c>
      <c r="AE92" t="b">
        <f>+ISNUMBER(SEARCH('F-COMPRA'!#REF!,Tabla11[[#This Row],[Cuenta]],1))</f>
        <v>0</v>
      </c>
      <c r="AF92" t="b">
        <f>+ISNUMBER(SEARCH('F-VTA'!$G$23,Tabla11[[#This Row],[Cuenta]],1))</f>
        <v>0</v>
      </c>
      <c r="AG92" t="b">
        <f>+ISNUMBER(SEARCH('F-VTA'!$G$24,Tabla11[[#This Row],[Cuenta]],1))</f>
        <v>0</v>
      </c>
      <c r="AH92" t="b">
        <f>+ISNUMBER(SEARCH('F-VTA'!$G$25,Tabla11[[#This Row],[Cuenta]],1))</f>
        <v>0</v>
      </c>
      <c r="AI92" t="b">
        <f>+ISNUMBER(SEARCH('F-VTA'!$F$28,Tabla11[[#This Row],[Cuenta]],1))</f>
        <v>1</v>
      </c>
      <c r="AJ92" t="b">
        <f>+ISNUMBER(SEARCH('F-VTA'!$F$29,Tabla11[[#This Row],[Cuenta]],1))</f>
        <v>1</v>
      </c>
      <c r="AK92" t="b">
        <f>+ISNUMBER(SEARCH('F-VTA'!$F$30,Tabla11[[#This Row],[Cuenta]],1))</f>
        <v>1</v>
      </c>
      <c r="AL92" t="b">
        <f>+ISNUMBER(SEARCH('F-VTA'!$F$31,Tabla11[[#This Row],[Cuenta]],1))</f>
        <v>1</v>
      </c>
      <c r="AM92" t="b">
        <f>+ISNUMBER(SEARCH('F-VTA'!$F$32,Tabla11[[#This Row],[Cuenta]],1))</f>
        <v>1</v>
      </c>
      <c r="AN92" t="b">
        <f>+ISNUMBER(SEARCH('F-VTA'!$F$33,Tabla11[[#This Row],[Cuenta]],1))</f>
        <v>1</v>
      </c>
      <c r="AO92" t="b">
        <f>+ISNUMBER(SEARCH('F-VTA'!$F$34,Tabla11[[#This Row],[Cuenta]],1))</f>
        <v>1</v>
      </c>
      <c r="AP92" t="b">
        <f>+ISNUMBER(SEARCH('F-VTA'!$F$35,Tabla11[[#This Row],[Cuenta]],1))</f>
        <v>1</v>
      </c>
      <c r="AQ92" t="b">
        <f>+ISNUMBER(SEARCH('F-VTA'!$F$36,Tabla11[[#This Row],[Cuenta]],1))</f>
        <v>1</v>
      </c>
      <c r="AR92" t="b">
        <f>+ISNUMBER(SEARCH(#REF!,Tabla11[[#This Row],[Cuenta]],1))</f>
        <v>0</v>
      </c>
      <c r="AS92" t="b">
        <f>+ISNUMBER(SEARCH(#REF!,Tabla11[[#This Row],[Cuenta]],1))</f>
        <v>0</v>
      </c>
      <c r="AT92" t="b">
        <f>+ISNUMBER(SEARCH(#REF!,Tabla11[[#This Row],[Cuenta]],1))</f>
        <v>0</v>
      </c>
      <c r="AU92" t="b">
        <f>+ISNUMBER(SEARCH('Conc. Ban.1'!$I$9,Tabla11[[#This Row],[Cuenta]],1))</f>
        <v>0</v>
      </c>
      <c r="AV92" t="b">
        <f>+ISNUMBER(SEARCH(CompConta!$F$21,Tabla11[[#This Row],[Cuenta]],1))</f>
        <v>1</v>
      </c>
      <c r="AW92" t="b">
        <f>+ISNUMBER(SEARCH(CompConta!$F$22,Tabla11[[#This Row],[Cuenta]],1))</f>
        <v>1</v>
      </c>
      <c r="AX92" t="b">
        <f>+ISNUMBER(SEARCH(CompConta!$F$23,Tabla11[[#This Row],[Cuenta]],1))</f>
        <v>1</v>
      </c>
      <c r="AY92" t="b">
        <f>+ISNUMBER(SEARCH(CompConta!$F$24,Tabla11[[#This Row],[Cuenta]],1))</f>
        <v>1</v>
      </c>
      <c r="AZ92" t="b">
        <f>+ISNUMBER(SEARCH(CompConta!$F$25,Tabla11[[#This Row],[Cuenta]],1))</f>
        <v>1</v>
      </c>
      <c r="BA92" t="b">
        <f>+ISNUMBER(SEARCH(CompConta!$F$26,Tabla11[[#This Row],[Cuenta]],1))</f>
        <v>1</v>
      </c>
      <c r="BB92" t="b">
        <f>+ISNUMBER(SEARCH(CompConta!$F$27,Tabla11[[#This Row],[Cuenta]],1))</f>
        <v>1</v>
      </c>
      <c r="BC92" t="b">
        <f>+ISNUMBER(SEARCH(CompConta!$F$28,Tabla11[[#This Row],[Cuenta]],1))</f>
        <v>1</v>
      </c>
      <c r="BD92" t="b">
        <f>+ISNUMBER(SEARCH(CompConta!$F$29,Tabla11[[#This Row],[Cuenta]],1))</f>
        <v>1</v>
      </c>
      <c r="BE92" t="b">
        <f>+ISNUMBER(SEARCH(CompConta!$F$30,Tabla11[[#This Row],[Cuenta]],1))</f>
        <v>1</v>
      </c>
      <c r="BF92" t="b">
        <f>+ISNUMBER(SEARCH('PAGO Compras'!$E$11,Tabla11[[#This Row],[Cuenta]],1))</f>
        <v>1</v>
      </c>
      <c r="BG92" t="b">
        <f>+ISNUMBER(SEARCH(#REF!,Tabla11[[#This Row],[Cuenta]],1))</f>
        <v>0</v>
      </c>
      <c r="BH92" t="b">
        <f>+ISNUMBER(SEARCH(#REF!,Tabla11[[#This Row],[Cuenta]],1))</f>
        <v>0</v>
      </c>
      <c r="BI92" t="b">
        <f>+ISNUMBER(SEARCH(#REF!,Tabla11[[#This Row],[Cuenta]],1))</f>
        <v>0</v>
      </c>
      <c r="BJ92" t="b">
        <f>+ISNUMBER(SEARCH(#REF!,Tabla11[[#This Row],[Cuenta]],1))</f>
        <v>0</v>
      </c>
      <c r="BS92" t="str">
        <v>150405 Urbanos</v>
      </c>
      <c r="BT92" t="str">
        <v>150405 Urbanos</v>
      </c>
      <c r="BU92" t="str">
        <v>150405 Urbanos</v>
      </c>
      <c r="BV92" t="str">
        <v>150405 Urbanos</v>
      </c>
      <c r="BZ92" t="str">
        <v>150405 Urbanos</v>
      </c>
      <c r="CA92" t="str">
        <v>150405 Urbanos</v>
      </c>
      <c r="CB92" t="str">
        <v>150405 Urbanos</v>
      </c>
      <c r="CC92" t="str">
        <v>150405 Urbanos</v>
      </c>
      <c r="CD92" t="str">
        <v>150405 Urbanos</v>
      </c>
      <c r="CE92" t="str">
        <v>150405 Urbanos</v>
      </c>
      <c r="CS92" s="141" t="str">
        <v>150405 Urbanos</v>
      </c>
      <c r="CT92" s="141" t="str">
        <v>150405 Urbanos</v>
      </c>
      <c r="CU92" s="141" t="str">
        <v>150405 Urbanos</v>
      </c>
      <c r="CV92" s="141" t="str">
        <v>150405 Urbanos</v>
      </c>
      <c r="CW92" s="141" t="str">
        <v>150405 Urbanos</v>
      </c>
      <c r="CX92" s="141" t="str">
        <v>150405 Urbanos</v>
      </c>
      <c r="CY92" s="141" t="str">
        <v>150405 Urbanos</v>
      </c>
      <c r="CZ92" s="141" t="str">
        <v>150405 Urbanos</v>
      </c>
      <c r="DA92" s="141" t="str">
        <v>150405 Urbanos</v>
      </c>
      <c r="DF92" t="str">
        <v>150405 Urbanos</v>
      </c>
      <c r="DG92" t="str">
        <v>150405 Urbanos</v>
      </c>
      <c r="DH92" t="str">
        <v>150405 Urbanos</v>
      </c>
      <c r="DI92" t="str">
        <v>150405 Urbanos</v>
      </c>
      <c r="DJ92" t="str">
        <v>150405 Urbanos</v>
      </c>
      <c r="DK92" t="str">
        <v>150405 Urbanos</v>
      </c>
      <c r="DL92" t="str">
        <v>150405 Urbanos</v>
      </c>
      <c r="DM92" t="str">
        <v>150405 Urbanos</v>
      </c>
      <c r="DN92" t="str">
        <v>150405 Urbanos</v>
      </c>
      <c r="DO92" t="str">
        <v>150405 Urbanos</v>
      </c>
      <c r="DP92" t="str">
        <v>150405 Urbanos</v>
      </c>
    </row>
    <row r="93" spans="4:120" ht="12.75">
      <c r="D93" s="7">
        <v>150410</v>
      </c>
      <c r="E93" s="6" t="s">
        <v>115</v>
      </c>
      <c r="F93" s="5">
        <v>4</v>
      </c>
      <c r="G93" s="34" t="s">
        <v>822</v>
      </c>
      <c r="H93" s="8" t="s">
        <v>32</v>
      </c>
      <c r="I93" t="b">
        <f>+ISNUMBER(SEARCH('F-COMPRA'!$F$28,Tabla11[[#This Row],[Cuenta]],1))</f>
        <v>1</v>
      </c>
      <c r="J93" t="b">
        <f>+ISNUMBER(SEARCH('F-COMPRA'!$F$29,Tabla11[[#This Row],[Cuenta]],1))</f>
        <v>1</v>
      </c>
      <c r="K93" t="b">
        <f>+ISNUMBER(SEARCH('F-COMPRA'!$F$30,Tabla11[[#This Row],[Cuenta]],1))</f>
        <v>1</v>
      </c>
      <c r="L93" t="b">
        <f>+ISNUMBER(SEARCH('F-COMPRA'!$F$31,Tabla11[[#This Row],[Cuenta]],1))</f>
        <v>1</v>
      </c>
      <c r="M93" t="b">
        <f>+ISNUMBER(SEARCH('F-COMPRA'!$G$25,Tabla11[[#This Row],[Cuenta]],1))</f>
        <v>0</v>
      </c>
      <c r="N93" t="b">
        <f>+ISNUMBER(SEARCH(#REF!,Tabla11[[#This Row],[Cuenta]],1))</f>
        <v>0</v>
      </c>
      <c r="O93" t="b">
        <f>+ISNUMBER(SEARCH(#REF!,Tabla11[[#This Row],[Cuenta]],1))</f>
        <v>0</v>
      </c>
      <c r="P93" t="b">
        <f>+ISNUMBER(SEARCH('F-COMPRA'!$F$32,Tabla11[[#This Row],[Cuenta]],1))</f>
        <v>1</v>
      </c>
      <c r="Q93" t="b">
        <f>+ISNUMBER(SEARCH('F-COMPRA'!$F$33,Tabla11[[#This Row],[Cuenta]],1))</f>
        <v>1</v>
      </c>
      <c r="R93" t="b">
        <f>+ISNUMBER(SEARCH('F-COMPRA'!$F$34,Tabla11[[#This Row],[Cuenta]],1))</f>
        <v>1</v>
      </c>
      <c r="S93" t="b">
        <f>+ISNUMBER(SEARCH('F-COMPRA'!$F$35,Tabla11[[#This Row],[Cuenta]],1))</f>
        <v>1</v>
      </c>
      <c r="T93" t="b">
        <f>+ISNUMBER(SEARCH('F-COMPRA'!$F$36,Tabla11[[#This Row],[Cuenta]],1))</f>
        <v>1</v>
      </c>
      <c r="U93" t="b">
        <f>+ISNUMBER(SEARCH('F-COMPRA'!$F$37,Tabla11[[#This Row],[Cuenta]],1))</f>
        <v>1</v>
      </c>
      <c r="V93" t="b">
        <f>+ISNUMBER(SEARCH(#REF!,Tabla11[[#This Row],[Cuenta]],1))</f>
        <v>0</v>
      </c>
      <c r="W93" t="b">
        <f>+ISNUMBER(SEARCH('F-COMPRA'!#REF!,Tabla11[[#This Row],[Cuenta]],1))</f>
        <v>0</v>
      </c>
      <c r="X93" t="b">
        <f>+ISNUMBER(SEARCH('F-COMPRA'!#REF!,Tabla11[[#This Row],[Cuenta]],1))</f>
        <v>0</v>
      </c>
      <c r="Y93" t="b">
        <f>+ISNUMBER(SEARCH('F-COMPRA'!#REF!,Tabla11[[#This Row],[Cuenta]],1))</f>
        <v>0</v>
      </c>
      <c r="Z93" t="b">
        <f>+ISNUMBER(SEARCH('F-COMPRA'!#REF!,Tabla11[[#This Row],[Cuenta]],1))</f>
        <v>0</v>
      </c>
      <c r="AA93" t="b">
        <f>+ISNUMBER(SEARCH('F-COMPRA'!#REF!,Tabla11[[#This Row],[Cuenta]],1))</f>
        <v>0</v>
      </c>
      <c r="AB93" t="b">
        <f>+ISNUMBER(SEARCH('F-COMPRA'!#REF!,Tabla11[[#This Row],[Cuenta]],1))</f>
        <v>0</v>
      </c>
      <c r="AC93" t="b">
        <f>+ISNUMBER(SEARCH('F-COMPRA'!#REF!,Tabla11[[#This Row],[Cuenta]],1))</f>
        <v>0</v>
      </c>
      <c r="AD93" t="b">
        <f>+ISNUMBER(SEARCH('F-COMPRA'!#REF!,Tabla11[[#This Row],[Cuenta]],1))</f>
        <v>0</v>
      </c>
      <c r="AE93" t="b">
        <f>+ISNUMBER(SEARCH('F-COMPRA'!#REF!,Tabla11[[#This Row],[Cuenta]],1))</f>
        <v>0</v>
      </c>
      <c r="AF93" t="b">
        <f>+ISNUMBER(SEARCH('F-VTA'!$G$23,Tabla11[[#This Row],[Cuenta]],1))</f>
        <v>0</v>
      </c>
      <c r="AG93" t="b">
        <f>+ISNUMBER(SEARCH('F-VTA'!$G$24,Tabla11[[#This Row],[Cuenta]],1))</f>
        <v>0</v>
      </c>
      <c r="AH93" t="b">
        <f>+ISNUMBER(SEARCH('F-VTA'!$G$25,Tabla11[[#This Row],[Cuenta]],1))</f>
        <v>0</v>
      </c>
      <c r="AI93" t="b">
        <f>+ISNUMBER(SEARCH('F-VTA'!$F$28,Tabla11[[#This Row],[Cuenta]],1))</f>
        <v>1</v>
      </c>
      <c r="AJ93" t="b">
        <f>+ISNUMBER(SEARCH('F-VTA'!$F$29,Tabla11[[#This Row],[Cuenta]],1))</f>
        <v>1</v>
      </c>
      <c r="AK93" t="b">
        <f>+ISNUMBER(SEARCH('F-VTA'!$F$30,Tabla11[[#This Row],[Cuenta]],1))</f>
        <v>1</v>
      </c>
      <c r="AL93" t="b">
        <f>+ISNUMBER(SEARCH('F-VTA'!$F$31,Tabla11[[#This Row],[Cuenta]],1))</f>
        <v>1</v>
      </c>
      <c r="AM93" t="b">
        <f>+ISNUMBER(SEARCH('F-VTA'!$F$32,Tabla11[[#This Row],[Cuenta]],1))</f>
        <v>1</v>
      </c>
      <c r="AN93" t="b">
        <f>+ISNUMBER(SEARCH('F-VTA'!$F$33,Tabla11[[#This Row],[Cuenta]],1))</f>
        <v>1</v>
      </c>
      <c r="AO93" t="b">
        <f>+ISNUMBER(SEARCH('F-VTA'!$F$34,Tabla11[[#This Row],[Cuenta]],1))</f>
        <v>1</v>
      </c>
      <c r="AP93" t="b">
        <f>+ISNUMBER(SEARCH('F-VTA'!$F$35,Tabla11[[#This Row],[Cuenta]],1))</f>
        <v>1</v>
      </c>
      <c r="AQ93" t="b">
        <f>+ISNUMBER(SEARCH('F-VTA'!$F$36,Tabla11[[#This Row],[Cuenta]],1))</f>
        <v>1</v>
      </c>
      <c r="AR93" t="b">
        <f>+ISNUMBER(SEARCH(#REF!,Tabla11[[#This Row],[Cuenta]],1))</f>
        <v>0</v>
      </c>
      <c r="AS93" t="b">
        <f>+ISNUMBER(SEARCH(#REF!,Tabla11[[#This Row],[Cuenta]],1))</f>
        <v>0</v>
      </c>
      <c r="AT93" t="b">
        <f>+ISNUMBER(SEARCH(#REF!,Tabla11[[#This Row],[Cuenta]],1))</f>
        <v>0</v>
      </c>
      <c r="AU93" t="b">
        <f>+ISNUMBER(SEARCH('Conc. Ban.1'!$I$9,Tabla11[[#This Row],[Cuenta]],1))</f>
        <v>0</v>
      </c>
      <c r="AV93" t="b">
        <f>+ISNUMBER(SEARCH(CompConta!$F$21,Tabla11[[#This Row],[Cuenta]],1))</f>
        <v>1</v>
      </c>
      <c r="AW93" t="b">
        <f>+ISNUMBER(SEARCH(CompConta!$F$22,Tabla11[[#This Row],[Cuenta]],1))</f>
        <v>1</v>
      </c>
      <c r="AX93" t="b">
        <f>+ISNUMBER(SEARCH(CompConta!$F$23,Tabla11[[#This Row],[Cuenta]],1))</f>
        <v>1</v>
      </c>
      <c r="AY93" t="b">
        <f>+ISNUMBER(SEARCH(CompConta!$F$24,Tabla11[[#This Row],[Cuenta]],1))</f>
        <v>1</v>
      </c>
      <c r="AZ93" t="b">
        <f>+ISNUMBER(SEARCH(CompConta!$F$25,Tabla11[[#This Row],[Cuenta]],1))</f>
        <v>1</v>
      </c>
      <c r="BA93" t="b">
        <f>+ISNUMBER(SEARCH(CompConta!$F$26,Tabla11[[#This Row],[Cuenta]],1))</f>
        <v>1</v>
      </c>
      <c r="BB93" t="b">
        <f>+ISNUMBER(SEARCH(CompConta!$F$27,Tabla11[[#This Row],[Cuenta]],1))</f>
        <v>1</v>
      </c>
      <c r="BC93" t="b">
        <f>+ISNUMBER(SEARCH(CompConta!$F$28,Tabla11[[#This Row],[Cuenta]],1))</f>
        <v>1</v>
      </c>
      <c r="BD93" t="b">
        <f>+ISNUMBER(SEARCH(CompConta!$F$29,Tabla11[[#This Row],[Cuenta]],1))</f>
        <v>1</v>
      </c>
      <c r="BE93" t="b">
        <f>+ISNUMBER(SEARCH(CompConta!$F$30,Tabla11[[#This Row],[Cuenta]],1))</f>
        <v>1</v>
      </c>
      <c r="BF93" t="b">
        <f>+ISNUMBER(SEARCH('PAGO Compras'!$E$11,Tabla11[[#This Row],[Cuenta]],1))</f>
        <v>1</v>
      </c>
      <c r="BG93" t="b">
        <f>+ISNUMBER(SEARCH(#REF!,Tabla11[[#This Row],[Cuenta]],1))</f>
        <v>0</v>
      </c>
      <c r="BH93" t="b">
        <f>+ISNUMBER(SEARCH(#REF!,Tabla11[[#This Row],[Cuenta]],1))</f>
        <v>0</v>
      </c>
      <c r="BI93" t="b">
        <f>+ISNUMBER(SEARCH(#REF!,Tabla11[[#This Row],[Cuenta]],1))</f>
        <v>0</v>
      </c>
      <c r="BJ93" t="b">
        <f>+ISNUMBER(SEARCH(#REF!,Tabla11[[#This Row],[Cuenta]],1))</f>
        <v>0</v>
      </c>
      <c r="BS93" t="str">
        <v>150410 Rurales</v>
      </c>
      <c r="BT93" t="str">
        <v>150410 Rurales</v>
      </c>
      <c r="BU93" t="str">
        <v>150410 Rurales</v>
      </c>
      <c r="BV93" t="str">
        <v>150410 Rurales</v>
      </c>
      <c r="BZ93" t="str">
        <v>150410 Rurales</v>
      </c>
      <c r="CA93" t="str">
        <v>150410 Rurales</v>
      </c>
      <c r="CB93" t="str">
        <v>150410 Rurales</v>
      </c>
      <c r="CC93" t="str">
        <v>150410 Rurales</v>
      </c>
      <c r="CD93" t="str">
        <v>150410 Rurales</v>
      </c>
      <c r="CE93" t="str">
        <v>150410 Rurales</v>
      </c>
      <c r="CS93" s="141" t="str">
        <v>150410 Rurales</v>
      </c>
      <c r="CT93" s="141" t="str">
        <v>150410 Rurales</v>
      </c>
      <c r="CU93" s="141" t="str">
        <v>150410 Rurales</v>
      </c>
      <c r="CV93" s="141" t="str">
        <v>150410 Rurales</v>
      </c>
      <c r="CW93" s="141" t="str">
        <v>150410 Rurales</v>
      </c>
      <c r="CX93" s="141" t="str">
        <v>150410 Rurales</v>
      </c>
      <c r="CY93" s="141" t="str">
        <v>150410 Rurales</v>
      </c>
      <c r="CZ93" s="141" t="str">
        <v>150410 Rurales</v>
      </c>
      <c r="DA93" s="141" t="str">
        <v>150410 Rurales</v>
      </c>
      <c r="DF93" t="str">
        <v>150410 Rurales</v>
      </c>
      <c r="DG93" t="str">
        <v>150410 Rurales</v>
      </c>
      <c r="DH93" t="str">
        <v>150410 Rurales</v>
      </c>
      <c r="DI93" t="str">
        <v>150410 Rurales</v>
      </c>
      <c r="DJ93" t="str">
        <v>150410 Rurales</v>
      </c>
      <c r="DK93" t="str">
        <v>150410 Rurales</v>
      </c>
      <c r="DL93" t="str">
        <v>150410 Rurales</v>
      </c>
      <c r="DM93" t="str">
        <v>150410 Rurales</v>
      </c>
      <c r="DN93" t="str">
        <v>150410 Rurales</v>
      </c>
      <c r="DO93" t="str">
        <v>150410 Rurales</v>
      </c>
      <c r="DP93" t="str">
        <v>150410 Rurales</v>
      </c>
    </row>
    <row r="94" spans="4:120" ht="12.75">
      <c r="D94" s="7">
        <v>150499</v>
      </c>
      <c r="E94" s="6" t="s">
        <v>44</v>
      </c>
      <c r="F94" s="5">
        <v>4</v>
      </c>
      <c r="G94" s="34" t="s">
        <v>822</v>
      </c>
      <c r="H94" s="8" t="s">
        <v>32</v>
      </c>
      <c r="I94" t="b">
        <f>+ISNUMBER(SEARCH('F-COMPRA'!$F$28,Tabla11[[#This Row],[Cuenta]],1))</f>
        <v>1</v>
      </c>
      <c r="J94" t="b">
        <f>+ISNUMBER(SEARCH('F-COMPRA'!$F$29,Tabla11[[#This Row],[Cuenta]],1))</f>
        <v>1</v>
      </c>
      <c r="K94" t="b">
        <f>+ISNUMBER(SEARCH('F-COMPRA'!$F$30,Tabla11[[#This Row],[Cuenta]],1))</f>
        <v>1</v>
      </c>
      <c r="L94" t="b">
        <f>+ISNUMBER(SEARCH('F-COMPRA'!$F$31,Tabla11[[#This Row],[Cuenta]],1))</f>
        <v>1</v>
      </c>
      <c r="M94" t="b">
        <f>+ISNUMBER(SEARCH('F-COMPRA'!$G$25,Tabla11[[#This Row],[Cuenta]],1))</f>
        <v>0</v>
      </c>
      <c r="N94" t="b">
        <f>+ISNUMBER(SEARCH(#REF!,Tabla11[[#This Row],[Cuenta]],1))</f>
        <v>0</v>
      </c>
      <c r="O94" t="b">
        <f>+ISNUMBER(SEARCH(#REF!,Tabla11[[#This Row],[Cuenta]],1))</f>
        <v>0</v>
      </c>
      <c r="P94" t="b">
        <f>+ISNUMBER(SEARCH('F-COMPRA'!$F$32,Tabla11[[#This Row],[Cuenta]],1))</f>
        <v>1</v>
      </c>
      <c r="Q94" t="b">
        <f>+ISNUMBER(SEARCH('F-COMPRA'!$F$33,Tabla11[[#This Row],[Cuenta]],1))</f>
        <v>1</v>
      </c>
      <c r="R94" t="b">
        <f>+ISNUMBER(SEARCH('F-COMPRA'!$F$34,Tabla11[[#This Row],[Cuenta]],1))</f>
        <v>1</v>
      </c>
      <c r="S94" t="b">
        <f>+ISNUMBER(SEARCH('F-COMPRA'!$F$35,Tabla11[[#This Row],[Cuenta]],1))</f>
        <v>1</v>
      </c>
      <c r="T94" t="b">
        <f>+ISNUMBER(SEARCH('F-COMPRA'!$F$36,Tabla11[[#This Row],[Cuenta]],1))</f>
        <v>1</v>
      </c>
      <c r="U94" t="b">
        <f>+ISNUMBER(SEARCH('F-COMPRA'!$F$37,Tabla11[[#This Row],[Cuenta]],1))</f>
        <v>1</v>
      </c>
      <c r="V94" t="b">
        <f>+ISNUMBER(SEARCH(#REF!,Tabla11[[#This Row],[Cuenta]],1))</f>
        <v>0</v>
      </c>
      <c r="W94" t="b">
        <f>+ISNUMBER(SEARCH('F-COMPRA'!#REF!,Tabla11[[#This Row],[Cuenta]],1))</f>
        <v>0</v>
      </c>
      <c r="X94" t="b">
        <f>+ISNUMBER(SEARCH('F-COMPRA'!#REF!,Tabla11[[#This Row],[Cuenta]],1))</f>
        <v>0</v>
      </c>
      <c r="Y94" t="b">
        <f>+ISNUMBER(SEARCH('F-COMPRA'!#REF!,Tabla11[[#This Row],[Cuenta]],1))</f>
        <v>0</v>
      </c>
      <c r="Z94" t="b">
        <f>+ISNUMBER(SEARCH('F-COMPRA'!#REF!,Tabla11[[#This Row],[Cuenta]],1))</f>
        <v>0</v>
      </c>
      <c r="AA94" t="b">
        <f>+ISNUMBER(SEARCH('F-COMPRA'!#REF!,Tabla11[[#This Row],[Cuenta]],1))</f>
        <v>0</v>
      </c>
      <c r="AB94" t="b">
        <f>+ISNUMBER(SEARCH('F-COMPRA'!#REF!,Tabla11[[#This Row],[Cuenta]],1))</f>
        <v>0</v>
      </c>
      <c r="AC94" t="b">
        <f>+ISNUMBER(SEARCH('F-COMPRA'!#REF!,Tabla11[[#This Row],[Cuenta]],1))</f>
        <v>0</v>
      </c>
      <c r="AD94" t="b">
        <f>+ISNUMBER(SEARCH('F-COMPRA'!#REF!,Tabla11[[#This Row],[Cuenta]],1))</f>
        <v>0</v>
      </c>
      <c r="AE94" t="b">
        <f>+ISNUMBER(SEARCH('F-COMPRA'!#REF!,Tabla11[[#This Row],[Cuenta]],1))</f>
        <v>0</v>
      </c>
      <c r="AF94" t="b">
        <f>+ISNUMBER(SEARCH('F-VTA'!$G$23,Tabla11[[#This Row],[Cuenta]],1))</f>
        <v>0</v>
      </c>
      <c r="AG94" t="b">
        <f>+ISNUMBER(SEARCH('F-VTA'!$G$24,Tabla11[[#This Row],[Cuenta]],1))</f>
        <v>0</v>
      </c>
      <c r="AH94" t="b">
        <f>+ISNUMBER(SEARCH('F-VTA'!$G$25,Tabla11[[#This Row],[Cuenta]],1))</f>
        <v>0</v>
      </c>
      <c r="AI94" t="b">
        <f>+ISNUMBER(SEARCH('F-VTA'!$F$28,Tabla11[[#This Row],[Cuenta]],1))</f>
        <v>1</v>
      </c>
      <c r="AJ94" t="b">
        <f>+ISNUMBER(SEARCH('F-VTA'!$F$29,Tabla11[[#This Row],[Cuenta]],1))</f>
        <v>1</v>
      </c>
      <c r="AK94" t="b">
        <f>+ISNUMBER(SEARCH('F-VTA'!$F$30,Tabla11[[#This Row],[Cuenta]],1))</f>
        <v>1</v>
      </c>
      <c r="AL94" t="b">
        <f>+ISNUMBER(SEARCH('F-VTA'!$F$31,Tabla11[[#This Row],[Cuenta]],1))</f>
        <v>1</v>
      </c>
      <c r="AM94" t="b">
        <f>+ISNUMBER(SEARCH('F-VTA'!$F$32,Tabla11[[#This Row],[Cuenta]],1))</f>
        <v>1</v>
      </c>
      <c r="AN94" t="b">
        <f>+ISNUMBER(SEARCH('F-VTA'!$F$33,Tabla11[[#This Row],[Cuenta]],1))</f>
        <v>1</v>
      </c>
      <c r="AO94" t="b">
        <f>+ISNUMBER(SEARCH('F-VTA'!$F$34,Tabla11[[#This Row],[Cuenta]],1))</f>
        <v>1</v>
      </c>
      <c r="AP94" t="b">
        <f>+ISNUMBER(SEARCH('F-VTA'!$F$35,Tabla11[[#This Row],[Cuenta]],1))</f>
        <v>1</v>
      </c>
      <c r="AQ94" t="b">
        <f>+ISNUMBER(SEARCH('F-VTA'!$F$36,Tabla11[[#This Row],[Cuenta]],1))</f>
        <v>1</v>
      </c>
      <c r="AR94" t="b">
        <f>+ISNUMBER(SEARCH(#REF!,Tabla11[[#This Row],[Cuenta]],1))</f>
        <v>0</v>
      </c>
      <c r="AS94" t="b">
        <f>+ISNUMBER(SEARCH(#REF!,Tabla11[[#This Row],[Cuenta]],1))</f>
        <v>0</v>
      </c>
      <c r="AT94" t="b">
        <f>+ISNUMBER(SEARCH(#REF!,Tabla11[[#This Row],[Cuenta]],1))</f>
        <v>0</v>
      </c>
      <c r="AU94" t="b">
        <f>+ISNUMBER(SEARCH('Conc. Ban.1'!$I$9,Tabla11[[#This Row],[Cuenta]],1))</f>
        <v>0</v>
      </c>
      <c r="AV94" t="b">
        <f>+ISNUMBER(SEARCH(CompConta!$F$21,Tabla11[[#This Row],[Cuenta]],1))</f>
        <v>1</v>
      </c>
      <c r="AW94" t="b">
        <f>+ISNUMBER(SEARCH(CompConta!$F$22,Tabla11[[#This Row],[Cuenta]],1))</f>
        <v>1</v>
      </c>
      <c r="AX94" t="b">
        <f>+ISNUMBER(SEARCH(CompConta!$F$23,Tabla11[[#This Row],[Cuenta]],1))</f>
        <v>1</v>
      </c>
      <c r="AY94" t="b">
        <f>+ISNUMBER(SEARCH(CompConta!$F$24,Tabla11[[#This Row],[Cuenta]],1))</f>
        <v>1</v>
      </c>
      <c r="AZ94" t="b">
        <f>+ISNUMBER(SEARCH(CompConta!$F$25,Tabla11[[#This Row],[Cuenta]],1))</f>
        <v>1</v>
      </c>
      <c r="BA94" t="b">
        <f>+ISNUMBER(SEARCH(CompConta!$F$26,Tabla11[[#This Row],[Cuenta]],1))</f>
        <v>1</v>
      </c>
      <c r="BB94" t="b">
        <f>+ISNUMBER(SEARCH(CompConta!$F$27,Tabla11[[#This Row],[Cuenta]],1))</f>
        <v>1</v>
      </c>
      <c r="BC94" t="b">
        <f>+ISNUMBER(SEARCH(CompConta!$F$28,Tabla11[[#This Row],[Cuenta]],1))</f>
        <v>1</v>
      </c>
      <c r="BD94" t="b">
        <f>+ISNUMBER(SEARCH(CompConta!$F$29,Tabla11[[#This Row],[Cuenta]],1))</f>
        <v>1</v>
      </c>
      <c r="BE94" t="b">
        <f>+ISNUMBER(SEARCH(CompConta!$F$30,Tabla11[[#This Row],[Cuenta]],1))</f>
        <v>1</v>
      </c>
      <c r="BF94" t="b">
        <f>+ISNUMBER(SEARCH('PAGO Compras'!$E$11,Tabla11[[#This Row],[Cuenta]],1))</f>
        <v>1</v>
      </c>
      <c r="BG94" t="b">
        <f>+ISNUMBER(SEARCH(#REF!,Tabla11[[#This Row],[Cuenta]],1))</f>
        <v>0</v>
      </c>
      <c r="BH94" t="b">
        <f>+ISNUMBER(SEARCH(#REF!,Tabla11[[#This Row],[Cuenta]],1))</f>
        <v>0</v>
      </c>
      <c r="BI94" t="b">
        <f>+ISNUMBER(SEARCH(#REF!,Tabla11[[#This Row],[Cuenta]],1))</f>
        <v>0</v>
      </c>
      <c r="BJ94" t="b">
        <f>+ISNUMBER(SEARCH(#REF!,Tabla11[[#This Row],[Cuenta]],1))</f>
        <v>0</v>
      </c>
      <c r="BS94" t="str">
        <v>150499 Ajustes por inflación</v>
      </c>
      <c r="BT94" t="str">
        <v>150499 Ajustes por inflación</v>
      </c>
      <c r="BU94" t="str">
        <v>150499 Ajustes por inflación</v>
      </c>
      <c r="BV94" t="str">
        <v>150499 Ajustes por inflación</v>
      </c>
      <c r="BZ94" t="str">
        <v>150499 Ajustes por inflación</v>
      </c>
      <c r="CA94" t="str">
        <v>150499 Ajustes por inflación</v>
      </c>
      <c r="CB94" t="str">
        <v>150499 Ajustes por inflación</v>
      </c>
      <c r="CC94" t="str">
        <v>150499 Ajustes por inflación</v>
      </c>
      <c r="CD94" t="str">
        <v>150499 Ajustes por inflación</v>
      </c>
      <c r="CE94" t="str">
        <v>150499 Ajustes por inflación</v>
      </c>
      <c r="CS94" s="141" t="str">
        <v>150499 Ajustes por inflación</v>
      </c>
      <c r="CT94" s="141" t="str">
        <v>150499 Ajustes por inflación</v>
      </c>
      <c r="CU94" s="141" t="str">
        <v>150499 Ajustes por inflación</v>
      </c>
      <c r="CV94" s="141" t="str">
        <v>150499 Ajustes por inflación</v>
      </c>
      <c r="CW94" s="141" t="str">
        <v>150499 Ajustes por inflación</v>
      </c>
      <c r="CX94" s="141" t="str">
        <v>150499 Ajustes por inflación</v>
      </c>
      <c r="CY94" s="141" t="str">
        <v>150499 Ajustes por inflación</v>
      </c>
      <c r="CZ94" s="141" t="str">
        <v>150499 Ajustes por inflación</v>
      </c>
      <c r="DA94" s="141" t="str">
        <v>150499 Ajustes por inflación</v>
      </c>
      <c r="DF94" t="str">
        <v>150499 Ajustes por inflación</v>
      </c>
      <c r="DG94" t="str">
        <v>150499 Ajustes por inflación</v>
      </c>
      <c r="DH94" t="str">
        <v>150499 Ajustes por inflación</v>
      </c>
      <c r="DI94" t="str">
        <v>150499 Ajustes por inflación</v>
      </c>
      <c r="DJ94" t="str">
        <v>150499 Ajustes por inflación</v>
      </c>
      <c r="DK94" t="str">
        <v>150499 Ajustes por inflación</v>
      </c>
      <c r="DL94" t="str">
        <v>150499 Ajustes por inflación</v>
      </c>
      <c r="DM94" t="str">
        <v>150499 Ajustes por inflación</v>
      </c>
      <c r="DN94" t="str">
        <v>150499 Ajustes por inflación</v>
      </c>
      <c r="DO94" t="str">
        <v>150499 Ajustes por inflación</v>
      </c>
      <c r="DP94" t="str">
        <v>150499 Ajustes por inflación</v>
      </c>
    </row>
    <row r="95" spans="4:120" ht="12.75">
      <c r="D95" s="7">
        <v>1506</v>
      </c>
      <c r="E95" s="6" t="s">
        <v>116</v>
      </c>
      <c r="F95" s="5">
        <v>3</v>
      </c>
      <c r="G95" s="34" t="s">
        <v>822</v>
      </c>
      <c r="H95" s="8" t="s">
        <v>32</v>
      </c>
      <c r="I95" t="b">
        <f>+ISNUMBER(SEARCH('F-COMPRA'!$F$28,Tabla11[[#This Row],[Cuenta]],1))</f>
        <v>1</v>
      </c>
      <c r="J95" t="b">
        <f>+ISNUMBER(SEARCH('F-COMPRA'!$F$29,Tabla11[[#This Row],[Cuenta]],1))</f>
        <v>1</v>
      </c>
      <c r="K95" t="b">
        <f>+ISNUMBER(SEARCH('F-COMPRA'!$F$30,Tabla11[[#This Row],[Cuenta]],1))</f>
        <v>1</v>
      </c>
      <c r="L95" t="b">
        <f>+ISNUMBER(SEARCH('F-COMPRA'!$F$31,Tabla11[[#This Row],[Cuenta]],1))</f>
        <v>1</v>
      </c>
      <c r="M95" t="b">
        <f>+ISNUMBER(SEARCH('F-COMPRA'!$G$25,Tabla11[[#This Row],[Cuenta]],1))</f>
        <v>0</v>
      </c>
      <c r="N95" t="b">
        <f>+ISNUMBER(SEARCH(#REF!,Tabla11[[#This Row],[Cuenta]],1))</f>
        <v>0</v>
      </c>
      <c r="O95" t="b">
        <f>+ISNUMBER(SEARCH(#REF!,Tabla11[[#This Row],[Cuenta]],1))</f>
        <v>0</v>
      </c>
      <c r="P95" t="b">
        <f>+ISNUMBER(SEARCH('F-COMPRA'!$F$32,Tabla11[[#This Row],[Cuenta]],1))</f>
        <v>1</v>
      </c>
      <c r="Q95" t="b">
        <f>+ISNUMBER(SEARCH('F-COMPRA'!$F$33,Tabla11[[#This Row],[Cuenta]],1))</f>
        <v>1</v>
      </c>
      <c r="R95" t="b">
        <f>+ISNUMBER(SEARCH('F-COMPRA'!$F$34,Tabla11[[#This Row],[Cuenta]],1))</f>
        <v>1</v>
      </c>
      <c r="S95" t="b">
        <f>+ISNUMBER(SEARCH('F-COMPRA'!$F$35,Tabla11[[#This Row],[Cuenta]],1))</f>
        <v>1</v>
      </c>
      <c r="T95" t="b">
        <f>+ISNUMBER(SEARCH('F-COMPRA'!$F$36,Tabla11[[#This Row],[Cuenta]],1))</f>
        <v>1</v>
      </c>
      <c r="U95" t="b">
        <f>+ISNUMBER(SEARCH('F-COMPRA'!$F$37,Tabla11[[#This Row],[Cuenta]],1))</f>
        <v>1</v>
      </c>
      <c r="V95" t="b">
        <f>+ISNUMBER(SEARCH(#REF!,Tabla11[[#This Row],[Cuenta]],1))</f>
        <v>0</v>
      </c>
      <c r="W95" t="b">
        <f>+ISNUMBER(SEARCH('F-COMPRA'!#REF!,Tabla11[[#This Row],[Cuenta]],1))</f>
        <v>0</v>
      </c>
      <c r="X95" t="b">
        <f>+ISNUMBER(SEARCH('F-COMPRA'!#REF!,Tabla11[[#This Row],[Cuenta]],1))</f>
        <v>0</v>
      </c>
      <c r="Y95" t="b">
        <f>+ISNUMBER(SEARCH('F-COMPRA'!#REF!,Tabla11[[#This Row],[Cuenta]],1))</f>
        <v>0</v>
      </c>
      <c r="Z95" t="b">
        <f>+ISNUMBER(SEARCH('F-COMPRA'!#REF!,Tabla11[[#This Row],[Cuenta]],1))</f>
        <v>0</v>
      </c>
      <c r="AA95" t="b">
        <f>+ISNUMBER(SEARCH('F-COMPRA'!#REF!,Tabla11[[#This Row],[Cuenta]],1))</f>
        <v>0</v>
      </c>
      <c r="AB95" t="b">
        <f>+ISNUMBER(SEARCH('F-COMPRA'!#REF!,Tabla11[[#This Row],[Cuenta]],1))</f>
        <v>0</v>
      </c>
      <c r="AC95" t="b">
        <f>+ISNUMBER(SEARCH('F-COMPRA'!#REF!,Tabla11[[#This Row],[Cuenta]],1))</f>
        <v>0</v>
      </c>
      <c r="AD95" t="b">
        <f>+ISNUMBER(SEARCH('F-COMPRA'!#REF!,Tabla11[[#This Row],[Cuenta]],1))</f>
        <v>0</v>
      </c>
      <c r="AE95" t="b">
        <f>+ISNUMBER(SEARCH('F-COMPRA'!#REF!,Tabla11[[#This Row],[Cuenta]],1))</f>
        <v>0</v>
      </c>
      <c r="AF95" t="b">
        <f>+ISNUMBER(SEARCH('F-VTA'!$G$23,Tabla11[[#This Row],[Cuenta]],1))</f>
        <v>0</v>
      </c>
      <c r="AG95" t="b">
        <f>+ISNUMBER(SEARCH('F-VTA'!$G$24,Tabla11[[#This Row],[Cuenta]],1))</f>
        <v>0</v>
      </c>
      <c r="AH95" t="b">
        <f>+ISNUMBER(SEARCH('F-VTA'!$G$25,Tabla11[[#This Row],[Cuenta]],1))</f>
        <v>0</v>
      </c>
      <c r="AI95" t="b">
        <f>+ISNUMBER(SEARCH('F-VTA'!$F$28,Tabla11[[#This Row],[Cuenta]],1))</f>
        <v>1</v>
      </c>
      <c r="AJ95" t="b">
        <f>+ISNUMBER(SEARCH('F-VTA'!$F$29,Tabla11[[#This Row],[Cuenta]],1))</f>
        <v>1</v>
      </c>
      <c r="AK95" t="b">
        <f>+ISNUMBER(SEARCH('F-VTA'!$F$30,Tabla11[[#This Row],[Cuenta]],1))</f>
        <v>1</v>
      </c>
      <c r="AL95" t="b">
        <f>+ISNUMBER(SEARCH('F-VTA'!$F$31,Tabla11[[#This Row],[Cuenta]],1))</f>
        <v>1</v>
      </c>
      <c r="AM95" t="b">
        <f>+ISNUMBER(SEARCH('F-VTA'!$F$32,Tabla11[[#This Row],[Cuenta]],1))</f>
        <v>1</v>
      </c>
      <c r="AN95" t="b">
        <f>+ISNUMBER(SEARCH('F-VTA'!$F$33,Tabla11[[#This Row],[Cuenta]],1))</f>
        <v>1</v>
      </c>
      <c r="AO95" t="b">
        <f>+ISNUMBER(SEARCH('F-VTA'!$F$34,Tabla11[[#This Row],[Cuenta]],1))</f>
        <v>1</v>
      </c>
      <c r="AP95" t="b">
        <f>+ISNUMBER(SEARCH('F-VTA'!$F$35,Tabla11[[#This Row],[Cuenta]],1))</f>
        <v>1</v>
      </c>
      <c r="AQ95" t="b">
        <f>+ISNUMBER(SEARCH('F-VTA'!$F$36,Tabla11[[#This Row],[Cuenta]],1))</f>
        <v>1</v>
      </c>
      <c r="AR95" t="b">
        <f>+ISNUMBER(SEARCH(#REF!,Tabla11[[#This Row],[Cuenta]],1))</f>
        <v>0</v>
      </c>
      <c r="AS95" t="b">
        <f>+ISNUMBER(SEARCH(#REF!,Tabla11[[#This Row],[Cuenta]],1))</f>
        <v>0</v>
      </c>
      <c r="AT95" t="b">
        <f>+ISNUMBER(SEARCH(#REF!,Tabla11[[#This Row],[Cuenta]],1))</f>
        <v>0</v>
      </c>
      <c r="AU95" t="b">
        <f>+ISNUMBER(SEARCH('Conc. Ban.1'!$I$9,Tabla11[[#This Row],[Cuenta]],1))</f>
        <v>0</v>
      </c>
      <c r="AV95" t="b">
        <f>+ISNUMBER(SEARCH(CompConta!$F$21,Tabla11[[#This Row],[Cuenta]],1))</f>
        <v>1</v>
      </c>
      <c r="AW95" t="b">
        <f>+ISNUMBER(SEARCH(CompConta!$F$22,Tabla11[[#This Row],[Cuenta]],1))</f>
        <v>1</v>
      </c>
      <c r="AX95" t="b">
        <f>+ISNUMBER(SEARCH(CompConta!$F$23,Tabla11[[#This Row],[Cuenta]],1))</f>
        <v>1</v>
      </c>
      <c r="AY95" t="b">
        <f>+ISNUMBER(SEARCH(CompConta!$F$24,Tabla11[[#This Row],[Cuenta]],1))</f>
        <v>1</v>
      </c>
      <c r="AZ95" t="b">
        <f>+ISNUMBER(SEARCH(CompConta!$F$25,Tabla11[[#This Row],[Cuenta]],1))</f>
        <v>1</v>
      </c>
      <c r="BA95" t="b">
        <f>+ISNUMBER(SEARCH(CompConta!$F$26,Tabla11[[#This Row],[Cuenta]],1))</f>
        <v>1</v>
      </c>
      <c r="BB95" t="b">
        <f>+ISNUMBER(SEARCH(CompConta!$F$27,Tabla11[[#This Row],[Cuenta]],1))</f>
        <v>1</v>
      </c>
      <c r="BC95" t="b">
        <f>+ISNUMBER(SEARCH(CompConta!$F$28,Tabla11[[#This Row],[Cuenta]],1))</f>
        <v>1</v>
      </c>
      <c r="BD95" t="b">
        <f>+ISNUMBER(SEARCH(CompConta!$F$29,Tabla11[[#This Row],[Cuenta]],1))</f>
        <v>1</v>
      </c>
      <c r="BE95" t="b">
        <f>+ISNUMBER(SEARCH(CompConta!$F$30,Tabla11[[#This Row],[Cuenta]],1))</f>
        <v>1</v>
      </c>
      <c r="BF95" t="b">
        <f>+ISNUMBER(SEARCH('PAGO Compras'!$E$11,Tabla11[[#This Row],[Cuenta]],1))</f>
        <v>1</v>
      </c>
      <c r="BG95" t="b">
        <f>+ISNUMBER(SEARCH(#REF!,Tabla11[[#This Row],[Cuenta]],1))</f>
        <v>0</v>
      </c>
      <c r="BH95" t="b">
        <f>+ISNUMBER(SEARCH(#REF!,Tabla11[[#This Row],[Cuenta]],1))</f>
        <v>0</v>
      </c>
      <c r="BI95" t="b">
        <f>+ISNUMBER(SEARCH(#REF!,Tabla11[[#This Row],[Cuenta]],1))</f>
        <v>0</v>
      </c>
      <c r="BJ95" t="b">
        <f>+ISNUMBER(SEARCH(#REF!,Tabla11[[#This Row],[Cuenta]],1))</f>
        <v>0</v>
      </c>
      <c r="BS95" t="str">
        <v>1506 MATERIALES PROYECTOS PETROLEROS</v>
      </c>
      <c r="BT95" t="str">
        <v>1506 MATERIALES PROYECTOS PETROLEROS</v>
      </c>
      <c r="BU95" t="str">
        <v>1506 MATERIALES PROYECTOS PETROLEROS</v>
      </c>
      <c r="BV95" t="str">
        <v>1506 MATERIALES PROYECTOS PETROLEROS</v>
      </c>
      <c r="BZ95" t="str">
        <v>1506 MATERIALES PROYECTOS PETROLEROS</v>
      </c>
      <c r="CA95" t="str">
        <v>1506 MATERIALES PROYECTOS PETROLEROS</v>
      </c>
      <c r="CB95" t="str">
        <v>1506 MATERIALES PROYECTOS PETROLEROS</v>
      </c>
      <c r="CC95" t="str">
        <v>1506 MATERIALES PROYECTOS PETROLEROS</v>
      </c>
      <c r="CD95" t="str">
        <v>1506 MATERIALES PROYECTOS PETROLEROS</v>
      </c>
      <c r="CE95" t="str">
        <v>1506 MATERIALES PROYECTOS PETROLEROS</v>
      </c>
      <c r="CS95" s="141" t="str">
        <v>1506 MATERIALES PROYECTOS PETROLEROS</v>
      </c>
      <c r="CT95" s="141" t="str">
        <v>1506 MATERIALES PROYECTOS PETROLEROS</v>
      </c>
      <c r="CU95" s="141" t="str">
        <v>1506 MATERIALES PROYECTOS PETROLEROS</v>
      </c>
      <c r="CV95" s="141" t="str">
        <v>1506 MATERIALES PROYECTOS PETROLEROS</v>
      </c>
      <c r="CW95" s="141" t="str">
        <v>1506 MATERIALES PROYECTOS PETROLEROS</v>
      </c>
      <c r="CX95" s="141" t="str">
        <v>1506 MATERIALES PROYECTOS PETROLEROS</v>
      </c>
      <c r="CY95" s="141" t="str">
        <v>1506 MATERIALES PROYECTOS PETROLEROS</v>
      </c>
      <c r="CZ95" s="141" t="str">
        <v>1506 MATERIALES PROYECTOS PETROLEROS</v>
      </c>
      <c r="DA95" s="141" t="str">
        <v>1506 MATERIALES PROYECTOS PETROLEROS</v>
      </c>
      <c r="DF95" t="str">
        <v>1506 MATERIALES PROYECTOS PETROLEROS</v>
      </c>
      <c r="DG95" t="str">
        <v>1506 MATERIALES PROYECTOS PETROLEROS</v>
      </c>
      <c r="DH95" t="str">
        <v>1506 MATERIALES PROYECTOS PETROLEROS</v>
      </c>
      <c r="DI95" t="str">
        <v>1506 MATERIALES PROYECTOS PETROLEROS</v>
      </c>
      <c r="DJ95" t="str">
        <v>1506 MATERIALES PROYECTOS PETROLEROS</v>
      </c>
      <c r="DK95" t="str">
        <v>1506 MATERIALES PROYECTOS PETROLEROS</v>
      </c>
      <c r="DL95" t="str">
        <v>1506 MATERIALES PROYECTOS PETROLEROS</v>
      </c>
      <c r="DM95" t="str">
        <v>1506 MATERIALES PROYECTOS PETROLEROS</v>
      </c>
      <c r="DN95" t="str">
        <v>1506 MATERIALES PROYECTOS PETROLEROS</v>
      </c>
      <c r="DO95" t="str">
        <v>1506 MATERIALES PROYECTOS PETROLEROS</v>
      </c>
      <c r="DP95" t="str">
        <v>1506 MATERIALES PROYECTOS PETROLEROS</v>
      </c>
    </row>
    <row r="96" spans="4:120" ht="12.75">
      <c r="D96" s="7">
        <v>150605</v>
      </c>
      <c r="E96" s="6" t="s">
        <v>117</v>
      </c>
      <c r="F96" s="5">
        <v>4</v>
      </c>
      <c r="G96" s="34" t="s">
        <v>822</v>
      </c>
      <c r="H96" s="8" t="s">
        <v>32</v>
      </c>
      <c r="I96" t="b">
        <f>+ISNUMBER(SEARCH('F-COMPRA'!$F$28,Tabla11[[#This Row],[Cuenta]],1))</f>
        <v>1</v>
      </c>
      <c r="J96" t="b">
        <f>+ISNUMBER(SEARCH('F-COMPRA'!$F$29,Tabla11[[#This Row],[Cuenta]],1))</f>
        <v>1</v>
      </c>
      <c r="K96" t="b">
        <f>+ISNUMBER(SEARCH('F-COMPRA'!$F$30,Tabla11[[#This Row],[Cuenta]],1))</f>
        <v>1</v>
      </c>
      <c r="L96" t="b">
        <f>+ISNUMBER(SEARCH('F-COMPRA'!$F$31,Tabla11[[#This Row],[Cuenta]],1))</f>
        <v>1</v>
      </c>
      <c r="M96" t="b">
        <f>+ISNUMBER(SEARCH('F-COMPRA'!$G$25,Tabla11[[#This Row],[Cuenta]],1))</f>
        <v>0</v>
      </c>
      <c r="N96" t="b">
        <f>+ISNUMBER(SEARCH(#REF!,Tabla11[[#This Row],[Cuenta]],1))</f>
        <v>0</v>
      </c>
      <c r="O96" t="b">
        <f>+ISNUMBER(SEARCH(#REF!,Tabla11[[#This Row],[Cuenta]],1))</f>
        <v>0</v>
      </c>
      <c r="P96" t="b">
        <f>+ISNUMBER(SEARCH('F-COMPRA'!$F$32,Tabla11[[#This Row],[Cuenta]],1))</f>
        <v>1</v>
      </c>
      <c r="Q96" t="b">
        <f>+ISNUMBER(SEARCH('F-COMPRA'!$F$33,Tabla11[[#This Row],[Cuenta]],1))</f>
        <v>1</v>
      </c>
      <c r="R96" t="b">
        <f>+ISNUMBER(SEARCH('F-COMPRA'!$F$34,Tabla11[[#This Row],[Cuenta]],1))</f>
        <v>1</v>
      </c>
      <c r="S96" t="b">
        <f>+ISNUMBER(SEARCH('F-COMPRA'!$F$35,Tabla11[[#This Row],[Cuenta]],1))</f>
        <v>1</v>
      </c>
      <c r="T96" t="b">
        <f>+ISNUMBER(SEARCH('F-COMPRA'!$F$36,Tabla11[[#This Row],[Cuenta]],1))</f>
        <v>1</v>
      </c>
      <c r="U96" t="b">
        <f>+ISNUMBER(SEARCH('F-COMPRA'!$F$37,Tabla11[[#This Row],[Cuenta]],1))</f>
        <v>1</v>
      </c>
      <c r="V96" t="b">
        <f>+ISNUMBER(SEARCH(#REF!,Tabla11[[#This Row],[Cuenta]],1))</f>
        <v>0</v>
      </c>
      <c r="W96" t="b">
        <f>+ISNUMBER(SEARCH('F-COMPRA'!#REF!,Tabla11[[#This Row],[Cuenta]],1))</f>
        <v>0</v>
      </c>
      <c r="X96" t="b">
        <f>+ISNUMBER(SEARCH('F-COMPRA'!#REF!,Tabla11[[#This Row],[Cuenta]],1))</f>
        <v>0</v>
      </c>
      <c r="Y96" t="b">
        <f>+ISNUMBER(SEARCH('F-COMPRA'!#REF!,Tabla11[[#This Row],[Cuenta]],1))</f>
        <v>0</v>
      </c>
      <c r="Z96" t="b">
        <f>+ISNUMBER(SEARCH('F-COMPRA'!#REF!,Tabla11[[#This Row],[Cuenta]],1))</f>
        <v>0</v>
      </c>
      <c r="AA96" t="b">
        <f>+ISNUMBER(SEARCH('F-COMPRA'!#REF!,Tabla11[[#This Row],[Cuenta]],1))</f>
        <v>0</v>
      </c>
      <c r="AB96" t="b">
        <f>+ISNUMBER(SEARCH('F-COMPRA'!#REF!,Tabla11[[#This Row],[Cuenta]],1))</f>
        <v>0</v>
      </c>
      <c r="AC96" t="b">
        <f>+ISNUMBER(SEARCH('F-COMPRA'!#REF!,Tabla11[[#This Row],[Cuenta]],1))</f>
        <v>0</v>
      </c>
      <c r="AD96" t="b">
        <f>+ISNUMBER(SEARCH('F-COMPRA'!#REF!,Tabla11[[#This Row],[Cuenta]],1))</f>
        <v>0</v>
      </c>
      <c r="AE96" t="b">
        <f>+ISNUMBER(SEARCH('F-COMPRA'!#REF!,Tabla11[[#This Row],[Cuenta]],1))</f>
        <v>0</v>
      </c>
      <c r="AF96" t="b">
        <f>+ISNUMBER(SEARCH('F-VTA'!$G$23,Tabla11[[#This Row],[Cuenta]],1))</f>
        <v>0</v>
      </c>
      <c r="AG96" t="b">
        <f>+ISNUMBER(SEARCH('F-VTA'!$G$24,Tabla11[[#This Row],[Cuenta]],1))</f>
        <v>0</v>
      </c>
      <c r="AH96" t="b">
        <f>+ISNUMBER(SEARCH('F-VTA'!$G$25,Tabla11[[#This Row],[Cuenta]],1))</f>
        <v>0</v>
      </c>
      <c r="AI96" t="b">
        <f>+ISNUMBER(SEARCH('F-VTA'!$F$28,Tabla11[[#This Row],[Cuenta]],1))</f>
        <v>1</v>
      </c>
      <c r="AJ96" t="b">
        <f>+ISNUMBER(SEARCH('F-VTA'!$F$29,Tabla11[[#This Row],[Cuenta]],1))</f>
        <v>1</v>
      </c>
      <c r="AK96" t="b">
        <f>+ISNUMBER(SEARCH('F-VTA'!$F$30,Tabla11[[#This Row],[Cuenta]],1))</f>
        <v>1</v>
      </c>
      <c r="AL96" t="b">
        <f>+ISNUMBER(SEARCH('F-VTA'!$F$31,Tabla11[[#This Row],[Cuenta]],1))</f>
        <v>1</v>
      </c>
      <c r="AM96" t="b">
        <f>+ISNUMBER(SEARCH('F-VTA'!$F$32,Tabla11[[#This Row],[Cuenta]],1))</f>
        <v>1</v>
      </c>
      <c r="AN96" t="b">
        <f>+ISNUMBER(SEARCH('F-VTA'!$F$33,Tabla11[[#This Row],[Cuenta]],1))</f>
        <v>1</v>
      </c>
      <c r="AO96" t="b">
        <f>+ISNUMBER(SEARCH('F-VTA'!$F$34,Tabla11[[#This Row],[Cuenta]],1))</f>
        <v>1</v>
      </c>
      <c r="AP96" t="b">
        <f>+ISNUMBER(SEARCH('F-VTA'!$F$35,Tabla11[[#This Row],[Cuenta]],1))</f>
        <v>1</v>
      </c>
      <c r="AQ96" t="b">
        <f>+ISNUMBER(SEARCH('F-VTA'!$F$36,Tabla11[[#This Row],[Cuenta]],1))</f>
        <v>1</v>
      </c>
      <c r="AR96" t="b">
        <f>+ISNUMBER(SEARCH(#REF!,Tabla11[[#This Row],[Cuenta]],1))</f>
        <v>0</v>
      </c>
      <c r="AS96" t="b">
        <f>+ISNUMBER(SEARCH(#REF!,Tabla11[[#This Row],[Cuenta]],1))</f>
        <v>0</v>
      </c>
      <c r="AT96" t="b">
        <f>+ISNUMBER(SEARCH(#REF!,Tabla11[[#This Row],[Cuenta]],1))</f>
        <v>0</v>
      </c>
      <c r="AU96" t="b">
        <f>+ISNUMBER(SEARCH('Conc. Ban.1'!$I$9,Tabla11[[#This Row],[Cuenta]],1))</f>
        <v>0</v>
      </c>
      <c r="AV96" t="b">
        <f>+ISNUMBER(SEARCH(CompConta!$F$21,Tabla11[[#This Row],[Cuenta]],1))</f>
        <v>1</v>
      </c>
      <c r="AW96" t="b">
        <f>+ISNUMBER(SEARCH(CompConta!$F$22,Tabla11[[#This Row],[Cuenta]],1))</f>
        <v>1</v>
      </c>
      <c r="AX96" t="b">
        <f>+ISNUMBER(SEARCH(CompConta!$F$23,Tabla11[[#This Row],[Cuenta]],1))</f>
        <v>1</v>
      </c>
      <c r="AY96" t="b">
        <f>+ISNUMBER(SEARCH(CompConta!$F$24,Tabla11[[#This Row],[Cuenta]],1))</f>
        <v>1</v>
      </c>
      <c r="AZ96" t="b">
        <f>+ISNUMBER(SEARCH(CompConta!$F$25,Tabla11[[#This Row],[Cuenta]],1))</f>
        <v>1</v>
      </c>
      <c r="BA96" t="b">
        <f>+ISNUMBER(SEARCH(CompConta!$F$26,Tabla11[[#This Row],[Cuenta]],1))</f>
        <v>1</v>
      </c>
      <c r="BB96" t="b">
        <f>+ISNUMBER(SEARCH(CompConta!$F$27,Tabla11[[#This Row],[Cuenta]],1))</f>
        <v>1</v>
      </c>
      <c r="BC96" t="b">
        <f>+ISNUMBER(SEARCH(CompConta!$F$28,Tabla11[[#This Row],[Cuenta]],1))</f>
        <v>1</v>
      </c>
      <c r="BD96" t="b">
        <f>+ISNUMBER(SEARCH(CompConta!$F$29,Tabla11[[#This Row],[Cuenta]],1))</f>
        <v>1</v>
      </c>
      <c r="BE96" t="b">
        <f>+ISNUMBER(SEARCH(CompConta!$F$30,Tabla11[[#This Row],[Cuenta]],1))</f>
        <v>1</v>
      </c>
      <c r="BF96" t="b">
        <f>+ISNUMBER(SEARCH('PAGO Compras'!$E$11,Tabla11[[#This Row],[Cuenta]],1))</f>
        <v>1</v>
      </c>
      <c r="BG96" t="b">
        <f>+ISNUMBER(SEARCH(#REF!,Tabla11[[#This Row],[Cuenta]],1))</f>
        <v>0</v>
      </c>
      <c r="BH96" t="b">
        <f>+ISNUMBER(SEARCH(#REF!,Tabla11[[#This Row],[Cuenta]],1))</f>
        <v>0</v>
      </c>
      <c r="BI96" t="b">
        <f>+ISNUMBER(SEARCH(#REF!,Tabla11[[#This Row],[Cuenta]],1))</f>
        <v>0</v>
      </c>
      <c r="BJ96" t="b">
        <f>+ISNUMBER(SEARCH(#REF!,Tabla11[[#This Row],[Cuenta]],1))</f>
        <v>0</v>
      </c>
      <c r="BS96" t="str">
        <v>150605 Tuberías y equipo</v>
      </c>
      <c r="BT96" t="str">
        <v>150605 Tuberías y equipo</v>
      </c>
      <c r="BU96" t="str">
        <v>150605 Tuberías y equipo</v>
      </c>
      <c r="BV96" t="str">
        <v>150605 Tuberías y equipo</v>
      </c>
      <c r="BZ96" t="str">
        <v>150605 Tuberías y equipo</v>
      </c>
      <c r="CA96" t="str">
        <v>150605 Tuberías y equipo</v>
      </c>
      <c r="CB96" t="str">
        <v>150605 Tuberías y equipo</v>
      </c>
      <c r="CC96" t="str">
        <v>150605 Tuberías y equipo</v>
      </c>
      <c r="CD96" t="str">
        <v>150605 Tuberías y equipo</v>
      </c>
      <c r="CE96" t="str">
        <v>150605 Tuberías y equipo</v>
      </c>
      <c r="CS96" s="141" t="str">
        <v>150605 Tuberías y equipo</v>
      </c>
      <c r="CT96" s="141" t="str">
        <v>150605 Tuberías y equipo</v>
      </c>
      <c r="CU96" s="141" t="str">
        <v>150605 Tuberías y equipo</v>
      </c>
      <c r="CV96" s="141" t="str">
        <v>150605 Tuberías y equipo</v>
      </c>
      <c r="CW96" s="141" t="str">
        <v>150605 Tuberías y equipo</v>
      </c>
      <c r="CX96" s="141" t="str">
        <v>150605 Tuberías y equipo</v>
      </c>
      <c r="CY96" s="141" t="str">
        <v>150605 Tuberías y equipo</v>
      </c>
      <c r="CZ96" s="141" t="str">
        <v>150605 Tuberías y equipo</v>
      </c>
      <c r="DA96" s="141" t="str">
        <v>150605 Tuberías y equipo</v>
      </c>
      <c r="DF96" t="str">
        <v>150605 Tuberías y equipo</v>
      </c>
      <c r="DG96" t="str">
        <v>150605 Tuberías y equipo</v>
      </c>
      <c r="DH96" t="str">
        <v>150605 Tuberías y equipo</v>
      </c>
      <c r="DI96" t="str">
        <v>150605 Tuberías y equipo</v>
      </c>
      <c r="DJ96" t="str">
        <v>150605 Tuberías y equipo</v>
      </c>
      <c r="DK96" t="str">
        <v>150605 Tuberías y equipo</v>
      </c>
      <c r="DL96" t="str">
        <v>150605 Tuberías y equipo</v>
      </c>
      <c r="DM96" t="str">
        <v>150605 Tuberías y equipo</v>
      </c>
      <c r="DN96" t="str">
        <v>150605 Tuberías y equipo</v>
      </c>
      <c r="DO96" t="str">
        <v>150605 Tuberías y equipo</v>
      </c>
      <c r="DP96" t="str">
        <v>150605 Tuberías y equipo</v>
      </c>
    </row>
    <row r="97" spans="4:120" ht="12.75">
      <c r="D97" s="7">
        <v>150610</v>
      </c>
      <c r="E97" s="6" t="s">
        <v>118</v>
      </c>
      <c r="F97" s="5">
        <v>4</v>
      </c>
      <c r="G97" s="34" t="s">
        <v>822</v>
      </c>
      <c r="H97" s="8" t="s">
        <v>32</v>
      </c>
      <c r="I97" t="b">
        <f>+ISNUMBER(SEARCH('F-COMPRA'!$F$28,Tabla11[[#This Row],[Cuenta]],1))</f>
        <v>1</v>
      </c>
      <c r="J97" t="b">
        <f>+ISNUMBER(SEARCH('F-COMPRA'!$F$29,Tabla11[[#This Row],[Cuenta]],1))</f>
        <v>1</v>
      </c>
      <c r="K97" t="b">
        <f>+ISNUMBER(SEARCH('F-COMPRA'!$F$30,Tabla11[[#This Row],[Cuenta]],1))</f>
        <v>1</v>
      </c>
      <c r="L97" t="b">
        <f>+ISNUMBER(SEARCH('F-COMPRA'!$F$31,Tabla11[[#This Row],[Cuenta]],1))</f>
        <v>1</v>
      </c>
      <c r="M97" t="b">
        <f>+ISNUMBER(SEARCH('F-COMPRA'!$G$25,Tabla11[[#This Row],[Cuenta]],1))</f>
        <v>0</v>
      </c>
      <c r="N97" t="b">
        <f>+ISNUMBER(SEARCH(#REF!,Tabla11[[#This Row],[Cuenta]],1))</f>
        <v>0</v>
      </c>
      <c r="O97" t="b">
        <f>+ISNUMBER(SEARCH(#REF!,Tabla11[[#This Row],[Cuenta]],1))</f>
        <v>0</v>
      </c>
      <c r="P97" t="b">
        <f>+ISNUMBER(SEARCH('F-COMPRA'!$F$32,Tabla11[[#This Row],[Cuenta]],1))</f>
        <v>1</v>
      </c>
      <c r="Q97" t="b">
        <f>+ISNUMBER(SEARCH('F-COMPRA'!$F$33,Tabla11[[#This Row],[Cuenta]],1))</f>
        <v>1</v>
      </c>
      <c r="R97" t="b">
        <f>+ISNUMBER(SEARCH('F-COMPRA'!$F$34,Tabla11[[#This Row],[Cuenta]],1))</f>
        <v>1</v>
      </c>
      <c r="S97" t="b">
        <f>+ISNUMBER(SEARCH('F-COMPRA'!$F$35,Tabla11[[#This Row],[Cuenta]],1))</f>
        <v>1</v>
      </c>
      <c r="T97" t="b">
        <f>+ISNUMBER(SEARCH('F-COMPRA'!$F$36,Tabla11[[#This Row],[Cuenta]],1))</f>
        <v>1</v>
      </c>
      <c r="U97" t="b">
        <f>+ISNUMBER(SEARCH('F-COMPRA'!$F$37,Tabla11[[#This Row],[Cuenta]],1))</f>
        <v>1</v>
      </c>
      <c r="V97" t="b">
        <f>+ISNUMBER(SEARCH(#REF!,Tabla11[[#This Row],[Cuenta]],1))</f>
        <v>0</v>
      </c>
      <c r="W97" t="b">
        <f>+ISNUMBER(SEARCH('F-COMPRA'!#REF!,Tabla11[[#This Row],[Cuenta]],1))</f>
        <v>0</v>
      </c>
      <c r="X97" t="b">
        <f>+ISNUMBER(SEARCH('F-COMPRA'!#REF!,Tabla11[[#This Row],[Cuenta]],1))</f>
        <v>0</v>
      </c>
      <c r="Y97" t="b">
        <f>+ISNUMBER(SEARCH('F-COMPRA'!#REF!,Tabla11[[#This Row],[Cuenta]],1))</f>
        <v>0</v>
      </c>
      <c r="Z97" t="b">
        <f>+ISNUMBER(SEARCH('F-COMPRA'!#REF!,Tabla11[[#This Row],[Cuenta]],1))</f>
        <v>0</v>
      </c>
      <c r="AA97" t="b">
        <f>+ISNUMBER(SEARCH('F-COMPRA'!#REF!,Tabla11[[#This Row],[Cuenta]],1))</f>
        <v>0</v>
      </c>
      <c r="AB97" t="b">
        <f>+ISNUMBER(SEARCH('F-COMPRA'!#REF!,Tabla11[[#This Row],[Cuenta]],1))</f>
        <v>0</v>
      </c>
      <c r="AC97" t="b">
        <f>+ISNUMBER(SEARCH('F-COMPRA'!#REF!,Tabla11[[#This Row],[Cuenta]],1))</f>
        <v>0</v>
      </c>
      <c r="AD97" t="b">
        <f>+ISNUMBER(SEARCH('F-COMPRA'!#REF!,Tabla11[[#This Row],[Cuenta]],1))</f>
        <v>0</v>
      </c>
      <c r="AE97" t="b">
        <f>+ISNUMBER(SEARCH('F-COMPRA'!#REF!,Tabla11[[#This Row],[Cuenta]],1))</f>
        <v>0</v>
      </c>
      <c r="AF97" t="b">
        <f>+ISNUMBER(SEARCH('F-VTA'!$G$23,Tabla11[[#This Row],[Cuenta]],1))</f>
        <v>0</v>
      </c>
      <c r="AG97" t="b">
        <f>+ISNUMBER(SEARCH('F-VTA'!$G$24,Tabla11[[#This Row],[Cuenta]],1))</f>
        <v>0</v>
      </c>
      <c r="AH97" t="b">
        <f>+ISNUMBER(SEARCH('F-VTA'!$G$25,Tabla11[[#This Row],[Cuenta]],1))</f>
        <v>0</v>
      </c>
      <c r="AI97" t="b">
        <f>+ISNUMBER(SEARCH('F-VTA'!$F$28,Tabla11[[#This Row],[Cuenta]],1))</f>
        <v>1</v>
      </c>
      <c r="AJ97" t="b">
        <f>+ISNUMBER(SEARCH('F-VTA'!$F$29,Tabla11[[#This Row],[Cuenta]],1))</f>
        <v>1</v>
      </c>
      <c r="AK97" t="b">
        <f>+ISNUMBER(SEARCH('F-VTA'!$F$30,Tabla11[[#This Row],[Cuenta]],1))</f>
        <v>1</v>
      </c>
      <c r="AL97" t="b">
        <f>+ISNUMBER(SEARCH('F-VTA'!$F$31,Tabla11[[#This Row],[Cuenta]],1))</f>
        <v>1</v>
      </c>
      <c r="AM97" t="b">
        <f>+ISNUMBER(SEARCH('F-VTA'!$F$32,Tabla11[[#This Row],[Cuenta]],1))</f>
        <v>1</v>
      </c>
      <c r="AN97" t="b">
        <f>+ISNUMBER(SEARCH('F-VTA'!$F$33,Tabla11[[#This Row],[Cuenta]],1))</f>
        <v>1</v>
      </c>
      <c r="AO97" t="b">
        <f>+ISNUMBER(SEARCH('F-VTA'!$F$34,Tabla11[[#This Row],[Cuenta]],1))</f>
        <v>1</v>
      </c>
      <c r="AP97" t="b">
        <f>+ISNUMBER(SEARCH('F-VTA'!$F$35,Tabla11[[#This Row],[Cuenta]],1))</f>
        <v>1</v>
      </c>
      <c r="AQ97" t="b">
        <f>+ISNUMBER(SEARCH('F-VTA'!$F$36,Tabla11[[#This Row],[Cuenta]],1))</f>
        <v>1</v>
      </c>
      <c r="AR97" t="b">
        <f>+ISNUMBER(SEARCH(#REF!,Tabla11[[#This Row],[Cuenta]],1))</f>
        <v>0</v>
      </c>
      <c r="AS97" t="b">
        <f>+ISNUMBER(SEARCH(#REF!,Tabla11[[#This Row],[Cuenta]],1))</f>
        <v>0</v>
      </c>
      <c r="AT97" t="b">
        <f>+ISNUMBER(SEARCH(#REF!,Tabla11[[#This Row],[Cuenta]],1))</f>
        <v>0</v>
      </c>
      <c r="AU97" t="b">
        <f>+ISNUMBER(SEARCH('Conc. Ban.1'!$I$9,Tabla11[[#This Row],[Cuenta]],1))</f>
        <v>0</v>
      </c>
      <c r="AV97" t="b">
        <f>+ISNUMBER(SEARCH(CompConta!$F$21,Tabla11[[#This Row],[Cuenta]],1))</f>
        <v>1</v>
      </c>
      <c r="AW97" t="b">
        <f>+ISNUMBER(SEARCH(CompConta!$F$22,Tabla11[[#This Row],[Cuenta]],1))</f>
        <v>1</v>
      </c>
      <c r="AX97" t="b">
        <f>+ISNUMBER(SEARCH(CompConta!$F$23,Tabla11[[#This Row],[Cuenta]],1))</f>
        <v>1</v>
      </c>
      <c r="AY97" t="b">
        <f>+ISNUMBER(SEARCH(CompConta!$F$24,Tabla11[[#This Row],[Cuenta]],1))</f>
        <v>1</v>
      </c>
      <c r="AZ97" t="b">
        <f>+ISNUMBER(SEARCH(CompConta!$F$25,Tabla11[[#This Row],[Cuenta]],1))</f>
        <v>1</v>
      </c>
      <c r="BA97" t="b">
        <f>+ISNUMBER(SEARCH(CompConta!$F$26,Tabla11[[#This Row],[Cuenta]],1))</f>
        <v>1</v>
      </c>
      <c r="BB97" t="b">
        <f>+ISNUMBER(SEARCH(CompConta!$F$27,Tabla11[[#This Row],[Cuenta]],1))</f>
        <v>1</v>
      </c>
      <c r="BC97" t="b">
        <f>+ISNUMBER(SEARCH(CompConta!$F$28,Tabla11[[#This Row],[Cuenta]],1))</f>
        <v>1</v>
      </c>
      <c r="BD97" t="b">
        <f>+ISNUMBER(SEARCH(CompConta!$F$29,Tabla11[[#This Row],[Cuenta]],1))</f>
        <v>1</v>
      </c>
      <c r="BE97" t="b">
        <f>+ISNUMBER(SEARCH(CompConta!$F$30,Tabla11[[#This Row],[Cuenta]],1))</f>
        <v>1</v>
      </c>
      <c r="BF97" t="b">
        <f>+ISNUMBER(SEARCH('PAGO Compras'!$E$11,Tabla11[[#This Row],[Cuenta]],1))</f>
        <v>1</v>
      </c>
      <c r="BG97" t="b">
        <f>+ISNUMBER(SEARCH(#REF!,Tabla11[[#This Row],[Cuenta]],1))</f>
        <v>0</v>
      </c>
      <c r="BH97" t="b">
        <f>+ISNUMBER(SEARCH(#REF!,Tabla11[[#This Row],[Cuenta]],1))</f>
        <v>0</v>
      </c>
      <c r="BI97" t="b">
        <f>+ISNUMBER(SEARCH(#REF!,Tabla11[[#This Row],[Cuenta]],1))</f>
        <v>0</v>
      </c>
      <c r="BJ97" t="b">
        <f>+ISNUMBER(SEARCH(#REF!,Tabla11[[#This Row],[Cuenta]],1))</f>
        <v>0</v>
      </c>
      <c r="BS97" t="str">
        <v>150610 Costos de importación materiales</v>
      </c>
      <c r="BT97" t="str">
        <v>150610 Costos de importación materiales</v>
      </c>
      <c r="BU97" t="str">
        <v>150610 Costos de importación materiales</v>
      </c>
      <c r="BV97" t="str">
        <v>150610 Costos de importación materiales</v>
      </c>
      <c r="BZ97" t="str">
        <v>150610 Costos de importación materiales</v>
      </c>
      <c r="CA97" t="str">
        <v>150610 Costos de importación materiales</v>
      </c>
      <c r="CB97" t="str">
        <v>150610 Costos de importación materiales</v>
      </c>
      <c r="CC97" t="str">
        <v>150610 Costos de importación materiales</v>
      </c>
      <c r="CD97" t="str">
        <v>150610 Costos de importación materiales</v>
      </c>
      <c r="CE97" t="str">
        <v>150610 Costos de importación materiales</v>
      </c>
      <c r="CS97" s="141" t="str">
        <v>150610 Costos de importación materiales</v>
      </c>
      <c r="CT97" s="141" t="str">
        <v>150610 Costos de importación materiales</v>
      </c>
      <c r="CU97" s="141" t="str">
        <v>150610 Costos de importación materiales</v>
      </c>
      <c r="CV97" s="141" t="str">
        <v>150610 Costos de importación materiales</v>
      </c>
      <c r="CW97" s="141" t="str">
        <v>150610 Costos de importación materiales</v>
      </c>
      <c r="CX97" s="141" t="str">
        <v>150610 Costos de importación materiales</v>
      </c>
      <c r="CY97" s="141" t="str">
        <v>150610 Costos de importación materiales</v>
      </c>
      <c r="CZ97" s="141" t="str">
        <v>150610 Costos de importación materiales</v>
      </c>
      <c r="DA97" s="141" t="str">
        <v>150610 Costos de importación materiales</v>
      </c>
      <c r="DF97" t="str">
        <v>150610 Costos de importación materiales</v>
      </c>
      <c r="DG97" t="str">
        <v>150610 Costos de importación materiales</v>
      </c>
      <c r="DH97" t="str">
        <v>150610 Costos de importación materiales</v>
      </c>
      <c r="DI97" t="str">
        <v>150610 Costos de importación materiales</v>
      </c>
      <c r="DJ97" t="str">
        <v>150610 Costos de importación materiales</v>
      </c>
      <c r="DK97" t="str">
        <v>150610 Costos de importación materiales</v>
      </c>
      <c r="DL97" t="str">
        <v>150610 Costos de importación materiales</v>
      </c>
      <c r="DM97" t="str">
        <v>150610 Costos de importación materiales</v>
      </c>
      <c r="DN97" t="str">
        <v>150610 Costos de importación materiales</v>
      </c>
      <c r="DO97" t="str">
        <v>150610 Costos de importación materiales</v>
      </c>
      <c r="DP97" t="str">
        <v>150610 Costos de importación materiales</v>
      </c>
    </row>
    <row r="98" spans="4:120" ht="12.75">
      <c r="D98" s="7">
        <v>150615</v>
      </c>
      <c r="E98" s="6" t="s">
        <v>119</v>
      </c>
      <c r="F98" s="5">
        <v>4</v>
      </c>
      <c r="G98" s="34" t="s">
        <v>822</v>
      </c>
      <c r="H98" s="8" t="s">
        <v>32</v>
      </c>
      <c r="I98" t="b">
        <f>+ISNUMBER(SEARCH('F-COMPRA'!$F$28,Tabla11[[#This Row],[Cuenta]],1))</f>
        <v>1</v>
      </c>
      <c r="J98" t="b">
        <f>+ISNUMBER(SEARCH('F-COMPRA'!$F$29,Tabla11[[#This Row],[Cuenta]],1))</f>
        <v>1</v>
      </c>
      <c r="K98" t="b">
        <f>+ISNUMBER(SEARCH('F-COMPRA'!$F$30,Tabla11[[#This Row],[Cuenta]],1))</f>
        <v>1</v>
      </c>
      <c r="L98" t="b">
        <f>+ISNUMBER(SEARCH('F-COMPRA'!$F$31,Tabla11[[#This Row],[Cuenta]],1))</f>
        <v>1</v>
      </c>
      <c r="M98" t="b">
        <f>+ISNUMBER(SEARCH('F-COMPRA'!$G$25,Tabla11[[#This Row],[Cuenta]],1))</f>
        <v>0</v>
      </c>
      <c r="N98" t="b">
        <f>+ISNUMBER(SEARCH(#REF!,Tabla11[[#This Row],[Cuenta]],1))</f>
        <v>0</v>
      </c>
      <c r="O98" t="b">
        <f>+ISNUMBER(SEARCH(#REF!,Tabla11[[#This Row],[Cuenta]],1))</f>
        <v>0</v>
      </c>
      <c r="P98" t="b">
        <f>+ISNUMBER(SEARCH('F-COMPRA'!$F$32,Tabla11[[#This Row],[Cuenta]],1))</f>
        <v>1</v>
      </c>
      <c r="Q98" t="b">
        <f>+ISNUMBER(SEARCH('F-COMPRA'!$F$33,Tabla11[[#This Row],[Cuenta]],1))</f>
        <v>1</v>
      </c>
      <c r="R98" t="b">
        <f>+ISNUMBER(SEARCH('F-COMPRA'!$F$34,Tabla11[[#This Row],[Cuenta]],1))</f>
        <v>1</v>
      </c>
      <c r="S98" t="b">
        <f>+ISNUMBER(SEARCH('F-COMPRA'!$F$35,Tabla11[[#This Row],[Cuenta]],1))</f>
        <v>1</v>
      </c>
      <c r="T98" t="b">
        <f>+ISNUMBER(SEARCH('F-COMPRA'!$F$36,Tabla11[[#This Row],[Cuenta]],1))</f>
        <v>1</v>
      </c>
      <c r="U98" t="b">
        <f>+ISNUMBER(SEARCH('F-COMPRA'!$F$37,Tabla11[[#This Row],[Cuenta]],1))</f>
        <v>1</v>
      </c>
      <c r="V98" t="b">
        <f>+ISNUMBER(SEARCH(#REF!,Tabla11[[#This Row],[Cuenta]],1))</f>
        <v>0</v>
      </c>
      <c r="W98" t="b">
        <f>+ISNUMBER(SEARCH('F-COMPRA'!#REF!,Tabla11[[#This Row],[Cuenta]],1))</f>
        <v>0</v>
      </c>
      <c r="X98" t="b">
        <f>+ISNUMBER(SEARCH('F-COMPRA'!#REF!,Tabla11[[#This Row],[Cuenta]],1))</f>
        <v>0</v>
      </c>
      <c r="Y98" t="b">
        <f>+ISNUMBER(SEARCH('F-COMPRA'!#REF!,Tabla11[[#This Row],[Cuenta]],1))</f>
        <v>0</v>
      </c>
      <c r="Z98" t="b">
        <f>+ISNUMBER(SEARCH('F-COMPRA'!#REF!,Tabla11[[#This Row],[Cuenta]],1))</f>
        <v>0</v>
      </c>
      <c r="AA98" t="b">
        <f>+ISNUMBER(SEARCH('F-COMPRA'!#REF!,Tabla11[[#This Row],[Cuenta]],1))</f>
        <v>0</v>
      </c>
      <c r="AB98" t="b">
        <f>+ISNUMBER(SEARCH('F-COMPRA'!#REF!,Tabla11[[#This Row],[Cuenta]],1))</f>
        <v>0</v>
      </c>
      <c r="AC98" t="b">
        <f>+ISNUMBER(SEARCH('F-COMPRA'!#REF!,Tabla11[[#This Row],[Cuenta]],1))</f>
        <v>0</v>
      </c>
      <c r="AD98" t="b">
        <f>+ISNUMBER(SEARCH('F-COMPRA'!#REF!,Tabla11[[#This Row],[Cuenta]],1))</f>
        <v>0</v>
      </c>
      <c r="AE98" t="b">
        <f>+ISNUMBER(SEARCH('F-COMPRA'!#REF!,Tabla11[[#This Row],[Cuenta]],1))</f>
        <v>0</v>
      </c>
      <c r="AF98" t="b">
        <f>+ISNUMBER(SEARCH('F-VTA'!$G$23,Tabla11[[#This Row],[Cuenta]],1))</f>
        <v>0</v>
      </c>
      <c r="AG98" t="b">
        <f>+ISNUMBER(SEARCH('F-VTA'!$G$24,Tabla11[[#This Row],[Cuenta]],1))</f>
        <v>0</v>
      </c>
      <c r="AH98" t="b">
        <f>+ISNUMBER(SEARCH('F-VTA'!$G$25,Tabla11[[#This Row],[Cuenta]],1))</f>
        <v>0</v>
      </c>
      <c r="AI98" t="b">
        <f>+ISNUMBER(SEARCH('F-VTA'!$F$28,Tabla11[[#This Row],[Cuenta]],1))</f>
        <v>1</v>
      </c>
      <c r="AJ98" t="b">
        <f>+ISNUMBER(SEARCH('F-VTA'!$F$29,Tabla11[[#This Row],[Cuenta]],1))</f>
        <v>1</v>
      </c>
      <c r="AK98" t="b">
        <f>+ISNUMBER(SEARCH('F-VTA'!$F$30,Tabla11[[#This Row],[Cuenta]],1))</f>
        <v>1</v>
      </c>
      <c r="AL98" t="b">
        <f>+ISNUMBER(SEARCH('F-VTA'!$F$31,Tabla11[[#This Row],[Cuenta]],1))</f>
        <v>1</v>
      </c>
      <c r="AM98" t="b">
        <f>+ISNUMBER(SEARCH('F-VTA'!$F$32,Tabla11[[#This Row],[Cuenta]],1))</f>
        <v>1</v>
      </c>
      <c r="AN98" t="b">
        <f>+ISNUMBER(SEARCH('F-VTA'!$F$33,Tabla11[[#This Row],[Cuenta]],1))</f>
        <v>1</v>
      </c>
      <c r="AO98" t="b">
        <f>+ISNUMBER(SEARCH('F-VTA'!$F$34,Tabla11[[#This Row],[Cuenta]],1))</f>
        <v>1</v>
      </c>
      <c r="AP98" t="b">
        <f>+ISNUMBER(SEARCH('F-VTA'!$F$35,Tabla11[[#This Row],[Cuenta]],1))</f>
        <v>1</v>
      </c>
      <c r="AQ98" t="b">
        <f>+ISNUMBER(SEARCH('F-VTA'!$F$36,Tabla11[[#This Row],[Cuenta]],1))</f>
        <v>1</v>
      </c>
      <c r="AR98" t="b">
        <f>+ISNUMBER(SEARCH(#REF!,Tabla11[[#This Row],[Cuenta]],1))</f>
        <v>0</v>
      </c>
      <c r="AS98" t="b">
        <f>+ISNUMBER(SEARCH(#REF!,Tabla11[[#This Row],[Cuenta]],1))</f>
        <v>0</v>
      </c>
      <c r="AT98" t="b">
        <f>+ISNUMBER(SEARCH(#REF!,Tabla11[[#This Row],[Cuenta]],1))</f>
        <v>0</v>
      </c>
      <c r="AU98" t="b">
        <f>+ISNUMBER(SEARCH('Conc. Ban.1'!$I$9,Tabla11[[#This Row],[Cuenta]],1))</f>
        <v>0</v>
      </c>
      <c r="AV98" t="b">
        <f>+ISNUMBER(SEARCH(CompConta!$F$21,Tabla11[[#This Row],[Cuenta]],1))</f>
        <v>1</v>
      </c>
      <c r="AW98" t="b">
        <f>+ISNUMBER(SEARCH(CompConta!$F$22,Tabla11[[#This Row],[Cuenta]],1))</f>
        <v>1</v>
      </c>
      <c r="AX98" t="b">
        <f>+ISNUMBER(SEARCH(CompConta!$F$23,Tabla11[[#This Row],[Cuenta]],1))</f>
        <v>1</v>
      </c>
      <c r="AY98" t="b">
        <f>+ISNUMBER(SEARCH(CompConta!$F$24,Tabla11[[#This Row],[Cuenta]],1))</f>
        <v>1</v>
      </c>
      <c r="AZ98" t="b">
        <f>+ISNUMBER(SEARCH(CompConta!$F$25,Tabla11[[#This Row],[Cuenta]],1))</f>
        <v>1</v>
      </c>
      <c r="BA98" t="b">
        <f>+ISNUMBER(SEARCH(CompConta!$F$26,Tabla11[[#This Row],[Cuenta]],1))</f>
        <v>1</v>
      </c>
      <c r="BB98" t="b">
        <f>+ISNUMBER(SEARCH(CompConta!$F$27,Tabla11[[#This Row],[Cuenta]],1))</f>
        <v>1</v>
      </c>
      <c r="BC98" t="b">
        <f>+ISNUMBER(SEARCH(CompConta!$F$28,Tabla11[[#This Row],[Cuenta]],1))</f>
        <v>1</v>
      </c>
      <c r="BD98" t="b">
        <f>+ISNUMBER(SEARCH(CompConta!$F$29,Tabla11[[#This Row],[Cuenta]],1))</f>
        <v>1</v>
      </c>
      <c r="BE98" t="b">
        <f>+ISNUMBER(SEARCH(CompConta!$F$30,Tabla11[[#This Row],[Cuenta]],1))</f>
        <v>1</v>
      </c>
      <c r="BF98" t="b">
        <f>+ISNUMBER(SEARCH('PAGO Compras'!$E$11,Tabla11[[#This Row],[Cuenta]],1))</f>
        <v>1</v>
      </c>
      <c r="BG98" t="b">
        <f>+ISNUMBER(SEARCH(#REF!,Tabla11[[#This Row],[Cuenta]],1))</f>
        <v>0</v>
      </c>
      <c r="BH98" t="b">
        <f>+ISNUMBER(SEARCH(#REF!,Tabla11[[#This Row],[Cuenta]],1))</f>
        <v>0</v>
      </c>
      <c r="BI98" t="b">
        <f>+ISNUMBER(SEARCH(#REF!,Tabla11[[#This Row],[Cuenta]],1))</f>
        <v>0</v>
      </c>
      <c r="BJ98" t="b">
        <f>+ISNUMBER(SEARCH(#REF!,Tabla11[[#This Row],[Cuenta]],1))</f>
        <v>0</v>
      </c>
      <c r="BS98" t="str">
        <v>150615 Proyectos de construcción</v>
      </c>
      <c r="BT98" t="str">
        <v>150615 Proyectos de construcción</v>
      </c>
      <c r="BU98" t="str">
        <v>150615 Proyectos de construcción</v>
      </c>
      <c r="BV98" t="str">
        <v>150615 Proyectos de construcción</v>
      </c>
      <c r="BZ98" t="str">
        <v>150615 Proyectos de construcción</v>
      </c>
      <c r="CA98" t="str">
        <v>150615 Proyectos de construcción</v>
      </c>
      <c r="CB98" t="str">
        <v>150615 Proyectos de construcción</v>
      </c>
      <c r="CC98" t="str">
        <v>150615 Proyectos de construcción</v>
      </c>
      <c r="CD98" t="str">
        <v>150615 Proyectos de construcción</v>
      </c>
      <c r="CE98" t="str">
        <v>150615 Proyectos de construcción</v>
      </c>
      <c r="CS98" s="141" t="str">
        <v>150615 Proyectos de construcción</v>
      </c>
      <c r="CT98" s="141" t="str">
        <v>150615 Proyectos de construcción</v>
      </c>
      <c r="CU98" s="141" t="str">
        <v>150615 Proyectos de construcción</v>
      </c>
      <c r="CV98" s="141" t="str">
        <v>150615 Proyectos de construcción</v>
      </c>
      <c r="CW98" s="141" t="str">
        <v>150615 Proyectos de construcción</v>
      </c>
      <c r="CX98" s="141" t="str">
        <v>150615 Proyectos de construcción</v>
      </c>
      <c r="CY98" s="141" t="str">
        <v>150615 Proyectos de construcción</v>
      </c>
      <c r="CZ98" s="141" t="str">
        <v>150615 Proyectos de construcción</v>
      </c>
      <c r="DA98" s="141" t="str">
        <v>150615 Proyectos de construcción</v>
      </c>
      <c r="DF98" t="str">
        <v>150615 Proyectos de construcción</v>
      </c>
      <c r="DG98" t="str">
        <v>150615 Proyectos de construcción</v>
      </c>
      <c r="DH98" t="str">
        <v>150615 Proyectos de construcción</v>
      </c>
      <c r="DI98" t="str">
        <v>150615 Proyectos de construcción</v>
      </c>
      <c r="DJ98" t="str">
        <v>150615 Proyectos de construcción</v>
      </c>
      <c r="DK98" t="str">
        <v>150615 Proyectos de construcción</v>
      </c>
      <c r="DL98" t="str">
        <v>150615 Proyectos de construcción</v>
      </c>
      <c r="DM98" t="str">
        <v>150615 Proyectos de construcción</v>
      </c>
      <c r="DN98" t="str">
        <v>150615 Proyectos de construcción</v>
      </c>
      <c r="DO98" t="str">
        <v>150615 Proyectos de construcción</v>
      </c>
      <c r="DP98" t="str">
        <v>150615 Proyectos de construcción</v>
      </c>
    </row>
    <row r="99" spans="4:120" ht="12.75">
      <c r="D99" s="7">
        <v>150699</v>
      </c>
      <c r="E99" s="6" t="s">
        <v>44</v>
      </c>
      <c r="F99" s="5">
        <v>4</v>
      </c>
      <c r="G99" s="34" t="s">
        <v>822</v>
      </c>
      <c r="H99" s="8" t="s">
        <v>32</v>
      </c>
      <c r="I99" t="b">
        <f>+ISNUMBER(SEARCH('F-COMPRA'!$F$28,Tabla11[[#This Row],[Cuenta]],1))</f>
        <v>1</v>
      </c>
      <c r="J99" t="b">
        <f>+ISNUMBER(SEARCH('F-COMPRA'!$F$29,Tabla11[[#This Row],[Cuenta]],1))</f>
        <v>1</v>
      </c>
      <c r="K99" t="b">
        <f>+ISNUMBER(SEARCH('F-COMPRA'!$F$30,Tabla11[[#This Row],[Cuenta]],1))</f>
        <v>1</v>
      </c>
      <c r="L99" t="b">
        <f>+ISNUMBER(SEARCH('F-COMPRA'!$F$31,Tabla11[[#This Row],[Cuenta]],1))</f>
        <v>1</v>
      </c>
      <c r="M99" t="b">
        <f>+ISNUMBER(SEARCH('F-COMPRA'!$G$25,Tabla11[[#This Row],[Cuenta]],1))</f>
        <v>0</v>
      </c>
      <c r="N99" t="b">
        <f>+ISNUMBER(SEARCH(#REF!,Tabla11[[#This Row],[Cuenta]],1))</f>
        <v>0</v>
      </c>
      <c r="O99" t="b">
        <f>+ISNUMBER(SEARCH(#REF!,Tabla11[[#This Row],[Cuenta]],1))</f>
        <v>0</v>
      </c>
      <c r="P99" t="b">
        <f>+ISNUMBER(SEARCH('F-COMPRA'!$F$32,Tabla11[[#This Row],[Cuenta]],1))</f>
        <v>1</v>
      </c>
      <c r="Q99" t="b">
        <f>+ISNUMBER(SEARCH('F-COMPRA'!$F$33,Tabla11[[#This Row],[Cuenta]],1))</f>
        <v>1</v>
      </c>
      <c r="R99" t="b">
        <f>+ISNUMBER(SEARCH('F-COMPRA'!$F$34,Tabla11[[#This Row],[Cuenta]],1))</f>
        <v>1</v>
      </c>
      <c r="S99" t="b">
        <f>+ISNUMBER(SEARCH('F-COMPRA'!$F$35,Tabla11[[#This Row],[Cuenta]],1))</f>
        <v>1</v>
      </c>
      <c r="T99" t="b">
        <f>+ISNUMBER(SEARCH('F-COMPRA'!$F$36,Tabla11[[#This Row],[Cuenta]],1))</f>
        <v>1</v>
      </c>
      <c r="U99" t="b">
        <f>+ISNUMBER(SEARCH('F-COMPRA'!$F$37,Tabla11[[#This Row],[Cuenta]],1))</f>
        <v>1</v>
      </c>
      <c r="V99" t="b">
        <f>+ISNUMBER(SEARCH(#REF!,Tabla11[[#This Row],[Cuenta]],1))</f>
        <v>0</v>
      </c>
      <c r="W99" t="b">
        <f>+ISNUMBER(SEARCH('F-COMPRA'!#REF!,Tabla11[[#This Row],[Cuenta]],1))</f>
        <v>0</v>
      </c>
      <c r="X99" t="b">
        <f>+ISNUMBER(SEARCH('F-COMPRA'!#REF!,Tabla11[[#This Row],[Cuenta]],1))</f>
        <v>0</v>
      </c>
      <c r="Y99" t="b">
        <f>+ISNUMBER(SEARCH('F-COMPRA'!#REF!,Tabla11[[#This Row],[Cuenta]],1))</f>
        <v>0</v>
      </c>
      <c r="Z99" t="b">
        <f>+ISNUMBER(SEARCH('F-COMPRA'!#REF!,Tabla11[[#This Row],[Cuenta]],1))</f>
        <v>0</v>
      </c>
      <c r="AA99" t="b">
        <f>+ISNUMBER(SEARCH('F-COMPRA'!#REF!,Tabla11[[#This Row],[Cuenta]],1))</f>
        <v>0</v>
      </c>
      <c r="AB99" t="b">
        <f>+ISNUMBER(SEARCH('F-COMPRA'!#REF!,Tabla11[[#This Row],[Cuenta]],1))</f>
        <v>0</v>
      </c>
      <c r="AC99" t="b">
        <f>+ISNUMBER(SEARCH('F-COMPRA'!#REF!,Tabla11[[#This Row],[Cuenta]],1))</f>
        <v>0</v>
      </c>
      <c r="AD99" t="b">
        <f>+ISNUMBER(SEARCH('F-COMPRA'!#REF!,Tabla11[[#This Row],[Cuenta]],1))</f>
        <v>0</v>
      </c>
      <c r="AE99" t="b">
        <f>+ISNUMBER(SEARCH('F-COMPRA'!#REF!,Tabla11[[#This Row],[Cuenta]],1))</f>
        <v>0</v>
      </c>
      <c r="AF99" t="b">
        <f>+ISNUMBER(SEARCH('F-VTA'!$G$23,Tabla11[[#This Row],[Cuenta]],1))</f>
        <v>0</v>
      </c>
      <c r="AG99" t="b">
        <f>+ISNUMBER(SEARCH('F-VTA'!$G$24,Tabla11[[#This Row],[Cuenta]],1))</f>
        <v>0</v>
      </c>
      <c r="AH99" t="b">
        <f>+ISNUMBER(SEARCH('F-VTA'!$G$25,Tabla11[[#This Row],[Cuenta]],1))</f>
        <v>0</v>
      </c>
      <c r="AI99" t="b">
        <f>+ISNUMBER(SEARCH('F-VTA'!$F$28,Tabla11[[#This Row],[Cuenta]],1))</f>
        <v>1</v>
      </c>
      <c r="AJ99" t="b">
        <f>+ISNUMBER(SEARCH('F-VTA'!$F$29,Tabla11[[#This Row],[Cuenta]],1))</f>
        <v>1</v>
      </c>
      <c r="AK99" t="b">
        <f>+ISNUMBER(SEARCH('F-VTA'!$F$30,Tabla11[[#This Row],[Cuenta]],1))</f>
        <v>1</v>
      </c>
      <c r="AL99" t="b">
        <f>+ISNUMBER(SEARCH('F-VTA'!$F$31,Tabla11[[#This Row],[Cuenta]],1))</f>
        <v>1</v>
      </c>
      <c r="AM99" t="b">
        <f>+ISNUMBER(SEARCH('F-VTA'!$F$32,Tabla11[[#This Row],[Cuenta]],1))</f>
        <v>1</v>
      </c>
      <c r="AN99" t="b">
        <f>+ISNUMBER(SEARCH('F-VTA'!$F$33,Tabla11[[#This Row],[Cuenta]],1))</f>
        <v>1</v>
      </c>
      <c r="AO99" t="b">
        <f>+ISNUMBER(SEARCH('F-VTA'!$F$34,Tabla11[[#This Row],[Cuenta]],1))</f>
        <v>1</v>
      </c>
      <c r="AP99" t="b">
        <f>+ISNUMBER(SEARCH('F-VTA'!$F$35,Tabla11[[#This Row],[Cuenta]],1))</f>
        <v>1</v>
      </c>
      <c r="AQ99" t="b">
        <f>+ISNUMBER(SEARCH('F-VTA'!$F$36,Tabla11[[#This Row],[Cuenta]],1))</f>
        <v>1</v>
      </c>
      <c r="AR99" t="b">
        <f>+ISNUMBER(SEARCH(#REF!,Tabla11[[#This Row],[Cuenta]],1))</f>
        <v>0</v>
      </c>
      <c r="AS99" t="b">
        <f>+ISNUMBER(SEARCH(#REF!,Tabla11[[#This Row],[Cuenta]],1))</f>
        <v>0</v>
      </c>
      <c r="AT99" t="b">
        <f>+ISNUMBER(SEARCH(#REF!,Tabla11[[#This Row],[Cuenta]],1))</f>
        <v>0</v>
      </c>
      <c r="AU99" t="b">
        <f>+ISNUMBER(SEARCH('Conc. Ban.1'!$I$9,Tabla11[[#This Row],[Cuenta]],1))</f>
        <v>0</v>
      </c>
      <c r="AV99" t="b">
        <f>+ISNUMBER(SEARCH(CompConta!$F$21,Tabla11[[#This Row],[Cuenta]],1))</f>
        <v>1</v>
      </c>
      <c r="AW99" t="b">
        <f>+ISNUMBER(SEARCH(CompConta!$F$22,Tabla11[[#This Row],[Cuenta]],1))</f>
        <v>1</v>
      </c>
      <c r="AX99" t="b">
        <f>+ISNUMBER(SEARCH(CompConta!$F$23,Tabla11[[#This Row],[Cuenta]],1))</f>
        <v>1</v>
      </c>
      <c r="AY99" t="b">
        <f>+ISNUMBER(SEARCH(CompConta!$F$24,Tabla11[[#This Row],[Cuenta]],1))</f>
        <v>1</v>
      </c>
      <c r="AZ99" t="b">
        <f>+ISNUMBER(SEARCH(CompConta!$F$25,Tabla11[[#This Row],[Cuenta]],1))</f>
        <v>1</v>
      </c>
      <c r="BA99" t="b">
        <f>+ISNUMBER(SEARCH(CompConta!$F$26,Tabla11[[#This Row],[Cuenta]],1))</f>
        <v>1</v>
      </c>
      <c r="BB99" t="b">
        <f>+ISNUMBER(SEARCH(CompConta!$F$27,Tabla11[[#This Row],[Cuenta]],1))</f>
        <v>1</v>
      </c>
      <c r="BC99" t="b">
        <f>+ISNUMBER(SEARCH(CompConta!$F$28,Tabla11[[#This Row],[Cuenta]],1))</f>
        <v>1</v>
      </c>
      <c r="BD99" t="b">
        <f>+ISNUMBER(SEARCH(CompConta!$F$29,Tabla11[[#This Row],[Cuenta]],1))</f>
        <v>1</v>
      </c>
      <c r="BE99" t="b">
        <f>+ISNUMBER(SEARCH(CompConta!$F$30,Tabla11[[#This Row],[Cuenta]],1))</f>
        <v>1</v>
      </c>
      <c r="BF99" t="b">
        <f>+ISNUMBER(SEARCH('PAGO Compras'!$E$11,Tabla11[[#This Row],[Cuenta]],1))</f>
        <v>1</v>
      </c>
      <c r="BG99" t="b">
        <f>+ISNUMBER(SEARCH(#REF!,Tabla11[[#This Row],[Cuenta]],1))</f>
        <v>0</v>
      </c>
      <c r="BH99" t="b">
        <f>+ISNUMBER(SEARCH(#REF!,Tabla11[[#This Row],[Cuenta]],1))</f>
        <v>0</v>
      </c>
      <c r="BI99" t="b">
        <f>+ISNUMBER(SEARCH(#REF!,Tabla11[[#This Row],[Cuenta]],1))</f>
        <v>0</v>
      </c>
      <c r="BJ99" t="b">
        <f>+ISNUMBER(SEARCH(#REF!,Tabla11[[#This Row],[Cuenta]],1))</f>
        <v>0</v>
      </c>
      <c r="BS99" t="str">
        <v>150699 Ajustes por inflación</v>
      </c>
      <c r="BT99" t="str">
        <v>150699 Ajustes por inflación</v>
      </c>
      <c r="BU99" t="str">
        <v>150699 Ajustes por inflación</v>
      </c>
      <c r="BV99" t="str">
        <v>150699 Ajustes por inflación</v>
      </c>
      <c r="BZ99" t="str">
        <v>150699 Ajustes por inflación</v>
      </c>
      <c r="CA99" t="str">
        <v>150699 Ajustes por inflación</v>
      </c>
      <c r="CB99" t="str">
        <v>150699 Ajustes por inflación</v>
      </c>
      <c r="CC99" t="str">
        <v>150699 Ajustes por inflación</v>
      </c>
      <c r="CD99" t="str">
        <v>150699 Ajustes por inflación</v>
      </c>
      <c r="CE99" t="str">
        <v>150699 Ajustes por inflación</v>
      </c>
      <c r="CS99" s="141" t="str">
        <v>150699 Ajustes por inflación</v>
      </c>
      <c r="CT99" s="141" t="str">
        <v>150699 Ajustes por inflación</v>
      </c>
      <c r="CU99" s="141" t="str">
        <v>150699 Ajustes por inflación</v>
      </c>
      <c r="CV99" s="141" t="str">
        <v>150699 Ajustes por inflación</v>
      </c>
      <c r="CW99" s="141" t="str">
        <v>150699 Ajustes por inflación</v>
      </c>
      <c r="CX99" s="141" t="str">
        <v>150699 Ajustes por inflación</v>
      </c>
      <c r="CY99" s="141" t="str">
        <v>150699 Ajustes por inflación</v>
      </c>
      <c r="CZ99" s="141" t="str">
        <v>150699 Ajustes por inflación</v>
      </c>
      <c r="DA99" s="141" t="str">
        <v>150699 Ajustes por inflación</v>
      </c>
      <c r="DF99" t="str">
        <v>150699 Ajustes por inflación</v>
      </c>
      <c r="DG99" t="str">
        <v>150699 Ajustes por inflación</v>
      </c>
      <c r="DH99" t="str">
        <v>150699 Ajustes por inflación</v>
      </c>
      <c r="DI99" t="str">
        <v>150699 Ajustes por inflación</v>
      </c>
      <c r="DJ99" t="str">
        <v>150699 Ajustes por inflación</v>
      </c>
      <c r="DK99" t="str">
        <v>150699 Ajustes por inflación</v>
      </c>
      <c r="DL99" t="str">
        <v>150699 Ajustes por inflación</v>
      </c>
      <c r="DM99" t="str">
        <v>150699 Ajustes por inflación</v>
      </c>
      <c r="DN99" t="str">
        <v>150699 Ajustes por inflación</v>
      </c>
      <c r="DO99" t="str">
        <v>150699 Ajustes por inflación</v>
      </c>
      <c r="DP99" t="str">
        <v>150699 Ajustes por inflación</v>
      </c>
    </row>
    <row r="100" spans="4:120" ht="12.75">
      <c r="D100" s="7">
        <v>1508</v>
      </c>
      <c r="E100" s="6" t="s">
        <v>120</v>
      </c>
      <c r="F100" s="5">
        <v>3</v>
      </c>
      <c r="G100" s="34" t="s">
        <v>822</v>
      </c>
      <c r="H100" s="8" t="s">
        <v>32</v>
      </c>
      <c r="I100" t="b">
        <f>+ISNUMBER(SEARCH('F-COMPRA'!$F$28,Tabla11[[#This Row],[Cuenta]],1))</f>
        <v>1</v>
      </c>
      <c r="J100" t="b">
        <f>+ISNUMBER(SEARCH('F-COMPRA'!$F$29,Tabla11[[#This Row],[Cuenta]],1))</f>
        <v>1</v>
      </c>
      <c r="K100" t="b">
        <f>+ISNUMBER(SEARCH('F-COMPRA'!$F$30,Tabla11[[#This Row],[Cuenta]],1))</f>
        <v>1</v>
      </c>
      <c r="L100" t="b">
        <f>+ISNUMBER(SEARCH('F-COMPRA'!$F$31,Tabla11[[#This Row],[Cuenta]],1))</f>
        <v>1</v>
      </c>
      <c r="M100" t="b">
        <f>+ISNUMBER(SEARCH('F-COMPRA'!$G$25,Tabla11[[#This Row],[Cuenta]],1))</f>
        <v>0</v>
      </c>
      <c r="N100" t="b">
        <f>+ISNUMBER(SEARCH(#REF!,Tabla11[[#This Row],[Cuenta]],1))</f>
        <v>0</v>
      </c>
      <c r="O100" t="b">
        <f>+ISNUMBER(SEARCH(#REF!,Tabla11[[#This Row],[Cuenta]],1))</f>
        <v>0</v>
      </c>
      <c r="P100" t="b">
        <f>+ISNUMBER(SEARCH('F-COMPRA'!$F$32,Tabla11[[#This Row],[Cuenta]],1))</f>
        <v>1</v>
      </c>
      <c r="Q100" t="b">
        <f>+ISNUMBER(SEARCH('F-COMPRA'!$F$33,Tabla11[[#This Row],[Cuenta]],1))</f>
        <v>1</v>
      </c>
      <c r="R100" t="b">
        <f>+ISNUMBER(SEARCH('F-COMPRA'!$F$34,Tabla11[[#This Row],[Cuenta]],1))</f>
        <v>1</v>
      </c>
      <c r="S100" t="b">
        <f>+ISNUMBER(SEARCH('F-COMPRA'!$F$35,Tabla11[[#This Row],[Cuenta]],1))</f>
        <v>1</v>
      </c>
      <c r="T100" t="b">
        <f>+ISNUMBER(SEARCH('F-COMPRA'!$F$36,Tabla11[[#This Row],[Cuenta]],1))</f>
        <v>1</v>
      </c>
      <c r="U100" t="b">
        <f>+ISNUMBER(SEARCH('F-COMPRA'!$F$37,Tabla11[[#This Row],[Cuenta]],1))</f>
        <v>1</v>
      </c>
      <c r="V100" t="b">
        <f>+ISNUMBER(SEARCH(#REF!,Tabla11[[#This Row],[Cuenta]],1))</f>
        <v>0</v>
      </c>
      <c r="W100" t="b">
        <f>+ISNUMBER(SEARCH('F-COMPRA'!#REF!,Tabla11[[#This Row],[Cuenta]],1))</f>
        <v>0</v>
      </c>
      <c r="X100" t="b">
        <f>+ISNUMBER(SEARCH('F-COMPRA'!#REF!,Tabla11[[#This Row],[Cuenta]],1))</f>
        <v>0</v>
      </c>
      <c r="Y100" t="b">
        <f>+ISNUMBER(SEARCH('F-COMPRA'!#REF!,Tabla11[[#This Row],[Cuenta]],1))</f>
        <v>0</v>
      </c>
      <c r="Z100" t="b">
        <f>+ISNUMBER(SEARCH('F-COMPRA'!#REF!,Tabla11[[#This Row],[Cuenta]],1))</f>
        <v>0</v>
      </c>
      <c r="AA100" t="b">
        <f>+ISNUMBER(SEARCH('F-COMPRA'!#REF!,Tabla11[[#This Row],[Cuenta]],1))</f>
        <v>0</v>
      </c>
      <c r="AB100" t="b">
        <f>+ISNUMBER(SEARCH('F-COMPRA'!#REF!,Tabla11[[#This Row],[Cuenta]],1))</f>
        <v>0</v>
      </c>
      <c r="AC100" t="b">
        <f>+ISNUMBER(SEARCH('F-COMPRA'!#REF!,Tabla11[[#This Row],[Cuenta]],1))</f>
        <v>0</v>
      </c>
      <c r="AD100" t="b">
        <f>+ISNUMBER(SEARCH('F-COMPRA'!#REF!,Tabla11[[#This Row],[Cuenta]],1))</f>
        <v>0</v>
      </c>
      <c r="AE100" t="b">
        <f>+ISNUMBER(SEARCH('F-COMPRA'!#REF!,Tabla11[[#This Row],[Cuenta]],1))</f>
        <v>0</v>
      </c>
      <c r="AF100" t="b">
        <f>+ISNUMBER(SEARCH('F-VTA'!$G$23,Tabla11[[#This Row],[Cuenta]],1))</f>
        <v>0</v>
      </c>
      <c r="AG100" t="b">
        <f>+ISNUMBER(SEARCH('F-VTA'!$G$24,Tabla11[[#This Row],[Cuenta]],1))</f>
        <v>0</v>
      </c>
      <c r="AH100" t="b">
        <f>+ISNUMBER(SEARCH('F-VTA'!$G$25,Tabla11[[#This Row],[Cuenta]],1))</f>
        <v>0</v>
      </c>
      <c r="AI100" t="b">
        <f>+ISNUMBER(SEARCH('F-VTA'!$F$28,Tabla11[[#This Row],[Cuenta]],1))</f>
        <v>1</v>
      </c>
      <c r="AJ100" t="b">
        <f>+ISNUMBER(SEARCH('F-VTA'!$F$29,Tabla11[[#This Row],[Cuenta]],1))</f>
        <v>1</v>
      </c>
      <c r="AK100" t="b">
        <f>+ISNUMBER(SEARCH('F-VTA'!$F$30,Tabla11[[#This Row],[Cuenta]],1))</f>
        <v>1</v>
      </c>
      <c r="AL100" t="b">
        <f>+ISNUMBER(SEARCH('F-VTA'!$F$31,Tabla11[[#This Row],[Cuenta]],1))</f>
        <v>1</v>
      </c>
      <c r="AM100" t="b">
        <f>+ISNUMBER(SEARCH('F-VTA'!$F$32,Tabla11[[#This Row],[Cuenta]],1))</f>
        <v>1</v>
      </c>
      <c r="AN100" t="b">
        <f>+ISNUMBER(SEARCH('F-VTA'!$F$33,Tabla11[[#This Row],[Cuenta]],1))</f>
        <v>1</v>
      </c>
      <c r="AO100" t="b">
        <f>+ISNUMBER(SEARCH('F-VTA'!$F$34,Tabla11[[#This Row],[Cuenta]],1))</f>
        <v>1</v>
      </c>
      <c r="AP100" t="b">
        <f>+ISNUMBER(SEARCH('F-VTA'!$F$35,Tabla11[[#This Row],[Cuenta]],1))</f>
        <v>1</v>
      </c>
      <c r="AQ100" t="b">
        <f>+ISNUMBER(SEARCH('F-VTA'!$F$36,Tabla11[[#This Row],[Cuenta]],1))</f>
        <v>1</v>
      </c>
      <c r="AR100" t="b">
        <f>+ISNUMBER(SEARCH(#REF!,Tabla11[[#This Row],[Cuenta]],1))</f>
        <v>0</v>
      </c>
      <c r="AS100" t="b">
        <f>+ISNUMBER(SEARCH(#REF!,Tabla11[[#This Row],[Cuenta]],1))</f>
        <v>0</v>
      </c>
      <c r="AT100" t="b">
        <f>+ISNUMBER(SEARCH(#REF!,Tabla11[[#This Row],[Cuenta]],1))</f>
        <v>0</v>
      </c>
      <c r="AU100" t="b">
        <f>+ISNUMBER(SEARCH('Conc. Ban.1'!$I$9,Tabla11[[#This Row],[Cuenta]],1))</f>
        <v>0</v>
      </c>
      <c r="AV100" t="b">
        <f>+ISNUMBER(SEARCH(CompConta!$F$21,Tabla11[[#This Row],[Cuenta]],1))</f>
        <v>1</v>
      </c>
      <c r="AW100" t="b">
        <f>+ISNUMBER(SEARCH(CompConta!$F$22,Tabla11[[#This Row],[Cuenta]],1))</f>
        <v>1</v>
      </c>
      <c r="AX100" t="b">
        <f>+ISNUMBER(SEARCH(CompConta!$F$23,Tabla11[[#This Row],[Cuenta]],1))</f>
        <v>1</v>
      </c>
      <c r="AY100" t="b">
        <f>+ISNUMBER(SEARCH(CompConta!$F$24,Tabla11[[#This Row],[Cuenta]],1))</f>
        <v>1</v>
      </c>
      <c r="AZ100" t="b">
        <f>+ISNUMBER(SEARCH(CompConta!$F$25,Tabla11[[#This Row],[Cuenta]],1))</f>
        <v>1</v>
      </c>
      <c r="BA100" t="b">
        <f>+ISNUMBER(SEARCH(CompConta!$F$26,Tabla11[[#This Row],[Cuenta]],1))</f>
        <v>1</v>
      </c>
      <c r="BB100" t="b">
        <f>+ISNUMBER(SEARCH(CompConta!$F$27,Tabla11[[#This Row],[Cuenta]],1))</f>
        <v>1</v>
      </c>
      <c r="BC100" t="b">
        <f>+ISNUMBER(SEARCH(CompConta!$F$28,Tabla11[[#This Row],[Cuenta]],1))</f>
        <v>1</v>
      </c>
      <c r="BD100" t="b">
        <f>+ISNUMBER(SEARCH(CompConta!$F$29,Tabla11[[#This Row],[Cuenta]],1))</f>
        <v>1</v>
      </c>
      <c r="BE100" t="b">
        <f>+ISNUMBER(SEARCH(CompConta!$F$30,Tabla11[[#This Row],[Cuenta]],1))</f>
        <v>1</v>
      </c>
      <c r="BF100" t="b">
        <f>+ISNUMBER(SEARCH('PAGO Compras'!$E$11,Tabla11[[#This Row],[Cuenta]],1))</f>
        <v>1</v>
      </c>
      <c r="BG100" t="b">
        <f>+ISNUMBER(SEARCH(#REF!,Tabla11[[#This Row],[Cuenta]],1))</f>
        <v>0</v>
      </c>
      <c r="BH100" t="b">
        <f>+ISNUMBER(SEARCH(#REF!,Tabla11[[#This Row],[Cuenta]],1))</f>
        <v>0</v>
      </c>
      <c r="BI100" t="b">
        <f>+ISNUMBER(SEARCH(#REF!,Tabla11[[#This Row],[Cuenta]],1))</f>
        <v>0</v>
      </c>
      <c r="BJ100" t="b">
        <f>+ISNUMBER(SEARCH(#REF!,Tabla11[[#This Row],[Cuenta]],1))</f>
        <v>0</v>
      </c>
      <c r="BS100" t="str">
        <v>1508 CONSTRUCCIONES EN CURSO</v>
      </c>
      <c r="BT100" t="str">
        <v>1508 CONSTRUCCIONES EN CURSO</v>
      </c>
      <c r="BU100" t="str">
        <v>1508 CONSTRUCCIONES EN CURSO</v>
      </c>
      <c r="BV100" t="str">
        <v>1508 CONSTRUCCIONES EN CURSO</v>
      </c>
      <c r="BZ100" t="str">
        <v>1508 CONSTRUCCIONES EN CURSO</v>
      </c>
      <c r="CA100" t="str">
        <v>1508 CONSTRUCCIONES EN CURSO</v>
      </c>
      <c r="CB100" t="str">
        <v>1508 CONSTRUCCIONES EN CURSO</v>
      </c>
      <c r="CC100" t="str">
        <v>1508 CONSTRUCCIONES EN CURSO</v>
      </c>
      <c r="CD100" t="str">
        <v>1508 CONSTRUCCIONES EN CURSO</v>
      </c>
      <c r="CE100" t="str">
        <v>1508 CONSTRUCCIONES EN CURSO</v>
      </c>
      <c r="CS100" s="141" t="str">
        <v>1508 CONSTRUCCIONES EN CURSO</v>
      </c>
      <c r="CT100" s="141" t="str">
        <v>1508 CONSTRUCCIONES EN CURSO</v>
      </c>
      <c r="CU100" s="141" t="str">
        <v>1508 CONSTRUCCIONES EN CURSO</v>
      </c>
      <c r="CV100" s="141" t="str">
        <v>1508 CONSTRUCCIONES EN CURSO</v>
      </c>
      <c r="CW100" s="141" t="str">
        <v>1508 CONSTRUCCIONES EN CURSO</v>
      </c>
      <c r="CX100" s="141" t="str">
        <v>1508 CONSTRUCCIONES EN CURSO</v>
      </c>
      <c r="CY100" s="141" t="str">
        <v>1508 CONSTRUCCIONES EN CURSO</v>
      </c>
      <c r="CZ100" s="141" t="str">
        <v>1508 CONSTRUCCIONES EN CURSO</v>
      </c>
      <c r="DA100" s="141" t="str">
        <v>1508 CONSTRUCCIONES EN CURSO</v>
      </c>
      <c r="DF100" t="str">
        <v>1508 CONSTRUCCIONES EN CURSO</v>
      </c>
      <c r="DG100" t="str">
        <v>1508 CONSTRUCCIONES EN CURSO</v>
      </c>
      <c r="DH100" t="str">
        <v>1508 CONSTRUCCIONES EN CURSO</v>
      </c>
      <c r="DI100" t="str">
        <v>1508 CONSTRUCCIONES EN CURSO</v>
      </c>
      <c r="DJ100" t="str">
        <v>1508 CONSTRUCCIONES EN CURSO</v>
      </c>
      <c r="DK100" t="str">
        <v>1508 CONSTRUCCIONES EN CURSO</v>
      </c>
      <c r="DL100" t="str">
        <v>1508 CONSTRUCCIONES EN CURSO</v>
      </c>
      <c r="DM100" t="str">
        <v>1508 CONSTRUCCIONES EN CURSO</v>
      </c>
      <c r="DN100" t="str">
        <v>1508 CONSTRUCCIONES EN CURSO</v>
      </c>
      <c r="DO100" t="str">
        <v>1508 CONSTRUCCIONES EN CURSO</v>
      </c>
      <c r="DP100" t="str">
        <v>1508 CONSTRUCCIONES EN CURSO</v>
      </c>
    </row>
    <row r="101" spans="4:120" ht="12.75">
      <c r="D101" s="7">
        <v>150805</v>
      </c>
      <c r="E101" s="6" t="s">
        <v>121</v>
      </c>
      <c r="F101" s="5">
        <v>4</v>
      </c>
      <c r="G101" s="34" t="s">
        <v>822</v>
      </c>
      <c r="H101" s="8" t="s">
        <v>32</v>
      </c>
      <c r="I101" t="b">
        <f>+ISNUMBER(SEARCH('F-COMPRA'!$F$28,Tabla11[[#This Row],[Cuenta]],1))</f>
        <v>1</v>
      </c>
      <c r="J101" t="b">
        <f>+ISNUMBER(SEARCH('F-COMPRA'!$F$29,Tabla11[[#This Row],[Cuenta]],1))</f>
        <v>1</v>
      </c>
      <c r="K101" t="b">
        <f>+ISNUMBER(SEARCH('F-COMPRA'!$F$30,Tabla11[[#This Row],[Cuenta]],1))</f>
        <v>1</v>
      </c>
      <c r="L101" t="b">
        <f>+ISNUMBER(SEARCH('F-COMPRA'!$F$31,Tabla11[[#This Row],[Cuenta]],1))</f>
        <v>1</v>
      </c>
      <c r="M101" t="b">
        <f>+ISNUMBER(SEARCH('F-COMPRA'!$G$25,Tabla11[[#This Row],[Cuenta]],1))</f>
        <v>0</v>
      </c>
      <c r="N101" t="b">
        <f>+ISNUMBER(SEARCH(#REF!,Tabla11[[#This Row],[Cuenta]],1))</f>
        <v>0</v>
      </c>
      <c r="O101" t="b">
        <f>+ISNUMBER(SEARCH(#REF!,Tabla11[[#This Row],[Cuenta]],1))</f>
        <v>0</v>
      </c>
      <c r="P101" t="b">
        <f>+ISNUMBER(SEARCH('F-COMPRA'!$F$32,Tabla11[[#This Row],[Cuenta]],1))</f>
        <v>1</v>
      </c>
      <c r="Q101" t="b">
        <f>+ISNUMBER(SEARCH('F-COMPRA'!$F$33,Tabla11[[#This Row],[Cuenta]],1))</f>
        <v>1</v>
      </c>
      <c r="R101" t="b">
        <f>+ISNUMBER(SEARCH('F-COMPRA'!$F$34,Tabla11[[#This Row],[Cuenta]],1))</f>
        <v>1</v>
      </c>
      <c r="S101" t="b">
        <f>+ISNUMBER(SEARCH('F-COMPRA'!$F$35,Tabla11[[#This Row],[Cuenta]],1))</f>
        <v>1</v>
      </c>
      <c r="T101" t="b">
        <f>+ISNUMBER(SEARCH('F-COMPRA'!$F$36,Tabla11[[#This Row],[Cuenta]],1))</f>
        <v>1</v>
      </c>
      <c r="U101" t="b">
        <f>+ISNUMBER(SEARCH('F-COMPRA'!$F$37,Tabla11[[#This Row],[Cuenta]],1))</f>
        <v>1</v>
      </c>
      <c r="V101" t="b">
        <f>+ISNUMBER(SEARCH(#REF!,Tabla11[[#This Row],[Cuenta]],1))</f>
        <v>0</v>
      </c>
      <c r="W101" t="b">
        <f>+ISNUMBER(SEARCH('F-COMPRA'!#REF!,Tabla11[[#This Row],[Cuenta]],1))</f>
        <v>0</v>
      </c>
      <c r="X101" t="b">
        <f>+ISNUMBER(SEARCH('F-COMPRA'!#REF!,Tabla11[[#This Row],[Cuenta]],1))</f>
        <v>0</v>
      </c>
      <c r="Y101" t="b">
        <f>+ISNUMBER(SEARCH('F-COMPRA'!#REF!,Tabla11[[#This Row],[Cuenta]],1))</f>
        <v>0</v>
      </c>
      <c r="Z101" t="b">
        <f>+ISNUMBER(SEARCH('F-COMPRA'!#REF!,Tabla11[[#This Row],[Cuenta]],1))</f>
        <v>0</v>
      </c>
      <c r="AA101" t="b">
        <f>+ISNUMBER(SEARCH('F-COMPRA'!#REF!,Tabla11[[#This Row],[Cuenta]],1))</f>
        <v>0</v>
      </c>
      <c r="AB101" t="b">
        <f>+ISNUMBER(SEARCH('F-COMPRA'!#REF!,Tabla11[[#This Row],[Cuenta]],1))</f>
        <v>0</v>
      </c>
      <c r="AC101" t="b">
        <f>+ISNUMBER(SEARCH('F-COMPRA'!#REF!,Tabla11[[#This Row],[Cuenta]],1))</f>
        <v>0</v>
      </c>
      <c r="AD101" t="b">
        <f>+ISNUMBER(SEARCH('F-COMPRA'!#REF!,Tabla11[[#This Row],[Cuenta]],1))</f>
        <v>0</v>
      </c>
      <c r="AE101" t="b">
        <f>+ISNUMBER(SEARCH('F-COMPRA'!#REF!,Tabla11[[#This Row],[Cuenta]],1))</f>
        <v>0</v>
      </c>
      <c r="AF101" t="b">
        <f>+ISNUMBER(SEARCH('F-VTA'!$G$23,Tabla11[[#This Row],[Cuenta]],1))</f>
        <v>0</v>
      </c>
      <c r="AG101" t="b">
        <f>+ISNUMBER(SEARCH('F-VTA'!$G$24,Tabla11[[#This Row],[Cuenta]],1))</f>
        <v>0</v>
      </c>
      <c r="AH101" t="b">
        <f>+ISNUMBER(SEARCH('F-VTA'!$G$25,Tabla11[[#This Row],[Cuenta]],1))</f>
        <v>0</v>
      </c>
      <c r="AI101" t="b">
        <f>+ISNUMBER(SEARCH('F-VTA'!$F$28,Tabla11[[#This Row],[Cuenta]],1))</f>
        <v>1</v>
      </c>
      <c r="AJ101" t="b">
        <f>+ISNUMBER(SEARCH('F-VTA'!$F$29,Tabla11[[#This Row],[Cuenta]],1))</f>
        <v>1</v>
      </c>
      <c r="AK101" t="b">
        <f>+ISNUMBER(SEARCH('F-VTA'!$F$30,Tabla11[[#This Row],[Cuenta]],1))</f>
        <v>1</v>
      </c>
      <c r="AL101" t="b">
        <f>+ISNUMBER(SEARCH('F-VTA'!$F$31,Tabla11[[#This Row],[Cuenta]],1))</f>
        <v>1</v>
      </c>
      <c r="AM101" t="b">
        <f>+ISNUMBER(SEARCH('F-VTA'!$F$32,Tabla11[[#This Row],[Cuenta]],1))</f>
        <v>1</v>
      </c>
      <c r="AN101" t="b">
        <f>+ISNUMBER(SEARCH('F-VTA'!$F$33,Tabla11[[#This Row],[Cuenta]],1))</f>
        <v>1</v>
      </c>
      <c r="AO101" t="b">
        <f>+ISNUMBER(SEARCH('F-VTA'!$F$34,Tabla11[[#This Row],[Cuenta]],1))</f>
        <v>1</v>
      </c>
      <c r="AP101" t="b">
        <f>+ISNUMBER(SEARCH('F-VTA'!$F$35,Tabla11[[#This Row],[Cuenta]],1))</f>
        <v>1</v>
      </c>
      <c r="AQ101" t="b">
        <f>+ISNUMBER(SEARCH('F-VTA'!$F$36,Tabla11[[#This Row],[Cuenta]],1))</f>
        <v>1</v>
      </c>
      <c r="AR101" t="b">
        <f>+ISNUMBER(SEARCH(#REF!,Tabla11[[#This Row],[Cuenta]],1))</f>
        <v>0</v>
      </c>
      <c r="AS101" t="b">
        <f>+ISNUMBER(SEARCH(#REF!,Tabla11[[#This Row],[Cuenta]],1))</f>
        <v>0</v>
      </c>
      <c r="AT101" t="b">
        <f>+ISNUMBER(SEARCH(#REF!,Tabla11[[#This Row],[Cuenta]],1))</f>
        <v>0</v>
      </c>
      <c r="AU101" t="b">
        <f>+ISNUMBER(SEARCH('Conc. Ban.1'!$I$9,Tabla11[[#This Row],[Cuenta]],1))</f>
        <v>0</v>
      </c>
      <c r="AV101" t="b">
        <f>+ISNUMBER(SEARCH(CompConta!$F$21,Tabla11[[#This Row],[Cuenta]],1))</f>
        <v>1</v>
      </c>
      <c r="AW101" t="b">
        <f>+ISNUMBER(SEARCH(CompConta!$F$22,Tabla11[[#This Row],[Cuenta]],1))</f>
        <v>1</v>
      </c>
      <c r="AX101" t="b">
        <f>+ISNUMBER(SEARCH(CompConta!$F$23,Tabla11[[#This Row],[Cuenta]],1))</f>
        <v>1</v>
      </c>
      <c r="AY101" t="b">
        <f>+ISNUMBER(SEARCH(CompConta!$F$24,Tabla11[[#This Row],[Cuenta]],1))</f>
        <v>1</v>
      </c>
      <c r="AZ101" t="b">
        <f>+ISNUMBER(SEARCH(CompConta!$F$25,Tabla11[[#This Row],[Cuenta]],1))</f>
        <v>1</v>
      </c>
      <c r="BA101" t="b">
        <f>+ISNUMBER(SEARCH(CompConta!$F$26,Tabla11[[#This Row],[Cuenta]],1))</f>
        <v>1</v>
      </c>
      <c r="BB101" t="b">
        <f>+ISNUMBER(SEARCH(CompConta!$F$27,Tabla11[[#This Row],[Cuenta]],1))</f>
        <v>1</v>
      </c>
      <c r="BC101" t="b">
        <f>+ISNUMBER(SEARCH(CompConta!$F$28,Tabla11[[#This Row],[Cuenta]],1))</f>
        <v>1</v>
      </c>
      <c r="BD101" t="b">
        <f>+ISNUMBER(SEARCH(CompConta!$F$29,Tabla11[[#This Row],[Cuenta]],1))</f>
        <v>1</v>
      </c>
      <c r="BE101" t="b">
        <f>+ISNUMBER(SEARCH(CompConta!$F$30,Tabla11[[#This Row],[Cuenta]],1))</f>
        <v>1</v>
      </c>
      <c r="BF101" t="b">
        <f>+ISNUMBER(SEARCH('PAGO Compras'!$E$11,Tabla11[[#This Row],[Cuenta]],1))</f>
        <v>1</v>
      </c>
      <c r="BG101" t="b">
        <f>+ISNUMBER(SEARCH(#REF!,Tabla11[[#This Row],[Cuenta]],1))</f>
        <v>0</v>
      </c>
      <c r="BH101" t="b">
        <f>+ISNUMBER(SEARCH(#REF!,Tabla11[[#This Row],[Cuenta]],1))</f>
        <v>0</v>
      </c>
      <c r="BI101" t="b">
        <f>+ISNUMBER(SEARCH(#REF!,Tabla11[[#This Row],[Cuenta]],1))</f>
        <v>0</v>
      </c>
      <c r="BJ101" t="b">
        <f>+ISNUMBER(SEARCH(#REF!,Tabla11[[#This Row],[Cuenta]],1))</f>
        <v>0</v>
      </c>
      <c r="BS101" t="str">
        <v>150805 Construcciones y edificaciones</v>
      </c>
      <c r="BT101" t="str">
        <v>150805 Construcciones y edificaciones</v>
      </c>
      <c r="BU101" t="str">
        <v>150805 Construcciones y edificaciones</v>
      </c>
      <c r="BV101" t="str">
        <v>150805 Construcciones y edificaciones</v>
      </c>
      <c r="BZ101" t="str">
        <v>150805 Construcciones y edificaciones</v>
      </c>
      <c r="CA101" t="str">
        <v>150805 Construcciones y edificaciones</v>
      </c>
      <c r="CB101" t="str">
        <v>150805 Construcciones y edificaciones</v>
      </c>
      <c r="CC101" t="str">
        <v>150805 Construcciones y edificaciones</v>
      </c>
      <c r="CD101" t="str">
        <v>150805 Construcciones y edificaciones</v>
      </c>
      <c r="CE101" t="str">
        <v>150805 Construcciones y edificaciones</v>
      </c>
      <c r="CS101" s="141" t="str">
        <v>150805 Construcciones y edificaciones</v>
      </c>
      <c r="CT101" s="141" t="str">
        <v>150805 Construcciones y edificaciones</v>
      </c>
      <c r="CU101" s="141" t="str">
        <v>150805 Construcciones y edificaciones</v>
      </c>
      <c r="CV101" s="141" t="str">
        <v>150805 Construcciones y edificaciones</v>
      </c>
      <c r="CW101" s="141" t="str">
        <v>150805 Construcciones y edificaciones</v>
      </c>
      <c r="CX101" s="141" t="str">
        <v>150805 Construcciones y edificaciones</v>
      </c>
      <c r="CY101" s="141" t="str">
        <v>150805 Construcciones y edificaciones</v>
      </c>
      <c r="CZ101" s="141" t="str">
        <v>150805 Construcciones y edificaciones</v>
      </c>
      <c r="DA101" s="141" t="str">
        <v>150805 Construcciones y edificaciones</v>
      </c>
      <c r="DF101" t="str">
        <v>150805 Construcciones y edificaciones</v>
      </c>
      <c r="DG101" t="str">
        <v>150805 Construcciones y edificaciones</v>
      </c>
      <c r="DH101" t="str">
        <v>150805 Construcciones y edificaciones</v>
      </c>
      <c r="DI101" t="str">
        <v>150805 Construcciones y edificaciones</v>
      </c>
      <c r="DJ101" t="str">
        <v>150805 Construcciones y edificaciones</v>
      </c>
      <c r="DK101" t="str">
        <v>150805 Construcciones y edificaciones</v>
      </c>
      <c r="DL101" t="str">
        <v>150805 Construcciones y edificaciones</v>
      </c>
      <c r="DM101" t="str">
        <v>150805 Construcciones y edificaciones</v>
      </c>
      <c r="DN101" t="str">
        <v>150805 Construcciones y edificaciones</v>
      </c>
      <c r="DO101" t="str">
        <v>150805 Construcciones y edificaciones</v>
      </c>
      <c r="DP101" t="str">
        <v>150805 Construcciones y edificaciones</v>
      </c>
    </row>
    <row r="102" spans="4:120" ht="12.75">
      <c r="D102" s="7">
        <v>150810</v>
      </c>
      <c r="E102" s="6" t="s">
        <v>122</v>
      </c>
      <c r="F102" s="5">
        <v>4</v>
      </c>
      <c r="G102" s="34" t="s">
        <v>822</v>
      </c>
      <c r="H102" s="8" t="s">
        <v>32</v>
      </c>
      <c r="I102" t="b">
        <f>+ISNUMBER(SEARCH('F-COMPRA'!$F$28,Tabla11[[#This Row],[Cuenta]],1))</f>
        <v>1</v>
      </c>
      <c r="J102" t="b">
        <f>+ISNUMBER(SEARCH('F-COMPRA'!$F$29,Tabla11[[#This Row],[Cuenta]],1))</f>
        <v>1</v>
      </c>
      <c r="K102" t="b">
        <f>+ISNUMBER(SEARCH('F-COMPRA'!$F$30,Tabla11[[#This Row],[Cuenta]],1))</f>
        <v>1</v>
      </c>
      <c r="L102" t="b">
        <f>+ISNUMBER(SEARCH('F-COMPRA'!$F$31,Tabla11[[#This Row],[Cuenta]],1))</f>
        <v>1</v>
      </c>
      <c r="M102" t="b">
        <f>+ISNUMBER(SEARCH('F-COMPRA'!$G$25,Tabla11[[#This Row],[Cuenta]],1))</f>
        <v>0</v>
      </c>
      <c r="N102" t="b">
        <f>+ISNUMBER(SEARCH(#REF!,Tabla11[[#This Row],[Cuenta]],1))</f>
        <v>0</v>
      </c>
      <c r="O102" t="b">
        <f>+ISNUMBER(SEARCH(#REF!,Tabla11[[#This Row],[Cuenta]],1))</f>
        <v>0</v>
      </c>
      <c r="P102" t="b">
        <f>+ISNUMBER(SEARCH('F-COMPRA'!$F$32,Tabla11[[#This Row],[Cuenta]],1))</f>
        <v>1</v>
      </c>
      <c r="Q102" t="b">
        <f>+ISNUMBER(SEARCH('F-COMPRA'!$F$33,Tabla11[[#This Row],[Cuenta]],1))</f>
        <v>1</v>
      </c>
      <c r="R102" t="b">
        <f>+ISNUMBER(SEARCH('F-COMPRA'!$F$34,Tabla11[[#This Row],[Cuenta]],1))</f>
        <v>1</v>
      </c>
      <c r="S102" t="b">
        <f>+ISNUMBER(SEARCH('F-COMPRA'!$F$35,Tabla11[[#This Row],[Cuenta]],1))</f>
        <v>1</v>
      </c>
      <c r="T102" t="b">
        <f>+ISNUMBER(SEARCH('F-COMPRA'!$F$36,Tabla11[[#This Row],[Cuenta]],1))</f>
        <v>1</v>
      </c>
      <c r="U102" t="b">
        <f>+ISNUMBER(SEARCH('F-COMPRA'!$F$37,Tabla11[[#This Row],[Cuenta]],1))</f>
        <v>1</v>
      </c>
      <c r="V102" t="b">
        <f>+ISNUMBER(SEARCH(#REF!,Tabla11[[#This Row],[Cuenta]],1))</f>
        <v>0</v>
      </c>
      <c r="W102" t="b">
        <f>+ISNUMBER(SEARCH('F-COMPRA'!#REF!,Tabla11[[#This Row],[Cuenta]],1))</f>
        <v>0</v>
      </c>
      <c r="X102" t="b">
        <f>+ISNUMBER(SEARCH('F-COMPRA'!#REF!,Tabla11[[#This Row],[Cuenta]],1))</f>
        <v>0</v>
      </c>
      <c r="Y102" t="b">
        <f>+ISNUMBER(SEARCH('F-COMPRA'!#REF!,Tabla11[[#This Row],[Cuenta]],1))</f>
        <v>0</v>
      </c>
      <c r="Z102" t="b">
        <f>+ISNUMBER(SEARCH('F-COMPRA'!#REF!,Tabla11[[#This Row],[Cuenta]],1))</f>
        <v>0</v>
      </c>
      <c r="AA102" t="b">
        <f>+ISNUMBER(SEARCH('F-COMPRA'!#REF!,Tabla11[[#This Row],[Cuenta]],1))</f>
        <v>0</v>
      </c>
      <c r="AB102" t="b">
        <f>+ISNUMBER(SEARCH('F-COMPRA'!#REF!,Tabla11[[#This Row],[Cuenta]],1))</f>
        <v>0</v>
      </c>
      <c r="AC102" t="b">
        <f>+ISNUMBER(SEARCH('F-COMPRA'!#REF!,Tabla11[[#This Row],[Cuenta]],1))</f>
        <v>0</v>
      </c>
      <c r="AD102" t="b">
        <f>+ISNUMBER(SEARCH('F-COMPRA'!#REF!,Tabla11[[#This Row],[Cuenta]],1))</f>
        <v>0</v>
      </c>
      <c r="AE102" t="b">
        <f>+ISNUMBER(SEARCH('F-COMPRA'!#REF!,Tabla11[[#This Row],[Cuenta]],1))</f>
        <v>0</v>
      </c>
      <c r="AF102" t="b">
        <f>+ISNUMBER(SEARCH('F-VTA'!$G$23,Tabla11[[#This Row],[Cuenta]],1))</f>
        <v>0</v>
      </c>
      <c r="AG102" t="b">
        <f>+ISNUMBER(SEARCH('F-VTA'!$G$24,Tabla11[[#This Row],[Cuenta]],1))</f>
        <v>0</v>
      </c>
      <c r="AH102" t="b">
        <f>+ISNUMBER(SEARCH('F-VTA'!$G$25,Tabla11[[#This Row],[Cuenta]],1))</f>
        <v>0</v>
      </c>
      <c r="AI102" t="b">
        <f>+ISNUMBER(SEARCH('F-VTA'!$F$28,Tabla11[[#This Row],[Cuenta]],1))</f>
        <v>1</v>
      </c>
      <c r="AJ102" t="b">
        <f>+ISNUMBER(SEARCH('F-VTA'!$F$29,Tabla11[[#This Row],[Cuenta]],1))</f>
        <v>1</v>
      </c>
      <c r="AK102" t="b">
        <f>+ISNUMBER(SEARCH('F-VTA'!$F$30,Tabla11[[#This Row],[Cuenta]],1))</f>
        <v>1</v>
      </c>
      <c r="AL102" t="b">
        <f>+ISNUMBER(SEARCH('F-VTA'!$F$31,Tabla11[[#This Row],[Cuenta]],1))</f>
        <v>1</v>
      </c>
      <c r="AM102" t="b">
        <f>+ISNUMBER(SEARCH('F-VTA'!$F$32,Tabla11[[#This Row],[Cuenta]],1))</f>
        <v>1</v>
      </c>
      <c r="AN102" t="b">
        <f>+ISNUMBER(SEARCH('F-VTA'!$F$33,Tabla11[[#This Row],[Cuenta]],1))</f>
        <v>1</v>
      </c>
      <c r="AO102" t="b">
        <f>+ISNUMBER(SEARCH('F-VTA'!$F$34,Tabla11[[#This Row],[Cuenta]],1))</f>
        <v>1</v>
      </c>
      <c r="AP102" t="b">
        <f>+ISNUMBER(SEARCH('F-VTA'!$F$35,Tabla11[[#This Row],[Cuenta]],1))</f>
        <v>1</v>
      </c>
      <c r="AQ102" t="b">
        <f>+ISNUMBER(SEARCH('F-VTA'!$F$36,Tabla11[[#This Row],[Cuenta]],1))</f>
        <v>1</v>
      </c>
      <c r="AR102" t="b">
        <f>+ISNUMBER(SEARCH(#REF!,Tabla11[[#This Row],[Cuenta]],1))</f>
        <v>0</v>
      </c>
      <c r="AS102" t="b">
        <f>+ISNUMBER(SEARCH(#REF!,Tabla11[[#This Row],[Cuenta]],1))</f>
        <v>0</v>
      </c>
      <c r="AT102" t="b">
        <f>+ISNUMBER(SEARCH(#REF!,Tabla11[[#This Row],[Cuenta]],1))</f>
        <v>0</v>
      </c>
      <c r="AU102" t="b">
        <f>+ISNUMBER(SEARCH('Conc. Ban.1'!$I$9,Tabla11[[#This Row],[Cuenta]],1))</f>
        <v>0</v>
      </c>
      <c r="AV102" t="b">
        <f>+ISNUMBER(SEARCH(CompConta!$F$21,Tabla11[[#This Row],[Cuenta]],1))</f>
        <v>1</v>
      </c>
      <c r="AW102" t="b">
        <f>+ISNUMBER(SEARCH(CompConta!$F$22,Tabla11[[#This Row],[Cuenta]],1))</f>
        <v>1</v>
      </c>
      <c r="AX102" t="b">
        <f>+ISNUMBER(SEARCH(CompConta!$F$23,Tabla11[[#This Row],[Cuenta]],1))</f>
        <v>1</v>
      </c>
      <c r="AY102" t="b">
        <f>+ISNUMBER(SEARCH(CompConta!$F$24,Tabla11[[#This Row],[Cuenta]],1))</f>
        <v>1</v>
      </c>
      <c r="AZ102" t="b">
        <f>+ISNUMBER(SEARCH(CompConta!$F$25,Tabla11[[#This Row],[Cuenta]],1))</f>
        <v>1</v>
      </c>
      <c r="BA102" t="b">
        <f>+ISNUMBER(SEARCH(CompConta!$F$26,Tabla11[[#This Row],[Cuenta]],1))</f>
        <v>1</v>
      </c>
      <c r="BB102" t="b">
        <f>+ISNUMBER(SEARCH(CompConta!$F$27,Tabla11[[#This Row],[Cuenta]],1))</f>
        <v>1</v>
      </c>
      <c r="BC102" t="b">
        <f>+ISNUMBER(SEARCH(CompConta!$F$28,Tabla11[[#This Row],[Cuenta]],1))</f>
        <v>1</v>
      </c>
      <c r="BD102" t="b">
        <f>+ISNUMBER(SEARCH(CompConta!$F$29,Tabla11[[#This Row],[Cuenta]],1))</f>
        <v>1</v>
      </c>
      <c r="BE102" t="b">
        <f>+ISNUMBER(SEARCH(CompConta!$F$30,Tabla11[[#This Row],[Cuenta]],1))</f>
        <v>1</v>
      </c>
      <c r="BF102" t="b">
        <f>+ISNUMBER(SEARCH('PAGO Compras'!$E$11,Tabla11[[#This Row],[Cuenta]],1))</f>
        <v>1</v>
      </c>
      <c r="BG102" t="b">
        <f>+ISNUMBER(SEARCH(#REF!,Tabla11[[#This Row],[Cuenta]],1))</f>
        <v>0</v>
      </c>
      <c r="BH102" t="b">
        <f>+ISNUMBER(SEARCH(#REF!,Tabla11[[#This Row],[Cuenta]],1))</f>
        <v>0</v>
      </c>
      <c r="BI102" t="b">
        <f>+ISNUMBER(SEARCH(#REF!,Tabla11[[#This Row],[Cuenta]],1))</f>
        <v>0</v>
      </c>
      <c r="BJ102" t="b">
        <f>+ISNUMBER(SEARCH(#REF!,Tabla11[[#This Row],[Cuenta]],1))</f>
        <v>0</v>
      </c>
      <c r="BS102" t="str">
        <v>150810 Acueductos, plantas y redes</v>
      </c>
      <c r="BT102" t="str">
        <v>150810 Acueductos, plantas y redes</v>
      </c>
      <c r="BU102" t="str">
        <v>150810 Acueductos, plantas y redes</v>
      </c>
      <c r="BV102" t="str">
        <v>150810 Acueductos, plantas y redes</v>
      </c>
      <c r="BZ102" t="str">
        <v>150810 Acueductos, plantas y redes</v>
      </c>
      <c r="CA102" t="str">
        <v>150810 Acueductos, plantas y redes</v>
      </c>
      <c r="CB102" t="str">
        <v>150810 Acueductos, plantas y redes</v>
      </c>
      <c r="CC102" t="str">
        <v>150810 Acueductos, plantas y redes</v>
      </c>
      <c r="CD102" t="str">
        <v>150810 Acueductos, plantas y redes</v>
      </c>
      <c r="CE102" t="str">
        <v>150810 Acueductos, plantas y redes</v>
      </c>
      <c r="CS102" s="141" t="str">
        <v>150810 Acueductos, plantas y redes</v>
      </c>
      <c r="CT102" s="141" t="str">
        <v>150810 Acueductos, plantas y redes</v>
      </c>
      <c r="CU102" s="141" t="str">
        <v>150810 Acueductos, plantas y redes</v>
      </c>
      <c r="CV102" s="141" t="str">
        <v>150810 Acueductos, plantas y redes</v>
      </c>
      <c r="CW102" s="141" t="str">
        <v>150810 Acueductos, plantas y redes</v>
      </c>
      <c r="CX102" s="141" t="str">
        <v>150810 Acueductos, plantas y redes</v>
      </c>
      <c r="CY102" s="141" t="str">
        <v>150810 Acueductos, plantas y redes</v>
      </c>
      <c r="CZ102" s="141" t="str">
        <v>150810 Acueductos, plantas y redes</v>
      </c>
      <c r="DA102" s="141" t="str">
        <v>150810 Acueductos, plantas y redes</v>
      </c>
      <c r="DF102" t="str">
        <v>150810 Acueductos, plantas y redes</v>
      </c>
      <c r="DG102" t="str">
        <v>150810 Acueductos, plantas y redes</v>
      </c>
      <c r="DH102" t="str">
        <v>150810 Acueductos, plantas y redes</v>
      </c>
      <c r="DI102" t="str">
        <v>150810 Acueductos, plantas y redes</v>
      </c>
      <c r="DJ102" t="str">
        <v>150810 Acueductos, plantas y redes</v>
      </c>
      <c r="DK102" t="str">
        <v>150810 Acueductos, plantas y redes</v>
      </c>
      <c r="DL102" t="str">
        <v>150810 Acueductos, plantas y redes</v>
      </c>
      <c r="DM102" t="str">
        <v>150810 Acueductos, plantas y redes</v>
      </c>
      <c r="DN102" t="str">
        <v>150810 Acueductos, plantas y redes</v>
      </c>
      <c r="DO102" t="str">
        <v>150810 Acueductos, plantas y redes</v>
      </c>
      <c r="DP102" t="str">
        <v>150810 Acueductos, plantas y redes</v>
      </c>
    </row>
    <row r="103" spans="4:120" ht="12.75">
      <c r="D103" s="7">
        <v>150815</v>
      </c>
      <c r="E103" s="6" t="s">
        <v>123</v>
      </c>
      <c r="F103" s="5">
        <v>4</v>
      </c>
      <c r="G103" s="34" t="s">
        <v>822</v>
      </c>
      <c r="H103" s="8" t="s">
        <v>32</v>
      </c>
      <c r="I103" t="b">
        <f>+ISNUMBER(SEARCH('F-COMPRA'!$F$28,Tabla11[[#This Row],[Cuenta]],1))</f>
        <v>1</v>
      </c>
      <c r="J103" t="b">
        <f>+ISNUMBER(SEARCH('F-COMPRA'!$F$29,Tabla11[[#This Row],[Cuenta]],1))</f>
        <v>1</v>
      </c>
      <c r="K103" t="b">
        <f>+ISNUMBER(SEARCH('F-COMPRA'!$F$30,Tabla11[[#This Row],[Cuenta]],1))</f>
        <v>1</v>
      </c>
      <c r="L103" t="b">
        <f>+ISNUMBER(SEARCH('F-COMPRA'!$F$31,Tabla11[[#This Row],[Cuenta]],1))</f>
        <v>1</v>
      </c>
      <c r="M103" t="b">
        <f>+ISNUMBER(SEARCH('F-COMPRA'!$G$25,Tabla11[[#This Row],[Cuenta]],1))</f>
        <v>0</v>
      </c>
      <c r="N103" t="b">
        <f>+ISNUMBER(SEARCH(#REF!,Tabla11[[#This Row],[Cuenta]],1))</f>
        <v>0</v>
      </c>
      <c r="O103" t="b">
        <f>+ISNUMBER(SEARCH(#REF!,Tabla11[[#This Row],[Cuenta]],1))</f>
        <v>0</v>
      </c>
      <c r="P103" t="b">
        <f>+ISNUMBER(SEARCH('F-COMPRA'!$F$32,Tabla11[[#This Row],[Cuenta]],1))</f>
        <v>1</v>
      </c>
      <c r="Q103" t="b">
        <f>+ISNUMBER(SEARCH('F-COMPRA'!$F$33,Tabla11[[#This Row],[Cuenta]],1))</f>
        <v>1</v>
      </c>
      <c r="R103" t="b">
        <f>+ISNUMBER(SEARCH('F-COMPRA'!$F$34,Tabla11[[#This Row],[Cuenta]],1))</f>
        <v>1</v>
      </c>
      <c r="S103" t="b">
        <f>+ISNUMBER(SEARCH('F-COMPRA'!$F$35,Tabla11[[#This Row],[Cuenta]],1))</f>
        <v>1</v>
      </c>
      <c r="T103" t="b">
        <f>+ISNUMBER(SEARCH('F-COMPRA'!$F$36,Tabla11[[#This Row],[Cuenta]],1))</f>
        <v>1</v>
      </c>
      <c r="U103" t="b">
        <f>+ISNUMBER(SEARCH('F-COMPRA'!$F$37,Tabla11[[#This Row],[Cuenta]],1))</f>
        <v>1</v>
      </c>
      <c r="V103" t="b">
        <f>+ISNUMBER(SEARCH(#REF!,Tabla11[[#This Row],[Cuenta]],1))</f>
        <v>0</v>
      </c>
      <c r="W103" t="b">
        <f>+ISNUMBER(SEARCH('F-COMPRA'!#REF!,Tabla11[[#This Row],[Cuenta]],1))</f>
        <v>0</v>
      </c>
      <c r="X103" t="b">
        <f>+ISNUMBER(SEARCH('F-COMPRA'!#REF!,Tabla11[[#This Row],[Cuenta]],1))</f>
        <v>0</v>
      </c>
      <c r="Y103" t="b">
        <f>+ISNUMBER(SEARCH('F-COMPRA'!#REF!,Tabla11[[#This Row],[Cuenta]],1))</f>
        <v>0</v>
      </c>
      <c r="Z103" t="b">
        <f>+ISNUMBER(SEARCH('F-COMPRA'!#REF!,Tabla11[[#This Row],[Cuenta]],1))</f>
        <v>0</v>
      </c>
      <c r="AA103" t="b">
        <f>+ISNUMBER(SEARCH('F-COMPRA'!#REF!,Tabla11[[#This Row],[Cuenta]],1))</f>
        <v>0</v>
      </c>
      <c r="AB103" t="b">
        <f>+ISNUMBER(SEARCH('F-COMPRA'!#REF!,Tabla11[[#This Row],[Cuenta]],1))</f>
        <v>0</v>
      </c>
      <c r="AC103" t="b">
        <f>+ISNUMBER(SEARCH('F-COMPRA'!#REF!,Tabla11[[#This Row],[Cuenta]],1))</f>
        <v>0</v>
      </c>
      <c r="AD103" t="b">
        <f>+ISNUMBER(SEARCH('F-COMPRA'!#REF!,Tabla11[[#This Row],[Cuenta]],1))</f>
        <v>0</v>
      </c>
      <c r="AE103" t="b">
        <f>+ISNUMBER(SEARCH('F-COMPRA'!#REF!,Tabla11[[#This Row],[Cuenta]],1))</f>
        <v>0</v>
      </c>
      <c r="AF103" t="b">
        <f>+ISNUMBER(SEARCH('F-VTA'!$G$23,Tabla11[[#This Row],[Cuenta]],1))</f>
        <v>0</v>
      </c>
      <c r="AG103" t="b">
        <f>+ISNUMBER(SEARCH('F-VTA'!$G$24,Tabla11[[#This Row],[Cuenta]],1))</f>
        <v>0</v>
      </c>
      <c r="AH103" t="b">
        <f>+ISNUMBER(SEARCH('F-VTA'!$G$25,Tabla11[[#This Row],[Cuenta]],1))</f>
        <v>0</v>
      </c>
      <c r="AI103" t="b">
        <f>+ISNUMBER(SEARCH('F-VTA'!$F$28,Tabla11[[#This Row],[Cuenta]],1))</f>
        <v>1</v>
      </c>
      <c r="AJ103" t="b">
        <f>+ISNUMBER(SEARCH('F-VTA'!$F$29,Tabla11[[#This Row],[Cuenta]],1))</f>
        <v>1</v>
      </c>
      <c r="AK103" t="b">
        <f>+ISNUMBER(SEARCH('F-VTA'!$F$30,Tabla11[[#This Row],[Cuenta]],1))</f>
        <v>1</v>
      </c>
      <c r="AL103" t="b">
        <f>+ISNUMBER(SEARCH('F-VTA'!$F$31,Tabla11[[#This Row],[Cuenta]],1))</f>
        <v>1</v>
      </c>
      <c r="AM103" t="b">
        <f>+ISNUMBER(SEARCH('F-VTA'!$F$32,Tabla11[[#This Row],[Cuenta]],1))</f>
        <v>1</v>
      </c>
      <c r="AN103" t="b">
        <f>+ISNUMBER(SEARCH('F-VTA'!$F$33,Tabla11[[#This Row],[Cuenta]],1))</f>
        <v>1</v>
      </c>
      <c r="AO103" t="b">
        <f>+ISNUMBER(SEARCH('F-VTA'!$F$34,Tabla11[[#This Row],[Cuenta]],1))</f>
        <v>1</v>
      </c>
      <c r="AP103" t="b">
        <f>+ISNUMBER(SEARCH('F-VTA'!$F$35,Tabla11[[#This Row],[Cuenta]],1))</f>
        <v>1</v>
      </c>
      <c r="AQ103" t="b">
        <f>+ISNUMBER(SEARCH('F-VTA'!$F$36,Tabla11[[#This Row],[Cuenta]],1))</f>
        <v>1</v>
      </c>
      <c r="AR103" t="b">
        <f>+ISNUMBER(SEARCH(#REF!,Tabla11[[#This Row],[Cuenta]],1))</f>
        <v>0</v>
      </c>
      <c r="AS103" t="b">
        <f>+ISNUMBER(SEARCH(#REF!,Tabla11[[#This Row],[Cuenta]],1))</f>
        <v>0</v>
      </c>
      <c r="AT103" t="b">
        <f>+ISNUMBER(SEARCH(#REF!,Tabla11[[#This Row],[Cuenta]],1))</f>
        <v>0</v>
      </c>
      <c r="AU103" t="b">
        <f>+ISNUMBER(SEARCH('Conc. Ban.1'!$I$9,Tabla11[[#This Row],[Cuenta]],1))</f>
        <v>0</v>
      </c>
      <c r="AV103" t="b">
        <f>+ISNUMBER(SEARCH(CompConta!$F$21,Tabla11[[#This Row],[Cuenta]],1))</f>
        <v>1</v>
      </c>
      <c r="AW103" t="b">
        <f>+ISNUMBER(SEARCH(CompConta!$F$22,Tabla11[[#This Row],[Cuenta]],1))</f>
        <v>1</v>
      </c>
      <c r="AX103" t="b">
        <f>+ISNUMBER(SEARCH(CompConta!$F$23,Tabla11[[#This Row],[Cuenta]],1))</f>
        <v>1</v>
      </c>
      <c r="AY103" t="b">
        <f>+ISNUMBER(SEARCH(CompConta!$F$24,Tabla11[[#This Row],[Cuenta]],1))</f>
        <v>1</v>
      </c>
      <c r="AZ103" t="b">
        <f>+ISNUMBER(SEARCH(CompConta!$F$25,Tabla11[[#This Row],[Cuenta]],1))</f>
        <v>1</v>
      </c>
      <c r="BA103" t="b">
        <f>+ISNUMBER(SEARCH(CompConta!$F$26,Tabla11[[#This Row],[Cuenta]],1))</f>
        <v>1</v>
      </c>
      <c r="BB103" t="b">
        <f>+ISNUMBER(SEARCH(CompConta!$F$27,Tabla11[[#This Row],[Cuenta]],1))</f>
        <v>1</v>
      </c>
      <c r="BC103" t="b">
        <f>+ISNUMBER(SEARCH(CompConta!$F$28,Tabla11[[#This Row],[Cuenta]],1))</f>
        <v>1</v>
      </c>
      <c r="BD103" t="b">
        <f>+ISNUMBER(SEARCH(CompConta!$F$29,Tabla11[[#This Row],[Cuenta]],1))</f>
        <v>1</v>
      </c>
      <c r="BE103" t="b">
        <f>+ISNUMBER(SEARCH(CompConta!$F$30,Tabla11[[#This Row],[Cuenta]],1))</f>
        <v>1</v>
      </c>
      <c r="BF103" t="b">
        <f>+ISNUMBER(SEARCH('PAGO Compras'!$E$11,Tabla11[[#This Row],[Cuenta]],1))</f>
        <v>1</v>
      </c>
      <c r="BG103" t="b">
        <f>+ISNUMBER(SEARCH(#REF!,Tabla11[[#This Row],[Cuenta]],1))</f>
        <v>0</v>
      </c>
      <c r="BH103" t="b">
        <f>+ISNUMBER(SEARCH(#REF!,Tabla11[[#This Row],[Cuenta]],1))</f>
        <v>0</v>
      </c>
      <c r="BI103" t="b">
        <f>+ISNUMBER(SEARCH(#REF!,Tabla11[[#This Row],[Cuenta]],1))</f>
        <v>0</v>
      </c>
      <c r="BJ103" t="b">
        <f>+ISNUMBER(SEARCH(#REF!,Tabla11[[#This Row],[Cuenta]],1))</f>
        <v>0</v>
      </c>
      <c r="BS103" t="str">
        <v>150815 Vías de comunicación</v>
      </c>
      <c r="BT103" t="str">
        <v>150815 Vías de comunicación</v>
      </c>
      <c r="BU103" t="str">
        <v>150815 Vías de comunicación</v>
      </c>
      <c r="BV103" t="str">
        <v>150815 Vías de comunicación</v>
      </c>
      <c r="BZ103" t="str">
        <v>150815 Vías de comunicación</v>
      </c>
      <c r="CA103" t="str">
        <v>150815 Vías de comunicación</v>
      </c>
      <c r="CB103" t="str">
        <v>150815 Vías de comunicación</v>
      </c>
      <c r="CC103" t="str">
        <v>150815 Vías de comunicación</v>
      </c>
      <c r="CD103" t="str">
        <v>150815 Vías de comunicación</v>
      </c>
      <c r="CE103" t="str">
        <v>150815 Vías de comunicación</v>
      </c>
      <c r="CS103" s="141" t="str">
        <v>150815 Vías de comunicación</v>
      </c>
      <c r="CT103" s="141" t="str">
        <v>150815 Vías de comunicación</v>
      </c>
      <c r="CU103" s="141" t="str">
        <v>150815 Vías de comunicación</v>
      </c>
      <c r="CV103" s="141" t="str">
        <v>150815 Vías de comunicación</v>
      </c>
      <c r="CW103" s="141" t="str">
        <v>150815 Vías de comunicación</v>
      </c>
      <c r="CX103" s="141" t="str">
        <v>150815 Vías de comunicación</v>
      </c>
      <c r="CY103" s="141" t="str">
        <v>150815 Vías de comunicación</v>
      </c>
      <c r="CZ103" s="141" t="str">
        <v>150815 Vías de comunicación</v>
      </c>
      <c r="DA103" s="141" t="str">
        <v>150815 Vías de comunicación</v>
      </c>
      <c r="DF103" t="str">
        <v>150815 Vías de comunicación</v>
      </c>
      <c r="DG103" t="str">
        <v>150815 Vías de comunicación</v>
      </c>
      <c r="DH103" t="str">
        <v>150815 Vías de comunicación</v>
      </c>
      <c r="DI103" t="str">
        <v>150815 Vías de comunicación</v>
      </c>
      <c r="DJ103" t="str">
        <v>150815 Vías de comunicación</v>
      </c>
      <c r="DK103" t="str">
        <v>150815 Vías de comunicación</v>
      </c>
      <c r="DL103" t="str">
        <v>150815 Vías de comunicación</v>
      </c>
      <c r="DM103" t="str">
        <v>150815 Vías de comunicación</v>
      </c>
      <c r="DN103" t="str">
        <v>150815 Vías de comunicación</v>
      </c>
      <c r="DO103" t="str">
        <v>150815 Vías de comunicación</v>
      </c>
      <c r="DP103" t="str">
        <v>150815 Vías de comunicación</v>
      </c>
    </row>
    <row r="104" spans="4:120" ht="12.75">
      <c r="D104" s="7">
        <v>150820</v>
      </c>
      <c r="E104" s="6" t="s">
        <v>124</v>
      </c>
      <c r="F104" s="5">
        <v>4</v>
      </c>
      <c r="G104" s="34" t="s">
        <v>822</v>
      </c>
      <c r="H104" s="8" t="s">
        <v>32</v>
      </c>
      <c r="I104" t="b">
        <f>+ISNUMBER(SEARCH('F-COMPRA'!$F$28,Tabla11[[#This Row],[Cuenta]],1))</f>
        <v>1</v>
      </c>
      <c r="J104" t="b">
        <f>+ISNUMBER(SEARCH('F-COMPRA'!$F$29,Tabla11[[#This Row],[Cuenta]],1))</f>
        <v>1</v>
      </c>
      <c r="K104" t="b">
        <f>+ISNUMBER(SEARCH('F-COMPRA'!$F$30,Tabla11[[#This Row],[Cuenta]],1))</f>
        <v>1</v>
      </c>
      <c r="L104" t="b">
        <f>+ISNUMBER(SEARCH('F-COMPRA'!$F$31,Tabla11[[#This Row],[Cuenta]],1))</f>
        <v>1</v>
      </c>
      <c r="M104" t="b">
        <f>+ISNUMBER(SEARCH('F-COMPRA'!$G$25,Tabla11[[#This Row],[Cuenta]],1))</f>
        <v>0</v>
      </c>
      <c r="N104" t="b">
        <f>+ISNUMBER(SEARCH(#REF!,Tabla11[[#This Row],[Cuenta]],1))</f>
        <v>0</v>
      </c>
      <c r="O104" t="b">
        <f>+ISNUMBER(SEARCH(#REF!,Tabla11[[#This Row],[Cuenta]],1))</f>
        <v>0</v>
      </c>
      <c r="P104" t="b">
        <f>+ISNUMBER(SEARCH('F-COMPRA'!$F$32,Tabla11[[#This Row],[Cuenta]],1))</f>
        <v>1</v>
      </c>
      <c r="Q104" t="b">
        <f>+ISNUMBER(SEARCH('F-COMPRA'!$F$33,Tabla11[[#This Row],[Cuenta]],1))</f>
        <v>1</v>
      </c>
      <c r="R104" t="b">
        <f>+ISNUMBER(SEARCH('F-COMPRA'!$F$34,Tabla11[[#This Row],[Cuenta]],1))</f>
        <v>1</v>
      </c>
      <c r="S104" t="b">
        <f>+ISNUMBER(SEARCH('F-COMPRA'!$F$35,Tabla11[[#This Row],[Cuenta]],1))</f>
        <v>1</v>
      </c>
      <c r="T104" t="b">
        <f>+ISNUMBER(SEARCH('F-COMPRA'!$F$36,Tabla11[[#This Row],[Cuenta]],1))</f>
        <v>1</v>
      </c>
      <c r="U104" t="b">
        <f>+ISNUMBER(SEARCH('F-COMPRA'!$F$37,Tabla11[[#This Row],[Cuenta]],1))</f>
        <v>1</v>
      </c>
      <c r="V104" t="b">
        <f>+ISNUMBER(SEARCH(#REF!,Tabla11[[#This Row],[Cuenta]],1))</f>
        <v>0</v>
      </c>
      <c r="W104" t="b">
        <f>+ISNUMBER(SEARCH('F-COMPRA'!#REF!,Tabla11[[#This Row],[Cuenta]],1))</f>
        <v>0</v>
      </c>
      <c r="X104" t="b">
        <f>+ISNUMBER(SEARCH('F-COMPRA'!#REF!,Tabla11[[#This Row],[Cuenta]],1))</f>
        <v>0</v>
      </c>
      <c r="Y104" t="b">
        <f>+ISNUMBER(SEARCH('F-COMPRA'!#REF!,Tabla11[[#This Row],[Cuenta]],1))</f>
        <v>0</v>
      </c>
      <c r="Z104" t="b">
        <f>+ISNUMBER(SEARCH('F-COMPRA'!#REF!,Tabla11[[#This Row],[Cuenta]],1))</f>
        <v>0</v>
      </c>
      <c r="AA104" t="b">
        <f>+ISNUMBER(SEARCH('F-COMPRA'!#REF!,Tabla11[[#This Row],[Cuenta]],1))</f>
        <v>0</v>
      </c>
      <c r="AB104" t="b">
        <f>+ISNUMBER(SEARCH('F-COMPRA'!#REF!,Tabla11[[#This Row],[Cuenta]],1))</f>
        <v>0</v>
      </c>
      <c r="AC104" t="b">
        <f>+ISNUMBER(SEARCH('F-COMPRA'!#REF!,Tabla11[[#This Row],[Cuenta]],1))</f>
        <v>0</v>
      </c>
      <c r="AD104" t="b">
        <f>+ISNUMBER(SEARCH('F-COMPRA'!#REF!,Tabla11[[#This Row],[Cuenta]],1))</f>
        <v>0</v>
      </c>
      <c r="AE104" t="b">
        <f>+ISNUMBER(SEARCH('F-COMPRA'!#REF!,Tabla11[[#This Row],[Cuenta]],1))</f>
        <v>0</v>
      </c>
      <c r="AF104" t="b">
        <f>+ISNUMBER(SEARCH('F-VTA'!$G$23,Tabla11[[#This Row],[Cuenta]],1))</f>
        <v>0</v>
      </c>
      <c r="AG104" t="b">
        <f>+ISNUMBER(SEARCH('F-VTA'!$G$24,Tabla11[[#This Row],[Cuenta]],1))</f>
        <v>0</v>
      </c>
      <c r="AH104" t="b">
        <f>+ISNUMBER(SEARCH('F-VTA'!$G$25,Tabla11[[#This Row],[Cuenta]],1))</f>
        <v>0</v>
      </c>
      <c r="AI104" t="b">
        <f>+ISNUMBER(SEARCH('F-VTA'!$F$28,Tabla11[[#This Row],[Cuenta]],1))</f>
        <v>1</v>
      </c>
      <c r="AJ104" t="b">
        <f>+ISNUMBER(SEARCH('F-VTA'!$F$29,Tabla11[[#This Row],[Cuenta]],1))</f>
        <v>1</v>
      </c>
      <c r="AK104" t="b">
        <f>+ISNUMBER(SEARCH('F-VTA'!$F$30,Tabla11[[#This Row],[Cuenta]],1))</f>
        <v>1</v>
      </c>
      <c r="AL104" t="b">
        <f>+ISNUMBER(SEARCH('F-VTA'!$F$31,Tabla11[[#This Row],[Cuenta]],1))</f>
        <v>1</v>
      </c>
      <c r="AM104" t="b">
        <f>+ISNUMBER(SEARCH('F-VTA'!$F$32,Tabla11[[#This Row],[Cuenta]],1))</f>
        <v>1</v>
      </c>
      <c r="AN104" t="b">
        <f>+ISNUMBER(SEARCH('F-VTA'!$F$33,Tabla11[[#This Row],[Cuenta]],1))</f>
        <v>1</v>
      </c>
      <c r="AO104" t="b">
        <f>+ISNUMBER(SEARCH('F-VTA'!$F$34,Tabla11[[#This Row],[Cuenta]],1))</f>
        <v>1</v>
      </c>
      <c r="AP104" t="b">
        <f>+ISNUMBER(SEARCH('F-VTA'!$F$35,Tabla11[[#This Row],[Cuenta]],1))</f>
        <v>1</v>
      </c>
      <c r="AQ104" t="b">
        <f>+ISNUMBER(SEARCH('F-VTA'!$F$36,Tabla11[[#This Row],[Cuenta]],1))</f>
        <v>1</v>
      </c>
      <c r="AR104" t="b">
        <f>+ISNUMBER(SEARCH(#REF!,Tabla11[[#This Row],[Cuenta]],1))</f>
        <v>0</v>
      </c>
      <c r="AS104" t="b">
        <f>+ISNUMBER(SEARCH(#REF!,Tabla11[[#This Row],[Cuenta]],1))</f>
        <v>0</v>
      </c>
      <c r="AT104" t="b">
        <f>+ISNUMBER(SEARCH(#REF!,Tabla11[[#This Row],[Cuenta]],1))</f>
        <v>0</v>
      </c>
      <c r="AU104" t="b">
        <f>+ISNUMBER(SEARCH('Conc. Ban.1'!$I$9,Tabla11[[#This Row],[Cuenta]],1))</f>
        <v>0</v>
      </c>
      <c r="AV104" t="b">
        <f>+ISNUMBER(SEARCH(CompConta!$F$21,Tabla11[[#This Row],[Cuenta]],1))</f>
        <v>1</v>
      </c>
      <c r="AW104" t="b">
        <f>+ISNUMBER(SEARCH(CompConta!$F$22,Tabla11[[#This Row],[Cuenta]],1))</f>
        <v>1</v>
      </c>
      <c r="AX104" t="b">
        <f>+ISNUMBER(SEARCH(CompConta!$F$23,Tabla11[[#This Row],[Cuenta]],1))</f>
        <v>1</v>
      </c>
      <c r="AY104" t="b">
        <f>+ISNUMBER(SEARCH(CompConta!$F$24,Tabla11[[#This Row],[Cuenta]],1))</f>
        <v>1</v>
      </c>
      <c r="AZ104" t="b">
        <f>+ISNUMBER(SEARCH(CompConta!$F$25,Tabla11[[#This Row],[Cuenta]],1))</f>
        <v>1</v>
      </c>
      <c r="BA104" t="b">
        <f>+ISNUMBER(SEARCH(CompConta!$F$26,Tabla11[[#This Row],[Cuenta]],1))</f>
        <v>1</v>
      </c>
      <c r="BB104" t="b">
        <f>+ISNUMBER(SEARCH(CompConta!$F$27,Tabla11[[#This Row],[Cuenta]],1))</f>
        <v>1</v>
      </c>
      <c r="BC104" t="b">
        <f>+ISNUMBER(SEARCH(CompConta!$F$28,Tabla11[[#This Row],[Cuenta]],1))</f>
        <v>1</v>
      </c>
      <c r="BD104" t="b">
        <f>+ISNUMBER(SEARCH(CompConta!$F$29,Tabla11[[#This Row],[Cuenta]],1))</f>
        <v>1</v>
      </c>
      <c r="BE104" t="b">
        <f>+ISNUMBER(SEARCH(CompConta!$F$30,Tabla11[[#This Row],[Cuenta]],1))</f>
        <v>1</v>
      </c>
      <c r="BF104" t="b">
        <f>+ISNUMBER(SEARCH('PAGO Compras'!$E$11,Tabla11[[#This Row],[Cuenta]],1))</f>
        <v>1</v>
      </c>
      <c r="BG104" t="b">
        <f>+ISNUMBER(SEARCH(#REF!,Tabla11[[#This Row],[Cuenta]],1))</f>
        <v>0</v>
      </c>
      <c r="BH104" t="b">
        <f>+ISNUMBER(SEARCH(#REF!,Tabla11[[#This Row],[Cuenta]],1))</f>
        <v>0</v>
      </c>
      <c r="BI104" t="b">
        <f>+ISNUMBER(SEARCH(#REF!,Tabla11[[#This Row],[Cuenta]],1))</f>
        <v>0</v>
      </c>
      <c r="BJ104" t="b">
        <f>+ISNUMBER(SEARCH(#REF!,Tabla11[[#This Row],[Cuenta]],1))</f>
        <v>0</v>
      </c>
      <c r="BS104" t="str">
        <v>150820 Pozos artesianos</v>
      </c>
      <c r="BT104" t="str">
        <v>150820 Pozos artesianos</v>
      </c>
      <c r="BU104" t="str">
        <v>150820 Pozos artesianos</v>
      </c>
      <c r="BV104" t="str">
        <v>150820 Pozos artesianos</v>
      </c>
      <c r="BZ104" t="str">
        <v>150820 Pozos artesianos</v>
      </c>
      <c r="CA104" t="str">
        <v>150820 Pozos artesianos</v>
      </c>
      <c r="CB104" t="str">
        <v>150820 Pozos artesianos</v>
      </c>
      <c r="CC104" t="str">
        <v>150820 Pozos artesianos</v>
      </c>
      <c r="CD104" t="str">
        <v>150820 Pozos artesianos</v>
      </c>
      <c r="CE104" t="str">
        <v>150820 Pozos artesianos</v>
      </c>
      <c r="CS104" s="141" t="str">
        <v>150820 Pozos artesianos</v>
      </c>
      <c r="CT104" s="141" t="str">
        <v>150820 Pozos artesianos</v>
      </c>
      <c r="CU104" s="141" t="str">
        <v>150820 Pozos artesianos</v>
      </c>
      <c r="CV104" s="141" t="str">
        <v>150820 Pozos artesianos</v>
      </c>
      <c r="CW104" s="141" t="str">
        <v>150820 Pozos artesianos</v>
      </c>
      <c r="CX104" s="141" t="str">
        <v>150820 Pozos artesianos</v>
      </c>
      <c r="CY104" s="141" t="str">
        <v>150820 Pozos artesianos</v>
      </c>
      <c r="CZ104" s="141" t="str">
        <v>150820 Pozos artesianos</v>
      </c>
      <c r="DA104" s="141" t="str">
        <v>150820 Pozos artesianos</v>
      </c>
      <c r="DF104" t="str">
        <v>150820 Pozos artesianos</v>
      </c>
      <c r="DG104" t="str">
        <v>150820 Pozos artesianos</v>
      </c>
      <c r="DH104" t="str">
        <v>150820 Pozos artesianos</v>
      </c>
      <c r="DI104" t="str">
        <v>150820 Pozos artesianos</v>
      </c>
      <c r="DJ104" t="str">
        <v>150820 Pozos artesianos</v>
      </c>
      <c r="DK104" t="str">
        <v>150820 Pozos artesianos</v>
      </c>
      <c r="DL104" t="str">
        <v>150820 Pozos artesianos</v>
      </c>
      <c r="DM104" t="str">
        <v>150820 Pozos artesianos</v>
      </c>
      <c r="DN104" t="str">
        <v>150820 Pozos artesianos</v>
      </c>
      <c r="DO104" t="str">
        <v>150820 Pozos artesianos</v>
      </c>
      <c r="DP104" t="str">
        <v>150820 Pozos artesianos</v>
      </c>
    </row>
    <row r="105" spans="4:120" ht="12.75">
      <c r="D105" s="7">
        <v>150825</v>
      </c>
      <c r="E105" s="6" t="s">
        <v>125</v>
      </c>
      <c r="F105" s="5">
        <v>4</v>
      </c>
      <c r="G105" s="34" t="s">
        <v>822</v>
      </c>
      <c r="H105" s="8" t="s">
        <v>32</v>
      </c>
      <c r="I105" t="b">
        <f>+ISNUMBER(SEARCH('F-COMPRA'!$F$28,Tabla11[[#This Row],[Cuenta]],1))</f>
        <v>1</v>
      </c>
      <c r="J105" t="b">
        <f>+ISNUMBER(SEARCH('F-COMPRA'!$F$29,Tabla11[[#This Row],[Cuenta]],1))</f>
        <v>1</v>
      </c>
      <c r="K105" t="b">
        <f>+ISNUMBER(SEARCH('F-COMPRA'!$F$30,Tabla11[[#This Row],[Cuenta]],1))</f>
        <v>1</v>
      </c>
      <c r="L105" t="b">
        <f>+ISNUMBER(SEARCH('F-COMPRA'!$F$31,Tabla11[[#This Row],[Cuenta]],1))</f>
        <v>1</v>
      </c>
      <c r="M105" t="b">
        <f>+ISNUMBER(SEARCH('F-COMPRA'!$G$25,Tabla11[[#This Row],[Cuenta]],1))</f>
        <v>0</v>
      </c>
      <c r="N105" t="b">
        <f>+ISNUMBER(SEARCH(#REF!,Tabla11[[#This Row],[Cuenta]],1))</f>
        <v>0</v>
      </c>
      <c r="O105" t="b">
        <f>+ISNUMBER(SEARCH(#REF!,Tabla11[[#This Row],[Cuenta]],1))</f>
        <v>0</v>
      </c>
      <c r="P105" t="b">
        <f>+ISNUMBER(SEARCH('F-COMPRA'!$F$32,Tabla11[[#This Row],[Cuenta]],1))</f>
        <v>1</v>
      </c>
      <c r="Q105" t="b">
        <f>+ISNUMBER(SEARCH('F-COMPRA'!$F$33,Tabla11[[#This Row],[Cuenta]],1))</f>
        <v>1</v>
      </c>
      <c r="R105" t="b">
        <f>+ISNUMBER(SEARCH('F-COMPRA'!$F$34,Tabla11[[#This Row],[Cuenta]],1))</f>
        <v>1</v>
      </c>
      <c r="S105" t="b">
        <f>+ISNUMBER(SEARCH('F-COMPRA'!$F$35,Tabla11[[#This Row],[Cuenta]],1))</f>
        <v>1</v>
      </c>
      <c r="T105" t="b">
        <f>+ISNUMBER(SEARCH('F-COMPRA'!$F$36,Tabla11[[#This Row],[Cuenta]],1))</f>
        <v>1</v>
      </c>
      <c r="U105" t="b">
        <f>+ISNUMBER(SEARCH('F-COMPRA'!$F$37,Tabla11[[#This Row],[Cuenta]],1))</f>
        <v>1</v>
      </c>
      <c r="V105" t="b">
        <f>+ISNUMBER(SEARCH(#REF!,Tabla11[[#This Row],[Cuenta]],1))</f>
        <v>0</v>
      </c>
      <c r="W105" t="b">
        <f>+ISNUMBER(SEARCH('F-COMPRA'!#REF!,Tabla11[[#This Row],[Cuenta]],1))</f>
        <v>0</v>
      </c>
      <c r="X105" t="b">
        <f>+ISNUMBER(SEARCH('F-COMPRA'!#REF!,Tabla11[[#This Row],[Cuenta]],1))</f>
        <v>0</v>
      </c>
      <c r="Y105" t="b">
        <f>+ISNUMBER(SEARCH('F-COMPRA'!#REF!,Tabla11[[#This Row],[Cuenta]],1))</f>
        <v>0</v>
      </c>
      <c r="Z105" t="b">
        <f>+ISNUMBER(SEARCH('F-COMPRA'!#REF!,Tabla11[[#This Row],[Cuenta]],1))</f>
        <v>0</v>
      </c>
      <c r="AA105" t="b">
        <f>+ISNUMBER(SEARCH('F-COMPRA'!#REF!,Tabla11[[#This Row],[Cuenta]],1))</f>
        <v>0</v>
      </c>
      <c r="AB105" t="b">
        <f>+ISNUMBER(SEARCH('F-COMPRA'!#REF!,Tabla11[[#This Row],[Cuenta]],1))</f>
        <v>0</v>
      </c>
      <c r="AC105" t="b">
        <f>+ISNUMBER(SEARCH('F-COMPRA'!#REF!,Tabla11[[#This Row],[Cuenta]],1))</f>
        <v>0</v>
      </c>
      <c r="AD105" t="b">
        <f>+ISNUMBER(SEARCH('F-COMPRA'!#REF!,Tabla11[[#This Row],[Cuenta]],1))</f>
        <v>0</v>
      </c>
      <c r="AE105" t="b">
        <f>+ISNUMBER(SEARCH('F-COMPRA'!#REF!,Tabla11[[#This Row],[Cuenta]],1))</f>
        <v>0</v>
      </c>
      <c r="AF105" t="b">
        <f>+ISNUMBER(SEARCH('F-VTA'!$G$23,Tabla11[[#This Row],[Cuenta]],1))</f>
        <v>0</v>
      </c>
      <c r="AG105" t="b">
        <f>+ISNUMBER(SEARCH('F-VTA'!$G$24,Tabla11[[#This Row],[Cuenta]],1))</f>
        <v>0</v>
      </c>
      <c r="AH105" t="b">
        <f>+ISNUMBER(SEARCH('F-VTA'!$G$25,Tabla11[[#This Row],[Cuenta]],1))</f>
        <v>0</v>
      </c>
      <c r="AI105" t="b">
        <f>+ISNUMBER(SEARCH('F-VTA'!$F$28,Tabla11[[#This Row],[Cuenta]],1))</f>
        <v>1</v>
      </c>
      <c r="AJ105" t="b">
        <f>+ISNUMBER(SEARCH('F-VTA'!$F$29,Tabla11[[#This Row],[Cuenta]],1))</f>
        <v>1</v>
      </c>
      <c r="AK105" t="b">
        <f>+ISNUMBER(SEARCH('F-VTA'!$F$30,Tabla11[[#This Row],[Cuenta]],1))</f>
        <v>1</v>
      </c>
      <c r="AL105" t="b">
        <f>+ISNUMBER(SEARCH('F-VTA'!$F$31,Tabla11[[#This Row],[Cuenta]],1))</f>
        <v>1</v>
      </c>
      <c r="AM105" t="b">
        <f>+ISNUMBER(SEARCH('F-VTA'!$F$32,Tabla11[[#This Row],[Cuenta]],1))</f>
        <v>1</v>
      </c>
      <c r="AN105" t="b">
        <f>+ISNUMBER(SEARCH('F-VTA'!$F$33,Tabla11[[#This Row],[Cuenta]],1))</f>
        <v>1</v>
      </c>
      <c r="AO105" t="b">
        <f>+ISNUMBER(SEARCH('F-VTA'!$F$34,Tabla11[[#This Row],[Cuenta]],1))</f>
        <v>1</v>
      </c>
      <c r="AP105" t="b">
        <f>+ISNUMBER(SEARCH('F-VTA'!$F$35,Tabla11[[#This Row],[Cuenta]],1))</f>
        <v>1</v>
      </c>
      <c r="AQ105" t="b">
        <f>+ISNUMBER(SEARCH('F-VTA'!$F$36,Tabla11[[#This Row],[Cuenta]],1))</f>
        <v>1</v>
      </c>
      <c r="AR105" t="b">
        <f>+ISNUMBER(SEARCH(#REF!,Tabla11[[#This Row],[Cuenta]],1))</f>
        <v>0</v>
      </c>
      <c r="AS105" t="b">
        <f>+ISNUMBER(SEARCH(#REF!,Tabla11[[#This Row],[Cuenta]],1))</f>
        <v>0</v>
      </c>
      <c r="AT105" t="b">
        <f>+ISNUMBER(SEARCH(#REF!,Tabla11[[#This Row],[Cuenta]],1))</f>
        <v>0</v>
      </c>
      <c r="AU105" t="b">
        <f>+ISNUMBER(SEARCH('Conc. Ban.1'!$I$9,Tabla11[[#This Row],[Cuenta]],1))</f>
        <v>0</v>
      </c>
      <c r="AV105" t="b">
        <f>+ISNUMBER(SEARCH(CompConta!$F$21,Tabla11[[#This Row],[Cuenta]],1))</f>
        <v>1</v>
      </c>
      <c r="AW105" t="b">
        <f>+ISNUMBER(SEARCH(CompConta!$F$22,Tabla11[[#This Row],[Cuenta]],1))</f>
        <v>1</v>
      </c>
      <c r="AX105" t="b">
        <f>+ISNUMBER(SEARCH(CompConta!$F$23,Tabla11[[#This Row],[Cuenta]],1))</f>
        <v>1</v>
      </c>
      <c r="AY105" t="b">
        <f>+ISNUMBER(SEARCH(CompConta!$F$24,Tabla11[[#This Row],[Cuenta]],1))</f>
        <v>1</v>
      </c>
      <c r="AZ105" t="b">
        <f>+ISNUMBER(SEARCH(CompConta!$F$25,Tabla11[[#This Row],[Cuenta]],1))</f>
        <v>1</v>
      </c>
      <c r="BA105" t="b">
        <f>+ISNUMBER(SEARCH(CompConta!$F$26,Tabla11[[#This Row],[Cuenta]],1))</f>
        <v>1</v>
      </c>
      <c r="BB105" t="b">
        <f>+ISNUMBER(SEARCH(CompConta!$F$27,Tabla11[[#This Row],[Cuenta]],1))</f>
        <v>1</v>
      </c>
      <c r="BC105" t="b">
        <f>+ISNUMBER(SEARCH(CompConta!$F$28,Tabla11[[#This Row],[Cuenta]],1))</f>
        <v>1</v>
      </c>
      <c r="BD105" t="b">
        <f>+ISNUMBER(SEARCH(CompConta!$F$29,Tabla11[[#This Row],[Cuenta]],1))</f>
        <v>1</v>
      </c>
      <c r="BE105" t="b">
        <f>+ISNUMBER(SEARCH(CompConta!$F$30,Tabla11[[#This Row],[Cuenta]],1))</f>
        <v>1</v>
      </c>
      <c r="BF105" t="b">
        <f>+ISNUMBER(SEARCH('PAGO Compras'!$E$11,Tabla11[[#This Row],[Cuenta]],1))</f>
        <v>1</v>
      </c>
      <c r="BG105" t="b">
        <f>+ISNUMBER(SEARCH(#REF!,Tabla11[[#This Row],[Cuenta]],1))</f>
        <v>0</v>
      </c>
      <c r="BH105" t="b">
        <f>+ISNUMBER(SEARCH(#REF!,Tabla11[[#This Row],[Cuenta]],1))</f>
        <v>0</v>
      </c>
      <c r="BI105" t="b">
        <f>+ISNUMBER(SEARCH(#REF!,Tabla11[[#This Row],[Cuenta]],1))</f>
        <v>0</v>
      </c>
      <c r="BJ105" t="b">
        <f>+ISNUMBER(SEARCH(#REF!,Tabla11[[#This Row],[Cuenta]],1))</f>
        <v>0</v>
      </c>
      <c r="BS105" t="str">
        <v>150825 Proyectos de exploración</v>
      </c>
      <c r="BT105" t="str">
        <v>150825 Proyectos de exploración</v>
      </c>
      <c r="BU105" t="str">
        <v>150825 Proyectos de exploración</v>
      </c>
      <c r="BV105" t="str">
        <v>150825 Proyectos de exploración</v>
      </c>
      <c r="BZ105" t="str">
        <v>150825 Proyectos de exploración</v>
      </c>
      <c r="CA105" t="str">
        <v>150825 Proyectos de exploración</v>
      </c>
      <c r="CB105" t="str">
        <v>150825 Proyectos de exploración</v>
      </c>
      <c r="CC105" t="str">
        <v>150825 Proyectos de exploración</v>
      </c>
      <c r="CD105" t="str">
        <v>150825 Proyectos de exploración</v>
      </c>
      <c r="CE105" t="str">
        <v>150825 Proyectos de exploración</v>
      </c>
      <c r="CS105" s="141" t="str">
        <v>150825 Proyectos de exploración</v>
      </c>
      <c r="CT105" s="141" t="str">
        <v>150825 Proyectos de exploración</v>
      </c>
      <c r="CU105" s="141" t="str">
        <v>150825 Proyectos de exploración</v>
      </c>
      <c r="CV105" s="141" t="str">
        <v>150825 Proyectos de exploración</v>
      </c>
      <c r="CW105" s="141" t="str">
        <v>150825 Proyectos de exploración</v>
      </c>
      <c r="CX105" s="141" t="str">
        <v>150825 Proyectos de exploración</v>
      </c>
      <c r="CY105" s="141" t="str">
        <v>150825 Proyectos de exploración</v>
      </c>
      <c r="CZ105" s="141" t="str">
        <v>150825 Proyectos de exploración</v>
      </c>
      <c r="DA105" s="141" t="str">
        <v>150825 Proyectos de exploración</v>
      </c>
      <c r="DF105" t="str">
        <v>150825 Proyectos de exploración</v>
      </c>
      <c r="DG105" t="str">
        <v>150825 Proyectos de exploración</v>
      </c>
      <c r="DH105" t="str">
        <v>150825 Proyectos de exploración</v>
      </c>
      <c r="DI105" t="str">
        <v>150825 Proyectos de exploración</v>
      </c>
      <c r="DJ105" t="str">
        <v>150825 Proyectos de exploración</v>
      </c>
      <c r="DK105" t="str">
        <v>150825 Proyectos de exploración</v>
      </c>
      <c r="DL105" t="str">
        <v>150825 Proyectos de exploración</v>
      </c>
      <c r="DM105" t="str">
        <v>150825 Proyectos de exploración</v>
      </c>
      <c r="DN105" t="str">
        <v>150825 Proyectos de exploración</v>
      </c>
      <c r="DO105" t="str">
        <v>150825 Proyectos de exploración</v>
      </c>
      <c r="DP105" t="str">
        <v>150825 Proyectos de exploración</v>
      </c>
    </row>
    <row r="106" spans="4:120" ht="12.75">
      <c r="D106" s="7">
        <v>150830</v>
      </c>
      <c r="E106" s="6" t="s">
        <v>126</v>
      </c>
      <c r="F106" s="5">
        <v>4</v>
      </c>
      <c r="G106" s="34" t="s">
        <v>822</v>
      </c>
      <c r="H106" s="8" t="s">
        <v>32</v>
      </c>
      <c r="I106" t="b">
        <f>+ISNUMBER(SEARCH('F-COMPRA'!$F$28,Tabla11[[#This Row],[Cuenta]],1))</f>
        <v>1</v>
      </c>
      <c r="J106" t="b">
        <f>+ISNUMBER(SEARCH('F-COMPRA'!$F$29,Tabla11[[#This Row],[Cuenta]],1))</f>
        <v>1</v>
      </c>
      <c r="K106" t="b">
        <f>+ISNUMBER(SEARCH('F-COMPRA'!$F$30,Tabla11[[#This Row],[Cuenta]],1))</f>
        <v>1</v>
      </c>
      <c r="L106" t="b">
        <f>+ISNUMBER(SEARCH('F-COMPRA'!$F$31,Tabla11[[#This Row],[Cuenta]],1))</f>
        <v>1</v>
      </c>
      <c r="M106" t="b">
        <f>+ISNUMBER(SEARCH('F-COMPRA'!$G$25,Tabla11[[#This Row],[Cuenta]],1))</f>
        <v>0</v>
      </c>
      <c r="N106" t="b">
        <f>+ISNUMBER(SEARCH(#REF!,Tabla11[[#This Row],[Cuenta]],1))</f>
        <v>0</v>
      </c>
      <c r="O106" t="b">
        <f>+ISNUMBER(SEARCH(#REF!,Tabla11[[#This Row],[Cuenta]],1))</f>
        <v>0</v>
      </c>
      <c r="P106" t="b">
        <f>+ISNUMBER(SEARCH('F-COMPRA'!$F$32,Tabla11[[#This Row],[Cuenta]],1))</f>
        <v>1</v>
      </c>
      <c r="Q106" t="b">
        <f>+ISNUMBER(SEARCH('F-COMPRA'!$F$33,Tabla11[[#This Row],[Cuenta]],1))</f>
        <v>1</v>
      </c>
      <c r="R106" t="b">
        <f>+ISNUMBER(SEARCH('F-COMPRA'!$F$34,Tabla11[[#This Row],[Cuenta]],1))</f>
        <v>1</v>
      </c>
      <c r="S106" t="b">
        <f>+ISNUMBER(SEARCH('F-COMPRA'!$F$35,Tabla11[[#This Row],[Cuenta]],1))</f>
        <v>1</v>
      </c>
      <c r="T106" t="b">
        <f>+ISNUMBER(SEARCH('F-COMPRA'!$F$36,Tabla11[[#This Row],[Cuenta]],1))</f>
        <v>1</v>
      </c>
      <c r="U106" t="b">
        <f>+ISNUMBER(SEARCH('F-COMPRA'!$F$37,Tabla11[[#This Row],[Cuenta]],1))</f>
        <v>1</v>
      </c>
      <c r="V106" t="b">
        <f>+ISNUMBER(SEARCH(#REF!,Tabla11[[#This Row],[Cuenta]],1))</f>
        <v>0</v>
      </c>
      <c r="W106" t="b">
        <f>+ISNUMBER(SEARCH('F-COMPRA'!#REF!,Tabla11[[#This Row],[Cuenta]],1))</f>
        <v>0</v>
      </c>
      <c r="X106" t="b">
        <f>+ISNUMBER(SEARCH('F-COMPRA'!#REF!,Tabla11[[#This Row],[Cuenta]],1))</f>
        <v>0</v>
      </c>
      <c r="Y106" t="b">
        <f>+ISNUMBER(SEARCH('F-COMPRA'!#REF!,Tabla11[[#This Row],[Cuenta]],1))</f>
        <v>0</v>
      </c>
      <c r="Z106" t="b">
        <f>+ISNUMBER(SEARCH('F-COMPRA'!#REF!,Tabla11[[#This Row],[Cuenta]],1))</f>
        <v>0</v>
      </c>
      <c r="AA106" t="b">
        <f>+ISNUMBER(SEARCH('F-COMPRA'!#REF!,Tabla11[[#This Row],[Cuenta]],1))</f>
        <v>0</v>
      </c>
      <c r="AB106" t="b">
        <f>+ISNUMBER(SEARCH('F-COMPRA'!#REF!,Tabla11[[#This Row],[Cuenta]],1))</f>
        <v>0</v>
      </c>
      <c r="AC106" t="b">
        <f>+ISNUMBER(SEARCH('F-COMPRA'!#REF!,Tabla11[[#This Row],[Cuenta]],1))</f>
        <v>0</v>
      </c>
      <c r="AD106" t="b">
        <f>+ISNUMBER(SEARCH('F-COMPRA'!#REF!,Tabla11[[#This Row],[Cuenta]],1))</f>
        <v>0</v>
      </c>
      <c r="AE106" t="b">
        <f>+ISNUMBER(SEARCH('F-COMPRA'!#REF!,Tabla11[[#This Row],[Cuenta]],1))</f>
        <v>0</v>
      </c>
      <c r="AF106" t="b">
        <f>+ISNUMBER(SEARCH('F-VTA'!$G$23,Tabla11[[#This Row],[Cuenta]],1))</f>
        <v>0</v>
      </c>
      <c r="AG106" t="b">
        <f>+ISNUMBER(SEARCH('F-VTA'!$G$24,Tabla11[[#This Row],[Cuenta]],1))</f>
        <v>0</v>
      </c>
      <c r="AH106" t="b">
        <f>+ISNUMBER(SEARCH('F-VTA'!$G$25,Tabla11[[#This Row],[Cuenta]],1))</f>
        <v>0</v>
      </c>
      <c r="AI106" t="b">
        <f>+ISNUMBER(SEARCH('F-VTA'!$F$28,Tabla11[[#This Row],[Cuenta]],1))</f>
        <v>1</v>
      </c>
      <c r="AJ106" t="b">
        <f>+ISNUMBER(SEARCH('F-VTA'!$F$29,Tabla11[[#This Row],[Cuenta]],1))</f>
        <v>1</v>
      </c>
      <c r="AK106" t="b">
        <f>+ISNUMBER(SEARCH('F-VTA'!$F$30,Tabla11[[#This Row],[Cuenta]],1))</f>
        <v>1</v>
      </c>
      <c r="AL106" t="b">
        <f>+ISNUMBER(SEARCH('F-VTA'!$F$31,Tabla11[[#This Row],[Cuenta]],1))</f>
        <v>1</v>
      </c>
      <c r="AM106" t="b">
        <f>+ISNUMBER(SEARCH('F-VTA'!$F$32,Tabla11[[#This Row],[Cuenta]],1))</f>
        <v>1</v>
      </c>
      <c r="AN106" t="b">
        <f>+ISNUMBER(SEARCH('F-VTA'!$F$33,Tabla11[[#This Row],[Cuenta]],1))</f>
        <v>1</v>
      </c>
      <c r="AO106" t="b">
        <f>+ISNUMBER(SEARCH('F-VTA'!$F$34,Tabla11[[#This Row],[Cuenta]],1))</f>
        <v>1</v>
      </c>
      <c r="AP106" t="b">
        <f>+ISNUMBER(SEARCH('F-VTA'!$F$35,Tabla11[[#This Row],[Cuenta]],1))</f>
        <v>1</v>
      </c>
      <c r="AQ106" t="b">
        <f>+ISNUMBER(SEARCH('F-VTA'!$F$36,Tabla11[[#This Row],[Cuenta]],1))</f>
        <v>1</v>
      </c>
      <c r="AR106" t="b">
        <f>+ISNUMBER(SEARCH(#REF!,Tabla11[[#This Row],[Cuenta]],1))</f>
        <v>0</v>
      </c>
      <c r="AS106" t="b">
        <f>+ISNUMBER(SEARCH(#REF!,Tabla11[[#This Row],[Cuenta]],1))</f>
        <v>0</v>
      </c>
      <c r="AT106" t="b">
        <f>+ISNUMBER(SEARCH(#REF!,Tabla11[[#This Row],[Cuenta]],1))</f>
        <v>0</v>
      </c>
      <c r="AU106" t="b">
        <f>+ISNUMBER(SEARCH('Conc. Ban.1'!$I$9,Tabla11[[#This Row],[Cuenta]],1))</f>
        <v>0</v>
      </c>
      <c r="AV106" t="b">
        <f>+ISNUMBER(SEARCH(CompConta!$F$21,Tabla11[[#This Row],[Cuenta]],1))</f>
        <v>1</v>
      </c>
      <c r="AW106" t="b">
        <f>+ISNUMBER(SEARCH(CompConta!$F$22,Tabla11[[#This Row],[Cuenta]],1))</f>
        <v>1</v>
      </c>
      <c r="AX106" t="b">
        <f>+ISNUMBER(SEARCH(CompConta!$F$23,Tabla11[[#This Row],[Cuenta]],1))</f>
        <v>1</v>
      </c>
      <c r="AY106" t="b">
        <f>+ISNUMBER(SEARCH(CompConta!$F$24,Tabla11[[#This Row],[Cuenta]],1))</f>
        <v>1</v>
      </c>
      <c r="AZ106" t="b">
        <f>+ISNUMBER(SEARCH(CompConta!$F$25,Tabla11[[#This Row],[Cuenta]],1))</f>
        <v>1</v>
      </c>
      <c r="BA106" t="b">
        <f>+ISNUMBER(SEARCH(CompConta!$F$26,Tabla11[[#This Row],[Cuenta]],1))</f>
        <v>1</v>
      </c>
      <c r="BB106" t="b">
        <f>+ISNUMBER(SEARCH(CompConta!$F$27,Tabla11[[#This Row],[Cuenta]],1))</f>
        <v>1</v>
      </c>
      <c r="BC106" t="b">
        <f>+ISNUMBER(SEARCH(CompConta!$F$28,Tabla11[[#This Row],[Cuenta]],1))</f>
        <v>1</v>
      </c>
      <c r="BD106" t="b">
        <f>+ISNUMBER(SEARCH(CompConta!$F$29,Tabla11[[#This Row],[Cuenta]],1))</f>
        <v>1</v>
      </c>
      <c r="BE106" t="b">
        <f>+ISNUMBER(SEARCH(CompConta!$F$30,Tabla11[[#This Row],[Cuenta]],1))</f>
        <v>1</v>
      </c>
      <c r="BF106" t="b">
        <f>+ISNUMBER(SEARCH('PAGO Compras'!$E$11,Tabla11[[#This Row],[Cuenta]],1))</f>
        <v>1</v>
      </c>
      <c r="BG106" t="b">
        <f>+ISNUMBER(SEARCH(#REF!,Tabla11[[#This Row],[Cuenta]],1))</f>
        <v>0</v>
      </c>
      <c r="BH106" t="b">
        <f>+ISNUMBER(SEARCH(#REF!,Tabla11[[#This Row],[Cuenta]],1))</f>
        <v>0</v>
      </c>
      <c r="BI106" t="b">
        <f>+ISNUMBER(SEARCH(#REF!,Tabla11[[#This Row],[Cuenta]],1))</f>
        <v>0</v>
      </c>
      <c r="BJ106" t="b">
        <f>+ISNUMBER(SEARCH(#REF!,Tabla11[[#This Row],[Cuenta]],1))</f>
        <v>0</v>
      </c>
      <c r="BS106" t="str">
        <v>150830 Proyectos de desarrollo</v>
      </c>
      <c r="BT106" t="str">
        <v>150830 Proyectos de desarrollo</v>
      </c>
      <c r="BU106" t="str">
        <v>150830 Proyectos de desarrollo</v>
      </c>
      <c r="BV106" t="str">
        <v>150830 Proyectos de desarrollo</v>
      </c>
      <c r="BZ106" t="str">
        <v>150830 Proyectos de desarrollo</v>
      </c>
      <c r="CA106" t="str">
        <v>150830 Proyectos de desarrollo</v>
      </c>
      <c r="CB106" t="str">
        <v>150830 Proyectos de desarrollo</v>
      </c>
      <c r="CC106" t="str">
        <v>150830 Proyectos de desarrollo</v>
      </c>
      <c r="CD106" t="str">
        <v>150830 Proyectos de desarrollo</v>
      </c>
      <c r="CE106" t="str">
        <v>150830 Proyectos de desarrollo</v>
      </c>
      <c r="CS106" s="141" t="str">
        <v>150830 Proyectos de desarrollo</v>
      </c>
      <c r="CT106" s="141" t="str">
        <v>150830 Proyectos de desarrollo</v>
      </c>
      <c r="CU106" s="141" t="str">
        <v>150830 Proyectos de desarrollo</v>
      </c>
      <c r="CV106" s="141" t="str">
        <v>150830 Proyectos de desarrollo</v>
      </c>
      <c r="CW106" s="141" t="str">
        <v>150830 Proyectos de desarrollo</v>
      </c>
      <c r="CX106" s="141" t="str">
        <v>150830 Proyectos de desarrollo</v>
      </c>
      <c r="CY106" s="141" t="str">
        <v>150830 Proyectos de desarrollo</v>
      </c>
      <c r="CZ106" s="141" t="str">
        <v>150830 Proyectos de desarrollo</v>
      </c>
      <c r="DA106" s="141" t="str">
        <v>150830 Proyectos de desarrollo</v>
      </c>
      <c r="DF106" t="str">
        <v>150830 Proyectos de desarrollo</v>
      </c>
      <c r="DG106" t="str">
        <v>150830 Proyectos de desarrollo</v>
      </c>
      <c r="DH106" t="str">
        <v>150830 Proyectos de desarrollo</v>
      </c>
      <c r="DI106" t="str">
        <v>150830 Proyectos de desarrollo</v>
      </c>
      <c r="DJ106" t="str">
        <v>150830 Proyectos de desarrollo</v>
      </c>
      <c r="DK106" t="str">
        <v>150830 Proyectos de desarrollo</v>
      </c>
      <c r="DL106" t="str">
        <v>150830 Proyectos de desarrollo</v>
      </c>
      <c r="DM106" t="str">
        <v>150830 Proyectos de desarrollo</v>
      </c>
      <c r="DN106" t="str">
        <v>150830 Proyectos de desarrollo</v>
      </c>
      <c r="DO106" t="str">
        <v>150830 Proyectos de desarrollo</v>
      </c>
      <c r="DP106" t="str">
        <v>150830 Proyectos de desarrollo</v>
      </c>
    </row>
    <row r="107" spans="4:120" ht="12.75">
      <c r="D107" s="7">
        <v>150899</v>
      </c>
      <c r="E107" s="6" t="s">
        <v>44</v>
      </c>
      <c r="F107" s="5">
        <v>4</v>
      </c>
      <c r="G107" s="34" t="s">
        <v>822</v>
      </c>
      <c r="H107" s="8" t="s">
        <v>32</v>
      </c>
      <c r="I107" t="b">
        <f>+ISNUMBER(SEARCH('F-COMPRA'!$F$28,Tabla11[[#This Row],[Cuenta]],1))</f>
        <v>1</v>
      </c>
      <c r="J107" t="b">
        <f>+ISNUMBER(SEARCH('F-COMPRA'!$F$29,Tabla11[[#This Row],[Cuenta]],1))</f>
        <v>1</v>
      </c>
      <c r="K107" t="b">
        <f>+ISNUMBER(SEARCH('F-COMPRA'!$F$30,Tabla11[[#This Row],[Cuenta]],1))</f>
        <v>1</v>
      </c>
      <c r="L107" t="b">
        <f>+ISNUMBER(SEARCH('F-COMPRA'!$F$31,Tabla11[[#This Row],[Cuenta]],1))</f>
        <v>1</v>
      </c>
      <c r="M107" t="b">
        <f>+ISNUMBER(SEARCH('F-COMPRA'!$G$25,Tabla11[[#This Row],[Cuenta]],1))</f>
        <v>0</v>
      </c>
      <c r="N107" t="b">
        <f>+ISNUMBER(SEARCH(#REF!,Tabla11[[#This Row],[Cuenta]],1))</f>
        <v>0</v>
      </c>
      <c r="O107" t="b">
        <f>+ISNUMBER(SEARCH(#REF!,Tabla11[[#This Row],[Cuenta]],1))</f>
        <v>0</v>
      </c>
      <c r="P107" t="b">
        <f>+ISNUMBER(SEARCH('F-COMPRA'!$F$32,Tabla11[[#This Row],[Cuenta]],1))</f>
        <v>1</v>
      </c>
      <c r="Q107" t="b">
        <f>+ISNUMBER(SEARCH('F-COMPRA'!$F$33,Tabla11[[#This Row],[Cuenta]],1))</f>
        <v>1</v>
      </c>
      <c r="R107" t="b">
        <f>+ISNUMBER(SEARCH('F-COMPRA'!$F$34,Tabla11[[#This Row],[Cuenta]],1))</f>
        <v>1</v>
      </c>
      <c r="S107" t="b">
        <f>+ISNUMBER(SEARCH('F-COMPRA'!$F$35,Tabla11[[#This Row],[Cuenta]],1))</f>
        <v>1</v>
      </c>
      <c r="T107" t="b">
        <f>+ISNUMBER(SEARCH('F-COMPRA'!$F$36,Tabla11[[#This Row],[Cuenta]],1))</f>
        <v>1</v>
      </c>
      <c r="U107" t="b">
        <f>+ISNUMBER(SEARCH('F-COMPRA'!$F$37,Tabla11[[#This Row],[Cuenta]],1))</f>
        <v>1</v>
      </c>
      <c r="V107" t="b">
        <f>+ISNUMBER(SEARCH(#REF!,Tabla11[[#This Row],[Cuenta]],1))</f>
        <v>0</v>
      </c>
      <c r="W107" t="b">
        <f>+ISNUMBER(SEARCH('F-COMPRA'!#REF!,Tabla11[[#This Row],[Cuenta]],1))</f>
        <v>0</v>
      </c>
      <c r="X107" t="b">
        <f>+ISNUMBER(SEARCH('F-COMPRA'!#REF!,Tabla11[[#This Row],[Cuenta]],1))</f>
        <v>0</v>
      </c>
      <c r="Y107" t="b">
        <f>+ISNUMBER(SEARCH('F-COMPRA'!#REF!,Tabla11[[#This Row],[Cuenta]],1))</f>
        <v>0</v>
      </c>
      <c r="Z107" t="b">
        <f>+ISNUMBER(SEARCH('F-COMPRA'!#REF!,Tabla11[[#This Row],[Cuenta]],1))</f>
        <v>0</v>
      </c>
      <c r="AA107" t="b">
        <f>+ISNUMBER(SEARCH('F-COMPRA'!#REF!,Tabla11[[#This Row],[Cuenta]],1))</f>
        <v>0</v>
      </c>
      <c r="AB107" t="b">
        <f>+ISNUMBER(SEARCH('F-COMPRA'!#REF!,Tabla11[[#This Row],[Cuenta]],1))</f>
        <v>0</v>
      </c>
      <c r="AC107" t="b">
        <f>+ISNUMBER(SEARCH('F-COMPRA'!#REF!,Tabla11[[#This Row],[Cuenta]],1))</f>
        <v>0</v>
      </c>
      <c r="AD107" t="b">
        <f>+ISNUMBER(SEARCH('F-COMPRA'!#REF!,Tabla11[[#This Row],[Cuenta]],1))</f>
        <v>0</v>
      </c>
      <c r="AE107" t="b">
        <f>+ISNUMBER(SEARCH('F-COMPRA'!#REF!,Tabla11[[#This Row],[Cuenta]],1))</f>
        <v>0</v>
      </c>
      <c r="AF107" t="b">
        <f>+ISNUMBER(SEARCH('F-VTA'!$G$23,Tabla11[[#This Row],[Cuenta]],1))</f>
        <v>0</v>
      </c>
      <c r="AG107" t="b">
        <f>+ISNUMBER(SEARCH('F-VTA'!$G$24,Tabla11[[#This Row],[Cuenta]],1))</f>
        <v>0</v>
      </c>
      <c r="AH107" t="b">
        <f>+ISNUMBER(SEARCH('F-VTA'!$G$25,Tabla11[[#This Row],[Cuenta]],1))</f>
        <v>0</v>
      </c>
      <c r="AI107" t="b">
        <f>+ISNUMBER(SEARCH('F-VTA'!$F$28,Tabla11[[#This Row],[Cuenta]],1))</f>
        <v>1</v>
      </c>
      <c r="AJ107" t="b">
        <f>+ISNUMBER(SEARCH('F-VTA'!$F$29,Tabla11[[#This Row],[Cuenta]],1))</f>
        <v>1</v>
      </c>
      <c r="AK107" t="b">
        <f>+ISNUMBER(SEARCH('F-VTA'!$F$30,Tabla11[[#This Row],[Cuenta]],1))</f>
        <v>1</v>
      </c>
      <c r="AL107" t="b">
        <f>+ISNUMBER(SEARCH('F-VTA'!$F$31,Tabla11[[#This Row],[Cuenta]],1))</f>
        <v>1</v>
      </c>
      <c r="AM107" t="b">
        <f>+ISNUMBER(SEARCH('F-VTA'!$F$32,Tabla11[[#This Row],[Cuenta]],1))</f>
        <v>1</v>
      </c>
      <c r="AN107" t="b">
        <f>+ISNUMBER(SEARCH('F-VTA'!$F$33,Tabla11[[#This Row],[Cuenta]],1))</f>
        <v>1</v>
      </c>
      <c r="AO107" t="b">
        <f>+ISNUMBER(SEARCH('F-VTA'!$F$34,Tabla11[[#This Row],[Cuenta]],1))</f>
        <v>1</v>
      </c>
      <c r="AP107" t="b">
        <f>+ISNUMBER(SEARCH('F-VTA'!$F$35,Tabla11[[#This Row],[Cuenta]],1))</f>
        <v>1</v>
      </c>
      <c r="AQ107" t="b">
        <f>+ISNUMBER(SEARCH('F-VTA'!$F$36,Tabla11[[#This Row],[Cuenta]],1))</f>
        <v>1</v>
      </c>
      <c r="AR107" t="b">
        <f>+ISNUMBER(SEARCH(#REF!,Tabla11[[#This Row],[Cuenta]],1))</f>
        <v>0</v>
      </c>
      <c r="AS107" t="b">
        <f>+ISNUMBER(SEARCH(#REF!,Tabla11[[#This Row],[Cuenta]],1))</f>
        <v>0</v>
      </c>
      <c r="AT107" t="b">
        <f>+ISNUMBER(SEARCH(#REF!,Tabla11[[#This Row],[Cuenta]],1))</f>
        <v>0</v>
      </c>
      <c r="AU107" t="b">
        <f>+ISNUMBER(SEARCH('Conc. Ban.1'!$I$9,Tabla11[[#This Row],[Cuenta]],1))</f>
        <v>0</v>
      </c>
      <c r="AV107" t="b">
        <f>+ISNUMBER(SEARCH(CompConta!$F$21,Tabla11[[#This Row],[Cuenta]],1))</f>
        <v>1</v>
      </c>
      <c r="AW107" t="b">
        <f>+ISNUMBER(SEARCH(CompConta!$F$22,Tabla11[[#This Row],[Cuenta]],1))</f>
        <v>1</v>
      </c>
      <c r="AX107" t="b">
        <f>+ISNUMBER(SEARCH(CompConta!$F$23,Tabla11[[#This Row],[Cuenta]],1))</f>
        <v>1</v>
      </c>
      <c r="AY107" t="b">
        <f>+ISNUMBER(SEARCH(CompConta!$F$24,Tabla11[[#This Row],[Cuenta]],1))</f>
        <v>1</v>
      </c>
      <c r="AZ107" t="b">
        <f>+ISNUMBER(SEARCH(CompConta!$F$25,Tabla11[[#This Row],[Cuenta]],1))</f>
        <v>1</v>
      </c>
      <c r="BA107" t="b">
        <f>+ISNUMBER(SEARCH(CompConta!$F$26,Tabla11[[#This Row],[Cuenta]],1))</f>
        <v>1</v>
      </c>
      <c r="BB107" t="b">
        <f>+ISNUMBER(SEARCH(CompConta!$F$27,Tabla11[[#This Row],[Cuenta]],1))</f>
        <v>1</v>
      </c>
      <c r="BC107" t="b">
        <f>+ISNUMBER(SEARCH(CompConta!$F$28,Tabla11[[#This Row],[Cuenta]],1))</f>
        <v>1</v>
      </c>
      <c r="BD107" t="b">
        <f>+ISNUMBER(SEARCH(CompConta!$F$29,Tabla11[[#This Row],[Cuenta]],1))</f>
        <v>1</v>
      </c>
      <c r="BE107" t="b">
        <f>+ISNUMBER(SEARCH(CompConta!$F$30,Tabla11[[#This Row],[Cuenta]],1))</f>
        <v>1</v>
      </c>
      <c r="BF107" t="b">
        <f>+ISNUMBER(SEARCH('PAGO Compras'!$E$11,Tabla11[[#This Row],[Cuenta]],1))</f>
        <v>1</v>
      </c>
      <c r="BG107" t="b">
        <f>+ISNUMBER(SEARCH(#REF!,Tabla11[[#This Row],[Cuenta]],1))</f>
        <v>0</v>
      </c>
      <c r="BH107" t="b">
        <f>+ISNUMBER(SEARCH(#REF!,Tabla11[[#This Row],[Cuenta]],1))</f>
        <v>0</v>
      </c>
      <c r="BI107" t="b">
        <f>+ISNUMBER(SEARCH(#REF!,Tabla11[[#This Row],[Cuenta]],1))</f>
        <v>0</v>
      </c>
      <c r="BJ107" t="b">
        <f>+ISNUMBER(SEARCH(#REF!,Tabla11[[#This Row],[Cuenta]],1))</f>
        <v>0</v>
      </c>
      <c r="BS107" t="str">
        <v>150899 Ajustes por inflación</v>
      </c>
      <c r="BT107" t="str">
        <v>150899 Ajustes por inflación</v>
      </c>
      <c r="BU107" t="str">
        <v>150899 Ajustes por inflación</v>
      </c>
      <c r="BV107" t="str">
        <v>150899 Ajustes por inflación</v>
      </c>
      <c r="BZ107" t="str">
        <v>150899 Ajustes por inflación</v>
      </c>
      <c r="CA107" t="str">
        <v>150899 Ajustes por inflación</v>
      </c>
      <c r="CB107" t="str">
        <v>150899 Ajustes por inflación</v>
      </c>
      <c r="CC107" t="str">
        <v>150899 Ajustes por inflación</v>
      </c>
      <c r="CD107" t="str">
        <v>150899 Ajustes por inflación</v>
      </c>
      <c r="CE107" t="str">
        <v>150899 Ajustes por inflación</v>
      </c>
      <c r="CS107" s="141" t="str">
        <v>150899 Ajustes por inflación</v>
      </c>
      <c r="CT107" s="141" t="str">
        <v>150899 Ajustes por inflación</v>
      </c>
      <c r="CU107" s="141" t="str">
        <v>150899 Ajustes por inflación</v>
      </c>
      <c r="CV107" s="141" t="str">
        <v>150899 Ajustes por inflación</v>
      </c>
      <c r="CW107" s="141" t="str">
        <v>150899 Ajustes por inflación</v>
      </c>
      <c r="CX107" s="141" t="str">
        <v>150899 Ajustes por inflación</v>
      </c>
      <c r="CY107" s="141" t="str">
        <v>150899 Ajustes por inflación</v>
      </c>
      <c r="CZ107" s="141" t="str">
        <v>150899 Ajustes por inflación</v>
      </c>
      <c r="DA107" s="141" t="str">
        <v>150899 Ajustes por inflación</v>
      </c>
      <c r="DF107" t="str">
        <v>150899 Ajustes por inflación</v>
      </c>
      <c r="DG107" t="str">
        <v>150899 Ajustes por inflación</v>
      </c>
      <c r="DH107" t="str">
        <v>150899 Ajustes por inflación</v>
      </c>
      <c r="DI107" t="str">
        <v>150899 Ajustes por inflación</v>
      </c>
      <c r="DJ107" t="str">
        <v>150899 Ajustes por inflación</v>
      </c>
      <c r="DK107" t="str">
        <v>150899 Ajustes por inflación</v>
      </c>
      <c r="DL107" t="str">
        <v>150899 Ajustes por inflación</v>
      </c>
      <c r="DM107" t="str">
        <v>150899 Ajustes por inflación</v>
      </c>
      <c r="DN107" t="str">
        <v>150899 Ajustes por inflación</v>
      </c>
      <c r="DO107" t="str">
        <v>150899 Ajustes por inflación</v>
      </c>
      <c r="DP107" t="str">
        <v>150899 Ajustes por inflación</v>
      </c>
    </row>
    <row r="108" spans="4:120" ht="12.75">
      <c r="D108" s="7">
        <v>1512</v>
      </c>
      <c r="E108" s="6" t="s">
        <v>127</v>
      </c>
      <c r="F108" s="5">
        <v>3</v>
      </c>
      <c r="G108" s="34" t="s">
        <v>822</v>
      </c>
      <c r="H108" s="8" t="s">
        <v>32</v>
      </c>
      <c r="I108" t="b">
        <f>+ISNUMBER(SEARCH('F-COMPRA'!$F$28,Tabla11[[#This Row],[Cuenta]],1))</f>
        <v>1</v>
      </c>
      <c r="J108" t="b">
        <f>+ISNUMBER(SEARCH('F-COMPRA'!$F$29,Tabla11[[#This Row],[Cuenta]],1))</f>
        <v>1</v>
      </c>
      <c r="K108" t="b">
        <f>+ISNUMBER(SEARCH('F-COMPRA'!$F$30,Tabla11[[#This Row],[Cuenta]],1))</f>
        <v>1</v>
      </c>
      <c r="L108" t="b">
        <f>+ISNUMBER(SEARCH('F-COMPRA'!$F$31,Tabla11[[#This Row],[Cuenta]],1))</f>
        <v>1</v>
      </c>
      <c r="M108" t="b">
        <f>+ISNUMBER(SEARCH('F-COMPRA'!$G$25,Tabla11[[#This Row],[Cuenta]],1))</f>
        <v>0</v>
      </c>
      <c r="N108" t="b">
        <f>+ISNUMBER(SEARCH(#REF!,Tabla11[[#This Row],[Cuenta]],1))</f>
        <v>0</v>
      </c>
      <c r="O108" t="b">
        <f>+ISNUMBER(SEARCH(#REF!,Tabla11[[#This Row],[Cuenta]],1))</f>
        <v>0</v>
      </c>
      <c r="P108" t="b">
        <f>+ISNUMBER(SEARCH('F-COMPRA'!$F$32,Tabla11[[#This Row],[Cuenta]],1))</f>
        <v>1</v>
      </c>
      <c r="Q108" t="b">
        <f>+ISNUMBER(SEARCH('F-COMPRA'!$F$33,Tabla11[[#This Row],[Cuenta]],1))</f>
        <v>1</v>
      </c>
      <c r="R108" t="b">
        <f>+ISNUMBER(SEARCH('F-COMPRA'!$F$34,Tabla11[[#This Row],[Cuenta]],1))</f>
        <v>1</v>
      </c>
      <c r="S108" t="b">
        <f>+ISNUMBER(SEARCH('F-COMPRA'!$F$35,Tabla11[[#This Row],[Cuenta]],1))</f>
        <v>1</v>
      </c>
      <c r="T108" t="b">
        <f>+ISNUMBER(SEARCH('F-COMPRA'!$F$36,Tabla11[[#This Row],[Cuenta]],1))</f>
        <v>1</v>
      </c>
      <c r="U108" t="b">
        <f>+ISNUMBER(SEARCH('F-COMPRA'!$F$37,Tabla11[[#This Row],[Cuenta]],1))</f>
        <v>1</v>
      </c>
      <c r="V108" t="b">
        <f>+ISNUMBER(SEARCH(#REF!,Tabla11[[#This Row],[Cuenta]],1))</f>
        <v>0</v>
      </c>
      <c r="W108" t="b">
        <f>+ISNUMBER(SEARCH('F-COMPRA'!#REF!,Tabla11[[#This Row],[Cuenta]],1))</f>
        <v>0</v>
      </c>
      <c r="X108" t="b">
        <f>+ISNUMBER(SEARCH('F-COMPRA'!#REF!,Tabla11[[#This Row],[Cuenta]],1))</f>
        <v>0</v>
      </c>
      <c r="Y108" t="b">
        <f>+ISNUMBER(SEARCH('F-COMPRA'!#REF!,Tabla11[[#This Row],[Cuenta]],1))</f>
        <v>0</v>
      </c>
      <c r="Z108" t="b">
        <f>+ISNUMBER(SEARCH('F-COMPRA'!#REF!,Tabla11[[#This Row],[Cuenta]],1))</f>
        <v>0</v>
      </c>
      <c r="AA108" t="b">
        <f>+ISNUMBER(SEARCH('F-COMPRA'!#REF!,Tabla11[[#This Row],[Cuenta]],1))</f>
        <v>0</v>
      </c>
      <c r="AB108" t="b">
        <f>+ISNUMBER(SEARCH('F-COMPRA'!#REF!,Tabla11[[#This Row],[Cuenta]],1))</f>
        <v>0</v>
      </c>
      <c r="AC108" t="b">
        <f>+ISNUMBER(SEARCH('F-COMPRA'!#REF!,Tabla11[[#This Row],[Cuenta]],1))</f>
        <v>0</v>
      </c>
      <c r="AD108" t="b">
        <f>+ISNUMBER(SEARCH('F-COMPRA'!#REF!,Tabla11[[#This Row],[Cuenta]],1))</f>
        <v>0</v>
      </c>
      <c r="AE108" t="b">
        <f>+ISNUMBER(SEARCH('F-COMPRA'!#REF!,Tabla11[[#This Row],[Cuenta]],1))</f>
        <v>0</v>
      </c>
      <c r="AF108" t="b">
        <f>+ISNUMBER(SEARCH('F-VTA'!$G$23,Tabla11[[#This Row],[Cuenta]],1))</f>
        <v>0</v>
      </c>
      <c r="AG108" t="b">
        <f>+ISNUMBER(SEARCH('F-VTA'!$G$24,Tabla11[[#This Row],[Cuenta]],1))</f>
        <v>0</v>
      </c>
      <c r="AH108" t="b">
        <f>+ISNUMBER(SEARCH('F-VTA'!$G$25,Tabla11[[#This Row],[Cuenta]],1))</f>
        <v>0</v>
      </c>
      <c r="AI108" t="b">
        <f>+ISNUMBER(SEARCH('F-VTA'!$F$28,Tabla11[[#This Row],[Cuenta]],1))</f>
        <v>1</v>
      </c>
      <c r="AJ108" t="b">
        <f>+ISNUMBER(SEARCH('F-VTA'!$F$29,Tabla11[[#This Row],[Cuenta]],1))</f>
        <v>1</v>
      </c>
      <c r="AK108" t="b">
        <f>+ISNUMBER(SEARCH('F-VTA'!$F$30,Tabla11[[#This Row],[Cuenta]],1))</f>
        <v>1</v>
      </c>
      <c r="AL108" t="b">
        <f>+ISNUMBER(SEARCH('F-VTA'!$F$31,Tabla11[[#This Row],[Cuenta]],1))</f>
        <v>1</v>
      </c>
      <c r="AM108" t="b">
        <f>+ISNUMBER(SEARCH('F-VTA'!$F$32,Tabla11[[#This Row],[Cuenta]],1))</f>
        <v>1</v>
      </c>
      <c r="AN108" t="b">
        <f>+ISNUMBER(SEARCH('F-VTA'!$F$33,Tabla11[[#This Row],[Cuenta]],1))</f>
        <v>1</v>
      </c>
      <c r="AO108" t="b">
        <f>+ISNUMBER(SEARCH('F-VTA'!$F$34,Tabla11[[#This Row],[Cuenta]],1))</f>
        <v>1</v>
      </c>
      <c r="AP108" t="b">
        <f>+ISNUMBER(SEARCH('F-VTA'!$F$35,Tabla11[[#This Row],[Cuenta]],1))</f>
        <v>1</v>
      </c>
      <c r="AQ108" t="b">
        <f>+ISNUMBER(SEARCH('F-VTA'!$F$36,Tabla11[[#This Row],[Cuenta]],1))</f>
        <v>1</v>
      </c>
      <c r="AR108" t="b">
        <f>+ISNUMBER(SEARCH(#REF!,Tabla11[[#This Row],[Cuenta]],1))</f>
        <v>0</v>
      </c>
      <c r="AS108" t="b">
        <f>+ISNUMBER(SEARCH(#REF!,Tabla11[[#This Row],[Cuenta]],1))</f>
        <v>0</v>
      </c>
      <c r="AT108" t="b">
        <f>+ISNUMBER(SEARCH(#REF!,Tabla11[[#This Row],[Cuenta]],1))</f>
        <v>0</v>
      </c>
      <c r="AU108" t="b">
        <f>+ISNUMBER(SEARCH('Conc. Ban.1'!$I$9,Tabla11[[#This Row],[Cuenta]],1))</f>
        <v>0</v>
      </c>
      <c r="AV108" t="b">
        <f>+ISNUMBER(SEARCH(CompConta!$F$21,Tabla11[[#This Row],[Cuenta]],1))</f>
        <v>1</v>
      </c>
      <c r="AW108" t="b">
        <f>+ISNUMBER(SEARCH(CompConta!$F$22,Tabla11[[#This Row],[Cuenta]],1))</f>
        <v>1</v>
      </c>
      <c r="AX108" t="b">
        <f>+ISNUMBER(SEARCH(CompConta!$F$23,Tabla11[[#This Row],[Cuenta]],1))</f>
        <v>1</v>
      </c>
      <c r="AY108" t="b">
        <f>+ISNUMBER(SEARCH(CompConta!$F$24,Tabla11[[#This Row],[Cuenta]],1))</f>
        <v>1</v>
      </c>
      <c r="AZ108" t="b">
        <f>+ISNUMBER(SEARCH(CompConta!$F$25,Tabla11[[#This Row],[Cuenta]],1))</f>
        <v>1</v>
      </c>
      <c r="BA108" t="b">
        <f>+ISNUMBER(SEARCH(CompConta!$F$26,Tabla11[[#This Row],[Cuenta]],1))</f>
        <v>1</v>
      </c>
      <c r="BB108" t="b">
        <f>+ISNUMBER(SEARCH(CompConta!$F$27,Tabla11[[#This Row],[Cuenta]],1))</f>
        <v>1</v>
      </c>
      <c r="BC108" t="b">
        <f>+ISNUMBER(SEARCH(CompConta!$F$28,Tabla11[[#This Row],[Cuenta]],1))</f>
        <v>1</v>
      </c>
      <c r="BD108" t="b">
        <f>+ISNUMBER(SEARCH(CompConta!$F$29,Tabla11[[#This Row],[Cuenta]],1))</f>
        <v>1</v>
      </c>
      <c r="BE108" t="b">
        <f>+ISNUMBER(SEARCH(CompConta!$F$30,Tabla11[[#This Row],[Cuenta]],1))</f>
        <v>1</v>
      </c>
      <c r="BF108" t="b">
        <f>+ISNUMBER(SEARCH('PAGO Compras'!$E$11,Tabla11[[#This Row],[Cuenta]],1))</f>
        <v>1</v>
      </c>
      <c r="BG108" t="b">
        <f>+ISNUMBER(SEARCH(#REF!,Tabla11[[#This Row],[Cuenta]],1))</f>
        <v>0</v>
      </c>
      <c r="BH108" t="b">
        <f>+ISNUMBER(SEARCH(#REF!,Tabla11[[#This Row],[Cuenta]],1))</f>
        <v>0</v>
      </c>
      <c r="BI108" t="b">
        <f>+ISNUMBER(SEARCH(#REF!,Tabla11[[#This Row],[Cuenta]],1))</f>
        <v>0</v>
      </c>
      <c r="BJ108" t="b">
        <f>+ISNUMBER(SEARCH(#REF!,Tabla11[[#This Row],[Cuenta]],1))</f>
        <v>0</v>
      </c>
      <c r="BS108" t="str">
        <v>1512 MAQUINARIA Y EQUIPOS EN MONTAJE</v>
      </c>
      <c r="BT108" t="str">
        <v>1512 MAQUINARIA Y EQUIPOS EN MONTAJE</v>
      </c>
      <c r="BU108" t="str">
        <v>1512 MAQUINARIA Y EQUIPOS EN MONTAJE</v>
      </c>
      <c r="BV108" t="str">
        <v>1512 MAQUINARIA Y EQUIPOS EN MONTAJE</v>
      </c>
      <c r="BZ108" t="str">
        <v>1512 MAQUINARIA Y EQUIPOS EN MONTAJE</v>
      </c>
      <c r="CA108" t="str">
        <v>1512 MAQUINARIA Y EQUIPOS EN MONTAJE</v>
      </c>
      <c r="CB108" t="str">
        <v>1512 MAQUINARIA Y EQUIPOS EN MONTAJE</v>
      </c>
      <c r="CC108" t="str">
        <v>1512 MAQUINARIA Y EQUIPOS EN MONTAJE</v>
      </c>
      <c r="CD108" t="str">
        <v>1512 MAQUINARIA Y EQUIPOS EN MONTAJE</v>
      </c>
      <c r="CE108" t="str">
        <v>1512 MAQUINARIA Y EQUIPOS EN MONTAJE</v>
      </c>
      <c r="CS108" s="141" t="str">
        <v>1512 MAQUINARIA Y EQUIPOS EN MONTAJE</v>
      </c>
      <c r="CT108" s="141" t="str">
        <v>1512 MAQUINARIA Y EQUIPOS EN MONTAJE</v>
      </c>
      <c r="CU108" s="141" t="str">
        <v>1512 MAQUINARIA Y EQUIPOS EN MONTAJE</v>
      </c>
      <c r="CV108" s="141" t="str">
        <v>1512 MAQUINARIA Y EQUIPOS EN MONTAJE</v>
      </c>
      <c r="CW108" s="141" t="str">
        <v>1512 MAQUINARIA Y EQUIPOS EN MONTAJE</v>
      </c>
      <c r="CX108" s="141" t="str">
        <v>1512 MAQUINARIA Y EQUIPOS EN MONTAJE</v>
      </c>
      <c r="CY108" s="141" t="str">
        <v>1512 MAQUINARIA Y EQUIPOS EN MONTAJE</v>
      </c>
      <c r="CZ108" s="141" t="str">
        <v>1512 MAQUINARIA Y EQUIPOS EN MONTAJE</v>
      </c>
      <c r="DA108" s="141" t="str">
        <v>1512 MAQUINARIA Y EQUIPOS EN MONTAJE</v>
      </c>
      <c r="DF108" t="str">
        <v>1512 MAQUINARIA Y EQUIPOS EN MONTAJE</v>
      </c>
      <c r="DG108" t="str">
        <v>1512 MAQUINARIA Y EQUIPOS EN MONTAJE</v>
      </c>
      <c r="DH108" t="str">
        <v>1512 MAQUINARIA Y EQUIPOS EN MONTAJE</v>
      </c>
      <c r="DI108" t="str">
        <v>1512 MAQUINARIA Y EQUIPOS EN MONTAJE</v>
      </c>
      <c r="DJ108" t="str">
        <v>1512 MAQUINARIA Y EQUIPOS EN MONTAJE</v>
      </c>
      <c r="DK108" t="str">
        <v>1512 MAQUINARIA Y EQUIPOS EN MONTAJE</v>
      </c>
      <c r="DL108" t="str">
        <v>1512 MAQUINARIA Y EQUIPOS EN MONTAJE</v>
      </c>
      <c r="DM108" t="str">
        <v>1512 MAQUINARIA Y EQUIPOS EN MONTAJE</v>
      </c>
      <c r="DN108" t="str">
        <v>1512 MAQUINARIA Y EQUIPOS EN MONTAJE</v>
      </c>
      <c r="DO108" t="str">
        <v>1512 MAQUINARIA Y EQUIPOS EN MONTAJE</v>
      </c>
      <c r="DP108" t="str">
        <v>1512 MAQUINARIA Y EQUIPOS EN MONTAJE</v>
      </c>
    </row>
    <row r="109" spans="4:120" ht="12.75">
      <c r="D109" s="7">
        <v>151205</v>
      </c>
      <c r="E109" s="6" t="s">
        <v>128</v>
      </c>
      <c r="F109" s="5">
        <v>4</v>
      </c>
      <c r="G109" s="34" t="s">
        <v>822</v>
      </c>
      <c r="H109" s="8" t="s">
        <v>32</v>
      </c>
      <c r="I109" t="b">
        <f>+ISNUMBER(SEARCH('F-COMPRA'!$F$28,Tabla11[[#This Row],[Cuenta]],1))</f>
        <v>1</v>
      </c>
      <c r="J109" t="b">
        <f>+ISNUMBER(SEARCH('F-COMPRA'!$F$29,Tabla11[[#This Row],[Cuenta]],1))</f>
        <v>1</v>
      </c>
      <c r="K109" t="b">
        <f>+ISNUMBER(SEARCH('F-COMPRA'!$F$30,Tabla11[[#This Row],[Cuenta]],1))</f>
        <v>1</v>
      </c>
      <c r="L109" t="b">
        <f>+ISNUMBER(SEARCH('F-COMPRA'!$F$31,Tabla11[[#This Row],[Cuenta]],1))</f>
        <v>1</v>
      </c>
      <c r="M109" t="b">
        <f>+ISNUMBER(SEARCH('F-COMPRA'!$G$25,Tabla11[[#This Row],[Cuenta]],1))</f>
        <v>0</v>
      </c>
      <c r="N109" t="b">
        <f>+ISNUMBER(SEARCH(#REF!,Tabla11[[#This Row],[Cuenta]],1))</f>
        <v>0</v>
      </c>
      <c r="O109" t="b">
        <f>+ISNUMBER(SEARCH(#REF!,Tabla11[[#This Row],[Cuenta]],1))</f>
        <v>0</v>
      </c>
      <c r="P109" t="b">
        <f>+ISNUMBER(SEARCH('F-COMPRA'!$F$32,Tabla11[[#This Row],[Cuenta]],1))</f>
        <v>1</v>
      </c>
      <c r="Q109" t="b">
        <f>+ISNUMBER(SEARCH('F-COMPRA'!$F$33,Tabla11[[#This Row],[Cuenta]],1))</f>
        <v>1</v>
      </c>
      <c r="R109" t="b">
        <f>+ISNUMBER(SEARCH('F-COMPRA'!$F$34,Tabla11[[#This Row],[Cuenta]],1))</f>
        <v>1</v>
      </c>
      <c r="S109" t="b">
        <f>+ISNUMBER(SEARCH('F-COMPRA'!$F$35,Tabla11[[#This Row],[Cuenta]],1))</f>
        <v>1</v>
      </c>
      <c r="T109" t="b">
        <f>+ISNUMBER(SEARCH('F-COMPRA'!$F$36,Tabla11[[#This Row],[Cuenta]],1))</f>
        <v>1</v>
      </c>
      <c r="U109" t="b">
        <f>+ISNUMBER(SEARCH('F-COMPRA'!$F$37,Tabla11[[#This Row],[Cuenta]],1))</f>
        <v>1</v>
      </c>
      <c r="V109" t="b">
        <f>+ISNUMBER(SEARCH(#REF!,Tabla11[[#This Row],[Cuenta]],1))</f>
        <v>0</v>
      </c>
      <c r="W109" t="b">
        <f>+ISNUMBER(SEARCH('F-COMPRA'!#REF!,Tabla11[[#This Row],[Cuenta]],1))</f>
        <v>0</v>
      </c>
      <c r="X109" t="b">
        <f>+ISNUMBER(SEARCH('F-COMPRA'!#REF!,Tabla11[[#This Row],[Cuenta]],1))</f>
        <v>0</v>
      </c>
      <c r="Y109" t="b">
        <f>+ISNUMBER(SEARCH('F-COMPRA'!#REF!,Tabla11[[#This Row],[Cuenta]],1))</f>
        <v>0</v>
      </c>
      <c r="Z109" t="b">
        <f>+ISNUMBER(SEARCH('F-COMPRA'!#REF!,Tabla11[[#This Row],[Cuenta]],1))</f>
        <v>0</v>
      </c>
      <c r="AA109" t="b">
        <f>+ISNUMBER(SEARCH('F-COMPRA'!#REF!,Tabla11[[#This Row],[Cuenta]],1))</f>
        <v>0</v>
      </c>
      <c r="AB109" t="b">
        <f>+ISNUMBER(SEARCH('F-COMPRA'!#REF!,Tabla11[[#This Row],[Cuenta]],1))</f>
        <v>0</v>
      </c>
      <c r="AC109" t="b">
        <f>+ISNUMBER(SEARCH('F-COMPRA'!#REF!,Tabla11[[#This Row],[Cuenta]],1))</f>
        <v>0</v>
      </c>
      <c r="AD109" t="b">
        <f>+ISNUMBER(SEARCH('F-COMPRA'!#REF!,Tabla11[[#This Row],[Cuenta]],1))</f>
        <v>0</v>
      </c>
      <c r="AE109" t="b">
        <f>+ISNUMBER(SEARCH('F-COMPRA'!#REF!,Tabla11[[#This Row],[Cuenta]],1))</f>
        <v>0</v>
      </c>
      <c r="AF109" t="b">
        <f>+ISNUMBER(SEARCH('F-VTA'!$G$23,Tabla11[[#This Row],[Cuenta]],1))</f>
        <v>0</v>
      </c>
      <c r="AG109" t="b">
        <f>+ISNUMBER(SEARCH('F-VTA'!$G$24,Tabla11[[#This Row],[Cuenta]],1))</f>
        <v>0</v>
      </c>
      <c r="AH109" t="b">
        <f>+ISNUMBER(SEARCH('F-VTA'!$G$25,Tabla11[[#This Row],[Cuenta]],1))</f>
        <v>0</v>
      </c>
      <c r="AI109" t="b">
        <f>+ISNUMBER(SEARCH('F-VTA'!$F$28,Tabla11[[#This Row],[Cuenta]],1))</f>
        <v>1</v>
      </c>
      <c r="AJ109" t="b">
        <f>+ISNUMBER(SEARCH('F-VTA'!$F$29,Tabla11[[#This Row],[Cuenta]],1))</f>
        <v>1</v>
      </c>
      <c r="AK109" t="b">
        <f>+ISNUMBER(SEARCH('F-VTA'!$F$30,Tabla11[[#This Row],[Cuenta]],1))</f>
        <v>1</v>
      </c>
      <c r="AL109" t="b">
        <f>+ISNUMBER(SEARCH('F-VTA'!$F$31,Tabla11[[#This Row],[Cuenta]],1))</f>
        <v>1</v>
      </c>
      <c r="AM109" t="b">
        <f>+ISNUMBER(SEARCH('F-VTA'!$F$32,Tabla11[[#This Row],[Cuenta]],1))</f>
        <v>1</v>
      </c>
      <c r="AN109" t="b">
        <f>+ISNUMBER(SEARCH('F-VTA'!$F$33,Tabla11[[#This Row],[Cuenta]],1))</f>
        <v>1</v>
      </c>
      <c r="AO109" t="b">
        <f>+ISNUMBER(SEARCH('F-VTA'!$F$34,Tabla11[[#This Row],[Cuenta]],1))</f>
        <v>1</v>
      </c>
      <c r="AP109" t="b">
        <f>+ISNUMBER(SEARCH('F-VTA'!$F$35,Tabla11[[#This Row],[Cuenta]],1))</f>
        <v>1</v>
      </c>
      <c r="AQ109" t="b">
        <f>+ISNUMBER(SEARCH('F-VTA'!$F$36,Tabla11[[#This Row],[Cuenta]],1))</f>
        <v>1</v>
      </c>
      <c r="AR109" t="b">
        <f>+ISNUMBER(SEARCH(#REF!,Tabla11[[#This Row],[Cuenta]],1))</f>
        <v>0</v>
      </c>
      <c r="AS109" t="b">
        <f>+ISNUMBER(SEARCH(#REF!,Tabla11[[#This Row],[Cuenta]],1))</f>
        <v>0</v>
      </c>
      <c r="AT109" t="b">
        <f>+ISNUMBER(SEARCH(#REF!,Tabla11[[#This Row],[Cuenta]],1))</f>
        <v>0</v>
      </c>
      <c r="AU109" t="b">
        <f>+ISNUMBER(SEARCH('Conc. Ban.1'!$I$9,Tabla11[[#This Row],[Cuenta]],1))</f>
        <v>0</v>
      </c>
      <c r="AV109" t="b">
        <f>+ISNUMBER(SEARCH(CompConta!$F$21,Tabla11[[#This Row],[Cuenta]],1))</f>
        <v>1</v>
      </c>
      <c r="AW109" t="b">
        <f>+ISNUMBER(SEARCH(CompConta!$F$22,Tabla11[[#This Row],[Cuenta]],1))</f>
        <v>1</v>
      </c>
      <c r="AX109" t="b">
        <f>+ISNUMBER(SEARCH(CompConta!$F$23,Tabla11[[#This Row],[Cuenta]],1))</f>
        <v>1</v>
      </c>
      <c r="AY109" t="b">
        <f>+ISNUMBER(SEARCH(CompConta!$F$24,Tabla11[[#This Row],[Cuenta]],1))</f>
        <v>1</v>
      </c>
      <c r="AZ109" t="b">
        <f>+ISNUMBER(SEARCH(CompConta!$F$25,Tabla11[[#This Row],[Cuenta]],1))</f>
        <v>1</v>
      </c>
      <c r="BA109" t="b">
        <f>+ISNUMBER(SEARCH(CompConta!$F$26,Tabla11[[#This Row],[Cuenta]],1))</f>
        <v>1</v>
      </c>
      <c r="BB109" t="b">
        <f>+ISNUMBER(SEARCH(CompConta!$F$27,Tabla11[[#This Row],[Cuenta]],1))</f>
        <v>1</v>
      </c>
      <c r="BC109" t="b">
        <f>+ISNUMBER(SEARCH(CompConta!$F$28,Tabla11[[#This Row],[Cuenta]],1))</f>
        <v>1</v>
      </c>
      <c r="BD109" t="b">
        <f>+ISNUMBER(SEARCH(CompConta!$F$29,Tabla11[[#This Row],[Cuenta]],1))</f>
        <v>1</v>
      </c>
      <c r="BE109" t="b">
        <f>+ISNUMBER(SEARCH(CompConta!$F$30,Tabla11[[#This Row],[Cuenta]],1))</f>
        <v>1</v>
      </c>
      <c r="BF109" t="b">
        <f>+ISNUMBER(SEARCH('PAGO Compras'!$E$11,Tabla11[[#This Row],[Cuenta]],1))</f>
        <v>1</v>
      </c>
      <c r="BG109" t="b">
        <f>+ISNUMBER(SEARCH(#REF!,Tabla11[[#This Row],[Cuenta]],1))</f>
        <v>0</v>
      </c>
      <c r="BH109" t="b">
        <f>+ISNUMBER(SEARCH(#REF!,Tabla11[[#This Row],[Cuenta]],1))</f>
        <v>0</v>
      </c>
      <c r="BI109" t="b">
        <f>+ISNUMBER(SEARCH(#REF!,Tabla11[[#This Row],[Cuenta]],1))</f>
        <v>0</v>
      </c>
      <c r="BJ109" t="b">
        <f>+ISNUMBER(SEARCH(#REF!,Tabla11[[#This Row],[Cuenta]],1))</f>
        <v>0</v>
      </c>
      <c r="BS109" t="str">
        <v>151205 Maquinaria y equipo</v>
      </c>
      <c r="BT109" t="str">
        <v>151205 Maquinaria y equipo</v>
      </c>
      <c r="BU109" t="str">
        <v>151205 Maquinaria y equipo</v>
      </c>
      <c r="BV109" t="str">
        <v>151205 Maquinaria y equipo</v>
      </c>
      <c r="BZ109" t="str">
        <v>151205 Maquinaria y equipo</v>
      </c>
      <c r="CA109" t="str">
        <v>151205 Maquinaria y equipo</v>
      </c>
      <c r="CB109" t="str">
        <v>151205 Maquinaria y equipo</v>
      </c>
      <c r="CC109" t="str">
        <v>151205 Maquinaria y equipo</v>
      </c>
      <c r="CD109" t="str">
        <v>151205 Maquinaria y equipo</v>
      </c>
      <c r="CE109" t="str">
        <v>151205 Maquinaria y equipo</v>
      </c>
      <c r="CS109" s="141" t="str">
        <v>151205 Maquinaria y equipo</v>
      </c>
      <c r="CT109" s="141" t="str">
        <v>151205 Maquinaria y equipo</v>
      </c>
      <c r="CU109" s="141" t="str">
        <v>151205 Maquinaria y equipo</v>
      </c>
      <c r="CV109" s="141" t="str">
        <v>151205 Maquinaria y equipo</v>
      </c>
      <c r="CW109" s="141" t="str">
        <v>151205 Maquinaria y equipo</v>
      </c>
      <c r="CX109" s="141" t="str">
        <v>151205 Maquinaria y equipo</v>
      </c>
      <c r="CY109" s="141" t="str">
        <v>151205 Maquinaria y equipo</v>
      </c>
      <c r="CZ109" s="141" t="str">
        <v>151205 Maquinaria y equipo</v>
      </c>
      <c r="DA109" s="141" t="str">
        <v>151205 Maquinaria y equipo</v>
      </c>
      <c r="DF109" t="str">
        <v>151205 Maquinaria y equipo</v>
      </c>
      <c r="DG109" t="str">
        <v>151205 Maquinaria y equipo</v>
      </c>
      <c r="DH109" t="str">
        <v>151205 Maquinaria y equipo</v>
      </c>
      <c r="DI109" t="str">
        <v>151205 Maquinaria y equipo</v>
      </c>
      <c r="DJ109" t="str">
        <v>151205 Maquinaria y equipo</v>
      </c>
      <c r="DK109" t="str">
        <v>151205 Maquinaria y equipo</v>
      </c>
      <c r="DL109" t="str">
        <v>151205 Maquinaria y equipo</v>
      </c>
      <c r="DM109" t="str">
        <v>151205 Maquinaria y equipo</v>
      </c>
      <c r="DN109" t="str">
        <v>151205 Maquinaria y equipo</v>
      </c>
      <c r="DO109" t="str">
        <v>151205 Maquinaria y equipo</v>
      </c>
      <c r="DP109" t="str">
        <v>151205 Maquinaria y equipo</v>
      </c>
    </row>
    <row r="110" spans="4:120" ht="12.75">
      <c r="D110" s="7">
        <v>151210</v>
      </c>
      <c r="E110" s="6" t="s">
        <v>129</v>
      </c>
      <c r="F110" s="5">
        <v>4</v>
      </c>
      <c r="G110" s="34" t="s">
        <v>822</v>
      </c>
      <c r="H110" s="8" t="s">
        <v>32</v>
      </c>
      <c r="I110" t="b">
        <f>+ISNUMBER(SEARCH('F-COMPRA'!$F$28,Tabla11[[#This Row],[Cuenta]],1))</f>
        <v>1</v>
      </c>
      <c r="J110" t="b">
        <f>+ISNUMBER(SEARCH('F-COMPRA'!$F$29,Tabla11[[#This Row],[Cuenta]],1))</f>
        <v>1</v>
      </c>
      <c r="K110" t="b">
        <f>+ISNUMBER(SEARCH('F-COMPRA'!$F$30,Tabla11[[#This Row],[Cuenta]],1))</f>
        <v>1</v>
      </c>
      <c r="L110" t="b">
        <f>+ISNUMBER(SEARCH('F-COMPRA'!$F$31,Tabla11[[#This Row],[Cuenta]],1))</f>
        <v>1</v>
      </c>
      <c r="M110" t="b">
        <f>+ISNUMBER(SEARCH('F-COMPRA'!$G$25,Tabla11[[#This Row],[Cuenta]],1))</f>
        <v>0</v>
      </c>
      <c r="N110" t="b">
        <f>+ISNUMBER(SEARCH(#REF!,Tabla11[[#This Row],[Cuenta]],1))</f>
        <v>0</v>
      </c>
      <c r="O110" t="b">
        <f>+ISNUMBER(SEARCH(#REF!,Tabla11[[#This Row],[Cuenta]],1))</f>
        <v>0</v>
      </c>
      <c r="P110" t="b">
        <f>+ISNUMBER(SEARCH('F-COMPRA'!$F$32,Tabla11[[#This Row],[Cuenta]],1))</f>
        <v>1</v>
      </c>
      <c r="Q110" t="b">
        <f>+ISNUMBER(SEARCH('F-COMPRA'!$F$33,Tabla11[[#This Row],[Cuenta]],1))</f>
        <v>1</v>
      </c>
      <c r="R110" t="b">
        <f>+ISNUMBER(SEARCH('F-COMPRA'!$F$34,Tabla11[[#This Row],[Cuenta]],1))</f>
        <v>1</v>
      </c>
      <c r="S110" t="b">
        <f>+ISNUMBER(SEARCH('F-COMPRA'!$F$35,Tabla11[[#This Row],[Cuenta]],1))</f>
        <v>1</v>
      </c>
      <c r="T110" t="b">
        <f>+ISNUMBER(SEARCH('F-COMPRA'!$F$36,Tabla11[[#This Row],[Cuenta]],1))</f>
        <v>1</v>
      </c>
      <c r="U110" t="b">
        <f>+ISNUMBER(SEARCH('F-COMPRA'!$F$37,Tabla11[[#This Row],[Cuenta]],1))</f>
        <v>1</v>
      </c>
      <c r="V110" t="b">
        <f>+ISNUMBER(SEARCH(#REF!,Tabla11[[#This Row],[Cuenta]],1))</f>
        <v>0</v>
      </c>
      <c r="W110" t="b">
        <f>+ISNUMBER(SEARCH('F-COMPRA'!#REF!,Tabla11[[#This Row],[Cuenta]],1))</f>
        <v>0</v>
      </c>
      <c r="X110" t="b">
        <f>+ISNUMBER(SEARCH('F-COMPRA'!#REF!,Tabla11[[#This Row],[Cuenta]],1))</f>
        <v>0</v>
      </c>
      <c r="Y110" t="b">
        <f>+ISNUMBER(SEARCH('F-COMPRA'!#REF!,Tabla11[[#This Row],[Cuenta]],1))</f>
        <v>0</v>
      </c>
      <c r="Z110" t="b">
        <f>+ISNUMBER(SEARCH('F-COMPRA'!#REF!,Tabla11[[#This Row],[Cuenta]],1))</f>
        <v>0</v>
      </c>
      <c r="AA110" t="b">
        <f>+ISNUMBER(SEARCH('F-COMPRA'!#REF!,Tabla11[[#This Row],[Cuenta]],1))</f>
        <v>0</v>
      </c>
      <c r="AB110" t="b">
        <f>+ISNUMBER(SEARCH('F-COMPRA'!#REF!,Tabla11[[#This Row],[Cuenta]],1))</f>
        <v>0</v>
      </c>
      <c r="AC110" t="b">
        <f>+ISNUMBER(SEARCH('F-COMPRA'!#REF!,Tabla11[[#This Row],[Cuenta]],1))</f>
        <v>0</v>
      </c>
      <c r="AD110" t="b">
        <f>+ISNUMBER(SEARCH('F-COMPRA'!#REF!,Tabla11[[#This Row],[Cuenta]],1))</f>
        <v>0</v>
      </c>
      <c r="AE110" t="b">
        <f>+ISNUMBER(SEARCH('F-COMPRA'!#REF!,Tabla11[[#This Row],[Cuenta]],1))</f>
        <v>0</v>
      </c>
      <c r="AF110" t="b">
        <f>+ISNUMBER(SEARCH('F-VTA'!$G$23,Tabla11[[#This Row],[Cuenta]],1))</f>
        <v>0</v>
      </c>
      <c r="AG110" t="b">
        <f>+ISNUMBER(SEARCH('F-VTA'!$G$24,Tabla11[[#This Row],[Cuenta]],1))</f>
        <v>0</v>
      </c>
      <c r="AH110" t="b">
        <f>+ISNUMBER(SEARCH('F-VTA'!$G$25,Tabla11[[#This Row],[Cuenta]],1))</f>
        <v>0</v>
      </c>
      <c r="AI110" t="b">
        <f>+ISNUMBER(SEARCH('F-VTA'!$F$28,Tabla11[[#This Row],[Cuenta]],1))</f>
        <v>1</v>
      </c>
      <c r="AJ110" t="b">
        <f>+ISNUMBER(SEARCH('F-VTA'!$F$29,Tabla11[[#This Row],[Cuenta]],1))</f>
        <v>1</v>
      </c>
      <c r="AK110" t="b">
        <f>+ISNUMBER(SEARCH('F-VTA'!$F$30,Tabla11[[#This Row],[Cuenta]],1))</f>
        <v>1</v>
      </c>
      <c r="AL110" t="b">
        <f>+ISNUMBER(SEARCH('F-VTA'!$F$31,Tabla11[[#This Row],[Cuenta]],1))</f>
        <v>1</v>
      </c>
      <c r="AM110" t="b">
        <f>+ISNUMBER(SEARCH('F-VTA'!$F$32,Tabla11[[#This Row],[Cuenta]],1))</f>
        <v>1</v>
      </c>
      <c r="AN110" t="b">
        <f>+ISNUMBER(SEARCH('F-VTA'!$F$33,Tabla11[[#This Row],[Cuenta]],1))</f>
        <v>1</v>
      </c>
      <c r="AO110" t="b">
        <f>+ISNUMBER(SEARCH('F-VTA'!$F$34,Tabla11[[#This Row],[Cuenta]],1))</f>
        <v>1</v>
      </c>
      <c r="AP110" t="b">
        <f>+ISNUMBER(SEARCH('F-VTA'!$F$35,Tabla11[[#This Row],[Cuenta]],1))</f>
        <v>1</v>
      </c>
      <c r="AQ110" t="b">
        <f>+ISNUMBER(SEARCH('F-VTA'!$F$36,Tabla11[[#This Row],[Cuenta]],1))</f>
        <v>1</v>
      </c>
      <c r="AR110" t="b">
        <f>+ISNUMBER(SEARCH(#REF!,Tabla11[[#This Row],[Cuenta]],1))</f>
        <v>0</v>
      </c>
      <c r="AS110" t="b">
        <f>+ISNUMBER(SEARCH(#REF!,Tabla11[[#This Row],[Cuenta]],1))</f>
        <v>0</v>
      </c>
      <c r="AT110" t="b">
        <f>+ISNUMBER(SEARCH(#REF!,Tabla11[[#This Row],[Cuenta]],1))</f>
        <v>0</v>
      </c>
      <c r="AU110" t="b">
        <f>+ISNUMBER(SEARCH('Conc. Ban.1'!$I$9,Tabla11[[#This Row],[Cuenta]],1))</f>
        <v>0</v>
      </c>
      <c r="AV110" t="b">
        <f>+ISNUMBER(SEARCH(CompConta!$F$21,Tabla11[[#This Row],[Cuenta]],1))</f>
        <v>1</v>
      </c>
      <c r="AW110" t="b">
        <f>+ISNUMBER(SEARCH(CompConta!$F$22,Tabla11[[#This Row],[Cuenta]],1))</f>
        <v>1</v>
      </c>
      <c r="AX110" t="b">
        <f>+ISNUMBER(SEARCH(CompConta!$F$23,Tabla11[[#This Row],[Cuenta]],1))</f>
        <v>1</v>
      </c>
      <c r="AY110" t="b">
        <f>+ISNUMBER(SEARCH(CompConta!$F$24,Tabla11[[#This Row],[Cuenta]],1))</f>
        <v>1</v>
      </c>
      <c r="AZ110" t="b">
        <f>+ISNUMBER(SEARCH(CompConta!$F$25,Tabla11[[#This Row],[Cuenta]],1))</f>
        <v>1</v>
      </c>
      <c r="BA110" t="b">
        <f>+ISNUMBER(SEARCH(CompConta!$F$26,Tabla11[[#This Row],[Cuenta]],1))</f>
        <v>1</v>
      </c>
      <c r="BB110" t="b">
        <f>+ISNUMBER(SEARCH(CompConta!$F$27,Tabla11[[#This Row],[Cuenta]],1))</f>
        <v>1</v>
      </c>
      <c r="BC110" t="b">
        <f>+ISNUMBER(SEARCH(CompConta!$F$28,Tabla11[[#This Row],[Cuenta]],1))</f>
        <v>1</v>
      </c>
      <c r="BD110" t="b">
        <f>+ISNUMBER(SEARCH(CompConta!$F$29,Tabla11[[#This Row],[Cuenta]],1))</f>
        <v>1</v>
      </c>
      <c r="BE110" t="b">
        <f>+ISNUMBER(SEARCH(CompConta!$F$30,Tabla11[[#This Row],[Cuenta]],1))</f>
        <v>1</v>
      </c>
      <c r="BF110" t="b">
        <f>+ISNUMBER(SEARCH('PAGO Compras'!$E$11,Tabla11[[#This Row],[Cuenta]],1))</f>
        <v>1</v>
      </c>
      <c r="BG110" t="b">
        <f>+ISNUMBER(SEARCH(#REF!,Tabla11[[#This Row],[Cuenta]],1))</f>
        <v>0</v>
      </c>
      <c r="BH110" t="b">
        <f>+ISNUMBER(SEARCH(#REF!,Tabla11[[#This Row],[Cuenta]],1))</f>
        <v>0</v>
      </c>
      <c r="BI110" t="b">
        <f>+ISNUMBER(SEARCH(#REF!,Tabla11[[#This Row],[Cuenta]],1))</f>
        <v>0</v>
      </c>
      <c r="BJ110" t="b">
        <f>+ISNUMBER(SEARCH(#REF!,Tabla11[[#This Row],[Cuenta]],1))</f>
        <v>0</v>
      </c>
      <c r="BS110" t="str">
        <v>151210 Equipo de oficina</v>
      </c>
      <c r="BT110" t="str">
        <v>151210 Equipo de oficina</v>
      </c>
      <c r="BU110" t="str">
        <v>151210 Equipo de oficina</v>
      </c>
      <c r="BV110" t="str">
        <v>151210 Equipo de oficina</v>
      </c>
      <c r="BZ110" t="str">
        <v>151210 Equipo de oficina</v>
      </c>
      <c r="CA110" t="str">
        <v>151210 Equipo de oficina</v>
      </c>
      <c r="CB110" t="str">
        <v>151210 Equipo de oficina</v>
      </c>
      <c r="CC110" t="str">
        <v>151210 Equipo de oficina</v>
      </c>
      <c r="CD110" t="str">
        <v>151210 Equipo de oficina</v>
      </c>
      <c r="CE110" t="str">
        <v>151210 Equipo de oficina</v>
      </c>
      <c r="CS110" s="141" t="str">
        <v>151210 Equipo de oficina</v>
      </c>
      <c r="CT110" s="141" t="str">
        <v>151210 Equipo de oficina</v>
      </c>
      <c r="CU110" s="141" t="str">
        <v>151210 Equipo de oficina</v>
      </c>
      <c r="CV110" s="141" t="str">
        <v>151210 Equipo de oficina</v>
      </c>
      <c r="CW110" s="141" t="str">
        <v>151210 Equipo de oficina</v>
      </c>
      <c r="CX110" s="141" t="str">
        <v>151210 Equipo de oficina</v>
      </c>
      <c r="CY110" s="141" t="str">
        <v>151210 Equipo de oficina</v>
      </c>
      <c r="CZ110" s="141" t="str">
        <v>151210 Equipo de oficina</v>
      </c>
      <c r="DA110" s="141" t="str">
        <v>151210 Equipo de oficina</v>
      </c>
      <c r="DF110" t="str">
        <v>151210 Equipo de oficina</v>
      </c>
      <c r="DG110" t="str">
        <v>151210 Equipo de oficina</v>
      </c>
      <c r="DH110" t="str">
        <v>151210 Equipo de oficina</v>
      </c>
      <c r="DI110" t="str">
        <v>151210 Equipo de oficina</v>
      </c>
      <c r="DJ110" t="str">
        <v>151210 Equipo de oficina</v>
      </c>
      <c r="DK110" t="str">
        <v>151210 Equipo de oficina</v>
      </c>
      <c r="DL110" t="str">
        <v>151210 Equipo de oficina</v>
      </c>
      <c r="DM110" t="str">
        <v>151210 Equipo de oficina</v>
      </c>
      <c r="DN110" t="str">
        <v>151210 Equipo de oficina</v>
      </c>
      <c r="DO110" t="str">
        <v>151210 Equipo de oficina</v>
      </c>
      <c r="DP110" t="str">
        <v>151210 Equipo de oficina</v>
      </c>
    </row>
    <row r="111" spans="4:120" ht="12.75">
      <c r="D111" s="7">
        <v>151215</v>
      </c>
      <c r="E111" s="6" t="s">
        <v>130</v>
      </c>
      <c r="F111" s="5">
        <v>4</v>
      </c>
      <c r="G111" s="34" t="s">
        <v>822</v>
      </c>
      <c r="H111" s="8" t="s">
        <v>32</v>
      </c>
      <c r="I111" t="b">
        <f>+ISNUMBER(SEARCH('F-COMPRA'!$F$28,Tabla11[[#This Row],[Cuenta]],1))</f>
        <v>1</v>
      </c>
      <c r="J111" t="b">
        <f>+ISNUMBER(SEARCH('F-COMPRA'!$F$29,Tabla11[[#This Row],[Cuenta]],1))</f>
        <v>1</v>
      </c>
      <c r="K111" t="b">
        <f>+ISNUMBER(SEARCH('F-COMPRA'!$F$30,Tabla11[[#This Row],[Cuenta]],1))</f>
        <v>1</v>
      </c>
      <c r="L111" t="b">
        <f>+ISNUMBER(SEARCH('F-COMPRA'!$F$31,Tabla11[[#This Row],[Cuenta]],1))</f>
        <v>1</v>
      </c>
      <c r="M111" t="b">
        <f>+ISNUMBER(SEARCH('F-COMPRA'!$G$25,Tabla11[[#This Row],[Cuenta]],1))</f>
        <v>0</v>
      </c>
      <c r="N111" t="b">
        <f>+ISNUMBER(SEARCH(#REF!,Tabla11[[#This Row],[Cuenta]],1))</f>
        <v>0</v>
      </c>
      <c r="O111" t="b">
        <f>+ISNUMBER(SEARCH(#REF!,Tabla11[[#This Row],[Cuenta]],1))</f>
        <v>0</v>
      </c>
      <c r="P111" t="b">
        <f>+ISNUMBER(SEARCH('F-COMPRA'!$F$32,Tabla11[[#This Row],[Cuenta]],1))</f>
        <v>1</v>
      </c>
      <c r="Q111" t="b">
        <f>+ISNUMBER(SEARCH('F-COMPRA'!$F$33,Tabla11[[#This Row],[Cuenta]],1))</f>
        <v>1</v>
      </c>
      <c r="R111" t="b">
        <f>+ISNUMBER(SEARCH('F-COMPRA'!$F$34,Tabla11[[#This Row],[Cuenta]],1))</f>
        <v>1</v>
      </c>
      <c r="S111" t="b">
        <f>+ISNUMBER(SEARCH('F-COMPRA'!$F$35,Tabla11[[#This Row],[Cuenta]],1))</f>
        <v>1</v>
      </c>
      <c r="T111" t="b">
        <f>+ISNUMBER(SEARCH('F-COMPRA'!$F$36,Tabla11[[#This Row],[Cuenta]],1))</f>
        <v>1</v>
      </c>
      <c r="U111" t="b">
        <f>+ISNUMBER(SEARCH('F-COMPRA'!$F$37,Tabla11[[#This Row],[Cuenta]],1))</f>
        <v>1</v>
      </c>
      <c r="V111" t="b">
        <f>+ISNUMBER(SEARCH(#REF!,Tabla11[[#This Row],[Cuenta]],1))</f>
        <v>0</v>
      </c>
      <c r="W111" t="b">
        <f>+ISNUMBER(SEARCH('F-COMPRA'!#REF!,Tabla11[[#This Row],[Cuenta]],1))</f>
        <v>0</v>
      </c>
      <c r="X111" t="b">
        <f>+ISNUMBER(SEARCH('F-COMPRA'!#REF!,Tabla11[[#This Row],[Cuenta]],1))</f>
        <v>0</v>
      </c>
      <c r="Y111" t="b">
        <f>+ISNUMBER(SEARCH('F-COMPRA'!#REF!,Tabla11[[#This Row],[Cuenta]],1))</f>
        <v>0</v>
      </c>
      <c r="Z111" t="b">
        <f>+ISNUMBER(SEARCH('F-COMPRA'!#REF!,Tabla11[[#This Row],[Cuenta]],1))</f>
        <v>0</v>
      </c>
      <c r="AA111" t="b">
        <f>+ISNUMBER(SEARCH('F-COMPRA'!#REF!,Tabla11[[#This Row],[Cuenta]],1))</f>
        <v>0</v>
      </c>
      <c r="AB111" t="b">
        <f>+ISNUMBER(SEARCH('F-COMPRA'!#REF!,Tabla11[[#This Row],[Cuenta]],1))</f>
        <v>0</v>
      </c>
      <c r="AC111" t="b">
        <f>+ISNUMBER(SEARCH('F-COMPRA'!#REF!,Tabla11[[#This Row],[Cuenta]],1))</f>
        <v>0</v>
      </c>
      <c r="AD111" t="b">
        <f>+ISNUMBER(SEARCH('F-COMPRA'!#REF!,Tabla11[[#This Row],[Cuenta]],1))</f>
        <v>0</v>
      </c>
      <c r="AE111" t="b">
        <f>+ISNUMBER(SEARCH('F-COMPRA'!#REF!,Tabla11[[#This Row],[Cuenta]],1))</f>
        <v>0</v>
      </c>
      <c r="AF111" t="b">
        <f>+ISNUMBER(SEARCH('F-VTA'!$G$23,Tabla11[[#This Row],[Cuenta]],1))</f>
        <v>0</v>
      </c>
      <c r="AG111" t="b">
        <f>+ISNUMBER(SEARCH('F-VTA'!$G$24,Tabla11[[#This Row],[Cuenta]],1))</f>
        <v>0</v>
      </c>
      <c r="AH111" t="b">
        <f>+ISNUMBER(SEARCH('F-VTA'!$G$25,Tabla11[[#This Row],[Cuenta]],1))</f>
        <v>0</v>
      </c>
      <c r="AI111" t="b">
        <f>+ISNUMBER(SEARCH('F-VTA'!$F$28,Tabla11[[#This Row],[Cuenta]],1))</f>
        <v>1</v>
      </c>
      <c r="AJ111" t="b">
        <f>+ISNUMBER(SEARCH('F-VTA'!$F$29,Tabla11[[#This Row],[Cuenta]],1))</f>
        <v>1</v>
      </c>
      <c r="AK111" t="b">
        <f>+ISNUMBER(SEARCH('F-VTA'!$F$30,Tabla11[[#This Row],[Cuenta]],1))</f>
        <v>1</v>
      </c>
      <c r="AL111" t="b">
        <f>+ISNUMBER(SEARCH('F-VTA'!$F$31,Tabla11[[#This Row],[Cuenta]],1))</f>
        <v>1</v>
      </c>
      <c r="AM111" t="b">
        <f>+ISNUMBER(SEARCH('F-VTA'!$F$32,Tabla11[[#This Row],[Cuenta]],1))</f>
        <v>1</v>
      </c>
      <c r="AN111" t="b">
        <f>+ISNUMBER(SEARCH('F-VTA'!$F$33,Tabla11[[#This Row],[Cuenta]],1))</f>
        <v>1</v>
      </c>
      <c r="AO111" t="b">
        <f>+ISNUMBER(SEARCH('F-VTA'!$F$34,Tabla11[[#This Row],[Cuenta]],1))</f>
        <v>1</v>
      </c>
      <c r="AP111" t="b">
        <f>+ISNUMBER(SEARCH('F-VTA'!$F$35,Tabla11[[#This Row],[Cuenta]],1))</f>
        <v>1</v>
      </c>
      <c r="AQ111" t="b">
        <f>+ISNUMBER(SEARCH('F-VTA'!$F$36,Tabla11[[#This Row],[Cuenta]],1))</f>
        <v>1</v>
      </c>
      <c r="AR111" t="b">
        <f>+ISNUMBER(SEARCH(#REF!,Tabla11[[#This Row],[Cuenta]],1))</f>
        <v>0</v>
      </c>
      <c r="AS111" t="b">
        <f>+ISNUMBER(SEARCH(#REF!,Tabla11[[#This Row],[Cuenta]],1))</f>
        <v>0</v>
      </c>
      <c r="AT111" t="b">
        <f>+ISNUMBER(SEARCH(#REF!,Tabla11[[#This Row],[Cuenta]],1))</f>
        <v>0</v>
      </c>
      <c r="AU111" t="b">
        <f>+ISNUMBER(SEARCH('Conc. Ban.1'!$I$9,Tabla11[[#This Row],[Cuenta]],1))</f>
        <v>0</v>
      </c>
      <c r="AV111" t="b">
        <f>+ISNUMBER(SEARCH(CompConta!$F$21,Tabla11[[#This Row],[Cuenta]],1))</f>
        <v>1</v>
      </c>
      <c r="AW111" t="b">
        <f>+ISNUMBER(SEARCH(CompConta!$F$22,Tabla11[[#This Row],[Cuenta]],1))</f>
        <v>1</v>
      </c>
      <c r="AX111" t="b">
        <f>+ISNUMBER(SEARCH(CompConta!$F$23,Tabla11[[#This Row],[Cuenta]],1))</f>
        <v>1</v>
      </c>
      <c r="AY111" t="b">
        <f>+ISNUMBER(SEARCH(CompConta!$F$24,Tabla11[[#This Row],[Cuenta]],1))</f>
        <v>1</v>
      </c>
      <c r="AZ111" t="b">
        <f>+ISNUMBER(SEARCH(CompConta!$F$25,Tabla11[[#This Row],[Cuenta]],1))</f>
        <v>1</v>
      </c>
      <c r="BA111" t="b">
        <f>+ISNUMBER(SEARCH(CompConta!$F$26,Tabla11[[#This Row],[Cuenta]],1))</f>
        <v>1</v>
      </c>
      <c r="BB111" t="b">
        <f>+ISNUMBER(SEARCH(CompConta!$F$27,Tabla11[[#This Row],[Cuenta]],1))</f>
        <v>1</v>
      </c>
      <c r="BC111" t="b">
        <f>+ISNUMBER(SEARCH(CompConta!$F$28,Tabla11[[#This Row],[Cuenta]],1))</f>
        <v>1</v>
      </c>
      <c r="BD111" t="b">
        <f>+ISNUMBER(SEARCH(CompConta!$F$29,Tabla11[[#This Row],[Cuenta]],1))</f>
        <v>1</v>
      </c>
      <c r="BE111" t="b">
        <f>+ISNUMBER(SEARCH(CompConta!$F$30,Tabla11[[#This Row],[Cuenta]],1))</f>
        <v>1</v>
      </c>
      <c r="BF111" t="b">
        <f>+ISNUMBER(SEARCH('PAGO Compras'!$E$11,Tabla11[[#This Row],[Cuenta]],1))</f>
        <v>1</v>
      </c>
      <c r="BG111" t="b">
        <f>+ISNUMBER(SEARCH(#REF!,Tabla11[[#This Row],[Cuenta]],1))</f>
        <v>0</v>
      </c>
      <c r="BH111" t="b">
        <f>+ISNUMBER(SEARCH(#REF!,Tabla11[[#This Row],[Cuenta]],1))</f>
        <v>0</v>
      </c>
      <c r="BI111" t="b">
        <f>+ISNUMBER(SEARCH(#REF!,Tabla11[[#This Row],[Cuenta]],1))</f>
        <v>0</v>
      </c>
      <c r="BJ111" t="b">
        <f>+ISNUMBER(SEARCH(#REF!,Tabla11[[#This Row],[Cuenta]],1))</f>
        <v>0</v>
      </c>
      <c r="BS111" t="str">
        <v>151215 Equipo de computación y comunicación</v>
      </c>
      <c r="BT111" t="str">
        <v>151215 Equipo de computación y comunicación</v>
      </c>
      <c r="BU111" t="str">
        <v>151215 Equipo de computación y comunicación</v>
      </c>
      <c r="BV111" t="str">
        <v>151215 Equipo de computación y comunicación</v>
      </c>
      <c r="BZ111" t="str">
        <v>151215 Equipo de computación y comunicación</v>
      </c>
      <c r="CA111" t="str">
        <v>151215 Equipo de computación y comunicación</v>
      </c>
      <c r="CB111" t="str">
        <v>151215 Equipo de computación y comunicación</v>
      </c>
      <c r="CC111" t="str">
        <v>151215 Equipo de computación y comunicación</v>
      </c>
      <c r="CD111" t="str">
        <v>151215 Equipo de computación y comunicación</v>
      </c>
      <c r="CE111" t="str">
        <v>151215 Equipo de computación y comunicación</v>
      </c>
      <c r="CS111" s="141" t="str">
        <v>151215 Equipo de computación y comunicación</v>
      </c>
      <c r="CT111" s="141" t="str">
        <v>151215 Equipo de computación y comunicación</v>
      </c>
      <c r="CU111" s="141" t="str">
        <v>151215 Equipo de computación y comunicación</v>
      </c>
      <c r="CV111" s="141" t="str">
        <v>151215 Equipo de computación y comunicación</v>
      </c>
      <c r="CW111" s="141" t="str">
        <v>151215 Equipo de computación y comunicación</v>
      </c>
      <c r="CX111" s="141" t="str">
        <v>151215 Equipo de computación y comunicación</v>
      </c>
      <c r="CY111" s="141" t="str">
        <v>151215 Equipo de computación y comunicación</v>
      </c>
      <c r="CZ111" s="141" t="str">
        <v>151215 Equipo de computación y comunicación</v>
      </c>
      <c r="DA111" s="141" t="str">
        <v>151215 Equipo de computación y comunicación</v>
      </c>
      <c r="DF111" t="str">
        <v>151215 Equipo de computación y comunicación</v>
      </c>
      <c r="DG111" t="str">
        <v>151215 Equipo de computación y comunicación</v>
      </c>
      <c r="DH111" t="str">
        <v>151215 Equipo de computación y comunicación</v>
      </c>
      <c r="DI111" t="str">
        <v>151215 Equipo de computación y comunicación</v>
      </c>
      <c r="DJ111" t="str">
        <v>151215 Equipo de computación y comunicación</v>
      </c>
      <c r="DK111" t="str">
        <v>151215 Equipo de computación y comunicación</v>
      </c>
      <c r="DL111" t="str">
        <v>151215 Equipo de computación y comunicación</v>
      </c>
      <c r="DM111" t="str">
        <v>151215 Equipo de computación y comunicación</v>
      </c>
      <c r="DN111" t="str">
        <v>151215 Equipo de computación y comunicación</v>
      </c>
      <c r="DO111" t="str">
        <v>151215 Equipo de computación y comunicación</v>
      </c>
      <c r="DP111" t="str">
        <v>151215 Equipo de computación y comunicación</v>
      </c>
    </row>
    <row r="112" spans="4:120" ht="12.75">
      <c r="D112" s="7">
        <v>151220</v>
      </c>
      <c r="E112" s="6" t="s">
        <v>131</v>
      </c>
      <c r="F112" s="5">
        <v>4</v>
      </c>
      <c r="G112" s="34" t="s">
        <v>822</v>
      </c>
      <c r="H112" s="8" t="s">
        <v>32</v>
      </c>
      <c r="I112" t="b">
        <f>+ISNUMBER(SEARCH('F-COMPRA'!$F$28,Tabla11[[#This Row],[Cuenta]],1))</f>
        <v>1</v>
      </c>
      <c r="J112" t="b">
        <f>+ISNUMBER(SEARCH('F-COMPRA'!$F$29,Tabla11[[#This Row],[Cuenta]],1))</f>
        <v>1</v>
      </c>
      <c r="K112" t="b">
        <f>+ISNUMBER(SEARCH('F-COMPRA'!$F$30,Tabla11[[#This Row],[Cuenta]],1))</f>
        <v>1</v>
      </c>
      <c r="L112" t="b">
        <f>+ISNUMBER(SEARCH('F-COMPRA'!$F$31,Tabla11[[#This Row],[Cuenta]],1))</f>
        <v>1</v>
      </c>
      <c r="M112" t="b">
        <f>+ISNUMBER(SEARCH('F-COMPRA'!$G$25,Tabla11[[#This Row],[Cuenta]],1))</f>
        <v>0</v>
      </c>
      <c r="N112" t="b">
        <f>+ISNUMBER(SEARCH(#REF!,Tabla11[[#This Row],[Cuenta]],1))</f>
        <v>0</v>
      </c>
      <c r="O112" t="b">
        <f>+ISNUMBER(SEARCH(#REF!,Tabla11[[#This Row],[Cuenta]],1))</f>
        <v>0</v>
      </c>
      <c r="P112" t="b">
        <f>+ISNUMBER(SEARCH('F-COMPRA'!$F$32,Tabla11[[#This Row],[Cuenta]],1))</f>
        <v>1</v>
      </c>
      <c r="Q112" t="b">
        <f>+ISNUMBER(SEARCH('F-COMPRA'!$F$33,Tabla11[[#This Row],[Cuenta]],1))</f>
        <v>1</v>
      </c>
      <c r="R112" t="b">
        <f>+ISNUMBER(SEARCH('F-COMPRA'!$F$34,Tabla11[[#This Row],[Cuenta]],1))</f>
        <v>1</v>
      </c>
      <c r="S112" t="b">
        <f>+ISNUMBER(SEARCH('F-COMPRA'!$F$35,Tabla11[[#This Row],[Cuenta]],1))</f>
        <v>1</v>
      </c>
      <c r="T112" t="b">
        <f>+ISNUMBER(SEARCH('F-COMPRA'!$F$36,Tabla11[[#This Row],[Cuenta]],1))</f>
        <v>1</v>
      </c>
      <c r="U112" t="b">
        <f>+ISNUMBER(SEARCH('F-COMPRA'!$F$37,Tabla11[[#This Row],[Cuenta]],1))</f>
        <v>1</v>
      </c>
      <c r="V112" t="b">
        <f>+ISNUMBER(SEARCH(#REF!,Tabla11[[#This Row],[Cuenta]],1))</f>
        <v>0</v>
      </c>
      <c r="W112" t="b">
        <f>+ISNUMBER(SEARCH('F-COMPRA'!#REF!,Tabla11[[#This Row],[Cuenta]],1))</f>
        <v>0</v>
      </c>
      <c r="X112" t="b">
        <f>+ISNUMBER(SEARCH('F-COMPRA'!#REF!,Tabla11[[#This Row],[Cuenta]],1))</f>
        <v>0</v>
      </c>
      <c r="Y112" t="b">
        <f>+ISNUMBER(SEARCH('F-COMPRA'!#REF!,Tabla11[[#This Row],[Cuenta]],1))</f>
        <v>0</v>
      </c>
      <c r="Z112" t="b">
        <f>+ISNUMBER(SEARCH('F-COMPRA'!#REF!,Tabla11[[#This Row],[Cuenta]],1))</f>
        <v>0</v>
      </c>
      <c r="AA112" t="b">
        <f>+ISNUMBER(SEARCH('F-COMPRA'!#REF!,Tabla11[[#This Row],[Cuenta]],1))</f>
        <v>0</v>
      </c>
      <c r="AB112" t="b">
        <f>+ISNUMBER(SEARCH('F-COMPRA'!#REF!,Tabla11[[#This Row],[Cuenta]],1))</f>
        <v>0</v>
      </c>
      <c r="AC112" t="b">
        <f>+ISNUMBER(SEARCH('F-COMPRA'!#REF!,Tabla11[[#This Row],[Cuenta]],1))</f>
        <v>0</v>
      </c>
      <c r="AD112" t="b">
        <f>+ISNUMBER(SEARCH('F-COMPRA'!#REF!,Tabla11[[#This Row],[Cuenta]],1))</f>
        <v>0</v>
      </c>
      <c r="AE112" t="b">
        <f>+ISNUMBER(SEARCH('F-COMPRA'!#REF!,Tabla11[[#This Row],[Cuenta]],1))</f>
        <v>0</v>
      </c>
      <c r="AF112" t="b">
        <f>+ISNUMBER(SEARCH('F-VTA'!$G$23,Tabla11[[#This Row],[Cuenta]],1))</f>
        <v>0</v>
      </c>
      <c r="AG112" t="b">
        <f>+ISNUMBER(SEARCH('F-VTA'!$G$24,Tabla11[[#This Row],[Cuenta]],1))</f>
        <v>0</v>
      </c>
      <c r="AH112" t="b">
        <f>+ISNUMBER(SEARCH('F-VTA'!$G$25,Tabla11[[#This Row],[Cuenta]],1))</f>
        <v>0</v>
      </c>
      <c r="AI112" t="b">
        <f>+ISNUMBER(SEARCH('F-VTA'!$F$28,Tabla11[[#This Row],[Cuenta]],1))</f>
        <v>1</v>
      </c>
      <c r="AJ112" t="b">
        <f>+ISNUMBER(SEARCH('F-VTA'!$F$29,Tabla11[[#This Row],[Cuenta]],1))</f>
        <v>1</v>
      </c>
      <c r="AK112" t="b">
        <f>+ISNUMBER(SEARCH('F-VTA'!$F$30,Tabla11[[#This Row],[Cuenta]],1))</f>
        <v>1</v>
      </c>
      <c r="AL112" t="b">
        <f>+ISNUMBER(SEARCH('F-VTA'!$F$31,Tabla11[[#This Row],[Cuenta]],1))</f>
        <v>1</v>
      </c>
      <c r="AM112" t="b">
        <f>+ISNUMBER(SEARCH('F-VTA'!$F$32,Tabla11[[#This Row],[Cuenta]],1))</f>
        <v>1</v>
      </c>
      <c r="AN112" t="b">
        <f>+ISNUMBER(SEARCH('F-VTA'!$F$33,Tabla11[[#This Row],[Cuenta]],1))</f>
        <v>1</v>
      </c>
      <c r="AO112" t="b">
        <f>+ISNUMBER(SEARCH('F-VTA'!$F$34,Tabla11[[#This Row],[Cuenta]],1))</f>
        <v>1</v>
      </c>
      <c r="AP112" t="b">
        <f>+ISNUMBER(SEARCH('F-VTA'!$F$35,Tabla11[[#This Row],[Cuenta]],1))</f>
        <v>1</v>
      </c>
      <c r="AQ112" t="b">
        <f>+ISNUMBER(SEARCH('F-VTA'!$F$36,Tabla11[[#This Row],[Cuenta]],1))</f>
        <v>1</v>
      </c>
      <c r="AR112" t="b">
        <f>+ISNUMBER(SEARCH(#REF!,Tabla11[[#This Row],[Cuenta]],1))</f>
        <v>0</v>
      </c>
      <c r="AS112" t="b">
        <f>+ISNUMBER(SEARCH(#REF!,Tabla11[[#This Row],[Cuenta]],1))</f>
        <v>0</v>
      </c>
      <c r="AT112" t="b">
        <f>+ISNUMBER(SEARCH(#REF!,Tabla11[[#This Row],[Cuenta]],1))</f>
        <v>0</v>
      </c>
      <c r="AU112" t="b">
        <f>+ISNUMBER(SEARCH('Conc. Ban.1'!$I$9,Tabla11[[#This Row],[Cuenta]],1))</f>
        <v>0</v>
      </c>
      <c r="AV112" t="b">
        <f>+ISNUMBER(SEARCH(CompConta!$F$21,Tabla11[[#This Row],[Cuenta]],1))</f>
        <v>1</v>
      </c>
      <c r="AW112" t="b">
        <f>+ISNUMBER(SEARCH(CompConta!$F$22,Tabla11[[#This Row],[Cuenta]],1))</f>
        <v>1</v>
      </c>
      <c r="AX112" t="b">
        <f>+ISNUMBER(SEARCH(CompConta!$F$23,Tabla11[[#This Row],[Cuenta]],1))</f>
        <v>1</v>
      </c>
      <c r="AY112" t="b">
        <f>+ISNUMBER(SEARCH(CompConta!$F$24,Tabla11[[#This Row],[Cuenta]],1))</f>
        <v>1</v>
      </c>
      <c r="AZ112" t="b">
        <f>+ISNUMBER(SEARCH(CompConta!$F$25,Tabla11[[#This Row],[Cuenta]],1))</f>
        <v>1</v>
      </c>
      <c r="BA112" t="b">
        <f>+ISNUMBER(SEARCH(CompConta!$F$26,Tabla11[[#This Row],[Cuenta]],1))</f>
        <v>1</v>
      </c>
      <c r="BB112" t="b">
        <f>+ISNUMBER(SEARCH(CompConta!$F$27,Tabla11[[#This Row],[Cuenta]],1))</f>
        <v>1</v>
      </c>
      <c r="BC112" t="b">
        <f>+ISNUMBER(SEARCH(CompConta!$F$28,Tabla11[[#This Row],[Cuenta]],1))</f>
        <v>1</v>
      </c>
      <c r="BD112" t="b">
        <f>+ISNUMBER(SEARCH(CompConta!$F$29,Tabla11[[#This Row],[Cuenta]],1))</f>
        <v>1</v>
      </c>
      <c r="BE112" t="b">
        <f>+ISNUMBER(SEARCH(CompConta!$F$30,Tabla11[[#This Row],[Cuenta]],1))</f>
        <v>1</v>
      </c>
      <c r="BF112" t="b">
        <f>+ISNUMBER(SEARCH('PAGO Compras'!$E$11,Tabla11[[#This Row],[Cuenta]],1))</f>
        <v>1</v>
      </c>
      <c r="BG112" t="b">
        <f>+ISNUMBER(SEARCH(#REF!,Tabla11[[#This Row],[Cuenta]],1))</f>
        <v>0</v>
      </c>
      <c r="BH112" t="b">
        <f>+ISNUMBER(SEARCH(#REF!,Tabla11[[#This Row],[Cuenta]],1))</f>
        <v>0</v>
      </c>
      <c r="BI112" t="b">
        <f>+ISNUMBER(SEARCH(#REF!,Tabla11[[#This Row],[Cuenta]],1))</f>
        <v>0</v>
      </c>
      <c r="BJ112" t="b">
        <f>+ISNUMBER(SEARCH(#REF!,Tabla11[[#This Row],[Cuenta]],1))</f>
        <v>0</v>
      </c>
      <c r="BS112" t="str">
        <v>151220 Equipo médico-científico</v>
      </c>
      <c r="BT112" t="str">
        <v>151220 Equipo médico-científico</v>
      </c>
      <c r="BU112" t="str">
        <v>151220 Equipo médico-científico</v>
      </c>
      <c r="BV112" t="str">
        <v>151220 Equipo médico-científico</v>
      </c>
      <c r="BZ112" t="str">
        <v>151220 Equipo médico-científico</v>
      </c>
      <c r="CA112" t="str">
        <v>151220 Equipo médico-científico</v>
      </c>
      <c r="CB112" t="str">
        <v>151220 Equipo médico-científico</v>
      </c>
      <c r="CC112" t="str">
        <v>151220 Equipo médico-científico</v>
      </c>
      <c r="CD112" t="str">
        <v>151220 Equipo médico-científico</v>
      </c>
      <c r="CE112" t="str">
        <v>151220 Equipo médico-científico</v>
      </c>
      <c r="CS112" s="141" t="str">
        <v>151220 Equipo médico-científico</v>
      </c>
      <c r="CT112" s="141" t="str">
        <v>151220 Equipo médico-científico</v>
      </c>
      <c r="CU112" s="141" t="str">
        <v>151220 Equipo médico-científico</v>
      </c>
      <c r="CV112" s="141" t="str">
        <v>151220 Equipo médico-científico</v>
      </c>
      <c r="CW112" s="141" t="str">
        <v>151220 Equipo médico-científico</v>
      </c>
      <c r="CX112" s="141" t="str">
        <v>151220 Equipo médico-científico</v>
      </c>
      <c r="CY112" s="141" t="str">
        <v>151220 Equipo médico-científico</v>
      </c>
      <c r="CZ112" s="141" t="str">
        <v>151220 Equipo médico-científico</v>
      </c>
      <c r="DA112" s="141" t="str">
        <v>151220 Equipo médico-científico</v>
      </c>
      <c r="DF112" t="str">
        <v>151220 Equipo médico-científico</v>
      </c>
      <c r="DG112" t="str">
        <v>151220 Equipo médico-científico</v>
      </c>
      <c r="DH112" t="str">
        <v>151220 Equipo médico-científico</v>
      </c>
      <c r="DI112" t="str">
        <v>151220 Equipo médico-científico</v>
      </c>
      <c r="DJ112" t="str">
        <v>151220 Equipo médico-científico</v>
      </c>
      <c r="DK112" t="str">
        <v>151220 Equipo médico-científico</v>
      </c>
      <c r="DL112" t="str">
        <v>151220 Equipo médico-científico</v>
      </c>
      <c r="DM112" t="str">
        <v>151220 Equipo médico-científico</v>
      </c>
      <c r="DN112" t="str">
        <v>151220 Equipo médico-científico</v>
      </c>
      <c r="DO112" t="str">
        <v>151220 Equipo médico-científico</v>
      </c>
      <c r="DP112" t="str">
        <v>151220 Equipo médico-científico</v>
      </c>
    </row>
    <row r="113" spans="4:120" ht="12.75">
      <c r="D113" s="7">
        <v>151225</v>
      </c>
      <c r="E113" s="6" t="s">
        <v>132</v>
      </c>
      <c r="F113" s="5">
        <v>4</v>
      </c>
      <c r="G113" s="34" t="s">
        <v>822</v>
      </c>
      <c r="H113" s="8" t="s">
        <v>32</v>
      </c>
      <c r="I113" t="b">
        <f>+ISNUMBER(SEARCH('F-COMPRA'!$F$28,Tabla11[[#This Row],[Cuenta]],1))</f>
        <v>1</v>
      </c>
      <c r="J113" t="b">
        <f>+ISNUMBER(SEARCH('F-COMPRA'!$F$29,Tabla11[[#This Row],[Cuenta]],1))</f>
        <v>1</v>
      </c>
      <c r="K113" t="b">
        <f>+ISNUMBER(SEARCH('F-COMPRA'!$F$30,Tabla11[[#This Row],[Cuenta]],1))</f>
        <v>1</v>
      </c>
      <c r="L113" t="b">
        <f>+ISNUMBER(SEARCH('F-COMPRA'!$F$31,Tabla11[[#This Row],[Cuenta]],1))</f>
        <v>1</v>
      </c>
      <c r="M113" t="b">
        <f>+ISNUMBER(SEARCH('F-COMPRA'!$G$25,Tabla11[[#This Row],[Cuenta]],1))</f>
        <v>0</v>
      </c>
      <c r="N113" t="b">
        <f>+ISNUMBER(SEARCH(#REF!,Tabla11[[#This Row],[Cuenta]],1))</f>
        <v>0</v>
      </c>
      <c r="O113" t="b">
        <f>+ISNUMBER(SEARCH(#REF!,Tabla11[[#This Row],[Cuenta]],1))</f>
        <v>0</v>
      </c>
      <c r="P113" t="b">
        <f>+ISNUMBER(SEARCH('F-COMPRA'!$F$32,Tabla11[[#This Row],[Cuenta]],1))</f>
        <v>1</v>
      </c>
      <c r="Q113" t="b">
        <f>+ISNUMBER(SEARCH('F-COMPRA'!$F$33,Tabla11[[#This Row],[Cuenta]],1))</f>
        <v>1</v>
      </c>
      <c r="R113" t="b">
        <f>+ISNUMBER(SEARCH('F-COMPRA'!$F$34,Tabla11[[#This Row],[Cuenta]],1))</f>
        <v>1</v>
      </c>
      <c r="S113" t="b">
        <f>+ISNUMBER(SEARCH('F-COMPRA'!$F$35,Tabla11[[#This Row],[Cuenta]],1))</f>
        <v>1</v>
      </c>
      <c r="T113" t="b">
        <f>+ISNUMBER(SEARCH('F-COMPRA'!$F$36,Tabla11[[#This Row],[Cuenta]],1))</f>
        <v>1</v>
      </c>
      <c r="U113" t="b">
        <f>+ISNUMBER(SEARCH('F-COMPRA'!$F$37,Tabla11[[#This Row],[Cuenta]],1))</f>
        <v>1</v>
      </c>
      <c r="V113" t="b">
        <f>+ISNUMBER(SEARCH(#REF!,Tabla11[[#This Row],[Cuenta]],1))</f>
        <v>0</v>
      </c>
      <c r="W113" t="b">
        <f>+ISNUMBER(SEARCH('F-COMPRA'!#REF!,Tabla11[[#This Row],[Cuenta]],1))</f>
        <v>0</v>
      </c>
      <c r="X113" t="b">
        <f>+ISNUMBER(SEARCH('F-COMPRA'!#REF!,Tabla11[[#This Row],[Cuenta]],1))</f>
        <v>0</v>
      </c>
      <c r="Y113" t="b">
        <f>+ISNUMBER(SEARCH('F-COMPRA'!#REF!,Tabla11[[#This Row],[Cuenta]],1))</f>
        <v>0</v>
      </c>
      <c r="Z113" t="b">
        <f>+ISNUMBER(SEARCH('F-COMPRA'!#REF!,Tabla11[[#This Row],[Cuenta]],1))</f>
        <v>0</v>
      </c>
      <c r="AA113" t="b">
        <f>+ISNUMBER(SEARCH('F-COMPRA'!#REF!,Tabla11[[#This Row],[Cuenta]],1))</f>
        <v>0</v>
      </c>
      <c r="AB113" t="b">
        <f>+ISNUMBER(SEARCH('F-COMPRA'!#REF!,Tabla11[[#This Row],[Cuenta]],1))</f>
        <v>0</v>
      </c>
      <c r="AC113" t="b">
        <f>+ISNUMBER(SEARCH('F-COMPRA'!#REF!,Tabla11[[#This Row],[Cuenta]],1))</f>
        <v>0</v>
      </c>
      <c r="AD113" t="b">
        <f>+ISNUMBER(SEARCH('F-COMPRA'!#REF!,Tabla11[[#This Row],[Cuenta]],1))</f>
        <v>0</v>
      </c>
      <c r="AE113" t="b">
        <f>+ISNUMBER(SEARCH('F-COMPRA'!#REF!,Tabla11[[#This Row],[Cuenta]],1))</f>
        <v>0</v>
      </c>
      <c r="AF113" t="b">
        <f>+ISNUMBER(SEARCH('F-VTA'!$G$23,Tabla11[[#This Row],[Cuenta]],1))</f>
        <v>0</v>
      </c>
      <c r="AG113" t="b">
        <f>+ISNUMBER(SEARCH('F-VTA'!$G$24,Tabla11[[#This Row],[Cuenta]],1))</f>
        <v>0</v>
      </c>
      <c r="AH113" t="b">
        <f>+ISNUMBER(SEARCH('F-VTA'!$G$25,Tabla11[[#This Row],[Cuenta]],1))</f>
        <v>0</v>
      </c>
      <c r="AI113" t="b">
        <f>+ISNUMBER(SEARCH('F-VTA'!$F$28,Tabla11[[#This Row],[Cuenta]],1))</f>
        <v>1</v>
      </c>
      <c r="AJ113" t="b">
        <f>+ISNUMBER(SEARCH('F-VTA'!$F$29,Tabla11[[#This Row],[Cuenta]],1))</f>
        <v>1</v>
      </c>
      <c r="AK113" t="b">
        <f>+ISNUMBER(SEARCH('F-VTA'!$F$30,Tabla11[[#This Row],[Cuenta]],1))</f>
        <v>1</v>
      </c>
      <c r="AL113" t="b">
        <f>+ISNUMBER(SEARCH('F-VTA'!$F$31,Tabla11[[#This Row],[Cuenta]],1))</f>
        <v>1</v>
      </c>
      <c r="AM113" t="b">
        <f>+ISNUMBER(SEARCH('F-VTA'!$F$32,Tabla11[[#This Row],[Cuenta]],1))</f>
        <v>1</v>
      </c>
      <c r="AN113" t="b">
        <f>+ISNUMBER(SEARCH('F-VTA'!$F$33,Tabla11[[#This Row],[Cuenta]],1))</f>
        <v>1</v>
      </c>
      <c r="AO113" t="b">
        <f>+ISNUMBER(SEARCH('F-VTA'!$F$34,Tabla11[[#This Row],[Cuenta]],1))</f>
        <v>1</v>
      </c>
      <c r="AP113" t="b">
        <f>+ISNUMBER(SEARCH('F-VTA'!$F$35,Tabla11[[#This Row],[Cuenta]],1))</f>
        <v>1</v>
      </c>
      <c r="AQ113" t="b">
        <f>+ISNUMBER(SEARCH('F-VTA'!$F$36,Tabla11[[#This Row],[Cuenta]],1))</f>
        <v>1</v>
      </c>
      <c r="AR113" t="b">
        <f>+ISNUMBER(SEARCH(#REF!,Tabla11[[#This Row],[Cuenta]],1))</f>
        <v>0</v>
      </c>
      <c r="AS113" t="b">
        <f>+ISNUMBER(SEARCH(#REF!,Tabla11[[#This Row],[Cuenta]],1))</f>
        <v>0</v>
      </c>
      <c r="AT113" t="b">
        <f>+ISNUMBER(SEARCH(#REF!,Tabla11[[#This Row],[Cuenta]],1))</f>
        <v>0</v>
      </c>
      <c r="AU113" t="b">
        <f>+ISNUMBER(SEARCH('Conc. Ban.1'!$I$9,Tabla11[[#This Row],[Cuenta]],1))</f>
        <v>0</v>
      </c>
      <c r="AV113" t="b">
        <f>+ISNUMBER(SEARCH(CompConta!$F$21,Tabla11[[#This Row],[Cuenta]],1))</f>
        <v>1</v>
      </c>
      <c r="AW113" t="b">
        <f>+ISNUMBER(SEARCH(CompConta!$F$22,Tabla11[[#This Row],[Cuenta]],1))</f>
        <v>1</v>
      </c>
      <c r="AX113" t="b">
        <f>+ISNUMBER(SEARCH(CompConta!$F$23,Tabla11[[#This Row],[Cuenta]],1))</f>
        <v>1</v>
      </c>
      <c r="AY113" t="b">
        <f>+ISNUMBER(SEARCH(CompConta!$F$24,Tabla11[[#This Row],[Cuenta]],1))</f>
        <v>1</v>
      </c>
      <c r="AZ113" t="b">
        <f>+ISNUMBER(SEARCH(CompConta!$F$25,Tabla11[[#This Row],[Cuenta]],1))</f>
        <v>1</v>
      </c>
      <c r="BA113" t="b">
        <f>+ISNUMBER(SEARCH(CompConta!$F$26,Tabla11[[#This Row],[Cuenta]],1))</f>
        <v>1</v>
      </c>
      <c r="BB113" t="b">
        <f>+ISNUMBER(SEARCH(CompConta!$F$27,Tabla11[[#This Row],[Cuenta]],1))</f>
        <v>1</v>
      </c>
      <c r="BC113" t="b">
        <f>+ISNUMBER(SEARCH(CompConta!$F$28,Tabla11[[#This Row],[Cuenta]],1))</f>
        <v>1</v>
      </c>
      <c r="BD113" t="b">
        <f>+ISNUMBER(SEARCH(CompConta!$F$29,Tabla11[[#This Row],[Cuenta]],1))</f>
        <v>1</v>
      </c>
      <c r="BE113" t="b">
        <f>+ISNUMBER(SEARCH(CompConta!$F$30,Tabla11[[#This Row],[Cuenta]],1))</f>
        <v>1</v>
      </c>
      <c r="BF113" t="b">
        <f>+ISNUMBER(SEARCH('PAGO Compras'!$E$11,Tabla11[[#This Row],[Cuenta]],1))</f>
        <v>1</v>
      </c>
      <c r="BG113" t="b">
        <f>+ISNUMBER(SEARCH(#REF!,Tabla11[[#This Row],[Cuenta]],1))</f>
        <v>0</v>
      </c>
      <c r="BH113" t="b">
        <f>+ISNUMBER(SEARCH(#REF!,Tabla11[[#This Row],[Cuenta]],1))</f>
        <v>0</v>
      </c>
      <c r="BI113" t="b">
        <f>+ISNUMBER(SEARCH(#REF!,Tabla11[[#This Row],[Cuenta]],1))</f>
        <v>0</v>
      </c>
      <c r="BJ113" t="b">
        <f>+ISNUMBER(SEARCH(#REF!,Tabla11[[#This Row],[Cuenta]],1))</f>
        <v>0</v>
      </c>
      <c r="BS113" t="str">
        <v>151225 Equipo de hoteles y restaurantes</v>
      </c>
      <c r="BT113" t="str">
        <v>151225 Equipo de hoteles y restaurantes</v>
      </c>
      <c r="BU113" t="str">
        <v>151225 Equipo de hoteles y restaurantes</v>
      </c>
      <c r="BV113" t="str">
        <v>151225 Equipo de hoteles y restaurantes</v>
      </c>
      <c r="BZ113" t="str">
        <v>151225 Equipo de hoteles y restaurantes</v>
      </c>
      <c r="CA113" t="str">
        <v>151225 Equipo de hoteles y restaurantes</v>
      </c>
      <c r="CB113" t="str">
        <v>151225 Equipo de hoteles y restaurantes</v>
      </c>
      <c r="CC113" t="str">
        <v>151225 Equipo de hoteles y restaurantes</v>
      </c>
      <c r="CD113" t="str">
        <v>151225 Equipo de hoteles y restaurantes</v>
      </c>
      <c r="CE113" t="str">
        <v>151225 Equipo de hoteles y restaurantes</v>
      </c>
      <c r="CS113" s="141" t="str">
        <v>151225 Equipo de hoteles y restaurantes</v>
      </c>
      <c r="CT113" s="141" t="str">
        <v>151225 Equipo de hoteles y restaurantes</v>
      </c>
      <c r="CU113" s="141" t="str">
        <v>151225 Equipo de hoteles y restaurantes</v>
      </c>
      <c r="CV113" s="141" t="str">
        <v>151225 Equipo de hoteles y restaurantes</v>
      </c>
      <c r="CW113" s="141" t="str">
        <v>151225 Equipo de hoteles y restaurantes</v>
      </c>
      <c r="CX113" s="141" t="str">
        <v>151225 Equipo de hoteles y restaurantes</v>
      </c>
      <c r="CY113" s="141" t="str">
        <v>151225 Equipo de hoteles y restaurantes</v>
      </c>
      <c r="CZ113" s="141" t="str">
        <v>151225 Equipo de hoteles y restaurantes</v>
      </c>
      <c r="DA113" s="141" t="str">
        <v>151225 Equipo de hoteles y restaurantes</v>
      </c>
      <c r="DF113" t="str">
        <v>151225 Equipo de hoteles y restaurantes</v>
      </c>
      <c r="DG113" t="str">
        <v>151225 Equipo de hoteles y restaurantes</v>
      </c>
      <c r="DH113" t="str">
        <v>151225 Equipo de hoteles y restaurantes</v>
      </c>
      <c r="DI113" t="str">
        <v>151225 Equipo de hoteles y restaurantes</v>
      </c>
      <c r="DJ113" t="str">
        <v>151225 Equipo de hoteles y restaurantes</v>
      </c>
      <c r="DK113" t="str">
        <v>151225 Equipo de hoteles y restaurantes</v>
      </c>
      <c r="DL113" t="str">
        <v>151225 Equipo de hoteles y restaurantes</v>
      </c>
      <c r="DM113" t="str">
        <v>151225 Equipo de hoteles y restaurantes</v>
      </c>
      <c r="DN113" t="str">
        <v>151225 Equipo de hoteles y restaurantes</v>
      </c>
      <c r="DO113" t="str">
        <v>151225 Equipo de hoteles y restaurantes</v>
      </c>
      <c r="DP113" t="str">
        <v>151225 Equipo de hoteles y restaurantes</v>
      </c>
    </row>
    <row r="114" spans="4:120" ht="12.75">
      <c r="D114" s="7">
        <v>151230</v>
      </c>
      <c r="E114" s="6" t="s">
        <v>133</v>
      </c>
      <c r="F114" s="5">
        <v>4</v>
      </c>
      <c r="G114" s="34" t="s">
        <v>822</v>
      </c>
      <c r="H114" s="8" t="s">
        <v>32</v>
      </c>
      <c r="I114" t="b">
        <f>+ISNUMBER(SEARCH('F-COMPRA'!$F$28,Tabla11[[#This Row],[Cuenta]],1))</f>
        <v>1</v>
      </c>
      <c r="J114" t="b">
        <f>+ISNUMBER(SEARCH('F-COMPRA'!$F$29,Tabla11[[#This Row],[Cuenta]],1))</f>
        <v>1</v>
      </c>
      <c r="K114" t="b">
        <f>+ISNUMBER(SEARCH('F-COMPRA'!$F$30,Tabla11[[#This Row],[Cuenta]],1))</f>
        <v>1</v>
      </c>
      <c r="L114" t="b">
        <f>+ISNUMBER(SEARCH('F-COMPRA'!$F$31,Tabla11[[#This Row],[Cuenta]],1))</f>
        <v>1</v>
      </c>
      <c r="M114" t="b">
        <f>+ISNUMBER(SEARCH('F-COMPRA'!$G$25,Tabla11[[#This Row],[Cuenta]],1))</f>
        <v>0</v>
      </c>
      <c r="N114" t="b">
        <f>+ISNUMBER(SEARCH(#REF!,Tabla11[[#This Row],[Cuenta]],1))</f>
        <v>0</v>
      </c>
      <c r="O114" t="b">
        <f>+ISNUMBER(SEARCH(#REF!,Tabla11[[#This Row],[Cuenta]],1))</f>
        <v>0</v>
      </c>
      <c r="P114" t="b">
        <f>+ISNUMBER(SEARCH('F-COMPRA'!$F$32,Tabla11[[#This Row],[Cuenta]],1))</f>
        <v>1</v>
      </c>
      <c r="Q114" t="b">
        <f>+ISNUMBER(SEARCH('F-COMPRA'!$F$33,Tabla11[[#This Row],[Cuenta]],1))</f>
        <v>1</v>
      </c>
      <c r="R114" t="b">
        <f>+ISNUMBER(SEARCH('F-COMPRA'!$F$34,Tabla11[[#This Row],[Cuenta]],1))</f>
        <v>1</v>
      </c>
      <c r="S114" t="b">
        <f>+ISNUMBER(SEARCH('F-COMPRA'!$F$35,Tabla11[[#This Row],[Cuenta]],1))</f>
        <v>1</v>
      </c>
      <c r="T114" t="b">
        <f>+ISNUMBER(SEARCH('F-COMPRA'!$F$36,Tabla11[[#This Row],[Cuenta]],1))</f>
        <v>1</v>
      </c>
      <c r="U114" t="b">
        <f>+ISNUMBER(SEARCH('F-COMPRA'!$F$37,Tabla11[[#This Row],[Cuenta]],1))</f>
        <v>1</v>
      </c>
      <c r="V114" t="b">
        <f>+ISNUMBER(SEARCH(#REF!,Tabla11[[#This Row],[Cuenta]],1))</f>
        <v>0</v>
      </c>
      <c r="W114" t="b">
        <f>+ISNUMBER(SEARCH('F-COMPRA'!#REF!,Tabla11[[#This Row],[Cuenta]],1))</f>
        <v>0</v>
      </c>
      <c r="X114" t="b">
        <f>+ISNUMBER(SEARCH('F-COMPRA'!#REF!,Tabla11[[#This Row],[Cuenta]],1))</f>
        <v>0</v>
      </c>
      <c r="Y114" t="b">
        <f>+ISNUMBER(SEARCH('F-COMPRA'!#REF!,Tabla11[[#This Row],[Cuenta]],1))</f>
        <v>0</v>
      </c>
      <c r="Z114" t="b">
        <f>+ISNUMBER(SEARCH('F-COMPRA'!#REF!,Tabla11[[#This Row],[Cuenta]],1))</f>
        <v>0</v>
      </c>
      <c r="AA114" t="b">
        <f>+ISNUMBER(SEARCH('F-COMPRA'!#REF!,Tabla11[[#This Row],[Cuenta]],1))</f>
        <v>0</v>
      </c>
      <c r="AB114" t="b">
        <f>+ISNUMBER(SEARCH('F-COMPRA'!#REF!,Tabla11[[#This Row],[Cuenta]],1))</f>
        <v>0</v>
      </c>
      <c r="AC114" t="b">
        <f>+ISNUMBER(SEARCH('F-COMPRA'!#REF!,Tabla11[[#This Row],[Cuenta]],1))</f>
        <v>0</v>
      </c>
      <c r="AD114" t="b">
        <f>+ISNUMBER(SEARCH('F-COMPRA'!#REF!,Tabla11[[#This Row],[Cuenta]],1))</f>
        <v>0</v>
      </c>
      <c r="AE114" t="b">
        <f>+ISNUMBER(SEARCH('F-COMPRA'!#REF!,Tabla11[[#This Row],[Cuenta]],1))</f>
        <v>0</v>
      </c>
      <c r="AF114" t="b">
        <f>+ISNUMBER(SEARCH('F-VTA'!$G$23,Tabla11[[#This Row],[Cuenta]],1))</f>
        <v>0</v>
      </c>
      <c r="AG114" t="b">
        <f>+ISNUMBER(SEARCH('F-VTA'!$G$24,Tabla11[[#This Row],[Cuenta]],1))</f>
        <v>0</v>
      </c>
      <c r="AH114" t="b">
        <f>+ISNUMBER(SEARCH('F-VTA'!$G$25,Tabla11[[#This Row],[Cuenta]],1))</f>
        <v>0</v>
      </c>
      <c r="AI114" t="b">
        <f>+ISNUMBER(SEARCH('F-VTA'!$F$28,Tabla11[[#This Row],[Cuenta]],1))</f>
        <v>1</v>
      </c>
      <c r="AJ114" t="b">
        <f>+ISNUMBER(SEARCH('F-VTA'!$F$29,Tabla11[[#This Row],[Cuenta]],1))</f>
        <v>1</v>
      </c>
      <c r="AK114" t="b">
        <f>+ISNUMBER(SEARCH('F-VTA'!$F$30,Tabla11[[#This Row],[Cuenta]],1))</f>
        <v>1</v>
      </c>
      <c r="AL114" t="b">
        <f>+ISNUMBER(SEARCH('F-VTA'!$F$31,Tabla11[[#This Row],[Cuenta]],1))</f>
        <v>1</v>
      </c>
      <c r="AM114" t="b">
        <f>+ISNUMBER(SEARCH('F-VTA'!$F$32,Tabla11[[#This Row],[Cuenta]],1))</f>
        <v>1</v>
      </c>
      <c r="AN114" t="b">
        <f>+ISNUMBER(SEARCH('F-VTA'!$F$33,Tabla11[[#This Row],[Cuenta]],1))</f>
        <v>1</v>
      </c>
      <c r="AO114" t="b">
        <f>+ISNUMBER(SEARCH('F-VTA'!$F$34,Tabla11[[#This Row],[Cuenta]],1))</f>
        <v>1</v>
      </c>
      <c r="AP114" t="b">
        <f>+ISNUMBER(SEARCH('F-VTA'!$F$35,Tabla11[[#This Row],[Cuenta]],1))</f>
        <v>1</v>
      </c>
      <c r="AQ114" t="b">
        <f>+ISNUMBER(SEARCH('F-VTA'!$F$36,Tabla11[[#This Row],[Cuenta]],1))</f>
        <v>1</v>
      </c>
      <c r="AR114" t="b">
        <f>+ISNUMBER(SEARCH(#REF!,Tabla11[[#This Row],[Cuenta]],1))</f>
        <v>0</v>
      </c>
      <c r="AS114" t="b">
        <f>+ISNUMBER(SEARCH(#REF!,Tabla11[[#This Row],[Cuenta]],1))</f>
        <v>0</v>
      </c>
      <c r="AT114" t="b">
        <f>+ISNUMBER(SEARCH(#REF!,Tabla11[[#This Row],[Cuenta]],1))</f>
        <v>0</v>
      </c>
      <c r="AU114" t="b">
        <f>+ISNUMBER(SEARCH('Conc. Ban.1'!$I$9,Tabla11[[#This Row],[Cuenta]],1))</f>
        <v>0</v>
      </c>
      <c r="AV114" t="b">
        <f>+ISNUMBER(SEARCH(CompConta!$F$21,Tabla11[[#This Row],[Cuenta]],1))</f>
        <v>1</v>
      </c>
      <c r="AW114" t="b">
        <f>+ISNUMBER(SEARCH(CompConta!$F$22,Tabla11[[#This Row],[Cuenta]],1))</f>
        <v>1</v>
      </c>
      <c r="AX114" t="b">
        <f>+ISNUMBER(SEARCH(CompConta!$F$23,Tabla11[[#This Row],[Cuenta]],1))</f>
        <v>1</v>
      </c>
      <c r="AY114" t="b">
        <f>+ISNUMBER(SEARCH(CompConta!$F$24,Tabla11[[#This Row],[Cuenta]],1))</f>
        <v>1</v>
      </c>
      <c r="AZ114" t="b">
        <f>+ISNUMBER(SEARCH(CompConta!$F$25,Tabla11[[#This Row],[Cuenta]],1))</f>
        <v>1</v>
      </c>
      <c r="BA114" t="b">
        <f>+ISNUMBER(SEARCH(CompConta!$F$26,Tabla11[[#This Row],[Cuenta]],1))</f>
        <v>1</v>
      </c>
      <c r="BB114" t="b">
        <f>+ISNUMBER(SEARCH(CompConta!$F$27,Tabla11[[#This Row],[Cuenta]],1))</f>
        <v>1</v>
      </c>
      <c r="BC114" t="b">
        <f>+ISNUMBER(SEARCH(CompConta!$F$28,Tabla11[[#This Row],[Cuenta]],1))</f>
        <v>1</v>
      </c>
      <c r="BD114" t="b">
        <f>+ISNUMBER(SEARCH(CompConta!$F$29,Tabla11[[#This Row],[Cuenta]],1))</f>
        <v>1</v>
      </c>
      <c r="BE114" t="b">
        <f>+ISNUMBER(SEARCH(CompConta!$F$30,Tabla11[[#This Row],[Cuenta]],1))</f>
        <v>1</v>
      </c>
      <c r="BF114" t="b">
        <f>+ISNUMBER(SEARCH('PAGO Compras'!$E$11,Tabla11[[#This Row],[Cuenta]],1))</f>
        <v>1</v>
      </c>
      <c r="BG114" t="b">
        <f>+ISNUMBER(SEARCH(#REF!,Tabla11[[#This Row],[Cuenta]],1))</f>
        <v>0</v>
      </c>
      <c r="BH114" t="b">
        <f>+ISNUMBER(SEARCH(#REF!,Tabla11[[#This Row],[Cuenta]],1))</f>
        <v>0</v>
      </c>
      <c r="BI114" t="b">
        <f>+ISNUMBER(SEARCH(#REF!,Tabla11[[#This Row],[Cuenta]],1))</f>
        <v>0</v>
      </c>
      <c r="BJ114" t="b">
        <f>+ISNUMBER(SEARCH(#REF!,Tabla11[[#This Row],[Cuenta]],1))</f>
        <v>0</v>
      </c>
      <c r="BS114" t="str">
        <v>151230 Flota y equipo de transporte</v>
      </c>
      <c r="BT114" t="str">
        <v>151230 Flota y equipo de transporte</v>
      </c>
      <c r="BU114" t="str">
        <v>151230 Flota y equipo de transporte</v>
      </c>
      <c r="BV114" t="str">
        <v>151230 Flota y equipo de transporte</v>
      </c>
      <c r="BZ114" t="str">
        <v>151230 Flota y equipo de transporte</v>
      </c>
      <c r="CA114" t="str">
        <v>151230 Flota y equipo de transporte</v>
      </c>
      <c r="CB114" t="str">
        <v>151230 Flota y equipo de transporte</v>
      </c>
      <c r="CC114" t="str">
        <v>151230 Flota y equipo de transporte</v>
      </c>
      <c r="CD114" t="str">
        <v>151230 Flota y equipo de transporte</v>
      </c>
      <c r="CE114" t="str">
        <v>151230 Flota y equipo de transporte</v>
      </c>
      <c r="CS114" s="141" t="str">
        <v>151230 Flota y equipo de transporte</v>
      </c>
      <c r="CT114" s="141" t="str">
        <v>151230 Flota y equipo de transporte</v>
      </c>
      <c r="CU114" s="141" t="str">
        <v>151230 Flota y equipo de transporte</v>
      </c>
      <c r="CV114" s="141" t="str">
        <v>151230 Flota y equipo de transporte</v>
      </c>
      <c r="CW114" s="141" t="str">
        <v>151230 Flota y equipo de transporte</v>
      </c>
      <c r="CX114" s="141" t="str">
        <v>151230 Flota y equipo de transporte</v>
      </c>
      <c r="CY114" s="141" t="str">
        <v>151230 Flota y equipo de transporte</v>
      </c>
      <c r="CZ114" s="141" t="str">
        <v>151230 Flota y equipo de transporte</v>
      </c>
      <c r="DA114" s="141" t="str">
        <v>151230 Flota y equipo de transporte</v>
      </c>
      <c r="DF114" t="str">
        <v>151230 Flota y equipo de transporte</v>
      </c>
      <c r="DG114" t="str">
        <v>151230 Flota y equipo de transporte</v>
      </c>
      <c r="DH114" t="str">
        <v>151230 Flota y equipo de transporte</v>
      </c>
      <c r="DI114" t="str">
        <v>151230 Flota y equipo de transporte</v>
      </c>
      <c r="DJ114" t="str">
        <v>151230 Flota y equipo de transporte</v>
      </c>
      <c r="DK114" t="str">
        <v>151230 Flota y equipo de transporte</v>
      </c>
      <c r="DL114" t="str">
        <v>151230 Flota y equipo de transporte</v>
      </c>
      <c r="DM114" t="str">
        <v>151230 Flota y equipo de transporte</v>
      </c>
      <c r="DN114" t="str">
        <v>151230 Flota y equipo de transporte</v>
      </c>
      <c r="DO114" t="str">
        <v>151230 Flota y equipo de transporte</v>
      </c>
      <c r="DP114" t="str">
        <v>151230 Flota y equipo de transporte</v>
      </c>
    </row>
    <row r="115" spans="4:120" ht="12.75">
      <c r="D115" s="7">
        <v>151235</v>
      </c>
      <c r="E115" s="6" t="s">
        <v>134</v>
      </c>
      <c r="F115" s="5">
        <v>4</v>
      </c>
      <c r="G115" s="34" t="s">
        <v>822</v>
      </c>
      <c r="H115" s="8" t="s">
        <v>32</v>
      </c>
      <c r="I115" t="b">
        <f>+ISNUMBER(SEARCH('F-COMPRA'!$F$28,Tabla11[[#This Row],[Cuenta]],1))</f>
        <v>1</v>
      </c>
      <c r="J115" t="b">
        <f>+ISNUMBER(SEARCH('F-COMPRA'!$F$29,Tabla11[[#This Row],[Cuenta]],1))</f>
        <v>1</v>
      </c>
      <c r="K115" t="b">
        <f>+ISNUMBER(SEARCH('F-COMPRA'!$F$30,Tabla11[[#This Row],[Cuenta]],1))</f>
        <v>1</v>
      </c>
      <c r="L115" t="b">
        <f>+ISNUMBER(SEARCH('F-COMPRA'!$F$31,Tabla11[[#This Row],[Cuenta]],1))</f>
        <v>1</v>
      </c>
      <c r="M115" t="b">
        <f>+ISNUMBER(SEARCH('F-COMPRA'!$G$25,Tabla11[[#This Row],[Cuenta]],1))</f>
        <v>0</v>
      </c>
      <c r="N115" t="b">
        <f>+ISNUMBER(SEARCH(#REF!,Tabla11[[#This Row],[Cuenta]],1))</f>
        <v>0</v>
      </c>
      <c r="O115" t="b">
        <f>+ISNUMBER(SEARCH(#REF!,Tabla11[[#This Row],[Cuenta]],1))</f>
        <v>0</v>
      </c>
      <c r="P115" t="b">
        <f>+ISNUMBER(SEARCH('F-COMPRA'!$F$32,Tabla11[[#This Row],[Cuenta]],1))</f>
        <v>1</v>
      </c>
      <c r="Q115" t="b">
        <f>+ISNUMBER(SEARCH('F-COMPRA'!$F$33,Tabla11[[#This Row],[Cuenta]],1))</f>
        <v>1</v>
      </c>
      <c r="R115" t="b">
        <f>+ISNUMBER(SEARCH('F-COMPRA'!$F$34,Tabla11[[#This Row],[Cuenta]],1))</f>
        <v>1</v>
      </c>
      <c r="S115" t="b">
        <f>+ISNUMBER(SEARCH('F-COMPRA'!$F$35,Tabla11[[#This Row],[Cuenta]],1))</f>
        <v>1</v>
      </c>
      <c r="T115" t="b">
        <f>+ISNUMBER(SEARCH('F-COMPRA'!$F$36,Tabla11[[#This Row],[Cuenta]],1))</f>
        <v>1</v>
      </c>
      <c r="U115" t="b">
        <f>+ISNUMBER(SEARCH('F-COMPRA'!$F$37,Tabla11[[#This Row],[Cuenta]],1))</f>
        <v>1</v>
      </c>
      <c r="V115" t="b">
        <f>+ISNUMBER(SEARCH(#REF!,Tabla11[[#This Row],[Cuenta]],1))</f>
        <v>0</v>
      </c>
      <c r="W115" t="b">
        <f>+ISNUMBER(SEARCH('F-COMPRA'!#REF!,Tabla11[[#This Row],[Cuenta]],1))</f>
        <v>0</v>
      </c>
      <c r="X115" t="b">
        <f>+ISNUMBER(SEARCH('F-COMPRA'!#REF!,Tabla11[[#This Row],[Cuenta]],1))</f>
        <v>0</v>
      </c>
      <c r="Y115" t="b">
        <f>+ISNUMBER(SEARCH('F-COMPRA'!#REF!,Tabla11[[#This Row],[Cuenta]],1))</f>
        <v>0</v>
      </c>
      <c r="Z115" t="b">
        <f>+ISNUMBER(SEARCH('F-COMPRA'!#REF!,Tabla11[[#This Row],[Cuenta]],1))</f>
        <v>0</v>
      </c>
      <c r="AA115" t="b">
        <f>+ISNUMBER(SEARCH('F-COMPRA'!#REF!,Tabla11[[#This Row],[Cuenta]],1))</f>
        <v>0</v>
      </c>
      <c r="AB115" t="b">
        <f>+ISNUMBER(SEARCH('F-COMPRA'!#REF!,Tabla11[[#This Row],[Cuenta]],1))</f>
        <v>0</v>
      </c>
      <c r="AC115" t="b">
        <f>+ISNUMBER(SEARCH('F-COMPRA'!#REF!,Tabla11[[#This Row],[Cuenta]],1))</f>
        <v>0</v>
      </c>
      <c r="AD115" t="b">
        <f>+ISNUMBER(SEARCH('F-COMPRA'!#REF!,Tabla11[[#This Row],[Cuenta]],1))</f>
        <v>0</v>
      </c>
      <c r="AE115" t="b">
        <f>+ISNUMBER(SEARCH('F-COMPRA'!#REF!,Tabla11[[#This Row],[Cuenta]],1))</f>
        <v>0</v>
      </c>
      <c r="AF115" t="b">
        <f>+ISNUMBER(SEARCH('F-VTA'!$G$23,Tabla11[[#This Row],[Cuenta]],1))</f>
        <v>0</v>
      </c>
      <c r="AG115" t="b">
        <f>+ISNUMBER(SEARCH('F-VTA'!$G$24,Tabla11[[#This Row],[Cuenta]],1))</f>
        <v>0</v>
      </c>
      <c r="AH115" t="b">
        <f>+ISNUMBER(SEARCH('F-VTA'!$G$25,Tabla11[[#This Row],[Cuenta]],1))</f>
        <v>0</v>
      </c>
      <c r="AI115" t="b">
        <f>+ISNUMBER(SEARCH('F-VTA'!$F$28,Tabla11[[#This Row],[Cuenta]],1))</f>
        <v>1</v>
      </c>
      <c r="AJ115" t="b">
        <f>+ISNUMBER(SEARCH('F-VTA'!$F$29,Tabla11[[#This Row],[Cuenta]],1))</f>
        <v>1</v>
      </c>
      <c r="AK115" t="b">
        <f>+ISNUMBER(SEARCH('F-VTA'!$F$30,Tabla11[[#This Row],[Cuenta]],1))</f>
        <v>1</v>
      </c>
      <c r="AL115" t="b">
        <f>+ISNUMBER(SEARCH('F-VTA'!$F$31,Tabla11[[#This Row],[Cuenta]],1))</f>
        <v>1</v>
      </c>
      <c r="AM115" t="b">
        <f>+ISNUMBER(SEARCH('F-VTA'!$F$32,Tabla11[[#This Row],[Cuenta]],1))</f>
        <v>1</v>
      </c>
      <c r="AN115" t="b">
        <f>+ISNUMBER(SEARCH('F-VTA'!$F$33,Tabla11[[#This Row],[Cuenta]],1))</f>
        <v>1</v>
      </c>
      <c r="AO115" t="b">
        <f>+ISNUMBER(SEARCH('F-VTA'!$F$34,Tabla11[[#This Row],[Cuenta]],1))</f>
        <v>1</v>
      </c>
      <c r="AP115" t="b">
        <f>+ISNUMBER(SEARCH('F-VTA'!$F$35,Tabla11[[#This Row],[Cuenta]],1))</f>
        <v>1</v>
      </c>
      <c r="AQ115" t="b">
        <f>+ISNUMBER(SEARCH('F-VTA'!$F$36,Tabla11[[#This Row],[Cuenta]],1))</f>
        <v>1</v>
      </c>
      <c r="AR115" t="b">
        <f>+ISNUMBER(SEARCH(#REF!,Tabla11[[#This Row],[Cuenta]],1))</f>
        <v>0</v>
      </c>
      <c r="AS115" t="b">
        <f>+ISNUMBER(SEARCH(#REF!,Tabla11[[#This Row],[Cuenta]],1))</f>
        <v>0</v>
      </c>
      <c r="AT115" t="b">
        <f>+ISNUMBER(SEARCH(#REF!,Tabla11[[#This Row],[Cuenta]],1))</f>
        <v>0</v>
      </c>
      <c r="AU115" t="b">
        <f>+ISNUMBER(SEARCH('Conc. Ban.1'!$I$9,Tabla11[[#This Row],[Cuenta]],1))</f>
        <v>0</v>
      </c>
      <c r="AV115" t="b">
        <f>+ISNUMBER(SEARCH(CompConta!$F$21,Tabla11[[#This Row],[Cuenta]],1))</f>
        <v>1</v>
      </c>
      <c r="AW115" t="b">
        <f>+ISNUMBER(SEARCH(CompConta!$F$22,Tabla11[[#This Row],[Cuenta]],1))</f>
        <v>1</v>
      </c>
      <c r="AX115" t="b">
        <f>+ISNUMBER(SEARCH(CompConta!$F$23,Tabla11[[#This Row],[Cuenta]],1))</f>
        <v>1</v>
      </c>
      <c r="AY115" t="b">
        <f>+ISNUMBER(SEARCH(CompConta!$F$24,Tabla11[[#This Row],[Cuenta]],1))</f>
        <v>1</v>
      </c>
      <c r="AZ115" t="b">
        <f>+ISNUMBER(SEARCH(CompConta!$F$25,Tabla11[[#This Row],[Cuenta]],1))</f>
        <v>1</v>
      </c>
      <c r="BA115" t="b">
        <f>+ISNUMBER(SEARCH(CompConta!$F$26,Tabla11[[#This Row],[Cuenta]],1))</f>
        <v>1</v>
      </c>
      <c r="BB115" t="b">
        <f>+ISNUMBER(SEARCH(CompConta!$F$27,Tabla11[[#This Row],[Cuenta]],1))</f>
        <v>1</v>
      </c>
      <c r="BC115" t="b">
        <f>+ISNUMBER(SEARCH(CompConta!$F$28,Tabla11[[#This Row],[Cuenta]],1))</f>
        <v>1</v>
      </c>
      <c r="BD115" t="b">
        <f>+ISNUMBER(SEARCH(CompConta!$F$29,Tabla11[[#This Row],[Cuenta]],1))</f>
        <v>1</v>
      </c>
      <c r="BE115" t="b">
        <f>+ISNUMBER(SEARCH(CompConta!$F$30,Tabla11[[#This Row],[Cuenta]],1))</f>
        <v>1</v>
      </c>
      <c r="BF115" t="b">
        <f>+ISNUMBER(SEARCH('PAGO Compras'!$E$11,Tabla11[[#This Row],[Cuenta]],1))</f>
        <v>1</v>
      </c>
      <c r="BG115" t="b">
        <f>+ISNUMBER(SEARCH(#REF!,Tabla11[[#This Row],[Cuenta]],1))</f>
        <v>0</v>
      </c>
      <c r="BH115" t="b">
        <f>+ISNUMBER(SEARCH(#REF!,Tabla11[[#This Row],[Cuenta]],1))</f>
        <v>0</v>
      </c>
      <c r="BI115" t="b">
        <f>+ISNUMBER(SEARCH(#REF!,Tabla11[[#This Row],[Cuenta]],1))</f>
        <v>0</v>
      </c>
      <c r="BJ115" t="b">
        <f>+ISNUMBER(SEARCH(#REF!,Tabla11[[#This Row],[Cuenta]],1))</f>
        <v>0</v>
      </c>
      <c r="BS115" t="str">
        <v>151235 Flota y equipo fluvial y/o marítimo</v>
      </c>
      <c r="BT115" t="str">
        <v>151235 Flota y equipo fluvial y/o marítimo</v>
      </c>
      <c r="BU115" t="str">
        <v>151235 Flota y equipo fluvial y/o marítimo</v>
      </c>
      <c r="BV115" t="str">
        <v>151235 Flota y equipo fluvial y/o marítimo</v>
      </c>
      <c r="BZ115" t="str">
        <v>151235 Flota y equipo fluvial y/o marítimo</v>
      </c>
      <c r="CA115" t="str">
        <v>151235 Flota y equipo fluvial y/o marítimo</v>
      </c>
      <c r="CB115" t="str">
        <v>151235 Flota y equipo fluvial y/o marítimo</v>
      </c>
      <c r="CC115" t="str">
        <v>151235 Flota y equipo fluvial y/o marítimo</v>
      </c>
      <c r="CD115" t="str">
        <v>151235 Flota y equipo fluvial y/o marítimo</v>
      </c>
      <c r="CE115" t="str">
        <v>151235 Flota y equipo fluvial y/o marítimo</v>
      </c>
      <c r="CS115" s="141" t="str">
        <v>151235 Flota y equipo fluvial y/o marítimo</v>
      </c>
      <c r="CT115" s="141" t="str">
        <v>151235 Flota y equipo fluvial y/o marítimo</v>
      </c>
      <c r="CU115" s="141" t="str">
        <v>151235 Flota y equipo fluvial y/o marítimo</v>
      </c>
      <c r="CV115" s="141" t="str">
        <v>151235 Flota y equipo fluvial y/o marítimo</v>
      </c>
      <c r="CW115" s="141" t="str">
        <v>151235 Flota y equipo fluvial y/o marítimo</v>
      </c>
      <c r="CX115" s="141" t="str">
        <v>151235 Flota y equipo fluvial y/o marítimo</v>
      </c>
      <c r="CY115" s="141" t="str">
        <v>151235 Flota y equipo fluvial y/o marítimo</v>
      </c>
      <c r="CZ115" s="141" t="str">
        <v>151235 Flota y equipo fluvial y/o marítimo</v>
      </c>
      <c r="DA115" s="141" t="str">
        <v>151235 Flota y equipo fluvial y/o marítimo</v>
      </c>
      <c r="DF115" t="str">
        <v>151235 Flota y equipo fluvial y/o marítimo</v>
      </c>
      <c r="DG115" t="str">
        <v>151235 Flota y equipo fluvial y/o marítimo</v>
      </c>
      <c r="DH115" t="str">
        <v>151235 Flota y equipo fluvial y/o marítimo</v>
      </c>
      <c r="DI115" t="str">
        <v>151235 Flota y equipo fluvial y/o marítimo</v>
      </c>
      <c r="DJ115" t="str">
        <v>151235 Flota y equipo fluvial y/o marítimo</v>
      </c>
      <c r="DK115" t="str">
        <v>151235 Flota y equipo fluvial y/o marítimo</v>
      </c>
      <c r="DL115" t="str">
        <v>151235 Flota y equipo fluvial y/o marítimo</v>
      </c>
      <c r="DM115" t="str">
        <v>151235 Flota y equipo fluvial y/o marítimo</v>
      </c>
      <c r="DN115" t="str">
        <v>151235 Flota y equipo fluvial y/o marítimo</v>
      </c>
      <c r="DO115" t="str">
        <v>151235 Flota y equipo fluvial y/o marítimo</v>
      </c>
      <c r="DP115" t="str">
        <v>151235 Flota y equipo fluvial y/o marítimo</v>
      </c>
    </row>
    <row r="116" spans="4:120" ht="12.75">
      <c r="D116" s="7">
        <v>151240</v>
      </c>
      <c r="E116" s="6" t="s">
        <v>135</v>
      </c>
      <c r="F116" s="5">
        <v>4</v>
      </c>
      <c r="G116" s="34" t="s">
        <v>822</v>
      </c>
      <c r="H116" s="8" t="s">
        <v>32</v>
      </c>
      <c r="I116" t="b">
        <f>+ISNUMBER(SEARCH('F-COMPRA'!$F$28,Tabla11[[#This Row],[Cuenta]],1))</f>
        <v>1</v>
      </c>
      <c r="J116" t="b">
        <f>+ISNUMBER(SEARCH('F-COMPRA'!$F$29,Tabla11[[#This Row],[Cuenta]],1))</f>
        <v>1</v>
      </c>
      <c r="K116" t="b">
        <f>+ISNUMBER(SEARCH('F-COMPRA'!$F$30,Tabla11[[#This Row],[Cuenta]],1))</f>
        <v>1</v>
      </c>
      <c r="L116" t="b">
        <f>+ISNUMBER(SEARCH('F-COMPRA'!$F$31,Tabla11[[#This Row],[Cuenta]],1))</f>
        <v>1</v>
      </c>
      <c r="M116" t="b">
        <f>+ISNUMBER(SEARCH('F-COMPRA'!$G$25,Tabla11[[#This Row],[Cuenta]],1))</f>
        <v>0</v>
      </c>
      <c r="N116" t="b">
        <f>+ISNUMBER(SEARCH(#REF!,Tabla11[[#This Row],[Cuenta]],1))</f>
        <v>0</v>
      </c>
      <c r="O116" t="b">
        <f>+ISNUMBER(SEARCH(#REF!,Tabla11[[#This Row],[Cuenta]],1))</f>
        <v>0</v>
      </c>
      <c r="P116" t="b">
        <f>+ISNUMBER(SEARCH('F-COMPRA'!$F$32,Tabla11[[#This Row],[Cuenta]],1))</f>
        <v>1</v>
      </c>
      <c r="Q116" t="b">
        <f>+ISNUMBER(SEARCH('F-COMPRA'!$F$33,Tabla11[[#This Row],[Cuenta]],1))</f>
        <v>1</v>
      </c>
      <c r="R116" t="b">
        <f>+ISNUMBER(SEARCH('F-COMPRA'!$F$34,Tabla11[[#This Row],[Cuenta]],1))</f>
        <v>1</v>
      </c>
      <c r="S116" t="b">
        <f>+ISNUMBER(SEARCH('F-COMPRA'!$F$35,Tabla11[[#This Row],[Cuenta]],1))</f>
        <v>1</v>
      </c>
      <c r="T116" t="b">
        <f>+ISNUMBER(SEARCH('F-COMPRA'!$F$36,Tabla11[[#This Row],[Cuenta]],1))</f>
        <v>1</v>
      </c>
      <c r="U116" t="b">
        <f>+ISNUMBER(SEARCH('F-COMPRA'!$F$37,Tabla11[[#This Row],[Cuenta]],1))</f>
        <v>1</v>
      </c>
      <c r="V116" t="b">
        <f>+ISNUMBER(SEARCH(#REF!,Tabla11[[#This Row],[Cuenta]],1))</f>
        <v>0</v>
      </c>
      <c r="W116" t="b">
        <f>+ISNUMBER(SEARCH('F-COMPRA'!#REF!,Tabla11[[#This Row],[Cuenta]],1))</f>
        <v>0</v>
      </c>
      <c r="X116" t="b">
        <f>+ISNUMBER(SEARCH('F-COMPRA'!#REF!,Tabla11[[#This Row],[Cuenta]],1))</f>
        <v>0</v>
      </c>
      <c r="Y116" t="b">
        <f>+ISNUMBER(SEARCH('F-COMPRA'!#REF!,Tabla11[[#This Row],[Cuenta]],1))</f>
        <v>0</v>
      </c>
      <c r="Z116" t="b">
        <f>+ISNUMBER(SEARCH('F-COMPRA'!#REF!,Tabla11[[#This Row],[Cuenta]],1))</f>
        <v>0</v>
      </c>
      <c r="AA116" t="b">
        <f>+ISNUMBER(SEARCH('F-COMPRA'!#REF!,Tabla11[[#This Row],[Cuenta]],1))</f>
        <v>0</v>
      </c>
      <c r="AB116" t="b">
        <f>+ISNUMBER(SEARCH('F-COMPRA'!#REF!,Tabla11[[#This Row],[Cuenta]],1))</f>
        <v>0</v>
      </c>
      <c r="AC116" t="b">
        <f>+ISNUMBER(SEARCH('F-COMPRA'!#REF!,Tabla11[[#This Row],[Cuenta]],1))</f>
        <v>0</v>
      </c>
      <c r="AD116" t="b">
        <f>+ISNUMBER(SEARCH('F-COMPRA'!#REF!,Tabla11[[#This Row],[Cuenta]],1))</f>
        <v>0</v>
      </c>
      <c r="AE116" t="b">
        <f>+ISNUMBER(SEARCH('F-COMPRA'!#REF!,Tabla11[[#This Row],[Cuenta]],1))</f>
        <v>0</v>
      </c>
      <c r="AF116" t="b">
        <f>+ISNUMBER(SEARCH('F-VTA'!$G$23,Tabla11[[#This Row],[Cuenta]],1))</f>
        <v>0</v>
      </c>
      <c r="AG116" t="b">
        <f>+ISNUMBER(SEARCH('F-VTA'!$G$24,Tabla11[[#This Row],[Cuenta]],1))</f>
        <v>0</v>
      </c>
      <c r="AH116" t="b">
        <f>+ISNUMBER(SEARCH('F-VTA'!$G$25,Tabla11[[#This Row],[Cuenta]],1))</f>
        <v>0</v>
      </c>
      <c r="AI116" t="b">
        <f>+ISNUMBER(SEARCH('F-VTA'!$F$28,Tabla11[[#This Row],[Cuenta]],1))</f>
        <v>1</v>
      </c>
      <c r="AJ116" t="b">
        <f>+ISNUMBER(SEARCH('F-VTA'!$F$29,Tabla11[[#This Row],[Cuenta]],1))</f>
        <v>1</v>
      </c>
      <c r="AK116" t="b">
        <f>+ISNUMBER(SEARCH('F-VTA'!$F$30,Tabla11[[#This Row],[Cuenta]],1))</f>
        <v>1</v>
      </c>
      <c r="AL116" t="b">
        <f>+ISNUMBER(SEARCH('F-VTA'!$F$31,Tabla11[[#This Row],[Cuenta]],1))</f>
        <v>1</v>
      </c>
      <c r="AM116" t="b">
        <f>+ISNUMBER(SEARCH('F-VTA'!$F$32,Tabla11[[#This Row],[Cuenta]],1))</f>
        <v>1</v>
      </c>
      <c r="AN116" t="b">
        <f>+ISNUMBER(SEARCH('F-VTA'!$F$33,Tabla11[[#This Row],[Cuenta]],1))</f>
        <v>1</v>
      </c>
      <c r="AO116" t="b">
        <f>+ISNUMBER(SEARCH('F-VTA'!$F$34,Tabla11[[#This Row],[Cuenta]],1))</f>
        <v>1</v>
      </c>
      <c r="AP116" t="b">
        <f>+ISNUMBER(SEARCH('F-VTA'!$F$35,Tabla11[[#This Row],[Cuenta]],1))</f>
        <v>1</v>
      </c>
      <c r="AQ116" t="b">
        <f>+ISNUMBER(SEARCH('F-VTA'!$F$36,Tabla11[[#This Row],[Cuenta]],1))</f>
        <v>1</v>
      </c>
      <c r="AR116" t="b">
        <f>+ISNUMBER(SEARCH(#REF!,Tabla11[[#This Row],[Cuenta]],1))</f>
        <v>0</v>
      </c>
      <c r="AS116" t="b">
        <f>+ISNUMBER(SEARCH(#REF!,Tabla11[[#This Row],[Cuenta]],1))</f>
        <v>0</v>
      </c>
      <c r="AT116" t="b">
        <f>+ISNUMBER(SEARCH(#REF!,Tabla11[[#This Row],[Cuenta]],1))</f>
        <v>0</v>
      </c>
      <c r="AU116" t="b">
        <f>+ISNUMBER(SEARCH('Conc. Ban.1'!$I$9,Tabla11[[#This Row],[Cuenta]],1))</f>
        <v>0</v>
      </c>
      <c r="AV116" t="b">
        <f>+ISNUMBER(SEARCH(CompConta!$F$21,Tabla11[[#This Row],[Cuenta]],1))</f>
        <v>1</v>
      </c>
      <c r="AW116" t="b">
        <f>+ISNUMBER(SEARCH(CompConta!$F$22,Tabla11[[#This Row],[Cuenta]],1))</f>
        <v>1</v>
      </c>
      <c r="AX116" t="b">
        <f>+ISNUMBER(SEARCH(CompConta!$F$23,Tabla11[[#This Row],[Cuenta]],1))</f>
        <v>1</v>
      </c>
      <c r="AY116" t="b">
        <f>+ISNUMBER(SEARCH(CompConta!$F$24,Tabla11[[#This Row],[Cuenta]],1))</f>
        <v>1</v>
      </c>
      <c r="AZ116" t="b">
        <f>+ISNUMBER(SEARCH(CompConta!$F$25,Tabla11[[#This Row],[Cuenta]],1))</f>
        <v>1</v>
      </c>
      <c r="BA116" t="b">
        <f>+ISNUMBER(SEARCH(CompConta!$F$26,Tabla11[[#This Row],[Cuenta]],1))</f>
        <v>1</v>
      </c>
      <c r="BB116" t="b">
        <f>+ISNUMBER(SEARCH(CompConta!$F$27,Tabla11[[#This Row],[Cuenta]],1))</f>
        <v>1</v>
      </c>
      <c r="BC116" t="b">
        <f>+ISNUMBER(SEARCH(CompConta!$F$28,Tabla11[[#This Row],[Cuenta]],1))</f>
        <v>1</v>
      </c>
      <c r="BD116" t="b">
        <f>+ISNUMBER(SEARCH(CompConta!$F$29,Tabla11[[#This Row],[Cuenta]],1))</f>
        <v>1</v>
      </c>
      <c r="BE116" t="b">
        <f>+ISNUMBER(SEARCH(CompConta!$F$30,Tabla11[[#This Row],[Cuenta]],1))</f>
        <v>1</v>
      </c>
      <c r="BF116" t="b">
        <f>+ISNUMBER(SEARCH('PAGO Compras'!$E$11,Tabla11[[#This Row],[Cuenta]],1))</f>
        <v>1</v>
      </c>
      <c r="BG116" t="b">
        <f>+ISNUMBER(SEARCH(#REF!,Tabla11[[#This Row],[Cuenta]],1))</f>
        <v>0</v>
      </c>
      <c r="BH116" t="b">
        <f>+ISNUMBER(SEARCH(#REF!,Tabla11[[#This Row],[Cuenta]],1))</f>
        <v>0</v>
      </c>
      <c r="BI116" t="b">
        <f>+ISNUMBER(SEARCH(#REF!,Tabla11[[#This Row],[Cuenta]],1))</f>
        <v>0</v>
      </c>
      <c r="BJ116" t="b">
        <f>+ISNUMBER(SEARCH(#REF!,Tabla11[[#This Row],[Cuenta]],1))</f>
        <v>0</v>
      </c>
      <c r="BS116" t="str">
        <v>151240 Flota y equipo aéreo</v>
      </c>
      <c r="BT116" t="str">
        <v>151240 Flota y equipo aéreo</v>
      </c>
      <c r="BU116" t="str">
        <v>151240 Flota y equipo aéreo</v>
      </c>
      <c r="BV116" t="str">
        <v>151240 Flota y equipo aéreo</v>
      </c>
      <c r="BZ116" t="str">
        <v>151240 Flota y equipo aéreo</v>
      </c>
      <c r="CA116" t="str">
        <v>151240 Flota y equipo aéreo</v>
      </c>
      <c r="CB116" t="str">
        <v>151240 Flota y equipo aéreo</v>
      </c>
      <c r="CC116" t="str">
        <v>151240 Flota y equipo aéreo</v>
      </c>
      <c r="CD116" t="str">
        <v>151240 Flota y equipo aéreo</v>
      </c>
      <c r="CE116" t="str">
        <v>151240 Flota y equipo aéreo</v>
      </c>
      <c r="CS116" s="141" t="str">
        <v>151240 Flota y equipo aéreo</v>
      </c>
      <c r="CT116" s="141" t="str">
        <v>151240 Flota y equipo aéreo</v>
      </c>
      <c r="CU116" s="141" t="str">
        <v>151240 Flota y equipo aéreo</v>
      </c>
      <c r="CV116" s="141" t="str">
        <v>151240 Flota y equipo aéreo</v>
      </c>
      <c r="CW116" s="141" t="str">
        <v>151240 Flota y equipo aéreo</v>
      </c>
      <c r="CX116" s="141" t="str">
        <v>151240 Flota y equipo aéreo</v>
      </c>
      <c r="CY116" s="141" t="str">
        <v>151240 Flota y equipo aéreo</v>
      </c>
      <c r="CZ116" s="141" t="str">
        <v>151240 Flota y equipo aéreo</v>
      </c>
      <c r="DA116" s="141" t="str">
        <v>151240 Flota y equipo aéreo</v>
      </c>
      <c r="DF116" t="str">
        <v>151240 Flota y equipo aéreo</v>
      </c>
      <c r="DG116" t="str">
        <v>151240 Flota y equipo aéreo</v>
      </c>
      <c r="DH116" t="str">
        <v>151240 Flota y equipo aéreo</v>
      </c>
      <c r="DI116" t="str">
        <v>151240 Flota y equipo aéreo</v>
      </c>
      <c r="DJ116" t="str">
        <v>151240 Flota y equipo aéreo</v>
      </c>
      <c r="DK116" t="str">
        <v>151240 Flota y equipo aéreo</v>
      </c>
      <c r="DL116" t="str">
        <v>151240 Flota y equipo aéreo</v>
      </c>
      <c r="DM116" t="str">
        <v>151240 Flota y equipo aéreo</v>
      </c>
      <c r="DN116" t="str">
        <v>151240 Flota y equipo aéreo</v>
      </c>
      <c r="DO116" t="str">
        <v>151240 Flota y equipo aéreo</v>
      </c>
      <c r="DP116" t="str">
        <v>151240 Flota y equipo aéreo</v>
      </c>
    </row>
    <row r="117" spans="4:120" ht="12.75">
      <c r="D117" s="7">
        <v>151245</v>
      </c>
      <c r="E117" s="6" t="s">
        <v>136</v>
      </c>
      <c r="F117" s="5">
        <v>4</v>
      </c>
      <c r="G117" s="34" t="s">
        <v>822</v>
      </c>
      <c r="H117" s="8" t="s">
        <v>32</v>
      </c>
      <c r="I117" t="b">
        <f>+ISNUMBER(SEARCH('F-COMPRA'!$F$28,Tabla11[[#This Row],[Cuenta]],1))</f>
        <v>1</v>
      </c>
      <c r="J117" t="b">
        <f>+ISNUMBER(SEARCH('F-COMPRA'!$F$29,Tabla11[[#This Row],[Cuenta]],1))</f>
        <v>1</v>
      </c>
      <c r="K117" t="b">
        <f>+ISNUMBER(SEARCH('F-COMPRA'!$F$30,Tabla11[[#This Row],[Cuenta]],1))</f>
        <v>1</v>
      </c>
      <c r="L117" t="b">
        <f>+ISNUMBER(SEARCH('F-COMPRA'!$F$31,Tabla11[[#This Row],[Cuenta]],1))</f>
        <v>1</v>
      </c>
      <c r="M117" t="b">
        <f>+ISNUMBER(SEARCH('F-COMPRA'!$G$25,Tabla11[[#This Row],[Cuenta]],1))</f>
        <v>0</v>
      </c>
      <c r="N117" t="b">
        <f>+ISNUMBER(SEARCH(#REF!,Tabla11[[#This Row],[Cuenta]],1))</f>
        <v>0</v>
      </c>
      <c r="O117" t="b">
        <f>+ISNUMBER(SEARCH(#REF!,Tabla11[[#This Row],[Cuenta]],1))</f>
        <v>0</v>
      </c>
      <c r="P117" t="b">
        <f>+ISNUMBER(SEARCH('F-COMPRA'!$F$32,Tabla11[[#This Row],[Cuenta]],1))</f>
        <v>1</v>
      </c>
      <c r="Q117" t="b">
        <f>+ISNUMBER(SEARCH('F-COMPRA'!$F$33,Tabla11[[#This Row],[Cuenta]],1))</f>
        <v>1</v>
      </c>
      <c r="R117" t="b">
        <f>+ISNUMBER(SEARCH('F-COMPRA'!$F$34,Tabla11[[#This Row],[Cuenta]],1))</f>
        <v>1</v>
      </c>
      <c r="S117" t="b">
        <f>+ISNUMBER(SEARCH('F-COMPRA'!$F$35,Tabla11[[#This Row],[Cuenta]],1))</f>
        <v>1</v>
      </c>
      <c r="T117" t="b">
        <f>+ISNUMBER(SEARCH('F-COMPRA'!$F$36,Tabla11[[#This Row],[Cuenta]],1))</f>
        <v>1</v>
      </c>
      <c r="U117" t="b">
        <f>+ISNUMBER(SEARCH('F-COMPRA'!$F$37,Tabla11[[#This Row],[Cuenta]],1))</f>
        <v>1</v>
      </c>
      <c r="V117" t="b">
        <f>+ISNUMBER(SEARCH(#REF!,Tabla11[[#This Row],[Cuenta]],1))</f>
        <v>0</v>
      </c>
      <c r="W117" t="b">
        <f>+ISNUMBER(SEARCH('F-COMPRA'!#REF!,Tabla11[[#This Row],[Cuenta]],1))</f>
        <v>0</v>
      </c>
      <c r="X117" t="b">
        <f>+ISNUMBER(SEARCH('F-COMPRA'!#REF!,Tabla11[[#This Row],[Cuenta]],1))</f>
        <v>0</v>
      </c>
      <c r="Y117" t="b">
        <f>+ISNUMBER(SEARCH('F-COMPRA'!#REF!,Tabla11[[#This Row],[Cuenta]],1))</f>
        <v>0</v>
      </c>
      <c r="Z117" t="b">
        <f>+ISNUMBER(SEARCH('F-COMPRA'!#REF!,Tabla11[[#This Row],[Cuenta]],1))</f>
        <v>0</v>
      </c>
      <c r="AA117" t="b">
        <f>+ISNUMBER(SEARCH('F-COMPRA'!#REF!,Tabla11[[#This Row],[Cuenta]],1))</f>
        <v>0</v>
      </c>
      <c r="AB117" t="b">
        <f>+ISNUMBER(SEARCH('F-COMPRA'!#REF!,Tabla11[[#This Row],[Cuenta]],1))</f>
        <v>0</v>
      </c>
      <c r="AC117" t="b">
        <f>+ISNUMBER(SEARCH('F-COMPRA'!#REF!,Tabla11[[#This Row],[Cuenta]],1))</f>
        <v>0</v>
      </c>
      <c r="AD117" t="b">
        <f>+ISNUMBER(SEARCH('F-COMPRA'!#REF!,Tabla11[[#This Row],[Cuenta]],1))</f>
        <v>0</v>
      </c>
      <c r="AE117" t="b">
        <f>+ISNUMBER(SEARCH('F-COMPRA'!#REF!,Tabla11[[#This Row],[Cuenta]],1))</f>
        <v>0</v>
      </c>
      <c r="AF117" t="b">
        <f>+ISNUMBER(SEARCH('F-VTA'!$G$23,Tabla11[[#This Row],[Cuenta]],1))</f>
        <v>0</v>
      </c>
      <c r="AG117" t="b">
        <f>+ISNUMBER(SEARCH('F-VTA'!$G$24,Tabla11[[#This Row],[Cuenta]],1))</f>
        <v>0</v>
      </c>
      <c r="AH117" t="b">
        <f>+ISNUMBER(SEARCH('F-VTA'!$G$25,Tabla11[[#This Row],[Cuenta]],1))</f>
        <v>0</v>
      </c>
      <c r="AI117" t="b">
        <f>+ISNUMBER(SEARCH('F-VTA'!$F$28,Tabla11[[#This Row],[Cuenta]],1))</f>
        <v>1</v>
      </c>
      <c r="AJ117" t="b">
        <f>+ISNUMBER(SEARCH('F-VTA'!$F$29,Tabla11[[#This Row],[Cuenta]],1))</f>
        <v>1</v>
      </c>
      <c r="AK117" t="b">
        <f>+ISNUMBER(SEARCH('F-VTA'!$F$30,Tabla11[[#This Row],[Cuenta]],1))</f>
        <v>1</v>
      </c>
      <c r="AL117" t="b">
        <f>+ISNUMBER(SEARCH('F-VTA'!$F$31,Tabla11[[#This Row],[Cuenta]],1))</f>
        <v>1</v>
      </c>
      <c r="AM117" t="b">
        <f>+ISNUMBER(SEARCH('F-VTA'!$F$32,Tabla11[[#This Row],[Cuenta]],1))</f>
        <v>1</v>
      </c>
      <c r="AN117" t="b">
        <f>+ISNUMBER(SEARCH('F-VTA'!$F$33,Tabla11[[#This Row],[Cuenta]],1))</f>
        <v>1</v>
      </c>
      <c r="AO117" t="b">
        <f>+ISNUMBER(SEARCH('F-VTA'!$F$34,Tabla11[[#This Row],[Cuenta]],1))</f>
        <v>1</v>
      </c>
      <c r="AP117" t="b">
        <f>+ISNUMBER(SEARCH('F-VTA'!$F$35,Tabla11[[#This Row],[Cuenta]],1))</f>
        <v>1</v>
      </c>
      <c r="AQ117" t="b">
        <f>+ISNUMBER(SEARCH('F-VTA'!$F$36,Tabla11[[#This Row],[Cuenta]],1))</f>
        <v>1</v>
      </c>
      <c r="AR117" t="b">
        <f>+ISNUMBER(SEARCH(#REF!,Tabla11[[#This Row],[Cuenta]],1))</f>
        <v>0</v>
      </c>
      <c r="AS117" t="b">
        <f>+ISNUMBER(SEARCH(#REF!,Tabla11[[#This Row],[Cuenta]],1))</f>
        <v>0</v>
      </c>
      <c r="AT117" t="b">
        <f>+ISNUMBER(SEARCH(#REF!,Tabla11[[#This Row],[Cuenta]],1))</f>
        <v>0</v>
      </c>
      <c r="AU117" t="b">
        <f>+ISNUMBER(SEARCH('Conc. Ban.1'!$I$9,Tabla11[[#This Row],[Cuenta]],1))</f>
        <v>0</v>
      </c>
      <c r="AV117" t="b">
        <f>+ISNUMBER(SEARCH(CompConta!$F$21,Tabla11[[#This Row],[Cuenta]],1))</f>
        <v>1</v>
      </c>
      <c r="AW117" t="b">
        <f>+ISNUMBER(SEARCH(CompConta!$F$22,Tabla11[[#This Row],[Cuenta]],1))</f>
        <v>1</v>
      </c>
      <c r="AX117" t="b">
        <f>+ISNUMBER(SEARCH(CompConta!$F$23,Tabla11[[#This Row],[Cuenta]],1))</f>
        <v>1</v>
      </c>
      <c r="AY117" t="b">
        <f>+ISNUMBER(SEARCH(CompConta!$F$24,Tabla11[[#This Row],[Cuenta]],1))</f>
        <v>1</v>
      </c>
      <c r="AZ117" t="b">
        <f>+ISNUMBER(SEARCH(CompConta!$F$25,Tabla11[[#This Row],[Cuenta]],1))</f>
        <v>1</v>
      </c>
      <c r="BA117" t="b">
        <f>+ISNUMBER(SEARCH(CompConta!$F$26,Tabla11[[#This Row],[Cuenta]],1))</f>
        <v>1</v>
      </c>
      <c r="BB117" t="b">
        <f>+ISNUMBER(SEARCH(CompConta!$F$27,Tabla11[[#This Row],[Cuenta]],1))</f>
        <v>1</v>
      </c>
      <c r="BC117" t="b">
        <f>+ISNUMBER(SEARCH(CompConta!$F$28,Tabla11[[#This Row],[Cuenta]],1))</f>
        <v>1</v>
      </c>
      <c r="BD117" t="b">
        <f>+ISNUMBER(SEARCH(CompConta!$F$29,Tabla11[[#This Row],[Cuenta]],1))</f>
        <v>1</v>
      </c>
      <c r="BE117" t="b">
        <f>+ISNUMBER(SEARCH(CompConta!$F$30,Tabla11[[#This Row],[Cuenta]],1))</f>
        <v>1</v>
      </c>
      <c r="BF117" t="b">
        <f>+ISNUMBER(SEARCH('PAGO Compras'!$E$11,Tabla11[[#This Row],[Cuenta]],1))</f>
        <v>1</v>
      </c>
      <c r="BG117" t="b">
        <f>+ISNUMBER(SEARCH(#REF!,Tabla11[[#This Row],[Cuenta]],1))</f>
        <v>0</v>
      </c>
      <c r="BH117" t="b">
        <f>+ISNUMBER(SEARCH(#REF!,Tabla11[[#This Row],[Cuenta]],1))</f>
        <v>0</v>
      </c>
      <c r="BI117" t="b">
        <f>+ISNUMBER(SEARCH(#REF!,Tabla11[[#This Row],[Cuenta]],1))</f>
        <v>0</v>
      </c>
      <c r="BJ117" t="b">
        <f>+ISNUMBER(SEARCH(#REF!,Tabla11[[#This Row],[Cuenta]],1))</f>
        <v>0</v>
      </c>
      <c r="BS117" t="str">
        <v>151245 Flota y equipo férreo</v>
      </c>
      <c r="BT117" t="str">
        <v>151245 Flota y equipo férreo</v>
      </c>
      <c r="BU117" t="str">
        <v>151245 Flota y equipo férreo</v>
      </c>
      <c r="BV117" t="str">
        <v>151245 Flota y equipo férreo</v>
      </c>
      <c r="BZ117" t="str">
        <v>151245 Flota y equipo férreo</v>
      </c>
      <c r="CA117" t="str">
        <v>151245 Flota y equipo férreo</v>
      </c>
      <c r="CB117" t="str">
        <v>151245 Flota y equipo férreo</v>
      </c>
      <c r="CC117" t="str">
        <v>151245 Flota y equipo férreo</v>
      </c>
      <c r="CD117" t="str">
        <v>151245 Flota y equipo férreo</v>
      </c>
      <c r="CE117" t="str">
        <v>151245 Flota y equipo férreo</v>
      </c>
      <c r="CS117" s="141" t="str">
        <v>151245 Flota y equipo férreo</v>
      </c>
      <c r="CT117" s="141" t="str">
        <v>151245 Flota y equipo férreo</v>
      </c>
      <c r="CU117" s="141" t="str">
        <v>151245 Flota y equipo férreo</v>
      </c>
      <c r="CV117" s="141" t="str">
        <v>151245 Flota y equipo férreo</v>
      </c>
      <c r="CW117" s="141" t="str">
        <v>151245 Flota y equipo férreo</v>
      </c>
      <c r="CX117" s="141" t="str">
        <v>151245 Flota y equipo férreo</v>
      </c>
      <c r="CY117" s="141" t="str">
        <v>151245 Flota y equipo férreo</v>
      </c>
      <c r="CZ117" s="141" t="str">
        <v>151245 Flota y equipo férreo</v>
      </c>
      <c r="DA117" s="141" t="str">
        <v>151245 Flota y equipo férreo</v>
      </c>
      <c r="DF117" t="str">
        <v>151245 Flota y equipo férreo</v>
      </c>
      <c r="DG117" t="str">
        <v>151245 Flota y equipo férreo</v>
      </c>
      <c r="DH117" t="str">
        <v>151245 Flota y equipo férreo</v>
      </c>
      <c r="DI117" t="str">
        <v>151245 Flota y equipo férreo</v>
      </c>
      <c r="DJ117" t="str">
        <v>151245 Flota y equipo férreo</v>
      </c>
      <c r="DK117" t="str">
        <v>151245 Flota y equipo férreo</v>
      </c>
      <c r="DL117" t="str">
        <v>151245 Flota y equipo férreo</v>
      </c>
      <c r="DM117" t="str">
        <v>151245 Flota y equipo férreo</v>
      </c>
      <c r="DN117" t="str">
        <v>151245 Flota y equipo férreo</v>
      </c>
      <c r="DO117" t="str">
        <v>151245 Flota y equipo férreo</v>
      </c>
      <c r="DP117" t="str">
        <v>151245 Flota y equipo férreo</v>
      </c>
    </row>
    <row r="118" spans="4:120" ht="12.75">
      <c r="D118" s="7">
        <v>151250</v>
      </c>
      <c r="E118" s="6" t="s">
        <v>137</v>
      </c>
      <c r="F118" s="5">
        <v>4</v>
      </c>
      <c r="G118" s="34" t="s">
        <v>822</v>
      </c>
      <c r="H118" s="8" t="s">
        <v>32</v>
      </c>
      <c r="I118" t="b">
        <f>+ISNUMBER(SEARCH('F-COMPRA'!$F$28,Tabla11[[#This Row],[Cuenta]],1))</f>
        <v>1</v>
      </c>
      <c r="J118" t="b">
        <f>+ISNUMBER(SEARCH('F-COMPRA'!$F$29,Tabla11[[#This Row],[Cuenta]],1))</f>
        <v>1</v>
      </c>
      <c r="K118" t="b">
        <f>+ISNUMBER(SEARCH('F-COMPRA'!$F$30,Tabla11[[#This Row],[Cuenta]],1))</f>
        <v>1</v>
      </c>
      <c r="L118" t="b">
        <f>+ISNUMBER(SEARCH('F-COMPRA'!$F$31,Tabla11[[#This Row],[Cuenta]],1))</f>
        <v>1</v>
      </c>
      <c r="M118" t="b">
        <f>+ISNUMBER(SEARCH('F-COMPRA'!$G$25,Tabla11[[#This Row],[Cuenta]],1))</f>
        <v>0</v>
      </c>
      <c r="N118" t="b">
        <f>+ISNUMBER(SEARCH(#REF!,Tabla11[[#This Row],[Cuenta]],1))</f>
        <v>0</v>
      </c>
      <c r="O118" t="b">
        <f>+ISNUMBER(SEARCH(#REF!,Tabla11[[#This Row],[Cuenta]],1))</f>
        <v>0</v>
      </c>
      <c r="P118" t="b">
        <f>+ISNUMBER(SEARCH('F-COMPRA'!$F$32,Tabla11[[#This Row],[Cuenta]],1))</f>
        <v>1</v>
      </c>
      <c r="Q118" t="b">
        <f>+ISNUMBER(SEARCH('F-COMPRA'!$F$33,Tabla11[[#This Row],[Cuenta]],1))</f>
        <v>1</v>
      </c>
      <c r="R118" t="b">
        <f>+ISNUMBER(SEARCH('F-COMPRA'!$F$34,Tabla11[[#This Row],[Cuenta]],1))</f>
        <v>1</v>
      </c>
      <c r="S118" t="b">
        <f>+ISNUMBER(SEARCH('F-COMPRA'!$F$35,Tabla11[[#This Row],[Cuenta]],1))</f>
        <v>1</v>
      </c>
      <c r="T118" t="b">
        <f>+ISNUMBER(SEARCH('F-COMPRA'!$F$36,Tabla11[[#This Row],[Cuenta]],1))</f>
        <v>1</v>
      </c>
      <c r="U118" t="b">
        <f>+ISNUMBER(SEARCH('F-COMPRA'!$F$37,Tabla11[[#This Row],[Cuenta]],1))</f>
        <v>1</v>
      </c>
      <c r="V118" t="b">
        <f>+ISNUMBER(SEARCH(#REF!,Tabla11[[#This Row],[Cuenta]],1))</f>
        <v>0</v>
      </c>
      <c r="W118" t="b">
        <f>+ISNUMBER(SEARCH('F-COMPRA'!#REF!,Tabla11[[#This Row],[Cuenta]],1))</f>
        <v>0</v>
      </c>
      <c r="X118" t="b">
        <f>+ISNUMBER(SEARCH('F-COMPRA'!#REF!,Tabla11[[#This Row],[Cuenta]],1))</f>
        <v>0</v>
      </c>
      <c r="Y118" t="b">
        <f>+ISNUMBER(SEARCH('F-COMPRA'!#REF!,Tabla11[[#This Row],[Cuenta]],1))</f>
        <v>0</v>
      </c>
      <c r="Z118" t="b">
        <f>+ISNUMBER(SEARCH('F-COMPRA'!#REF!,Tabla11[[#This Row],[Cuenta]],1))</f>
        <v>0</v>
      </c>
      <c r="AA118" t="b">
        <f>+ISNUMBER(SEARCH('F-COMPRA'!#REF!,Tabla11[[#This Row],[Cuenta]],1))</f>
        <v>0</v>
      </c>
      <c r="AB118" t="b">
        <f>+ISNUMBER(SEARCH('F-COMPRA'!#REF!,Tabla11[[#This Row],[Cuenta]],1))</f>
        <v>0</v>
      </c>
      <c r="AC118" t="b">
        <f>+ISNUMBER(SEARCH('F-COMPRA'!#REF!,Tabla11[[#This Row],[Cuenta]],1))</f>
        <v>0</v>
      </c>
      <c r="AD118" t="b">
        <f>+ISNUMBER(SEARCH('F-COMPRA'!#REF!,Tabla11[[#This Row],[Cuenta]],1))</f>
        <v>0</v>
      </c>
      <c r="AE118" t="b">
        <f>+ISNUMBER(SEARCH('F-COMPRA'!#REF!,Tabla11[[#This Row],[Cuenta]],1))</f>
        <v>0</v>
      </c>
      <c r="AF118" t="b">
        <f>+ISNUMBER(SEARCH('F-VTA'!$G$23,Tabla11[[#This Row],[Cuenta]],1))</f>
        <v>0</v>
      </c>
      <c r="AG118" t="b">
        <f>+ISNUMBER(SEARCH('F-VTA'!$G$24,Tabla11[[#This Row],[Cuenta]],1))</f>
        <v>0</v>
      </c>
      <c r="AH118" t="b">
        <f>+ISNUMBER(SEARCH('F-VTA'!$G$25,Tabla11[[#This Row],[Cuenta]],1))</f>
        <v>0</v>
      </c>
      <c r="AI118" t="b">
        <f>+ISNUMBER(SEARCH('F-VTA'!$F$28,Tabla11[[#This Row],[Cuenta]],1))</f>
        <v>1</v>
      </c>
      <c r="AJ118" t="b">
        <f>+ISNUMBER(SEARCH('F-VTA'!$F$29,Tabla11[[#This Row],[Cuenta]],1))</f>
        <v>1</v>
      </c>
      <c r="AK118" t="b">
        <f>+ISNUMBER(SEARCH('F-VTA'!$F$30,Tabla11[[#This Row],[Cuenta]],1))</f>
        <v>1</v>
      </c>
      <c r="AL118" t="b">
        <f>+ISNUMBER(SEARCH('F-VTA'!$F$31,Tabla11[[#This Row],[Cuenta]],1))</f>
        <v>1</v>
      </c>
      <c r="AM118" t="b">
        <f>+ISNUMBER(SEARCH('F-VTA'!$F$32,Tabla11[[#This Row],[Cuenta]],1))</f>
        <v>1</v>
      </c>
      <c r="AN118" t="b">
        <f>+ISNUMBER(SEARCH('F-VTA'!$F$33,Tabla11[[#This Row],[Cuenta]],1))</f>
        <v>1</v>
      </c>
      <c r="AO118" t="b">
        <f>+ISNUMBER(SEARCH('F-VTA'!$F$34,Tabla11[[#This Row],[Cuenta]],1))</f>
        <v>1</v>
      </c>
      <c r="AP118" t="b">
        <f>+ISNUMBER(SEARCH('F-VTA'!$F$35,Tabla11[[#This Row],[Cuenta]],1))</f>
        <v>1</v>
      </c>
      <c r="AQ118" t="b">
        <f>+ISNUMBER(SEARCH('F-VTA'!$F$36,Tabla11[[#This Row],[Cuenta]],1))</f>
        <v>1</v>
      </c>
      <c r="AR118" t="b">
        <f>+ISNUMBER(SEARCH(#REF!,Tabla11[[#This Row],[Cuenta]],1))</f>
        <v>0</v>
      </c>
      <c r="AS118" t="b">
        <f>+ISNUMBER(SEARCH(#REF!,Tabla11[[#This Row],[Cuenta]],1))</f>
        <v>0</v>
      </c>
      <c r="AT118" t="b">
        <f>+ISNUMBER(SEARCH(#REF!,Tabla11[[#This Row],[Cuenta]],1))</f>
        <v>0</v>
      </c>
      <c r="AU118" t="b">
        <f>+ISNUMBER(SEARCH('Conc. Ban.1'!$I$9,Tabla11[[#This Row],[Cuenta]],1))</f>
        <v>0</v>
      </c>
      <c r="AV118" t="b">
        <f>+ISNUMBER(SEARCH(CompConta!$F$21,Tabla11[[#This Row],[Cuenta]],1))</f>
        <v>1</v>
      </c>
      <c r="AW118" t="b">
        <f>+ISNUMBER(SEARCH(CompConta!$F$22,Tabla11[[#This Row],[Cuenta]],1))</f>
        <v>1</v>
      </c>
      <c r="AX118" t="b">
        <f>+ISNUMBER(SEARCH(CompConta!$F$23,Tabla11[[#This Row],[Cuenta]],1))</f>
        <v>1</v>
      </c>
      <c r="AY118" t="b">
        <f>+ISNUMBER(SEARCH(CompConta!$F$24,Tabla11[[#This Row],[Cuenta]],1))</f>
        <v>1</v>
      </c>
      <c r="AZ118" t="b">
        <f>+ISNUMBER(SEARCH(CompConta!$F$25,Tabla11[[#This Row],[Cuenta]],1))</f>
        <v>1</v>
      </c>
      <c r="BA118" t="b">
        <f>+ISNUMBER(SEARCH(CompConta!$F$26,Tabla11[[#This Row],[Cuenta]],1))</f>
        <v>1</v>
      </c>
      <c r="BB118" t="b">
        <f>+ISNUMBER(SEARCH(CompConta!$F$27,Tabla11[[#This Row],[Cuenta]],1))</f>
        <v>1</v>
      </c>
      <c r="BC118" t="b">
        <f>+ISNUMBER(SEARCH(CompConta!$F$28,Tabla11[[#This Row],[Cuenta]],1))</f>
        <v>1</v>
      </c>
      <c r="BD118" t="b">
        <f>+ISNUMBER(SEARCH(CompConta!$F$29,Tabla11[[#This Row],[Cuenta]],1))</f>
        <v>1</v>
      </c>
      <c r="BE118" t="b">
        <f>+ISNUMBER(SEARCH(CompConta!$F$30,Tabla11[[#This Row],[Cuenta]],1))</f>
        <v>1</v>
      </c>
      <c r="BF118" t="b">
        <f>+ISNUMBER(SEARCH('PAGO Compras'!$E$11,Tabla11[[#This Row],[Cuenta]],1))</f>
        <v>1</v>
      </c>
      <c r="BG118" t="b">
        <f>+ISNUMBER(SEARCH(#REF!,Tabla11[[#This Row],[Cuenta]],1))</f>
        <v>0</v>
      </c>
      <c r="BH118" t="b">
        <f>+ISNUMBER(SEARCH(#REF!,Tabla11[[#This Row],[Cuenta]],1))</f>
        <v>0</v>
      </c>
      <c r="BI118" t="b">
        <f>+ISNUMBER(SEARCH(#REF!,Tabla11[[#This Row],[Cuenta]],1))</f>
        <v>0</v>
      </c>
      <c r="BJ118" t="b">
        <f>+ISNUMBER(SEARCH(#REF!,Tabla11[[#This Row],[Cuenta]],1))</f>
        <v>0</v>
      </c>
      <c r="BS118" t="str">
        <v>151250 Plantas y redes</v>
      </c>
      <c r="BT118" t="str">
        <v>151250 Plantas y redes</v>
      </c>
      <c r="BU118" t="str">
        <v>151250 Plantas y redes</v>
      </c>
      <c r="BV118" t="str">
        <v>151250 Plantas y redes</v>
      </c>
      <c r="BZ118" t="str">
        <v>151250 Plantas y redes</v>
      </c>
      <c r="CA118" t="str">
        <v>151250 Plantas y redes</v>
      </c>
      <c r="CB118" t="str">
        <v>151250 Plantas y redes</v>
      </c>
      <c r="CC118" t="str">
        <v>151250 Plantas y redes</v>
      </c>
      <c r="CD118" t="str">
        <v>151250 Plantas y redes</v>
      </c>
      <c r="CE118" t="str">
        <v>151250 Plantas y redes</v>
      </c>
      <c r="CS118" s="141" t="str">
        <v>151250 Plantas y redes</v>
      </c>
      <c r="CT118" s="141" t="str">
        <v>151250 Plantas y redes</v>
      </c>
      <c r="CU118" s="141" t="str">
        <v>151250 Plantas y redes</v>
      </c>
      <c r="CV118" s="141" t="str">
        <v>151250 Plantas y redes</v>
      </c>
      <c r="CW118" s="141" t="str">
        <v>151250 Plantas y redes</v>
      </c>
      <c r="CX118" s="141" t="str">
        <v>151250 Plantas y redes</v>
      </c>
      <c r="CY118" s="141" t="str">
        <v>151250 Plantas y redes</v>
      </c>
      <c r="CZ118" s="141" t="str">
        <v>151250 Plantas y redes</v>
      </c>
      <c r="DA118" s="141" t="str">
        <v>151250 Plantas y redes</v>
      </c>
      <c r="DF118" t="str">
        <v>151250 Plantas y redes</v>
      </c>
      <c r="DG118" t="str">
        <v>151250 Plantas y redes</v>
      </c>
      <c r="DH118" t="str">
        <v>151250 Plantas y redes</v>
      </c>
      <c r="DI118" t="str">
        <v>151250 Plantas y redes</v>
      </c>
      <c r="DJ118" t="str">
        <v>151250 Plantas y redes</v>
      </c>
      <c r="DK118" t="str">
        <v>151250 Plantas y redes</v>
      </c>
      <c r="DL118" t="str">
        <v>151250 Plantas y redes</v>
      </c>
      <c r="DM118" t="str">
        <v>151250 Plantas y redes</v>
      </c>
      <c r="DN118" t="str">
        <v>151250 Plantas y redes</v>
      </c>
      <c r="DO118" t="str">
        <v>151250 Plantas y redes</v>
      </c>
      <c r="DP118" t="str">
        <v>151250 Plantas y redes</v>
      </c>
    </row>
    <row r="119" spans="4:120" ht="12.75">
      <c r="D119" s="7">
        <v>151299</v>
      </c>
      <c r="E119" s="6" t="s">
        <v>44</v>
      </c>
      <c r="F119" s="5">
        <v>4</v>
      </c>
      <c r="G119" s="34" t="s">
        <v>822</v>
      </c>
      <c r="H119" s="8" t="s">
        <v>32</v>
      </c>
      <c r="I119" t="b">
        <f>+ISNUMBER(SEARCH('F-COMPRA'!$F$28,Tabla11[[#This Row],[Cuenta]],1))</f>
        <v>1</v>
      </c>
      <c r="J119" t="b">
        <f>+ISNUMBER(SEARCH('F-COMPRA'!$F$29,Tabla11[[#This Row],[Cuenta]],1))</f>
        <v>1</v>
      </c>
      <c r="K119" t="b">
        <f>+ISNUMBER(SEARCH('F-COMPRA'!$F$30,Tabla11[[#This Row],[Cuenta]],1))</f>
        <v>1</v>
      </c>
      <c r="L119" t="b">
        <f>+ISNUMBER(SEARCH('F-COMPRA'!$F$31,Tabla11[[#This Row],[Cuenta]],1))</f>
        <v>1</v>
      </c>
      <c r="M119" t="b">
        <f>+ISNUMBER(SEARCH('F-COMPRA'!$G$25,Tabla11[[#This Row],[Cuenta]],1))</f>
        <v>0</v>
      </c>
      <c r="N119" t="b">
        <f>+ISNUMBER(SEARCH(#REF!,Tabla11[[#This Row],[Cuenta]],1))</f>
        <v>0</v>
      </c>
      <c r="O119" t="b">
        <f>+ISNUMBER(SEARCH(#REF!,Tabla11[[#This Row],[Cuenta]],1))</f>
        <v>0</v>
      </c>
      <c r="P119" t="b">
        <f>+ISNUMBER(SEARCH('F-COMPRA'!$F$32,Tabla11[[#This Row],[Cuenta]],1))</f>
        <v>1</v>
      </c>
      <c r="Q119" t="b">
        <f>+ISNUMBER(SEARCH('F-COMPRA'!$F$33,Tabla11[[#This Row],[Cuenta]],1))</f>
        <v>1</v>
      </c>
      <c r="R119" t="b">
        <f>+ISNUMBER(SEARCH('F-COMPRA'!$F$34,Tabla11[[#This Row],[Cuenta]],1))</f>
        <v>1</v>
      </c>
      <c r="S119" t="b">
        <f>+ISNUMBER(SEARCH('F-COMPRA'!$F$35,Tabla11[[#This Row],[Cuenta]],1))</f>
        <v>1</v>
      </c>
      <c r="T119" t="b">
        <f>+ISNUMBER(SEARCH('F-COMPRA'!$F$36,Tabla11[[#This Row],[Cuenta]],1))</f>
        <v>1</v>
      </c>
      <c r="U119" t="b">
        <f>+ISNUMBER(SEARCH('F-COMPRA'!$F$37,Tabla11[[#This Row],[Cuenta]],1))</f>
        <v>1</v>
      </c>
      <c r="V119" t="b">
        <f>+ISNUMBER(SEARCH(#REF!,Tabla11[[#This Row],[Cuenta]],1))</f>
        <v>0</v>
      </c>
      <c r="W119" t="b">
        <f>+ISNUMBER(SEARCH('F-COMPRA'!#REF!,Tabla11[[#This Row],[Cuenta]],1))</f>
        <v>0</v>
      </c>
      <c r="X119" t="b">
        <f>+ISNUMBER(SEARCH('F-COMPRA'!#REF!,Tabla11[[#This Row],[Cuenta]],1))</f>
        <v>0</v>
      </c>
      <c r="Y119" t="b">
        <f>+ISNUMBER(SEARCH('F-COMPRA'!#REF!,Tabla11[[#This Row],[Cuenta]],1))</f>
        <v>0</v>
      </c>
      <c r="Z119" t="b">
        <f>+ISNUMBER(SEARCH('F-COMPRA'!#REF!,Tabla11[[#This Row],[Cuenta]],1))</f>
        <v>0</v>
      </c>
      <c r="AA119" t="b">
        <f>+ISNUMBER(SEARCH('F-COMPRA'!#REF!,Tabla11[[#This Row],[Cuenta]],1))</f>
        <v>0</v>
      </c>
      <c r="AB119" t="b">
        <f>+ISNUMBER(SEARCH('F-COMPRA'!#REF!,Tabla11[[#This Row],[Cuenta]],1))</f>
        <v>0</v>
      </c>
      <c r="AC119" t="b">
        <f>+ISNUMBER(SEARCH('F-COMPRA'!#REF!,Tabla11[[#This Row],[Cuenta]],1))</f>
        <v>0</v>
      </c>
      <c r="AD119" t="b">
        <f>+ISNUMBER(SEARCH('F-COMPRA'!#REF!,Tabla11[[#This Row],[Cuenta]],1))</f>
        <v>0</v>
      </c>
      <c r="AE119" t="b">
        <f>+ISNUMBER(SEARCH('F-COMPRA'!#REF!,Tabla11[[#This Row],[Cuenta]],1))</f>
        <v>0</v>
      </c>
      <c r="AF119" t="b">
        <f>+ISNUMBER(SEARCH('F-VTA'!$G$23,Tabla11[[#This Row],[Cuenta]],1))</f>
        <v>0</v>
      </c>
      <c r="AG119" t="b">
        <f>+ISNUMBER(SEARCH('F-VTA'!$G$24,Tabla11[[#This Row],[Cuenta]],1))</f>
        <v>0</v>
      </c>
      <c r="AH119" t="b">
        <f>+ISNUMBER(SEARCH('F-VTA'!$G$25,Tabla11[[#This Row],[Cuenta]],1))</f>
        <v>0</v>
      </c>
      <c r="AI119" t="b">
        <f>+ISNUMBER(SEARCH('F-VTA'!$F$28,Tabla11[[#This Row],[Cuenta]],1))</f>
        <v>1</v>
      </c>
      <c r="AJ119" t="b">
        <f>+ISNUMBER(SEARCH('F-VTA'!$F$29,Tabla11[[#This Row],[Cuenta]],1))</f>
        <v>1</v>
      </c>
      <c r="AK119" t="b">
        <f>+ISNUMBER(SEARCH('F-VTA'!$F$30,Tabla11[[#This Row],[Cuenta]],1))</f>
        <v>1</v>
      </c>
      <c r="AL119" t="b">
        <f>+ISNUMBER(SEARCH('F-VTA'!$F$31,Tabla11[[#This Row],[Cuenta]],1))</f>
        <v>1</v>
      </c>
      <c r="AM119" t="b">
        <f>+ISNUMBER(SEARCH('F-VTA'!$F$32,Tabla11[[#This Row],[Cuenta]],1))</f>
        <v>1</v>
      </c>
      <c r="AN119" t="b">
        <f>+ISNUMBER(SEARCH('F-VTA'!$F$33,Tabla11[[#This Row],[Cuenta]],1))</f>
        <v>1</v>
      </c>
      <c r="AO119" t="b">
        <f>+ISNUMBER(SEARCH('F-VTA'!$F$34,Tabla11[[#This Row],[Cuenta]],1))</f>
        <v>1</v>
      </c>
      <c r="AP119" t="b">
        <f>+ISNUMBER(SEARCH('F-VTA'!$F$35,Tabla11[[#This Row],[Cuenta]],1))</f>
        <v>1</v>
      </c>
      <c r="AQ119" t="b">
        <f>+ISNUMBER(SEARCH('F-VTA'!$F$36,Tabla11[[#This Row],[Cuenta]],1))</f>
        <v>1</v>
      </c>
      <c r="AR119" t="b">
        <f>+ISNUMBER(SEARCH(#REF!,Tabla11[[#This Row],[Cuenta]],1))</f>
        <v>0</v>
      </c>
      <c r="AS119" t="b">
        <f>+ISNUMBER(SEARCH(#REF!,Tabla11[[#This Row],[Cuenta]],1))</f>
        <v>0</v>
      </c>
      <c r="AT119" t="b">
        <f>+ISNUMBER(SEARCH(#REF!,Tabla11[[#This Row],[Cuenta]],1))</f>
        <v>0</v>
      </c>
      <c r="AU119" t="b">
        <f>+ISNUMBER(SEARCH('Conc. Ban.1'!$I$9,Tabla11[[#This Row],[Cuenta]],1))</f>
        <v>0</v>
      </c>
      <c r="AV119" t="b">
        <f>+ISNUMBER(SEARCH(CompConta!$F$21,Tabla11[[#This Row],[Cuenta]],1))</f>
        <v>1</v>
      </c>
      <c r="AW119" t="b">
        <f>+ISNUMBER(SEARCH(CompConta!$F$22,Tabla11[[#This Row],[Cuenta]],1))</f>
        <v>1</v>
      </c>
      <c r="AX119" t="b">
        <f>+ISNUMBER(SEARCH(CompConta!$F$23,Tabla11[[#This Row],[Cuenta]],1))</f>
        <v>1</v>
      </c>
      <c r="AY119" t="b">
        <f>+ISNUMBER(SEARCH(CompConta!$F$24,Tabla11[[#This Row],[Cuenta]],1))</f>
        <v>1</v>
      </c>
      <c r="AZ119" t="b">
        <f>+ISNUMBER(SEARCH(CompConta!$F$25,Tabla11[[#This Row],[Cuenta]],1))</f>
        <v>1</v>
      </c>
      <c r="BA119" t="b">
        <f>+ISNUMBER(SEARCH(CompConta!$F$26,Tabla11[[#This Row],[Cuenta]],1))</f>
        <v>1</v>
      </c>
      <c r="BB119" t="b">
        <f>+ISNUMBER(SEARCH(CompConta!$F$27,Tabla11[[#This Row],[Cuenta]],1))</f>
        <v>1</v>
      </c>
      <c r="BC119" t="b">
        <f>+ISNUMBER(SEARCH(CompConta!$F$28,Tabla11[[#This Row],[Cuenta]],1))</f>
        <v>1</v>
      </c>
      <c r="BD119" t="b">
        <f>+ISNUMBER(SEARCH(CompConta!$F$29,Tabla11[[#This Row],[Cuenta]],1))</f>
        <v>1</v>
      </c>
      <c r="BE119" t="b">
        <f>+ISNUMBER(SEARCH(CompConta!$F$30,Tabla11[[#This Row],[Cuenta]],1))</f>
        <v>1</v>
      </c>
      <c r="BF119" t="b">
        <f>+ISNUMBER(SEARCH('PAGO Compras'!$E$11,Tabla11[[#This Row],[Cuenta]],1))</f>
        <v>1</v>
      </c>
      <c r="BG119" t="b">
        <f>+ISNUMBER(SEARCH(#REF!,Tabla11[[#This Row],[Cuenta]],1))</f>
        <v>0</v>
      </c>
      <c r="BH119" t="b">
        <f>+ISNUMBER(SEARCH(#REF!,Tabla11[[#This Row],[Cuenta]],1))</f>
        <v>0</v>
      </c>
      <c r="BI119" t="b">
        <f>+ISNUMBER(SEARCH(#REF!,Tabla11[[#This Row],[Cuenta]],1))</f>
        <v>0</v>
      </c>
      <c r="BJ119" t="b">
        <f>+ISNUMBER(SEARCH(#REF!,Tabla11[[#This Row],[Cuenta]],1))</f>
        <v>0</v>
      </c>
      <c r="BS119" t="str">
        <v>151299 Ajustes por inflación</v>
      </c>
      <c r="BT119" t="str">
        <v>151299 Ajustes por inflación</v>
      </c>
      <c r="BU119" t="str">
        <v>151299 Ajustes por inflación</v>
      </c>
      <c r="BV119" t="str">
        <v>151299 Ajustes por inflación</v>
      </c>
      <c r="BZ119" t="str">
        <v>151299 Ajustes por inflación</v>
      </c>
      <c r="CA119" t="str">
        <v>151299 Ajustes por inflación</v>
      </c>
      <c r="CB119" t="str">
        <v>151299 Ajustes por inflación</v>
      </c>
      <c r="CC119" t="str">
        <v>151299 Ajustes por inflación</v>
      </c>
      <c r="CD119" t="str">
        <v>151299 Ajustes por inflación</v>
      </c>
      <c r="CE119" t="str">
        <v>151299 Ajustes por inflación</v>
      </c>
      <c r="CS119" s="141" t="str">
        <v>151299 Ajustes por inflación</v>
      </c>
      <c r="CT119" s="141" t="str">
        <v>151299 Ajustes por inflación</v>
      </c>
      <c r="CU119" s="141" t="str">
        <v>151299 Ajustes por inflación</v>
      </c>
      <c r="CV119" s="141" t="str">
        <v>151299 Ajustes por inflación</v>
      </c>
      <c r="CW119" s="141" t="str">
        <v>151299 Ajustes por inflación</v>
      </c>
      <c r="CX119" s="141" t="str">
        <v>151299 Ajustes por inflación</v>
      </c>
      <c r="CY119" s="141" t="str">
        <v>151299 Ajustes por inflación</v>
      </c>
      <c r="CZ119" s="141" t="str">
        <v>151299 Ajustes por inflación</v>
      </c>
      <c r="DA119" s="141" t="str">
        <v>151299 Ajustes por inflación</v>
      </c>
      <c r="DF119" t="str">
        <v>151299 Ajustes por inflación</v>
      </c>
      <c r="DG119" t="str">
        <v>151299 Ajustes por inflación</v>
      </c>
      <c r="DH119" t="str">
        <v>151299 Ajustes por inflación</v>
      </c>
      <c r="DI119" t="str">
        <v>151299 Ajustes por inflación</v>
      </c>
      <c r="DJ119" t="str">
        <v>151299 Ajustes por inflación</v>
      </c>
      <c r="DK119" t="str">
        <v>151299 Ajustes por inflación</v>
      </c>
      <c r="DL119" t="str">
        <v>151299 Ajustes por inflación</v>
      </c>
      <c r="DM119" t="str">
        <v>151299 Ajustes por inflación</v>
      </c>
      <c r="DN119" t="str">
        <v>151299 Ajustes por inflación</v>
      </c>
      <c r="DO119" t="str">
        <v>151299 Ajustes por inflación</v>
      </c>
      <c r="DP119" t="str">
        <v>151299 Ajustes por inflación</v>
      </c>
    </row>
    <row r="120" spans="4:120" ht="12.75">
      <c r="D120" s="7">
        <v>1516</v>
      </c>
      <c r="E120" s="6" t="s">
        <v>138</v>
      </c>
      <c r="F120" s="5">
        <v>3</v>
      </c>
      <c r="G120" s="34" t="s">
        <v>822</v>
      </c>
      <c r="H120" s="8" t="s">
        <v>32</v>
      </c>
      <c r="I120" t="b">
        <f>+ISNUMBER(SEARCH('F-COMPRA'!$F$28,Tabla11[[#This Row],[Cuenta]],1))</f>
        <v>1</v>
      </c>
      <c r="J120" t="b">
        <f>+ISNUMBER(SEARCH('F-COMPRA'!$F$29,Tabla11[[#This Row],[Cuenta]],1))</f>
        <v>1</v>
      </c>
      <c r="K120" t="b">
        <f>+ISNUMBER(SEARCH('F-COMPRA'!$F$30,Tabla11[[#This Row],[Cuenta]],1))</f>
        <v>1</v>
      </c>
      <c r="L120" t="b">
        <f>+ISNUMBER(SEARCH('F-COMPRA'!$F$31,Tabla11[[#This Row],[Cuenta]],1))</f>
        <v>1</v>
      </c>
      <c r="M120" t="b">
        <f>+ISNUMBER(SEARCH('F-COMPRA'!$G$25,Tabla11[[#This Row],[Cuenta]],1))</f>
        <v>0</v>
      </c>
      <c r="N120" t="b">
        <f>+ISNUMBER(SEARCH(#REF!,Tabla11[[#This Row],[Cuenta]],1))</f>
        <v>0</v>
      </c>
      <c r="O120" t="b">
        <f>+ISNUMBER(SEARCH(#REF!,Tabla11[[#This Row],[Cuenta]],1))</f>
        <v>0</v>
      </c>
      <c r="P120" t="b">
        <f>+ISNUMBER(SEARCH('F-COMPRA'!$F$32,Tabla11[[#This Row],[Cuenta]],1))</f>
        <v>1</v>
      </c>
      <c r="Q120" t="b">
        <f>+ISNUMBER(SEARCH('F-COMPRA'!$F$33,Tabla11[[#This Row],[Cuenta]],1))</f>
        <v>1</v>
      </c>
      <c r="R120" t="b">
        <f>+ISNUMBER(SEARCH('F-COMPRA'!$F$34,Tabla11[[#This Row],[Cuenta]],1))</f>
        <v>1</v>
      </c>
      <c r="S120" t="b">
        <f>+ISNUMBER(SEARCH('F-COMPRA'!$F$35,Tabla11[[#This Row],[Cuenta]],1))</f>
        <v>1</v>
      </c>
      <c r="T120" t="b">
        <f>+ISNUMBER(SEARCH('F-COMPRA'!$F$36,Tabla11[[#This Row],[Cuenta]],1))</f>
        <v>1</v>
      </c>
      <c r="U120" t="b">
        <f>+ISNUMBER(SEARCH('F-COMPRA'!$F$37,Tabla11[[#This Row],[Cuenta]],1))</f>
        <v>1</v>
      </c>
      <c r="V120" t="b">
        <f>+ISNUMBER(SEARCH(#REF!,Tabla11[[#This Row],[Cuenta]],1))</f>
        <v>0</v>
      </c>
      <c r="W120" t="b">
        <f>+ISNUMBER(SEARCH('F-COMPRA'!#REF!,Tabla11[[#This Row],[Cuenta]],1))</f>
        <v>0</v>
      </c>
      <c r="X120" t="b">
        <f>+ISNUMBER(SEARCH('F-COMPRA'!#REF!,Tabla11[[#This Row],[Cuenta]],1))</f>
        <v>0</v>
      </c>
      <c r="Y120" t="b">
        <f>+ISNUMBER(SEARCH('F-COMPRA'!#REF!,Tabla11[[#This Row],[Cuenta]],1))</f>
        <v>0</v>
      </c>
      <c r="Z120" t="b">
        <f>+ISNUMBER(SEARCH('F-COMPRA'!#REF!,Tabla11[[#This Row],[Cuenta]],1))</f>
        <v>0</v>
      </c>
      <c r="AA120" t="b">
        <f>+ISNUMBER(SEARCH('F-COMPRA'!#REF!,Tabla11[[#This Row],[Cuenta]],1))</f>
        <v>0</v>
      </c>
      <c r="AB120" t="b">
        <f>+ISNUMBER(SEARCH('F-COMPRA'!#REF!,Tabla11[[#This Row],[Cuenta]],1))</f>
        <v>0</v>
      </c>
      <c r="AC120" t="b">
        <f>+ISNUMBER(SEARCH('F-COMPRA'!#REF!,Tabla11[[#This Row],[Cuenta]],1))</f>
        <v>0</v>
      </c>
      <c r="AD120" t="b">
        <f>+ISNUMBER(SEARCH('F-COMPRA'!#REF!,Tabla11[[#This Row],[Cuenta]],1))</f>
        <v>0</v>
      </c>
      <c r="AE120" t="b">
        <f>+ISNUMBER(SEARCH('F-COMPRA'!#REF!,Tabla11[[#This Row],[Cuenta]],1))</f>
        <v>0</v>
      </c>
      <c r="AF120" t="b">
        <f>+ISNUMBER(SEARCH('F-VTA'!$G$23,Tabla11[[#This Row],[Cuenta]],1))</f>
        <v>0</v>
      </c>
      <c r="AG120" t="b">
        <f>+ISNUMBER(SEARCH('F-VTA'!$G$24,Tabla11[[#This Row],[Cuenta]],1))</f>
        <v>0</v>
      </c>
      <c r="AH120" t="b">
        <f>+ISNUMBER(SEARCH('F-VTA'!$G$25,Tabla11[[#This Row],[Cuenta]],1))</f>
        <v>0</v>
      </c>
      <c r="AI120" t="b">
        <f>+ISNUMBER(SEARCH('F-VTA'!$F$28,Tabla11[[#This Row],[Cuenta]],1))</f>
        <v>1</v>
      </c>
      <c r="AJ120" t="b">
        <f>+ISNUMBER(SEARCH('F-VTA'!$F$29,Tabla11[[#This Row],[Cuenta]],1))</f>
        <v>1</v>
      </c>
      <c r="AK120" t="b">
        <f>+ISNUMBER(SEARCH('F-VTA'!$F$30,Tabla11[[#This Row],[Cuenta]],1))</f>
        <v>1</v>
      </c>
      <c r="AL120" t="b">
        <f>+ISNUMBER(SEARCH('F-VTA'!$F$31,Tabla11[[#This Row],[Cuenta]],1))</f>
        <v>1</v>
      </c>
      <c r="AM120" t="b">
        <f>+ISNUMBER(SEARCH('F-VTA'!$F$32,Tabla11[[#This Row],[Cuenta]],1))</f>
        <v>1</v>
      </c>
      <c r="AN120" t="b">
        <f>+ISNUMBER(SEARCH('F-VTA'!$F$33,Tabla11[[#This Row],[Cuenta]],1))</f>
        <v>1</v>
      </c>
      <c r="AO120" t="b">
        <f>+ISNUMBER(SEARCH('F-VTA'!$F$34,Tabla11[[#This Row],[Cuenta]],1))</f>
        <v>1</v>
      </c>
      <c r="AP120" t="b">
        <f>+ISNUMBER(SEARCH('F-VTA'!$F$35,Tabla11[[#This Row],[Cuenta]],1))</f>
        <v>1</v>
      </c>
      <c r="AQ120" t="b">
        <f>+ISNUMBER(SEARCH('F-VTA'!$F$36,Tabla11[[#This Row],[Cuenta]],1))</f>
        <v>1</v>
      </c>
      <c r="AR120" t="b">
        <f>+ISNUMBER(SEARCH(#REF!,Tabla11[[#This Row],[Cuenta]],1))</f>
        <v>0</v>
      </c>
      <c r="AS120" t="b">
        <f>+ISNUMBER(SEARCH(#REF!,Tabla11[[#This Row],[Cuenta]],1))</f>
        <v>0</v>
      </c>
      <c r="AT120" t="b">
        <f>+ISNUMBER(SEARCH(#REF!,Tabla11[[#This Row],[Cuenta]],1))</f>
        <v>0</v>
      </c>
      <c r="AU120" t="b">
        <f>+ISNUMBER(SEARCH('Conc. Ban.1'!$I$9,Tabla11[[#This Row],[Cuenta]],1))</f>
        <v>0</v>
      </c>
      <c r="AV120" t="b">
        <f>+ISNUMBER(SEARCH(CompConta!$F$21,Tabla11[[#This Row],[Cuenta]],1))</f>
        <v>1</v>
      </c>
      <c r="AW120" t="b">
        <f>+ISNUMBER(SEARCH(CompConta!$F$22,Tabla11[[#This Row],[Cuenta]],1))</f>
        <v>1</v>
      </c>
      <c r="AX120" t="b">
        <f>+ISNUMBER(SEARCH(CompConta!$F$23,Tabla11[[#This Row],[Cuenta]],1))</f>
        <v>1</v>
      </c>
      <c r="AY120" t="b">
        <f>+ISNUMBER(SEARCH(CompConta!$F$24,Tabla11[[#This Row],[Cuenta]],1))</f>
        <v>1</v>
      </c>
      <c r="AZ120" t="b">
        <f>+ISNUMBER(SEARCH(CompConta!$F$25,Tabla11[[#This Row],[Cuenta]],1))</f>
        <v>1</v>
      </c>
      <c r="BA120" t="b">
        <f>+ISNUMBER(SEARCH(CompConta!$F$26,Tabla11[[#This Row],[Cuenta]],1))</f>
        <v>1</v>
      </c>
      <c r="BB120" t="b">
        <f>+ISNUMBER(SEARCH(CompConta!$F$27,Tabla11[[#This Row],[Cuenta]],1))</f>
        <v>1</v>
      </c>
      <c r="BC120" t="b">
        <f>+ISNUMBER(SEARCH(CompConta!$F$28,Tabla11[[#This Row],[Cuenta]],1))</f>
        <v>1</v>
      </c>
      <c r="BD120" t="b">
        <f>+ISNUMBER(SEARCH(CompConta!$F$29,Tabla11[[#This Row],[Cuenta]],1))</f>
        <v>1</v>
      </c>
      <c r="BE120" t="b">
        <f>+ISNUMBER(SEARCH(CompConta!$F$30,Tabla11[[#This Row],[Cuenta]],1))</f>
        <v>1</v>
      </c>
      <c r="BF120" t="b">
        <f>+ISNUMBER(SEARCH('PAGO Compras'!$E$11,Tabla11[[#This Row],[Cuenta]],1))</f>
        <v>1</v>
      </c>
      <c r="BG120" t="b">
        <f>+ISNUMBER(SEARCH(#REF!,Tabla11[[#This Row],[Cuenta]],1))</f>
        <v>0</v>
      </c>
      <c r="BH120" t="b">
        <f>+ISNUMBER(SEARCH(#REF!,Tabla11[[#This Row],[Cuenta]],1))</f>
        <v>0</v>
      </c>
      <c r="BI120" t="b">
        <f>+ISNUMBER(SEARCH(#REF!,Tabla11[[#This Row],[Cuenta]],1))</f>
        <v>0</v>
      </c>
      <c r="BJ120" t="b">
        <f>+ISNUMBER(SEARCH(#REF!,Tabla11[[#This Row],[Cuenta]],1))</f>
        <v>0</v>
      </c>
      <c r="BS120" t="str">
        <v>1516 CONSTRUCCIONES Y EDIFICACIONES</v>
      </c>
      <c r="BT120" t="str">
        <v>1516 CONSTRUCCIONES Y EDIFICACIONES</v>
      </c>
      <c r="BU120" t="str">
        <v>1516 CONSTRUCCIONES Y EDIFICACIONES</v>
      </c>
      <c r="BV120" t="str">
        <v>1516 CONSTRUCCIONES Y EDIFICACIONES</v>
      </c>
      <c r="BZ120" t="str">
        <v>1516 CONSTRUCCIONES Y EDIFICACIONES</v>
      </c>
      <c r="CA120" t="str">
        <v>1516 CONSTRUCCIONES Y EDIFICACIONES</v>
      </c>
      <c r="CB120" t="str">
        <v>1516 CONSTRUCCIONES Y EDIFICACIONES</v>
      </c>
      <c r="CC120" t="str">
        <v>1516 CONSTRUCCIONES Y EDIFICACIONES</v>
      </c>
      <c r="CD120" t="str">
        <v>1516 CONSTRUCCIONES Y EDIFICACIONES</v>
      </c>
      <c r="CE120" t="str">
        <v>1516 CONSTRUCCIONES Y EDIFICACIONES</v>
      </c>
      <c r="CS120" s="141" t="str">
        <v>1516 CONSTRUCCIONES Y EDIFICACIONES</v>
      </c>
      <c r="CT120" s="141" t="str">
        <v>1516 CONSTRUCCIONES Y EDIFICACIONES</v>
      </c>
      <c r="CU120" s="141" t="str">
        <v>1516 CONSTRUCCIONES Y EDIFICACIONES</v>
      </c>
      <c r="CV120" s="141" t="str">
        <v>1516 CONSTRUCCIONES Y EDIFICACIONES</v>
      </c>
      <c r="CW120" s="141" t="str">
        <v>1516 CONSTRUCCIONES Y EDIFICACIONES</v>
      </c>
      <c r="CX120" s="141" t="str">
        <v>1516 CONSTRUCCIONES Y EDIFICACIONES</v>
      </c>
      <c r="CY120" s="141" t="str">
        <v>1516 CONSTRUCCIONES Y EDIFICACIONES</v>
      </c>
      <c r="CZ120" s="141" t="str">
        <v>1516 CONSTRUCCIONES Y EDIFICACIONES</v>
      </c>
      <c r="DA120" s="141" t="str">
        <v>1516 CONSTRUCCIONES Y EDIFICACIONES</v>
      </c>
      <c r="DF120" t="str">
        <v>1516 CONSTRUCCIONES Y EDIFICACIONES</v>
      </c>
      <c r="DG120" t="str">
        <v>1516 CONSTRUCCIONES Y EDIFICACIONES</v>
      </c>
      <c r="DH120" t="str">
        <v>1516 CONSTRUCCIONES Y EDIFICACIONES</v>
      </c>
      <c r="DI120" t="str">
        <v>1516 CONSTRUCCIONES Y EDIFICACIONES</v>
      </c>
      <c r="DJ120" t="str">
        <v>1516 CONSTRUCCIONES Y EDIFICACIONES</v>
      </c>
      <c r="DK120" t="str">
        <v>1516 CONSTRUCCIONES Y EDIFICACIONES</v>
      </c>
      <c r="DL120" t="str">
        <v>1516 CONSTRUCCIONES Y EDIFICACIONES</v>
      </c>
      <c r="DM120" t="str">
        <v>1516 CONSTRUCCIONES Y EDIFICACIONES</v>
      </c>
      <c r="DN120" t="str">
        <v>1516 CONSTRUCCIONES Y EDIFICACIONES</v>
      </c>
      <c r="DO120" t="str">
        <v>1516 CONSTRUCCIONES Y EDIFICACIONES</v>
      </c>
      <c r="DP120" t="str">
        <v>1516 CONSTRUCCIONES Y EDIFICACIONES</v>
      </c>
    </row>
    <row r="121" spans="4:120" ht="12.75">
      <c r="D121" s="7">
        <v>151605</v>
      </c>
      <c r="E121" s="6" t="s">
        <v>139</v>
      </c>
      <c r="F121" s="5">
        <v>4</v>
      </c>
      <c r="G121" s="34" t="s">
        <v>822</v>
      </c>
      <c r="H121" s="8" t="s">
        <v>32</v>
      </c>
      <c r="I121" t="b">
        <f>+ISNUMBER(SEARCH('F-COMPRA'!$F$28,Tabla11[[#This Row],[Cuenta]],1))</f>
        <v>1</v>
      </c>
      <c r="J121" t="b">
        <f>+ISNUMBER(SEARCH('F-COMPRA'!$F$29,Tabla11[[#This Row],[Cuenta]],1))</f>
        <v>1</v>
      </c>
      <c r="K121" t="b">
        <f>+ISNUMBER(SEARCH('F-COMPRA'!$F$30,Tabla11[[#This Row],[Cuenta]],1))</f>
        <v>1</v>
      </c>
      <c r="L121" t="b">
        <f>+ISNUMBER(SEARCH('F-COMPRA'!$F$31,Tabla11[[#This Row],[Cuenta]],1))</f>
        <v>1</v>
      </c>
      <c r="M121" t="b">
        <f>+ISNUMBER(SEARCH('F-COMPRA'!$G$25,Tabla11[[#This Row],[Cuenta]],1))</f>
        <v>0</v>
      </c>
      <c r="N121" t="b">
        <f>+ISNUMBER(SEARCH(#REF!,Tabla11[[#This Row],[Cuenta]],1))</f>
        <v>0</v>
      </c>
      <c r="O121" t="b">
        <f>+ISNUMBER(SEARCH(#REF!,Tabla11[[#This Row],[Cuenta]],1))</f>
        <v>0</v>
      </c>
      <c r="P121" t="b">
        <f>+ISNUMBER(SEARCH('F-COMPRA'!$F$32,Tabla11[[#This Row],[Cuenta]],1))</f>
        <v>1</v>
      </c>
      <c r="Q121" t="b">
        <f>+ISNUMBER(SEARCH('F-COMPRA'!$F$33,Tabla11[[#This Row],[Cuenta]],1))</f>
        <v>1</v>
      </c>
      <c r="R121" t="b">
        <f>+ISNUMBER(SEARCH('F-COMPRA'!$F$34,Tabla11[[#This Row],[Cuenta]],1))</f>
        <v>1</v>
      </c>
      <c r="S121" t="b">
        <f>+ISNUMBER(SEARCH('F-COMPRA'!$F$35,Tabla11[[#This Row],[Cuenta]],1))</f>
        <v>1</v>
      </c>
      <c r="T121" t="b">
        <f>+ISNUMBER(SEARCH('F-COMPRA'!$F$36,Tabla11[[#This Row],[Cuenta]],1))</f>
        <v>1</v>
      </c>
      <c r="U121" t="b">
        <f>+ISNUMBER(SEARCH('F-COMPRA'!$F$37,Tabla11[[#This Row],[Cuenta]],1))</f>
        <v>1</v>
      </c>
      <c r="V121" t="b">
        <f>+ISNUMBER(SEARCH(#REF!,Tabla11[[#This Row],[Cuenta]],1))</f>
        <v>0</v>
      </c>
      <c r="W121" t="b">
        <f>+ISNUMBER(SEARCH('F-COMPRA'!#REF!,Tabla11[[#This Row],[Cuenta]],1))</f>
        <v>0</v>
      </c>
      <c r="X121" t="b">
        <f>+ISNUMBER(SEARCH('F-COMPRA'!#REF!,Tabla11[[#This Row],[Cuenta]],1))</f>
        <v>0</v>
      </c>
      <c r="Y121" t="b">
        <f>+ISNUMBER(SEARCH('F-COMPRA'!#REF!,Tabla11[[#This Row],[Cuenta]],1))</f>
        <v>0</v>
      </c>
      <c r="Z121" t="b">
        <f>+ISNUMBER(SEARCH('F-COMPRA'!#REF!,Tabla11[[#This Row],[Cuenta]],1))</f>
        <v>0</v>
      </c>
      <c r="AA121" t="b">
        <f>+ISNUMBER(SEARCH('F-COMPRA'!#REF!,Tabla11[[#This Row],[Cuenta]],1))</f>
        <v>0</v>
      </c>
      <c r="AB121" t="b">
        <f>+ISNUMBER(SEARCH('F-COMPRA'!#REF!,Tabla11[[#This Row],[Cuenta]],1))</f>
        <v>0</v>
      </c>
      <c r="AC121" t="b">
        <f>+ISNUMBER(SEARCH('F-COMPRA'!#REF!,Tabla11[[#This Row],[Cuenta]],1))</f>
        <v>0</v>
      </c>
      <c r="AD121" t="b">
        <f>+ISNUMBER(SEARCH('F-COMPRA'!#REF!,Tabla11[[#This Row],[Cuenta]],1))</f>
        <v>0</v>
      </c>
      <c r="AE121" t="b">
        <f>+ISNUMBER(SEARCH('F-COMPRA'!#REF!,Tabla11[[#This Row],[Cuenta]],1))</f>
        <v>0</v>
      </c>
      <c r="AF121" t="b">
        <f>+ISNUMBER(SEARCH('F-VTA'!$G$23,Tabla11[[#This Row],[Cuenta]],1))</f>
        <v>0</v>
      </c>
      <c r="AG121" t="b">
        <f>+ISNUMBER(SEARCH('F-VTA'!$G$24,Tabla11[[#This Row],[Cuenta]],1))</f>
        <v>0</v>
      </c>
      <c r="AH121" t="b">
        <f>+ISNUMBER(SEARCH('F-VTA'!$G$25,Tabla11[[#This Row],[Cuenta]],1))</f>
        <v>0</v>
      </c>
      <c r="AI121" t="b">
        <f>+ISNUMBER(SEARCH('F-VTA'!$F$28,Tabla11[[#This Row],[Cuenta]],1))</f>
        <v>1</v>
      </c>
      <c r="AJ121" t="b">
        <f>+ISNUMBER(SEARCH('F-VTA'!$F$29,Tabla11[[#This Row],[Cuenta]],1))</f>
        <v>1</v>
      </c>
      <c r="AK121" t="b">
        <f>+ISNUMBER(SEARCH('F-VTA'!$F$30,Tabla11[[#This Row],[Cuenta]],1))</f>
        <v>1</v>
      </c>
      <c r="AL121" t="b">
        <f>+ISNUMBER(SEARCH('F-VTA'!$F$31,Tabla11[[#This Row],[Cuenta]],1))</f>
        <v>1</v>
      </c>
      <c r="AM121" t="b">
        <f>+ISNUMBER(SEARCH('F-VTA'!$F$32,Tabla11[[#This Row],[Cuenta]],1))</f>
        <v>1</v>
      </c>
      <c r="AN121" t="b">
        <f>+ISNUMBER(SEARCH('F-VTA'!$F$33,Tabla11[[#This Row],[Cuenta]],1))</f>
        <v>1</v>
      </c>
      <c r="AO121" t="b">
        <f>+ISNUMBER(SEARCH('F-VTA'!$F$34,Tabla11[[#This Row],[Cuenta]],1))</f>
        <v>1</v>
      </c>
      <c r="AP121" t="b">
        <f>+ISNUMBER(SEARCH('F-VTA'!$F$35,Tabla11[[#This Row],[Cuenta]],1))</f>
        <v>1</v>
      </c>
      <c r="AQ121" t="b">
        <f>+ISNUMBER(SEARCH('F-VTA'!$F$36,Tabla11[[#This Row],[Cuenta]],1))</f>
        <v>1</v>
      </c>
      <c r="AR121" t="b">
        <f>+ISNUMBER(SEARCH(#REF!,Tabla11[[#This Row],[Cuenta]],1))</f>
        <v>0</v>
      </c>
      <c r="AS121" t="b">
        <f>+ISNUMBER(SEARCH(#REF!,Tabla11[[#This Row],[Cuenta]],1))</f>
        <v>0</v>
      </c>
      <c r="AT121" t="b">
        <f>+ISNUMBER(SEARCH(#REF!,Tabla11[[#This Row],[Cuenta]],1))</f>
        <v>0</v>
      </c>
      <c r="AU121" t="b">
        <f>+ISNUMBER(SEARCH('Conc. Ban.1'!$I$9,Tabla11[[#This Row],[Cuenta]],1))</f>
        <v>0</v>
      </c>
      <c r="AV121" t="b">
        <f>+ISNUMBER(SEARCH(CompConta!$F$21,Tabla11[[#This Row],[Cuenta]],1))</f>
        <v>1</v>
      </c>
      <c r="AW121" t="b">
        <f>+ISNUMBER(SEARCH(CompConta!$F$22,Tabla11[[#This Row],[Cuenta]],1))</f>
        <v>1</v>
      </c>
      <c r="AX121" t="b">
        <f>+ISNUMBER(SEARCH(CompConta!$F$23,Tabla11[[#This Row],[Cuenta]],1))</f>
        <v>1</v>
      </c>
      <c r="AY121" t="b">
        <f>+ISNUMBER(SEARCH(CompConta!$F$24,Tabla11[[#This Row],[Cuenta]],1))</f>
        <v>1</v>
      </c>
      <c r="AZ121" t="b">
        <f>+ISNUMBER(SEARCH(CompConta!$F$25,Tabla11[[#This Row],[Cuenta]],1))</f>
        <v>1</v>
      </c>
      <c r="BA121" t="b">
        <f>+ISNUMBER(SEARCH(CompConta!$F$26,Tabla11[[#This Row],[Cuenta]],1))</f>
        <v>1</v>
      </c>
      <c r="BB121" t="b">
        <f>+ISNUMBER(SEARCH(CompConta!$F$27,Tabla11[[#This Row],[Cuenta]],1))</f>
        <v>1</v>
      </c>
      <c r="BC121" t="b">
        <f>+ISNUMBER(SEARCH(CompConta!$F$28,Tabla11[[#This Row],[Cuenta]],1))</f>
        <v>1</v>
      </c>
      <c r="BD121" t="b">
        <f>+ISNUMBER(SEARCH(CompConta!$F$29,Tabla11[[#This Row],[Cuenta]],1))</f>
        <v>1</v>
      </c>
      <c r="BE121" t="b">
        <f>+ISNUMBER(SEARCH(CompConta!$F$30,Tabla11[[#This Row],[Cuenta]],1))</f>
        <v>1</v>
      </c>
      <c r="BF121" t="b">
        <f>+ISNUMBER(SEARCH('PAGO Compras'!$E$11,Tabla11[[#This Row],[Cuenta]],1))</f>
        <v>1</v>
      </c>
      <c r="BG121" t="b">
        <f>+ISNUMBER(SEARCH(#REF!,Tabla11[[#This Row],[Cuenta]],1))</f>
        <v>0</v>
      </c>
      <c r="BH121" t="b">
        <f>+ISNUMBER(SEARCH(#REF!,Tabla11[[#This Row],[Cuenta]],1))</f>
        <v>0</v>
      </c>
      <c r="BI121" t="b">
        <f>+ISNUMBER(SEARCH(#REF!,Tabla11[[#This Row],[Cuenta]],1))</f>
        <v>0</v>
      </c>
      <c r="BJ121" t="b">
        <f>+ISNUMBER(SEARCH(#REF!,Tabla11[[#This Row],[Cuenta]],1))</f>
        <v>0</v>
      </c>
      <c r="BS121" t="str">
        <v>151605 Edificios</v>
      </c>
      <c r="BT121" t="str">
        <v>151605 Edificios</v>
      </c>
      <c r="BU121" t="str">
        <v>151605 Edificios</v>
      </c>
      <c r="BV121" t="str">
        <v>151605 Edificios</v>
      </c>
      <c r="BZ121" t="str">
        <v>151605 Edificios</v>
      </c>
      <c r="CA121" t="str">
        <v>151605 Edificios</v>
      </c>
      <c r="CB121" t="str">
        <v>151605 Edificios</v>
      </c>
      <c r="CC121" t="str">
        <v>151605 Edificios</v>
      </c>
      <c r="CD121" t="str">
        <v>151605 Edificios</v>
      </c>
      <c r="CE121" t="str">
        <v>151605 Edificios</v>
      </c>
      <c r="CS121" s="141" t="str">
        <v>151605 Edificios</v>
      </c>
      <c r="CT121" s="141" t="str">
        <v>151605 Edificios</v>
      </c>
      <c r="CU121" s="141" t="str">
        <v>151605 Edificios</v>
      </c>
      <c r="CV121" s="141" t="str">
        <v>151605 Edificios</v>
      </c>
      <c r="CW121" s="141" t="str">
        <v>151605 Edificios</v>
      </c>
      <c r="CX121" s="141" t="str">
        <v>151605 Edificios</v>
      </c>
      <c r="CY121" s="141" t="str">
        <v>151605 Edificios</v>
      </c>
      <c r="CZ121" s="141" t="str">
        <v>151605 Edificios</v>
      </c>
      <c r="DA121" s="141" t="str">
        <v>151605 Edificios</v>
      </c>
      <c r="DF121" t="str">
        <v>151605 Edificios</v>
      </c>
      <c r="DG121" t="str">
        <v>151605 Edificios</v>
      </c>
      <c r="DH121" t="str">
        <v>151605 Edificios</v>
      </c>
      <c r="DI121" t="str">
        <v>151605 Edificios</v>
      </c>
      <c r="DJ121" t="str">
        <v>151605 Edificios</v>
      </c>
      <c r="DK121" t="str">
        <v>151605 Edificios</v>
      </c>
      <c r="DL121" t="str">
        <v>151605 Edificios</v>
      </c>
      <c r="DM121" t="str">
        <v>151605 Edificios</v>
      </c>
      <c r="DN121" t="str">
        <v>151605 Edificios</v>
      </c>
      <c r="DO121" t="str">
        <v>151605 Edificios</v>
      </c>
      <c r="DP121" t="str">
        <v>151605 Edificios</v>
      </c>
    </row>
    <row r="122" spans="4:120" ht="12.75">
      <c r="D122" s="7">
        <v>151610</v>
      </c>
      <c r="E122" s="6" t="s">
        <v>140</v>
      </c>
      <c r="F122" s="5">
        <v>4</v>
      </c>
      <c r="G122" s="34" t="s">
        <v>822</v>
      </c>
      <c r="H122" s="8" t="s">
        <v>32</v>
      </c>
      <c r="I122" t="b">
        <f>+ISNUMBER(SEARCH('F-COMPRA'!$F$28,Tabla11[[#This Row],[Cuenta]],1))</f>
        <v>1</v>
      </c>
      <c r="J122" t="b">
        <f>+ISNUMBER(SEARCH('F-COMPRA'!$F$29,Tabla11[[#This Row],[Cuenta]],1))</f>
        <v>1</v>
      </c>
      <c r="K122" t="b">
        <f>+ISNUMBER(SEARCH('F-COMPRA'!$F$30,Tabla11[[#This Row],[Cuenta]],1))</f>
        <v>1</v>
      </c>
      <c r="L122" t="b">
        <f>+ISNUMBER(SEARCH('F-COMPRA'!$F$31,Tabla11[[#This Row],[Cuenta]],1))</f>
        <v>1</v>
      </c>
      <c r="M122" t="b">
        <f>+ISNUMBER(SEARCH('F-COMPRA'!$G$25,Tabla11[[#This Row],[Cuenta]],1))</f>
        <v>0</v>
      </c>
      <c r="N122" t="b">
        <f>+ISNUMBER(SEARCH(#REF!,Tabla11[[#This Row],[Cuenta]],1))</f>
        <v>0</v>
      </c>
      <c r="O122" t="b">
        <f>+ISNUMBER(SEARCH(#REF!,Tabla11[[#This Row],[Cuenta]],1))</f>
        <v>0</v>
      </c>
      <c r="P122" t="b">
        <f>+ISNUMBER(SEARCH('F-COMPRA'!$F$32,Tabla11[[#This Row],[Cuenta]],1))</f>
        <v>1</v>
      </c>
      <c r="Q122" t="b">
        <f>+ISNUMBER(SEARCH('F-COMPRA'!$F$33,Tabla11[[#This Row],[Cuenta]],1))</f>
        <v>1</v>
      </c>
      <c r="R122" t="b">
        <f>+ISNUMBER(SEARCH('F-COMPRA'!$F$34,Tabla11[[#This Row],[Cuenta]],1))</f>
        <v>1</v>
      </c>
      <c r="S122" t="b">
        <f>+ISNUMBER(SEARCH('F-COMPRA'!$F$35,Tabla11[[#This Row],[Cuenta]],1))</f>
        <v>1</v>
      </c>
      <c r="T122" t="b">
        <f>+ISNUMBER(SEARCH('F-COMPRA'!$F$36,Tabla11[[#This Row],[Cuenta]],1))</f>
        <v>1</v>
      </c>
      <c r="U122" t="b">
        <f>+ISNUMBER(SEARCH('F-COMPRA'!$F$37,Tabla11[[#This Row],[Cuenta]],1))</f>
        <v>1</v>
      </c>
      <c r="V122" t="b">
        <f>+ISNUMBER(SEARCH(#REF!,Tabla11[[#This Row],[Cuenta]],1))</f>
        <v>0</v>
      </c>
      <c r="W122" t="b">
        <f>+ISNUMBER(SEARCH('F-COMPRA'!#REF!,Tabla11[[#This Row],[Cuenta]],1))</f>
        <v>0</v>
      </c>
      <c r="X122" t="b">
        <f>+ISNUMBER(SEARCH('F-COMPRA'!#REF!,Tabla11[[#This Row],[Cuenta]],1))</f>
        <v>0</v>
      </c>
      <c r="Y122" t="b">
        <f>+ISNUMBER(SEARCH('F-COMPRA'!#REF!,Tabla11[[#This Row],[Cuenta]],1))</f>
        <v>0</v>
      </c>
      <c r="Z122" t="b">
        <f>+ISNUMBER(SEARCH('F-COMPRA'!#REF!,Tabla11[[#This Row],[Cuenta]],1))</f>
        <v>0</v>
      </c>
      <c r="AA122" t="b">
        <f>+ISNUMBER(SEARCH('F-COMPRA'!#REF!,Tabla11[[#This Row],[Cuenta]],1))</f>
        <v>0</v>
      </c>
      <c r="AB122" t="b">
        <f>+ISNUMBER(SEARCH('F-COMPRA'!#REF!,Tabla11[[#This Row],[Cuenta]],1))</f>
        <v>0</v>
      </c>
      <c r="AC122" t="b">
        <f>+ISNUMBER(SEARCH('F-COMPRA'!#REF!,Tabla11[[#This Row],[Cuenta]],1))</f>
        <v>0</v>
      </c>
      <c r="AD122" t="b">
        <f>+ISNUMBER(SEARCH('F-COMPRA'!#REF!,Tabla11[[#This Row],[Cuenta]],1))</f>
        <v>0</v>
      </c>
      <c r="AE122" t="b">
        <f>+ISNUMBER(SEARCH('F-COMPRA'!#REF!,Tabla11[[#This Row],[Cuenta]],1))</f>
        <v>0</v>
      </c>
      <c r="AF122" t="b">
        <f>+ISNUMBER(SEARCH('F-VTA'!$G$23,Tabla11[[#This Row],[Cuenta]],1))</f>
        <v>0</v>
      </c>
      <c r="AG122" t="b">
        <f>+ISNUMBER(SEARCH('F-VTA'!$G$24,Tabla11[[#This Row],[Cuenta]],1))</f>
        <v>0</v>
      </c>
      <c r="AH122" t="b">
        <f>+ISNUMBER(SEARCH('F-VTA'!$G$25,Tabla11[[#This Row],[Cuenta]],1))</f>
        <v>0</v>
      </c>
      <c r="AI122" t="b">
        <f>+ISNUMBER(SEARCH('F-VTA'!$F$28,Tabla11[[#This Row],[Cuenta]],1))</f>
        <v>1</v>
      </c>
      <c r="AJ122" t="b">
        <f>+ISNUMBER(SEARCH('F-VTA'!$F$29,Tabla11[[#This Row],[Cuenta]],1))</f>
        <v>1</v>
      </c>
      <c r="AK122" t="b">
        <f>+ISNUMBER(SEARCH('F-VTA'!$F$30,Tabla11[[#This Row],[Cuenta]],1))</f>
        <v>1</v>
      </c>
      <c r="AL122" t="b">
        <f>+ISNUMBER(SEARCH('F-VTA'!$F$31,Tabla11[[#This Row],[Cuenta]],1))</f>
        <v>1</v>
      </c>
      <c r="AM122" t="b">
        <f>+ISNUMBER(SEARCH('F-VTA'!$F$32,Tabla11[[#This Row],[Cuenta]],1))</f>
        <v>1</v>
      </c>
      <c r="AN122" t="b">
        <f>+ISNUMBER(SEARCH('F-VTA'!$F$33,Tabla11[[#This Row],[Cuenta]],1))</f>
        <v>1</v>
      </c>
      <c r="AO122" t="b">
        <f>+ISNUMBER(SEARCH('F-VTA'!$F$34,Tabla11[[#This Row],[Cuenta]],1))</f>
        <v>1</v>
      </c>
      <c r="AP122" t="b">
        <f>+ISNUMBER(SEARCH('F-VTA'!$F$35,Tabla11[[#This Row],[Cuenta]],1))</f>
        <v>1</v>
      </c>
      <c r="AQ122" t="b">
        <f>+ISNUMBER(SEARCH('F-VTA'!$F$36,Tabla11[[#This Row],[Cuenta]],1))</f>
        <v>1</v>
      </c>
      <c r="AR122" t="b">
        <f>+ISNUMBER(SEARCH(#REF!,Tabla11[[#This Row],[Cuenta]],1))</f>
        <v>0</v>
      </c>
      <c r="AS122" t="b">
        <f>+ISNUMBER(SEARCH(#REF!,Tabla11[[#This Row],[Cuenta]],1))</f>
        <v>0</v>
      </c>
      <c r="AT122" t="b">
        <f>+ISNUMBER(SEARCH(#REF!,Tabla11[[#This Row],[Cuenta]],1))</f>
        <v>0</v>
      </c>
      <c r="AU122" t="b">
        <f>+ISNUMBER(SEARCH('Conc. Ban.1'!$I$9,Tabla11[[#This Row],[Cuenta]],1))</f>
        <v>0</v>
      </c>
      <c r="AV122" t="b">
        <f>+ISNUMBER(SEARCH(CompConta!$F$21,Tabla11[[#This Row],[Cuenta]],1))</f>
        <v>1</v>
      </c>
      <c r="AW122" t="b">
        <f>+ISNUMBER(SEARCH(CompConta!$F$22,Tabla11[[#This Row],[Cuenta]],1))</f>
        <v>1</v>
      </c>
      <c r="AX122" t="b">
        <f>+ISNUMBER(SEARCH(CompConta!$F$23,Tabla11[[#This Row],[Cuenta]],1))</f>
        <v>1</v>
      </c>
      <c r="AY122" t="b">
        <f>+ISNUMBER(SEARCH(CompConta!$F$24,Tabla11[[#This Row],[Cuenta]],1))</f>
        <v>1</v>
      </c>
      <c r="AZ122" t="b">
        <f>+ISNUMBER(SEARCH(CompConta!$F$25,Tabla11[[#This Row],[Cuenta]],1))</f>
        <v>1</v>
      </c>
      <c r="BA122" t="b">
        <f>+ISNUMBER(SEARCH(CompConta!$F$26,Tabla11[[#This Row],[Cuenta]],1))</f>
        <v>1</v>
      </c>
      <c r="BB122" t="b">
        <f>+ISNUMBER(SEARCH(CompConta!$F$27,Tabla11[[#This Row],[Cuenta]],1))</f>
        <v>1</v>
      </c>
      <c r="BC122" t="b">
        <f>+ISNUMBER(SEARCH(CompConta!$F$28,Tabla11[[#This Row],[Cuenta]],1))</f>
        <v>1</v>
      </c>
      <c r="BD122" t="b">
        <f>+ISNUMBER(SEARCH(CompConta!$F$29,Tabla11[[#This Row],[Cuenta]],1))</f>
        <v>1</v>
      </c>
      <c r="BE122" t="b">
        <f>+ISNUMBER(SEARCH(CompConta!$F$30,Tabla11[[#This Row],[Cuenta]],1))</f>
        <v>1</v>
      </c>
      <c r="BF122" t="b">
        <f>+ISNUMBER(SEARCH('PAGO Compras'!$E$11,Tabla11[[#This Row],[Cuenta]],1))</f>
        <v>1</v>
      </c>
      <c r="BG122" t="b">
        <f>+ISNUMBER(SEARCH(#REF!,Tabla11[[#This Row],[Cuenta]],1))</f>
        <v>0</v>
      </c>
      <c r="BH122" t="b">
        <f>+ISNUMBER(SEARCH(#REF!,Tabla11[[#This Row],[Cuenta]],1))</f>
        <v>0</v>
      </c>
      <c r="BI122" t="b">
        <f>+ISNUMBER(SEARCH(#REF!,Tabla11[[#This Row],[Cuenta]],1))</f>
        <v>0</v>
      </c>
      <c r="BJ122" t="b">
        <f>+ISNUMBER(SEARCH(#REF!,Tabla11[[#This Row],[Cuenta]],1))</f>
        <v>0</v>
      </c>
      <c r="BS122" t="str">
        <v>151610 Oficinas</v>
      </c>
      <c r="BT122" t="str">
        <v>151610 Oficinas</v>
      </c>
      <c r="BU122" t="str">
        <v>151610 Oficinas</v>
      </c>
      <c r="BV122" t="str">
        <v>151610 Oficinas</v>
      </c>
      <c r="BZ122" t="str">
        <v>151610 Oficinas</v>
      </c>
      <c r="CA122" t="str">
        <v>151610 Oficinas</v>
      </c>
      <c r="CB122" t="str">
        <v>151610 Oficinas</v>
      </c>
      <c r="CC122" t="str">
        <v>151610 Oficinas</v>
      </c>
      <c r="CD122" t="str">
        <v>151610 Oficinas</v>
      </c>
      <c r="CE122" t="str">
        <v>151610 Oficinas</v>
      </c>
      <c r="CS122" s="141" t="str">
        <v>151610 Oficinas</v>
      </c>
      <c r="CT122" s="141" t="str">
        <v>151610 Oficinas</v>
      </c>
      <c r="CU122" s="141" t="str">
        <v>151610 Oficinas</v>
      </c>
      <c r="CV122" s="141" t="str">
        <v>151610 Oficinas</v>
      </c>
      <c r="CW122" s="141" t="str">
        <v>151610 Oficinas</v>
      </c>
      <c r="CX122" s="141" t="str">
        <v>151610 Oficinas</v>
      </c>
      <c r="CY122" s="141" t="str">
        <v>151610 Oficinas</v>
      </c>
      <c r="CZ122" s="141" t="str">
        <v>151610 Oficinas</v>
      </c>
      <c r="DA122" s="141" t="str">
        <v>151610 Oficinas</v>
      </c>
      <c r="DF122" t="str">
        <v>151610 Oficinas</v>
      </c>
      <c r="DG122" t="str">
        <v>151610 Oficinas</v>
      </c>
      <c r="DH122" t="str">
        <v>151610 Oficinas</v>
      </c>
      <c r="DI122" t="str">
        <v>151610 Oficinas</v>
      </c>
      <c r="DJ122" t="str">
        <v>151610 Oficinas</v>
      </c>
      <c r="DK122" t="str">
        <v>151610 Oficinas</v>
      </c>
      <c r="DL122" t="str">
        <v>151610 Oficinas</v>
      </c>
      <c r="DM122" t="str">
        <v>151610 Oficinas</v>
      </c>
      <c r="DN122" t="str">
        <v>151610 Oficinas</v>
      </c>
      <c r="DO122" t="str">
        <v>151610 Oficinas</v>
      </c>
      <c r="DP122" t="str">
        <v>151610 Oficinas</v>
      </c>
    </row>
    <row r="123" spans="4:120" ht="12.75">
      <c r="D123" s="7">
        <v>151615</v>
      </c>
      <c r="E123" s="6" t="s">
        <v>141</v>
      </c>
      <c r="F123" s="5">
        <v>4</v>
      </c>
      <c r="G123" s="34" t="s">
        <v>822</v>
      </c>
      <c r="H123" s="8" t="s">
        <v>32</v>
      </c>
      <c r="I123" t="b">
        <f>+ISNUMBER(SEARCH('F-COMPRA'!$F$28,Tabla11[[#This Row],[Cuenta]],1))</f>
        <v>1</v>
      </c>
      <c r="J123" t="b">
        <f>+ISNUMBER(SEARCH('F-COMPRA'!$F$29,Tabla11[[#This Row],[Cuenta]],1))</f>
        <v>1</v>
      </c>
      <c r="K123" t="b">
        <f>+ISNUMBER(SEARCH('F-COMPRA'!$F$30,Tabla11[[#This Row],[Cuenta]],1))</f>
        <v>1</v>
      </c>
      <c r="L123" t="b">
        <f>+ISNUMBER(SEARCH('F-COMPRA'!$F$31,Tabla11[[#This Row],[Cuenta]],1))</f>
        <v>1</v>
      </c>
      <c r="M123" t="b">
        <f>+ISNUMBER(SEARCH('F-COMPRA'!$G$25,Tabla11[[#This Row],[Cuenta]],1))</f>
        <v>0</v>
      </c>
      <c r="N123" t="b">
        <f>+ISNUMBER(SEARCH(#REF!,Tabla11[[#This Row],[Cuenta]],1))</f>
        <v>0</v>
      </c>
      <c r="O123" t="b">
        <f>+ISNUMBER(SEARCH(#REF!,Tabla11[[#This Row],[Cuenta]],1))</f>
        <v>0</v>
      </c>
      <c r="P123" t="b">
        <f>+ISNUMBER(SEARCH('F-COMPRA'!$F$32,Tabla11[[#This Row],[Cuenta]],1))</f>
        <v>1</v>
      </c>
      <c r="Q123" t="b">
        <f>+ISNUMBER(SEARCH('F-COMPRA'!$F$33,Tabla11[[#This Row],[Cuenta]],1))</f>
        <v>1</v>
      </c>
      <c r="R123" t="b">
        <f>+ISNUMBER(SEARCH('F-COMPRA'!$F$34,Tabla11[[#This Row],[Cuenta]],1))</f>
        <v>1</v>
      </c>
      <c r="S123" t="b">
        <f>+ISNUMBER(SEARCH('F-COMPRA'!$F$35,Tabla11[[#This Row],[Cuenta]],1))</f>
        <v>1</v>
      </c>
      <c r="T123" t="b">
        <f>+ISNUMBER(SEARCH('F-COMPRA'!$F$36,Tabla11[[#This Row],[Cuenta]],1))</f>
        <v>1</v>
      </c>
      <c r="U123" t="b">
        <f>+ISNUMBER(SEARCH('F-COMPRA'!$F$37,Tabla11[[#This Row],[Cuenta]],1))</f>
        <v>1</v>
      </c>
      <c r="V123" t="b">
        <f>+ISNUMBER(SEARCH(#REF!,Tabla11[[#This Row],[Cuenta]],1))</f>
        <v>0</v>
      </c>
      <c r="W123" t="b">
        <f>+ISNUMBER(SEARCH('F-COMPRA'!#REF!,Tabla11[[#This Row],[Cuenta]],1))</f>
        <v>0</v>
      </c>
      <c r="X123" t="b">
        <f>+ISNUMBER(SEARCH('F-COMPRA'!#REF!,Tabla11[[#This Row],[Cuenta]],1))</f>
        <v>0</v>
      </c>
      <c r="Y123" t="b">
        <f>+ISNUMBER(SEARCH('F-COMPRA'!#REF!,Tabla11[[#This Row],[Cuenta]],1))</f>
        <v>0</v>
      </c>
      <c r="Z123" t="b">
        <f>+ISNUMBER(SEARCH('F-COMPRA'!#REF!,Tabla11[[#This Row],[Cuenta]],1))</f>
        <v>0</v>
      </c>
      <c r="AA123" t="b">
        <f>+ISNUMBER(SEARCH('F-COMPRA'!#REF!,Tabla11[[#This Row],[Cuenta]],1))</f>
        <v>0</v>
      </c>
      <c r="AB123" t="b">
        <f>+ISNUMBER(SEARCH('F-COMPRA'!#REF!,Tabla11[[#This Row],[Cuenta]],1))</f>
        <v>0</v>
      </c>
      <c r="AC123" t="b">
        <f>+ISNUMBER(SEARCH('F-COMPRA'!#REF!,Tabla11[[#This Row],[Cuenta]],1))</f>
        <v>0</v>
      </c>
      <c r="AD123" t="b">
        <f>+ISNUMBER(SEARCH('F-COMPRA'!#REF!,Tabla11[[#This Row],[Cuenta]],1))</f>
        <v>0</v>
      </c>
      <c r="AE123" t="b">
        <f>+ISNUMBER(SEARCH('F-COMPRA'!#REF!,Tabla11[[#This Row],[Cuenta]],1))</f>
        <v>0</v>
      </c>
      <c r="AF123" t="b">
        <f>+ISNUMBER(SEARCH('F-VTA'!$G$23,Tabla11[[#This Row],[Cuenta]],1))</f>
        <v>0</v>
      </c>
      <c r="AG123" t="b">
        <f>+ISNUMBER(SEARCH('F-VTA'!$G$24,Tabla11[[#This Row],[Cuenta]],1))</f>
        <v>0</v>
      </c>
      <c r="AH123" t="b">
        <f>+ISNUMBER(SEARCH('F-VTA'!$G$25,Tabla11[[#This Row],[Cuenta]],1))</f>
        <v>0</v>
      </c>
      <c r="AI123" t="b">
        <f>+ISNUMBER(SEARCH('F-VTA'!$F$28,Tabla11[[#This Row],[Cuenta]],1))</f>
        <v>1</v>
      </c>
      <c r="AJ123" t="b">
        <f>+ISNUMBER(SEARCH('F-VTA'!$F$29,Tabla11[[#This Row],[Cuenta]],1))</f>
        <v>1</v>
      </c>
      <c r="AK123" t="b">
        <f>+ISNUMBER(SEARCH('F-VTA'!$F$30,Tabla11[[#This Row],[Cuenta]],1))</f>
        <v>1</v>
      </c>
      <c r="AL123" t="b">
        <f>+ISNUMBER(SEARCH('F-VTA'!$F$31,Tabla11[[#This Row],[Cuenta]],1))</f>
        <v>1</v>
      </c>
      <c r="AM123" t="b">
        <f>+ISNUMBER(SEARCH('F-VTA'!$F$32,Tabla11[[#This Row],[Cuenta]],1))</f>
        <v>1</v>
      </c>
      <c r="AN123" t="b">
        <f>+ISNUMBER(SEARCH('F-VTA'!$F$33,Tabla11[[#This Row],[Cuenta]],1))</f>
        <v>1</v>
      </c>
      <c r="AO123" t="b">
        <f>+ISNUMBER(SEARCH('F-VTA'!$F$34,Tabla11[[#This Row],[Cuenta]],1))</f>
        <v>1</v>
      </c>
      <c r="AP123" t="b">
        <f>+ISNUMBER(SEARCH('F-VTA'!$F$35,Tabla11[[#This Row],[Cuenta]],1))</f>
        <v>1</v>
      </c>
      <c r="AQ123" t="b">
        <f>+ISNUMBER(SEARCH('F-VTA'!$F$36,Tabla11[[#This Row],[Cuenta]],1))</f>
        <v>1</v>
      </c>
      <c r="AR123" t="b">
        <f>+ISNUMBER(SEARCH(#REF!,Tabla11[[#This Row],[Cuenta]],1))</f>
        <v>0</v>
      </c>
      <c r="AS123" t="b">
        <f>+ISNUMBER(SEARCH(#REF!,Tabla11[[#This Row],[Cuenta]],1))</f>
        <v>0</v>
      </c>
      <c r="AT123" t="b">
        <f>+ISNUMBER(SEARCH(#REF!,Tabla11[[#This Row],[Cuenta]],1))</f>
        <v>0</v>
      </c>
      <c r="AU123" t="b">
        <f>+ISNUMBER(SEARCH('Conc. Ban.1'!$I$9,Tabla11[[#This Row],[Cuenta]],1))</f>
        <v>0</v>
      </c>
      <c r="AV123" t="b">
        <f>+ISNUMBER(SEARCH(CompConta!$F$21,Tabla11[[#This Row],[Cuenta]],1))</f>
        <v>1</v>
      </c>
      <c r="AW123" t="b">
        <f>+ISNUMBER(SEARCH(CompConta!$F$22,Tabla11[[#This Row],[Cuenta]],1))</f>
        <v>1</v>
      </c>
      <c r="AX123" t="b">
        <f>+ISNUMBER(SEARCH(CompConta!$F$23,Tabla11[[#This Row],[Cuenta]],1))</f>
        <v>1</v>
      </c>
      <c r="AY123" t="b">
        <f>+ISNUMBER(SEARCH(CompConta!$F$24,Tabla11[[#This Row],[Cuenta]],1))</f>
        <v>1</v>
      </c>
      <c r="AZ123" t="b">
        <f>+ISNUMBER(SEARCH(CompConta!$F$25,Tabla11[[#This Row],[Cuenta]],1))</f>
        <v>1</v>
      </c>
      <c r="BA123" t="b">
        <f>+ISNUMBER(SEARCH(CompConta!$F$26,Tabla11[[#This Row],[Cuenta]],1))</f>
        <v>1</v>
      </c>
      <c r="BB123" t="b">
        <f>+ISNUMBER(SEARCH(CompConta!$F$27,Tabla11[[#This Row],[Cuenta]],1))</f>
        <v>1</v>
      </c>
      <c r="BC123" t="b">
        <f>+ISNUMBER(SEARCH(CompConta!$F$28,Tabla11[[#This Row],[Cuenta]],1))</f>
        <v>1</v>
      </c>
      <c r="BD123" t="b">
        <f>+ISNUMBER(SEARCH(CompConta!$F$29,Tabla11[[#This Row],[Cuenta]],1))</f>
        <v>1</v>
      </c>
      <c r="BE123" t="b">
        <f>+ISNUMBER(SEARCH(CompConta!$F$30,Tabla11[[#This Row],[Cuenta]],1))</f>
        <v>1</v>
      </c>
      <c r="BF123" t="b">
        <f>+ISNUMBER(SEARCH('PAGO Compras'!$E$11,Tabla11[[#This Row],[Cuenta]],1))</f>
        <v>1</v>
      </c>
      <c r="BG123" t="b">
        <f>+ISNUMBER(SEARCH(#REF!,Tabla11[[#This Row],[Cuenta]],1))</f>
        <v>0</v>
      </c>
      <c r="BH123" t="b">
        <f>+ISNUMBER(SEARCH(#REF!,Tabla11[[#This Row],[Cuenta]],1))</f>
        <v>0</v>
      </c>
      <c r="BI123" t="b">
        <f>+ISNUMBER(SEARCH(#REF!,Tabla11[[#This Row],[Cuenta]],1))</f>
        <v>0</v>
      </c>
      <c r="BJ123" t="b">
        <f>+ISNUMBER(SEARCH(#REF!,Tabla11[[#This Row],[Cuenta]],1))</f>
        <v>0</v>
      </c>
      <c r="BS123" t="str">
        <v>151615 Almacenes</v>
      </c>
      <c r="BT123" t="str">
        <v>151615 Almacenes</v>
      </c>
      <c r="BU123" t="str">
        <v>151615 Almacenes</v>
      </c>
      <c r="BV123" t="str">
        <v>151615 Almacenes</v>
      </c>
      <c r="BZ123" t="str">
        <v>151615 Almacenes</v>
      </c>
      <c r="CA123" t="str">
        <v>151615 Almacenes</v>
      </c>
      <c r="CB123" t="str">
        <v>151615 Almacenes</v>
      </c>
      <c r="CC123" t="str">
        <v>151615 Almacenes</v>
      </c>
      <c r="CD123" t="str">
        <v>151615 Almacenes</v>
      </c>
      <c r="CE123" t="str">
        <v>151615 Almacenes</v>
      </c>
      <c r="CS123" s="141" t="str">
        <v>151615 Almacenes</v>
      </c>
      <c r="CT123" s="141" t="str">
        <v>151615 Almacenes</v>
      </c>
      <c r="CU123" s="141" t="str">
        <v>151615 Almacenes</v>
      </c>
      <c r="CV123" s="141" t="str">
        <v>151615 Almacenes</v>
      </c>
      <c r="CW123" s="141" t="str">
        <v>151615 Almacenes</v>
      </c>
      <c r="CX123" s="141" t="str">
        <v>151615 Almacenes</v>
      </c>
      <c r="CY123" s="141" t="str">
        <v>151615 Almacenes</v>
      </c>
      <c r="CZ123" s="141" t="str">
        <v>151615 Almacenes</v>
      </c>
      <c r="DA123" s="141" t="str">
        <v>151615 Almacenes</v>
      </c>
      <c r="DF123" t="str">
        <v>151615 Almacenes</v>
      </c>
      <c r="DG123" t="str">
        <v>151615 Almacenes</v>
      </c>
      <c r="DH123" t="str">
        <v>151615 Almacenes</v>
      </c>
      <c r="DI123" t="str">
        <v>151615 Almacenes</v>
      </c>
      <c r="DJ123" t="str">
        <v>151615 Almacenes</v>
      </c>
      <c r="DK123" t="str">
        <v>151615 Almacenes</v>
      </c>
      <c r="DL123" t="str">
        <v>151615 Almacenes</v>
      </c>
      <c r="DM123" t="str">
        <v>151615 Almacenes</v>
      </c>
      <c r="DN123" t="str">
        <v>151615 Almacenes</v>
      </c>
      <c r="DO123" t="str">
        <v>151615 Almacenes</v>
      </c>
      <c r="DP123" t="str">
        <v>151615 Almacenes</v>
      </c>
    </row>
    <row r="124" spans="4:120" ht="12.75">
      <c r="D124" s="7">
        <v>151620</v>
      </c>
      <c r="E124" s="6" t="s">
        <v>142</v>
      </c>
      <c r="F124" s="5">
        <v>4</v>
      </c>
      <c r="G124" s="34" t="s">
        <v>822</v>
      </c>
      <c r="H124" s="8" t="s">
        <v>32</v>
      </c>
      <c r="I124" t="b">
        <f>+ISNUMBER(SEARCH('F-COMPRA'!$F$28,Tabla11[[#This Row],[Cuenta]],1))</f>
        <v>1</v>
      </c>
      <c r="J124" t="b">
        <f>+ISNUMBER(SEARCH('F-COMPRA'!$F$29,Tabla11[[#This Row],[Cuenta]],1))</f>
        <v>1</v>
      </c>
      <c r="K124" t="b">
        <f>+ISNUMBER(SEARCH('F-COMPRA'!$F$30,Tabla11[[#This Row],[Cuenta]],1))</f>
        <v>1</v>
      </c>
      <c r="L124" t="b">
        <f>+ISNUMBER(SEARCH('F-COMPRA'!$F$31,Tabla11[[#This Row],[Cuenta]],1))</f>
        <v>1</v>
      </c>
      <c r="M124" t="b">
        <f>+ISNUMBER(SEARCH('F-COMPRA'!$G$25,Tabla11[[#This Row],[Cuenta]],1))</f>
        <v>0</v>
      </c>
      <c r="N124" t="b">
        <f>+ISNUMBER(SEARCH(#REF!,Tabla11[[#This Row],[Cuenta]],1))</f>
        <v>0</v>
      </c>
      <c r="O124" t="b">
        <f>+ISNUMBER(SEARCH(#REF!,Tabla11[[#This Row],[Cuenta]],1))</f>
        <v>0</v>
      </c>
      <c r="P124" t="b">
        <f>+ISNUMBER(SEARCH('F-COMPRA'!$F$32,Tabla11[[#This Row],[Cuenta]],1))</f>
        <v>1</v>
      </c>
      <c r="Q124" t="b">
        <f>+ISNUMBER(SEARCH('F-COMPRA'!$F$33,Tabla11[[#This Row],[Cuenta]],1))</f>
        <v>1</v>
      </c>
      <c r="R124" t="b">
        <f>+ISNUMBER(SEARCH('F-COMPRA'!$F$34,Tabla11[[#This Row],[Cuenta]],1))</f>
        <v>1</v>
      </c>
      <c r="S124" t="b">
        <f>+ISNUMBER(SEARCH('F-COMPRA'!$F$35,Tabla11[[#This Row],[Cuenta]],1))</f>
        <v>1</v>
      </c>
      <c r="T124" t="b">
        <f>+ISNUMBER(SEARCH('F-COMPRA'!$F$36,Tabla11[[#This Row],[Cuenta]],1))</f>
        <v>1</v>
      </c>
      <c r="U124" t="b">
        <f>+ISNUMBER(SEARCH('F-COMPRA'!$F$37,Tabla11[[#This Row],[Cuenta]],1))</f>
        <v>1</v>
      </c>
      <c r="V124" t="b">
        <f>+ISNUMBER(SEARCH(#REF!,Tabla11[[#This Row],[Cuenta]],1))</f>
        <v>0</v>
      </c>
      <c r="W124" t="b">
        <f>+ISNUMBER(SEARCH('F-COMPRA'!#REF!,Tabla11[[#This Row],[Cuenta]],1))</f>
        <v>0</v>
      </c>
      <c r="X124" t="b">
        <f>+ISNUMBER(SEARCH('F-COMPRA'!#REF!,Tabla11[[#This Row],[Cuenta]],1))</f>
        <v>0</v>
      </c>
      <c r="Y124" t="b">
        <f>+ISNUMBER(SEARCH('F-COMPRA'!#REF!,Tabla11[[#This Row],[Cuenta]],1))</f>
        <v>0</v>
      </c>
      <c r="Z124" t="b">
        <f>+ISNUMBER(SEARCH('F-COMPRA'!#REF!,Tabla11[[#This Row],[Cuenta]],1))</f>
        <v>0</v>
      </c>
      <c r="AA124" t="b">
        <f>+ISNUMBER(SEARCH('F-COMPRA'!#REF!,Tabla11[[#This Row],[Cuenta]],1))</f>
        <v>0</v>
      </c>
      <c r="AB124" t="b">
        <f>+ISNUMBER(SEARCH('F-COMPRA'!#REF!,Tabla11[[#This Row],[Cuenta]],1))</f>
        <v>0</v>
      </c>
      <c r="AC124" t="b">
        <f>+ISNUMBER(SEARCH('F-COMPRA'!#REF!,Tabla11[[#This Row],[Cuenta]],1))</f>
        <v>0</v>
      </c>
      <c r="AD124" t="b">
        <f>+ISNUMBER(SEARCH('F-COMPRA'!#REF!,Tabla11[[#This Row],[Cuenta]],1))</f>
        <v>0</v>
      </c>
      <c r="AE124" t="b">
        <f>+ISNUMBER(SEARCH('F-COMPRA'!#REF!,Tabla11[[#This Row],[Cuenta]],1))</f>
        <v>0</v>
      </c>
      <c r="AF124" t="b">
        <f>+ISNUMBER(SEARCH('F-VTA'!$G$23,Tabla11[[#This Row],[Cuenta]],1))</f>
        <v>0</v>
      </c>
      <c r="AG124" t="b">
        <f>+ISNUMBER(SEARCH('F-VTA'!$G$24,Tabla11[[#This Row],[Cuenta]],1))</f>
        <v>0</v>
      </c>
      <c r="AH124" t="b">
        <f>+ISNUMBER(SEARCH('F-VTA'!$G$25,Tabla11[[#This Row],[Cuenta]],1))</f>
        <v>0</v>
      </c>
      <c r="AI124" t="b">
        <f>+ISNUMBER(SEARCH('F-VTA'!$F$28,Tabla11[[#This Row],[Cuenta]],1))</f>
        <v>1</v>
      </c>
      <c r="AJ124" t="b">
        <f>+ISNUMBER(SEARCH('F-VTA'!$F$29,Tabla11[[#This Row],[Cuenta]],1))</f>
        <v>1</v>
      </c>
      <c r="AK124" t="b">
        <f>+ISNUMBER(SEARCH('F-VTA'!$F$30,Tabla11[[#This Row],[Cuenta]],1))</f>
        <v>1</v>
      </c>
      <c r="AL124" t="b">
        <f>+ISNUMBER(SEARCH('F-VTA'!$F$31,Tabla11[[#This Row],[Cuenta]],1))</f>
        <v>1</v>
      </c>
      <c r="AM124" t="b">
        <f>+ISNUMBER(SEARCH('F-VTA'!$F$32,Tabla11[[#This Row],[Cuenta]],1))</f>
        <v>1</v>
      </c>
      <c r="AN124" t="b">
        <f>+ISNUMBER(SEARCH('F-VTA'!$F$33,Tabla11[[#This Row],[Cuenta]],1))</f>
        <v>1</v>
      </c>
      <c r="AO124" t="b">
        <f>+ISNUMBER(SEARCH('F-VTA'!$F$34,Tabla11[[#This Row],[Cuenta]],1))</f>
        <v>1</v>
      </c>
      <c r="AP124" t="b">
        <f>+ISNUMBER(SEARCH('F-VTA'!$F$35,Tabla11[[#This Row],[Cuenta]],1))</f>
        <v>1</v>
      </c>
      <c r="AQ124" t="b">
        <f>+ISNUMBER(SEARCH('F-VTA'!$F$36,Tabla11[[#This Row],[Cuenta]],1))</f>
        <v>1</v>
      </c>
      <c r="AR124" t="b">
        <f>+ISNUMBER(SEARCH(#REF!,Tabla11[[#This Row],[Cuenta]],1))</f>
        <v>0</v>
      </c>
      <c r="AS124" t="b">
        <f>+ISNUMBER(SEARCH(#REF!,Tabla11[[#This Row],[Cuenta]],1))</f>
        <v>0</v>
      </c>
      <c r="AT124" t="b">
        <f>+ISNUMBER(SEARCH(#REF!,Tabla11[[#This Row],[Cuenta]],1))</f>
        <v>0</v>
      </c>
      <c r="AU124" t="b">
        <f>+ISNUMBER(SEARCH('Conc. Ban.1'!$I$9,Tabla11[[#This Row],[Cuenta]],1))</f>
        <v>0</v>
      </c>
      <c r="AV124" t="b">
        <f>+ISNUMBER(SEARCH(CompConta!$F$21,Tabla11[[#This Row],[Cuenta]],1))</f>
        <v>1</v>
      </c>
      <c r="AW124" t="b">
        <f>+ISNUMBER(SEARCH(CompConta!$F$22,Tabla11[[#This Row],[Cuenta]],1))</f>
        <v>1</v>
      </c>
      <c r="AX124" t="b">
        <f>+ISNUMBER(SEARCH(CompConta!$F$23,Tabla11[[#This Row],[Cuenta]],1))</f>
        <v>1</v>
      </c>
      <c r="AY124" t="b">
        <f>+ISNUMBER(SEARCH(CompConta!$F$24,Tabla11[[#This Row],[Cuenta]],1))</f>
        <v>1</v>
      </c>
      <c r="AZ124" t="b">
        <f>+ISNUMBER(SEARCH(CompConta!$F$25,Tabla11[[#This Row],[Cuenta]],1))</f>
        <v>1</v>
      </c>
      <c r="BA124" t="b">
        <f>+ISNUMBER(SEARCH(CompConta!$F$26,Tabla11[[#This Row],[Cuenta]],1))</f>
        <v>1</v>
      </c>
      <c r="BB124" t="b">
        <f>+ISNUMBER(SEARCH(CompConta!$F$27,Tabla11[[#This Row],[Cuenta]],1))</f>
        <v>1</v>
      </c>
      <c r="BC124" t="b">
        <f>+ISNUMBER(SEARCH(CompConta!$F$28,Tabla11[[#This Row],[Cuenta]],1))</f>
        <v>1</v>
      </c>
      <c r="BD124" t="b">
        <f>+ISNUMBER(SEARCH(CompConta!$F$29,Tabla11[[#This Row],[Cuenta]],1))</f>
        <v>1</v>
      </c>
      <c r="BE124" t="b">
        <f>+ISNUMBER(SEARCH(CompConta!$F$30,Tabla11[[#This Row],[Cuenta]],1))</f>
        <v>1</v>
      </c>
      <c r="BF124" t="b">
        <f>+ISNUMBER(SEARCH('PAGO Compras'!$E$11,Tabla11[[#This Row],[Cuenta]],1))</f>
        <v>1</v>
      </c>
      <c r="BG124" t="b">
        <f>+ISNUMBER(SEARCH(#REF!,Tabla11[[#This Row],[Cuenta]],1))</f>
        <v>0</v>
      </c>
      <c r="BH124" t="b">
        <f>+ISNUMBER(SEARCH(#REF!,Tabla11[[#This Row],[Cuenta]],1))</f>
        <v>0</v>
      </c>
      <c r="BI124" t="b">
        <f>+ISNUMBER(SEARCH(#REF!,Tabla11[[#This Row],[Cuenta]],1))</f>
        <v>0</v>
      </c>
      <c r="BJ124" t="b">
        <f>+ISNUMBER(SEARCH(#REF!,Tabla11[[#This Row],[Cuenta]],1))</f>
        <v>0</v>
      </c>
      <c r="BS124" t="str">
        <v>151620 Fábricas y plantas industriales</v>
      </c>
      <c r="BT124" t="str">
        <v>151620 Fábricas y plantas industriales</v>
      </c>
      <c r="BU124" t="str">
        <v>151620 Fábricas y plantas industriales</v>
      </c>
      <c r="BV124" t="str">
        <v>151620 Fábricas y plantas industriales</v>
      </c>
      <c r="BZ124" t="str">
        <v>151620 Fábricas y plantas industriales</v>
      </c>
      <c r="CA124" t="str">
        <v>151620 Fábricas y plantas industriales</v>
      </c>
      <c r="CB124" t="str">
        <v>151620 Fábricas y plantas industriales</v>
      </c>
      <c r="CC124" t="str">
        <v>151620 Fábricas y plantas industriales</v>
      </c>
      <c r="CD124" t="str">
        <v>151620 Fábricas y plantas industriales</v>
      </c>
      <c r="CE124" t="str">
        <v>151620 Fábricas y plantas industriales</v>
      </c>
      <c r="CS124" s="141" t="str">
        <v>151620 Fábricas y plantas industriales</v>
      </c>
      <c r="CT124" s="141" t="str">
        <v>151620 Fábricas y plantas industriales</v>
      </c>
      <c r="CU124" s="141" t="str">
        <v>151620 Fábricas y plantas industriales</v>
      </c>
      <c r="CV124" s="141" t="str">
        <v>151620 Fábricas y plantas industriales</v>
      </c>
      <c r="CW124" s="141" t="str">
        <v>151620 Fábricas y plantas industriales</v>
      </c>
      <c r="CX124" s="141" t="str">
        <v>151620 Fábricas y plantas industriales</v>
      </c>
      <c r="CY124" s="141" t="str">
        <v>151620 Fábricas y plantas industriales</v>
      </c>
      <c r="CZ124" s="141" t="str">
        <v>151620 Fábricas y plantas industriales</v>
      </c>
      <c r="DA124" s="141" t="str">
        <v>151620 Fábricas y plantas industriales</v>
      </c>
      <c r="DF124" t="str">
        <v>151620 Fábricas y plantas industriales</v>
      </c>
      <c r="DG124" t="str">
        <v>151620 Fábricas y plantas industriales</v>
      </c>
      <c r="DH124" t="str">
        <v>151620 Fábricas y plantas industriales</v>
      </c>
      <c r="DI124" t="str">
        <v>151620 Fábricas y plantas industriales</v>
      </c>
      <c r="DJ124" t="str">
        <v>151620 Fábricas y plantas industriales</v>
      </c>
      <c r="DK124" t="str">
        <v>151620 Fábricas y plantas industriales</v>
      </c>
      <c r="DL124" t="str">
        <v>151620 Fábricas y plantas industriales</v>
      </c>
      <c r="DM124" t="str">
        <v>151620 Fábricas y plantas industriales</v>
      </c>
      <c r="DN124" t="str">
        <v>151620 Fábricas y plantas industriales</v>
      </c>
      <c r="DO124" t="str">
        <v>151620 Fábricas y plantas industriales</v>
      </c>
      <c r="DP124" t="str">
        <v>151620 Fábricas y plantas industriales</v>
      </c>
    </row>
    <row r="125" spans="4:120" ht="12.75">
      <c r="D125" s="7">
        <v>151625</v>
      </c>
      <c r="E125" s="6" t="s">
        <v>143</v>
      </c>
      <c r="F125" s="5">
        <v>4</v>
      </c>
      <c r="G125" s="34" t="s">
        <v>822</v>
      </c>
      <c r="H125" s="8" t="s">
        <v>32</v>
      </c>
      <c r="I125" t="b">
        <f>+ISNUMBER(SEARCH('F-COMPRA'!$F$28,Tabla11[[#This Row],[Cuenta]],1))</f>
        <v>1</v>
      </c>
      <c r="J125" t="b">
        <f>+ISNUMBER(SEARCH('F-COMPRA'!$F$29,Tabla11[[#This Row],[Cuenta]],1))</f>
        <v>1</v>
      </c>
      <c r="K125" t="b">
        <f>+ISNUMBER(SEARCH('F-COMPRA'!$F$30,Tabla11[[#This Row],[Cuenta]],1))</f>
        <v>1</v>
      </c>
      <c r="L125" t="b">
        <f>+ISNUMBER(SEARCH('F-COMPRA'!$F$31,Tabla11[[#This Row],[Cuenta]],1))</f>
        <v>1</v>
      </c>
      <c r="M125" t="b">
        <f>+ISNUMBER(SEARCH('F-COMPRA'!$G$25,Tabla11[[#This Row],[Cuenta]],1))</f>
        <v>0</v>
      </c>
      <c r="N125" t="b">
        <f>+ISNUMBER(SEARCH(#REF!,Tabla11[[#This Row],[Cuenta]],1))</f>
        <v>0</v>
      </c>
      <c r="O125" t="b">
        <f>+ISNUMBER(SEARCH(#REF!,Tabla11[[#This Row],[Cuenta]],1))</f>
        <v>0</v>
      </c>
      <c r="P125" t="b">
        <f>+ISNUMBER(SEARCH('F-COMPRA'!$F$32,Tabla11[[#This Row],[Cuenta]],1))</f>
        <v>1</v>
      </c>
      <c r="Q125" t="b">
        <f>+ISNUMBER(SEARCH('F-COMPRA'!$F$33,Tabla11[[#This Row],[Cuenta]],1))</f>
        <v>1</v>
      </c>
      <c r="R125" t="b">
        <f>+ISNUMBER(SEARCH('F-COMPRA'!$F$34,Tabla11[[#This Row],[Cuenta]],1))</f>
        <v>1</v>
      </c>
      <c r="S125" t="b">
        <f>+ISNUMBER(SEARCH('F-COMPRA'!$F$35,Tabla11[[#This Row],[Cuenta]],1))</f>
        <v>1</v>
      </c>
      <c r="T125" t="b">
        <f>+ISNUMBER(SEARCH('F-COMPRA'!$F$36,Tabla11[[#This Row],[Cuenta]],1))</f>
        <v>1</v>
      </c>
      <c r="U125" t="b">
        <f>+ISNUMBER(SEARCH('F-COMPRA'!$F$37,Tabla11[[#This Row],[Cuenta]],1))</f>
        <v>1</v>
      </c>
      <c r="V125" t="b">
        <f>+ISNUMBER(SEARCH(#REF!,Tabla11[[#This Row],[Cuenta]],1))</f>
        <v>0</v>
      </c>
      <c r="W125" t="b">
        <f>+ISNUMBER(SEARCH('F-COMPRA'!#REF!,Tabla11[[#This Row],[Cuenta]],1))</f>
        <v>0</v>
      </c>
      <c r="X125" t="b">
        <f>+ISNUMBER(SEARCH('F-COMPRA'!#REF!,Tabla11[[#This Row],[Cuenta]],1))</f>
        <v>0</v>
      </c>
      <c r="Y125" t="b">
        <f>+ISNUMBER(SEARCH('F-COMPRA'!#REF!,Tabla11[[#This Row],[Cuenta]],1))</f>
        <v>0</v>
      </c>
      <c r="Z125" t="b">
        <f>+ISNUMBER(SEARCH('F-COMPRA'!#REF!,Tabla11[[#This Row],[Cuenta]],1))</f>
        <v>0</v>
      </c>
      <c r="AA125" t="b">
        <f>+ISNUMBER(SEARCH('F-COMPRA'!#REF!,Tabla11[[#This Row],[Cuenta]],1))</f>
        <v>0</v>
      </c>
      <c r="AB125" t="b">
        <f>+ISNUMBER(SEARCH('F-COMPRA'!#REF!,Tabla11[[#This Row],[Cuenta]],1))</f>
        <v>0</v>
      </c>
      <c r="AC125" t="b">
        <f>+ISNUMBER(SEARCH('F-COMPRA'!#REF!,Tabla11[[#This Row],[Cuenta]],1))</f>
        <v>0</v>
      </c>
      <c r="AD125" t="b">
        <f>+ISNUMBER(SEARCH('F-COMPRA'!#REF!,Tabla11[[#This Row],[Cuenta]],1))</f>
        <v>0</v>
      </c>
      <c r="AE125" t="b">
        <f>+ISNUMBER(SEARCH('F-COMPRA'!#REF!,Tabla11[[#This Row],[Cuenta]],1))</f>
        <v>0</v>
      </c>
      <c r="AF125" t="b">
        <f>+ISNUMBER(SEARCH('F-VTA'!$G$23,Tabla11[[#This Row],[Cuenta]],1))</f>
        <v>0</v>
      </c>
      <c r="AG125" t="b">
        <f>+ISNUMBER(SEARCH('F-VTA'!$G$24,Tabla11[[#This Row],[Cuenta]],1))</f>
        <v>0</v>
      </c>
      <c r="AH125" t="b">
        <f>+ISNUMBER(SEARCH('F-VTA'!$G$25,Tabla11[[#This Row],[Cuenta]],1))</f>
        <v>0</v>
      </c>
      <c r="AI125" t="b">
        <f>+ISNUMBER(SEARCH('F-VTA'!$F$28,Tabla11[[#This Row],[Cuenta]],1))</f>
        <v>1</v>
      </c>
      <c r="AJ125" t="b">
        <f>+ISNUMBER(SEARCH('F-VTA'!$F$29,Tabla11[[#This Row],[Cuenta]],1))</f>
        <v>1</v>
      </c>
      <c r="AK125" t="b">
        <f>+ISNUMBER(SEARCH('F-VTA'!$F$30,Tabla11[[#This Row],[Cuenta]],1))</f>
        <v>1</v>
      </c>
      <c r="AL125" t="b">
        <f>+ISNUMBER(SEARCH('F-VTA'!$F$31,Tabla11[[#This Row],[Cuenta]],1))</f>
        <v>1</v>
      </c>
      <c r="AM125" t="b">
        <f>+ISNUMBER(SEARCH('F-VTA'!$F$32,Tabla11[[#This Row],[Cuenta]],1))</f>
        <v>1</v>
      </c>
      <c r="AN125" t="b">
        <f>+ISNUMBER(SEARCH('F-VTA'!$F$33,Tabla11[[#This Row],[Cuenta]],1))</f>
        <v>1</v>
      </c>
      <c r="AO125" t="b">
        <f>+ISNUMBER(SEARCH('F-VTA'!$F$34,Tabla11[[#This Row],[Cuenta]],1))</f>
        <v>1</v>
      </c>
      <c r="AP125" t="b">
        <f>+ISNUMBER(SEARCH('F-VTA'!$F$35,Tabla11[[#This Row],[Cuenta]],1))</f>
        <v>1</v>
      </c>
      <c r="AQ125" t="b">
        <f>+ISNUMBER(SEARCH('F-VTA'!$F$36,Tabla11[[#This Row],[Cuenta]],1))</f>
        <v>1</v>
      </c>
      <c r="AR125" t="b">
        <f>+ISNUMBER(SEARCH(#REF!,Tabla11[[#This Row],[Cuenta]],1))</f>
        <v>0</v>
      </c>
      <c r="AS125" t="b">
        <f>+ISNUMBER(SEARCH(#REF!,Tabla11[[#This Row],[Cuenta]],1))</f>
        <v>0</v>
      </c>
      <c r="AT125" t="b">
        <f>+ISNUMBER(SEARCH(#REF!,Tabla11[[#This Row],[Cuenta]],1))</f>
        <v>0</v>
      </c>
      <c r="AU125" t="b">
        <f>+ISNUMBER(SEARCH('Conc. Ban.1'!$I$9,Tabla11[[#This Row],[Cuenta]],1))</f>
        <v>0</v>
      </c>
      <c r="AV125" t="b">
        <f>+ISNUMBER(SEARCH(CompConta!$F$21,Tabla11[[#This Row],[Cuenta]],1))</f>
        <v>1</v>
      </c>
      <c r="AW125" t="b">
        <f>+ISNUMBER(SEARCH(CompConta!$F$22,Tabla11[[#This Row],[Cuenta]],1))</f>
        <v>1</v>
      </c>
      <c r="AX125" t="b">
        <f>+ISNUMBER(SEARCH(CompConta!$F$23,Tabla11[[#This Row],[Cuenta]],1))</f>
        <v>1</v>
      </c>
      <c r="AY125" t="b">
        <f>+ISNUMBER(SEARCH(CompConta!$F$24,Tabla11[[#This Row],[Cuenta]],1))</f>
        <v>1</v>
      </c>
      <c r="AZ125" t="b">
        <f>+ISNUMBER(SEARCH(CompConta!$F$25,Tabla11[[#This Row],[Cuenta]],1))</f>
        <v>1</v>
      </c>
      <c r="BA125" t="b">
        <f>+ISNUMBER(SEARCH(CompConta!$F$26,Tabla11[[#This Row],[Cuenta]],1))</f>
        <v>1</v>
      </c>
      <c r="BB125" t="b">
        <f>+ISNUMBER(SEARCH(CompConta!$F$27,Tabla11[[#This Row],[Cuenta]],1))</f>
        <v>1</v>
      </c>
      <c r="BC125" t="b">
        <f>+ISNUMBER(SEARCH(CompConta!$F$28,Tabla11[[#This Row],[Cuenta]],1))</f>
        <v>1</v>
      </c>
      <c r="BD125" t="b">
        <f>+ISNUMBER(SEARCH(CompConta!$F$29,Tabla11[[#This Row],[Cuenta]],1))</f>
        <v>1</v>
      </c>
      <c r="BE125" t="b">
        <f>+ISNUMBER(SEARCH(CompConta!$F$30,Tabla11[[#This Row],[Cuenta]],1))</f>
        <v>1</v>
      </c>
      <c r="BF125" t="b">
        <f>+ISNUMBER(SEARCH('PAGO Compras'!$E$11,Tabla11[[#This Row],[Cuenta]],1))</f>
        <v>1</v>
      </c>
      <c r="BG125" t="b">
        <f>+ISNUMBER(SEARCH(#REF!,Tabla11[[#This Row],[Cuenta]],1))</f>
        <v>0</v>
      </c>
      <c r="BH125" t="b">
        <f>+ISNUMBER(SEARCH(#REF!,Tabla11[[#This Row],[Cuenta]],1))</f>
        <v>0</v>
      </c>
      <c r="BI125" t="b">
        <f>+ISNUMBER(SEARCH(#REF!,Tabla11[[#This Row],[Cuenta]],1))</f>
        <v>0</v>
      </c>
      <c r="BJ125" t="b">
        <f>+ISNUMBER(SEARCH(#REF!,Tabla11[[#This Row],[Cuenta]],1))</f>
        <v>0</v>
      </c>
      <c r="BS125" t="str">
        <v>151625 Salas de exhibición y ventas</v>
      </c>
      <c r="BT125" t="str">
        <v>151625 Salas de exhibición y ventas</v>
      </c>
      <c r="BU125" t="str">
        <v>151625 Salas de exhibición y ventas</v>
      </c>
      <c r="BV125" t="str">
        <v>151625 Salas de exhibición y ventas</v>
      </c>
      <c r="BZ125" t="str">
        <v>151625 Salas de exhibición y ventas</v>
      </c>
      <c r="CA125" t="str">
        <v>151625 Salas de exhibición y ventas</v>
      </c>
      <c r="CB125" t="str">
        <v>151625 Salas de exhibición y ventas</v>
      </c>
      <c r="CC125" t="str">
        <v>151625 Salas de exhibición y ventas</v>
      </c>
      <c r="CD125" t="str">
        <v>151625 Salas de exhibición y ventas</v>
      </c>
      <c r="CE125" t="str">
        <v>151625 Salas de exhibición y ventas</v>
      </c>
      <c r="CS125" s="141" t="str">
        <v>151625 Salas de exhibición y ventas</v>
      </c>
      <c r="CT125" s="141" t="str">
        <v>151625 Salas de exhibición y ventas</v>
      </c>
      <c r="CU125" s="141" t="str">
        <v>151625 Salas de exhibición y ventas</v>
      </c>
      <c r="CV125" s="141" t="str">
        <v>151625 Salas de exhibición y ventas</v>
      </c>
      <c r="CW125" s="141" t="str">
        <v>151625 Salas de exhibición y ventas</v>
      </c>
      <c r="CX125" s="141" t="str">
        <v>151625 Salas de exhibición y ventas</v>
      </c>
      <c r="CY125" s="141" t="str">
        <v>151625 Salas de exhibición y ventas</v>
      </c>
      <c r="CZ125" s="141" t="str">
        <v>151625 Salas de exhibición y ventas</v>
      </c>
      <c r="DA125" s="141" t="str">
        <v>151625 Salas de exhibición y ventas</v>
      </c>
      <c r="DF125" t="str">
        <v>151625 Salas de exhibición y ventas</v>
      </c>
      <c r="DG125" t="str">
        <v>151625 Salas de exhibición y ventas</v>
      </c>
      <c r="DH125" t="str">
        <v>151625 Salas de exhibición y ventas</v>
      </c>
      <c r="DI125" t="str">
        <v>151625 Salas de exhibición y ventas</v>
      </c>
      <c r="DJ125" t="str">
        <v>151625 Salas de exhibición y ventas</v>
      </c>
      <c r="DK125" t="str">
        <v>151625 Salas de exhibición y ventas</v>
      </c>
      <c r="DL125" t="str">
        <v>151625 Salas de exhibición y ventas</v>
      </c>
      <c r="DM125" t="str">
        <v>151625 Salas de exhibición y ventas</v>
      </c>
      <c r="DN125" t="str">
        <v>151625 Salas de exhibición y ventas</v>
      </c>
      <c r="DO125" t="str">
        <v>151625 Salas de exhibición y ventas</v>
      </c>
      <c r="DP125" t="str">
        <v>151625 Salas de exhibición y ventas</v>
      </c>
    </row>
    <row r="126" spans="4:120" ht="12.75">
      <c r="D126" s="7">
        <v>151630</v>
      </c>
      <c r="E126" s="6" t="s">
        <v>144</v>
      </c>
      <c r="F126" s="5">
        <v>4</v>
      </c>
      <c r="G126" s="34" t="s">
        <v>822</v>
      </c>
      <c r="H126" s="8" t="s">
        <v>32</v>
      </c>
      <c r="I126" t="b">
        <f>+ISNUMBER(SEARCH('F-COMPRA'!$F$28,Tabla11[[#This Row],[Cuenta]],1))</f>
        <v>1</v>
      </c>
      <c r="J126" t="b">
        <f>+ISNUMBER(SEARCH('F-COMPRA'!$F$29,Tabla11[[#This Row],[Cuenta]],1))</f>
        <v>1</v>
      </c>
      <c r="K126" t="b">
        <f>+ISNUMBER(SEARCH('F-COMPRA'!$F$30,Tabla11[[#This Row],[Cuenta]],1))</f>
        <v>1</v>
      </c>
      <c r="L126" t="b">
        <f>+ISNUMBER(SEARCH('F-COMPRA'!$F$31,Tabla11[[#This Row],[Cuenta]],1))</f>
        <v>1</v>
      </c>
      <c r="M126" t="b">
        <f>+ISNUMBER(SEARCH('F-COMPRA'!$G$25,Tabla11[[#This Row],[Cuenta]],1))</f>
        <v>0</v>
      </c>
      <c r="N126" t="b">
        <f>+ISNUMBER(SEARCH(#REF!,Tabla11[[#This Row],[Cuenta]],1))</f>
        <v>0</v>
      </c>
      <c r="O126" t="b">
        <f>+ISNUMBER(SEARCH(#REF!,Tabla11[[#This Row],[Cuenta]],1))</f>
        <v>0</v>
      </c>
      <c r="P126" t="b">
        <f>+ISNUMBER(SEARCH('F-COMPRA'!$F$32,Tabla11[[#This Row],[Cuenta]],1))</f>
        <v>1</v>
      </c>
      <c r="Q126" t="b">
        <f>+ISNUMBER(SEARCH('F-COMPRA'!$F$33,Tabla11[[#This Row],[Cuenta]],1))</f>
        <v>1</v>
      </c>
      <c r="R126" t="b">
        <f>+ISNUMBER(SEARCH('F-COMPRA'!$F$34,Tabla11[[#This Row],[Cuenta]],1))</f>
        <v>1</v>
      </c>
      <c r="S126" t="b">
        <f>+ISNUMBER(SEARCH('F-COMPRA'!$F$35,Tabla11[[#This Row],[Cuenta]],1))</f>
        <v>1</v>
      </c>
      <c r="T126" t="b">
        <f>+ISNUMBER(SEARCH('F-COMPRA'!$F$36,Tabla11[[#This Row],[Cuenta]],1))</f>
        <v>1</v>
      </c>
      <c r="U126" t="b">
        <f>+ISNUMBER(SEARCH('F-COMPRA'!$F$37,Tabla11[[#This Row],[Cuenta]],1))</f>
        <v>1</v>
      </c>
      <c r="V126" t="b">
        <f>+ISNUMBER(SEARCH(#REF!,Tabla11[[#This Row],[Cuenta]],1))</f>
        <v>0</v>
      </c>
      <c r="W126" t="b">
        <f>+ISNUMBER(SEARCH('F-COMPRA'!#REF!,Tabla11[[#This Row],[Cuenta]],1))</f>
        <v>0</v>
      </c>
      <c r="X126" t="b">
        <f>+ISNUMBER(SEARCH('F-COMPRA'!#REF!,Tabla11[[#This Row],[Cuenta]],1))</f>
        <v>0</v>
      </c>
      <c r="Y126" t="b">
        <f>+ISNUMBER(SEARCH('F-COMPRA'!#REF!,Tabla11[[#This Row],[Cuenta]],1))</f>
        <v>0</v>
      </c>
      <c r="Z126" t="b">
        <f>+ISNUMBER(SEARCH('F-COMPRA'!#REF!,Tabla11[[#This Row],[Cuenta]],1))</f>
        <v>0</v>
      </c>
      <c r="AA126" t="b">
        <f>+ISNUMBER(SEARCH('F-COMPRA'!#REF!,Tabla11[[#This Row],[Cuenta]],1))</f>
        <v>0</v>
      </c>
      <c r="AB126" t="b">
        <f>+ISNUMBER(SEARCH('F-COMPRA'!#REF!,Tabla11[[#This Row],[Cuenta]],1))</f>
        <v>0</v>
      </c>
      <c r="AC126" t="b">
        <f>+ISNUMBER(SEARCH('F-COMPRA'!#REF!,Tabla11[[#This Row],[Cuenta]],1))</f>
        <v>0</v>
      </c>
      <c r="AD126" t="b">
        <f>+ISNUMBER(SEARCH('F-COMPRA'!#REF!,Tabla11[[#This Row],[Cuenta]],1))</f>
        <v>0</v>
      </c>
      <c r="AE126" t="b">
        <f>+ISNUMBER(SEARCH('F-COMPRA'!#REF!,Tabla11[[#This Row],[Cuenta]],1))</f>
        <v>0</v>
      </c>
      <c r="AF126" t="b">
        <f>+ISNUMBER(SEARCH('F-VTA'!$G$23,Tabla11[[#This Row],[Cuenta]],1))</f>
        <v>0</v>
      </c>
      <c r="AG126" t="b">
        <f>+ISNUMBER(SEARCH('F-VTA'!$G$24,Tabla11[[#This Row],[Cuenta]],1))</f>
        <v>0</v>
      </c>
      <c r="AH126" t="b">
        <f>+ISNUMBER(SEARCH('F-VTA'!$G$25,Tabla11[[#This Row],[Cuenta]],1))</f>
        <v>0</v>
      </c>
      <c r="AI126" t="b">
        <f>+ISNUMBER(SEARCH('F-VTA'!$F$28,Tabla11[[#This Row],[Cuenta]],1))</f>
        <v>1</v>
      </c>
      <c r="AJ126" t="b">
        <f>+ISNUMBER(SEARCH('F-VTA'!$F$29,Tabla11[[#This Row],[Cuenta]],1))</f>
        <v>1</v>
      </c>
      <c r="AK126" t="b">
        <f>+ISNUMBER(SEARCH('F-VTA'!$F$30,Tabla11[[#This Row],[Cuenta]],1))</f>
        <v>1</v>
      </c>
      <c r="AL126" t="b">
        <f>+ISNUMBER(SEARCH('F-VTA'!$F$31,Tabla11[[#This Row],[Cuenta]],1))</f>
        <v>1</v>
      </c>
      <c r="AM126" t="b">
        <f>+ISNUMBER(SEARCH('F-VTA'!$F$32,Tabla11[[#This Row],[Cuenta]],1))</f>
        <v>1</v>
      </c>
      <c r="AN126" t="b">
        <f>+ISNUMBER(SEARCH('F-VTA'!$F$33,Tabla11[[#This Row],[Cuenta]],1))</f>
        <v>1</v>
      </c>
      <c r="AO126" t="b">
        <f>+ISNUMBER(SEARCH('F-VTA'!$F$34,Tabla11[[#This Row],[Cuenta]],1))</f>
        <v>1</v>
      </c>
      <c r="AP126" t="b">
        <f>+ISNUMBER(SEARCH('F-VTA'!$F$35,Tabla11[[#This Row],[Cuenta]],1))</f>
        <v>1</v>
      </c>
      <c r="AQ126" t="b">
        <f>+ISNUMBER(SEARCH('F-VTA'!$F$36,Tabla11[[#This Row],[Cuenta]],1))</f>
        <v>1</v>
      </c>
      <c r="AR126" t="b">
        <f>+ISNUMBER(SEARCH(#REF!,Tabla11[[#This Row],[Cuenta]],1))</f>
        <v>0</v>
      </c>
      <c r="AS126" t="b">
        <f>+ISNUMBER(SEARCH(#REF!,Tabla11[[#This Row],[Cuenta]],1))</f>
        <v>0</v>
      </c>
      <c r="AT126" t="b">
        <f>+ISNUMBER(SEARCH(#REF!,Tabla11[[#This Row],[Cuenta]],1))</f>
        <v>0</v>
      </c>
      <c r="AU126" t="b">
        <f>+ISNUMBER(SEARCH('Conc. Ban.1'!$I$9,Tabla11[[#This Row],[Cuenta]],1))</f>
        <v>0</v>
      </c>
      <c r="AV126" t="b">
        <f>+ISNUMBER(SEARCH(CompConta!$F$21,Tabla11[[#This Row],[Cuenta]],1))</f>
        <v>1</v>
      </c>
      <c r="AW126" t="b">
        <f>+ISNUMBER(SEARCH(CompConta!$F$22,Tabla11[[#This Row],[Cuenta]],1))</f>
        <v>1</v>
      </c>
      <c r="AX126" t="b">
        <f>+ISNUMBER(SEARCH(CompConta!$F$23,Tabla11[[#This Row],[Cuenta]],1))</f>
        <v>1</v>
      </c>
      <c r="AY126" t="b">
        <f>+ISNUMBER(SEARCH(CompConta!$F$24,Tabla11[[#This Row],[Cuenta]],1))</f>
        <v>1</v>
      </c>
      <c r="AZ126" t="b">
        <f>+ISNUMBER(SEARCH(CompConta!$F$25,Tabla11[[#This Row],[Cuenta]],1))</f>
        <v>1</v>
      </c>
      <c r="BA126" t="b">
        <f>+ISNUMBER(SEARCH(CompConta!$F$26,Tabla11[[#This Row],[Cuenta]],1))</f>
        <v>1</v>
      </c>
      <c r="BB126" t="b">
        <f>+ISNUMBER(SEARCH(CompConta!$F$27,Tabla11[[#This Row],[Cuenta]],1))</f>
        <v>1</v>
      </c>
      <c r="BC126" t="b">
        <f>+ISNUMBER(SEARCH(CompConta!$F$28,Tabla11[[#This Row],[Cuenta]],1))</f>
        <v>1</v>
      </c>
      <c r="BD126" t="b">
        <f>+ISNUMBER(SEARCH(CompConta!$F$29,Tabla11[[#This Row],[Cuenta]],1))</f>
        <v>1</v>
      </c>
      <c r="BE126" t="b">
        <f>+ISNUMBER(SEARCH(CompConta!$F$30,Tabla11[[#This Row],[Cuenta]],1))</f>
        <v>1</v>
      </c>
      <c r="BF126" t="b">
        <f>+ISNUMBER(SEARCH('PAGO Compras'!$E$11,Tabla11[[#This Row],[Cuenta]],1))</f>
        <v>1</v>
      </c>
      <c r="BG126" t="b">
        <f>+ISNUMBER(SEARCH(#REF!,Tabla11[[#This Row],[Cuenta]],1))</f>
        <v>0</v>
      </c>
      <c r="BH126" t="b">
        <f>+ISNUMBER(SEARCH(#REF!,Tabla11[[#This Row],[Cuenta]],1))</f>
        <v>0</v>
      </c>
      <c r="BI126" t="b">
        <f>+ISNUMBER(SEARCH(#REF!,Tabla11[[#This Row],[Cuenta]],1))</f>
        <v>0</v>
      </c>
      <c r="BJ126" t="b">
        <f>+ISNUMBER(SEARCH(#REF!,Tabla11[[#This Row],[Cuenta]],1))</f>
        <v>0</v>
      </c>
      <c r="BS126" t="str">
        <v>151630 Cafetería y casinos</v>
      </c>
      <c r="BT126" t="str">
        <v>151630 Cafetería y casinos</v>
      </c>
      <c r="BU126" t="str">
        <v>151630 Cafetería y casinos</v>
      </c>
      <c r="BV126" t="str">
        <v>151630 Cafetería y casinos</v>
      </c>
      <c r="BZ126" t="str">
        <v>151630 Cafetería y casinos</v>
      </c>
      <c r="CA126" t="str">
        <v>151630 Cafetería y casinos</v>
      </c>
      <c r="CB126" t="str">
        <v>151630 Cafetería y casinos</v>
      </c>
      <c r="CC126" t="str">
        <v>151630 Cafetería y casinos</v>
      </c>
      <c r="CD126" t="str">
        <v>151630 Cafetería y casinos</v>
      </c>
      <c r="CE126" t="str">
        <v>151630 Cafetería y casinos</v>
      </c>
      <c r="CS126" s="141" t="str">
        <v>151630 Cafetería y casinos</v>
      </c>
      <c r="CT126" s="141" t="str">
        <v>151630 Cafetería y casinos</v>
      </c>
      <c r="CU126" s="141" t="str">
        <v>151630 Cafetería y casinos</v>
      </c>
      <c r="CV126" s="141" t="str">
        <v>151630 Cafetería y casinos</v>
      </c>
      <c r="CW126" s="141" t="str">
        <v>151630 Cafetería y casinos</v>
      </c>
      <c r="CX126" s="141" t="str">
        <v>151630 Cafetería y casinos</v>
      </c>
      <c r="CY126" s="141" t="str">
        <v>151630 Cafetería y casinos</v>
      </c>
      <c r="CZ126" s="141" t="str">
        <v>151630 Cafetería y casinos</v>
      </c>
      <c r="DA126" s="141" t="str">
        <v>151630 Cafetería y casinos</v>
      </c>
      <c r="DF126" t="str">
        <v>151630 Cafetería y casinos</v>
      </c>
      <c r="DG126" t="str">
        <v>151630 Cafetería y casinos</v>
      </c>
      <c r="DH126" t="str">
        <v>151630 Cafetería y casinos</v>
      </c>
      <c r="DI126" t="str">
        <v>151630 Cafetería y casinos</v>
      </c>
      <c r="DJ126" t="str">
        <v>151630 Cafetería y casinos</v>
      </c>
      <c r="DK126" t="str">
        <v>151630 Cafetería y casinos</v>
      </c>
      <c r="DL126" t="str">
        <v>151630 Cafetería y casinos</v>
      </c>
      <c r="DM126" t="str">
        <v>151630 Cafetería y casinos</v>
      </c>
      <c r="DN126" t="str">
        <v>151630 Cafetería y casinos</v>
      </c>
      <c r="DO126" t="str">
        <v>151630 Cafetería y casinos</v>
      </c>
      <c r="DP126" t="str">
        <v>151630 Cafetería y casinos</v>
      </c>
    </row>
    <row r="127" spans="4:120" ht="12.75">
      <c r="D127" s="7">
        <v>151635</v>
      </c>
      <c r="E127" s="6" t="s">
        <v>145</v>
      </c>
      <c r="F127" s="5">
        <v>4</v>
      </c>
      <c r="G127" s="34" t="s">
        <v>822</v>
      </c>
      <c r="H127" s="8" t="s">
        <v>32</v>
      </c>
      <c r="I127" t="b">
        <f>+ISNUMBER(SEARCH('F-COMPRA'!$F$28,Tabla11[[#This Row],[Cuenta]],1))</f>
        <v>1</v>
      </c>
      <c r="J127" t="b">
        <f>+ISNUMBER(SEARCH('F-COMPRA'!$F$29,Tabla11[[#This Row],[Cuenta]],1))</f>
        <v>1</v>
      </c>
      <c r="K127" t="b">
        <f>+ISNUMBER(SEARCH('F-COMPRA'!$F$30,Tabla11[[#This Row],[Cuenta]],1))</f>
        <v>1</v>
      </c>
      <c r="L127" t="b">
        <f>+ISNUMBER(SEARCH('F-COMPRA'!$F$31,Tabla11[[#This Row],[Cuenta]],1))</f>
        <v>1</v>
      </c>
      <c r="M127" t="b">
        <f>+ISNUMBER(SEARCH('F-COMPRA'!$G$25,Tabla11[[#This Row],[Cuenta]],1))</f>
        <v>0</v>
      </c>
      <c r="N127" t="b">
        <f>+ISNUMBER(SEARCH(#REF!,Tabla11[[#This Row],[Cuenta]],1))</f>
        <v>0</v>
      </c>
      <c r="O127" t="b">
        <f>+ISNUMBER(SEARCH(#REF!,Tabla11[[#This Row],[Cuenta]],1))</f>
        <v>0</v>
      </c>
      <c r="P127" t="b">
        <f>+ISNUMBER(SEARCH('F-COMPRA'!$F$32,Tabla11[[#This Row],[Cuenta]],1))</f>
        <v>1</v>
      </c>
      <c r="Q127" t="b">
        <f>+ISNUMBER(SEARCH('F-COMPRA'!$F$33,Tabla11[[#This Row],[Cuenta]],1))</f>
        <v>1</v>
      </c>
      <c r="R127" t="b">
        <f>+ISNUMBER(SEARCH('F-COMPRA'!$F$34,Tabla11[[#This Row],[Cuenta]],1))</f>
        <v>1</v>
      </c>
      <c r="S127" t="b">
        <f>+ISNUMBER(SEARCH('F-COMPRA'!$F$35,Tabla11[[#This Row],[Cuenta]],1))</f>
        <v>1</v>
      </c>
      <c r="T127" t="b">
        <f>+ISNUMBER(SEARCH('F-COMPRA'!$F$36,Tabla11[[#This Row],[Cuenta]],1))</f>
        <v>1</v>
      </c>
      <c r="U127" t="b">
        <f>+ISNUMBER(SEARCH('F-COMPRA'!$F$37,Tabla11[[#This Row],[Cuenta]],1))</f>
        <v>1</v>
      </c>
      <c r="V127" t="b">
        <f>+ISNUMBER(SEARCH(#REF!,Tabla11[[#This Row],[Cuenta]],1))</f>
        <v>0</v>
      </c>
      <c r="W127" t="b">
        <f>+ISNUMBER(SEARCH('F-COMPRA'!#REF!,Tabla11[[#This Row],[Cuenta]],1))</f>
        <v>0</v>
      </c>
      <c r="X127" t="b">
        <f>+ISNUMBER(SEARCH('F-COMPRA'!#REF!,Tabla11[[#This Row],[Cuenta]],1))</f>
        <v>0</v>
      </c>
      <c r="Y127" t="b">
        <f>+ISNUMBER(SEARCH('F-COMPRA'!#REF!,Tabla11[[#This Row],[Cuenta]],1))</f>
        <v>0</v>
      </c>
      <c r="Z127" t="b">
        <f>+ISNUMBER(SEARCH('F-COMPRA'!#REF!,Tabla11[[#This Row],[Cuenta]],1))</f>
        <v>0</v>
      </c>
      <c r="AA127" t="b">
        <f>+ISNUMBER(SEARCH('F-COMPRA'!#REF!,Tabla11[[#This Row],[Cuenta]],1))</f>
        <v>0</v>
      </c>
      <c r="AB127" t="b">
        <f>+ISNUMBER(SEARCH('F-COMPRA'!#REF!,Tabla11[[#This Row],[Cuenta]],1))</f>
        <v>0</v>
      </c>
      <c r="AC127" t="b">
        <f>+ISNUMBER(SEARCH('F-COMPRA'!#REF!,Tabla11[[#This Row],[Cuenta]],1))</f>
        <v>0</v>
      </c>
      <c r="AD127" t="b">
        <f>+ISNUMBER(SEARCH('F-COMPRA'!#REF!,Tabla11[[#This Row],[Cuenta]],1))</f>
        <v>0</v>
      </c>
      <c r="AE127" t="b">
        <f>+ISNUMBER(SEARCH('F-COMPRA'!#REF!,Tabla11[[#This Row],[Cuenta]],1))</f>
        <v>0</v>
      </c>
      <c r="AF127" t="b">
        <f>+ISNUMBER(SEARCH('F-VTA'!$G$23,Tabla11[[#This Row],[Cuenta]],1))</f>
        <v>0</v>
      </c>
      <c r="AG127" t="b">
        <f>+ISNUMBER(SEARCH('F-VTA'!$G$24,Tabla11[[#This Row],[Cuenta]],1))</f>
        <v>0</v>
      </c>
      <c r="AH127" t="b">
        <f>+ISNUMBER(SEARCH('F-VTA'!$G$25,Tabla11[[#This Row],[Cuenta]],1))</f>
        <v>0</v>
      </c>
      <c r="AI127" t="b">
        <f>+ISNUMBER(SEARCH('F-VTA'!$F$28,Tabla11[[#This Row],[Cuenta]],1))</f>
        <v>1</v>
      </c>
      <c r="AJ127" t="b">
        <f>+ISNUMBER(SEARCH('F-VTA'!$F$29,Tabla11[[#This Row],[Cuenta]],1))</f>
        <v>1</v>
      </c>
      <c r="AK127" t="b">
        <f>+ISNUMBER(SEARCH('F-VTA'!$F$30,Tabla11[[#This Row],[Cuenta]],1))</f>
        <v>1</v>
      </c>
      <c r="AL127" t="b">
        <f>+ISNUMBER(SEARCH('F-VTA'!$F$31,Tabla11[[#This Row],[Cuenta]],1))</f>
        <v>1</v>
      </c>
      <c r="AM127" t="b">
        <f>+ISNUMBER(SEARCH('F-VTA'!$F$32,Tabla11[[#This Row],[Cuenta]],1))</f>
        <v>1</v>
      </c>
      <c r="AN127" t="b">
        <f>+ISNUMBER(SEARCH('F-VTA'!$F$33,Tabla11[[#This Row],[Cuenta]],1))</f>
        <v>1</v>
      </c>
      <c r="AO127" t="b">
        <f>+ISNUMBER(SEARCH('F-VTA'!$F$34,Tabla11[[#This Row],[Cuenta]],1))</f>
        <v>1</v>
      </c>
      <c r="AP127" t="b">
        <f>+ISNUMBER(SEARCH('F-VTA'!$F$35,Tabla11[[#This Row],[Cuenta]],1))</f>
        <v>1</v>
      </c>
      <c r="AQ127" t="b">
        <f>+ISNUMBER(SEARCH('F-VTA'!$F$36,Tabla11[[#This Row],[Cuenta]],1))</f>
        <v>1</v>
      </c>
      <c r="AR127" t="b">
        <f>+ISNUMBER(SEARCH(#REF!,Tabla11[[#This Row],[Cuenta]],1))</f>
        <v>0</v>
      </c>
      <c r="AS127" t="b">
        <f>+ISNUMBER(SEARCH(#REF!,Tabla11[[#This Row],[Cuenta]],1))</f>
        <v>0</v>
      </c>
      <c r="AT127" t="b">
        <f>+ISNUMBER(SEARCH(#REF!,Tabla11[[#This Row],[Cuenta]],1))</f>
        <v>0</v>
      </c>
      <c r="AU127" t="b">
        <f>+ISNUMBER(SEARCH('Conc. Ban.1'!$I$9,Tabla11[[#This Row],[Cuenta]],1))</f>
        <v>0</v>
      </c>
      <c r="AV127" t="b">
        <f>+ISNUMBER(SEARCH(CompConta!$F$21,Tabla11[[#This Row],[Cuenta]],1))</f>
        <v>1</v>
      </c>
      <c r="AW127" t="b">
        <f>+ISNUMBER(SEARCH(CompConta!$F$22,Tabla11[[#This Row],[Cuenta]],1))</f>
        <v>1</v>
      </c>
      <c r="AX127" t="b">
        <f>+ISNUMBER(SEARCH(CompConta!$F$23,Tabla11[[#This Row],[Cuenta]],1))</f>
        <v>1</v>
      </c>
      <c r="AY127" t="b">
        <f>+ISNUMBER(SEARCH(CompConta!$F$24,Tabla11[[#This Row],[Cuenta]],1))</f>
        <v>1</v>
      </c>
      <c r="AZ127" t="b">
        <f>+ISNUMBER(SEARCH(CompConta!$F$25,Tabla11[[#This Row],[Cuenta]],1))</f>
        <v>1</v>
      </c>
      <c r="BA127" t="b">
        <f>+ISNUMBER(SEARCH(CompConta!$F$26,Tabla11[[#This Row],[Cuenta]],1))</f>
        <v>1</v>
      </c>
      <c r="BB127" t="b">
        <f>+ISNUMBER(SEARCH(CompConta!$F$27,Tabla11[[#This Row],[Cuenta]],1))</f>
        <v>1</v>
      </c>
      <c r="BC127" t="b">
        <f>+ISNUMBER(SEARCH(CompConta!$F$28,Tabla11[[#This Row],[Cuenta]],1))</f>
        <v>1</v>
      </c>
      <c r="BD127" t="b">
        <f>+ISNUMBER(SEARCH(CompConta!$F$29,Tabla11[[#This Row],[Cuenta]],1))</f>
        <v>1</v>
      </c>
      <c r="BE127" t="b">
        <f>+ISNUMBER(SEARCH(CompConta!$F$30,Tabla11[[#This Row],[Cuenta]],1))</f>
        <v>1</v>
      </c>
      <c r="BF127" t="b">
        <f>+ISNUMBER(SEARCH('PAGO Compras'!$E$11,Tabla11[[#This Row],[Cuenta]],1))</f>
        <v>1</v>
      </c>
      <c r="BG127" t="b">
        <f>+ISNUMBER(SEARCH(#REF!,Tabla11[[#This Row],[Cuenta]],1))</f>
        <v>0</v>
      </c>
      <c r="BH127" t="b">
        <f>+ISNUMBER(SEARCH(#REF!,Tabla11[[#This Row],[Cuenta]],1))</f>
        <v>0</v>
      </c>
      <c r="BI127" t="b">
        <f>+ISNUMBER(SEARCH(#REF!,Tabla11[[#This Row],[Cuenta]],1))</f>
        <v>0</v>
      </c>
      <c r="BJ127" t="b">
        <f>+ISNUMBER(SEARCH(#REF!,Tabla11[[#This Row],[Cuenta]],1))</f>
        <v>0</v>
      </c>
      <c r="BS127" t="str">
        <v>151635 Silos</v>
      </c>
      <c r="BT127" t="str">
        <v>151635 Silos</v>
      </c>
      <c r="BU127" t="str">
        <v>151635 Silos</v>
      </c>
      <c r="BV127" t="str">
        <v>151635 Silos</v>
      </c>
      <c r="BZ127" t="str">
        <v>151635 Silos</v>
      </c>
      <c r="CA127" t="str">
        <v>151635 Silos</v>
      </c>
      <c r="CB127" t="str">
        <v>151635 Silos</v>
      </c>
      <c r="CC127" t="str">
        <v>151635 Silos</v>
      </c>
      <c r="CD127" t="str">
        <v>151635 Silos</v>
      </c>
      <c r="CE127" t="str">
        <v>151635 Silos</v>
      </c>
      <c r="CS127" s="141" t="str">
        <v>151635 Silos</v>
      </c>
      <c r="CT127" s="141" t="str">
        <v>151635 Silos</v>
      </c>
      <c r="CU127" s="141" t="str">
        <v>151635 Silos</v>
      </c>
      <c r="CV127" s="141" t="str">
        <v>151635 Silos</v>
      </c>
      <c r="CW127" s="141" t="str">
        <v>151635 Silos</v>
      </c>
      <c r="CX127" s="141" t="str">
        <v>151635 Silos</v>
      </c>
      <c r="CY127" s="141" t="str">
        <v>151635 Silos</v>
      </c>
      <c r="CZ127" s="141" t="str">
        <v>151635 Silos</v>
      </c>
      <c r="DA127" s="141" t="str">
        <v>151635 Silos</v>
      </c>
      <c r="DF127" t="str">
        <v>151635 Silos</v>
      </c>
      <c r="DG127" t="str">
        <v>151635 Silos</v>
      </c>
      <c r="DH127" t="str">
        <v>151635 Silos</v>
      </c>
      <c r="DI127" t="str">
        <v>151635 Silos</v>
      </c>
      <c r="DJ127" t="str">
        <v>151635 Silos</v>
      </c>
      <c r="DK127" t="str">
        <v>151635 Silos</v>
      </c>
      <c r="DL127" t="str">
        <v>151635 Silos</v>
      </c>
      <c r="DM127" t="str">
        <v>151635 Silos</v>
      </c>
      <c r="DN127" t="str">
        <v>151635 Silos</v>
      </c>
      <c r="DO127" t="str">
        <v>151635 Silos</v>
      </c>
      <c r="DP127" t="str">
        <v>151635 Silos</v>
      </c>
    </row>
    <row r="128" spans="4:120" ht="12.75">
      <c r="D128" s="7">
        <v>151640</v>
      </c>
      <c r="E128" s="6" t="s">
        <v>146</v>
      </c>
      <c r="F128" s="5">
        <v>4</v>
      </c>
      <c r="G128" s="34" t="s">
        <v>822</v>
      </c>
      <c r="H128" s="8" t="s">
        <v>32</v>
      </c>
      <c r="I128" t="b">
        <f>+ISNUMBER(SEARCH('F-COMPRA'!$F$28,Tabla11[[#This Row],[Cuenta]],1))</f>
        <v>1</v>
      </c>
      <c r="J128" t="b">
        <f>+ISNUMBER(SEARCH('F-COMPRA'!$F$29,Tabla11[[#This Row],[Cuenta]],1))</f>
        <v>1</v>
      </c>
      <c r="K128" t="b">
        <f>+ISNUMBER(SEARCH('F-COMPRA'!$F$30,Tabla11[[#This Row],[Cuenta]],1))</f>
        <v>1</v>
      </c>
      <c r="L128" t="b">
        <f>+ISNUMBER(SEARCH('F-COMPRA'!$F$31,Tabla11[[#This Row],[Cuenta]],1))</f>
        <v>1</v>
      </c>
      <c r="M128" t="b">
        <f>+ISNUMBER(SEARCH('F-COMPRA'!$G$25,Tabla11[[#This Row],[Cuenta]],1))</f>
        <v>0</v>
      </c>
      <c r="N128" t="b">
        <f>+ISNUMBER(SEARCH(#REF!,Tabla11[[#This Row],[Cuenta]],1))</f>
        <v>0</v>
      </c>
      <c r="O128" t="b">
        <f>+ISNUMBER(SEARCH(#REF!,Tabla11[[#This Row],[Cuenta]],1))</f>
        <v>0</v>
      </c>
      <c r="P128" t="b">
        <f>+ISNUMBER(SEARCH('F-COMPRA'!$F$32,Tabla11[[#This Row],[Cuenta]],1))</f>
        <v>1</v>
      </c>
      <c r="Q128" t="b">
        <f>+ISNUMBER(SEARCH('F-COMPRA'!$F$33,Tabla11[[#This Row],[Cuenta]],1))</f>
        <v>1</v>
      </c>
      <c r="R128" t="b">
        <f>+ISNUMBER(SEARCH('F-COMPRA'!$F$34,Tabla11[[#This Row],[Cuenta]],1))</f>
        <v>1</v>
      </c>
      <c r="S128" t="b">
        <f>+ISNUMBER(SEARCH('F-COMPRA'!$F$35,Tabla11[[#This Row],[Cuenta]],1))</f>
        <v>1</v>
      </c>
      <c r="T128" t="b">
        <f>+ISNUMBER(SEARCH('F-COMPRA'!$F$36,Tabla11[[#This Row],[Cuenta]],1))</f>
        <v>1</v>
      </c>
      <c r="U128" t="b">
        <f>+ISNUMBER(SEARCH('F-COMPRA'!$F$37,Tabla11[[#This Row],[Cuenta]],1))</f>
        <v>1</v>
      </c>
      <c r="V128" t="b">
        <f>+ISNUMBER(SEARCH(#REF!,Tabla11[[#This Row],[Cuenta]],1))</f>
        <v>0</v>
      </c>
      <c r="W128" t="b">
        <f>+ISNUMBER(SEARCH('F-COMPRA'!#REF!,Tabla11[[#This Row],[Cuenta]],1))</f>
        <v>0</v>
      </c>
      <c r="X128" t="b">
        <f>+ISNUMBER(SEARCH('F-COMPRA'!#REF!,Tabla11[[#This Row],[Cuenta]],1))</f>
        <v>0</v>
      </c>
      <c r="Y128" t="b">
        <f>+ISNUMBER(SEARCH('F-COMPRA'!#REF!,Tabla11[[#This Row],[Cuenta]],1))</f>
        <v>0</v>
      </c>
      <c r="Z128" t="b">
        <f>+ISNUMBER(SEARCH('F-COMPRA'!#REF!,Tabla11[[#This Row],[Cuenta]],1))</f>
        <v>0</v>
      </c>
      <c r="AA128" t="b">
        <f>+ISNUMBER(SEARCH('F-COMPRA'!#REF!,Tabla11[[#This Row],[Cuenta]],1))</f>
        <v>0</v>
      </c>
      <c r="AB128" t="b">
        <f>+ISNUMBER(SEARCH('F-COMPRA'!#REF!,Tabla11[[#This Row],[Cuenta]],1))</f>
        <v>0</v>
      </c>
      <c r="AC128" t="b">
        <f>+ISNUMBER(SEARCH('F-COMPRA'!#REF!,Tabla11[[#This Row],[Cuenta]],1))</f>
        <v>0</v>
      </c>
      <c r="AD128" t="b">
        <f>+ISNUMBER(SEARCH('F-COMPRA'!#REF!,Tabla11[[#This Row],[Cuenta]],1))</f>
        <v>0</v>
      </c>
      <c r="AE128" t="b">
        <f>+ISNUMBER(SEARCH('F-COMPRA'!#REF!,Tabla11[[#This Row],[Cuenta]],1))</f>
        <v>0</v>
      </c>
      <c r="AF128" t="b">
        <f>+ISNUMBER(SEARCH('F-VTA'!$G$23,Tabla11[[#This Row],[Cuenta]],1))</f>
        <v>0</v>
      </c>
      <c r="AG128" t="b">
        <f>+ISNUMBER(SEARCH('F-VTA'!$G$24,Tabla11[[#This Row],[Cuenta]],1))</f>
        <v>0</v>
      </c>
      <c r="AH128" t="b">
        <f>+ISNUMBER(SEARCH('F-VTA'!$G$25,Tabla11[[#This Row],[Cuenta]],1))</f>
        <v>0</v>
      </c>
      <c r="AI128" t="b">
        <f>+ISNUMBER(SEARCH('F-VTA'!$F$28,Tabla11[[#This Row],[Cuenta]],1))</f>
        <v>1</v>
      </c>
      <c r="AJ128" t="b">
        <f>+ISNUMBER(SEARCH('F-VTA'!$F$29,Tabla11[[#This Row],[Cuenta]],1))</f>
        <v>1</v>
      </c>
      <c r="AK128" t="b">
        <f>+ISNUMBER(SEARCH('F-VTA'!$F$30,Tabla11[[#This Row],[Cuenta]],1))</f>
        <v>1</v>
      </c>
      <c r="AL128" t="b">
        <f>+ISNUMBER(SEARCH('F-VTA'!$F$31,Tabla11[[#This Row],[Cuenta]],1))</f>
        <v>1</v>
      </c>
      <c r="AM128" t="b">
        <f>+ISNUMBER(SEARCH('F-VTA'!$F$32,Tabla11[[#This Row],[Cuenta]],1))</f>
        <v>1</v>
      </c>
      <c r="AN128" t="b">
        <f>+ISNUMBER(SEARCH('F-VTA'!$F$33,Tabla11[[#This Row],[Cuenta]],1))</f>
        <v>1</v>
      </c>
      <c r="AO128" t="b">
        <f>+ISNUMBER(SEARCH('F-VTA'!$F$34,Tabla11[[#This Row],[Cuenta]],1))</f>
        <v>1</v>
      </c>
      <c r="AP128" t="b">
        <f>+ISNUMBER(SEARCH('F-VTA'!$F$35,Tabla11[[#This Row],[Cuenta]],1))</f>
        <v>1</v>
      </c>
      <c r="AQ128" t="b">
        <f>+ISNUMBER(SEARCH('F-VTA'!$F$36,Tabla11[[#This Row],[Cuenta]],1))</f>
        <v>1</v>
      </c>
      <c r="AR128" t="b">
        <f>+ISNUMBER(SEARCH(#REF!,Tabla11[[#This Row],[Cuenta]],1))</f>
        <v>0</v>
      </c>
      <c r="AS128" t="b">
        <f>+ISNUMBER(SEARCH(#REF!,Tabla11[[#This Row],[Cuenta]],1))</f>
        <v>0</v>
      </c>
      <c r="AT128" t="b">
        <f>+ISNUMBER(SEARCH(#REF!,Tabla11[[#This Row],[Cuenta]],1))</f>
        <v>0</v>
      </c>
      <c r="AU128" t="b">
        <f>+ISNUMBER(SEARCH('Conc. Ban.1'!$I$9,Tabla11[[#This Row],[Cuenta]],1))</f>
        <v>0</v>
      </c>
      <c r="AV128" t="b">
        <f>+ISNUMBER(SEARCH(CompConta!$F$21,Tabla11[[#This Row],[Cuenta]],1))</f>
        <v>1</v>
      </c>
      <c r="AW128" t="b">
        <f>+ISNUMBER(SEARCH(CompConta!$F$22,Tabla11[[#This Row],[Cuenta]],1))</f>
        <v>1</v>
      </c>
      <c r="AX128" t="b">
        <f>+ISNUMBER(SEARCH(CompConta!$F$23,Tabla11[[#This Row],[Cuenta]],1))</f>
        <v>1</v>
      </c>
      <c r="AY128" t="b">
        <f>+ISNUMBER(SEARCH(CompConta!$F$24,Tabla11[[#This Row],[Cuenta]],1))</f>
        <v>1</v>
      </c>
      <c r="AZ128" t="b">
        <f>+ISNUMBER(SEARCH(CompConta!$F$25,Tabla11[[#This Row],[Cuenta]],1))</f>
        <v>1</v>
      </c>
      <c r="BA128" t="b">
        <f>+ISNUMBER(SEARCH(CompConta!$F$26,Tabla11[[#This Row],[Cuenta]],1))</f>
        <v>1</v>
      </c>
      <c r="BB128" t="b">
        <f>+ISNUMBER(SEARCH(CompConta!$F$27,Tabla11[[#This Row],[Cuenta]],1))</f>
        <v>1</v>
      </c>
      <c r="BC128" t="b">
        <f>+ISNUMBER(SEARCH(CompConta!$F$28,Tabla11[[#This Row],[Cuenta]],1))</f>
        <v>1</v>
      </c>
      <c r="BD128" t="b">
        <f>+ISNUMBER(SEARCH(CompConta!$F$29,Tabla11[[#This Row],[Cuenta]],1))</f>
        <v>1</v>
      </c>
      <c r="BE128" t="b">
        <f>+ISNUMBER(SEARCH(CompConta!$F$30,Tabla11[[#This Row],[Cuenta]],1))</f>
        <v>1</v>
      </c>
      <c r="BF128" t="b">
        <f>+ISNUMBER(SEARCH('PAGO Compras'!$E$11,Tabla11[[#This Row],[Cuenta]],1))</f>
        <v>1</v>
      </c>
      <c r="BG128" t="b">
        <f>+ISNUMBER(SEARCH(#REF!,Tabla11[[#This Row],[Cuenta]],1))</f>
        <v>0</v>
      </c>
      <c r="BH128" t="b">
        <f>+ISNUMBER(SEARCH(#REF!,Tabla11[[#This Row],[Cuenta]],1))</f>
        <v>0</v>
      </c>
      <c r="BI128" t="b">
        <f>+ISNUMBER(SEARCH(#REF!,Tabla11[[#This Row],[Cuenta]],1))</f>
        <v>0</v>
      </c>
      <c r="BJ128" t="b">
        <f>+ISNUMBER(SEARCH(#REF!,Tabla11[[#This Row],[Cuenta]],1))</f>
        <v>0</v>
      </c>
      <c r="BS128" t="str">
        <v>151640 Invernaderos</v>
      </c>
      <c r="BT128" t="str">
        <v>151640 Invernaderos</v>
      </c>
      <c r="BU128" t="str">
        <v>151640 Invernaderos</v>
      </c>
      <c r="BV128" t="str">
        <v>151640 Invernaderos</v>
      </c>
      <c r="BZ128" t="str">
        <v>151640 Invernaderos</v>
      </c>
      <c r="CA128" t="str">
        <v>151640 Invernaderos</v>
      </c>
      <c r="CB128" t="str">
        <v>151640 Invernaderos</v>
      </c>
      <c r="CC128" t="str">
        <v>151640 Invernaderos</v>
      </c>
      <c r="CD128" t="str">
        <v>151640 Invernaderos</v>
      </c>
      <c r="CE128" t="str">
        <v>151640 Invernaderos</v>
      </c>
      <c r="CS128" s="141" t="str">
        <v>151640 Invernaderos</v>
      </c>
      <c r="CT128" s="141" t="str">
        <v>151640 Invernaderos</v>
      </c>
      <c r="CU128" s="141" t="str">
        <v>151640 Invernaderos</v>
      </c>
      <c r="CV128" s="141" t="str">
        <v>151640 Invernaderos</v>
      </c>
      <c r="CW128" s="141" t="str">
        <v>151640 Invernaderos</v>
      </c>
      <c r="CX128" s="141" t="str">
        <v>151640 Invernaderos</v>
      </c>
      <c r="CY128" s="141" t="str">
        <v>151640 Invernaderos</v>
      </c>
      <c r="CZ128" s="141" t="str">
        <v>151640 Invernaderos</v>
      </c>
      <c r="DA128" s="141" t="str">
        <v>151640 Invernaderos</v>
      </c>
      <c r="DF128" t="str">
        <v>151640 Invernaderos</v>
      </c>
      <c r="DG128" t="str">
        <v>151640 Invernaderos</v>
      </c>
      <c r="DH128" t="str">
        <v>151640 Invernaderos</v>
      </c>
      <c r="DI128" t="str">
        <v>151640 Invernaderos</v>
      </c>
      <c r="DJ128" t="str">
        <v>151640 Invernaderos</v>
      </c>
      <c r="DK128" t="str">
        <v>151640 Invernaderos</v>
      </c>
      <c r="DL128" t="str">
        <v>151640 Invernaderos</v>
      </c>
      <c r="DM128" t="str">
        <v>151640 Invernaderos</v>
      </c>
      <c r="DN128" t="str">
        <v>151640 Invernaderos</v>
      </c>
      <c r="DO128" t="str">
        <v>151640 Invernaderos</v>
      </c>
      <c r="DP128" t="str">
        <v>151640 Invernaderos</v>
      </c>
    </row>
    <row r="129" spans="4:120" ht="12.75">
      <c r="D129" s="7">
        <v>151645</v>
      </c>
      <c r="E129" s="6" t="s">
        <v>147</v>
      </c>
      <c r="F129" s="5">
        <v>4</v>
      </c>
      <c r="G129" s="34" t="s">
        <v>822</v>
      </c>
      <c r="H129" s="8" t="s">
        <v>32</v>
      </c>
      <c r="I129" t="b">
        <f>+ISNUMBER(SEARCH('F-COMPRA'!$F$28,Tabla11[[#This Row],[Cuenta]],1))</f>
        <v>1</v>
      </c>
      <c r="J129" t="b">
        <f>+ISNUMBER(SEARCH('F-COMPRA'!$F$29,Tabla11[[#This Row],[Cuenta]],1))</f>
        <v>1</v>
      </c>
      <c r="K129" t="b">
        <f>+ISNUMBER(SEARCH('F-COMPRA'!$F$30,Tabla11[[#This Row],[Cuenta]],1))</f>
        <v>1</v>
      </c>
      <c r="L129" t="b">
        <f>+ISNUMBER(SEARCH('F-COMPRA'!$F$31,Tabla11[[#This Row],[Cuenta]],1))</f>
        <v>1</v>
      </c>
      <c r="M129" t="b">
        <f>+ISNUMBER(SEARCH('F-COMPRA'!$G$25,Tabla11[[#This Row],[Cuenta]],1))</f>
        <v>0</v>
      </c>
      <c r="N129" t="b">
        <f>+ISNUMBER(SEARCH(#REF!,Tabla11[[#This Row],[Cuenta]],1))</f>
        <v>0</v>
      </c>
      <c r="O129" t="b">
        <f>+ISNUMBER(SEARCH(#REF!,Tabla11[[#This Row],[Cuenta]],1))</f>
        <v>0</v>
      </c>
      <c r="P129" t="b">
        <f>+ISNUMBER(SEARCH('F-COMPRA'!$F$32,Tabla11[[#This Row],[Cuenta]],1))</f>
        <v>1</v>
      </c>
      <c r="Q129" t="b">
        <f>+ISNUMBER(SEARCH('F-COMPRA'!$F$33,Tabla11[[#This Row],[Cuenta]],1))</f>
        <v>1</v>
      </c>
      <c r="R129" t="b">
        <f>+ISNUMBER(SEARCH('F-COMPRA'!$F$34,Tabla11[[#This Row],[Cuenta]],1))</f>
        <v>1</v>
      </c>
      <c r="S129" t="b">
        <f>+ISNUMBER(SEARCH('F-COMPRA'!$F$35,Tabla11[[#This Row],[Cuenta]],1))</f>
        <v>1</v>
      </c>
      <c r="T129" t="b">
        <f>+ISNUMBER(SEARCH('F-COMPRA'!$F$36,Tabla11[[#This Row],[Cuenta]],1))</f>
        <v>1</v>
      </c>
      <c r="U129" t="b">
        <f>+ISNUMBER(SEARCH('F-COMPRA'!$F$37,Tabla11[[#This Row],[Cuenta]],1))</f>
        <v>1</v>
      </c>
      <c r="V129" t="b">
        <f>+ISNUMBER(SEARCH(#REF!,Tabla11[[#This Row],[Cuenta]],1))</f>
        <v>0</v>
      </c>
      <c r="W129" t="b">
        <f>+ISNUMBER(SEARCH('F-COMPRA'!#REF!,Tabla11[[#This Row],[Cuenta]],1))</f>
        <v>0</v>
      </c>
      <c r="X129" t="b">
        <f>+ISNUMBER(SEARCH('F-COMPRA'!#REF!,Tabla11[[#This Row],[Cuenta]],1))</f>
        <v>0</v>
      </c>
      <c r="Y129" t="b">
        <f>+ISNUMBER(SEARCH('F-COMPRA'!#REF!,Tabla11[[#This Row],[Cuenta]],1))</f>
        <v>0</v>
      </c>
      <c r="Z129" t="b">
        <f>+ISNUMBER(SEARCH('F-COMPRA'!#REF!,Tabla11[[#This Row],[Cuenta]],1))</f>
        <v>0</v>
      </c>
      <c r="AA129" t="b">
        <f>+ISNUMBER(SEARCH('F-COMPRA'!#REF!,Tabla11[[#This Row],[Cuenta]],1))</f>
        <v>0</v>
      </c>
      <c r="AB129" t="b">
        <f>+ISNUMBER(SEARCH('F-COMPRA'!#REF!,Tabla11[[#This Row],[Cuenta]],1))</f>
        <v>0</v>
      </c>
      <c r="AC129" t="b">
        <f>+ISNUMBER(SEARCH('F-COMPRA'!#REF!,Tabla11[[#This Row],[Cuenta]],1))</f>
        <v>0</v>
      </c>
      <c r="AD129" t="b">
        <f>+ISNUMBER(SEARCH('F-COMPRA'!#REF!,Tabla11[[#This Row],[Cuenta]],1))</f>
        <v>0</v>
      </c>
      <c r="AE129" t="b">
        <f>+ISNUMBER(SEARCH('F-COMPRA'!#REF!,Tabla11[[#This Row],[Cuenta]],1))</f>
        <v>0</v>
      </c>
      <c r="AF129" t="b">
        <f>+ISNUMBER(SEARCH('F-VTA'!$G$23,Tabla11[[#This Row],[Cuenta]],1))</f>
        <v>0</v>
      </c>
      <c r="AG129" t="b">
        <f>+ISNUMBER(SEARCH('F-VTA'!$G$24,Tabla11[[#This Row],[Cuenta]],1))</f>
        <v>0</v>
      </c>
      <c r="AH129" t="b">
        <f>+ISNUMBER(SEARCH('F-VTA'!$G$25,Tabla11[[#This Row],[Cuenta]],1))</f>
        <v>0</v>
      </c>
      <c r="AI129" t="b">
        <f>+ISNUMBER(SEARCH('F-VTA'!$F$28,Tabla11[[#This Row],[Cuenta]],1))</f>
        <v>1</v>
      </c>
      <c r="AJ129" t="b">
        <f>+ISNUMBER(SEARCH('F-VTA'!$F$29,Tabla11[[#This Row],[Cuenta]],1))</f>
        <v>1</v>
      </c>
      <c r="AK129" t="b">
        <f>+ISNUMBER(SEARCH('F-VTA'!$F$30,Tabla11[[#This Row],[Cuenta]],1))</f>
        <v>1</v>
      </c>
      <c r="AL129" t="b">
        <f>+ISNUMBER(SEARCH('F-VTA'!$F$31,Tabla11[[#This Row],[Cuenta]],1))</f>
        <v>1</v>
      </c>
      <c r="AM129" t="b">
        <f>+ISNUMBER(SEARCH('F-VTA'!$F$32,Tabla11[[#This Row],[Cuenta]],1))</f>
        <v>1</v>
      </c>
      <c r="AN129" t="b">
        <f>+ISNUMBER(SEARCH('F-VTA'!$F$33,Tabla11[[#This Row],[Cuenta]],1))</f>
        <v>1</v>
      </c>
      <c r="AO129" t="b">
        <f>+ISNUMBER(SEARCH('F-VTA'!$F$34,Tabla11[[#This Row],[Cuenta]],1))</f>
        <v>1</v>
      </c>
      <c r="AP129" t="b">
        <f>+ISNUMBER(SEARCH('F-VTA'!$F$35,Tabla11[[#This Row],[Cuenta]],1))</f>
        <v>1</v>
      </c>
      <c r="AQ129" t="b">
        <f>+ISNUMBER(SEARCH('F-VTA'!$F$36,Tabla11[[#This Row],[Cuenta]],1))</f>
        <v>1</v>
      </c>
      <c r="AR129" t="b">
        <f>+ISNUMBER(SEARCH(#REF!,Tabla11[[#This Row],[Cuenta]],1))</f>
        <v>0</v>
      </c>
      <c r="AS129" t="b">
        <f>+ISNUMBER(SEARCH(#REF!,Tabla11[[#This Row],[Cuenta]],1))</f>
        <v>0</v>
      </c>
      <c r="AT129" t="b">
        <f>+ISNUMBER(SEARCH(#REF!,Tabla11[[#This Row],[Cuenta]],1))</f>
        <v>0</v>
      </c>
      <c r="AU129" t="b">
        <f>+ISNUMBER(SEARCH('Conc. Ban.1'!$I$9,Tabla11[[#This Row],[Cuenta]],1))</f>
        <v>0</v>
      </c>
      <c r="AV129" t="b">
        <f>+ISNUMBER(SEARCH(CompConta!$F$21,Tabla11[[#This Row],[Cuenta]],1))</f>
        <v>1</v>
      </c>
      <c r="AW129" t="b">
        <f>+ISNUMBER(SEARCH(CompConta!$F$22,Tabla11[[#This Row],[Cuenta]],1))</f>
        <v>1</v>
      </c>
      <c r="AX129" t="b">
        <f>+ISNUMBER(SEARCH(CompConta!$F$23,Tabla11[[#This Row],[Cuenta]],1))</f>
        <v>1</v>
      </c>
      <c r="AY129" t="b">
        <f>+ISNUMBER(SEARCH(CompConta!$F$24,Tabla11[[#This Row],[Cuenta]],1))</f>
        <v>1</v>
      </c>
      <c r="AZ129" t="b">
        <f>+ISNUMBER(SEARCH(CompConta!$F$25,Tabla11[[#This Row],[Cuenta]],1))</f>
        <v>1</v>
      </c>
      <c r="BA129" t="b">
        <f>+ISNUMBER(SEARCH(CompConta!$F$26,Tabla11[[#This Row],[Cuenta]],1))</f>
        <v>1</v>
      </c>
      <c r="BB129" t="b">
        <f>+ISNUMBER(SEARCH(CompConta!$F$27,Tabla11[[#This Row],[Cuenta]],1))</f>
        <v>1</v>
      </c>
      <c r="BC129" t="b">
        <f>+ISNUMBER(SEARCH(CompConta!$F$28,Tabla11[[#This Row],[Cuenta]],1))</f>
        <v>1</v>
      </c>
      <c r="BD129" t="b">
        <f>+ISNUMBER(SEARCH(CompConta!$F$29,Tabla11[[#This Row],[Cuenta]],1))</f>
        <v>1</v>
      </c>
      <c r="BE129" t="b">
        <f>+ISNUMBER(SEARCH(CompConta!$F$30,Tabla11[[#This Row],[Cuenta]],1))</f>
        <v>1</v>
      </c>
      <c r="BF129" t="b">
        <f>+ISNUMBER(SEARCH('PAGO Compras'!$E$11,Tabla11[[#This Row],[Cuenta]],1))</f>
        <v>1</v>
      </c>
      <c r="BG129" t="b">
        <f>+ISNUMBER(SEARCH(#REF!,Tabla11[[#This Row],[Cuenta]],1))</f>
        <v>0</v>
      </c>
      <c r="BH129" t="b">
        <f>+ISNUMBER(SEARCH(#REF!,Tabla11[[#This Row],[Cuenta]],1))</f>
        <v>0</v>
      </c>
      <c r="BI129" t="b">
        <f>+ISNUMBER(SEARCH(#REF!,Tabla11[[#This Row],[Cuenta]],1))</f>
        <v>0</v>
      </c>
      <c r="BJ129" t="b">
        <f>+ISNUMBER(SEARCH(#REF!,Tabla11[[#This Row],[Cuenta]],1))</f>
        <v>0</v>
      </c>
      <c r="BS129" t="str">
        <v>151645 Casetas y campamentos</v>
      </c>
      <c r="BT129" t="str">
        <v>151645 Casetas y campamentos</v>
      </c>
      <c r="BU129" t="str">
        <v>151645 Casetas y campamentos</v>
      </c>
      <c r="BV129" t="str">
        <v>151645 Casetas y campamentos</v>
      </c>
      <c r="BZ129" t="str">
        <v>151645 Casetas y campamentos</v>
      </c>
      <c r="CA129" t="str">
        <v>151645 Casetas y campamentos</v>
      </c>
      <c r="CB129" t="str">
        <v>151645 Casetas y campamentos</v>
      </c>
      <c r="CC129" t="str">
        <v>151645 Casetas y campamentos</v>
      </c>
      <c r="CD129" t="str">
        <v>151645 Casetas y campamentos</v>
      </c>
      <c r="CE129" t="str">
        <v>151645 Casetas y campamentos</v>
      </c>
      <c r="CS129" s="141" t="str">
        <v>151645 Casetas y campamentos</v>
      </c>
      <c r="CT129" s="141" t="str">
        <v>151645 Casetas y campamentos</v>
      </c>
      <c r="CU129" s="141" t="str">
        <v>151645 Casetas y campamentos</v>
      </c>
      <c r="CV129" s="141" t="str">
        <v>151645 Casetas y campamentos</v>
      </c>
      <c r="CW129" s="141" t="str">
        <v>151645 Casetas y campamentos</v>
      </c>
      <c r="CX129" s="141" t="str">
        <v>151645 Casetas y campamentos</v>
      </c>
      <c r="CY129" s="141" t="str">
        <v>151645 Casetas y campamentos</v>
      </c>
      <c r="CZ129" s="141" t="str">
        <v>151645 Casetas y campamentos</v>
      </c>
      <c r="DA129" s="141" t="str">
        <v>151645 Casetas y campamentos</v>
      </c>
      <c r="DF129" t="str">
        <v>151645 Casetas y campamentos</v>
      </c>
      <c r="DG129" t="str">
        <v>151645 Casetas y campamentos</v>
      </c>
      <c r="DH129" t="str">
        <v>151645 Casetas y campamentos</v>
      </c>
      <c r="DI129" t="str">
        <v>151645 Casetas y campamentos</v>
      </c>
      <c r="DJ129" t="str">
        <v>151645 Casetas y campamentos</v>
      </c>
      <c r="DK129" t="str">
        <v>151645 Casetas y campamentos</v>
      </c>
      <c r="DL129" t="str">
        <v>151645 Casetas y campamentos</v>
      </c>
      <c r="DM129" t="str">
        <v>151645 Casetas y campamentos</v>
      </c>
      <c r="DN129" t="str">
        <v>151645 Casetas y campamentos</v>
      </c>
      <c r="DO129" t="str">
        <v>151645 Casetas y campamentos</v>
      </c>
      <c r="DP129" t="str">
        <v>151645 Casetas y campamentos</v>
      </c>
    </row>
    <row r="130" spans="4:120" ht="12.75">
      <c r="D130" s="7">
        <v>151650</v>
      </c>
      <c r="E130" s="6" t="s">
        <v>148</v>
      </c>
      <c r="F130" s="5">
        <v>4</v>
      </c>
      <c r="G130" s="34" t="s">
        <v>822</v>
      </c>
      <c r="H130" s="8" t="s">
        <v>32</v>
      </c>
      <c r="I130" t="b">
        <f>+ISNUMBER(SEARCH('F-COMPRA'!$F$28,Tabla11[[#This Row],[Cuenta]],1))</f>
        <v>1</v>
      </c>
      <c r="J130" t="b">
        <f>+ISNUMBER(SEARCH('F-COMPRA'!$F$29,Tabla11[[#This Row],[Cuenta]],1))</f>
        <v>1</v>
      </c>
      <c r="K130" t="b">
        <f>+ISNUMBER(SEARCH('F-COMPRA'!$F$30,Tabla11[[#This Row],[Cuenta]],1))</f>
        <v>1</v>
      </c>
      <c r="L130" t="b">
        <f>+ISNUMBER(SEARCH('F-COMPRA'!$F$31,Tabla11[[#This Row],[Cuenta]],1))</f>
        <v>1</v>
      </c>
      <c r="M130" t="b">
        <f>+ISNUMBER(SEARCH('F-COMPRA'!$G$25,Tabla11[[#This Row],[Cuenta]],1))</f>
        <v>0</v>
      </c>
      <c r="N130" t="b">
        <f>+ISNUMBER(SEARCH(#REF!,Tabla11[[#This Row],[Cuenta]],1))</f>
        <v>0</v>
      </c>
      <c r="O130" t="b">
        <f>+ISNUMBER(SEARCH(#REF!,Tabla11[[#This Row],[Cuenta]],1))</f>
        <v>0</v>
      </c>
      <c r="P130" t="b">
        <f>+ISNUMBER(SEARCH('F-COMPRA'!$F$32,Tabla11[[#This Row],[Cuenta]],1))</f>
        <v>1</v>
      </c>
      <c r="Q130" t="b">
        <f>+ISNUMBER(SEARCH('F-COMPRA'!$F$33,Tabla11[[#This Row],[Cuenta]],1))</f>
        <v>1</v>
      </c>
      <c r="R130" t="b">
        <f>+ISNUMBER(SEARCH('F-COMPRA'!$F$34,Tabla11[[#This Row],[Cuenta]],1))</f>
        <v>1</v>
      </c>
      <c r="S130" t="b">
        <f>+ISNUMBER(SEARCH('F-COMPRA'!$F$35,Tabla11[[#This Row],[Cuenta]],1))</f>
        <v>1</v>
      </c>
      <c r="T130" t="b">
        <f>+ISNUMBER(SEARCH('F-COMPRA'!$F$36,Tabla11[[#This Row],[Cuenta]],1))</f>
        <v>1</v>
      </c>
      <c r="U130" t="b">
        <f>+ISNUMBER(SEARCH('F-COMPRA'!$F$37,Tabla11[[#This Row],[Cuenta]],1))</f>
        <v>1</v>
      </c>
      <c r="V130" t="b">
        <f>+ISNUMBER(SEARCH(#REF!,Tabla11[[#This Row],[Cuenta]],1))</f>
        <v>0</v>
      </c>
      <c r="W130" t="b">
        <f>+ISNUMBER(SEARCH('F-COMPRA'!#REF!,Tabla11[[#This Row],[Cuenta]],1))</f>
        <v>0</v>
      </c>
      <c r="X130" t="b">
        <f>+ISNUMBER(SEARCH('F-COMPRA'!#REF!,Tabla11[[#This Row],[Cuenta]],1))</f>
        <v>0</v>
      </c>
      <c r="Y130" t="b">
        <f>+ISNUMBER(SEARCH('F-COMPRA'!#REF!,Tabla11[[#This Row],[Cuenta]],1))</f>
        <v>0</v>
      </c>
      <c r="Z130" t="b">
        <f>+ISNUMBER(SEARCH('F-COMPRA'!#REF!,Tabla11[[#This Row],[Cuenta]],1))</f>
        <v>0</v>
      </c>
      <c r="AA130" t="b">
        <f>+ISNUMBER(SEARCH('F-COMPRA'!#REF!,Tabla11[[#This Row],[Cuenta]],1))</f>
        <v>0</v>
      </c>
      <c r="AB130" t="b">
        <f>+ISNUMBER(SEARCH('F-COMPRA'!#REF!,Tabla11[[#This Row],[Cuenta]],1))</f>
        <v>0</v>
      </c>
      <c r="AC130" t="b">
        <f>+ISNUMBER(SEARCH('F-COMPRA'!#REF!,Tabla11[[#This Row],[Cuenta]],1))</f>
        <v>0</v>
      </c>
      <c r="AD130" t="b">
        <f>+ISNUMBER(SEARCH('F-COMPRA'!#REF!,Tabla11[[#This Row],[Cuenta]],1))</f>
        <v>0</v>
      </c>
      <c r="AE130" t="b">
        <f>+ISNUMBER(SEARCH('F-COMPRA'!#REF!,Tabla11[[#This Row],[Cuenta]],1))</f>
        <v>0</v>
      </c>
      <c r="AF130" t="b">
        <f>+ISNUMBER(SEARCH('F-VTA'!$G$23,Tabla11[[#This Row],[Cuenta]],1))</f>
        <v>0</v>
      </c>
      <c r="AG130" t="b">
        <f>+ISNUMBER(SEARCH('F-VTA'!$G$24,Tabla11[[#This Row],[Cuenta]],1))</f>
        <v>0</v>
      </c>
      <c r="AH130" t="b">
        <f>+ISNUMBER(SEARCH('F-VTA'!$G$25,Tabla11[[#This Row],[Cuenta]],1))</f>
        <v>0</v>
      </c>
      <c r="AI130" t="b">
        <f>+ISNUMBER(SEARCH('F-VTA'!$F$28,Tabla11[[#This Row],[Cuenta]],1))</f>
        <v>1</v>
      </c>
      <c r="AJ130" t="b">
        <f>+ISNUMBER(SEARCH('F-VTA'!$F$29,Tabla11[[#This Row],[Cuenta]],1))</f>
        <v>1</v>
      </c>
      <c r="AK130" t="b">
        <f>+ISNUMBER(SEARCH('F-VTA'!$F$30,Tabla11[[#This Row],[Cuenta]],1))</f>
        <v>1</v>
      </c>
      <c r="AL130" t="b">
        <f>+ISNUMBER(SEARCH('F-VTA'!$F$31,Tabla11[[#This Row],[Cuenta]],1))</f>
        <v>1</v>
      </c>
      <c r="AM130" t="b">
        <f>+ISNUMBER(SEARCH('F-VTA'!$F$32,Tabla11[[#This Row],[Cuenta]],1))</f>
        <v>1</v>
      </c>
      <c r="AN130" t="b">
        <f>+ISNUMBER(SEARCH('F-VTA'!$F$33,Tabla11[[#This Row],[Cuenta]],1))</f>
        <v>1</v>
      </c>
      <c r="AO130" t="b">
        <f>+ISNUMBER(SEARCH('F-VTA'!$F$34,Tabla11[[#This Row],[Cuenta]],1))</f>
        <v>1</v>
      </c>
      <c r="AP130" t="b">
        <f>+ISNUMBER(SEARCH('F-VTA'!$F$35,Tabla11[[#This Row],[Cuenta]],1))</f>
        <v>1</v>
      </c>
      <c r="AQ130" t="b">
        <f>+ISNUMBER(SEARCH('F-VTA'!$F$36,Tabla11[[#This Row],[Cuenta]],1))</f>
        <v>1</v>
      </c>
      <c r="AR130" t="b">
        <f>+ISNUMBER(SEARCH(#REF!,Tabla11[[#This Row],[Cuenta]],1))</f>
        <v>0</v>
      </c>
      <c r="AS130" t="b">
        <f>+ISNUMBER(SEARCH(#REF!,Tabla11[[#This Row],[Cuenta]],1))</f>
        <v>0</v>
      </c>
      <c r="AT130" t="b">
        <f>+ISNUMBER(SEARCH(#REF!,Tabla11[[#This Row],[Cuenta]],1))</f>
        <v>0</v>
      </c>
      <c r="AU130" t="b">
        <f>+ISNUMBER(SEARCH('Conc. Ban.1'!$I$9,Tabla11[[#This Row],[Cuenta]],1))</f>
        <v>0</v>
      </c>
      <c r="AV130" t="b">
        <f>+ISNUMBER(SEARCH(CompConta!$F$21,Tabla11[[#This Row],[Cuenta]],1))</f>
        <v>1</v>
      </c>
      <c r="AW130" t="b">
        <f>+ISNUMBER(SEARCH(CompConta!$F$22,Tabla11[[#This Row],[Cuenta]],1))</f>
        <v>1</v>
      </c>
      <c r="AX130" t="b">
        <f>+ISNUMBER(SEARCH(CompConta!$F$23,Tabla11[[#This Row],[Cuenta]],1))</f>
        <v>1</v>
      </c>
      <c r="AY130" t="b">
        <f>+ISNUMBER(SEARCH(CompConta!$F$24,Tabla11[[#This Row],[Cuenta]],1))</f>
        <v>1</v>
      </c>
      <c r="AZ130" t="b">
        <f>+ISNUMBER(SEARCH(CompConta!$F$25,Tabla11[[#This Row],[Cuenta]],1))</f>
        <v>1</v>
      </c>
      <c r="BA130" t="b">
        <f>+ISNUMBER(SEARCH(CompConta!$F$26,Tabla11[[#This Row],[Cuenta]],1))</f>
        <v>1</v>
      </c>
      <c r="BB130" t="b">
        <f>+ISNUMBER(SEARCH(CompConta!$F$27,Tabla11[[#This Row],[Cuenta]],1))</f>
        <v>1</v>
      </c>
      <c r="BC130" t="b">
        <f>+ISNUMBER(SEARCH(CompConta!$F$28,Tabla11[[#This Row],[Cuenta]],1))</f>
        <v>1</v>
      </c>
      <c r="BD130" t="b">
        <f>+ISNUMBER(SEARCH(CompConta!$F$29,Tabla11[[#This Row],[Cuenta]],1))</f>
        <v>1</v>
      </c>
      <c r="BE130" t="b">
        <f>+ISNUMBER(SEARCH(CompConta!$F$30,Tabla11[[#This Row],[Cuenta]],1))</f>
        <v>1</v>
      </c>
      <c r="BF130" t="b">
        <f>+ISNUMBER(SEARCH('PAGO Compras'!$E$11,Tabla11[[#This Row],[Cuenta]],1))</f>
        <v>1</v>
      </c>
      <c r="BG130" t="b">
        <f>+ISNUMBER(SEARCH(#REF!,Tabla11[[#This Row],[Cuenta]],1))</f>
        <v>0</v>
      </c>
      <c r="BH130" t="b">
        <f>+ISNUMBER(SEARCH(#REF!,Tabla11[[#This Row],[Cuenta]],1))</f>
        <v>0</v>
      </c>
      <c r="BI130" t="b">
        <f>+ISNUMBER(SEARCH(#REF!,Tabla11[[#This Row],[Cuenta]],1))</f>
        <v>0</v>
      </c>
      <c r="BJ130" t="b">
        <f>+ISNUMBER(SEARCH(#REF!,Tabla11[[#This Row],[Cuenta]],1))</f>
        <v>0</v>
      </c>
      <c r="BS130" t="str">
        <v>151650 Instalaciones agropecuarias</v>
      </c>
      <c r="BT130" t="str">
        <v>151650 Instalaciones agropecuarias</v>
      </c>
      <c r="BU130" t="str">
        <v>151650 Instalaciones agropecuarias</v>
      </c>
      <c r="BV130" t="str">
        <v>151650 Instalaciones agropecuarias</v>
      </c>
      <c r="BZ130" t="str">
        <v>151650 Instalaciones agropecuarias</v>
      </c>
      <c r="CA130" t="str">
        <v>151650 Instalaciones agropecuarias</v>
      </c>
      <c r="CB130" t="str">
        <v>151650 Instalaciones agropecuarias</v>
      </c>
      <c r="CC130" t="str">
        <v>151650 Instalaciones agropecuarias</v>
      </c>
      <c r="CD130" t="str">
        <v>151650 Instalaciones agropecuarias</v>
      </c>
      <c r="CE130" t="str">
        <v>151650 Instalaciones agropecuarias</v>
      </c>
      <c r="CS130" s="141" t="str">
        <v>151650 Instalaciones agropecuarias</v>
      </c>
      <c r="CT130" s="141" t="str">
        <v>151650 Instalaciones agropecuarias</v>
      </c>
      <c r="CU130" s="141" t="str">
        <v>151650 Instalaciones agropecuarias</v>
      </c>
      <c r="CV130" s="141" t="str">
        <v>151650 Instalaciones agropecuarias</v>
      </c>
      <c r="CW130" s="141" t="str">
        <v>151650 Instalaciones agropecuarias</v>
      </c>
      <c r="CX130" s="141" t="str">
        <v>151650 Instalaciones agropecuarias</v>
      </c>
      <c r="CY130" s="141" t="str">
        <v>151650 Instalaciones agropecuarias</v>
      </c>
      <c r="CZ130" s="141" t="str">
        <v>151650 Instalaciones agropecuarias</v>
      </c>
      <c r="DA130" s="141" t="str">
        <v>151650 Instalaciones agropecuarias</v>
      </c>
      <c r="DF130" t="str">
        <v>151650 Instalaciones agropecuarias</v>
      </c>
      <c r="DG130" t="str">
        <v>151650 Instalaciones agropecuarias</v>
      </c>
      <c r="DH130" t="str">
        <v>151650 Instalaciones agropecuarias</v>
      </c>
      <c r="DI130" t="str">
        <v>151650 Instalaciones agropecuarias</v>
      </c>
      <c r="DJ130" t="str">
        <v>151650 Instalaciones agropecuarias</v>
      </c>
      <c r="DK130" t="str">
        <v>151650 Instalaciones agropecuarias</v>
      </c>
      <c r="DL130" t="str">
        <v>151650 Instalaciones agropecuarias</v>
      </c>
      <c r="DM130" t="str">
        <v>151650 Instalaciones agropecuarias</v>
      </c>
      <c r="DN130" t="str">
        <v>151650 Instalaciones agropecuarias</v>
      </c>
      <c r="DO130" t="str">
        <v>151650 Instalaciones agropecuarias</v>
      </c>
      <c r="DP130" t="str">
        <v>151650 Instalaciones agropecuarias</v>
      </c>
    </row>
    <row r="131" spans="4:120" ht="12.75">
      <c r="D131" s="7">
        <v>151655</v>
      </c>
      <c r="E131" s="6" t="s">
        <v>149</v>
      </c>
      <c r="F131" s="5">
        <v>4</v>
      </c>
      <c r="G131" s="34" t="s">
        <v>822</v>
      </c>
      <c r="H131" s="8" t="s">
        <v>32</v>
      </c>
      <c r="I131" t="b">
        <f>+ISNUMBER(SEARCH('F-COMPRA'!$F$28,Tabla11[[#This Row],[Cuenta]],1))</f>
        <v>1</v>
      </c>
      <c r="J131" t="b">
        <f>+ISNUMBER(SEARCH('F-COMPRA'!$F$29,Tabla11[[#This Row],[Cuenta]],1))</f>
        <v>1</v>
      </c>
      <c r="K131" t="b">
        <f>+ISNUMBER(SEARCH('F-COMPRA'!$F$30,Tabla11[[#This Row],[Cuenta]],1))</f>
        <v>1</v>
      </c>
      <c r="L131" t="b">
        <f>+ISNUMBER(SEARCH('F-COMPRA'!$F$31,Tabla11[[#This Row],[Cuenta]],1))</f>
        <v>1</v>
      </c>
      <c r="M131" t="b">
        <f>+ISNUMBER(SEARCH('F-COMPRA'!$G$25,Tabla11[[#This Row],[Cuenta]],1))</f>
        <v>0</v>
      </c>
      <c r="N131" t="b">
        <f>+ISNUMBER(SEARCH(#REF!,Tabla11[[#This Row],[Cuenta]],1))</f>
        <v>0</v>
      </c>
      <c r="O131" t="b">
        <f>+ISNUMBER(SEARCH(#REF!,Tabla11[[#This Row],[Cuenta]],1))</f>
        <v>0</v>
      </c>
      <c r="P131" t="b">
        <f>+ISNUMBER(SEARCH('F-COMPRA'!$F$32,Tabla11[[#This Row],[Cuenta]],1))</f>
        <v>1</v>
      </c>
      <c r="Q131" t="b">
        <f>+ISNUMBER(SEARCH('F-COMPRA'!$F$33,Tabla11[[#This Row],[Cuenta]],1))</f>
        <v>1</v>
      </c>
      <c r="R131" t="b">
        <f>+ISNUMBER(SEARCH('F-COMPRA'!$F$34,Tabla11[[#This Row],[Cuenta]],1))</f>
        <v>1</v>
      </c>
      <c r="S131" t="b">
        <f>+ISNUMBER(SEARCH('F-COMPRA'!$F$35,Tabla11[[#This Row],[Cuenta]],1))</f>
        <v>1</v>
      </c>
      <c r="T131" t="b">
        <f>+ISNUMBER(SEARCH('F-COMPRA'!$F$36,Tabla11[[#This Row],[Cuenta]],1))</f>
        <v>1</v>
      </c>
      <c r="U131" t="b">
        <f>+ISNUMBER(SEARCH('F-COMPRA'!$F$37,Tabla11[[#This Row],[Cuenta]],1))</f>
        <v>1</v>
      </c>
      <c r="V131" t="b">
        <f>+ISNUMBER(SEARCH(#REF!,Tabla11[[#This Row],[Cuenta]],1))</f>
        <v>0</v>
      </c>
      <c r="W131" t="b">
        <f>+ISNUMBER(SEARCH('F-COMPRA'!#REF!,Tabla11[[#This Row],[Cuenta]],1))</f>
        <v>0</v>
      </c>
      <c r="X131" t="b">
        <f>+ISNUMBER(SEARCH('F-COMPRA'!#REF!,Tabla11[[#This Row],[Cuenta]],1))</f>
        <v>0</v>
      </c>
      <c r="Y131" t="b">
        <f>+ISNUMBER(SEARCH('F-COMPRA'!#REF!,Tabla11[[#This Row],[Cuenta]],1))</f>
        <v>0</v>
      </c>
      <c r="Z131" t="b">
        <f>+ISNUMBER(SEARCH('F-COMPRA'!#REF!,Tabla11[[#This Row],[Cuenta]],1))</f>
        <v>0</v>
      </c>
      <c r="AA131" t="b">
        <f>+ISNUMBER(SEARCH('F-COMPRA'!#REF!,Tabla11[[#This Row],[Cuenta]],1))</f>
        <v>0</v>
      </c>
      <c r="AB131" t="b">
        <f>+ISNUMBER(SEARCH('F-COMPRA'!#REF!,Tabla11[[#This Row],[Cuenta]],1))</f>
        <v>0</v>
      </c>
      <c r="AC131" t="b">
        <f>+ISNUMBER(SEARCH('F-COMPRA'!#REF!,Tabla11[[#This Row],[Cuenta]],1))</f>
        <v>0</v>
      </c>
      <c r="AD131" t="b">
        <f>+ISNUMBER(SEARCH('F-COMPRA'!#REF!,Tabla11[[#This Row],[Cuenta]],1))</f>
        <v>0</v>
      </c>
      <c r="AE131" t="b">
        <f>+ISNUMBER(SEARCH('F-COMPRA'!#REF!,Tabla11[[#This Row],[Cuenta]],1))</f>
        <v>0</v>
      </c>
      <c r="AF131" t="b">
        <f>+ISNUMBER(SEARCH('F-VTA'!$G$23,Tabla11[[#This Row],[Cuenta]],1))</f>
        <v>0</v>
      </c>
      <c r="AG131" t="b">
        <f>+ISNUMBER(SEARCH('F-VTA'!$G$24,Tabla11[[#This Row],[Cuenta]],1))</f>
        <v>0</v>
      </c>
      <c r="AH131" t="b">
        <f>+ISNUMBER(SEARCH('F-VTA'!$G$25,Tabla11[[#This Row],[Cuenta]],1))</f>
        <v>0</v>
      </c>
      <c r="AI131" t="b">
        <f>+ISNUMBER(SEARCH('F-VTA'!$F$28,Tabla11[[#This Row],[Cuenta]],1))</f>
        <v>1</v>
      </c>
      <c r="AJ131" t="b">
        <f>+ISNUMBER(SEARCH('F-VTA'!$F$29,Tabla11[[#This Row],[Cuenta]],1))</f>
        <v>1</v>
      </c>
      <c r="AK131" t="b">
        <f>+ISNUMBER(SEARCH('F-VTA'!$F$30,Tabla11[[#This Row],[Cuenta]],1))</f>
        <v>1</v>
      </c>
      <c r="AL131" t="b">
        <f>+ISNUMBER(SEARCH('F-VTA'!$F$31,Tabla11[[#This Row],[Cuenta]],1))</f>
        <v>1</v>
      </c>
      <c r="AM131" t="b">
        <f>+ISNUMBER(SEARCH('F-VTA'!$F$32,Tabla11[[#This Row],[Cuenta]],1))</f>
        <v>1</v>
      </c>
      <c r="AN131" t="b">
        <f>+ISNUMBER(SEARCH('F-VTA'!$F$33,Tabla11[[#This Row],[Cuenta]],1))</f>
        <v>1</v>
      </c>
      <c r="AO131" t="b">
        <f>+ISNUMBER(SEARCH('F-VTA'!$F$34,Tabla11[[#This Row],[Cuenta]],1))</f>
        <v>1</v>
      </c>
      <c r="AP131" t="b">
        <f>+ISNUMBER(SEARCH('F-VTA'!$F$35,Tabla11[[#This Row],[Cuenta]],1))</f>
        <v>1</v>
      </c>
      <c r="AQ131" t="b">
        <f>+ISNUMBER(SEARCH('F-VTA'!$F$36,Tabla11[[#This Row],[Cuenta]],1))</f>
        <v>1</v>
      </c>
      <c r="AR131" t="b">
        <f>+ISNUMBER(SEARCH(#REF!,Tabla11[[#This Row],[Cuenta]],1))</f>
        <v>0</v>
      </c>
      <c r="AS131" t="b">
        <f>+ISNUMBER(SEARCH(#REF!,Tabla11[[#This Row],[Cuenta]],1))</f>
        <v>0</v>
      </c>
      <c r="AT131" t="b">
        <f>+ISNUMBER(SEARCH(#REF!,Tabla11[[#This Row],[Cuenta]],1))</f>
        <v>0</v>
      </c>
      <c r="AU131" t="b">
        <f>+ISNUMBER(SEARCH('Conc. Ban.1'!$I$9,Tabla11[[#This Row],[Cuenta]],1))</f>
        <v>0</v>
      </c>
      <c r="AV131" t="b">
        <f>+ISNUMBER(SEARCH(CompConta!$F$21,Tabla11[[#This Row],[Cuenta]],1))</f>
        <v>1</v>
      </c>
      <c r="AW131" t="b">
        <f>+ISNUMBER(SEARCH(CompConta!$F$22,Tabla11[[#This Row],[Cuenta]],1))</f>
        <v>1</v>
      </c>
      <c r="AX131" t="b">
        <f>+ISNUMBER(SEARCH(CompConta!$F$23,Tabla11[[#This Row],[Cuenta]],1))</f>
        <v>1</v>
      </c>
      <c r="AY131" t="b">
        <f>+ISNUMBER(SEARCH(CompConta!$F$24,Tabla11[[#This Row],[Cuenta]],1))</f>
        <v>1</v>
      </c>
      <c r="AZ131" t="b">
        <f>+ISNUMBER(SEARCH(CompConta!$F$25,Tabla11[[#This Row],[Cuenta]],1))</f>
        <v>1</v>
      </c>
      <c r="BA131" t="b">
        <f>+ISNUMBER(SEARCH(CompConta!$F$26,Tabla11[[#This Row],[Cuenta]],1))</f>
        <v>1</v>
      </c>
      <c r="BB131" t="b">
        <f>+ISNUMBER(SEARCH(CompConta!$F$27,Tabla11[[#This Row],[Cuenta]],1))</f>
        <v>1</v>
      </c>
      <c r="BC131" t="b">
        <f>+ISNUMBER(SEARCH(CompConta!$F$28,Tabla11[[#This Row],[Cuenta]],1))</f>
        <v>1</v>
      </c>
      <c r="BD131" t="b">
        <f>+ISNUMBER(SEARCH(CompConta!$F$29,Tabla11[[#This Row],[Cuenta]],1))</f>
        <v>1</v>
      </c>
      <c r="BE131" t="b">
        <f>+ISNUMBER(SEARCH(CompConta!$F$30,Tabla11[[#This Row],[Cuenta]],1))</f>
        <v>1</v>
      </c>
      <c r="BF131" t="b">
        <f>+ISNUMBER(SEARCH('PAGO Compras'!$E$11,Tabla11[[#This Row],[Cuenta]],1))</f>
        <v>1</v>
      </c>
      <c r="BG131" t="b">
        <f>+ISNUMBER(SEARCH(#REF!,Tabla11[[#This Row],[Cuenta]],1))</f>
        <v>0</v>
      </c>
      <c r="BH131" t="b">
        <f>+ISNUMBER(SEARCH(#REF!,Tabla11[[#This Row],[Cuenta]],1))</f>
        <v>0</v>
      </c>
      <c r="BI131" t="b">
        <f>+ISNUMBER(SEARCH(#REF!,Tabla11[[#This Row],[Cuenta]],1))</f>
        <v>0</v>
      </c>
      <c r="BJ131" t="b">
        <f>+ISNUMBER(SEARCH(#REF!,Tabla11[[#This Row],[Cuenta]],1))</f>
        <v>0</v>
      </c>
      <c r="BS131" t="str">
        <v>151655 Viviendas para empleados y obreros</v>
      </c>
      <c r="BT131" t="str">
        <v>151655 Viviendas para empleados y obreros</v>
      </c>
      <c r="BU131" t="str">
        <v>151655 Viviendas para empleados y obreros</v>
      </c>
      <c r="BV131" t="str">
        <v>151655 Viviendas para empleados y obreros</v>
      </c>
      <c r="BZ131" t="str">
        <v>151655 Viviendas para empleados y obreros</v>
      </c>
      <c r="CA131" t="str">
        <v>151655 Viviendas para empleados y obreros</v>
      </c>
      <c r="CB131" t="str">
        <v>151655 Viviendas para empleados y obreros</v>
      </c>
      <c r="CC131" t="str">
        <v>151655 Viviendas para empleados y obreros</v>
      </c>
      <c r="CD131" t="str">
        <v>151655 Viviendas para empleados y obreros</v>
      </c>
      <c r="CE131" t="str">
        <v>151655 Viviendas para empleados y obreros</v>
      </c>
      <c r="CS131" s="141" t="str">
        <v>151655 Viviendas para empleados y obreros</v>
      </c>
      <c r="CT131" s="141" t="str">
        <v>151655 Viviendas para empleados y obreros</v>
      </c>
      <c r="CU131" s="141" t="str">
        <v>151655 Viviendas para empleados y obreros</v>
      </c>
      <c r="CV131" s="141" t="str">
        <v>151655 Viviendas para empleados y obreros</v>
      </c>
      <c r="CW131" s="141" t="str">
        <v>151655 Viviendas para empleados y obreros</v>
      </c>
      <c r="CX131" s="141" t="str">
        <v>151655 Viviendas para empleados y obreros</v>
      </c>
      <c r="CY131" s="141" t="str">
        <v>151655 Viviendas para empleados y obreros</v>
      </c>
      <c r="CZ131" s="141" t="str">
        <v>151655 Viviendas para empleados y obreros</v>
      </c>
      <c r="DA131" s="141" t="str">
        <v>151655 Viviendas para empleados y obreros</v>
      </c>
      <c r="DF131" t="str">
        <v>151655 Viviendas para empleados y obreros</v>
      </c>
      <c r="DG131" t="str">
        <v>151655 Viviendas para empleados y obreros</v>
      </c>
      <c r="DH131" t="str">
        <v>151655 Viviendas para empleados y obreros</v>
      </c>
      <c r="DI131" t="str">
        <v>151655 Viviendas para empleados y obreros</v>
      </c>
      <c r="DJ131" t="str">
        <v>151655 Viviendas para empleados y obreros</v>
      </c>
      <c r="DK131" t="str">
        <v>151655 Viviendas para empleados y obreros</v>
      </c>
      <c r="DL131" t="str">
        <v>151655 Viviendas para empleados y obreros</v>
      </c>
      <c r="DM131" t="str">
        <v>151655 Viviendas para empleados y obreros</v>
      </c>
      <c r="DN131" t="str">
        <v>151655 Viviendas para empleados y obreros</v>
      </c>
      <c r="DO131" t="str">
        <v>151655 Viviendas para empleados y obreros</v>
      </c>
      <c r="DP131" t="str">
        <v>151655 Viviendas para empleados y obreros</v>
      </c>
    </row>
    <row r="132" spans="4:120" ht="12.75">
      <c r="D132" s="7">
        <v>151660</v>
      </c>
      <c r="E132" s="6" t="s">
        <v>150</v>
      </c>
      <c r="F132" s="5">
        <v>4</v>
      </c>
      <c r="G132" s="34" t="s">
        <v>822</v>
      </c>
      <c r="H132" s="8" t="s">
        <v>32</v>
      </c>
      <c r="I132" t="b">
        <f>+ISNUMBER(SEARCH('F-COMPRA'!$F$28,Tabla11[[#This Row],[Cuenta]],1))</f>
        <v>1</v>
      </c>
      <c r="J132" t="b">
        <f>+ISNUMBER(SEARCH('F-COMPRA'!$F$29,Tabla11[[#This Row],[Cuenta]],1))</f>
        <v>1</v>
      </c>
      <c r="K132" t="b">
        <f>+ISNUMBER(SEARCH('F-COMPRA'!$F$30,Tabla11[[#This Row],[Cuenta]],1))</f>
        <v>1</v>
      </c>
      <c r="L132" t="b">
        <f>+ISNUMBER(SEARCH('F-COMPRA'!$F$31,Tabla11[[#This Row],[Cuenta]],1))</f>
        <v>1</v>
      </c>
      <c r="M132" t="b">
        <f>+ISNUMBER(SEARCH('F-COMPRA'!$G$25,Tabla11[[#This Row],[Cuenta]],1))</f>
        <v>0</v>
      </c>
      <c r="N132" t="b">
        <f>+ISNUMBER(SEARCH(#REF!,Tabla11[[#This Row],[Cuenta]],1))</f>
        <v>0</v>
      </c>
      <c r="O132" t="b">
        <f>+ISNUMBER(SEARCH(#REF!,Tabla11[[#This Row],[Cuenta]],1))</f>
        <v>0</v>
      </c>
      <c r="P132" t="b">
        <f>+ISNUMBER(SEARCH('F-COMPRA'!$F$32,Tabla11[[#This Row],[Cuenta]],1))</f>
        <v>1</v>
      </c>
      <c r="Q132" t="b">
        <f>+ISNUMBER(SEARCH('F-COMPRA'!$F$33,Tabla11[[#This Row],[Cuenta]],1))</f>
        <v>1</v>
      </c>
      <c r="R132" t="b">
        <f>+ISNUMBER(SEARCH('F-COMPRA'!$F$34,Tabla11[[#This Row],[Cuenta]],1))</f>
        <v>1</v>
      </c>
      <c r="S132" t="b">
        <f>+ISNUMBER(SEARCH('F-COMPRA'!$F$35,Tabla11[[#This Row],[Cuenta]],1))</f>
        <v>1</v>
      </c>
      <c r="T132" t="b">
        <f>+ISNUMBER(SEARCH('F-COMPRA'!$F$36,Tabla11[[#This Row],[Cuenta]],1))</f>
        <v>1</v>
      </c>
      <c r="U132" t="b">
        <f>+ISNUMBER(SEARCH('F-COMPRA'!$F$37,Tabla11[[#This Row],[Cuenta]],1))</f>
        <v>1</v>
      </c>
      <c r="V132" t="b">
        <f>+ISNUMBER(SEARCH(#REF!,Tabla11[[#This Row],[Cuenta]],1))</f>
        <v>0</v>
      </c>
      <c r="W132" t="b">
        <f>+ISNUMBER(SEARCH('F-COMPRA'!#REF!,Tabla11[[#This Row],[Cuenta]],1))</f>
        <v>0</v>
      </c>
      <c r="X132" t="b">
        <f>+ISNUMBER(SEARCH('F-COMPRA'!#REF!,Tabla11[[#This Row],[Cuenta]],1))</f>
        <v>0</v>
      </c>
      <c r="Y132" t="b">
        <f>+ISNUMBER(SEARCH('F-COMPRA'!#REF!,Tabla11[[#This Row],[Cuenta]],1))</f>
        <v>0</v>
      </c>
      <c r="Z132" t="b">
        <f>+ISNUMBER(SEARCH('F-COMPRA'!#REF!,Tabla11[[#This Row],[Cuenta]],1))</f>
        <v>0</v>
      </c>
      <c r="AA132" t="b">
        <f>+ISNUMBER(SEARCH('F-COMPRA'!#REF!,Tabla11[[#This Row],[Cuenta]],1))</f>
        <v>0</v>
      </c>
      <c r="AB132" t="b">
        <f>+ISNUMBER(SEARCH('F-COMPRA'!#REF!,Tabla11[[#This Row],[Cuenta]],1))</f>
        <v>0</v>
      </c>
      <c r="AC132" t="b">
        <f>+ISNUMBER(SEARCH('F-COMPRA'!#REF!,Tabla11[[#This Row],[Cuenta]],1))</f>
        <v>0</v>
      </c>
      <c r="AD132" t="b">
        <f>+ISNUMBER(SEARCH('F-COMPRA'!#REF!,Tabla11[[#This Row],[Cuenta]],1))</f>
        <v>0</v>
      </c>
      <c r="AE132" t="b">
        <f>+ISNUMBER(SEARCH('F-COMPRA'!#REF!,Tabla11[[#This Row],[Cuenta]],1))</f>
        <v>0</v>
      </c>
      <c r="AF132" t="b">
        <f>+ISNUMBER(SEARCH('F-VTA'!$G$23,Tabla11[[#This Row],[Cuenta]],1))</f>
        <v>0</v>
      </c>
      <c r="AG132" t="b">
        <f>+ISNUMBER(SEARCH('F-VTA'!$G$24,Tabla11[[#This Row],[Cuenta]],1))</f>
        <v>0</v>
      </c>
      <c r="AH132" t="b">
        <f>+ISNUMBER(SEARCH('F-VTA'!$G$25,Tabla11[[#This Row],[Cuenta]],1))</f>
        <v>0</v>
      </c>
      <c r="AI132" t="b">
        <f>+ISNUMBER(SEARCH('F-VTA'!$F$28,Tabla11[[#This Row],[Cuenta]],1))</f>
        <v>1</v>
      </c>
      <c r="AJ132" t="b">
        <f>+ISNUMBER(SEARCH('F-VTA'!$F$29,Tabla11[[#This Row],[Cuenta]],1))</f>
        <v>1</v>
      </c>
      <c r="AK132" t="b">
        <f>+ISNUMBER(SEARCH('F-VTA'!$F$30,Tabla11[[#This Row],[Cuenta]],1))</f>
        <v>1</v>
      </c>
      <c r="AL132" t="b">
        <f>+ISNUMBER(SEARCH('F-VTA'!$F$31,Tabla11[[#This Row],[Cuenta]],1))</f>
        <v>1</v>
      </c>
      <c r="AM132" t="b">
        <f>+ISNUMBER(SEARCH('F-VTA'!$F$32,Tabla11[[#This Row],[Cuenta]],1))</f>
        <v>1</v>
      </c>
      <c r="AN132" t="b">
        <f>+ISNUMBER(SEARCH('F-VTA'!$F$33,Tabla11[[#This Row],[Cuenta]],1))</f>
        <v>1</v>
      </c>
      <c r="AO132" t="b">
        <f>+ISNUMBER(SEARCH('F-VTA'!$F$34,Tabla11[[#This Row],[Cuenta]],1))</f>
        <v>1</v>
      </c>
      <c r="AP132" t="b">
        <f>+ISNUMBER(SEARCH('F-VTA'!$F$35,Tabla11[[#This Row],[Cuenta]],1))</f>
        <v>1</v>
      </c>
      <c r="AQ132" t="b">
        <f>+ISNUMBER(SEARCH('F-VTA'!$F$36,Tabla11[[#This Row],[Cuenta]],1))</f>
        <v>1</v>
      </c>
      <c r="AR132" t="b">
        <f>+ISNUMBER(SEARCH(#REF!,Tabla11[[#This Row],[Cuenta]],1))</f>
        <v>0</v>
      </c>
      <c r="AS132" t="b">
        <f>+ISNUMBER(SEARCH(#REF!,Tabla11[[#This Row],[Cuenta]],1))</f>
        <v>0</v>
      </c>
      <c r="AT132" t="b">
        <f>+ISNUMBER(SEARCH(#REF!,Tabla11[[#This Row],[Cuenta]],1))</f>
        <v>0</v>
      </c>
      <c r="AU132" t="b">
        <f>+ISNUMBER(SEARCH('Conc. Ban.1'!$I$9,Tabla11[[#This Row],[Cuenta]],1))</f>
        <v>0</v>
      </c>
      <c r="AV132" t="b">
        <f>+ISNUMBER(SEARCH(CompConta!$F$21,Tabla11[[#This Row],[Cuenta]],1))</f>
        <v>1</v>
      </c>
      <c r="AW132" t="b">
        <f>+ISNUMBER(SEARCH(CompConta!$F$22,Tabla11[[#This Row],[Cuenta]],1))</f>
        <v>1</v>
      </c>
      <c r="AX132" t="b">
        <f>+ISNUMBER(SEARCH(CompConta!$F$23,Tabla11[[#This Row],[Cuenta]],1))</f>
        <v>1</v>
      </c>
      <c r="AY132" t="b">
        <f>+ISNUMBER(SEARCH(CompConta!$F$24,Tabla11[[#This Row],[Cuenta]],1))</f>
        <v>1</v>
      </c>
      <c r="AZ132" t="b">
        <f>+ISNUMBER(SEARCH(CompConta!$F$25,Tabla11[[#This Row],[Cuenta]],1))</f>
        <v>1</v>
      </c>
      <c r="BA132" t="b">
        <f>+ISNUMBER(SEARCH(CompConta!$F$26,Tabla11[[#This Row],[Cuenta]],1))</f>
        <v>1</v>
      </c>
      <c r="BB132" t="b">
        <f>+ISNUMBER(SEARCH(CompConta!$F$27,Tabla11[[#This Row],[Cuenta]],1))</f>
        <v>1</v>
      </c>
      <c r="BC132" t="b">
        <f>+ISNUMBER(SEARCH(CompConta!$F$28,Tabla11[[#This Row],[Cuenta]],1))</f>
        <v>1</v>
      </c>
      <c r="BD132" t="b">
        <f>+ISNUMBER(SEARCH(CompConta!$F$29,Tabla11[[#This Row],[Cuenta]],1))</f>
        <v>1</v>
      </c>
      <c r="BE132" t="b">
        <f>+ISNUMBER(SEARCH(CompConta!$F$30,Tabla11[[#This Row],[Cuenta]],1))</f>
        <v>1</v>
      </c>
      <c r="BF132" t="b">
        <f>+ISNUMBER(SEARCH('PAGO Compras'!$E$11,Tabla11[[#This Row],[Cuenta]],1))</f>
        <v>1</v>
      </c>
      <c r="BG132" t="b">
        <f>+ISNUMBER(SEARCH(#REF!,Tabla11[[#This Row],[Cuenta]],1))</f>
        <v>0</v>
      </c>
      <c r="BH132" t="b">
        <f>+ISNUMBER(SEARCH(#REF!,Tabla11[[#This Row],[Cuenta]],1))</f>
        <v>0</v>
      </c>
      <c r="BI132" t="b">
        <f>+ISNUMBER(SEARCH(#REF!,Tabla11[[#This Row],[Cuenta]],1))</f>
        <v>0</v>
      </c>
      <c r="BJ132" t="b">
        <f>+ISNUMBER(SEARCH(#REF!,Tabla11[[#This Row],[Cuenta]],1))</f>
        <v>0</v>
      </c>
      <c r="BS132" t="str">
        <v>151660 Terminal de buses y taxis</v>
      </c>
      <c r="BT132" t="str">
        <v>151660 Terminal de buses y taxis</v>
      </c>
      <c r="BU132" t="str">
        <v>151660 Terminal de buses y taxis</v>
      </c>
      <c r="BV132" t="str">
        <v>151660 Terminal de buses y taxis</v>
      </c>
      <c r="BZ132" t="str">
        <v>151660 Terminal de buses y taxis</v>
      </c>
      <c r="CA132" t="str">
        <v>151660 Terminal de buses y taxis</v>
      </c>
      <c r="CB132" t="str">
        <v>151660 Terminal de buses y taxis</v>
      </c>
      <c r="CC132" t="str">
        <v>151660 Terminal de buses y taxis</v>
      </c>
      <c r="CD132" t="str">
        <v>151660 Terminal de buses y taxis</v>
      </c>
      <c r="CE132" t="str">
        <v>151660 Terminal de buses y taxis</v>
      </c>
      <c r="CS132" s="141" t="str">
        <v>151660 Terminal de buses y taxis</v>
      </c>
      <c r="CT132" s="141" t="str">
        <v>151660 Terminal de buses y taxis</v>
      </c>
      <c r="CU132" s="141" t="str">
        <v>151660 Terminal de buses y taxis</v>
      </c>
      <c r="CV132" s="141" t="str">
        <v>151660 Terminal de buses y taxis</v>
      </c>
      <c r="CW132" s="141" t="str">
        <v>151660 Terminal de buses y taxis</v>
      </c>
      <c r="CX132" s="141" t="str">
        <v>151660 Terminal de buses y taxis</v>
      </c>
      <c r="CY132" s="141" t="str">
        <v>151660 Terminal de buses y taxis</v>
      </c>
      <c r="CZ132" s="141" t="str">
        <v>151660 Terminal de buses y taxis</v>
      </c>
      <c r="DA132" s="141" t="str">
        <v>151660 Terminal de buses y taxis</v>
      </c>
      <c r="DF132" t="str">
        <v>151660 Terminal de buses y taxis</v>
      </c>
      <c r="DG132" t="str">
        <v>151660 Terminal de buses y taxis</v>
      </c>
      <c r="DH132" t="str">
        <v>151660 Terminal de buses y taxis</v>
      </c>
      <c r="DI132" t="str">
        <v>151660 Terminal de buses y taxis</v>
      </c>
      <c r="DJ132" t="str">
        <v>151660 Terminal de buses y taxis</v>
      </c>
      <c r="DK132" t="str">
        <v>151660 Terminal de buses y taxis</v>
      </c>
      <c r="DL132" t="str">
        <v>151660 Terminal de buses y taxis</v>
      </c>
      <c r="DM132" t="str">
        <v>151660 Terminal de buses y taxis</v>
      </c>
      <c r="DN132" t="str">
        <v>151660 Terminal de buses y taxis</v>
      </c>
      <c r="DO132" t="str">
        <v>151660 Terminal de buses y taxis</v>
      </c>
      <c r="DP132" t="str">
        <v>151660 Terminal de buses y taxis</v>
      </c>
    </row>
    <row r="133" spans="4:120" ht="12.75">
      <c r="D133" s="7">
        <v>151663</v>
      </c>
      <c r="E133" s="6" t="s">
        <v>151</v>
      </c>
      <c r="F133" s="5">
        <v>4</v>
      </c>
      <c r="G133" s="34" t="s">
        <v>822</v>
      </c>
      <c r="H133" s="8" t="s">
        <v>32</v>
      </c>
      <c r="I133" t="b">
        <f>+ISNUMBER(SEARCH('F-COMPRA'!$F$28,Tabla11[[#This Row],[Cuenta]],1))</f>
        <v>1</v>
      </c>
      <c r="J133" t="b">
        <f>+ISNUMBER(SEARCH('F-COMPRA'!$F$29,Tabla11[[#This Row],[Cuenta]],1))</f>
        <v>1</v>
      </c>
      <c r="K133" t="b">
        <f>+ISNUMBER(SEARCH('F-COMPRA'!$F$30,Tabla11[[#This Row],[Cuenta]],1))</f>
        <v>1</v>
      </c>
      <c r="L133" t="b">
        <f>+ISNUMBER(SEARCH('F-COMPRA'!$F$31,Tabla11[[#This Row],[Cuenta]],1))</f>
        <v>1</v>
      </c>
      <c r="M133" t="b">
        <f>+ISNUMBER(SEARCH('F-COMPRA'!$G$25,Tabla11[[#This Row],[Cuenta]],1))</f>
        <v>0</v>
      </c>
      <c r="N133" t="b">
        <f>+ISNUMBER(SEARCH(#REF!,Tabla11[[#This Row],[Cuenta]],1))</f>
        <v>0</v>
      </c>
      <c r="O133" t="b">
        <f>+ISNUMBER(SEARCH(#REF!,Tabla11[[#This Row],[Cuenta]],1))</f>
        <v>0</v>
      </c>
      <c r="P133" t="b">
        <f>+ISNUMBER(SEARCH('F-COMPRA'!$F$32,Tabla11[[#This Row],[Cuenta]],1))</f>
        <v>1</v>
      </c>
      <c r="Q133" t="b">
        <f>+ISNUMBER(SEARCH('F-COMPRA'!$F$33,Tabla11[[#This Row],[Cuenta]],1))</f>
        <v>1</v>
      </c>
      <c r="R133" t="b">
        <f>+ISNUMBER(SEARCH('F-COMPRA'!$F$34,Tabla11[[#This Row],[Cuenta]],1))</f>
        <v>1</v>
      </c>
      <c r="S133" t="b">
        <f>+ISNUMBER(SEARCH('F-COMPRA'!$F$35,Tabla11[[#This Row],[Cuenta]],1))</f>
        <v>1</v>
      </c>
      <c r="T133" t="b">
        <f>+ISNUMBER(SEARCH('F-COMPRA'!$F$36,Tabla11[[#This Row],[Cuenta]],1))</f>
        <v>1</v>
      </c>
      <c r="U133" t="b">
        <f>+ISNUMBER(SEARCH('F-COMPRA'!$F$37,Tabla11[[#This Row],[Cuenta]],1))</f>
        <v>1</v>
      </c>
      <c r="V133" t="b">
        <f>+ISNUMBER(SEARCH(#REF!,Tabla11[[#This Row],[Cuenta]],1))</f>
        <v>0</v>
      </c>
      <c r="W133" t="b">
        <f>+ISNUMBER(SEARCH('F-COMPRA'!#REF!,Tabla11[[#This Row],[Cuenta]],1))</f>
        <v>0</v>
      </c>
      <c r="X133" t="b">
        <f>+ISNUMBER(SEARCH('F-COMPRA'!#REF!,Tabla11[[#This Row],[Cuenta]],1))</f>
        <v>0</v>
      </c>
      <c r="Y133" t="b">
        <f>+ISNUMBER(SEARCH('F-COMPRA'!#REF!,Tabla11[[#This Row],[Cuenta]],1))</f>
        <v>0</v>
      </c>
      <c r="Z133" t="b">
        <f>+ISNUMBER(SEARCH('F-COMPRA'!#REF!,Tabla11[[#This Row],[Cuenta]],1))</f>
        <v>0</v>
      </c>
      <c r="AA133" t="b">
        <f>+ISNUMBER(SEARCH('F-COMPRA'!#REF!,Tabla11[[#This Row],[Cuenta]],1))</f>
        <v>0</v>
      </c>
      <c r="AB133" t="b">
        <f>+ISNUMBER(SEARCH('F-COMPRA'!#REF!,Tabla11[[#This Row],[Cuenta]],1))</f>
        <v>0</v>
      </c>
      <c r="AC133" t="b">
        <f>+ISNUMBER(SEARCH('F-COMPRA'!#REF!,Tabla11[[#This Row],[Cuenta]],1))</f>
        <v>0</v>
      </c>
      <c r="AD133" t="b">
        <f>+ISNUMBER(SEARCH('F-COMPRA'!#REF!,Tabla11[[#This Row],[Cuenta]],1))</f>
        <v>0</v>
      </c>
      <c r="AE133" t="b">
        <f>+ISNUMBER(SEARCH('F-COMPRA'!#REF!,Tabla11[[#This Row],[Cuenta]],1))</f>
        <v>0</v>
      </c>
      <c r="AF133" t="b">
        <f>+ISNUMBER(SEARCH('F-VTA'!$G$23,Tabla11[[#This Row],[Cuenta]],1))</f>
        <v>0</v>
      </c>
      <c r="AG133" t="b">
        <f>+ISNUMBER(SEARCH('F-VTA'!$G$24,Tabla11[[#This Row],[Cuenta]],1))</f>
        <v>0</v>
      </c>
      <c r="AH133" t="b">
        <f>+ISNUMBER(SEARCH('F-VTA'!$G$25,Tabla11[[#This Row],[Cuenta]],1))</f>
        <v>0</v>
      </c>
      <c r="AI133" t="b">
        <f>+ISNUMBER(SEARCH('F-VTA'!$F$28,Tabla11[[#This Row],[Cuenta]],1))</f>
        <v>1</v>
      </c>
      <c r="AJ133" t="b">
        <f>+ISNUMBER(SEARCH('F-VTA'!$F$29,Tabla11[[#This Row],[Cuenta]],1))</f>
        <v>1</v>
      </c>
      <c r="AK133" t="b">
        <f>+ISNUMBER(SEARCH('F-VTA'!$F$30,Tabla11[[#This Row],[Cuenta]],1))</f>
        <v>1</v>
      </c>
      <c r="AL133" t="b">
        <f>+ISNUMBER(SEARCH('F-VTA'!$F$31,Tabla11[[#This Row],[Cuenta]],1))</f>
        <v>1</v>
      </c>
      <c r="AM133" t="b">
        <f>+ISNUMBER(SEARCH('F-VTA'!$F$32,Tabla11[[#This Row],[Cuenta]],1))</f>
        <v>1</v>
      </c>
      <c r="AN133" t="b">
        <f>+ISNUMBER(SEARCH('F-VTA'!$F$33,Tabla11[[#This Row],[Cuenta]],1))</f>
        <v>1</v>
      </c>
      <c r="AO133" t="b">
        <f>+ISNUMBER(SEARCH('F-VTA'!$F$34,Tabla11[[#This Row],[Cuenta]],1))</f>
        <v>1</v>
      </c>
      <c r="AP133" t="b">
        <f>+ISNUMBER(SEARCH('F-VTA'!$F$35,Tabla11[[#This Row],[Cuenta]],1))</f>
        <v>1</v>
      </c>
      <c r="AQ133" t="b">
        <f>+ISNUMBER(SEARCH('F-VTA'!$F$36,Tabla11[[#This Row],[Cuenta]],1))</f>
        <v>1</v>
      </c>
      <c r="AR133" t="b">
        <f>+ISNUMBER(SEARCH(#REF!,Tabla11[[#This Row],[Cuenta]],1))</f>
        <v>0</v>
      </c>
      <c r="AS133" t="b">
        <f>+ISNUMBER(SEARCH(#REF!,Tabla11[[#This Row],[Cuenta]],1))</f>
        <v>0</v>
      </c>
      <c r="AT133" t="b">
        <f>+ISNUMBER(SEARCH(#REF!,Tabla11[[#This Row],[Cuenta]],1))</f>
        <v>0</v>
      </c>
      <c r="AU133" t="b">
        <f>+ISNUMBER(SEARCH('Conc. Ban.1'!$I$9,Tabla11[[#This Row],[Cuenta]],1))</f>
        <v>0</v>
      </c>
      <c r="AV133" t="b">
        <f>+ISNUMBER(SEARCH(CompConta!$F$21,Tabla11[[#This Row],[Cuenta]],1))</f>
        <v>1</v>
      </c>
      <c r="AW133" t="b">
        <f>+ISNUMBER(SEARCH(CompConta!$F$22,Tabla11[[#This Row],[Cuenta]],1))</f>
        <v>1</v>
      </c>
      <c r="AX133" t="b">
        <f>+ISNUMBER(SEARCH(CompConta!$F$23,Tabla11[[#This Row],[Cuenta]],1))</f>
        <v>1</v>
      </c>
      <c r="AY133" t="b">
        <f>+ISNUMBER(SEARCH(CompConta!$F$24,Tabla11[[#This Row],[Cuenta]],1))</f>
        <v>1</v>
      </c>
      <c r="AZ133" t="b">
        <f>+ISNUMBER(SEARCH(CompConta!$F$25,Tabla11[[#This Row],[Cuenta]],1))</f>
        <v>1</v>
      </c>
      <c r="BA133" t="b">
        <f>+ISNUMBER(SEARCH(CompConta!$F$26,Tabla11[[#This Row],[Cuenta]],1))</f>
        <v>1</v>
      </c>
      <c r="BB133" t="b">
        <f>+ISNUMBER(SEARCH(CompConta!$F$27,Tabla11[[#This Row],[Cuenta]],1))</f>
        <v>1</v>
      </c>
      <c r="BC133" t="b">
        <f>+ISNUMBER(SEARCH(CompConta!$F$28,Tabla11[[#This Row],[Cuenta]],1))</f>
        <v>1</v>
      </c>
      <c r="BD133" t="b">
        <f>+ISNUMBER(SEARCH(CompConta!$F$29,Tabla11[[#This Row],[Cuenta]],1))</f>
        <v>1</v>
      </c>
      <c r="BE133" t="b">
        <f>+ISNUMBER(SEARCH(CompConta!$F$30,Tabla11[[#This Row],[Cuenta]],1))</f>
        <v>1</v>
      </c>
      <c r="BF133" t="b">
        <f>+ISNUMBER(SEARCH('PAGO Compras'!$E$11,Tabla11[[#This Row],[Cuenta]],1))</f>
        <v>1</v>
      </c>
      <c r="BG133" t="b">
        <f>+ISNUMBER(SEARCH(#REF!,Tabla11[[#This Row],[Cuenta]],1))</f>
        <v>0</v>
      </c>
      <c r="BH133" t="b">
        <f>+ISNUMBER(SEARCH(#REF!,Tabla11[[#This Row],[Cuenta]],1))</f>
        <v>0</v>
      </c>
      <c r="BI133" t="b">
        <f>+ISNUMBER(SEARCH(#REF!,Tabla11[[#This Row],[Cuenta]],1))</f>
        <v>0</v>
      </c>
      <c r="BJ133" t="b">
        <f>+ISNUMBER(SEARCH(#REF!,Tabla11[[#This Row],[Cuenta]],1))</f>
        <v>0</v>
      </c>
      <c r="BS133" t="str">
        <v>151663 Terminal marítimo</v>
      </c>
      <c r="BT133" t="str">
        <v>151663 Terminal marítimo</v>
      </c>
      <c r="BU133" t="str">
        <v>151663 Terminal marítimo</v>
      </c>
      <c r="BV133" t="str">
        <v>151663 Terminal marítimo</v>
      </c>
      <c r="BZ133" t="str">
        <v>151663 Terminal marítimo</v>
      </c>
      <c r="CA133" t="str">
        <v>151663 Terminal marítimo</v>
      </c>
      <c r="CB133" t="str">
        <v>151663 Terminal marítimo</v>
      </c>
      <c r="CC133" t="str">
        <v>151663 Terminal marítimo</v>
      </c>
      <c r="CD133" t="str">
        <v>151663 Terminal marítimo</v>
      </c>
      <c r="CE133" t="str">
        <v>151663 Terminal marítimo</v>
      </c>
      <c r="CS133" s="141" t="str">
        <v>151663 Terminal marítimo</v>
      </c>
      <c r="CT133" s="141" t="str">
        <v>151663 Terminal marítimo</v>
      </c>
      <c r="CU133" s="141" t="str">
        <v>151663 Terminal marítimo</v>
      </c>
      <c r="CV133" s="141" t="str">
        <v>151663 Terminal marítimo</v>
      </c>
      <c r="CW133" s="141" t="str">
        <v>151663 Terminal marítimo</v>
      </c>
      <c r="CX133" s="141" t="str">
        <v>151663 Terminal marítimo</v>
      </c>
      <c r="CY133" s="141" t="str">
        <v>151663 Terminal marítimo</v>
      </c>
      <c r="CZ133" s="141" t="str">
        <v>151663 Terminal marítimo</v>
      </c>
      <c r="DA133" s="141" t="str">
        <v>151663 Terminal marítimo</v>
      </c>
      <c r="DF133" t="str">
        <v>151663 Terminal marítimo</v>
      </c>
      <c r="DG133" t="str">
        <v>151663 Terminal marítimo</v>
      </c>
      <c r="DH133" t="str">
        <v>151663 Terminal marítimo</v>
      </c>
      <c r="DI133" t="str">
        <v>151663 Terminal marítimo</v>
      </c>
      <c r="DJ133" t="str">
        <v>151663 Terminal marítimo</v>
      </c>
      <c r="DK133" t="str">
        <v>151663 Terminal marítimo</v>
      </c>
      <c r="DL133" t="str">
        <v>151663 Terminal marítimo</v>
      </c>
      <c r="DM133" t="str">
        <v>151663 Terminal marítimo</v>
      </c>
      <c r="DN133" t="str">
        <v>151663 Terminal marítimo</v>
      </c>
      <c r="DO133" t="str">
        <v>151663 Terminal marítimo</v>
      </c>
      <c r="DP133" t="str">
        <v>151663 Terminal marítimo</v>
      </c>
    </row>
    <row r="134" spans="4:120" ht="12.75">
      <c r="D134" s="7">
        <v>151665</v>
      </c>
      <c r="E134" s="6" t="s">
        <v>152</v>
      </c>
      <c r="F134" s="5">
        <v>4</v>
      </c>
      <c r="G134" s="34" t="s">
        <v>822</v>
      </c>
      <c r="H134" s="8" t="s">
        <v>32</v>
      </c>
      <c r="I134" t="b">
        <f>+ISNUMBER(SEARCH('F-COMPRA'!$F$28,Tabla11[[#This Row],[Cuenta]],1))</f>
        <v>1</v>
      </c>
      <c r="J134" t="b">
        <f>+ISNUMBER(SEARCH('F-COMPRA'!$F$29,Tabla11[[#This Row],[Cuenta]],1))</f>
        <v>1</v>
      </c>
      <c r="K134" t="b">
        <f>+ISNUMBER(SEARCH('F-COMPRA'!$F$30,Tabla11[[#This Row],[Cuenta]],1))</f>
        <v>1</v>
      </c>
      <c r="L134" t="b">
        <f>+ISNUMBER(SEARCH('F-COMPRA'!$F$31,Tabla11[[#This Row],[Cuenta]],1))</f>
        <v>1</v>
      </c>
      <c r="M134" t="b">
        <f>+ISNUMBER(SEARCH('F-COMPRA'!$G$25,Tabla11[[#This Row],[Cuenta]],1))</f>
        <v>0</v>
      </c>
      <c r="N134" t="b">
        <f>+ISNUMBER(SEARCH(#REF!,Tabla11[[#This Row],[Cuenta]],1))</f>
        <v>0</v>
      </c>
      <c r="O134" t="b">
        <f>+ISNUMBER(SEARCH(#REF!,Tabla11[[#This Row],[Cuenta]],1))</f>
        <v>0</v>
      </c>
      <c r="P134" t="b">
        <f>+ISNUMBER(SEARCH('F-COMPRA'!$F$32,Tabla11[[#This Row],[Cuenta]],1))</f>
        <v>1</v>
      </c>
      <c r="Q134" t="b">
        <f>+ISNUMBER(SEARCH('F-COMPRA'!$F$33,Tabla11[[#This Row],[Cuenta]],1))</f>
        <v>1</v>
      </c>
      <c r="R134" t="b">
        <f>+ISNUMBER(SEARCH('F-COMPRA'!$F$34,Tabla11[[#This Row],[Cuenta]],1))</f>
        <v>1</v>
      </c>
      <c r="S134" t="b">
        <f>+ISNUMBER(SEARCH('F-COMPRA'!$F$35,Tabla11[[#This Row],[Cuenta]],1))</f>
        <v>1</v>
      </c>
      <c r="T134" t="b">
        <f>+ISNUMBER(SEARCH('F-COMPRA'!$F$36,Tabla11[[#This Row],[Cuenta]],1))</f>
        <v>1</v>
      </c>
      <c r="U134" t="b">
        <f>+ISNUMBER(SEARCH('F-COMPRA'!$F$37,Tabla11[[#This Row],[Cuenta]],1))</f>
        <v>1</v>
      </c>
      <c r="V134" t="b">
        <f>+ISNUMBER(SEARCH(#REF!,Tabla11[[#This Row],[Cuenta]],1))</f>
        <v>0</v>
      </c>
      <c r="W134" t="b">
        <f>+ISNUMBER(SEARCH('F-COMPRA'!#REF!,Tabla11[[#This Row],[Cuenta]],1))</f>
        <v>0</v>
      </c>
      <c r="X134" t="b">
        <f>+ISNUMBER(SEARCH('F-COMPRA'!#REF!,Tabla11[[#This Row],[Cuenta]],1))</f>
        <v>0</v>
      </c>
      <c r="Y134" t="b">
        <f>+ISNUMBER(SEARCH('F-COMPRA'!#REF!,Tabla11[[#This Row],[Cuenta]],1))</f>
        <v>0</v>
      </c>
      <c r="Z134" t="b">
        <f>+ISNUMBER(SEARCH('F-COMPRA'!#REF!,Tabla11[[#This Row],[Cuenta]],1))</f>
        <v>0</v>
      </c>
      <c r="AA134" t="b">
        <f>+ISNUMBER(SEARCH('F-COMPRA'!#REF!,Tabla11[[#This Row],[Cuenta]],1))</f>
        <v>0</v>
      </c>
      <c r="AB134" t="b">
        <f>+ISNUMBER(SEARCH('F-COMPRA'!#REF!,Tabla11[[#This Row],[Cuenta]],1))</f>
        <v>0</v>
      </c>
      <c r="AC134" t="b">
        <f>+ISNUMBER(SEARCH('F-COMPRA'!#REF!,Tabla11[[#This Row],[Cuenta]],1))</f>
        <v>0</v>
      </c>
      <c r="AD134" t="b">
        <f>+ISNUMBER(SEARCH('F-COMPRA'!#REF!,Tabla11[[#This Row],[Cuenta]],1))</f>
        <v>0</v>
      </c>
      <c r="AE134" t="b">
        <f>+ISNUMBER(SEARCH('F-COMPRA'!#REF!,Tabla11[[#This Row],[Cuenta]],1))</f>
        <v>0</v>
      </c>
      <c r="AF134" t="b">
        <f>+ISNUMBER(SEARCH('F-VTA'!$G$23,Tabla11[[#This Row],[Cuenta]],1))</f>
        <v>0</v>
      </c>
      <c r="AG134" t="b">
        <f>+ISNUMBER(SEARCH('F-VTA'!$G$24,Tabla11[[#This Row],[Cuenta]],1))</f>
        <v>0</v>
      </c>
      <c r="AH134" t="b">
        <f>+ISNUMBER(SEARCH('F-VTA'!$G$25,Tabla11[[#This Row],[Cuenta]],1))</f>
        <v>0</v>
      </c>
      <c r="AI134" t="b">
        <f>+ISNUMBER(SEARCH('F-VTA'!$F$28,Tabla11[[#This Row],[Cuenta]],1))</f>
        <v>1</v>
      </c>
      <c r="AJ134" t="b">
        <f>+ISNUMBER(SEARCH('F-VTA'!$F$29,Tabla11[[#This Row],[Cuenta]],1))</f>
        <v>1</v>
      </c>
      <c r="AK134" t="b">
        <f>+ISNUMBER(SEARCH('F-VTA'!$F$30,Tabla11[[#This Row],[Cuenta]],1))</f>
        <v>1</v>
      </c>
      <c r="AL134" t="b">
        <f>+ISNUMBER(SEARCH('F-VTA'!$F$31,Tabla11[[#This Row],[Cuenta]],1))</f>
        <v>1</v>
      </c>
      <c r="AM134" t="b">
        <f>+ISNUMBER(SEARCH('F-VTA'!$F$32,Tabla11[[#This Row],[Cuenta]],1))</f>
        <v>1</v>
      </c>
      <c r="AN134" t="b">
        <f>+ISNUMBER(SEARCH('F-VTA'!$F$33,Tabla11[[#This Row],[Cuenta]],1))</f>
        <v>1</v>
      </c>
      <c r="AO134" t="b">
        <f>+ISNUMBER(SEARCH('F-VTA'!$F$34,Tabla11[[#This Row],[Cuenta]],1))</f>
        <v>1</v>
      </c>
      <c r="AP134" t="b">
        <f>+ISNUMBER(SEARCH('F-VTA'!$F$35,Tabla11[[#This Row],[Cuenta]],1))</f>
        <v>1</v>
      </c>
      <c r="AQ134" t="b">
        <f>+ISNUMBER(SEARCH('F-VTA'!$F$36,Tabla11[[#This Row],[Cuenta]],1))</f>
        <v>1</v>
      </c>
      <c r="AR134" t="b">
        <f>+ISNUMBER(SEARCH(#REF!,Tabla11[[#This Row],[Cuenta]],1))</f>
        <v>0</v>
      </c>
      <c r="AS134" t="b">
        <f>+ISNUMBER(SEARCH(#REF!,Tabla11[[#This Row],[Cuenta]],1))</f>
        <v>0</v>
      </c>
      <c r="AT134" t="b">
        <f>+ISNUMBER(SEARCH(#REF!,Tabla11[[#This Row],[Cuenta]],1))</f>
        <v>0</v>
      </c>
      <c r="AU134" t="b">
        <f>+ISNUMBER(SEARCH('Conc. Ban.1'!$I$9,Tabla11[[#This Row],[Cuenta]],1))</f>
        <v>0</v>
      </c>
      <c r="AV134" t="b">
        <f>+ISNUMBER(SEARCH(CompConta!$F$21,Tabla11[[#This Row],[Cuenta]],1))</f>
        <v>1</v>
      </c>
      <c r="AW134" t="b">
        <f>+ISNUMBER(SEARCH(CompConta!$F$22,Tabla11[[#This Row],[Cuenta]],1))</f>
        <v>1</v>
      </c>
      <c r="AX134" t="b">
        <f>+ISNUMBER(SEARCH(CompConta!$F$23,Tabla11[[#This Row],[Cuenta]],1))</f>
        <v>1</v>
      </c>
      <c r="AY134" t="b">
        <f>+ISNUMBER(SEARCH(CompConta!$F$24,Tabla11[[#This Row],[Cuenta]],1))</f>
        <v>1</v>
      </c>
      <c r="AZ134" t="b">
        <f>+ISNUMBER(SEARCH(CompConta!$F$25,Tabla11[[#This Row],[Cuenta]],1))</f>
        <v>1</v>
      </c>
      <c r="BA134" t="b">
        <f>+ISNUMBER(SEARCH(CompConta!$F$26,Tabla11[[#This Row],[Cuenta]],1))</f>
        <v>1</v>
      </c>
      <c r="BB134" t="b">
        <f>+ISNUMBER(SEARCH(CompConta!$F$27,Tabla11[[#This Row],[Cuenta]],1))</f>
        <v>1</v>
      </c>
      <c r="BC134" t="b">
        <f>+ISNUMBER(SEARCH(CompConta!$F$28,Tabla11[[#This Row],[Cuenta]],1))</f>
        <v>1</v>
      </c>
      <c r="BD134" t="b">
        <f>+ISNUMBER(SEARCH(CompConta!$F$29,Tabla11[[#This Row],[Cuenta]],1))</f>
        <v>1</v>
      </c>
      <c r="BE134" t="b">
        <f>+ISNUMBER(SEARCH(CompConta!$F$30,Tabla11[[#This Row],[Cuenta]],1))</f>
        <v>1</v>
      </c>
      <c r="BF134" t="b">
        <f>+ISNUMBER(SEARCH('PAGO Compras'!$E$11,Tabla11[[#This Row],[Cuenta]],1))</f>
        <v>1</v>
      </c>
      <c r="BG134" t="b">
        <f>+ISNUMBER(SEARCH(#REF!,Tabla11[[#This Row],[Cuenta]],1))</f>
        <v>0</v>
      </c>
      <c r="BH134" t="b">
        <f>+ISNUMBER(SEARCH(#REF!,Tabla11[[#This Row],[Cuenta]],1))</f>
        <v>0</v>
      </c>
      <c r="BI134" t="b">
        <f>+ISNUMBER(SEARCH(#REF!,Tabla11[[#This Row],[Cuenta]],1))</f>
        <v>0</v>
      </c>
      <c r="BJ134" t="b">
        <f>+ISNUMBER(SEARCH(#REF!,Tabla11[[#This Row],[Cuenta]],1))</f>
        <v>0</v>
      </c>
      <c r="BS134" t="str">
        <v>151665 Terminal férreo</v>
      </c>
      <c r="BT134" t="str">
        <v>151665 Terminal férreo</v>
      </c>
      <c r="BU134" t="str">
        <v>151665 Terminal férreo</v>
      </c>
      <c r="BV134" t="str">
        <v>151665 Terminal férreo</v>
      </c>
      <c r="BZ134" t="str">
        <v>151665 Terminal férreo</v>
      </c>
      <c r="CA134" t="str">
        <v>151665 Terminal férreo</v>
      </c>
      <c r="CB134" t="str">
        <v>151665 Terminal férreo</v>
      </c>
      <c r="CC134" t="str">
        <v>151665 Terminal férreo</v>
      </c>
      <c r="CD134" t="str">
        <v>151665 Terminal férreo</v>
      </c>
      <c r="CE134" t="str">
        <v>151665 Terminal férreo</v>
      </c>
      <c r="CS134" s="141" t="str">
        <v>151665 Terminal férreo</v>
      </c>
      <c r="CT134" s="141" t="str">
        <v>151665 Terminal férreo</v>
      </c>
      <c r="CU134" s="141" t="str">
        <v>151665 Terminal férreo</v>
      </c>
      <c r="CV134" s="141" t="str">
        <v>151665 Terminal férreo</v>
      </c>
      <c r="CW134" s="141" t="str">
        <v>151665 Terminal férreo</v>
      </c>
      <c r="CX134" s="141" t="str">
        <v>151665 Terminal férreo</v>
      </c>
      <c r="CY134" s="141" t="str">
        <v>151665 Terminal férreo</v>
      </c>
      <c r="CZ134" s="141" t="str">
        <v>151665 Terminal férreo</v>
      </c>
      <c r="DA134" s="141" t="str">
        <v>151665 Terminal férreo</v>
      </c>
      <c r="DF134" t="str">
        <v>151665 Terminal férreo</v>
      </c>
      <c r="DG134" t="str">
        <v>151665 Terminal férreo</v>
      </c>
      <c r="DH134" t="str">
        <v>151665 Terminal férreo</v>
      </c>
      <c r="DI134" t="str">
        <v>151665 Terminal férreo</v>
      </c>
      <c r="DJ134" t="str">
        <v>151665 Terminal férreo</v>
      </c>
      <c r="DK134" t="str">
        <v>151665 Terminal férreo</v>
      </c>
      <c r="DL134" t="str">
        <v>151665 Terminal férreo</v>
      </c>
      <c r="DM134" t="str">
        <v>151665 Terminal férreo</v>
      </c>
      <c r="DN134" t="str">
        <v>151665 Terminal férreo</v>
      </c>
      <c r="DO134" t="str">
        <v>151665 Terminal férreo</v>
      </c>
      <c r="DP134" t="str">
        <v>151665 Terminal férreo</v>
      </c>
    </row>
    <row r="135" spans="4:120" ht="12.75">
      <c r="D135" s="7">
        <v>151670</v>
      </c>
      <c r="E135" s="6" t="s">
        <v>153</v>
      </c>
      <c r="F135" s="5">
        <v>4</v>
      </c>
      <c r="G135" s="34" t="s">
        <v>822</v>
      </c>
      <c r="H135" s="8" t="s">
        <v>32</v>
      </c>
      <c r="I135" t="b">
        <f>+ISNUMBER(SEARCH('F-COMPRA'!$F$28,Tabla11[[#This Row],[Cuenta]],1))</f>
        <v>1</v>
      </c>
      <c r="J135" t="b">
        <f>+ISNUMBER(SEARCH('F-COMPRA'!$F$29,Tabla11[[#This Row],[Cuenta]],1))</f>
        <v>1</v>
      </c>
      <c r="K135" t="b">
        <f>+ISNUMBER(SEARCH('F-COMPRA'!$F$30,Tabla11[[#This Row],[Cuenta]],1))</f>
        <v>1</v>
      </c>
      <c r="L135" t="b">
        <f>+ISNUMBER(SEARCH('F-COMPRA'!$F$31,Tabla11[[#This Row],[Cuenta]],1))</f>
        <v>1</v>
      </c>
      <c r="M135" t="b">
        <f>+ISNUMBER(SEARCH('F-COMPRA'!$G$25,Tabla11[[#This Row],[Cuenta]],1))</f>
        <v>0</v>
      </c>
      <c r="N135" t="b">
        <f>+ISNUMBER(SEARCH(#REF!,Tabla11[[#This Row],[Cuenta]],1))</f>
        <v>0</v>
      </c>
      <c r="O135" t="b">
        <f>+ISNUMBER(SEARCH(#REF!,Tabla11[[#This Row],[Cuenta]],1))</f>
        <v>0</v>
      </c>
      <c r="P135" t="b">
        <f>+ISNUMBER(SEARCH('F-COMPRA'!$F$32,Tabla11[[#This Row],[Cuenta]],1))</f>
        <v>1</v>
      </c>
      <c r="Q135" t="b">
        <f>+ISNUMBER(SEARCH('F-COMPRA'!$F$33,Tabla11[[#This Row],[Cuenta]],1))</f>
        <v>1</v>
      </c>
      <c r="R135" t="b">
        <f>+ISNUMBER(SEARCH('F-COMPRA'!$F$34,Tabla11[[#This Row],[Cuenta]],1))</f>
        <v>1</v>
      </c>
      <c r="S135" t="b">
        <f>+ISNUMBER(SEARCH('F-COMPRA'!$F$35,Tabla11[[#This Row],[Cuenta]],1))</f>
        <v>1</v>
      </c>
      <c r="T135" t="b">
        <f>+ISNUMBER(SEARCH('F-COMPRA'!$F$36,Tabla11[[#This Row],[Cuenta]],1))</f>
        <v>1</v>
      </c>
      <c r="U135" t="b">
        <f>+ISNUMBER(SEARCH('F-COMPRA'!$F$37,Tabla11[[#This Row],[Cuenta]],1))</f>
        <v>1</v>
      </c>
      <c r="V135" t="b">
        <f>+ISNUMBER(SEARCH(#REF!,Tabla11[[#This Row],[Cuenta]],1))</f>
        <v>0</v>
      </c>
      <c r="W135" t="b">
        <f>+ISNUMBER(SEARCH('F-COMPRA'!#REF!,Tabla11[[#This Row],[Cuenta]],1))</f>
        <v>0</v>
      </c>
      <c r="X135" t="b">
        <f>+ISNUMBER(SEARCH('F-COMPRA'!#REF!,Tabla11[[#This Row],[Cuenta]],1))</f>
        <v>0</v>
      </c>
      <c r="Y135" t="b">
        <f>+ISNUMBER(SEARCH('F-COMPRA'!#REF!,Tabla11[[#This Row],[Cuenta]],1))</f>
        <v>0</v>
      </c>
      <c r="Z135" t="b">
        <f>+ISNUMBER(SEARCH('F-COMPRA'!#REF!,Tabla11[[#This Row],[Cuenta]],1))</f>
        <v>0</v>
      </c>
      <c r="AA135" t="b">
        <f>+ISNUMBER(SEARCH('F-COMPRA'!#REF!,Tabla11[[#This Row],[Cuenta]],1))</f>
        <v>0</v>
      </c>
      <c r="AB135" t="b">
        <f>+ISNUMBER(SEARCH('F-COMPRA'!#REF!,Tabla11[[#This Row],[Cuenta]],1))</f>
        <v>0</v>
      </c>
      <c r="AC135" t="b">
        <f>+ISNUMBER(SEARCH('F-COMPRA'!#REF!,Tabla11[[#This Row],[Cuenta]],1))</f>
        <v>0</v>
      </c>
      <c r="AD135" t="b">
        <f>+ISNUMBER(SEARCH('F-COMPRA'!#REF!,Tabla11[[#This Row],[Cuenta]],1))</f>
        <v>0</v>
      </c>
      <c r="AE135" t="b">
        <f>+ISNUMBER(SEARCH('F-COMPRA'!#REF!,Tabla11[[#This Row],[Cuenta]],1))</f>
        <v>0</v>
      </c>
      <c r="AF135" t="b">
        <f>+ISNUMBER(SEARCH('F-VTA'!$G$23,Tabla11[[#This Row],[Cuenta]],1))</f>
        <v>0</v>
      </c>
      <c r="AG135" t="b">
        <f>+ISNUMBER(SEARCH('F-VTA'!$G$24,Tabla11[[#This Row],[Cuenta]],1))</f>
        <v>0</v>
      </c>
      <c r="AH135" t="b">
        <f>+ISNUMBER(SEARCH('F-VTA'!$G$25,Tabla11[[#This Row],[Cuenta]],1))</f>
        <v>0</v>
      </c>
      <c r="AI135" t="b">
        <f>+ISNUMBER(SEARCH('F-VTA'!$F$28,Tabla11[[#This Row],[Cuenta]],1))</f>
        <v>1</v>
      </c>
      <c r="AJ135" t="b">
        <f>+ISNUMBER(SEARCH('F-VTA'!$F$29,Tabla11[[#This Row],[Cuenta]],1))</f>
        <v>1</v>
      </c>
      <c r="AK135" t="b">
        <f>+ISNUMBER(SEARCH('F-VTA'!$F$30,Tabla11[[#This Row],[Cuenta]],1))</f>
        <v>1</v>
      </c>
      <c r="AL135" t="b">
        <f>+ISNUMBER(SEARCH('F-VTA'!$F$31,Tabla11[[#This Row],[Cuenta]],1))</f>
        <v>1</v>
      </c>
      <c r="AM135" t="b">
        <f>+ISNUMBER(SEARCH('F-VTA'!$F$32,Tabla11[[#This Row],[Cuenta]],1))</f>
        <v>1</v>
      </c>
      <c r="AN135" t="b">
        <f>+ISNUMBER(SEARCH('F-VTA'!$F$33,Tabla11[[#This Row],[Cuenta]],1))</f>
        <v>1</v>
      </c>
      <c r="AO135" t="b">
        <f>+ISNUMBER(SEARCH('F-VTA'!$F$34,Tabla11[[#This Row],[Cuenta]],1))</f>
        <v>1</v>
      </c>
      <c r="AP135" t="b">
        <f>+ISNUMBER(SEARCH('F-VTA'!$F$35,Tabla11[[#This Row],[Cuenta]],1))</f>
        <v>1</v>
      </c>
      <c r="AQ135" t="b">
        <f>+ISNUMBER(SEARCH('F-VTA'!$F$36,Tabla11[[#This Row],[Cuenta]],1))</f>
        <v>1</v>
      </c>
      <c r="AR135" t="b">
        <f>+ISNUMBER(SEARCH(#REF!,Tabla11[[#This Row],[Cuenta]],1))</f>
        <v>0</v>
      </c>
      <c r="AS135" t="b">
        <f>+ISNUMBER(SEARCH(#REF!,Tabla11[[#This Row],[Cuenta]],1))</f>
        <v>0</v>
      </c>
      <c r="AT135" t="b">
        <f>+ISNUMBER(SEARCH(#REF!,Tabla11[[#This Row],[Cuenta]],1))</f>
        <v>0</v>
      </c>
      <c r="AU135" t="b">
        <f>+ISNUMBER(SEARCH('Conc. Ban.1'!$I$9,Tabla11[[#This Row],[Cuenta]],1))</f>
        <v>0</v>
      </c>
      <c r="AV135" t="b">
        <f>+ISNUMBER(SEARCH(CompConta!$F$21,Tabla11[[#This Row],[Cuenta]],1))</f>
        <v>1</v>
      </c>
      <c r="AW135" t="b">
        <f>+ISNUMBER(SEARCH(CompConta!$F$22,Tabla11[[#This Row],[Cuenta]],1))</f>
        <v>1</v>
      </c>
      <c r="AX135" t="b">
        <f>+ISNUMBER(SEARCH(CompConta!$F$23,Tabla11[[#This Row],[Cuenta]],1))</f>
        <v>1</v>
      </c>
      <c r="AY135" t="b">
        <f>+ISNUMBER(SEARCH(CompConta!$F$24,Tabla11[[#This Row],[Cuenta]],1))</f>
        <v>1</v>
      </c>
      <c r="AZ135" t="b">
        <f>+ISNUMBER(SEARCH(CompConta!$F$25,Tabla11[[#This Row],[Cuenta]],1))</f>
        <v>1</v>
      </c>
      <c r="BA135" t="b">
        <f>+ISNUMBER(SEARCH(CompConta!$F$26,Tabla11[[#This Row],[Cuenta]],1))</f>
        <v>1</v>
      </c>
      <c r="BB135" t="b">
        <f>+ISNUMBER(SEARCH(CompConta!$F$27,Tabla11[[#This Row],[Cuenta]],1))</f>
        <v>1</v>
      </c>
      <c r="BC135" t="b">
        <f>+ISNUMBER(SEARCH(CompConta!$F$28,Tabla11[[#This Row],[Cuenta]],1))</f>
        <v>1</v>
      </c>
      <c r="BD135" t="b">
        <f>+ISNUMBER(SEARCH(CompConta!$F$29,Tabla11[[#This Row],[Cuenta]],1))</f>
        <v>1</v>
      </c>
      <c r="BE135" t="b">
        <f>+ISNUMBER(SEARCH(CompConta!$F$30,Tabla11[[#This Row],[Cuenta]],1))</f>
        <v>1</v>
      </c>
      <c r="BF135" t="b">
        <f>+ISNUMBER(SEARCH('PAGO Compras'!$E$11,Tabla11[[#This Row],[Cuenta]],1))</f>
        <v>1</v>
      </c>
      <c r="BG135" t="b">
        <f>+ISNUMBER(SEARCH(#REF!,Tabla11[[#This Row],[Cuenta]],1))</f>
        <v>0</v>
      </c>
      <c r="BH135" t="b">
        <f>+ISNUMBER(SEARCH(#REF!,Tabla11[[#This Row],[Cuenta]],1))</f>
        <v>0</v>
      </c>
      <c r="BI135" t="b">
        <f>+ISNUMBER(SEARCH(#REF!,Tabla11[[#This Row],[Cuenta]],1))</f>
        <v>0</v>
      </c>
      <c r="BJ135" t="b">
        <f>+ISNUMBER(SEARCH(#REF!,Tabla11[[#This Row],[Cuenta]],1))</f>
        <v>0</v>
      </c>
      <c r="BS135" t="str">
        <v>151670 Parqueaderos garajes y depósitos</v>
      </c>
      <c r="BT135" t="str">
        <v>151670 Parqueaderos garajes y depósitos</v>
      </c>
      <c r="BU135" t="str">
        <v>151670 Parqueaderos garajes y depósitos</v>
      </c>
      <c r="BV135" t="str">
        <v>151670 Parqueaderos garajes y depósitos</v>
      </c>
      <c r="BZ135" t="str">
        <v>151670 Parqueaderos garajes y depósitos</v>
      </c>
      <c r="CA135" t="str">
        <v>151670 Parqueaderos garajes y depósitos</v>
      </c>
      <c r="CB135" t="str">
        <v>151670 Parqueaderos garajes y depósitos</v>
      </c>
      <c r="CC135" t="str">
        <v>151670 Parqueaderos garajes y depósitos</v>
      </c>
      <c r="CD135" t="str">
        <v>151670 Parqueaderos garajes y depósitos</v>
      </c>
      <c r="CE135" t="str">
        <v>151670 Parqueaderos garajes y depósitos</v>
      </c>
      <c r="CS135" s="141" t="str">
        <v>151670 Parqueaderos garajes y depósitos</v>
      </c>
      <c r="CT135" s="141" t="str">
        <v>151670 Parqueaderos garajes y depósitos</v>
      </c>
      <c r="CU135" s="141" t="str">
        <v>151670 Parqueaderos garajes y depósitos</v>
      </c>
      <c r="CV135" s="141" t="str">
        <v>151670 Parqueaderos garajes y depósitos</v>
      </c>
      <c r="CW135" s="141" t="str">
        <v>151670 Parqueaderos garajes y depósitos</v>
      </c>
      <c r="CX135" s="141" t="str">
        <v>151670 Parqueaderos garajes y depósitos</v>
      </c>
      <c r="CY135" s="141" t="str">
        <v>151670 Parqueaderos garajes y depósitos</v>
      </c>
      <c r="CZ135" s="141" t="str">
        <v>151670 Parqueaderos garajes y depósitos</v>
      </c>
      <c r="DA135" s="141" t="str">
        <v>151670 Parqueaderos garajes y depósitos</v>
      </c>
      <c r="DF135" t="str">
        <v>151670 Parqueaderos garajes y depósitos</v>
      </c>
      <c r="DG135" t="str">
        <v>151670 Parqueaderos garajes y depósitos</v>
      </c>
      <c r="DH135" t="str">
        <v>151670 Parqueaderos garajes y depósitos</v>
      </c>
      <c r="DI135" t="str">
        <v>151670 Parqueaderos garajes y depósitos</v>
      </c>
      <c r="DJ135" t="str">
        <v>151670 Parqueaderos garajes y depósitos</v>
      </c>
      <c r="DK135" t="str">
        <v>151670 Parqueaderos garajes y depósitos</v>
      </c>
      <c r="DL135" t="str">
        <v>151670 Parqueaderos garajes y depósitos</v>
      </c>
      <c r="DM135" t="str">
        <v>151670 Parqueaderos garajes y depósitos</v>
      </c>
      <c r="DN135" t="str">
        <v>151670 Parqueaderos garajes y depósitos</v>
      </c>
      <c r="DO135" t="str">
        <v>151670 Parqueaderos garajes y depósitos</v>
      </c>
      <c r="DP135" t="str">
        <v>151670 Parqueaderos garajes y depósitos</v>
      </c>
    </row>
    <row r="136" spans="4:120" ht="12.75">
      <c r="D136" s="7">
        <v>151675</v>
      </c>
      <c r="E136" s="6" t="s">
        <v>154</v>
      </c>
      <c r="F136" s="5">
        <v>4</v>
      </c>
      <c r="G136" s="34" t="s">
        <v>822</v>
      </c>
      <c r="H136" s="8" t="s">
        <v>32</v>
      </c>
      <c r="I136" t="b">
        <f>+ISNUMBER(SEARCH('F-COMPRA'!$F$28,Tabla11[[#This Row],[Cuenta]],1))</f>
        <v>1</v>
      </c>
      <c r="J136" t="b">
        <f>+ISNUMBER(SEARCH('F-COMPRA'!$F$29,Tabla11[[#This Row],[Cuenta]],1))</f>
        <v>1</v>
      </c>
      <c r="K136" t="b">
        <f>+ISNUMBER(SEARCH('F-COMPRA'!$F$30,Tabla11[[#This Row],[Cuenta]],1))</f>
        <v>1</v>
      </c>
      <c r="L136" t="b">
        <f>+ISNUMBER(SEARCH('F-COMPRA'!$F$31,Tabla11[[#This Row],[Cuenta]],1))</f>
        <v>1</v>
      </c>
      <c r="M136" t="b">
        <f>+ISNUMBER(SEARCH('F-COMPRA'!$G$25,Tabla11[[#This Row],[Cuenta]],1))</f>
        <v>0</v>
      </c>
      <c r="N136" t="b">
        <f>+ISNUMBER(SEARCH(#REF!,Tabla11[[#This Row],[Cuenta]],1))</f>
        <v>0</v>
      </c>
      <c r="O136" t="b">
        <f>+ISNUMBER(SEARCH(#REF!,Tabla11[[#This Row],[Cuenta]],1))</f>
        <v>0</v>
      </c>
      <c r="P136" t="b">
        <f>+ISNUMBER(SEARCH('F-COMPRA'!$F$32,Tabla11[[#This Row],[Cuenta]],1))</f>
        <v>1</v>
      </c>
      <c r="Q136" t="b">
        <f>+ISNUMBER(SEARCH('F-COMPRA'!$F$33,Tabla11[[#This Row],[Cuenta]],1))</f>
        <v>1</v>
      </c>
      <c r="R136" t="b">
        <f>+ISNUMBER(SEARCH('F-COMPRA'!$F$34,Tabla11[[#This Row],[Cuenta]],1))</f>
        <v>1</v>
      </c>
      <c r="S136" t="b">
        <f>+ISNUMBER(SEARCH('F-COMPRA'!$F$35,Tabla11[[#This Row],[Cuenta]],1))</f>
        <v>1</v>
      </c>
      <c r="T136" t="b">
        <f>+ISNUMBER(SEARCH('F-COMPRA'!$F$36,Tabla11[[#This Row],[Cuenta]],1))</f>
        <v>1</v>
      </c>
      <c r="U136" t="b">
        <f>+ISNUMBER(SEARCH('F-COMPRA'!$F$37,Tabla11[[#This Row],[Cuenta]],1))</f>
        <v>1</v>
      </c>
      <c r="V136" t="b">
        <f>+ISNUMBER(SEARCH(#REF!,Tabla11[[#This Row],[Cuenta]],1))</f>
        <v>0</v>
      </c>
      <c r="W136" t="b">
        <f>+ISNUMBER(SEARCH('F-COMPRA'!#REF!,Tabla11[[#This Row],[Cuenta]],1))</f>
        <v>0</v>
      </c>
      <c r="X136" t="b">
        <f>+ISNUMBER(SEARCH('F-COMPRA'!#REF!,Tabla11[[#This Row],[Cuenta]],1))</f>
        <v>0</v>
      </c>
      <c r="Y136" t="b">
        <f>+ISNUMBER(SEARCH('F-COMPRA'!#REF!,Tabla11[[#This Row],[Cuenta]],1))</f>
        <v>0</v>
      </c>
      <c r="Z136" t="b">
        <f>+ISNUMBER(SEARCH('F-COMPRA'!#REF!,Tabla11[[#This Row],[Cuenta]],1))</f>
        <v>0</v>
      </c>
      <c r="AA136" t="b">
        <f>+ISNUMBER(SEARCH('F-COMPRA'!#REF!,Tabla11[[#This Row],[Cuenta]],1))</f>
        <v>0</v>
      </c>
      <c r="AB136" t="b">
        <f>+ISNUMBER(SEARCH('F-COMPRA'!#REF!,Tabla11[[#This Row],[Cuenta]],1))</f>
        <v>0</v>
      </c>
      <c r="AC136" t="b">
        <f>+ISNUMBER(SEARCH('F-COMPRA'!#REF!,Tabla11[[#This Row],[Cuenta]],1))</f>
        <v>0</v>
      </c>
      <c r="AD136" t="b">
        <f>+ISNUMBER(SEARCH('F-COMPRA'!#REF!,Tabla11[[#This Row],[Cuenta]],1))</f>
        <v>0</v>
      </c>
      <c r="AE136" t="b">
        <f>+ISNUMBER(SEARCH('F-COMPRA'!#REF!,Tabla11[[#This Row],[Cuenta]],1))</f>
        <v>0</v>
      </c>
      <c r="AF136" t="b">
        <f>+ISNUMBER(SEARCH('F-VTA'!$G$23,Tabla11[[#This Row],[Cuenta]],1))</f>
        <v>0</v>
      </c>
      <c r="AG136" t="b">
        <f>+ISNUMBER(SEARCH('F-VTA'!$G$24,Tabla11[[#This Row],[Cuenta]],1))</f>
        <v>0</v>
      </c>
      <c r="AH136" t="b">
        <f>+ISNUMBER(SEARCH('F-VTA'!$G$25,Tabla11[[#This Row],[Cuenta]],1))</f>
        <v>0</v>
      </c>
      <c r="AI136" t="b">
        <f>+ISNUMBER(SEARCH('F-VTA'!$F$28,Tabla11[[#This Row],[Cuenta]],1))</f>
        <v>1</v>
      </c>
      <c r="AJ136" t="b">
        <f>+ISNUMBER(SEARCH('F-VTA'!$F$29,Tabla11[[#This Row],[Cuenta]],1))</f>
        <v>1</v>
      </c>
      <c r="AK136" t="b">
        <f>+ISNUMBER(SEARCH('F-VTA'!$F$30,Tabla11[[#This Row],[Cuenta]],1))</f>
        <v>1</v>
      </c>
      <c r="AL136" t="b">
        <f>+ISNUMBER(SEARCH('F-VTA'!$F$31,Tabla11[[#This Row],[Cuenta]],1))</f>
        <v>1</v>
      </c>
      <c r="AM136" t="b">
        <f>+ISNUMBER(SEARCH('F-VTA'!$F$32,Tabla11[[#This Row],[Cuenta]],1))</f>
        <v>1</v>
      </c>
      <c r="AN136" t="b">
        <f>+ISNUMBER(SEARCH('F-VTA'!$F$33,Tabla11[[#This Row],[Cuenta]],1))</f>
        <v>1</v>
      </c>
      <c r="AO136" t="b">
        <f>+ISNUMBER(SEARCH('F-VTA'!$F$34,Tabla11[[#This Row],[Cuenta]],1))</f>
        <v>1</v>
      </c>
      <c r="AP136" t="b">
        <f>+ISNUMBER(SEARCH('F-VTA'!$F$35,Tabla11[[#This Row],[Cuenta]],1))</f>
        <v>1</v>
      </c>
      <c r="AQ136" t="b">
        <f>+ISNUMBER(SEARCH('F-VTA'!$F$36,Tabla11[[#This Row],[Cuenta]],1))</f>
        <v>1</v>
      </c>
      <c r="AR136" t="b">
        <f>+ISNUMBER(SEARCH(#REF!,Tabla11[[#This Row],[Cuenta]],1))</f>
        <v>0</v>
      </c>
      <c r="AS136" t="b">
        <f>+ISNUMBER(SEARCH(#REF!,Tabla11[[#This Row],[Cuenta]],1))</f>
        <v>0</v>
      </c>
      <c r="AT136" t="b">
        <f>+ISNUMBER(SEARCH(#REF!,Tabla11[[#This Row],[Cuenta]],1))</f>
        <v>0</v>
      </c>
      <c r="AU136" t="b">
        <f>+ISNUMBER(SEARCH('Conc. Ban.1'!$I$9,Tabla11[[#This Row],[Cuenta]],1))</f>
        <v>0</v>
      </c>
      <c r="AV136" t="b">
        <f>+ISNUMBER(SEARCH(CompConta!$F$21,Tabla11[[#This Row],[Cuenta]],1))</f>
        <v>1</v>
      </c>
      <c r="AW136" t="b">
        <f>+ISNUMBER(SEARCH(CompConta!$F$22,Tabla11[[#This Row],[Cuenta]],1))</f>
        <v>1</v>
      </c>
      <c r="AX136" t="b">
        <f>+ISNUMBER(SEARCH(CompConta!$F$23,Tabla11[[#This Row],[Cuenta]],1))</f>
        <v>1</v>
      </c>
      <c r="AY136" t="b">
        <f>+ISNUMBER(SEARCH(CompConta!$F$24,Tabla11[[#This Row],[Cuenta]],1))</f>
        <v>1</v>
      </c>
      <c r="AZ136" t="b">
        <f>+ISNUMBER(SEARCH(CompConta!$F$25,Tabla11[[#This Row],[Cuenta]],1))</f>
        <v>1</v>
      </c>
      <c r="BA136" t="b">
        <f>+ISNUMBER(SEARCH(CompConta!$F$26,Tabla11[[#This Row],[Cuenta]],1))</f>
        <v>1</v>
      </c>
      <c r="BB136" t="b">
        <f>+ISNUMBER(SEARCH(CompConta!$F$27,Tabla11[[#This Row],[Cuenta]],1))</f>
        <v>1</v>
      </c>
      <c r="BC136" t="b">
        <f>+ISNUMBER(SEARCH(CompConta!$F$28,Tabla11[[#This Row],[Cuenta]],1))</f>
        <v>1</v>
      </c>
      <c r="BD136" t="b">
        <f>+ISNUMBER(SEARCH(CompConta!$F$29,Tabla11[[#This Row],[Cuenta]],1))</f>
        <v>1</v>
      </c>
      <c r="BE136" t="b">
        <f>+ISNUMBER(SEARCH(CompConta!$F$30,Tabla11[[#This Row],[Cuenta]],1))</f>
        <v>1</v>
      </c>
      <c r="BF136" t="b">
        <f>+ISNUMBER(SEARCH('PAGO Compras'!$E$11,Tabla11[[#This Row],[Cuenta]],1))</f>
        <v>1</v>
      </c>
      <c r="BG136" t="b">
        <f>+ISNUMBER(SEARCH(#REF!,Tabla11[[#This Row],[Cuenta]],1))</f>
        <v>0</v>
      </c>
      <c r="BH136" t="b">
        <f>+ISNUMBER(SEARCH(#REF!,Tabla11[[#This Row],[Cuenta]],1))</f>
        <v>0</v>
      </c>
      <c r="BI136" t="b">
        <f>+ISNUMBER(SEARCH(#REF!,Tabla11[[#This Row],[Cuenta]],1))</f>
        <v>0</v>
      </c>
      <c r="BJ136" t="b">
        <f>+ISNUMBER(SEARCH(#REF!,Tabla11[[#This Row],[Cuenta]],1))</f>
        <v>0</v>
      </c>
      <c r="BS136" t="str">
        <v>151675 Hangares</v>
      </c>
      <c r="BT136" t="str">
        <v>151675 Hangares</v>
      </c>
      <c r="BU136" t="str">
        <v>151675 Hangares</v>
      </c>
      <c r="BV136" t="str">
        <v>151675 Hangares</v>
      </c>
      <c r="BZ136" t="str">
        <v>151675 Hangares</v>
      </c>
      <c r="CA136" t="str">
        <v>151675 Hangares</v>
      </c>
      <c r="CB136" t="str">
        <v>151675 Hangares</v>
      </c>
      <c r="CC136" t="str">
        <v>151675 Hangares</v>
      </c>
      <c r="CD136" t="str">
        <v>151675 Hangares</v>
      </c>
      <c r="CE136" t="str">
        <v>151675 Hangares</v>
      </c>
      <c r="CS136" s="141" t="str">
        <v>151675 Hangares</v>
      </c>
      <c r="CT136" s="141" t="str">
        <v>151675 Hangares</v>
      </c>
      <c r="CU136" s="141" t="str">
        <v>151675 Hangares</v>
      </c>
      <c r="CV136" s="141" t="str">
        <v>151675 Hangares</v>
      </c>
      <c r="CW136" s="141" t="str">
        <v>151675 Hangares</v>
      </c>
      <c r="CX136" s="141" t="str">
        <v>151675 Hangares</v>
      </c>
      <c r="CY136" s="141" t="str">
        <v>151675 Hangares</v>
      </c>
      <c r="CZ136" s="141" t="str">
        <v>151675 Hangares</v>
      </c>
      <c r="DA136" s="141" t="str">
        <v>151675 Hangares</v>
      </c>
      <c r="DF136" t="str">
        <v>151675 Hangares</v>
      </c>
      <c r="DG136" t="str">
        <v>151675 Hangares</v>
      </c>
      <c r="DH136" t="str">
        <v>151675 Hangares</v>
      </c>
      <c r="DI136" t="str">
        <v>151675 Hangares</v>
      </c>
      <c r="DJ136" t="str">
        <v>151675 Hangares</v>
      </c>
      <c r="DK136" t="str">
        <v>151675 Hangares</v>
      </c>
      <c r="DL136" t="str">
        <v>151675 Hangares</v>
      </c>
      <c r="DM136" t="str">
        <v>151675 Hangares</v>
      </c>
      <c r="DN136" t="str">
        <v>151675 Hangares</v>
      </c>
      <c r="DO136" t="str">
        <v>151675 Hangares</v>
      </c>
      <c r="DP136" t="str">
        <v>151675 Hangares</v>
      </c>
    </row>
    <row r="137" spans="4:120" ht="12.75">
      <c r="D137" s="7">
        <v>151680</v>
      </c>
      <c r="E137" s="6" t="s">
        <v>155</v>
      </c>
      <c r="F137" s="5">
        <v>4</v>
      </c>
      <c r="G137" s="34" t="s">
        <v>822</v>
      </c>
      <c r="H137" s="8" t="s">
        <v>32</v>
      </c>
      <c r="I137" t="b">
        <f>+ISNUMBER(SEARCH('F-COMPRA'!$F$28,Tabla11[[#This Row],[Cuenta]],1))</f>
        <v>1</v>
      </c>
      <c r="J137" t="b">
        <f>+ISNUMBER(SEARCH('F-COMPRA'!$F$29,Tabla11[[#This Row],[Cuenta]],1))</f>
        <v>1</v>
      </c>
      <c r="K137" t="b">
        <f>+ISNUMBER(SEARCH('F-COMPRA'!$F$30,Tabla11[[#This Row],[Cuenta]],1))</f>
        <v>1</v>
      </c>
      <c r="L137" t="b">
        <f>+ISNUMBER(SEARCH('F-COMPRA'!$F$31,Tabla11[[#This Row],[Cuenta]],1))</f>
        <v>1</v>
      </c>
      <c r="M137" t="b">
        <f>+ISNUMBER(SEARCH('F-COMPRA'!$G$25,Tabla11[[#This Row],[Cuenta]],1))</f>
        <v>0</v>
      </c>
      <c r="N137" t="b">
        <f>+ISNUMBER(SEARCH(#REF!,Tabla11[[#This Row],[Cuenta]],1))</f>
        <v>0</v>
      </c>
      <c r="O137" t="b">
        <f>+ISNUMBER(SEARCH(#REF!,Tabla11[[#This Row],[Cuenta]],1))</f>
        <v>0</v>
      </c>
      <c r="P137" t="b">
        <f>+ISNUMBER(SEARCH('F-COMPRA'!$F$32,Tabla11[[#This Row],[Cuenta]],1))</f>
        <v>1</v>
      </c>
      <c r="Q137" t="b">
        <f>+ISNUMBER(SEARCH('F-COMPRA'!$F$33,Tabla11[[#This Row],[Cuenta]],1))</f>
        <v>1</v>
      </c>
      <c r="R137" t="b">
        <f>+ISNUMBER(SEARCH('F-COMPRA'!$F$34,Tabla11[[#This Row],[Cuenta]],1))</f>
        <v>1</v>
      </c>
      <c r="S137" t="b">
        <f>+ISNUMBER(SEARCH('F-COMPRA'!$F$35,Tabla11[[#This Row],[Cuenta]],1))</f>
        <v>1</v>
      </c>
      <c r="T137" t="b">
        <f>+ISNUMBER(SEARCH('F-COMPRA'!$F$36,Tabla11[[#This Row],[Cuenta]],1))</f>
        <v>1</v>
      </c>
      <c r="U137" t="b">
        <f>+ISNUMBER(SEARCH('F-COMPRA'!$F$37,Tabla11[[#This Row],[Cuenta]],1))</f>
        <v>1</v>
      </c>
      <c r="V137" t="b">
        <f>+ISNUMBER(SEARCH(#REF!,Tabla11[[#This Row],[Cuenta]],1))</f>
        <v>0</v>
      </c>
      <c r="W137" t="b">
        <f>+ISNUMBER(SEARCH('F-COMPRA'!#REF!,Tabla11[[#This Row],[Cuenta]],1))</f>
        <v>0</v>
      </c>
      <c r="X137" t="b">
        <f>+ISNUMBER(SEARCH('F-COMPRA'!#REF!,Tabla11[[#This Row],[Cuenta]],1))</f>
        <v>0</v>
      </c>
      <c r="Y137" t="b">
        <f>+ISNUMBER(SEARCH('F-COMPRA'!#REF!,Tabla11[[#This Row],[Cuenta]],1))</f>
        <v>0</v>
      </c>
      <c r="Z137" t="b">
        <f>+ISNUMBER(SEARCH('F-COMPRA'!#REF!,Tabla11[[#This Row],[Cuenta]],1))</f>
        <v>0</v>
      </c>
      <c r="AA137" t="b">
        <f>+ISNUMBER(SEARCH('F-COMPRA'!#REF!,Tabla11[[#This Row],[Cuenta]],1))</f>
        <v>0</v>
      </c>
      <c r="AB137" t="b">
        <f>+ISNUMBER(SEARCH('F-COMPRA'!#REF!,Tabla11[[#This Row],[Cuenta]],1))</f>
        <v>0</v>
      </c>
      <c r="AC137" t="b">
        <f>+ISNUMBER(SEARCH('F-COMPRA'!#REF!,Tabla11[[#This Row],[Cuenta]],1))</f>
        <v>0</v>
      </c>
      <c r="AD137" t="b">
        <f>+ISNUMBER(SEARCH('F-COMPRA'!#REF!,Tabla11[[#This Row],[Cuenta]],1))</f>
        <v>0</v>
      </c>
      <c r="AE137" t="b">
        <f>+ISNUMBER(SEARCH('F-COMPRA'!#REF!,Tabla11[[#This Row],[Cuenta]],1))</f>
        <v>0</v>
      </c>
      <c r="AF137" t="b">
        <f>+ISNUMBER(SEARCH('F-VTA'!$G$23,Tabla11[[#This Row],[Cuenta]],1))</f>
        <v>0</v>
      </c>
      <c r="AG137" t="b">
        <f>+ISNUMBER(SEARCH('F-VTA'!$G$24,Tabla11[[#This Row],[Cuenta]],1))</f>
        <v>0</v>
      </c>
      <c r="AH137" t="b">
        <f>+ISNUMBER(SEARCH('F-VTA'!$G$25,Tabla11[[#This Row],[Cuenta]],1))</f>
        <v>0</v>
      </c>
      <c r="AI137" t="b">
        <f>+ISNUMBER(SEARCH('F-VTA'!$F$28,Tabla11[[#This Row],[Cuenta]],1))</f>
        <v>1</v>
      </c>
      <c r="AJ137" t="b">
        <f>+ISNUMBER(SEARCH('F-VTA'!$F$29,Tabla11[[#This Row],[Cuenta]],1))</f>
        <v>1</v>
      </c>
      <c r="AK137" t="b">
        <f>+ISNUMBER(SEARCH('F-VTA'!$F$30,Tabla11[[#This Row],[Cuenta]],1))</f>
        <v>1</v>
      </c>
      <c r="AL137" t="b">
        <f>+ISNUMBER(SEARCH('F-VTA'!$F$31,Tabla11[[#This Row],[Cuenta]],1))</f>
        <v>1</v>
      </c>
      <c r="AM137" t="b">
        <f>+ISNUMBER(SEARCH('F-VTA'!$F$32,Tabla11[[#This Row],[Cuenta]],1))</f>
        <v>1</v>
      </c>
      <c r="AN137" t="b">
        <f>+ISNUMBER(SEARCH('F-VTA'!$F$33,Tabla11[[#This Row],[Cuenta]],1))</f>
        <v>1</v>
      </c>
      <c r="AO137" t="b">
        <f>+ISNUMBER(SEARCH('F-VTA'!$F$34,Tabla11[[#This Row],[Cuenta]],1))</f>
        <v>1</v>
      </c>
      <c r="AP137" t="b">
        <f>+ISNUMBER(SEARCH('F-VTA'!$F$35,Tabla11[[#This Row],[Cuenta]],1))</f>
        <v>1</v>
      </c>
      <c r="AQ137" t="b">
        <f>+ISNUMBER(SEARCH('F-VTA'!$F$36,Tabla11[[#This Row],[Cuenta]],1))</f>
        <v>1</v>
      </c>
      <c r="AR137" t="b">
        <f>+ISNUMBER(SEARCH(#REF!,Tabla11[[#This Row],[Cuenta]],1))</f>
        <v>0</v>
      </c>
      <c r="AS137" t="b">
        <f>+ISNUMBER(SEARCH(#REF!,Tabla11[[#This Row],[Cuenta]],1))</f>
        <v>0</v>
      </c>
      <c r="AT137" t="b">
        <f>+ISNUMBER(SEARCH(#REF!,Tabla11[[#This Row],[Cuenta]],1))</f>
        <v>0</v>
      </c>
      <c r="AU137" t="b">
        <f>+ISNUMBER(SEARCH('Conc. Ban.1'!$I$9,Tabla11[[#This Row],[Cuenta]],1))</f>
        <v>0</v>
      </c>
      <c r="AV137" t="b">
        <f>+ISNUMBER(SEARCH(CompConta!$F$21,Tabla11[[#This Row],[Cuenta]],1))</f>
        <v>1</v>
      </c>
      <c r="AW137" t="b">
        <f>+ISNUMBER(SEARCH(CompConta!$F$22,Tabla11[[#This Row],[Cuenta]],1))</f>
        <v>1</v>
      </c>
      <c r="AX137" t="b">
        <f>+ISNUMBER(SEARCH(CompConta!$F$23,Tabla11[[#This Row],[Cuenta]],1))</f>
        <v>1</v>
      </c>
      <c r="AY137" t="b">
        <f>+ISNUMBER(SEARCH(CompConta!$F$24,Tabla11[[#This Row],[Cuenta]],1))</f>
        <v>1</v>
      </c>
      <c r="AZ137" t="b">
        <f>+ISNUMBER(SEARCH(CompConta!$F$25,Tabla11[[#This Row],[Cuenta]],1))</f>
        <v>1</v>
      </c>
      <c r="BA137" t="b">
        <f>+ISNUMBER(SEARCH(CompConta!$F$26,Tabla11[[#This Row],[Cuenta]],1))</f>
        <v>1</v>
      </c>
      <c r="BB137" t="b">
        <f>+ISNUMBER(SEARCH(CompConta!$F$27,Tabla11[[#This Row],[Cuenta]],1))</f>
        <v>1</v>
      </c>
      <c r="BC137" t="b">
        <f>+ISNUMBER(SEARCH(CompConta!$F$28,Tabla11[[#This Row],[Cuenta]],1))</f>
        <v>1</v>
      </c>
      <c r="BD137" t="b">
        <f>+ISNUMBER(SEARCH(CompConta!$F$29,Tabla11[[#This Row],[Cuenta]],1))</f>
        <v>1</v>
      </c>
      <c r="BE137" t="b">
        <f>+ISNUMBER(SEARCH(CompConta!$F$30,Tabla11[[#This Row],[Cuenta]],1))</f>
        <v>1</v>
      </c>
      <c r="BF137" t="b">
        <f>+ISNUMBER(SEARCH('PAGO Compras'!$E$11,Tabla11[[#This Row],[Cuenta]],1))</f>
        <v>1</v>
      </c>
      <c r="BG137" t="b">
        <f>+ISNUMBER(SEARCH(#REF!,Tabla11[[#This Row],[Cuenta]],1))</f>
        <v>0</v>
      </c>
      <c r="BH137" t="b">
        <f>+ISNUMBER(SEARCH(#REF!,Tabla11[[#This Row],[Cuenta]],1))</f>
        <v>0</v>
      </c>
      <c r="BI137" t="b">
        <f>+ISNUMBER(SEARCH(#REF!,Tabla11[[#This Row],[Cuenta]],1))</f>
        <v>0</v>
      </c>
      <c r="BJ137" t="b">
        <f>+ISNUMBER(SEARCH(#REF!,Tabla11[[#This Row],[Cuenta]],1))</f>
        <v>0</v>
      </c>
      <c r="BS137" t="str">
        <v>151680 Bodegas</v>
      </c>
      <c r="BT137" t="str">
        <v>151680 Bodegas</v>
      </c>
      <c r="BU137" t="str">
        <v>151680 Bodegas</v>
      </c>
      <c r="BV137" t="str">
        <v>151680 Bodegas</v>
      </c>
      <c r="BZ137" t="str">
        <v>151680 Bodegas</v>
      </c>
      <c r="CA137" t="str">
        <v>151680 Bodegas</v>
      </c>
      <c r="CB137" t="str">
        <v>151680 Bodegas</v>
      </c>
      <c r="CC137" t="str">
        <v>151680 Bodegas</v>
      </c>
      <c r="CD137" t="str">
        <v>151680 Bodegas</v>
      </c>
      <c r="CE137" t="str">
        <v>151680 Bodegas</v>
      </c>
      <c r="CS137" s="141" t="str">
        <v>151680 Bodegas</v>
      </c>
      <c r="CT137" s="141" t="str">
        <v>151680 Bodegas</v>
      </c>
      <c r="CU137" s="141" t="str">
        <v>151680 Bodegas</v>
      </c>
      <c r="CV137" s="141" t="str">
        <v>151680 Bodegas</v>
      </c>
      <c r="CW137" s="141" t="str">
        <v>151680 Bodegas</v>
      </c>
      <c r="CX137" s="141" t="str">
        <v>151680 Bodegas</v>
      </c>
      <c r="CY137" s="141" t="str">
        <v>151680 Bodegas</v>
      </c>
      <c r="CZ137" s="141" t="str">
        <v>151680 Bodegas</v>
      </c>
      <c r="DA137" s="141" t="str">
        <v>151680 Bodegas</v>
      </c>
      <c r="DF137" t="str">
        <v>151680 Bodegas</v>
      </c>
      <c r="DG137" t="str">
        <v>151680 Bodegas</v>
      </c>
      <c r="DH137" t="str">
        <v>151680 Bodegas</v>
      </c>
      <c r="DI137" t="str">
        <v>151680 Bodegas</v>
      </c>
      <c r="DJ137" t="str">
        <v>151680 Bodegas</v>
      </c>
      <c r="DK137" t="str">
        <v>151680 Bodegas</v>
      </c>
      <c r="DL137" t="str">
        <v>151680 Bodegas</v>
      </c>
      <c r="DM137" t="str">
        <v>151680 Bodegas</v>
      </c>
      <c r="DN137" t="str">
        <v>151680 Bodegas</v>
      </c>
      <c r="DO137" t="str">
        <v>151680 Bodegas</v>
      </c>
      <c r="DP137" t="str">
        <v>151680 Bodegas</v>
      </c>
    </row>
    <row r="138" spans="4:120" ht="12.75">
      <c r="D138" s="7">
        <v>151695</v>
      </c>
      <c r="E138" s="6" t="s">
        <v>45</v>
      </c>
      <c r="F138" s="5">
        <v>4</v>
      </c>
      <c r="G138" s="34" t="s">
        <v>822</v>
      </c>
      <c r="H138" s="8" t="s">
        <v>32</v>
      </c>
      <c r="I138" t="b">
        <f>+ISNUMBER(SEARCH('F-COMPRA'!$F$28,Tabla11[[#This Row],[Cuenta]],1))</f>
        <v>1</v>
      </c>
      <c r="J138" t="b">
        <f>+ISNUMBER(SEARCH('F-COMPRA'!$F$29,Tabla11[[#This Row],[Cuenta]],1))</f>
        <v>1</v>
      </c>
      <c r="K138" t="b">
        <f>+ISNUMBER(SEARCH('F-COMPRA'!$F$30,Tabla11[[#This Row],[Cuenta]],1))</f>
        <v>1</v>
      </c>
      <c r="L138" t="b">
        <f>+ISNUMBER(SEARCH('F-COMPRA'!$F$31,Tabla11[[#This Row],[Cuenta]],1))</f>
        <v>1</v>
      </c>
      <c r="M138" t="b">
        <f>+ISNUMBER(SEARCH('F-COMPRA'!$G$25,Tabla11[[#This Row],[Cuenta]],1))</f>
        <v>0</v>
      </c>
      <c r="N138" t="b">
        <f>+ISNUMBER(SEARCH(#REF!,Tabla11[[#This Row],[Cuenta]],1))</f>
        <v>0</v>
      </c>
      <c r="O138" t="b">
        <f>+ISNUMBER(SEARCH(#REF!,Tabla11[[#This Row],[Cuenta]],1))</f>
        <v>0</v>
      </c>
      <c r="P138" t="b">
        <f>+ISNUMBER(SEARCH('F-COMPRA'!$F$32,Tabla11[[#This Row],[Cuenta]],1))</f>
        <v>1</v>
      </c>
      <c r="Q138" t="b">
        <f>+ISNUMBER(SEARCH('F-COMPRA'!$F$33,Tabla11[[#This Row],[Cuenta]],1))</f>
        <v>1</v>
      </c>
      <c r="R138" t="b">
        <f>+ISNUMBER(SEARCH('F-COMPRA'!$F$34,Tabla11[[#This Row],[Cuenta]],1))</f>
        <v>1</v>
      </c>
      <c r="S138" t="b">
        <f>+ISNUMBER(SEARCH('F-COMPRA'!$F$35,Tabla11[[#This Row],[Cuenta]],1))</f>
        <v>1</v>
      </c>
      <c r="T138" t="b">
        <f>+ISNUMBER(SEARCH('F-COMPRA'!$F$36,Tabla11[[#This Row],[Cuenta]],1))</f>
        <v>1</v>
      </c>
      <c r="U138" t="b">
        <f>+ISNUMBER(SEARCH('F-COMPRA'!$F$37,Tabla11[[#This Row],[Cuenta]],1))</f>
        <v>1</v>
      </c>
      <c r="V138" t="b">
        <f>+ISNUMBER(SEARCH(#REF!,Tabla11[[#This Row],[Cuenta]],1))</f>
        <v>0</v>
      </c>
      <c r="W138" t="b">
        <f>+ISNUMBER(SEARCH('F-COMPRA'!#REF!,Tabla11[[#This Row],[Cuenta]],1))</f>
        <v>0</v>
      </c>
      <c r="X138" t="b">
        <f>+ISNUMBER(SEARCH('F-COMPRA'!#REF!,Tabla11[[#This Row],[Cuenta]],1))</f>
        <v>0</v>
      </c>
      <c r="Y138" t="b">
        <f>+ISNUMBER(SEARCH('F-COMPRA'!#REF!,Tabla11[[#This Row],[Cuenta]],1))</f>
        <v>0</v>
      </c>
      <c r="Z138" t="b">
        <f>+ISNUMBER(SEARCH('F-COMPRA'!#REF!,Tabla11[[#This Row],[Cuenta]],1))</f>
        <v>0</v>
      </c>
      <c r="AA138" t="b">
        <f>+ISNUMBER(SEARCH('F-COMPRA'!#REF!,Tabla11[[#This Row],[Cuenta]],1))</f>
        <v>0</v>
      </c>
      <c r="AB138" t="b">
        <f>+ISNUMBER(SEARCH('F-COMPRA'!#REF!,Tabla11[[#This Row],[Cuenta]],1))</f>
        <v>0</v>
      </c>
      <c r="AC138" t="b">
        <f>+ISNUMBER(SEARCH('F-COMPRA'!#REF!,Tabla11[[#This Row],[Cuenta]],1))</f>
        <v>0</v>
      </c>
      <c r="AD138" t="b">
        <f>+ISNUMBER(SEARCH('F-COMPRA'!#REF!,Tabla11[[#This Row],[Cuenta]],1))</f>
        <v>0</v>
      </c>
      <c r="AE138" t="b">
        <f>+ISNUMBER(SEARCH('F-COMPRA'!#REF!,Tabla11[[#This Row],[Cuenta]],1))</f>
        <v>0</v>
      </c>
      <c r="AF138" t="b">
        <f>+ISNUMBER(SEARCH('F-VTA'!$G$23,Tabla11[[#This Row],[Cuenta]],1))</f>
        <v>0</v>
      </c>
      <c r="AG138" t="b">
        <f>+ISNUMBER(SEARCH('F-VTA'!$G$24,Tabla11[[#This Row],[Cuenta]],1))</f>
        <v>0</v>
      </c>
      <c r="AH138" t="b">
        <f>+ISNUMBER(SEARCH('F-VTA'!$G$25,Tabla11[[#This Row],[Cuenta]],1))</f>
        <v>0</v>
      </c>
      <c r="AI138" t="b">
        <f>+ISNUMBER(SEARCH('F-VTA'!$F$28,Tabla11[[#This Row],[Cuenta]],1))</f>
        <v>1</v>
      </c>
      <c r="AJ138" t="b">
        <f>+ISNUMBER(SEARCH('F-VTA'!$F$29,Tabla11[[#This Row],[Cuenta]],1))</f>
        <v>1</v>
      </c>
      <c r="AK138" t="b">
        <f>+ISNUMBER(SEARCH('F-VTA'!$F$30,Tabla11[[#This Row],[Cuenta]],1))</f>
        <v>1</v>
      </c>
      <c r="AL138" t="b">
        <f>+ISNUMBER(SEARCH('F-VTA'!$F$31,Tabla11[[#This Row],[Cuenta]],1))</f>
        <v>1</v>
      </c>
      <c r="AM138" t="b">
        <f>+ISNUMBER(SEARCH('F-VTA'!$F$32,Tabla11[[#This Row],[Cuenta]],1))</f>
        <v>1</v>
      </c>
      <c r="AN138" t="b">
        <f>+ISNUMBER(SEARCH('F-VTA'!$F$33,Tabla11[[#This Row],[Cuenta]],1))</f>
        <v>1</v>
      </c>
      <c r="AO138" t="b">
        <f>+ISNUMBER(SEARCH('F-VTA'!$F$34,Tabla11[[#This Row],[Cuenta]],1))</f>
        <v>1</v>
      </c>
      <c r="AP138" t="b">
        <f>+ISNUMBER(SEARCH('F-VTA'!$F$35,Tabla11[[#This Row],[Cuenta]],1))</f>
        <v>1</v>
      </c>
      <c r="AQ138" t="b">
        <f>+ISNUMBER(SEARCH('F-VTA'!$F$36,Tabla11[[#This Row],[Cuenta]],1))</f>
        <v>1</v>
      </c>
      <c r="AR138" t="b">
        <f>+ISNUMBER(SEARCH(#REF!,Tabla11[[#This Row],[Cuenta]],1))</f>
        <v>0</v>
      </c>
      <c r="AS138" t="b">
        <f>+ISNUMBER(SEARCH(#REF!,Tabla11[[#This Row],[Cuenta]],1))</f>
        <v>0</v>
      </c>
      <c r="AT138" t="b">
        <f>+ISNUMBER(SEARCH(#REF!,Tabla11[[#This Row],[Cuenta]],1))</f>
        <v>0</v>
      </c>
      <c r="AU138" t="b">
        <f>+ISNUMBER(SEARCH('Conc. Ban.1'!$I$9,Tabla11[[#This Row],[Cuenta]],1))</f>
        <v>0</v>
      </c>
      <c r="AV138" t="b">
        <f>+ISNUMBER(SEARCH(CompConta!$F$21,Tabla11[[#This Row],[Cuenta]],1))</f>
        <v>1</v>
      </c>
      <c r="AW138" t="b">
        <f>+ISNUMBER(SEARCH(CompConta!$F$22,Tabla11[[#This Row],[Cuenta]],1))</f>
        <v>1</v>
      </c>
      <c r="AX138" t="b">
        <f>+ISNUMBER(SEARCH(CompConta!$F$23,Tabla11[[#This Row],[Cuenta]],1))</f>
        <v>1</v>
      </c>
      <c r="AY138" t="b">
        <f>+ISNUMBER(SEARCH(CompConta!$F$24,Tabla11[[#This Row],[Cuenta]],1))</f>
        <v>1</v>
      </c>
      <c r="AZ138" t="b">
        <f>+ISNUMBER(SEARCH(CompConta!$F$25,Tabla11[[#This Row],[Cuenta]],1))</f>
        <v>1</v>
      </c>
      <c r="BA138" t="b">
        <f>+ISNUMBER(SEARCH(CompConta!$F$26,Tabla11[[#This Row],[Cuenta]],1))</f>
        <v>1</v>
      </c>
      <c r="BB138" t="b">
        <f>+ISNUMBER(SEARCH(CompConta!$F$27,Tabla11[[#This Row],[Cuenta]],1))</f>
        <v>1</v>
      </c>
      <c r="BC138" t="b">
        <f>+ISNUMBER(SEARCH(CompConta!$F$28,Tabla11[[#This Row],[Cuenta]],1))</f>
        <v>1</v>
      </c>
      <c r="BD138" t="b">
        <f>+ISNUMBER(SEARCH(CompConta!$F$29,Tabla11[[#This Row],[Cuenta]],1))</f>
        <v>1</v>
      </c>
      <c r="BE138" t="b">
        <f>+ISNUMBER(SEARCH(CompConta!$F$30,Tabla11[[#This Row],[Cuenta]],1))</f>
        <v>1</v>
      </c>
      <c r="BF138" t="b">
        <f>+ISNUMBER(SEARCH('PAGO Compras'!$E$11,Tabla11[[#This Row],[Cuenta]],1))</f>
        <v>1</v>
      </c>
      <c r="BG138" t="b">
        <f>+ISNUMBER(SEARCH(#REF!,Tabla11[[#This Row],[Cuenta]],1))</f>
        <v>0</v>
      </c>
      <c r="BH138" t="b">
        <f>+ISNUMBER(SEARCH(#REF!,Tabla11[[#This Row],[Cuenta]],1))</f>
        <v>0</v>
      </c>
      <c r="BI138" t="b">
        <f>+ISNUMBER(SEARCH(#REF!,Tabla11[[#This Row],[Cuenta]],1))</f>
        <v>0</v>
      </c>
      <c r="BJ138" t="b">
        <f>+ISNUMBER(SEARCH(#REF!,Tabla11[[#This Row],[Cuenta]],1))</f>
        <v>0</v>
      </c>
      <c r="BS138" t="str">
        <v>151695 Otros</v>
      </c>
      <c r="BT138" t="str">
        <v>151695 Otros</v>
      </c>
      <c r="BU138" t="str">
        <v>151695 Otros</v>
      </c>
      <c r="BV138" t="str">
        <v>151695 Otros</v>
      </c>
      <c r="BZ138" t="str">
        <v>151695 Otros</v>
      </c>
      <c r="CA138" t="str">
        <v>151695 Otros</v>
      </c>
      <c r="CB138" t="str">
        <v>151695 Otros</v>
      </c>
      <c r="CC138" t="str">
        <v>151695 Otros</v>
      </c>
      <c r="CD138" t="str">
        <v>151695 Otros</v>
      </c>
      <c r="CE138" t="str">
        <v>151695 Otros</v>
      </c>
      <c r="CS138" s="141" t="str">
        <v>151695 Otros</v>
      </c>
      <c r="CT138" s="141" t="str">
        <v>151695 Otros</v>
      </c>
      <c r="CU138" s="141" t="str">
        <v>151695 Otros</v>
      </c>
      <c r="CV138" s="141" t="str">
        <v>151695 Otros</v>
      </c>
      <c r="CW138" s="141" t="str">
        <v>151695 Otros</v>
      </c>
      <c r="CX138" s="141" t="str">
        <v>151695 Otros</v>
      </c>
      <c r="CY138" s="141" t="str">
        <v>151695 Otros</v>
      </c>
      <c r="CZ138" s="141" t="str">
        <v>151695 Otros</v>
      </c>
      <c r="DA138" s="141" t="str">
        <v>151695 Otros</v>
      </c>
      <c r="DF138" t="str">
        <v>151695 Otros</v>
      </c>
      <c r="DG138" t="str">
        <v>151695 Otros</v>
      </c>
      <c r="DH138" t="str">
        <v>151695 Otros</v>
      </c>
      <c r="DI138" t="str">
        <v>151695 Otros</v>
      </c>
      <c r="DJ138" t="str">
        <v>151695 Otros</v>
      </c>
      <c r="DK138" t="str">
        <v>151695 Otros</v>
      </c>
      <c r="DL138" t="str">
        <v>151695 Otros</v>
      </c>
      <c r="DM138" t="str">
        <v>151695 Otros</v>
      </c>
      <c r="DN138" t="str">
        <v>151695 Otros</v>
      </c>
      <c r="DO138" t="str">
        <v>151695 Otros</v>
      </c>
      <c r="DP138" t="str">
        <v>151695 Otros</v>
      </c>
    </row>
    <row r="139" spans="4:120" ht="12.75">
      <c r="D139" s="7">
        <v>151699</v>
      </c>
      <c r="E139" s="6" t="s">
        <v>44</v>
      </c>
      <c r="F139" s="5">
        <v>4</v>
      </c>
      <c r="G139" s="34" t="s">
        <v>822</v>
      </c>
      <c r="H139" s="8" t="s">
        <v>32</v>
      </c>
      <c r="I139" t="b">
        <f>+ISNUMBER(SEARCH('F-COMPRA'!$F$28,Tabla11[[#This Row],[Cuenta]],1))</f>
        <v>1</v>
      </c>
      <c r="J139" t="b">
        <f>+ISNUMBER(SEARCH('F-COMPRA'!$F$29,Tabla11[[#This Row],[Cuenta]],1))</f>
        <v>1</v>
      </c>
      <c r="K139" t="b">
        <f>+ISNUMBER(SEARCH('F-COMPRA'!$F$30,Tabla11[[#This Row],[Cuenta]],1))</f>
        <v>1</v>
      </c>
      <c r="L139" t="b">
        <f>+ISNUMBER(SEARCH('F-COMPRA'!$F$31,Tabla11[[#This Row],[Cuenta]],1))</f>
        <v>1</v>
      </c>
      <c r="M139" t="b">
        <f>+ISNUMBER(SEARCH('F-COMPRA'!$G$25,Tabla11[[#This Row],[Cuenta]],1))</f>
        <v>0</v>
      </c>
      <c r="N139" t="b">
        <f>+ISNUMBER(SEARCH(#REF!,Tabla11[[#This Row],[Cuenta]],1))</f>
        <v>0</v>
      </c>
      <c r="O139" t="b">
        <f>+ISNUMBER(SEARCH(#REF!,Tabla11[[#This Row],[Cuenta]],1))</f>
        <v>0</v>
      </c>
      <c r="P139" t="b">
        <f>+ISNUMBER(SEARCH('F-COMPRA'!$F$32,Tabla11[[#This Row],[Cuenta]],1))</f>
        <v>1</v>
      </c>
      <c r="Q139" t="b">
        <f>+ISNUMBER(SEARCH('F-COMPRA'!$F$33,Tabla11[[#This Row],[Cuenta]],1))</f>
        <v>1</v>
      </c>
      <c r="R139" t="b">
        <f>+ISNUMBER(SEARCH('F-COMPRA'!$F$34,Tabla11[[#This Row],[Cuenta]],1))</f>
        <v>1</v>
      </c>
      <c r="S139" t="b">
        <f>+ISNUMBER(SEARCH('F-COMPRA'!$F$35,Tabla11[[#This Row],[Cuenta]],1))</f>
        <v>1</v>
      </c>
      <c r="T139" t="b">
        <f>+ISNUMBER(SEARCH('F-COMPRA'!$F$36,Tabla11[[#This Row],[Cuenta]],1))</f>
        <v>1</v>
      </c>
      <c r="U139" t="b">
        <f>+ISNUMBER(SEARCH('F-COMPRA'!$F$37,Tabla11[[#This Row],[Cuenta]],1))</f>
        <v>1</v>
      </c>
      <c r="V139" t="b">
        <f>+ISNUMBER(SEARCH(#REF!,Tabla11[[#This Row],[Cuenta]],1))</f>
        <v>0</v>
      </c>
      <c r="W139" t="b">
        <f>+ISNUMBER(SEARCH('F-COMPRA'!#REF!,Tabla11[[#This Row],[Cuenta]],1))</f>
        <v>0</v>
      </c>
      <c r="X139" t="b">
        <f>+ISNUMBER(SEARCH('F-COMPRA'!#REF!,Tabla11[[#This Row],[Cuenta]],1))</f>
        <v>0</v>
      </c>
      <c r="Y139" t="b">
        <f>+ISNUMBER(SEARCH('F-COMPRA'!#REF!,Tabla11[[#This Row],[Cuenta]],1))</f>
        <v>0</v>
      </c>
      <c r="Z139" t="b">
        <f>+ISNUMBER(SEARCH('F-COMPRA'!#REF!,Tabla11[[#This Row],[Cuenta]],1))</f>
        <v>0</v>
      </c>
      <c r="AA139" t="b">
        <f>+ISNUMBER(SEARCH('F-COMPRA'!#REF!,Tabla11[[#This Row],[Cuenta]],1))</f>
        <v>0</v>
      </c>
      <c r="AB139" t="b">
        <f>+ISNUMBER(SEARCH('F-COMPRA'!#REF!,Tabla11[[#This Row],[Cuenta]],1))</f>
        <v>0</v>
      </c>
      <c r="AC139" t="b">
        <f>+ISNUMBER(SEARCH('F-COMPRA'!#REF!,Tabla11[[#This Row],[Cuenta]],1))</f>
        <v>0</v>
      </c>
      <c r="AD139" t="b">
        <f>+ISNUMBER(SEARCH('F-COMPRA'!#REF!,Tabla11[[#This Row],[Cuenta]],1))</f>
        <v>0</v>
      </c>
      <c r="AE139" t="b">
        <f>+ISNUMBER(SEARCH('F-COMPRA'!#REF!,Tabla11[[#This Row],[Cuenta]],1))</f>
        <v>0</v>
      </c>
      <c r="AF139" t="b">
        <f>+ISNUMBER(SEARCH('F-VTA'!$G$23,Tabla11[[#This Row],[Cuenta]],1))</f>
        <v>0</v>
      </c>
      <c r="AG139" t="b">
        <f>+ISNUMBER(SEARCH('F-VTA'!$G$24,Tabla11[[#This Row],[Cuenta]],1))</f>
        <v>0</v>
      </c>
      <c r="AH139" t="b">
        <f>+ISNUMBER(SEARCH('F-VTA'!$G$25,Tabla11[[#This Row],[Cuenta]],1))</f>
        <v>0</v>
      </c>
      <c r="AI139" t="b">
        <f>+ISNUMBER(SEARCH('F-VTA'!$F$28,Tabla11[[#This Row],[Cuenta]],1))</f>
        <v>1</v>
      </c>
      <c r="AJ139" t="b">
        <f>+ISNUMBER(SEARCH('F-VTA'!$F$29,Tabla11[[#This Row],[Cuenta]],1))</f>
        <v>1</v>
      </c>
      <c r="AK139" t="b">
        <f>+ISNUMBER(SEARCH('F-VTA'!$F$30,Tabla11[[#This Row],[Cuenta]],1))</f>
        <v>1</v>
      </c>
      <c r="AL139" t="b">
        <f>+ISNUMBER(SEARCH('F-VTA'!$F$31,Tabla11[[#This Row],[Cuenta]],1))</f>
        <v>1</v>
      </c>
      <c r="AM139" t="b">
        <f>+ISNUMBER(SEARCH('F-VTA'!$F$32,Tabla11[[#This Row],[Cuenta]],1))</f>
        <v>1</v>
      </c>
      <c r="AN139" t="b">
        <f>+ISNUMBER(SEARCH('F-VTA'!$F$33,Tabla11[[#This Row],[Cuenta]],1))</f>
        <v>1</v>
      </c>
      <c r="AO139" t="b">
        <f>+ISNUMBER(SEARCH('F-VTA'!$F$34,Tabla11[[#This Row],[Cuenta]],1))</f>
        <v>1</v>
      </c>
      <c r="AP139" t="b">
        <f>+ISNUMBER(SEARCH('F-VTA'!$F$35,Tabla11[[#This Row],[Cuenta]],1))</f>
        <v>1</v>
      </c>
      <c r="AQ139" t="b">
        <f>+ISNUMBER(SEARCH('F-VTA'!$F$36,Tabla11[[#This Row],[Cuenta]],1))</f>
        <v>1</v>
      </c>
      <c r="AR139" t="b">
        <f>+ISNUMBER(SEARCH(#REF!,Tabla11[[#This Row],[Cuenta]],1))</f>
        <v>0</v>
      </c>
      <c r="AS139" t="b">
        <f>+ISNUMBER(SEARCH(#REF!,Tabla11[[#This Row],[Cuenta]],1))</f>
        <v>0</v>
      </c>
      <c r="AT139" t="b">
        <f>+ISNUMBER(SEARCH(#REF!,Tabla11[[#This Row],[Cuenta]],1))</f>
        <v>0</v>
      </c>
      <c r="AU139" t="b">
        <f>+ISNUMBER(SEARCH('Conc. Ban.1'!$I$9,Tabla11[[#This Row],[Cuenta]],1))</f>
        <v>0</v>
      </c>
      <c r="AV139" t="b">
        <f>+ISNUMBER(SEARCH(CompConta!$F$21,Tabla11[[#This Row],[Cuenta]],1))</f>
        <v>1</v>
      </c>
      <c r="AW139" t="b">
        <f>+ISNUMBER(SEARCH(CompConta!$F$22,Tabla11[[#This Row],[Cuenta]],1))</f>
        <v>1</v>
      </c>
      <c r="AX139" t="b">
        <f>+ISNUMBER(SEARCH(CompConta!$F$23,Tabla11[[#This Row],[Cuenta]],1))</f>
        <v>1</v>
      </c>
      <c r="AY139" t="b">
        <f>+ISNUMBER(SEARCH(CompConta!$F$24,Tabla11[[#This Row],[Cuenta]],1))</f>
        <v>1</v>
      </c>
      <c r="AZ139" t="b">
        <f>+ISNUMBER(SEARCH(CompConta!$F$25,Tabla11[[#This Row],[Cuenta]],1))</f>
        <v>1</v>
      </c>
      <c r="BA139" t="b">
        <f>+ISNUMBER(SEARCH(CompConta!$F$26,Tabla11[[#This Row],[Cuenta]],1))</f>
        <v>1</v>
      </c>
      <c r="BB139" t="b">
        <f>+ISNUMBER(SEARCH(CompConta!$F$27,Tabla11[[#This Row],[Cuenta]],1))</f>
        <v>1</v>
      </c>
      <c r="BC139" t="b">
        <f>+ISNUMBER(SEARCH(CompConta!$F$28,Tabla11[[#This Row],[Cuenta]],1))</f>
        <v>1</v>
      </c>
      <c r="BD139" t="b">
        <f>+ISNUMBER(SEARCH(CompConta!$F$29,Tabla11[[#This Row],[Cuenta]],1))</f>
        <v>1</v>
      </c>
      <c r="BE139" t="b">
        <f>+ISNUMBER(SEARCH(CompConta!$F$30,Tabla11[[#This Row],[Cuenta]],1))</f>
        <v>1</v>
      </c>
      <c r="BF139" t="b">
        <f>+ISNUMBER(SEARCH('PAGO Compras'!$E$11,Tabla11[[#This Row],[Cuenta]],1))</f>
        <v>1</v>
      </c>
      <c r="BG139" t="b">
        <f>+ISNUMBER(SEARCH(#REF!,Tabla11[[#This Row],[Cuenta]],1))</f>
        <v>0</v>
      </c>
      <c r="BH139" t="b">
        <f>+ISNUMBER(SEARCH(#REF!,Tabla11[[#This Row],[Cuenta]],1))</f>
        <v>0</v>
      </c>
      <c r="BI139" t="b">
        <f>+ISNUMBER(SEARCH(#REF!,Tabla11[[#This Row],[Cuenta]],1))</f>
        <v>0</v>
      </c>
      <c r="BJ139" t="b">
        <f>+ISNUMBER(SEARCH(#REF!,Tabla11[[#This Row],[Cuenta]],1))</f>
        <v>0</v>
      </c>
      <c r="BS139" t="str">
        <v>151699 Ajustes por inflación</v>
      </c>
      <c r="BT139" t="str">
        <v>151699 Ajustes por inflación</v>
      </c>
      <c r="BU139" t="str">
        <v>151699 Ajustes por inflación</v>
      </c>
      <c r="BV139" t="str">
        <v>151699 Ajustes por inflación</v>
      </c>
      <c r="BZ139" t="str">
        <v>151699 Ajustes por inflación</v>
      </c>
      <c r="CA139" t="str">
        <v>151699 Ajustes por inflación</v>
      </c>
      <c r="CB139" t="str">
        <v>151699 Ajustes por inflación</v>
      </c>
      <c r="CC139" t="str">
        <v>151699 Ajustes por inflación</v>
      </c>
      <c r="CD139" t="str">
        <v>151699 Ajustes por inflación</v>
      </c>
      <c r="CE139" t="str">
        <v>151699 Ajustes por inflación</v>
      </c>
      <c r="CS139" s="141" t="str">
        <v>151699 Ajustes por inflación</v>
      </c>
      <c r="CT139" s="141" t="str">
        <v>151699 Ajustes por inflación</v>
      </c>
      <c r="CU139" s="141" t="str">
        <v>151699 Ajustes por inflación</v>
      </c>
      <c r="CV139" s="141" t="str">
        <v>151699 Ajustes por inflación</v>
      </c>
      <c r="CW139" s="141" t="str">
        <v>151699 Ajustes por inflación</v>
      </c>
      <c r="CX139" s="141" t="str">
        <v>151699 Ajustes por inflación</v>
      </c>
      <c r="CY139" s="141" t="str">
        <v>151699 Ajustes por inflación</v>
      </c>
      <c r="CZ139" s="141" t="str">
        <v>151699 Ajustes por inflación</v>
      </c>
      <c r="DA139" s="141" t="str">
        <v>151699 Ajustes por inflación</v>
      </c>
      <c r="DF139" t="str">
        <v>151699 Ajustes por inflación</v>
      </c>
      <c r="DG139" t="str">
        <v>151699 Ajustes por inflación</v>
      </c>
      <c r="DH139" t="str">
        <v>151699 Ajustes por inflación</v>
      </c>
      <c r="DI139" t="str">
        <v>151699 Ajustes por inflación</v>
      </c>
      <c r="DJ139" t="str">
        <v>151699 Ajustes por inflación</v>
      </c>
      <c r="DK139" t="str">
        <v>151699 Ajustes por inflación</v>
      </c>
      <c r="DL139" t="str">
        <v>151699 Ajustes por inflación</v>
      </c>
      <c r="DM139" t="str">
        <v>151699 Ajustes por inflación</v>
      </c>
      <c r="DN139" t="str">
        <v>151699 Ajustes por inflación</v>
      </c>
      <c r="DO139" t="str">
        <v>151699 Ajustes por inflación</v>
      </c>
      <c r="DP139" t="str">
        <v>151699 Ajustes por inflación</v>
      </c>
    </row>
    <row r="140" spans="4:120" ht="12.75">
      <c r="D140" s="7">
        <v>1520</v>
      </c>
      <c r="E140" s="6" t="s">
        <v>156</v>
      </c>
      <c r="F140" s="5">
        <v>3</v>
      </c>
      <c r="G140" s="34" t="s">
        <v>822</v>
      </c>
      <c r="H140" s="8" t="s">
        <v>32</v>
      </c>
      <c r="I140" t="b">
        <f>+ISNUMBER(SEARCH('F-COMPRA'!$F$28,Tabla11[[#This Row],[Cuenta]],1))</f>
        <v>1</v>
      </c>
      <c r="J140" t="b">
        <f>+ISNUMBER(SEARCH('F-COMPRA'!$F$29,Tabla11[[#This Row],[Cuenta]],1))</f>
        <v>1</v>
      </c>
      <c r="K140" t="b">
        <f>+ISNUMBER(SEARCH('F-COMPRA'!$F$30,Tabla11[[#This Row],[Cuenta]],1))</f>
        <v>1</v>
      </c>
      <c r="L140" t="b">
        <f>+ISNUMBER(SEARCH('F-COMPRA'!$F$31,Tabla11[[#This Row],[Cuenta]],1))</f>
        <v>1</v>
      </c>
      <c r="M140" t="b">
        <f>+ISNUMBER(SEARCH('F-COMPRA'!$G$25,Tabla11[[#This Row],[Cuenta]],1))</f>
        <v>0</v>
      </c>
      <c r="N140" t="b">
        <f>+ISNUMBER(SEARCH(#REF!,Tabla11[[#This Row],[Cuenta]],1))</f>
        <v>0</v>
      </c>
      <c r="O140" t="b">
        <f>+ISNUMBER(SEARCH(#REF!,Tabla11[[#This Row],[Cuenta]],1))</f>
        <v>0</v>
      </c>
      <c r="P140" t="b">
        <f>+ISNUMBER(SEARCH('F-COMPRA'!$F$32,Tabla11[[#This Row],[Cuenta]],1))</f>
        <v>1</v>
      </c>
      <c r="Q140" t="b">
        <f>+ISNUMBER(SEARCH('F-COMPRA'!$F$33,Tabla11[[#This Row],[Cuenta]],1))</f>
        <v>1</v>
      </c>
      <c r="R140" t="b">
        <f>+ISNUMBER(SEARCH('F-COMPRA'!$F$34,Tabla11[[#This Row],[Cuenta]],1))</f>
        <v>1</v>
      </c>
      <c r="S140" t="b">
        <f>+ISNUMBER(SEARCH('F-COMPRA'!$F$35,Tabla11[[#This Row],[Cuenta]],1))</f>
        <v>1</v>
      </c>
      <c r="T140" t="b">
        <f>+ISNUMBER(SEARCH('F-COMPRA'!$F$36,Tabla11[[#This Row],[Cuenta]],1))</f>
        <v>1</v>
      </c>
      <c r="U140" t="b">
        <f>+ISNUMBER(SEARCH('F-COMPRA'!$F$37,Tabla11[[#This Row],[Cuenta]],1))</f>
        <v>1</v>
      </c>
      <c r="V140" t="b">
        <f>+ISNUMBER(SEARCH(#REF!,Tabla11[[#This Row],[Cuenta]],1))</f>
        <v>0</v>
      </c>
      <c r="W140" t="b">
        <f>+ISNUMBER(SEARCH('F-COMPRA'!#REF!,Tabla11[[#This Row],[Cuenta]],1))</f>
        <v>0</v>
      </c>
      <c r="X140" t="b">
        <f>+ISNUMBER(SEARCH('F-COMPRA'!#REF!,Tabla11[[#This Row],[Cuenta]],1))</f>
        <v>0</v>
      </c>
      <c r="Y140" t="b">
        <f>+ISNUMBER(SEARCH('F-COMPRA'!#REF!,Tabla11[[#This Row],[Cuenta]],1))</f>
        <v>0</v>
      </c>
      <c r="Z140" t="b">
        <f>+ISNUMBER(SEARCH('F-COMPRA'!#REF!,Tabla11[[#This Row],[Cuenta]],1))</f>
        <v>0</v>
      </c>
      <c r="AA140" t="b">
        <f>+ISNUMBER(SEARCH('F-COMPRA'!#REF!,Tabla11[[#This Row],[Cuenta]],1))</f>
        <v>0</v>
      </c>
      <c r="AB140" t="b">
        <f>+ISNUMBER(SEARCH('F-COMPRA'!#REF!,Tabla11[[#This Row],[Cuenta]],1))</f>
        <v>0</v>
      </c>
      <c r="AC140" t="b">
        <f>+ISNUMBER(SEARCH('F-COMPRA'!#REF!,Tabla11[[#This Row],[Cuenta]],1))</f>
        <v>0</v>
      </c>
      <c r="AD140" t="b">
        <f>+ISNUMBER(SEARCH('F-COMPRA'!#REF!,Tabla11[[#This Row],[Cuenta]],1))</f>
        <v>0</v>
      </c>
      <c r="AE140" t="b">
        <f>+ISNUMBER(SEARCH('F-COMPRA'!#REF!,Tabla11[[#This Row],[Cuenta]],1))</f>
        <v>0</v>
      </c>
      <c r="AF140" t="b">
        <f>+ISNUMBER(SEARCH('F-VTA'!$G$23,Tabla11[[#This Row],[Cuenta]],1))</f>
        <v>0</v>
      </c>
      <c r="AG140" t="b">
        <f>+ISNUMBER(SEARCH('F-VTA'!$G$24,Tabla11[[#This Row],[Cuenta]],1))</f>
        <v>0</v>
      </c>
      <c r="AH140" t="b">
        <f>+ISNUMBER(SEARCH('F-VTA'!$G$25,Tabla11[[#This Row],[Cuenta]],1))</f>
        <v>0</v>
      </c>
      <c r="AI140" t="b">
        <f>+ISNUMBER(SEARCH('F-VTA'!$F$28,Tabla11[[#This Row],[Cuenta]],1))</f>
        <v>1</v>
      </c>
      <c r="AJ140" t="b">
        <f>+ISNUMBER(SEARCH('F-VTA'!$F$29,Tabla11[[#This Row],[Cuenta]],1))</f>
        <v>1</v>
      </c>
      <c r="AK140" t="b">
        <f>+ISNUMBER(SEARCH('F-VTA'!$F$30,Tabla11[[#This Row],[Cuenta]],1))</f>
        <v>1</v>
      </c>
      <c r="AL140" t="b">
        <f>+ISNUMBER(SEARCH('F-VTA'!$F$31,Tabla11[[#This Row],[Cuenta]],1))</f>
        <v>1</v>
      </c>
      <c r="AM140" t="b">
        <f>+ISNUMBER(SEARCH('F-VTA'!$F$32,Tabla11[[#This Row],[Cuenta]],1))</f>
        <v>1</v>
      </c>
      <c r="AN140" t="b">
        <f>+ISNUMBER(SEARCH('F-VTA'!$F$33,Tabla11[[#This Row],[Cuenta]],1))</f>
        <v>1</v>
      </c>
      <c r="AO140" t="b">
        <f>+ISNUMBER(SEARCH('F-VTA'!$F$34,Tabla11[[#This Row],[Cuenta]],1))</f>
        <v>1</v>
      </c>
      <c r="AP140" t="b">
        <f>+ISNUMBER(SEARCH('F-VTA'!$F$35,Tabla11[[#This Row],[Cuenta]],1))</f>
        <v>1</v>
      </c>
      <c r="AQ140" t="b">
        <f>+ISNUMBER(SEARCH('F-VTA'!$F$36,Tabla11[[#This Row],[Cuenta]],1))</f>
        <v>1</v>
      </c>
      <c r="AR140" t="b">
        <f>+ISNUMBER(SEARCH(#REF!,Tabla11[[#This Row],[Cuenta]],1))</f>
        <v>0</v>
      </c>
      <c r="AS140" t="b">
        <f>+ISNUMBER(SEARCH(#REF!,Tabla11[[#This Row],[Cuenta]],1))</f>
        <v>0</v>
      </c>
      <c r="AT140" t="b">
        <f>+ISNUMBER(SEARCH(#REF!,Tabla11[[#This Row],[Cuenta]],1))</f>
        <v>0</v>
      </c>
      <c r="AU140" t="b">
        <f>+ISNUMBER(SEARCH('Conc. Ban.1'!$I$9,Tabla11[[#This Row],[Cuenta]],1))</f>
        <v>0</v>
      </c>
      <c r="AV140" t="b">
        <f>+ISNUMBER(SEARCH(CompConta!$F$21,Tabla11[[#This Row],[Cuenta]],1))</f>
        <v>1</v>
      </c>
      <c r="AW140" t="b">
        <f>+ISNUMBER(SEARCH(CompConta!$F$22,Tabla11[[#This Row],[Cuenta]],1))</f>
        <v>1</v>
      </c>
      <c r="AX140" t="b">
        <f>+ISNUMBER(SEARCH(CompConta!$F$23,Tabla11[[#This Row],[Cuenta]],1))</f>
        <v>1</v>
      </c>
      <c r="AY140" t="b">
        <f>+ISNUMBER(SEARCH(CompConta!$F$24,Tabla11[[#This Row],[Cuenta]],1))</f>
        <v>1</v>
      </c>
      <c r="AZ140" t="b">
        <f>+ISNUMBER(SEARCH(CompConta!$F$25,Tabla11[[#This Row],[Cuenta]],1))</f>
        <v>1</v>
      </c>
      <c r="BA140" t="b">
        <f>+ISNUMBER(SEARCH(CompConta!$F$26,Tabla11[[#This Row],[Cuenta]],1))</f>
        <v>1</v>
      </c>
      <c r="BB140" t="b">
        <f>+ISNUMBER(SEARCH(CompConta!$F$27,Tabla11[[#This Row],[Cuenta]],1))</f>
        <v>1</v>
      </c>
      <c r="BC140" t="b">
        <f>+ISNUMBER(SEARCH(CompConta!$F$28,Tabla11[[#This Row],[Cuenta]],1))</f>
        <v>1</v>
      </c>
      <c r="BD140" t="b">
        <f>+ISNUMBER(SEARCH(CompConta!$F$29,Tabla11[[#This Row],[Cuenta]],1))</f>
        <v>1</v>
      </c>
      <c r="BE140" t="b">
        <f>+ISNUMBER(SEARCH(CompConta!$F$30,Tabla11[[#This Row],[Cuenta]],1))</f>
        <v>1</v>
      </c>
      <c r="BF140" t="b">
        <f>+ISNUMBER(SEARCH('PAGO Compras'!$E$11,Tabla11[[#This Row],[Cuenta]],1))</f>
        <v>1</v>
      </c>
      <c r="BG140" t="b">
        <f>+ISNUMBER(SEARCH(#REF!,Tabla11[[#This Row],[Cuenta]],1))</f>
        <v>0</v>
      </c>
      <c r="BH140" t="b">
        <f>+ISNUMBER(SEARCH(#REF!,Tabla11[[#This Row],[Cuenta]],1))</f>
        <v>0</v>
      </c>
      <c r="BI140" t="b">
        <f>+ISNUMBER(SEARCH(#REF!,Tabla11[[#This Row],[Cuenta]],1))</f>
        <v>0</v>
      </c>
      <c r="BJ140" t="b">
        <f>+ISNUMBER(SEARCH(#REF!,Tabla11[[#This Row],[Cuenta]],1))</f>
        <v>0</v>
      </c>
      <c r="BS140" t="str">
        <v>1520 MAQUINARIA Y EQUIPO</v>
      </c>
      <c r="BT140" t="str">
        <v>1520 MAQUINARIA Y EQUIPO</v>
      </c>
      <c r="BU140" t="str">
        <v>1520 MAQUINARIA Y EQUIPO</v>
      </c>
      <c r="BV140" t="str">
        <v>1520 MAQUINARIA Y EQUIPO</v>
      </c>
      <c r="BZ140" t="str">
        <v>1520 MAQUINARIA Y EQUIPO</v>
      </c>
      <c r="CA140" t="str">
        <v>1520 MAQUINARIA Y EQUIPO</v>
      </c>
      <c r="CB140" t="str">
        <v>1520 MAQUINARIA Y EQUIPO</v>
      </c>
      <c r="CC140" t="str">
        <v>1520 MAQUINARIA Y EQUIPO</v>
      </c>
      <c r="CD140" t="str">
        <v>1520 MAQUINARIA Y EQUIPO</v>
      </c>
      <c r="CE140" t="str">
        <v>1520 MAQUINARIA Y EQUIPO</v>
      </c>
      <c r="CS140" s="141" t="str">
        <v>1520 MAQUINARIA Y EQUIPO</v>
      </c>
      <c r="CT140" s="141" t="str">
        <v>1520 MAQUINARIA Y EQUIPO</v>
      </c>
      <c r="CU140" s="141" t="str">
        <v>1520 MAQUINARIA Y EQUIPO</v>
      </c>
      <c r="CV140" s="141" t="str">
        <v>1520 MAQUINARIA Y EQUIPO</v>
      </c>
      <c r="CW140" s="141" t="str">
        <v>1520 MAQUINARIA Y EQUIPO</v>
      </c>
      <c r="CX140" s="141" t="str">
        <v>1520 MAQUINARIA Y EQUIPO</v>
      </c>
      <c r="CY140" s="141" t="str">
        <v>1520 MAQUINARIA Y EQUIPO</v>
      </c>
      <c r="CZ140" s="141" t="str">
        <v>1520 MAQUINARIA Y EQUIPO</v>
      </c>
      <c r="DA140" s="141" t="str">
        <v>1520 MAQUINARIA Y EQUIPO</v>
      </c>
      <c r="DF140" t="str">
        <v>1520 MAQUINARIA Y EQUIPO</v>
      </c>
      <c r="DG140" t="str">
        <v>1520 MAQUINARIA Y EQUIPO</v>
      </c>
      <c r="DH140" t="str">
        <v>1520 MAQUINARIA Y EQUIPO</v>
      </c>
      <c r="DI140" t="str">
        <v>1520 MAQUINARIA Y EQUIPO</v>
      </c>
      <c r="DJ140" t="str">
        <v>1520 MAQUINARIA Y EQUIPO</v>
      </c>
      <c r="DK140" t="str">
        <v>1520 MAQUINARIA Y EQUIPO</v>
      </c>
      <c r="DL140" t="str">
        <v>1520 MAQUINARIA Y EQUIPO</v>
      </c>
      <c r="DM140" t="str">
        <v>1520 MAQUINARIA Y EQUIPO</v>
      </c>
      <c r="DN140" t="str">
        <v>1520 MAQUINARIA Y EQUIPO</v>
      </c>
      <c r="DO140" t="str">
        <v>1520 MAQUINARIA Y EQUIPO</v>
      </c>
      <c r="DP140" t="str">
        <v>1520 MAQUINARIA Y EQUIPO</v>
      </c>
    </row>
    <row r="141" spans="4:120" ht="12.75">
      <c r="D141" s="7">
        <v>152005</v>
      </c>
      <c r="E141" s="6" t="s">
        <v>156</v>
      </c>
      <c r="F141" s="5">
        <v>4</v>
      </c>
      <c r="G141" s="34" t="s">
        <v>822</v>
      </c>
      <c r="H141" s="8" t="s">
        <v>32</v>
      </c>
      <c r="I141" t="b">
        <f>+ISNUMBER(SEARCH('F-COMPRA'!$F$28,Tabla11[[#This Row],[Cuenta]],1))</f>
        <v>1</v>
      </c>
      <c r="J141" t="b">
        <f>+ISNUMBER(SEARCH('F-COMPRA'!$F$29,Tabla11[[#This Row],[Cuenta]],1))</f>
        <v>1</v>
      </c>
      <c r="K141" t="b">
        <f>+ISNUMBER(SEARCH('F-COMPRA'!$F$30,Tabla11[[#This Row],[Cuenta]],1))</f>
        <v>1</v>
      </c>
      <c r="L141" t="b">
        <f>+ISNUMBER(SEARCH('F-COMPRA'!$F$31,Tabla11[[#This Row],[Cuenta]],1))</f>
        <v>1</v>
      </c>
      <c r="M141" t="b">
        <f>+ISNUMBER(SEARCH('F-COMPRA'!$G$25,Tabla11[[#This Row],[Cuenta]],1))</f>
        <v>0</v>
      </c>
      <c r="N141" t="b">
        <f>+ISNUMBER(SEARCH(#REF!,Tabla11[[#This Row],[Cuenta]],1))</f>
        <v>0</v>
      </c>
      <c r="O141" t="b">
        <f>+ISNUMBER(SEARCH(#REF!,Tabla11[[#This Row],[Cuenta]],1))</f>
        <v>0</v>
      </c>
      <c r="P141" t="b">
        <f>+ISNUMBER(SEARCH('F-COMPRA'!$F$32,Tabla11[[#This Row],[Cuenta]],1))</f>
        <v>1</v>
      </c>
      <c r="Q141" t="b">
        <f>+ISNUMBER(SEARCH('F-COMPRA'!$F$33,Tabla11[[#This Row],[Cuenta]],1))</f>
        <v>1</v>
      </c>
      <c r="R141" t="b">
        <f>+ISNUMBER(SEARCH('F-COMPRA'!$F$34,Tabla11[[#This Row],[Cuenta]],1))</f>
        <v>1</v>
      </c>
      <c r="S141" t="b">
        <f>+ISNUMBER(SEARCH('F-COMPRA'!$F$35,Tabla11[[#This Row],[Cuenta]],1))</f>
        <v>1</v>
      </c>
      <c r="T141" t="b">
        <f>+ISNUMBER(SEARCH('F-COMPRA'!$F$36,Tabla11[[#This Row],[Cuenta]],1))</f>
        <v>1</v>
      </c>
      <c r="U141" t="b">
        <f>+ISNUMBER(SEARCH('F-COMPRA'!$F$37,Tabla11[[#This Row],[Cuenta]],1))</f>
        <v>1</v>
      </c>
      <c r="V141" t="b">
        <f>+ISNUMBER(SEARCH(#REF!,Tabla11[[#This Row],[Cuenta]],1))</f>
        <v>0</v>
      </c>
      <c r="W141" t="b">
        <f>+ISNUMBER(SEARCH('F-COMPRA'!#REF!,Tabla11[[#This Row],[Cuenta]],1))</f>
        <v>0</v>
      </c>
      <c r="X141" t="b">
        <f>+ISNUMBER(SEARCH('F-COMPRA'!#REF!,Tabla11[[#This Row],[Cuenta]],1))</f>
        <v>0</v>
      </c>
      <c r="Y141" t="b">
        <f>+ISNUMBER(SEARCH('F-COMPRA'!#REF!,Tabla11[[#This Row],[Cuenta]],1))</f>
        <v>0</v>
      </c>
      <c r="Z141" t="b">
        <f>+ISNUMBER(SEARCH('F-COMPRA'!#REF!,Tabla11[[#This Row],[Cuenta]],1))</f>
        <v>0</v>
      </c>
      <c r="AA141" t="b">
        <f>+ISNUMBER(SEARCH('F-COMPRA'!#REF!,Tabla11[[#This Row],[Cuenta]],1))</f>
        <v>0</v>
      </c>
      <c r="AB141" t="b">
        <f>+ISNUMBER(SEARCH('F-COMPRA'!#REF!,Tabla11[[#This Row],[Cuenta]],1))</f>
        <v>0</v>
      </c>
      <c r="AC141" t="b">
        <f>+ISNUMBER(SEARCH('F-COMPRA'!#REF!,Tabla11[[#This Row],[Cuenta]],1))</f>
        <v>0</v>
      </c>
      <c r="AD141" t="b">
        <f>+ISNUMBER(SEARCH('F-COMPRA'!#REF!,Tabla11[[#This Row],[Cuenta]],1))</f>
        <v>0</v>
      </c>
      <c r="AE141" t="b">
        <f>+ISNUMBER(SEARCH('F-COMPRA'!#REF!,Tabla11[[#This Row],[Cuenta]],1))</f>
        <v>0</v>
      </c>
      <c r="AF141" t="b">
        <f>+ISNUMBER(SEARCH('F-VTA'!$G$23,Tabla11[[#This Row],[Cuenta]],1))</f>
        <v>0</v>
      </c>
      <c r="AG141" t="b">
        <f>+ISNUMBER(SEARCH('F-VTA'!$G$24,Tabla11[[#This Row],[Cuenta]],1))</f>
        <v>0</v>
      </c>
      <c r="AH141" t="b">
        <f>+ISNUMBER(SEARCH('F-VTA'!$G$25,Tabla11[[#This Row],[Cuenta]],1))</f>
        <v>0</v>
      </c>
      <c r="AI141" t="b">
        <f>+ISNUMBER(SEARCH('F-VTA'!$F$28,Tabla11[[#This Row],[Cuenta]],1))</f>
        <v>1</v>
      </c>
      <c r="AJ141" t="b">
        <f>+ISNUMBER(SEARCH('F-VTA'!$F$29,Tabla11[[#This Row],[Cuenta]],1))</f>
        <v>1</v>
      </c>
      <c r="AK141" t="b">
        <f>+ISNUMBER(SEARCH('F-VTA'!$F$30,Tabla11[[#This Row],[Cuenta]],1))</f>
        <v>1</v>
      </c>
      <c r="AL141" t="b">
        <f>+ISNUMBER(SEARCH('F-VTA'!$F$31,Tabla11[[#This Row],[Cuenta]],1))</f>
        <v>1</v>
      </c>
      <c r="AM141" t="b">
        <f>+ISNUMBER(SEARCH('F-VTA'!$F$32,Tabla11[[#This Row],[Cuenta]],1))</f>
        <v>1</v>
      </c>
      <c r="AN141" t="b">
        <f>+ISNUMBER(SEARCH('F-VTA'!$F$33,Tabla11[[#This Row],[Cuenta]],1))</f>
        <v>1</v>
      </c>
      <c r="AO141" t="b">
        <f>+ISNUMBER(SEARCH('F-VTA'!$F$34,Tabla11[[#This Row],[Cuenta]],1))</f>
        <v>1</v>
      </c>
      <c r="AP141" t="b">
        <f>+ISNUMBER(SEARCH('F-VTA'!$F$35,Tabla11[[#This Row],[Cuenta]],1))</f>
        <v>1</v>
      </c>
      <c r="AQ141" t="b">
        <f>+ISNUMBER(SEARCH('F-VTA'!$F$36,Tabla11[[#This Row],[Cuenta]],1))</f>
        <v>1</v>
      </c>
      <c r="AR141" t="b">
        <f>+ISNUMBER(SEARCH(#REF!,Tabla11[[#This Row],[Cuenta]],1))</f>
        <v>0</v>
      </c>
      <c r="AS141" t="b">
        <f>+ISNUMBER(SEARCH(#REF!,Tabla11[[#This Row],[Cuenta]],1))</f>
        <v>0</v>
      </c>
      <c r="AT141" t="b">
        <f>+ISNUMBER(SEARCH(#REF!,Tabla11[[#This Row],[Cuenta]],1))</f>
        <v>0</v>
      </c>
      <c r="AU141" t="b">
        <f>+ISNUMBER(SEARCH('Conc. Ban.1'!$I$9,Tabla11[[#This Row],[Cuenta]],1))</f>
        <v>0</v>
      </c>
      <c r="AV141" t="b">
        <f>+ISNUMBER(SEARCH(CompConta!$F$21,Tabla11[[#This Row],[Cuenta]],1))</f>
        <v>1</v>
      </c>
      <c r="AW141" t="b">
        <f>+ISNUMBER(SEARCH(CompConta!$F$22,Tabla11[[#This Row],[Cuenta]],1))</f>
        <v>1</v>
      </c>
      <c r="AX141" t="b">
        <f>+ISNUMBER(SEARCH(CompConta!$F$23,Tabla11[[#This Row],[Cuenta]],1))</f>
        <v>1</v>
      </c>
      <c r="AY141" t="b">
        <f>+ISNUMBER(SEARCH(CompConta!$F$24,Tabla11[[#This Row],[Cuenta]],1))</f>
        <v>1</v>
      </c>
      <c r="AZ141" t="b">
        <f>+ISNUMBER(SEARCH(CompConta!$F$25,Tabla11[[#This Row],[Cuenta]],1))</f>
        <v>1</v>
      </c>
      <c r="BA141" t="b">
        <f>+ISNUMBER(SEARCH(CompConta!$F$26,Tabla11[[#This Row],[Cuenta]],1))</f>
        <v>1</v>
      </c>
      <c r="BB141" t="b">
        <f>+ISNUMBER(SEARCH(CompConta!$F$27,Tabla11[[#This Row],[Cuenta]],1))</f>
        <v>1</v>
      </c>
      <c r="BC141" t="b">
        <f>+ISNUMBER(SEARCH(CompConta!$F$28,Tabla11[[#This Row],[Cuenta]],1))</f>
        <v>1</v>
      </c>
      <c r="BD141" t="b">
        <f>+ISNUMBER(SEARCH(CompConta!$F$29,Tabla11[[#This Row],[Cuenta]],1))</f>
        <v>1</v>
      </c>
      <c r="BE141" t="b">
        <f>+ISNUMBER(SEARCH(CompConta!$F$30,Tabla11[[#This Row],[Cuenta]],1))</f>
        <v>1</v>
      </c>
      <c r="BF141" t="b">
        <f>+ISNUMBER(SEARCH('PAGO Compras'!$E$11,Tabla11[[#This Row],[Cuenta]],1))</f>
        <v>1</v>
      </c>
      <c r="BG141" t="b">
        <f>+ISNUMBER(SEARCH(#REF!,Tabla11[[#This Row],[Cuenta]],1))</f>
        <v>0</v>
      </c>
      <c r="BH141" t="b">
        <f>+ISNUMBER(SEARCH(#REF!,Tabla11[[#This Row],[Cuenta]],1))</f>
        <v>0</v>
      </c>
      <c r="BI141" t="b">
        <f>+ISNUMBER(SEARCH(#REF!,Tabla11[[#This Row],[Cuenta]],1))</f>
        <v>0</v>
      </c>
      <c r="BJ141" t="b">
        <f>+ISNUMBER(SEARCH(#REF!,Tabla11[[#This Row],[Cuenta]],1))</f>
        <v>0</v>
      </c>
      <c r="BS141" t="str">
        <v>152005 MAQUINARIA Y EQUIPO</v>
      </c>
      <c r="BT141" t="str">
        <v>152005 MAQUINARIA Y EQUIPO</v>
      </c>
      <c r="BU141" t="str">
        <v>152005 MAQUINARIA Y EQUIPO</v>
      </c>
      <c r="BV141" t="str">
        <v>152005 MAQUINARIA Y EQUIPO</v>
      </c>
      <c r="BZ141" t="str">
        <v>152005 MAQUINARIA Y EQUIPO</v>
      </c>
      <c r="CA141" t="str">
        <v>152005 MAQUINARIA Y EQUIPO</v>
      </c>
      <c r="CB141" t="str">
        <v>152005 MAQUINARIA Y EQUIPO</v>
      </c>
      <c r="CC141" t="str">
        <v>152005 MAQUINARIA Y EQUIPO</v>
      </c>
      <c r="CD141" t="str">
        <v>152005 MAQUINARIA Y EQUIPO</v>
      </c>
      <c r="CE141" t="str">
        <v>152005 MAQUINARIA Y EQUIPO</v>
      </c>
      <c r="CS141" s="141" t="str">
        <v>152005 MAQUINARIA Y EQUIPO</v>
      </c>
      <c r="CT141" s="141" t="str">
        <v>152005 MAQUINARIA Y EQUIPO</v>
      </c>
      <c r="CU141" s="141" t="str">
        <v>152005 MAQUINARIA Y EQUIPO</v>
      </c>
      <c r="CV141" s="141" t="str">
        <v>152005 MAQUINARIA Y EQUIPO</v>
      </c>
      <c r="CW141" s="141" t="str">
        <v>152005 MAQUINARIA Y EQUIPO</v>
      </c>
      <c r="CX141" s="141" t="str">
        <v>152005 MAQUINARIA Y EQUIPO</v>
      </c>
      <c r="CY141" s="141" t="str">
        <v>152005 MAQUINARIA Y EQUIPO</v>
      </c>
      <c r="CZ141" s="141" t="str">
        <v>152005 MAQUINARIA Y EQUIPO</v>
      </c>
      <c r="DA141" s="141" t="str">
        <v>152005 MAQUINARIA Y EQUIPO</v>
      </c>
      <c r="DF141" t="str">
        <v>152005 MAQUINARIA Y EQUIPO</v>
      </c>
      <c r="DG141" t="str">
        <v>152005 MAQUINARIA Y EQUIPO</v>
      </c>
      <c r="DH141" t="str">
        <v>152005 MAQUINARIA Y EQUIPO</v>
      </c>
      <c r="DI141" t="str">
        <v>152005 MAQUINARIA Y EQUIPO</v>
      </c>
      <c r="DJ141" t="str">
        <v>152005 MAQUINARIA Y EQUIPO</v>
      </c>
      <c r="DK141" t="str">
        <v>152005 MAQUINARIA Y EQUIPO</v>
      </c>
      <c r="DL141" t="str">
        <v>152005 MAQUINARIA Y EQUIPO</v>
      </c>
      <c r="DM141" t="str">
        <v>152005 MAQUINARIA Y EQUIPO</v>
      </c>
      <c r="DN141" t="str">
        <v>152005 MAQUINARIA Y EQUIPO</v>
      </c>
      <c r="DO141" t="str">
        <v>152005 MAQUINARIA Y EQUIPO</v>
      </c>
      <c r="DP141" t="str">
        <v>152005 MAQUINARIA Y EQUIPO</v>
      </c>
    </row>
    <row r="142" spans="4:120" ht="12.75">
      <c r="D142" s="7">
        <v>152099</v>
      </c>
      <c r="E142" s="6" t="s">
        <v>44</v>
      </c>
      <c r="F142" s="5">
        <v>4</v>
      </c>
      <c r="G142" s="34" t="s">
        <v>822</v>
      </c>
      <c r="H142" s="8" t="s">
        <v>32</v>
      </c>
      <c r="I142" t="b">
        <f>+ISNUMBER(SEARCH('F-COMPRA'!$F$28,Tabla11[[#This Row],[Cuenta]],1))</f>
        <v>1</v>
      </c>
      <c r="J142" t="b">
        <f>+ISNUMBER(SEARCH('F-COMPRA'!$F$29,Tabla11[[#This Row],[Cuenta]],1))</f>
        <v>1</v>
      </c>
      <c r="K142" t="b">
        <f>+ISNUMBER(SEARCH('F-COMPRA'!$F$30,Tabla11[[#This Row],[Cuenta]],1))</f>
        <v>1</v>
      </c>
      <c r="L142" t="b">
        <f>+ISNUMBER(SEARCH('F-COMPRA'!$F$31,Tabla11[[#This Row],[Cuenta]],1))</f>
        <v>1</v>
      </c>
      <c r="M142" t="b">
        <f>+ISNUMBER(SEARCH('F-COMPRA'!$G$25,Tabla11[[#This Row],[Cuenta]],1))</f>
        <v>0</v>
      </c>
      <c r="N142" t="b">
        <f>+ISNUMBER(SEARCH(#REF!,Tabla11[[#This Row],[Cuenta]],1))</f>
        <v>0</v>
      </c>
      <c r="O142" t="b">
        <f>+ISNUMBER(SEARCH(#REF!,Tabla11[[#This Row],[Cuenta]],1))</f>
        <v>0</v>
      </c>
      <c r="P142" t="b">
        <f>+ISNUMBER(SEARCH('F-COMPRA'!$F$32,Tabla11[[#This Row],[Cuenta]],1))</f>
        <v>1</v>
      </c>
      <c r="Q142" t="b">
        <f>+ISNUMBER(SEARCH('F-COMPRA'!$F$33,Tabla11[[#This Row],[Cuenta]],1))</f>
        <v>1</v>
      </c>
      <c r="R142" t="b">
        <f>+ISNUMBER(SEARCH('F-COMPRA'!$F$34,Tabla11[[#This Row],[Cuenta]],1))</f>
        <v>1</v>
      </c>
      <c r="S142" t="b">
        <f>+ISNUMBER(SEARCH('F-COMPRA'!$F$35,Tabla11[[#This Row],[Cuenta]],1))</f>
        <v>1</v>
      </c>
      <c r="T142" t="b">
        <f>+ISNUMBER(SEARCH('F-COMPRA'!$F$36,Tabla11[[#This Row],[Cuenta]],1))</f>
        <v>1</v>
      </c>
      <c r="U142" t="b">
        <f>+ISNUMBER(SEARCH('F-COMPRA'!$F$37,Tabla11[[#This Row],[Cuenta]],1))</f>
        <v>1</v>
      </c>
      <c r="V142" t="b">
        <f>+ISNUMBER(SEARCH(#REF!,Tabla11[[#This Row],[Cuenta]],1))</f>
        <v>0</v>
      </c>
      <c r="W142" t="b">
        <f>+ISNUMBER(SEARCH('F-COMPRA'!#REF!,Tabla11[[#This Row],[Cuenta]],1))</f>
        <v>0</v>
      </c>
      <c r="X142" t="b">
        <f>+ISNUMBER(SEARCH('F-COMPRA'!#REF!,Tabla11[[#This Row],[Cuenta]],1))</f>
        <v>0</v>
      </c>
      <c r="Y142" t="b">
        <f>+ISNUMBER(SEARCH('F-COMPRA'!#REF!,Tabla11[[#This Row],[Cuenta]],1))</f>
        <v>0</v>
      </c>
      <c r="Z142" t="b">
        <f>+ISNUMBER(SEARCH('F-COMPRA'!#REF!,Tabla11[[#This Row],[Cuenta]],1))</f>
        <v>0</v>
      </c>
      <c r="AA142" t="b">
        <f>+ISNUMBER(SEARCH('F-COMPRA'!#REF!,Tabla11[[#This Row],[Cuenta]],1))</f>
        <v>0</v>
      </c>
      <c r="AB142" t="b">
        <f>+ISNUMBER(SEARCH('F-COMPRA'!#REF!,Tabla11[[#This Row],[Cuenta]],1))</f>
        <v>0</v>
      </c>
      <c r="AC142" t="b">
        <f>+ISNUMBER(SEARCH('F-COMPRA'!#REF!,Tabla11[[#This Row],[Cuenta]],1))</f>
        <v>0</v>
      </c>
      <c r="AD142" t="b">
        <f>+ISNUMBER(SEARCH('F-COMPRA'!#REF!,Tabla11[[#This Row],[Cuenta]],1))</f>
        <v>0</v>
      </c>
      <c r="AE142" t="b">
        <f>+ISNUMBER(SEARCH('F-COMPRA'!#REF!,Tabla11[[#This Row],[Cuenta]],1))</f>
        <v>0</v>
      </c>
      <c r="AF142" t="b">
        <f>+ISNUMBER(SEARCH('F-VTA'!$G$23,Tabla11[[#This Row],[Cuenta]],1))</f>
        <v>0</v>
      </c>
      <c r="AG142" t="b">
        <f>+ISNUMBER(SEARCH('F-VTA'!$G$24,Tabla11[[#This Row],[Cuenta]],1))</f>
        <v>0</v>
      </c>
      <c r="AH142" t="b">
        <f>+ISNUMBER(SEARCH('F-VTA'!$G$25,Tabla11[[#This Row],[Cuenta]],1))</f>
        <v>0</v>
      </c>
      <c r="AI142" t="b">
        <f>+ISNUMBER(SEARCH('F-VTA'!$F$28,Tabla11[[#This Row],[Cuenta]],1))</f>
        <v>1</v>
      </c>
      <c r="AJ142" t="b">
        <f>+ISNUMBER(SEARCH('F-VTA'!$F$29,Tabla11[[#This Row],[Cuenta]],1))</f>
        <v>1</v>
      </c>
      <c r="AK142" t="b">
        <f>+ISNUMBER(SEARCH('F-VTA'!$F$30,Tabla11[[#This Row],[Cuenta]],1))</f>
        <v>1</v>
      </c>
      <c r="AL142" t="b">
        <f>+ISNUMBER(SEARCH('F-VTA'!$F$31,Tabla11[[#This Row],[Cuenta]],1))</f>
        <v>1</v>
      </c>
      <c r="AM142" t="b">
        <f>+ISNUMBER(SEARCH('F-VTA'!$F$32,Tabla11[[#This Row],[Cuenta]],1))</f>
        <v>1</v>
      </c>
      <c r="AN142" t="b">
        <f>+ISNUMBER(SEARCH('F-VTA'!$F$33,Tabla11[[#This Row],[Cuenta]],1))</f>
        <v>1</v>
      </c>
      <c r="AO142" t="b">
        <f>+ISNUMBER(SEARCH('F-VTA'!$F$34,Tabla11[[#This Row],[Cuenta]],1))</f>
        <v>1</v>
      </c>
      <c r="AP142" t="b">
        <f>+ISNUMBER(SEARCH('F-VTA'!$F$35,Tabla11[[#This Row],[Cuenta]],1))</f>
        <v>1</v>
      </c>
      <c r="AQ142" t="b">
        <f>+ISNUMBER(SEARCH('F-VTA'!$F$36,Tabla11[[#This Row],[Cuenta]],1))</f>
        <v>1</v>
      </c>
      <c r="AR142" t="b">
        <f>+ISNUMBER(SEARCH(#REF!,Tabla11[[#This Row],[Cuenta]],1))</f>
        <v>0</v>
      </c>
      <c r="AS142" t="b">
        <f>+ISNUMBER(SEARCH(#REF!,Tabla11[[#This Row],[Cuenta]],1))</f>
        <v>0</v>
      </c>
      <c r="AT142" t="b">
        <f>+ISNUMBER(SEARCH(#REF!,Tabla11[[#This Row],[Cuenta]],1))</f>
        <v>0</v>
      </c>
      <c r="AU142" t="b">
        <f>+ISNUMBER(SEARCH('Conc. Ban.1'!$I$9,Tabla11[[#This Row],[Cuenta]],1))</f>
        <v>0</v>
      </c>
      <c r="AV142" t="b">
        <f>+ISNUMBER(SEARCH(CompConta!$F$21,Tabla11[[#This Row],[Cuenta]],1))</f>
        <v>1</v>
      </c>
      <c r="AW142" t="b">
        <f>+ISNUMBER(SEARCH(CompConta!$F$22,Tabla11[[#This Row],[Cuenta]],1))</f>
        <v>1</v>
      </c>
      <c r="AX142" t="b">
        <f>+ISNUMBER(SEARCH(CompConta!$F$23,Tabla11[[#This Row],[Cuenta]],1))</f>
        <v>1</v>
      </c>
      <c r="AY142" t="b">
        <f>+ISNUMBER(SEARCH(CompConta!$F$24,Tabla11[[#This Row],[Cuenta]],1))</f>
        <v>1</v>
      </c>
      <c r="AZ142" t="b">
        <f>+ISNUMBER(SEARCH(CompConta!$F$25,Tabla11[[#This Row],[Cuenta]],1))</f>
        <v>1</v>
      </c>
      <c r="BA142" t="b">
        <f>+ISNUMBER(SEARCH(CompConta!$F$26,Tabla11[[#This Row],[Cuenta]],1))</f>
        <v>1</v>
      </c>
      <c r="BB142" t="b">
        <f>+ISNUMBER(SEARCH(CompConta!$F$27,Tabla11[[#This Row],[Cuenta]],1))</f>
        <v>1</v>
      </c>
      <c r="BC142" t="b">
        <f>+ISNUMBER(SEARCH(CompConta!$F$28,Tabla11[[#This Row],[Cuenta]],1))</f>
        <v>1</v>
      </c>
      <c r="BD142" t="b">
        <f>+ISNUMBER(SEARCH(CompConta!$F$29,Tabla11[[#This Row],[Cuenta]],1))</f>
        <v>1</v>
      </c>
      <c r="BE142" t="b">
        <f>+ISNUMBER(SEARCH(CompConta!$F$30,Tabla11[[#This Row],[Cuenta]],1))</f>
        <v>1</v>
      </c>
      <c r="BF142" t="b">
        <f>+ISNUMBER(SEARCH('PAGO Compras'!$E$11,Tabla11[[#This Row],[Cuenta]],1))</f>
        <v>1</v>
      </c>
      <c r="BG142" t="b">
        <f>+ISNUMBER(SEARCH(#REF!,Tabla11[[#This Row],[Cuenta]],1))</f>
        <v>0</v>
      </c>
      <c r="BH142" t="b">
        <f>+ISNUMBER(SEARCH(#REF!,Tabla11[[#This Row],[Cuenta]],1))</f>
        <v>0</v>
      </c>
      <c r="BI142" t="b">
        <f>+ISNUMBER(SEARCH(#REF!,Tabla11[[#This Row],[Cuenta]],1))</f>
        <v>0</v>
      </c>
      <c r="BJ142" t="b">
        <f>+ISNUMBER(SEARCH(#REF!,Tabla11[[#This Row],[Cuenta]],1))</f>
        <v>0</v>
      </c>
      <c r="BS142" t="str">
        <v>152099 Ajustes por inflación</v>
      </c>
      <c r="BT142" t="str">
        <v>152099 Ajustes por inflación</v>
      </c>
      <c r="BU142" t="str">
        <v>152099 Ajustes por inflación</v>
      </c>
      <c r="BV142" t="str">
        <v>152099 Ajustes por inflación</v>
      </c>
      <c r="BZ142" t="str">
        <v>152099 Ajustes por inflación</v>
      </c>
      <c r="CA142" t="str">
        <v>152099 Ajustes por inflación</v>
      </c>
      <c r="CB142" t="str">
        <v>152099 Ajustes por inflación</v>
      </c>
      <c r="CC142" t="str">
        <v>152099 Ajustes por inflación</v>
      </c>
      <c r="CD142" t="str">
        <v>152099 Ajustes por inflación</v>
      </c>
      <c r="CE142" t="str">
        <v>152099 Ajustes por inflación</v>
      </c>
      <c r="CS142" s="141" t="str">
        <v>152099 Ajustes por inflación</v>
      </c>
      <c r="CT142" s="141" t="str">
        <v>152099 Ajustes por inflación</v>
      </c>
      <c r="CU142" s="141" t="str">
        <v>152099 Ajustes por inflación</v>
      </c>
      <c r="CV142" s="141" t="str">
        <v>152099 Ajustes por inflación</v>
      </c>
      <c r="CW142" s="141" t="str">
        <v>152099 Ajustes por inflación</v>
      </c>
      <c r="CX142" s="141" t="str">
        <v>152099 Ajustes por inflación</v>
      </c>
      <c r="CY142" s="141" t="str">
        <v>152099 Ajustes por inflación</v>
      </c>
      <c r="CZ142" s="141" t="str">
        <v>152099 Ajustes por inflación</v>
      </c>
      <c r="DA142" s="141" t="str">
        <v>152099 Ajustes por inflación</v>
      </c>
      <c r="DF142" t="str">
        <v>152099 Ajustes por inflación</v>
      </c>
      <c r="DG142" t="str">
        <v>152099 Ajustes por inflación</v>
      </c>
      <c r="DH142" t="str">
        <v>152099 Ajustes por inflación</v>
      </c>
      <c r="DI142" t="str">
        <v>152099 Ajustes por inflación</v>
      </c>
      <c r="DJ142" t="str">
        <v>152099 Ajustes por inflación</v>
      </c>
      <c r="DK142" t="str">
        <v>152099 Ajustes por inflación</v>
      </c>
      <c r="DL142" t="str">
        <v>152099 Ajustes por inflación</v>
      </c>
      <c r="DM142" t="str">
        <v>152099 Ajustes por inflación</v>
      </c>
      <c r="DN142" t="str">
        <v>152099 Ajustes por inflación</v>
      </c>
      <c r="DO142" t="str">
        <v>152099 Ajustes por inflación</v>
      </c>
      <c r="DP142" t="str">
        <v>152099 Ajustes por inflación</v>
      </c>
    </row>
    <row r="143" spans="4:120" ht="12.75">
      <c r="D143" s="7">
        <v>1524</v>
      </c>
      <c r="E143" s="6" t="s">
        <v>157</v>
      </c>
      <c r="F143" s="5">
        <v>3</v>
      </c>
      <c r="G143" s="34" t="s">
        <v>822</v>
      </c>
      <c r="H143" s="8" t="s">
        <v>32</v>
      </c>
      <c r="I143" t="b">
        <f>+ISNUMBER(SEARCH('F-COMPRA'!$F$28,Tabla11[[#This Row],[Cuenta]],1))</f>
        <v>1</v>
      </c>
      <c r="J143" t="b">
        <f>+ISNUMBER(SEARCH('F-COMPRA'!$F$29,Tabla11[[#This Row],[Cuenta]],1))</f>
        <v>1</v>
      </c>
      <c r="K143" t="b">
        <f>+ISNUMBER(SEARCH('F-COMPRA'!$F$30,Tabla11[[#This Row],[Cuenta]],1))</f>
        <v>1</v>
      </c>
      <c r="L143" t="b">
        <f>+ISNUMBER(SEARCH('F-COMPRA'!$F$31,Tabla11[[#This Row],[Cuenta]],1))</f>
        <v>1</v>
      </c>
      <c r="M143" t="b">
        <f>+ISNUMBER(SEARCH('F-COMPRA'!$G$25,Tabla11[[#This Row],[Cuenta]],1))</f>
        <v>0</v>
      </c>
      <c r="N143" t="b">
        <f>+ISNUMBER(SEARCH(#REF!,Tabla11[[#This Row],[Cuenta]],1))</f>
        <v>0</v>
      </c>
      <c r="O143" t="b">
        <f>+ISNUMBER(SEARCH(#REF!,Tabla11[[#This Row],[Cuenta]],1))</f>
        <v>0</v>
      </c>
      <c r="P143" t="b">
        <f>+ISNUMBER(SEARCH('F-COMPRA'!$F$32,Tabla11[[#This Row],[Cuenta]],1))</f>
        <v>1</v>
      </c>
      <c r="Q143" t="b">
        <f>+ISNUMBER(SEARCH('F-COMPRA'!$F$33,Tabla11[[#This Row],[Cuenta]],1))</f>
        <v>1</v>
      </c>
      <c r="R143" t="b">
        <f>+ISNUMBER(SEARCH('F-COMPRA'!$F$34,Tabla11[[#This Row],[Cuenta]],1))</f>
        <v>1</v>
      </c>
      <c r="S143" t="b">
        <f>+ISNUMBER(SEARCH('F-COMPRA'!$F$35,Tabla11[[#This Row],[Cuenta]],1))</f>
        <v>1</v>
      </c>
      <c r="T143" t="b">
        <f>+ISNUMBER(SEARCH('F-COMPRA'!$F$36,Tabla11[[#This Row],[Cuenta]],1))</f>
        <v>1</v>
      </c>
      <c r="U143" t="b">
        <f>+ISNUMBER(SEARCH('F-COMPRA'!$F$37,Tabla11[[#This Row],[Cuenta]],1))</f>
        <v>1</v>
      </c>
      <c r="V143" t="b">
        <f>+ISNUMBER(SEARCH(#REF!,Tabla11[[#This Row],[Cuenta]],1))</f>
        <v>0</v>
      </c>
      <c r="W143" t="b">
        <f>+ISNUMBER(SEARCH('F-COMPRA'!#REF!,Tabla11[[#This Row],[Cuenta]],1))</f>
        <v>0</v>
      </c>
      <c r="X143" t="b">
        <f>+ISNUMBER(SEARCH('F-COMPRA'!#REF!,Tabla11[[#This Row],[Cuenta]],1))</f>
        <v>0</v>
      </c>
      <c r="Y143" t="b">
        <f>+ISNUMBER(SEARCH('F-COMPRA'!#REF!,Tabla11[[#This Row],[Cuenta]],1))</f>
        <v>0</v>
      </c>
      <c r="Z143" t="b">
        <f>+ISNUMBER(SEARCH('F-COMPRA'!#REF!,Tabla11[[#This Row],[Cuenta]],1))</f>
        <v>0</v>
      </c>
      <c r="AA143" t="b">
        <f>+ISNUMBER(SEARCH('F-COMPRA'!#REF!,Tabla11[[#This Row],[Cuenta]],1))</f>
        <v>0</v>
      </c>
      <c r="AB143" t="b">
        <f>+ISNUMBER(SEARCH('F-COMPRA'!#REF!,Tabla11[[#This Row],[Cuenta]],1))</f>
        <v>0</v>
      </c>
      <c r="AC143" t="b">
        <f>+ISNUMBER(SEARCH('F-COMPRA'!#REF!,Tabla11[[#This Row],[Cuenta]],1))</f>
        <v>0</v>
      </c>
      <c r="AD143" t="b">
        <f>+ISNUMBER(SEARCH('F-COMPRA'!#REF!,Tabla11[[#This Row],[Cuenta]],1))</f>
        <v>0</v>
      </c>
      <c r="AE143" t="b">
        <f>+ISNUMBER(SEARCH('F-COMPRA'!#REF!,Tabla11[[#This Row],[Cuenta]],1))</f>
        <v>0</v>
      </c>
      <c r="AF143" t="b">
        <f>+ISNUMBER(SEARCH('F-VTA'!$G$23,Tabla11[[#This Row],[Cuenta]],1))</f>
        <v>0</v>
      </c>
      <c r="AG143" t="b">
        <f>+ISNUMBER(SEARCH('F-VTA'!$G$24,Tabla11[[#This Row],[Cuenta]],1))</f>
        <v>0</v>
      </c>
      <c r="AH143" t="b">
        <f>+ISNUMBER(SEARCH('F-VTA'!$G$25,Tabla11[[#This Row],[Cuenta]],1))</f>
        <v>0</v>
      </c>
      <c r="AI143" t="b">
        <f>+ISNUMBER(SEARCH('F-VTA'!$F$28,Tabla11[[#This Row],[Cuenta]],1))</f>
        <v>1</v>
      </c>
      <c r="AJ143" t="b">
        <f>+ISNUMBER(SEARCH('F-VTA'!$F$29,Tabla11[[#This Row],[Cuenta]],1))</f>
        <v>1</v>
      </c>
      <c r="AK143" t="b">
        <f>+ISNUMBER(SEARCH('F-VTA'!$F$30,Tabla11[[#This Row],[Cuenta]],1))</f>
        <v>1</v>
      </c>
      <c r="AL143" t="b">
        <f>+ISNUMBER(SEARCH('F-VTA'!$F$31,Tabla11[[#This Row],[Cuenta]],1))</f>
        <v>1</v>
      </c>
      <c r="AM143" t="b">
        <f>+ISNUMBER(SEARCH('F-VTA'!$F$32,Tabla11[[#This Row],[Cuenta]],1))</f>
        <v>1</v>
      </c>
      <c r="AN143" t="b">
        <f>+ISNUMBER(SEARCH('F-VTA'!$F$33,Tabla11[[#This Row],[Cuenta]],1))</f>
        <v>1</v>
      </c>
      <c r="AO143" t="b">
        <f>+ISNUMBER(SEARCH('F-VTA'!$F$34,Tabla11[[#This Row],[Cuenta]],1))</f>
        <v>1</v>
      </c>
      <c r="AP143" t="b">
        <f>+ISNUMBER(SEARCH('F-VTA'!$F$35,Tabla11[[#This Row],[Cuenta]],1))</f>
        <v>1</v>
      </c>
      <c r="AQ143" t="b">
        <f>+ISNUMBER(SEARCH('F-VTA'!$F$36,Tabla11[[#This Row],[Cuenta]],1))</f>
        <v>1</v>
      </c>
      <c r="AR143" t="b">
        <f>+ISNUMBER(SEARCH(#REF!,Tabla11[[#This Row],[Cuenta]],1))</f>
        <v>0</v>
      </c>
      <c r="AS143" t="b">
        <f>+ISNUMBER(SEARCH(#REF!,Tabla11[[#This Row],[Cuenta]],1))</f>
        <v>0</v>
      </c>
      <c r="AT143" t="b">
        <f>+ISNUMBER(SEARCH(#REF!,Tabla11[[#This Row],[Cuenta]],1))</f>
        <v>0</v>
      </c>
      <c r="AU143" t="b">
        <f>+ISNUMBER(SEARCH('Conc. Ban.1'!$I$9,Tabla11[[#This Row],[Cuenta]],1))</f>
        <v>0</v>
      </c>
      <c r="AV143" t="b">
        <f>+ISNUMBER(SEARCH(CompConta!$F$21,Tabla11[[#This Row],[Cuenta]],1))</f>
        <v>1</v>
      </c>
      <c r="AW143" t="b">
        <f>+ISNUMBER(SEARCH(CompConta!$F$22,Tabla11[[#This Row],[Cuenta]],1))</f>
        <v>1</v>
      </c>
      <c r="AX143" t="b">
        <f>+ISNUMBER(SEARCH(CompConta!$F$23,Tabla11[[#This Row],[Cuenta]],1))</f>
        <v>1</v>
      </c>
      <c r="AY143" t="b">
        <f>+ISNUMBER(SEARCH(CompConta!$F$24,Tabla11[[#This Row],[Cuenta]],1))</f>
        <v>1</v>
      </c>
      <c r="AZ143" t="b">
        <f>+ISNUMBER(SEARCH(CompConta!$F$25,Tabla11[[#This Row],[Cuenta]],1))</f>
        <v>1</v>
      </c>
      <c r="BA143" t="b">
        <f>+ISNUMBER(SEARCH(CompConta!$F$26,Tabla11[[#This Row],[Cuenta]],1))</f>
        <v>1</v>
      </c>
      <c r="BB143" t="b">
        <f>+ISNUMBER(SEARCH(CompConta!$F$27,Tabla11[[#This Row],[Cuenta]],1))</f>
        <v>1</v>
      </c>
      <c r="BC143" t="b">
        <f>+ISNUMBER(SEARCH(CompConta!$F$28,Tabla11[[#This Row],[Cuenta]],1))</f>
        <v>1</v>
      </c>
      <c r="BD143" t="b">
        <f>+ISNUMBER(SEARCH(CompConta!$F$29,Tabla11[[#This Row],[Cuenta]],1))</f>
        <v>1</v>
      </c>
      <c r="BE143" t="b">
        <f>+ISNUMBER(SEARCH(CompConta!$F$30,Tabla11[[#This Row],[Cuenta]],1))</f>
        <v>1</v>
      </c>
      <c r="BF143" t="b">
        <f>+ISNUMBER(SEARCH('PAGO Compras'!$E$11,Tabla11[[#This Row],[Cuenta]],1))</f>
        <v>1</v>
      </c>
      <c r="BG143" t="b">
        <f>+ISNUMBER(SEARCH(#REF!,Tabla11[[#This Row],[Cuenta]],1))</f>
        <v>0</v>
      </c>
      <c r="BH143" t="b">
        <f>+ISNUMBER(SEARCH(#REF!,Tabla11[[#This Row],[Cuenta]],1))</f>
        <v>0</v>
      </c>
      <c r="BI143" t="b">
        <f>+ISNUMBER(SEARCH(#REF!,Tabla11[[#This Row],[Cuenta]],1))</f>
        <v>0</v>
      </c>
      <c r="BJ143" t="b">
        <f>+ISNUMBER(SEARCH(#REF!,Tabla11[[#This Row],[Cuenta]],1))</f>
        <v>0</v>
      </c>
      <c r="BS143" t="str">
        <v>1524 EQUIPO DE OFICINA</v>
      </c>
      <c r="BT143" t="str">
        <v>1524 EQUIPO DE OFICINA</v>
      </c>
      <c r="BU143" t="str">
        <v>1524 EQUIPO DE OFICINA</v>
      </c>
      <c r="BV143" t="str">
        <v>1524 EQUIPO DE OFICINA</v>
      </c>
      <c r="BZ143" t="str">
        <v>1524 EQUIPO DE OFICINA</v>
      </c>
      <c r="CA143" t="str">
        <v>1524 EQUIPO DE OFICINA</v>
      </c>
      <c r="CB143" t="str">
        <v>1524 EQUIPO DE OFICINA</v>
      </c>
      <c r="CC143" t="str">
        <v>1524 EQUIPO DE OFICINA</v>
      </c>
      <c r="CD143" t="str">
        <v>1524 EQUIPO DE OFICINA</v>
      </c>
      <c r="CE143" t="str">
        <v>1524 EQUIPO DE OFICINA</v>
      </c>
      <c r="CS143" s="141" t="str">
        <v>1524 EQUIPO DE OFICINA</v>
      </c>
      <c r="CT143" s="141" t="str">
        <v>1524 EQUIPO DE OFICINA</v>
      </c>
      <c r="CU143" s="141" t="str">
        <v>1524 EQUIPO DE OFICINA</v>
      </c>
      <c r="CV143" s="141" t="str">
        <v>1524 EQUIPO DE OFICINA</v>
      </c>
      <c r="CW143" s="141" t="str">
        <v>1524 EQUIPO DE OFICINA</v>
      </c>
      <c r="CX143" s="141" t="str">
        <v>1524 EQUIPO DE OFICINA</v>
      </c>
      <c r="CY143" s="141" t="str">
        <v>1524 EQUIPO DE OFICINA</v>
      </c>
      <c r="CZ143" s="141" t="str">
        <v>1524 EQUIPO DE OFICINA</v>
      </c>
      <c r="DA143" s="141" t="str">
        <v>1524 EQUIPO DE OFICINA</v>
      </c>
      <c r="DF143" t="str">
        <v>1524 EQUIPO DE OFICINA</v>
      </c>
      <c r="DG143" t="str">
        <v>1524 EQUIPO DE OFICINA</v>
      </c>
      <c r="DH143" t="str">
        <v>1524 EQUIPO DE OFICINA</v>
      </c>
      <c r="DI143" t="str">
        <v>1524 EQUIPO DE OFICINA</v>
      </c>
      <c r="DJ143" t="str">
        <v>1524 EQUIPO DE OFICINA</v>
      </c>
      <c r="DK143" t="str">
        <v>1524 EQUIPO DE OFICINA</v>
      </c>
      <c r="DL143" t="str">
        <v>1524 EQUIPO DE OFICINA</v>
      </c>
      <c r="DM143" t="str">
        <v>1524 EQUIPO DE OFICINA</v>
      </c>
      <c r="DN143" t="str">
        <v>1524 EQUIPO DE OFICINA</v>
      </c>
      <c r="DO143" t="str">
        <v>1524 EQUIPO DE OFICINA</v>
      </c>
      <c r="DP143" t="str">
        <v>1524 EQUIPO DE OFICINA</v>
      </c>
    </row>
    <row r="144" spans="4:120" ht="12.75">
      <c r="D144" s="7">
        <v>152405</v>
      </c>
      <c r="E144" s="6" t="s">
        <v>158</v>
      </c>
      <c r="F144" s="5">
        <v>4</v>
      </c>
      <c r="G144" s="34" t="s">
        <v>822</v>
      </c>
      <c r="H144" s="8" t="s">
        <v>32</v>
      </c>
      <c r="I144" t="b">
        <f>+ISNUMBER(SEARCH('F-COMPRA'!$F$28,Tabla11[[#This Row],[Cuenta]],1))</f>
        <v>1</v>
      </c>
      <c r="J144" t="b">
        <f>+ISNUMBER(SEARCH('F-COMPRA'!$F$29,Tabla11[[#This Row],[Cuenta]],1))</f>
        <v>1</v>
      </c>
      <c r="K144" t="b">
        <f>+ISNUMBER(SEARCH('F-COMPRA'!$F$30,Tabla11[[#This Row],[Cuenta]],1))</f>
        <v>1</v>
      </c>
      <c r="L144" t="b">
        <f>+ISNUMBER(SEARCH('F-COMPRA'!$F$31,Tabla11[[#This Row],[Cuenta]],1))</f>
        <v>1</v>
      </c>
      <c r="M144" t="b">
        <f>+ISNUMBER(SEARCH('F-COMPRA'!$G$25,Tabla11[[#This Row],[Cuenta]],1))</f>
        <v>0</v>
      </c>
      <c r="N144" t="b">
        <f>+ISNUMBER(SEARCH(#REF!,Tabla11[[#This Row],[Cuenta]],1))</f>
        <v>0</v>
      </c>
      <c r="O144" t="b">
        <f>+ISNUMBER(SEARCH(#REF!,Tabla11[[#This Row],[Cuenta]],1))</f>
        <v>0</v>
      </c>
      <c r="P144" t="b">
        <f>+ISNUMBER(SEARCH('F-COMPRA'!$F$32,Tabla11[[#This Row],[Cuenta]],1))</f>
        <v>1</v>
      </c>
      <c r="Q144" t="b">
        <f>+ISNUMBER(SEARCH('F-COMPRA'!$F$33,Tabla11[[#This Row],[Cuenta]],1))</f>
        <v>1</v>
      </c>
      <c r="R144" t="b">
        <f>+ISNUMBER(SEARCH('F-COMPRA'!$F$34,Tabla11[[#This Row],[Cuenta]],1))</f>
        <v>1</v>
      </c>
      <c r="S144" t="b">
        <f>+ISNUMBER(SEARCH('F-COMPRA'!$F$35,Tabla11[[#This Row],[Cuenta]],1))</f>
        <v>1</v>
      </c>
      <c r="T144" t="b">
        <f>+ISNUMBER(SEARCH('F-COMPRA'!$F$36,Tabla11[[#This Row],[Cuenta]],1))</f>
        <v>1</v>
      </c>
      <c r="U144" t="b">
        <f>+ISNUMBER(SEARCH('F-COMPRA'!$F$37,Tabla11[[#This Row],[Cuenta]],1))</f>
        <v>1</v>
      </c>
      <c r="V144" t="b">
        <f>+ISNUMBER(SEARCH(#REF!,Tabla11[[#This Row],[Cuenta]],1))</f>
        <v>0</v>
      </c>
      <c r="W144" t="b">
        <f>+ISNUMBER(SEARCH('F-COMPRA'!#REF!,Tabla11[[#This Row],[Cuenta]],1))</f>
        <v>0</v>
      </c>
      <c r="X144" t="b">
        <f>+ISNUMBER(SEARCH('F-COMPRA'!#REF!,Tabla11[[#This Row],[Cuenta]],1))</f>
        <v>0</v>
      </c>
      <c r="Y144" t="b">
        <f>+ISNUMBER(SEARCH('F-COMPRA'!#REF!,Tabla11[[#This Row],[Cuenta]],1))</f>
        <v>0</v>
      </c>
      <c r="Z144" t="b">
        <f>+ISNUMBER(SEARCH('F-COMPRA'!#REF!,Tabla11[[#This Row],[Cuenta]],1))</f>
        <v>0</v>
      </c>
      <c r="AA144" t="b">
        <f>+ISNUMBER(SEARCH('F-COMPRA'!#REF!,Tabla11[[#This Row],[Cuenta]],1))</f>
        <v>0</v>
      </c>
      <c r="AB144" t="b">
        <f>+ISNUMBER(SEARCH('F-COMPRA'!#REF!,Tabla11[[#This Row],[Cuenta]],1))</f>
        <v>0</v>
      </c>
      <c r="AC144" t="b">
        <f>+ISNUMBER(SEARCH('F-COMPRA'!#REF!,Tabla11[[#This Row],[Cuenta]],1))</f>
        <v>0</v>
      </c>
      <c r="AD144" t="b">
        <f>+ISNUMBER(SEARCH('F-COMPRA'!#REF!,Tabla11[[#This Row],[Cuenta]],1))</f>
        <v>0</v>
      </c>
      <c r="AE144" t="b">
        <f>+ISNUMBER(SEARCH('F-COMPRA'!#REF!,Tabla11[[#This Row],[Cuenta]],1))</f>
        <v>0</v>
      </c>
      <c r="AF144" t="b">
        <f>+ISNUMBER(SEARCH('F-VTA'!$G$23,Tabla11[[#This Row],[Cuenta]],1))</f>
        <v>0</v>
      </c>
      <c r="AG144" t="b">
        <f>+ISNUMBER(SEARCH('F-VTA'!$G$24,Tabla11[[#This Row],[Cuenta]],1))</f>
        <v>0</v>
      </c>
      <c r="AH144" t="b">
        <f>+ISNUMBER(SEARCH('F-VTA'!$G$25,Tabla11[[#This Row],[Cuenta]],1))</f>
        <v>0</v>
      </c>
      <c r="AI144" t="b">
        <f>+ISNUMBER(SEARCH('F-VTA'!$F$28,Tabla11[[#This Row],[Cuenta]],1))</f>
        <v>1</v>
      </c>
      <c r="AJ144" t="b">
        <f>+ISNUMBER(SEARCH('F-VTA'!$F$29,Tabla11[[#This Row],[Cuenta]],1))</f>
        <v>1</v>
      </c>
      <c r="AK144" t="b">
        <f>+ISNUMBER(SEARCH('F-VTA'!$F$30,Tabla11[[#This Row],[Cuenta]],1))</f>
        <v>1</v>
      </c>
      <c r="AL144" t="b">
        <f>+ISNUMBER(SEARCH('F-VTA'!$F$31,Tabla11[[#This Row],[Cuenta]],1))</f>
        <v>1</v>
      </c>
      <c r="AM144" t="b">
        <f>+ISNUMBER(SEARCH('F-VTA'!$F$32,Tabla11[[#This Row],[Cuenta]],1))</f>
        <v>1</v>
      </c>
      <c r="AN144" t="b">
        <f>+ISNUMBER(SEARCH('F-VTA'!$F$33,Tabla11[[#This Row],[Cuenta]],1))</f>
        <v>1</v>
      </c>
      <c r="AO144" t="b">
        <f>+ISNUMBER(SEARCH('F-VTA'!$F$34,Tabla11[[#This Row],[Cuenta]],1))</f>
        <v>1</v>
      </c>
      <c r="AP144" t="b">
        <f>+ISNUMBER(SEARCH('F-VTA'!$F$35,Tabla11[[#This Row],[Cuenta]],1))</f>
        <v>1</v>
      </c>
      <c r="AQ144" t="b">
        <f>+ISNUMBER(SEARCH('F-VTA'!$F$36,Tabla11[[#This Row],[Cuenta]],1))</f>
        <v>1</v>
      </c>
      <c r="AR144" t="b">
        <f>+ISNUMBER(SEARCH(#REF!,Tabla11[[#This Row],[Cuenta]],1))</f>
        <v>0</v>
      </c>
      <c r="AS144" t="b">
        <f>+ISNUMBER(SEARCH(#REF!,Tabla11[[#This Row],[Cuenta]],1))</f>
        <v>0</v>
      </c>
      <c r="AT144" t="b">
        <f>+ISNUMBER(SEARCH(#REF!,Tabla11[[#This Row],[Cuenta]],1))</f>
        <v>0</v>
      </c>
      <c r="AU144" t="b">
        <f>+ISNUMBER(SEARCH('Conc. Ban.1'!$I$9,Tabla11[[#This Row],[Cuenta]],1))</f>
        <v>0</v>
      </c>
      <c r="AV144" t="b">
        <f>+ISNUMBER(SEARCH(CompConta!$F$21,Tabla11[[#This Row],[Cuenta]],1))</f>
        <v>1</v>
      </c>
      <c r="AW144" t="b">
        <f>+ISNUMBER(SEARCH(CompConta!$F$22,Tabla11[[#This Row],[Cuenta]],1))</f>
        <v>1</v>
      </c>
      <c r="AX144" t="b">
        <f>+ISNUMBER(SEARCH(CompConta!$F$23,Tabla11[[#This Row],[Cuenta]],1))</f>
        <v>1</v>
      </c>
      <c r="AY144" t="b">
        <f>+ISNUMBER(SEARCH(CompConta!$F$24,Tabla11[[#This Row],[Cuenta]],1))</f>
        <v>1</v>
      </c>
      <c r="AZ144" t="b">
        <f>+ISNUMBER(SEARCH(CompConta!$F$25,Tabla11[[#This Row],[Cuenta]],1))</f>
        <v>1</v>
      </c>
      <c r="BA144" t="b">
        <f>+ISNUMBER(SEARCH(CompConta!$F$26,Tabla11[[#This Row],[Cuenta]],1))</f>
        <v>1</v>
      </c>
      <c r="BB144" t="b">
        <f>+ISNUMBER(SEARCH(CompConta!$F$27,Tabla11[[#This Row],[Cuenta]],1))</f>
        <v>1</v>
      </c>
      <c r="BC144" t="b">
        <f>+ISNUMBER(SEARCH(CompConta!$F$28,Tabla11[[#This Row],[Cuenta]],1))</f>
        <v>1</v>
      </c>
      <c r="BD144" t="b">
        <f>+ISNUMBER(SEARCH(CompConta!$F$29,Tabla11[[#This Row],[Cuenta]],1))</f>
        <v>1</v>
      </c>
      <c r="BE144" t="b">
        <f>+ISNUMBER(SEARCH(CompConta!$F$30,Tabla11[[#This Row],[Cuenta]],1))</f>
        <v>1</v>
      </c>
      <c r="BF144" t="b">
        <f>+ISNUMBER(SEARCH('PAGO Compras'!$E$11,Tabla11[[#This Row],[Cuenta]],1))</f>
        <v>1</v>
      </c>
      <c r="BG144" t="b">
        <f>+ISNUMBER(SEARCH(#REF!,Tabla11[[#This Row],[Cuenta]],1))</f>
        <v>0</v>
      </c>
      <c r="BH144" t="b">
        <f>+ISNUMBER(SEARCH(#REF!,Tabla11[[#This Row],[Cuenta]],1))</f>
        <v>0</v>
      </c>
      <c r="BI144" t="b">
        <f>+ISNUMBER(SEARCH(#REF!,Tabla11[[#This Row],[Cuenta]],1))</f>
        <v>0</v>
      </c>
      <c r="BJ144" t="b">
        <f>+ISNUMBER(SEARCH(#REF!,Tabla11[[#This Row],[Cuenta]],1))</f>
        <v>0</v>
      </c>
      <c r="BS144" t="str">
        <v>152405 Muebles y enseres</v>
      </c>
      <c r="BT144" t="str">
        <v>152405 Muebles y enseres</v>
      </c>
      <c r="BU144" t="str">
        <v>152405 Muebles y enseres</v>
      </c>
      <c r="BV144" t="str">
        <v>152405 Muebles y enseres</v>
      </c>
      <c r="BZ144" t="str">
        <v>152405 Muebles y enseres</v>
      </c>
      <c r="CA144" t="str">
        <v>152405 Muebles y enseres</v>
      </c>
      <c r="CB144" t="str">
        <v>152405 Muebles y enseres</v>
      </c>
      <c r="CC144" t="str">
        <v>152405 Muebles y enseres</v>
      </c>
      <c r="CD144" t="str">
        <v>152405 Muebles y enseres</v>
      </c>
      <c r="CE144" t="str">
        <v>152405 Muebles y enseres</v>
      </c>
      <c r="CS144" s="141" t="str">
        <v>152405 Muebles y enseres</v>
      </c>
      <c r="CT144" s="141" t="str">
        <v>152405 Muebles y enseres</v>
      </c>
      <c r="CU144" s="141" t="str">
        <v>152405 Muebles y enseres</v>
      </c>
      <c r="CV144" s="141" t="str">
        <v>152405 Muebles y enseres</v>
      </c>
      <c r="CW144" s="141" t="str">
        <v>152405 Muebles y enseres</v>
      </c>
      <c r="CX144" s="141" t="str">
        <v>152405 Muebles y enseres</v>
      </c>
      <c r="CY144" s="141" t="str">
        <v>152405 Muebles y enseres</v>
      </c>
      <c r="CZ144" s="141" t="str">
        <v>152405 Muebles y enseres</v>
      </c>
      <c r="DA144" s="141" t="str">
        <v>152405 Muebles y enseres</v>
      </c>
      <c r="DF144" t="str">
        <v>152405 Muebles y enseres</v>
      </c>
      <c r="DG144" t="str">
        <v>152405 Muebles y enseres</v>
      </c>
      <c r="DH144" t="str">
        <v>152405 Muebles y enseres</v>
      </c>
      <c r="DI144" t="str">
        <v>152405 Muebles y enseres</v>
      </c>
      <c r="DJ144" t="str">
        <v>152405 Muebles y enseres</v>
      </c>
      <c r="DK144" t="str">
        <v>152405 Muebles y enseres</v>
      </c>
      <c r="DL144" t="str">
        <v>152405 Muebles y enseres</v>
      </c>
      <c r="DM144" t="str">
        <v>152405 Muebles y enseres</v>
      </c>
      <c r="DN144" t="str">
        <v>152405 Muebles y enseres</v>
      </c>
      <c r="DO144" t="str">
        <v>152405 Muebles y enseres</v>
      </c>
      <c r="DP144" t="str">
        <v>152405 Muebles y enseres</v>
      </c>
    </row>
    <row r="145" spans="4:120" ht="12.75">
      <c r="D145" s="7">
        <v>152410</v>
      </c>
      <c r="E145" s="6" t="s">
        <v>159</v>
      </c>
      <c r="F145" s="5">
        <v>4</v>
      </c>
      <c r="G145" s="34" t="s">
        <v>822</v>
      </c>
      <c r="H145" s="8" t="s">
        <v>32</v>
      </c>
      <c r="I145" t="b">
        <f>+ISNUMBER(SEARCH('F-COMPRA'!$F$28,Tabla11[[#This Row],[Cuenta]],1))</f>
        <v>1</v>
      </c>
      <c r="J145" t="b">
        <f>+ISNUMBER(SEARCH('F-COMPRA'!$F$29,Tabla11[[#This Row],[Cuenta]],1))</f>
        <v>1</v>
      </c>
      <c r="K145" t="b">
        <f>+ISNUMBER(SEARCH('F-COMPRA'!$F$30,Tabla11[[#This Row],[Cuenta]],1))</f>
        <v>1</v>
      </c>
      <c r="L145" t="b">
        <f>+ISNUMBER(SEARCH('F-COMPRA'!$F$31,Tabla11[[#This Row],[Cuenta]],1))</f>
        <v>1</v>
      </c>
      <c r="M145" t="b">
        <f>+ISNUMBER(SEARCH('F-COMPRA'!$G$25,Tabla11[[#This Row],[Cuenta]],1))</f>
        <v>0</v>
      </c>
      <c r="N145" t="b">
        <f>+ISNUMBER(SEARCH(#REF!,Tabla11[[#This Row],[Cuenta]],1))</f>
        <v>0</v>
      </c>
      <c r="O145" t="b">
        <f>+ISNUMBER(SEARCH(#REF!,Tabla11[[#This Row],[Cuenta]],1))</f>
        <v>0</v>
      </c>
      <c r="P145" t="b">
        <f>+ISNUMBER(SEARCH('F-COMPRA'!$F$32,Tabla11[[#This Row],[Cuenta]],1))</f>
        <v>1</v>
      </c>
      <c r="Q145" t="b">
        <f>+ISNUMBER(SEARCH('F-COMPRA'!$F$33,Tabla11[[#This Row],[Cuenta]],1))</f>
        <v>1</v>
      </c>
      <c r="R145" t="b">
        <f>+ISNUMBER(SEARCH('F-COMPRA'!$F$34,Tabla11[[#This Row],[Cuenta]],1))</f>
        <v>1</v>
      </c>
      <c r="S145" t="b">
        <f>+ISNUMBER(SEARCH('F-COMPRA'!$F$35,Tabla11[[#This Row],[Cuenta]],1))</f>
        <v>1</v>
      </c>
      <c r="T145" t="b">
        <f>+ISNUMBER(SEARCH('F-COMPRA'!$F$36,Tabla11[[#This Row],[Cuenta]],1))</f>
        <v>1</v>
      </c>
      <c r="U145" t="b">
        <f>+ISNUMBER(SEARCH('F-COMPRA'!$F$37,Tabla11[[#This Row],[Cuenta]],1))</f>
        <v>1</v>
      </c>
      <c r="V145" t="b">
        <f>+ISNUMBER(SEARCH(#REF!,Tabla11[[#This Row],[Cuenta]],1))</f>
        <v>0</v>
      </c>
      <c r="W145" t="b">
        <f>+ISNUMBER(SEARCH('F-COMPRA'!#REF!,Tabla11[[#This Row],[Cuenta]],1))</f>
        <v>0</v>
      </c>
      <c r="X145" t="b">
        <f>+ISNUMBER(SEARCH('F-COMPRA'!#REF!,Tabla11[[#This Row],[Cuenta]],1))</f>
        <v>0</v>
      </c>
      <c r="Y145" t="b">
        <f>+ISNUMBER(SEARCH('F-COMPRA'!#REF!,Tabla11[[#This Row],[Cuenta]],1))</f>
        <v>0</v>
      </c>
      <c r="Z145" t="b">
        <f>+ISNUMBER(SEARCH('F-COMPRA'!#REF!,Tabla11[[#This Row],[Cuenta]],1))</f>
        <v>0</v>
      </c>
      <c r="AA145" t="b">
        <f>+ISNUMBER(SEARCH('F-COMPRA'!#REF!,Tabla11[[#This Row],[Cuenta]],1))</f>
        <v>0</v>
      </c>
      <c r="AB145" t="b">
        <f>+ISNUMBER(SEARCH('F-COMPRA'!#REF!,Tabla11[[#This Row],[Cuenta]],1))</f>
        <v>0</v>
      </c>
      <c r="AC145" t="b">
        <f>+ISNUMBER(SEARCH('F-COMPRA'!#REF!,Tabla11[[#This Row],[Cuenta]],1))</f>
        <v>0</v>
      </c>
      <c r="AD145" t="b">
        <f>+ISNUMBER(SEARCH('F-COMPRA'!#REF!,Tabla11[[#This Row],[Cuenta]],1))</f>
        <v>0</v>
      </c>
      <c r="AE145" t="b">
        <f>+ISNUMBER(SEARCH('F-COMPRA'!#REF!,Tabla11[[#This Row],[Cuenta]],1))</f>
        <v>0</v>
      </c>
      <c r="AF145" t="b">
        <f>+ISNUMBER(SEARCH('F-VTA'!$G$23,Tabla11[[#This Row],[Cuenta]],1))</f>
        <v>0</v>
      </c>
      <c r="AG145" t="b">
        <f>+ISNUMBER(SEARCH('F-VTA'!$G$24,Tabla11[[#This Row],[Cuenta]],1))</f>
        <v>0</v>
      </c>
      <c r="AH145" t="b">
        <f>+ISNUMBER(SEARCH('F-VTA'!$G$25,Tabla11[[#This Row],[Cuenta]],1))</f>
        <v>0</v>
      </c>
      <c r="AI145" t="b">
        <f>+ISNUMBER(SEARCH('F-VTA'!$F$28,Tabla11[[#This Row],[Cuenta]],1))</f>
        <v>1</v>
      </c>
      <c r="AJ145" t="b">
        <f>+ISNUMBER(SEARCH('F-VTA'!$F$29,Tabla11[[#This Row],[Cuenta]],1))</f>
        <v>1</v>
      </c>
      <c r="AK145" t="b">
        <f>+ISNUMBER(SEARCH('F-VTA'!$F$30,Tabla11[[#This Row],[Cuenta]],1))</f>
        <v>1</v>
      </c>
      <c r="AL145" t="b">
        <f>+ISNUMBER(SEARCH('F-VTA'!$F$31,Tabla11[[#This Row],[Cuenta]],1))</f>
        <v>1</v>
      </c>
      <c r="AM145" t="b">
        <f>+ISNUMBER(SEARCH('F-VTA'!$F$32,Tabla11[[#This Row],[Cuenta]],1))</f>
        <v>1</v>
      </c>
      <c r="AN145" t="b">
        <f>+ISNUMBER(SEARCH('F-VTA'!$F$33,Tabla11[[#This Row],[Cuenta]],1))</f>
        <v>1</v>
      </c>
      <c r="AO145" t="b">
        <f>+ISNUMBER(SEARCH('F-VTA'!$F$34,Tabla11[[#This Row],[Cuenta]],1))</f>
        <v>1</v>
      </c>
      <c r="AP145" t="b">
        <f>+ISNUMBER(SEARCH('F-VTA'!$F$35,Tabla11[[#This Row],[Cuenta]],1))</f>
        <v>1</v>
      </c>
      <c r="AQ145" t="b">
        <f>+ISNUMBER(SEARCH('F-VTA'!$F$36,Tabla11[[#This Row],[Cuenta]],1))</f>
        <v>1</v>
      </c>
      <c r="AR145" t="b">
        <f>+ISNUMBER(SEARCH(#REF!,Tabla11[[#This Row],[Cuenta]],1))</f>
        <v>0</v>
      </c>
      <c r="AS145" t="b">
        <f>+ISNUMBER(SEARCH(#REF!,Tabla11[[#This Row],[Cuenta]],1))</f>
        <v>0</v>
      </c>
      <c r="AT145" t="b">
        <f>+ISNUMBER(SEARCH(#REF!,Tabla11[[#This Row],[Cuenta]],1))</f>
        <v>0</v>
      </c>
      <c r="AU145" t="b">
        <f>+ISNUMBER(SEARCH('Conc. Ban.1'!$I$9,Tabla11[[#This Row],[Cuenta]],1))</f>
        <v>0</v>
      </c>
      <c r="AV145" t="b">
        <f>+ISNUMBER(SEARCH(CompConta!$F$21,Tabla11[[#This Row],[Cuenta]],1))</f>
        <v>1</v>
      </c>
      <c r="AW145" t="b">
        <f>+ISNUMBER(SEARCH(CompConta!$F$22,Tabla11[[#This Row],[Cuenta]],1))</f>
        <v>1</v>
      </c>
      <c r="AX145" t="b">
        <f>+ISNUMBER(SEARCH(CompConta!$F$23,Tabla11[[#This Row],[Cuenta]],1))</f>
        <v>1</v>
      </c>
      <c r="AY145" t="b">
        <f>+ISNUMBER(SEARCH(CompConta!$F$24,Tabla11[[#This Row],[Cuenta]],1))</f>
        <v>1</v>
      </c>
      <c r="AZ145" t="b">
        <f>+ISNUMBER(SEARCH(CompConta!$F$25,Tabla11[[#This Row],[Cuenta]],1))</f>
        <v>1</v>
      </c>
      <c r="BA145" t="b">
        <f>+ISNUMBER(SEARCH(CompConta!$F$26,Tabla11[[#This Row],[Cuenta]],1))</f>
        <v>1</v>
      </c>
      <c r="BB145" t="b">
        <f>+ISNUMBER(SEARCH(CompConta!$F$27,Tabla11[[#This Row],[Cuenta]],1))</f>
        <v>1</v>
      </c>
      <c r="BC145" t="b">
        <f>+ISNUMBER(SEARCH(CompConta!$F$28,Tabla11[[#This Row],[Cuenta]],1))</f>
        <v>1</v>
      </c>
      <c r="BD145" t="b">
        <f>+ISNUMBER(SEARCH(CompConta!$F$29,Tabla11[[#This Row],[Cuenta]],1))</f>
        <v>1</v>
      </c>
      <c r="BE145" t="b">
        <f>+ISNUMBER(SEARCH(CompConta!$F$30,Tabla11[[#This Row],[Cuenta]],1))</f>
        <v>1</v>
      </c>
      <c r="BF145" t="b">
        <f>+ISNUMBER(SEARCH('PAGO Compras'!$E$11,Tabla11[[#This Row],[Cuenta]],1))</f>
        <v>1</v>
      </c>
      <c r="BG145" t="b">
        <f>+ISNUMBER(SEARCH(#REF!,Tabla11[[#This Row],[Cuenta]],1))</f>
        <v>0</v>
      </c>
      <c r="BH145" t="b">
        <f>+ISNUMBER(SEARCH(#REF!,Tabla11[[#This Row],[Cuenta]],1))</f>
        <v>0</v>
      </c>
      <c r="BI145" t="b">
        <f>+ISNUMBER(SEARCH(#REF!,Tabla11[[#This Row],[Cuenta]],1))</f>
        <v>0</v>
      </c>
      <c r="BJ145" t="b">
        <f>+ISNUMBER(SEARCH(#REF!,Tabla11[[#This Row],[Cuenta]],1))</f>
        <v>0</v>
      </c>
      <c r="BS145" t="str">
        <v>152410 Equipos</v>
      </c>
      <c r="BT145" t="str">
        <v>152410 Equipos</v>
      </c>
      <c r="BU145" t="str">
        <v>152410 Equipos</v>
      </c>
      <c r="BV145" t="str">
        <v>152410 Equipos</v>
      </c>
      <c r="BZ145" t="str">
        <v>152410 Equipos</v>
      </c>
      <c r="CA145" t="str">
        <v>152410 Equipos</v>
      </c>
      <c r="CB145" t="str">
        <v>152410 Equipos</v>
      </c>
      <c r="CC145" t="str">
        <v>152410 Equipos</v>
      </c>
      <c r="CD145" t="str">
        <v>152410 Equipos</v>
      </c>
      <c r="CE145" t="str">
        <v>152410 Equipos</v>
      </c>
      <c r="CS145" s="141" t="str">
        <v>152410 Equipos</v>
      </c>
      <c r="CT145" s="141" t="str">
        <v>152410 Equipos</v>
      </c>
      <c r="CU145" s="141" t="str">
        <v>152410 Equipos</v>
      </c>
      <c r="CV145" s="141" t="str">
        <v>152410 Equipos</v>
      </c>
      <c r="CW145" s="141" t="str">
        <v>152410 Equipos</v>
      </c>
      <c r="CX145" s="141" t="str">
        <v>152410 Equipos</v>
      </c>
      <c r="CY145" s="141" t="str">
        <v>152410 Equipos</v>
      </c>
      <c r="CZ145" s="141" t="str">
        <v>152410 Equipos</v>
      </c>
      <c r="DA145" s="141" t="str">
        <v>152410 Equipos</v>
      </c>
      <c r="DF145" t="str">
        <v>152410 Equipos</v>
      </c>
      <c r="DG145" t="str">
        <v>152410 Equipos</v>
      </c>
      <c r="DH145" t="str">
        <v>152410 Equipos</v>
      </c>
      <c r="DI145" t="str">
        <v>152410 Equipos</v>
      </c>
      <c r="DJ145" t="str">
        <v>152410 Equipos</v>
      </c>
      <c r="DK145" t="str">
        <v>152410 Equipos</v>
      </c>
      <c r="DL145" t="str">
        <v>152410 Equipos</v>
      </c>
      <c r="DM145" t="str">
        <v>152410 Equipos</v>
      </c>
      <c r="DN145" t="str">
        <v>152410 Equipos</v>
      </c>
      <c r="DO145" t="str">
        <v>152410 Equipos</v>
      </c>
      <c r="DP145" t="str">
        <v>152410 Equipos</v>
      </c>
    </row>
    <row r="146" spans="4:120" ht="12.75">
      <c r="D146" s="7">
        <v>152495</v>
      </c>
      <c r="E146" s="6" t="s">
        <v>45</v>
      </c>
      <c r="F146" s="5">
        <v>4</v>
      </c>
      <c r="G146" s="34" t="s">
        <v>822</v>
      </c>
      <c r="H146" s="8" t="s">
        <v>32</v>
      </c>
      <c r="I146" t="b">
        <f>+ISNUMBER(SEARCH('F-COMPRA'!$F$28,Tabla11[[#This Row],[Cuenta]],1))</f>
        <v>1</v>
      </c>
      <c r="J146" t="b">
        <f>+ISNUMBER(SEARCH('F-COMPRA'!$F$29,Tabla11[[#This Row],[Cuenta]],1))</f>
        <v>1</v>
      </c>
      <c r="K146" t="b">
        <f>+ISNUMBER(SEARCH('F-COMPRA'!$F$30,Tabla11[[#This Row],[Cuenta]],1))</f>
        <v>1</v>
      </c>
      <c r="L146" t="b">
        <f>+ISNUMBER(SEARCH('F-COMPRA'!$F$31,Tabla11[[#This Row],[Cuenta]],1))</f>
        <v>1</v>
      </c>
      <c r="M146" t="b">
        <f>+ISNUMBER(SEARCH('F-COMPRA'!$G$25,Tabla11[[#This Row],[Cuenta]],1))</f>
        <v>0</v>
      </c>
      <c r="N146" t="b">
        <f>+ISNUMBER(SEARCH(#REF!,Tabla11[[#This Row],[Cuenta]],1))</f>
        <v>0</v>
      </c>
      <c r="O146" t="b">
        <f>+ISNUMBER(SEARCH(#REF!,Tabla11[[#This Row],[Cuenta]],1))</f>
        <v>0</v>
      </c>
      <c r="P146" t="b">
        <f>+ISNUMBER(SEARCH('F-COMPRA'!$F$32,Tabla11[[#This Row],[Cuenta]],1))</f>
        <v>1</v>
      </c>
      <c r="Q146" t="b">
        <f>+ISNUMBER(SEARCH('F-COMPRA'!$F$33,Tabla11[[#This Row],[Cuenta]],1))</f>
        <v>1</v>
      </c>
      <c r="R146" t="b">
        <f>+ISNUMBER(SEARCH('F-COMPRA'!$F$34,Tabla11[[#This Row],[Cuenta]],1))</f>
        <v>1</v>
      </c>
      <c r="S146" t="b">
        <f>+ISNUMBER(SEARCH('F-COMPRA'!$F$35,Tabla11[[#This Row],[Cuenta]],1))</f>
        <v>1</v>
      </c>
      <c r="T146" t="b">
        <f>+ISNUMBER(SEARCH('F-COMPRA'!$F$36,Tabla11[[#This Row],[Cuenta]],1))</f>
        <v>1</v>
      </c>
      <c r="U146" t="b">
        <f>+ISNUMBER(SEARCH('F-COMPRA'!$F$37,Tabla11[[#This Row],[Cuenta]],1))</f>
        <v>1</v>
      </c>
      <c r="V146" t="b">
        <f>+ISNUMBER(SEARCH(#REF!,Tabla11[[#This Row],[Cuenta]],1))</f>
        <v>0</v>
      </c>
      <c r="W146" t="b">
        <f>+ISNUMBER(SEARCH('F-COMPRA'!#REF!,Tabla11[[#This Row],[Cuenta]],1))</f>
        <v>0</v>
      </c>
      <c r="X146" t="b">
        <f>+ISNUMBER(SEARCH('F-COMPRA'!#REF!,Tabla11[[#This Row],[Cuenta]],1))</f>
        <v>0</v>
      </c>
      <c r="Y146" t="b">
        <f>+ISNUMBER(SEARCH('F-COMPRA'!#REF!,Tabla11[[#This Row],[Cuenta]],1))</f>
        <v>0</v>
      </c>
      <c r="Z146" t="b">
        <f>+ISNUMBER(SEARCH('F-COMPRA'!#REF!,Tabla11[[#This Row],[Cuenta]],1))</f>
        <v>0</v>
      </c>
      <c r="AA146" t="b">
        <f>+ISNUMBER(SEARCH('F-COMPRA'!#REF!,Tabla11[[#This Row],[Cuenta]],1))</f>
        <v>0</v>
      </c>
      <c r="AB146" t="b">
        <f>+ISNUMBER(SEARCH('F-COMPRA'!#REF!,Tabla11[[#This Row],[Cuenta]],1))</f>
        <v>0</v>
      </c>
      <c r="AC146" t="b">
        <f>+ISNUMBER(SEARCH('F-COMPRA'!#REF!,Tabla11[[#This Row],[Cuenta]],1))</f>
        <v>0</v>
      </c>
      <c r="AD146" t="b">
        <f>+ISNUMBER(SEARCH('F-COMPRA'!#REF!,Tabla11[[#This Row],[Cuenta]],1))</f>
        <v>0</v>
      </c>
      <c r="AE146" t="b">
        <f>+ISNUMBER(SEARCH('F-COMPRA'!#REF!,Tabla11[[#This Row],[Cuenta]],1))</f>
        <v>0</v>
      </c>
      <c r="AF146" t="b">
        <f>+ISNUMBER(SEARCH('F-VTA'!$G$23,Tabla11[[#This Row],[Cuenta]],1))</f>
        <v>0</v>
      </c>
      <c r="AG146" t="b">
        <f>+ISNUMBER(SEARCH('F-VTA'!$G$24,Tabla11[[#This Row],[Cuenta]],1))</f>
        <v>0</v>
      </c>
      <c r="AH146" t="b">
        <f>+ISNUMBER(SEARCH('F-VTA'!$G$25,Tabla11[[#This Row],[Cuenta]],1))</f>
        <v>0</v>
      </c>
      <c r="AI146" t="b">
        <f>+ISNUMBER(SEARCH('F-VTA'!$F$28,Tabla11[[#This Row],[Cuenta]],1))</f>
        <v>1</v>
      </c>
      <c r="AJ146" t="b">
        <f>+ISNUMBER(SEARCH('F-VTA'!$F$29,Tabla11[[#This Row],[Cuenta]],1))</f>
        <v>1</v>
      </c>
      <c r="AK146" t="b">
        <f>+ISNUMBER(SEARCH('F-VTA'!$F$30,Tabla11[[#This Row],[Cuenta]],1))</f>
        <v>1</v>
      </c>
      <c r="AL146" t="b">
        <f>+ISNUMBER(SEARCH('F-VTA'!$F$31,Tabla11[[#This Row],[Cuenta]],1))</f>
        <v>1</v>
      </c>
      <c r="AM146" t="b">
        <f>+ISNUMBER(SEARCH('F-VTA'!$F$32,Tabla11[[#This Row],[Cuenta]],1))</f>
        <v>1</v>
      </c>
      <c r="AN146" t="b">
        <f>+ISNUMBER(SEARCH('F-VTA'!$F$33,Tabla11[[#This Row],[Cuenta]],1))</f>
        <v>1</v>
      </c>
      <c r="AO146" t="b">
        <f>+ISNUMBER(SEARCH('F-VTA'!$F$34,Tabla11[[#This Row],[Cuenta]],1))</f>
        <v>1</v>
      </c>
      <c r="AP146" t="b">
        <f>+ISNUMBER(SEARCH('F-VTA'!$F$35,Tabla11[[#This Row],[Cuenta]],1))</f>
        <v>1</v>
      </c>
      <c r="AQ146" t="b">
        <f>+ISNUMBER(SEARCH('F-VTA'!$F$36,Tabla11[[#This Row],[Cuenta]],1))</f>
        <v>1</v>
      </c>
      <c r="AR146" t="b">
        <f>+ISNUMBER(SEARCH(#REF!,Tabla11[[#This Row],[Cuenta]],1))</f>
        <v>0</v>
      </c>
      <c r="AS146" t="b">
        <f>+ISNUMBER(SEARCH(#REF!,Tabla11[[#This Row],[Cuenta]],1))</f>
        <v>0</v>
      </c>
      <c r="AT146" t="b">
        <f>+ISNUMBER(SEARCH(#REF!,Tabla11[[#This Row],[Cuenta]],1))</f>
        <v>0</v>
      </c>
      <c r="AU146" t="b">
        <f>+ISNUMBER(SEARCH('Conc. Ban.1'!$I$9,Tabla11[[#This Row],[Cuenta]],1))</f>
        <v>0</v>
      </c>
      <c r="AV146" t="b">
        <f>+ISNUMBER(SEARCH(CompConta!$F$21,Tabla11[[#This Row],[Cuenta]],1))</f>
        <v>1</v>
      </c>
      <c r="AW146" t="b">
        <f>+ISNUMBER(SEARCH(CompConta!$F$22,Tabla11[[#This Row],[Cuenta]],1))</f>
        <v>1</v>
      </c>
      <c r="AX146" t="b">
        <f>+ISNUMBER(SEARCH(CompConta!$F$23,Tabla11[[#This Row],[Cuenta]],1))</f>
        <v>1</v>
      </c>
      <c r="AY146" t="b">
        <f>+ISNUMBER(SEARCH(CompConta!$F$24,Tabla11[[#This Row],[Cuenta]],1))</f>
        <v>1</v>
      </c>
      <c r="AZ146" t="b">
        <f>+ISNUMBER(SEARCH(CompConta!$F$25,Tabla11[[#This Row],[Cuenta]],1))</f>
        <v>1</v>
      </c>
      <c r="BA146" t="b">
        <f>+ISNUMBER(SEARCH(CompConta!$F$26,Tabla11[[#This Row],[Cuenta]],1))</f>
        <v>1</v>
      </c>
      <c r="BB146" t="b">
        <f>+ISNUMBER(SEARCH(CompConta!$F$27,Tabla11[[#This Row],[Cuenta]],1))</f>
        <v>1</v>
      </c>
      <c r="BC146" t="b">
        <f>+ISNUMBER(SEARCH(CompConta!$F$28,Tabla11[[#This Row],[Cuenta]],1))</f>
        <v>1</v>
      </c>
      <c r="BD146" t="b">
        <f>+ISNUMBER(SEARCH(CompConta!$F$29,Tabla11[[#This Row],[Cuenta]],1))</f>
        <v>1</v>
      </c>
      <c r="BE146" t="b">
        <f>+ISNUMBER(SEARCH(CompConta!$F$30,Tabla11[[#This Row],[Cuenta]],1))</f>
        <v>1</v>
      </c>
      <c r="BF146" t="b">
        <f>+ISNUMBER(SEARCH('PAGO Compras'!$E$11,Tabla11[[#This Row],[Cuenta]],1))</f>
        <v>1</v>
      </c>
      <c r="BG146" t="b">
        <f>+ISNUMBER(SEARCH(#REF!,Tabla11[[#This Row],[Cuenta]],1))</f>
        <v>0</v>
      </c>
      <c r="BH146" t="b">
        <f>+ISNUMBER(SEARCH(#REF!,Tabla11[[#This Row],[Cuenta]],1))</f>
        <v>0</v>
      </c>
      <c r="BI146" t="b">
        <f>+ISNUMBER(SEARCH(#REF!,Tabla11[[#This Row],[Cuenta]],1))</f>
        <v>0</v>
      </c>
      <c r="BJ146" t="b">
        <f>+ISNUMBER(SEARCH(#REF!,Tabla11[[#This Row],[Cuenta]],1))</f>
        <v>0</v>
      </c>
      <c r="BS146" t="str">
        <v>152495 Otros</v>
      </c>
      <c r="BT146" t="str">
        <v>152495 Otros</v>
      </c>
      <c r="BU146" t="str">
        <v>152495 Otros</v>
      </c>
      <c r="BV146" t="str">
        <v>152495 Otros</v>
      </c>
      <c r="BZ146" t="str">
        <v>152495 Otros</v>
      </c>
      <c r="CA146" t="str">
        <v>152495 Otros</v>
      </c>
      <c r="CB146" t="str">
        <v>152495 Otros</v>
      </c>
      <c r="CC146" t="str">
        <v>152495 Otros</v>
      </c>
      <c r="CD146" t="str">
        <v>152495 Otros</v>
      </c>
      <c r="CE146" t="str">
        <v>152495 Otros</v>
      </c>
      <c r="CS146" s="141" t="str">
        <v>152495 Otros</v>
      </c>
      <c r="CT146" s="141" t="str">
        <v>152495 Otros</v>
      </c>
      <c r="CU146" s="141" t="str">
        <v>152495 Otros</v>
      </c>
      <c r="CV146" s="141" t="str">
        <v>152495 Otros</v>
      </c>
      <c r="CW146" s="141" t="str">
        <v>152495 Otros</v>
      </c>
      <c r="CX146" s="141" t="str">
        <v>152495 Otros</v>
      </c>
      <c r="CY146" s="141" t="str">
        <v>152495 Otros</v>
      </c>
      <c r="CZ146" s="141" t="str">
        <v>152495 Otros</v>
      </c>
      <c r="DA146" s="141" t="str">
        <v>152495 Otros</v>
      </c>
      <c r="DF146" t="str">
        <v>152495 Otros</v>
      </c>
      <c r="DG146" t="str">
        <v>152495 Otros</v>
      </c>
      <c r="DH146" t="str">
        <v>152495 Otros</v>
      </c>
      <c r="DI146" t="str">
        <v>152495 Otros</v>
      </c>
      <c r="DJ146" t="str">
        <v>152495 Otros</v>
      </c>
      <c r="DK146" t="str">
        <v>152495 Otros</v>
      </c>
      <c r="DL146" t="str">
        <v>152495 Otros</v>
      </c>
      <c r="DM146" t="str">
        <v>152495 Otros</v>
      </c>
      <c r="DN146" t="str">
        <v>152495 Otros</v>
      </c>
      <c r="DO146" t="str">
        <v>152495 Otros</v>
      </c>
      <c r="DP146" t="str">
        <v>152495 Otros</v>
      </c>
    </row>
    <row r="147" spans="4:120" ht="12.75">
      <c r="D147" s="7">
        <v>152499</v>
      </c>
      <c r="E147" s="6" t="s">
        <v>44</v>
      </c>
      <c r="F147" s="5">
        <v>4</v>
      </c>
      <c r="G147" s="34" t="s">
        <v>822</v>
      </c>
      <c r="H147" s="8" t="s">
        <v>32</v>
      </c>
      <c r="I147" t="b">
        <f>+ISNUMBER(SEARCH('F-COMPRA'!$F$28,Tabla11[[#This Row],[Cuenta]],1))</f>
        <v>1</v>
      </c>
      <c r="J147" t="b">
        <f>+ISNUMBER(SEARCH('F-COMPRA'!$F$29,Tabla11[[#This Row],[Cuenta]],1))</f>
        <v>1</v>
      </c>
      <c r="K147" t="b">
        <f>+ISNUMBER(SEARCH('F-COMPRA'!$F$30,Tabla11[[#This Row],[Cuenta]],1))</f>
        <v>1</v>
      </c>
      <c r="L147" t="b">
        <f>+ISNUMBER(SEARCH('F-COMPRA'!$F$31,Tabla11[[#This Row],[Cuenta]],1))</f>
        <v>1</v>
      </c>
      <c r="M147" t="b">
        <f>+ISNUMBER(SEARCH('F-COMPRA'!$G$25,Tabla11[[#This Row],[Cuenta]],1))</f>
        <v>0</v>
      </c>
      <c r="N147" t="b">
        <f>+ISNUMBER(SEARCH(#REF!,Tabla11[[#This Row],[Cuenta]],1))</f>
        <v>0</v>
      </c>
      <c r="O147" t="b">
        <f>+ISNUMBER(SEARCH(#REF!,Tabla11[[#This Row],[Cuenta]],1))</f>
        <v>0</v>
      </c>
      <c r="P147" t="b">
        <f>+ISNUMBER(SEARCH('F-COMPRA'!$F$32,Tabla11[[#This Row],[Cuenta]],1))</f>
        <v>1</v>
      </c>
      <c r="Q147" t="b">
        <f>+ISNUMBER(SEARCH('F-COMPRA'!$F$33,Tabla11[[#This Row],[Cuenta]],1))</f>
        <v>1</v>
      </c>
      <c r="R147" t="b">
        <f>+ISNUMBER(SEARCH('F-COMPRA'!$F$34,Tabla11[[#This Row],[Cuenta]],1))</f>
        <v>1</v>
      </c>
      <c r="S147" t="b">
        <f>+ISNUMBER(SEARCH('F-COMPRA'!$F$35,Tabla11[[#This Row],[Cuenta]],1))</f>
        <v>1</v>
      </c>
      <c r="T147" t="b">
        <f>+ISNUMBER(SEARCH('F-COMPRA'!$F$36,Tabla11[[#This Row],[Cuenta]],1))</f>
        <v>1</v>
      </c>
      <c r="U147" t="b">
        <f>+ISNUMBER(SEARCH('F-COMPRA'!$F$37,Tabla11[[#This Row],[Cuenta]],1))</f>
        <v>1</v>
      </c>
      <c r="V147" t="b">
        <f>+ISNUMBER(SEARCH(#REF!,Tabla11[[#This Row],[Cuenta]],1))</f>
        <v>0</v>
      </c>
      <c r="W147" t="b">
        <f>+ISNUMBER(SEARCH('F-COMPRA'!#REF!,Tabla11[[#This Row],[Cuenta]],1))</f>
        <v>0</v>
      </c>
      <c r="X147" t="b">
        <f>+ISNUMBER(SEARCH('F-COMPRA'!#REF!,Tabla11[[#This Row],[Cuenta]],1))</f>
        <v>0</v>
      </c>
      <c r="Y147" t="b">
        <f>+ISNUMBER(SEARCH('F-COMPRA'!#REF!,Tabla11[[#This Row],[Cuenta]],1))</f>
        <v>0</v>
      </c>
      <c r="Z147" t="b">
        <f>+ISNUMBER(SEARCH('F-COMPRA'!#REF!,Tabla11[[#This Row],[Cuenta]],1))</f>
        <v>0</v>
      </c>
      <c r="AA147" t="b">
        <f>+ISNUMBER(SEARCH('F-COMPRA'!#REF!,Tabla11[[#This Row],[Cuenta]],1))</f>
        <v>0</v>
      </c>
      <c r="AB147" t="b">
        <f>+ISNUMBER(SEARCH('F-COMPRA'!#REF!,Tabla11[[#This Row],[Cuenta]],1))</f>
        <v>0</v>
      </c>
      <c r="AC147" t="b">
        <f>+ISNUMBER(SEARCH('F-COMPRA'!#REF!,Tabla11[[#This Row],[Cuenta]],1))</f>
        <v>0</v>
      </c>
      <c r="AD147" t="b">
        <f>+ISNUMBER(SEARCH('F-COMPRA'!#REF!,Tabla11[[#This Row],[Cuenta]],1))</f>
        <v>0</v>
      </c>
      <c r="AE147" t="b">
        <f>+ISNUMBER(SEARCH('F-COMPRA'!#REF!,Tabla11[[#This Row],[Cuenta]],1))</f>
        <v>0</v>
      </c>
      <c r="AF147" t="b">
        <f>+ISNUMBER(SEARCH('F-VTA'!$G$23,Tabla11[[#This Row],[Cuenta]],1))</f>
        <v>0</v>
      </c>
      <c r="AG147" t="b">
        <f>+ISNUMBER(SEARCH('F-VTA'!$G$24,Tabla11[[#This Row],[Cuenta]],1))</f>
        <v>0</v>
      </c>
      <c r="AH147" t="b">
        <f>+ISNUMBER(SEARCH('F-VTA'!$G$25,Tabla11[[#This Row],[Cuenta]],1))</f>
        <v>0</v>
      </c>
      <c r="AI147" t="b">
        <f>+ISNUMBER(SEARCH('F-VTA'!$F$28,Tabla11[[#This Row],[Cuenta]],1))</f>
        <v>1</v>
      </c>
      <c r="AJ147" t="b">
        <f>+ISNUMBER(SEARCH('F-VTA'!$F$29,Tabla11[[#This Row],[Cuenta]],1))</f>
        <v>1</v>
      </c>
      <c r="AK147" t="b">
        <f>+ISNUMBER(SEARCH('F-VTA'!$F$30,Tabla11[[#This Row],[Cuenta]],1))</f>
        <v>1</v>
      </c>
      <c r="AL147" t="b">
        <f>+ISNUMBER(SEARCH('F-VTA'!$F$31,Tabla11[[#This Row],[Cuenta]],1))</f>
        <v>1</v>
      </c>
      <c r="AM147" t="b">
        <f>+ISNUMBER(SEARCH('F-VTA'!$F$32,Tabla11[[#This Row],[Cuenta]],1))</f>
        <v>1</v>
      </c>
      <c r="AN147" t="b">
        <f>+ISNUMBER(SEARCH('F-VTA'!$F$33,Tabla11[[#This Row],[Cuenta]],1))</f>
        <v>1</v>
      </c>
      <c r="AO147" t="b">
        <f>+ISNUMBER(SEARCH('F-VTA'!$F$34,Tabla11[[#This Row],[Cuenta]],1))</f>
        <v>1</v>
      </c>
      <c r="AP147" t="b">
        <f>+ISNUMBER(SEARCH('F-VTA'!$F$35,Tabla11[[#This Row],[Cuenta]],1))</f>
        <v>1</v>
      </c>
      <c r="AQ147" t="b">
        <f>+ISNUMBER(SEARCH('F-VTA'!$F$36,Tabla11[[#This Row],[Cuenta]],1))</f>
        <v>1</v>
      </c>
      <c r="AR147" t="b">
        <f>+ISNUMBER(SEARCH(#REF!,Tabla11[[#This Row],[Cuenta]],1))</f>
        <v>0</v>
      </c>
      <c r="AS147" t="b">
        <f>+ISNUMBER(SEARCH(#REF!,Tabla11[[#This Row],[Cuenta]],1))</f>
        <v>0</v>
      </c>
      <c r="AT147" t="b">
        <f>+ISNUMBER(SEARCH(#REF!,Tabla11[[#This Row],[Cuenta]],1))</f>
        <v>0</v>
      </c>
      <c r="AU147" t="b">
        <f>+ISNUMBER(SEARCH('Conc. Ban.1'!$I$9,Tabla11[[#This Row],[Cuenta]],1))</f>
        <v>0</v>
      </c>
      <c r="AV147" t="b">
        <f>+ISNUMBER(SEARCH(CompConta!$F$21,Tabla11[[#This Row],[Cuenta]],1))</f>
        <v>1</v>
      </c>
      <c r="AW147" t="b">
        <f>+ISNUMBER(SEARCH(CompConta!$F$22,Tabla11[[#This Row],[Cuenta]],1))</f>
        <v>1</v>
      </c>
      <c r="AX147" t="b">
        <f>+ISNUMBER(SEARCH(CompConta!$F$23,Tabla11[[#This Row],[Cuenta]],1))</f>
        <v>1</v>
      </c>
      <c r="AY147" t="b">
        <f>+ISNUMBER(SEARCH(CompConta!$F$24,Tabla11[[#This Row],[Cuenta]],1))</f>
        <v>1</v>
      </c>
      <c r="AZ147" t="b">
        <f>+ISNUMBER(SEARCH(CompConta!$F$25,Tabla11[[#This Row],[Cuenta]],1))</f>
        <v>1</v>
      </c>
      <c r="BA147" t="b">
        <f>+ISNUMBER(SEARCH(CompConta!$F$26,Tabla11[[#This Row],[Cuenta]],1))</f>
        <v>1</v>
      </c>
      <c r="BB147" t="b">
        <f>+ISNUMBER(SEARCH(CompConta!$F$27,Tabla11[[#This Row],[Cuenta]],1))</f>
        <v>1</v>
      </c>
      <c r="BC147" t="b">
        <f>+ISNUMBER(SEARCH(CompConta!$F$28,Tabla11[[#This Row],[Cuenta]],1))</f>
        <v>1</v>
      </c>
      <c r="BD147" t="b">
        <f>+ISNUMBER(SEARCH(CompConta!$F$29,Tabla11[[#This Row],[Cuenta]],1))</f>
        <v>1</v>
      </c>
      <c r="BE147" t="b">
        <f>+ISNUMBER(SEARCH(CompConta!$F$30,Tabla11[[#This Row],[Cuenta]],1))</f>
        <v>1</v>
      </c>
      <c r="BF147" t="b">
        <f>+ISNUMBER(SEARCH('PAGO Compras'!$E$11,Tabla11[[#This Row],[Cuenta]],1))</f>
        <v>1</v>
      </c>
      <c r="BG147" t="b">
        <f>+ISNUMBER(SEARCH(#REF!,Tabla11[[#This Row],[Cuenta]],1))</f>
        <v>0</v>
      </c>
      <c r="BH147" t="b">
        <f>+ISNUMBER(SEARCH(#REF!,Tabla11[[#This Row],[Cuenta]],1))</f>
        <v>0</v>
      </c>
      <c r="BI147" t="b">
        <f>+ISNUMBER(SEARCH(#REF!,Tabla11[[#This Row],[Cuenta]],1))</f>
        <v>0</v>
      </c>
      <c r="BJ147" t="b">
        <f>+ISNUMBER(SEARCH(#REF!,Tabla11[[#This Row],[Cuenta]],1))</f>
        <v>0</v>
      </c>
      <c r="BS147" t="str">
        <v>152499 Ajustes por inflación</v>
      </c>
      <c r="BT147" t="str">
        <v>152499 Ajustes por inflación</v>
      </c>
      <c r="BU147" t="str">
        <v>152499 Ajustes por inflación</v>
      </c>
      <c r="BV147" t="str">
        <v>152499 Ajustes por inflación</v>
      </c>
      <c r="BZ147" t="str">
        <v>152499 Ajustes por inflación</v>
      </c>
      <c r="CA147" t="str">
        <v>152499 Ajustes por inflación</v>
      </c>
      <c r="CB147" t="str">
        <v>152499 Ajustes por inflación</v>
      </c>
      <c r="CC147" t="str">
        <v>152499 Ajustes por inflación</v>
      </c>
      <c r="CD147" t="str">
        <v>152499 Ajustes por inflación</v>
      </c>
      <c r="CE147" t="str">
        <v>152499 Ajustes por inflación</v>
      </c>
      <c r="CS147" s="141" t="str">
        <v>152499 Ajustes por inflación</v>
      </c>
      <c r="CT147" s="141" t="str">
        <v>152499 Ajustes por inflación</v>
      </c>
      <c r="CU147" s="141" t="str">
        <v>152499 Ajustes por inflación</v>
      </c>
      <c r="CV147" s="141" t="str">
        <v>152499 Ajustes por inflación</v>
      </c>
      <c r="CW147" s="141" t="str">
        <v>152499 Ajustes por inflación</v>
      </c>
      <c r="CX147" s="141" t="str">
        <v>152499 Ajustes por inflación</v>
      </c>
      <c r="CY147" s="141" t="str">
        <v>152499 Ajustes por inflación</v>
      </c>
      <c r="CZ147" s="141" t="str">
        <v>152499 Ajustes por inflación</v>
      </c>
      <c r="DA147" s="141" t="str">
        <v>152499 Ajustes por inflación</v>
      </c>
      <c r="DF147" t="str">
        <v>152499 Ajustes por inflación</v>
      </c>
      <c r="DG147" t="str">
        <v>152499 Ajustes por inflación</v>
      </c>
      <c r="DH147" t="str">
        <v>152499 Ajustes por inflación</v>
      </c>
      <c r="DI147" t="str">
        <v>152499 Ajustes por inflación</v>
      </c>
      <c r="DJ147" t="str">
        <v>152499 Ajustes por inflación</v>
      </c>
      <c r="DK147" t="str">
        <v>152499 Ajustes por inflación</v>
      </c>
      <c r="DL147" t="str">
        <v>152499 Ajustes por inflación</v>
      </c>
      <c r="DM147" t="str">
        <v>152499 Ajustes por inflación</v>
      </c>
      <c r="DN147" t="str">
        <v>152499 Ajustes por inflación</v>
      </c>
      <c r="DO147" t="str">
        <v>152499 Ajustes por inflación</v>
      </c>
      <c r="DP147" t="str">
        <v>152499 Ajustes por inflación</v>
      </c>
    </row>
    <row r="148" spans="4:120" ht="12.75">
      <c r="D148" s="7">
        <v>1528</v>
      </c>
      <c r="E148" s="6" t="s">
        <v>160</v>
      </c>
      <c r="F148" s="5">
        <v>3</v>
      </c>
      <c r="G148" s="34" t="s">
        <v>822</v>
      </c>
      <c r="H148" s="8" t="s">
        <v>32</v>
      </c>
      <c r="I148" t="b">
        <f>+ISNUMBER(SEARCH('F-COMPRA'!$F$28,Tabla11[[#This Row],[Cuenta]],1))</f>
        <v>1</v>
      </c>
      <c r="J148" t="b">
        <f>+ISNUMBER(SEARCH('F-COMPRA'!$F$29,Tabla11[[#This Row],[Cuenta]],1))</f>
        <v>1</v>
      </c>
      <c r="K148" t="b">
        <f>+ISNUMBER(SEARCH('F-COMPRA'!$F$30,Tabla11[[#This Row],[Cuenta]],1))</f>
        <v>1</v>
      </c>
      <c r="L148" t="b">
        <f>+ISNUMBER(SEARCH('F-COMPRA'!$F$31,Tabla11[[#This Row],[Cuenta]],1))</f>
        <v>1</v>
      </c>
      <c r="M148" t="b">
        <f>+ISNUMBER(SEARCH('F-COMPRA'!$G$25,Tabla11[[#This Row],[Cuenta]],1))</f>
        <v>0</v>
      </c>
      <c r="N148" t="b">
        <f>+ISNUMBER(SEARCH(#REF!,Tabla11[[#This Row],[Cuenta]],1))</f>
        <v>0</v>
      </c>
      <c r="O148" t="b">
        <f>+ISNUMBER(SEARCH(#REF!,Tabla11[[#This Row],[Cuenta]],1))</f>
        <v>0</v>
      </c>
      <c r="P148" t="b">
        <f>+ISNUMBER(SEARCH('F-COMPRA'!$F$32,Tabla11[[#This Row],[Cuenta]],1))</f>
        <v>1</v>
      </c>
      <c r="Q148" t="b">
        <f>+ISNUMBER(SEARCH('F-COMPRA'!$F$33,Tabla11[[#This Row],[Cuenta]],1))</f>
        <v>1</v>
      </c>
      <c r="R148" t="b">
        <f>+ISNUMBER(SEARCH('F-COMPRA'!$F$34,Tabla11[[#This Row],[Cuenta]],1))</f>
        <v>1</v>
      </c>
      <c r="S148" t="b">
        <f>+ISNUMBER(SEARCH('F-COMPRA'!$F$35,Tabla11[[#This Row],[Cuenta]],1))</f>
        <v>1</v>
      </c>
      <c r="T148" t="b">
        <f>+ISNUMBER(SEARCH('F-COMPRA'!$F$36,Tabla11[[#This Row],[Cuenta]],1))</f>
        <v>1</v>
      </c>
      <c r="U148" t="b">
        <f>+ISNUMBER(SEARCH('F-COMPRA'!$F$37,Tabla11[[#This Row],[Cuenta]],1))</f>
        <v>1</v>
      </c>
      <c r="V148" t="b">
        <f>+ISNUMBER(SEARCH(#REF!,Tabla11[[#This Row],[Cuenta]],1))</f>
        <v>0</v>
      </c>
      <c r="W148" t="b">
        <f>+ISNUMBER(SEARCH('F-COMPRA'!#REF!,Tabla11[[#This Row],[Cuenta]],1))</f>
        <v>0</v>
      </c>
      <c r="X148" t="b">
        <f>+ISNUMBER(SEARCH('F-COMPRA'!#REF!,Tabla11[[#This Row],[Cuenta]],1))</f>
        <v>0</v>
      </c>
      <c r="Y148" t="b">
        <f>+ISNUMBER(SEARCH('F-COMPRA'!#REF!,Tabla11[[#This Row],[Cuenta]],1))</f>
        <v>0</v>
      </c>
      <c r="Z148" t="b">
        <f>+ISNUMBER(SEARCH('F-COMPRA'!#REF!,Tabla11[[#This Row],[Cuenta]],1))</f>
        <v>0</v>
      </c>
      <c r="AA148" t="b">
        <f>+ISNUMBER(SEARCH('F-COMPRA'!#REF!,Tabla11[[#This Row],[Cuenta]],1))</f>
        <v>0</v>
      </c>
      <c r="AB148" t="b">
        <f>+ISNUMBER(SEARCH('F-COMPRA'!#REF!,Tabla11[[#This Row],[Cuenta]],1))</f>
        <v>0</v>
      </c>
      <c r="AC148" t="b">
        <f>+ISNUMBER(SEARCH('F-COMPRA'!#REF!,Tabla11[[#This Row],[Cuenta]],1))</f>
        <v>0</v>
      </c>
      <c r="AD148" t="b">
        <f>+ISNUMBER(SEARCH('F-COMPRA'!#REF!,Tabla11[[#This Row],[Cuenta]],1))</f>
        <v>0</v>
      </c>
      <c r="AE148" t="b">
        <f>+ISNUMBER(SEARCH('F-COMPRA'!#REF!,Tabla11[[#This Row],[Cuenta]],1))</f>
        <v>0</v>
      </c>
      <c r="AF148" t="b">
        <f>+ISNUMBER(SEARCH('F-VTA'!$G$23,Tabla11[[#This Row],[Cuenta]],1))</f>
        <v>0</v>
      </c>
      <c r="AG148" t="b">
        <f>+ISNUMBER(SEARCH('F-VTA'!$G$24,Tabla11[[#This Row],[Cuenta]],1))</f>
        <v>0</v>
      </c>
      <c r="AH148" t="b">
        <f>+ISNUMBER(SEARCH('F-VTA'!$G$25,Tabla11[[#This Row],[Cuenta]],1))</f>
        <v>0</v>
      </c>
      <c r="AI148" t="b">
        <f>+ISNUMBER(SEARCH('F-VTA'!$F$28,Tabla11[[#This Row],[Cuenta]],1))</f>
        <v>1</v>
      </c>
      <c r="AJ148" t="b">
        <f>+ISNUMBER(SEARCH('F-VTA'!$F$29,Tabla11[[#This Row],[Cuenta]],1))</f>
        <v>1</v>
      </c>
      <c r="AK148" t="b">
        <f>+ISNUMBER(SEARCH('F-VTA'!$F$30,Tabla11[[#This Row],[Cuenta]],1))</f>
        <v>1</v>
      </c>
      <c r="AL148" t="b">
        <f>+ISNUMBER(SEARCH('F-VTA'!$F$31,Tabla11[[#This Row],[Cuenta]],1))</f>
        <v>1</v>
      </c>
      <c r="AM148" t="b">
        <f>+ISNUMBER(SEARCH('F-VTA'!$F$32,Tabla11[[#This Row],[Cuenta]],1))</f>
        <v>1</v>
      </c>
      <c r="AN148" t="b">
        <f>+ISNUMBER(SEARCH('F-VTA'!$F$33,Tabla11[[#This Row],[Cuenta]],1))</f>
        <v>1</v>
      </c>
      <c r="AO148" t="b">
        <f>+ISNUMBER(SEARCH('F-VTA'!$F$34,Tabla11[[#This Row],[Cuenta]],1))</f>
        <v>1</v>
      </c>
      <c r="AP148" t="b">
        <f>+ISNUMBER(SEARCH('F-VTA'!$F$35,Tabla11[[#This Row],[Cuenta]],1))</f>
        <v>1</v>
      </c>
      <c r="AQ148" t="b">
        <f>+ISNUMBER(SEARCH('F-VTA'!$F$36,Tabla11[[#This Row],[Cuenta]],1))</f>
        <v>1</v>
      </c>
      <c r="AR148" t="b">
        <f>+ISNUMBER(SEARCH(#REF!,Tabla11[[#This Row],[Cuenta]],1))</f>
        <v>0</v>
      </c>
      <c r="AS148" t="b">
        <f>+ISNUMBER(SEARCH(#REF!,Tabla11[[#This Row],[Cuenta]],1))</f>
        <v>0</v>
      </c>
      <c r="AT148" t="b">
        <f>+ISNUMBER(SEARCH(#REF!,Tabla11[[#This Row],[Cuenta]],1))</f>
        <v>0</v>
      </c>
      <c r="AU148" t="b">
        <f>+ISNUMBER(SEARCH('Conc. Ban.1'!$I$9,Tabla11[[#This Row],[Cuenta]],1))</f>
        <v>0</v>
      </c>
      <c r="AV148" t="b">
        <f>+ISNUMBER(SEARCH(CompConta!$F$21,Tabla11[[#This Row],[Cuenta]],1))</f>
        <v>1</v>
      </c>
      <c r="AW148" t="b">
        <f>+ISNUMBER(SEARCH(CompConta!$F$22,Tabla11[[#This Row],[Cuenta]],1))</f>
        <v>1</v>
      </c>
      <c r="AX148" t="b">
        <f>+ISNUMBER(SEARCH(CompConta!$F$23,Tabla11[[#This Row],[Cuenta]],1))</f>
        <v>1</v>
      </c>
      <c r="AY148" t="b">
        <f>+ISNUMBER(SEARCH(CompConta!$F$24,Tabla11[[#This Row],[Cuenta]],1))</f>
        <v>1</v>
      </c>
      <c r="AZ148" t="b">
        <f>+ISNUMBER(SEARCH(CompConta!$F$25,Tabla11[[#This Row],[Cuenta]],1))</f>
        <v>1</v>
      </c>
      <c r="BA148" t="b">
        <f>+ISNUMBER(SEARCH(CompConta!$F$26,Tabla11[[#This Row],[Cuenta]],1))</f>
        <v>1</v>
      </c>
      <c r="BB148" t="b">
        <f>+ISNUMBER(SEARCH(CompConta!$F$27,Tabla11[[#This Row],[Cuenta]],1))</f>
        <v>1</v>
      </c>
      <c r="BC148" t="b">
        <f>+ISNUMBER(SEARCH(CompConta!$F$28,Tabla11[[#This Row],[Cuenta]],1))</f>
        <v>1</v>
      </c>
      <c r="BD148" t="b">
        <f>+ISNUMBER(SEARCH(CompConta!$F$29,Tabla11[[#This Row],[Cuenta]],1))</f>
        <v>1</v>
      </c>
      <c r="BE148" t="b">
        <f>+ISNUMBER(SEARCH(CompConta!$F$30,Tabla11[[#This Row],[Cuenta]],1))</f>
        <v>1</v>
      </c>
      <c r="BF148" t="b">
        <f>+ISNUMBER(SEARCH('PAGO Compras'!$E$11,Tabla11[[#This Row],[Cuenta]],1))</f>
        <v>1</v>
      </c>
      <c r="BG148" t="b">
        <f>+ISNUMBER(SEARCH(#REF!,Tabla11[[#This Row],[Cuenta]],1))</f>
        <v>0</v>
      </c>
      <c r="BH148" t="b">
        <f>+ISNUMBER(SEARCH(#REF!,Tabla11[[#This Row],[Cuenta]],1))</f>
        <v>0</v>
      </c>
      <c r="BI148" t="b">
        <f>+ISNUMBER(SEARCH(#REF!,Tabla11[[#This Row],[Cuenta]],1))</f>
        <v>0</v>
      </c>
      <c r="BJ148" t="b">
        <f>+ISNUMBER(SEARCH(#REF!,Tabla11[[#This Row],[Cuenta]],1))</f>
        <v>0</v>
      </c>
      <c r="BS148" t="str">
        <v>1528 EQUIPO DE COMPUTACIÓN Y COMUNICACIÓN</v>
      </c>
      <c r="BT148" t="str">
        <v>1528 EQUIPO DE COMPUTACIÓN Y COMUNICACIÓN</v>
      </c>
      <c r="BU148" t="str">
        <v>1528 EQUIPO DE COMPUTACIÓN Y COMUNICACIÓN</v>
      </c>
      <c r="BV148" t="str">
        <v>1528 EQUIPO DE COMPUTACIÓN Y COMUNICACIÓN</v>
      </c>
      <c r="BZ148" t="str">
        <v>1528 EQUIPO DE COMPUTACIÓN Y COMUNICACIÓN</v>
      </c>
      <c r="CA148" t="str">
        <v>1528 EQUIPO DE COMPUTACIÓN Y COMUNICACIÓN</v>
      </c>
      <c r="CB148" t="str">
        <v>1528 EQUIPO DE COMPUTACIÓN Y COMUNICACIÓN</v>
      </c>
      <c r="CC148" t="str">
        <v>1528 EQUIPO DE COMPUTACIÓN Y COMUNICACIÓN</v>
      </c>
      <c r="CD148" t="str">
        <v>1528 EQUIPO DE COMPUTACIÓN Y COMUNICACIÓN</v>
      </c>
      <c r="CE148" t="str">
        <v>1528 EQUIPO DE COMPUTACIÓN Y COMUNICACIÓN</v>
      </c>
      <c r="CS148" s="141" t="str">
        <v>1528 EQUIPO DE COMPUTACIÓN Y COMUNICACIÓN</v>
      </c>
      <c r="CT148" s="141" t="str">
        <v>1528 EQUIPO DE COMPUTACIÓN Y COMUNICACIÓN</v>
      </c>
      <c r="CU148" s="141" t="str">
        <v>1528 EQUIPO DE COMPUTACIÓN Y COMUNICACIÓN</v>
      </c>
      <c r="CV148" s="141" t="str">
        <v>1528 EQUIPO DE COMPUTACIÓN Y COMUNICACIÓN</v>
      </c>
      <c r="CW148" s="141" t="str">
        <v>1528 EQUIPO DE COMPUTACIÓN Y COMUNICACIÓN</v>
      </c>
      <c r="CX148" s="141" t="str">
        <v>1528 EQUIPO DE COMPUTACIÓN Y COMUNICACIÓN</v>
      </c>
      <c r="CY148" s="141" t="str">
        <v>1528 EQUIPO DE COMPUTACIÓN Y COMUNICACIÓN</v>
      </c>
      <c r="CZ148" s="141" t="str">
        <v>1528 EQUIPO DE COMPUTACIÓN Y COMUNICACIÓN</v>
      </c>
      <c r="DA148" s="141" t="str">
        <v>1528 EQUIPO DE COMPUTACIÓN Y COMUNICACIÓN</v>
      </c>
      <c r="DF148" t="str">
        <v>1528 EQUIPO DE COMPUTACIÓN Y COMUNICACIÓN</v>
      </c>
      <c r="DG148" t="str">
        <v>1528 EQUIPO DE COMPUTACIÓN Y COMUNICACIÓN</v>
      </c>
      <c r="DH148" t="str">
        <v>1528 EQUIPO DE COMPUTACIÓN Y COMUNICACIÓN</v>
      </c>
      <c r="DI148" t="str">
        <v>1528 EQUIPO DE COMPUTACIÓN Y COMUNICACIÓN</v>
      </c>
      <c r="DJ148" t="str">
        <v>1528 EQUIPO DE COMPUTACIÓN Y COMUNICACIÓN</v>
      </c>
      <c r="DK148" t="str">
        <v>1528 EQUIPO DE COMPUTACIÓN Y COMUNICACIÓN</v>
      </c>
      <c r="DL148" t="str">
        <v>1528 EQUIPO DE COMPUTACIÓN Y COMUNICACIÓN</v>
      </c>
      <c r="DM148" t="str">
        <v>1528 EQUIPO DE COMPUTACIÓN Y COMUNICACIÓN</v>
      </c>
      <c r="DN148" t="str">
        <v>1528 EQUIPO DE COMPUTACIÓN Y COMUNICACIÓN</v>
      </c>
      <c r="DO148" t="str">
        <v>1528 EQUIPO DE COMPUTACIÓN Y COMUNICACIÓN</v>
      </c>
      <c r="DP148" t="str">
        <v>1528 EQUIPO DE COMPUTACIÓN Y COMUNICACIÓN</v>
      </c>
    </row>
    <row r="149" spans="4:120" ht="12.75">
      <c r="D149" s="7">
        <v>152805</v>
      </c>
      <c r="E149" s="6" t="s">
        <v>161</v>
      </c>
      <c r="F149" s="5">
        <v>4</v>
      </c>
      <c r="G149" s="34" t="s">
        <v>822</v>
      </c>
      <c r="H149" s="8" t="s">
        <v>32</v>
      </c>
      <c r="I149" t="b">
        <f>+ISNUMBER(SEARCH('F-COMPRA'!$F$28,Tabla11[[#This Row],[Cuenta]],1))</f>
        <v>1</v>
      </c>
      <c r="J149" t="b">
        <f>+ISNUMBER(SEARCH('F-COMPRA'!$F$29,Tabla11[[#This Row],[Cuenta]],1))</f>
        <v>1</v>
      </c>
      <c r="K149" t="b">
        <f>+ISNUMBER(SEARCH('F-COMPRA'!$F$30,Tabla11[[#This Row],[Cuenta]],1))</f>
        <v>1</v>
      </c>
      <c r="L149" t="b">
        <f>+ISNUMBER(SEARCH('F-COMPRA'!$F$31,Tabla11[[#This Row],[Cuenta]],1))</f>
        <v>1</v>
      </c>
      <c r="M149" t="b">
        <f>+ISNUMBER(SEARCH('F-COMPRA'!$G$25,Tabla11[[#This Row],[Cuenta]],1))</f>
        <v>0</v>
      </c>
      <c r="N149" t="b">
        <f>+ISNUMBER(SEARCH(#REF!,Tabla11[[#This Row],[Cuenta]],1))</f>
        <v>0</v>
      </c>
      <c r="O149" t="b">
        <f>+ISNUMBER(SEARCH(#REF!,Tabla11[[#This Row],[Cuenta]],1))</f>
        <v>0</v>
      </c>
      <c r="P149" t="b">
        <f>+ISNUMBER(SEARCH('F-COMPRA'!$F$32,Tabla11[[#This Row],[Cuenta]],1))</f>
        <v>1</v>
      </c>
      <c r="Q149" t="b">
        <f>+ISNUMBER(SEARCH('F-COMPRA'!$F$33,Tabla11[[#This Row],[Cuenta]],1))</f>
        <v>1</v>
      </c>
      <c r="R149" t="b">
        <f>+ISNUMBER(SEARCH('F-COMPRA'!$F$34,Tabla11[[#This Row],[Cuenta]],1))</f>
        <v>1</v>
      </c>
      <c r="S149" t="b">
        <f>+ISNUMBER(SEARCH('F-COMPRA'!$F$35,Tabla11[[#This Row],[Cuenta]],1))</f>
        <v>1</v>
      </c>
      <c r="T149" t="b">
        <f>+ISNUMBER(SEARCH('F-COMPRA'!$F$36,Tabla11[[#This Row],[Cuenta]],1))</f>
        <v>1</v>
      </c>
      <c r="U149" t="b">
        <f>+ISNUMBER(SEARCH('F-COMPRA'!$F$37,Tabla11[[#This Row],[Cuenta]],1))</f>
        <v>1</v>
      </c>
      <c r="V149" t="b">
        <f>+ISNUMBER(SEARCH(#REF!,Tabla11[[#This Row],[Cuenta]],1))</f>
        <v>0</v>
      </c>
      <c r="W149" t="b">
        <f>+ISNUMBER(SEARCH('F-COMPRA'!#REF!,Tabla11[[#This Row],[Cuenta]],1))</f>
        <v>0</v>
      </c>
      <c r="X149" t="b">
        <f>+ISNUMBER(SEARCH('F-COMPRA'!#REF!,Tabla11[[#This Row],[Cuenta]],1))</f>
        <v>0</v>
      </c>
      <c r="Y149" t="b">
        <f>+ISNUMBER(SEARCH('F-COMPRA'!#REF!,Tabla11[[#This Row],[Cuenta]],1))</f>
        <v>0</v>
      </c>
      <c r="Z149" t="b">
        <f>+ISNUMBER(SEARCH('F-COMPRA'!#REF!,Tabla11[[#This Row],[Cuenta]],1))</f>
        <v>0</v>
      </c>
      <c r="AA149" t="b">
        <f>+ISNUMBER(SEARCH('F-COMPRA'!#REF!,Tabla11[[#This Row],[Cuenta]],1))</f>
        <v>0</v>
      </c>
      <c r="AB149" t="b">
        <f>+ISNUMBER(SEARCH('F-COMPRA'!#REF!,Tabla11[[#This Row],[Cuenta]],1))</f>
        <v>0</v>
      </c>
      <c r="AC149" t="b">
        <f>+ISNUMBER(SEARCH('F-COMPRA'!#REF!,Tabla11[[#This Row],[Cuenta]],1))</f>
        <v>0</v>
      </c>
      <c r="AD149" t="b">
        <f>+ISNUMBER(SEARCH('F-COMPRA'!#REF!,Tabla11[[#This Row],[Cuenta]],1))</f>
        <v>0</v>
      </c>
      <c r="AE149" t="b">
        <f>+ISNUMBER(SEARCH('F-COMPRA'!#REF!,Tabla11[[#This Row],[Cuenta]],1))</f>
        <v>0</v>
      </c>
      <c r="AF149" t="b">
        <f>+ISNUMBER(SEARCH('F-VTA'!$G$23,Tabla11[[#This Row],[Cuenta]],1))</f>
        <v>0</v>
      </c>
      <c r="AG149" t="b">
        <f>+ISNUMBER(SEARCH('F-VTA'!$G$24,Tabla11[[#This Row],[Cuenta]],1))</f>
        <v>0</v>
      </c>
      <c r="AH149" t="b">
        <f>+ISNUMBER(SEARCH('F-VTA'!$G$25,Tabla11[[#This Row],[Cuenta]],1))</f>
        <v>0</v>
      </c>
      <c r="AI149" t="b">
        <f>+ISNUMBER(SEARCH('F-VTA'!$F$28,Tabla11[[#This Row],[Cuenta]],1))</f>
        <v>1</v>
      </c>
      <c r="AJ149" t="b">
        <f>+ISNUMBER(SEARCH('F-VTA'!$F$29,Tabla11[[#This Row],[Cuenta]],1))</f>
        <v>1</v>
      </c>
      <c r="AK149" t="b">
        <f>+ISNUMBER(SEARCH('F-VTA'!$F$30,Tabla11[[#This Row],[Cuenta]],1))</f>
        <v>1</v>
      </c>
      <c r="AL149" t="b">
        <f>+ISNUMBER(SEARCH('F-VTA'!$F$31,Tabla11[[#This Row],[Cuenta]],1))</f>
        <v>1</v>
      </c>
      <c r="AM149" t="b">
        <f>+ISNUMBER(SEARCH('F-VTA'!$F$32,Tabla11[[#This Row],[Cuenta]],1))</f>
        <v>1</v>
      </c>
      <c r="AN149" t="b">
        <f>+ISNUMBER(SEARCH('F-VTA'!$F$33,Tabla11[[#This Row],[Cuenta]],1))</f>
        <v>1</v>
      </c>
      <c r="AO149" t="b">
        <f>+ISNUMBER(SEARCH('F-VTA'!$F$34,Tabla11[[#This Row],[Cuenta]],1))</f>
        <v>1</v>
      </c>
      <c r="AP149" t="b">
        <f>+ISNUMBER(SEARCH('F-VTA'!$F$35,Tabla11[[#This Row],[Cuenta]],1))</f>
        <v>1</v>
      </c>
      <c r="AQ149" t="b">
        <f>+ISNUMBER(SEARCH('F-VTA'!$F$36,Tabla11[[#This Row],[Cuenta]],1))</f>
        <v>1</v>
      </c>
      <c r="AR149" t="b">
        <f>+ISNUMBER(SEARCH(#REF!,Tabla11[[#This Row],[Cuenta]],1))</f>
        <v>0</v>
      </c>
      <c r="AS149" t="b">
        <f>+ISNUMBER(SEARCH(#REF!,Tabla11[[#This Row],[Cuenta]],1))</f>
        <v>0</v>
      </c>
      <c r="AT149" t="b">
        <f>+ISNUMBER(SEARCH(#REF!,Tabla11[[#This Row],[Cuenta]],1))</f>
        <v>0</v>
      </c>
      <c r="AU149" t="b">
        <f>+ISNUMBER(SEARCH('Conc. Ban.1'!$I$9,Tabla11[[#This Row],[Cuenta]],1))</f>
        <v>0</v>
      </c>
      <c r="AV149" t="b">
        <f>+ISNUMBER(SEARCH(CompConta!$F$21,Tabla11[[#This Row],[Cuenta]],1))</f>
        <v>1</v>
      </c>
      <c r="AW149" t="b">
        <f>+ISNUMBER(SEARCH(CompConta!$F$22,Tabla11[[#This Row],[Cuenta]],1))</f>
        <v>1</v>
      </c>
      <c r="AX149" t="b">
        <f>+ISNUMBER(SEARCH(CompConta!$F$23,Tabla11[[#This Row],[Cuenta]],1))</f>
        <v>1</v>
      </c>
      <c r="AY149" t="b">
        <f>+ISNUMBER(SEARCH(CompConta!$F$24,Tabla11[[#This Row],[Cuenta]],1))</f>
        <v>1</v>
      </c>
      <c r="AZ149" t="b">
        <f>+ISNUMBER(SEARCH(CompConta!$F$25,Tabla11[[#This Row],[Cuenta]],1))</f>
        <v>1</v>
      </c>
      <c r="BA149" t="b">
        <f>+ISNUMBER(SEARCH(CompConta!$F$26,Tabla11[[#This Row],[Cuenta]],1))</f>
        <v>1</v>
      </c>
      <c r="BB149" t="b">
        <f>+ISNUMBER(SEARCH(CompConta!$F$27,Tabla11[[#This Row],[Cuenta]],1))</f>
        <v>1</v>
      </c>
      <c r="BC149" t="b">
        <f>+ISNUMBER(SEARCH(CompConta!$F$28,Tabla11[[#This Row],[Cuenta]],1))</f>
        <v>1</v>
      </c>
      <c r="BD149" t="b">
        <f>+ISNUMBER(SEARCH(CompConta!$F$29,Tabla11[[#This Row],[Cuenta]],1))</f>
        <v>1</v>
      </c>
      <c r="BE149" t="b">
        <f>+ISNUMBER(SEARCH(CompConta!$F$30,Tabla11[[#This Row],[Cuenta]],1))</f>
        <v>1</v>
      </c>
      <c r="BF149" t="b">
        <f>+ISNUMBER(SEARCH('PAGO Compras'!$E$11,Tabla11[[#This Row],[Cuenta]],1))</f>
        <v>1</v>
      </c>
      <c r="BG149" t="b">
        <f>+ISNUMBER(SEARCH(#REF!,Tabla11[[#This Row],[Cuenta]],1))</f>
        <v>0</v>
      </c>
      <c r="BH149" t="b">
        <f>+ISNUMBER(SEARCH(#REF!,Tabla11[[#This Row],[Cuenta]],1))</f>
        <v>0</v>
      </c>
      <c r="BI149" t="b">
        <f>+ISNUMBER(SEARCH(#REF!,Tabla11[[#This Row],[Cuenta]],1))</f>
        <v>0</v>
      </c>
      <c r="BJ149" t="b">
        <f>+ISNUMBER(SEARCH(#REF!,Tabla11[[#This Row],[Cuenta]],1))</f>
        <v>0</v>
      </c>
      <c r="BS149" t="str">
        <v>152805 Equipos de procesamiento de datos</v>
      </c>
      <c r="BT149" t="str">
        <v>152805 Equipos de procesamiento de datos</v>
      </c>
      <c r="BU149" t="str">
        <v>152805 Equipos de procesamiento de datos</v>
      </c>
      <c r="BV149" t="str">
        <v>152805 Equipos de procesamiento de datos</v>
      </c>
      <c r="BZ149" t="str">
        <v>152805 Equipos de procesamiento de datos</v>
      </c>
      <c r="CA149" t="str">
        <v>152805 Equipos de procesamiento de datos</v>
      </c>
      <c r="CB149" t="str">
        <v>152805 Equipos de procesamiento de datos</v>
      </c>
      <c r="CC149" t="str">
        <v>152805 Equipos de procesamiento de datos</v>
      </c>
      <c r="CD149" t="str">
        <v>152805 Equipos de procesamiento de datos</v>
      </c>
      <c r="CE149" t="str">
        <v>152805 Equipos de procesamiento de datos</v>
      </c>
      <c r="CS149" s="141" t="str">
        <v>152805 Equipos de procesamiento de datos</v>
      </c>
      <c r="CT149" s="141" t="str">
        <v>152805 Equipos de procesamiento de datos</v>
      </c>
      <c r="CU149" s="141" t="str">
        <v>152805 Equipos de procesamiento de datos</v>
      </c>
      <c r="CV149" s="141" t="str">
        <v>152805 Equipos de procesamiento de datos</v>
      </c>
      <c r="CW149" s="141" t="str">
        <v>152805 Equipos de procesamiento de datos</v>
      </c>
      <c r="CX149" s="141" t="str">
        <v>152805 Equipos de procesamiento de datos</v>
      </c>
      <c r="CY149" s="141" t="str">
        <v>152805 Equipos de procesamiento de datos</v>
      </c>
      <c r="CZ149" s="141" t="str">
        <v>152805 Equipos de procesamiento de datos</v>
      </c>
      <c r="DA149" s="141" t="str">
        <v>152805 Equipos de procesamiento de datos</v>
      </c>
      <c r="DF149" t="str">
        <v>152805 Equipos de procesamiento de datos</v>
      </c>
      <c r="DG149" t="str">
        <v>152805 Equipos de procesamiento de datos</v>
      </c>
      <c r="DH149" t="str">
        <v>152805 Equipos de procesamiento de datos</v>
      </c>
      <c r="DI149" t="str">
        <v>152805 Equipos de procesamiento de datos</v>
      </c>
      <c r="DJ149" t="str">
        <v>152805 Equipos de procesamiento de datos</v>
      </c>
      <c r="DK149" t="str">
        <v>152805 Equipos de procesamiento de datos</v>
      </c>
      <c r="DL149" t="str">
        <v>152805 Equipos de procesamiento de datos</v>
      </c>
      <c r="DM149" t="str">
        <v>152805 Equipos de procesamiento de datos</v>
      </c>
      <c r="DN149" t="str">
        <v>152805 Equipos de procesamiento de datos</v>
      </c>
      <c r="DO149" t="str">
        <v>152805 Equipos de procesamiento de datos</v>
      </c>
      <c r="DP149" t="str">
        <v>152805 Equipos de procesamiento de datos</v>
      </c>
    </row>
    <row r="150" spans="4:120" ht="12.75">
      <c r="D150" s="7">
        <v>152810</v>
      </c>
      <c r="E150" s="6" t="s">
        <v>162</v>
      </c>
      <c r="F150" s="5">
        <v>4</v>
      </c>
      <c r="G150" s="34" t="s">
        <v>822</v>
      </c>
      <c r="H150" s="8" t="s">
        <v>32</v>
      </c>
      <c r="I150" t="b">
        <f>+ISNUMBER(SEARCH('F-COMPRA'!$F$28,Tabla11[[#This Row],[Cuenta]],1))</f>
        <v>1</v>
      </c>
      <c r="J150" t="b">
        <f>+ISNUMBER(SEARCH('F-COMPRA'!$F$29,Tabla11[[#This Row],[Cuenta]],1))</f>
        <v>1</v>
      </c>
      <c r="K150" t="b">
        <f>+ISNUMBER(SEARCH('F-COMPRA'!$F$30,Tabla11[[#This Row],[Cuenta]],1))</f>
        <v>1</v>
      </c>
      <c r="L150" t="b">
        <f>+ISNUMBER(SEARCH('F-COMPRA'!$F$31,Tabla11[[#This Row],[Cuenta]],1))</f>
        <v>1</v>
      </c>
      <c r="M150" t="b">
        <f>+ISNUMBER(SEARCH('F-COMPRA'!$G$25,Tabla11[[#This Row],[Cuenta]],1))</f>
        <v>0</v>
      </c>
      <c r="N150" t="b">
        <f>+ISNUMBER(SEARCH(#REF!,Tabla11[[#This Row],[Cuenta]],1))</f>
        <v>0</v>
      </c>
      <c r="O150" t="b">
        <f>+ISNUMBER(SEARCH(#REF!,Tabla11[[#This Row],[Cuenta]],1))</f>
        <v>0</v>
      </c>
      <c r="P150" t="b">
        <f>+ISNUMBER(SEARCH('F-COMPRA'!$F$32,Tabla11[[#This Row],[Cuenta]],1))</f>
        <v>1</v>
      </c>
      <c r="Q150" t="b">
        <f>+ISNUMBER(SEARCH('F-COMPRA'!$F$33,Tabla11[[#This Row],[Cuenta]],1))</f>
        <v>1</v>
      </c>
      <c r="R150" t="b">
        <f>+ISNUMBER(SEARCH('F-COMPRA'!$F$34,Tabla11[[#This Row],[Cuenta]],1))</f>
        <v>1</v>
      </c>
      <c r="S150" t="b">
        <f>+ISNUMBER(SEARCH('F-COMPRA'!$F$35,Tabla11[[#This Row],[Cuenta]],1))</f>
        <v>1</v>
      </c>
      <c r="T150" t="b">
        <f>+ISNUMBER(SEARCH('F-COMPRA'!$F$36,Tabla11[[#This Row],[Cuenta]],1))</f>
        <v>1</v>
      </c>
      <c r="U150" t="b">
        <f>+ISNUMBER(SEARCH('F-COMPRA'!$F$37,Tabla11[[#This Row],[Cuenta]],1))</f>
        <v>1</v>
      </c>
      <c r="V150" t="b">
        <f>+ISNUMBER(SEARCH(#REF!,Tabla11[[#This Row],[Cuenta]],1))</f>
        <v>0</v>
      </c>
      <c r="W150" t="b">
        <f>+ISNUMBER(SEARCH('F-COMPRA'!#REF!,Tabla11[[#This Row],[Cuenta]],1))</f>
        <v>0</v>
      </c>
      <c r="X150" t="b">
        <f>+ISNUMBER(SEARCH('F-COMPRA'!#REF!,Tabla11[[#This Row],[Cuenta]],1))</f>
        <v>0</v>
      </c>
      <c r="Y150" t="b">
        <f>+ISNUMBER(SEARCH('F-COMPRA'!#REF!,Tabla11[[#This Row],[Cuenta]],1))</f>
        <v>0</v>
      </c>
      <c r="Z150" t="b">
        <f>+ISNUMBER(SEARCH('F-COMPRA'!#REF!,Tabla11[[#This Row],[Cuenta]],1))</f>
        <v>0</v>
      </c>
      <c r="AA150" t="b">
        <f>+ISNUMBER(SEARCH('F-COMPRA'!#REF!,Tabla11[[#This Row],[Cuenta]],1))</f>
        <v>0</v>
      </c>
      <c r="AB150" t="b">
        <f>+ISNUMBER(SEARCH('F-COMPRA'!#REF!,Tabla11[[#This Row],[Cuenta]],1))</f>
        <v>0</v>
      </c>
      <c r="AC150" t="b">
        <f>+ISNUMBER(SEARCH('F-COMPRA'!#REF!,Tabla11[[#This Row],[Cuenta]],1))</f>
        <v>0</v>
      </c>
      <c r="AD150" t="b">
        <f>+ISNUMBER(SEARCH('F-COMPRA'!#REF!,Tabla11[[#This Row],[Cuenta]],1))</f>
        <v>0</v>
      </c>
      <c r="AE150" t="b">
        <f>+ISNUMBER(SEARCH('F-COMPRA'!#REF!,Tabla11[[#This Row],[Cuenta]],1))</f>
        <v>0</v>
      </c>
      <c r="AF150" t="b">
        <f>+ISNUMBER(SEARCH('F-VTA'!$G$23,Tabla11[[#This Row],[Cuenta]],1))</f>
        <v>0</v>
      </c>
      <c r="AG150" t="b">
        <f>+ISNUMBER(SEARCH('F-VTA'!$G$24,Tabla11[[#This Row],[Cuenta]],1))</f>
        <v>0</v>
      </c>
      <c r="AH150" t="b">
        <f>+ISNUMBER(SEARCH('F-VTA'!$G$25,Tabla11[[#This Row],[Cuenta]],1))</f>
        <v>0</v>
      </c>
      <c r="AI150" t="b">
        <f>+ISNUMBER(SEARCH('F-VTA'!$F$28,Tabla11[[#This Row],[Cuenta]],1))</f>
        <v>1</v>
      </c>
      <c r="AJ150" t="b">
        <f>+ISNUMBER(SEARCH('F-VTA'!$F$29,Tabla11[[#This Row],[Cuenta]],1))</f>
        <v>1</v>
      </c>
      <c r="AK150" t="b">
        <f>+ISNUMBER(SEARCH('F-VTA'!$F$30,Tabla11[[#This Row],[Cuenta]],1))</f>
        <v>1</v>
      </c>
      <c r="AL150" t="b">
        <f>+ISNUMBER(SEARCH('F-VTA'!$F$31,Tabla11[[#This Row],[Cuenta]],1))</f>
        <v>1</v>
      </c>
      <c r="AM150" t="b">
        <f>+ISNUMBER(SEARCH('F-VTA'!$F$32,Tabla11[[#This Row],[Cuenta]],1))</f>
        <v>1</v>
      </c>
      <c r="AN150" t="b">
        <f>+ISNUMBER(SEARCH('F-VTA'!$F$33,Tabla11[[#This Row],[Cuenta]],1))</f>
        <v>1</v>
      </c>
      <c r="AO150" t="b">
        <f>+ISNUMBER(SEARCH('F-VTA'!$F$34,Tabla11[[#This Row],[Cuenta]],1))</f>
        <v>1</v>
      </c>
      <c r="AP150" t="b">
        <f>+ISNUMBER(SEARCH('F-VTA'!$F$35,Tabla11[[#This Row],[Cuenta]],1))</f>
        <v>1</v>
      </c>
      <c r="AQ150" t="b">
        <f>+ISNUMBER(SEARCH('F-VTA'!$F$36,Tabla11[[#This Row],[Cuenta]],1))</f>
        <v>1</v>
      </c>
      <c r="AR150" t="b">
        <f>+ISNUMBER(SEARCH(#REF!,Tabla11[[#This Row],[Cuenta]],1))</f>
        <v>0</v>
      </c>
      <c r="AS150" t="b">
        <f>+ISNUMBER(SEARCH(#REF!,Tabla11[[#This Row],[Cuenta]],1))</f>
        <v>0</v>
      </c>
      <c r="AT150" t="b">
        <f>+ISNUMBER(SEARCH(#REF!,Tabla11[[#This Row],[Cuenta]],1))</f>
        <v>0</v>
      </c>
      <c r="AU150" t="b">
        <f>+ISNUMBER(SEARCH('Conc. Ban.1'!$I$9,Tabla11[[#This Row],[Cuenta]],1))</f>
        <v>0</v>
      </c>
      <c r="AV150" t="b">
        <f>+ISNUMBER(SEARCH(CompConta!$F$21,Tabla11[[#This Row],[Cuenta]],1))</f>
        <v>1</v>
      </c>
      <c r="AW150" t="b">
        <f>+ISNUMBER(SEARCH(CompConta!$F$22,Tabla11[[#This Row],[Cuenta]],1))</f>
        <v>1</v>
      </c>
      <c r="AX150" t="b">
        <f>+ISNUMBER(SEARCH(CompConta!$F$23,Tabla11[[#This Row],[Cuenta]],1))</f>
        <v>1</v>
      </c>
      <c r="AY150" t="b">
        <f>+ISNUMBER(SEARCH(CompConta!$F$24,Tabla11[[#This Row],[Cuenta]],1))</f>
        <v>1</v>
      </c>
      <c r="AZ150" t="b">
        <f>+ISNUMBER(SEARCH(CompConta!$F$25,Tabla11[[#This Row],[Cuenta]],1))</f>
        <v>1</v>
      </c>
      <c r="BA150" t="b">
        <f>+ISNUMBER(SEARCH(CompConta!$F$26,Tabla11[[#This Row],[Cuenta]],1))</f>
        <v>1</v>
      </c>
      <c r="BB150" t="b">
        <f>+ISNUMBER(SEARCH(CompConta!$F$27,Tabla11[[#This Row],[Cuenta]],1))</f>
        <v>1</v>
      </c>
      <c r="BC150" t="b">
        <f>+ISNUMBER(SEARCH(CompConta!$F$28,Tabla11[[#This Row],[Cuenta]],1))</f>
        <v>1</v>
      </c>
      <c r="BD150" t="b">
        <f>+ISNUMBER(SEARCH(CompConta!$F$29,Tabla11[[#This Row],[Cuenta]],1))</f>
        <v>1</v>
      </c>
      <c r="BE150" t="b">
        <f>+ISNUMBER(SEARCH(CompConta!$F$30,Tabla11[[#This Row],[Cuenta]],1))</f>
        <v>1</v>
      </c>
      <c r="BF150" t="b">
        <f>+ISNUMBER(SEARCH('PAGO Compras'!$E$11,Tabla11[[#This Row],[Cuenta]],1))</f>
        <v>1</v>
      </c>
      <c r="BG150" t="b">
        <f>+ISNUMBER(SEARCH(#REF!,Tabla11[[#This Row],[Cuenta]],1))</f>
        <v>0</v>
      </c>
      <c r="BH150" t="b">
        <f>+ISNUMBER(SEARCH(#REF!,Tabla11[[#This Row],[Cuenta]],1))</f>
        <v>0</v>
      </c>
      <c r="BI150" t="b">
        <f>+ISNUMBER(SEARCH(#REF!,Tabla11[[#This Row],[Cuenta]],1))</f>
        <v>0</v>
      </c>
      <c r="BJ150" t="b">
        <f>+ISNUMBER(SEARCH(#REF!,Tabla11[[#This Row],[Cuenta]],1))</f>
        <v>0</v>
      </c>
      <c r="BS150" t="str">
        <v>152810 Equipos de telecomunicaciones</v>
      </c>
      <c r="BT150" t="str">
        <v>152810 Equipos de telecomunicaciones</v>
      </c>
      <c r="BU150" t="str">
        <v>152810 Equipos de telecomunicaciones</v>
      </c>
      <c r="BV150" t="str">
        <v>152810 Equipos de telecomunicaciones</v>
      </c>
      <c r="BZ150" t="str">
        <v>152810 Equipos de telecomunicaciones</v>
      </c>
      <c r="CA150" t="str">
        <v>152810 Equipos de telecomunicaciones</v>
      </c>
      <c r="CB150" t="str">
        <v>152810 Equipos de telecomunicaciones</v>
      </c>
      <c r="CC150" t="str">
        <v>152810 Equipos de telecomunicaciones</v>
      </c>
      <c r="CD150" t="str">
        <v>152810 Equipos de telecomunicaciones</v>
      </c>
      <c r="CE150" t="str">
        <v>152810 Equipos de telecomunicaciones</v>
      </c>
      <c r="CS150" s="141" t="str">
        <v>152810 Equipos de telecomunicaciones</v>
      </c>
      <c r="CT150" s="141" t="str">
        <v>152810 Equipos de telecomunicaciones</v>
      </c>
      <c r="CU150" s="141" t="str">
        <v>152810 Equipos de telecomunicaciones</v>
      </c>
      <c r="CV150" s="141" t="str">
        <v>152810 Equipos de telecomunicaciones</v>
      </c>
      <c r="CW150" s="141" t="str">
        <v>152810 Equipos de telecomunicaciones</v>
      </c>
      <c r="CX150" s="141" t="str">
        <v>152810 Equipos de telecomunicaciones</v>
      </c>
      <c r="CY150" s="141" t="str">
        <v>152810 Equipos de telecomunicaciones</v>
      </c>
      <c r="CZ150" s="141" t="str">
        <v>152810 Equipos de telecomunicaciones</v>
      </c>
      <c r="DA150" s="141" t="str">
        <v>152810 Equipos de telecomunicaciones</v>
      </c>
      <c r="DF150" t="str">
        <v>152810 Equipos de telecomunicaciones</v>
      </c>
      <c r="DG150" t="str">
        <v>152810 Equipos de telecomunicaciones</v>
      </c>
      <c r="DH150" t="str">
        <v>152810 Equipos de telecomunicaciones</v>
      </c>
      <c r="DI150" t="str">
        <v>152810 Equipos de telecomunicaciones</v>
      </c>
      <c r="DJ150" t="str">
        <v>152810 Equipos de telecomunicaciones</v>
      </c>
      <c r="DK150" t="str">
        <v>152810 Equipos de telecomunicaciones</v>
      </c>
      <c r="DL150" t="str">
        <v>152810 Equipos de telecomunicaciones</v>
      </c>
      <c r="DM150" t="str">
        <v>152810 Equipos de telecomunicaciones</v>
      </c>
      <c r="DN150" t="str">
        <v>152810 Equipos de telecomunicaciones</v>
      </c>
      <c r="DO150" t="str">
        <v>152810 Equipos de telecomunicaciones</v>
      </c>
      <c r="DP150" t="str">
        <v>152810 Equipos de telecomunicaciones</v>
      </c>
    </row>
    <row r="151" spans="4:120" ht="12.75">
      <c r="D151" s="7">
        <v>152815</v>
      </c>
      <c r="E151" s="6" t="s">
        <v>163</v>
      </c>
      <c r="F151" s="5">
        <v>4</v>
      </c>
      <c r="G151" s="34" t="s">
        <v>822</v>
      </c>
      <c r="H151" s="8" t="s">
        <v>32</v>
      </c>
      <c r="I151" t="b">
        <f>+ISNUMBER(SEARCH('F-COMPRA'!$F$28,Tabla11[[#This Row],[Cuenta]],1))</f>
        <v>1</v>
      </c>
      <c r="J151" t="b">
        <f>+ISNUMBER(SEARCH('F-COMPRA'!$F$29,Tabla11[[#This Row],[Cuenta]],1))</f>
        <v>1</v>
      </c>
      <c r="K151" t="b">
        <f>+ISNUMBER(SEARCH('F-COMPRA'!$F$30,Tabla11[[#This Row],[Cuenta]],1))</f>
        <v>1</v>
      </c>
      <c r="L151" t="b">
        <f>+ISNUMBER(SEARCH('F-COMPRA'!$F$31,Tabla11[[#This Row],[Cuenta]],1))</f>
        <v>1</v>
      </c>
      <c r="M151" t="b">
        <f>+ISNUMBER(SEARCH('F-COMPRA'!$G$25,Tabla11[[#This Row],[Cuenta]],1))</f>
        <v>0</v>
      </c>
      <c r="N151" t="b">
        <f>+ISNUMBER(SEARCH(#REF!,Tabla11[[#This Row],[Cuenta]],1))</f>
        <v>0</v>
      </c>
      <c r="O151" t="b">
        <f>+ISNUMBER(SEARCH(#REF!,Tabla11[[#This Row],[Cuenta]],1))</f>
        <v>0</v>
      </c>
      <c r="P151" t="b">
        <f>+ISNUMBER(SEARCH('F-COMPRA'!$F$32,Tabla11[[#This Row],[Cuenta]],1))</f>
        <v>1</v>
      </c>
      <c r="Q151" t="b">
        <f>+ISNUMBER(SEARCH('F-COMPRA'!$F$33,Tabla11[[#This Row],[Cuenta]],1))</f>
        <v>1</v>
      </c>
      <c r="R151" t="b">
        <f>+ISNUMBER(SEARCH('F-COMPRA'!$F$34,Tabla11[[#This Row],[Cuenta]],1))</f>
        <v>1</v>
      </c>
      <c r="S151" t="b">
        <f>+ISNUMBER(SEARCH('F-COMPRA'!$F$35,Tabla11[[#This Row],[Cuenta]],1))</f>
        <v>1</v>
      </c>
      <c r="T151" t="b">
        <f>+ISNUMBER(SEARCH('F-COMPRA'!$F$36,Tabla11[[#This Row],[Cuenta]],1))</f>
        <v>1</v>
      </c>
      <c r="U151" t="b">
        <f>+ISNUMBER(SEARCH('F-COMPRA'!$F$37,Tabla11[[#This Row],[Cuenta]],1))</f>
        <v>1</v>
      </c>
      <c r="V151" t="b">
        <f>+ISNUMBER(SEARCH(#REF!,Tabla11[[#This Row],[Cuenta]],1))</f>
        <v>0</v>
      </c>
      <c r="W151" t="b">
        <f>+ISNUMBER(SEARCH('F-COMPRA'!#REF!,Tabla11[[#This Row],[Cuenta]],1))</f>
        <v>0</v>
      </c>
      <c r="X151" t="b">
        <f>+ISNUMBER(SEARCH('F-COMPRA'!#REF!,Tabla11[[#This Row],[Cuenta]],1))</f>
        <v>0</v>
      </c>
      <c r="Y151" t="b">
        <f>+ISNUMBER(SEARCH('F-COMPRA'!#REF!,Tabla11[[#This Row],[Cuenta]],1))</f>
        <v>0</v>
      </c>
      <c r="Z151" t="b">
        <f>+ISNUMBER(SEARCH('F-COMPRA'!#REF!,Tabla11[[#This Row],[Cuenta]],1))</f>
        <v>0</v>
      </c>
      <c r="AA151" t="b">
        <f>+ISNUMBER(SEARCH('F-COMPRA'!#REF!,Tabla11[[#This Row],[Cuenta]],1))</f>
        <v>0</v>
      </c>
      <c r="AB151" t="b">
        <f>+ISNUMBER(SEARCH('F-COMPRA'!#REF!,Tabla11[[#This Row],[Cuenta]],1))</f>
        <v>0</v>
      </c>
      <c r="AC151" t="b">
        <f>+ISNUMBER(SEARCH('F-COMPRA'!#REF!,Tabla11[[#This Row],[Cuenta]],1))</f>
        <v>0</v>
      </c>
      <c r="AD151" t="b">
        <f>+ISNUMBER(SEARCH('F-COMPRA'!#REF!,Tabla11[[#This Row],[Cuenta]],1))</f>
        <v>0</v>
      </c>
      <c r="AE151" t="b">
        <f>+ISNUMBER(SEARCH('F-COMPRA'!#REF!,Tabla11[[#This Row],[Cuenta]],1))</f>
        <v>0</v>
      </c>
      <c r="AF151" t="b">
        <f>+ISNUMBER(SEARCH('F-VTA'!$G$23,Tabla11[[#This Row],[Cuenta]],1))</f>
        <v>0</v>
      </c>
      <c r="AG151" t="b">
        <f>+ISNUMBER(SEARCH('F-VTA'!$G$24,Tabla11[[#This Row],[Cuenta]],1))</f>
        <v>0</v>
      </c>
      <c r="AH151" t="b">
        <f>+ISNUMBER(SEARCH('F-VTA'!$G$25,Tabla11[[#This Row],[Cuenta]],1))</f>
        <v>0</v>
      </c>
      <c r="AI151" t="b">
        <f>+ISNUMBER(SEARCH('F-VTA'!$F$28,Tabla11[[#This Row],[Cuenta]],1))</f>
        <v>1</v>
      </c>
      <c r="AJ151" t="b">
        <f>+ISNUMBER(SEARCH('F-VTA'!$F$29,Tabla11[[#This Row],[Cuenta]],1))</f>
        <v>1</v>
      </c>
      <c r="AK151" t="b">
        <f>+ISNUMBER(SEARCH('F-VTA'!$F$30,Tabla11[[#This Row],[Cuenta]],1))</f>
        <v>1</v>
      </c>
      <c r="AL151" t="b">
        <f>+ISNUMBER(SEARCH('F-VTA'!$F$31,Tabla11[[#This Row],[Cuenta]],1))</f>
        <v>1</v>
      </c>
      <c r="AM151" t="b">
        <f>+ISNUMBER(SEARCH('F-VTA'!$F$32,Tabla11[[#This Row],[Cuenta]],1))</f>
        <v>1</v>
      </c>
      <c r="AN151" t="b">
        <f>+ISNUMBER(SEARCH('F-VTA'!$F$33,Tabla11[[#This Row],[Cuenta]],1))</f>
        <v>1</v>
      </c>
      <c r="AO151" t="b">
        <f>+ISNUMBER(SEARCH('F-VTA'!$F$34,Tabla11[[#This Row],[Cuenta]],1))</f>
        <v>1</v>
      </c>
      <c r="AP151" t="b">
        <f>+ISNUMBER(SEARCH('F-VTA'!$F$35,Tabla11[[#This Row],[Cuenta]],1))</f>
        <v>1</v>
      </c>
      <c r="AQ151" t="b">
        <f>+ISNUMBER(SEARCH('F-VTA'!$F$36,Tabla11[[#This Row],[Cuenta]],1))</f>
        <v>1</v>
      </c>
      <c r="AR151" t="b">
        <f>+ISNUMBER(SEARCH(#REF!,Tabla11[[#This Row],[Cuenta]],1))</f>
        <v>0</v>
      </c>
      <c r="AS151" t="b">
        <f>+ISNUMBER(SEARCH(#REF!,Tabla11[[#This Row],[Cuenta]],1))</f>
        <v>0</v>
      </c>
      <c r="AT151" t="b">
        <f>+ISNUMBER(SEARCH(#REF!,Tabla11[[#This Row],[Cuenta]],1))</f>
        <v>0</v>
      </c>
      <c r="AU151" t="b">
        <f>+ISNUMBER(SEARCH('Conc. Ban.1'!$I$9,Tabla11[[#This Row],[Cuenta]],1))</f>
        <v>0</v>
      </c>
      <c r="AV151" t="b">
        <f>+ISNUMBER(SEARCH(CompConta!$F$21,Tabla11[[#This Row],[Cuenta]],1))</f>
        <v>1</v>
      </c>
      <c r="AW151" t="b">
        <f>+ISNUMBER(SEARCH(CompConta!$F$22,Tabla11[[#This Row],[Cuenta]],1))</f>
        <v>1</v>
      </c>
      <c r="AX151" t="b">
        <f>+ISNUMBER(SEARCH(CompConta!$F$23,Tabla11[[#This Row],[Cuenta]],1))</f>
        <v>1</v>
      </c>
      <c r="AY151" t="b">
        <f>+ISNUMBER(SEARCH(CompConta!$F$24,Tabla11[[#This Row],[Cuenta]],1))</f>
        <v>1</v>
      </c>
      <c r="AZ151" t="b">
        <f>+ISNUMBER(SEARCH(CompConta!$F$25,Tabla11[[#This Row],[Cuenta]],1))</f>
        <v>1</v>
      </c>
      <c r="BA151" t="b">
        <f>+ISNUMBER(SEARCH(CompConta!$F$26,Tabla11[[#This Row],[Cuenta]],1))</f>
        <v>1</v>
      </c>
      <c r="BB151" t="b">
        <f>+ISNUMBER(SEARCH(CompConta!$F$27,Tabla11[[#This Row],[Cuenta]],1))</f>
        <v>1</v>
      </c>
      <c r="BC151" t="b">
        <f>+ISNUMBER(SEARCH(CompConta!$F$28,Tabla11[[#This Row],[Cuenta]],1))</f>
        <v>1</v>
      </c>
      <c r="BD151" t="b">
        <f>+ISNUMBER(SEARCH(CompConta!$F$29,Tabla11[[#This Row],[Cuenta]],1))</f>
        <v>1</v>
      </c>
      <c r="BE151" t="b">
        <f>+ISNUMBER(SEARCH(CompConta!$F$30,Tabla11[[#This Row],[Cuenta]],1))</f>
        <v>1</v>
      </c>
      <c r="BF151" t="b">
        <f>+ISNUMBER(SEARCH('PAGO Compras'!$E$11,Tabla11[[#This Row],[Cuenta]],1))</f>
        <v>1</v>
      </c>
      <c r="BG151" t="b">
        <f>+ISNUMBER(SEARCH(#REF!,Tabla11[[#This Row],[Cuenta]],1))</f>
        <v>0</v>
      </c>
      <c r="BH151" t="b">
        <f>+ISNUMBER(SEARCH(#REF!,Tabla11[[#This Row],[Cuenta]],1))</f>
        <v>0</v>
      </c>
      <c r="BI151" t="b">
        <f>+ISNUMBER(SEARCH(#REF!,Tabla11[[#This Row],[Cuenta]],1))</f>
        <v>0</v>
      </c>
      <c r="BJ151" t="b">
        <f>+ISNUMBER(SEARCH(#REF!,Tabla11[[#This Row],[Cuenta]],1))</f>
        <v>0</v>
      </c>
      <c r="BS151" t="str">
        <v>152815 Equipos de radio</v>
      </c>
      <c r="BT151" t="str">
        <v>152815 Equipos de radio</v>
      </c>
      <c r="BU151" t="str">
        <v>152815 Equipos de radio</v>
      </c>
      <c r="BV151" t="str">
        <v>152815 Equipos de radio</v>
      </c>
      <c r="BZ151" t="str">
        <v>152815 Equipos de radio</v>
      </c>
      <c r="CA151" t="str">
        <v>152815 Equipos de radio</v>
      </c>
      <c r="CB151" t="str">
        <v>152815 Equipos de radio</v>
      </c>
      <c r="CC151" t="str">
        <v>152815 Equipos de radio</v>
      </c>
      <c r="CD151" t="str">
        <v>152815 Equipos de radio</v>
      </c>
      <c r="CE151" t="str">
        <v>152815 Equipos de radio</v>
      </c>
      <c r="CS151" s="141" t="str">
        <v>152815 Equipos de radio</v>
      </c>
      <c r="CT151" s="141" t="str">
        <v>152815 Equipos de radio</v>
      </c>
      <c r="CU151" s="141" t="str">
        <v>152815 Equipos de radio</v>
      </c>
      <c r="CV151" s="141" t="str">
        <v>152815 Equipos de radio</v>
      </c>
      <c r="CW151" s="141" t="str">
        <v>152815 Equipos de radio</v>
      </c>
      <c r="CX151" s="141" t="str">
        <v>152815 Equipos de radio</v>
      </c>
      <c r="CY151" s="141" t="str">
        <v>152815 Equipos de radio</v>
      </c>
      <c r="CZ151" s="141" t="str">
        <v>152815 Equipos de radio</v>
      </c>
      <c r="DA151" s="141" t="str">
        <v>152815 Equipos de radio</v>
      </c>
      <c r="DF151" t="str">
        <v>152815 Equipos de radio</v>
      </c>
      <c r="DG151" t="str">
        <v>152815 Equipos de radio</v>
      </c>
      <c r="DH151" t="str">
        <v>152815 Equipos de radio</v>
      </c>
      <c r="DI151" t="str">
        <v>152815 Equipos de radio</v>
      </c>
      <c r="DJ151" t="str">
        <v>152815 Equipos de radio</v>
      </c>
      <c r="DK151" t="str">
        <v>152815 Equipos de radio</v>
      </c>
      <c r="DL151" t="str">
        <v>152815 Equipos de radio</v>
      </c>
      <c r="DM151" t="str">
        <v>152815 Equipos de radio</v>
      </c>
      <c r="DN151" t="str">
        <v>152815 Equipos de radio</v>
      </c>
      <c r="DO151" t="str">
        <v>152815 Equipos de radio</v>
      </c>
      <c r="DP151" t="str">
        <v>152815 Equipos de radio</v>
      </c>
    </row>
    <row r="152" spans="4:120" ht="12.75">
      <c r="D152" s="7">
        <v>152820</v>
      </c>
      <c r="E152" s="6" t="s">
        <v>164</v>
      </c>
      <c r="F152" s="5">
        <v>4</v>
      </c>
      <c r="G152" s="34" t="s">
        <v>822</v>
      </c>
      <c r="H152" s="8" t="s">
        <v>32</v>
      </c>
      <c r="I152" t="b">
        <f>+ISNUMBER(SEARCH('F-COMPRA'!$F$28,Tabla11[[#This Row],[Cuenta]],1))</f>
        <v>1</v>
      </c>
      <c r="J152" t="b">
        <f>+ISNUMBER(SEARCH('F-COMPRA'!$F$29,Tabla11[[#This Row],[Cuenta]],1))</f>
        <v>1</v>
      </c>
      <c r="K152" t="b">
        <f>+ISNUMBER(SEARCH('F-COMPRA'!$F$30,Tabla11[[#This Row],[Cuenta]],1))</f>
        <v>1</v>
      </c>
      <c r="L152" t="b">
        <f>+ISNUMBER(SEARCH('F-COMPRA'!$F$31,Tabla11[[#This Row],[Cuenta]],1))</f>
        <v>1</v>
      </c>
      <c r="M152" t="b">
        <f>+ISNUMBER(SEARCH('F-COMPRA'!$G$25,Tabla11[[#This Row],[Cuenta]],1))</f>
        <v>0</v>
      </c>
      <c r="N152" t="b">
        <f>+ISNUMBER(SEARCH(#REF!,Tabla11[[#This Row],[Cuenta]],1))</f>
        <v>0</v>
      </c>
      <c r="O152" t="b">
        <f>+ISNUMBER(SEARCH(#REF!,Tabla11[[#This Row],[Cuenta]],1))</f>
        <v>0</v>
      </c>
      <c r="P152" t="b">
        <f>+ISNUMBER(SEARCH('F-COMPRA'!$F$32,Tabla11[[#This Row],[Cuenta]],1))</f>
        <v>1</v>
      </c>
      <c r="Q152" t="b">
        <f>+ISNUMBER(SEARCH('F-COMPRA'!$F$33,Tabla11[[#This Row],[Cuenta]],1))</f>
        <v>1</v>
      </c>
      <c r="R152" t="b">
        <f>+ISNUMBER(SEARCH('F-COMPRA'!$F$34,Tabla11[[#This Row],[Cuenta]],1))</f>
        <v>1</v>
      </c>
      <c r="S152" t="b">
        <f>+ISNUMBER(SEARCH('F-COMPRA'!$F$35,Tabla11[[#This Row],[Cuenta]],1))</f>
        <v>1</v>
      </c>
      <c r="T152" t="b">
        <f>+ISNUMBER(SEARCH('F-COMPRA'!$F$36,Tabla11[[#This Row],[Cuenta]],1))</f>
        <v>1</v>
      </c>
      <c r="U152" t="b">
        <f>+ISNUMBER(SEARCH('F-COMPRA'!$F$37,Tabla11[[#This Row],[Cuenta]],1))</f>
        <v>1</v>
      </c>
      <c r="V152" t="b">
        <f>+ISNUMBER(SEARCH(#REF!,Tabla11[[#This Row],[Cuenta]],1))</f>
        <v>0</v>
      </c>
      <c r="W152" t="b">
        <f>+ISNUMBER(SEARCH('F-COMPRA'!#REF!,Tabla11[[#This Row],[Cuenta]],1))</f>
        <v>0</v>
      </c>
      <c r="X152" t="b">
        <f>+ISNUMBER(SEARCH('F-COMPRA'!#REF!,Tabla11[[#This Row],[Cuenta]],1))</f>
        <v>0</v>
      </c>
      <c r="Y152" t="b">
        <f>+ISNUMBER(SEARCH('F-COMPRA'!#REF!,Tabla11[[#This Row],[Cuenta]],1))</f>
        <v>0</v>
      </c>
      <c r="Z152" t="b">
        <f>+ISNUMBER(SEARCH('F-COMPRA'!#REF!,Tabla11[[#This Row],[Cuenta]],1))</f>
        <v>0</v>
      </c>
      <c r="AA152" t="b">
        <f>+ISNUMBER(SEARCH('F-COMPRA'!#REF!,Tabla11[[#This Row],[Cuenta]],1))</f>
        <v>0</v>
      </c>
      <c r="AB152" t="b">
        <f>+ISNUMBER(SEARCH('F-COMPRA'!#REF!,Tabla11[[#This Row],[Cuenta]],1))</f>
        <v>0</v>
      </c>
      <c r="AC152" t="b">
        <f>+ISNUMBER(SEARCH('F-COMPRA'!#REF!,Tabla11[[#This Row],[Cuenta]],1))</f>
        <v>0</v>
      </c>
      <c r="AD152" t="b">
        <f>+ISNUMBER(SEARCH('F-COMPRA'!#REF!,Tabla11[[#This Row],[Cuenta]],1))</f>
        <v>0</v>
      </c>
      <c r="AE152" t="b">
        <f>+ISNUMBER(SEARCH('F-COMPRA'!#REF!,Tabla11[[#This Row],[Cuenta]],1))</f>
        <v>0</v>
      </c>
      <c r="AF152" t="b">
        <f>+ISNUMBER(SEARCH('F-VTA'!$G$23,Tabla11[[#This Row],[Cuenta]],1))</f>
        <v>0</v>
      </c>
      <c r="AG152" t="b">
        <f>+ISNUMBER(SEARCH('F-VTA'!$G$24,Tabla11[[#This Row],[Cuenta]],1))</f>
        <v>0</v>
      </c>
      <c r="AH152" t="b">
        <f>+ISNUMBER(SEARCH('F-VTA'!$G$25,Tabla11[[#This Row],[Cuenta]],1))</f>
        <v>0</v>
      </c>
      <c r="AI152" t="b">
        <f>+ISNUMBER(SEARCH('F-VTA'!$F$28,Tabla11[[#This Row],[Cuenta]],1))</f>
        <v>1</v>
      </c>
      <c r="AJ152" t="b">
        <f>+ISNUMBER(SEARCH('F-VTA'!$F$29,Tabla11[[#This Row],[Cuenta]],1))</f>
        <v>1</v>
      </c>
      <c r="AK152" t="b">
        <f>+ISNUMBER(SEARCH('F-VTA'!$F$30,Tabla11[[#This Row],[Cuenta]],1))</f>
        <v>1</v>
      </c>
      <c r="AL152" t="b">
        <f>+ISNUMBER(SEARCH('F-VTA'!$F$31,Tabla11[[#This Row],[Cuenta]],1))</f>
        <v>1</v>
      </c>
      <c r="AM152" t="b">
        <f>+ISNUMBER(SEARCH('F-VTA'!$F$32,Tabla11[[#This Row],[Cuenta]],1))</f>
        <v>1</v>
      </c>
      <c r="AN152" t="b">
        <f>+ISNUMBER(SEARCH('F-VTA'!$F$33,Tabla11[[#This Row],[Cuenta]],1))</f>
        <v>1</v>
      </c>
      <c r="AO152" t="b">
        <f>+ISNUMBER(SEARCH('F-VTA'!$F$34,Tabla11[[#This Row],[Cuenta]],1))</f>
        <v>1</v>
      </c>
      <c r="AP152" t="b">
        <f>+ISNUMBER(SEARCH('F-VTA'!$F$35,Tabla11[[#This Row],[Cuenta]],1))</f>
        <v>1</v>
      </c>
      <c r="AQ152" t="b">
        <f>+ISNUMBER(SEARCH('F-VTA'!$F$36,Tabla11[[#This Row],[Cuenta]],1))</f>
        <v>1</v>
      </c>
      <c r="AR152" t="b">
        <f>+ISNUMBER(SEARCH(#REF!,Tabla11[[#This Row],[Cuenta]],1))</f>
        <v>0</v>
      </c>
      <c r="AS152" t="b">
        <f>+ISNUMBER(SEARCH(#REF!,Tabla11[[#This Row],[Cuenta]],1))</f>
        <v>0</v>
      </c>
      <c r="AT152" t="b">
        <f>+ISNUMBER(SEARCH(#REF!,Tabla11[[#This Row],[Cuenta]],1))</f>
        <v>0</v>
      </c>
      <c r="AU152" t="b">
        <f>+ISNUMBER(SEARCH('Conc. Ban.1'!$I$9,Tabla11[[#This Row],[Cuenta]],1))</f>
        <v>0</v>
      </c>
      <c r="AV152" t="b">
        <f>+ISNUMBER(SEARCH(CompConta!$F$21,Tabla11[[#This Row],[Cuenta]],1))</f>
        <v>1</v>
      </c>
      <c r="AW152" t="b">
        <f>+ISNUMBER(SEARCH(CompConta!$F$22,Tabla11[[#This Row],[Cuenta]],1))</f>
        <v>1</v>
      </c>
      <c r="AX152" t="b">
        <f>+ISNUMBER(SEARCH(CompConta!$F$23,Tabla11[[#This Row],[Cuenta]],1))</f>
        <v>1</v>
      </c>
      <c r="AY152" t="b">
        <f>+ISNUMBER(SEARCH(CompConta!$F$24,Tabla11[[#This Row],[Cuenta]],1))</f>
        <v>1</v>
      </c>
      <c r="AZ152" t="b">
        <f>+ISNUMBER(SEARCH(CompConta!$F$25,Tabla11[[#This Row],[Cuenta]],1))</f>
        <v>1</v>
      </c>
      <c r="BA152" t="b">
        <f>+ISNUMBER(SEARCH(CompConta!$F$26,Tabla11[[#This Row],[Cuenta]],1))</f>
        <v>1</v>
      </c>
      <c r="BB152" t="b">
        <f>+ISNUMBER(SEARCH(CompConta!$F$27,Tabla11[[#This Row],[Cuenta]],1))</f>
        <v>1</v>
      </c>
      <c r="BC152" t="b">
        <f>+ISNUMBER(SEARCH(CompConta!$F$28,Tabla11[[#This Row],[Cuenta]],1))</f>
        <v>1</v>
      </c>
      <c r="BD152" t="b">
        <f>+ISNUMBER(SEARCH(CompConta!$F$29,Tabla11[[#This Row],[Cuenta]],1))</f>
        <v>1</v>
      </c>
      <c r="BE152" t="b">
        <f>+ISNUMBER(SEARCH(CompConta!$F$30,Tabla11[[#This Row],[Cuenta]],1))</f>
        <v>1</v>
      </c>
      <c r="BF152" t="b">
        <f>+ISNUMBER(SEARCH('PAGO Compras'!$E$11,Tabla11[[#This Row],[Cuenta]],1))</f>
        <v>1</v>
      </c>
      <c r="BG152" t="b">
        <f>+ISNUMBER(SEARCH(#REF!,Tabla11[[#This Row],[Cuenta]],1))</f>
        <v>0</v>
      </c>
      <c r="BH152" t="b">
        <f>+ISNUMBER(SEARCH(#REF!,Tabla11[[#This Row],[Cuenta]],1))</f>
        <v>0</v>
      </c>
      <c r="BI152" t="b">
        <f>+ISNUMBER(SEARCH(#REF!,Tabla11[[#This Row],[Cuenta]],1))</f>
        <v>0</v>
      </c>
      <c r="BJ152" t="b">
        <f>+ISNUMBER(SEARCH(#REF!,Tabla11[[#This Row],[Cuenta]],1))</f>
        <v>0</v>
      </c>
      <c r="BS152" t="str">
        <v>152820 Satélites y antenas</v>
      </c>
      <c r="BT152" t="str">
        <v>152820 Satélites y antenas</v>
      </c>
      <c r="BU152" t="str">
        <v>152820 Satélites y antenas</v>
      </c>
      <c r="BV152" t="str">
        <v>152820 Satélites y antenas</v>
      </c>
      <c r="BZ152" t="str">
        <v>152820 Satélites y antenas</v>
      </c>
      <c r="CA152" t="str">
        <v>152820 Satélites y antenas</v>
      </c>
      <c r="CB152" t="str">
        <v>152820 Satélites y antenas</v>
      </c>
      <c r="CC152" t="str">
        <v>152820 Satélites y antenas</v>
      </c>
      <c r="CD152" t="str">
        <v>152820 Satélites y antenas</v>
      </c>
      <c r="CE152" t="str">
        <v>152820 Satélites y antenas</v>
      </c>
      <c r="CS152" s="141" t="str">
        <v>152820 Satélites y antenas</v>
      </c>
      <c r="CT152" s="141" t="str">
        <v>152820 Satélites y antenas</v>
      </c>
      <c r="CU152" s="141" t="str">
        <v>152820 Satélites y antenas</v>
      </c>
      <c r="CV152" s="141" t="str">
        <v>152820 Satélites y antenas</v>
      </c>
      <c r="CW152" s="141" t="str">
        <v>152820 Satélites y antenas</v>
      </c>
      <c r="CX152" s="141" t="str">
        <v>152820 Satélites y antenas</v>
      </c>
      <c r="CY152" s="141" t="str">
        <v>152820 Satélites y antenas</v>
      </c>
      <c r="CZ152" s="141" t="str">
        <v>152820 Satélites y antenas</v>
      </c>
      <c r="DA152" s="141" t="str">
        <v>152820 Satélites y antenas</v>
      </c>
      <c r="DF152" t="str">
        <v>152820 Satélites y antenas</v>
      </c>
      <c r="DG152" t="str">
        <v>152820 Satélites y antenas</v>
      </c>
      <c r="DH152" t="str">
        <v>152820 Satélites y antenas</v>
      </c>
      <c r="DI152" t="str">
        <v>152820 Satélites y antenas</v>
      </c>
      <c r="DJ152" t="str">
        <v>152820 Satélites y antenas</v>
      </c>
      <c r="DK152" t="str">
        <v>152820 Satélites y antenas</v>
      </c>
      <c r="DL152" t="str">
        <v>152820 Satélites y antenas</v>
      </c>
      <c r="DM152" t="str">
        <v>152820 Satélites y antenas</v>
      </c>
      <c r="DN152" t="str">
        <v>152820 Satélites y antenas</v>
      </c>
      <c r="DO152" t="str">
        <v>152820 Satélites y antenas</v>
      </c>
      <c r="DP152" t="str">
        <v>152820 Satélites y antenas</v>
      </c>
    </row>
    <row r="153" spans="4:120" ht="12.75">
      <c r="D153" s="7">
        <v>152825</v>
      </c>
      <c r="E153" s="6" t="s">
        <v>165</v>
      </c>
      <c r="F153" s="5">
        <v>4</v>
      </c>
      <c r="G153" s="34" t="s">
        <v>822</v>
      </c>
      <c r="H153" s="8" t="s">
        <v>32</v>
      </c>
      <c r="I153" t="b">
        <f>+ISNUMBER(SEARCH('F-COMPRA'!$F$28,Tabla11[[#This Row],[Cuenta]],1))</f>
        <v>1</v>
      </c>
      <c r="J153" t="b">
        <f>+ISNUMBER(SEARCH('F-COMPRA'!$F$29,Tabla11[[#This Row],[Cuenta]],1))</f>
        <v>1</v>
      </c>
      <c r="K153" t="b">
        <f>+ISNUMBER(SEARCH('F-COMPRA'!$F$30,Tabla11[[#This Row],[Cuenta]],1))</f>
        <v>1</v>
      </c>
      <c r="L153" t="b">
        <f>+ISNUMBER(SEARCH('F-COMPRA'!$F$31,Tabla11[[#This Row],[Cuenta]],1))</f>
        <v>1</v>
      </c>
      <c r="M153" t="b">
        <f>+ISNUMBER(SEARCH('F-COMPRA'!$G$25,Tabla11[[#This Row],[Cuenta]],1))</f>
        <v>0</v>
      </c>
      <c r="N153" t="b">
        <f>+ISNUMBER(SEARCH(#REF!,Tabla11[[#This Row],[Cuenta]],1))</f>
        <v>0</v>
      </c>
      <c r="O153" t="b">
        <f>+ISNUMBER(SEARCH(#REF!,Tabla11[[#This Row],[Cuenta]],1))</f>
        <v>0</v>
      </c>
      <c r="P153" t="b">
        <f>+ISNUMBER(SEARCH('F-COMPRA'!$F$32,Tabla11[[#This Row],[Cuenta]],1))</f>
        <v>1</v>
      </c>
      <c r="Q153" t="b">
        <f>+ISNUMBER(SEARCH('F-COMPRA'!$F$33,Tabla11[[#This Row],[Cuenta]],1))</f>
        <v>1</v>
      </c>
      <c r="R153" t="b">
        <f>+ISNUMBER(SEARCH('F-COMPRA'!$F$34,Tabla11[[#This Row],[Cuenta]],1))</f>
        <v>1</v>
      </c>
      <c r="S153" t="b">
        <f>+ISNUMBER(SEARCH('F-COMPRA'!$F$35,Tabla11[[#This Row],[Cuenta]],1))</f>
        <v>1</v>
      </c>
      <c r="T153" t="b">
        <f>+ISNUMBER(SEARCH('F-COMPRA'!$F$36,Tabla11[[#This Row],[Cuenta]],1))</f>
        <v>1</v>
      </c>
      <c r="U153" t="b">
        <f>+ISNUMBER(SEARCH('F-COMPRA'!$F$37,Tabla11[[#This Row],[Cuenta]],1))</f>
        <v>1</v>
      </c>
      <c r="V153" t="b">
        <f>+ISNUMBER(SEARCH(#REF!,Tabla11[[#This Row],[Cuenta]],1))</f>
        <v>0</v>
      </c>
      <c r="W153" t="b">
        <f>+ISNUMBER(SEARCH('F-COMPRA'!#REF!,Tabla11[[#This Row],[Cuenta]],1))</f>
        <v>0</v>
      </c>
      <c r="X153" t="b">
        <f>+ISNUMBER(SEARCH('F-COMPRA'!#REF!,Tabla11[[#This Row],[Cuenta]],1))</f>
        <v>0</v>
      </c>
      <c r="Y153" t="b">
        <f>+ISNUMBER(SEARCH('F-COMPRA'!#REF!,Tabla11[[#This Row],[Cuenta]],1))</f>
        <v>0</v>
      </c>
      <c r="Z153" t="b">
        <f>+ISNUMBER(SEARCH('F-COMPRA'!#REF!,Tabla11[[#This Row],[Cuenta]],1))</f>
        <v>0</v>
      </c>
      <c r="AA153" t="b">
        <f>+ISNUMBER(SEARCH('F-COMPRA'!#REF!,Tabla11[[#This Row],[Cuenta]],1))</f>
        <v>0</v>
      </c>
      <c r="AB153" t="b">
        <f>+ISNUMBER(SEARCH('F-COMPRA'!#REF!,Tabla11[[#This Row],[Cuenta]],1))</f>
        <v>0</v>
      </c>
      <c r="AC153" t="b">
        <f>+ISNUMBER(SEARCH('F-COMPRA'!#REF!,Tabla11[[#This Row],[Cuenta]],1))</f>
        <v>0</v>
      </c>
      <c r="AD153" t="b">
        <f>+ISNUMBER(SEARCH('F-COMPRA'!#REF!,Tabla11[[#This Row],[Cuenta]],1))</f>
        <v>0</v>
      </c>
      <c r="AE153" t="b">
        <f>+ISNUMBER(SEARCH('F-COMPRA'!#REF!,Tabla11[[#This Row],[Cuenta]],1))</f>
        <v>0</v>
      </c>
      <c r="AF153" t="b">
        <f>+ISNUMBER(SEARCH('F-VTA'!$G$23,Tabla11[[#This Row],[Cuenta]],1))</f>
        <v>0</v>
      </c>
      <c r="AG153" t="b">
        <f>+ISNUMBER(SEARCH('F-VTA'!$G$24,Tabla11[[#This Row],[Cuenta]],1))</f>
        <v>0</v>
      </c>
      <c r="AH153" t="b">
        <f>+ISNUMBER(SEARCH('F-VTA'!$G$25,Tabla11[[#This Row],[Cuenta]],1))</f>
        <v>0</v>
      </c>
      <c r="AI153" t="b">
        <f>+ISNUMBER(SEARCH('F-VTA'!$F$28,Tabla11[[#This Row],[Cuenta]],1))</f>
        <v>1</v>
      </c>
      <c r="AJ153" t="b">
        <f>+ISNUMBER(SEARCH('F-VTA'!$F$29,Tabla11[[#This Row],[Cuenta]],1))</f>
        <v>1</v>
      </c>
      <c r="AK153" t="b">
        <f>+ISNUMBER(SEARCH('F-VTA'!$F$30,Tabla11[[#This Row],[Cuenta]],1))</f>
        <v>1</v>
      </c>
      <c r="AL153" t="b">
        <f>+ISNUMBER(SEARCH('F-VTA'!$F$31,Tabla11[[#This Row],[Cuenta]],1))</f>
        <v>1</v>
      </c>
      <c r="AM153" t="b">
        <f>+ISNUMBER(SEARCH('F-VTA'!$F$32,Tabla11[[#This Row],[Cuenta]],1))</f>
        <v>1</v>
      </c>
      <c r="AN153" t="b">
        <f>+ISNUMBER(SEARCH('F-VTA'!$F$33,Tabla11[[#This Row],[Cuenta]],1))</f>
        <v>1</v>
      </c>
      <c r="AO153" t="b">
        <f>+ISNUMBER(SEARCH('F-VTA'!$F$34,Tabla11[[#This Row],[Cuenta]],1))</f>
        <v>1</v>
      </c>
      <c r="AP153" t="b">
        <f>+ISNUMBER(SEARCH('F-VTA'!$F$35,Tabla11[[#This Row],[Cuenta]],1))</f>
        <v>1</v>
      </c>
      <c r="AQ153" t="b">
        <f>+ISNUMBER(SEARCH('F-VTA'!$F$36,Tabla11[[#This Row],[Cuenta]],1))</f>
        <v>1</v>
      </c>
      <c r="AR153" t="b">
        <f>+ISNUMBER(SEARCH(#REF!,Tabla11[[#This Row],[Cuenta]],1))</f>
        <v>0</v>
      </c>
      <c r="AS153" t="b">
        <f>+ISNUMBER(SEARCH(#REF!,Tabla11[[#This Row],[Cuenta]],1))</f>
        <v>0</v>
      </c>
      <c r="AT153" t="b">
        <f>+ISNUMBER(SEARCH(#REF!,Tabla11[[#This Row],[Cuenta]],1))</f>
        <v>0</v>
      </c>
      <c r="AU153" t="b">
        <f>+ISNUMBER(SEARCH('Conc. Ban.1'!$I$9,Tabla11[[#This Row],[Cuenta]],1))</f>
        <v>0</v>
      </c>
      <c r="AV153" t="b">
        <f>+ISNUMBER(SEARCH(CompConta!$F$21,Tabla11[[#This Row],[Cuenta]],1))</f>
        <v>1</v>
      </c>
      <c r="AW153" t="b">
        <f>+ISNUMBER(SEARCH(CompConta!$F$22,Tabla11[[#This Row],[Cuenta]],1))</f>
        <v>1</v>
      </c>
      <c r="AX153" t="b">
        <f>+ISNUMBER(SEARCH(CompConta!$F$23,Tabla11[[#This Row],[Cuenta]],1))</f>
        <v>1</v>
      </c>
      <c r="AY153" t="b">
        <f>+ISNUMBER(SEARCH(CompConta!$F$24,Tabla11[[#This Row],[Cuenta]],1))</f>
        <v>1</v>
      </c>
      <c r="AZ153" t="b">
        <f>+ISNUMBER(SEARCH(CompConta!$F$25,Tabla11[[#This Row],[Cuenta]],1))</f>
        <v>1</v>
      </c>
      <c r="BA153" t="b">
        <f>+ISNUMBER(SEARCH(CompConta!$F$26,Tabla11[[#This Row],[Cuenta]],1))</f>
        <v>1</v>
      </c>
      <c r="BB153" t="b">
        <f>+ISNUMBER(SEARCH(CompConta!$F$27,Tabla11[[#This Row],[Cuenta]],1))</f>
        <v>1</v>
      </c>
      <c r="BC153" t="b">
        <f>+ISNUMBER(SEARCH(CompConta!$F$28,Tabla11[[#This Row],[Cuenta]],1))</f>
        <v>1</v>
      </c>
      <c r="BD153" t="b">
        <f>+ISNUMBER(SEARCH(CompConta!$F$29,Tabla11[[#This Row],[Cuenta]],1))</f>
        <v>1</v>
      </c>
      <c r="BE153" t="b">
        <f>+ISNUMBER(SEARCH(CompConta!$F$30,Tabla11[[#This Row],[Cuenta]],1))</f>
        <v>1</v>
      </c>
      <c r="BF153" t="b">
        <f>+ISNUMBER(SEARCH('PAGO Compras'!$E$11,Tabla11[[#This Row],[Cuenta]],1))</f>
        <v>1</v>
      </c>
      <c r="BG153" t="b">
        <f>+ISNUMBER(SEARCH(#REF!,Tabla11[[#This Row],[Cuenta]],1))</f>
        <v>0</v>
      </c>
      <c r="BH153" t="b">
        <f>+ISNUMBER(SEARCH(#REF!,Tabla11[[#This Row],[Cuenta]],1))</f>
        <v>0</v>
      </c>
      <c r="BI153" t="b">
        <f>+ISNUMBER(SEARCH(#REF!,Tabla11[[#This Row],[Cuenta]],1))</f>
        <v>0</v>
      </c>
      <c r="BJ153" t="b">
        <f>+ISNUMBER(SEARCH(#REF!,Tabla11[[#This Row],[Cuenta]],1))</f>
        <v>0</v>
      </c>
      <c r="BS153" t="str">
        <v>152825 Líneas telefónicas</v>
      </c>
      <c r="BT153" t="str">
        <v>152825 Líneas telefónicas</v>
      </c>
      <c r="BU153" t="str">
        <v>152825 Líneas telefónicas</v>
      </c>
      <c r="BV153" t="str">
        <v>152825 Líneas telefónicas</v>
      </c>
      <c r="BZ153" t="str">
        <v>152825 Líneas telefónicas</v>
      </c>
      <c r="CA153" t="str">
        <v>152825 Líneas telefónicas</v>
      </c>
      <c r="CB153" t="str">
        <v>152825 Líneas telefónicas</v>
      </c>
      <c r="CC153" t="str">
        <v>152825 Líneas telefónicas</v>
      </c>
      <c r="CD153" t="str">
        <v>152825 Líneas telefónicas</v>
      </c>
      <c r="CE153" t="str">
        <v>152825 Líneas telefónicas</v>
      </c>
      <c r="CS153" s="141" t="str">
        <v>152825 Líneas telefónicas</v>
      </c>
      <c r="CT153" s="141" t="str">
        <v>152825 Líneas telefónicas</v>
      </c>
      <c r="CU153" s="141" t="str">
        <v>152825 Líneas telefónicas</v>
      </c>
      <c r="CV153" s="141" t="str">
        <v>152825 Líneas telefónicas</v>
      </c>
      <c r="CW153" s="141" t="str">
        <v>152825 Líneas telefónicas</v>
      </c>
      <c r="CX153" s="141" t="str">
        <v>152825 Líneas telefónicas</v>
      </c>
      <c r="CY153" s="141" t="str">
        <v>152825 Líneas telefónicas</v>
      </c>
      <c r="CZ153" s="141" t="str">
        <v>152825 Líneas telefónicas</v>
      </c>
      <c r="DA153" s="141" t="str">
        <v>152825 Líneas telefónicas</v>
      </c>
      <c r="DF153" t="str">
        <v>152825 Líneas telefónicas</v>
      </c>
      <c r="DG153" t="str">
        <v>152825 Líneas telefónicas</v>
      </c>
      <c r="DH153" t="str">
        <v>152825 Líneas telefónicas</v>
      </c>
      <c r="DI153" t="str">
        <v>152825 Líneas telefónicas</v>
      </c>
      <c r="DJ153" t="str">
        <v>152825 Líneas telefónicas</v>
      </c>
      <c r="DK153" t="str">
        <v>152825 Líneas telefónicas</v>
      </c>
      <c r="DL153" t="str">
        <v>152825 Líneas telefónicas</v>
      </c>
      <c r="DM153" t="str">
        <v>152825 Líneas telefónicas</v>
      </c>
      <c r="DN153" t="str">
        <v>152825 Líneas telefónicas</v>
      </c>
      <c r="DO153" t="str">
        <v>152825 Líneas telefónicas</v>
      </c>
      <c r="DP153" t="str">
        <v>152825 Líneas telefónicas</v>
      </c>
    </row>
    <row r="154" spans="4:120" ht="12.75">
      <c r="D154" s="7">
        <v>152895</v>
      </c>
      <c r="E154" s="6" t="s">
        <v>45</v>
      </c>
      <c r="F154" s="5">
        <v>4</v>
      </c>
      <c r="G154" s="34" t="s">
        <v>822</v>
      </c>
      <c r="H154" s="8" t="s">
        <v>32</v>
      </c>
      <c r="I154" t="b">
        <f>+ISNUMBER(SEARCH('F-COMPRA'!$F$28,Tabla11[[#This Row],[Cuenta]],1))</f>
        <v>1</v>
      </c>
      <c r="J154" t="b">
        <f>+ISNUMBER(SEARCH('F-COMPRA'!$F$29,Tabla11[[#This Row],[Cuenta]],1))</f>
        <v>1</v>
      </c>
      <c r="K154" t="b">
        <f>+ISNUMBER(SEARCH('F-COMPRA'!$F$30,Tabla11[[#This Row],[Cuenta]],1))</f>
        <v>1</v>
      </c>
      <c r="L154" t="b">
        <f>+ISNUMBER(SEARCH('F-COMPRA'!$F$31,Tabla11[[#This Row],[Cuenta]],1))</f>
        <v>1</v>
      </c>
      <c r="M154" t="b">
        <f>+ISNUMBER(SEARCH('F-COMPRA'!$G$25,Tabla11[[#This Row],[Cuenta]],1))</f>
        <v>0</v>
      </c>
      <c r="N154" t="b">
        <f>+ISNUMBER(SEARCH(#REF!,Tabla11[[#This Row],[Cuenta]],1))</f>
        <v>0</v>
      </c>
      <c r="O154" t="b">
        <f>+ISNUMBER(SEARCH(#REF!,Tabla11[[#This Row],[Cuenta]],1))</f>
        <v>0</v>
      </c>
      <c r="P154" t="b">
        <f>+ISNUMBER(SEARCH('F-COMPRA'!$F$32,Tabla11[[#This Row],[Cuenta]],1))</f>
        <v>1</v>
      </c>
      <c r="Q154" t="b">
        <f>+ISNUMBER(SEARCH('F-COMPRA'!$F$33,Tabla11[[#This Row],[Cuenta]],1))</f>
        <v>1</v>
      </c>
      <c r="R154" t="b">
        <f>+ISNUMBER(SEARCH('F-COMPRA'!$F$34,Tabla11[[#This Row],[Cuenta]],1))</f>
        <v>1</v>
      </c>
      <c r="S154" t="b">
        <f>+ISNUMBER(SEARCH('F-COMPRA'!$F$35,Tabla11[[#This Row],[Cuenta]],1))</f>
        <v>1</v>
      </c>
      <c r="T154" t="b">
        <f>+ISNUMBER(SEARCH('F-COMPRA'!$F$36,Tabla11[[#This Row],[Cuenta]],1))</f>
        <v>1</v>
      </c>
      <c r="U154" t="b">
        <f>+ISNUMBER(SEARCH('F-COMPRA'!$F$37,Tabla11[[#This Row],[Cuenta]],1))</f>
        <v>1</v>
      </c>
      <c r="V154" t="b">
        <f>+ISNUMBER(SEARCH(#REF!,Tabla11[[#This Row],[Cuenta]],1))</f>
        <v>0</v>
      </c>
      <c r="W154" t="b">
        <f>+ISNUMBER(SEARCH('F-COMPRA'!#REF!,Tabla11[[#This Row],[Cuenta]],1))</f>
        <v>0</v>
      </c>
      <c r="X154" t="b">
        <f>+ISNUMBER(SEARCH('F-COMPRA'!#REF!,Tabla11[[#This Row],[Cuenta]],1))</f>
        <v>0</v>
      </c>
      <c r="Y154" t="b">
        <f>+ISNUMBER(SEARCH('F-COMPRA'!#REF!,Tabla11[[#This Row],[Cuenta]],1))</f>
        <v>0</v>
      </c>
      <c r="Z154" t="b">
        <f>+ISNUMBER(SEARCH('F-COMPRA'!#REF!,Tabla11[[#This Row],[Cuenta]],1))</f>
        <v>0</v>
      </c>
      <c r="AA154" t="b">
        <f>+ISNUMBER(SEARCH('F-COMPRA'!#REF!,Tabla11[[#This Row],[Cuenta]],1))</f>
        <v>0</v>
      </c>
      <c r="AB154" t="b">
        <f>+ISNUMBER(SEARCH('F-COMPRA'!#REF!,Tabla11[[#This Row],[Cuenta]],1))</f>
        <v>0</v>
      </c>
      <c r="AC154" t="b">
        <f>+ISNUMBER(SEARCH('F-COMPRA'!#REF!,Tabla11[[#This Row],[Cuenta]],1))</f>
        <v>0</v>
      </c>
      <c r="AD154" t="b">
        <f>+ISNUMBER(SEARCH('F-COMPRA'!#REF!,Tabla11[[#This Row],[Cuenta]],1))</f>
        <v>0</v>
      </c>
      <c r="AE154" t="b">
        <f>+ISNUMBER(SEARCH('F-COMPRA'!#REF!,Tabla11[[#This Row],[Cuenta]],1))</f>
        <v>0</v>
      </c>
      <c r="AF154" t="b">
        <f>+ISNUMBER(SEARCH('F-VTA'!$G$23,Tabla11[[#This Row],[Cuenta]],1))</f>
        <v>0</v>
      </c>
      <c r="AG154" t="b">
        <f>+ISNUMBER(SEARCH('F-VTA'!$G$24,Tabla11[[#This Row],[Cuenta]],1))</f>
        <v>0</v>
      </c>
      <c r="AH154" t="b">
        <f>+ISNUMBER(SEARCH('F-VTA'!$G$25,Tabla11[[#This Row],[Cuenta]],1))</f>
        <v>0</v>
      </c>
      <c r="AI154" t="b">
        <f>+ISNUMBER(SEARCH('F-VTA'!$F$28,Tabla11[[#This Row],[Cuenta]],1))</f>
        <v>1</v>
      </c>
      <c r="AJ154" t="b">
        <f>+ISNUMBER(SEARCH('F-VTA'!$F$29,Tabla11[[#This Row],[Cuenta]],1))</f>
        <v>1</v>
      </c>
      <c r="AK154" t="b">
        <f>+ISNUMBER(SEARCH('F-VTA'!$F$30,Tabla11[[#This Row],[Cuenta]],1))</f>
        <v>1</v>
      </c>
      <c r="AL154" t="b">
        <f>+ISNUMBER(SEARCH('F-VTA'!$F$31,Tabla11[[#This Row],[Cuenta]],1))</f>
        <v>1</v>
      </c>
      <c r="AM154" t="b">
        <f>+ISNUMBER(SEARCH('F-VTA'!$F$32,Tabla11[[#This Row],[Cuenta]],1))</f>
        <v>1</v>
      </c>
      <c r="AN154" t="b">
        <f>+ISNUMBER(SEARCH('F-VTA'!$F$33,Tabla11[[#This Row],[Cuenta]],1))</f>
        <v>1</v>
      </c>
      <c r="AO154" t="b">
        <f>+ISNUMBER(SEARCH('F-VTA'!$F$34,Tabla11[[#This Row],[Cuenta]],1))</f>
        <v>1</v>
      </c>
      <c r="AP154" t="b">
        <f>+ISNUMBER(SEARCH('F-VTA'!$F$35,Tabla11[[#This Row],[Cuenta]],1))</f>
        <v>1</v>
      </c>
      <c r="AQ154" t="b">
        <f>+ISNUMBER(SEARCH('F-VTA'!$F$36,Tabla11[[#This Row],[Cuenta]],1))</f>
        <v>1</v>
      </c>
      <c r="AR154" t="b">
        <f>+ISNUMBER(SEARCH(#REF!,Tabla11[[#This Row],[Cuenta]],1))</f>
        <v>0</v>
      </c>
      <c r="AS154" t="b">
        <f>+ISNUMBER(SEARCH(#REF!,Tabla11[[#This Row],[Cuenta]],1))</f>
        <v>0</v>
      </c>
      <c r="AT154" t="b">
        <f>+ISNUMBER(SEARCH(#REF!,Tabla11[[#This Row],[Cuenta]],1))</f>
        <v>0</v>
      </c>
      <c r="AU154" t="b">
        <f>+ISNUMBER(SEARCH('Conc. Ban.1'!$I$9,Tabla11[[#This Row],[Cuenta]],1))</f>
        <v>0</v>
      </c>
      <c r="AV154" t="b">
        <f>+ISNUMBER(SEARCH(CompConta!$F$21,Tabla11[[#This Row],[Cuenta]],1))</f>
        <v>1</v>
      </c>
      <c r="AW154" t="b">
        <f>+ISNUMBER(SEARCH(CompConta!$F$22,Tabla11[[#This Row],[Cuenta]],1))</f>
        <v>1</v>
      </c>
      <c r="AX154" t="b">
        <f>+ISNUMBER(SEARCH(CompConta!$F$23,Tabla11[[#This Row],[Cuenta]],1))</f>
        <v>1</v>
      </c>
      <c r="AY154" t="b">
        <f>+ISNUMBER(SEARCH(CompConta!$F$24,Tabla11[[#This Row],[Cuenta]],1))</f>
        <v>1</v>
      </c>
      <c r="AZ154" t="b">
        <f>+ISNUMBER(SEARCH(CompConta!$F$25,Tabla11[[#This Row],[Cuenta]],1))</f>
        <v>1</v>
      </c>
      <c r="BA154" t="b">
        <f>+ISNUMBER(SEARCH(CompConta!$F$26,Tabla11[[#This Row],[Cuenta]],1))</f>
        <v>1</v>
      </c>
      <c r="BB154" t="b">
        <f>+ISNUMBER(SEARCH(CompConta!$F$27,Tabla11[[#This Row],[Cuenta]],1))</f>
        <v>1</v>
      </c>
      <c r="BC154" t="b">
        <f>+ISNUMBER(SEARCH(CompConta!$F$28,Tabla11[[#This Row],[Cuenta]],1))</f>
        <v>1</v>
      </c>
      <c r="BD154" t="b">
        <f>+ISNUMBER(SEARCH(CompConta!$F$29,Tabla11[[#This Row],[Cuenta]],1))</f>
        <v>1</v>
      </c>
      <c r="BE154" t="b">
        <f>+ISNUMBER(SEARCH(CompConta!$F$30,Tabla11[[#This Row],[Cuenta]],1))</f>
        <v>1</v>
      </c>
      <c r="BF154" t="b">
        <f>+ISNUMBER(SEARCH('PAGO Compras'!$E$11,Tabla11[[#This Row],[Cuenta]],1))</f>
        <v>1</v>
      </c>
      <c r="BG154" t="b">
        <f>+ISNUMBER(SEARCH(#REF!,Tabla11[[#This Row],[Cuenta]],1))</f>
        <v>0</v>
      </c>
      <c r="BH154" t="b">
        <f>+ISNUMBER(SEARCH(#REF!,Tabla11[[#This Row],[Cuenta]],1))</f>
        <v>0</v>
      </c>
      <c r="BI154" t="b">
        <f>+ISNUMBER(SEARCH(#REF!,Tabla11[[#This Row],[Cuenta]],1))</f>
        <v>0</v>
      </c>
      <c r="BJ154" t="b">
        <f>+ISNUMBER(SEARCH(#REF!,Tabla11[[#This Row],[Cuenta]],1))</f>
        <v>0</v>
      </c>
      <c r="BS154" t="str">
        <v>152895 Otros</v>
      </c>
      <c r="BT154" t="str">
        <v>152895 Otros</v>
      </c>
      <c r="BU154" t="str">
        <v>152895 Otros</v>
      </c>
      <c r="BV154" t="str">
        <v>152895 Otros</v>
      </c>
      <c r="BZ154" t="str">
        <v>152895 Otros</v>
      </c>
      <c r="CA154" t="str">
        <v>152895 Otros</v>
      </c>
      <c r="CB154" t="str">
        <v>152895 Otros</v>
      </c>
      <c r="CC154" t="str">
        <v>152895 Otros</v>
      </c>
      <c r="CD154" t="str">
        <v>152895 Otros</v>
      </c>
      <c r="CE154" t="str">
        <v>152895 Otros</v>
      </c>
      <c r="CS154" s="141" t="str">
        <v>152895 Otros</v>
      </c>
      <c r="CT154" s="141" t="str">
        <v>152895 Otros</v>
      </c>
      <c r="CU154" s="141" t="str">
        <v>152895 Otros</v>
      </c>
      <c r="CV154" s="141" t="str">
        <v>152895 Otros</v>
      </c>
      <c r="CW154" s="141" t="str">
        <v>152895 Otros</v>
      </c>
      <c r="CX154" s="141" t="str">
        <v>152895 Otros</v>
      </c>
      <c r="CY154" s="141" t="str">
        <v>152895 Otros</v>
      </c>
      <c r="CZ154" s="141" t="str">
        <v>152895 Otros</v>
      </c>
      <c r="DA154" s="141" t="str">
        <v>152895 Otros</v>
      </c>
      <c r="DF154" t="str">
        <v>152895 Otros</v>
      </c>
      <c r="DG154" t="str">
        <v>152895 Otros</v>
      </c>
      <c r="DH154" t="str">
        <v>152895 Otros</v>
      </c>
      <c r="DI154" t="str">
        <v>152895 Otros</v>
      </c>
      <c r="DJ154" t="str">
        <v>152895 Otros</v>
      </c>
      <c r="DK154" t="str">
        <v>152895 Otros</v>
      </c>
      <c r="DL154" t="str">
        <v>152895 Otros</v>
      </c>
      <c r="DM154" t="str">
        <v>152895 Otros</v>
      </c>
      <c r="DN154" t="str">
        <v>152895 Otros</v>
      </c>
      <c r="DO154" t="str">
        <v>152895 Otros</v>
      </c>
      <c r="DP154" t="str">
        <v>152895 Otros</v>
      </c>
    </row>
    <row r="155" spans="4:120" ht="12.75">
      <c r="D155" s="7">
        <v>152899</v>
      </c>
      <c r="E155" s="6" t="s">
        <v>44</v>
      </c>
      <c r="F155" s="5">
        <v>4</v>
      </c>
      <c r="G155" s="34" t="s">
        <v>822</v>
      </c>
      <c r="H155" s="8" t="s">
        <v>32</v>
      </c>
      <c r="I155" t="b">
        <f>+ISNUMBER(SEARCH('F-COMPRA'!$F$28,Tabla11[[#This Row],[Cuenta]],1))</f>
        <v>1</v>
      </c>
      <c r="J155" t="b">
        <f>+ISNUMBER(SEARCH('F-COMPRA'!$F$29,Tabla11[[#This Row],[Cuenta]],1))</f>
        <v>1</v>
      </c>
      <c r="K155" t="b">
        <f>+ISNUMBER(SEARCH('F-COMPRA'!$F$30,Tabla11[[#This Row],[Cuenta]],1))</f>
        <v>1</v>
      </c>
      <c r="L155" t="b">
        <f>+ISNUMBER(SEARCH('F-COMPRA'!$F$31,Tabla11[[#This Row],[Cuenta]],1))</f>
        <v>1</v>
      </c>
      <c r="M155" t="b">
        <f>+ISNUMBER(SEARCH('F-COMPRA'!$G$25,Tabla11[[#This Row],[Cuenta]],1))</f>
        <v>0</v>
      </c>
      <c r="N155" t="b">
        <f>+ISNUMBER(SEARCH(#REF!,Tabla11[[#This Row],[Cuenta]],1))</f>
        <v>0</v>
      </c>
      <c r="O155" t="b">
        <f>+ISNUMBER(SEARCH(#REF!,Tabla11[[#This Row],[Cuenta]],1))</f>
        <v>0</v>
      </c>
      <c r="P155" t="b">
        <f>+ISNUMBER(SEARCH('F-COMPRA'!$F$32,Tabla11[[#This Row],[Cuenta]],1))</f>
        <v>1</v>
      </c>
      <c r="Q155" t="b">
        <f>+ISNUMBER(SEARCH('F-COMPRA'!$F$33,Tabla11[[#This Row],[Cuenta]],1))</f>
        <v>1</v>
      </c>
      <c r="R155" t="b">
        <f>+ISNUMBER(SEARCH('F-COMPRA'!$F$34,Tabla11[[#This Row],[Cuenta]],1))</f>
        <v>1</v>
      </c>
      <c r="S155" t="b">
        <f>+ISNUMBER(SEARCH('F-COMPRA'!$F$35,Tabla11[[#This Row],[Cuenta]],1))</f>
        <v>1</v>
      </c>
      <c r="T155" t="b">
        <f>+ISNUMBER(SEARCH('F-COMPRA'!$F$36,Tabla11[[#This Row],[Cuenta]],1))</f>
        <v>1</v>
      </c>
      <c r="U155" t="b">
        <f>+ISNUMBER(SEARCH('F-COMPRA'!$F$37,Tabla11[[#This Row],[Cuenta]],1))</f>
        <v>1</v>
      </c>
      <c r="V155" t="b">
        <f>+ISNUMBER(SEARCH(#REF!,Tabla11[[#This Row],[Cuenta]],1))</f>
        <v>0</v>
      </c>
      <c r="W155" t="b">
        <f>+ISNUMBER(SEARCH('F-COMPRA'!#REF!,Tabla11[[#This Row],[Cuenta]],1))</f>
        <v>0</v>
      </c>
      <c r="X155" t="b">
        <f>+ISNUMBER(SEARCH('F-COMPRA'!#REF!,Tabla11[[#This Row],[Cuenta]],1))</f>
        <v>0</v>
      </c>
      <c r="Y155" t="b">
        <f>+ISNUMBER(SEARCH('F-COMPRA'!#REF!,Tabla11[[#This Row],[Cuenta]],1))</f>
        <v>0</v>
      </c>
      <c r="Z155" t="b">
        <f>+ISNUMBER(SEARCH('F-COMPRA'!#REF!,Tabla11[[#This Row],[Cuenta]],1))</f>
        <v>0</v>
      </c>
      <c r="AA155" t="b">
        <f>+ISNUMBER(SEARCH('F-COMPRA'!#REF!,Tabla11[[#This Row],[Cuenta]],1))</f>
        <v>0</v>
      </c>
      <c r="AB155" t="b">
        <f>+ISNUMBER(SEARCH('F-COMPRA'!#REF!,Tabla11[[#This Row],[Cuenta]],1))</f>
        <v>0</v>
      </c>
      <c r="AC155" t="b">
        <f>+ISNUMBER(SEARCH('F-COMPRA'!#REF!,Tabla11[[#This Row],[Cuenta]],1))</f>
        <v>0</v>
      </c>
      <c r="AD155" t="b">
        <f>+ISNUMBER(SEARCH('F-COMPRA'!#REF!,Tabla11[[#This Row],[Cuenta]],1))</f>
        <v>0</v>
      </c>
      <c r="AE155" t="b">
        <f>+ISNUMBER(SEARCH('F-COMPRA'!#REF!,Tabla11[[#This Row],[Cuenta]],1))</f>
        <v>0</v>
      </c>
      <c r="AF155" t="b">
        <f>+ISNUMBER(SEARCH('F-VTA'!$G$23,Tabla11[[#This Row],[Cuenta]],1))</f>
        <v>0</v>
      </c>
      <c r="AG155" t="b">
        <f>+ISNUMBER(SEARCH('F-VTA'!$G$24,Tabla11[[#This Row],[Cuenta]],1))</f>
        <v>0</v>
      </c>
      <c r="AH155" t="b">
        <f>+ISNUMBER(SEARCH('F-VTA'!$G$25,Tabla11[[#This Row],[Cuenta]],1))</f>
        <v>0</v>
      </c>
      <c r="AI155" t="b">
        <f>+ISNUMBER(SEARCH('F-VTA'!$F$28,Tabla11[[#This Row],[Cuenta]],1))</f>
        <v>1</v>
      </c>
      <c r="AJ155" t="b">
        <f>+ISNUMBER(SEARCH('F-VTA'!$F$29,Tabla11[[#This Row],[Cuenta]],1))</f>
        <v>1</v>
      </c>
      <c r="AK155" t="b">
        <f>+ISNUMBER(SEARCH('F-VTA'!$F$30,Tabla11[[#This Row],[Cuenta]],1))</f>
        <v>1</v>
      </c>
      <c r="AL155" t="b">
        <f>+ISNUMBER(SEARCH('F-VTA'!$F$31,Tabla11[[#This Row],[Cuenta]],1))</f>
        <v>1</v>
      </c>
      <c r="AM155" t="b">
        <f>+ISNUMBER(SEARCH('F-VTA'!$F$32,Tabla11[[#This Row],[Cuenta]],1))</f>
        <v>1</v>
      </c>
      <c r="AN155" t="b">
        <f>+ISNUMBER(SEARCH('F-VTA'!$F$33,Tabla11[[#This Row],[Cuenta]],1))</f>
        <v>1</v>
      </c>
      <c r="AO155" t="b">
        <f>+ISNUMBER(SEARCH('F-VTA'!$F$34,Tabla11[[#This Row],[Cuenta]],1))</f>
        <v>1</v>
      </c>
      <c r="AP155" t="b">
        <f>+ISNUMBER(SEARCH('F-VTA'!$F$35,Tabla11[[#This Row],[Cuenta]],1))</f>
        <v>1</v>
      </c>
      <c r="AQ155" t="b">
        <f>+ISNUMBER(SEARCH('F-VTA'!$F$36,Tabla11[[#This Row],[Cuenta]],1))</f>
        <v>1</v>
      </c>
      <c r="AR155" t="b">
        <f>+ISNUMBER(SEARCH(#REF!,Tabla11[[#This Row],[Cuenta]],1))</f>
        <v>0</v>
      </c>
      <c r="AS155" t="b">
        <f>+ISNUMBER(SEARCH(#REF!,Tabla11[[#This Row],[Cuenta]],1))</f>
        <v>0</v>
      </c>
      <c r="AT155" t="b">
        <f>+ISNUMBER(SEARCH(#REF!,Tabla11[[#This Row],[Cuenta]],1))</f>
        <v>0</v>
      </c>
      <c r="AU155" t="b">
        <f>+ISNUMBER(SEARCH('Conc. Ban.1'!$I$9,Tabla11[[#This Row],[Cuenta]],1))</f>
        <v>0</v>
      </c>
      <c r="AV155" t="b">
        <f>+ISNUMBER(SEARCH(CompConta!$F$21,Tabla11[[#This Row],[Cuenta]],1))</f>
        <v>1</v>
      </c>
      <c r="AW155" t="b">
        <f>+ISNUMBER(SEARCH(CompConta!$F$22,Tabla11[[#This Row],[Cuenta]],1))</f>
        <v>1</v>
      </c>
      <c r="AX155" t="b">
        <f>+ISNUMBER(SEARCH(CompConta!$F$23,Tabla11[[#This Row],[Cuenta]],1))</f>
        <v>1</v>
      </c>
      <c r="AY155" t="b">
        <f>+ISNUMBER(SEARCH(CompConta!$F$24,Tabla11[[#This Row],[Cuenta]],1))</f>
        <v>1</v>
      </c>
      <c r="AZ155" t="b">
        <f>+ISNUMBER(SEARCH(CompConta!$F$25,Tabla11[[#This Row],[Cuenta]],1))</f>
        <v>1</v>
      </c>
      <c r="BA155" t="b">
        <f>+ISNUMBER(SEARCH(CompConta!$F$26,Tabla11[[#This Row],[Cuenta]],1))</f>
        <v>1</v>
      </c>
      <c r="BB155" t="b">
        <f>+ISNUMBER(SEARCH(CompConta!$F$27,Tabla11[[#This Row],[Cuenta]],1))</f>
        <v>1</v>
      </c>
      <c r="BC155" t="b">
        <f>+ISNUMBER(SEARCH(CompConta!$F$28,Tabla11[[#This Row],[Cuenta]],1))</f>
        <v>1</v>
      </c>
      <c r="BD155" t="b">
        <f>+ISNUMBER(SEARCH(CompConta!$F$29,Tabla11[[#This Row],[Cuenta]],1))</f>
        <v>1</v>
      </c>
      <c r="BE155" t="b">
        <f>+ISNUMBER(SEARCH(CompConta!$F$30,Tabla11[[#This Row],[Cuenta]],1))</f>
        <v>1</v>
      </c>
      <c r="BF155" t="b">
        <f>+ISNUMBER(SEARCH('PAGO Compras'!$E$11,Tabla11[[#This Row],[Cuenta]],1))</f>
        <v>1</v>
      </c>
      <c r="BG155" t="b">
        <f>+ISNUMBER(SEARCH(#REF!,Tabla11[[#This Row],[Cuenta]],1))</f>
        <v>0</v>
      </c>
      <c r="BH155" t="b">
        <f>+ISNUMBER(SEARCH(#REF!,Tabla11[[#This Row],[Cuenta]],1))</f>
        <v>0</v>
      </c>
      <c r="BI155" t="b">
        <f>+ISNUMBER(SEARCH(#REF!,Tabla11[[#This Row],[Cuenta]],1))</f>
        <v>0</v>
      </c>
      <c r="BJ155" t="b">
        <f>+ISNUMBER(SEARCH(#REF!,Tabla11[[#This Row],[Cuenta]],1))</f>
        <v>0</v>
      </c>
      <c r="BS155" t="str">
        <v>152899 Ajustes por inflación</v>
      </c>
      <c r="BT155" t="str">
        <v>152899 Ajustes por inflación</v>
      </c>
      <c r="BU155" t="str">
        <v>152899 Ajustes por inflación</v>
      </c>
      <c r="BV155" t="str">
        <v>152899 Ajustes por inflación</v>
      </c>
      <c r="BZ155" t="str">
        <v>152899 Ajustes por inflación</v>
      </c>
      <c r="CA155" t="str">
        <v>152899 Ajustes por inflación</v>
      </c>
      <c r="CB155" t="str">
        <v>152899 Ajustes por inflación</v>
      </c>
      <c r="CC155" t="str">
        <v>152899 Ajustes por inflación</v>
      </c>
      <c r="CD155" t="str">
        <v>152899 Ajustes por inflación</v>
      </c>
      <c r="CE155" t="str">
        <v>152899 Ajustes por inflación</v>
      </c>
      <c r="CS155" s="141" t="str">
        <v>152899 Ajustes por inflación</v>
      </c>
      <c r="CT155" s="141" t="str">
        <v>152899 Ajustes por inflación</v>
      </c>
      <c r="CU155" s="141" t="str">
        <v>152899 Ajustes por inflación</v>
      </c>
      <c r="CV155" s="141" t="str">
        <v>152899 Ajustes por inflación</v>
      </c>
      <c r="CW155" s="141" t="str">
        <v>152899 Ajustes por inflación</v>
      </c>
      <c r="CX155" s="141" t="str">
        <v>152899 Ajustes por inflación</v>
      </c>
      <c r="CY155" s="141" t="str">
        <v>152899 Ajustes por inflación</v>
      </c>
      <c r="CZ155" s="141" t="str">
        <v>152899 Ajustes por inflación</v>
      </c>
      <c r="DA155" s="141" t="str">
        <v>152899 Ajustes por inflación</v>
      </c>
      <c r="DF155" t="str">
        <v>152899 Ajustes por inflación</v>
      </c>
      <c r="DG155" t="str">
        <v>152899 Ajustes por inflación</v>
      </c>
      <c r="DH155" t="str">
        <v>152899 Ajustes por inflación</v>
      </c>
      <c r="DI155" t="str">
        <v>152899 Ajustes por inflación</v>
      </c>
      <c r="DJ155" t="str">
        <v>152899 Ajustes por inflación</v>
      </c>
      <c r="DK155" t="str">
        <v>152899 Ajustes por inflación</v>
      </c>
      <c r="DL155" t="str">
        <v>152899 Ajustes por inflación</v>
      </c>
      <c r="DM155" t="str">
        <v>152899 Ajustes por inflación</v>
      </c>
      <c r="DN155" t="str">
        <v>152899 Ajustes por inflación</v>
      </c>
      <c r="DO155" t="str">
        <v>152899 Ajustes por inflación</v>
      </c>
      <c r="DP155" t="str">
        <v>152899 Ajustes por inflación</v>
      </c>
    </row>
    <row r="156" spans="4:120" ht="12.75">
      <c r="D156" s="7">
        <v>1532</v>
      </c>
      <c r="E156" s="6" t="s">
        <v>166</v>
      </c>
      <c r="F156" s="5">
        <v>3</v>
      </c>
      <c r="G156" s="34" t="s">
        <v>822</v>
      </c>
      <c r="H156" s="8" t="s">
        <v>32</v>
      </c>
      <c r="I156" t="b">
        <f>+ISNUMBER(SEARCH('F-COMPRA'!$F$28,Tabla11[[#This Row],[Cuenta]],1))</f>
        <v>1</v>
      </c>
      <c r="J156" t="b">
        <f>+ISNUMBER(SEARCH('F-COMPRA'!$F$29,Tabla11[[#This Row],[Cuenta]],1))</f>
        <v>1</v>
      </c>
      <c r="K156" t="b">
        <f>+ISNUMBER(SEARCH('F-COMPRA'!$F$30,Tabla11[[#This Row],[Cuenta]],1))</f>
        <v>1</v>
      </c>
      <c r="L156" t="b">
        <f>+ISNUMBER(SEARCH('F-COMPRA'!$F$31,Tabla11[[#This Row],[Cuenta]],1))</f>
        <v>1</v>
      </c>
      <c r="M156" t="b">
        <f>+ISNUMBER(SEARCH('F-COMPRA'!$G$25,Tabla11[[#This Row],[Cuenta]],1))</f>
        <v>0</v>
      </c>
      <c r="N156" t="b">
        <f>+ISNUMBER(SEARCH(#REF!,Tabla11[[#This Row],[Cuenta]],1))</f>
        <v>0</v>
      </c>
      <c r="O156" t="b">
        <f>+ISNUMBER(SEARCH(#REF!,Tabla11[[#This Row],[Cuenta]],1))</f>
        <v>0</v>
      </c>
      <c r="P156" t="b">
        <f>+ISNUMBER(SEARCH('F-COMPRA'!$F$32,Tabla11[[#This Row],[Cuenta]],1))</f>
        <v>1</v>
      </c>
      <c r="Q156" t="b">
        <f>+ISNUMBER(SEARCH('F-COMPRA'!$F$33,Tabla11[[#This Row],[Cuenta]],1))</f>
        <v>1</v>
      </c>
      <c r="R156" t="b">
        <f>+ISNUMBER(SEARCH('F-COMPRA'!$F$34,Tabla11[[#This Row],[Cuenta]],1))</f>
        <v>1</v>
      </c>
      <c r="S156" t="b">
        <f>+ISNUMBER(SEARCH('F-COMPRA'!$F$35,Tabla11[[#This Row],[Cuenta]],1))</f>
        <v>1</v>
      </c>
      <c r="T156" t="b">
        <f>+ISNUMBER(SEARCH('F-COMPRA'!$F$36,Tabla11[[#This Row],[Cuenta]],1))</f>
        <v>1</v>
      </c>
      <c r="U156" t="b">
        <f>+ISNUMBER(SEARCH('F-COMPRA'!$F$37,Tabla11[[#This Row],[Cuenta]],1))</f>
        <v>1</v>
      </c>
      <c r="V156" t="b">
        <f>+ISNUMBER(SEARCH(#REF!,Tabla11[[#This Row],[Cuenta]],1))</f>
        <v>0</v>
      </c>
      <c r="W156" t="b">
        <f>+ISNUMBER(SEARCH('F-COMPRA'!#REF!,Tabla11[[#This Row],[Cuenta]],1))</f>
        <v>0</v>
      </c>
      <c r="X156" t="b">
        <f>+ISNUMBER(SEARCH('F-COMPRA'!#REF!,Tabla11[[#This Row],[Cuenta]],1))</f>
        <v>0</v>
      </c>
      <c r="Y156" t="b">
        <f>+ISNUMBER(SEARCH('F-COMPRA'!#REF!,Tabla11[[#This Row],[Cuenta]],1))</f>
        <v>0</v>
      </c>
      <c r="Z156" t="b">
        <f>+ISNUMBER(SEARCH('F-COMPRA'!#REF!,Tabla11[[#This Row],[Cuenta]],1))</f>
        <v>0</v>
      </c>
      <c r="AA156" t="b">
        <f>+ISNUMBER(SEARCH('F-COMPRA'!#REF!,Tabla11[[#This Row],[Cuenta]],1))</f>
        <v>0</v>
      </c>
      <c r="AB156" t="b">
        <f>+ISNUMBER(SEARCH('F-COMPRA'!#REF!,Tabla11[[#This Row],[Cuenta]],1))</f>
        <v>0</v>
      </c>
      <c r="AC156" t="b">
        <f>+ISNUMBER(SEARCH('F-COMPRA'!#REF!,Tabla11[[#This Row],[Cuenta]],1))</f>
        <v>0</v>
      </c>
      <c r="AD156" t="b">
        <f>+ISNUMBER(SEARCH('F-COMPRA'!#REF!,Tabla11[[#This Row],[Cuenta]],1))</f>
        <v>0</v>
      </c>
      <c r="AE156" t="b">
        <f>+ISNUMBER(SEARCH('F-COMPRA'!#REF!,Tabla11[[#This Row],[Cuenta]],1))</f>
        <v>0</v>
      </c>
      <c r="AF156" t="b">
        <f>+ISNUMBER(SEARCH('F-VTA'!$G$23,Tabla11[[#This Row],[Cuenta]],1))</f>
        <v>0</v>
      </c>
      <c r="AG156" t="b">
        <f>+ISNUMBER(SEARCH('F-VTA'!$G$24,Tabla11[[#This Row],[Cuenta]],1))</f>
        <v>0</v>
      </c>
      <c r="AH156" t="b">
        <f>+ISNUMBER(SEARCH('F-VTA'!$G$25,Tabla11[[#This Row],[Cuenta]],1))</f>
        <v>0</v>
      </c>
      <c r="AI156" t="b">
        <f>+ISNUMBER(SEARCH('F-VTA'!$F$28,Tabla11[[#This Row],[Cuenta]],1))</f>
        <v>1</v>
      </c>
      <c r="AJ156" t="b">
        <f>+ISNUMBER(SEARCH('F-VTA'!$F$29,Tabla11[[#This Row],[Cuenta]],1))</f>
        <v>1</v>
      </c>
      <c r="AK156" t="b">
        <f>+ISNUMBER(SEARCH('F-VTA'!$F$30,Tabla11[[#This Row],[Cuenta]],1))</f>
        <v>1</v>
      </c>
      <c r="AL156" t="b">
        <f>+ISNUMBER(SEARCH('F-VTA'!$F$31,Tabla11[[#This Row],[Cuenta]],1))</f>
        <v>1</v>
      </c>
      <c r="AM156" t="b">
        <f>+ISNUMBER(SEARCH('F-VTA'!$F$32,Tabla11[[#This Row],[Cuenta]],1))</f>
        <v>1</v>
      </c>
      <c r="AN156" t="b">
        <f>+ISNUMBER(SEARCH('F-VTA'!$F$33,Tabla11[[#This Row],[Cuenta]],1))</f>
        <v>1</v>
      </c>
      <c r="AO156" t="b">
        <f>+ISNUMBER(SEARCH('F-VTA'!$F$34,Tabla11[[#This Row],[Cuenta]],1))</f>
        <v>1</v>
      </c>
      <c r="AP156" t="b">
        <f>+ISNUMBER(SEARCH('F-VTA'!$F$35,Tabla11[[#This Row],[Cuenta]],1))</f>
        <v>1</v>
      </c>
      <c r="AQ156" t="b">
        <f>+ISNUMBER(SEARCH('F-VTA'!$F$36,Tabla11[[#This Row],[Cuenta]],1))</f>
        <v>1</v>
      </c>
      <c r="AR156" t="b">
        <f>+ISNUMBER(SEARCH(#REF!,Tabla11[[#This Row],[Cuenta]],1))</f>
        <v>0</v>
      </c>
      <c r="AS156" t="b">
        <f>+ISNUMBER(SEARCH(#REF!,Tabla11[[#This Row],[Cuenta]],1))</f>
        <v>0</v>
      </c>
      <c r="AT156" t="b">
        <f>+ISNUMBER(SEARCH(#REF!,Tabla11[[#This Row],[Cuenta]],1))</f>
        <v>0</v>
      </c>
      <c r="AU156" t="b">
        <f>+ISNUMBER(SEARCH('Conc. Ban.1'!$I$9,Tabla11[[#This Row],[Cuenta]],1))</f>
        <v>0</v>
      </c>
      <c r="AV156" t="b">
        <f>+ISNUMBER(SEARCH(CompConta!$F$21,Tabla11[[#This Row],[Cuenta]],1))</f>
        <v>1</v>
      </c>
      <c r="AW156" t="b">
        <f>+ISNUMBER(SEARCH(CompConta!$F$22,Tabla11[[#This Row],[Cuenta]],1))</f>
        <v>1</v>
      </c>
      <c r="AX156" t="b">
        <f>+ISNUMBER(SEARCH(CompConta!$F$23,Tabla11[[#This Row],[Cuenta]],1))</f>
        <v>1</v>
      </c>
      <c r="AY156" t="b">
        <f>+ISNUMBER(SEARCH(CompConta!$F$24,Tabla11[[#This Row],[Cuenta]],1))</f>
        <v>1</v>
      </c>
      <c r="AZ156" t="b">
        <f>+ISNUMBER(SEARCH(CompConta!$F$25,Tabla11[[#This Row],[Cuenta]],1))</f>
        <v>1</v>
      </c>
      <c r="BA156" t="b">
        <f>+ISNUMBER(SEARCH(CompConta!$F$26,Tabla11[[#This Row],[Cuenta]],1))</f>
        <v>1</v>
      </c>
      <c r="BB156" t="b">
        <f>+ISNUMBER(SEARCH(CompConta!$F$27,Tabla11[[#This Row],[Cuenta]],1))</f>
        <v>1</v>
      </c>
      <c r="BC156" t="b">
        <f>+ISNUMBER(SEARCH(CompConta!$F$28,Tabla11[[#This Row],[Cuenta]],1))</f>
        <v>1</v>
      </c>
      <c r="BD156" t="b">
        <f>+ISNUMBER(SEARCH(CompConta!$F$29,Tabla11[[#This Row],[Cuenta]],1))</f>
        <v>1</v>
      </c>
      <c r="BE156" t="b">
        <f>+ISNUMBER(SEARCH(CompConta!$F$30,Tabla11[[#This Row],[Cuenta]],1))</f>
        <v>1</v>
      </c>
      <c r="BF156" t="b">
        <f>+ISNUMBER(SEARCH('PAGO Compras'!$E$11,Tabla11[[#This Row],[Cuenta]],1))</f>
        <v>1</v>
      </c>
      <c r="BG156" t="b">
        <f>+ISNUMBER(SEARCH(#REF!,Tabla11[[#This Row],[Cuenta]],1))</f>
        <v>0</v>
      </c>
      <c r="BH156" t="b">
        <f>+ISNUMBER(SEARCH(#REF!,Tabla11[[#This Row],[Cuenta]],1))</f>
        <v>0</v>
      </c>
      <c r="BI156" t="b">
        <f>+ISNUMBER(SEARCH(#REF!,Tabla11[[#This Row],[Cuenta]],1))</f>
        <v>0</v>
      </c>
      <c r="BJ156" t="b">
        <f>+ISNUMBER(SEARCH(#REF!,Tabla11[[#This Row],[Cuenta]],1))</f>
        <v>0</v>
      </c>
      <c r="BS156" t="str">
        <v>1532 EQUIPO MÉDICO-CIENTÍFICO</v>
      </c>
      <c r="BT156" t="str">
        <v>1532 EQUIPO MÉDICO-CIENTÍFICO</v>
      </c>
      <c r="BU156" t="str">
        <v>1532 EQUIPO MÉDICO-CIENTÍFICO</v>
      </c>
      <c r="BV156" t="str">
        <v>1532 EQUIPO MÉDICO-CIENTÍFICO</v>
      </c>
      <c r="BZ156" t="str">
        <v>1532 EQUIPO MÉDICO-CIENTÍFICO</v>
      </c>
      <c r="CA156" t="str">
        <v>1532 EQUIPO MÉDICO-CIENTÍFICO</v>
      </c>
      <c r="CB156" t="str">
        <v>1532 EQUIPO MÉDICO-CIENTÍFICO</v>
      </c>
      <c r="CC156" t="str">
        <v>1532 EQUIPO MÉDICO-CIENTÍFICO</v>
      </c>
      <c r="CD156" t="str">
        <v>1532 EQUIPO MÉDICO-CIENTÍFICO</v>
      </c>
      <c r="CE156" t="str">
        <v>1532 EQUIPO MÉDICO-CIENTÍFICO</v>
      </c>
      <c r="CS156" s="141" t="str">
        <v>1532 EQUIPO MÉDICO-CIENTÍFICO</v>
      </c>
      <c r="CT156" s="141" t="str">
        <v>1532 EQUIPO MÉDICO-CIENTÍFICO</v>
      </c>
      <c r="CU156" s="141" t="str">
        <v>1532 EQUIPO MÉDICO-CIENTÍFICO</v>
      </c>
      <c r="CV156" s="141" t="str">
        <v>1532 EQUIPO MÉDICO-CIENTÍFICO</v>
      </c>
      <c r="CW156" s="141" t="str">
        <v>1532 EQUIPO MÉDICO-CIENTÍFICO</v>
      </c>
      <c r="CX156" s="141" t="str">
        <v>1532 EQUIPO MÉDICO-CIENTÍFICO</v>
      </c>
      <c r="CY156" s="141" t="str">
        <v>1532 EQUIPO MÉDICO-CIENTÍFICO</v>
      </c>
      <c r="CZ156" s="141" t="str">
        <v>1532 EQUIPO MÉDICO-CIENTÍFICO</v>
      </c>
      <c r="DA156" s="141" t="str">
        <v>1532 EQUIPO MÉDICO-CIENTÍFICO</v>
      </c>
      <c r="DF156" t="str">
        <v>1532 EQUIPO MÉDICO-CIENTÍFICO</v>
      </c>
      <c r="DG156" t="str">
        <v>1532 EQUIPO MÉDICO-CIENTÍFICO</v>
      </c>
      <c r="DH156" t="str">
        <v>1532 EQUIPO MÉDICO-CIENTÍFICO</v>
      </c>
      <c r="DI156" t="str">
        <v>1532 EQUIPO MÉDICO-CIENTÍFICO</v>
      </c>
      <c r="DJ156" t="str">
        <v>1532 EQUIPO MÉDICO-CIENTÍFICO</v>
      </c>
      <c r="DK156" t="str">
        <v>1532 EQUIPO MÉDICO-CIENTÍFICO</v>
      </c>
      <c r="DL156" t="str">
        <v>1532 EQUIPO MÉDICO-CIENTÍFICO</v>
      </c>
      <c r="DM156" t="str">
        <v>1532 EQUIPO MÉDICO-CIENTÍFICO</v>
      </c>
      <c r="DN156" t="str">
        <v>1532 EQUIPO MÉDICO-CIENTÍFICO</v>
      </c>
      <c r="DO156" t="str">
        <v>1532 EQUIPO MÉDICO-CIENTÍFICO</v>
      </c>
      <c r="DP156" t="str">
        <v>1532 EQUIPO MÉDICO-CIENTÍFICO</v>
      </c>
    </row>
    <row r="157" spans="4:120" ht="12.75">
      <c r="D157" s="7">
        <v>153205</v>
      </c>
      <c r="E157" s="6" t="s">
        <v>167</v>
      </c>
      <c r="F157" s="5">
        <v>4</v>
      </c>
      <c r="G157" s="34" t="s">
        <v>822</v>
      </c>
      <c r="H157" s="8" t="s">
        <v>32</v>
      </c>
      <c r="I157" t="b">
        <f>+ISNUMBER(SEARCH('F-COMPRA'!$F$28,Tabla11[[#This Row],[Cuenta]],1))</f>
        <v>1</v>
      </c>
      <c r="J157" t="b">
        <f>+ISNUMBER(SEARCH('F-COMPRA'!$F$29,Tabla11[[#This Row],[Cuenta]],1))</f>
        <v>1</v>
      </c>
      <c r="K157" t="b">
        <f>+ISNUMBER(SEARCH('F-COMPRA'!$F$30,Tabla11[[#This Row],[Cuenta]],1))</f>
        <v>1</v>
      </c>
      <c r="L157" t="b">
        <f>+ISNUMBER(SEARCH('F-COMPRA'!$F$31,Tabla11[[#This Row],[Cuenta]],1))</f>
        <v>1</v>
      </c>
      <c r="M157" t="b">
        <f>+ISNUMBER(SEARCH('F-COMPRA'!$G$25,Tabla11[[#This Row],[Cuenta]],1))</f>
        <v>0</v>
      </c>
      <c r="N157" t="b">
        <f>+ISNUMBER(SEARCH(#REF!,Tabla11[[#This Row],[Cuenta]],1))</f>
        <v>0</v>
      </c>
      <c r="O157" t="b">
        <f>+ISNUMBER(SEARCH(#REF!,Tabla11[[#This Row],[Cuenta]],1))</f>
        <v>0</v>
      </c>
      <c r="P157" t="b">
        <f>+ISNUMBER(SEARCH('F-COMPRA'!$F$32,Tabla11[[#This Row],[Cuenta]],1))</f>
        <v>1</v>
      </c>
      <c r="Q157" t="b">
        <f>+ISNUMBER(SEARCH('F-COMPRA'!$F$33,Tabla11[[#This Row],[Cuenta]],1))</f>
        <v>1</v>
      </c>
      <c r="R157" t="b">
        <f>+ISNUMBER(SEARCH('F-COMPRA'!$F$34,Tabla11[[#This Row],[Cuenta]],1))</f>
        <v>1</v>
      </c>
      <c r="S157" t="b">
        <f>+ISNUMBER(SEARCH('F-COMPRA'!$F$35,Tabla11[[#This Row],[Cuenta]],1))</f>
        <v>1</v>
      </c>
      <c r="T157" t="b">
        <f>+ISNUMBER(SEARCH('F-COMPRA'!$F$36,Tabla11[[#This Row],[Cuenta]],1))</f>
        <v>1</v>
      </c>
      <c r="U157" t="b">
        <f>+ISNUMBER(SEARCH('F-COMPRA'!$F$37,Tabla11[[#This Row],[Cuenta]],1))</f>
        <v>1</v>
      </c>
      <c r="V157" t="b">
        <f>+ISNUMBER(SEARCH(#REF!,Tabla11[[#This Row],[Cuenta]],1))</f>
        <v>0</v>
      </c>
      <c r="W157" t="b">
        <f>+ISNUMBER(SEARCH('F-COMPRA'!#REF!,Tabla11[[#This Row],[Cuenta]],1))</f>
        <v>0</v>
      </c>
      <c r="X157" t="b">
        <f>+ISNUMBER(SEARCH('F-COMPRA'!#REF!,Tabla11[[#This Row],[Cuenta]],1))</f>
        <v>0</v>
      </c>
      <c r="Y157" t="b">
        <f>+ISNUMBER(SEARCH('F-COMPRA'!#REF!,Tabla11[[#This Row],[Cuenta]],1))</f>
        <v>0</v>
      </c>
      <c r="Z157" t="b">
        <f>+ISNUMBER(SEARCH('F-COMPRA'!#REF!,Tabla11[[#This Row],[Cuenta]],1))</f>
        <v>0</v>
      </c>
      <c r="AA157" t="b">
        <f>+ISNUMBER(SEARCH('F-COMPRA'!#REF!,Tabla11[[#This Row],[Cuenta]],1))</f>
        <v>0</v>
      </c>
      <c r="AB157" t="b">
        <f>+ISNUMBER(SEARCH('F-COMPRA'!#REF!,Tabla11[[#This Row],[Cuenta]],1))</f>
        <v>0</v>
      </c>
      <c r="AC157" t="b">
        <f>+ISNUMBER(SEARCH('F-COMPRA'!#REF!,Tabla11[[#This Row],[Cuenta]],1))</f>
        <v>0</v>
      </c>
      <c r="AD157" t="b">
        <f>+ISNUMBER(SEARCH('F-COMPRA'!#REF!,Tabla11[[#This Row],[Cuenta]],1))</f>
        <v>0</v>
      </c>
      <c r="AE157" t="b">
        <f>+ISNUMBER(SEARCH('F-COMPRA'!#REF!,Tabla11[[#This Row],[Cuenta]],1))</f>
        <v>0</v>
      </c>
      <c r="AF157" t="b">
        <f>+ISNUMBER(SEARCH('F-VTA'!$G$23,Tabla11[[#This Row],[Cuenta]],1))</f>
        <v>0</v>
      </c>
      <c r="AG157" t="b">
        <f>+ISNUMBER(SEARCH('F-VTA'!$G$24,Tabla11[[#This Row],[Cuenta]],1))</f>
        <v>0</v>
      </c>
      <c r="AH157" t="b">
        <f>+ISNUMBER(SEARCH('F-VTA'!$G$25,Tabla11[[#This Row],[Cuenta]],1))</f>
        <v>0</v>
      </c>
      <c r="AI157" t="b">
        <f>+ISNUMBER(SEARCH('F-VTA'!$F$28,Tabla11[[#This Row],[Cuenta]],1))</f>
        <v>1</v>
      </c>
      <c r="AJ157" t="b">
        <f>+ISNUMBER(SEARCH('F-VTA'!$F$29,Tabla11[[#This Row],[Cuenta]],1))</f>
        <v>1</v>
      </c>
      <c r="AK157" t="b">
        <f>+ISNUMBER(SEARCH('F-VTA'!$F$30,Tabla11[[#This Row],[Cuenta]],1))</f>
        <v>1</v>
      </c>
      <c r="AL157" t="b">
        <f>+ISNUMBER(SEARCH('F-VTA'!$F$31,Tabla11[[#This Row],[Cuenta]],1))</f>
        <v>1</v>
      </c>
      <c r="AM157" t="b">
        <f>+ISNUMBER(SEARCH('F-VTA'!$F$32,Tabla11[[#This Row],[Cuenta]],1))</f>
        <v>1</v>
      </c>
      <c r="AN157" t="b">
        <f>+ISNUMBER(SEARCH('F-VTA'!$F$33,Tabla11[[#This Row],[Cuenta]],1))</f>
        <v>1</v>
      </c>
      <c r="AO157" t="b">
        <f>+ISNUMBER(SEARCH('F-VTA'!$F$34,Tabla11[[#This Row],[Cuenta]],1))</f>
        <v>1</v>
      </c>
      <c r="AP157" t="b">
        <f>+ISNUMBER(SEARCH('F-VTA'!$F$35,Tabla11[[#This Row],[Cuenta]],1))</f>
        <v>1</v>
      </c>
      <c r="AQ157" t="b">
        <f>+ISNUMBER(SEARCH('F-VTA'!$F$36,Tabla11[[#This Row],[Cuenta]],1))</f>
        <v>1</v>
      </c>
      <c r="AR157" t="b">
        <f>+ISNUMBER(SEARCH(#REF!,Tabla11[[#This Row],[Cuenta]],1))</f>
        <v>0</v>
      </c>
      <c r="AS157" t="b">
        <f>+ISNUMBER(SEARCH(#REF!,Tabla11[[#This Row],[Cuenta]],1))</f>
        <v>0</v>
      </c>
      <c r="AT157" t="b">
        <f>+ISNUMBER(SEARCH(#REF!,Tabla11[[#This Row],[Cuenta]],1))</f>
        <v>0</v>
      </c>
      <c r="AU157" t="b">
        <f>+ISNUMBER(SEARCH('Conc. Ban.1'!$I$9,Tabla11[[#This Row],[Cuenta]],1))</f>
        <v>0</v>
      </c>
      <c r="AV157" t="b">
        <f>+ISNUMBER(SEARCH(CompConta!$F$21,Tabla11[[#This Row],[Cuenta]],1))</f>
        <v>1</v>
      </c>
      <c r="AW157" t="b">
        <f>+ISNUMBER(SEARCH(CompConta!$F$22,Tabla11[[#This Row],[Cuenta]],1))</f>
        <v>1</v>
      </c>
      <c r="AX157" t="b">
        <f>+ISNUMBER(SEARCH(CompConta!$F$23,Tabla11[[#This Row],[Cuenta]],1))</f>
        <v>1</v>
      </c>
      <c r="AY157" t="b">
        <f>+ISNUMBER(SEARCH(CompConta!$F$24,Tabla11[[#This Row],[Cuenta]],1))</f>
        <v>1</v>
      </c>
      <c r="AZ157" t="b">
        <f>+ISNUMBER(SEARCH(CompConta!$F$25,Tabla11[[#This Row],[Cuenta]],1))</f>
        <v>1</v>
      </c>
      <c r="BA157" t="b">
        <f>+ISNUMBER(SEARCH(CompConta!$F$26,Tabla11[[#This Row],[Cuenta]],1))</f>
        <v>1</v>
      </c>
      <c r="BB157" t="b">
        <f>+ISNUMBER(SEARCH(CompConta!$F$27,Tabla11[[#This Row],[Cuenta]],1))</f>
        <v>1</v>
      </c>
      <c r="BC157" t="b">
        <f>+ISNUMBER(SEARCH(CompConta!$F$28,Tabla11[[#This Row],[Cuenta]],1))</f>
        <v>1</v>
      </c>
      <c r="BD157" t="b">
        <f>+ISNUMBER(SEARCH(CompConta!$F$29,Tabla11[[#This Row],[Cuenta]],1))</f>
        <v>1</v>
      </c>
      <c r="BE157" t="b">
        <f>+ISNUMBER(SEARCH(CompConta!$F$30,Tabla11[[#This Row],[Cuenta]],1))</f>
        <v>1</v>
      </c>
      <c r="BF157" t="b">
        <f>+ISNUMBER(SEARCH('PAGO Compras'!$E$11,Tabla11[[#This Row],[Cuenta]],1))</f>
        <v>1</v>
      </c>
      <c r="BG157" t="b">
        <f>+ISNUMBER(SEARCH(#REF!,Tabla11[[#This Row],[Cuenta]],1))</f>
        <v>0</v>
      </c>
      <c r="BH157" t="b">
        <f>+ISNUMBER(SEARCH(#REF!,Tabla11[[#This Row],[Cuenta]],1))</f>
        <v>0</v>
      </c>
      <c r="BI157" t="b">
        <f>+ISNUMBER(SEARCH(#REF!,Tabla11[[#This Row],[Cuenta]],1))</f>
        <v>0</v>
      </c>
      <c r="BJ157" t="b">
        <f>+ISNUMBER(SEARCH(#REF!,Tabla11[[#This Row],[Cuenta]],1))</f>
        <v>0</v>
      </c>
      <c r="BS157" t="str">
        <v>153205 Médico</v>
      </c>
      <c r="BT157" t="str">
        <v>153205 Médico</v>
      </c>
      <c r="BU157" t="str">
        <v>153205 Médico</v>
      </c>
      <c r="BV157" t="str">
        <v>153205 Médico</v>
      </c>
      <c r="BZ157" t="str">
        <v>153205 Médico</v>
      </c>
      <c r="CA157" t="str">
        <v>153205 Médico</v>
      </c>
      <c r="CB157" t="str">
        <v>153205 Médico</v>
      </c>
      <c r="CC157" t="str">
        <v>153205 Médico</v>
      </c>
      <c r="CD157" t="str">
        <v>153205 Médico</v>
      </c>
      <c r="CE157" t="str">
        <v>153205 Médico</v>
      </c>
      <c r="CS157" s="141" t="str">
        <v>153205 Médico</v>
      </c>
      <c r="CT157" s="141" t="str">
        <v>153205 Médico</v>
      </c>
      <c r="CU157" s="141" t="str">
        <v>153205 Médico</v>
      </c>
      <c r="CV157" s="141" t="str">
        <v>153205 Médico</v>
      </c>
      <c r="CW157" s="141" t="str">
        <v>153205 Médico</v>
      </c>
      <c r="CX157" s="141" t="str">
        <v>153205 Médico</v>
      </c>
      <c r="CY157" s="141" t="str">
        <v>153205 Médico</v>
      </c>
      <c r="CZ157" s="141" t="str">
        <v>153205 Médico</v>
      </c>
      <c r="DA157" s="141" t="str">
        <v>153205 Médico</v>
      </c>
      <c r="DF157" t="str">
        <v>153205 Médico</v>
      </c>
      <c r="DG157" t="str">
        <v>153205 Médico</v>
      </c>
      <c r="DH157" t="str">
        <v>153205 Médico</v>
      </c>
      <c r="DI157" t="str">
        <v>153205 Médico</v>
      </c>
      <c r="DJ157" t="str">
        <v>153205 Médico</v>
      </c>
      <c r="DK157" t="str">
        <v>153205 Médico</v>
      </c>
      <c r="DL157" t="str">
        <v>153205 Médico</v>
      </c>
      <c r="DM157" t="str">
        <v>153205 Médico</v>
      </c>
      <c r="DN157" t="str">
        <v>153205 Médico</v>
      </c>
      <c r="DO157" t="str">
        <v>153205 Médico</v>
      </c>
      <c r="DP157" t="str">
        <v>153205 Médico</v>
      </c>
    </row>
    <row r="158" spans="4:120" ht="12.75">
      <c r="D158" s="7">
        <v>153210</v>
      </c>
      <c r="E158" s="6" t="s">
        <v>168</v>
      </c>
      <c r="F158" s="5">
        <v>4</v>
      </c>
      <c r="G158" s="34" t="s">
        <v>822</v>
      </c>
      <c r="H158" s="8" t="s">
        <v>32</v>
      </c>
      <c r="I158" t="b">
        <f>+ISNUMBER(SEARCH('F-COMPRA'!$F$28,Tabla11[[#This Row],[Cuenta]],1))</f>
        <v>1</v>
      </c>
      <c r="J158" t="b">
        <f>+ISNUMBER(SEARCH('F-COMPRA'!$F$29,Tabla11[[#This Row],[Cuenta]],1))</f>
        <v>1</v>
      </c>
      <c r="K158" t="b">
        <f>+ISNUMBER(SEARCH('F-COMPRA'!$F$30,Tabla11[[#This Row],[Cuenta]],1))</f>
        <v>1</v>
      </c>
      <c r="L158" t="b">
        <f>+ISNUMBER(SEARCH('F-COMPRA'!$F$31,Tabla11[[#This Row],[Cuenta]],1))</f>
        <v>1</v>
      </c>
      <c r="M158" t="b">
        <f>+ISNUMBER(SEARCH('F-COMPRA'!$G$25,Tabla11[[#This Row],[Cuenta]],1))</f>
        <v>0</v>
      </c>
      <c r="N158" t="b">
        <f>+ISNUMBER(SEARCH(#REF!,Tabla11[[#This Row],[Cuenta]],1))</f>
        <v>0</v>
      </c>
      <c r="O158" t="b">
        <f>+ISNUMBER(SEARCH(#REF!,Tabla11[[#This Row],[Cuenta]],1))</f>
        <v>0</v>
      </c>
      <c r="P158" t="b">
        <f>+ISNUMBER(SEARCH('F-COMPRA'!$F$32,Tabla11[[#This Row],[Cuenta]],1))</f>
        <v>1</v>
      </c>
      <c r="Q158" t="b">
        <f>+ISNUMBER(SEARCH('F-COMPRA'!$F$33,Tabla11[[#This Row],[Cuenta]],1))</f>
        <v>1</v>
      </c>
      <c r="R158" t="b">
        <f>+ISNUMBER(SEARCH('F-COMPRA'!$F$34,Tabla11[[#This Row],[Cuenta]],1))</f>
        <v>1</v>
      </c>
      <c r="S158" t="b">
        <f>+ISNUMBER(SEARCH('F-COMPRA'!$F$35,Tabla11[[#This Row],[Cuenta]],1))</f>
        <v>1</v>
      </c>
      <c r="T158" t="b">
        <f>+ISNUMBER(SEARCH('F-COMPRA'!$F$36,Tabla11[[#This Row],[Cuenta]],1))</f>
        <v>1</v>
      </c>
      <c r="U158" t="b">
        <f>+ISNUMBER(SEARCH('F-COMPRA'!$F$37,Tabla11[[#This Row],[Cuenta]],1))</f>
        <v>1</v>
      </c>
      <c r="V158" t="b">
        <f>+ISNUMBER(SEARCH(#REF!,Tabla11[[#This Row],[Cuenta]],1))</f>
        <v>0</v>
      </c>
      <c r="W158" t="b">
        <f>+ISNUMBER(SEARCH('F-COMPRA'!#REF!,Tabla11[[#This Row],[Cuenta]],1))</f>
        <v>0</v>
      </c>
      <c r="X158" t="b">
        <f>+ISNUMBER(SEARCH('F-COMPRA'!#REF!,Tabla11[[#This Row],[Cuenta]],1))</f>
        <v>0</v>
      </c>
      <c r="Y158" t="b">
        <f>+ISNUMBER(SEARCH('F-COMPRA'!#REF!,Tabla11[[#This Row],[Cuenta]],1))</f>
        <v>0</v>
      </c>
      <c r="Z158" t="b">
        <f>+ISNUMBER(SEARCH('F-COMPRA'!#REF!,Tabla11[[#This Row],[Cuenta]],1))</f>
        <v>0</v>
      </c>
      <c r="AA158" t="b">
        <f>+ISNUMBER(SEARCH('F-COMPRA'!#REF!,Tabla11[[#This Row],[Cuenta]],1))</f>
        <v>0</v>
      </c>
      <c r="AB158" t="b">
        <f>+ISNUMBER(SEARCH('F-COMPRA'!#REF!,Tabla11[[#This Row],[Cuenta]],1))</f>
        <v>0</v>
      </c>
      <c r="AC158" t="b">
        <f>+ISNUMBER(SEARCH('F-COMPRA'!#REF!,Tabla11[[#This Row],[Cuenta]],1))</f>
        <v>0</v>
      </c>
      <c r="AD158" t="b">
        <f>+ISNUMBER(SEARCH('F-COMPRA'!#REF!,Tabla11[[#This Row],[Cuenta]],1))</f>
        <v>0</v>
      </c>
      <c r="AE158" t="b">
        <f>+ISNUMBER(SEARCH('F-COMPRA'!#REF!,Tabla11[[#This Row],[Cuenta]],1))</f>
        <v>0</v>
      </c>
      <c r="AF158" t="b">
        <f>+ISNUMBER(SEARCH('F-VTA'!$G$23,Tabla11[[#This Row],[Cuenta]],1))</f>
        <v>0</v>
      </c>
      <c r="AG158" t="b">
        <f>+ISNUMBER(SEARCH('F-VTA'!$G$24,Tabla11[[#This Row],[Cuenta]],1))</f>
        <v>0</v>
      </c>
      <c r="AH158" t="b">
        <f>+ISNUMBER(SEARCH('F-VTA'!$G$25,Tabla11[[#This Row],[Cuenta]],1))</f>
        <v>0</v>
      </c>
      <c r="AI158" t="b">
        <f>+ISNUMBER(SEARCH('F-VTA'!$F$28,Tabla11[[#This Row],[Cuenta]],1))</f>
        <v>1</v>
      </c>
      <c r="AJ158" t="b">
        <f>+ISNUMBER(SEARCH('F-VTA'!$F$29,Tabla11[[#This Row],[Cuenta]],1))</f>
        <v>1</v>
      </c>
      <c r="AK158" t="b">
        <f>+ISNUMBER(SEARCH('F-VTA'!$F$30,Tabla11[[#This Row],[Cuenta]],1))</f>
        <v>1</v>
      </c>
      <c r="AL158" t="b">
        <f>+ISNUMBER(SEARCH('F-VTA'!$F$31,Tabla11[[#This Row],[Cuenta]],1))</f>
        <v>1</v>
      </c>
      <c r="AM158" t="b">
        <f>+ISNUMBER(SEARCH('F-VTA'!$F$32,Tabla11[[#This Row],[Cuenta]],1))</f>
        <v>1</v>
      </c>
      <c r="AN158" t="b">
        <f>+ISNUMBER(SEARCH('F-VTA'!$F$33,Tabla11[[#This Row],[Cuenta]],1))</f>
        <v>1</v>
      </c>
      <c r="AO158" t="b">
        <f>+ISNUMBER(SEARCH('F-VTA'!$F$34,Tabla11[[#This Row],[Cuenta]],1))</f>
        <v>1</v>
      </c>
      <c r="AP158" t="b">
        <f>+ISNUMBER(SEARCH('F-VTA'!$F$35,Tabla11[[#This Row],[Cuenta]],1))</f>
        <v>1</v>
      </c>
      <c r="AQ158" t="b">
        <f>+ISNUMBER(SEARCH('F-VTA'!$F$36,Tabla11[[#This Row],[Cuenta]],1))</f>
        <v>1</v>
      </c>
      <c r="AR158" t="b">
        <f>+ISNUMBER(SEARCH(#REF!,Tabla11[[#This Row],[Cuenta]],1))</f>
        <v>0</v>
      </c>
      <c r="AS158" t="b">
        <f>+ISNUMBER(SEARCH(#REF!,Tabla11[[#This Row],[Cuenta]],1))</f>
        <v>0</v>
      </c>
      <c r="AT158" t="b">
        <f>+ISNUMBER(SEARCH(#REF!,Tabla11[[#This Row],[Cuenta]],1))</f>
        <v>0</v>
      </c>
      <c r="AU158" t="b">
        <f>+ISNUMBER(SEARCH('Conc. Ban.1'!$I$9,Tabla11[[#This Row],[Cuenta]],1))</f>
        <v>0</v>
      </c>
      <c r="AV158" t="b">
        <f>+ISNUMBER(SEARCH(CompConta!$F$21,Tabla11[[#This Row],[Cuenta]],1))</f>
        <v>1</v>
      </c>
      <c r="AW158" t="b">
        <f>+ISNUMBER(SEARCH(CompConta!$F$22,Tabla11[[#This Row],[Cuenta]],1))</f>
        <v>1</v>
      </c>
      <c r="AX158" t="b">
        <f>+ISNUMBER(SEARCH(CompConta!$F$23,Tabla11[[#This Row],[Cuenta]],1))</f>
        <v>1</v>
      </c>
      <c r="AY158" t="b">
        <f>+ISNUMBER(SEARCH(CompConta!$F$24,Tabla11[[#This Row],[Cuenta]],1))</f>
        <v>1</v>
      </c>
      <c r="AZ158" t="b">
        <f>+ISNUMBER(SEARCH(CompConta!$F$25,Tabla11[[#This Row],[Cuenta]],1))</f>
        <v>1</v>
      </c>
      <c r="BA158" t="b">
        <f>+ISNUMBER(SEARCH(CompConta!$F$26,Tabla11[[#This Row],[Cuenta]],1))</f>
        <v>1</v>
      </c>
      <c r="BB158" t="b">
        <f>+ISNUMBER(SEARCH(CompConta!$F$27,Tabla11[[#This Row],[Cuenta]],1))</f>
        <v>1</v>
      </c>
      <c r="BC158" t="b">
        <f>+ISNUMBER(SEARCH(CompConta!$F$28,Tabla11[[#This Row],[Cuenta]],1))</f>
        <v>1</v>
      </c>
      <c r="BD158" t="b">
        <f>+ISNUMBER(SEARCH(CompConta!$F$29,Tabla11[[#This Row],[Cuenta]],1))</f>
        <v>1</v>
      </c>
      <c r="BE158" t="b">
        <f>+ISNUMBER(SEARCH(CompConta!$F$30,Tabla11[[#This Row],[Cuenta]],1))</f>
        <v>1</v>
      </c>
      <c r="BF158" t="b">
        <f>+ISNUMBER(SEARCH('PAGO Compras'!$E$11,Tabla11[[#This Row],[Cuenta]],1))</f>
        <v>1</v>
      </c>
      <c r="BG158" t="b">
        <f>+ISNUMBER(SEARCH(#REF!,Tabla11[[#This Row],[Cuenta]],1))</f>
        <v>0</v>
      </c>
      <c r="BH158" t="b">
        <f>+ISNUMBER(SEARCH(#REF!,Tabla11[[#This Row],[Cuenta]],1))</f>
        <v>0</v>
      </c>
      <c r="BI158" t="b">
        <f>+ISNUMBER(SEARCH(#REF!,Tabla11[[#This Row],[Cuenta]],1))</f>
        <v>0</v>
      </c>
      <c r="BJ158" t="b">
        <f>+ISNUMBER(SEARCH(#REF!,Tabla11[[#This Row],[Cuenta]],1))</f>
        <v>0</v>
      </c>
      <c r="BS158" t="str">
        <v>153210 Odontológico</v>
      </c>
      <c r="BT158" t="str">
        <v>153210 Odontológico</v>
      </c>
      <c r="BU158" t="str">
        <v>153210 Odontológico</v>
      </c>
      <c r="BV158" t="str">
        <v>153210 Odontológico</v>
      </c>
      <c r="BZ158" t="str">
        <v>153210 Odontológico</v>
      </c>
      <c r="CA158" t="str">
        <v>153210 Odontológico</v>
      </c>
      <c r="CB158" t="str">
        <v>153210 Odontológico</v>
      </c>
      <c r="CC158" t="str">
        <v>153210 Odontológico</v>
      </c>
      <c r="CD158" t="str">
        <v>153210 Odontológico</v>
      </c>
      <c r="CE158" t="str">
        <v>153210 Odontológico</v>
      </c>
      <c r="CS158" s="141" t="str">
        <v>153210 Odontológico</v>
      </c>
      <c r="CT158" s="141" t="str">
        <v>153210 Odontológico</v>
      </c>
      <c r="CU158" s="141" t="str">
        <v>153210 Odontológico</v>
      </c>
      <c r="CV158" s="141" t="str">
        <v>153210 Odontológico</v>
      </c>
      <c r="CW158" s="141" t="str">
        <v>153210 Odontológico</v>
      </c>
      <c r="CX158" s="141" t="str">
        <v>153210 Odontológico</v>
      </c>
      <c r="CY158" s="141" t="str">
        <v>153210 Odontológico</v>
      </c>
      <c r="CZ158" s="141" t="str">
        <v>153210 Odontológico</v>
      </c>
      <c r="DA158" s="141" t="str">
        <v>153210 Odontológico</v>
      </c>
      <c r="DF158" t="str">
        <v>153210 Odontológico</v>
      </c>
      <c r="DG158" t="str">
        <v>153210 Odontológico</v>
      </c>
      <c r="DH158" t="str">
        <v>153210 Odontológico</v>
      </c>
      <c r="DI158" t="str">
        <v>153210 Odontológico</v>
      </c>
      <c r="DJ158" t="str">
        <v>153210 Odontológico</v>
      </c>
      <c r="DK158" t="str">
        <v>153210 Odontológico</v>
      </c>
      <c r="DL158" t="str">
        <v>153210 Odontológico</v>
      </c>
      <c r="DM158" t="str">
        <v>153210 Odontológico</v>
      </c>
      <c r="DN158" t="str">
        <v>153210 Odontológico</v>
      </c>
      <c r="DO158" t="str">
        <v>153210 Odontológico</v>
      </c>
      <c r="DP158" t="str">
        <v>153210 Odontológico</v>
      </c>
    </row>
    <row r="159" spans="4:120" ht="12.75">
      <c r="D159" s="7">
        <v>153215</v>
      </c>
      <c r="E159" s="6" t="s">
        <v>169</v>
      </c>
      <c r="F159" s="5">
        <v>4</v>
      </c>
      <c r="G159" s="34" t="s">
        <v>822</v>
      </c>
      <c r="H159" s="8" t="s">
        <v>32</v>
      </c>
      <c r="I159" t="b">
        <f>+ISNUMBER(SEARCH('F-COMPRA'!$F$28,Tabla11[[#This Row],[Cuenta]],1))</f>
        <v>1</v>
      </c>
      <c r="J159" t="b">
        <f>+ISNUMBER(SEARCH('F-COMPRA'!$F$29,Tabla11[[#This Row],[Cuenta]],1))</f>
        <v>1</v>
      </c>
      <c r="K159" t="b">
        <f>+ISNUMBER(SEARCH('F-COMPRA'!$F$30,Tabla11[[#This Row],[Cuenta]],1))</f>
        <v>1</v>
      </c>
      <c r="L159" t="b">
        <f>+ISNUMBER(SEARCH('F-COMPRA'!$F$31,Tabla11[[#This Row],[Cuenta]],1))</f>
        <v>1</v>
      </c>
      <c r="M159" t="b">
        <f>+ISNUMBER(SEARCH('F-COMPRA'!$G$25,Tabla11[[#This Row],[Cuenta]],1))</f>
        <v>0</v>
      </c>
      <c r="N159" t="b">
        <f>+ISNUMBER(SEARCH(#REF!,Tabla11[[#This Row],[Cuenta]],1))</f>
        <v>0</v>
      </c>
      <c r="O159" t="b">
        <f>+ISNUMBER(SEARCH(#REF!,Tabla11[[#This Row],[Cuenta]],1))</f>
        <v>0</v>
      </c>
      <c r="P159" t="b">
        <f>+ISNUMBER(SEARCH('F-COMPRA'!$F$32,Tabla11[[#This Row],[Cuenta]],1))</f>
        <v>1</v>
      </c>
      <c r="Q159" t="b">
        <f>+ISNUMBER(SEARCH('F-COMPRA'!$F$33,Tabla11[[#This Row],[Cuenta]],1))</f>
        <v>1</v>
      </c>
      <c r="R159" t="b">
        <f>+ISNUMBER(SEARCH('F-COMPRA'!$F$34,Tabla11[[#This Row],[Cuenta]],1))</f>
        <v>1</v>
      </c>
      <c r="S159" t="b">
        <f>+ISNUMBER(SEARCH('F-COMPRA'!$F$35,Tabla11[[#This Row],[Cuenta]],1))</f>
        <v>1</v>
      </c>
      <c r="T159" t="b">
        <f>+ISNUMBER(SEARCH('F-COMPRA'!$F$36,Tabla11[[#This Row],[Cuenta]],1))</f>
        <v>1</v>
      </c>
      <c r="U159" t="b">
        <f>+ISNUMBER(SEARCH('F-COMPRA'!$F$37,Tabla11[[#This Row],[Cuenta]],1))</f>
        <v>1</v>
      </c>
      <c r="V159" t="b">
        <f>+ISNUMBER(SEARCH(#REF!,Tabla11[[#This Row],[Cuenta]],1))</f>
        <v>0</v>
      </c>
      <c r="W159" t="b">
        <f>+ISNUMBER(SEARCH('F-COMPRA'!#REF!,Tabla11[[#This Row],[Cuenta]],1))</f>
        <v>0</v>
      </c>
      <c r="X159" t="b">
        <f>+ISNUMBER(SEARCH('F-COMPRA'!#REF!,Tabla11[[#This Row],[Cuenta]],1))</f>
        <v>0</v>
      </c>
      <c r="Y159" t="b">
        <f>+ISNUMBER(SEARCH('F-COMPRA'!#REF!,Tabla11[[#This Row],[Cuenta]],1))</f>
        <v>0</v>
      </c>
      <c r="Z159" t="b">
        <f>+ISNUMBER(SEARCH('F-COMPRA'!#REF!,Tabla11[[#This Row],[Cuenta]],1))</f>
        <v>0</v>
      </c>
      <c r="AA159" t="b">
        <f>+ISNUMBER(SEARCH('F-COMPRA'!#REF!,Tabla11[[#This Row],[Cuenta]],1))</f>
        <v>0</v>
      </c>
      <c r="AB159" t="b">
        <f>+ISNUMBER(SEARCH('F-COMPRA'!#REF!,Tabla11[[#This Row],[Cuenta]],1))</f>
        <v>0</v>
      </c>
      <c r="AC159" t="b">
        <f>+ISNUMBER(SEARCH('F-COMPRA'!#REF!,Tabla11[[#This Row],[Cuenta]],1))</f>
        <v>0</v>
      </c>
      <c r="AD159" t="b">
        <f>+ISNUMBER(SEARCH('F-COMPRA'!#REF!,Tabla11[[#This Row],[Cuenta]],1))</f>
        <v>0</v>
      </c>
      <c r="AE159" t="b">
        <f>+ISNUMBER(SEARCH('F-COMPRA'!#REF!,Tabla11[[#This Row],[Cuenta]],1))</f>
        <v>0</v>
      </c>
      <c r="AF159" t="b">
        <f>+ISNUMBER(SEARCH('F-VTA'!$G$23,Tabla11[[#This Row],[Cuenta]],1))</f>
        <v>0</v>
      </c>
      <c r="AG159" t="b">
        <f>+ISNUMBER(SEARCH('F-VTA'!$G$24,Tabla11[[#This Row],[Cuenta]],1))</f>
        <v>0</v>
      </c>
      <c r="AH159" t="b">
        <f>+ISNUMBER(SEARCH('F-VTA'!$G$25,Tabla11[[#This Row],[Cuenta]],1))</f>
        <v>0</v>
      </c>
      <c r="AI159" t="b">
        <f>+ISNUMBER(SEARCH('F-VTA'!$F$28,Tabla11[[#This Row],[Cuenta]],1))</f>
        <v>1</v>
      </c>
      <c r="AJ159" t="b">
        <f>+ISNUMBER(SEARCH('F-VTA'!$F$29,Tabla11[[#This Row],[Cuenta]],1))</f>
        <v>1</v>
      </c>
      <c r="AK159" t="b">
        <f>+ISNUMBER(SEARCH('F-VTA'!$F$30,Tabla11[[#This Row],[Cuenta]],1))</f>
        <v>1</v>
      </c>
      <c r="AL159" t="b">
        <f>+ISNUMBER(SEARCH('F-VTA'!$F$31,Tabla11[[#This Row],[Cuenta]],1))</f>
        <v>1</v>
      </c>
      <c r="AM159" t="b">
        <f>+ISNUMBER(SEARCH('F-VTA'!$F$32,Tabla11[[#This Row],[Cuenta]],1))</f>
        <v>1</v>
      </c>
      <c r="AN159" t="b">
        <f>+ISNUMBER(SEARCH('F-VTA'!$F$33,Tabla11[[#This Row],[Cuenta]],1))</f>
        <v>1</v>
      </c>
      <c r="AO159" t="b">
        <f>+ISNUMBER(SEARCH('F-VTA'!$F$34,Tabla11[[#This Row],[Cuenta]],1))</f>
        <v>1</v>
      </c>
      <c r="AP159" t="b">
        <f>+ISNUMBER(SEARCH('F-VTA'!$F$35,Tabla11[[#This Row],[Cuenta]],1))</f>
        <v>1</v>
      </c>
      <c r="AQ159" t="b">
        <f>+ISNUMBER(SEARCH('F-VTA'!$F$36,Tabla11[[#This Row],[Cuenta]],1))</f>
        <v>1</v>
      </c>
      <c r="AR159" t="b">
        <f>+ISNUMBER(SEARCH(#REF!,Tabla11[[#This Row],[Cuenta]],1))</f>
        <v>0</v>
      </c>
      <c r="AS159" t="b">
        <f>+ISNUMBER(SEARCH(#REF!,Tabla11[[#This Row],[Cuenta]],1))</f>
        <v>0</v>
      </c>
      <c r="AT159" t="b">
        <f>+ISNUMBER(SEARCH(#REF!,Tabla11[[#This Row],[Cuenta]],1))</f>
        <v>0</v>
      </c>
      <c r="AU159" t="b">
        <f>+ISNUMBER(SEARCH('Conc. Ban.1'!$I$9,Tabla11[[#This Row],[Cuenta]],1))</f>
        <v>0</v>
      </c>
      <c r="AV159" t="b">
        <f>+ISNUMBER(SEARCH(CompConta!$F$21,Tabla11[[#This Row],[Cuenta]],1))</f>
        <v>1</v>
      </c>
      <c r="AW159" t="b">
        <f>+ISNUMBER(SEARCH(CompConta!$F$22,Tabla11[[#This Row],[Cuenta]],1))</f>
        <v>1</v>
      </c>
      <c r="AX159" t="b">
        <f>+ISNUMBER(SEARCH(CompConta!$F$23,Tabla11[[#This Row],[Cuenta]],1))</f>
        <v>1</v>
      </c>
      <c r="AY159" t="b">
        <f>+ISNUMBER(SEARCH(CompConta!$F$24,Tabla11[[#This Row],[Cuenta]],1))</f>
        <v>1</v>
      </c>
      <c r="AZ159" t="b">
        <f>+ISNUMBER(SEARCH(CompConta!$F$25,Tabla11[[#This Row],[Cuenta]],1))</f>
        <v>1</v>
      </c>
      <c r="BA159" t="b">
        <f>+ISNUMBER(SEARCH(CompConta!$F$26,Tabla11[[#This Row],[Cuenta]],1))</f>
        <v>1</v>
      </c>
      <c r="BB159" t="b">
        <f>+ISNUMBER(SEARCH(CompConta!$F$27,Tabla11[[#This Row],[Cuenta]],1))</f>
        <v>1</v>
      </c>
      <c r="BC159" t="b">
        <f>+ISNUMBER(SEARCH(CompConta!$F$28,Tabla11[[#This Row],[Cuenta]],1))</f>
        <v>1</v>
      </c>
      <c r="BD159" t="b">
        <f>+ISNUMBER(SEARCH(CompConta!$F$29,Tabla11[[#This Row],[Cuenta]],1))</f>
        <v>1</v>
      </c>
      <c r="BE159" t="b">
        <f>+ISNUMBER(SEARCH(CompConta!$F$30,Tabla11[[#This Row],[Cuenta]],1))</f>
        <v>1</v>
      </c>
      <c r="BF159" t="b">
        <f>+ISNUMBER(SEARCH('PAGO Compras'!$E$11,Tabla11[[#This Row],[Cuenta]],1))</f>
        <v>1</v>
      </c>
      <c r="BG159" t="b">
        <f>+ISNUMBER(SEARCH(#REF!,Tabla11[[#This Row],[Cuenta]],1))</f>
        <v>0</v>
      </c>
      <c r="BH159" t="b">
        <f>+ISNUMBER(SEARCH(#REF!,Tabla11[[#This Row],[Cuenta]],1))</f>
        <v>0</v>
      </c>
      <c r="BI159" t="b">
        <f>+ISNUMBER(SEARCH(#REF!,Tabla11[[#This Row],[Cuenta]],1))</f>
        <v>0</v>
      </c>
      <c r="BJ159" t="b">
        <f>+ISNUMBER(SEARCH(#REF!,Tabla11[[#This Row],[Cuenta]],1))</f>
        <v>0</v>
      </c>
      <c r="BS159" t="str">
        <v>153215 Laboratorio</v>
      </c>
      <c r="BT159" t="str">
        <v>153215 Laboratorio</v>
      </c>
      <c r="BU159" t="str">
        <v>153215 Laboratorio</v>
      </c>
      <c r="BV159" t="str">
        <v>153215 Laboratorio</v>
      </c>
      <c r="BZ159" t="str">
        <v>153215 Laboratorio</v>
      </c>
      <c r="CA159" t="str">
        <v>153215 Laboratorio</v>
      </c>
      <c r="CB159" t="str">
        <v>153215 Laboratorio</v>
      </c>
      <c r="CC159" t="str">
        <v>153215 Laboratorio</v>
      </c>
      <c r="CD159" t="str">
        <v>153215 Laboratorio</v>
      </c>
      <c r="CE159" t="str">
        <v>153215 Laboratorio</v>
      </c>
      <c r="CS159" s="141" t="str">
        <v>153215 Laboratorio</v>
      </c>
      <c r="CT159" s="141" t="str">
        <v>153215 Laboratorio</v>
      </c>
      <c r="CU159" s="141" t="str">
        <v>153215 Laboratorio</v>
      </c>
      <c r="CV159" s="141" t="str">
        <v>153215 Laboratorio</v>
      </c>
      <c r="CW159" s="141" t="str">
        <v>153215 Laboratorio</v>
      </c>
      <c r="CX159" s="141" t="str">
        <v>153215 Laboratorio</v>
      </c>
      <c r="CY159" s="141" t="str">
        <v>153215 Laboratorio</v>
      </c>
      <c r="CZ159" s="141" t="str">
        <v>153215 Laboratorio</v>
      </c>
      <c r="DA159" s="141" t="str">
        <v>153215 Laboratorio</v>
      </c>
      <c r="DF159" t="str">
        <v>153215 Laboratorio</v>
      </c>
      <c r="DG159" t="str">
        <v>153215 Laboratorio</v>
      </c>
      <c r="DH159" t="str">
        <v>153215 Laboratorio</v>
      </c>
      <c r="DI159" t="str">
        <v>153215 Laboratorio</v>
      </c>
      <c r="DJ159" t="str">
        <v>153215 Laboratorio</v>
      </c>
      <c r="DK159" t="str">
        <v>153215 Laboratorio</v>
      </c>
      <c r="DL159" t="str">
        <v>153215 Laboratorio</v>
      </c>
      <c r="DM159" t="str">
        <v>153215 Laboratorio</v>
      </c>
      <c r="DN159" t="str">
        <v>153215 Laboratorio</v>
      </c>
      <c r="DO159" t="str">
        <v>153215 Laboratorio</v>
      </c>
      <c r="DP159" t="str">
        <v>153215 Laboratorio</v>
      </c>
    </row>
    <row r="160" spans="4:120" ht="12.75">
      <c r="D160" s="7">
        <v>153220</v>
      </c>
      <c r="E160" s="6" t="s">
        <v>170</v>
      </c>
      <c r="F160" s="5">
        <v>4</v>
      </c>
      <c r="G160" s="34" t="s">
        <v>822</v>
      </c>
      <c r="H160" s="8" t="s">
        <v>32</v>
      </c>
      <c r="I160" t="b">
        <f>+ISNUMBER(SEARCH('F-COMPRA'!$F$28,Tabla11[[#This Row],[Cuenta]],1))</f>
        <v>1</v>
      </c>
      <c r="J160" t="b">
        <f>+ISNUMBER(SEARCH('F-COMPRA'!$F$29,Tabla11[[#This Row],[Cuenta]],1))</f>
        <v>1</v>
      </c>
      <c r="K160" t="b">
        <f>+ISNUMBER(SEARCH('F-COMPRA'!$F$30,Tabla11[[#This Row],[Cuenta]],1))</f>
        <v>1</v>
      </c>
      <c r="L160" t="b">
        <f>+ISNUMBER(SEARCH('F-COMPRA'!$F$31,Tabla11[[#This Row],[Cuenta]],1))</f>
        <v>1</v>
      </c>
      <c r="M160" t="b">
        <f>+ISNUMBER(SEARCH('F-COMPRA'!$G$25,Tabla11[[#This Row],[Cuenta]],1))</f>
        <v>0</v>
      </c>
      <c r="N160" t="b">
        <f>+ISNUMBER(SEARCH(#REF!,Tabla11[[#This Row],[Cuenta]],1))</f>
        <v>0</v>
      </c>
      <c r="O160" t="b">
        <f>+ISNUMBER(SEARCH(#REF!,Tabla11[[#This Row],[Cuenta]],1))</f>
        <v>0</v>
      </c>
      <c r="P160" t="b">
        <f>+ISNUMBER(SEARCH('F-COMPRA'!$F$32,Tabla11[[#This Row],[Cuenta]],1))</f>
        <v>1</v>
      </c>
      <c r="Q160" t="b">
        <f>+ISNUMBER(SEARCH('F-COMPRA'!$F$33,Tabla11[[#This Row],[Cuenta]],1))</f>
        <v>1</v>
      </c>
      <c r="R160" t="b">
        <f>+ISNUMBER(SEARCH('F-COMPRA'!$F$34,Tabla11[[#This Row],[Cuenta]],1))</f>
        <v>1</v>
      </c>
      <c r="S160" t="b">
        <f>+ISNUMBER(SEARCH('F-COMPRA'!$F$35,Tabla11[[#This Row],[Cuenta]],1))</f>
        <v>1</v>
      </c>
      <c r="T160" t="b">
        <f>+ISNUMBER(SEARCH('F-COMPRA'!$F$36,Tabla11[[#This Row],[Cuenta]],1))</f>
        <v>1</v>
      </c>
      <c r="U160" t="b">
        <f>+ISNUMBER(SEARCH('F-COMPRA'!$F$37,Tabla11[[#This Row],[Cuenta]],1))</f>
        <v>1</v>
      </c>
      <c r="V160" t="b">
        <f>+ISNUMBER(SEARCH(#REF!,Tabla11[[#This Row],[Cuenta]],1))</f>
        <v>0</v>
      </c>
      <c r="W160" t="b">
        <f>+ISNUMBER(SEARCH('F-COMPRA'!#REF!,Tabla11[[#This Row],[Cuenta]],1))</f>
        <v>0</v>
      </c>
      <c r="X160" t="b">
        <f>+ISNUMBER(SEARCH('F-COMPRA'!#REF!,Tabla11[[#This Row],[Cuenta]],1))</f>
        <v>0</v>
      </c>
      <c r="Y160" t="b">
        <f>+ISNUMBER(SEARCH('F-COMPRA'!#REF!,Tabla11[[#This Row],[Cuenta]],1))</f>
        <v>0</v>
      </c>
      <c r="Z160" t="b">
        <f>+ISNUMBER(SEARCH('F-COMPRA'!#REF!,Tabla11[[#This Row],[Cuenta]],1))</f>
        <v>0</v>
      </c>
      <c r="AA160" t="b">
        <f>+ISNUMBER(SEARCH('F-COMPRA'!#REF!,Tabla11[[#This Row],[Cuenta]],1))</f>
        <v>0</v>
      </c>
      <c r="AB160" t="b">
        <f>+ISNUMBER(SEARCH('F-COMPRA'!#REF!,Tabla11[[#This Row],[Cuenta]],1))</f>
        <v>0</v>
      </c>
      <c r="AC160" t="b">
        <f>+ISNUMBER(SEARCH('F-COMPRA'!#REF!,Tabla11[[#This Row],[Cuenta]],1))</f>
        <v>0</v>
      </c>
      <c r="AD160" t="b">
        <f>+ISNUMBER(SEARCH('F-COMPRA'!#REF!,Tabla11[[#This Row],[Cuenta]],1))</f>
        <v>0</v>
      </c>
      <c r="AE160" t="b">
        <f>+ISNUMBER(SEARCH('F-COMPRA'!#REF!,Tabla11[[#This Row],[Cuenta]],1))</f>
        <v>0</v>
      </c>
      <c r="AF160" t="b">
        <f>+ISNUMBER(SEARCH('F-VTA'!$G$23,Tabla11[[#This Row],[Cuenta]],1))</f>
        <v>0</v>
      </c>
      <c r="AG160" t="b">
        <f>+ISNUMBER(SEARCH('F-VTA'!$G$24,Tabla11[[#This Row],[Cuenta]],1))</f>
        <v>0</v>
      </c>
      <c r="AH160" t="b">
        <f>+ISNUMBER(SEARCH('F-VTA'!$G$25,Tabla11[[#This Row],[Cuenta]],1))</f>
        <v>0</v>
      </c>
      <c r="AI160" t="b">
        <f>+ISNUMBER(SEARCH('F-VTA'!$F$28,Tabla11[[#This Row],[Cuenta]],1))</f>
        <v>1</v>
      </c>
      <c r="AJ160" t="b">
        <f>+ISNUMBER(SEARCH('F-VTA'!$F$29,Tabla11[[#This Row],[Cuenta]],1))</f>
        <v>1</v>
      </c>
      <c r="AK160" t="b">
        <f>+ISNUMBER(SEARCH('F-VTA'!$F$30,Tabla11[[#This Row],[Cuenta]],1))</f>
        <v>1</v>
      </c>
      <c r="AL160" t="b">
        <f>+ISNUMBER(SEARCH('F-VTA'!$F$31,Tabla11[[#This Row],[Cuenta]],1))</f>
        <v>1</v>
      </c>
      <c r="AM160" t="b">
        <f>+ISNUMBER(SEARCH('F-VTA'!$F$32,Tabla11[[#This Row],[Cuenta]],1))</f>
        <v>1</v>
      </c>
      <c r="AN160" t="b">
        <f>+ISNUMBER(SEARCH('F-VTA'!$F$33,Tabla11[[#This Row],[Cuenta]],1))</f>
        <v>1</v>
      </c>
      <c r="AO160" t="b">
        <f>+ISNUMBER(SEARCH('F-VTA'!$F$34,Tabla11[[#This Row],[Cuenta]],1))</f>
        <v>1</v>
      </c>
      <c r="AP160" t="b">
        <f>+ISNUMBER(SEARCH('F-VTA'!$F$35,Tabla11[[#This Row],[Cuenta]],1))</f>
        <v>1</v>
      </c>
      <c r="AQ160" t="b">
        <f>+ISNUMBER(SEARCH('F-VTA'!$F$36,Tabla11[[#This Row],[Cuenta]],1))</f>
        <v>1</v>
      </c>
      <c r="AR160" t="b">
        <f>+ISNUMBER(SEARCH(#REF!,Tabla11[[#This Row],[Cuenta]],1))</f>
        <v>0</v>
      </c>
      <c r="AS160" t="b">
        <f>+ISNUMBER(SEARCH(#REF!,Tabla11[[#This Row],[Cuenta]],1))</f>
        <v>0</v>
      </c>
      <c r="AT160" t="b">
        <f>+ISNUMBER(SEARCH(#REF!,Tabla11[[#This Row],[Cuenta]],1))</f>
        <v>0</v>
      </c>
      <c r="AU160" t="b">
        <f>+ISNUMBER(SEARCH('Conc. Ban.1'!$I$9,Tabla11[[#This Row],[Cuenta]],1))</f>
        <v>0</v>
      </c>
      <c r="AV160" t="b">
        <f>+ISNUMBER(SEARCH(CompConta!$F$21,Tabla11[[#This Row],[Cuenta]],1))</f>
        <v>1</v>
      </c>
      <c r="AW160" t="b">
        <f>+ISNUMBER(SEARCH(CompConta!$F$22,Tabla11[[#This Row],[Cuenta]],1))</f>
        <v>1</v>
      </c>
      <c r="AX160" t="b">
        <f>+ISNUMBER(SEARCH(CompConta!$F$23,Tabla11[[#This Row],[Cuenta]],1))</f>
        <v>1</v>
      </c>
      <c r="AY160" t="b">
        <f>+ISNUMBER(SEARCH(CompConta!$F$24,Tabla11[[#This Row],[Cuenta]],1))</f>
        <v>1</v>
      </c>
      <c r="AZ160" t="b">
        <f>+ISNUMBER(SEARCH(CompConta!$F$25,Tabla11[[#This Row],[Cuenta]],1))</f>
        <v>1</v>
      </c>
      <c r="BA160" t="b">
        <f>+ISNUMBER(SEARCH(CompConta!$F$26,Tabla11[[#This Row],[Cuenta]],1))</f>
        <v>1</v>
      </c>
      <c r="BB160" t="b">
        <f>+ISNUMBER(SEARCH(CompConta!$F$27,Tabla11[[#This Row],[Cuenta]],1))</f>
        <v>1</v>
      </c>
      <c r="BC160" t="b">
        <f>+ISNUMBER(SEARCH(CompConta!$F$28,Tabla11[[#This Row],[Cuenta]],1))</f>
        <v>1</v>
      </c>
      <c r="BD160" t="b">
        <f>+ISNUMBER(SEARCH(CompConta!$F$29,Tabla11[[#This Row],[Cuenta]],1))</f>
        <v>1</v>
      </c>
      <c r="BE160" t="b">
        <f>+ISNUMBER(SEARCH(CompConta!$F$30,Tabla11[[#This Row],[Cuenta]],1))</f>
        <v>1</v>
      </c>
      <c r="BF160" t="b">
        <f>+ISNUMBER(SEARCH('PAGO Compras'!$E$11,Tabla11[[#This Row],[Cuenta]],1))</f>
        <v>1</v>
      </c>
      <c r="BG160" t="b">
        <f>+ISNUMBER(SEARCH(#REF!,Tabla11[[#This Row],[Cuenta]],1))</f>
        <v>0</v>
      </c>
      <c r="BH160" t="b">
        <f>+ISNUMBER(SEARCH(#REF!,Tabla11[[#This Row],[Cuenta]],1))</f>
        <v>0</v>
      </c>
      <c r="BI160" t="b">
        <f>+ISNUMBER(SEARCH(#REF!,Tabla11[[#This Row],[Cuenta]],1))</f>
        <v>0</v>
      </c>
      <c r="BJ160" t="b">
        <f>+ISNUMBER(SEARCH(#REF!,Tabla11[[#This Row],[Cuenta]],1))</f>
        <v>0</v>
      </c>
      <c r="BS160" t="str">
        <v>153220 Instrumental</v>
      </c>
      <c r="BT160" t="str">
        <v>153220 Instrumental</v>
      </c>
      <c r="BU160" t="str">
        <v>153220 Instrumental</v>
      </c>
      <c r="BV160" t="str">
        <v>153220 Instrumental</v>
      </c>
      <c r="BZ160" t="str">
        <v>153220 Instrumental</v>
      </c>
      <c r="CA160" t="str">
        <v>153220 Instrumental</v>
      </c>
      <c r="CB160" t="str">
        <v>153220 Instrumental</v>
      </c>
      <c r="CC160" t="str">
        <v>153220 Instrumental</v>
      </c>
      <c r="CD160" t="str">
        <v>153220 Instrumental</v>
      </c>
      <c r="CE160" t="str">
        <v>153220 Instrumental</v>
      </c>
      <c r="CS160" s="141" t="str">
        <v>153220 Instrumental</v>
      </c>
      <c r="CT160" s="141" t="str">
        <v>153220 Instrumental</v>
      </c>
      <c r="CU160" s="141" t="str">
        <v>153220 Instrumental</v>
      </c>
      <c r="CV160" s="141" t="str">
        <v>153220 Instrumental</v>
      </c>
      <c r="CW160" s="141" t="str">
        <v>153220 Instrumental</v>
      </c>
      <c r="CX160" s="141" t="str">
        <v>153220 Instrumental</v>
      </c>
      <c r="CY160" s="141" t="str">
        <v>153220 Instrumental</v>
      </c>
      <c r="CZ160" s="141" t="str">
        <v>153220 Instrumental</v>
      </c>
      <c r="DA160" s="141" t="str">
        <v>153220 Instrumental</v>
      </c>
      <c r="DF160" t="str">
        <v>153220 Instrumental</v>
      </c>
      <c r="DG160" t="str">
        <v>153220 Instrumental</v>
      </c>
      <c r="DH160" t="str">
        <v>153220 Instrumental</v>
      </c>
      <c r="DI160" t="str">
        <v>153220 Instrumental</v>
      </c>
      <c r="DJ160" t="str">
        <v>153220 Instrumental</v>
      </c>
      <c r="DK160" t="str">
        <v>153220 Instrumental</v>
      </c>
      <c r="DL160" t="str">
        <v>153220 Instrumental</v>
      </c>
      <c r="DM160" t="str">
        <v>153220 Instrumental</v>
      </c>
      <c r="DN160" t="str">
        <v>153220 Instrumental</v>
      </c>
      <c r="DO160" t="str">
        <v>153220 Instrumental</v>
      </c>
      <c r="DP160" t="str">
        <v>153220 Instrumental</v>
      </c>
    </row>
    <row r="161" spans="4:120" ht="12.75">
      <c r="D161" s="7">
        <v>153295</v>
      </c>
      <c r="E161" s="6" t="s">
        <v>45</v>
      </c>
      <c r="F161" s="5">
        <v>4</v>
      </c>
      <c r="G161" s="34" t="s">
        <v>822</v>
      </c>
      <c r="H161" s="8" t="s">
        <v>32</v>
      </c>
      <c r="I161" t="b">
        <f>+ISNUMBER(SEARCH('F-COMPRA'!$F$28,Tabla11[[#This Row],[Cuenta]],1))</f>
        <v>1</v>
      </c>
      <c r="J161" t="b">
        <f>+ISNUMBER(SEARCH('F-COMPRA'!$F$29,Tabla11[[#This Row],[Cuenta]],1))</f>
        <v>1</v>
      </c>
      <c r="K161" t="b">
        <f>+ISNUMBER(SEARCH('F-COMPRA'!$F$30,Tabla11[[#This Row],[Cuenta]],1))</f>
        <v>1</v>
      </c>
      <c r="L161" t="b">
        <f>+ISNUMBER(SEARCH('F-COMPRA'!$F$31,Tabla11[[#This Row],[Cuenta]],1))</f>
        <v>1</v>
      </c>
      <c r="M161" t="b">
        <f>+ISNUMBER(SEARCH('F-COMPRA'!$G$25,Tabla11[[#This Row],[Cuenta]],1))</f>
        <v>0</v>
      </c>
      <c r="N161" t="b">
        <f>+ISNUMBER(SEARCH(#REF!,Tabla11[[#This Row],[Cuenta]],1))</f>
        <v>0</v>
      </c>
      <c r="O161" t="b">
        <f>+ISNUMBER(SEARCH(#REF!,Tabla11[[#This Row],[Cuenta]],1))</f>
        <v>0</v>
      </c>
      <c r="P161" t="b">
        <f>+ISNUMBER(SEARCH('F-COMPRA'!$F$32,Tabla11[[#This Row],[Cuenta]],1))</f>
        <v>1</v>
      </c>
      <c r="Q161" t="b">
        <f>+ISNUMBER(SEARCH('F-COMPRA'!$F$33,Tabla11[[#This Row],[Cuenta]],1))</f>
        <v>1</v>
      </c>
      <c r="R161" t="b">
        <f>+ISNUMBER(SEARCH('F-COMPRA'!$F$34,Tabla11[[#This Row],[Cuenta]],1))</f>
        <v>1</v>
      </c>
      <c r="S161" t="b">
        <f>+ISNUMBER(SEARCH('F-COMPRA'!$F$35,Tabla11[[#This Row],[Cuenta]],1))</f>
        <v>1</v>
      </c>
      <c r="T161" t="b">
        <f>+ISNUMBER(SEARCH('F-COMPRA'!$F$36,Tabla11[[#This Row],[Cuenta]],1))</f>
        <v>1</v>
      </c>
      <c r="U161" t="b">
        <f>+ISNUMBER(SEARCH('F-COMPRA'!$F$37,Tabla11[[#This Row],[Cuenta]],1))</f>
        <v>1</v>
      </c>
      <c r="V161" t="b">
        <f>+ISNUMBER(SEARCH(#REF!,Tabla11[[#This Row],[Cuenta]],1))</f>
        <v>0</v>
      </c>
      <c r="W161" t="b">
        <f>+ISNUMBER(SEARCH('F-COMPRA'!#REF!,Tabla11[[#This Row],[Cuenta]],1))</f>
        <v>0</v>
      </c>
      <c r="X161" t="b">
        <f>+ISNUMBER(SEARCH('F-COMPRA'!#REF!,Tabla11[[#This Row],[Cuenta]],1))</f>
        <v>0</v>
      </c>
      <c r="Y161" t="b">
        <f>+ISNUMBER(SEARCH('F-COMPRA'!#REF!,Tabla11[[#This Row],[Cuenta]],1))</f>
        <v>0</v>
      </c>
      <c r="Z161" t="b">
        <f>+ISNUMBER(SEARCH('F-COMPRA'!#REF!,Tabla11[[#This Row],[Cuenta]],1))</f>
        <v>0</v>
      </c>
      <c r="AA161" t="b">
        <f>+ISNUMBER(SEARCH('F-COMPRA'!#REF!,Tabla11[[#This Row],[Cuenta]],1))</f>
        <v>0</v>
      </c>
      <c r="AB161" t="b">
        <f>+ISNUMBER(SEARCH('F-COMPRA'!#REF!,Tabla11[[#This Row],[Cuenta]],1))</f>
        <v>0</v>
      </c>
      <c r="AC161" t="b">
        <f>+ISNUMBER(SEARCH('F-COMPRA'!#REF!,Tabla11[[#This Row],[Cuenta]],1))</f>
        <v>0</v>
      </c>
      <c r="AD161" t="b">
        <f>+ISNUMBER(SEARCH('F-COMPRA'!#REF!,Tabla11[[#This Row],[Cuenta]],1))</f>
        <v>0</v>
      </c>
      <c r="AE161" t="b">
        <f>+ISNUMBER(SEARCH('F-COMPRA'!#REF!,Tabla11[[#This Row],[Cuenta]],1))</f>
        <v>0</v>
      </c>
      <c r="AF161" t="b">
        <f>+ISNUMBER(SEARCH('F-VTA'!$G$23,Tabla11[[#This Row],[Cuenta]],1))</f>
        <v>0</v>
      </c>
      <c r="AG161" t="b">
        <f>+ISNUMBER(SEARCH('F-VTA'!$G$24,Tabla11[[#This Row],[Cuenta]],1))</f>
        <v>0</v>
      </c>
      <c r="AH161" t="b">
        <f>+ISNUMBER(SEARCH('F-VTA'!$G$25,Tabla11[[#This Row],[Cuenta]],1))</f>
        <v>0</v>
      </c>
      <c r="AI161" t="b">
        <f>+ISNUMBER(SEARCH('F-VTA'!$F$28,Tabla11[[#This Row],[Cuenta]],1))</f>
        <v>1</v>
      </c>
      <c r="AJ161" t="b">
        <f>+ISNUMBER(SEARCH('F-VTA'!$F$29,Tabla11[[#This Row],[Cuenta]],1))</f>
        <v>1</v>
      </c>
      <c r="AK161" t="b">
        <f>+ISNUMBER(SEARCH('F-VTA'!$F$30,Tabla11[[#This Row],[Cuenta]],1))</f>
        <v>1</v>
      </c>
      <c r="AL161" t="b">
        <f>+ISNUMBER(SEARCH('F-VTA'!$F$31,Tabla11[[#This Row],[Cuenta]],1))</f>
        <v>1</v>
      </c>
      <c r="AM161" t="b">
        <f>+ISNUMBER(SEARCH('F-VTA'!$F$32,Tabla11[[#This Row],[Cuenta]],1))</f>
        <v>1</v>
      </c>
      <c r="AN161" t="b">
        <f>+ISNUMBER(SEARCH('F-VTA'!$F$33,Tabla11[[#This Row],[Cuenta]],1))</f>
        <v>1</v>
      </c>
      <c r="AO161" t="b">
        <f>+ISNUMBER(SEARCH('F-VTA'!$F$34,Tabla11[[#This Row],[Cuenta]],1))</f>
        <v>1</v>
      </c>
      <c r="AP161" t="b">
        <f>+ISNUMBER(SEARCH('F-VTA'!$F$35,Tabla11[[#This Row],[Cuenta]],1))</f>
        <v>1</v>
      </c>
      <c r="AQ161" t="b">
        <f>+ISNUMBER(SEARCH('F-VTA'!$F$36,Tabla11[[#This Row],[Cuenta]],1))</f>
        <v>1</v>
      </c>
      <c r="AR161" t="b">
        <f>+ISNUMBER(SEARCH(#REF!,Tabla11[[#This Row],[Cuenta]],1))</f>
        <v>0</v>
      </c>
      <c r="AS161" t="b">
        <f>+ISNUMBER(SEARCH(#REF!,Tabla11[[#This Row],[Cuenta]],1))</f>
        <v>0</v>
      </c>
      <c r="AT161" t="b">
        <f>+ISNUMBER(SEARCH(#REF!,Tabla11[[#This Row],[Cuenta]],1))</f>
        <v>0</v>
      </c>
      <c r="AU161" t="b">
        <f>+ISNUMBER(SEARCH('Conc. Ban.1'!$I$9,Tabla11[[#This Row],[Cuenta]],1))</f>
        <v>0</v>
      </c>
      <c r="AV161" t="b">
        <f>+ISNUMBER(SEARCH(CompConta!$F$21,Tabla11[[#This Row],[Cuenta]],1))</f>
        <v>1</v>
      </c>
      <c r="AW161" t="b">
        <f>+ISNUMBER(SEARCH(CompConta!$F$22,Tabla11[[#This Row],[Cuenta]],1))</f>
        <v>1</v>
      </c>
      <c r="AX161" t="b">
        <f>+ISNUMBER(SEARCH(CompConta!$F$23,Tabla11[[#This Row],[Cuenta]],1))</f>
        <v>1</v>
      </c>
      <c r="AY161" t="b">
        <f>+ISNUMBER(SEARCH(CompConta!$F$24,Tabla11[[#This Row],[Cuenta]],1))</f>
        <v>1</v>
      </c>
      <c r="AZ161" t="b">
        <f>+ISNUMBER(SEARCH(CompConta!$F$25,Tabla11[[#This Row],[Cuenta]],1))</f>
        <v>1</v>
      </c>
      <c r="BA161" t="b">
        <f>+ISNUMBER(SEARCH(CompConta!$F$26,Tabla11[[#This Row],[Cuenta]],1))</f>
        <v>1</v>
      </c>
      <c r="BB161" t="b">
        <f>+ISNUMBER(SEARCH(CompConta!$F$27,Tabla11[[#This Row],[Cuenta]],1))</f>
        <v>1</v>
      </c>
      <c r="BC161" t="b">
        <f>+ISNUMBER(SEARCH(CompConta!$F$28,Tabla11[[#This Row],[Cuenta]],1))</f>
        <v>1</v>
      </c>
      <c r="BD161" t="b">
        <f>+ISNUMBER(SEARCH(CompConta!$F$29,Tabla11[[#This Row],[Cuenta]],1))</f>
        <v>1</v>
      </c>
      <c r="BE161" t="b">
        <f>+ISNUMBER(SEARCH(CompConta!$F$30,Tabla11[[#This Row],[Cuenta]],1))</f>
        <v>1</v>
      </c>
      <c r="BF161" t="b">
        <f>+ISNUMBER(SEARCH('PAGO Compras'!$E$11,Tabla11[[#This Row],[Cuenta]],1))</f>
        <v>1</v>
      </c>
      <c r="BG161" t="b">
        <f>+ISNUMBER(SEARCH(#REF!,Tabla11[[#This Row],[Cuenta]],1))</f>
        <v>0</v>
      </c>
      <c r="BH161" t="b">
        <f>+ISNUMBER(SEARCH(#REF!,Tabla11[[#This Row],[Cuenta]],1))</f>
        <v>0</v>
      </c>
      <c r="BI161" t="b">
        <f>+ISNUMBER(SEARCH(#REF!,Tabla11[[#This Row],[Cuenta]],1))</f>
        <v>0</v>
      </c>
      <c r="BJ161" t="b">
        <f>+ISNUMBER(SEARCH(#REF!,Tabla11[[#This Row],[Cuenta]],1))</f>
        <v>0</v>
      </c>
      <c r="BS161" t="str">
        <v>153295 Otros</v>
      </c>
      <c r="BT161" t="str">
        <v>153295 Otros</v>
      </c>
      <c r="BU161" t="str">
        <v>153295 Otros</v>
      </c>
      <c r="BV161" t="str">
        <v>153295 Otros</v>
      </c>
      <c r="BZ161" t="str">
        <v>153295 Otros</v>
      </c>
      <c r="CA161" t="str">
        <v>153295 Otros</v>
      </c>
      <c r="CB161" t="str">
        <v>153295 Otros</v>
      </c>
      <c r="CC161" t="str">
        <v>153295 Otros</v>
      </c>
      <c r="CD161" t="str">
        <v>153295 Otros</v>
      </c>
      <c r="CE161" t="str">
        <v>153295 Otros</v>
      </c>
      <c r="CS161" s="141" t="str">
        <v>153295 Otros</v>
      </c>
      <c r="CT161" s="141" t="str">
        <v>153295 Otros</v>
      </c>
      <c r="CU161" s="141" t="str">
        <v>153295 Otros</v>
      </c>
      <c r="CV161" s="141" t="str">
        <v>153295 Otros</v>
      </c>
      <c r="CW161" s="141" t="str">
        <v>153295 Otros</v>
      </c>
      <c r="CX161" s="141" t="str">
        <v>153295 Otros</v>
      </c>
      <c r="CY161" s="141" t="str">
        <v>153295 Otros</v>
      </c>
      <c r="CZ161" s="141" t="str">
        <v>153295 Otros</v>
      </c>
      <c r="DA161" s="141" t="str">
        <v>153295 Otros</v>
      </c>
      <c r="DF161" t="str">
        <v>153295 Otros</v>
      </c>
      <c r="DG161" t="str">
        <v>153295 Otros</v>
      </c>
      <c r="DH161" t="str">
        <v>153295 Otros</v>
      </c>
      <c r="DI161" t="str">
        <v>153295 Otros</v>
      </c>
      <c r="DJ161" t="str">
        <v>153295 Otros</v>
      </c>
      <c r="DK161" t="str">
        <v>153295 Otros</v>
      </c>
      <c r="DL161" t="str">
        <v>153295 Otros</v>
      </c>
      <c r="DM161" t="str">
        <v>153295 Otros</v>
      </c>
      <c r="DN161" t="str">
        <v>153295 Otros</v>
      </c>
      <c r="DO161" t="str">
        <v>153295 Otros</v>
      </c>
      <c r="DP161" t="str">
        <v>153295 Otros</v>
      </c>
    </row>
    <row r="162" spans="4:120" ht="12.75">
      <c r="D162" s="7">
        <v>153299</v>
      </c>
      <c r="E162" s="6" t="s">
        <v>44</v>
      </c>
      <c r="F162" s="5">
        <v>4</v>
      </c>
      <c r="G162" s="34" t="s">
        <v>822</v>
      </c>
      <c r="H162" s="8" t="s">
        <v>32</v>
      </c>
      <c r="I162" t="b">
        <f>+ISNUMBER(SEARCH('F-COMPRA'!$F$28,Tabla11[[#This Row],[Cuenta]],1))</f>
        <v>1</v>
      </c>
      <c r="J162" t="b">
        <f>+ISNUMBER(SEARCH('F-COMPRA'!$F$29,Tabla11[[#This Row],[Cuenta]],1))</f>
        <v>1</v>
      </c>
      <c r="K162" t="b">
        <f>+ISNUMBER(SEARCH('F-COMPRA'!$F$30,Tabla11[[#This Row],[Cuenta]],1))</f>
        <v>1</v>
      </c>
      <c r="L162" t="b">
        <f>+ISNUMBER(SEARCH('F-COMPRA'!$F$31,Tabla11[[#This Row],[Cuenta]],1))</f>
        <v>1</v>
      </c>
      <c r="M162" t="b">
        <f>+ISNUMBER(SEARCH('F-COMPRA'!$G$25,Tabla11[[#This Row],[Cuenta]],1))</f>
        <v>0</v>
      </c>
      <c r="N162" t="b">
        <f>+ISNUMBER(SEARCH(#REF!,Tabla11[[#This Row],[Cuenta]],1))</f>
        <v>0</v>
      </c>
      <c r="O162" t="b">
        <f>+ISNUMBER(SEARCH(#REF!,Tabla11[[#This Row],[Cuenta]],1))</f>
        <v>0</v>
      </c>
      <c r="P162" t="b">
        <f>+ISNUMBER(SEARCH('F-COMPRA'!$F$32,Tabla11[[#This Row],[Cuenta]],1))</f>
        <v>1</v>
      </c>
      <c r="Q162" t="b">
        <f>+ISNUMBER(SEARCH('F-COMPRA'!$F$33,Tabla11[[#This Row],[Cuenta]],1))</f>
        <v>1</v>
      </c>
      <c r="R162" t="b">
        <f>+ISNUMBER(SEARCH('F-COMPRA'!$F$34,Tabla11[[#This Row],[Cuenta]],1))</f>
        <v>1</v>
      </c>
      <c r="S162" t="b">
        <f>+ISNUMBER(SEARCH('F-COMPRA'!$F$35,Tabla11[[#This Row],[Cuenta]],1))</f>
        <v>1</v>
      </c>
      <c r="T162" t="b">
        <f>+ISNUMBER(SEARCH('F-COMPRA'!$F$36,Tabla11[[#This Row],[Cuenta]],1))</f>
        <v>1</v>
      </c>
      <c r="U162" t="b">
        <f>+ISNUMBER(SEARCH('F-COMPRA'!$F$37,Tabla11[[#This Row],[Cuenta]],1))</f>
        <v>1</v>
      </c>
      <c r="V162" t="b">
        <f>+ISNUMBER(SEARCH(#REF!,Tabla11[[#This Row],[Cuenta]],1))</f>
        <v>0</v>
      </c>
      <c r="W162" t="b">
        <f>+ISNUMBER(SEARCH('F-COMPRA'!#REF!,Tabla11[[#This Row],[Cuenta]],1))</f>
        <v>0</v>
      </c>
      <c r="X162" t="b">
        <f>+ISNUMBER(SEARCH('F-COMPRA'!#REF!,Tabla11[[#This Row],[Cuenta]],1))</f>
        <v>0</v>
      </c>
      <c r="Y162" t="b">
        <f>+ISNUMBER(SEARCH('F-COMPRA'!#REF!,Tabla11[[#This Row],[Cuenta]],1))</f>
        <v>0</v>
      </c>
      <c r="Z162" t="b">
        <f>+ISNUMBER(SEARCH('F-COMPRA'!#REF!,Tabla11[[#This Row],[Cuenta]],1))</f>
        <v>0</v>
      </c>
      <c r="AA162" t="b">
        <f>+ISNUMBER(SEARCH('F-COMPRA'!#REF!,Tabla11[[#This Row],[Cuenta]],1))</f>
        <v>0</v>
      </c>
      <c r="AB162" t="b">
        <f>+ISNUMBER(SEARCH('F-COMPRA'!#REF!,Tabla11[[#This Row],[Cuenta]],1))</f>
        <v>0</v>
      </c>
      <c r="AC162" t="b">
        <f>+ISNUMBER(SEARCH('F-COMPRA'!#REF!,Tabla11[[#This Row],[Cuenta]],1))</f>
        <v>0</v>
      </c>
      <c r="AD162" t="b">
        <f>+ISNUMBER(SEARCH('F-COMPRA'!#REF!,Tabla11[[#This Row],[Cuenta]],1))</f>
        <v>0</v>
      </c>
      <c r="AE162" t="b">
        <f>+ISNUMBER(SEARCH('F-COMPRA'!#REF!,Tabla11[[#This Row],[Cuenta]],1))</f>
        <v>0</v>
      </c>
      <c r="AF162" t="b">
        <f>+ISNUMBER(SEARCH('F-VTA'!$G$23,Tabla11[[#This Row],[Cuenta]],1))</f>
        <v>0</v>
      </c>
      <c r="AG162" t="b">
        <f>+ISNUMBER(SEARCH('F-VTA'!$G$24,Tabla11[[#This Row],[Cuenta]],1))</f>
        <v>0</v>
      </c>
      <c r="AH162" t="b">
        <f>+ISNUMBER(SEARCH('F-VTA'!$G$25,Tabla11[[#This Row],[Cuenta]],1))</f>
        <v>0</v>
      </c>
      <c r="AI162" t="b">
        <f>+ISNUMBER(SEARCH('F-VTA'!$F$28,Tabla11[[#This Row],[Cuenta]],1))</f>
        <v>1</v>
      </c>
      <c r="AJ162" t="b">
        <f>+ISNUMBER(SEARCH('F-VTA'!$F$29,Tabla11[[#This Row],[Cuenta]],1))</f>
        <v>1</v>
      </c>
      <c r="AK162" t="b">
        <f>+ISNUMBER(SEARCH('F-VTA'!$F$30,Tabla11[[#This Row],[Cuenta]],1))</f>
        <v>1</v>
      </c>
      <c r="AL162" t="b">
        <f>+ISNUMBER(SEARCH('F-VTA'!$F$31,Tabla11[[#This Row],[Cuenta]],1))</f>
        <v>1</v>
      </c>
      <c r="AM162" t="b">
        <f>+ISNUMBER(SEARCH('F-VTA'!$F$32,Tabla11[[#This Row],[Cuenta]],1))</f>
        <v>1</v>
      </c>
      <c r="AN162" t="b">
        <f>+ISNUMBER(SEARCH('F-VTA'!$F$33,Tabla11[[#This Row],[Cuenta]],1))</f>
        <v>1</v>
      </c>
      <c r="AO162" t="b">
        <f>+ISNUMBER(SEARCH('F-VTA'!$F$34,Tabla11[[#This Row],[Cuenta]],1))</f>
        <v>1</v>
      </c>
      <c r="AP162" t="b">
        <f>+ISNUMBER(SEARCH('F-VTA'!$F$35,Tabla11[[#This Row],[Cuenta]],1))</f>
        <v>1</v>
      </c>
      <c r="AQ162" t="b">
        <f>+ISNUMBER(SEARCH('F-VTA'!$F$36,Tabla11[[#This Row],[Cuenta]],1))</f>
        <v>1</v>
      </c>
      <c r="AR162" t="b">
        <f>+ISNUMBER(SEARCH(#REF!,Tabla11[[#This Row],[Cuenta]],1))</f>
        <v>0</v>
      </c>
      <c r="AS162" t="b">
        <f>+ISNUMBER(SEARCH(#REF!,Tabla11[[#This Row],[Cuenta]],1))</f>
        <v>0</v>
      </c>
      <c r="AT162" t="b">
        <f>+ISNUMBER(SEARCH(#REF!,Tabla11[[#This Row],[Cuenta]],1))</f>
        <v>0</v>
      </c>
      <c r="AU162" t="b">
        <f>+ISNUMBER(SEARCH('Conc. Ban.1'!$I$9,Tabla11[[#This Row],[Cuenta]],1))</f>
        <v>0</v>
      </c>
      <c r="AV162" t="b">
        <f>+ISNUMBER(SEARCH(CompConta!$F$21,Tabla11[[#This Row],[Cuenta]],1))</f>
        <v>1</v>
      </c>
      <c r="AW162" t="b">
        <f>+ISNUMBER(SEARCH(CompConta!$F$22,Tabla11[[#This Row],[Cuenta]],1))</f>
        <v>1</v>
      </c>
      <c r="AX162" t="b">
        <f>+ISNUMBER(SEARCH(CompConta!$F$23,Tabla11[[#This Row],[Cuenta]],1))</f>
        <v>1</v>
      </c>
      <c r="AY162" t="b">
        <f>+ISNUMBER(SEARCH(CompConta!$F$24,Tabla11[[#This Row],[Cuenta]],1))</f>
        <v>1</v>
      </c>
      <c r="AZ162" t="b">
        <f>+ISNUMBER(SEARCH(CompConta!$F$25,Tabla11[[#This Row],[Cuenta]],1))</f>
        <v>1</v>
      </c>
      <c r="BA162" t="b">
        <f>+ISNUMBER(SEARCH(CompConta!$F$26,Tabla11[[#This Row],[Cuenta]],1))</f>
        <v>1</v>
      </c>
      <c r="BB162" t="b">
        <f>+ISNUMBER(SEARCH(CompConta!$F$27,Tabla11[[#This Row],[Cuenta]],1))</f>
        <v>1</v>
      </c>
      <c r="BC162" t="b">
        <f>+ISNUMBER(SEARCH(CompConta!$F$28,Tabla11[[#This Row],[Cuenta]],1))</f>
        <v>1</v>
      </c>
      <c r="BD162" t="b">
        <f>+ISNUMBER(SEARCH(CompConta!$F$29,Tabla11[[#This Row],[Cuenta]],1))</f>
        <v>1</v>
      </c>
      <c r="BE162" t="b">
        <f>+ISNUMBER(SEARCH(CompConta!$F$30,Tabla11[[#This Row],[Cuenta]],1))</f>
        <v>1</v>
      </c>
      <c r="BF162" t="b">
        <f>+ISNUMBER(SEARCH('PAGO Compras'!$E$11,Tabla11[[#This Row],[Cuenta]],1))</f>
        <v>1</v>
      </c>
      <c r="BG162" t="b">
        <f>+ISNUMBER(SEARCH(#REF!,Tabla11[[#This Row],[Cuenta]],1))</f>
        <v>0</v>
      </c>
      <c r="BH162" t="b">
        <f>+ISNUMBER(SEARCH(#REF!,Tabla11[[#This Row],[Cuenta]],1))</f>
        <v>0</v>
      </c>
      <c r="BI162" t="b">
        <f>+ISNUMBER(SEARCH(#REF!,Tabla11[[#This Row],[Cuenta]],1))</f>
        <v>0</v>
      </c>
      <c r="BJ162" t="b">
        <f>+ISNUMBER(SEARCH(#REF!,Tabla11[[#This Row],[Cuenta]],1))</f>
        <v>0</v>
      </c>
      <c r="BS162" t="str">
        <v>153299 Ajustes por inflación</v>
      </c>
      <c r="BT162" t="str">
        <v>153299 Ajustes por inflación</v>
      </c>
      <c r="BU162" t="str">
        <v>153299 Ajustes por inflación</v>
      </c>
      <c r="BV162" t="str">
        <v>153299 Ajustes por inflación</v>
      </c>
      <c r="BZ162" t="str">
        <v>153299 Ajustes por inflación</v>
      </c>
      <c r="CA162" t="str">
        <v>153299 Ajustes por inflación</v>
      </c>
      <c r="CB162" t="str">
        <v>153299 Ajustes por inflación</v>
      </c>
      <c r="CC162" t="str">
        <v>153299 Ajustes por inflación</v>
      </c>
      <c r="CD162" t="str">
        <v>153299 Ajustes por inflación</v>
      </c>
      <c r="CE162" t="str">
        <v>153299 Ajustes por inflación</v>
      </c>
      <c r="CS162" s="141" t="str">
        <v>153299 Ajustes por inflación</v>
      </c>
      <c r="CT162" s="141" t="str">
        <v>153299 Ajustes por inflación</v>
      </c>
      <c r="CU162" s="141" t="str">
        <v>153299 Ajustes por inflación</v>
      </c>
      <c r="CV162" s="141" t="str">
        <v>153299 Ajustes por inflación</v>
      </c>
      <c r="CW162" s="141" t="str">
        <v>153299 Ajustes por inflación</v>
      </c>
      <c r="CX162" s="141" t="str">
        <v>153299 Ajustes por inflación</v>
      </c>
      <c r="CY162" s="141" t="str">
        <v>153299 Ajustes por inflación</v>
      </c>
      <c r="CZ162" s="141" t="str">
        <v>153299 Ajustes por inflación</v>
      </c>
      <c r="DA162" s="141" t="str">
        <v>153299 Ajustes por inflación</v>
      </c>
      <c r="DF162" t="str">
        <v>153299 Ajustes por inflación</v>
      </c>
      <c r="DG162" t="str">
        <v>153299 Ajustes por inflación</v>
      </c>
      <c r="DH162" t="str">
        <v>153299 Ajustes por inflación</v>
      </c>
      <c r="DI162" t="str">
        <v>153299 Ajustes por inflación</v>
      </c>
      <c r="DJ162" t="str">
        <v>153299 Ajustes por inflación</v>
      </c>
      <c r="DK162" t="str">
        <v>153299 Ajustes por inflación</v>
      </c>
      <c r="DL162" t="str">
        <v>153299 Ajustes por inflación</v>
      </c>
      <c r="DM162" t="str">
        <v>153299 Ajustes por inflación</v>
      </c>
      <c r="DN162" t="str">
        <v>153299 Ajustes por inflación</v>
      </c>
      <c r="DO162" t="str">
        <v>153299 Ajustes por inflación</v>
      </c>
      <c r="DP162" t="str">
        <v>153299 Ajustes por inflación</v>
      </c>
    </row>
    <row r="163" spans="4:120" ht="12.75">
      <c r="D163" s="7">
        <v>1536</v>
      </c>
      <c r="E163" s="6" t="s">
        <v>171</v>
      </c>
      <c r="F163" s="5">
        <v>3</v>
      </c>
      <c r="G163" s="34" t="s">
        <v>822</v>
      </c>
      <c r="H163" s="8" t="s">
        <v>32</v>
      </c>
      <c r="I163" t="b">
        <f>+ISNUMBER(SEARCH('F-COMPRA'!$F$28,Tabla11[[#This Row],[Cuenta]],1))</f>
        <v>1</v>
      </c>
      <c r="J163" t="b">
        <f>+ISNUMBER(SEARCH('F-COMPRA'!$F$29,Tabla11[[#This Row],[Cuenta]],1))</f>
        <v>1</v>
      </c>
      <c r="K163" t="b">
        <f>+ISNUMBER(SEARCH('F-COMPRA'!$F$30,Tabla11[[#This Row],[Cuenta]],1))</f>
        <v>1</v>
      </c>
      <c r="L163" t="b">
        <f>+ISNUMBER(SEARCH('F-COMPRA'!$F$31,Tabla11[[#This Row],[Cuenta]],1))</f>
        <v>1</v>
      </c>
      <c r="M163" t="b">
        <f>+ISNUMBER(SEARCH('F-COMPRA'!$G$25,Tabla11[[#This Row],[Cuenta]],1))</f>
        <v>0</v>
      </c>
      <c r="N163" t="b">
        <f>+ISNUMBER(SEARCH(#REF!,Tabla11[[#This Row],[Cuenta]],1))</f>
        <v>0</v>
      </c>
      <c r="O163" t="b">
        <f>+ISNUMBER(SEARCH(#REF!,Tabla11[[#This Row],[Cuenta]],1))</f>
        <v>0</v>
      </c>
      <c r="P163" t="b">
        <f>+ISNUMBER(SEARCH('F-COMPRA'!$F$32,Tabla11[[#This Row],[Cuenta]],1))</f>
        <v>1</v>
      </c>
      <c r="Q163" t="b">
        <f>+ISNUMBER(SEARCH('F-COMPRA'!$F$33,Tabla11[[#This Row],[Cuenta]],1))</f>
        <v>1</v>
      </c>
      <c r="R163" t="b">
        <f>+ISNUMBER(SEARCH('F-COMPRA'!$F$34,Tabla11[[#This Row],[Cuenta]],1))</f>
        <v>1</v>
      </c>
      <c r="S163" t="b">
        <f>+ISNUMBER(SEARCH('F-COMPRA'!$F$35,Tabla11[[#This Row],[Cuenta]],1))</f>
        <v>1</v>
      </c>
      <c r="T163" t="b">
        <f>+ISNUMBER(SEARCH('F-COMPRA'!$F$36,Tabla11[[#This Row],[Cuenta]],1))</f>
        <v>1</v>
      </c>
      <c r="U163" t="b">
        <f>+ISNUMBER(SEARCH('F-COMPRA'!$F$37,Tabla11[[#This Row],[Cuenta]],1))</f>
        <v>1</v>
      </c>
      <c r="V163" t="b">
        <f>+ISNUMBER(SEARCH(#REF!,Tabla11[[#This Row],[Cuenta]],1))</f>
        <v>0</v>
      </c>
      <c r="W163" t="b">
        <f>+ISNUMBER(SEARCH('F-COMPRA'!#REF!,Tabla11[[#This Row],[Cuenta]],1))</f>
        <v>0</v>
      </c>
      <c r="X163" t="b">
        <f>+ISNUMBER(SEARCH('F-COMPRA'!#REF!,Tabla11[[#This Row],[Cuenta]],1))</f>
        <v>0</v>
      </c>
      <c r="Y163" t="b">
        <f>+ISNUMBER(SEARCH('F-COMPRA'!#REF!,Tabla11[[#This Row],[Cuenta]],1))</f>
        <v>0</v>
      </c>
      <c r="Z163" t="b">
        <f>+ISNUMBER(SEARCH('F-COMPRA'!#REF!,Tabla11[[#This Row],[Cuenta]],1))</f>
        <v>0</v>
      </c>
      <c r="AA163" t="b">
        <f>+ISNUMBER(SEARCH('F-COMPRA'!#REF!,Tabla11[[#This Row],[Cuenta]],1))</f>
        <v>0</v>
      </c>
      <c r="AB163" t="b">
        <f>+ISNUMBER(SEARCH('F-COMPRA'!#REF!,Tabla11[[#This Row],[Cuenta]],1))</f>
        <v>0</v>
      </c>
      <c r="AC163" t="b">
        <f>+ISNUMBER(SEARCH('F-COMPRA'!#REF!,Tabla11[[#This Row],[Cuenta]],1))</f>
        <v>0</v>
      </c>
      <c r="AD163" t="b">
        <f>+ISNUMBER(SEARCH('F-COMPRA'!#REF!,Tabla11[[#This Row],[Cuenta]],1))</f>
        <v>0</v>
      </c>
      <c r="AE163" t="b">
        <f>+ISNUMBER(SEARCH('F-COMPRA'!#REF!,Tabla11[[#This Row],[Cuenta]],1))</f>
        <v>0</v>
      </c>
      <c r="AF163" t="b">
        <f>+ISNUMBER(SEARCH('F-VTA'!$G$23,Tabla11[[#This Row],[Cuenta]],1))</f>
        <v>0</v>
      </c>
      <c r="AG163" t="b">
        <f>+ISNUMBER(SEARCH('F-VTA'!$G$24,Tabla11[[#This Row],[Cuenta]],1))</f>
        <v>0</v>
      </c>
      <c r="AH163" t="b">
        <f>+ISNUMBER(SEARCH('F-VTA'!$G$25,Tabla11[[#This Row],[Cuenta]],1))</f>
        <v>0</v>
      </c>
      <c r="AI163" t="b">
        <f>+ISNUMBER(SEARCH('F-VTA'!$F$28,Tabla11[[#This Row],[Cuenta]],1))</f>
        <v>1</v>
      </c>
      <c r="AJ163" t="b">
        <f>+ISNUMBER(SEARCH('F-VTA'!$F$29,Tabla11[[#This Row],[Cuenta]],1))</f>
        <v>1</v>
      </c>
      <c r="AK163" t="b">
        <f>+ISNUMBER(SEARCH('F-VTA'!$F$30,Tabla11[[#This Row],[Cuenta]],1))</f>
        <v>1</v>
      </c>
      <c r="AL163" t="b">
        <f>+ISNUMBER(SEARCH('F-VTA'!$F$31,Tabla11[[#This Row],[Cuenta]],1))</f>
        <v>1</v>
      </c>
      <c r="AM163" t="b">
        <f>+ISNUMBER(SEARCH('F-VTA'!$F$32,Tabla11[[#This Row],[Cuenta]],1))</f>
        <v>1</v>
      </c>
      <c r="AN163" t="b">
        <f>+ISNUMBER(SEARCH('F-VTA'!$F$33,Tabla11[[#This Row],[Cuenta]],1))</f>
        <v>1</v>
      </c>
      <c r="AO163" t="b">
        <f>+ISNUMBER(SEARCH('F-VTA'!$F$34,Tabla11[[#This Row],[Cuenta]],1))</f>
        <v>1</v>
      </c>
      <c r="AP163" t="b">
        <f>+ISNUMBER(SEARCH('F-VTA'!$F$35,Tabla11[[#This Row],[Cuenta]],1))</f>
        <v>1</v>
      </c>
      <c r="AQ163" t="b">
        <f>+ISNUMBER(SEARCH('F-VTA'!$F$36,Tabla11[[#This Row],[Cuenta]],1))</f>
        <v>1</v>
      </c>
      <c r="AR163" t="b">
        <f>+ISNUMBER(SEARCH(#REF!,Tabla11[[#This Row],[Cuenta]],1))</f>
        <v>0</v>
      </c>
      <c r="AS163" t="b">
        <f>+ISNUMBER(SEARCH(#REF!,Tabla11[[#This Row],[Cuenta]],1))</f>
        <v>0</v>
      </c>
      <c r="AT163" t="b">
        <f>+ISNUMBER(SEARCH(#REF!,Tabla11[[#This Row],[Cuenta]],1))</f>
        <v>0</v>
      </c>
      <c r="AU163" t="b">
        <f>+ISNUMBER(SEARCH('Conc. Ban.1'!$I$9,Tabla11[[#This Row],[Cuenta]],1))</f>
        <v>0</v>
      </c>
      <c r="AV163" t="b">
        <f>+ISNUMBER(SEARCH(CompConta!$F$21,Tabla11[[#This Row],[Cuenta]],1))</f>
        <v>1</v>
      </c>
      <c r="AW163" t="b">
        <f>+ISNUMBER(SEARCH(CompConta!$F$22,Tabla11[[#This Row],[Cuenta]],1))</f>
        <v>1</v>
      </c>
      <c r="AX163" t="b">
        <f>+ISNUMBER(SEARCH(CompConta!$F$23,Tabla11[[#This Row],[Cuenta]],1))</f>
        <v>1</v>
      </c>
      <c r="AY163" t="b">
        <f>+ISNUMBER(SEARCH(CompConta!$F$24,Tabla11[[#This Row],[Cuenta]],1))</f>
        <v>1</v>
      </c>
      <c r="AZ163" t="b">
        <f>+ISNUMBER(SEARCH(CompConta!$F$25,Tabla11[[#This Row],[Cuenta]],1))</f>
        <v>1</v>
      </c>
      <c r="BA163" t="b">
        <f>+ISNUMBER(SEARCH(CompConta!$F$26,Tabla11[[#This Row],[Cuenta]],1))</f>
        <v>1</v>
      </c>
      <c r="BB163" t="b">
        <f>+ISNUMBER(SEARCH(CompConta!$F$27,Tabla11[[#This Row],[Cuenta]],1))</f>
        <v>1</v>
      </c>
      <c r="BC163" t="b">
        <f>+ISNUMBER(SEARCH(CompConta!$F$28,Tabla11[[#This Row],[Cuenta]],1))</f>
        <v>1</v>
      </c>
      <c r="BD163" t="b">
        <f>+ISNUMBER(SEARCH(CompConta!$F$29,Tabla11[[#This Row],[Cuenta]],1))</f>
        <v>1</v>
      </c>
      <c r="BE163" t="b">
        <f>+ISNUMBER(SEARCH(CompConta!$F$30,Tabla11[[#This Row],[Cuenta]],1))</f>
        <v>1</v>
      </c>
      <c r="BF163" t="b">
        <f>+ISNUMBER(SEARCH('PAGO Compras'!$E$11,Tabla11[[#This Row],[Cuenta]],1))</f>
        <v>1</v>
      </c>
      <c r="BG163" t="b">
        <f>+ISNUMBER(SEARCH(#REF!,Tabla11[[#This Row],[Cuenta]],1))</f>
        <v>0</v>
      </c>
      <c r="BH163" t="b">
        <f>+ISNUMBER(SEARCH(#REF!,Tabla11[[#This Row],[Cuenta]],1))</f>
        <v>0</v>
      </c>
      <c r="BI163" t="b">
        <f>+ISNUMBER(SEARCH(#REF!,Tabla11[[#This Row],[Cuenta]],1))</f>
        <v>0</v>
      </c>
      <c r="BJ163" t="b">
        <f>+ISNUMBER(SEARCH(#REF!,Tabla11[[#This Row],[Cuenta]],1))</f>
        <v>0</v>
      </c>
      <c r="BS163" t="str">
        <v>1536 EQUIPO DE HOTELES Y RESTAURANTES</v>
      </c>
      <c r="BT163" t="str">
        <v>1536 EQUIPO DE HOTELES Y RESTAURANTES</v>
      </c>
      <c r="BU163" t="str">
        <v>1536 EQUIPO DE HOTELES Y RESTAURANTES</v>
      </c>
      <c r="BV163" t="str">
        <v>1536 EQUIPO DE HOTELES Y RESTAURANTES</v>
      </c>
      <c r="BZ163" t="str">
        <v>1536 EQUIPO DE HOTELES Y RESTAURANTES</v>
      </c>
      <c r="CA163" t="str">
        <v>1536 EQUIPO DE HOTELES Y RESTAURANTES</v>
      </c>
      <c r="CB163" t="str">
        <v>1536 EQUIPO DE HOTELES Y RESTAURANTES</v>
      </c>
      <c r="CC163" t="str">
        <v>1536 EQUIPO DE HOTELES Y RESTAURANTES</v>
      </c>
      <c r="CD163" t="str">
        <v>1536 EQUIPO DE HOTELES Y RESTAURANTES</v>
      </c>
      <c r="CE163" t="str">
        <v>1536 EQUIPO DE HOTELES Y RESTAURANTES</v>
      </c>
      <c r="CS163" s="141" t="str">
        <v>1536 EQUIPO DE HOTELES Y RESTAURANTES</v>
      </c>
      <c r="CT163" s="141" t="str">
        <v>1536 EQUIPO DE HOTELES Y RESTAURANTES</v>
      </c>
      <c r="CU163" s="141" t="str">
        <v>1536 EQUIPO DE HOTELES Y RESTAURANTES</v>
      </c>
      <c r="CV163" s="141" t="str">
        <v>1536 EQUIPO DE HOTELES Y RESTAURANTES</v>
      </c>
      <c r="CW163" s="141" t="str">
        <v>1536 EQUIPO DE HOTELES Y RESTAURANTES</v>
      </c>
      <c r="CX163" s="141" t="str">
        <v>1536 EQUIPO DE HOTELES Y RESTAURANTES</v>
      </c>
      <c r="CY163" s="141" t="str">
        <v>1536 EQUIPO DE HOTELES Y RESTAURANTES</v>
      </c>
      <c r="CZ163" s="141" t="str">
        <v>1536 EQUIPO DE HOTELES Y RESTAURANTES</v>
      </c>
      <c r="DA163" s="141" t="str">
        <v>1536 EQUIPO DE HOTELES Y RESTAURANTES</v>
      </c>
      <c r="DF163" t="str">
        <v>1536 EQUIPO DE HOTELES Y RESTAURANTES</v>
      </c>
      <c r="DG163" t="str">
        <v>1536 EQUIPO DE HOTELES Y RESTAURANTES</v>
      </c>
      <c r="DH163" t="str">
        <v>1536 EQUIPO DE HOTELES Y RESTAURANTES</v>
      </c>
      <c r="DI163" t="str">
        <v>1536 EQUIPO DE HOTELES Y RESTAURANTES</v>
      </c>
      <c r="DJ163" t="str">
        <v>1536 EQUIPO DE HOTELES Y RESTAURANTES</v>
      </c>
      <c r="DK163" t="str">
        <v>1536 EQUIPO DE HOTELES Y RESTAURANTES</v>
      </c>
      <c r="DL163" t="str">
        <v>1536 EQUIPO DE HOTELES Y RESTAURANTES</v>
      </c>
      <c r="DM163" t="str">
        <v>1536 EQUIPO DE HOTELES Y RESTAURANTES</v>
      </c>
      <c r="DN163" t="str">
        <v>1536 EQUIPO DE HOTELES Y RESTAURANTES</v>
      </c>
      <c r="DO163" t="str">
        <v>1536 EQUIPO DE HOTELES Y RESTAURANTES</v>
      </c>
      <c r="DP163" t="str">
        <v>1536 EQUIPO DE HOTELES Y RESTAURANTES</v>
      </c>
    </row>
    <row r="164" spans="4:120" ht="12.75">
      <c r="D164" s="7">
        <v>153605</v>
      </c>
      <c r="E164" s="6" t="s">
        <v>172</v>
      </c>
      <c r="F164" s="5">
        <v>4</v>
      </c>
      <c r="G164" s="34" t="s">
        <v>822</v>
      </c>
      <c r="H164" s="8" t="s">
        <v>32</v>
      </c>
      <c r="I164" t="b">
        <f>+ISNUMBER(SEARCH('F-COMPRA'!$F$28,Tabla11[[#This Row],[Cuenta]],1))</f>
        <v>1</v>
      </c>
      <c r="J164" t="b">
        <f>+ISNUMBER(SEARCH('F-COMPRA'!$F$29,Tabla11[[#This Row],[Cuenta]],1))</f>
        <v>1</v>
      </c>
      <c r="K164" t="b">
        <f>+ISNUMBER(SEARCH('F-COMPRA'!$F$30,Tabla11[[#This Row],[Cuenta]],1))</f>
        <v>1</v>
      </c>
      <c r="L164" t="b">
        <f>+ISNUMBER(SEARCH('F-COMPRA'!$F$31,Tabla11[[#This Row],[Cuenta]],1))</f>
        <v>1</v>
      </c>
      <c r="M164" t="b">
        <f>+ISNUMBER(SEARCH('F-COMPRA'!$G$25,Tabla11[[#This Row],[Cuenta]],1))</f>
        <v>0</v>
      </c>
      <c r="N164" t="b">
        <f>+ISNUMBER(SEARCH(#REF!,Tabla11[[#This Row],[Cuenta]],1))</f>
        <v>0</v>
      </c>
      <c r="O164" t="b">
        <f>+ISNUMBER(SEARCH(#REF!,Tabla11[[#This Row],[Cuenta]],1))</f>
        <v>0</v>
      </c>
      <c r="P164" t="b">
        <f>+ISNUMBER(SEARCH('F-COMPRA'!$F$32,Tabla11[[#This Row],[Cuenta]],1))</f>
        <v>1</v>
      </c>
      <c r="Q164" t="b">
        <f>+ISNUMBER(SEARCH('F-COMPRA'!$F$33,Tabla11[[#This Row],[Cuenta]],1))</f>
        <v>1</v>
      </c>
      <c r="R164" t="b">
        <f>+ISNUMBER(SEARCH('F-COMPRA'!$F$34,Tabla11[[#This Row],[Cuenta]],1))</f>
        <v>1</v>
      </c>
      <c r="S164" t="b">
        <f>+ISNUMBER(SEARCH('F-COMPRA'!$F$35,Tabla11[[#This Row],[Cuenta]],1))</f>
        <v>1</v>
      </c>
      <c r="T164" t="b">
        <f>+ISNUMBER(SEARCH('F-COMPRA'!$F$36,Tabla11[[#This Row],[Cuenta]],1))</f>
        <v>1</v>
      </c>
      <c r="U164" t="b">
        <f>+ISNUMBER(SEARCH('F-COMPRA'!$F$37,Tabla11[[#This Row],[Cuenta]],1))</f>
        <v>1</v>
      </c>
      <c r="V164" t="b">
        <f>+ISNUMBER(SEARCH(#REF!,Tabla11[[#This Row],[Cuenta]],1))</f>
        <v>0</v>
      </c>
      <c r="W164" t="b">
        <f>+ISNUMBER(SEARCH('F-COMPRA'!#REF!,Tabla11[[#This Row],[Cuenta]],1))</f>
        <v>0</v>
      </c>
      <c r="X164" t="b">
        <f>+ISNUMBER(SEARCH('F-COMPRA'!#REF!,Tabla11[[#This Row],[Cuenta]],1))</f>
        <v>0</v>
      </c>
      <c r="Y164" t="b">
        <f>+ISNUMBER(SEARCH('F-COMPRA'!#REF!,Tabla11[[#This Row],[Cuenta]],1))</f>
        <v>0</v>
      </c>
      <c r="Z164" t="b">
        <f>+ISNUMBER(SEARCH('F-COMPRA'!#REF!,Tabla11[[#This Row],[Cuenta]],1))</f>
        <v>0</v>
      </c>
      <c r="AA164" t="b">
        <f>+ISNUMBER(SEARCH('F-COMPRA'!#REF!,Tabla11[[#This Row],[Cuenta]],1))</f>
        <v>0</v>
      </c>
      <c r="AB164" t="b">
        <f>+ISNUMBER(SEARCH('F-COMPRA'!#REF!,Tabla11[[#This Row],[Cuenta]],1))</f>
        <v>0</v>
      </c>
      <c r="AC164" t="b">
        <f>+ISNUMBER(SEARCH('F-COMPRA'!#REF!,Tabla11[[#This Row],[Cuenta]],1))</f>
        <v>0</v>
      </c>
      <c r="AD164" t="b">
        <f>+ISNUMBER(SEARCH('F-COMPRA'!#REF!,Tabla11[[#This Row],[Cuenta]],1))</f>
        <v>0</v>
      </c>
      <c r="AE164" t="b">
        <f>+ISNUMBER(SEARCH('F-COMPRA'!#REF!,Tabla11[[#This Row],[Cuenta]],1))</f>
        <v>0</v>
      </c>
      <c r="AF164" t="b">
        <f>+ISNUMBER(SEARCH('F-VTA'!$G$23,Tabla11[[#This Row],[Cuenta]],1))</f>
        <v>0</v>
      </c>
      <c r="AG164" t="b">
        <f>+ISNUMBER(SEARCH('F-VTA'!$G$24,Tabla11[[#This Row],[Cuenta]],1))</f>
        <v>0</v>
      </c>
      <c r="AH164" t="b">
        <f>+ISNUMBER(SEARCH('F-VTA'!$G$25,Tabla11[[#This Row],[Cuenta]],1))</f>
        <v>0</v>
      </c>
      <c r="AI164" t="b">
        <f>+ISNUMBER(SEARCH('F-VTA'!$F$28,Tabla11[[#This Row],[Cuenta]],1))</f>
        <v>1</v>
      </c>
      <c r="AJ164" t="b">
        <f>+ISNUMBER(SEARCH('F-VTA'!$F$29,Tabla11[[#This Row],[Cuenta]],1))</f>
        <v>1</v>
      </c>
      <c r="AK164" t="b">
        <f>+ISNUMBER(SEARCH('F-VTA'!$F$30,Tabla11[[#This Row],[Cuenta]],1))</f>
        <v>1</v>
      </c>
      <c r="AL164" t="b">
        <f>+ISNUMBER(SEARCH('F-VTA'!$F$31,Tabla11[[#This Row],[Cuenta]],1))</f>
        <v>1</v>
      </c>
      <c r="AM164" t="b">
        <f>+ISNUMBER(SEARCH('F-VTA'!$F$32,Tabla11[[#This Row],[Cuenta]],1))</f>
        <v>1</v>
      </c>
      <c r="AN164" t="b">
        <f>+ISNUMBER(SEARCH('F-VTA'!$F$33,Tabla11[[#This Row],[Cuenta]],1))</f>
        <v>1</v>
      </c>
      <c r="AO164" t="b">
        <f>+ISNUMBER(SEARCH('F-VTA'!$F$34,Tabla11[[#This Row],[Cuenta]],1))</f>
        <v>1</v>
      </c>
      <c r="AP164" t="b">
        <f>+ISNUMBER(SEARCH('F-VTA'!$F$35,Tabla11[[#This Row],[Cuenta]],1))</f>
        <v>1</v>
      </c>
      <c r="AQ164" t="b">
        <f>+ISNUMBER(SEARCH('F-VTA'!$F$36,Tabla11[[#This Row],[Cuenta]],1))</f>
        <v>1</v>
      </c>
      <c r="AR164" t="b">
        <f>+ISNUMBER(SEARCH(#REF!,Tabla11[[#This Row],[Cuenta]],1))</f>
        <v>0</v>
      </c>
      <c r="AS164" t="b">
        <f>+ISNUMBER(SEARCH(#REF!,Tabla11[[#This Row],[Cuenta]],1))</f>
        <v>0</v>
      </c>
      <c r="AT164" t="b">
        <f>+ISNUMBER(SEARCH(#REF!,Tabla11[[#This Row],[Cuenta]],1))</f>
        <v>0</v>
      </c>
      <c r="AU164" t="b">
        <f>+ISNUMBER(SEARCH('Conc. Ban.1'!$I$9,Tabla11[[#This Row],[Cuenta]],1))</f>
        <v>0</v>
      </c>
      <c r="AV164" t="b">
        <f>+ISNUMBER(SEARCH(CompConta!$F$21,Tabla11[[#This Row],[Cuenta]],1))</f>
        <v>1</v>
      </c>
      <c r="AW164" t="b">
        <f>+ISNUMBER(SEARCH(CompConta!$F$22,Tabla11[[#This Row],[Cuenta]],1))</f>
        <v>1</v>
      </c>
      <c r="AX164" t="b">
        <f>+ISNUMBER(SEARCH(CompConta!$F$23,Tabla11[[#This Row],[Cuenta]],1))</f>
        <v>1</v>
      </c>
      <c r="AY164" t="b">
        <f>+ISNUMBER(SEARCH(CompConta!$F$24,Tabla11[[#This Row],[Cuenta]],1))</f>
        <v>1</v>
      </c>
      <c r="AZ164" t="b">
        <f>+ISNUMBER(SEARCH(CompConta!$F$25,Tabla11[[#This Row],[Cuenta]],1))</f>
        <v>1</v>
      </c>
      <c r="BA164" t="b">
        <f>+ISNUMBER(SEARCH(CompConta!$F$26,Tabla11[[#This Row],[Cuenta]],1))</f>
        <v>1</v>
      </c>
      <c r="BB164" t="b">
        <f>+ISNUMBER(SEARCH(CompConta!$F$27,Tabla11[[#This Row],[Cuenta]],1))</f>
        <v>1</v>
      </c>
      <c r="BC164" t="b">
        <f>+ISNUMBER(SEARCH(CompConta!$F$28,Tabla11[[#This Row],[Cuenta]],1))</f>
        <v>1</v>
      </c>
      <c r="BD164" t="b">
        <f>+ISNUMBER(SEARCH(CompConta!$F$29,Tabla11[[#This Row],[Cuenta]],1))</f>
        <v>1</v>
      </c>
      <c r="BE164" t="b">
        <f>+ISNUMBER(SEARCH(CompConta!$F$30,Tabla11[[#This Row],[Cuenta]],1))</f>
        <v>1</v>
      </c>
      <c r="BF164" t="b">
        <f>+ISNUMBER(SEARCH('PAGO Compras'!$E$11,Tabla11[[#This Row],[Cuenta]],1))</f>
        <v>1</v>
      </c>
      <c r="BG164" t="b">
        <f>+ISNUMBER(SEARCH(#REF!,Tabla11[[#This Row],[Cuenta]],1))</f>
        <v>0</v>
      </c>
      <c r="BH164" t="b">
        <f>+ISNUMBER(SEARCH(#REF!,Tabla11[[#This Row],[Cuenta]],1))</f>
        <v>0</v>
      </c>
      <c r="BI164" t="b">
        <f>+ISNUMBER(SEARCH(#REF!,Tabla11[[#This Row],[Cuenta]],1))</f>
        <v>0</v>
      </c>
      <c r="BJ164" t="b">
        <f>+ISNUMBER(SEARCH(#REF!,Tabla11[[#This Row],[Cuenta]],1))</f>
        <v>0</v>
      </c>
      <c r="BS164" t="str">
        <v>153605 De habitaciones</v>
      </c>
      <c r="BT164" t="str">
        <v>153605 De habitaciones</v>
      </c>
      <c r="BU164" t="str">
        <v>153605 De habitaciones</v>
      </c>
      <c r="BV164" t="str">
        <v>153605 De habitaciones</v>
      </c>
      <c r="BZ164" t="str">
        <v>153605 De habitaciones</v>
      </c>
      <c r="CA164" t="str">
        <v>153605 De habitaciones</v>
      </c>
      <c r="CB164" t="str">
        <v>153605 De habitaciones</v>
      </c>
      <c r="CC164" t="str">
        <v>153605 De habitaciones</v>
      </c>
      <c r="CD164" t="str">
        <v>153605 De habitaciones</v>
      </c>
      <c r="CE164" t="str">
        <v>153605 De habitaciones</v>
      </c>
      <c r="CS164" s="141" t="str">
        <v>153605 De habitaciones</v>
      </c>
      <c r="CT164" s="141" t="str">
        <v>153605 De habitaciones</v>
      </c>
      <c r="CU164" s="141" t="str">
        <v>153605 De habitaciones</v>
      </c>
      <c r="CV164" s="141" t="str">
        <v>153605 De habitaciones</v>
      </c>
      <c r="CW164" s="141" t="str">
        <v>153605 De habitaciones</v>
      </c>
      <c r="CX164" s="141" t="str">
        <v>153605 De habitaciones</v>
      </c>
      <c r="CY164" s="141" t="str">
        <v>153605 De habitaciones</v>
      </c>
      <c r="CZ164" s="141" t="str">
        <v>153605 De habitaciones</v>
      </c>
      <c r="DA164" s="141" t="str">
        <v>153605 De habitaciones</v>
      </c>
      <c r="DF164" t="str">
        <v>153605 De habitaciones</v>
      </c>
      <c r="DG164" t="str">
        <v>153605 De habitaciones</v>
      </c>
      <c r="DH164" t="str">
        <v>153605 De habitaciones</v>
      </c>
      <c r="DI164" t="str">
        <v>153605 De habitaciones</v>
      </c>
      <c r="DJ164" t="str">
        <v>153605 De habitaciones</v>
      </c>
      <c r="DK164" t="str">
        <v>153605 De habitaciones</v>
      </c>
      <c r="DL164" t="str">
        <v>153605 De habitaciones</v>
      </c>
      <c r="DM164" t="str">
        <v>153605 De habitaciones</v>
      </c>
      <c r="DN164" t="str">
        <v>153605 De habitaciones</v>
      </c>
      <c r="DO164" t="str">
        <v>153605 De habitaciones</v>
      </c>
      <c r="DP164" t="str">
        <v>153605 De habitaciones</v>
      </c>
    </row>
    <row r="165" spans="4:120" ht="12.75">
      <c r="D165" s="7">
        <v>153610</v>
      </c>
      <c r="E165" s="6" t="s">
        <v>173</v>
      </c>
      <c r="F165" s="5">
        <v>4</v>
      </c>
      <c r="G165" s="34" t="s">
        <v>822</v>
      </c>
      <c r="H165" s="8" t="s">
        <v>32</v>
      </c>
      <c r="I165" t="b">
        <f>+ISNUMBER(SEARCH('F-COMPRA'!$F$28,Tabla11[[#This Row],[Cuenta]],1))</f>
        <v>1</v>
      </c>
      <c r="J165" t="b">
        <f>+ISNUMBER(SEARCH('F-COMPRA'!$F$29,Tabla11[[#This Row],[Cuenta]],1))</f>
        <v>1</v>
      </c>
      <c r="K165" t="b">
        <f>+ISNUMBER(SEARCH('F-COMPRA'!$F$30,Tabla11[[#This Row],[Cuenta]],1))</f>
        <v>1</v>
      </c>
      <c r="L165" t="b">
        <f>+ISNUMBER(SEARCH('F-COMPRA'!$F$31,Tabla11[[#This Row],[Cuenta]],1))</f>
        <v>1</v>
      </c>
      <c r="M165" t="b">
        <f>+ISNUMBER(SEARCH('F-COMPRA'!$G$25,Tabla11[[#This Row],[Cuenta]],1))</f>
        <v>0</v>
      </c>
      <c r="N165" t="b">
        <f>+ISNUMBER(SEARCH(#REF!,Tabla11[[#This Row],[Cuenta]],1))</f>
        <v>0</v>
      </c>
      <c r="O165" t="b">
        <f>+ISNUMBER(SEARCH(#REF!,Tabla11[[#This Row],[Cuenta]],1))</f>
        <v>0</v>
      </c>
      <c r="P165" t="b">
        <f>+ISNUMBER(SEARCH('F-COMPRA'!$F$32,Tabla11[[#This Row],[Cuenta]],1))</f>
        <v>1</v>
      </c>
      <c r="Q165" t="b">
        <f>+ISNUMBER(SEARCH('F-COMPRA'!$F$33,Tabla11[[#This Row],[Cuenta]],1))</f>
        <v>1</v>
      </c>
      <c r="R165" t="b">
        <f>+ISNUMBER(SEARCH('F-COMPRA'!$F$34,Tabla11[[#This Row],[Cuenta]],1))</f>
        <v>1</v>
      </c>
      <c r="S165" t="b">
        <f>+ISNUMBER(SEARCH('F-COMPRA'!$F$35,Tabla11[[#This Row],[Cuenta]],1))</f>
        <v>1</v>
      </c>
      <c r="T165" t="b">
        <f>+ISNUMBER(SEARCH('F-COMPRA'!$F$36,Tabla11[[#This Row],[Cuenta]],1))</f>
        <v>1</v>
      </c>
      <c r="U165" t="b">
        <f>+ISNUMBER(SEARCH('F-COMPRA'!$F$37,Tabla11[[#This Row],[Cuenta]],1))</f>
        <v>1</v>
      </c>
      <c r="V165" t="b">
        <f>+ISNUMBER(SEARCH(#REF!,Tabla11[[#This Row],[Cuenta]],1))</f>
        <v>0</v>
      </c>
      <c r="W165" t="b">
        <f>+ISNUMBER(SEARCH('F-COMPRA'!#REF!,Tabla11[[#This Row],[Cuenta]],1))</f>
        <v>0</v>
      </c>
      <c r="X165" t="b">
        <f>+ISNUMBER(SEARCH('F-COMPRA'!#REF!,Tabla11[[#This Row],[Cuenta]],1))</f>
        <v>0</v>
      </c>
      <c r="Y165" t="b">
        <f>+ISNUMBER(SEARCH('F-COMPRA'!#REF!,Tabla11[[#This Row],[Cuenta]],1))</f>
        <v>0</v>
      </c>
      <c r="Z165" t="b">
        <f>+ISNUMBER(SEARCH('F-COMPRA'!#REF!,Tabla11[[#This Row],[Cuenta]],1))</f>
        <v>0</v>
      </c>
      <c r="AA165" t="b">
        <f>+ISNUMBER(SEARCH('F-COMPRA'!#REF!,Tabla11[[#This Row],[Cuenta]],1))</f>
        <v>0</v>
      </c>
      <c r="AB165" t="b">
        <f>+ISNUMBER(SEARCH('F-COMPRA'!#REF!,Tabla11[[#This Row],[Cuenta]],1))</f>
        <v>0</v>
      </c>
      <c r="AC165" t="b">
        <f>+ISNUMBER(SEARCH('F-COMPRA'!#REF!,Tabla11[[#This Row],[Cuenta]],1))</f>
        <v>0</v>
      </c>
      <c r="AD165" t="b">
        <f>+ISNUMBER(SEARCH('F-COMPRA'!#REF!,Tabla11[[#This Row],[Cuenta]],1))</f>
        <v>0</v>
      </c>
      <c r="AE165" t="b">
        <f>+ISNUMBER(SEARCH('F-COMPRA'!#REF!,Tabla11[[#This Row],[Cuenta]],1))</f>
        <v>0</v>
      </c>
      <c r="AF165" t="b">
        <f>+ISNUMBER(SEARCH('F-VTA'!$G$23,Tabla11[[#This Row],[Cuenta]],1))</f>
        <v>0</v>
      </c>
      <c r="AG165" t="b">
        <f>+ISNUMBER(SEARCH('F-VTA'!$G$24,Tabla11[[#This Row],[Cuenta]],1))</f>
        <v>0</v>
      </c>
      <c r="AH165" t="b">
        <f>+ISNUMBER(SEARCH('F-VTA'!$G$25,Tabla11[[#This Row],[Cuenta]],1))</f>
        <v>0</v>
      </c>
      <c r="AI165" t="b">
        <f>+ISNUMBER(SEARCH('F-VTA'!$F$28,Tabla11[[#This Row],[Cuenta]],1))</f>
        <v>1</v>
      </c>
      <c r="AJ165" t="b">
        <f>+ISNUMBER(SEARCH('F-VTA'!$F$29,Tabla11[[#This Row],[Cuenta]],1))</f>
        <v>1</v>
      </c>
      <c r="AK165" t="b">
        <f>+ISNUMBER(SEARCH('F-VTA'!$F$30,Tabla11[[#This Row],[Cuenta]],1))</f>
        <v>1</v>
      </c>
      <c r="AL165" t="b">
        <f>+ISNUMBER(SEARCH('F-VTA'!$F$31,Tabla11[[#This Row],[Cuenta]],1))</f>
        <v>1</v>
      </c>
      <c r="AM165" t="b">
        <f>+ISNUMBER(SEARCH('F-VTA'!$F$32,Tabla11[[#This Row],[Cuenta]],1))</f>
        <v>1</v>
      </c>
      <c r="AN165" t="b">
        <f>+ISNUMBER(SEARCH('F-VTA'!$F$33,Tabla11[[#This Row],[Cuenta]],1))</f>
        <v>1</v>
      </c>
      <c r="AO165" t="b">
        <f>+ISNUMBER(SEARCH('F-VTA'!$F$34,Tabla11[[#This Row],[Cuenta]],1))</f>
        <v>1</v>
      </c>
      <c r="AP165" t="b">
        <f>+ISNUMBER(SEARCH('F-VTA'!$F$35,Tabla11[[#This Row],[Cuenta]],1))</f>
        <v>1</v>
      </c>
      <c r="AQ165" t="b">
        <f>+ISNUMBER(SEARCH('F-VTA'!$F$36,Tabla11[[#This Row],[Cuenta]],1))</f>
        <v>1</v>
      </c>
      <c r="AR165" t="b">
        <f>+ISNUMBER(SEARCH(#REF!,Tabla11[[#This Row],[Cuenta]],1))</f>
        <v>0</v>
      </c>
      <c r="AS165" t="b">
        <f>+ISNUMBER(SEARCH(#REF!,Tabla11[[#This Row],[Cuenta]],1))</f>
        <v>0</v>
      </c>
      <c r="AT165" t="b">
        <f>+ISNUMBER(SEARCH(#REF!,Tabla11[[#This Row],[Cuenta]],1))</f>
        <v>0</v>
      </c>
      <c r="AU165" t="b">
        <f>+ISNUMBER(SEARCH('Conc. Ban.1'!$I$9,Tabla11[[#This Row],[Cuenta]],1))</f>
        <v>0</v>
      </c>
      <c r="AV165" t="b">
        <f>+ISNUMBER(SEARCH(CompConta!$F$21,Tabla11[[#This Row],[Cuenta]],1))</f>
        <v>1</v>
      </c>
      <c r="AW165" t="b">
        <f>+ISNUMBER(SEARCH(CompConta!$F$22,Tabla11[[#This Row],[Cuenta]],1))</f>
        <v>1</v>
      </c>
      <c r="AX165" t="b">
        <f>+ISNUMBER(SEARCH(CompConta!$F$23,Tabla11[[#This Row],[Cuenta]],1))</f>
        <v>1</v>
      </c>
      <c r="AY165" t="b">
        <f>+ISNUMBER(SEARCH(CompConta!$F$24,Tabla11[[#This Row],[Cuenta]],1))</f>
        <v>1</v>
      </c>
      <c r="AZ165" t="b">
        <f>+ISNUMBER(SEARCH(CompConta!$F$25,Tabla11[[#This Row],[Cuenta]],1))</f>
        <v>1</v>
      </c>
      <c r="BA165" t="b">
        <f>+ISNUMBER(SEARCH(CompConta!$F$26,Tabla11[[#This Row],[Cuenta]],1))</f>
        <v>1</v>
      </c>
      <c r="BB165" t="b">
        <f>+ISNUMBER(SEARCH(CompConta!$F$27,Tabla11[[#This Row],[Cuenta]],1))</f>
        <v>1</v>
      </c>
      <c r="BC165" t="b">
        <f>+ISNUMBER(SEARCH(CompConta!$F$28,Tabla11[[#This Row],[Cuenta]],1))</f>
        <v>1</v>
      </c>
      <c r="BD165" t="b">
        <f>+ISNUMBER(SEARCH(CompConta!$F$29,Tabla11[[#This Row],[Cuenta]],1))</f>
        <v>1</v>
      </c>
      <c r="BE165" t="b">
        <f>+ISNUMBER(SEARCH(CompConta!$F$30,Tabla11[[#This Row],[Cuenta]],1))</f>
        <v>1</v>
      </c>
      <c r="BF165" t="b">
        <f>+ISNUMBER(SEARCH('PAGO Compras'!$E$11,Tabla11[[#This Row],[Cuenta]],1))</f>
        <v>1</v>
      </c>
      <c r="BG165" t="b">
        <f>+ISNUMBER(SEARCH(#REF!,Tabla11[[#This Row],[Cuenta]],1))</f>
        <v>0</v>
      </c>
      <c r="BH165" t="b">
        <f>+ISNUMBER(SEARCH(#REF!,Tabla11[[#This Row],[Cuenta]],1))</f>
        <v>0</v>
      </c>
      <c r="BI165" t="b">
        <f>+ISNUMBER(SEARCH(#REF!,Tabla11[[#This Row],[Cuenta]],1))</f>
        <v>0</v>
      </c>
      <c r="BJ165" t="b">
        <f>+ISNUMBER(SEARCH(#REF!,Tabla11[[#This Row],[Cuenta]],1))</f>
        <v>0</v>
      </c>
      <c r="BS165" t="str">
        <v>153610 De comestibles y bebidas</v>
      </c>
      <c r="BT165" t="str">
        <v>153610 De comestibles y bebidas</v>
      </c>
      <c r="BU165" t="str">
        <v>153610 De comestibles y bebidas</v>
      </c>
      <c r="BV165" t="str">
        <v>153610 De comestibles y bebidas</v>
      </c>
      <c r="BZ165" t="str">
        <v>153610 De comestibles y bebidas</v>
      </c>
      <c r="CA165" t="str">
        <v>153610 De comestibles y bebidas</v>
      </c>
      <c r="CB165" t="str">
        <v>153610 De comestibles y bebidas</v>
      </c>
      <c r="CC165" t="str">
        <v>153610 De comestibles y bebidas</v>
      </c>
      <c r="CD165" t="str">
        <v>153610 De comestibles y bebidas</v>
      </c>
      <c r="CE165" t="str">
        <v>153610 De comestibles y bebidas</v>
      </c>
      <c r="CS165" s="141" t="str">
        <v>153610 De comestibles y bebidas</v>
      </c>
      <c r="CT165" s="141" t="str">
        <v>153610 De comestibles y bebidas</v>
      </c>
      <c r="CU165" s="141" t="str">
        <v>153610 De comestibles y bebidas</v>
      </c>
      <c r="CV165" s="141" t="str">
        <v>153610 De comestibles y bebidas</v>
      </c>
      <c r="CW165" s="141" t="str">
        <v>153610 De comestibles y bebidas</v>
      </c>
      <c r="CX165" s="141" t="str">
        <v>153610 De comestibles y bebidas</v>
      </c>
      <c r="CY165" s="141" t="str">
        <v>153610 De comestibles y bebidas</v>
      </c>
      <c r="CZ165" s="141" t="str">
        <v>153610 De comestibles y bebidas</v>
      </c>
      <c r="DA165" s="141" t="str">
        <v>153610 De comestibles y bebidas</v>
      </c>
      <c r="DF165" t="str">
        <v>153610 De comestibles y bebidas</v>
      </c>
      <c r="DG165" t="str">
        <v>153610 De comestibles y bebidas</v>
      </c>
      <c r="DH165" t="str">
        <v>153610 De comestibles y bebidas</v>
      </c>
      <c r="DI165" t="str">
        <v>153610 De comestibles y bebidas</v>
      </c>
      <c r="DJ165" t="str">
        <v>153610 De comestibles y bebidas</v>
      </c>
      <c r="DK165" t="str">
        <v>153610 De comestibles y bebidas</v>
      </c>
      <c r="DL165" t="str">
        <v>153610 De comestibles y bebidas</v>
      </c>
      <c r="DM165" t="str">
        <v>153610 De comestibles y bebidas</v>
      </c>
      <c r="DN165" t="str">
        <v>153610 De comestibles y bebidas</v>
      </c>
      <c r="DO165" t="str">
        <v>153610 De comestibles y bebidas</v>
      </c>
      <c r="DP165" t="str">
        <v>153610 De comestibles y bebidas</v>
      </c>
    </row>
    <row r="166" spans="4:120" ht="12.75">
      <c r="D166" s="7">
        <v>153695</v>
      </c>
      <c r="E166" s="6" t="s">
        <v>45</v>
      </c>
      <c r="F166" s="5">
        <v>4</v>
      </c>
      <c r="G166" s="34" t="s">
        <v>822</v>
      </c>
      <c r="H166" s="8" t="s">
        <v>32</v>
      </c>
      <c r="I166" t="b">
        <f>+ISNUMBER(SEARCH('F-COMPRA'!$F$28,Tabla11[[#This Row],[Cuenta]],1))</f>
        <v>1</v>
      </c>
      <c r="J166" t="b">
        <f>+ISNUMBER(SEARCH('F-COMPRA'!$F$29,Tabla11[[#This Row],[Cuenta]],1))</f>
        <v>1</v>
      </c>
      <c r="K166" t="b">
        <f>+ISNUMBER(SEARCH('F-COMPRA'!$F$30,Tabla11[[#This Row],[Cuenta]],1))</f>
        <v>1</v>
      </c>
      <c r="L166" t="b">
        <f>+ISNUMBER(SEARCH('F-COMPRA'!$F$31,Tabla11[[#This Row],[Cuenta]],1))</f>
        <v>1</v>
      </c>
      <c r="M166" t="b">
        <f>+ISNUMBER(SEARCH('F-COMPRA'!$G$25,Tabla11[[#This Row],[Cuenta]],1))</f>
        <v>0</v>
      </c>
      <c r="N166" t="b">
        <f>+ISNUMBER(SEARCH(#REF!,Tabla11[[#This Row],[Cuenta]],1))</f>
        <v>0</v>
      </c>
      <c r="O166" t="b">
        <f>+ISNUMBER(SEARCH(#REF!,Tabla11[[#This Row],[Cuenta]],1))</f>
        <v>0</v>
      </c>
      <c r="P166" t="b">
        <f>+ISNUMBER(SEARCH('F-COMPRA'!$F$32,Tabla11[[#This Row],[Cuenta]],1))</f>
        <v>1</v>
      </c>
      <c r="Q166" t="b">
        <f>+ISNUMBER(SEARCH('F-COMPRA'!$F$33,Tabla11[[#This Row],[Cuenta]],1))</f>
        <v>1</v>
      </c>
      <c r="R166" t="b">
        <f>+ISNUMBER(SEARCH('F-COMPRA'!$F$34,Tabla11[[#This Row],[Cuenta]],1))</f>
        <v>1</v>
      </c>
      <c r="S166" t="b">
        <f>+ISNUMBER(SEARCH('F-COMPRA'!$F$35,Tabla11[[#This Row],[Cuenta]],1))</f>
        <v>1</v>
      </c>
      <c r="T166" t="b">
        <f>+ISNUMBER(SEARCH('F-COMPRA'!$F$36,Tabla11[[#This Row],[Cuenta]],1))</f>
        <v>1</v>
      </c>
      <c r="U166" t="b">
        <f>+ISNUMBER(SEARCH('F-COMPRA'!$F$37,Tabla11[[#This Row],[Cuenta]],1))</f>
        <v>1</v>
      </c>
      <c r="V166" t="b">
        <f>+ISNUMBER(SEARCH(#REF!,Tabla11[[#This Row],[Cuenta]],1))</f>
        <v>0</v>
      </c>
      <c r="W166" t="b">
        <f>+ISNUMBER(SEARCH('F-COMPRA'!#REF!,Tabla11[[#This Row],[Cuenta]],1))</f>
        <v>0</v>
      </c>
      <c r="X166" t="b">
        <f>+ISNUMBER(SEARCH('F-COMPRA'!#REF!,Tabla11[[#This Row],[Cuenta]],1))</f>
        <v>0</v>
      </c>
      <c r="Y166" t="b">
        <f>+ISNUMBER(SEARCH('F-COMPRA'!#REF!,Tabla11[[#This Row],[Cuenta]],1))</f>
        <v>0</v>
      </c>
      <c r="Z166" t="b">
        <f>+ISNUMBER(SEARCH('F-COMPRA'!#REF!,Tabla11[[#This Row],[Cuenta]],1))</f>
        <v>0</v>
      </c>
      <c r="AA166" t="b">
        <f>+ISNUMBER(SEARCH('F-COMPRA'!#REF!,Tabla11[[#This Row],[Cuenta]],1))</f>
        <v>0</v>
      </c>
      <c r="AB166" t="b">
        <f>+ISNUMBER(SEARCH('F-COMPRA'!#REF!,Tabla11[[#This Row],[Cuenta]],1))</f>
        <v>0</v>
      </c>
      <c r="AC166" t="b">
        <f>+ISNUMBER(SEARCH('F-COMPRA'!#REF!,Tabla11[[#This Row],[Cuenta]],1))</f>
        <v>0</v>
      </c>
      <c r="AD166" t="b">
        <f>+ISNUMBER(SEARCH('F-COMPRA'!#REF!,Tabla11[[#This Row],[Cuenta]],1))</f>
        <v>0</v>
      </c>
      <c r="AE166" t="b">
        <f>+ISNUMBER(SEARCH('F-COMPRA'!#REF!,Tabla11[[#This Row],[Cuenta]],1))</f>
        <v>0</v>
      </c>
      <c r="AF166" t="b">
        <f>+ISNUMBER(SEARCH('F-VTA'!$G$23,Tabla11[[#This Row],[Cuenta]],1))</f>
        <v>0</v>
      </c>
      <c r="AG166" t="b">
        <f>+ISNUMBER(SEARCH('F-VTA'!$G$24,Tabla11[[#This Row],[Cuenta]],1))</f>
        <v>0</v>
      </c>
      <c r="AH166" t="b">
        <f>+ISNUMBER(SEARCH('F-VTA'!$G$25,Tabla11[[#This Row],[Cuenta]],1))</f>
        <v>0</v>
      </c>
      <c r="AI166" t="b">
        <f>+ISNUMBER(SEARCH('F-VTA'!$F$28,Tabla11[[#This Row],[Cuenta]],1))</f>
        <v>1</v>
      </c>
      <c r="AJ166" t="b">
        <f>+ISNUMBER(SEARCH('F-VTA'!$F$29,Tabla11[[#This Row],[Cuenta]],1))</f>
        <v>1</v>
      </c>
      <c r="AK166" t="b">
        <f>+ISNUMBER(SEARCH('F-VTA'!$F$30,Tabla11[[#This Row],[Cuenta]],1))</f>
        <v>1</v>
      </c>
      <c r="AL166" t="b">
        <f>+ISNUMBER(SEARCH('F-VTA'!$F$31,Tabla11[[#This Row],[Cuenta]],1))</f>
        <v>1</v>
      </c>
      <c r="AM166" t="b">
        <f>+ISNUMBER(SEARCH('F-VTA'!$F$32,Tabla11[[#This Row],[Cuenta]],1))</f>
        <v>1</v>
      </c>
      <c r="AN166" t="b">
        <f>+ISNUMBER(SEARCH('F-VTA'!$F$33,Tabla11[[#This Row],[Cuenta]],1))</f>
        <v>1</v>
      </c>
      <c r="AO166" t="b">
        <f>+ISNUMBER(SEARCH('F-VTA'!$F$34,Tabla11[[#This Row],[Cuenta]],1))</f>
        <v>1</v>
      </c>
      <c r="AP166" t="b">
        <f>+ISNUMBER(SEARCH('F-VTA'!$F$35,Tabla11[[#This Row],[Cuenta]],1))</f>
        <v>1</v>
      </c>
      <c r="AQ166" t="b">
        <f>+ISNUMBER(SEARCH('F-VTA'!$F$36,Tabla11[[#This Row],[Cuenta]],1))</f>
        <v>1</v>
      </c>
      <c r="AR166" t="b">
        <f>+ISNUMBER(SEARCH(#REF!,Tabla11[[#This Row],[Cuenta]],1))</f>
        <v>0</v>
      </c>
      <c r="AS166" t="b">
        <f>+ISNUMBER(SEARCH(#REF!,Tabla11[[#This Row],[Cuenta]],1))</f>
        <v>0</v>
      </c>
      <c r="AT166" t="b">
        <f>+ISNUMBER(SEARCH(#REF!,Tabla11[[#This Row],[Cuenta]],1))</f>
        <v>0</v>
      </c>
      <c r="AU166" t="b">
        <f>+ISNUMBER(SEARCH('Conc. Ban.1'!$I$9,Tabla11[[#This Row],[Cuenta]],1))</f>
        <v>0</v>
      </c>
      <c r="AV166" t="b">
        <f>+ISNUMBER(SEARCH(CompConta!$F$21,Tabla11[[#This Row],[Cuenta]],1))</f>
        <v>1</v>
      </c>
      <c r="AW166" t="b">
        <f>+ISNUMBER(SEARCH(CompConta!$F$22,Tabla11[[#This Row],[Cuenta]],1))</f>
        <v>1</v>
      </c>
      <c r="AX166" t="b">
        <f>+ISNUMBER(SEARCH(CompConta!$F$23,Tabla11[[#This Row],[Cuenta]],1))</f>
        <v>1</v>
      </c>
      <c r="AY166" t="b">
        <f>+ISNUMBER(SEARCH(CompConta!$F$24,Tabla11[[#This Row],[Cuenta]],1))</f>
        <v>1</v>
      </c>
      <c r="AZ166" t="b">
        <f>+ISNUMBER(SEARCH(CompConta!$F$25,Tabla11[[#This Row],[Cuenta]],1))</f>
        <v>1</v>
      </c>
      <c r="BA166" t="b">
        <f>+ISNUMBER(SEARCH(CompConta!$F$26,Tabla11[[#This Row],[Cuenta]],1))</f>
        <v>1</v>
      </c>
      <c r="BB166" t="b">
        <f>+ISNUMBER(SEARCH(CompConta!$F$27,Tabla11[[#This Row],[Cuenta]],1))</f>
        <v>1</v>
      </c>
      <c r="BC166" t="b">
        <f>+ISNUMBER(SEARCH(CompConta!$F$28,Tabla11[[#This Row],[Cuenta]],1))</f>
        <v>1</v>
      </c>
      <c r="BD166" t="b">
        <f>+ISNUMBER(SEARCH(CompConta!$F$29,Tabla11[[#This Row],[Cuenta]],1))</f>
        <v>1</v>
      </c>
      <c r="BE166" t="b">
        <f>+ISNUMBER(SEARCH(CompConta!$F$30,Tabla11[[#This Row],[Cuenta]],1))</f>
        <v>1</v>
      </c>
      <c r="BF166" t="b">
        <f>+ISNUMBER(SEARCH('PAGO Compras'!$E$11,Tabla11[[#This Row],[Cuenta]],1))</f>
        <v>1</v>
      </c>
      <c r="BG166" t="b">
        <f>+ISNUMBER(SEARCH(#REF!,Tabla11[[#This Row],[Cuenta]],1))</f>
        <v>0</v>
      </c>
      <c r="BH166" t="b">
        <f>+ISNUMBER(SEARCH(#REF!,Tabla11[[#This Row],[Cuenta]],1))</f>
        <v>0</v>
      </c>
      <c r="BI166" t="b">
        <f>+ISNUMBER(SEARCH(#REF!,Tabla11[[#This Row],[Cuenta]],1))</f>
        <v>0</v>
      </c>
      <c r="BJ166" t="b">
        <f>+ISNUMBER(SEARCH(#REF!,Tabla11[[#This Row],[Cuenta]],1))</f>
        <v>0</v>
      </c>
      <c r="BS166" t="str">
        <v>153695 Otros</v>
      </c>
      <c r="BT166" t="str">
        <v>153695 Otros</v>
      </c>
      <c r="BU166" t="str">
        <v>153695 Otros</v>
      </c>
      <c r="BV166" t="str">
        <v>153695 Otros</v>
      </c>
      <c r="BZ166" t="str">
        <v>153695 Otros</v>
      </c>
      <c r="CA166" t="str">
        <v>153695 Otros</v>
      </c>
      <c r="CB166" t="str">
        <v>153695 Otros</v>
      </c>
      <c r="CC166" t="str">
        <v>153695 Otros</v>
      </c>
      <c r="CD166" t="str">
        <v>153695 Otros</v>
      </c>
      <c r="CE166" t="str">
        <v>153695 Otros</v>
      </c>
      <c r="CS166" s="141" t="str">
        <v>153695 Otros</v>
      </c>
      <c r="CT166" s="141" t="str">
        <v>153695 Otros</v>
      </c>
      <c r="CU166" s="141" t="str">
        <v>153695 Otros</v>
      </c>
      <c r="CV166" s="141" t="str">
        <v>153695 Otros</v>
      </c>
      <c r="CW166" s="141" t="str">
        <v>153695 Otros</v>
      </c>
      <c r="CX166" s="141" t="str">
        <v>153695 Otros</v>
      </c>
      <c r="CY166" s="141" t="str">
        <v>153695 Otros</v>
      </c>
      <c r="CZ166" s="141" t="str">
        <v>153695 Otros</v>
      </c>
      <c r="DA166" s="141" t="str">
        <v>153695 Otros</v>
      </c>
      <c r="DF166" t="str">
        <v>153695 Otros</v>
      </c>
      <c r="DG166" t="str">
        <v>153695 Otros</v>
      </c>
      <c r="DH166" t="str">
        <v>153695 Otros</v>
      </c>
      <c r="DI166" t="str">
        <v>153695 Otros</v>
      </c>
      <c r="DJ166" t="str">
        <v>153695 Otros</v>
      </c>
      <c r="DK166" t="str">
        <v>153695 Otros</v>
      </c>
      <c r="DL166" t="str">
        <v>153695 Otros</v>
      </c>
      <c r="DM166" t="str">
        <v>153695 Otros</v>
      </c>
      <c r="DN166" t="str">
        <v>153695 Otros</v>
      </c>
      <c r="DO166" t="str">
        <v>153695 Otros</v>
      </c>
      <c r="DP166" t="str">
        <v>153695 Otros</v>
      </c>
    </row>
    <row r="167" spans="4:120" ht="12.75">
      <c r="D167" s="7">
        <v>153699</v>
      </c>
      <c r="E167" s="6" t="s">
        <v>44</v>
      </c>
      <c r="F167" s="5">
        <v>4</v>
      </c>
      <c r="G167" s="34" t="s">
        <v>822</v>
      </c>
      <c r="H167" s="8" t="s">
        <v>32</v>
      </c>
      <c r="I167" t="b">
        <f>+ISNUMBER(SEARCH('F-COMPRA'!$F$28,Tabla11[[#This Row],[Cuenta]],1))</f>
        <v>1</v>
      </c>
      <c r="J167" t="b">
        <f>+ISNUMBER(SEARCH('F-COMPRA'!$F$29,Tabla11[[#This Row],[Cuenta]],1))</f>
        <v>1</v>
      </c>
      <c r="K167" t="b">
        <f>+ISNUMBER(SEARCH('F-COMPRA'!$F$30,Tabla11[[#This Row],[Cuenta]],1))</f>
        <v>1</v>
      </c>
      <c r="L167" t="b">
        <f>+ISNUMBER(SEARCH('F-COMPRA'!$F$31,Tabla11[[#This Row],[Cuenta]],1))</f>
        <v>1</v>
      </c>
      <c r="M167" t="b">
        <f>+ISNUMBER(SEARCH('F-COMPRA'!$G$25,Tabla11[[#This Row],[Cuenta]],1))</f>
        <v>0</v>
      </c>
      <c r="N167" t="b">
        <f>+ISNUMBER(SEARCH(#REF!,Tabla11[[#This Row],[Cuenta]],1))</f>
        <v>0</v>
      </c>
      <c r="O167" t="b">
        <f>+ISNUMBER(SEARCH(#REF!,Tabla11[[#This Row],[Cuenta]],1))</f>
        <v>0</v>
      </c>
      <c r="P167" t="b">
        <f>+ISNUMBER(SEARCH('F-COMPRA'!$F$32,Tabla11[[#This Row],[Cuenta]],1))</f>
        <v>1</v>
      </c>
      <c r="Q167" t="b">
        <f>+ISNUMBER(SEARCH('F-COMPRA'!$F$33,Tabla11[[#This Row],[Cuenta]],1))</f>
        <v>1</v>
      </c>
      <c r="R167" t="b">
        <f>+ISNUMBER(SEARCH('F-COMPRA'!$F$34,Tabla11[[#This Row],[Cuenta]],1))</f>
        <v>1</v>
      </c>
      <c r="S167" t="b">
        <f>+ISNUMBER(SEARCH('F-COMPRA'!$F$35,Tabla11[[#This Row],[Cuenta]],1))</f>
        <v>1</v>
      </c>
      <c r="T167" t="b">
        <f>+ISNUMBER(SEARCH('F-COMPRA'!$F$36,Tabla11[[#This Row],[Cuenta]],1))</f>
        <v>1</v>
      </c>
      <c r="U167" t="b">
        <f>+ISNUMBER(SEARCH('F-COMPRA'!$F$37,Tabla11[[#This Row],[Cuenta]],1))</f>
        <v>1</v>
      </c>
      <c r="V167" t="b">
        <f>+ISNUMBER(SEARCH(#REF!,Tabla11[[#This Row],[Cuenta]],1))</f>
        <v>0</v>
      </c>
      <c r="W167" t="b">
        <f>+ISNUMBER(SEARCH('F-COMPRA'!#REF!,Tabla11[[#This Row],[Cuenta]],1))</f>
        <v>0</v>
      </c>
      <c r="X167" t="b">
        <f>+ISNUMBER(SEARCH('F-COMPRA'!#REF!,Tabla11[[#This Row],[Cuenta]],1))</f>
        <v>0</v>
      </c>
      <c r="Y167" t="b">
        <f>+ISNUMBER(SEARCH('F-COMPRA'!#REF!,Tabla11[[#This Row],[Cuenta]],1))</f>
        <v>0</v>
      </c>
      <c r="Z167" t="b">
        <f>+ISNUMBER(SEARCH('F-COMPRA'!#REF!,Tabla11[[#This Row],[Cuenta]],1))</f>
        <v>0</v>
      </c>
      <c r="AA167" t="b">
        <f>+ISNUMBER(SEARCH('F-COMPRA'!#REF!,Tabla11[[#This Row],[Cuenta]],1))</f>
        <v>0</v>
      </c>
      <c r="AB167" t="b">
        <f>+ISNUMBER(SEARCH('F-COMPRA'!#REF!,Tabla11[[#This Row],[Cuenta]],1))</f>
        <v>0</v>
      </c>
      <c r="AC167" t="b">
        <f>+ISNUMBER(SEARCH('F-COMPRA'!#REF!,Tabla11[[#This Row],[Cuenta]],1))</f>
        <v>0</v>
      </c>
      <c r="AD167" t="b">
        <f>+ISNUMBER(SEARCH('F-COMPRA'!#REF!,Tabla11[[#This Row],[Cuenta]],1))</f>
        <v>0</v>
      </c>
      <c r="AE167" t="b">
        <f>+ISNUMBER(SEARCH('F-COMPRA'!#REF!,Tabla11[[#This Row],[Cuenta]],1))</f>
        <v>0</v>
      </c>
      <c r="AF167" t="b">
        <f>+ISNUMBER(SEARCH('F-VTA'!$G$23,Tabla11[[#This Row],[Cuenta]],1))</f>
        <v>0</v>
      </c>
      <c r="AG167" t="b">
        <f>+ISNUMBER(SEARCH('F-VTA'!$G$24,Tabla11[[#This Row],[Cuenta]],1))</f>
        <v>0</v>
      </c>
      <c r="AH167" t="b">
        <f>+ISNUMBER(SEARCH('F-VTA'!$G$25,Tabla11[[#This Row],[Cuenta]],1))</f>
        <v>0</v>
      </c>
      <c r="AI167" t="b">
        <f>+ISNUMBER(SEARCH('F-VTA'!$F$28,Tabla11[[#This Row],[Cuenta]],1))</f>
        <v>1</v>
      </c>
      <c r="AJ167" t="b">
        <f>+ISNUMBER(SEARCH('F-VTA'!$F$29,Tabla11[[#This Row],[Cuenta]],1))</f>
        <v>1</v>
      </c>
      <c r="AK167" t="b">
        <f>+ISNUMBER(SEARCH('F-VTA'!$F$30,Tabla11[[#This Row],[Cuenta]],1))</f>
        <v>1</v>
      </c>
      <c r="AL167" t="b">
        <f>+ISNUMBER(SEARCH('F-VTA'!$F$31,Tabla11[[#This Row],[Cuenta]],1))</f>
        <v>1</v>
      </c>
      <c r="AM167" t="b">
        <f>+ISNUMBER(SEARCH('F-VTA'!$F$32,Tabla11[[#This Row],[Cuenta]],1))</f>
        <v>1</v>
      </c>
      <c r="AN167" t="b">
        <f>+ISNUMBER(SEARCH('F-VTA'!$F$33,Tabla11[[#This Row],[Cuenta]],1))</f>
        <v>1</v>
      </c>
      <c r="AO167" t="b">
        <f>+ISNUMBER(SEARCH('F-VTA'!$F$34,Tabla11[[#This Row],[Cuenta]],1))</f>
        <v>1</v>
      </c>
      <c r="AP167" t="b">
        <f>+ISNUMBER(SEARCH('F-VTA'!$F$35,Tabla11[[#This Row],[Cuenta]],1))</f>
        <v>1</v>
      </c>
      <c r="AQ167" t="b">
        <f>+ISNUMBER(SEARCH('F-VTA'!$F$36,Tabla11[[#This Row],[Cuenta]],1))</f>
        <v>1</v>
      </c>
      <c r="AR167" t="b">
        <f>+ISNUMBER(SEARCH(#REF!,Tabla11[[#This Row],[Cuenta]],1))</f>
        <v>0</v>
      </c>
      <c r="AS167" t="b">
        <f>+ISNUMBER(SEARCH(#REF!,Tabla11[[#This Row],[Cuenta]],1))</f>
        <v>0</v>
      </c>
      <c r="AT167" t="b">
        <f>+ISNUMBER(SEARCH(#REF!,Tabla11[[#This Row],[Cuenta]],1))</f>
        <v>0</v>
      </c>
      <c r="AU167" t="b">
        <f>+ISNUMBER(SEARCH('Conc. Ban.1'!$I$9,Tabla11[[#This Row],[Cuenta]],1))</f>
        <v>0</v>
      </c>
      <c r="AV167" t="b">
        <f>+ISNUMBER(SEARCH(CompConta!$F$21,Tabla11[[#This Row],[Cuenta]],1))</f>
        <v>1</v>
      </c>
      <c r="AW167" t="b">
        <f>+ISNUMBER(SEARCH(CompConta!$F$22,Tabla11[[#This Row],[Cuenta]],1))</f>
        <v>1</v>
      </c>
      <c r="AX167" t="b">
        <f>+ISNUMBER(SEARCH(CompConta!$F$23,Tabla11[[#This Row],[Cuenta]],1))</f>
        <v>1</v>
      </c>
      <c r="AY167" t="b">
        <f>+ISNUMBER(SEARCH(CompConta!$F$24,Tabla11[[#This Row],[Cuenta]],1))</f>
        <v>1</v>
      </c>
      <c r="AZ167" t="b">
        <f>+ISNUMBER(SEARCH(CompConta!$F$25,Tabla11[[#This Row],[Cuenta]],1))</f>
        <v>1</v>
      </c>
      <c r="BA167" t="b">
        <f>+ISNUMBER(SEARCH(CompConta!$F$26,Tabla11[[#This Row],[Cuenta]],1))</f>
        <v>1</v>
      </c>
      <c r="BB167" t="b">
        <f>+ISNUMBER(SEARCH(CompConta!$F$27,Tabla11[[#This Row],[Cuenta]],1))</f>
        <v>1</v>
      </c>
      <c r="BC167" t="b">
        <f>+ISNUMBER(SEARCH(CompConta!$F$28,Tabla11[[#This Row],[Cuenta]],1))</f>
        <v>1</v>
      </c>
      <c r="BD167" t="b">
        <f>+ISNUMBER(SEARCH(CompConta!$F$29,Tabla11[[#This Row],[Cuenta]],1))</f>
        <v>1</v>
      </c>
      <c r="BE167" t="b">
        <f>+ISNUMBER(SEARCH(CompConta!$F$30,Tabla11[[#This Row],[Cuenta]],1))</f>
        <v>1</v>
      </c>
      <c r="BF167" t="b">
        <f>+ISNUMBER(SEARCH('PAGO Compras'!$E$11,Tabla11[[#This Row],[Cuenta]],1))</f>
        <v>1</v>
      </c>
      <c r="BG167" t="b">
        <f>+ISNUMBER(SEARCH(#REF!,Tabla11[[#This Row],[Cuenta]],1))</f>
        <v>0</v>
      </c>
      <c r="BH167" t="b">
        <f>+ISNUMBER(SEARCH(#REF!,Tabla11[[#This Row],[Cuenta]],1))</f>
        <v>0</v>
      </c>
      <c r="BI167" t="b">
        <f>+ISNUMBER(SEARCH(#REF!,Tabla11[[#This Row],[Cuenta]],1))</f>
        <v>0</v>
      </c>
      <c r="BJ167" t="b">
        <f>+ISNUMBER(SEARCH(#REF!,Tabla11[[#This Row],[Cuenta]],1))</f>
        <v>0</v>
      </c>
      <c r="BS167" t="str">
        <v>153699 Ajustes por inflación</v>
      </c>
      <c r="BT167" t="str">
        <v>153699 Ajustes por inflación</v>
      </c>
      <c r="BU167" t="str">
        <v>153699 Ajustes por inflación</v>
      </c>
      <c r="BV167" t="str">
        <v>153699 Ajustes por inflación</v>
      </c>
      <c r="BZ167" t="str">
        <v>153699 Ajustes por inflación</v>
      </c>
      <c r="CA167" t="str">
        <v>153699 Ajustes por inflación</v>
      </c>
      <c r="CB167" t="str">
        <v>153699 Ajustes por inflación</v>
      </c>
      <c r="CC167" t="str">
        <v>153699 Ajustes por inflación</v>
      </c>
      <c r="CD167" t="str">
        <v>153699 Ajustes por inflación</v>
      </c>
      <c r="CE167" t="str">
        <v>153699 Ajustes por inflación</v>
      </c>
      <c r="CS167" s="141" t="str">
        <v>153699 Ajustes por inflación</v>
      </c>
      <c r="CT167" s="141" t="str">
        <v>153699 Ajustes por inflación</v>
      </c>
      <c r="CU167" s="141" t="str">
        <v>153699 Ajustes por inflación</v>
      </c>
      <c r="CV167" s="141" t="str">
        <v>153699 Ajustes por inflación</v>
      </c>
      <c r="CW167" s="141" t="str">
        <v>153699 Ajustes por inflación</v>
      </c>
      <c r="CX167" s="141" t="str">
        <v>153699 Ajustes por inflación</v>
      </c>
      <c r="CY167" s="141" t="str">
        <v>153699 Ajustes por inflación</v>
      </c>
      <c r="CZ167" s="141" t="str">
        <v>153699 Ajustes por inflación</v>
      </c>
      <c r="DA167" s="141" t="str">
        <v>153699 Ajustes por inflación</v>
      </c>
      <c r="DF167" t="str">
        <v>153699 Ajustes por inflación</v>
      </c>
      <c r="DG167" t="str">
        <v>153699 Ajustes por inflación</v>
      </c>
      <c r="DH167" t="str">
        <v>153699 Ajustes por inflación</v>
      </c>
      <c r="DI167" t="str">
        <v>153699 Ajustes por inflación</v>
      </c>
      <c r="DJ167" t="str">
        <v>153699 Ajustes por inflación</v>
      </c>
      <c r="DK167" t="str">
        <v>153699 Ajustes por inflación</v>
      </c>
      <c r="DL167" t="str">
        <v>153699 Ajustes por inflación</v>
      </c>
      <c r="DM167" t="str">
        <v>153699 Ajustes por inflación</v>
      </c>
      <c r="DN167" t="str">
        <v>153699 Ajustes por inflación</v>
      </c>
      <c r="DO167" t="str">
        <v>153699 Ajustes por inflación</v>
      </c>
      <c r="DP167" t="str">
        <v>153699 Ajustes por inflación</v>
      </c>
    </row>
    <row r="168" spans="4:120" ht="12.75">
      <c r="D168" s="7">
        <v>1540</v>
      </c>
      <c r="E168" s="6" t="s">
        <v>174</v>
      </c>
      <c r="F168" s="5">
        <v>3</v>
      </c>
      <c r="G168" s="34" t="s">
        <v>822</v>
      </c>
      <c r="H168" s="8" t="s">
        <v>32</v>
      </c>
      <c r="I168" t="b">
        <f>+ISNUMBER(SEARCH('F-COMPRA'!$F$28,Tabla11[[#This Row],[Cuenta]],1))</f>
        <v>1</v>
      </c>
      <c r="J168" t="b">
        <f>+ISNUMBER(SEARCH('F-COMPRA'!$F$29,Tabla11[[#This Row],[Cuenta]],1))</f>
        <v>1</v>
      </c>
      <c r="K168" t="b">
        <f>+ISNUMBER(SEARCH('F-COMPRA'!$F$30,Tabla11[[#This Row],[Cuenta]],1))</f>
        <v>1</v>
      </c>
      <c r="L168" t="b">
        <f>+ISNUMBER(SEARCH('F-COMPRA'!$F$31,Tabla11[[#This Row],[Cuenta]],1))</f>
        <v>1</v>
      </c>
      <c r="M168" t="b">
        <f>+ISNUMBER(SEARCH('F-COMPRA'!$G$25,Tabla11[[#This Row],[Cuenta]],1))</f>
        <v>0</v>
      </c>
      <c r="N168" t="b">
        <f>+ISNUMBER(SEARCH(#REF!,Tabla11[[#This Row],[Cuenta]],1))</f>
        <v>0</v>
      </c>
      <c r="O168" t="b">
        <f>+ISNUMBER(SEARCH(#REF!,Tabla11[[#This Row],[Cuenta]],1))</f>
        <v>0</v>
      </c>
      <c r="P168" t="b">
        <f>+ISNUMBER(SEARCH('F-COMPRA'!$F$32,Tabla11[[#This Row],[Cuenta]],1))</f>
        <v>1</v>
      </c>
      <c r="Q168" t="b">
        <f>+ISNUMBER(SEARCH('F-COMPRA'!$F$33,Tabla11[[#This Row],[Cuenta]],1))</f>
        <v>1</v>
      </c>
      <c r="R168" t="b">
        <f>+ISNUMBER(SEARCH('F-COMPRA'!$F$34,Tabla11[[#This Row],[Cuenta]],1))</f>
        <v>1</v>
      </c>
      <c r="S168" t="b">
        <f>+ISNUMBER(SEARCH('F-COMPRA'!$F$35,Tabla11[[#This Row],[Cuenta]],1))</f>
        <v>1</v>
      </c>
      <c r="T168" t="b">
        <f>+ISNUMBER(SEARCH('F-COMPRA'!$F$36,Tabla11[[#This Row],[Cuenta]],1))</f>
        <v>1</v>
      </c>
      <c r="U168" t="b">
        <f>+ISNUMBER(SEARCH('F-COMPRA'!$F$37,Tabla11[[#This Row],[Cuenta]],1))</f>
        <v>1</v>
      </c>
      <c r="V168" t="b">
        <f>+ISNUMBER(SEARCH(#REF!,Tabla11[[#This Row],[Cuenta]],1))</f>
        <v>0</v>
      </c>
      <c r="W168" t="b">
        <f>+ISNUMBER(SEARCH('F-COMPRA'!#REF!,Tabla11[[#This Row],[Cuenta]],1))</f>
        <v>0</v>
      </c>
      <c r="X168" t="b">
        <f>+ISNUMBER(SEARCH('F-COMPRA'!#REF!,Tabla11[[#This Row],[Cuenta]],1))</f>
        <v>0</v>
      </c>
      <c r="Y168" t="b">
        <f>+ISNUMBER(SEARCH('F-COMPRA'!#REF!,Tabla11[[#This Row],[Cuenta]],1))</f>
        <v>0</v>
      </c>
      <c r="Z168" t="b">
        <f>+ISNUMBER(SEARCH('F-COMPRA'!#REF!,Tabla11[[#This Row],[Cuenta]],1))</f>
        <v>0</v>
      </c>
      <c r="AA168" t="b">
        <f>+ISNUMBER(SEARCH('F-COMPRA'!#REF!,Tabla11[[#This Row],[Cuenta]],1))</f>
        <v>0</v>
      </c>
      <c r="AB168" t="b">
        <f>+ISNUMBER(SEARCH('F-COMPRA'!#REF!,Tabla11[[#This Row],[Cuenta]],1))</f>
        <v>0</v>
      </c>
      <c r="AC168" t="b">
        <f>+ISNUMBER(SEARCH('F-COMPRA'!#REF!,Tabla11[[#This Row],[Cuenta]],1))</f>
        <v>0</v>
      </c>
      <c r="AD168" t="b">
        <f>+ISNUMBER(SEARCH('F-COMPRA'!#REF!,Tabla11[[#This Row],[Cuenta]],1))</f>
        <v>0</v>
      </c>
      <c r="AE168" t="b">
        <f>+ISNUMBER(SEARCH('F-COMPRA'!#REF!,Tabla11[[#This Row],[Cuenta]],1))</f>
        <v>0</v>
      </c>
      <c r="AF168" t="b">
        <f>+ISNUMBER(SEARCH('F-VTA'!$G$23,Tabla11[[#This Row],[Cuenta]],1))</f>
        <v>0</v>
      </c>
      <c r="AG168" t="b">
        <f>+ISNUMBER(SEARCH('F-VTA'!$G$24,Tabla11[[#This Row],[Cuenta]],1))</f>
        <v>0</v>
      </c>
      <c r="AH168" t="b">
        <f>+ISNUMBER(SEARCH('F-VTA'!$G$25,Tabla11[[#This Row],[Cuenta]],1))</f>
        <v>0</v>
      </c>
      <c r="AI168" t="b">
        <f>+ISNUMBER(SEARCH('F-VTA'!$F$28,Tabla11[[#This Row],[Cuenta]],1))</f>
        <v>1</v>
      </c>
      <c r="AJ168" t="b">
        <f>+ISNUMBER(SEARCH('F-VTA'!$F$29,Tabla11[[#This Row],[Cuenta]],1))</f>
        <v>1</v>
      </c>
      <c r="AK168" t="b">
        <f>+ISNUMBER(SEARCH('F-VTA'!$F$30,Tabla11[[#This Row],[Cuenta]],1))</f>
        <v>1</v>
      </c>
      <c r="AL168" t="b">
        <f>+ISNUMBER(SEARCH('F-VTA'!$F$31,Tabla11[[#This Row],[Cuenta]],1))</f>
        <v>1</v>
      </c>
      <c r="AM168" t="b">
        <f>+ISNUMBER(SEARCH('F-VTA'!$F$32,Tabla11[[#This Row],[Cuenta]],1))</f>
        <v>1</v>
      </c>
      <c r="AN168" t="b">
        <f>+ISNUMBER(SEARCH('F-VTA'!$F$33,Tabla11[[#This Row],[Cuenta]],1))</f>
        <v>1</v>
      </c>
      <c r="AO168" t="b">
        <f>+ISNUMBER(SEARCH('F-VTA'!$F$34,Tabla11[[#This Row],[Cuenta]],1))</f>
        <v>1</v>
      </c>
      <c r="AP168" t="b">
        <f>+ISNUMBER(SEARCH('F-VTA'!$F$35,Tabla11[[#This Row],[Cuenta]],1))</f>
        <v>1</v>
      </c>
      <c r="AQ168" t="b">
        <f>+ISNUMBER(SEARCH('F-VTA'!$F$36,Tabla11[[#This Row],[Cuenta]],1))</f>
        <v>1</v>
      </c>
      <c r="AR168" t="b">
        <f>+ISNUMBER(SEARCH(#REF!,Tabla11[[#This Row],[Cuenta]],1))</f>
        <v>0</v>
      </c>
      <c r="AS168" t="b">
        <f>+ISNUMBER(SEARCH(#REF!,Tabla11[[#This Row],[Cuenta]],1))</f>
        <v>0</v>
      </c>
      <c r="AT168" t="b">
        <f>+ISNUMBER(SEARCH(#REF!,Tabla11[[#This Row],[Cuenta]],1))</f>
        <v>0</v>
      </c>
      <c r="AU168" t="b">
        <f>+ISNUMBER(SEARCH('Conc. Ban.1'!$I$9,Tabla11[[#This Row],[Cuenta]],1))</f>
        <v>0</v>
      </c>
      <c r="AV168" t="b">
        <f>+ISNUMBER(SEARCH(CompConta!$F$21,Tabla11[[#This Row],[Cuenta]],1))</f>
        <v>1</v>
      </c>
      <c r="AW168" t="b">
        <f>+ISNUMBER(SEARCH(CompConta!$F$22,Tabla11[[#This Row],[Cuenta]],1))</f>
        <v>1</v>
      </c>
      <c r="AX168" t="b">
        <f>+ISNUMBER(SEARCH(CompConta!$F$23,Tabla11[[#This Row],[Cuenta]],1))</f>
        <v>1</v>
      </c>
      <c r="AY168" t="b">
        <f>+ISNUMBER(SEARCH(CompConta!$F$24,Tabla11[[#This Row],[Cuenta]],1))</f>
        <v>1</v>
      </c>
      <c r="AZ168" t="b">
        <f>+ISNUMBER(SEARCH(CompConta!$F$25,Tabla11[[#This Row],[Cuenta]],1))</f>
        <v>1</v>
      </c>
      <c r="BA168" t="b">
        <f>+ISNUMBER(SEARCH(CompConta!$F$26,Tabla11[[#This Row],[Cuenta]],1))</f>
        <v>1</v>
      </c>
      <c r="BB168" t="b">
        <f>+ISNUMBER(SEARCH(CompConta!$F$27,Tabla11[[#This Row],[Cuenta]],1))</f>
        <v>1</v>
      </c>
      <c r="BC168" t="b">
        <f>+ISNUMBER(SEARCH(CompConta!$F$28,Tabla11[[#This Row],[Cuenta]],1))</f>
        <v>1</v>
      </c>
      <c r="BD168" t="b">
        <f>+ISNUMBER(SEARCH(CompConta!$F$29,Tabla11[[#This Row],[Cuenta]],1))</f>
        <v>1</v>
      </c>
      <c r="BE168" t="b">
        <f>+ISNUMBER(SEARCH(CompConta!$F$30,Tabla11[[#This Row],[Cuenta]],1))</f>
        <v>1</v>
      </c>
      <c r="BF168" t="b">
        <f>+ISNUMBER(SEARCH('PAGO Compras'!$E$11,Tabla11[[#This Row],[Cuenta]],1))</f>
        <v>1</v>
      </c>
      <c r="BG168" t="b">
        <f>+ISNUMBER(SEARCH(#REF!,Tabla11[[#This Row],[Cuenta]],1))</f>
        <v>0</v>
      </c>
      <c r="BH168" t="b">
        <f>+ISNUMBER(SEARCH(#REF!,Tabla11[[#This Row],[Cuenta]],1))</f>
        <v>0</v>
      </c>
      <c r="BI168" t="b">
        <f>+ISNUMBER(SEARCH(#REF!,Tabla11[[#This Row],[Cuenta]],1))</f>
        <v>0</v>
      </c>
      <c r="BJ168" t="b">
        <f>+ISNUMBER(SEARCH(#REF!,Tabla11[[#This Row],[Cuenta]],1))</f>
        <v>0</v>
      </c>
      <c r="BS168" t="str">
        <v>1540 FLOTA Y EQUIPO DE TRANSPORTE</v>
      </c>
      <c r="BT168" t="str">
        <v>1540 FLOTA Y EQUIPO DE TRANSPORTE</v>
      </c>
      <c r="BU168" t="str">
        <v>1540 FLOTA Y EQUIPO DE TRANSPORTE</v>
      </c>
      <c r="BV168" t="str">
        <v>1540 FLOTA Y EQUIPO DE TRANSPORTE</v>
      </c>
      <c r="BZ168" t="str">
        <v>1540 FLOTA Y EQUIPO DE TRANSPORTE</v>
      </c>
      <c r="CA168" t="str">
        <v>1540 FLOTA Y EQUIPO DE TRANSPORTE</v>
      </c>
      <c r="CB168" t="str">
        <v>1540 FLOTA Y EQUIPO DE TRANSPORTE</v>
      </c>
      <c r="CC168" t="str">
        <v>1540 FLOTA Y EQUIPO DE TRANSPORTE</v>
      </c>
      <c r="CD168" t="str">
        <v>1540 FLOTA Y EQUIPO DE TRANSPORTE</v>
      </c>
      <c r="CE168" t="str">
        <v>1540 FLOTA Y EQUIPO DE TRANSPORTE</v>
      </c>
      <c r="CS168" s="141" t="str">
        <v>1540 FLOTA Y EQUIPO DE TRANSPORTE</v>
      </c>
      <c r="CT168" s="141" t="str">
        <v>1540 FLOTA Y EQUIPO DE TRANSPORTE</v>
      </c>
      <c r="CU168" s="141" t="str">
        <v>1540 FLOTA Y EQUIPO DE TRANSPORTE</v>
      </c>
      <c r="CV168" s="141" t="str">
        <v>1540 FLOTA Y EQUIPO DE TRANSPORTE</v>
      </c>
      <c r="CW168" s="141" t="str">
        <v>1540 FLOTA Y EQUIPO DE TRANSPORTE</v>
      </c>
      <c r="CX168" s="141" t="str">
        <v>1540 FLOTA Y EQUIPO DE TRANSPORTE</v>
      </c>
      <c r="CY168" s="141" t="str">
        <v>1540 FLOTA Y EQUIPO DE TRANSPORTE</v>
      </c>
      <c r="CZ168" s="141" t="str">
        <v>1540 FLOTA Y EQUIPO DE TRANSPORTE</v>
      </c>
      <c r="DA168" s="141" t="str">
        <v>1540 FLOTA Y EQUIPO DE TRANSPORTE</v>
      </c>
      <c r="DF168" t="str">
        <v>1540 FLOTA Y EQUIPO DE TRANSPORTE</v>
      </c>
      <c r="DG168" t="str">
        <v>1540 FLOTA Y EQUIPO DE TRANSPORTE</v>
      </c>
      <c r="DH168" t="str">
        <v>1540 FLOTA Y EQUIPO DE TRANSPORTE</v>
      </c>
      <c r="DI168" t="str">
        <v>1540 FLOTA Y EQUIPO DE TRANSPORTE</v>
      </c>
      <c r="DJ168" t="str">
        <v>1540 FLOTA Y EQUIPO DE TRANSPORTE</v>
      </c>
      <c r="DK168" t="str">
        <v>1540 FLOTA Y EQUIPO DE TRANSPORTE</v>
      </c>
      <c r="DL168" t="str">
        <v>1540 FLOTA Y EQUIPO DE TRANSPORTE</v>
      </c>
      <c r="DM168" t="str">
        <v>1540 FLOTA Y EQUIPO DE TRANSPORTE</v>
      </c>
      <c r="DN168" t="str">
        <v>1540 FLOTA Y EQUIPO DE TRANSPORTE</v>
      </c>
      <c r="DO168" t="str">
        <v>1540 FLOTA Y EQUIPO DE TRANSPORTE</v>
      </c>
      <c r="DP168" t="str">
        <v>1540 FLOTA Y EQUIPO DE TRANSPORTE</v>
      </c>
    </row>
    <row r="169" spans="4:120" ht="12.75">
      <c r="D169" s="7">
        <v>154005</v>
      </c>
      <c r="E169" s="6" t="s">
        <v>175</v>
      </c>
      <c r="F169" s="5">
        <v>4</v>
      </c>
      <c r="G169" s="34" t="s">
        <v>822</v>
      </c>
      <c r="H169" s="8" t="s">
        <v>32</v>
      </c>
      <c r="I169" t="b">
        <f>+ISNUMBER(SEARCH('F-COMPRA'!$F$28,Tabla11[[#This Row],[Cuenta]],1))</f>
        <v>1</v>
      </c>
      <c r="J169" t="b">
        <f>+ISNUMBER(SEARCH('F-COMPRA'!$F$29,Tabla11[[#This Row],[Cuenta]],1))</f>
        <v>1</v>
      </c>
      <c r="K169" t="b">
        <f>+ISNUMBER(SEARCH('F-COMPRA'!$F$30,Tabla11[[#This Row],[Cuenta]],1))</f>
        <v>1</v>
      </c>
      <c r="L169" t="b">
        <f>+ISNUMBER(SEARCH('F-COMPRA'!$F$31,Tabla11[[#This Row],[Cuenta]],1))</f>
        <v>1</v>
      </c>
      <c r="M169" t="b">
        <f>+ISNUMBER(SEARCH('F-COMPRA'!$G$25,Tabla11[[#This Row],[Cuenta]],1))</f>
        <v>0</v>
      </c>
      <c r="N169" t="b">
        <f>+ISNUMBER(SEARCH(#REF!,Tabla11[[#This Row],[Cuenta]],1))</f>
        <v>0</v>
      </c>
      <c r="O169" t="b">
        <f>+ISNUMBER(SEARCH(#REF!,Tabla11[[#This Row],[Cuenta]],1))</f>
        <v>0</v>
      </c>
      <c r="P169" t="b">
        <f>+ISNUMBER(SEARCH('F-COMPRA'!$F$32,Tabla11[[#This Row],[Cuenta]],1))</f>
        <v>1</v>
      </c>
      <c r="Q169" t="b">
        <f>+ISNUMBER(SEARCH('F-COMPRA'!$F$33,Tabla11[[#This Row],[Cuenta]],1))</f>
        <v>1</v>
      </c>
      <c r="R169" t="b">
        <f>+ISNUMBER(SEARCH('F-COMPRA'!$F$34,Tabla11[[#This Row],[Cuenta]],1))</f>
        <v>1</v>
      </c>
      <c r="S169" t="b">
        <f>+ISNUMBER(SEARCH('F-COMPRA'!$F$35,Tabla11[[#This Row],[Cuenta]],1))</f>
        <v>1</v>
      </c>
      <c r="T169" t="b">
        <f>+ISNUMBER(SEARCH('F-COMPRA'!$F$36,Tabla11[[#This Row],[Cuenta]],1))</f>
        <v>1</v>
      </c>
      <c r="U169" t="b">
        <f>+ISNUMBER(SEARCH('F-COMPRA'!$F$37,Tabla11[[#This Row],[Cuenta]],1))</f>
        <v>1</v>
      </c>
      <c r="V169" t="b">
        <f>+ISNUMBER(SEARCH(#REF!,Tabla11[[#This Row],[Cuenta]],1))</f>
        <v>0</v>
      </c>
      <c r="W169" t="b">
        <f>+ISNUMBER(SEARCH('F-COMPRA'!#REF!,Tabla11[[#This Row],[Cuenta]],1))</f>
        <v>0</v>
      </c>
      <c r="X169" t="b">
        <f>+ISNUMBER(SEARCH('F-COMPRA'!#REF!,Tabla11[[#This Row],[Cuenta]],1))</f>
        <v>0</v>
      </c>
      <c r="Y169" t="b">
        <f>+ISNUMBER(SEARCH('F-COMPRA'!#REF!,Tabla11[[#This Row],[Cuenta]],1))</f>
        <v>0</v>
      </c>
      <c r="Z169" t="b">
        <f>+ISNUMBER(SEARCH('F-COMPRA'!#REF!,Tabla11[[#This Row],[Cuenta]],1))</f>
        <v>0</v>
      </c>
      <c r="AA169" t="b">
        <f>+ISNUMBER(SEARCH('F-COMPRA'!#REF!,Tabla11[[#This Row],[Cuenta]],1))</f>
        <v>0</v>
      </c>
      <c r="AB169" t="b">
        <f>+ISNUMBER(SEARCH('F-COMPRA'!#REF!,Tabla11[[#This Row],[Cuenta]],1))</f>
        <v>0</v>
      </c>
      <c r="AC169" t="b">
        <f>+ISNUMBER(SEARCH('F-COMPRA'!#REF!,Tabla11[[#This Row],[Cuenta]],1))</f>
        <v>0</v>
      </c>
      <c r="AD169" t="b">
        <f>+ISNUMBER(SEARCH('F-COMPRA'!#REF!,Tabla11[[#This Row],[Cuenta]],1))</f>
        <v>0</v>
      </c>
      <c r="AE169" t="b">
        <f>+ISNUMBER(SEARCH('F-COMPRA'!#REF!,Tabla11[[#This Row],[Cuenta]],1))</f>
        <v>0</v>
      </c>
      <c r="AF169" t="b">
        <f>+ISNUMBER(SEARCH('F-VTA'!$G$23,Tabla11[[#This Row],[Cuenta]],1))</f>
        <v>0</v>
      </c>
      <c r="AG169" t="b">
        <f>+ISNUMBER(SEARCH('F-VTA'!$G$24,Tabla11[[#This Row],[Cuenta]],1))</f>
        <v>0</v>
      </c>
      <c r="AH169" t="b">
        <f>+ISNUMBER(SEARCH('F-VTA'!$G$25,Tabla11[[#This Row],[Cuenta]],1))</f>
        <v>0</v>
      </c>
      <c r="AI169" t="b">
        <f>+ISNUMBER(SEARCH('F-VTA'!$F$28,Tabla11[[#This Row],[Cuenta]],1))</f>
        <v>1</v>
      </c>
      <c r="AJ169" t="b">
        <f>+ISNUMBER(SEARCH('F-VTA'!$F$29,Tabla11[[#This Row],[Cuenta]],1))</f>
        <v>1</v>
      </c>
      <c r="AK169" t="b">
        <f>+ISNUMBER(SEARCH('F-VTA'!$F$30,Tabla11[[#This Row],[Cuenta]],1))</f>
        <v>1</v>
      </c>
      <c r="AL169" t="b">
        <f>+ISNUMBER(SEARCH('F-VTA'!$F$31,Tabla11[[#This Row],[Cuenta]],1))</f>
        <v>1</v>
      </c>
      <c r="AM169" t="b">
        <f>+ISNUMBER(SEARCH('F-VTA'!$F$32,Tabla11[[#This Row],[Cuenta]],1))</f>
        <v>1</v>
      </c>
      <c r="AN169" t="b">
        <f>+ISNUMBER(SEARCH('F-VTA'!$F$33,Tabla11[[#This Row],[Cuenta]],1))</f>
        <v>1</v>
      </c>
      <c r="AO169" t="b">
        <f>+ISNUMBER(SEARCH('F-VTA'!$F$34,Tabla11[[#This Row],[Cuenta]],1))</f>
        <v>1</v>
      </c>
      <c r="AP169" t="b">
        <f>+ISNUMBER(SEARCH('F-VTA'!$F$35,Tabla11[[#This Row],[Cuenta]],1))</f>
        <v>1</v>
      </c>
      <c r="AQ169" t="b">
        <f>+ISNUMBER(SEARCH('F-VTA'!$F$36,Tabla11[[#This Row],[Cuenta]],1))</f>
        <v>1</v>
      </c>
      <c r="AR169" t="b">
        <f>+ISNUMBER(SEARCH(#REF!,Tabla11[[#This Row],[Cuenta]],1))</f>
        <v>0</v>
      </c>
      <c r="AS169" t="b">
        <f>+ISNUMBER(SEARCH(#REF!,Tabla11[[#This Row],[Cuenta]],1))</f>
        <v>0</v>
      </c>
      <c r="AT169" t="b">
        <f>+ISNUMBER(SEARCH(#REF!,Tabla11[[#This Row],[Cuenta]],1))</f>
        <v>0</v>
      </c>
      <c r="AU169" t="b">
        <f>+ISNUMBER(SEARCH('Conc. Ban.1'!$I$9,Tabla11[[#This Row],[Cuenta]],1))</f>
        <v>0</v>
      </c>
      <c r="AV169" t="b">
        <f>+ISNUMBER(SEARCH(CompConta!$F$21,Tabla11[[#This Row],[Cuenta]],1))</f>
        <v>1</v>
      </c>
      <c r="AW169" t="b">
        <f>+ISNUMBER(SEARCH(CompConta!$F$22,Tabla11[[#This Row],[Cuenta]],1))</f>
        <v>1</v>
      </c>
      <c r="AX169" t="b">
        <f>+ISNUMBER(SEARCH(CompConta!$F$23,Tabla11[[#This Row],[Cuenta]],1))</f>
        <v>1</v>
      </c>
      <c r="AY169" t="b">
        <f>+ISNUMBER(SEARCH(CompConta!$F$24,Tabla11[[#This Row],[Cuenta]],1))</f>
        <v>1</v>
      </c>
      <c r="AZ169" t="b">
        <f>+ISNUMBER(SEARCH(CompConta!$F$25,Tabla11[[#This Row],[Cuenta]],1))</f>
        <v>1</v>
      </c>
      <c r="BA169" t="b">
        <f>+ISNUMBER(SEARCH(CompConta!$F$26,Tabla11[[#This Row],[Cuenta]],1))</f>
        <v>1</v>
      </c>
      <c r="BB169" t="b">
        <f>+ISNUMBER(SEARCH(CompConta!$F$27,Tabla11[[#This Row],[Cuenta]],1))</f>
        <v>1</v>
      </c>
      <c r="BC169" t="b">
        <f>+ISNUMBER(SEARCH(CompConta!$F$28,Tabla11[[#This Row],[Cuenta]],1))</f>
        <v>1</v>
      </c>
      <c r="BD169" t="b">
        <f>+ISNUMBER(SEARCH(CompConta!$F$29,Tabla11[[#This Row],[Cuenta]],1))</f>
        <v>1</v>
      </c>
      <c r="BE169" t="b">
        <f>+ISNUMBER(SEARCH(CompConta!$F$30,Tabla11[[#This Row],[Cuenta]],1))</f>
        <v>1</v>
      </c>
      <c r="BF169" t="b">
        <f>+ISNUMBER(SEARCH('PAGO Compras'!$E$11,Tabla11[[#This Row],[Cuenta]],1))</f>
        <v>1</v>
      </c>
      <c r="BG169" t="b">
        <f>+ISNUMBER(SEARCH(#REF!,Tabla11[[#This Row],[Cuenta]],1))</f>
        <v>0</v>
      </c>
      <c r="BH169" t="b">
        <f>+ISNUMBER(SEARCH(#REF!,Tabla11[[#This Row],[Cuenta]],1))</f>
        <v>0</v>
      </c>
      <c r="BI169" t="b">
        <f>+ISNUMBER(SEARCH(#REF!,Tabla11[[#This Row],[Cuenta]],1))</f>
        <v>0</v>
      </c>
      <c r="BJ169" t="b">
        <f>+ISNUMBER(SEARCH(#REF!,Tabla11[[#This Row],[Cuenta]],1))</f>
        <v>0</v>
      </c>
      <c r="BS169" t="str">
        <v>154005 Autos, camionetas y camperos</v>
      </c>
      <c r="BT169" t="str">
        <v>154005 Autos, camionetas y camperos</v>
      </c>
      <c r="BU169" t="str">
        <v>154005 Autos, camionetas y camperos</v>
      </c>
      <c r="BV169" t="str">
        <v>154005 Autos, camionetas y camperos</v>
      </c>
      <c r="BZ169" t="str">
        <v>154005 Autos, camionetas y camperos</v>
      </c>
      <c r="CA169" t="str">
        <v>154005 Autos, camionetas y camperos</v>
      </c>
      <c r="CB169" t="str">
        <v>154005 Autos, camionetas y camperos</v>
      </c>
      <c r="CC169" t="str">
        <v>154005 Autos, camionetas y camperos</v>
      </c>
      <c r="CD169" t="str">
        <v>154005 Autos, camionetas y camperos</v>
      </c>
      <c r="CE169" t="str">
        <v>154005 Autos, camionetas y camperos</v>
      </c>
      <c r="CS169" s="141" t="str">
        <v>154005 Autos, camionetas y camperos</v>
      </c>
      <c r="CT169" s="141" t="str">
        <v>154005 Autos, camionetas y camperos</v>
      </c>
      <c r="CU169" s="141" t="str">
        <v>154005 Autos, camionetas y camperos</v>
      </c>
      <c r="CV169" s="141" t="str">
        <v>154005 Autos, camionetas y camperos</v>
      </c>
      <c r="CW169" s="141" t="str">
        <v>154005 Autos, camionetas y camperos</v>
      </c>
      <c r="CX169" s="141" t="str">
        <v>154005 Autos, camionetas y camperos</v>
      </c>
      <c r="CY169" s="141" t="str">
        <v>154005 Autos, camionetas y camperos</v>
      </c>
      <c r="CZ169" s="141" t="str">
        <v>154005 Autos, camionetas y camperos</v>
      </c>
      <c r="DA169" s="141" t="str">
        <v>154005 Autos, camionetas y camperos</v>
      </c>
      <c r="DF169" t="str">
        <v>154005 Autos, camionetas y camperos</v>
      </c>
      <c r="DG169" t="str">
        <v>154005 Autos, camionetas y camperos</v>
      </c>
      <c r="DH169" t="str">
        <v>154005 Autos, camionetas y camperos</v>
      </c>
      <c r="DI169" t="str">
        <v>154005 Autos, camionetas y camperos</v>
      </c>
      <c r="DJ169" t="str">
        <v>154005 Autos, camionetas y camperos</v>
      </c>
      <c r="DK169" t="str">
        <v>154005 Autos, camionetas y camperos</v>
      </c>
      <c r="DL169" t="str">
        <v>154005 Autos, camionetas y camperos</v>
      </c>
      <c r="DM169" t="str">
        <v>154005 Autos, camionetas y camperos</v>
      </c>
      <c r="DN169" t="str">
        <v>154005 Autos, camionetas y camperos</v>
      </c>
      <c r="DO169" t="str">
        <v>154005 Autos, camionetas y camperos</v>
      </c>
      <c r="DP169" t="str">
        <v>154005 Autos, camionetas y camperos</v>
      </c>
    </row>
    <row r="170" spans="4:120" ht="12.75">
      <c r="D170" s="7">
        <v>154008</v>
      </c>
      <c r="E170" s="6" t="s">
        <v>176</v>
      </c>
      <c r="F170" s="5">
        <v>4</v>
      </c>
      <c r="G170" s="34" t="s">
        <v>822</v>
      </c>
      <c r="H170" s="8" t="s">
        <v>32</v>
      </c>
      <c r="I170" t="b">
        <f>+ISNUMBER(SEARCH('F-COMPRA'!$F$28,Tabla11[[#This Row],[Cuenta]],1))</f>
        <v>1</v>
      </c>
      <c r="J170" t="b">
        <f>+ISNUMBER(SEARCH('F-COMPRA'!$F$29,Tabla11[[#This Row],[Cuenta]],1))</f>
        <v>1</v>
      </c>
      <c r="K170" t="b">
        <f>+ISNUMBER(SEARCH('F-COMPRA'!$F$30,Tabla11[[#This Row],[Cuenta]],1))</f>
        <v>1</v>
      </c>
      <c r="L170" t="b">
        <f>+ISNUMBER(SEARCH('F-COMPRA'!$F$31,Tabla11[[#This Row],[Cuenta]],1))</f>
        <v>1</v>
      </c>
      <c r="M170" t="b">
        <f>+ISNUMBER(SEARCH('F-COMPRA'!$G$25,Tabla11[[#This Row],[Cuenta]],1))</f>
        <v>0</v>
      </c>
      <c r="N170" t="b">
        <f>+ISNUMBER(SEARCH(#REF!,Tabla11[[#This Row],[Cuenta]],1))</f>
        <v>0</v>
      </c>
      <c r="O170" t="b">
        <f>+ISNUMBER(SEARCH(#REF!,Tabla11[[#This Row],[Cuenta]],1))</f>
        <v>0</v>
      </c>
      <c r="P170" t="b">
        <f>+ISNUMBER(SEARCH('F-COMPRA'!$F$32,Tabla11[[#This Row],[Cuenta]],1))</f>
        <v>1</v>
      </c>
      <c r="Q170" t="b">
        <f>+ISNUMBER(SEARCH('F-COMPRA'!$F$33,Tabla11[[#This Row],[Cuenta]],1))</f>
        <v>1</v>
      </c>
      <c r="R170" t="b">
        <f>+ISNUMBER(SEARCH('F-COMPRA'!$F$34,Tabla11[[#This Row],[Cuenta]],1))</f>
        <v>1</v>
      </c>
      <c r="S170" t="b">
        <f>+ISNUMBER(SEARCH('F-COMPRA'!$F$35,Tabla11[[#This Row],[Cuenta]],1))</f>
        <v>1</v>
      </c>
      <c r="T170" t="b">
        <f>+ISNUMBER(SEARCH('F-COMPRA'!$F$36,Tabla11[[#This Row],[Cuenta]],1))</f>
        <v>1</v>
      </c>
      <c r="U170" t="b">
        <f>+ISNUMBER(SEARCH('F-COMPRA'!$F$37,Tabla11[[#This Row],[Cuenta]],1))</f>
        <v>1</v>
      </c>
      <c r="V170" t="b">
        <f>+ISNUMBER(SEARCH(#REF!,Tabla11[[#This Row],[Cuenta]],1))</f>
        <v>0</v>
      </c>
      <c r="W170" t="b">
        <f>+ISNUMBER(SEARCH('F-COMPRA'!#REF!,Tabla11[[#This Row],[Cuenta]],1))</f>
        <v>0</v>
      </c>
      <c r="X170" t="b">
        <f>+ISNUMBER(SEARCH('F-COMPRA'!#REF!,Tabla11[[#This Row],[Cuenta]],1))</f>
        <v>0</v>
      </c>
      <c r="Y170" t="b">
        <f>+ISNUMBER(SEARCH('F-COMPRA'!#REF!,Tabla11[[#This Row],[Cuenta]],1))</f>
        <v>0</v>
      </c>
      <c r="Z170" t="b">
        <f>+ISNUMBER(SEARCH('F-COMPRA'!#REF!,Tabla11[[#This Row],[Cuenta]],1))</f>
        <v>0</v>
      </c>
      <c r="AA170" t="b">
        <f>+ISNUMBER(SEARCH('F-COMPRA'!#REF!,Tabla11[[#This Row],[Cuenta]],1))</f>
        <v>0</v>
      </c>
      <c r="AB170" t="b">
        <f>+ISNUMBER(SEARCH('F-COMPRA'!#REF!,Tabla11[[#This Row],[Cuenta]],1))</f>
        <v>0</v>
      </c>
      <c r="AC170" t="b">
        <f>+ISNUMBER(SEARCH('F-COMPRA'!#REF!,Tabla11[[#This Row],[Cuenta]],1))</f>
        <v>0</v>
      </c>
      <c r="AD170" t="b">
        <f>+ISNUMBER(SEARCH('F-COMPRA'!#REF!,Tabla11[[#This Row],[Cuenta]],1))</f>
        <v>0</v>
      </c>
      <c r="AE170" t="b">
        <f>+ISNUMBER(SEARCH('F-COMPRA'!#REF!,Tabla11[[#This Row],[Cuenta]],1))</f>
        <v>0</v>
      </c>
      <c r="AF170" t="b">
        <f>+ISNUMBER(SEARCH('F-VTA'!$G$23,Tabla11[[#This Row],[Cuenta]],1))</f>
        <v>0</v>
      </c>
      <c r="AG170" t="b">
        <f>+ISNUMBER(SEARCH('F-VTA'!$G$24,Tabla11[[#This Row],[Cuenta]],1))</f>
        <v>0</v>
      </c>
      <c r="AH170" t="b">
        <f>+ISNUMBER(SEARCH('F-VTA'!$G$25,Tabla11[[#This Row],[Cuenta]],1))</f>
        <v>0</v>
      </c>
      <c r="AI170" t="b">
        <f>+ISNUMBER(SEARCH('F-VTA'!$F$28,Tabla11[[#This Row],[Cuenta]],1))</f>
        <v>1</v>
      </c>
      <c r="AJ170" t="b">
        <f>+ISNUMBER(SEARCH('F-VTA'!$F$29,Tabla11[[#This Row],[Cuenta]],1))</f>
        <v>1</v>
      </c>
      <c r="AK170" t="b">
        <f>+ISNUMBER(SEARCH('F-VTA'!$F$30,Tabla11[[#This Row],[Cuenta]],1))</f>
        <v>1</v>
      </c>
      <c r="AL170" t="b">
        <f>+ISNUMBER(SEARCH('F-VTA'!$F$31,Tabla11[[#This Row],[Cuenta]],1))</f>
        <v>1</v>
      </c>
      <c r="AM170" t="b">
        <f>+ISNUMBER(SEARCH('F-VTA'!$F$32,Tabla11[[#This Row],[Cuenta]],1))</f>
        <v>1</v>
      </c>
      <c r="AN170" t="b">
        <f>+ISNUMBER(SEARCH('F-VTA'!$F$33,Tabla11[[#This Row],[Cuenta]],1))</f>
        <v>1</v>
      </c>
      <c r="AO170" t="b">
        <f>+ISNUMBER(SEARCH('F-VTA'!$F$34,Tabla11[[#This Row],[Cuenta]],1))</f>
        <v>1</v>
      </c>
      <c r="AP170" t="b">
        <f>+ISNUMBER(SEARCH('F-VTA'!$F$35,Tabla11[[#This Row],[Cuenta]],1))</f>
        <v>1</v>
      </c>
      <c r="AQ170" t="b">
        <f>+ISNUMBER(SEARCH('F-VTA'!$F$36,Tabla11[[#This Row],[Cuenta]],1))</f>
        <v>1</v>
      </c>
      <c r="AR170" t="b">
        <f>+ISNUMBER(SEARCH(#REF!,Tabla11[[#This Row],[Cuenta]],1))</f>
        <v>0</v>
      </c>
      <c r="AS170" t="b">
        <f>+ISNUMBER(SEARCH(#REF!,Tabla11[[#This Row],[Cuenta]],1))</f>
        <v>0</v>
      </c>
      <c r="AT170" t="b">
        <f>+ISNUMBER(SEARCH(#REF!,Tabla11[[#This Row],[Cuenta]],1))</f>
        <v>0</v>
      </c>
      <c r="AU170" t="b">
        <f>+ISNUMBER(SEARCH('Conc. Ban.1'!$I$9,Tabla11[[#This Row],[Cuenta]],1))</f>
        <v>0</v>
      </c>
      <c r="AV170" t="b">
        <f>+ISNUMBER(SEARCH(CompConta!$F$21,Tabla11[[#This Row],[Cuenta]],1))</f>
        <v>1</v>
      </c>
      <c r="AW170" t="b">
        <f>+ISNUMBER(SEARCH(CompConta!$F$22,Tabla11[[#This Row],[Cuenta]],1))</f>
        <v>1</v>
      </c>
      <c r="AX170" t="b">
        <f>+ISNUMBER(SEARCH(CompConta!$F$23,Tabla11[[#This Row],[Cuenta]],1))</f>
        <v>1</v>
      </c>
      <c r="AY170" t="b">
        <f>+ISNUMBER(SEARCH(CompConta!$F$24,Tabla11[[#This Row],[Cuenta]],1))</f>
        <v>1</v>
      </c>
      <c r="AZ170" t="b">
        <f>+ISNUMBER(SEARCH(CompConta!$F$25,Tabla11[[#This Row],[Cuenta]],1))</f>
        <v>1</v>
      </c>
      <c r="BA170" t="b">
        <f>+ISNUMBER(SEARCH(CompConta!$F$26,Tabla11[[#This Row],[Cuenta]],1))</f>
        <v>1</v>
      </c>
      <c r="BB170" t="b">
        <f>+ISNUMBER(SEARCH(CompConta!$F$27,Tabla11[[#This Row],[Cuenta]],1))</f>
        <v>1</v>
      </c>
      <c r="BC170" t="b">
        <f>+ISNUMBER(SEARCH(CompConta!$F$28,Tabla11[[#This Row],[Cuenta]],1))</f>
        <v>1</v>
      </c>
      <c r="BD170" t="b">
        <f>+ISNUMBER(SEARCH(CompConta!$F$29,Tabla11[[#This Row],[Cuenta]],1))</f>
        <v>1</v>
      </c>
      <c r="BE170" t="b">
        <f>+ISNUMBER(SEARCH(CompConta!$F$30,Tabla11[[#This Row],[Cuenta]],1))</f>
        <v>1</v>
      </c>
      <c r="BF170" t="b">
        <f>+ISNUMBER(SEARCH('PAGO Compras'!$E$11,Tabla11[[#This Row],[Cuenta]],1))</f>
        <v>1</v>
      </c>
      <c r="BG170" t="b">
        <f>+ISNUMBER(SEARCH(#REF!,Tabla11[[#This Row],[Cuenta]],1))</f>
        <v>0</v>
      </c>
      <c r="BH170" t="b">
        <f>+ISNUMBER(SEARCH(#REF!,Tabla11[[#This Row],[Cuenta]],1))</f>
        <v>0</v>
      </c>
      <c r="BI170" t="b">
        <f>+ISNUMBER(SEARCH(#REF!,Tabla11[[#This Row],[Cuenta]],1))</f>
        <v>0</v>
      </c>
      <c r="BJ170" t="b">
        <f>+ISNUMBER(SEARCH(#REF!,Tabla11[[#This Row],[Cuenta]],1))</f>
        <v>0</v>
      </c>
      <c r="BS170" t="str">
        <v>154008 Camiones, volquetas y furgones</v>
      </c>
      <c r="BT170" t="str">
        <v>154008 Camiones, volquetas y furgones</v>
      </c>
      <c r="BU170" t="str">
        <v>154008 Camiones, volquetas y furgones</v>
      </c>
      <c r="BV170" t="str">
        <v>154008 Camiones, volquetas y furgones</v>
      </c>
      <c r="BZ170" t="str">
        <v>154008 Camiones, volquetas y furgones</v>
      </c>
      <c r="CA170" t="str">
        <v>154008 Camiones, volquetas y furgones</v>
      </c>
      <c r="CB170" t="str">
        <v>154008 Camiones, volquetas y furgones</v>
      </c>
      <c r="CC170" t="str">
        <v>154008 Camiones, volquetas y furgones</v>
      </c>
      <c r="CD170" t="str">
        <v>154008 Camiones, volquetas y furgones</v>
      </c>
      <c r="CE170" t="str">
        <v>154008 Camiones, volquetas y furgones</v>
      </c>
      <c r="CS170" s="141" t="str">
        <v>154008 Camiones, volquetas y furgones</v>
      </c>
      <c r="CT170" s="141" t="str">
        <v>154008 Camiones, volquetas y furgones</v>
      </c>
      <c r="CU170" s="141" t="str">
        <v>154008 Camiones, volquetas y furgones</v>
      </c>
      <c r="CV170" s="141" t="str">
        <v>154008 Camiones, volquetas y furgones</v>
      </c>
      <c r="CW170" s="141" t="str">
        <v>154008 Camiones, volquetas y furgones</v>
      </c>
      <c r="CX170" s="141" t="str">
        <v>154008 Camiones, volquetas y furgones</v>
      </c>
      <c r="CY170" s="141" t="str">
        <v>154008 Camiones, volquetas y furgones</v>
      </c>
      <c r="CZ170" s="141" t="str">
        <v>154008 Camiones, volquetas y furgones</v>
      </c>
      <c r="DA170" s="141" t="str">
        <v>154008 Camiones, volquetas y furgones</v>
      </c>
      <c r="DF170" t="str">
        <v>154008 Camiones, volquetas y furgones</v>
      </c>
      <c r="DG170" t="str">
        <v>154008 Camiones, volquetas y furgones</v>
      </c>
      <c r="DH170" t="str">
        <v>154008 Camiones, volquetas y furgones</v>
      </c>
      <c r="DI170" t="str">
        <v>154008 Camiones, volquetas y furgones</v>
      </c>
      <c r="DJ170" t="str">
        <v>154008 Camiones, volquetas y furgones</v>
      </c>
      <c r="DK170" t="str">
        <v>154008 Camiones, volquetas y furgones</v>
      </c>
      <c r="DL170" t="str">
        <v>154008 Camiones, volquetas y furgones</v>
      </c>
      <c r="DM170" t="str">
        <v>154008 Camiones, volquetas y furgones</v>
      </c>
      <c r="DN170" t="str">
        <v>154008 Camiones, volquetas y furgones</v>
      </c>
      <c r="DO170" t="str">
        <v>154008 Camiones, volquetas y furgones</v>
      </c>
      <c r="DP170" t="str">
        <v>154008 Camiones, volquetas y furgones</v>
      </c>
    </row>
    <row r="171" spans="4:120" ht="12.75">
      <c r="D171" s="7">
        <v>154010</v>
      </c>
      <c r="E171" s="6" t="s">
        <v>177</v>
      </c>
      <c r="F171" s="5">
        <v>4</v>
      </c>
      <c r="G171" s="34" t="s">
        <v>822</v>
      </c>
      <c r="H171" s="8" t="s">
        <v>32</v>
      </c>
      <c r="I171" t="b">
        <f>+ISNUMBER(SEARCH('F-COMPRA'!$F$28,Tabla11[[#This Row],[Cuenta]],1))</f>
        <v>1</v>
      </c>
      <c r="J171" t="b">
        <f>+ISNUMBER(SEARCH('F-COMPRA'!$F$29,Tabla11[[#This Row],[Cuenta]],1))</f>
        <v>1</v>
      </c>
      <c r="K171" t="b">
        <f>+ISNUMBER(SEARCH('F-COMPRA'!$F$30,Tabla11[[#This Row],[Cuenta]],1))</f>
        <v>1</v>
      </c>
      <c r="L171" t="b">
        <f>+ISNUMBER(SEARCH('F-COMPRA'!$F$31,Tabla11[[#This Row],[Cuenta]],1))</f>
        <v>1</v>
      </c>
      <c r="M171" t="b">
        <f>+ISNUMBER(SEARCH('F-COMPRA'!$G$25,Tabla11[[#This Row],[Cuenta]],1))</f>
        <v>0</v>
      </c>
      <c r="N171" t="b">
        <f>+ISNUMBER(SEARCH(#REF!,Tabla11[[#This Row],[Cuenta]],1))</f>
        <v>0</v>
      </c>
      <c r="O171" t="b">
        <f>+ISNUMBER(SEARCH(#REF!,Tabla11[[#This Row],[Cuenta]],1))</f>
        <v>0</v>
      </c>
      <c r="P171" t="b">
        <f>+ISNUMBER(SEARCH('F-COMPRA'!$F$32,Tabla11[[#This Row],[Cuenta]],1))</f>
        <v>1</v>
      </c>
      <c r="Q171" t="b">
        <f>+ISNUMBER(SEARCH('F-COMPRA'!$F$33,Tabla11[[#This Row],[Cuenta]],1))</f>
        <v>1</v>
      </c>
      <c r="R171" t="b">
        <f>+ISNUMBER(SEARCH('F-COMPRA'!$F$34,Tabla11[[#This Row],[Cuenta]],1))</f>
        <v>1</v>
      </c>
      <c r="S171" t="b">
        <f>+ISNUMBER(SEARCH('F-COMPRA'!$F$35,Tabla11[[#This Row],[Cuenta]],1))</f>
        <v>1</v>
      </c>
      <c r="T171" t="b">
        <f>+ISNUMBER(SEARCH('F-COMPRA'!$F$36,Tabla11[[#This Row],[Cuenta]],1))</f>
        <v>1</v>
      </c>
      <c r="U171" t="b">
        <f>+ISNUMBER(SEARCH('F-COMPRA'!$F$37,Tabla11[[#This Row],[Cuenta]],1))</f>
        <v>1</v>
      </c>
      <c r="V171" t="b">
        <f>+ISNUMBER(SEARCH(#REF!,Tabla11[[#This Row],[Cuenta]],1))</f>
        <v>0</v>
      </c>
      <c r="W171" t="b">
        <f>+ISNUMBER(SEARCH('F-COMPRA'!#REF!,Tabla11[[#This Row],[Cuenta]],1))</f>
        <v>0</v>
      </c>
      <c r="X171" t="b">
        <f>+ISNUMBER(SEARCH('F-COMPRA'!#REF!,Tabla11[[#This Row],[Cuenta]],1))</f>
        <v>0</v>
      </c>
      <c r="Y171" t="b">
        <f>+ISNUMBER(SEARCH('F-COMPRA'!#REF!,Tabla11[[#This Row],[Cuenta]],1))</f>
        <v>0</v>
      </c>
      <c r="Z171" t="b">
        <f>+ISNUMBER(SEARCH('F-COMPRA'!#REF!,Tabla11[[#This Row],[Cuenta]],1))</f>
        <v>0</v>
      </c>
      <c r="AA171" t="b">
        <f>+ISNUMBER(SEARCH('F-COMPRA'!#REF!,Tabla11[[#This Row],[Cuenta]],1))</f>
        <v>0</v>
      </c>
      <c r="AB171" t="b">
        <f>+ISNUMBER(SEARCH('F-COMPRA'!#REF!,Tabla11[[#This Row],[Cuenta]],1))</f>
        <v>0</v>
      </c>
      <c r="AC171" t="b">
        <f>+ISNUMBER(SEARCH('F-COMPRA'!#REF!,Tabla11[[#This Row],[Cuenta]],1))</f>
        <v>0</v>
      </c>
      <c r="AD171" t="b">
        <f>+ISNUMBER(SEARCH('F-COMPRA'!#REF!,Tabla11[[#This Row],[Cuenta]],1))</f>
        <v>0</v>
      </c>
      <c r="AE171" t="b">
        <f>+ISNUMBER(SEARCH('F-COMPRA'!#REF!,Tabla11[[#This Row],[Cuenta]],1))</f>
        <v>0</v>
      </c>
      <c r="AF171" t="b">
        <f>+ISNUMBER(SEARCH('F-VTA'!$G$23,Tabla11[[#This Row],[Cuenta]],1))</f>
        <v>0</v>
      </c>
      <c r="AG171" t="b">
        <f>+ISNUMBER(SEARCH('F-VTA'!$G$24,Tabla11[[#This Row],[Cuenta]],1))</f>
        <v>0</v>
      </c>
      <c r="AH171" t="b">
        <f>+ISNUMBER(SEARCH('F-VTA'!$G$25,Tabla11[[#This Row],[Cuenta]],1))</f>
        <v>0</v>
      </c>
      <c r="AI171" t="b">
        <f>+ISNUMBER(SEARCH('F-VTA'!$F$28,Tabla11[[#This Row],[Cuenta]],1))</f>
        <v>1</v>
      </c>
      <c r="AJ171" t="b">
        <f>+ISNUMBER(SEARCH('F-VTA'!$F$29,Tabla11[[#This Row],[Cuenta]],1))</f>
        <v>1</v>
      </c>
      <c r="AK171" t="b">
        <f>+ISNUMBER(SEARCH('F-VTA'!$F$30,Tabla11[[#This Row],[Cuenta]],1))</f>
        <v>1</v>
      </c>
      <c r="AL171" t="b">
        <f>+ISNUMBER(SEARCH('F-VTA'!$F$31,Tabla11[[#This Row],[Cuenta]],1))</f>
        <v>1</v>
      </c>
      <c r="AM171" t="b">
        <f>+ISNUMBER(SEARCH('F-VTA'!$F$32,Tabla11[[#This Row],[Cuenta]],1))</f>
        <v>1</v>
      </c>
      <c r="AN171" t="b">
        <f>+ISNUMBER(SEARCH('F-VTA'!$F$33,Tabla11[[#This Row],[Cuenta]],1))</f>
        <v>1</v>
      </c>
      <c r="AO171" t="b">
        <f>+ISNUMBER(SEARCH('F-VTA'!$F$34,Tabla11[[#This Row],[Cuenta]],1))</f>
        <v>1</v>
      </c>
      <c r="AP171" t="b">
        <f>+ISNUMBER(SEARCH('F-VTA'!$F$35,Tabla11[[#This Row],[Cuenta]],1))</f>
        <v>1</v>
      </c>
      <c r="AQ171" t="b">
        <f>+ISNUMBER(SEARCH('F-VTA'!$F$36,Tabla11[[#This Row],[Cuenta]],1))</f>
        <v>1</v>
      </c>
      <c r="AR171" t="b">
        <f>+ISNUMBER(SEARCH(#REF!,Tabla11[[#This Row],[Cuenta]],1))</f>
        <v>0</v>
      </c>
      <c r="AS171" t="b">
        <f>+ISNUMBER(SEARCH(#REF!,Tabla11[[#This Row],[Cuenta]],1))</f>
        <v>0</v>
      </c>
      <c r="AT171" t="b">
        <f>+ISNUMBER(SEARCH(#REF!,Tabla11[[#This Row],[Cuenta]],1))</f>
        <v>0</v>
      </c>
      <c r="AU171" t="b">
        <f>+ISNUMBER(SEARCH('Conc. Ban.1'!$I$9,Tabla11[[#This Row],[Cuenta]],1))</f>
        <v>0</v>
      </c>
      <c r="AV171" t="b">
        <f>+ISNUMBER(SEARCH(CompConta!$F$21,Tabla11[[#This Row],[Cuenta]],1))</f>
        <v>1</v>
      </c>
      <c r="AW171" t="b">
        <f>+ISNUMBER(SEARCH(CompConta!$F$22,Tabla11[[#This Row],[Cuenta]],1))</f>
        <v>1</v>
      </c>
      <c r="AX171" t="b">
        <f>+ISNUMBER(SEARCH(CompConta!$F$23,Tabla11[[#This Row],[Cuenta]],1))</f>
        <v>1</v>
      </c>
      <c r="AY171" t="b">
        <f>+ISNUMBER(SEARCH(CompConta!$F$24,Tabla11[[#This Row],[Cuenta]],1))</f>
        <v>1</v>
      </c>
      <c r="AZ171" t="b">
        <f>+ISNUMBER(SEARCH(CompConta!$F$25,Tabla11[[#This Row],[Cuenta]],1))</f>
        <v>1</v>
      </c>
      <c r="BA171" t="b">
        <f>+ISNUMBER(SEARCH(CompConta!$F$26,Tabla11[[#This Row],[Cuenta]],1))</f>
        <v>1</v>
      </c>
      <c r="BB171" t="b">
        <f>+ISNUMBER(SEARCH(CompConta!$F$27,Tabla11[[#This Row],[Cuenta]],1))</f>
        <v>1</v>
      </c>
      <c r="BC171" t="b">
        <f>+ISNUMBER(SEARCH(CompConta!$F$28,Tabla11[[#This Row],[Cuenta]],1))</f>
        <v>1</v>
      </c>
      <c r="BD171" t="b">
        <f>+ISNUMBER(SEARCH(CompConta!$F$29,Tabla11[[#This Row],[Cuenta]],1))</f>
        <v>1</v>
      </c>
      <c r="BE171" t="b">
        <f>+ISNUMBER(SEARCH(CompConta!$F$30,Tabla11[[#This Row],[Cuenta]],1))</f>
        <v>1</v>
      </c>
      <c r="BF171" t="b">
        <f>+ISNUMBER(SEARCH('PAGO Compras'!$E$11,Tabla11[[#This Row],[Cuenta]],1))</f>
        <v>1</v>
      </c>
      <c r="BG171" t="b">
        <f>+ISNUMBER(SEARCH(#REF!,Tabla11[[#This Row],[Cuenta]],1))</f>
        <v>0</v>
      </c>
      <c r="BH171" t="b">
        <f>+ISNUMBER(SEARCH(#REF!,Tabla11[[#This Row],[Cuenta]],1))</f>
        <v>0</v>
      </c>
      <c r="BI171" t="b">
        <f>+ISNUMBER(SEARCH(#REF!,Tabla11[[#This Row],[Cuenta]],1))</f>
        <v>0</v>
      </c>
      <c r="BJ171" t="b">
        <f>+ISNUMBER(SEARCH(#REF!,Tabla11[[#This Row],[Cuenta]],1))</f>
        <v>0</v>
      </c>
      <c r="BS171" t="str">
        <v>154010 Tractomulas y remolques</v>
      </c>
      <c r="BT171" t="str">
        <v>154010 Tractomulas y remolques</v>
      </c>
      <c r="BU171" t="str">
        <v>154010 Tractomulas y remolques</v>
      </c>
      <c r="BV171" t="str">
        <v>154010 Tractomulas y remolques</v>
      </c>
      <c r="BZ171" t="str">
        <v>154010 Tractomulas y remolques</v>
      </c>
      <c r="CA171" t="str">
        <v>154010 Tractomulas y remolques</v>
      </c>
      <c r="CB171" t="str">
        <v>154010 Tractomulas y remolques</v>
      </c>
      <c r="CC171" t="str">
        <v>154010 Tractomulas y remolques</v>
      </c>
      <c r="CD171" t="str">
        <v>154010 Tractomulas y remolques</v>
      </c>
      <c r="CE171" t="str">
        <v>154010 Tractomulas y remolques</v>
      </c>
      <c r="CS171" s="141" t="str">
        <v>154010 Tractomulas y remolques</v>
      </c>
      <c r="CT171" s="141" t="str">
        <v>154010 Tractomulas y remolques</v>
      </c>
      <c r="CU171" s="141" t="str">
        <v>154010 Tractomulas y remolques</v>
      </c>
      <c r="CV171" s="141" t="str">
        <v>154010 Tractomulas y remolques</v>
      </c>
      <c r="CW171" s="141" t="str">
        <v>154010 Tractomulas y remolques</v>
      </c>
      <c r="CX171" s="141" t="str">
        <v>154010 Tractomulas y remolques</v>
      </c>
      <c r="CY171" s="141" t="str">
        <v>154010 Tractomulas y remolques</v>
      </c>
      <c r="CZ171" s="141" t="str">
        <v>154010 Tractomulas y remolques</v>
      </c>
      <c r="DA171" s="141" t="str">
        <v>154010 Tractomulas y remolques</v>
      </c>
      <c r="DF171" t="str">
        <v>154010 Tractomulas y remolques</v>
      </c>
      <c r="DG171" t="str">
        <v>154010 Tractomulas y remolques</v>
      </c>
      <c r="DH171" t="str">
        <v>154010 Tractomulas y remolques</v>
      </c>
      <c r="DI171" t="str">
        <v>154010 Tractomulas y remolques</v>
      </c>
      <c r="DJ171" t="str">
        <v>154010 Tractomulas y remolques</v>
      </c>
      <c r="DK171" t="str">
        <v>154010 Tractomulas y remolques</v>
      </c>
      <c r="DL171" t="str">
        <v>154010 Tractomulas y remolques</v>
      </c>
      <c r="DM171" t="str">
        <v>154010 Tractomulas y remolques</v>
      </c>
      <c r="DN171" t="str">
        <v>154010 Tractomulas y remolques</v>
      </c>
      <c r="DO171" t="str">
        <v>154010 Tractomulas y remolques</v>
      </c>
      <c r="DP171" t="str">
        <v>154010 Tractomulas y remolques</v>
      </c>
    </row>
    <row r="172" spans="4:120" ht="12.75">
      <c r="D172" s="7">
        <v>154015</v>
      </c>
      <c r="E172" s="6" t="s">
        <v>178</v>
      </c>
      <c r="F172" s="5">
        <v>4</v>
      </c>
      <c r="G172" s="34" t="s">
        <v>822</v>
      </c>
      <c r="H172" s="8" t="s">
        <v>32</v>
      </c>
      <c r="I172" t="b">
        <f>+ISNUMBER(SEARCH('F-COMPRA'!$F$28,Tabla11[[#This Row],[Cuenta]],1))</f>
        <v>1</v>
      </c>
      <c r="J172" t="b">
        <f>+ISNUMBER(SEARCH('F-COMPRA'!$F$29,Tabla11[[#This Row],[Cuenta]],1))</f>
        <v>1</v>
      </c>
      <c r="K172" t="b">
        <f>+ISNUMBER(SEARCH('F-COMPRA'!$F$30,Tabla11[[#This Row],[Cuenta]],1))</f>
        <v>1</v>
      </c>
      <c r="L172" t="b">
        <f>+ISNUMBER(SEARCH('F-COMPRA'!$F$31,Tabla11[[#This Row],[Cuenta]],1))</f>
        <v>1</v>
      </c>
      <c r="M172" t="b">
        <f>+ISNUMBER(SEARCH('F-COMPRA'!$G$25,Tabla11[[#This Row],[Cuenta]],1))</f>
        <v>0</v>
      </c>
      <c r="N172" t="b">
        <f>+ISNUMBER(SEARCH(#REF!,Tabla11[[#This Row],[Cuenta]],1))</f>
        <v>0</v>
      </c>
      <c r="O172" t="b">
        <f>+ISNUMBER(SEARCH(#REF!,Tabla11[[#This Row],[Cuenta]],1))</f>
        <v>0</v>
      </c>
      <c r="P172" t="b">
        <f>+ISNUMBER(SEARCH('F-COMPRA'!$F$32,Tabla11[[#This Row],[Cuenta]],1))</f>
        <v>1</v>
      </c>
      <c r="Q172" t="b">
        <f>+ISNUMBER(SEARCH('F-COMPRA'!$F$33,Tabla11[[#This Row],[Cuenta]],1))</f>
        <v>1</v>
      </c>
      <c r="R172" t="b">
        <f>+ISNUMBER(SEARCH('F-COMPRA'!$F$34,Tabla11[[#This Row],[Cuenta]],1))</f>
        <v>1</v>
      </c>
      <c r="S172" t="b">
        <f>+ISNUMBER(SEARCH('F-COMPRA'!$F$35,Tabla11[[#This Row],[Cuenta]],1))</f>
        <v>1</v>
      </c>
      <c r="T172" t="b">
        <f>+ISNUMBER(SEARCH('F-COMPRA'!$F$36,Tabla11[[#This Row],[Cuenta]],1))</f>
        <v>1</v>
      </c>
      <c r="U172" t="b">
        <f>+ISNUMBER(SEARCH('F-COMPRA'!$F$37,Tabla11[[#This Row],[Cuenta]],1))</f>
        <v>1</v>
      </c>
      <c r="V172" t="b">
        <f>+ISNUMBER(SEARCH(#REF!,Tabla11[[#This Row],[Cuenta]],1))</f>
        <v>0</v>
      </c>
      <c r="W172" t="b">
        <f>+ISNUMBER(SEARCH('F-COMPRA'!#REF!,Tabla11[[#This Row],[Cuenta]],1))</f>
        <v>0</v>
      </c>
      <c r="X172" t="b">
        <f>+ISNUMBER(SEARCH('F-COMPRA'!#REF!,Tabla11[[#This Row],[Cuenta]],1))</f>
        <v>0</v>
      </c>
      <c r="Y172" t="b">
        <f>+ISNUMBER(SEARCH('F-COMPRA'!#REF!,Tabla11[[#This Row],[Cuenta]],1))</f>
        <v>0</v>
      </c>
      <c r="Z172" t="b">
        <f>+ISNUMBER(SEARCH('F-COMPRA'!#REF!,Tabla11[[#This Row],[Cuenta]],1))</f>
        <v>0</v>
      </c>
      <c r="AA172" t="b">
        <f>+ISNUMBER(SEARCH('F-COMPRA'!#REF!,Tabla11[[#This Row],[Cuenta]],1))</f>
        <v>0</v>
      </c>
      <c r="AB172" t="b">
        <f>+ISNUMBER(SEARCH('F-COMPRA'!#REF!,Tabla11[[#This Row],[Cuenta]],1))</f>
        <v>0</v>
      </c>
      <c r="AC172" t="b">
        <f>+ISNUMBER(SEARCH('F-COMPRA'!#REF!,Tabla11[[#This Row],[Cuenta]],1))</f>
        <v>0</v>
      </c>
      <c r="AD172" t="b">
        <f>+ISNUMBER(SEARCH('F-COMPRA'!#REF!,Tabla11[[#This Row],[Cuenta]],1))</f>
        <v>0</v>
      </c>
      <c r="AE172" t="b">
        <f>+ISNUMBER(SEARCH('F-COMPRA'!#REF!,Tabla11[[#This Row],[Cuenta]],1))</f>
        <v>0</v>
      </c>
      <c r="AF172" t="b">
        <f>+ISNUMBER(SEARCH('F-VTA'!$G$23,Tabla11[[#This Row],[Cuenta]],1))</f>
        <v>0</v>
      </c>
      <c r="AG172" t="b">
        <f>+ISNUMBER(SEARCH('F-VTA'!$G$24,Tabla11[[#This Row],[Cuenta]],1))</f>
        <v>0</v>
      </c>
      <c r="AH172" t="b">
        <f>+ISNUMBER(SEARCH('F-VTA'!$G$25,Tabla11[[#This Row],[Cuenta]],1))</f>
        <v>0</v>
      </c>
      <c r="AI172" t="b">
        <f>+ISNUMBER(SEARCH('F-VTA'!$F$28,Tabla11[[#This Row],[Cuenta]],1))</f>
        <v>1</v>
      </c>
      <c r="AJ172" t="b">
        <f>+ISNUMBER(SEARCH('F-VTA'!$F$29,Tabla11[[#This Row],[Cuenta]],1))</f>
        <v>1</v>
      </c>
      <c r="AK172" t="b">
        <f>+ISNUMBER(SEARCH('F-VTA'!$F$30,Tabla11[[#This Row],[Cuenta]],1))</f>
        <v>1</v>
      </c>
      <c r="AL172" t="b">
        <f>+ISNUMBER(SEARCH('F-VTA'!$F$31,Tabla11[[#This Row],[Cuenta]],1))</f>
        <v>1</v>
      </c>
      <c r="AM172" t="b">
        <f>+ISNUMBER(SEARCH('F-VTA'!$F$32,Tabla11[[#This Row],[Cuenta]],1))</f>
        <v>1</v>
      </c>
      <c r="AN172" t="b">
        <f>+ISNUMBER(SEARCH('F-VTA'!$F$33,Tabla11[[#This Row],[Cuenta]],1))</f>
        <v>1</v>
      </c>
      <c r="AO172" t="b">
        <f>+ISNUMBER(SEARCH('F-VTA'!$F$34,Tabla11[[#This Row],[Cuenta]],1))</f>
        <v>1</v>
      </c>
      <c r="AP172" t="b">
        <f>+ISNUMBER(SEARCH('F-VTA'!$F$35,Tabla11[[#This Row],[Cuenta]],1))</f>
        <v>1</v>
      </c>
      <c r="AQ172" t="b">
        <f>+ISNUMBER(SEARCH('F-VTA'!$F$36,Tabla11[[#This Row],[Cuenta]],1))</f>
        <v>1</v>
      </c>
      <c r="AR172" t="b">
        <f>+ISNUMBER(SEARCH(#REF!,Tabla11[[#This Row],[Cuenta]],1))</f>
        <v>0</v>
      </c>
      <c r="AS172" t="b">
        <f>+ISNUMBER(SEARCH(#REF!,Tabla11[[#This Row],[Cuenta]],1))</f>
        <v>0</v>
      </c>
      <c r="AT172" t="b">
        <f>+ISNUMBER(SEARCH(#REF!,Tabla11[[#This Row],[Cuenta]],1))</f>
        <v>0</v>
      </c>
      <c r="AU172" t="b">
        <f>+ISNUMBER(SEARCH('Conc. Ban.1'!$I$9,Tabla11[[#This Row],[Cuenta]],1))</f>
        <v>0</v>
      </c>
      <c r="AV172" t="b">
        <f>+ISNUMBER(SEARCH(CompConta!$F$21,Tabla11[[#This Row],[Cuenta]],1))</f>
        <v>1</v>
      </c>
      <c r="AW172" t="b">
        <f>+ISNUMBER(SEARCH(CompConta!$F$22,Tabla11[[#This Row],[Cuenta]],1))</f>
        <v>1</v>
      </c>
      <c r="AX172" t="b">
        <f>+ISNUMBER(SEARCH(CompConta!$F$23,Tabla11[[#This Row],[Cuenta]],1))</f>
        <v>1</v>
      </c>
      <c r="AY172" t="b">
        <f>+ISNUMBER(SEARCH(CompConta!$F$24,Tabla11[[#This Row],[Cuenta]],1))</f>
        <v>1</v>
      </c>
      <c r="AZ172" t="b">
        <f>+ISNUMBER(SEARCH(CompConta!$F$25,Tabla11[[#This Row],[Cuenta]],1))</f>
        <v>1</v>
      </c>
      <c r="BA172" t="b">
        <f>+ISNUMBER(SEARCH(CompConta!$F$26,Tabla11[[#This Row],[Cuenta]],1))</f>
        <v>1</v>
      </c>
      <c r="BB172" t="b">
        <f>+ISNUMBER(SEARCH(CompConta!$F$27,Tabla11[[#This Row],[Cuenta]],1))</f>
        <v>1</v>
      </c>
      <c r="BC172" t="b">
        <f>+ISNUMBER(SEARCH(CompConta!$F$28,Tabla11[[#This Row],[Cuenta]],1))</f>
        <v>1</v>
      </c>
      <c r="BD172" t="b">
        <f>+ISNUMBER(SEARCH(CompConta!$F$29,Tabla11[[#This Row],[Cuenta]],1))</f>
        <v>1</v>
      </c>
      <c r="BE172" t="b">
        <f>+ISNUMBER(SEARCH(CompConta!$F$30,Tabla11[[#This Row],[Cuenta]],1))</f>
        <v>1</v>
      </c>
      <c r="BF172" t="b">
        <f>+ISNUMBER(SEARCH('PAGO Compras'!$E$11,Tabla11[[#This Row],[Cuenta]],1))</f>
        <v>1</v>
      </c>
      <c r="BG172" t="b">
        <f>+ISNUMBER(SEARCH(#REF!,Tabla11[[#This Row],[Cuenta]],1))</f>
        <v>0</v>
      </c>
      <c r="BH172" t="b">
        <f>+ISNUMBER(SEARCH(#REF!,Tabla11[[#This Row],[Cuenta]],1))</f>
        <v>0</v>
      </c>
      <c r="BI172" t="b">
        <f>+ISNUMBER(SEARCH(#REF!,Tabla11[[#This Row],[Cuenta]],1))</f>
        <v>0</v>
      </c>
      <c r="BJ172" t="b">
        <f>+ISNUMBER(SEARCH(#REF!,Tabla11[[#This Row],[Cuenta]],1))</f>
        <v>0</v>
      </c>
      <c r="BS172" t="str">
        <v>154015 Buses y busetas</v>
      </c>
      <c r="BT172" t="str">
        <v>154015 Buses y busetas</v>
      </c>
      <c r="BU172" t="str">
        <v>154015 Buses y busetas</v>
      </c>
      <c r="BV172" t="str">
        <v>154015 Buses y busetas</v>
      </c>
      <c r="BZ172" t="str">
        <v>154015 Buses y busetas</v>
      </c>
      <c r="CA172" t="str">
        <v>154015 Buses y busetas</v>
      </c>
      <c r="CB172" t="str">
        <v>154015 Buses y busetas</v>
      </c>
      <c r="CC172" t="str">
        <v>154015 Buses y busetas</v>
      </c>
      <c r="CD172" t="str">
        <v>154015 Buses y busetas</v>
      </c>
      <c r="CE172" t="str">
        <v>154015 Buses y busetas</v>
      </c>
      <c r="CS172" s="141" t="str">
        <v>154015 Buses y busetas</v>
      </c>
      <c r="CT172" s="141" t="str">
        <v>154015 Buses y busetas</v>
      </c>
      <c r="CU172" s="141" t="str">
        <v>154015 Buses y busetas</v>
      </c>
      <c r="CV172" s="141" t="str">
        <v>154015 Buses y busetas</v>
      </c>
      <c r="CW172" s="141" t="str">
        <v>154015 Buses y busetas</v>
      </c>
      <c r="CX172" s="141" t="str">
        <v>154015 Buses y busetas</v>
      </c>
      <c r="CY172" s="141" t="str">
        <v>154015 Buses y busetas</v>
      </c>
      <c r="CZ172" s="141" t="str">
        <v>154015 Buses y busetas</v>
      </c>
      <c r="DA172" s="141" t="str">
        <v>154015 Buses y busetas</v>
      </c>
      <c r="DF172" t="str">
        <v>154015 Buses y busetas</v>
      </c>
      <c r="DG172" t="str">
        <v>154015 Buses y busetas</v>
      </c>
      <c r="DH172" t="str">
        <v>154015 Buses y busetas</v>
      </c>
      <c r="DI172" t="str">
        <v>154015 Buses y busetas</v>
      </c>
      <c r="DJ172" t="str">
        <v>154015 Buses y busetas</v>
      </c>
      <c r="DK172" t="str">
        <v>154015 Buses y busetas</v>
      </c>
      <c r="DL172" t="str">
        <v>154015 Buses y busetas</v>
      </c>
      <c r="DM172" t="str">
        <v>154015 Buses y busetas</v>
      </c>
      <c r="DN172" t="str">
        <v>154015 Buses y busetas</v>
      </c>
      <c r="DO172" t="str">
        <v>154015 Buses y busetas</v>
      </c>
      <c r="DP172" t="str">
        <v>154015 Buses y busetas</v>
      </c>
    </row>
    <row r="173" spans="4:120" ht="12.75">
      <c r="D173" s="7">
        <v>154017</v>
      </c>
      <c r="E173" s="6" t="s">
        <v>179</v>
      </c>
      <c r="F173" s="5">
        <v>4</v>
      </c>
      <c r="G173" s="34" t="s">
        <v>822</v>
      </c>
      <c r="H173" s="8" t="s">
        <v>32</v>
      </c>
      <c r="I173" t="b">
        <f>+ISNUMBER(SEARCH('F-COMPRA'!$F$28,Tabla11[[#This Row],[Cuenta]],1))</f>
        <v>1</v>
      </c>
      <c r="J173" t="b">
        <f>+ISNUMBER(SEARCH('F-COMPRA'!$F$29,Tabla11[[#This Row],[Cuenta]],1))</f>
        <v>1</v>
      </c>
      <c r="K173" t="b">
        <f>+ISNUMBER(SEARCH('F-COMPRA'!$F$30,Tabla11[[#This Row],[Cuenta]],1))</f>
        <v>1</v>
      </c>
      <c r="L173" t="b">
        <f>+ISNUMBER(SEARCH('F-COMPRA'!$F$31,Tabla11[[#This Row],[Cuenta]],1))</f>
        <v>1</v>
      </c>
      <c r="M173" t="b">
        <f>+ISNUMBER(SEARCH('F-COMPRA'!$G$25,Tabla11[[#This Row],[Cuenta]],1))</f>
        <v>0</v>
      </c>
      <c r="N173" t="b">
        <f>+ISNUMBER(SEARCH(#REF!,Tabla11[[#This Row],[Cuenta]],1))</f>
        <v>0</v>
      </c>
      <c r="O173" t="b">
        <f>+ISNUMBER(SEARCH(#REF!,Tabla11[[#This Row],[Cuenta]],1))</f>
        <v>0</v>
      </c>
      <c r="P173" t="b">
        <f>+ISNUMBER(SEARCH('F-COMPRA'!$F$32,Tabla11[[#This Row],[Cuenta]],1))</f>
        <v>1</v>
      </c>
      <c r="Q173" t="b">
        <f>+ISNUMBER(SEARCH('F-COMPRA'!$F$33,Tabla11[[#This Row],[Cuenta]],1))</f>
        <v>1</v>
      </c>
      <c r="R173" t="b">
        <f>+ISNUMBER(SEARCH('F-COMPRA'!$F$34,Tabla11[[#This Row],[Cuenta]],1))</f>
        <v>1</v>
      </c>
      <c r="S173" t="b">
        <f>+ISNUMBER(SEARCH('F-COMPRA'!$F$35,Tabla11[[#This Row],[Cuenta]],1))</f>
        <v>1</v>
      </c>
      <c r="T173" t="b">
        <f>+ISNUMBER(SEARCH('F-COMPRA'!$F$36,Tabla11[[#This Row],[Cuenta]],1))</f>
        <v>1</v>
      </c>
      <c r="U173" t="b">
        <f>+ISNUMBER(SEARCH('F-COMPRA'!$F$37,Tabla11[[#This Row],[Cuenta]],1))</f>
        <v>1</v>
      </c>
      <c r="V173" t="b">
        <f>+ISNUMBER(SEARCH(#REF!,Tabla11[[#This Row],[Cuenta]],1))</f>
        <v>0</v>
      </c>
      <c r="W173" t="b">
        <f>+ISNUMBER(SEARCH('F-COMPRA'!#REF!,Tabla11[[#This Row],[Cuenta]],1))</f>
        <v>0</v>
      </c>
      <c r="X173" t="b">
        <f>+ISNUMBER(SEARCH('F-COMPRA'!#REF!,Tabla11[[#This Row],[Cuenta]],1))</f>
        <v>0</v>
      </c>
      <c r="Y173" t="b">
        <f>+ISNUMBER(SEARCH('F-COMPRA'!#REF!,Tabla11[[#This Row],[Cuenta]],1))</f>
        <v>0</v>
      </c>
      <c r="Z173" t="b">
        <f>+ISNUMBER(SEARCH('F-COMPRA'!#REF!,Tabla11[[#This Row],[Cuenta]],1))</f>
        <v>0</v>
      </c>
      <c r="AA173" t="b">
        <f>+ISNUMBER(SEARCH('F-COMPRA'!#REF!,Tabla11[[#This Row],[Cuenta]],1))</f>
        <v>0</v>
      </c>
      <c r="AB173" t="b">
        <f>+ISNUMBER(SEARCH('F-COMPRA'!#REF!,Tabla11[[#This Row],[Cuenta]],1))</f>
        <v>0</v>
      </c>
      <c r="AC173" t="b">
        <f>+ISNUMBER(SEARCH('F-COMPRA'!#REF!,Tabla11[[#This Row],[Cuenta]],1))</f>
        <v>0</v>
      </c>
      <c r="AD173" t="b">
        <f>+ISNUMBER(SEARCH('F-COMPRA'!#REF!,Tabla11[[#This Row],[Cuenta]],1))</f>
        <v>0</v>
      </c>
      <c r="AE173" t="b">
        <f>+ISNUMBER(SEARCH('F-COMPRA'!#REF!,Tabla11[[#This Row],[Cuenta]],1))</f>
        <v>0</v>
      </c>
      <c r="AF173" t="b">
        <f>+ISNUMBER(SEARCH('F-VTA'!$G$23,Tabla11[[#This Row],[Cuenta]],1))</f>
        <v>0</v>
      </c>
      <c r="AG173" t="b">
        <f>+ISNUMBER(SEARCH('F-VTA'!$G$24,Tabla11[[#This Row],[Cuenta]],1))</f>
        <v>0</v>
      </c>
      <c r="AH173" t="b">
        <f>+ISNUMBER(SEARCH('F-VTA'!$G$25,Tabla11[[#This Row],[Cuenta]],1))</f>
        <v>0</v>
      </c>
      <c r="AI173" t="b">
        <f>+ISNUMBER(SEARCH('F-VTA'!$F$28,Tabla11[[#This Row],[Cuenta]],1))</f>
        <v>1</v>
      </c>
      <c r="AJ173" t="b">
        <f>+ISNUMBER(SEARCH('F-VTA'!$F$29,Tabla11[[#This Row],[Cuenta]],1))</f>
        <v>1</v>
      </c>
      <c r="AK173" t="b">
        <f>+ISNUMBER(SEARCH('F-VTA'!$F$30,Tabla11[[#This Row],[Cuenta]],1))</f>
        <v>1</v>
      </c>
      <c r="AL173" t="b">
        <f>+ISNUMBER(SEARCH('F-VTA'!$F$31,Tabla11[[#This Row],[Cuenta]],1))</f>
        <v>1</v>
      </c>
      <c r="AM173" t="b">
        <f>+ISNUMBER(SEARCH('F-VTA'!$F$32,Tabla11[[#This Row],[Cuenta]],1))</f>
        <v>1</v>
      </c>
      <c r="AN173" t="b">
        <f>+ISNUMBER(SEARCH('F-VTA'!$F$33,Tabla11[[#This Row],[Cuenta]],1))</f>
        <v>1</v>
      </c>
      <c r="AO173" t="b">
        <f>+ISNUMBER(SEARCH('F-VTA'!$F$34,Tabla11[[#This Row],[Cuenta]],1))</f>
        <v>1</v>
      </c>
      <c r="AP173" t="b">
        <f>+ISNUMBER(SEARCH('F-VTA'!$F$35,Tabla11[[#This Row],[Cuenta]],1))</f>
        <v>1</v>
      </c>
      <c r="AQ173" t="b">
        <f>+ISNUMBER(SEARCH('F-VTA'!$F$36,Tabla11[[#This Row],[Cuenta]],1))</f>
        <v>1</v>
      </c>
      <c r="AR173" t="b">
        <f>+ISNUMBER(SEARCH(#REF!,Tabla11[[#This Row],[Cuenta]],1))</f>
        <v>0</v>
      </c>
      <c r="AS173" t="b">
        <f>+ISNUMBER(SEARCH(#REF!,Tabla11[[#This Row],[Cuenta]],1))</f>
        <v>0</v>
      </c>
      <c r="AT173" t="b">
        <f>+ISNUMBER(SEARCH(#REF!,Tabla11[[#This Row],[Cuenta]],1))</f>
        <v>0</v>
      </c>
      <c r="AU173" t="b">
        <f>+ISNUMBER(SEARCH('Conc. Ban.1'!$I$9,Tabla11[[#This Row],[Cuenta]],1))</f>
        <v>0</v>
      </c>
      <c r="AV173" t="b">
        <f>+ISNUMBER(SEARCH(CompConta!$F$21,Tabla11[[#This Row],[Cuenta]],1))</f>
        <v>1</v>
      </c>
      <c r="AW173" t="b">
        <f>+ISNUMBER(SEARCH(CompConta!$F$22,Tabla11[[#This Row],[Cuenta]],1))</f>
        <v>1</v>
      </c>
      <c r="AX173" t="b">
        <f>+ISNUMBER(SEARCH(CompConta!$F$23,Tabla11[[#This Row],[Cuenta]],1))</f>
        <v>1</v>
      </c>
      <c r="AY173" t="b">
        <f>+ISNUMBER(SEARCH(CompConta!$F$24,Tabla11[[#This Row],[Cuenta]],1))</f>
        <v>1</v>
      </c>
      <c r="AZ173" t="b">
        <f>+ISNUMBER(SEARCH(CompConta!$F$25,Tabla11[[#This Row],[Cuenta]],1))</f>
        <v>1</v>
      </c>
      <c r="BA173" t="b">
        <f>+ISNUMBER(SEARCH(CompConta!$F$26,Tabla11[[#This Row],[Cuenta]],1))</f>
        <v>1</v>
      </c>
      <c r="BB173" t="b">
        <f>+ISNUMBER(SEARCH(CompConta!$F$27,Tabla11[[#This Row],[Cuenta]],1))</f>
        <v>1</v>
      </c>
      <c r="BC173" t="b">
        <f>+ISNUMBER(SEARCH(CompConta!$F$28,Tabla11[[#This Row],[Cuenta]],1))</f>
        <v>1</v>
      </c>
      <c r="BD173" t="b">
        <f>+ISNUMBER(SEARCH(CompConta!$F$29,Tabla11[[#This Row],[Cuenta]],1))</f>
        <v>1</v>
      </c>
      <c r="BE173" t="b">
        <f>+ISNUMBER(SEARCH(CompConta!$F$30,Tabla11[[#This Row],[Cuenta]],1))</f>
        <v>1</v>
      </c>
      <c r="BF173" t="b">
        <f>+ISNUMBER(SEARCH('PAGO Compras'!$E$11,Tabla11[[#This Row],[Cuenta]],1))</f>
        <v>1</v>
      </c>
      <c r="BG173" t="b">
        <f>+ISNUMBER(SEARCH(#REF!,Tabla11[[#This Row],[Cuenta]],1))</f>
        <v>0</v>
      </c>
      <c r="BH173" t="b">
        <f>+ISNUMBER(SEARCH(#REF!,Tabla11[[#This Row],[Cuenta]],1))</f>
        <v>0</v>
      </c>
      <c r="BI173" t="b">
        <f>+ISNUMBER(SEARCH(#REF!,Tabla11[[#This Row],[Cuenta]],1))</f>
        <v>0</v>
      </c>
      <c r="BJ173" t="b">
        <f>+ISNUMBER(SEARCH(#REF!,Tabla11[[#This Row],[Cuenta]],1))</f>
        <v>0</v>
      </c>
      <c r="BS173" t="str">
        <v>154017 Recolectores y contenedores</v>
      </c>
      <c r="BT173" t="str">
        <v>154017 Recolectores y contenedores</v>
      </c>
      <c r="BU173" t="str">
        <v>154017 Recolectores y contenedores</v>
      </c>
      <c r="BV173" t="str">
        <v>154017 Recolectores y contenedores</v>
      </c>
      <c r="BZ173" t="str">
        <v>154017 Recolectores y contenedores</v>
      </c>
      <c r="CA173" t="str">
        <v>154017 Recolectores y contenedores</v>
      </c>
      <c r="CB173" t="str">
        <v>154017 Recolectores y contenedores</v>
      </c>
      <c r="CC173" t="str">
        <v>154017 Recolectores y contenedores</v>
      </c>
      <c r="CD173" t="str">
        <v>154017 Recolectores y contenedores</v>
      </c>
      <c r="CE173" t="str">
        <v>154017 Recolectores y contenedores</v>
      </c>
      <c r="CS173" s="141" t="str">
        <v>154017 Recolectores y contenedores</v>
      </c>
      <c r="CT173" s="141" t="str">
        <v>154017 Recolectores y contenedores</v>
      </c>
      <c r="CU173" s="141" t="str">
        <v>154017 Recolectores y contenedores</v>
      </c>
      <c r="CV173" s="141" t="str">
        <v>154017 Recolectores y contenedores</v>
      </c>
      <c r="CW173" s="141" t="str">
        <v>154017 Recolectores y contenedores</v>
      </c>
      <c r="CX173" s="141" t="str">
        <v>154017 Recolectores y contenedores</v>
      </c>
      <c r="CY173" s="141" t="str">
        <v>154017 Recolectores y contenedores</v>
      </c>
      <c r="CZ173" s="141" t="str">
        <v>154017 Recolectores y contenedores</v>
      </c>
      <c r="DA173" s="141" t="str">
        <v>154017 Recolectores y contenedores</v>
      </c>
      <c r="DF173" t="str">
        <v>154017 Recolectores y contenedores</v>
      </c>
      <c r="DG173" t="str">
        <v>154017 Recolectores y contenedores</v>
      </c>
      <c r="DH173" t="str">
        <v>154017 Recolectores y contenedores</v>
      </c>
      <c r="DI173" t="str">
        <v>154017 Recolectores y contenedores</v>
      </c>
      <c r="DJ173" t="str">
        <v>154017 Recolectores y contenedores</v>
      </c>
      <c r="DK173" t="str">
        <v>154017 Recolectores y contenedores</v>
      </c>
      <c r="DL173" t="str">
        <v>154017 Recolectores y contenedores</v>
      </c>
      <c r="DM173" t="str">
        <v>154017 Recolectores y contenedores</v>
      </c>
      <c r="DN173" t="str">
        <v>154017 Recolectores y contenedores</v>
      </c>
      <c r="DO173" t="str">
        <v>154017 Recolectores y contenedores</v>
      </c>
      <c r="DP173" t="str">
        <v>154017 Recolectores y contenedores</v>
      </c>
    </row>
    <row r="174" spans="4:120" ht="12.75">
      <c r="D174" s="7">
        <v>154020</v>
      </c>
      <c r="E174" s="6" t="s">
        <v>180</v>
      </c>
      <c r="F174" s="5">
        <v>4</v>
      </c>
      <c r="G174" s="34" t="s">
        <v>822</v>
      </c>
      <c r="H174" s="8" t="s">
        <v>32</v>
      </c>
      <c r="I174" t="b">
        <f>+ISNUMBER(SEARCH('F-COMPRA'!$F$28,Tabla11[[#This Row],[Cuenta]],1))</f>
        <v>1</v>
      </c>
      <c r="J174" t="b">
        <f>+ISNUMBER(SEARCH('F-COMPRA'!$F$29,Tabla11[[#This Row],[Cuenta]],1))</f>
        <v>1</v>
      </c>
      <c r="K174" t="b">
        <f>+ISNUMBER(SEARCH('F-COMPRA'!$F$30,Tabla11[[#This Row],[Cuenta]],1))</f>
        <v>1</v>
      </c>
      <c r="L174" t="b">
        <f>+ISNUMBER(SEARCH('F-COMPRA'!$F$31,Tabla11[[#This Row],[Cuenta]],1))</f>
        <v>1</v>
      </c>
      <c r="M174" t="b">
        <f>+ISNUMBER(SEARCH('F-COMPRA'!$G$25,Tabla11[[#This Row],[Cuenta]],1))</f>
        <v>0</v>
      </c>
      <c r="N174" t="b">
        <f>+ISNUMBER(SEARCH(#REF!,Tabla11[[#This Row],[Cuenta]],1))</f>
        <v>0</v>
      </c>
      <c r="O174" t="b">
        <f>+ISNUMBER(SEARCH(#REF!,Tabla11[[#This Row],[Cuenta]],1))</f>
        <v>0</v>
      </c>
      <c r="P174" t="b">
        <f>+ISNUMBER(SEARCH('F-COMPRA'!$F$32,Tabla11[[#This Row],[Cuenta]],1))</f>
        <v>1</v>
      </c>
      <c r="Q174" t="b">
        <f>+ISNUMBER(SEARCH('F-COMPRA'!$F$33,Tabla11[[#This Row],[Cuenta]],1))</f>
        <v>1</v>
      </c>
      <c r="R174" t="b">
        <f>+ISNUMBER(SEARCH('F-COMPRA'!$F$34,Tabla11[[#This Row],[Cuenta]],1))</f>
        <v>1</v>
      </c>
      <c r="S174" t="b">
        <f>+ISNUMBER(SEARCH('F-COMPRA'!$F$35,Tabla11[[#This Row],[Cuenta]],1))</f>
        <v>1</v>
      </c>
      <c r="T174" t="b">
        <f>+ISNUMBER(SEARCH('F-COMPRA'!$F$36,Tabla11[[#This Row],[Cuenta]],1))</f>
        <v>1</v>
      </c>
      <c r="U174" t="b">
        <f>+ISNUMBER(SEARCH('F-COMPRA'!$F$37,Tabla11[[#This Row],[Cuenta]],1))</f>
        <v>1</v>
      </c>
      <c r="V174" t="b">
        <f>+ISNUMBER(SEARCH(#REF!,Tabla11[[#This Row],[Cuenta]],1))</f>
        <v>0</v>
      </c>
      <c r="W174" t="b">
        <f>+ISNUMBER(SEARCH('F-COMPRA'!#REF!,Tabla11[[#This Row],[Cuenta]],1))</f>
        <v>0</v>
      </c>
      <c r="X174" t="b">
        <f>+ISNUMBER(SEARCH('F-COMPRA'!#REF!,Tabla11[[#This Row],[Cuenta]],1))</f>
        <v>0</v>
      </c>
      <c r="Y174" t="b">
        <f>+ISNUMBER(SEARCH('F-COMPRA'!#REF!,Tabla11[[#This Row],[Cuenta]],1))</f>
        <v>0</v>
      </c>
      <c r="Z174" t="b">
        <f>+ISNUMBER(SEARCH('F-COMPRA'!#REF!,Tabla11[[#This Row],[Cuenta]],1))</f>
        <v>0</v>
      </c>
      <c r="AA174" t="b">
        <f>+ISNUMBER(SEARCH('F-COMPRA'!#REF!,Tabla11[[#This Row],[Cuenta]],1))</f>
        <v>0</v>
      </c>
      <c r="AB174" t="b">
        <f>+ISNUMBER(SEARCH('F-COMPRA'!#REF!,Tabla11[[#This Row],[Cuenta]],1))</f>
        <v>0</v>
      </c>
      <c r="AC174" t="b">
        <f>+ISNUMBER(SEARCH('F-COMPRA'!#REF!,Tabla11[[#This Row],[Cuenta]],1))</f>
        <v>0</v>
      </c>
      <c r="AD174" t="b">
        <f>+ISNUMBER(SEARCH('F-COMPRA'!#REF!,Tabla11[[#This Row],[Cuenta]],1))</f>
        <v>0</v>
      </c>
      <c r="AE174" t="b">
        <f>+ISNUMBER(SEARCH('F-COMPRA'!#REF!,Tabla11[[#This Row],[Cuenta]],1))</f>
        <v>0</v>
      </c>
      <c r="AF174" t="b">
        <f>+ISNUMBER(SEARCH('F-VTA'!$G$23,Tabla11[[#This Row],[Cuenta]],1))</f>
        <v>0</v>
      </c>
      <c r="AG174" t="b">
        <f>+ISNUMBER(SEARCH('F-VTA'!$G$24,Tabla11[[#This Row],[Cuenta]],1))</f>
        <v>0</v>
      </c>
      <c r="AH174" t="b">
        <f>+ISNUMBER(SEARCH('F-VTA'!$G$25,Tabla11[[#This Row],[Cuenta]],1))</f>
        <v>0</v>
      </c>
      <c r="AI174" t="b">
        <f>+ISNUMBER(SEARCH('F-VTA'!$F$28,Tabla11[[#This Row],[Cuenta]],1))</f>
        <v>1</v>
      </c>
      <c r="AJ174" t="b">
        <f>+ISNUMBER(SEARCH('F-VTA'!$F$29,Tabla11[[#This Row],[Cuenta]],1))</f>
        <v>1</v>
      </c>
      <c r="AK174" t="b">
        <f>+ISNUMBER(SEARCH('F-VTA'!$F$30,Tabla11[[#This Row],[Cuenta]],1))</f>
        <v>1</v>
      </c>
      <c r="AL174" t="b">
        <f>+ISNUMBER(SEARCH('F-VTA'!$F$31,Tabla11[[#This Row],[Cuenta]],1))</f>
        <v>1</v>
      </c>
      <c r="AM174" t="b">
        <f>+ISNUMBER(SEARCH('F-VTA'!$F$32,Tabla11[[#This Row],[Cuenta]],1))</f>
        <v>1</v>
      </c>
      <c r="AN174" t="b">
        <f>+ISNUMBER(SEARCH('F-VTA'!$F$33,Tabla11[[#This Row],[Cuenta]],1))</f>
        <v>1</v>
      </c>
      <c r="AO174" t="b">
        <f>+ISNUMBER(SEARCH('F-VTA'!$F$34,Tabla11[[#This Row],[Cuenta]],1))</f>
        <v>1</v>
      </c>
      <c r="AP174" t="b">
        <f>+ISNUMBER(SEARCH('F-VTA'!$F$35,Tabla11[[#This Row],[Cuenta]],1))</f>
        <v>1</v>
      </c>
      <c r="AQ174" t="b">
        <f>+ISNUMBER(SEARCH('F-VTA'!$F$36,Tabla11[[#This Row],[Cuenta]],1))</f>
        <v>1</v>
      </c>
      <c r="AR174" t="b">
        <f>+ISNUMBER(SEARCH(#REF!,Tabla11[[#This Row],[Cuenta]],1))</f>
        <v>0</v>
      </c>
      <c r="AS174" t="b">
        <f>+ISNUMBER(SEARCH(#REF!,Tabla11[[#This Row],[Cuenta]],1))</f>
        <v>0</v>
      </c>
      <c r="AT174" t="b">
        <f>+ISNUMBER(SEARCH(#REF!,Tabla11[[#This Row],[Cuenta]],1))</f>
        <v>0</v>
      </c>
      <c r="AU174" t="b">
        <f>+ISNUMBER(SEARCH('Conc. Ban.1'!$I$9,Tabla11[[#This Row],[Cuenta]],1))</f>
        <v>0</v>
      </c>
      <c r="AV174" t="b">
        <f>+ISNUMBER(SEARCH(CompConta!$F$21,Tabla11[[#This Row],[Cuenta]],1))</f>
        <v>1</v>
      </c>
      <c r="AW174" t="b">
        <f>+ISNUMBER(SEARCH(CompConta!$F$22,Tabla11[[#This Row],[Cuenta]],1))</f>
        <v>1</v>
      </c>
      <c r="AX174" t="b">
        <f>+ISNUMBER(SEARCH(CompConta!$F$23,Tabla11[[#This Row],[Cuenta]],1))</f>
        <v>1</v>
      </c>
      <c r="AY174" t="b">
        <f>+ISNUMBER(SEARCH(CompConta!$F$24,Tabla11[[#This Row],[Cuenta]],1))</f>
        <v>1</v>
      </c>
      <c r="AZ174" t="b">
        <f>+ISNUMBER(SEARCH(CompConta!$F$25,Tabla11[[#This Row],[Cuenta]],1))</f>
        <v>1</v>
      </c>
      <c r="BA174" t="b">
        <f>+ISNUMBER(SEARCH(CompConta!$F$26,Tabla11[[#This Row],[Cuenta]],1))</f>
        <v>1</v>
      </c>
      <c r="BB174" t="b">
        <f>+ISNUMBER(SEARCH(CompConta!$F$27,Tabla11[[#This Row],[Cuenta]],1))</f>
        <v>1</v>
      </c>
      <c r="BC174" t="b">
        <f>+ISNUMBER(SEARCH(CompConta!$F$28,Tabla11[[#This Row],[Cuenta]],1))</f>
        <v>1</v>
      </c>
      <c r="BD174" t="b">
        <f>+ISNUMBER(SEARCH(CompConta!$F$29,Tabla11[[#This Row],[Cuenta]],1))</f>
        <v>1</v>
      </c>
      <c r="BE174" t="b">
        <f>+ISNUMBER(SEARCH(CompConta!$F$30,Tabla11[[#This Row],[Cuenta]],1))</f>
        <v>1</v>
      </c>
      <c r="BF174" t="b">
        <f>+ISNUMBER(SEARCH('PAGO Compras'!$E$11,Tabla11[[#This Row],[Cuenta]],1))</f>
        <v>1</v>
      </c>
      <c r="BG174" t="b">
        <f>+ISNUMBER(SEARCH(#REF!,Tabla11[[#This Row],[Cuenta]],1))</f>
        <v>0</v>
      </c>
      <c r="BH174" t="b">
        <f>+ISNUMBER(SEARCH(#REF!,Tabla11[[#This Row],[Cuenta]],1))</f>
        <v>0</v>
      </c>
      <c r="BI174" t="b">
        <f>+ISNUMBER(SEARCH(#REF!,Tabla11[[#This Row],[Cuenta]],1))</f>
        <v>0</v>
      </c>
      <c r="BJ174" t="b">
        <f>+ISNUMBER(SEARCH(#REF!,Tabla11[[#This Row],[Cuenta]],1))</f>
        <v>0</v>
      </c>
      <c r="BS174" t="str">
        <v>154020 Montacargas</v>
      </c>
      <c r="BT174" t="str">
        <v>154020 Montacargas</v>
      </c>
      <c r="BU174" t="str">
        <v>154020 Montacargas</v>
      </c>
      <c r="BV174" t="str">
        <v>154020 Montacargas</v>
      </c>
      <c r="BZ174" t="str">
        <v>154020 Montacargas</v>
      </c>
      <c r="CA174" t="str">
        <v>154020 Montacargas</v>
      </c>
      <c r="CB174" t="str">
        <v>154020 Montacargas</v>
      </c>
      <c r="CC174" t="str">
        <v>154020 Montacargas</v>
      </c>
      <c r="CD174" t="str">
        <v>154020 Montacargas</v>
      </c>
      <c r="CE174" t="str">
        <v>154020 Montacargas</v>
      </c>
      <c r="CS174" s="141" t="str">
        <v>154020 Montacargas</v>
      </c>
      <c r="CT174" s="141" t="str">
        <v>154020 Montacargas</v>
      </c>
      <c r="CU174" s="141" t="str">
        <v>154020 Montacargas</v>
      </c>
      <c r="CV174" s="141" t="str">
        <v>154020 Montacargas</v>
      </c>
      <c r="CW174" s="141" t="str">
        <v>154020 Montacargas</v>
      </c>
      <c r="CX174" s="141" t="str">
        <v>154020 Montacargas</v>
      </c>
      <c r="CY174" s="141" t="str">
        <v>154020 Montacargas</v>
      </c>
      <c r="CZ174" s="141" t="str">
        <v>154020 Montacargas</v>
      </c>
      <c r="DA174" s="141" t="str">
        <v>154020 Montacargas</v>
      </c>
      <c r="DF174" t="str">
        <v>154020 Montacargas</v>
      </c>
      <c r="DG174" t="str">
        <v>154020 Montacargas</v>
      </c>
      <c r="DH174" t="str">
        <v>154020 Montacargas</v>
      </c>
      <c r="DI174" t="str">
        <v>154020 Montacargas</v>
      </c>
      <c r="DJ174" t="str">
        <v>154020 Montacargas</v>
      </c>
      <c r="DK174" t="str">
        <v>154020 Montacargas</v>
      </c>
      <c r="DL174" t="str">
        <v>154020 Montacargas</v>
      </c>
      <c r="DM174" t="str">
        <v>154020 Montacargas</v>
      </c>
      <c r="DN174" t="str">
        <v>154020 Montacargas</v>
      </c>
      <c r="DO174" t="str">
        <v>154020 Montacargas</v>
      </c>
      <c r="DP174" t="str">
        <v>154020 Montacargas</v>
      </c>
    </row>
    <row r="175" spans="4:120" ht="12.75">
      <c r="D175" s="7">
        <v>154025</v>
      </c>
      <c r="E175" s="6" t="s">
        <v>181</v>
      </c>
      <c r="F175" s="5">
        <v>4</v>
      </c>
      <c r="G175" s="34" t="s">
        <v>822</v>
      </c>
      <c r="H175" s="8" t="s">
        <v>32</v>
      </c>
      <c r="I175" t="b">
        <f>+ISNUMBER(SEARCH('F-COMPRA'!$F$28,Tabla11[[#This Row],[Cuenta]],1))</f>
        <v>1</v>
      </c>
      <c r="J175" t="b">
        <f>+ISNUMBER(SEARCH('F-COMPRA'!$F$29,Tabla11[[#This Row],[Cuenta]],1))</f>
        <v>1</v>
      </c>
      <c r="K175" t="b">
        <f>+ISNUMBER(SEARCH('F-COMPRA'!$F$30,Tabla11[[#This Row],[Cuenta]],1))</f>
        <v>1</v>
      </c>
      <c r="L175" t="b">
        <f>+ISNUMBER(SEARCH('F-COMPRA'!$F$31,Tabla11[[#This Row],[Cuenta]],1))</f>
        <v>1</v>
      </c>
      <c r="M175" t="b">
        <f>+ISNUMBER(SEARCH('F-COMPRA'!$G$25,Tabla11[[#This Row],[Cuenta]],1))</f>
        <v>0</v>
      </c>
      <c r="N175" t="b">
        <f>+ISNUMBER(SEARCH(#REF!,Tabla11[[#This Row],[Cuenta]],1))</f>
        <v>0</v>
      </c>
      <c r="O175" t="b">
        <f>+ISNUMBER(SEARCH(#REF!,Tabla11[[#This Row],[Cuenta]],1))</f>
        <v>0</v>
      </c>
      <c r="P175" t="b">
        <f>+ISNUMBER(SEARCH('F-COMPRA'!$F$32,Tabla11[[#This Row],[Cuenta]],1))</f>
        <v>1</v>
      </c>
      <c r="Q175" t="b">
        <f>+ISNUMBER(SEARCH('F-COMPRA'!$F$33,Tabla11[[#This Row],[Cuenta]],1))</f>
        <v>1</v>
      </c>
      <c r="R175" t="b">
        <f>+ISNUMBER(SEARCH('F-COMPRA'!$F$34,Tabla11[[#This Row],[Cuenta]],1))</f>
        <v>1</v>
      </c>
      <c r="S175" t="b">
        <f>+ISNUMBER(SEARCH('F-COMPRA'!$F$35,Tabla11[[#This Row],[Cuenta]],1))</f>
        <v>1</v>
      </c>
      <c r="T175" t="b">
        <f>+ISNUMBER(SEARCH('F-COMPRA'!$F$36,Tabla11[[#This Row],[Cuenta]],1))</f>
        <v>1</v>
      </c>
      <c r="U175" t="b">
        <f>+ISNUMBER(SEARCH('F-COMPRA'!$F$37,Tabla11[[#This Row],[Cuenta]],1))</f>
        <v>1</v>
      </c>
      <c r="V175" t="b">
        <f>+ISNUMBER(SEARCH(#REF!,Tabla11[[#This Row],[Cuenta]],1))</f>
        <v>0</v>
      </c>
      <c r="W175" t="b">
        <f>+ISNUMBER(SEARCH('F-COMPRA'!#REF!,Tabla11[[#This Row],[Cuenta]],1))</f>
        <v>0</v>
      </c>
      <c r="X175" t="b">
        <f>+ISNUMBER(SEARCH('F-COMPRA'!#REF!,Tabla11[[#This Row],[Cuenta]],1))</f>
        <v>0</v>
      </c>
      <c r="Y175" t="b">
        <f>+ISNUMBER(SEARCH('F-COMPRA'!#REF!,Tabla11[[#This Row],[Cuenta]],1))</f>
        <v>0</v>
      </c>
      <c r="Z175" t="b">
        <f>+ISNUMBER(SEARCH('F-COMPRA'!#REF!,Tabla11[[#This Row],[Cuenta]],1))</f>
        <v>0</v>
      </c>
      <c r="AA175" t="b">
        <f>+ISNUMBER(SEARCH('F-COMPRA'!#REF!,Tabla11[[#This Row],[Cuenta]],1))</f>
        <v>0</v>
      </c>
      <c r="AB175" t="b">
        <f>+ISNUMBER(SEARCH('F-COMPRA'!#REF!,Tabla11[[#This Row],[Cuenta]],1))</f>
        <v>0</v>
      </c>
      <c r="AC175" t="b">
        <f>+ISNUMBER(SEARCH('F-COMPRA'!#REF!,Tabla11[[#This Row],[Cuenta]],1))</f>
        <v>0</v>
      </c>
      <c r="AD175" t="b">
        <f>+ISNUMBER(SEARCH('F-COMPRA'!#REF!,Tabla11[[#This Row],[Cuenta]],1))</f>
        <v>0</v>
      </c>
      <c r="AE175" t="b">
        <f>+ISNUMBER(SEARCH('F-COMPRA'!#REF!,Tabla11[[#This Row],[Cuenta]],1))</f>
        <v>0</v>
      </c>
      <c r="AF175" t="b">
        <f>+ISNUMBER(SEARCH('F-VTA'!$G$23,Tabla11[[#This Row],[Cuenta]],1))</f>
        <v>0</v>
      </c>
      <c r="AG175" t="b">
        <f>+ISNUMBER(SEARCH('F-VTA'!$G$24,Tabla11[[#This Row],[Cuenta]],1))</f>
        <v>0</v>
      </c>
      <c r="AH175" t="b">
        <f>+ISNUMBER(SEARCH('F-VTA'!$G$25,Tabla11[[#This Row],[Cuenta]],1))</f>
        <v>0</v>
      </c>
      <c r="AI175" t="b">
        <f>+ISNUMBER(SEARCH('F-VTA'!$F$28,Tabla11[[#This Row],[Cuenta]],1))</f>
        <v>1</v>
      </c>
      <c r="AJ175" t="b">
        <f>+ISNUMBER(SEARCH('F-VTA'!$F$29,Tabla11[[#This Row],[Cuenta]],1))</f>
        <v>1</v>
      </c>
      <c r="AK175" t="b">
        <f>+ISNUMBER(SEARCH('F-VTA'!$F$30,Tabla11[[#This Row],[Cuenta]],1))</f>
        <v>1</v>
      </c>
      <c r="AL175" t="b">
        <f>+ISNUMBER(SEARCH('F-VTA'!$F$31,Tabla11[[#This Row],[Cuenta]],1))</f>
        <v>1</v>
      </c>
      <c r="AM175" t="b">
        <f>+ISNUMBER(SEARCH('F-VTA'!$F$32,Tabla11[[#This Row],[Cuenta]],1))</f>
        <v>1</v>
      </c>
      <c r="AN175" t="b">
        <f>+ISNUMBER(SEARCH('F-VTA'!$F$33,Tabla11[[#This Row],[Cuenta]],1))</f>
        <v>1</v>
      </c>
      <c r="AO175" t="b">
        <f>+ISNUMBER(SEARCH('F-VTA'!$F$34,Tabla11[[#This Row],[Cuenta]],1))</f>
        <v>1</v>
      </c>
      <c r="AP175" t="b">
        <f>+ISNUMBER(SEARCH('F-VTA'!$F$35,Tabla11[[#This Row],[Cuenta]],1))</f>
        <v>1</v>
      </c>
      <c r="AQ175" t="b">
        <f>+ISNUMBER(SEARCH('F-VTA'!$F$36,Tabla11[[#This Row],[Cuenta]],1))</f>
        <v>1</v>
      </c>
      <c r="AR175" t="b">
        <f>+ISNUMBER(SEARCH(#REF!,Tabla11[[#This Row],[Cuenta]],1))</f>
        <v>0</v>
      </c>
      <c r="AS175" t="b">
        <f>+ISNUMBER(SEARCH(#REF!,Tabla11[[#This Row],[Cuenta]],1))</f>
        <v>0</v>
      </c>
      <c r="AT175" t="b">
        <f>+ISNUMBER(SEARCH(#REF!,Tabla11[[#This Row],[Cuenta]],1))</f>
        <v>0</v>
      </c>
      <c r="AU175" t="b">
        <f>+ISNUMBER(SEARCH('Conc. Ban.1'!$I$9,Tabla11[[#This Row],[Cuenta]],1))</f>
        <v>0</v>
      </c>
      <c r="AV175" t="b">
        <f>+ISNUMBER(SEARCH(CompConta!$F$21,Tabla11[[#This Row],[Cuenta]],1))</f>
        <v>1</v>
      </c>
      <c r="AW175" t="b">
        <f>+ISNUMBER(SEARCH(CompConta!$F$22,Tabla11[[#This Row],[Cuenta]],1))</f>
        <v>1</v>
      </c>
      <c r="AX175" t="b">
        <f>+ISNUMBER(SEARCH(CompConta!$F$23,Tabla11[[#This Row],[Cuenta]],1))</f>
        <v>1</v>
      </c>
      <c r="AY175" t="b">
        <f>+ISNUMBER(SEARCH(CompConta!$F$24,Tabla11[[#This Row],[Cuenta]],1))</f>
        <v>1</v>
      </c>
      <c r="AZ175" t="b">
        <f>+ISNUMBER(SEARCH(CompConta!$F$25,Tabla11[[#This Row],[Cuenta]],1))</f>
        <v>1</v>
      </c>
      <c r="BA175" t="b">
        <f>+ISNUMBER(SEARCH(CompConta!$F$26,Tabla11[[#This Row],[Cuenta]],1))</f>
        <v>1</v>
      </c>
      <c r="BB175" t="b">
        <f>+ISNUMBER(SEARCH(CompConta!$F$27,Tabla11[[#This Row],[Cuenta]],1))</f>
        <v>1</v>
      </c>
      <c r="BC175" t="b">
        <f>+ISNUMBER(SEARCH(CompConta!$F$28,Tabla11[[#This Row],[Cuenta]],1))</f>
        <v>1</v>
      </c>
      <c r="BD175" t="b">
        <f>+ISNUMBER(SEARCH(CompConta!$F$29,Tabla11[[#This Row],[Cuenta]],1))</f>
        <v>1</v>
      </c>
      <c r="BE175" t="b">
        <f>+ISNUMBER(SEARCH(CompConta!$F$30,Tabla11[[#This Row],[Cuenta]],1))</f>
        <v>1</v>
      </c>
      <c r="BF175" t="b">
        <f>+ISNUMBER(SEARCH('PAGO Compras'!$E$11,Tabla11[[#This Row],[Cuenta]],1))</f>
        <v>1</v>
      </c>
      <c r="BG175" t="b">
        <f>+ISNUMBER(SEARCH(#REF!,Tabla11[[#This Row],[Cuenta]],1))</f>
        <v>0</v>
      </c>
      <c r="BH175" t="b">
        <f>+ISNUMBER(SEARCH(#REF!,Tabla11[[#This Row],[Cuenta]],1))</f>
        <v>0</v>
      </c>
      <c r="BI175" t="b">
        <f>+ISNUMBER(SEARCH(#REF!,Tabla11[[#This Row],[Cuenta]],1))</f>
        <v>0</v>
      </c>
      <c r="BJ175" t="b">
        <f>+ISNUMBER(SEARCH(#REF!,Tabla11[[#This Row],[Cuenta]],1))</f>
        <v>0</v>
      </c>
      <c r="BS175" t="str">
        <v>154025 Palas y grúas</v>
      </c>
      <c r="BT175" t="str">
        <v>154025 Palas y grúas</v>
      </c>
      <c r="BU175" t="str">
        <v>154025 Palas y grúas</v>
      </c>
      <c r="BV175" t="str">
        <v>154025 Palas y grúas</v>
      </c>
      <c r="BZ175" t="str">
        <v>154025 Palas y grúas</v>
      </c>
      <c r="CA175" t="str">
        <v>154025 Palas y grúas</v>
      </c>
      <c r="CB175" t="str">
        <v>154025 Palas y grúas</v>
      </c>
      <c r="CC175" t="str">
        <v>154025 Palas y grúas</v>
      </c>
      <c r="CD175" t="str">
        <v>154025 Palas y grúas</v>
      </c>
      <c r="CE175" t="str">
        <v>154025 Palas y grúas</v>
      </c>
      <c r="CS175" s="141" t="str">
        <v>154025 Palas y grúas</v>
      </c>
      <c r="CT175" s="141" t="str">
        <v>154025 Palas y grúas</v>
      </c>
      <c r="CU175" s="141" t="str">
        <v>154025 Palas y grúas</v>
      </c>
      <c r="CV175" s="141" t="str">
        <v>154025 Palas y grúas</v>
      </c>
      <c r="CW175" s="141" t="str">
        <v>154025 Palas y grúas</v>
      </c>
      <c r="CX175" s="141" t="str">
        <v>154025 Palas y grúas</v>
      </c>
      <c r="CY175" s="141" t="str">
        <v>154025 Palas y grúas</v>
      </c>
      <c r="CZ175" s="141" t="str">
        <v>154025 Palas y grúas</v>
      </c>
      <c r="DA175" s="141" t="str">
        <v>154025 Palas y grúas</v>
      </c>
      <c r="DF175" t="str">
        <v>154025 Palas y grúas</v>
      </c>
      <c r="DG175" t="str">
        <v>154025 Palas y grúas</v>
      </c>
      <c r="DH175" t="str">
        <v>154025 Palas y grúas</v>
      </c>
      <c r="DI175" t="str">
        <v>154025 Palas y grúas</v>
      </c>
      <c r="DJ175" t="str">
        <v>154025 Palas y grúas</v>
      </c>
      <c r="DK175" t="str">
        <v>154025 Palas y grúas</v>
      </c>
      <c r="DL175" t="str">
        <v>154025 Palas y grúas</v>
      </c>
      <c r="DM175" t="str">
        <v>154025 Palas y grúas</v>
      </c>
      <c r="DN175" t="str">
        <v>154025 Palas y grúas</v>
      </c>
      <c r="DO175" t="str">
        <v>154025 Palas y grúas</v>
      </c>
      <c r="DP175" t="str">
        <v>154025 Palas y grúas</v>
      </c>
    </row>
    <row r="176" spans="4:120" ht="12.75">
      <c r="D176" s="7">
        <v>154030</v>
      </c>
      <c r="E176" s="6" t="s">
        <v>182</v>
      </c>
      <c r="F176" s="5">
        <v>4</v>
      </c>
      <c r="G176" s="34" t="s">
        <v>822</v>
      </c>
      <c r="H176" s="8" t="s">
        <v>32</v>
      </c>
      <c r="I176" t="b">
        <f>+ISNUMBER(SEARCH('F-COMPRA'!$F$28,Tabla11[[#This Row],[Cuenta]],1))</f>
        <v>1</v>
      </c>
      <c r="J176" t="b">
        <f>+ISNUMBER(SEARCH('F-COMPRA'!$F$29,Tabla11[[#This Row],[Cuenta]],1))</f>
        <v>1</v>
      </c>
      <c r="K176" t="b">
        <f>+ISNUMBER(SEARCH('F-COMPRA'!$F$30,Tabla11[[#This Row],[Cuenta]],1))</f>
        <v>1</v>
      </c>
      <c r="L176" t="b">
        <f>+ISNUMBER(SEARCH('F-COMPRA'!$F$31,Tabla11[[#This Row],[Cuenta]],1))</f>
        <v>1</v>
      </c>
      <c r="M176" t="b">
        <f>+ISNUMBER(SEARCH('F-COMPRA'!$G$25,Tabla11[[#This Row],[Cuenta]],1))</f>
        <v>0</v>
      </c>
      <c r="N176" t="b">
        <f>+ISNUMBER(SEARCH(#REF!,Tabla11[[#This Row],[Cuenta]],1))</f>
        <v>0</v>
      </c>
      <c r="O176" t="b">
        <f>+ISNUMBER(SEARCH(#REF!,Tabla11[[#This Row],[Cuenta]],1))</f>
        <v>0</v>
      </c>
      <c r="P176" t="b">
        <f>+ISNUMBER(SEARCH('F-COMPRA'!$F$32,Tabla11[[#This Row],[Cuenta]],1))</f>
        <v>1</v>
      </c>
      <c r="Q176" t="b">
        <f>+ISNUMBER(SEARCH('F-COMPRA'!$F$33,Tabla11[[#This Row],[Cuenta]],1))</f>
        <v>1</v>
      </c>
      <c r="R176" t="b">
        <f>+ISNUMBER(SEARCH('F-COMPRA'!$F$34,Tabla11[[#This Row],[Cuenta]],1))</f>
        <v>1</v>
      </c>
      <c r="S176" t="b">
        <f>+ISNUMBER(SEARCH('F-COMPRA'!$F$35,Tabla11[[#This Row],[Cuenta]],1))</f>
        <v>1</v>
      </c>
      <c r="T176" t="b">
        <f>+ISNUMBER(SEARCH('F-COMPRA'!$F$36,Tabla11[[#This Row],[Cuenta]],1))</f>
        <v>1</v>
      </c>
      <c r="U176" t="b">
        <f>+ISNUMBER(SEARCH('F-COMPRA'!$F$37,Tabla11[[#This Row],[Cuenta]],1))</f>
        <v>1</v>
      </c>
      <c r="V176" t="b">
        <f>+ISNUMBER(SEARCH(#REF!,Tabla11[[#This Row],[Cuenta]],1))</f>
        <v>0</v>
      </c>
      <c r="W176" t="b">
        <f>+ISNUMBER(SEARCH('F-COMPRA'!#REF!,Tabla11[[#This Row],[Cuenta]],1))</f>
        <v>0</v>
      </c>
      <c r="X176" t="b">
        <f>+ISNUMBER(SEARCH('F-COMPRA'!#REF!,Tabla11[[#This Row],[Cuenta]],1))</f>
        <v>0</v>
      </c>
      <c r="Y176" t="b">
        <f>+ISNUMBER(SEARCH('F-COMPRA'!#REF!,Tabla11[[#This Row],[Cuenta]],1))</f>
        <v>0</v>
      </c>
      <c r="Z176" t="b">
        <f>+ISNUMBER(SEARCH('F-COMPRA'!#REF!,Tabla11[[#This Row],[Cuenta]],1))</f>
        <v>0</v>
      </c>
      <c r="AA176" t="b">
        <f>+ISNUMBER(SEARCH('F-COMPRA'!#REF!,Tabla11[[#This Row],[Cuenta]],1))</f>
        <v>0</v>
      </c>
      <c r="AB176" t="b">
        <f>+ISNUMBER(SEARCH('F-COMPRA'!#REF!,Tabla11[[#This Row],[Cuenta]],1))</f>
        <v>0</v>
      </c>
      <c r="AC176" t="b">
        <f>+ISNUMBER(SEARCH('F-COMPRA'!#REF!,Tabla11[[#This Row],[Cuenta]],1))</f>
        <v>0</v>
      </c>
      <c r="AD176" t="b">
        <f>+ISNUMBER(SEARCH('F-COMPRA'!#REF!,Tabla11[[#This Row],[Cuenta]],1))</f>
        <v>0</v>
      </c>
      <c r="AE176" t="b">
        <f>+ISNUMBER(SEARCH('F-COMPRA'!#REF!,Tabla11[[#This Row],[Cuenta]],1))</f>
        <v>0</v>
      </c>
      <c r="AF176" t="b">
        <f>+ISNUMBER(SEARCH('F-VTA'!$G$23,Tabla11[[#This Row],[Cuenta]],1))</f>
        <v>0</v>
      </c>
      <c r="AG176" t="b">
        <f>+ISNUMBER(SEARCH('F-VTA'!$G$24,Tabla11[[#This Row],[Cuenta]],1))</f>
        <v>0</v>
      </c>
      <c r="AH176" t="b">
        <f>+ISNUMBER(SEARCH('F-VTA'!$G$25,Tabla11[[#This Row],[Cuenta]],1))</f>
        <v>0</v>
      </c>
      <c r="AI176" t="b">
        <f>+ISNUMBER(SEARCH('F-VTA'!$F$28,Tabla11[[#This Row],[Cuenta]],1))</f>
        <v>1</v>
      </c>
      <c r="AJ176" t="b">
        <f>+ISNUMBER(SEARCH('F-VTA'!$F$29,Tabla11[[#This Row],[Cuenta]],1))</f>
        <v>1</v>
      </c>
      <c r="AK176" t="b">
        <f>+ISNUMBER(SEARCH('F-VTA'!$F$30,Tabla11[[#This Row],[Cuenta]],1))</f>
        <v>1</v>
      </c>
      <c r="AL176" t="b">
        <f>+ISNUMBER(SEARCH('F-VTA'!$F$31,Tabla11[[#This Row],[Cuenta]],1))</f>
        <v>1</v>
      </c>
      <c r="AM176" t="b">
        <f>+ISNUMBER(SEARCH('F-VTA'!$F$32,Tabla11[[#This Row],[Cuenta]],1))</f>
        <v>1</v>
      </c>
      <c r="AN176" t="b">
        <f>+ISNUMBER(SEARCH('F-VTA'!$F$33,Tabla11[[#This Row],[Cuenta]],1))</f>
        <v>1</v>
      </c>
      <c r="AO176" t="b">
        <f>+ISNUMBER(SEARCH('F-VTA'!$F$34,Tabla11[[#This Row],[Cuenta]],1))</f>
        <v>1</v>
      </c>
      <c r="AP176" t="b">
        <f>+ISNUMBER(SEARCH('F-VTA'!$F$35,Tabla11[[#This Row],[Cuenta]],1))</f>
        <v>1</v>
      </c>
      <c r="AQ176" t="b">
        <f>+ISNUMBER(SEARCH('F-VTA'!$F$36,Tabla11[[#This Row],[Cuenta]],1))</f>
        <v>1</v>
      </c>
      <c r="AR176" t="b">
        <f>+ISNUMBER(SEARCH(#REF!,Tabla11[[#This Row],[Cuenta]],1))</f>
        <v>0</v>
      </c>
      <c r="AS176" t="b">
        <f>+ISNUMBER(SEARCH(#REF!,Tabla11[[#This Row],[Cuenta]],1))</f>
        <v>0</v>
      </c>
      <c r="AT176" t="b">
        <f>+ISNUMBER(SEARCH(#REF!,Tabla11[[#This Row],[Cuenta]],1))</f>
        <v>0</v>
      </c>
      <c r="AU176" t="b">
        <f>+ISNUMBER(SEARCH('Conc. Ban.1'!$I$9,Tabla11[[#This Row],[Cuenta]],1))</f>
        <v>0</v>
      </c>
      <c r="AV176" t="b">
        <f>+ISNUMBER(SEARCH(CompConta!$F$21,Tabla11[[#This Row],[Cuenta]],1))</f>
        <v>1</v>
      </c>
      <c r="AW176" t="b">
        <f>+ISNUMBER(SEARCH(CompConta!$F$22,Tabla11[[#This Row],[Cuenta]],1))</f>
        <v>1</v>
      </c>
      <c r="AX176" t="b">
        <f>+ISNUMBER(SEARCH(CompConta!$F$23,Tabla11[[#This Row],[Cuenta]],1))</f>
        <v>1</v>
      </c>
      <c r="AY176" t="b">
        <f>+ISNUMBER(SEARCH(CompConta!$F$24,Tabla11[[#This Row],[Cuenta]],1))</f>
        <v>1</v>
      </c>
      <c r="AZ176" t="b">
        <f>+ISNUMBER(SEARCH(CompConta!$F$25,Tabla11[[#This Row],[Cuenta]],1))</f>
        <v>1</v>
      </c>
      <c r="BA176" t="b">
        <f>+ISNUMBER(SEARCH(CompConta!$F$26,Tabla11[[#This Row],[Cuenta]],1))</f>
        <v>1</v>
      </c>
      <c r="BB176" t="b">
        <f>+ISNUMBER(SEARCH(CompConta!$F$27,Tabla11[[#This Row],[Cuenta]],1))</f>
        <v>1</v>
      </c>
      <c r="BC176" t="b">
        <f>+ISNUMBER(SEARCH(CompConta!$F$28,Tabla11[[#This Row],[Cuenta]],1))</f>
        <v>1</v>
      </c>
      <c r="BD176" t="b">
        <f>+ISNUMBER(SEARCH(CompConta!$F$29,Tabla11[[#This Row],[Cuenta]],1))</f>
        <v>1</v>
      </c>
      <c r="BE176" t="b">
        <f>+ISNUMBER(SEARCH(CompConta!$F$30,Tabla11[[#This Row],[Cuenta]],1))</f>
        <v>1</v>
      </c>
      <c r="BF176" t="b">
        <f>+ISNUMBER(SEARCH('PAGO Compras'!$E$11,Tabla11[[#This Row],[Cuenta]],1))</f>
        <v>1</v>
      </c>
      <c r="BG176" t="b">
        <f>+ISNUMBER(SEARCH(#REF!,Tabla11[[#This Row],[Cuenta]],1))</f>
        <v>0</v>
      </c>
      <c r="BH176" t="b">
        <f>+ISNUMBER(SEARCH(#REF!,Tabla11[[#This Row],[Cuenta]],1))</f>
        <v>0</v>
      </c>
      <c r="BI176" t="b">
        <f>+ISNUMBER(SEARCH(#REF!,Tabla11[[#This Row],[Cuenta]],1))</f>
        <v>0</v>
      </c>
      <c r="BJ176" t="b">
        <f>+ISNUMBER(SEARCH(#REF!,Tabla11[[#This Row],[Cuenta]],1))</f>
        <v>0</v>
      </c>
      <c r="BS176" t="str">
        <v>154030 Motocicletas</v>
      </c>
      <c r="BT176" t="str">
        <v>154030 Motocicletas</v>
      </c>
      <c r="BU176" t="str">
        <v>154030 Motocicletas</v>
      </c>
      <c r="BV176" t="str">
        <v>154030 Motocicletas</v>
      </c>
      <c r="BZ176" t="str">
        <v>154030 Motocicletas</v>
      </c>
      <c r="CA176" t="str">
        <v>154030 Motocicletas</v>
      </c>
      <c r="CB176" t="str">
        <v>154030 Motocicletas</v>
      </c>
      <c r="CC176" t="str">
        <v>154030 Motocicletas</v>
      </c>
      <c r="CD176" t="str">
        <v>154030 Motocicletas</v>
      </c>
      <c r="CE176" t="str">
        <v>154030 Motocicletas</v>
      </c>
      <c r="CS176" s="141" t="str">
        <v>154030 Motocicletas</v>
      </c>
      <c r="CT176" s="141" t="str">
        <v>154030 Motocicletas</v>
      </c>
      <c r="CU176" s="141" t="str">
        <v>154030 Motocicletas</v>
      </c>
      <c r="CV176" s="141" t="str">
        <v>154030 Motocicletas</v>
      </c>
      <c r="CW176" s="141" t="str">
        <v>154030 Motocicletas</v>
      </c>
      <c r="CX176" s="141" t="str">
        <v>154030 Motocicletas</v>
      </c>
      <c r="CY176" s="141" t="str">
        <v>154030 Motocicletas</v>
      </c>
      <c r="CZ176" s="141" t="str">
        <v>154030 Motocicletas</v>
      </c>
      <c r="DA176" s="141" t="str">
        <v>154030 Motocicletas</v>
      </c>
      <c r="DF176" t="str">
        <v>154030 Motocicletas</v>
      </c>
      <c r="DG176" t="str">
        <v>154030 Motocicletas</v>
      </c>
      <c r="DH176" t="str">
        <v>154030 Motocicletas</v>
      </c>
      <c r="DI176" t="str">
        <v>154030 Motocicletas</v>
      </c>
      <c r="DJ176" t="str">
        <v>154030 Motocicletas</v>
      </c>
      <c r="DK176" t="str">
        <v>154030 Motocicletas</v>
      </c>
      <c r="DL176" t="str">
        <v>154030 Motocicletas</v>
      </c>
      <c r="DM176" t="str">
        <v>154030 Motocicletas</v>
      </c>
      <c r="DN176" t="str">
        <v>154030 Motocicletas</v>
      </c>
      <c r="DO176" t="str">
        <v>154030 Motocicletas</v>
      </c>
      <c r="DP176" t="str">
        <v>154030 Motocicletas</v>
      </c>
    </row>
    <row r="177" spans="4:120" ht="12.75">
      <c r="D177" s="7">
        <v>154035</v>
      </c>
      <c r="E177" s="6" t="s">
        <v>183</v>
      </c>
      <c r="F177" s="5">
        <v>4</v>
      </c>
      <c r="G177" s="34" t="s">
        <v>822</v>
      </c>
      <c r="H177" s="8" t="s">
        <v>32</v>
      </c>
      <c r="I177" t="b">
        <f>+ISNUMBER(SEARCH('F-COMPRA'!$F$28,Tabla11[[#This Row],[Cuenta]],1))</f>
        <v>1</v>
      </c>
      <c r="J177" t="b">
        <f>+ISNUMBER(SEARCH('F-COMPRA'!$F$29,Tabla11[[#This Row],[Cuenta]],1))</f>
        <v>1</v>
      </c>
      <c r="K177" t="b">
        <f>+ISNUMBER(SEARCH('F-COMPRA'!$F$30,Tabla11[[#This Row],[Cuenta]],1))</f>
        <v>1</v>
      </c>
      <c r="L177" t="b">
        <f>+ISNUMBER(SEARCH('F-COMPRA'!$F$31,Tabla11[[#This Row],[Cuenta]],1))</f>
        <v>1</v>
      </c>
      <c r="M177" t="b">
        <f>+ISNUMBER(SEARCH('F-COMPRA'!$G$25,Tabla11[[#This Row],[Cuenta]],1))</f>
        <v>0</v>
      </c>
      <c r="N177" t="b">
        <f>+ISNUMBER(SEARCH(#REF!,Tabla11[[#This Row],[Cuenta]],1))</f>
        <v>0</v>
      </c>
      <c r="O177" t="b">
        <f>+ISNUMBER(SEARCH(#REF!,Tabla11[[#This Row],[Cuenta]],1))</f>
        <v>0</v>
      </c>
      <c r="P177" t="b">
        <f>+ISNUMBER(SEARCH('F-COMPRA'!$F$32,Tabla11[[#This Row],[Cuenta]],1))</f>
        <v>1</v>
      </c>
      <c r="Q177" t="b">
        <f>+ISNUMBER(SEARCH('F-COMPRA'!$F$33,Tabla11[[#This Row],[Cuenta]],1))</f>
        <v>1</v>
      </c>
      <c r="R177" t="b">
        <f>+ISNUMBER(SEARCH('F-COMPRA'!$F$34,Tabla11[[#This Row],[Cuenta]],1))</f>
        <v>1</v>
      </c>
      <c r="S177" t="b">
        <f>+ISNUMBER(SEARCH('F-COMPRA'!$F$35,Tabla11[[#This Row],[Cuenta]],1))</f>
        <v>1</v>
      </c>
      <c r="T177" t="b">
        <f>+ISNUMBER(SEARCH('F-COMPRA'!$F$36,Tabla11[[#This Row],[Cuenta]],1))</f>
        <v>1</v>
      </c>
      <c r="U177" t="b">
        <f>+ISNUMBER(SEARCH('F-COMPRA'!$F$37,Tabla11[[#This Row],[Cuenta]],1))</f>
        <v>1</v>
      </c>
      <c r="V177" t="b">
        <f>+ISNUMBER(SEARCH(#REF!,Tabla11[[#This Row],[Cuenta]],1))</f>
        <v>0</v>
      </c>
      <c r="W177" t="b">
        <f>+ISNUMBER(SEARCH('F-COMPRA'!#REF!,Tabla11[[#This Row],[Cuenta]],1))</f>
        <v>0</v>
      </c>
      <c r="X177" t="b">
        <f>+ISNUMBER(SEARCH('F-COMPRA'!#REF!,Tabla11[[#This Row],[Cuenta]],1))</f>
        <v>0</v>
      </c>
      <c r="Y177" t="b">
        <f>+ISNUMBER(SEARCH('F-COMPRA'!#REF!,Tabla11[[#This Row],[Cuenta]],1))</f>
        <v>0</v>
      </c>
      <c r="Z177" t="b">
        <f>+ISNUMBER(SEARCH('F-COMPRA'!#REF!,Tabla11[[#This Row],[Cuenta]],1))</f>
        <v>0</v>
      </c>
      <c r="AA177" t="b">
        <f>+ISNUMBER(SEARCH('F-COMPRA'!#REF!,Tabla11[[#This Row],[Cuenta]],1))</f>
        <v>0</v>
      </c>
      <c r="AB177" t="b">
        <f>+ISNUMBER(SEARCH('F-COMPRA'!#REF!,Tabla11[[#This Row],[Cuenta]],1))</f>
        <v>0</v>
      </c>
      <c r="AC177" t="b">
        <f>+ISNUMBER(SEARCH('F-COMPRA'!#REF!,Tabla11[[#This Row],[Cuenta]],1))</f>
        <v>0</v>
      </c>
      <c r="AD177" t="b">
        <f>+ISNUMBER(SEARCH('F-COMPRA'!#REF!,Tabla11[[#This Row],[Cuenta]],1))</f>
        <v>0</v>
      </c>
      <c r="AE177" t="b">
        <f>+ISNUMBER(SEARCH('F-COMPRA'!#REF!,Tabla11[[#This Row],[Cuenta]],1))</f>
        <v>0</v>
      </c>
      <c r="AF177" t="b">
        <f>+ISNUMBER(SEARCH('F-VTA'!$G$23,Tabla11[[#This Row],[Cuenta]],1))</f>
        <v>0</v>
      </c>
      <c r="AG177" t="b">
        <f>+ISNUMBER(SEARCH('F-VTA'!$G$24,Tabla11[[#This Row],[Cuenta]],1))</f>
        <v>0</v>
      </c>
      <c r="AH177" t="b">
        <f>+ISNUMBER(SEARCH('F-VTA'!$G$25,Tabla11[[#This Row],[Cuenta]],1))</f>
        <v>0</v>
      </c>
      <c r="AI177" t="b">
        <f>+ISNUMBER(SEARCH('F-VTA'!$F$28,Tabla11[[#This Row],[Cuenta]],1))</f>
        <v>1</v>
      </c>
      <c r="AJ177" t="b">
        <f>+ISNUMBER(SEARCH('F-VTA'!$F$29,Tabla11[[#This Row],[Cuenta]],1))</f>
        <v>1</v>
      </c>
      <c r="AK177" t="b">
        <f>+ISNUMBER(SEARCH('F-VTA'!$F$30,Tabla11[[#This Row],[Cuenta]],1))</f>
        <v>1</v>
      </c>
      <c r="AL177" t="b">
        <f>+ISNUMBER(SEARCH('F-VTA'!$F$31,Tabla11[[#This Row],[Cuenta]],1))</f>
        <v>1</v>
      </c>
      <c r="AM177" t="b">
        <f>+ISNUMBER(SEARCH('F-VTA'!$F$32,Tabla11[[#This Row],[Cuenta]],1))</f>
        <v>1</v>
      </c>
      <c r="AN177" t="b">
        <f>+ISNUMBER(SEARCH('F-VTA'!$F$33,Tabla11[[#This Row],[Cuenta]],1))</f>
        <v>1</v>
      </c>
      <c r="AO177" t="b">
        <f>+ISNUMBER(SEARCH('F-VTA'!$F$34,Tabla11[[#This Row],[Cuenta]],1))</f>
        <v>1</v>
      </c>
      <c r="AP177" t="b">
        <f>+ISNUMBER(SEARCH('F-VTA'!$F$35,Tabla11[[#This Row],[Cuenta]],1))</f>
        <v>1</v>
      </c>
      <c r="AQ177" t="b">
        <f>+ISNUMBER(SEARCH('F-VTA'!$F$36,Tabla11[[#This Row],[Cuenta]],1))</f>
        <v>1</v>
      </c>
      <c r="AR177" t="b">
        <f>+ISNUMBER(SEARCH(#REF!,Tabla11[[#This Row],[Cuenta]],1))</f>
        <v>0</v>
      </c>
      <c r="AS177" t="b">
        <f>+ISNUMBER(SEARCH(#REF!,Tabla11[[#This Row],[Cuenta]],1))</f>
        <v>0</v>
      </c>
      <c r="AT177" t="b">
        <f>+ISNUMBER(SEARCH(#REF!,Tabla11[[#This Row],[Cuenta]],1))</f>
        <v>0</v>
      </c>
      <c r="AU177" t="b">
        <f>+ISNUMBER(SEARCH('Conc. Ban.1'!$I$9,Tabla11[[#This Row],[Cuenta]],1))</f>
        <v>0</v>
      </c>
      <c r="AV177" t="b">
        <f>+ISNUMBER(SEARCH(CompConta!$F$21,Tabla11[[#This Row],[Cuenta]],1))</f>
        <v>1</v>
      </c>
      <c r="AW177" t="b">
        <f>+ISNUMBER(SEARCH(CompConta!$F$22,Tabla11[[#This Row],[Cuenta]],1))</f>
        <v>1</v>
      </c>
      <c r="AX177" t="b">
        <f>+ISNUMBER(SEARCH(CompConta!$F$23,Tabla11[[#This Row],[Cuenta]],1))</f>
        <v>1</v>
      </c>
      <c r="AY177" t="b">
        <f>+ISNUMBER(SEARCH(CompConta!$F$24,Tabla11[[#This Row],[Cuenta]],1))</f>
        <v>1</v>
      </c>
      <c r="AZ177" t="b">
        <f>+ISNUMBER(SEARCH(CompConta!$F$25,Tabla11[[#This Row],[Cuenta]],1))</f>
        <v>1</v>
      </c>
      <c r="BA177" t="b">
        <f>+ISNUMBER(SEARCH(CompConta!$F$26,Tabla11[[#This Row],[Cuenta]],1))</f>
        <v>1</v>
      </c>
      <c r="BB177" t="b">
        <f>+ISNUMBER(SEARCH(CompConta!$F$27,Tabla11[[#This Row],[Cuenta]],1))</f>
        <v>1</v>
      </c>
      <c r="BC177" t="b">
        <f>+ISNUMBER(SEARCH(CompConta!$F$28,Tabla11[[#This Row],[Cuenta]],1))</f>
        <v>1</v>
      </c>
      <c r="BD177" t="b">
        <f>+ISNUMBER(SEARCH(CompConta!$F$29,Tabla11[[#This Row],[Cuenta]],1))</f>
        <v>1</v>
      </c>
      <c r="BE177" t="b">
        <f>+ISNUMBER(SEARCH(CompConta!$F$30,Tabla11[[#This Row],[Cuenta]],1))</f>
        <v>1</v>
      </c>
      <c r="BF177" t="b">
        <f>+ISNUMBER(SEARCH('PAGO Compras'!$E$11,Tabla11[[#This Row],[Cuenta]],1))</f>
        <v>1</v>
      </c>
      <c r="BG177" t="b">
        <f>+ISNUMBER(SEARCH(#REF!,Tabla11[[#This Row],[Cuenta]],1))</f>
        <v>0</v>
      </c>
      <c r="BH177" t="b">
        <f>+ISNUMBER(SEARCH(#REF!,Tabla11[[#This Row],[Cuenta]],1))</f>
        <v>0</v>
      </c>
      <c r="BI177" t="b">
        <f>+ISNUMBER(SEARCH(#REF!,Tabla11[[#This Row],[Cuenta]],1))</f>
        <v>0</v>
      </c>
      <c r="BJ177" t="b">
        <f>+ISNUMBER(SEARCH(#REF!,Tabla11[[#This Row],[Cuenta]],1))</f>
        <v>0</v>
      </c>
      <c r="BS177" t="str">
        <v>154035 Bicicletas</v>
      </c>
      <c r="BT177" t="str">
        <v>154035 Bicicletas</v>
      </c>
      <c r="BU177" t="str">
        <v>154035 Bicicletas</v>
      </c>
      <c r="BV177" t="str">
        <v>154035 Bicicletas</v>
      </c>
      <c r="BZ177" t="str">
        <v>154035 Bicicletas</v>
      </c>
      <c r="CA177" t="str">
        <v>154035 Bicicletas</v>
      </c>
      <c r="CB177" t="str">
        <v>154035 Bicicletas</v>
      </c>
      <c r="CC177" t="str">
        <v>154035 Bicicletas</v>
      </c>
      <c r="CD177" t="str">
        <v>154035 Bicicletas</v>
      </c>
      <c r="CE177" t="str">
        <v>154035 Bicicletas</v>
      </c>
      <c r="CS177" s="141" t="str">
        <v>154035 Bicicletas</v>
      </c>
      <c r="CT177" s="141" t="str">
        <v>154035 Bicicletas</v>
      </c>
      <c r="CU177" s="141" t="str">
        <v>154035 Bicicletas</v>
      </c>
      <c r="CV177" s="141" t="str">
        <v>154035 Bicicletas</v>
      </c>
      <c r="CW177" s="141" t="str">
        <v>154035 Bicicletas</v>
      </c>
      <c r="CX177" s="141" t="str">
        <v>154035 Bicicletas</v>
      </c>
      <c r="CY177" s="141" t="str">
        <v>154035 Bicicletas</v>
      </c>
      <c r="CZ177" s="141" t="str">
        <v>154035 Bicicletas</v>
      </c>
      <c r="DA177" s="141" t="str">
        <v>154035 Bicicletas</v>
      </c>
      <c r="DF177" t="str">
        <v>154035 Bicicletas</v>
      </c>
      <c r="DG177" t="str">
        <v>154035 Bicicletas</v>
      </c>
      <c r="DH177" t="str">
        <v>154035 Bicicletas</v>
      </c>
      <c r="DI177" t="str">
        <v>154035 Bicicletas</v>
      </c>
      <c r="DJ177" t="str">
        <v>154035 Bicicletas</v>
      </c>
      <c r="DK177" t="str">
        <v>154035 Bicicletas</v>
      </c>
      <c r="DL177" t="str">
        <v>154035 Bicicletas</v>
      </c>
      <c r="DM177" t="str">
        <v>154035 Bicicletas</v>
      </c>
      <c r="DN177" t="str">
        <v>154035 Bicicletas</v>
      </c>
      <c r="DO177" t="str">
        <v>154035 Bicicletas</v>
      </c>
      <c r="DP177" t="str">
        <v>154035 Bicicletas</v>
      </c>
    </row>
    <row r="178" spans="4:120" ht="12.75">
      <c r="D178" s="7">
        <v>154040</v>
      </c>
      <c r="E178" s="6" t="s">
        <v>184</v>
      </c>
      <c r="F178" s="5">
        <v>4</v>
      </c>
      <c r="G178" s="34" t="s">
        <v>822</v>
      </c>
      <c r="H178" s="8" t="s">
        <v>32</v>
      </c>
      <c r="I178" t="b">
        <f>+ISNUMBER(SEARCH('F-COMPRA'!$F$28,Tabla11[[#This Row],[Cuenta]],1))</f>
        <v>1</v>
      </c>
      <c r="J178" t="b">
        <f>+ISNUMBER(SEARCH('F-COMPRA'!$F$29,Tabla11[[#This Row],[Cuenta]],1))</f>
        <v>1</v>
      </c>
      <c r="K178" t="b">
        <f>+ISNUMBER(SEARCH('F-COMPRA'!$F$30,Tabla11[[#This Row],[Cuenta]],1))</f>
        <v>1</v>
      </c>
      <c r="L178" t="b">
        <f>+ISNUMBER(SEARCH('F-COMPRA'!$F$31,Tabla11[[#This Row],[Cuenta]],1))</f>
        <v>1</v>
      </c>
      <c r="M178" t="b">
        <f>+ISNUMBER(SEARCH('F-COMPRA'!$G$25,Tabla11[[#This Row],[Cuenta]],1))</f>
        <v>0</v>
      </c>
      <c r="N178" t="b">
        <f>+ISNUMBER(SEARCH(#REF!,Tabla11[[#This Row],[Cuenta]],1))</f>
        <v>0</v>
      </c>
      <c r="O178" t="b">
        <f>+ISNUMBER(SEARCH(#REF!,Tabla11[[#This Row],[Cuenta]],1))</f>
        <v>0</v>
      </c>
      <c r="P178" t="b">
        <f>+ISNUMBER(SEARCH('F-COMPRA'!$F$32,Tabla11[[#This Row],[Cuenta]],1))</f>
        <v>1</v>
      </c>
      <c r="Q178" t="b">
        <f>+ISNUMBER(SEARCH('F-COMPRA'!$F$33,Tabla11[[#This Row],[Cuenta]],1))</f>
        <v>1</v>
      </c>
      <c r="R178" t="b">
        <f>+ISNUMBER(SEARCH('F-COMPRA'!$F$34,Tabla11[[#This Row],[Cuenta]],1))</f>
        <v>1</v>
      </c>
      <c r="S178" t="b">
        <f>+ISNUMBER(SEARCH('F-COMPRA'!$F$35,Tabla11[[#This Row],[Cuenta]],1))</f>
        <v>1</v>
      </c>
      <c r="T178" t="b">
        <f>+ISNUMBER(SEARCH('F-COMPRA'!$F$36,Tabla11[[#This Row],[Cuenta]],1))</f>
        <v>1</v>
      </c>
      <c r="U178" t="b">
        <f>+ISNUMBER(SEARCH('F-COMPRA'!$F$37,Tabla11[[#This Row],[Cuenta]],1))</f>
        <v>1</v>
      </c>
      <c r="V178" t="b">
        <f>+ISNUMBER(SEARCH(#REF!,Tabla11[[#This Row],[Cuenta]],1))</f>
        <v>0</v>
      </c>
      <c r="W178" t="b">
        <f>+ISNUMBER(SEARCH('F-COMPRA'!#REF!,Tabla11[[#This Row],[Cuenta]],1))</f>
        <v>0</v>
      </c>
      <c r="X178" t="b">
        <f>+ISNUMBER(SEARCH('F-COMPRA'!#REF!,Tabla11[[#This Row],[Cuenta]],1))</f>
        <v>0</v>
      </c>
      <c r="Y178" t="b">
        <f>+ISNUMBER(SEARCH('F-COMPRA'!#REF!,Tabla11[[#This Row],[Cuenta]],1))</f>
        <v>0</v>
      </c>
      <c r="Z178" t="b">
        <f>+ISNUMBER(SEARCH('F-COMPRA'!#REF!,Tabla11[[#This Row],[Cuenta]],1))</f>
        <v>0</v>
      </c>
      <c r="AA178" t="b">
        <f>+ISNUMBER(SEARCH('F-COMPRA'!#REF!,Tabla11[[#This Row],[Cuenta]],1))</f>
        <v>0</v>
      </c>
      <c r="AB178" t="b">
        <f>+ISNUMBER(SEARCH('F-COMPRA'!#REF!,Tabla11[[#This Row],[Cuenta]],1))</f>
        <v>0</v>
      </c>
      <c r="AC178" t="b">
        <f>+ISNUMBER(SEARCH('F-COMPRA'!#REF!,Tabla11[[#This Row],[Cuenta]],1))</f>
        <v>0</v>
      </c>
      <c r="AD178" t="b">
        <f>+ISNUMBER(SEARCH('F-COMPRA'!#REF!,Tabla11[[#This Row],[Cuenta]],1))</f>
        <v>0</v>
      </c>
      <c r="AE178" t="b">
        <f>+ISNUMBER(SEARCH('F-COMPRA'!#REF!,Tabla11[[#This Row],[Cuenta]],1))</f>
        <v>0</v>
      </c>
      <c r="AF178" t="b">
        <f>+ISNUMBER(SEARCH('F-VTA'!$G$23,Tabla11[[#This Row],[Cuenta]],1))</f>
        <v>0</v>
      </c>
      <c r="AG178" t="b">
        <f>+ISNUMBER(SEARCH('F-VTA'!$G$24,Tabla11[[#This Row],[Cuenta]],1))</f>
        <v>0</v>
      </c>
      <c r="AH178" t="b">
        <f>+ISNUMBER(SEARCH('F-VTA'!$G$25,Tabla11[[#This Row],[Cuenta]],1))</f>
        <v>0</v>
      </c>
      <c r="AI178" t="b">
        <f>+ISNUMBER(SEARCH('F-VTA'!$F$28,Tabla11[[#This Row],[Cuenta]],1))</f>
        <v>1</v>
      </c>
      <c r="AJ178" t="b">
        <f>+ISNUMBER(SEARCH('F-VTA'!$F$29,Tabla11[[#This Row],[Cuenta]],1))</f>
        <v>1</v>
      </c>
      <c r="AK178" t="b">
        <f>+ISNUMBER(SEARCH('F-VTA'!$F$30,Tabla11[[#This Row],[Cuenta]],1))</f>
        <v>1</v>
      </c>
      <c r="AL178" t="b">
        <f>+ISNUMBER(SEARCH('F-VTA'!$F$31,Tabla11[[#This Row],[Cuenta]],1))</f>
        <v>1</v>
      </c>
      <c r="AM178" t="b">
        <f>+ISNUMBER(SEARCH('F-VTA'!$F$32,Tabla11[[#This Row],[Cuenta]],1))</f>
        <v>1</v>
      </c>
      <c r="AN178" t="b">
        <f>+ISNUMBER(SEARCH('F-VTA'!$F$33,Tabla11[[#This Row],[Cuenta]],1))</f>
        <v>1</v>
      </c>
      <c r="AO178" t="b">
        <f>+ISNUMBER(SEARCH('F-VTA'!$F$34,Tabla11[[#This Row],[Cuenta]],1))</f>
        <v>1</v>
      </c>
      <c r="AP178" t="b">
        <f>+ISNUMBER(SEARCH('F-VTA'!$F$35,Tabla11[[#This Row],[Cuenta]],1))</f>
        <v>1</v>
      </c>
      <c r="AQ178" t="b">
        <f>+ISNUMBER(SEARCH('F-VTA'!$F$36,Tabla11[[#This Row],[Cuenta]],1))</f>
        <v>1</v>
      </c>
      <c r="AR178" t="b">
        <f>+ISNUMBER(SEARCH(#REF!,Tabla11[[#This Row],[Cuenta]],1))</f>
        <v>0</v>
      </c>
      <c r="AS178" t="b">
        <f>+ISNUMBER(SEARCH(#REF!,Tabla11[[#This Row],[Cuenta]],1))</f>
        <v>0</v>
      </c>
      <c r="AT178" t="b">
        <f>+ISNUMBER(SEARCH(#REF!,Tabla11[[#This Row],[Cuenta]],1))</f>
        <v>0</v>
      </c>
      <c r="AU178" t="b">
        <f>+ISNUMBER(SEARCH('Conc. Ban.1'!$I$9,Tabla11[[#This Row],[Cuenta]],1))</f>
        <v>0</v>
      </c>
      <c r="AV178" t="b">
        <f>+ISNUMBER(SEARCH(CompConta!$F$21,Tabla11[[#This Row],[Cuenta]],1))</f>
        <v>1</v>
      </c>
      <c r="AW178" t="b">
        <f>+ISNUMBER(SEARCH(CompConta!$F$22,Tabla11[[#This Row],[Cuenta]],1))</f>
        <v>1</v>
      </c>
      <c r="AX178" t="b">
        <f>+ISNUMBER(SEARCH(CompConta!$F$23,Tabla11[[#This Row],[Cuenta]],1))</f>
        <v>1</v>
      </c>
      <c r="AY178" t="b">
        <f>+ISNUMBER(SEARCH(CompConta!$F$24,Tabla11[[#This Row],[Cuenta]],1))</f>
        <v>1</v>
      </c>
      <c r="AZ178" t="b">
        <f>+ISNUMBER(SEARCH(CompConta!$F$25,Tabla11[[#This Row],[Cuenta]],1))</f>
        <v>1</v>
      </c>
      <c r="BA178" t="b">
        <f>+ISNUMBER(SEARCH(CompConta!$F$26,Tabla11[[#This Row],[Cuenta]],1))</f>
        <v>1</v>
      </c>
      <c r="BB178" t="b">
        <f>+ISNUMBER(SEARCH(CompConta!$F$27,Tabla11[[#This Row],[Cuenta]],1))</f>
        <v>1</v>
      </c>
      <c r="BC178" t="b">
        <f>+ISNUMBER(SEARCH(CompConta!$F$28,Tabla11[[#This Row],[Cuenta]],1))</f>
        <v>1</v>
      </c>
      <c r="BD178" t="b">
        <f>+ISNUMBER(SEARCH(CompConta!$F$29,Tabla11[[#This Row],[Cuenta]],1))</f>
        <v>1</v>
      </c>
      <c r="BE178" t="b">
        <f>+ISNUMBER(SEARCH(CompConta!$F$30,Tabla11[[#This Row],[Cuenta]],1))</f>
        <v>1</v>
      </c>
      <c r="BF178" t="b">
        <f>+ISNUMBER(SEARCH('PAGO Compras'!$E$11,Tabla11[[#This Row],[Cuenta]],1))</f>
        <v>1</v>
      </c>
      <c r="BG178" t="b">
        <f>+ISNUMBER(SEARCH(#REF!,Tabla11[[#This Row],[Cuenta]],1))</f>
        <v>0</v>
      </c>
      <c r="BH178" t="b">
        <f>+ISNUMBER(SEARCH(#REF!,Tabla11[[#This Row],[Cuenta]],1))</f>
        <v>0</v>
      </c>
      <c r="BI178" t="b">
        <f>+ISNUMBER(SEARCH(#REF!,Tabla11[[#This Row],[Cuenta]],1))</f>
        <v>0</v>
      </c>
      <c r="BJ178" t="b">
        <f>+ISNUMBER(SEARCH(#REF!,Tabla11[[#This Row],[Cuenta]],1))</f>
        <v>0</v>
      </c>
      <c r="BS178" t="str">
        <v>154040 Estibas y carretas</v>
      </c>
      <c r="BT178" t="str">
        <v>154040 Estibas y carretas</v>
      </c>
      <c r="BU178" t="str">
        <v>154040 Estibas y carretas</v>
      </c>
      <c r="BV178" t="str">
        <v>154040 Estibas y carretas</v>
      </c>
      <c r="BZ178" t="str">
        <v>154040 Estibas y carretas</v>
      </c>
      <c r="CA178" t="str">
        <v>154040 Estibas y carretas</v>
      </c>
      <c r="CB178" t="str">
        <v>154040 Estibas y carretas</v>
      </c>
      <c r="CC178" t="str">
        <v>154040 Estibas y carretas</v>
      </c>
      <c r="CD178" t="str">
        <v>154040 Estibas y carretas</v>
      </c>
      <c r="CE178" t="str">
        <v>154040 Estibas y carretas</v>
      </c>
      <c r="CS178" s="141" t="str">
        <v>154040 Estibas y carretas</v>
      </c>
      <c r="CT178" s="141" t="str">
        <v>154040 Estibas y carretas</v>
      </c>
      <c r="CU178" s="141" t="str">
        <v>154040 Estibas y carretas</v>
      </c>
      <c r="CV178" s="141" t="str">
        <v>154040 Estibas y carretas</v>
      </c>
      <c r="CW178" s="141" t="str">
        <v>154040 Estibas y carretas</v>
      </c>
      <c r="CX178" s="141" t="str">
        <v>154040 Estibas y carretas</v>
      </c>
      <c r="CY178" s="141" t="str">
        <v>154040 Estibas y carretas</v>
      </c>
      <c r="CZ178" s="141" t="str">
        <v>154040 Estibas y carretas</v>
      </c>
      <c r="DA178" s="141" t="str">
        <v>154040 Estibas y carretas</v>
      </c>
      <c r="DF178" t="str">
        <v>154040 Estibas y carretas</v>
      </c>
      <c r="DG178" t="str">
        <v>154040 Estibas y carretas</v>
      </c>
      <c r="DH178" t="str">
        <v>154040 Estibas y carretas</v>
      </c>
      <c r="DI178" t="str">
        <v>154040 Estibas y carretas</v>
      </c>
      <c r="DJ178" t="str">
        <v>154040 Estibas y carretas</v>
      </c>
      <c r="DK178" t="str">
        <v>154040 Estibas y carretas</v>
      </c>
      <c r="DL178" t="str">
        <v>154040 Estibas y carretas</v>
      </c>
      <c r="DM178" t="str">
        <v>154040 Estibas y carretas</v>
      </c>
      <c r="DN178" t="str">
        <v>154040 Estibas y carretas</v>
      </c>
      <c r="DO178" t="str">
        <v>154040 Estibas y carretas</v>
      </c>
      <c r="DP178" t="str">
        <v>154040 Estibas y carretas</v>
      </c>
    </row>
    <row r="179" spans="4:120" ht="12.75">
      <c r="D179" s="7">
        <v>154045</v>
      </c>
      <c r="E179" s="6" t="s">
        <v>185</v>
      </c>
      <c r="F179" s="5">
        <v>4</v>
      </c>
      <c r="G179" s="34" t="s">
        <v>822</v>
      </c>
      <c r="H179" s="8" t="s">
        <v>32</v>
      </c>
      <c r="I179" t="b">
        <f>+ISNUMBER(SEARCH('F-COMPRA'!$F$28,Tabla11[[#This Row],[Cuenta]],1))</f>
        <v>1</v>
      </c>
      <c r="J179" t="b">
        <f>+ISNUMBER(SEARCH('F-COMPRA'!$F$29,Tabla11[[#This Row],[Cuenta]],1))</f>
        <v>1</v>
      </c>
      <c r="K179" t="b">
        <f>+ISNUMBER(SEARCH('F-COMPRA'!$F$30,Tabla11[[#This Row],[Cuenta]],1))</f>
        <v>1</v>
      </c>
      <c r="L179" t="b">
        <f>+ISNUMBER(SEARCH('F-COMPRA'!$F$31,Tabla11[[#This Row],[Cuenta]],1))</f>
        <v>1</v>
      </c>
      <c r="M179" t="b">
        <f>+ISNUMBER(SEARCH('F-COMPRA'!$G$25,Tabla11[[#This Row],[Cuenta]],1))</f>
        <v>0</v>
      </c>
      <c r="N179" t="b">
        <f>+ISNUMBER(SEARCH(#REF!,Tabla11[[#This Row],[Cuenta]],1))</f>
        <v>0</v>
      </c>
      <c r="O179" t="b">
        <f>+ISNUMBER(SEARCH(#REF!,Tabla11[[#This Row],[Cuenta]],1))</f>
        <v>0</v>
      </c>
      <c r="P179" t="b">
        <f>+ISNUMBER(SEARCH('F-COMPRA'!$F$32,Tabla11[[#This Row],[Cuenta]],1))</f>
        <v>1</v>
      </c>
      <c r="Q179" t="b">
        <f>+ISNUMBER(SEARCH('F-COMPRA'!$F$33,Tabla11[[#This Row],[Cuenta]],1))</f>
        <v>1</v>
      </c>
      <c r="R179" t="b">
        <f>+ISNUMBER(SEARCH('F-COMPRA'!$F$34,Tabla11[[#This Row],[Cuenta]],1))</f>
        <v>1</v>
      </c>
      <c r="S179" t="b">
        <f>+ISNUMBER(SEARCH('F-COMPRA'!$F$35,Tabla11[[#This Row],[Cuenta]],1))</f>
        <v>1</v>
      </c>
      <c r="T179" t="b">
        <f>+ISNUMBER(SEARCH('F-COMPRA'!$F$36,Tabla11[[#This Row],[Cuenta]],1))</f>
        <v>1</v>
      </c>
      <c r="U179" t="b">
        <f>+ISNUMBER(SEARCH('F-COMPRA'!$F$37,Tabla11[[#This Row],[Cuenta]],1))</f>
        <v>1</v>
      </c>
      <c r="V179" t="b">
        <f>+ISNUMBER(SEARCH(#REF!,Tabla11[[#This Row],[Cuenta]],1))</f>
        <v>0</v>
      </c>
      <c r="W179" t="b">
        <f>+ISNUMBER(SEARCH('F-COMPRA'!#REF!,Tabla11[[#This Row],[Cuenta]],1))</f>
        <v>0</v>
      </c>
      <c r="X179" t="b">
        <f>+ISNUMBER(SEARCH('F-COMPRA'!#REF!,Tabla11[[#This Row],[Cuenta]],1))</f>
        <v>0</v>
      </c>
      <c r="Y179" t="b">
        <f>+ISNUMBER(SEARCH('F-COMPRA'!#REF!,Tabla11[[#This Row],[Cuenta]],1))</f>
        <v>0</v>
      </c>
      <c r="Z179" t="b">
        <f>+ISNUMBER(SEARCH('F-COMPRA'!#REF!,Tabla11[[#This Row],[Cuenta]],1))</f>
        <v>0</v>
      </c>
      <c r="AA179" t="b">
        <f>+ISNUMBER(SEARCH('F-COMPRA'!#REF!,Tabla11[[#This Row],[Cuenta]],1))</f>
        <v>0</v>
      </c>
      <c r="AB179" t="b">
        <f>+ISNUMBER(SEARCH('F-COMPRA'!#REF!,Tabla11[[#This Row],[Cuenta]],1))</f>
        <v>0</v>
      </c>
      <c r="AC179" t="b">
        <f>+ISNUMBER(SEARCH('F-COMPRA'!#REF!,Tabla11[[#This Row],[Cuenta]],1))</f>
        <v>0</v>
      </c>
      <c r="AD179" t="b">
        <f>+ISNUMBER(SEARCH('F-COMPRA'!#REF!,Tabla11[[#This Row],[Cuenta]],1))</f>
        <v>0</v>
      </c>
      <c r="AE179" t="b">
        <f>+ISNUMBER(SEARCH('F-COMPRA'!#REF!,Tabla11[[#This Row],[Cuenta]],1))</f>
        <v>0</v>
      </c>
      <c r="AF179" t="b">
        <f>+ISNUMBER(SEARCH('F-VTA'!$G$23,Tabla11[[#This Row],[Cuenta]],1))</f>
        <v>0</v>
      </c>
      <c r="AG179" t="b">
        <f>+ISNUMBER(SEARCH('F-VTA'!$G$24,Tabla11[[#This Row],[Cuenta]],1))</f>
        <v>0</v>
      </c>
      <c r="AH179" t="b">
        <f>+ISNUMBER(SEARCH('F-VTA'!$G$25,Tabla11[[#This Row],[Cuenta]],1))</f>
        <v>0</v>
      </c>
      <c r="AI179" t="b">
        <f>+ISNUMBER(SEARCH('F-VTA'!$F$28,Tabla11[[#This Row],[Cuenta]],1))</f>
        <v>1</v>
      </c>
      <c r="AJ179" t="b">
        <f>+ISNUMBER(SEARCH('F-VTA'!$F$29,Tabla11[[#This Row],[Cuenta]],1))</f>
        <v>1</v>
      </c>
      <c r="AK179" t="b">
        <f>+ISNUMBER(SEARCH('F-VTA'!$F$30,Tabla11[[#This Row],[Cuenta]],1))</f>
        <v>1</v>
      </c>
      <c r="AL179" t="b">
        <f>+ISNUMBER(SEARCH('F-VTA'!$F$31,Tabla11[[#This Row],[Cuenta]],1))</f>
        <v>1</v>
      </c>
      <c r="AM179" t="b">
        <f>+ISNUMBER(SEARCH('F-VTA'!$F$32,Tabla11[[#This Row],[Cuenta]],1))</f>
        <v>1</v>
      </c>
      <c r="AN179" t="b">
        <f>+ISNUMBER(SEARCH('F-VTA'!$F$33,Tabla11[[#This Row],[Cuenta]],1))</f>
        <v>1</v>
      </c>
      <c r="AO179" t="b">
        <f>+ISNUMBER(SEARCH('F-VTA'!$F$34,Tabla11[[#This Row],[Cuenta]],1))</f>
        <v>1</v>
      </c>
      <c r="AP179" t="b">
        <f>+ISNUMBER(SEARCH('F-VTA'!$F$35,Tabla11[[#This Row],[Cuenta]],1))</f>
        <v>1</v>
      </c>
      <c r="AQ179" t="b">
        <f>+ISNUMBER(SEARCH('F-VTA'!$F$36,Tabla11[[#This Row],[Cuenta]],1))</f>
        <v>1</v>
      </c>
      <c r="AR179" t="b">
        <f>+ISNUMBER(SEARCH(#REF!,Tabla11[[#This Row],[Cuenta]],1))</f>
        <v>0</v>
      </c>
      <c r="AS179" t="b">
        <f>+ISNUMBER(SEARCH(#REF!,Tabla11[[#This Row],[Cuenta]],1))</f>
        <v>0</v>
      </c>
      <c r="AT179" t="b">
        <f>+ISNUMBER(SEARCH(#REF!,Tabla11[[#This Row],[Cuenta]],1))</f>
        <v>0</v>
      </c>
      <c r="AU179" t="b">
        <f>+ISNUMBER(SEARCH('Conc. Ban.1'!$I$9,Tabla11[[#This Row],[Cuenta]],1))</f>
        <v>0</v>
      </c>
      <c r="AV179" t="b">
        <f>+ISNUMBER(SEARCH(CompConta!$F$21,Tabla11[[#This Row],[Cuenta]],1))</f>
        <v>1</v>
      </c>
      <c r="AW179" t="b">
        <f>+ISNUMBER(SEARCH(CompConta!$F$22,Tabla11[[#This Row],[Cuenta]],1))</f>
        <v>1</v>
      </c>
      <c r="AX179" t="b">
        <f>+ISNUMBER(SEARCH(CompConta!$F$23,Tabla11[[#This Row],[Cuenta]],1))</f>
        <v>1</v>
      </c>
      <c r="AY179" t="b">
        <f>+ISNUMBER(SEARCH(CompConta!$F$24,Tabla11[[#This Row],[Cuenta]],1))</f>
        <v>1</v>
      </c>
      <c r="AZ179" t="b">
        <f>+ISNUMBER(SEARCH(CompConta!$F$25,Tabla11[[#This Row],[Cuenta]],1))</f>
        <v>1</v>
      </c>
      <c r="BA179" t="b">
        <f>+ISNUMBER(SEARCH(CompConta!$F$26,Tabla11[[#This Row],[Cuenta]],1))</f>
        <v>1</v>
      </c>
      <c r="BB179" t="b">
        <f>+ISNUMBER(SEARCH(CompConta!$F$27,Tabla11[[#This Row],[Cuenta]],1))</f>
        <v>1</v>
      </c>
      <c r="BC179" t="b">
        <f>+ISNUMBER(SEARCH(CompConta!$F$28,Tabla11[[#This Row],[Cuenta]],1))</f>
        <v>1</v>
      </c>
      <c r="BD179" t="b">
        <f>+ISNUMBER(SEARCH(CompConta!$F$29,Tabla11[[#This Row],[Cuenta]],1))</f>
        <v>1</v>
      </c>
      <c r="BE179" t="b">
        <f>+ISNUMBER(SEARCH(CompConta!$F$30,Tabla11[[#This Row],[Cuenta]],1))</f>
        <v>1</v>
      </c>
      <c r="BF179" t="b">
        <f>+ISNUMBER(SEARCH('PAGO Compras'!$E$11,Tabla11[[#This Row],[Cuenta]],1))</f>
        <v>1</v>
      </c>
      <c r="BG179" t="b">
        <f>+ISNUMBER(SEARCH(#REF!,Tabla11[[#This Row],[Cuenta]],1))</f>
        <v>0</v>
      </c>
      <c r="BH179" t="b">
        <f>+ISNUMBER(SEARCH(#REF!,Tabla11[[#This Row],[Cuenta]],1))</f>
        <v>0</v>
      </c>
      <c r="BI179" t="b">
        <f>+ISNUMBER(SEARCH(#REF!,Tabla11[[#This Row],[Cuenta]],1))</f>
        <v>0</v>
      </c>
      <c r="BJ179" t="b">
        <f>+ISNUMBER(SEARCH(#REF!,Tabla11[[#This Row],[Cuenta]],1))</f>
        <v>0</v>
      </c>
      <c r="BS179" t="str">
        <v>154045 Bandas transportadoras</v>
      </c>
      <c r="BT179" t="str">
        <v>154045 Bandas transportadoras</v>
      </c>
      <c r="BU179" t="str">
        <v>154045 Bandas transportadoras</v>
      </c>
      <c r="BV179" t="str">
        <v>154045 Bandas transportadoras</v>
      </c>
      <c r="BZ179" t="str">
        <v>154045 Bandas transportadoras</v>
      </c>
      <c r="CA179" t="str">
        <v>154045 Bandas transportadoras</v>
      </c>
      <c r="CB179" t="str">
        <v>154045 Bandas transportadoras</v>
      </c>
      <c r="CC179" t="str">
        <v>154045 Bandas transportadoras</v>
      </c>
      <c r="CD179" t="str">
        <v>154045 Bandas transportadoras</v>
      </c>
      <c r="CE179" t="str">
        <v>154045 Bandas transportadoras</v>
      </c>
      <c r="CS179" s="141" t="str">
        <v>154045 Bandas transportadoras</v>
      </c>
      <c r="CT179" s="141" t="str">
        <v>154045 Bandas transportadoras</v>
      </c>
      <c r="CU179" s="141" t="str">
        <v>154045 Bandas transportadoras</v>
      </c>
      <c r="CV179" s="141" t="str">
        <v>154045 Bandas transportadoras</v>
      </c>
      <c r="CW179" s="141" t="str">
        <v>154045 Bandas transportadoras</v>
      </c>
      <c r="CX179" s="141" t="str">
        <v>154045 Bandas transportadoras</v>
      </c>
      <c r="CY179" s="141" t="str">
        <v>154045 Bandas transportadoras</v>
      </c>
      <c r="CZ179" s="141" t="str">
        <v>154045 Bandas transportadoras</v>
      </c>
      <c r="DA179" s="141" t="str">
        <v>154045 Bandas transportadoras</v>
      </c>
      <c r="DF179" t="str">
        <v>154045 Bandas transportadoras</v>
      </c>
      <c r="DG179" t="str">
        <v>154045 Bandas transportadoras</v>
      </c>
      <c r="DH179" t="str">
        <v>154045 Bandas transportadoras</v>
      </c>
      <c r="DI179" t="str">
        <v>154045 Bandas transportadoras</v>
      </c>
      <c r="DJ179" t="str">
        <v>154045 Bandas transportadoras</v>
      </c>
      <c r="DK179" t="str">
        <v>154045 Bandas transportadoras</v>
      </c>
      <c r="DL179" t="str">
        <v>154045 Bandas transportadoras</v>
      </c>
      <c r="DM179" t="str">
        <v>154045 Bandas transportadoras</v>
      </c>
      <c r="DN179" t="str">
        <v>154045 Bandas transportadoras</v>
      </c>
      <c r="DO179" t="str">
        <v>154045 Bandas transportadoras</v>
      </c>
      <c r="DP179" t="str">
        <v>154045 Bandas transportadoras</v>
      </c>
    </row>
    <row r="180" spans="4:120" ht="12.75">
      <c r="D180" s="7">
        <v>154095</v>
      </c>
      <c r="E180" s="6" t="s">
        <v>45</v>
      </c>
      <c r="F180" s="5">
        <v>4</v>
      </c>
      <c r="G180" s="34" t="s">
        <v>822</v>
      </c>
      <c r="H180" s="8" t="s">
        <v>32</v>
      </c>
      <c r="I180" t="b">
        <f>+ISNUMBER(SEARCH('F-COMPRA'!$F$28,Tabla11[[#This Row],[Cuenta]],1))</f>
        <v>1</v>
      </c>
      <c r="J180" t="b">
        <f>+ISNUMBER(SEARCH('F-COMPRA'!$F$29,Tabla11[[#This Row],[Cuenta]],1))</f>
        <v>1</v>
      </c>
      <c r="K180" t="b">
        <f>+ISNUMBER(SEARCH('F-COMPRA'!$F$30,Tabla11[[#This Row],[Cuenta]],1))</f>
        <v>1</v>
      </c>
      <c r="L180" t="b">
        <f>+ISNUMBER(SEARCH('F-COMPRA'!$F$31,Tabla11[[#This Row],[Cuenta]],1))</f>
        <v>1</v>
      </c>
      <c r="M180" t="b">
        <f>+ISNUMBER(SEARCH('F-COMPRA'!$G$25,Tabla11[[#This Row],[Cuenta]],1))</f>
        <v>0</v>
      </c>
      <c r="N180" t="b">
        <f>+ISNUMBER(SEARCH(#REF!,Tabla11[[#This Row],[Cuenta]],1))</f>
        <v>0</v>
      </c>
      <c r="O180" t="b">
        <f>+ISNUMBER(SEARCH(#REF!,Tabla11[[#This Row],[Cuenta]],1))</f>
        <v>0</v>
      </c>
      <c r="P180" t="b">
        <f>+ISNUMBER(SEARCH('F-COMPRA'!$F$32,Tabla11[[#This Row],[Cuenta]],1))</f>
        <v>1</v>
      </c>
      <c r="Q180" t="b">
        <f>+ISNUMBER(SEARCH('F-COMPRA'!$F$33,Tabla11[[#This Row],[Cuenta]],1))</f>
        <v>1</v>
      </c>
      <c r="R180" t="b">
        <f>+ISNUMBER(SEARCH('F-COMPRA'!$F$34,Tabla11[[#This Row],[Cuenta]],1))</f>
        <v>1</v>
      </c>
      <c r="S180" t="b">
        <f>+ISNUMBER(SEARCH('F-COMPRA'!$F$35,Tabla11[[#This Row],[Cuenta]],1))</f>
        <v>1</v>
      </c>
      <c r="T180" t="b">
        <f>+ISNUMBER(SEARCH('F-COMPRA'!$F$36,Tabla11[[#This Row],[Cuenta]],1))</f>
        <v>1</v>
      </c>
      <c r="U180" t="b">
        <f>+ISNUMBER(SEARCH('F-COMPRA'!$F$37,Tabla11[[#This Row],[Cuenta]],1))</f>
        <v>1</v>
      </c>
      <c r="V180" t="b">
        <f>+ISNUMBER(SEARCH(#REF!,Tabla11[[#This Row],[Cuenta]],1))</f>
        <v>0</v>
      </c>
      <c r="W180" t="b">
        <f>+ISNUMBER(SEARCH('F-COMPRA'!#REF!,Tabla11[[#This Row],[Cuenta]],1))</f>
        <v>0</v>
      </c>
      <c r="X180" t="b">
        <f>+ISNUMBER(SEARCH('F-COMPRA'!#REF!,Tabla11[[#This Row],[Cuenta]],1))</f>
        <v>0</v>
      </c>
      <c r="Y180" t="b">
        <f>+ISNUMBER(SEARCH('F-COMPRA'!#REF!,Tabla11[[#This Row],[Cuenta]],1))</f>
        <v>0</v>
      </c>
      <c r="Z180" t="b">
        <f>+ISNUMBER(SEARCH('F-COMPRA'!#REF!,Tabla11[[#This Row],[Cuenta]],1))</f>
        <v>0</v>
      </c>
      <c r="AA180" t="b">
        <f>+ISNUMBER(SEARCH('F-COMPRA'!#REF!,Tabla11[[#This Row],[Cuenta]],1))</f>
        <v>0</v>
      </c>
      <c r="AB180" t="b">
        <f>+ISNUMBER(SEARCH('F-COMPRA'!#REF!,Tabla11[[#This Row],[Cuenta]],1))</f>
        <v>0</v>
      </c>
      <c r="AC180" t="b">
        <f>+ISNUMBER(SEARCH('F-COMPRA'!#REF!,Tabla11[[#This Row],[Cuenta]],1))</f>
        <v>0</v>
      </c>
      <c r="AD180" t="b">
        <f>+ISNUMBER(SEARCH('F-COMPRA'!#REF!,Tabla11[[#This Row],[Cuenta]],1))</f>
        <v>0</v>
      </c>
      <c r="AE180" t="b">
        <f>+ISNUMBER(SEARCH('F-COMPRA'!#REF!,Tabla11[[#This Row],[Cuenta]],1))</f>
        <v>0</v>
      </c>
      <c r="AF180" t="b">
        <f>+ISNUMBER(SEARCH('F-VTA'!$G$23,Tabla11[[#This Row],[Cuenta]],1))</f>
        <v>0</v>
      </c>
      <c r="AG180" t="b">
        <f>+ISNUMBER(SEARCH('F-VTA'!$G$24,Tabla11[[#This Row],[Cuenta]],1))</f>
        <v>0</v>
      </c>
      <c r="AH180" t="b">
        <f>+ISNUMBER(SEARCH('F-VTA'!$G$25,Tabla11[[#This Row],[Cuenta]],1))</f>
        <v>0</v>
      </c>
      <c r="AI180" t="b">
        <f>+ISNUMBER(SEARCH('F-VTA'!$F$28,Tabla11[[#This Row],[Cuenta]],1))</f>
        <v>1</v>
      </c>
      <c r="AJ180" t="b">
        <f>+ISNUMBER(SEARCH('F-VTA'!$F$29,Tabla11[[#This Row],[Cuenta]],1))</f>
        <v>1</v>
      </c>
      <c r="AK180" t="b">
        <f>+ISNUMBER(SEARCH('F-VTA'!$F$30,Tabla11[[#This Row],[Cuenta]],1))</f>
        <v>1</v>
      </c>
      <c r="AL180" t="b">
        <f>+ISNUMBER(SEARCH('F-VTA'!$F$31,Tabla11[[#This Row],[Cuenta]],1))</f>
        <v>1</v>
      </c>
      <c r="AM180" t="b">
        <f>+ISNUMBER(SEARCH('F-VTA'!$F$32,Tabla11[[#This Row],[Cuenta]],1))</f>
        <v>1</v>
      </c>
      <c r="AN180" t="b">
        <f>+ISNUMBER(SEARCH('F-VTA'!$F$33,Tabla11[[#This Row],[Cuenta]],1))</f>
        <v>1</v>
      </c>
      <c r="AO180" t="b">
        <f>+ISNUMBER(SEARCH('F-VTA'!$F$34,Tabla11[[#This Row],[Cuenta]],1))</f>
        <v>1</v>
      </c>
      <c r="AP180" t="b">
        <f>+ISNUMBER(SEARCH('F-VTA'!$F$35,Tabla11[[#This Row],[Cuenta]],1))</f>
        <v>1</v>
      </c>
      <c r="AQ180" t="b">
        <f>+ISNUMBER(SEARCH('F-VTA'!$F$36,Tabla11[[#This Row],[Cuenta]],1))</f>
        <v>1</v>
      </c>
      <c r="AR180" t="b">
        <f>+ISNUMBER(SEARCH(#REF!,Tabla11[[#This Row],[Cuenta]],1))</f>
        <v>0</v>
      </c>
      <c r="AS180" t="b">
        <f>+ISNUMBER(SEARCH(#REF!,Tabla11[[#This Row],[Cuenta]],1))</f>
        <v>0</v>
      </c>
      <c r="AT180" t="b">
        <f>+ISNUMBER(SEARCH(#REF!,Tabla11[[#This Row],[Cuenta]],1))</f>
        <v>0</v>
      </c>
      <c r="AU180" t="b">
        <f>+ISNUMBER(SEARCH('Conc. Ban.1'!$I$9,Tabla11[[#This Row],[Cuenta]],1))</f>
        <v>0</v>
      </c>
      <c r="AV180" t="b">
        <f>+ISNUMBER(SEARCH(CompConta!$F$21,Tabla11[[#This Row],[Cuenta]],1))</f>
        <v>1</v>
      </c>
      <c r="AW180" t="b">
        <f>+ISNUMBER(SEARCH(CompConta!$F$22,Tabla11[[#This Row],[Cuenta]],1))</f>
        <v>1</v>
      </c>
      <c r="AX180" t="b">
        <f>+ISNUMBER(SEARCH(CompConta!$F$23,Tabla11[[#This Row],[Cuenta]],1))</f>
        <v>1</v>
      </c>
      <c r="AY180" t="b">
        <f>+ISNUMBER(SEARCH(CompConta!$F$24,Tabla11[[#This Row],[Cuenta]],1))</f>
        <v>1</v>
      </c>
      <c r="AZ180" t="b">
        <f>+ISNUMBER(SEARCH(CompConta!$F$25,Tabla11[[#This Row],[Cuenta]],1))</f>
        <v>1</v>
      </c>
      <c r="BA180" t="b">
        <f>+ISNUMBER(SEARCH(CompConta!$F$26,Tabla11[[#This Row],[Cuenta]],1))</f>
        <v>1</v>
      </c>
      <c r="BB180" t="b">
        <f>+ISNUMBER(SEARCH(CompConta!$F$27,Tabla11[[#This Row],[Cuenta]],1))</f>
        <v>1</v>
      </c>
      <c r="BC180" t="b">
        <f>+ISNUMBER(SEARCH(CompConta!$F$28,Tabla11[[#This Row],[Cuenta]],1))</f>
        <v>1</v>
      </c>
      <c r="BD180" t="b">
        <f>+ISNUMBER(SEARCH(CompConta!$F$29,Tabla11[[#This Row],[Cuenta]],1))</f>
        <v>1</v>
      </c>
      <c r="BE180" t="b">
        <f>+ISNUMBER(SEARCH(CompConta!$F$30,Tabla11[[#This Row],[Cuenta]],1))</f>
        <v>1</v>
      </c>
      <c r="BF180" t="b">
        <f>+ISNUMBER(SEARCH('PAGO Compras'!$E$11,Tabla11[[#This Row],[Cuenta]],1))</f>
        <v>1</v>
      </c>
      <c r="BG180" t="b">
        <f>+ISNUMBER(SEARCH(#REF!,Tabla11[[#This Row],[Cuenta]],1))</f>
        <v>0</v>
      </c>
      <c r="BH180" t="b">
        <f>+ISNUMBER(SEARCH(#REF!,Tabla11[[#This Row],[Cuenta]],1))</f>
        <v>0</v>
      </c>
      <c r="BI180" t="b">
        <f>+ISNUMBER(SEARCH(#REF!,Tabla11[[#This Row],[Cuenta]],1))</f>
        <v>0</v>
      </c>
      <c r="BJ180" t="b">
        <f>+ISNUMBER(SEARCH(#REF!,Tabla11[[#This Row],[Cuenta]],1))</f>
        <v>0</v>
      </c>
      <c r="BS180" t="str">
        <v>154095 Otros</v>
      </c>
      <c r="BT180" t="str">
        <v>154095 Otros</v>
      </c>
      <c r="BU180" t="str">
        <v>154095 Otros</v>
      </c>
      <c r="BV180" t="str">
        <v>154095 Otros</v>
      </c>
      <c r="BZ180" t="str">
        <v>154095 Otros</v>
      </c>
      <c r="CA180" t="str">
        <v>154095 Otros</v>
      </c>
      <c r="CB180" t="str">
        <v>154095 Otros</v>
      </c>
      <c r="CC180" t="str">
        <v>154095 Otros</v>
      </c>
      <c r="CD180" t="str">
        <v>154095 Otros</v>
      </c>
      <c r="CE180" t="str">
        <v>154095 Otros</v>
      </c>
      <c r="CS180" s="141" t="str">
        <v>154095 Otros</v>
      </c>
      <c r="CT180" s="141" t="str">
        <v>154095 Otros</v>
      </c>
      <c r="CU180" s="141" t="str">
        <v>154095 Otros</v>
      </c>
      <c r="CV180" s="141" t="str">
        <v>154095 Otros</v>
      </c>
      <c r="CW180" s="141" t="str">
        <v>154095 Otros</v>
      </c>
      <c r="CX180" s="141" t="str">
        <v>154095 Otros</v>
      </c>
      <c r="CY180" s="141" t="str">
        <v>154095 Otros</v>
      </c>
      <c r="CZ180" s="141" t="str">
        <v>154095 Otros</v>
      </c>
      <c r="DA180" s="141" t="str">
        <v>154095 Otros</v>
      </c>
      <c r="DF180" t="str">
        <v>154095 Otros</v>
      </c>
      <c r="DG180" t="str">
        <v>154095 Otros</v>
      </c>
      <c r="DH180" t="str">
        <v>154095 Otros</v>
      </c>
      <c r="DI180" t="str">
        <v>154095 Otros</v>
      </c>
      <c r="DJ180" t="str">
        <v>154095 Otros</v>
      </c>
      <c r="DK180" t="str">
        <v>154095 Otros</v>
      </c>
      <c r="DL180" t="str">
        <v>154095 Otros</v>
      </c>
      <c r="DM180" t="str">
        <v>154095 Otros</v>
      </c>
      <c r="DN180" t="str">
        <v>154095 Otros</v>
      </c>
      <c r="DO180" t="str">
        <v>154095 Otros</v>
      </c>
      <c r="DP180" t="str">
        <v>154095 Otros</v>
      </c>
    </row>
    <row r="181" spans="4:120" ht="12.75">
      <c r="D181" s="7">
        <v>154099</v>
      </c>
      <c r="E181" s="6" t="s">
        <v>44</v>
      </c>
      <c r="F181" s="5">
        <v>4</v>
      </c>
      <c r="G181" s="34" t="s">
        <v>822</v>
      </c>
      <c r="H181" s="8" t="s">
        <v>32</v>
      </c>
      <c r="I181" t="b">
        <f>+ISNUMBER(SEARCH('F-COMPRA'!$F$28,Tabla11[[#This Row],[Cuenta]],1))</f>
        <v>1</v>
      </c>
      <c r="J181" t="b">
        <f>+ISNUMBER(SEARCH('F-COMPRA'!$F$29,Tabla11[[#This Row],[Cuenta]],1))</f>
        <v>1</v>
      </c>
      <c r="K181" t="b">
        <f>+ISNUMBER(SEARCH('F-COMPRA'!$F$30,Tabla11[[#This Row],[Cuenta]],1))</f>
        <v>1</v>
      </c>
      <c r="L181" t="b">
        <f>+ISNUMBER(SEARCH('F-COMPRA'!$F$31,Tabla11[[#This Row],[Cuenta]],1))</f>
        <v>1</v>
      </c>
      <c r="M181" t="b">
        <f>+ISNUMBER(SEARCH('F-COMPRA'!$G$25,Tabla11[[#This Row],[Cuenta]],1))</f>
        <v>0</v>
      </c>
      <c r="N181" t="b">
        <f>+ISNUMBER(SEARCH(#REF!,Tabla11[[#This Row],[Cuenta]],1))</f>
        <v>0</v>
      </c>
      <c r="O181" t="b">
        <f>+ISNUMBER(SEARCH(#REF!,Tabla11[[#This Row],[Cuenta]],1))</f>
        <v>0</v>
      </c>
      <c r="P181" t="b">
        <f>+ISNUMBER(SEARCH('F-COMPRA'!$F$32,Tabla11[[#This Row],[Cuenta]],1))</f>
        <v>1</v>
      </c>
      <c r="Q181" t="b">
        <f>+ISNUMBER(SEARCH('F-COMPRA'!$F$33,Tabla11[[#This Row],[Cuenta]],1))</f>
        <v>1</v>
      </c>
      <c r="R181" t="b">
        <f>+ISNUMBER(SEARCH('F-COMPRA'!$F$34,Tabla11[[#This Row],[Cuenta]],1))</f>
        <v>1</v>
      </c>
      <c r="S181" t="b">
        <f>+ISNUMBER(SEARCH('F-COMPRA'!$F$35,Tabla11[[#This Row],[Cuenta]],1))</f>
        <v>1</v>
      </c>
      <c r="T181" t="b">
        <f>+ISNUMBER(SEARCH('F-COMPRA'!$F$36,Tabla11[[#This Row],[Cuenta]],1))</f>
        <v>1</v>
      </c>
      <c r="U181" t="b">
        <f>+ISNUMBER(SEARCH('F-COMPRA'!$F$37,Tabla11[[#This Row],[Cuenta]],1))</f>
        <v>1</v>
      </c>
      <c r="V181" t="b">
        <f>+ISNUMBER(SEARCH(#REF!,Tabla11[[#This Row],[Cuenta]],1))</f>
        <v>0</v>
      </c>
      <c r="W181" t="b">
        <f>+ISNUMBER(SEARCH('F-COMPRA'!#REF!,Tabla11[[#This Row],[Cuenta]],1))</f>
        <v>0</v>
      </c>
      <c r="X181" t="b">
        <f>+ISNUMBER(SEARCH('F-COMPRA'!#REF!,Tabla11[[#This Row],[Cuenta]],1))</f>
        <v>0</v>
      </c>
      <c r="Y181" t="b">
        <f>+ISNUMBER(SEARCH('F-COMPRA'!#REF!,Tabla11[[#This Row],[Cuenta]],1))</f>
        <v>0</v>
      </c>
      <c r="Z181" t="b">
        <f>+ISNUMBER(SEARCH('F-COMPRA'!#REF!,Tabla11[[#This Row],[Cuenta]],1))</f>
        <v>0</v>
      </c>
      <c r="AA181" t="b">
        <f>+ISNUMBER(SEARCH('F-COMPRA'!#REF!,Tabla11[[#This Row],[Cuenta]],1))</f>
        <v>0</v>
      </c>
      <c r="AB181" t="b">
        <f>+ISNUMBER(SEARCH('F-COMPRA'!#REF!,Tabla11[[#This Row],[Cuenta]],1))</f>
        <v>0</v>
      </c>
      <c r="AC181" t="b">
        <f>+ISNUMBER(SEARCH('F-COMPRA'!#REF!,Tabla11[[#This Row],[Cuenta]],1))</f>
        <v>0</v>
      </c>
      <c r="AD181" t="b">
        <f>+ISNUMBER(SEARCH('F-COMPRA'!#REF!,Tabla11[[#This Row],[Cuenta]],1))</f>
        <v>0</v>
      </c>
      <c r="AE181" t="b">
        <f>+ISNUMBER(SEARCH('F-COMPRA'!#REF!,Tabla11[[#This Row],[Cuenta]],1))</f>
        <v>0</v>
      </c>
      <c r="AF181" t="b">
        <f>+ISNUMBER(SEARCH('F-VTA'!$G$23,Tabla11[[#This Row],[Cuenta]],1))</f>
        <v>0</v>
      </c>
      <c r="AG181" t="b">
        <f>+ISNUMBER(SEARCH('F-VTA'!$G$24,Tabla11[[#This Row],[Cuenta]],1))</f>
        <v>0</v>
      </c>
      <c r="AH181" t="b">
        <f>+ISNUMBER(SEARCH('F-VTA'!$G$25,Tabla11[[#This Row],[Cuenta]],1))</f>
        <v>0</v>
      </c>
      <c r="AI181" t="b">
        <f>+ISNUMBER(SEARCH('F-VTA'!$F$28,Tabla11[[#This Row],[Cuenta]],1))</f>
        <v>1</v>
      </c>
      <c r="AJ181" t="b">
        <f>+ISNUMBER(SEARCH('F-VTA'!$F$29,Tabla11[[#This Row],[Cuenta]],1))</f>
        <v>1</v>
      </c>
      <c r="AK181" t="b">
        <f>+ISNUMBER(SEARCH('F-VTA'!$F$30,Tabla11[[#This Row],[Cuenta]],1))</f>
        <v>1</v>
      </c>
      <c r="AL181" t="b">
        <f>+ISNUMBER(SEARCH('F-VTA'!$F$31,Tabla11[[#This Row],[Cuenta]],1))</f>
        <v>1</v>
      </c>
      <c r="AM181" t="b">
        <f>+ISNUMBER(SEARCH('F-VTA'!$F$32,Tabla11[[#This Row],[Cuenta]],1))</f>
        <v>1</v>
      </c>
      <c r="AN181" t="b">
        <f>+ISNUMBER(SEARCH('F-VTA'!$F$33,Tabla11[[#This Row],[Cuenta]],1))</f>
        <v>1</v>
      </c>
      <c r="AO181" t="b">
        <f>+ISNUMBER(SEARCH('F-VTA'!$F$34,Tabla11[[#This Row],[Cuenta]],1))</f>
        <v>1</v>
      </c>
      <c r="AP181" t="b">
        <f>+ISNUMBER(SEARCH('F-VTA'!$F$35,Tabla11[[#This Row],[Cuenta]],1))</f>
        <v>1</v>
      </c>
      <c r="AQ181" t="b">
        <f>+ISNUMBER(SEARCH('F-VTA'!$F$36,Tabla11[[#This Row],[Cuenta]],1))</f>
        <v>1</v>
      </c>
      <c r="AR181" t="b">
        <f>+ISNUMBER(SEARCH(#REF!,Tabla11[[#This Row],[Cuenta]],1))</f>
        <v>0</v>
      </c>
      <c r="AS181" t="b">
        <f>+ISNUMBER(SEARCH(#REF!,Tabla11[[#This Row],[Cuenta]],1))</f>
        <v>0</v>
      </c>
      <c r="AT181" t="b">
        <f>+ISNUMBER(SEARCH(#REF!,Tabla11[[#This Row],[Cuenta]],1))</f>
        <v>0</v>
      </c>
      <c r="AU181" t="b">
        <f>+ISNUMBER(SEARCH('Conc. Ban.1'!$I$9,Tabla11[[#This Row],[Cuenta]],1))</f>
        <v>0</v>
      </c>
      <c r="AV181" t="b">
        <f>+ISNUMBER(SEARCH(CompConta!$F$21,Tabla11[[#This Row],[Cuenta]],1))</f>
        <v>1</v>
      </c>
      <c r="AW181" t="b">
        <f>+ISNUMBER(SEARCH(CompConta!$F$22,Tabla11[[#This Row],[Cuenta]],1))</f>
        <v>1</v>
      </c>
      <c r="AX181" t="b">
        <f>+ISNUMBER(SEARCH(CompConta!$F$23,Tabla11[[#This Row],[Cuenta]],1))</f>
        <v>1</v>
      </c>
      <c r="AY181" t="b">
        <f>+ISNUMBER(SEARCH(CompConta!$F$24,Tabla11[[#This Row],[Cuenta]],1))</f>
        <v>1</v>
      </c>
      <c r="AZ181" t="b">
        <f>+ISNUMBER(SEARCH(CompConta!$F$25,Tabla11[[#This Row],[Cuenta]],1))</f>
        <v>1</v>
      </c>
      <c r="BA181" t="b">
        <f>+ISNUMBER(SEARCH(CompConta!$F$26,Tabla11[[#This Row],[Cuenta]],1))</f>
        <v>1</v>
      </c>
      <c r="BB181" t="b">
        <f>+ISNUMBER(SEARCH(CompConta!$F$27,Tabla11[[#This Row],[Cuenta]],1))</f>
        <v>1</v>
      </c>
      <c r="BC181" t="b">
        <f>+ISNUMBER(SEARCH(CompConta!$F$28,Tabla11[[#This Row],[Cuenta]],1))</f>
        <v>1</v>
      </c>
      <c r="BD181" t="b">
        <f>+ISNUMBER(SEARCH(CompConta!$F$29,Tabla11[[#This Row],[Cuenta]],1))</f>
        <v>1</v>
      </c>
      <c r="BE181" t="b">
        <f>+ISNUMBER(SEARCH(CompConta!$F$30,Tabla11[[#This Row],[Cuenta]],1))</f>
        <v>1</v>
      </c>
      <c r="BF181" t="b">
        <f>+ISNUMBER(SEARCH('PAGO Compras'!$E$11,Tabla11[[#This Row],[Cuenta]],1))</f>
        <v>1</v>
      </c>
      <c r="BG181" t="b">
        <f>+ISNUMBER(SEARCH(#REF!,Tabla11[[#This Row],[Cuenta]],1))</f>
        <v>0</v>
      </c>
      <c r="BH181" t="b">
        <f>+ISNUMBER(SEARCH(#REF!,Tabla11[[#This Row],[Cuenta]],1))</f>
        <v>0</v>
      </c>
      <c r="BI181" t="b">
        <f>+ISNUMBER(SEARCH(#REF!,Tabla11[[#This Row],[Cuenta]],1))</f>
        <v>0</v>
      </c>
      <c r="BJ181" t="b">
        <f>+ISNUMBER(SEARCH(#REF!,Tabla11[[#This Row],[Cuenta]],1))</f>
        <v>0</v>
      </c>
      <c r="BS181" t="str">
        <v>154099 Ajustes por inflación</v>
      </c>
      <c r="BT181" t="str">
        <v>154099 Ajustes por inflación</v>
      </c>
      <c r="BU181" t="str">
        <v>154099 Ajustes por inflación</v>
      </c>
      <c r="BV181" t="str">
        <v>154099 Ajustes por inflación</v>
      </c>
      <c r="BZ181" t="str">
        <v>154099 Ajustes por inflación</v>
      </c>
      <c r="CA181" t="str">
        <v>154099 Ajustes por inflación</v>
      </c>
      <c r="CB181" t="str">
        <v>154099 Ajustes por inflación</v>
      </c>
      <c r="CC181" t="str">
        <v>154099 Ajustes por inflación</v>
      </c>
      <c r="CD181" t="str">
        <v>154099 Ajustes por inflación</v>
      </c>
      <c r="CE181" t="str">
        <v>154099 Ajustes por inflación</v>
      </c>
      <c r="CS181" s="141" t="str">
        <v>154099 Ajustes por inflación</v>
      </c>
      <c r="CT181" s="141" t="str">
        <v>154099 Ajustes por inflación</v>
      </c>
      <c r="CU181" s="141" t="str">
        <v>154099 Ajustes por inflación</v>
      </c>
      <c r="CV181" s="141" t="str">
        <v>154099 Ajustes por inflación</v>
      </c>
      <c r="CW181" s="141" t="str">
        <v>154099 Ajustes por inflación</v>
      </c>
      <c r="CX181" s="141" t="str">
        <v>154099 Ajustes por inflación</v>
      </c>
      <c r="CY181" s="141" t="str">
        <v>154099 Ajustes por inflación</v>
      </c>
      <c r="CZ181" s="141" t="str">
        <v>154099 Ajustes por inflación</v>
      </c>
      <c r="DA181" s="141" t="str">
        <v>154099 Ajustes por inflación</v>
      </c>
      <c r="DF181" t="str">
        <v>154099 Ajustes por inflación</v>
      </c>
      <c r="DG181" t="str">
        <v>154099 Ajustes por inflación</v>
      </c>
      <c r="DH181" t="str">
        <v>154099 Ajustes por inflación</v>
      </c>
      <c r="DI181" t="str">
        <v>154099 Ajustes por inflación</v>
      </c>
      <c r="DJ181" t="str">
        <v>154099 Ajustes por inflación</v>
      </c>
      <c r="DK181" t="str">
        <v>154099 Ajustes por inflación</v>
      </c>
      <c r="DL181" t="str">
        <v>154099 Ajustes por inflación</v>
      </c>
      <c r="DM181" t="str">
        <v>154099 Ajustes por inflación</v>
      </c>
      <c r="DN181" t="str">
        <v>154099 Ajustes por inflación</v>
      </c>
      <c r="DO181" t="str">
        <v>154099 Ajustes por inflación</v>
      </c>
      <c r="DP181" t="str">
        <v>154099 Ajustes por inflación</v>
      </c>
    </row>
    <row r="182" spans="4:120" ht="12.75">
      <c r="D182" s="7">
        <v>1556</v>
      </c>
      <c r="E182" s="6" t="s">
        <v>186</v>
      </c>
      <c r="F182" s="5">
        <v>3</v>
      </c>
      <c r="G182" s="34" t="s">
        <v>822</v>
      </c>
      <c r="H182" s="8" t="s">
        <v>32</v>
      </c>
      <c r="I182" t="b">
        <f>+ISNUMBER(SEARCH('F-COMPRA'!$F$28,Tabla11[[#This Row],[Cuenta]],1))</f>
        <v>1</v>
      </c>
      <c r="J182" t="b">
        <f>+ISNUMBER(SEARCH('F-COMPRA'!$F$29,Tabla11[[#This Row],[Cuenta]],1))</f>
        <v>1</v>
      </c>
      <c r="K182" t="b">
        <f>+ISNUMBER(SEARCH('F-COMPRA'!$F$30,Tabla11[[#This Row],[Cuenta]],1))</f>
        <v>1</v>
      </c>
      <c r="L182" t="b">
        <f>+ISNUMBER(SEARCH('F-COMPRA'!$F$31,Tabla11[[#This Row],[Cuenta]],1))</f>
        <v>1</v>
      </c>
      <c r="M182" t="b">
        <f>+ISNUMBER(SEARCH('F-COMPRA'!$G$25,Tabla11[[#This Row],[Cuenta]],1))</f>
        <v>0</v>
      </c>
      <c r="N182" t="b">
        <f>+ISNUMBER(SEARCH(#REF!,Tabla11[[#This Row],[Cuenta]],1))</f>
        <v>0</v>
      </c>
      <c r="O182" t="b">
        <f>+ISNUMBER(SEARCH(#REF!,Tabla11[[#This Row],[Cuenta]],1))</f>
        <v>0</v>
      </c>
      <c r="P182" t="b">
        <f>+ISNUMBER(SEARCH('F-COMPRA'!$F$32,Tabla11[[#This Row],[Cuenta]],1))</f>
        <v>1</v>
      </c>
      <c r="Q182" t="b">
        <f>+ISNUMBER(SEARCH('F-COMPRA'!$F$33,Tabla11[[#This Row],[Cuenta]],1))</f>
        <v>1</v>
      </c>
      <c r="R182" t="b">
        <f>+ISNUMBER(SEARCH('F-COMPRA'!$F$34,Tabla11[[#This Row],[Cuenta]],1))</f>
        <v>1</v>
      </c>
      <c r="S182" t="b">
        <f>+ISNUMBER(SEARCH('F-COMPRA'!$F$35,Tabla11[[#This Row],[Cuenta]],1))</f>
        <v>1</v>
      </c>
      <c r="T182" t="b">
        <f>+ISNUMBER(SEARCH('F-COMPRA'!$F$36,Tabla11[[#This Row],[Cuenta]],1))</f>
        <v>1</v>
      </c>
      <c r="U182" t="b">
        <f>+ISNUMBER(SEARCH('F-COMPRA'!$F$37,Tabla11[[#This Row],[Cuenta]],1))</f>
        <v>1</v>
      </c>
      <c r="V182" t="b">
        <f>+ISNUMBER(SEARCH(#REF!,Tabla11[[#This Row],[Cuenta]],1))</f>
        <v>0</v>
      </c>
      <c r="W182" t="b">
        <f>+ISNUMBER(SEARCH('F-COMPRA'!#REF!,Tabla11[[#This Row],[Cuenta]],1))</f>
        <v>0</v>
      </c>
      <c r="X182" t="b">
        <f>+ISNUMBER(SEARCH('F-COMPRA'!#REF!,Tabla11[[#This Row],[Cuenta]],1))</f>
        <v>0</v>
      </c>
      <c r="Y182" t="b">
        <f>+ISNUMBER(SEARCH('F-COMPRA'!#REF!,Tabla11[[#This Row],[Cuenta]],1))</f>
        <v>0</v>
      </c>
      <c r="Z182" t="b">
        <f>+ISNUMBER(SEARCH('F-COMPRA'!#REF!,Tabla11[[#This Row],[Cuenta]],1))</f>
        <v>0</v>
      </c>
      <c r="AA182" t="b">
        <f>+ISNUMBER(SEARCH('F-COMPRA'!#REF!,Tabla11[[#This Row],[Cuenta]],1))</f>
        <v>0</v>
      </c>
      <c r="AB182" t="b">
        <f>+ISNUMBER(SEARCH('F-COMPRA'!#REF!,Tabla11[[#This Row],[Cuenta]],1))</f>
        <v>0</v>
      </c>
      <c r="AC182" t="b">
        <f>+ISNUMBER(SEARCH('F-COMPRA'!#REF!,Tabla11[[#This Row],[Cuenta]],1))</f>
        <v>0</v>
      </c>
      <c r="AD182" t="b">
        <f>+ISNUMBER(SEARCH('F-COMPRA'!#REF!,Tabla11[[#This Row],[Cuenta]],1))</f>
        <v>0</v>
      </c>
      <c r="AE182" t="b">
        <f>+ISNUMBER(SEARCH('F-COMPRA'!#REF!,Tabla11[[#This Row],[Cuenta]],1))</f>
        <v>0</v>
      </c>
      <c r="AF182" t="b">
        <f>+ISNUMBER(SEARCH('F-VTA'!$G$23,Tabla11[[#This Row],[Cuenta]],1))</f>
        <v>0</v>
      </c>
      <c r="AG182" t="b">
        <f>+ISNUMBER(SEARCH('F-VTA'!$G$24,Tabla11[[#This Row],[Cuenta]],1))</f>
        <v>0</v>
      </c>
      <c r="AH182" t="b">
        <f>+ISNUMBER(SEARCH('F-VTA'!$G$25,Tabla11[[#This Row],[Cuenta]],1))</f>
        <v>0</v>
      </c>
      <c r="AI182" t="b">
        <f>+ISNUMBER(SEARCH('F-VTA'!$F$28,Tabla11[[#This Row],[Cuenta]],1))</f>
        <v>1</v>
      </c>
      <c r="AJ182" t="b">
        <f>+ISNUMBER(SEARCH('F-VTA'!$F$29,Tabla11[[#This Row],[Cuenta]],1))</f>
        <v>1</v>
      </c>
      <c r="AK182" t="b">
        <f>+ISNUMBER(SEARCH('F-VTA'!$F$30,Tabla11[[#This Row],[Cuenta]],1))</f>
        <v>1</v>
      </c>
      <c r="AL182" t="b">
        <f>+ISNUMBER(SEARCH('F-VTA'!$F$31,Tabla11[[#This Row],[Cuenta]],1))</f>
        <v>1</v>
      </c>
      <c r="AM182" t="b">
        <f>+ISNUMBER(SEARCH('F-VTA'!$F$32,Tabla11[[#This Row],[Cuenta]],1))</f>
        <v>1</v>
      </c>
      <c r="AN182" t="b">
        <f>+ISNUMBER(SEARCH('F-VTA'!$F$33,Tabla11[[#This Row],[Cuenta]],1))</f>
        <v>1</v>
      </c>
      <c r="AO182" t="b">
        <f>+ISNUMBER(SEARCH('F-VTA'!$F$34,Tabla11[[#This Row],[Cuenta]],1))</f>
        <v>1</v>
      </c>
      <c r="AP182" t="b">
        <f>+ISNUMBER(SEARCH('F-VTA'!$F$35,Tabla11[[#This Row],[Cuenta]],1))</f>
        <v>1</v>
      </c>
      <c r="AQ182" t="b">
        <f>+ISNUMBER(SEARCH('F-VTA'!$F$36,Tabla11[[#This Row],[Cuenta]],1))</f>
        <v>1</v>
      </c>
      <c r="AR182" t="b">
        <f>+ISNUMBER(SEARCH(#REF!,Tabla11[[#This Row],[Cuenta]],1))</f>
        <v>0</v>
      </c>
      <c r="AS182" t="b">
        <f>+ISNUMBER(SEARCH(#REF!,Tabla11[[#This Row],[Cuenta]],1))</f>
        <v>0</v>
      </c>
      <c r="AT182" t="b">
        <f>+ISNUMBER(SEARCH(#REF!,Tabla11[[#This Row],[Cuenta]],1))</f>
        <v>0</v>
      </c>
      <c r="AU182" t="b">
        <f>+ISNUMBER(SEARCH('Conc. Ban.1'!$I$9,Tabla11[[#This Row],[Cuenta]],1))</f>
        <v>0</v>
      </c>
      <c r="AV182" t="b">
        <f>+ISNUMBER(SEARCH(CompConta!$F$21,Tabla11[[#This Row],[Cuenta]],1))</f>
        <v>1</v>
      </c>
      <c r="AW182" t="b">
        <f>+ISNUMBER(SEARCH(CompConta!$F$22,Tabla11[[#This Row],[Cuenta]],1))</f>
        <v>1</v>
      </c>
      <c r="AX182" t="b">
        <f>+ISNUMBER(SEARCH(CompConta!$F$23,Tabla11[[#This Row],[Cuenta]],1))</f>
        <v>1</v>
      </c>
      <c r="AY182" t="b">
        <f>+ISNUMBER(SEARCH(CompConta!$F$24,Tabla11[[#This Row],[Cuenta]],1))</f>
        <v>1</v>
      </c>
      <c r="AZ182" t="b">
        <f>+ISNUMBER(SEARCH(CompConta!$F$25,Tabla11[[#This Row],[Cuenta]],1))</f>
        <v>1</v>
      </c>
      <c r="BA182" t="b">
        <f>+ISNUMBER(SEARCH(CompConta!$F$26,Tabla11[[#This Row],[Cuenta]],1))</f>
        <v>1</v>
      </c>
      <c r="BB182" t="b">
        <f>+ISNUMBER(SEARCH(CompConta!$F$27,Tabla11[[#This Row],[Cuenta]],1))</f>
        <v>1</v>
      </c>
      <c r="BC182" t="b">
        <f>+ISNUMBER(SEARCH(CompConta!$F$28,Tabla11[[#This Row],[Cuenta]],1))</f>
        <v>1</v>
      </c>
      <c r="BD182" t="b">
        <f>+ISNUMBER(SEARCH(CompConta!$F$29,Tabla11[[#This Row],[Cuenta]],1))</f>
        <v>1</v>
      </c>
      <c r="BE182" t="b">
        <f>+ISNUMBER(SEARCH(CompConta!$F$30,Tabla11[[#This Row],[Cuenta]],1))</f>
        <v>1</v>
      </c>
      <c r="BF182" t="b">
        <f>+ISNUMBER(SEARCH('PAGO Compras'!$E$11,Tabla11[[#This Row],[Cuenta]],1))</f>
        <v>1</v>
      </c>
      <c r="BG182" t="b">
        <f>+ISNUMBER(SEARCH(#REF!,Tabla11[[#This Row],[Cuenta]],1))</f>
        <v>0</v>
      </c>
      <c r="BH182" t="b">
        <f>+ISNUMBER(SEARCH(#REF!,Tabla11[[#This Row],[Cuenta]],1))</f>
        <v>0</v>
      </c>
      <c r="BI182" t="b">
        <f>+ISNUMBER(SEARCH(#REF!,Tabla11[[#This Row],[Cuenta]],1))</f>
        <v>0</v>
      </c>
      <c r="BJ182" t="b">
        <f>+ISNUMBER(SEARCH(#REF!,Tabla11[[#This Row],[Cuenta]],1))</f>
        <v>0</v>
      </c>
      <c r="BS182" t="str">
        <v>1556 ACUEDUCTOS, PLANTAS Y REDES</v>
      </c>
      <c r="BT182" t="str">
        <v>1556 ACUEDUCTOS, PLANTAS Y REDES</v>
      </c>
      <c r="BU182" t="str">
        <v>1556 ACUEDUCTOS, PLANTAS Y REDES</v>
      </c>
      <c r="BV182" t="str">
        <v>1556 ACUEDUCTOS, PLANTAS Y REDES</v>
      </c>
      <c r="BZ182" t="str">
        <v>1556 ACUEDUCTOS, PLANTAS Y REDES</v>
      </c>
      <c r="CA182" t="str">
        <v>1556 ACUEDUCTOS, PLANTAS Y REDES</v>
      </c>
      <c r="CB182" t="str">
        <v>1556 ACUEDUCTOS, PLANTAS Y REDES</v>
      </c>
      <c r="CC182" t="str">
        <v>1556 ACUEDUCTOS, PLANTAS Y REDES</v>
      </c>
      <c r="CD182" t="str">
        <v>1556 ACUEDUCTOS, PLANTAS Y REDES</v>
      </c>
      <c r="CE182" t="str">
        <v>1556 ACUEDUCTOS, PLANTAS Y REDES</v>
      </c>
      <c r="CS182" s="141" t="str">
        <v>1556 ACUEDUCTOS, PLANTAS Y REDES</v>
      </c>
      <c r="CT182" s="141" t="str">
        <v>1556 ACUEDUCTOS, PLANTAS Y REDES</v>
      </c>
      <c r="CU182" s="141" t="str">
        <v>1556 ACUEDUCTOS, PLANTAS Y REDES</v>
      </c>
      <c r="CV182" s="141" t="str">
        <v>1556 ACUEDUCTOS, PLANTAS Y REDES</v>
      </c>
      <c r="CW182" s="141" t="str">
        <v>1556 ACUEDUCTOS, PLANTAS Y REDES</v>
      </c>
      <c r="CX182" s="141" t="str">
        <v>1556 ACUEDUCTOS, PLANTAS Y REDES</v>
      </c>
      <c r="CY182" s="141" t="str">
        <v>1556 ACUEDUCTOS, PLANTAS Y REDES</v>
      </c>
      <c r="CZ182" s="141" t="str">
        <v>1556 ACUEDUCTOS, PLANTAS Y REDES</v>
      </c>
      <c r="DA182" s="141" t="str">
        <v>1556 ACUEDUCTOS, PLANTAS Y REDES</v>
      </c>
      <c r="DF182" t="str">
        <v>1556 ACUEDUCTOS, PLANTAS Y REDES</v>
      </c>
      <c r="DG182" t="str">
        <v>1556 ACUEDUCTOS, PLANTAS Y REDES</v>
      </c>
      <c r="DH182" t="str">
        <v>1556 ACUEDUCTOS, PLANTAS Y REDES</v>
      </c>
      <c r="DI182" t="str">
        <v>1556 ACUEDUCTOS, PLANTAS Y REDES</v>
      </c>
      <c r="DJ182" t="str">
        <v>1556 ACUEDUCTOS, PLANTAS Y REDES</v>
      </c>
      <c r="DK182" t="str">
        <v>1556 ACUEDUCTOS, PLANTAS Y REDES</v>
      </c>
      <c r="DL182" t="str">
        <v>1556 ACUEDUCTOS, PLANTAS Y REDES</v>
      </c>
      <c r="DM182" t="str">
        <v>1556 ACUEDUCTOS, PLANTAS Y REDES</v>
      </c>
      <c r="DN182" t="str">
        <v>1556 ACUEDUCTOS, PLANTAS Y REDES</v>
      </c>
      <c r="DO182" t="str">
        <v>1556 ACUEDUCTOS, PLANTAS Y REDES</v>
      </c>
      <c r="DP182" t="str">
        <v>1556 ACUEDUCTOS, PLANTAS Y REDES</v>
      </c>
    </row>
    <row r="183" spans="4:120" ht="12.75">
      <c r="D183" s="7">
        <v>155605</v>
      </c>
      <c r="E183" s="6" t="s">
        <v>187</v>
      </c>
      <c r="F183" s="5">
        <v>4</v>
      </c>
      <c r="G183" s="34" t="s">
        <v>822</v>
      </c>
      <c r="H183" s="8" t="s">
        <v>32</v>
      </c>
      <c r="I183" t="b">
        <f>+ISNUMBER(SEARCH('F-COMPRA'!$F$28,Tabla11[[#This Row],[Cuenta]],1))</f>
        <v>1</v>
      </c>
      <c r="J183" t="b">
        <f>+ISNUMBER(SEARCH('F-COMPRA'!$F$29,Tabla11[[#This Row],[Cuenta]],1))</f>
        <v>1</v>
      </c>
      <c r="K183" t="b">
        <f>+ISNUMBER(SEARCH('F-COMPRA'!$F$30,Tabla11[[#This Row],[Cuenta]],1))</f>
        <v>1</v>
      </c>
      <c r="L183" t="b">
        <f>+ISNUMBER(SEARCH('F-COMPRA'!$F$31,Tabla11[[#This Row],[Cuenta]],1))</f>
        <v>1</v>
      </c>
      <c r="M183" t="b">
        <f>+ISNUMBER(SEARCH('F-COMPRA'!$G$25,Tabla11[[#This Row],[Cuenta]],1))</f>
        <v>0</v>
      </c>
      <c r="N183" t="b">
        <f>+ISNUMBER(SEARCH(#REF!,Tabla11[[#This Row],[Cuenta]],1))</f>
        <v>0</v>
      </c>
      <c r="O183" t="b">
        <f>+ISNUMBER(SEARCH(#REF!,Tabla11[[#This Row],[Cuenta]],1))</f>
        <v>0</v>
      </c>
      <c r="P183" t="b">
        <f>+ISNUMBER(SEARCH('F-COMPRA'!$F$32,Tabla11[[#This Row],[Cuenta]],1))</f>
        <v>1</v>
      </c>
      <c r="Q183" t="b">
        <f>+ISNUMBER(SEARCH('F-COMPRA'!$F$33,Tabla11[[#This Row],[Cuenta]],1))</f>
        <v>1</v>
      </c>
      <c r="R183" t="b">
        <f>+ISNUMBER(SEARCH('F-COMPRA'!$F$34,Tabla11[[#This Row],[Cuenta]],1))</f>
        <v>1</v>
      </c>
      <c r="S183" t="b">
        <f>+ISNUMBER(SEARCH('F-COMPRA'!$F$35,Tabla11[[#This Row],[Cuenta]],1))</f>
        <v>1</v>
      </c>
      <c r="T183" t="b">
        <f>+ISNUMBER(SEARCH('F-COMPRA'!$F$36,Tabla11[[#This Row],[Cuenta]],1))</f>
        <v>1</v>
      </c>
      <c r="U183" t="b">
        <f>+ISNUMBER(SEARCH('F-COMPRA'!$F$37,Tabla11[[#This Row],[Cuenta]],1))</f>
        <v>1</v>
      </c>
      <c r="V183" t="b">
        <f>+ISNUMBER(SEARCH(#REF!,Tabla11[[#This Row],[Cuenta]],1))</f>
        <v>0</v>
      </c>
      <c r="W183" t="b">
        <f>+ISNUMBER(SEARCH('F-COMPRA'!#REF!,Tabla11[[#This Row],[Cuenta]],1))</f>
        <v>0</v>
      </c>
      <c r="X183" t="b">
        <f>+ISNUMBER(SEARCH('F-COMPRA'!#REF!,Tabla11[[#This Row],[Cuenta]],1))</f>
        <v>0</v>
      </c>
      <c r="Y183" t="b">
        <f>+ISNUMBER(SEARCH('F-COMPRA'!#REF!,Tabla11[[#This Row],[Cuenta]],1))</f>
        <v>0</v>
      </c>
      <c r="Z183" t="b">
        <f>+ISNUMBER(SEARCH('F-COMPRA'!#REF!,Tabla11[[#This Row],[Cuenta]],1))</f>
        <v>0</v>
      </c>
      <c r="AA183" t="b">
        <f>+ISNUMBER(SEARCH('F-COMPRA'!#REF!,Tabla11[[#This Row],[Cuenta]],1))</f>
        <v>0</v>
      </c>
      <c r="AB183" t="b">
        <f>+ISNUMBER(SEARCH('F-COMPRA'!#REF!,Tabla11[[#This Row],[Cuenta]],1))</f>
        <v>0</v>
      </c>
      <c r="AC183" t="b">
        <f>+ISNUMBER(SEARCH('F-COMPRA'!#REF!,Tabla11[[#This Row],[Cuenta]],1))</f>
        <v>0</v>
      </c>
      <c r="AD183" t="b">
        <f>+ISNUMBER(SEARCH('F-COMPRA'!#REF!,Tabla11[[#This Row],[Cuenta]],1))</f>
        <v>0</v>
      </c>
      <c r="AE183" t="b">
        <f>+ISNUMBER(SEARCH('F-COMPRA'!#REF!,Tabla11[[#This Row],[Cuenta]],1))</f>
        <v>0</v>
      </c>
      <c r="AF183" t="b">
        <f>+ISNUMBER(SEARCH('F-VTA'!$G$23,Tabla11[[#This Row],[Cuenta]],1))</f>
        <v>0</v>
      </c>
      <c r="AG183" t="b">
        <f>+ISNUMBER(SEARCH('F-VTA'!$G$24,Tabla11[[#This Row],[Cuenta]],1))</f>
        <v>0</v>
      </c>
      <c r="AH183" t="b">
        <f>+ISNUMBER(SEARCH('F-VTA'!$G$25,Tabla11[[#This Row],[Cuenta]],1))</f>
        <v>0</v>
      </c>
      <c r="AI183" t="b">
        <f>+ISNUMBER(SEARCH('F-VTA'!$F$28,Tabla11[[#This Row],[Cuenta]],1))</f>
        <v>1</v>
      </c>
      <c r="AJ183" t="b">
        <f>+ISNUMBER(SEARCH('F-VTA'!$F$29,Tabla11[[#This Row],[Cuenta]],1))</f>
        <v>1</v>
      </c>
      <c r="AK183" t="b">
        <f>+ISNUMBER(SEARCH('F-VTA'!$F$30,Tabla11[[#This Row],[Cuenta]],1))</f>
        <v>1</v>
      </c>
      <c r="AL183" t="b">
        <f>+ISNUMBER(SEARCH('F-VTA'!$F$31,Tabla11[[#This Row],[Cuenta]],1))</f>
        <v>1</v>
      </c>
      <c r="AM183" t="b">
        <f>+ISNUMBER(SEARCH('F-VTA'!$F$32,Tabla11[[#This Row],[Cuenta]],1))</f>
        <v>1</v>
      </c>
      <c r="AN183" t="b">
        <f>+ISNUMBER(SEARCH('F-VTA'!$F$33,Tabla11[[#This Row],[Cuenta]],1))</f>
        <v>1</v>
      </c>
      <c r="AO183" t="b">
        <f>+ISNUMBER(SEARCH('F-VTA'!$F$34,Tabla11[[#This Row],[Cuenta]],1))</f>
        <v>1</v>
      </c>
      <c r="AP183" t="b">
        <f>+ISNUMBER(SEARCH('F-VTA'!$F$35,Tabla11[[#This Row],[Cuenta]],1))</f>
        <v>1</v>
      </c>
      <c r="AQ183" t="b">
        <f>+ISNUMBER(SEARCH('F-VTA'!$F$36,Tabla11[[#This Row],[Cuenta]],1))</f>
        <v>1</v>
      </c>
      <c r="AR183" t="b">
        <f>+ISNUMBER(SEARCH(#REF!,Tabla11[[#This Row],[Cuenta]],1))</f>
        <v>0</v>
      </c>
      <c r="AS183" t="b">
        <f>+ISNUMBER(SEARCH(#REF!,Tabla11[[#This Row],[Cuenta]],1))</f>
        <v>0</v>
      </c>
      <c r="AT183" t="b">
        <f>+ISNUMBER(SEARCH(#REF!,Tabla11[[#This Row],[Cuenta]],1))</f>
        <v>0</v>
      </c>
      <c r="AU183" t="b">
        <f>+ISNUMBER(SEARCH('Conc. Ban.1'!$I$9,Tabla11[[#This Row],[Cuenta]],1))</f>
        <v>0</v>
      </c>
      <c r="AV183" t="b">
        <f>+ISNUMBER(SEARCH(CompConta!$F$21,Tabla11[[#This Row],[Cuenta]],1))</f>
        <v>1</v>
      </c>
      <c r="AW183" t="b">
        <f>+ISNUMBER(SEARCH(CompConta!$F$22,Tabla11[[#This Row],[Cuenta]],1))</f>
        <v>1</v>
      </c>
      <c r="AX183" t="b">
        <f>+ISNUMBER(SEARCH(CompConta!$F$23,Tabla11[[#This Row],[Cuenta]],1))</f>
        <v>1</v>
      </c>
      <c r="AY183" t="b">
        <f>+ISNUMBER(SEARCH(CompConta!$F$24,Tabla11[[#This Row],[Cuenta]],1))</f>
        <v>1</v>
      </c>
      <c r="AZ183" t="b">
        <f>+ISNUMBER(SEARCH(CompConta!$F$25,Tabla11[[#This Row],[Cuenta]],1))</f>
        <v>1</v>
      </c>
      <c r="BA183" t="b">
        <f>+ISNUMBER(SEARCH(CompConta!$F$26,Tabla11[[#This Row],[Cuenta]],1))</f>
        <v>1</v>
      </c>
      <c r="BB183" t="b">
        <f>+ISNUMBER(SEARCH(CompConta!$F$27,Tabla11[[#This Row],[Cuenta]],1))</f>
        <v>1</v>
      </c>
      <c r="BC183" t="b">
        <f>+ISNUMBER(SEARCH(CompConta!$F$28,Tabla11[[#This Row],[Cuenta]],1))</f>
        <v>1</v>
      </c>
      <c r="BD183" t="b">
        <f>+ISNUMBER(SEARCH(CompConta!$F$29,Tabla11[[#This Row],[Cuenta]],1))</f>
        <v>1</v>
      </c>
      <c r="BE183" t="b">
        <f>+ISNUMBER(SEARCH(CompConta!$F$30,Tabla11[[#This Row],[Cuenta]],1))</f>
        <v>1</v>
      </c>
      <c r="BF183" t="b">
        <f>+ISNUMBER(SEARCH('PAGO Compras'!$E$11,Tabla11[[#This Row],[Cuenta]],1))</f>
        <v>1</v>
      </c>
      <c r="BG183" t="b">
        <f>+ISNUMBER(SEARCH(#REF!,Tabla11[[#This Row],[Cuenta]],1))</f>
        <v>0</v>
      </c>
      <c r="BH183" t="b">
        <f>+ISNUMBER(SEARCH(#REF!,Tabla11[[#This Row],[Cuenta]],1))</f>
        <v>0</v>
      </c>
      <c r="BI183" t="b">
        <f>+ISNUMBER(SEARCH(#REF!,Tabla11[[#This Row],[Cuenta]],1))</f>
        <v>0</v>
      </c>
      <c r="BJ183" t="b">
        <f>+ISNUMBER(SEARCH(#REF!,Tabla11[[#This Row],[Cuenta]],1))</f>
        <v>0</v>
      </c>
      <c r="BS183" t="str">
        <v>155605 Instalaciones para agua y energía</v>
      </c>
      <c r="BT183" t="str">
        <v>155605 Instalaciones para agua y energía</v>
      </c>
      <c r="BU183" t="str">
        <v>155605 Instalaciones para agua y energía</v>
      </c>
      <c r="BV183" t="str">
        <v>155605 Instalaciones para agua y energía</v>
      </c>
      <c r="BZ183" t="str">
        <v>155605 Instalaciones para agua y energía</v>
      </c>
      <c r="CA183" t="str">
        <v>155605 Instalaciones para agua y energía</v>
      </c>
      <c r="CB183" t="str">
        <v>155605 Instalaciones para agua y energía</v>
      </c>
      <c r="CC183" t="str">
        <v>155605 Instalaciones para agua y energía</v>
      </c>
      <c r="CD183" t="str">
        <v>155605 Instalaciones para agua y energía</v>
      </c>
      <c r="CE183" t="str">
        <v>155605 Instalaciones para agua y energía</v>
      </c>
      <c r="CS183" s="141" t="str">
        <v>155605 Instalaciones para agua y energía</v>
      </c>
      <c r="CT183" s="141" t="str">
        <v>155605 Instalaciones para agua y energía</v>
      </c>
      <c r="CU183" s="141" t="str">
        <v>155605 Instalaciones para agua y energía</v>
      </c>
      <c r="CV183" s="141" t="str">
        <v>155605 Instalaciones para agua y energía</v>
      </c>
      <c r="CW183" s="141" t="str">
        <v>155605 Instalaciones para agua y energía</v>
      </c>
      <c r="CX183" s="141" t="str">
        <v>155605 Instalaciones para agua y energía</v>
      </c>
      <c r="CY183" s="141" t="str">
        <v>155605 Instalaciones para agua y energía</v>
      </c>
      <c r="CZ183" s="141" t="str">
        <v>155605 Instalaciones para agua y energía</v>
      </c>
      <c r="DA183" s="141" t="str">
        <v>155605 Instalaciones para agua y energía</v>
      </c>
      <c r="DF183" t="str">
        <v>155605 Instalaciones para agua y energía</v>
      </c>
      <c r="DG183" t="str">
        <v>155605 Instalaciones para agua y energía</v>
      </c>
      <c r="DH183" t="str">
        <v>155605 Instalaciones para agua y energía</v>
      </c>
      <c r="DI183" t="str">
        <v>155605 Instalaciones para agua y energía</v>
      </c>
      <c r="DJ183" t="str">
        <v>155605 Instalaciones para agua y energía</v>
      </c>
      <c r="DK183" t="str">
        <v>155605 Instalaciones para agua y energía</v>
      </c>
      <c r="DL183" t="str">
        <v>155605 Instalaciones para agua y energía</v>
      </c>
      <c r="DM183" t="str">
        <v>155605 Instalaciones para agua y energía</v>
      </c>
      <c r="DN183" t="str">
        <v>155605 Instalaciones para agua y energía</v>
      </c>
      <c r="DO183" t="str">
        <v>155605 Instalaciones para agua y energía</v>
      </c>
      <c r="DP183" t="str">
        <v>155605 Instalaciones para agua y energía</v>
      </c>
    </row>
    <row r="184" spans="4:120" ht="12.75">
      <c r="D184" s="7">
        <v>155610</v>
      </c>
      <c r="E184" s="6" t="s">
        <v>188</v>
      </c>
      <c r="F184" s="5">
        <v>4</v>
      </c>
      <c r="G184" s="34" t="s">
        <v>822</v>
      </c>
      <c r="H184" s="8" t="s">
        <v>32</v>
      </c>
      <c r="I184" t="b">
        <f>+ISNUMBER(SEARCH('F-COMPRA'!$F$28,Tabla11[[#This Row],[Cuenta]],1))</f>
        <v>1</v>
      </c>
      <c r="J184" t="b">
        <f>+ISNUMBER(SEARCH('F-COMPRA'!$F$29,Tabla11[[#This Row],[Cuenta]],1))</f>
        <v>1</v>
      </c>
      <c r="K184" t="b">
        <f>+ISNUMBER(SEARCH('F-COMPRA'!$F$30,Tabla11[[#This Row],[Cuenta]],1))</f>
        <v>1</v>
      </c>
      <c r="L184" t="b">
        <f>+ISNUMBER(SEARCH('F-COMPRA'!$F$31,Tabla11[[#This Row],[Cuenta]],1))</f>
        <v>1</v>
      </c>
      <c r="M184" t="b">
        <f>+ISNUMBER(SEARCH('F-COMPRA'!$G$25,Tabla11[[#This Row],[Cuenta]],1))</f>
        <v>0</v>
      </c>
      <c r="N184" t="b">
        <f>+ISNUMBER(SEARCH(#REF!,Tabla11[[#This Row],[Cuenta]],1))</f>
        <v>0</v>
      </c>
      <c r="O184" t="b">
        <f>+ISNUMBER(SEARCH(#REF!,Tabla11[[#This Row],[Cuenta]],1))</f>
        <v>0</v>
      </c>
      <c r="P184" t="b">
        <f>+ISNUMBER(SEARCH('F-COMPRA'!$F$32,Tabla11[[#This Row],[Cuenta]],1))</f>
        <v>1</v>
      </c>
      <c r="Q184" t="b">
        <f>+ISNUMBER(SEARCH('F-COMPRA'!$F$33,Tabla11[[#This Row],[Cuenta]],1))</f>
        <v>1</v>
      </c>
      <c r="R184" t="b">
        <f>+ISNUMBER(SEARCH('F-COMPRA'!$F$34,Tabla11[[#This Row],[Cuenta]],1))</f>
        <v>1</v>
      </c>
      <c r="S184" t="b">
        <f>+ISNUMBER(SEARCH('F-COMPRA'!$F$35,Tabla11[[#This Row],[Cuenta]],1))</f>
        <v>1</v>
      </c>
      <c r="T184" t="b">
        <f>+ISNUMBER(SEARCH('F-COMPRA'!$F$36,Tabla11[[#This Row],[Cuenta]],1))</f>
        <v>1</v>
      </c>
      <c r="U184" t="b">
        <f>+ISNUMBER(SEARCH('F-COMPRA'!$F$37,Tabla11[[#This Row],[Cuenta]],1))</f>
        <v>1</v>
      </c>
      <c r="V184" t="b">
        <f>+ISNUMBER(SEARCH(#REF!,Tabla11[[#This Row],[Cuenta]],1))</f>
        <v>0</v>
      </c>
      <c r="W184" t="b">
        <f>+ISNUMBER(SEARCH('F-COMPRA'!#REF!,Tabla11[[#This Row],[Cuenta]],1))</f>
        <v>0</v>
      </c>
      <c r="X184" t="b">
        <f>+ISNUMBER(SEARCH('F-COMPRA'!#REF!,Tabla11[[#This Row],[Cuenta]],1))</f>
        <v>0</v>
      </c>
      <c r="Y184" t="b">
        <f>+ISNUMBER(SEARCH('F-COMPRA'!#REF!,Tabla11[[#This Row],[Cuenta]],1))</f>
        <v>0</v>
      </c>
      <c r="Z184" t="b">
        <f>+ISNUMBER(SEARCH('F-COMPRA'!#REF!,Tabla11[[#This Row],[Cuenta]],1))</f>
        <v>0</v>
      </c>
      <c r="AA184" t="b">
        <f>+ISNUMBER(SEARCH('F-COMPRA'!#REF!,Tabla11[[#This Row],[Cuenta]],1))</f>
        <v>0</v>
      </c>
      <c r="AB184" t="b">
        <f>+ISNUMBER(SEARCH('F-COMPRA'!#REF!,Tabla11[[#This Row],[Cuenta]],1))</f>
        <v>0</v>
      </c>
      <c r="AC184" t="b">
        <f>+ISNUMBER(SEARCH('F-COMPRA'!#REF!,Tabla11[[#This Row],[Cuenta]],1))</f>
        <v>0</v>
      </c>
      <c r="AD184" t="b">
        <f>+ISNUMBER(SEARCH('F-COMPRA'!#REF!,Tabla11[[#This Row],[Cuenta]],1))</f>
        <v>0</v>
      </c>
      <c r="AE184" t="b">
        <f>+ISNUMBER(SEARCH('F-COMPRA'!#REF!,Tabla11[[#This Row],[Cuenta]],1))</f>
        <v>0</v>
      </c>
      <c r="AF184" t="b">
        <f>+ISNUMBER(SEARCH('F-VTA'!$G$23,Tabla11[[#This Row],[Cuenta]],1))</f>
        <v>0</v>
      </c>
      <c r="AG184" t="b">
        <f>+ISNUMBER(SEARCH('F-VTA'!$G$24,Tabla11[[#This Row],[Cuenta]],1))</f>
        <v>0</v>
      </c>
      <c r="AH184" t="b">
        <f>+ISNUMBER(SEARCH('F-VTA'!$G$25,Tabla11[[#This Row],[Cuenta]],1))</f>
        <v>0</v>
      </c>
      <c r="AI184" t="b">
        <f>+ISNUMBER(SEARCH('F-VTA'!$F$28,Tabla11[[#This Row],[Cuenta]],1))</f>
        <v>1</v>
      </c>
      <c r="AJ184" t="b">
        <f>+ISNUMBER(SEARCH('F-VTA'!$F$29,Tabla11[[#This Row],[Cuenta]],1))</f>
        <v>1</v>
      </c>
      <c r="AK184" t="b">
        <f>+ISNUMBER(SEARCH('F-VTA'!$F$30,Tabla11[[#This Row],[Cuenta]],1))</f>
        <v>1</v>
      </c>
      <c r="AL184" t="b">
        <f>+ISNUMBER(SEARCH('F-VTA'!$F$31,Tabla11[[#This Row],[Cuenta]],1))</f>
        <v>1</v>
      </c>
      <c r="AM184" t="b">
        <f>+ISNUMBER(SEARCH('F-VTA'!$F$32,Tabla11[[#This Row],[Cuenta]],1))</f>
        <v>1</v>
      </c>
      <c r="AN184" t="b">
        <f>+ISNUMBER(SEARCH('F-VTA'!$F$33,Tabla11[[#This Row],[Cuenta]],1))</f>
        <v>1</v>
      </c>
      <c r="AO184" t="b">
        <f>+ISNUMBER(SEARCH('F-VTA'!$F$34,Tabla11[[#This Row],[Cuenta]],1))</f>
        <v>1</v>
      </c>
      <c r="AP184" t="b">
        <f>+ISNUMBER(SEARCH('F-VTA'!$F$35,Tabla11[[#This Row],[Cuenta]],1))</f>
        <v>1</v>
      </c>
      <c r="AQ184" t="b">
        <f>+ISNUMBER(SEARCH('F-VTA'!$F$36,Tabla11[[#This Row],[Cuenta]],1))</f>
        <v>1</v>
      </c>
      <c r="AR184" t="b">
        <f>+ISNUMBER(SEARCH(#REF!,Tabla11[[#This Row],[Cuenta]],1))</f>
        <v>0</v>
      </c>
      <c r="AS184" t="b">
        <f>+ISNUMBER(SEARCH(#REF!,Tabla11[[#This Row],[Cuenta]],1))</f>
        <v>0</v>
      </c>
      <c r="AT184" t="b">
        <f>+ISNUMBER(SEARCH(#REF!,Tabla11[[#This Row],[Cuenta]],1))</f>
        <v>0</v>
      </c>
      <c r="AU184" t="b">
        <f>+ISNUMBER(SEARCH('Conc. Ban.1'!$I$9,Tabla11[[#This Row],[Cuenta]],1))</f>
        <v>0</v>
      </c>
      <c r="AV184" t="b">
        <f>+ISNUMBER(SEARCH(CompConta!$F$21,Tabla11[[#This Row],[Cuenta]],1))</f>
        <v>1</v>
      </c>
      <c r="AW184" t="b">
        <f>+ISNUMBER(SEARCH(CompConta!$F$22,Tabla11[[#This Row],[Cuenta]],1))</f>
        <v>1</v>
      </c>
      <c r="AX184" t="b">
        <f>+ISNUMBER(SEARCH(CompConta!$F$23,Tabla11[[#This Row],[Cuenta]],1))</f>
        <v>1</v>
      </c>
      <c r="AY184" t="b">
        <f>+ISNUMBER(SEARCH(CompConta!$F$24,Tabla11[[#This Row],[Cuenta]],1))</f>
        <v>1</v>
      </c>
      <c r="AZ184" t="b">
        <f>+ISNUMBER(SEARCH(CompConta!$F$25,Tabla11[[#This Row],[Cuenta]],1))</f>
        <v>1</v>
      </c>
      <c r="BA184" t="b">
        <f>+ISNUMBER(SEARCH(CompConta!$F$26,Tabla11[[#This Row],[Cuenta]],1))</f>
        <v>1</v>
      </c>
      <c r="BB184" t="b">
        <f>+ISNUMBER(SEARCH(CompConta!$F$27,Tabla11[[#This Row],[Cuenta]],1))</f>
        <v>1</v>
      </c>
      <c r="BC184" t="b">
        <f>+ISNUMBER(SEARCH(CompConta!$F$28,Tabla11[[#This Row],[Cuenta]],1))</f>
        <v>1</v>
      </c>
      <c r="BD184" t="b">
        <f>+ISNUMBER(SEARCH(CompConta!$F$29,Tabla11[[#This Row],[Cuenta]],1))</f>
        <v>1</v>
      </c>
      <c r="BE184" t="b">
        <f>+ISNUMBER(SEARCH(CompConta!$F$30,Tabla11[[#This Row],[Cuenta]],1))</f>
        <v>1</v>
      </c>
      <c r="BF184" t="b">
        <f>+ISNUMBER(SEARCH('PAGO Compras'!$E$11,Tabla11[[#This Row],[Cuenta]],1))</f>
        <v>1</v>
      </c>
      <c r="BG184" t="b">
        <f>+ISNUMBER(SEARCH(#REF!,Tabla11[[#This Row],[Cuenta]],1))</f>
        <v>0</v>
      </c>
      <c r="BH184" t="b">
        <f>+ISNUMBER(SEARCH(#REF!,Tabla11[[#This Row],[Cuenta]],1))</f>
        <v>0</v>
      </c>
      <c r="BI184" t="b">
        <f>+ISNUMBER(SEARCH(#REF!,Tabla11[[#This Row],[Cuenta]],1))</f>
        <v>0</v>
      </c>
      <c r="BJ184" t="b">
        <f>+ISNUMBER(SEARCH(#REF!,Tabla11[[#This Row],[Cuenta]],1))</f>
        <v>0</v>
      </c>
      <c r="BS184" t="str">
        <v>155610 Acueducto, acequias y canalizaciones</v>
      </c>
      <c r="BT184" t="str">
        <v>155610 Acueducto, acequias y canalizaciones</v>
      </c>
      <c r="BU184" t="str">
        <v>155610 Acueducto, acequias y canalizaciones</v>
      </c>
      <c r="BV184" t="str">
        <v>155610 Acueducto, acequias y canalizaciones</v>
      </c>
      <c r="BZ184" t="str">
        <v>155610 Acueducto, acequias y canalizaciones</v>
      </c>
      <c r="CA184" t="str">
        <v>155610 Acueducto, acequias y canalizaciones</v>
      </c>
      <c r="CB184" t="str">
        <v>155610 Acueducto, acequias y canalizaciones</v>
      </c>
      <c r="CC184" t="str">
        <v>155610 Acueducto, acequias y canalizaciones</v>
      </c>
      <c r="CD184" t="str">
        <v>155610 Acueducto, acequias y canalizaciones</v>
      </c>
      <c r="CE184" t="str">
        <v>155610 Acueducto, acequias y canalizaciones</v>
      </c>
      <c r="CS184" s="141" t="str">
        <v>155610 Acueducto, acequias y canalizaciones</v>
      </c>
      <c r="CT184" s="141" t="str">
        <v>155610 Acueducto, acequias y canalizaciones</v>
      </c>
      <c r="CU184" s="141" t="str">
        <v>155610 Acueducto, acequias y canalizaciones</v>
      </c>
      <c r="CV184" s="141" t="str">
        <v>155610 Acueducto, acequias y canalizaciones</v>
      </c>
      <c r="CW184" s="141" t="str">
        <v>155610 Acueducto, acequias y canalizaciones</v>
      </c>
      <c r="CX184" s="141" t="str">
        <v>155610 Acueducto, acequias y canalizaciones</v>
      </c>
      <c r="CY184" s="141" t="str">
        <v>155610 Acueducto, acequias y canalizaciones</v>
      </c>
      <c r="CZ184" s="141" t="str">
        <v>155610 Acueducto, acequias y canalizaciones</v>
      </c>
      <c r="DA184" s="141" t="str">
        <v>155610 Acueducto, acequias y canalizaciones</v>
      </c>
      <c r="DF184" t="str">
        <v>155610 Acueducto, acequias y canalizaciones</v>
      </c>
      <c r="DG184" t="str">
        <v>155610 Acueducto, acequias y canalizaciones</v>
      </c>
      <c r="DH184" t="str">
        <v>155610 Acueducto, acequias y canalizaciones</v>
      </c>
      <c r="DI184" t="str">
        <v>155610 Acueducto, acequias y canalizaciones</v>
      </c>
      <c r="DJ184" t="str">
        <v>155610 Acueducto, acequias y canalizaciones</v>
      </c>
      <c r="DK184" t="str">
        <v>155610 Acueducto, acequias y canalizaciones</v>
      </c>
      <c r="DL184" t="str">
        <v>155610 Acueducto, acequias y canalizaciones</v>
      </c>
      <c r="DM184" t="str">
        <v>155610 Acueducto, acequias y canalizaciones</v>
      </c>
      <c r="DN184" t="str">
        <v>155610 Acueducto, acequias y canalizaciones</v>
      </c>
      <c r="DO184" t="str">
        <v>155610 Acueducto, acequias y canalizaciones</v>
      </c>
      <c r="DP184" t="str">
        <v>155610 Acueducto, acequias y canalizaciones</v>
      </c>
    </row>
    <row r="185" spans="4:120" ht="12.75">
      <c r="D185" s="7">
        <v>155615</v>
      </c>
      <c r="E185" s="6" t="s">
        <v>189</v>
      </c>
      <c r="F185" s="5">
        <v>4</v>
      </c>
      <c r="G185" s="34" t="s">
        <v>822</v>
      </c>
      <c r="H185" s="8" t="s">
        <v>32</v>
      </c>
      <c r="I185" t="b">
        <f>+ISNUMBER(SEARCH('F-COMPRA'!$F$28,Tabla11[[#This Row],[Cuenta]],1))</f>
        <v>1</v>
      </c>
      <c r="J185" t="b">
        <f>+ISNUMBER(SEARCH('F-COMPRA'!$F$29,Tabla11[[#This Row],[Cuenta]],1))</f>
        <v>1</v>
      </c>
      <c r="K185" t="b">
        <f>+ISNUMBER(SEARCH('F-COMPRA'!$F$30,Tabla11[[#This Row],[Cuenta]],1))</f>
        <v>1</v>
      </c>
      <c r="L185" t="b">
        <f>+ISNUMBER(SEARCH('F-COMPRA'!$F$31,Tabla11[[#This Row],[Cuenta]],1))</f>
        <v>1</v>
      </c>
      <c r="M185" t="b">
        <f>+ISNUMBER(SEARCH('F-COMPRA'!$G$25,Tabla11[[#This Row],[Cuenta]],1))</f>
        <v>0</v>
      </c>
      <c r="N185" t="b">
        <f>+ISNUMBER(SEARCH(#REF!,Tabla11[[#This Row],[Cuenta]],1))</f>
        <v>0</v>
      </c>
      <c r="O185" t="b">
        <f>+ISNUMBER(SEARCH(#REF!,Tabla11[[#This Row],[Cuenta]],1))</f>
        <v>0</v>
      </c>
      <c r="P185" t="b">
        <f>+ISNUMBER(SEARCH('F-COMPRA'!$F$32,Tabla11[[#This Row],[Cuenta]],1))</f>
        <v>1</v>
      </c>
      <c r="Q185" t="b">
        <f>+ISNUMBER(SEARCH('F-COMPRA'!$F$33,Tabla11[[#This Row],[Cuenta]],1))</f>
        <v>1</v>
      </c>
      <c r="R185" t="b">
        <f>+ISNUMBER(SEARCH('F-COMPRA'!$F$34,Tabla11[[#This Row],[Cuenta]],1))</f>
        <v>1</v>
      </c>
      <c r="S185" t="b">
        <f>+ISNUMBER(SEARCH('F-COMPRA'!$F$35,Tabla11[[#This Row],[Cuenta]],1))</f>
        <v>1</v>
      </c>
      <c r="T185" t="b">
        <f>+ISNUMBER(SEARCH('F-COMPRA'!$F$36,Tabla11[[#This Row],[Cuenta]],1))</f>
        <v>1</v>
      </c>
      <c r="U185" t="b">
        <f>+ISNUMBER(SEARCH('F-COMPRA'!$F$37,Tabla11[[#This Row],[Cuenta]],1))</f>
        <v>1</v>
      </c>
      <c r="V185" t="b">
        <f>+ISNUMBER(SEARCH(#REF!,Tabla11[[#This Row],[Cuenta]],1))</f>
        <v>0</v>
      </c>
      <c r="W185" t="b">
        <f>+ISNUMBER(SEARCH('F-COMPRA'!#REF!,Tabla11[[#This Row],[Cuenta]],1))</f>
        <v>0</v>
      </c>
      <c r="X185" t="b">
        <f>+ISNUMBER(SEARCH('F-COMPRA'!#REF!,Tabla11[[#This Row],[Cuenta]],1))</f>
        <v>0</v>
      </c>
      <c r="Y185" t="b">
        <f>+ISNUMBER(SEARCH('F-COMPRA'!#REF!,Tabla11[[#This Row],[Cuenta]],1))</f>
        <v>0</v>
      </c>
      <c r="Z185" t="b">
        <f>+ISNUMBER(SEARCH('F-COMPRA'!#REF!,Tabla11[[#This Row],[Cuenta]],1))</f>
        <v>0</v>
      </c>
      <c r="AA185" t="b">
        <f>+ISNUMBER(SEARCH('F-COMPRA'!#REF!,Tabla11[[#This Row],[Cuenta]],1))</f>
        <v>0</v>
      </c>
      <c r="AB185" t="b">
        <f>+ISNUMBER(SEARCH('F-COMPRA'!#REF!,Tabla11[[#This Row],[Cuenta]],1))</f>
        <v>0</v>
      </c>
      <c r="AC185" t="b">
        <f>+ISNUMBER(SEARCH('F-COMPRA'!#REF!,Tabla11[[#This Row],[Cuenta]],1))</f>
        <v>0</v>
      </c>
      <c r="AD185" t="b">
        <f>+ISNUMBER(SEARCH('F-COMPRA'!#REF!,Tabla11[[#This Row],[Cuenta]],1))</f>
        <v>0</v>
      </c>
      <c r="AE185" t="b">
        <f>+ISNUMBER(SEARCH('F-COMPRA'!#REF!,Tabla11[[#This Row],[Cuenta]],1))</f>
        <v>0</v>
      </c>
      <c r="AF185" t="b">
        <f>+ISNUMBER(SEARCH('F-VTA'!$G$23,Tabla11[[#This Row],[Cuenta]],1))</f>
        <v>0</v>
      </c>
      <c r="AG185" t="b">
        <f>+ISNUMBER(SEARCH('F-VTA'!$G$24,Tabla11[[#This Row],[Cuenta]],1))</f>
        <v>0</v>
      </c>
      <c r="AH185" t="b">
        <f>+ISNUMBER(SEARCH('F-VTA'!$G$25,Tabla11[[#This Row],[Cuenta]],1))</f>
        <v>0</v>
      </c>
      <c r="AI185" t="b">
        <f>+ISNUMBER(SEARCH('F-VTA'!$F$28,Tabla11[[#This Row],[Cuenta]],1))</f>
        <v>1</v>
      </c>
      <c r="AJ185" t="b">
        <f>+ISNUMBER(SEARCH('F-VTA'!$F$29,Tabla11[[#This Row],[Cuenta]],1))</f>
        <v>1</v>
      </c>
      <c r="AK185" t="b">
        <f>+ISNUMBER(SEARCH('F-VTA'!$F$30,Tabla11[[#This Row],[Cuenta]],1))</f>
        <v>1</v>
      </c>
      <c r="AL185" t="b">
        <f>+ISNUMBER(SEARCH('F-VTA'!$F$31,Tabla11[[#This Row],[Cuenta]],1))</f>
        <v>1</v>
      </c>
      <c r="AM185" t="b">
        <f>+ISNUMBER(SEARCH('F-VTA'!$F$32,Tabla11[[#This Row],[Cuenta]],1))</f>
        <v>1</v>
      </c>
      <c r="AN185" t="b">
        <f>+ISNUMBER(SEARCH('F-VTA'!$F$33,Tabla11[[#This Row],[Cuenta]],1))</f>
        <v>1</v>
      </c>
      <c r="AO185" t="b">
        <f>+ISNUMBER(SEARCH('F-VTA'!$F$34,Tabla11[[#This Row],[Cuenta]],1))</f>
        <v>1</v>
      </c>
      <c r="AP185" t="b">
        <f>+ISNUMBER(SEARCH('F-VTA'!$F$35,Tabla11[[#This Row],[Cuenta]],1))</f>
        <v>1</v>
      </c>
      <c r="AQ185" t="b">
        <f>+ISNUMBER(SEARCH('F-VTA'!$F$36,Tabla11[[#This Row],[Cuenta]],1))</f>
        <v>1</v>
      </c>
      <c r="AR185" t="b">
        <f>+ISNUMBER(SEARCH(#REF!,Tabla11[[#This Row],[Cuenta]],1))</f>
        <v>0</v>
      </c>
      <c r="AS185" t="b">
        <f>+ISNUMBER(SEARCH(#REF!,Tabla11[[#This Row],[Cuenta]],1))</f>
        <v>0</v>
      </c>
      <c r="AT185" t="b">
        <f>+ISNUMBER(SEARCH(#REF!,Tabla11[[#This Row],[Cuenta]],1))</f>
        <v>0</v>
      </c>
      <c r="AU185" t="b">
        <f>+ISNUMBER(SEARCH('Conc. Ban.1'!$I$9,Tabla11[[#This Row],[Cuenta]],1))</f>
        <v>0</v>
      </c>
      <c r="AV185" t="b">
        <f>+ISNUMBER(SEARCH(CompConta!$F$21,Tabla11[[#This Row],[Cuenta]],1))</f>
        <v>1</v>
      </c>
      <c r="AW185" t="b">
        <f>+ISNUMBER(SEARCH(CompConta!$F$22,Tabla11[[#This Row],[Cuenta]],1))</f>
        <v>1</v>
      </c>
      <c r="AX185" t="b">
        <f>+ISNUMBER(SEARCH(CompConta!$F$23,Tabla11[[#This Row],[Cuenta]],1))</f>
        <v>1</v>
      </c>
      <c r="AY185" t="b">
        <f>+ISNUMBER(SEARCH(CompConta!$F$24,Tabla11[[#This Row],[Cuenta]],1))</f>
        <v>1</v>
      </c>
      <c r="AZ185" t="b">
        <f>+ISNUMBER(SEARCH(CompConta!$F$25,Tabla11[[#This Row],[Cuenta]],1))</f>
        <v>1</v>
      </c>
      <c r="BA185" t="b">
        <f>+ISNUMBER(SEARCH(CompConta!$F$26,Tabla11[[#This Row],[Cuenta]],1))</f>
        <v>1</v>
      </c>
      <c r="BB185" t="b">
        <f>+ISNUMBER(SEARCH(CompConta!$F$27,Tabla11[[#This Row],[Cuenta]],1))</f>
        <v>1</v>
      </c>
      <c r="BC185" t="b">
        <f>+ISNUMBER(SEARCH(CompConta!$F$28,Tabla11[[#This Row],[Cuenta]],1))</f>
        <v>1</v>
      </c>
      <c r="BD185" t="b">
        <f>+ISNUMBER(SEARCH(CompConta!$F$29,Tabla11[[#This Row],[Cuenta]],1))</f>
        <v>1</v>
      </c>
      <c r="BE185" t="b">
        <f>+ISNUMBER(SEARCH(CompConta!$F$30,Tabla11[[#This Row],[Cuenta]],1))</f>
        <v>1</v>
      </c>
      <c r="BF185" t="b">
        <f>+ISNUMBER(SEARCH('PAGO Compras'!$E$11,Tabla11[[#This Row],[Cuenta]],1))</f>
        <v>1</v>
      </c>
      <c r="BG185" t="b">
        <f>+ISNUMBER(SEARCH(#REF!,Tabla11[[#This Row],[Cuenta]],1))</f>
        <v>0</v>
      </c>
      <c r="BH185" t="b">
        <f>+ISNUMBER(SEARCH(#REF!,Tabla11[[#This Row],[Cuenta]],1))</f>
        <v>0</v>
      </c>
      <c r="BI185" t="b">
        <f>+ISNUMBER(SEARCH(#REF!,Tabla11[[#This Row],[Cuenta]],1))</f>
        <v>0</v>
      </c>
      <c r="BJ185" t="b">
        <f>+ISNUMBER(SEARCH(#REF!,Tabla11[[#This Row],[Cuenta]],1))</f>
        <v>0</v>
      </c>
      <c r="BS185" t="str">
        <v>155615 Plantas de generación hidráulica</v>
      </c>
      <c r="BT185" t="str">
        <v>155615 Plantas de generación hidráulica</v>
      </c>
      <c r="BU185" t="str">
        <v>155615 Plantas de generación hidráulica</v>
      </c>
      <c r="BV185" t="str">
        <v>155615 Plantas de generación hidráulica</v>
      </c>
      <c r="BZ185" t="str">
        <v>155615 Plantas de generación hidráulica</v>
      </c>
      <c r="CA185" t="str">
        <v>155615 Plantas de generación hidráulica</v>
      </c>
      <c r="CB185" t="str">
        <v>155615 Plantas de generación hidráulica</v>
      </c>
      <c r="CC185" t="str">
        <v>155615 Plantas de generación hidráulica</v>
      </c>
      <c r="CD185" t="str">
        <v>155615 Plantas de generación hidráulica</v>
      </c>
      <c r="CE185" t="str">
        <v>155615 Plantas de generación hidráulica</v>
      </c>
      <c r="CS185" s="141" t="str">
        <v>155615 Plantas de generación hidráulica</v>
      </c>
      <c r="CT185" s="141" t="str">
        <v>155615 Plantas de generación hidráulica</v>
      </c>
      <c r="CU185" s="141" t="str">
        <v>155615 Plantas de generación hidráulica</v>
      </c>
      <c r="CV185" s="141" t="str">
        <v>155615 Plantas de generación hidráulica</v>
      </c>
      <c r="CW185" s="141" t="str">
        <v>155615 Plantas de generación hidráulica</v>
      </c>
      <c r="CX185" s="141" t="str">
        <v>155615 Plantas de generación hidráulica</v>
      </c>
      <c r="CY185" s="141" t="str">
        <v>155615 Plantas de generación hidráulica</v>
      </c>
      <c r="CZ185" s="141" t="str">
        <v>155615 Plantas de generación hidráulica</v>
      </c>
      <c r="DA185" s="141" t="str">
        <v>155615 Plantas de generación hidráulica</v>
      </c>
      <c r="DF185" t="str">
        <v>155615 Plantas de generación hidráulica</v>
      </c>
      <c r="DG185" t="str">
        <v>155615 Plantas de generación hidráulica</v>
      </c>
      <c r="DH185" t="str">
        <v>155615 Plantas de generación hidráulica</v>
      </c>
      <c r="DI185" t="str">
        <v>155615 Plantas de generación hidráulica</v>
      </c>
      <c r="DJ185" t="str">
        <v>155615 Plantas de generación hidráulica</v>
      </c>
      <c r="DK185" t="str">
        <v>155615 Plantas de generación hidráulica</v>
      </c>
      <c r="DL185" t="str">
        <v>155615 Plantas de generación hidráulica</v>
      </c>
      <c r="DM185" t="str">
        <v>155615 Plantas de generación hidráulica</v>
      </c>
      <c r="DN185" t="str">
        <v>155615 Plantas de generación hidráulica</v>
      </c>
      <c r="DO185" t="str">
        <v>155615 Plantas de generación hidráulica</v>
      </c>
      <c r="DP185" t="str">
        <v>155615 Plantas de generación hidráulica</v>
      </c>
    </row>
    <row r="186" spans="4:120" ht="12.75">
      <c r="D186" s="7">
        <v>155620</v>
      </c>
      <c r="E186" s="6" t="s">
        <v>190</v>
      </c>
      <c r="F186" s="5">
        <v>4</v>
      </c>
      <c r="G186" s="34" t="s">
        <v>822</v>
      </c>
      <c r="H186" s="8" t="s">
        <v>32</v>
      </c>
      <c r="I186" t="b">
        <f>+ISNUMBER(SEARCH('F-COMPRA'!$F$28,Tabla11[[#This Row],[Cuenta]],1))</f>
        <v>1</v>
      </c>
      <c r="J186" t="b">
        <f>+ISNUMBER(SEARCH('F-COMPRA'!$F$29,Tabla11[[#This Row],[Cuenta]],1))</f>
        <v>1</v>
      </c>
      <c r="K186" t="b">
        <f>+ISNUMBER(SEARCH('F-COMPRA'!$F$30,Tabla11[[#This Row],[Cuenta]],1))</f>
        <v>1</v>
      </c>
      <c r="L186" t="b">
        <f>+ISNUMBER(SEARCH('F-COMPRA'!$F$31,Tabla11[[#This Row],[Cuenta]],1))</f>
        <v>1</v>
      </c>
      <c r="M186" t="b">
        <f>+ISNUMBER(SEARCH('F-COMPRA'!$G$25,Tabla11[[#This Row],[Cuenta]],1))</f>
        <v>0</v>
      </c>
      <c r="N186" t="b">
        <f>+ISNUMBER(SEARCH(#REF!,Tabla11[[#This Row],[Cuenta]],1))</f>
        <v>0</v>
      </c>
      <c r="O186" t="b">
        <f>+ISNUMBER(SEARCH(#REF!,Tabla11[[#This Row],[Cuenta]],1))</f>
        <v>0</v>
      </c>
      <c r="P186" t="b">
        <f>+ISNUMBER(SEARCH('F-COMPRA'!$F$32,Tabla11[[#This Row],[Cuenta]],1))</f>
        <v>1</v>
      </c>
      <c r="Q186" t="b">
        <f>+ISNUMBER(SEARCH('F-COMPRA'!$F$33,Tabla11[[#This Row],[Cuenta]],1))</f>
        <v>1</v>
      </c>
      <c r="R186" t="b">
        <f>+ISNUMBER(SEARCH('F-COMPRA'!$F$34,Tabla11[[#This Row],[Cuenta]],1))</f>
        <v>1</v>
      </c>
      <c r="S186" t="b">
        <f>+ISNUMBER(SEARCH('F-COMPRA'!$F$35,Tabla11[[#This Row],[Cuenta]],1))</f>
        <v>1</v>
      </c>
      <c r="T186" t="b">
        <f>+ISNUMBER(SEARCH('F-COMPRA'!$F$36,Tabla11[[#This Row],[Cuenta]],1))</f>
        <v>1</v>
      </c>
      <c r="U186" t="b">
        <f>+ISNUMBER(SEARCH('F-COMPRA'!$F$37,Tabla11[[#This Row],[Cuenta]],1))</f>
        <v>1</v>
      </c>
      <c r="V186" t="b">
        <f>+ISNUMBER(SEARCH(#REF!,Tabla11[[#This Row],[Cuenta]],1))</f>
        <v>0</v>
      </c>
      <c r="W186" t="b">
        <f>+ISNUMBER(SEARCH('F-COMPRA'!#REF!,Tabla11[[#This Row],[Cuenta]],1))</f>
        <v>0</v>
      </c>
      <c r="X186" t="b">
        <f>+ISNUMBER(SEARCH('F-COMPRA'!#REF!,Tabla11[[#This Row],[Cuenta]],1))</f>
        <v>0</v>
      </c>
      <c r="Y186" t="b">
        <f>+ISNUMBER(SEARCH('F-COMPRA'!#REF!,Tabla11[[#This Row],[Cuenta]],1))</f>
        <v>0</v>
      </c>
      <c r="Z186" t="b">
        <f>+ISNUMBER(SEARCH('F-COMPRA'!#REF!,Tabla11[[#This Row],[Cuenta]],1))</f>
        <v>0</v>
      </c>
      <c r="AA186" t="b">
        <f>+ISNUMBER(SEARCH('F-COMPRA'!#REF!,Tabla11[[#This Row],[Cuenta]],1))</f>
        <v>0</v>
      </c>
      <c r="AB186" t="b">
        <f>+ISNUMBER(SEARCH('F-COMPRA'!#REF!,Tabla11[[#This Row],[Cuenta]],1))</f>
        <v>0</v>
      </c>
      <c r="AC186" t="b">
        <f>+ISNUMBER(SEARCH('F-COMPRA'!#REF!,Tabla11[[#This Row],[Cuenta]],1))</f>
        <v>0</v>
      </c>
      <c r="AD186" t="b">
        <f>+ISNUMBER(SEARCH('F-COMPRA'!#REF!,Tabla11[[#This Row],[Cuenta]],1))</f>
        <v>0</v>
      </c>
      <c r="AE186" t="b">
        <f>+ISNUMBER(SEARCH('F-COMPRA'!#REF!,Tabla11[[#This Row],[Cuenta]],1))</f>
        <v>0</v>
      </c>
      <c r="AF186" t="b">
        <f>+ISNUMBER(SEARCH('F-VTA'!$G$23,Tabla11[[#This Row],[Cuenta]],1))</f>
        <v>0</v>
      </c>
      <c r="AG186" t="b">
        <f>+ISNUMBER(SEARCH('F-VTA'!$G$24,Tabla11[[#This Row],[Cuenta]],1))</f>
        <v>0</v>
      </c>
      <c r="AH186" t="b">
        <f>+ISNUMBER(SEARCH('F-VTA'!$G$25,Tabla11[[#This Row],[Cuenta]],1))</f>
        <v>0</v>
      </c>
      <c r="AI186" t="b">
        <f>+ISNUMBER(SEARCH('F-VTA'!$F$28,Tabla11[[#This Row],[Cuenta]],1))</f>
        <v>1</v>
      </c>
      <c r="AJ186" t="b">
        <f>+ISNUMBER(SEARCH('F-VTA'!$F$29,Tabla11[[#This Row],[Cuenta]],1))</f>
        <v>1</v>
      </c>
      <c r="AK186" t="b">
        <f>+ISNUMBER(SEARCH('F-VTA'!$F$30,Tabla11[[#This Row],[Cuenta]],1))</f>
        <v>1</v>
      </c>
      <c r="AL186" t="b">
        <f>+ISNUMBER(SEARCH('F-VTA'!$F$31,Tabla11[[#This Row],[Cuenta]],1))</f>
        <v>1</v>
      </c>
      <c r="AM186" t="b">
        <f>+ISNUMBER(SEARCH('F-VTA'!$F$32,Tabla11[[#This Row],[Cuenta]],1))</f>
        <v>1</v>
      </c>
      <c r="AN186" t="b">
        <f>+ISNUMBER(SEARCH('F-VTA'!$F$33,Tabla11[[#This Row],[Cuenta]],1))</f>
        <v>1</v>
      </c>
      <c r="AO186" t="b">
        <f>+ISNUMBER(SEARCH('F-VTA'!$F$34,Tabla11[[#This Row],[Cuenta]],1))</f>
        <v>1</v>
      </c>
      <c r="AP186" t="b">
        <f>+ISNUMBER(SEARCH('F-VTA'!$F$35,Tabla11[[#This Row],[Cuenta]],1))</f>
        <v>1</v>
      </c>
      <c r="AQ186" t="b">
        <f>+ISNUMBER(SEARCH('F-VTA'!$F$36,Tabla11[[#This Row],[Cuenta]],1))</f>
        <v>1</v>
      </c>
      <c r="AR186" t="b">
        <f>+ISNUMBER(SEARCH(#REF!,Tabla11[[#This Row],[Cuenta]],1))</f>
        <v>0</v>
      </c>
      <c r="AS186" t="b">
        <f>+ISNUMBER(SEARCH(#REF!,Tabla11[[#This Row],[Cuenta]],1))</f>
        <v>0</v>
      </c>
      <c r="AT186" t="b">
        <f>+ISNUMBER(SEARCH(#REF!,Tabla11[[#This Row],[Cuenta]],1))</f>
        <v>0</v>
      </c>
      <c r="AU186" t="b">
        <f>+ISNUMBER(SEARCH('Conc. Ban.1'!$I$9,Tabla11[[#This Row],[Cuenta]],1))</f>
        <v>0</v>
      </c>
      <c r="AV186" t="b">
        <f>+ISNUMBER(SEARCH(CompConta!$F$21,Tabla11[[#This Row],[Cuenta]],1))</f>
        <v>1</v>
      </c>
      <c r="AW186" t="b">
        <f>+ISNUMBER(SEARCH(CompConta!$F$22,Tabla11[[#This Row],[Cuenta]],1))</f>
        <v>1</v>
      </c>
      <c r="AX186" t="b">
        <f>+ISNUMBER(SEARCH(CompConta!$F$23,Tabla11[[#This Row],[Cuenta]],1))</f>
        <v>1</v>
      </c>
      <c r="AY186" t="b">
        <f>+ISNUMBER(SEARCH(CompConta!$F$24,Tabla11[[#This Row],[Cuenta]],1))</f>
        <v>1</v>
      </c>
      <c r="AZ186" t="b">
        <f>+ISNUMBER(SEARCH(CompConta!$F$25,Tabla11[[#This Row],[Cuenta]],1))</f>
        <v>1</v>
      </c>
      <c r="BA186" t="b">
        <f>+ISNUMBER(SEARCH(CompConta!$F$26,Tabla11[[#This Row],[Cuenta]],1))</f>
        <v>1</v>
      </c>
      <c r="BB186" t="b">
        <f>+ISNUMBER(SEARCH(CompConta!$F$27,Tabla11[[#This Row],[Cuenta]],1))</f>
        <v>1</v>
      </c>
      <c r="BC186" t="b">
        <f>+ISNUMBER(SEARCH(CompConta!$F$28,Tabla11[[#This Row],[Cuenta]],1))</f>
        <v>1</v>
      </c>
      <c r="BD186" t="b">
        <f>+ISNUMBER(SEARCH(CompConta!$F$29,Tabla11[[#This Row],[Cuenta]],1))</f>
        <v>1</v>
      </c>
      <c r="BE186" t="b">
        <f>+ISNUMBER(SEARCH(CompConta!$F$30,Tabla11[[#This Row],[Cuenta]],1))</f>
        <v>1</v>
      </c>
      <c r="BF186" t="b">
        <f>+ISNUMBER(SEARCH('PAGO Compras'!$E$11,Tabla11[[#This Row],[Cuenta]],1))</f>
        <v>1</v>
      </c>
      <c r="BG186" t="b">
        <f>+ISNUMBER(SEARCH(#REF!,Tabla11[[#This Row],[Cuenta]],1))</f>
        <v>0</v>
      </c>
      <c r="BH186" t="b">
        <f>+ISNUMBER(SEARCH(#REF!,Tabla11[[#This Row],[Cuenta]],1))</f>
        <v>0</v>
      </c>
      <c r="BI186" t="b">
        <f>+ISNUMBER(SEARCH(#REF!,Tabla11[[#This Row],[Cuenta]],1))</f>
        <v>0</v>
      </c>
      <c r="BJ186" t="b">
        <f>+ISNUMBER(SEARCH(#REF!,Tabla11[[#This Row],[Cuenta]],1))</f>
        <v>0</v>
      </c>
      <c r="BS186" t="str">
        <v>155620 Plantas de generación térmica</v>
      </c>
      <c r="BT186" t="str">
        <v>155620 Plantas de generación térmica</v>
      </c>
      <c r="BU186" t="str">
        <v>155620 Plantas de generación térmica</v>
      </c>
      <c r="BV186" t="str">
        <v>155620 Plantas de generación térmica</v>
      </c>
      <c r="BZ186" t="str">
        <v>155620 Plantas de generación térmica</v>
      </c>
      <c r="CA186" t="str">
        <v>155620 Plantas de generación térmica</v>
      </c>
      <c r="CB186" t="str">
        <v>155620 Plantas de generación térmica</v>
      </c>
      <c r="CC186" t="str">
        <v>155620 Plantas de generación térmica</v>
      </c>
      <c r="CD186" t="str">
        <v>155620 Plantas de generación térmica</v>
      </c>
      <c r="CE186" t="str">
        <v>155620 Plantas de generación térmica</v>
      </c>
      <c r="CS186" s="141" t="str">
        <v>155620 Plantas de generación térmica</v>
      </c>
      <c r="CT186" s="141" t="str">
        <v>155620 Plantas de generación térmica</v>
      </c>
      <c r="CU186" s="141" t="str">
        <v>155620 Plantas de generación térmica</v>
      </c>
      <c r="CV186" s="141" t="str">
        <v>155620 Plantas de generación térmica</v>
      </c>
      <c r="CW186" s="141" t="str">
        <v>155620 Plantas de generación térmica</v>
      </c>
      <c r="CX186" s="141" t="str">
        <v>155620 Plantas de generación térmica</v>
      </c>
      <c r="CY186" s="141" t="str">
        <v>155620 Plantas de generación térmica</v>
      </c>
      <c r="CZ186" s="141" t="str">
        <v>155620 Plantas de generación térmica</v>
      </c>
      <c r="DA186" s="141" t="str">
        <v>155620 Plantas de generación térmica</v>
      </c>
      <c r="DF186" t="str">
        <v>155620 Plantas de generación térmica</v>
      </c>
      <c r="DG186" t="str">
        <v>155620 Plantas de generación térmica</v>
      </c>
      <c r="DH186" t="str">
        <v>155620 Plantas de generación térmica</v>
      </c>
      <c r="DI186" t="str">
        <v>155620 Plantas de generación térmica</v>
      </c>
      <c r="DJ186" t="str">
        <v>155620 Plantas de generación térmica</v>
      </c>
      <c r="DK186" t="str">
        <v>155620 Plantas de generación térmica</v>
      </c>
      <c r="DL186" t="str">
        <v>155620 Plantas de generación térmica</v>
      </c>
      <c r="DM186" t="str">
        <v>155620 Plantas de generación térmica</v>
      </c>
      <c r="DN186" t="str">
        <v>155620 Plantas de generación térmica</v>
      </c>
      <c r="DO186" t="str">
        <v>155620 Plantas de generación térmica</v>
      </c>
      <c r="DP186" t="str">
        <v>155620 Plantas de generación térmica</v>
      </c>
    </row>
    <row r="187" spans="4:120" ht="12.75">
      <c r="D187" s="7">
        <v>155625</v>
      </c>
      <c r="E187" s="6" t="s">
        <v>191</v>
      </c>
      <c r="F187" s="5">
        <v>4</v>
      </c>
      <c r="G187" s="34" t="s">
        <v>822</v>
      </c>
      <c r="H187" s="8" t="s">
        <v>32</v>
      </c>
      <c r="I187" t="b">
        <f>+ISNUMBER(SEARCH('F-COMPRA'!$F$28,Tabla11[[#This Row],[Cuenta]],1))</f>
        <v>1</v>
      </c>
      <c r="J187" t="b">
        <f>+ISNUMBER(SEARCH('F-COMPRA'!$F$29,Tabla11[[#This Row],[Cuenta]],1))</f>
        <v>1</v>
      </c>
      <c r="K187" t="b">
        <f>+ISNUMBER(SEARCH('F-COMPRA'!$F$30,Tabla11[[#This Row],[Cuenta]],1))</f>
        <v>1</v>
      </c>
      <c r="L187" t="b">
        <f>+ISNUMBER(SEARCH('F-COMPRA'!$F$31,Tabla11[[#This Row],[Cuenta]],1))</f>
        <v>1</v>
      </c>
      <c r="M187" t="b">
        <f>+ISNUMBER(SEARCH('F-COMPRA'!$G$25,Tabla11[[#This Row],[Cuenta]],1))</f>
        <v>0</v>
      </c>
      <c r="N187" t="b">
        <f>+ISNUMBER(SEARCH(#REF!,Tabla11[[#This Row],[Cuenta]],1))</f>
        <v>0</v>
      </c>
      <c r="O187" t="b">
        <f>+ISNUMBER(SEARCH(#REF!,Tabla11[[#This Row],[Cuenta]],1))</f>
        <v>0</v>
      </c>
      <c r="P187" t="b">
        <f>+ISNUMBER(SEARCH('F-COMPRA'!$F$32,Tabla11[[#This Row],[Cuenta]],1))</f>
        <v>1</v>
      </c>
      <c r="Q187" t="b">
        <f>+ISNUMBER(SEARCH('F-COMPRA'!$F$33,Tabla11[[#This Row],[Cuenta]],1))</f>
        <v>1</v>
      </c>
      <c r="R187" t="b">
        <f>+ISNUMBER(SEARCH('F-COMPRA'!$F$34,Tabla11[[#This Row],[Cuenta]],1))</f>
        <v>1</v>
      </c>
      <c r="S187" t="b">
        <f>+ISNUMBER(SEARCH('F-COMPRA'!$F$35,Tabla11[[#This Row],[Cuenta]],1))</f>
        <v>1</v>
      </c>
      <c r="T187" t="b">
        <f>+ISNUMBER(SEARCH('F-COMPRA'!$F$36,Tabla11[[#This Row],[Cuenta]],1))</f>
        <v>1</v>
      </c>
      <c r="U187" t="b">
        <f>+ISNUMBER(SEARCH('F-COMPRA'!$F$37,Tabla11[[#This Row],[Cuenta]],1))</f>
        <v>1</v>
      </c>
      <c r="V187" t="b">
        <f>+ISNUMBER(SEARCH(#REF!,Tabla11[[#This Row],[Cuenta]],1))</f>
        <v>0</v>
      </c>
      <c r="W187" t="b">
        <f>+ISNUMBER(SEARCH('F-COMPRA'!#REF!,Tabla11[[#This Row],[Cuenta]],1))</f>
        <v>0</v>
      </c>
      <c r="X187" t="b">
        <f>+ISNUMBER(SEARCH('F-COMPRA'!#REF!,Tabla11[[#This Row],[Cuenta]],1))</f>
        <v>0</v>
      </c>
      <c r="Y187" t="b">
        <f>+ISNUMBER(SEARCH('F-COMPRA'!#REF!,Tabla11[[#This Row],[Cuenta]],1))</f>
        <v>0</v>
      </c>
      <c r="Z187" t="b">
        <f>+ISNUMBER(SEARCH('F-COMPRA'!#REF!,Tabla11[[#This Row],[Cuenta]],1))</f>
        <v>0</v>
      </c>
      <c r="AA187" t="b">
        <f>+ISNUMBER(SEARCH('F-COMPRA'!#REF!,Tabla11[[#This Row],[Cuenta]],1))</f>
        <v>0</v>
      </c>
      <c r="AB187" t="b">
        <f>+ISNUMBER(SEARCH('F-COMPRA'!#REF!,Tabla11[[#This Row],[Cuenta]],1))</f>
        <v>0</v>
      </c>
      <c r="AC187" t="b">
        <f>+ISNUMBER(SEARCH('F-COMPRA'!#REF!,Tabla11[[#This Row],[Cuenta]],1))</f>
        <v>0</v>
      </c>
      <c r="AD187" t="b">
        <f>+ISNUMBER(SEARCH('F-COMPRA'!#REF!,Tabla11[[#This Row],[Cuenta]],1))</f>
        <v>0</v>
      </c>
      <c r="AE187" t="b">
        <f>+ISNUMBER(SEARCH('F-COMPRA'!#REF!,Tabla11[[#This Row],[Cuenta]],1))</f>
        <v>0</v>
      </c>
      <c r="AF187" t="b">
        <f>+ISNUMBER(SEARCH('F-VTA'!$G$23,Tabla11[[#This Row],[Cuenta]],1))</f>
        <v>0</v>
      </c>
      <c r="AG187" t="b">
        <f>+ISNUMBER(SEARCH('F-VTA'!$G$24,Tabla11[[#This Row],[Cuenta]],1))</f>
        <v>0</v>
      </c>
      <c r="AH187" t="b">
        <f>+ISNUMBER(SEARCH('F-VTA'!$G$25,Tabla11[[#This Row],[Cuenta]],1))</f>
        <v>0</v>
      </c>
      <c r="AI187" t="b">
        <f>+ISNUMBER(SEARCH('F-VTA'!$F$28,Tabla11[[#This Row],[Cuenta]],1))</f>
        <v>1</v>
      </c>
      <c r="AJ187" t="b">
        <f>+ISNUMBER(SEARCH('F-VTA'!$F$29,Tabla11[[#This Row],[Cuenta]],1))</f>
        <v>1</v>
      </c>
      <c r="AK187" t="b">
        <f>+ISNUMBER(SEARCH('F-VTA'!$F$30,Tabla11[[#This Row],[Cuenta]],1))</f>
        <v>1</v>
      </c>
      <c r="AL187" t="b">
        <f>+ISNUMBER(SEARCH('F-VTA'!$F$31,Tabla11[[#This Row],[Cuenta]],1))</f>
        <v>1</v>
      </c>
      <c r="AM187" t="b">
        <f>+ISNUMBER(SEARCH('F-VTA'!$F$32,Tabla11[[#This Row],[Cuenta]],1))</f>
        <v>1</v>
      </c>
      <c r="AN187" t="b">
        <f>+ISNUMBER(SEARCH('F-VTA'!$F$33,Tabla11[[#This Row],[Cuenta]],1))</f>
        <v>1</v>
      </c>
      <c r="AO187" t="b">
        <f>+ISNUMBER(SEARCH('F-VTA'!$F$34,Tabla11[[#This Row],[Cuenta]],1))</f>
        <v>1</v>
      </c>
      <c r="AP187" t="b">
        <f>+ISNUMBER(SEARCH('F-VTA'!$F$35,Tabla11[[#This Row],[Cuenta]],1))</f>
        <v>1</v>
      </c>
      <c r="AQ187" t="b">
        <f>+ISNUMBER(SEARCH('F-VTA'!$F$36,Tabla11[[#This Row],[Cuenta]],1))</f>
        <v>1</v>
      </c>
      <c r="AR187" t="b">
        <f>+ISNUMBER(SEARCH(#REF!,Tabla11[[#This Row],[Cuenta]],1))</f>
        <v>0</v>
      </c>
      <c r="AS187" t="b">
        <f>+ISNUMBER(SEARCH(#REF!,Tabla11[[#This Row],[Cuenta]],1))</f>
        <v>0</v>
      </c>
      <c r="AT187" t="b">
        <f>+ISNUMBER(SEARCH(#REF!,Tabla11[[#This Row],[Cuenta]],1))</f>
        <v>0</v>
      </c>
      <c r="AU187" t="b">
        <f>+ISNUMBER(SEARCH('Conc. Ban.1'!$I$9,Tabla11[[#This Row],[Cuenta]],1))</f>
        <v>0</v>
      </c>
      <c r="AV187" t="b">
        <f>+ISNUMBER(SEARCH(CompConta!$F$21,Tabla11[[#This Row],[Cuenta]],1))</f>
        <v>1</v>
      </c>
      <c r="AW187" t="b">
        <f>+ISNUMBER(SEARCH(CompConta!$F$22,Tabla11[[#This Row],[Cuenta]],1))</f>
        <v>1</v>
      </c>
      <c r="AX187" t="b">
        <f>+ISNUMBER(SEARCH(CompConta!$F$23,Tabla11[[#This Row],[Cuenta]],1))</f>
        <v>1</v>
      </c>
      <c r="AY187" t="b">
        <f>+ISNUMBER(SEARCH(CompConta!$F$24,Tabla11[[#This Row],[Cuenta]],1))</f>
        <v>1</v>
      </c>
      <c r="AZ187" t="b">
        <f>+ISNUMBER(SEARCH(CompConta!$F$25,Tabla11[[#This Row],[Cuenta]],1))</f>
        <v>1</v>
      </c>
      <c r="BA187" t="b">
        <f>+ISNUMBER(SEARCH(CompConta!$F$26,Tabla11[[#This Row],[Cuenta]],1))</f>
        <v>1</v>
      </c>
      <c r="BB187" t="b">
        <f>+ISNUMBER(SEARCH(CompConta!$F$27,Tabla11[[#This Row],[Cuenta]],1))</f>
        <v>1</v>
      </c>
      <c r="BC187" t="b">
        <f>+ISNUMBER(SEARCH(CompConta!$F$28,Tabla11[[#This Row],[Cuenta]],1))</f>
        <v>1</v>
      </c>
      <c r="BD187" t="b">
        <f>+ISNUMBER(SEARCH(CompConta!$F$29,Tabla11[[#This Row],[Cuenta]],1))</f>
        <v>1</v>
      </c>
      <c r="BE187" t="b">
        <f>+ISNUMBER(SEARCH(CompConta!$F$30,Tabla11[[#This Row],[Cuenta]],1))</f>
        <v>1</v>
      </c>
      <c r="BF187" t="b">
        <f>+ISNUMBER(SEARCH('PAGO Compras'!$E$11,Tabla11[[#This Row],[Cuenta]],1))</f>
        <v>1</v>
      </c>
      <c r="BG187" t="b">
        <f>+ISNUMBER(SEARCH(#REF!,Tabla11[[#This Row],[Cuenta]],1))</f>
        <v>0</v>
      </c>
      <c r="BH187" t="b">
        <f>+ISNUMBER(SEARCH(#REF!,Tabla11[[#This Row],[Cuenta]],1))</f>
        <v>0</v>
      </c>
      <c r="BI187" t="b">
        <f>+ISNUMBER(SEARCH(#REF!,Tabla11[[#This Row],[Cuenta]],1))</f>
        <v>0</v>
      </c>
      <c r="BJ187" t="b">
        <f>+ISNUMBER(SEARCH(#REF!,Tabla11[[#This Row],[Cuenta]],1))</f>
        <v>0</v>
      </c>
      <c r="BS187" t="str">
        <v>155625 Plantas de generación a gas</v>
      </c>
      <c r="BT187" t="str">
        <v>155625 Plantas de generación a gas</v>
      </c>
      <c r="BU187" t="str">
        <v>155625 Plantas de generación a gas</v>
      </c>
      <c r="BV187" t="str">
        <v>155625 Plantas de generación a gas</v>
      </c>
      <c r="BZ187" t="str">
        <v>155625 Plantas de generación a gas</v>
      </c>
      <c r="CA187" t="str">
        <v>155625 Plantas de generación a gas</v>
      </c>
      <c r="CB187" t="str">
        <v>155625 Plantas de generación a gas</v>
      </c>
      <c r="CC187" t="str">
        <v>155625 Plantas de generación a gas</v>
      </c>
      <c r="CD187" t="str">
        <v>155625 Plantas de generación a gas</v>
      </c>
      <c r="CE187" t="str">
        <v>155625 Plantas de generación a gas</v>
      </c>
      <c r="CS187" s="141" t="str">
        <v>155625 Plantas de generación a gas</v>
      </c>
      <c r="CT187" s="141" t="str">
        <v>155625 Plantas de generación a gas</v>
      </c>
      <c r="CU187" s="141" t="str">
        <v>155625 Plantas de generación a gas</v>
      </c>
      <c r="CV187" s="141" t="str">
        <v>155625 Plantas de generación a gas</v>
      </c>
      <c r="CW187" s="141" t="str">
        <v>155625 Plantas de generación a gas</v>
      </c>
      <c r="CX187" s="141" t="str">
        <v>155625 Plantas de generación a gas</v>
      </c>
      <c r="CY187" s="141" t="str">
        <v>155625 Plantas de generación a gas</v>
      </c>
      <c r="CZ187" s="141" t="str">
        <v>155625 Plantas de generación a gas</v>
      </c>
      <c r="DA187" s="141" t="str">
        <v>155625 Plantas de generación a gas</v>
      </c>
      <c r="DF187" t="str">
        <v>155625 Plantas de generación a gas</v>
      </c>
      <c r="DG187" t="str">
        <v>155625 Plantas de generación a gas</v>
      </c>
      <c r="DH187" t="str">
        <v>155625 Plantas de generación a gas</v>
      </c>
      <c r="DI187" t="str">
        <v>155625 Plantas de generación a gas</v>
      </c>
      <c r="DJ187" t="str">
        <v>155625 Plantas de generación a gas</v>
      </c>
      <c r="DK187" t="str">
        <v>155625 Plantas de generación a gas</v>
      </c>
      <c r="DL187" t="str">
        <v>155625 Plantas de generación a gas</v>
      </c>
      <c r="DM187" t="str">
        <v>155625 Plantas de generación a gas</v>
      </c>
      <c r="DN187" t="str">
        <v>155625 Plantas de generación a gas</v>
      </c>
      <c r="DO187" t="str">
        <v>155625 Plantas de generación a gas</v>
      </c>
      <c r="DP187" t="str">
        <v>155625 Plantas de generación a gas</v>
      </c>
    </row>
    <row r="188" spans="4:120" ht="12.75">
      <c r="D188" s="7">
        <v>155628</v>
      </c>
      <c r="E188" s="6" t="s">
        <v>192</v>
      </c>
      <c r="F188" s="5">
        <v>4</v>
      </c>
      <c r="G188" s="34" t="s">
        <v>822</v>
      </c>
      <c r="H188" s="8" t="s">
        <v>32</v>
      </c>
      <c r="I188" t="b">
        <f>+ISNUMBER(SEARCH('F-COMPRA'!$F$28,Tabla11[[#This Row],[Cuenta]],1))</f>
        <v>1</v>
      </c>
      <c r="J188" t="b">
        <f>+ISNUMBER(SEARCH('F-COMPRA'!$F$29,Tabla11[[#This Row],[Cuenta]],1))</f>
        <v>1</v>
      </c>
      <c r="K188" t="b">
        <f>+ISNUMBER(SEARCH('F-COMPRA'!$F$30,Tabla11[[#This Row],[Cuenta]],1))</f>
        <v>1</v>
      </c>
      <c r="L188" t="b">
        <f>+ISNUMBER(SEARCH('F-COMPRA'!$F$31,Tabla11[[#This Row],[Cuenta]],1))</f>
        <v>1</v>
      </c>
      <c r="M188" t="b">
        <f>+ISNUMBER(SEARCH('F-COMPRA'!$G$25,Tabla11[[#This Row],[Cuenta]],1))</f>
        <v>0</v>
      </c>
      <c r="N188" t="b">
        <f>+ISNUMBER(SEARCH(#REF!,Tabla11[[#This Row],[Cuenta]],1))</f>
        <v>0</v>
      </c>
      <c r="O188" t="b">
        <f>+ISNUMBER(SEARCH(#REF!,Tabla11[[#This Row],[Cuenta]],1))</f>
        <v>0</v>
      </c>
      <c r="P188" t="b">
        <f>+ISNUMBER(SEARCH('F-COMPRA'!$F$32,Tabla11[[#This Row],[Cuenta]],1))</f>
        <v>1</v>
      </c>
      <c r="Q188" t="b">
        <f>+ISNUMBER(SEARCH('F-COMPRA'!$F$33,Tabla11[[#This Row],[Cuenta]],1))</f>
        <v>1</v>
      </c>
      <c r="R188" t="b">
        <f>+ISNUMBER(SEARCH('F-COMPRA'!$F$34,Tabla11[[#This Row],[Cuenta]],1))</f>
        <v>1</v>
      </c>
      <c r="S188" t="b">
        <f>+ISNUMBER(SEARCH('F-COMPRA'!$F$35,Tabla11[[#This Row],[Cuenta]],1))</f>
        <v>1</v>
      </c>
      <c r="T188" t="b">
        <f>+ISNUMBER(SEARCH('F-COMPRA'!$F$36,Tabla11[[#This Row],[Cuenta]],1))</f>
        <v>1</v>
      </c>
      <c r="U188" t="b">
        <f>+ISNUMBER(SEARCH('F-COMPRA'!$F$37,Tabla11[[#This Row],[Cuenta]],1))</f>
        <v>1</v>
      </c>
      <c r="V188" t="b">
        <f>+ISNUMBER(SEARCH(#REF!,Tabla11[[#This Row],[Cuenta]],1))</f>
        <v>0</v>
      </c>
      <c r="W188" t="b">
        <f>+ISNUMBER(SEARCH('F-COMPRA'!#REF!,Tabla11[[#This Row],[Cuenta]],1))</f>
        <v>0</v>
      </c>
      <c r="X188" t="b">
        <f>+ISNUMBER(SEARCH('F-COMPRA'!#REF!,Tabla11[[#This Row],[Cuenta]],1))</f>
        <v>0</v>
      </c>
      <c r="Y188" t="b">
        <f>+ISNUMBER(SEARCH('F-COMPRA'!#REF!,Tabla11[[#This Row],[Cuenta]],1))</f>
        <v>0</v>
      </c>
      <c r="Z188" t="b">
        <f>+ISNUMBER(SEARCH('F-COMPRA'!#REF!,Tabla11[[#This Row],[Cuenta]],1))</f>
        <v>0</v>
      </c>
      <c r="AA188" t="b">
        <f>+ISNUMBER(SEARCH('F-COMPRA'!#REF!,Tabla11[[#This Row],[Cuenta]],1))</f>
        <v>0</v>
      </c>
      <c r="AB188" t="b">
        <f>+ISNUMBER(SEARCH('F-COMPRA'!#REF!,Tabla11[[#This Row],[Cuenta]],1))</f>
        <v>0</v>
      </c>
      <c r="AC188" t="b">
        <f>+ISNUMBER(SEARCH('F-COMPRA'!#REF!,Tabla11[[#This Row],[Cuenta]],1))</f>
        <v>0</v>
      </c>
      <c r="AD188" t="b">
        <f>+ISNUMBER(SEARCH('F-COMPRA'!#REF!,Tabla11[[#This Row],[Cuenta]],1))</f>
        <v>0</v>
      </c>
      <c r="AE188" t="b">
        <f>+ISNUMBER(SEARCH('F-COMPRA'!#REF!,Tabla11[[#This Row],[Cuenta]],1))</f>
        <v>0</v>
      </c>
      <c r="AF188" t="b">
        <f>+ISNUMBER(SEARCH('F-VTA'!$G$23,Tabla11[[#This Row],[Cuenta]],1))</f>
        <v>0</v>
      </c>
      <c r="AG188" t="b">
        <f>+ISNUMBER(SEARCH('F-VTA'!$G$24,Tabla11[[#This Row],[Cuenta]],1))</f>
        <v>0</v>
      </c>
      <c r="AH188" t="b">
        <f>+ISNUMBER(SEARCH('F-VTA'!$G$25,Tabla11[[#This Row],[Cuenta]],1))</f>
        <v>0</v>
      </c>
      <c r="AI188" t="b">
        <f>+ISNUMBER(SEARCH('F-VTA'!$F$28,Tabla11[[#This Row],[Cuenta]],1))</f>
        <v>1</v>
      </c>
      <c r="AJ188" t="b">
        <f>+ISNUMBER(SEARCH('F-VTA'!$F$29,Tabla11[[#This Row],[Cuenta]],1))</f>
        <v>1</v>
      </c>
      <c r="AK188" t="b">
        <f>+ISNUMBER(SEARCH('F-VTA'!$F$30,Tabla11[[#This Row],[Cuenta]],1))</f>
        <v>1</v>
      </c>
      <c r="AL188" t="b">
        <f>+ISNUMBER(SEARCH('F-VTA'!$F$31,Tabla11[[#This Row],[Cuenta]],1))</f>
        <v>1</v>
      </c>
      <c r="AM188" t="b">
        <f>+ISNUMBER(SEARCH('F-VTA'!$F$32,Tabla11[[#This Row],[Cuenta]],1))</f>
        <v>1</v>
      </c>
      <c r="AN188" t="b">
        <f>+ISNUMBER(SEARCH('F-VTA'!$F$33,Tabla11[[#This Row],[Cuenta]],1))</f>
        <v>1</v>
      </c>
      <c r="AO188" t="b">
        <f>+ISNUMBER(SEARCH('F-VTA'!$F$34,Tabla11[[#This Row],[Cuenta]],1))</f>
        <v>1</v>
      </c>
      <c r="AP188" t="b">
        <f>+ISNUMBER(SEARCH('F-VTA'!$F$35,Tabla11[[#This Row],[Cuenta]],1))</f>
        <v>1</v>
      </c>
      <c r="AQ188" t="b">
        <f>+ISNUMBER(SEARCH('F-VTA'!$F$36,Tabla11[[#This Row],[Cuenta]],1))</f>
        <v>1</v>
      </c>
      <c r="AR188" t="b">
        <f>+ISNUMBER(SEARCH(#REF!,Tabla11[[#This Row],[Cuenta]],1))</f>
        <v>0</v>
      </c>
      <c r="AS188" t="b">
        <f>+ISNUMBER(SEARCH(#REF!,Tabla11[[#This Row],[Cuenta]],1))</f>
        <v>0</v>
      </c>
      <c r="AT188" t="b">
        <f>+ISNUMBER(SEARCH(#REF!,Tabla11[[#This Row],[Cuenta]],1))</f>
        <v>0</v>
      </c>
      <c r="AU188" t="b">
        <f>+ISNUMBER(SEARCH('Conc. Ban.1'!$I$9,Tabla11[[#This Row],[Cuenta]],1))</f>
        <v>0</v>
      </c>
      <c r="AV188" t="b">
        <f>+ISNUMBER(SEARCH(CompConta!$F$21,Tabla11[[#This Row],[Cuenta]],1))</f>
        <v>1</v>
      </c>
      <c r="AW188" t="b">
        <f>+ISNUMBER(SEARCH(CompConta!$F$22,Tabla11[[#This Row],[Cuenta]],1))</f>
        <v>1</v>
      </c>
      <c r="AX188" t="b">
        <f>+ISNUMBER(SEARCH(CompConta!$F$23,Tabla11[[#This Row],[Cuenta]],1))</f>
        <v>1</v>
      </c>
      <c r="AY188" t="b">
        <f>+ISNUMBER(SEARCH(CompConta!$F$24,Tabla11[[#This Row],[Cuenta]],1))</f>
        <v>1</v>
      </c>
      <c r="AZ188" t="b">
        <f>+ISNUMBER(SEARCH(CompConta!$F$25,Tabla11[[#This Row],[Cuenta]],1))</f>
        <v>1</v>
      </c>
      <c r="BA188" t="b">
        <f>+ISNUMBER(SEARCH(CompConta!$F$26,Tabla11[[#This Row],[Cuenta]],1))</f>
        <v>1</v>
      </c>
      <c r="BB188" t="b">
        <f>+ISNUMBER(SEARCH(CompConta!$F$27,Tabla11[[#This Row],[Cuenta]],1))</f>
        <v>1</v>
      </c>
      <c r="BC188" t="b">
        <f>+ISNUMBER(SEARCH(CompConta!$F$28,Tabla11[[#This Row],[Cuenta]],1))</f>
        <v>1</v>
      </c>
      <c r="BD188" t="b">
        <f>+ISNUMBER(SEARCH(CompConta!$F$29,Tabla11[[#This Row],[Cuenta]],1))</f>
        <v>1</v>
      </c>
      <c r="BE188" t="b">
        <f>+ISNUMBER(SEARCH(CompConta!$F$30,Tabla11[[#This Row],[Cuenta]],1))</f>
        <v>1</v>
      </c>
      <c r="BF188" t="b">
        <f>+ISNUMBER(SEARCH('PAGO Compras'!$E$11,Tabla11[[#This Row],[Cuenta]],1))</f>
        <v>1</v>
      </c>
      <c r="BG188" t="b">
        <f>+ISNUMBER(SEARCH(#REF!,Tabla11[[#This Row],[Cuenta]],1))</f>
        <v>0</v>
      </c>
      <c r="BH188" t="b">
        <f>+ISNUMBER(SEARCH(#REF!,Tabla11[[#This Row],[Cuenta]],1))</f>
        <v>0</v>
      </c>
      <c r="BI188" t="b">
        <f>+ISNUMBER(SEARCH(#REF!,Tabla11[[#This Row],[Cuenta]],1))</f>
        <v>0</v>
      </c>
      <c r="BJ188" t="b">
        <f>+ISNUMBER(SEARCH(#REF!,Tabla11[[#This Row],[Cuenta]],1))</f>
        <v>0</v>
      </c>
      <c r="BS188" t="str">
        <v>155628 Plantas de generac. diesel, gasolina y petrol</v>
      </c>
      <c r="BT188" t="str">
        <v>155628 Plantas de generac. diesel, gasolina y petrol</v>
      </c>
      <c r="BU188" t="str">
        <v>155628 Plantas de generac. diesel, gasolina y petrol</v>
      </c>
      <c r="BV188" t="str">
        <v>155628 Plantas de generac. diesel, gasolina y petrol</v>
      </c>
      <c r="BZ188" t="str">
        <v>155628 Plantas de generac. diesel, gasolina y petrol</v>
      </c>
      <c r="CA188" t="str">
        <v>155628 Plantas de generac. diesel, gasolina y petrol</v>
      </c>
      <c r="CB188" t="str">
        <v>155628 Plantas de generac. diesel, gasolina y petrol</v>
      </c>
      <c r="CC188" t="str">
        <v>155628 Plantas de generac. diesel, gasolina y petrol</v>
      </c>
      <c r="CD188" t="str">
        <v>155628 Plantas de generac. diesel, gasolina y petrol</v>
      </c>
      <c r="CE188" t="str">
        <v>155628 Plantas de generac. diesel, gasolina y petrol</v>
      </c>
      <c r="CS188" s="141" t="str">
        <v>155628 Plantas de generac. diesel, gasolina y petrol</v>
      </c>
      <c r="CT188" s="141" t="str">
        <v>155628 Plantas de generac. diesel, gasolina y petrol</v>
      </c>
      <c r="CU188" s="141" t="str">
        <v>155628 Plantas de generac. diesel, gasolina y petrol</v>
      </c>
      <c r="CV188" s="141" t="str">
        <v>155628 Plantas de generac. diesel, gasolina y petrol</v>
      </c>
      <c r="CW188" s="141" t="str">
        <v>155628 Plantas de generac. diesel, gasolina y petrol</v>
      </c>
      <c r="CX188" s="141" t="str">
        <v>155628 Plantas de generac. diesel, gasolina y petrol</v>
      </c>
      <c r="CY188" s="141" t="str">
        <v>155628 Plantas de generac. diesel, gasolina y petrol</v>
      </c>
      <c r="CZ188" s="141" t="str">
        <v>155628 Plantas de generac. diesel, gasolina y petrol</v>
      </c>
      <c r="DA188" s="141" t="str">
        <v>155628 Plantas de generac. diesel, gasolina y petrol</v>
      </c>
      <c r="DF188" t="str">
        <v>155628 Plantas de generac. diesel, gasolina y petrol</v>
      </c>
      <c r="DG188" t="str">
        <v>155628 Plantas de generac. diesel, gasolina y petrol</v>
      </c>
      <c r="DH188" t="str">
        <v>155628 Plantas de generac. diesel, gasolina y petrol</v>
      </c>
      <c r="DI188" t="str">
        <v>155628 Plantas de generac. diesel, gasolina y petrol</v>
      </c>
      <c r="DJ188" t="str">
        <v>155628 Plantas de generac. diesel, gasolina y petrol</v>
      </c>
      <c r="DK188" t="str">
        <v>155628 Plantas de generac. diesel, gasolina y petrol</v>
      </c>
      <c r="DL188" t="str">
        <v>155628 Plantas de generac. diesel, gasolina y petrol</v>
      </c>
      <c r="DM188" t="str">
        <v>155628 Plantas de generac. diesel, gasolina y petrol</v>
      </c>
      <c r="DN188" t="str">
        <v>155628 Plantas de generac. diesel, gasolina y petrol</v>
      </c>
      <c r="DO188" t="str">
        <v>155628 Plantas de generac. diesel, gasolina y petrol</v>
      </c>
      <c r="DP188" t="str">
        <v>155628 Plantas de generac. diesel, gasolina y petrol</v>
      </c>
    </row>
    <row r="189" spans="4:120" ht="12.75">
      <c r="D189" s="7">
        <v>155630</v>
      </c>
      <c r="E189" s="6" t="s">
        <v>193</v>
      </c>
      <c r="F189" s="5">
        <v>4</v>
      </c>
      <c r="G189" s="34" t="s">
        <v>822</v>
      </c>
      <c r="H189" s="8" t="s">
        <v>32</v>
      </c>
      <c r="I189" t="b">
        <f>+ISNUMBER(SEARCH('F-COMPRA'!$F$28,Tabla11[[#This Row],[Cuenta]],1))</f>
        <v>1</v>
      </c>
      <c r="J189" t="b">
        <f>+ISNUMBER(SEARCH('F-COMPRA'!$F$29,Tabla11[[#This Row],[Cuenta]],1))</f>
        <v>1</v>
      </c>
      <c r="K189" t="b">
        <f>+ISNUMBER(SEARCH('F-COMPRA'!$F$30,Tabla11[[#This Row],[Cuenta]],1))</f>
        <v>1</v>
      </c>
      <c r="L189" t="b">
        <f>+ISNUMBER(SEARCH('F-COMPRA'!$F$31,Tabla11[[#This Row],[Cuenta]],1))</f>
        <v>1</v>
      </c>
      <c r="M189" t="b">
        <f>+ISNUMBER(SEARCH('F-COMPRA'!$G$25,Tabla11[[#This Row],[Cuenta]],1))</f>
        <v>0</v>
      </c>
      <c r="N189" t="b">
        <f>+ISNUMBER(SEARCH(#REF!,Tabla11[[#This Row],[Cuenta]],1))</f>
        <v>0</v>
      </c>
      <c r="O189" t="b">
        <f>+ISNUMBER(SEARCH(#REF!,Tabla11[[#This Row],[Cuenta]],1))</f>
        <v>0</v>
      </c>
      <c r="P189" t="b">
        <f>+ISNUMBER(SEARCH('F-COMPRA'!$F$32,Tabla11[[#This Row],[Cuenta]],1))</f>
        <v>1</v>
      </c>
      <c r="Q189" t="b">
        <f>+ISNUMBER(SEARCH('F-COMPRA'!$F$33,Tabla11[[#This Row],[Cuenta]],1))</f>
        <v>1</v>
      </c>
      <c r="R189" t="b">
        <f>+ISNUMBER(SEARCH('F-COMPRA'!$F$34,Tabla11[[#This Row],[Cuenta]],1))</f>
        <v>1</v>
      </c>
      <c r="S189" t="b">
        <f>+ISNUMBER(SEARCH('F-COMPRA'!$F$35,Tabla11[[#This Row],[Cuenta]],1))</f>
        <v>1</v>
      </c>
      <c r="T189" t="b">
        <f>+ISNUMBER(SEARCH('F-COMPRA'!$F$36,Tabla11[[#This Row],[Cuenta]],1))</f>
        <v>1</v>
      </c>
      <c r="U189" t="b">
        <f>+ISNUMBER(SEARCH('F-COMPRA'!$F$37,Tabla11[[#This Row],[Cuenta]],1))</f>
        <v>1</v>
      </c>
      <c r="V189" t="b">
        <f>+ISNUMBER(SEARCH(#REF!,Tabla11[[#This Row],[Cuenta]],1))</f>
        <v>0</v>
      </c>
      <c r="W189" t="b">
        <f>+ISNUMBER(SEARCH('F-COMPRA'!#REF!,Tabla11[[#This Row],[Cuenta]],1))</f>
        <v>0</v>
      </c>
      <c r="X189" t="b">
        <f>+ISNUMBER(SEARCH('F-COMPRA'!#REF!,Tabla11[[#This Row],[Cuenta]],1))</f>
        <v>0</v>
      </c>
      <c r="Y189" t="b">
        <f>+ISNUMBER(SEARCH('F-COMPRA'!#REF!,Tabla11[[#This Row],[Cuenta]],1))</f>
        <v>0</v>
      </c>
      <c r="Z189" t="b">
        <f>+ISNUMBER(SEARCH('F-COMPRA'!#REF!,Tabla11[[#This Row],[Cuenta]],1))</f>
        <v>0</v>
      </c>
      <c r="AA189" t="b">
        <f>+ISNUMBER(SEARCH('F-COMPRA'!#REF!,Tabla11[[#This Row],[Cuenta]],1))</f>
        <v>0</v>
      </c>
      <c r="AB189" t="b">
        <f>+ISNUMBER(SEARCH('F-COMPRA'!#REF!,Tabla11[[#This Row],[Cuenta]],1))</f>
        <v>0</v>
      </c>
      <c r="AC189" t="b">
        <f>+ISNUMBER(SEARCH('F-COMPRA'!#REF!,Tabla11[[#This Row],[Cuenta]],1))</f>
        <v>0</v>
      </c>
      <c r="AD189" t="b">
        <f>+ISNUMBER(SEARCH('F-COMPRA'!#REF!,Tabla11[[#This Row],[Cuenta]],1))</f>
        <v>0</v>
      </c>
      <c r="AE189" t="b">
        <f>+ISNUMBER(SEARCH('F-COMPRA'!#REF!,Tabla11[[#This Row],[Cuenta]],1))</f>
        <v>0</v>
      </c>
      <c r="AF189" t="b">
        <f>+ISNUMBER(SEARCH('F-VTA'!$G$23,Tabla11[[#This Row],[Cuenta]],1))</f>
        <v>0</v>
      </c>
      <c r="AG189" t="b">
        <f>+ISNUMBER(SEARCH('F-VTA'!$G$24,Tabla11[[#This Row],[Cuenta]],1))</f>
        <v>0</v>
      </c>
      <c r="AH189" t="b">
        <f>+ISNUMBER(SEARCH('F-VTA'!$G$25,Tabla11[[#This Row],[Cuenta]],1))</f>
        <v>0</v>
      </c>
      <c r="AI189" t="b">
        <f>+ISNUMBER(SEARCH('F-VTA'!$F$28,Tabla11[[#This Row],[Cuenta]],1))</f>
        <v>1</v>
      </c>
      <c r="AJ189" t="b">
        <f>+ISNUMBER(SEARCH('F-VTA'!$F$29,Tabla11[[#This Row],[Cuenta]],1))</f>
        <v>1</v>
      </c>
      <c r="AK189" t="b">
        <f>+ISNUMBER(SEARCH('F-VTA'!$F$30,Tabla11[[#This Row],[Cuenta]],1))</f>
        <v>1</v>
      </c>
      <c r="AL189" t="b">
        <f>+ISNUMBER(SEARCH('F-VTA'!$F$31,Tabla11[[#This Row],[Cuenta]],1))</f>
        <v>1</v>
      </c>
      <c r="AM189" t="b">
        <f>+ISNUMBER(SEARCH('F-VTA'!$F$32,Tabla11[[#This Row],[Cuenta]],1))</f>
        <v>1</v>
      </c>
      <c r="AN189" t="b">
        <f>+ISNUMBER(SEARCH('F-VTA'!$F$33,Tabla11[[#This Row],[Cuenta]],1))</f>
        <v>1</v>
      </c>
      <c r="AO189" t="b">
        <f>+ISNUMBER(SEARCH('F-VTA'!$F$34,Tabla11[[#This Row],[Cuenta]],1))</f>
        <v>1</v>
      </c>
      <c r="AP189" t="b">
        <f>+ISNUMBER(SEARCH('F-VTA'!$F$35,Tabla11[[#This Row],[Cuenta]],1))</f>
        <v>1</v>
      </c>
      <c r="AQ189" t="b">
        <f>+ISNUMBER(SEARCH('F-VTA'!$F$36,Tabla11[[#This Row],[Cuenta]],1))</f>
        <v>1</v>
      </c>
      <c r="AR189" t="b">
        <f>+ISNUMBER(SEARCH(#REF!,Tabla11[[#This Row],[Cuenta]],1))</f>
        <v>0</v>
      </c>
      <c r="AS189" t="b">
        <f>+ISNUMBER(SEARCH(#REF!,Tabla11[[#This Row],[Cuenta]],1))</f>
        <v>0</v>
      </c>
      <c r="AT189" t="b">
        <f>+ISNUMBER(SEARCH(#REF!,Tabla11[[#This Row],[Cuenta]],1))</f>
        <v>0</v>
      </c>
      <c r="AU189" t="b">
        <f>+ISNUMBER(SEARCH('Conc. Ban.1'!$I$9,Tabla11[[#This Row],[Cuenta]],1))</f>
        <v>0</v>
      </c>
      <c r="AV189" t="b">
        <f>+ISNUMBER(SEARCH(CompConta!$F$21,Tabla11[[#This Row],[Cuenta]],1))</f>
        <v>1</v>
      </c>
      <c r="AW189" t="b">
        <f>+ISNUMBER(SEARCH(CompConta!$F$22,Tabla11[[#This Row],[Cuenta]],1))</f>
        <v>1</v>
      </c>
      <c r="AX189" t="b">
        <f>+ISNUMBER(SEARCH(CompConta!$F$23,Tabla11[[#This Row],[Cuenta]],1))</f>
        <v>1</v>
      </c>
      <c r="AY189" t="b">
        <f>+ISNUMBER(SEARCH(CompConta!$F$24,Tabla11[[#This Row],[Cuenta]],1))</f>
        <v>1</v>
      </c>
      <c r="AZ189" t="b">
        <f>+ISNUMBER(SEARCH(CompConta!$F$25,Tabla11[[#This Row],[Cuenta]],1))</f>
        <v>1</v>
      </c>
      <c r="BA189" t="b">
        <f>+ISNUMBER(SEARCH(CompConta!$F$26,Tabla11[[#This Row],[Cuenta]],1))</f>
        <v>1</v>
      </c>
      <c r="BB189" t="b">
        <f>+ISNUMBER(SEARCH(CompConta!$F$27,Tabla11[[#This Row],[Cuenta]],1))</f>
        <v>1</v>
      </c>
      <c r="BC189" t="b">
        <f>+ISNUMBER(SEARCH(CompConta!$F$28,Tabla11[[#This Row],[Cuenta]],1))</f>
        <v>1</v>
      </c>
      <c r="BD189" t="b">
        <f>+ISNUMBER(SEARCH(CompConta!$F$29,Tabla11[[#This Row],[Cuenta]],1))</f>
        <v>1</v>
      </c>
      <c r="BE189" t="b">
        <f>+ISNUMBER(SEARCH(CompConta!$F$30,Tabla11[[#This Row],[Cuenta]],1))</f>
        <v>1</v>
      </c>
      <c r="BF189" t="b">
        <f>+ISNUMBER(SEARCH('PAGO Compras'!$E$11,Tabla11[[#This Row],[Cuenta]],1))</f>
        <v>1</v>
      </c>
      <c r="BG189" t="b">
        <f>+ISNUMBER(SEARCH(#REF!,Tabla11[[#This Row],[Cuenta]],1))</f>
        <v>0</v>
      </c>
      <c r="BH189" t="b">
        <f>+ISNUMBER(SEARCH(#REF!,Tabla11[[#This Row],[Cuenta]],1))</f>
        <v>0</v>
      </c>
      <c r="BI189" t="b">
        <f>+ISNUMBER(SEARCH(#REF!,Tabla11[[#This Row],[Cuenta]],1))</f>
        <v>0</v>
      </c>
      <c r="BJ189" t="b">
        <f>+ISNUMBER(SEARCH(#REF!,Tabla11[[#This Row],[Cuenta]],1))</f>
        <v>0</v>
      </c>
      <c r="BS189" t="str">
        <v>155630 Plantas de distribución</v>
      </c>
      <c r="BT189" t="str">
        <v>155630 Plantas de distribución</v>
      </c>
      <c r="BU189" t="str">
        <v>155630 Plantas de distribución</v>
      </c>
      <c r="BV189" t="str">
        <v>155630 Plantas de distribución</v>
      </c>
      <c r="BZ189" t="str">
        <v>155630 Plantas de distribución</v>
      </c>
      <c r="CA189" t="str">
        <v>155630 Plantas de distribución</v>
      </c>
      <c r="CB189" t="str">
        <v>155630 Plantas de distribución</v>
      </c>
      <c r="CC189" t="str">
        <v>155630 Plantas de distribución</v>
      </c>
      <c r="CD189" t="str">
        <v>155630 Plantas de distribución</v>
      </c>
      <c r="CE189" t="str">
        <v>155630 Plantas de distribución</v>
      </c>
      <c r="CS189" s="141" t="str">
        <v>155630 Plantas de distribución</v>
      </c>
      <c r="CT189" s="141" t="str">
        <v>155630 Plantas de distribución</v>
      </c>
      <c r="CU189" s="141" t="str">
        <v>155630 Plantas de distribución</v>
      </c>
      <c r="CV189" s="141" t="str">
        <v>155630 Plantas de distribución</v>
      </c>
      <c r="CW189" s="141" t="str">
        <v>155630 Plantas de distribución</v>
      </c>
      <c r="CX189" s="141" t="str">
        <v>155630 Plantas de distribución</v>
      </c>
      <c r="CY189" s="141" t="str">
        <v>155630 Plantas de distribución</v>
      </c>
      <c r="CZ189" s="141" t="str">
        <v>155630 Plantas de distribución</v>
      </c>
      <c r="DA189" s="141" t="str">
        <v>155630 Plantas de distribución</v>
      </c>
      <c r="DF189" t="str">
        <v>155630 Plantas de distribución</v>
      </c>
      <c r="DG189" t="str">
        <v>155630 Plantas de distribución</v>
      </c>
      <c r="DH189" t="str">
        <v>155630 Plantas de distribución</v>
      </c>
      <c r="DI189" t="str">
        <v>155630 Plantas de distribución</v>
      </c>
      <c r="DJ189" t="str">
        <v>155630 Plantas de distribución</v>
      </c>
      <c r="DK189" t="str">
        <v>155630 Plantas de distribución</v>
      </c>
      <c r="DL189" t="str">
        <v>155630 Plantas de distribución</v>
      </c>
      <c r="DM189" t="str">
        <v>155630 Plantas de distribución</v>
      </c>
      <c r="DN189" t="str">
        <v>155630 Plantas de distribución</v>
      </c>
      <c r="DO189" t="str">
        <v>155630 Plantas de distribución</v>
      </c>
      <c r="DP189" t="str">
        <v>155630 Plantas de distribución</v>
      </c>
    </row>
    <row r="190" spans="4:120" ht="12.75">
      <c r="D190" s="7">
        <v>155635</v>
      </c>
      <c r="E190" s="6" t="s">
        <v>194</v>
      </c>
      <c r="F190" s="5">
        <v>4</v>
      </c>
      <c r="G190" s="34" t="s">
        <v>822</v>
      </c>
      <c r="H190" s="8" t="s">
        <v>32</v>
      </c>
      <c r="I190" t="b">
        <f>+ISNUMBER(SEARCH('F-COMPRA'!$F$28,Tabla11[[#This Row],[Cuenta]],1))</f>
        <v>1</v>
      </c>
      <c r="J190" t="b">
        <f>+ISNUMBER(SEARCH('F-COMPRA'!$F$29,Tabla11[[#This Row],[Cuenta]],1))</f>
        <v>1</v>
      </c>
      <c r="K190" t="b">
        <f>+ISNUMBER(SEARCH('F-COMPRA'!$F$30,Tabla11[[#This Row],[Cuenta]],1))</f>
        <v>1</v>
      </c>
      <c r="L190" t="b">
        <f>+ISNUMBER(SEARCH('F-COMPRA'!$F$31,Tabla11[[#This Row],[Cuenta]],1))</f>
        <v>1</v>
      </c>
      <c r="M190" t="b">
        <f>+ISNUMBER(SEARCH('F-COMPRA'!$G$25,Tabla11[[#This Row],[Cuenta]],1))</f>
        <v>0</v>
      </c>
      <c r="N190" t="b">
        <f>+ISNUMBER(SEARCH(#REF!,Tabla11[[#This Row],[Cuenta]],1))</f>
        <v>0</v>
      </c>
      <c r="O190" t="b">
        <f>+ISNUMBER(SEARCH(#REF!,Tabla11[[#This Row],[Cuenta]],1))</f>
        <v>0</v>
      </c>
      <c r="P190" t="b">
        <f>+ISNUMBER(SEARCH('F-COMPRA'!$F$32,Tabla11[[#This Row],[Cuenta]],1))</f>
        <v>1</v>
      </c>
      <c r="Q190" t="b">
        <f>+ISNUMBER(SEARCH('F-COMPRA'!$F$33,Tabla11[[#This Row],[Cuenta]],1))</f>
        <v>1</v>
      </c>
      <c r="R190" t="b">
        <f>+ISNUMBER(SEARCH('F-COMPRA'!$F$34,Tabla11[[#This Row],[Cuenta]],1))</f>
        <v>1</v>
      </c>
      <c r="S190" t="b">
        <f>+ISNUMBER(SEARCH('F-COMPRA'!$F$35,Tabla11[[#This Row],[Cuenta]],1))</f>
        <v>1</v>
      </c>
      <c r="T190" t="b">
        <f>+ISNUMBER(SEARCH('F-COMPRA'!$F$36,Tabla11[[#This Row],[Cuenta]],1))</f>
        <v>1</v>
      </c>
      <c r="U190" t="b">
        <f>+ISNUMBER(SEARCH('F-COMPRA'!$F$37,Tabla11[[#This Row],[Cuenta]],1))</f>
        <v>1</v>
      </c>
      <c r="V190" t="b">
        <f>+ISNUMBER(SEARCH(#REF!,Tabla11[[#This Row],[Cuenta]],1))</f>
        <v>0</v>
      </c>
      <c r="W190" t="b">
        <f>+ISNUMBER(SEARCH('F-COMPRA'!#REF!,Tabla11[[#This Row],[Cuenta]],1))</f>
        <v>0</v>
      </c>
      <c r="X190" t="b">
        <f>+ISNUMBER(SEARCH('F-COMPRA'!#REF!,Tabla11[[#This Row],[Cuenta]],1))</f>
        <v>0</v>
      </c>
      <c r="Y190" t="b">
        <f>+ISNUMBER(SEARCH('F-COMPRA'!#REF!,Tabla11[[#This Row],[Cuenta]],1))</f>
        <v>0</v>
      </c>
      <c r="Z190" t="b">
        <f>+ISNUMBER(SEARCH('F-COMPRA'!#REF!,Tabla11[[#This Row],[Cuenta]],1))</f>
        <v>0</v>
      </c>
      <c r="AA190" t="b">
        <f>+ISNUMBER(SEARCH('F-COMPRA'!#REF!,Tabla11[[#This Row],[Cuenta]],1))</f>
        <v>0</v>
      </c>
      <c r="AB190" t="b">
        <f>+ISNUMBER(SEARCH('F-COMPRA'!#REF!,Tabla11[[#This Row],[Cuenta]],1))</f>
        <v>0</v>
      </c>
      <c r="AC190" t="b">
        <f>+ISNUMBER(SEARCH('F-COMPRA'!#REF!,Tabla11[[#This Row],[Cuenta]],1))</f>
        <v>0</v>
      </c>
      <c r="AD190" t="b">
        <f>+ISNUMBER(SEARCH('F-COMPRA'!#REF!,Tabla11[[#This Row],[Cuenta]],1))</f>
        <v>0</v>
      </c>
      <c r="AE190" t="b">
        <f>+ISNUMBER(SEARCH('F-COMPRA'!#REF!,Tabla11[[#This Row],[Cuenta]],1))</f>
        <v>0</v>
      </c>
      <c r="AF190" t="b">
        <f>+ISNUMBER(SEARCH('F-VTA'!$G$23,Tabla11[[#This Row],[Cuenta]],1))</f>
        <v>0</v>
      </c>
      <c r="AG190" t="b">
        <f>+ISNUMBER(SEARCH('F-VTA'!$G$24,Tabla11[[#This Row],[Cuenta]],1))</f>
        <v>0</v>
      </c>
      <c r="AH190" t="b">
        <f>+ISNUMBER(SEARCH('F-VTA'!$G$25,Tabla11[[#This Row],[Cuenta]],1))</f>
        <v>0</v>
      </c>
      <c r="AI190" t="b">
        <f>+ISNUMBER(SEARCH('F-VTA'!$F$28,Tabla11[[#This Row],[Cuenta]],1))</f>
        <v>1</v>
      </c>
      <c r="AJ190" t="b">
        <f>+ISNUMBER(SEARCH('F-VTA'!$F$29,Tabla11[[#This Row],[Cuenta]],1))</f>
        <v>1</v>
      </c>
      <c r="AK190" t="b">
        <f>+ISNUMBER(SEARCH('F-VTA'!$F$30,Tabla11[[#This Row],[Cuenta]],1))</f>
        <v>1</v>
      </c>
      <c r="AL190" t="b">
        <f>+ISNUMBER(SEARCH('F-VTA'!$F$31,Tabla11[[#This Row],[Cuenta]],1))</f>
        <v>1</v>
      </c>
      <c r="AM190" t="b">
        <f>+ISNUMBER(SEARCH('F-VTA'!$F$32,Tabla11[[#This Row],[Cuenta]],1))</f>
        <v>1</v>
      </c>
      <c r="AN190" t="b">
        <f>+ISNUMBER(SEARCH('F-VTA'!$F$33,Tabla11[[#This Row],[Cuenta]],1))</f>
        <v>1</v>
      </c>
      <c r="AO190" t="b">
        <f>+ISNUMBER(SEARCH('F-VTA'!$F$34,Tabla11[[#This Row],[Cuenta]],1))</f>
        <v>1</v>
      </c>
      <c r="AP190" t="b">
        <f>+ISNUMBER(SEARCH('F-VTA'!$F$35,Tabla11[[#This Row],[Cuenta]],1))</f>
        <v>1</v>
      </c>
      <c r="AQ190" t="b">
        <f>+ISNUMBER(SEARCH('F-VTA'!$F$36,Tabla11[[#This Row],[Cuenta]],1))</f>
        <v>1</v>
      </c>
      <c r="AR190" t="b">
        <f>+ISNUMBER(SEARCH(#REF!,Tabla11[[#This Row],[Cuenta]],1))</f>
        <v>0</v>
      </c>
      <c r="AS190" t="b">
        <f>+ISNUMBER(SEARCH(#REF!,Tabla11[[#This Row],[Cuenta]],1))</f>
        <v>0</v>
      </c>
      <c r="AT190" t="b">
        <f>+ISNUMBER(SEARCH(#REF!,Tabla11[[#This Row],[Cuenta]],1))</f>
        <v>0</v>
      </c>
      <c r="AU190" t="b">
        <f>+ISNUMBER(SEARCH('Conc. Ban.1'!$I$9,Tabla11[[#This Row],[Cuenta]],1))</f>
        <v>0</v>
      </c>
      <c r="AV190" t="b">
        <f>+ISNUMBER(SEARCH(CompConta!$F$21,Tabla11[[#This Row],[Cuenta]],1))</f>
        <v>1</v>
      </c>
      <c r="AW190" t="b">
        <f>+ISNUMBER(SEARCH(CompConta!$F$22,Tabla11[[#This Row],[Cuenta]],1))</f>
        <v>1</v>
      </c>
      <c r="AX190" t="b">
        <f>+ISNUMBER(SEARCH(CompConta!$F$23,Tabla11[[#This Row],[Cuenta]],1))</f>
        <v>1</v>
      </c>
      <c r="AY190" t="b">
        <f>+ISNUMBER(SEARCH(CompConta!$F$24,Tabla11[[#This Row],[Cuenta]],1))</f>
        <v>1</v>
      </c>
      <c r="AZ190" t="b">
        <f>+ISNUMBER(SEARCH(CompConta!$F$25,Tabla11[[#This Row],[Cuenta]],1))</f>
        <v>1</v>
      </c>
      <c r="BA190" t="b">
        <f>+ISNUMBER(SEARCH(CompConta!$F$26,Tabla11[[#This Row],[Cuenta]],1))</f>
        <v>1</v>
      </c>
      <c r="BB190" t="b">
        <f>+ISNUMBER(SEARCH(CompConta!$F$27,Tabla11[[#This Row],[Cuenta]],1))</f>
        <v>1</v>
      </c>
      <c r="BC190" t="b">
        <f>+ISNUMBER(SEARCH(CompConta!$F$28,Tabla11[[#This Row],[Cuenta]],1))</f>
        <v>1</v>
      </c>
      <c r="BD190" t="b">
        <f>+ISNUMBER(SEARCH(CompConta!$F$29,Tabla11[[#This Row],[Cuenta]],1))</f>
        <v>1</v>
      </c>
      <c r="BE190" t="b">
        <f>+ISNUMBER(SEARCH(CompConta!$F$30,Tabla11[[#This Row],[Cuenta]],1))</f>
        <v>1</v>
      </c>
      <c r="BF190" t="b">
        <f>+ISNUMBER(SEARCH('PAGO Compras'!$E$11,Tabla11[[#This Row],[Cuenta]],1))</f>
        <v>1</v>
      </c>
      <c r="BG190" t="b">
        <f>+ISNUMBER(SEARCH(#REF!,Tabla11[[#This Row],[Cuenta]],1))</f>
        <v>0</v>
      </c>
      <c r="BH190" t="b">
        <f>+ISNUMBER(SEARCH(#REF!,Tabla11[[#This Row],[Cuenta]],1))</f>
        <v>0</v>
      </c>
      <c r="BI190" t="b">
        <f>+ISNUMBER(SEARCH(#REF!,Tabla11[[#This Row],[Cuenta]],1))</f>
        <v>0</v>
      </c>
      <c r="BJ190" t="b">
        <f>+ISNUMBER(SEARCH(#REF!,Tabla11[[#This Row],[Cuenta]],1))</f>
        <v>0</v>
      </c>
      <c r="BS190" t="str">
        <v>155635 Plantas de transmisión y subestaciones</v>
      </c>
      <c r="BT190" t="str">
        <v>155635 Plantas de transmisión y subestaciones</v>
      </c>
      <c r="BU190" t="str">
        <v>155635 Plantas de transmisión y subestaciones</v>
      </c>
      <c r="BV190" t="str">
        <v>155635 Plantas de transmisión y subestaciones</v>
      </c>
      <c r="BZ190" t="str">
        <v>155635 Plantas de transmisión y subestaciones</v>
      </c>
      <c r="CA190" t="str">
        <v>155635 Plantas de transmisión y subestaciones</v>
      </c>
      <c r="CB190" t="str">
        <v>155635 Plantas de transmisión y subestaciones</v>
      </c>
      <c r="CC190" t="str">
        <v>155635 Plantas de transmisión y subestaciones</v>
      </c>
      <c r="CD190" t="str">
        <v>155635 Plantas de transmisión y subestaciones</v>
      </c>
      <c r="CE190" t="str">
        <v>155635 Plantas de transmisión y subestaciones</v>
      </c>
      <c r="CS190" s="141" t="str">
        <v>155635 Plantas de transmisión y subestaciones</v>
      </c>
      <c r="CT190" s="141" t="str">
        <v>155635 Plantas de transmisión y subestaciones</v>
      </c>
      <c r="CU190" s="141" t="str">
        <v>155635 Plantas de transmisión y subestaciones</v>
      </c>
      <c r="CV190" s="141" t="str">
        <v>155635 Plantas de transmisión y subestaciones</v>
      </c>
      <c r="CW190" s="141" t="str">
        <v>155635 Plantas de transmisión y subestaciones</v>
      </c>
      <c r="CX190" s="141" t="str">
        <v>155635 Plantas de transmisión y subestaciones</v>
      </c>
      <c r="CY190" s="141" t="str">
        <v>155635 Plantas de transmisión y subestaciones</v>
      </c>
      <c r="CZ190" s="141" t="str">
        <v>155635 Plantas de transmisión y subestaciones</v>
      </c>
      <c r="DA190" s="141" t="str">
        <v>155635 Plantas de transmisión y subestaciones</v>
      </c>
      <c r="DF190" t="str">
        <v>155635 Plantas de transmisión y subestaciones</v>
      </c>
      <c r="DG190" t="str">
        <v>155635 Plantas de transmisión y subestaciones</v>
      </c>
      <c r="DH190" t="str">
        <v>155635 Plantas de transmisión y subestaciones</v>
      </c>
      <c r="DI190" t="str">
        <v>155635 Plantas de transmisión y subestaciones</v>
      </c>
      <c r="DJ190" t="str">
        <v>155635 Plantas de transmisión y subestaciones</v>
      </c>
      <c r="DK190" t="str">
        <v>155635 Plantas de transmisión y subestaciones</v>
      </c>
      <c r="DL190" t="str">
        <v>155635 Plantas de transmisión y subestaciones</v>
      </c>
      <c r="DM190" t="str">
        <v>155635 Plantas de transmisión y subestaciones</v>
      </c>
      <c r="DN190" t="str">
        <v>155635 Plantas de transmisión y subestaciones</v>
      </c>
      <c r="DO190" t="str">
        <v>155635 Plantas de transmisión y subestaciones</v>
      </c>
      <c r="DP190" t="str">
        <v>155635 Plantas de transmisión y subestaciones</v>
      </c>
    </row>
    <row r="191" spans="4:120" ht="12.75">
      <c r="D191" s="7">
        <v>155640</v>
      </c>
      <c r="E191" s="6" t="s">
        <v>195</v>
      </c>
      <c r="F191" s="5">
        <v>4</v>
      </c>
      <c r="G191" s="34" t="s">
        <v>822</v>
      </c>
      <c r="H191" s="8" t="s">
        <v>32</v>
      </c>
      <c r="I191" t="b">
        <f>+ISNUMBER(SEARCH('F-COMPRA'!$F$28,Tabla11[[#This Row],[Cuenta]],1))</f>
        <v>1</v>
      </c>
      <c r="J191" t="b">
        <f>+ISNUMBER(SEARCH('F-COMPRA'!$F$29,Tabla11[[#This Row],[Cuenta]],1))</f>
        <v>1</v>
      </c>
      <c r="K191" t="b">
        <f>+ISNUMBER(SEARCH('F-COMPRA'!$F$30,Tabla11[[#This Row],[Cuenta]],1))</f>
        <v>1</v>
      </c>
      <c r="L191" t="b">
        <f>+ISNUMBER(SEARCH('F-COMPRA'!$F$31,Tabla11[[#This Row],[Cuenta]],1))</f>
        <v>1</v>
      </c>
      <c r="M191" t="b">
        <f>+ISNUMBER(SEARCH('F-COMPRA'!$G$25,Tabla11[[#This Row],[Cuenta]],1))</f>
        <v>0</v>
      </c>
      <c r="N191" t="b">
        <f>+ISNUMBER(SEARCH(#REF!,Tabla11[[#This Row],[Cuenta]],1))</f>
        <v>0</v>
      </c>
      <c r="O191" t="b">
        <f>+ISNUMBER(SEARCH(#REF!,Tabla11[[#This Row],[Cuenta]],1))</f>
        <v>0</v>
      </c>
      <c r="P191" t="b">
        <f>+ISNUMBER(SEARCH('F-COMPRA'!$F$32,Tabla11[[#This Row],[Cuenta]],1))</f>
        <v>1</v>
      </c>
      <c r="Q191" t="b">
        <f>+ISNUMBER(SEARCH('F-COMPRA'!$F$33,Tabla11[[#This Row],[Cuenta]],1))</f>
        <v>1</v>
      </c>
      <c r="R191" t="b">
        <f>+ISNUMBER(SEARCH('F-COMPRA'!$F$34,Tabla11[[#This Row],[Cuenta]],1))</f>
        <v>1</v>
      </c>
      <c r="S191" t="b">
        <f>+ISNUMBER(SEARCH('F-COMPRA'!$F$35,Tabla11[[#This Row],[Cuenta]],1))</f>
        <v>1</v>
      </c>
      <c r="T191" t="b">
        <f>+ISNUMBER(SEARCH('F-COMPRA'!$F$36,Tabla11[[#This Row],[Cuenta]],1))</f>
        <v>1</v>
      </c>
      <c r="U191" t="b">
        <f>+ISNUMBER(SEARCH('F-COMPRA'!$F$37,Tabla11[[#This Row],[Cuenta]],1))</f>
        <v>1</v>
      </c>
      <c r="V191" t="b">
        <f>+ISNUMBER(SEARCH(#REF!,Tabla11[[#This Row],[Cuenta]],1))</f>
        <v>0</v>
      </c>
      <c r="W191" t="b">
        <f>+ISNUMBER(SEARCH('F-COMPRA'!#REF!,Tabla11[[#This Row],[Cuenta]],1))</f>
        <v>0</v>
      </c>
      <c r="X191" t="b">
        <f>+ISNUMBER(SEARCH('F-COMPRA'!#REF!,Tabla11[[#This Row],[Cuenta]],1))</f>
        <v>0</v>
      </c>
      <c r="Y191" t="b">
        <f>+ISNUMBER(SEARCH('F-COMPRA'!#REF!,Tabla11[[#This Row],[Cuenta]],1))</f>
        <v>0</v>
      </c>
      <c r="Z191" t="b">
        <f>+ISNUMBER(SEARCH('F-COMPRA'!#REF!,Tabla11[[#This Row],[Cuenta]],1))</f>
        <v>0</v>
      </c>
      <c r="AA191" t="b">
        <f>+ISNUMBER(SEARCH('F-COMPRA'!#REF!,Tabla11[[#This Row],[Cuenta]],1))</f>
        <v>0</v>
      </c>
      <c r="AB191" t="b">
        <f>+ISNUMBER(SEARCH('F-COMPRA'!#REF!,Tabla11[[#This Row],[Cuenta]],1))</f>
        <v>0</v>
      </c>
      <c r="AC191" t="b">
        <f>+ISNUMBER(SEARCH('F-COMPRA'!#REF!,Tabla11[[#This Row],[Cuenta]],1))</f>
        <v>0</v>
      </c>
      <c r="AD191" t="b">
        <f>+ISNUMBER(SEARCH('F-COMPRA'!#REF!,Tabla11[[#This Row],[Cuenta]],1))</f>
        <v>0</v>
      </c>
      <c r="AE191" t="b">
        <f>+ISNUMBER(SEARCH('F-COMPRA'!#REF!,Tabla11[[#This Row],[Cuenta]],1))</f>
        <v>0</v>
      </c>
      <c r="AF191" t="b">
        <f>+ISNUMBER(SEARCH('F-VTA'!$G$23,Tabla11[[#This Row],[Cuenta]],1))</f>
        <v>0</v>
      </c>
      <c r="AG191" t="b">
        <f>+ISNUMBER(SEARCH('F-VTA'!$G$24,Tabla11[[#This Row],[Cuenta]],1))</f>
        <v>0</v>
      </c>
      <c r="AH191" t="b">
        <f>+ISNUMBER(SEARCH('F-VTA'!$G$25,Tabla11[[#This Row],[Cuenta]],1))</f>
        <v>0</v>
      </c>
      <c r="AI191" t="b">
        <f>+ISNUMBER(SEARCH('F-VTA'!$F$28,Tabla11[[#This Row],[Cuenta]],1))</f>
        <v>1</v>
      </c>
      <c r="AJ191" t="b">
        <f>+ISNUMBER(SEARCH('F-VTA'!$F$29,Tabla11[[#This Row],[Cuenta]],1))</f>
        <v>1</v>
      </c>
      <c r="AK191" t="b">
        <f>+ISNUMBER(SEARCH('F-VTA'!$F$30,Tabla11[[#This Row],[Cuenta]],1))</f>
        <v>1</v>
      </c>
      <c r="AL191" t="b">
        <f>+ISNUMBER(SEARCH('F-VTA'!$F$31,Tabla11[[#This Row],[Cuenta]],1))</f>
        <v>1</v>
      </c>
      <c r="AM191" t="b">
        <f>+ISNUMBER(SEARCH('F-VTA'!$F$32,Tabla11[[#This Row],[Cuenta]],1))</f>
        <v>1</v>
      </c>
      <c r="AN191" t="b">
        <f>+ISNUMBER(SEARCH('F-VTA'!$F$33,Tabla11[[#This Row],[Cuenta]],1))</f>
        <v>1</v>
      </c>
      <c r="AO191" t="b">
        <f>+ISNUMBER(SEARCH('F-VTA'!$F$34,Tabla11[[#This Row],[Cuenta]],1))</f>
        <v>1</v>
      </c>
      <c r="AP191" t="b">
        <f>+ISNUMBER(SEARCH('F-VTA'!$F$35,Tabla11[[#This Row],[Cuenta]],1))</f>
        <v>1</v>
      </c>
      <c r="AQ191" t="b">
        <f>+ISNUMBER(SEARCH('F-VTA'!$F$36,Tabla11[[#This Row],[Cuenta]],1))</f>
        <v>1</v>
      </c>
      <c r="AR191" t="b">
        <f>+ISNUMBER(SEARCH(#REF!,Tabla11[[#This Row],[Cuenta]],1))</f>
        <v>0</v>
      </c>
      <c r="AS191" t="b">
        <f>+ISNUMBER(SEARCH(#REF!,Tabla11[[#This Row],[Cuenta]],1))</f>
        <v>0</v>
      </c>
      <c r="AT191" t="b">
        <f>+ISNUMBER(SEARCH(#REF!,Tabla11[[#This Row],[Cuenta]],1))</f>
        <v>0</v>
      </c>
      <c r="AU191" t="b">
        <f>+ISNUMBER(SEARCH('Conc. Ban.1'!$I$9,Tabla11[[#This Row],[Cuenta]],1))</f>
        <v>0</v>
      </c>
      <c r="AV191" t="b">
        <f>+ISNUMBER(SEARCH(CompConta!$F$21,Tabla11[[#This Row],[Cuenta]],1))</f>
        <v>1</v>
      </c>
      <c r="AW191" t="b">
        <f>+ISNUMBER(SEARCH(CompConta!$F$22,Tabla11[[#This Row],[Cuenta]],1))</f>
        <v>1</v>
      </c>
      <c r="AX191" t="b">
        <f>+ISNUMBER(SEARCH(CompConta!$F$23,Tabla11[[#This Row],[Cuenta]],1))</f>
        <v>1</v>
      </c>
      <c r="AY191" t="b">
        <f>+ISNUMBER(SEARCH(CompConta!$F$24,Tabla11[[#This Row],[Cuenta]],1))</f>
        <v>1</v>
      </c>
      <c r="AZ191" t="b">
        <f>+ISNUMBER(SEARCH(CompConta!$F$25,Tabla11[[#This Row],[Cuenta]],1))</f>
        <v>1</v>
      </c>
      <c r="BA191" t="b">
        <f>+ISNUMBER(SEARCH(CompConta!$F$26,Tabla11[[#This Row],[Cuenta]],1))</f>
        <v>1</v>
      </c>
      <c r="BB191" t="b">
        <f>+ISNUMBER(SEARCH(CompConta!$F$27,Tabla11[[#This Row],[Cuenta]],1))</f>
        <v>1</v>
      </c>
      <c r="BC191" t="b">
        <f>+ISNUMBER(SEARCH(CompConta!$F$28,Tabla11[[#This Row],[Cuenta]],1))</f>
        <v>1</v>
      </c>
      <c r="BD191" t="b">
        <f>+ISNUMBER(SEARCH(CompConta!$F$29,Tabla11[[#This Row],[Cuenta]],1))</f>
        <v>1</v>
      </c>
      <c r="BE191" t="b">
        <f>+ISNUMBER(SEARCH(CompConta!$F$30,Tabla11[[#This Row],[Cuenta]],1))</f>
        <v>1</v>
      </c>
      <c r="BF191" t="b">
        <f>+ISNUMBER(SEARCH('PAGO Compras'!$E$11,Tabla11[[#This Row],[Cuenta]],1))</f>
        <v>1</v>
      </c>
      <c r="BG191" t="b">
        <f>+ISNUMBER(SEARCH(#REF!,Tabla11[[#This Row],[Cuenta]],1))</f>
        <v>0</v>
      </c>
      <c r="BH191" t="b">
        <f>+ISNUMBER(SEARCH(#REF!,Tabla11[[#This Row],[Cuenta]],1))</f>
        <v>0</v>
      </c>
      <c r="BI191" t="b">
        <f>+ISNUMBER(SEARCH(#REF!,Tabla11[[#This Row],[Cuenta]],1))</f>
        <v>0</v>
      </c>
      <c r="BJ191" t="b">
        <f>+ISNUMBER(SEARCH(#REF!,Tabla11[[#This Row],[Cuenta]],1))</f>
        <v>0</v>
      </c>
      <c r="BS191" t="str">
        <v>155640 Oleoductos</v>
      </c>
      <c r="BT191" t="str">
        <v>155640 Oleoductos</v>
      </c>
      <c r="BU191" t="str">
        <v>155640 Oleoductos</v>
      </c>
      <c r="BV191" t="str">
        <v>155640 Oleoductos</v>
      </c>
      <c r="BZ191" t="str">
        <v>155640 Oleoductos</v>
      </c>
      <c r="CA191" t="str">
        <v>155640 Oleoductos</v>
      </c>
      <c r="CB191" t="str">
        <v>155640 Oleoductos</v>
      </c>
      <c r="CC191" t="str">
        <v>155640 Oleoductos</v>
      </c>
      <c r="CD191" t="str">
        <v>155640 Oleoductos</v>
      </c>
      <c r="CE191" t="str">
        <v>155640 Oleoductos</v>
      </c>
      <c r="CS191" s="141" t="str">
        <v>155640 Oleoductos</v>
      </c>
      <c r="CT191" s="141" t="str">
        <v>155640 Oleoductos</v>
      </c>
      <c r="CU191" s="141" t="str">
        <v>155640 Oleoductos</v>
      </c>
      <c r="CV191" s="141" t="str">
        <v>155640 Oleoductos</v>
      </c>
      <c r="CW191" s="141" t="str">
        <v>155640 Oleoductos</v>
      </c>
      <c r="CX191" s="141" t="str">
        <v>155640 Oleoductos</v>
      </c>
      <c r="CY191" s="141" t="str">
        <v>155640 Oleoductos</v>
      </c>
      <c r="CZ191" s="141" t="str">
        <v>155640 Oleoductos</v>
      </c>
      <c r="DA191" s="141" t="str">
        <v>155640 Oleoductos</v>
      </c>
      <c r="DF191" t="str">
        <v>155640 Oleoductos</v>
      </c>
      <c r="DG191" t="str">
        <v>155640 Oleoductos</v>
      </c>
      <c r="DH191" t="str">
        <v>155640 Oleoductos</v>
      </c>
      <c r="DI191" t="str">
        <v>155640 Oleoductos</v>
      </c>
      <c r="DJ191" t="str">
        <v>155640 Oleoductos</v>
      </c>
      <c r="DK191" t="str">
        <v>155640 Oleoductos</v>
      </c>
      <c r="DL191" t="str">
        <v>155640 Oleoductos</v>
      </c>
      <c r="DM191" t="str">
        <v>155640 Oleoductos</v>
      </c>
      <c r="DN191" t="str">
        <v>155640 Oleoductos</v>
      </c>
      <c r="DO191" t="str">
        <v>155640 Oleoductos</v>
      </c>
      <c r="DP191" t="str">
        <v>155640 Oleoductos</v>
      </c>
    </row>
    <row r="192" spans="4:120" ht="12.75">
      <c r="D192" s="7">
        <v>155645</v>
      </c>
      <c r="E192" s="6" t="s">
        <v>196</v>
      </c>
      <c r="F192" s="5">
        <v>4</v>
      </c>
      <c r="G192" s="34" t="s">
        <v>822</v>
      </c>
      <c r="H192" s="8" t="s">
        <v>32</v>
      </c>
      <c r="I192" t="b">
        <f>+ISNUMBER(SEARCH('F-COMPRA'!$F$28,Tabla11[[#This Row],[Cuenta]],1))</f>
        <v>1</v>
      </c>
      <c r="J192" t="b">
        <f>+ISNUMBER(SEARCH('F-COMPRA'!$F$29,Tabla11[[#This Row],[Cuenta]],1))</f>
        <v>1</v>
      </c>
      <c r="K192" t="b">
        <f>+ISNUMBER(SEARCH('F-COMPRA'!$F$30,Tabla11[[#This Row],[Cuenta]],1))</f>
        <v>1</v>
      </c>
      <c r="L192" t="b">
        <f>+ISNUMBER(SEARCH('F-COMPRA'!$F$31,Tabla11[[#This Row],[Cuenta]],1))</f>
        <v>1</v>
      </c>
      <c r="M192" t="b">
        <f>+ISNUMBER(SEARCH('F-COMPRA'!$G$25,Tabla11[[#This Row],[Cuenta]],1))</f>
        <v>0</v>
      </c>
      <c r="N192" t="b">
        <f>+ISNUMBER(SEARCH(#REF!,Tabla11[[#This Row],[Cuenta]],1))</f>
        <v>0</v>
      </c>
      <c r="O192" t="b">
        <f>+ISNUMBER(SEARCH(#REF!,Tabla11[[#This Row],[Cuenta]],1))</f>
        <v>0</v>
      </c>
      <c r="P192" t="b">
        <f>+ISNUMBER(SEARCH('F-COMPRA'!$F$32,Tabla11[[#This Row],[Cuenta]],1))</f>
        <v>1</v>
      </c>
      <c r="Q192" t="b">
        <f>+ISNUMBER(SEARCH('F-COMPRA'!$F$33,Tabla11[[#This Row],[Cuenta]],1))</f>
        <v>1</v>
      </c>
      <c r="R192" t="b">
        <f>+ISNUMBER(SEARCH('F-COMPRA'!$F$34,Tabla11[[#This Row],[Cuenta]],1))</f>
        <v>1</v>
      </c>
      <c r="S192" t="b">
        <f>+ISNUMBER(SEARCH('F-COMPRA'!$F$35,Tabla11[[#This Row],[Cuenta]],1))</f>
        <v>1</v>
      </c>
      <c r="T192" t="b">
        <f>+ISNUMBER(SEARCH('F-COMPRA'!$F$36,Tabla11[[#This Row],[Cuenta]],1))</f>
        <v>1</v>
      </c>
      <c r="U192" t="b">
        <f>+ISNUMBER(SEARCH('F-COMPRA'!$F$37,Tabla11[[#This Row],[Cuenta]],1))</f>
        <v>1</v>
      </c>
      <c r="V192" t="b">
        <f>+ISNUMBER(SEARCH(#REF!,Tabla11[[#This Row],[Cuenta]],1))</f>
        <v>0</v>
      </c>
      <c r="W192" t="b">
        <f>+ISNUMBER(SEARCH('F-COMPRA'!#REF!,Tabla11[[#This Row],[Cuenta]],1))</f>
        <v>0</v>
      </c>
      <c r="X192" t="b">
        <f>+ISNUMBER(SEARCH('F-COMPRA'!#REF!,Tabla11[[#This Row],[Cuenta]],1))</f>
        <v>0</v>
      </c>
      <c r="Y192" t="b">
        <f>+ISNUMBER(SEARCH('F-COMPRA'!#REF!,Tabla11[[#This Row],[Cuenta]],1))</f>
        <v>0</v>
      </c>
      <c r="Z192" t="b">
        <f>+ISNUMBER(SEARCH('F-COMPRA'!#REF!,Tabla11[[#This Row],[Cuenta]],1))</f>
        <v>0</v>
      </c>
      <c r="AA192" t="b">
        <f>+ISNUMBER(SEARCH('F-COMPRA'!#REF!,Tabla11[[#This Row],[Cuenta]],1))</f>
        <v>0</v>
      </c>
      <c r="AB192" t="b">
        <f>+ISNUMBER(SEARCH('F-COMPRA'!#REF!,Tabla11[[#This Row],[Cuenta]],1))</f>
        <v>0</v>
      </c>
      <c r="AC192" t="b">
        <f>+ISNUMBER(SEARCH('F-COMPRA'!#REF!,Tabla11[[#This Row],[Cuenta]],1))</f>
        <v>0</v>
      </c>
      <c r="AD192" t="b">
        <f>+ISNUMBER(SEARCH('F-COMPRA'!#REF!,Tabla11[[#This Row],[Cuenta]],1))</f>
        <v>0</v>
      </c>
      <c r="AE192" t="b">
        <f>+ISNUMBER(SEARCH('F-COMPRA'!#REF!,Tabla11[[#This Row],[Cuenta]],1))</f>
        <v>0</v>
      </c>
      <c r="AF192" t="b">
        <f>+ISNUMBER(SEARCH('F-VTA'!$G$23,Tabla11[[#This Row],[Cuenta]],1))</f>
        <v>0</v>
      </c>
      <c r="AG192" t="b">
        <f>+ISNUMBER(SEARCH('F-VTA'!$G$24,Tabla11[[#This Row],[Cuenta]],1))</f>
        <v>0</v>
      </c>
      <c r="AH192" t="b">
        <f>+ISNUMBER(SEARCH('F-VTA'!$G$25,Tabla11[[#This Row],[Cuenta]],1))</f>
        <v>0</v>
      </c>
      <c r="AI192" t="b">
        <f>+ISNUMBER(SEARCH('F-VTA'!$F$28,Tabla11[[#This Row],[Cuenta]],1))</f>
        <v>1</v>
      </c>
      <c r="AJ192" t="b">
        <f>+ISNUMBER(SEARCH('F-VTA'!$F$29,Tabla11[[#This Row],[Cuenta]],1))</f>
        <v>1</v>
      </c>
      <c r="AK192" t="b">
        <f>+ISNUMBER(SEARCH('F-VTA'!$F$30,Tabla11[[#This Row],[Cuenta]],1))</f>
        <v>1</v>
      </c>
      <c r="AL192" t="b">
        <f>+ISNUMBER(SEARCH('F-VTA'!$F$31,Tabla11[[#This Row],[Cuenta]],1))</f>
        <v>1</v>
      </c>
      <c r="AM192" t="b">
        <f>+ISNUMBER(SEARCH('F-VTA'!$F$32,Tabla11[[#This Row],[Cuenta]],1))</f>
        <v>1</v>
      </c>
      <c r="AN192" t="b">
        <f>+ISNUMBER(SEARCH('F-VTA'!$F$33,Tabla11[[#This Row],[Cuenta]],1))</f>
        <v>1</v>
      </c>
      <c r="AO192" t="b">
        <f>+ISNUMBER(SEARCH('F-VTA'!$F$34,Tabla11[[#This Row],[Cuenta]],1))</f>
        <v>1</v>
      </c>
      <c r="AP192" t="b">
        <f>+ISNUMBER(SEARCH('F-VTA'!$F$35,Tabla11[[#This Row],[Cuenta]],1))</f>
        <v>1</v>
      </c>
      <c r="AQ192" t="b">
        <f>+ISNUMBER(SEARCH('F-VTA'!$F$36,Tabla11[[#This Row],[Cuenta]],1))</f>
        <v>1</v>
      </c>
      <c r="AR192" t="b">
        <f>+ISNUMBER(SEARCH(#REF!,Tabla11[[#This Row],[Cuenta]],1))</f>
        <v>0</v>
      </c>
      <c r="AS192" t="b">
        <f>+ISNUMBER(SEARCH(#REF!,Tabla11[[#This Row],[Cuenta]],1))</f>
        <v>0</v>
      </c>
      <c r="AT192" t="b">
        <f>+ISNUMBER(SEARCH(#REF!,Tabla11[[#This Row],[Cuenta]],1))</f>
        <v>0</v>
      </c>
      <c r="AU192" t="b">
        <f>+ISNUMBER(SEARCH('Conc. Ban.1'!$I$9,Tabla11[[#This Row],[Cuenta]],1))</f>
        <v>0</v>
      </c>
      <c r="AV192" t="b">
        <f>+ISNUMBER(SEARCH(CompConta!$F$21,Tabla11[[#This Row],[Cuenta]],1))</f>
        <v>1</v>
      </c>
      <c r="AW192" t="b">
        <f>+ISNUMBER(SEARCH(CompConta!$F$22,Tabla11[[#This Row],[Cuenta]],1))</f>
        <v>1</v>
      </c>
      <c r="AX192" t="b">
        <f>+ISNUMBER(SEARCH(CompConta!$F$23,Tabla11[[#This Row],[Cuenta]],1))</f>
        <v>1</v>
      </c>
      <c r="AY192" t="b">
        <f>+ISNUMBER(SEARCH(CompConta!$F$24,Tabla11[[#This Row],[Cuenta]],1))</f>
        <v>1</v>
      </c>
      <c r="AZ192" t="b">
        <f>+ISNUMBER(SEARCH(CompConta!$F$25,Tabla11[[#This Row],[Cuenta]],1))</f>
        <v>1</v>
      </c>
      <c r="BA192" t="b">
        <f>+ISNUMBER(SEARCH(CompConta!$F$26,Tabla11[[#This Row],[Cuenta]],1))</f>
        <v>1</v>
      </c>
      <c r="BB192" t="b">
        <f>+ISNUMBER(SEARCH(CompConta!$F$27,Tabla11[[#This Row],[Cuenta]],1))</f>
        <v>1</v>
      </c>
      <c r="BC192" t="b">
        <f>+ISNUMBER(SEARCH(CompConta!$F$28,Tabla11[[#This Row],[Cuenta]],1))</f>
        <v>1</v>
      </c>
      <c r="BD192" t="b">
        <f>+ISNUMBER(SEARCH(CompConta!$F$29,Tabla11[[#This Row],[Cuenta]],1))</f>
        <v>1</v>
      </c>
      <c r="BE192" t="b">
        <f>+ISNUMBER(SEARCH(CompConta!$F$30,Tabla11[[#This Row],[Cuenta]],1))</f>
        <v>1</v>
      </c>
      <c r="BF192" t="b">
        <f>+ISNUMBER(SEARCH('PAGO Compras'!$E$11,Tabla11[[#This Row],[Cuenta]],1))</f>
        <v>1</v>
      </c>
      <c r="BG192" t="b">
        <f>+ISNUMBER(SEARCH(#REF!,Tabla11[[#This Row],[Cuenta]],1))</f>
        <v>0</v>
      </c>
      <c r="BH192" t="b">
        <f>+ISNUMBER(SEARCH(#REF!,Tabla11[[#This Row],[Cuenta]],1))</f>
        <v>0</v>
      </c>
      <c r="BI192" t="b">
        <f>+ISNUMBER(SEARCH(#REF!,Tabla11[[#This Row],[Cuenta]],1))</f>
        <v>0</v>
      </c>
      <c r="BJ192" t="b">
        <f>+ISNUMBER(SEARCH(#REF!,Tabla11[[#This Row],[Cuenta]],1))</f>
        <v>0</v>
      </c>
      <c r="BS192" t="str">
        <v>155645 Gasoductos</v>
      </c>
      <c r="BT192" t="str">
        <v>155645 Gasoductos</v>
      </c>
      <c r="BU192" t="str">
        <v>155645 Gasoductos</v>
      </c>
      <c r="BV192" t="str">
        <v>155645 Gasoductos</v>
      </c>
      <c r="BZ192" t="str">
        <v>155645 Gasoductos</v>
      </c>
      <c r="CA192" t="str">
        <v>155645 Gasoductos</v>
      </c>
      <c r="CB192" t="str">
        <v>155645 Gasoductos</v>
      </c>
      <c r="CC192" t="str">
        <v>155645 Gasoductos</v>
      </c>
      <c r="CD192" t="str">
        <v>155645 Gasoductos</v>
      </c>
      <c r="CE192" t="str">
        <v>155645 Gasoductos</v>
      </c>
      <c r="CS192" s="141" t="str">
        <v>155645 Gasoductos</v>
      </c>
      <c r="CT192" s="141" t="str">
        <v>155645 Gasoductos</v>
      </c>
      <c r="CU192" s="141" t="str">
        <v>155645 Gasoductos</v>
      </c>
      <c r="CV192" s="141" t="str">
        <v>155645 Gasoductos</v>
      </c>
      <c r="CW192" s="141" t="str">
        <v>155645 Gasoductos</v>
      </c>
      <c r="CX192" s="141" t="str">
        <v>155645 Gasoductos</v>
      </c>
      <c r="CY192" s="141" t="str">
        <v>155645 Gasoductos</v>
      </c>
      <c r="CZ192" s="141" t="str">
        <v>155645 Gasoductos</v>
      </c>
      <c r="DA192" s="141" t="str">
        <v>155645 Gasoductos</v>
      </c>
      <c r="DF192" t="str">
        <v>155645 Gasoductos</v>
      </c>
      <c r="DG192" t="str">
        <v>155645 Gasoductos</v>
      </c>
      <c r="DH192" t="str">
        <v>155645 Gasoductos</v>
      </c>
      <c r="DI192" t="str">
        <v>155645 Gasoductos</v>
      </c>
      <c r="DJ192" t="str">
        <v>155645 Gasoductos</v>
      </c>
      <c r="DK192" t="str">
        <v>155645 Gasoductos</v>
      </c>
      <c r="DL192" t="str">
        <v>155645 Gasoductos</v>
      </c>
      <c r="DM192" t="str">
        <v>155645 Gasoductos</v>
      </c>
      <c r="DN192" t="str">
        <v>155645 Gasoductos</v>
      </c>
      <c r="DO192" t="str">
        <v>155645 Gasoductos</v>
      </c>
      <c r="DP192" t="str">
        <v>155645 Gasoductos</v>
      </c>
    </row>
    <row r="193" spans="4:120" ht="12.75">
      <c r="D193" s="7">
        <v>155647</v>
      </c>
      <c r="E193" s="6" t="s">
        <v>197</v>
      </c>
      <c r="F193" s="5">
        <v>4</v>
      </c>
      <c r="G193" s="34" t="s">
        <v>822</v>
      </c>
      <c r="H193" s="8" t="s">
        <v>32</v>
      </c>
      <c r="I193" t="b">
        <f>+ISNUMBER(SEARCH('F-COMPRA'!$F$28,Tabla11[[#This Row],[Cuenta]],1))</f>
        <v>1</v>
      </c>
      <c r="J193" t="b">
        <f>+ISNUMBER(SEARCH('F-COMPRA'!$F$29,Tabla11[[#This Row],[Cuenta]],1))</f>
        <v>1</v>
      </c>
      <c r="K193" t="b">
        <f>+ISNUMBER(SEARCH('F-COMPRA'!$F$30,Tabla11[[#This Row],[Cuenta]],1))</f>
        <v>1</v>
      </c>
      <c r="L193" t="b">
        <f>+ISNUMBER(SEARCH('F-COMPRA'!$F$31,Tabla11[[#This Row],[Cuenta]],1))</f>
        <v>1</v>
      </c>
      <c r="M193" t="b">
        <f>+ISNUMBER(SEARCH('F-COMPRA'!$G$25,Tabla11[[#This Row],[Cuenta]],1))</f>
        <v>0</v>
      </c>
      <c r="N193" t="b">
        <f>+ISNUMBER(SEARCH(#REF!,Tabla11[[#This Row],[Cuenta]],1))</f>
        <v>0</v>
      </c>
      <c r="O193" t="b">
        <f>+ISNUMBER(SEARCH(#REF!,Tabla11[[#This Row],[Cuenta]],1))</f>
        <v>0</v>
      </c>
      <c r="P193" t="b">
        <f>+ISNUMBER(SEARCH('F-COMPRA'!$F$32,Tabla11[[#This Row],[Cuenta]],1))</f>
        <v>1</v>
      </c>
      <c r="Q193" t="b">
        <f>+ISNUMBER(SEARCH('F-COMPRA'!$F$33,Tabla11[[#This Row],[Cuenta]],1))</f>
        <v>1</v>
      </c>
      <c r="R193" t="b">
        <f>+ISNUMBER(SEARCH('F-COMPRA'!$F$34,Tabla11[[#This Row],[Cuenta]],1))</f>
        <v>1</v>
      </c>
      <c r="S193" t="b">
        <f>+ISNUMBER(SEARCH('F-COMPRA'!$F$35,Tabla11[[#This Row],[Cuenta]],1))</f>
        <v>1</v>
      </c>
      <c r="T193" t="b">
        <f>+ISNUMBER(SEARCH('F-COMPRA'!$F$36,Tabla11[[#This Row],[Cuenta]],1))</f>
        <v>1</v>
      </c>
      <c r="U193" t="b">
        <f>+ISNUMBER(SEARCH('F-COMPRA'!$F$37,Tabla11[[#This Row],[Cuenta]],1))</f>
        <v>1</v>
      </c>
      <c r="V193" t="b">
        <f>+ISNUMBER(SEARCH(#REF!,Tabla11[[#This Row],[Cuenta]],1))</f>
        <v>0</v>
      </c>
      <c r="W193" t="b">
        <f>+ISNUMBER(SEARCH('F-COMPRA'!#REF!,Tabla11[[#This Row],[Cuenta]],1))</f>
        <v>0</v>
      </c>
      <c r="X193" t="b">
        <f>+ISNUMBER(SEARCH('F-COMPRA'!#REF!,Tabla11[[#This Row],[Cuenta]],1))</f>
        <v>0</v>
      </c>
      <c r="Y193" t="b">
        <f>+ISNUMBER(SEARCH('F-COMPRA'!#REF!,Tabla11[[#This Row],[Cuenta]],1))</f>
        <v>0</v>
      </c>
      <c r="Z193" t="b">
        <f>+ISNUMBER(SEARCH('F-COMPRA'!#REF!,Tabla11[[#This Row],[Cuenta]],1))</f>
        <v>0</v>
      </c>
      <c r="AA193" t="b">
        <f>+ISNUMBER(SEARCH('F-COMPRA'!#REF!,Tabla11[[#This Row],[Cuenta]],1))</f>
        <v>0</v>
      </c>
      <c r="AB193" t="b">
        <f>+ISNUMBER(SEARCH('F-COMPRA'!#REF!,Tabla11[[#This Row],[Cuenta]],1))</f>
        <v>0</v>
      </c>
      <c r="AC193" t="b">
        <f>+ISNUMBER(SEARCH('F-COMPRA'!#REF!,Tabla11[[#This Row],[Cuenta]],1))</f>
        <v>0</v>
      </c>
      <c r="AD193" t="b">
        <f>+ISNUMBER(SEARCH('F-COMPRA'!#REF!,Tabla11[[#This Row],[Cuenta]],1))</f>
        <v>0</v>
      </c>
      <c r="AE193" t="b">
        <f>+ISNUMBER(SEARCH('F-COMPRA'!#REF!,Tabla11[[#This Row],[Cuenta]],1))</f>
        <v>0</v>
      </c>
      <c r="AF193" t="b">
        <f>+ISNUMBER(SEARCH('F-VTA'!$G$23,Tabla11[[#This Row],[Cuenta]],1))</f>
        <v>0</v>
      </c>
      <c r="AG193" t="b">
        <f>+ISNUMBER(SEARCH('F-VTA'!$G$24,Tabla11[[#This Row],[Cuenta]],1))</f>
        <v>0</v>
      </c>
      <c r="AH193" t="b">
        <f>+ISNUMBER(SEARCH('F-VTA'!$G$25,Tabla11[[#This Row],[Cuenta]],1))</f>
        <v>0</v>
      </c>
      <c r="AI193" t="b">
        <f>+ISNUMBER(SEARCH('F-VTA'!$F$28,Tabla11[[#This Row],[Cuenta]],1))</f>
        <v>1</v>
      </c>
      <c r="AJ193" t="b">
        <f>+ISNUMBER(SEARCH('F-VTA'!$F$29,Tabla11[[#This Row],[Cuenta]],1))</f>
        <v>1</v>
      </c>
      <c r="AK193" t="b">
        <f>+ISNUMBER(SEARCH('F-VTA'!$F$30,Tabla11[[#This Row],[Cuenta]],1))</f>
        <v>1</v>
      </c>
      <c r="AL193" t="b">
        <f>+ISNUMBER(SEARCH('F-VTA'!$F$31,Tabla11[[#This Row],[Cuenta]],1))</f>
        <v>1</v>
      </c>
      <c r="AM193" t="b">
        <f>+ISNUMBER(SEARCH('F-VTA'!$F$32,Tabla11[[#This Row],[Cuenta]],1))</f>
        <v>1</v>
      </c>
      <c r="AN193" t="b">
        <f>+ISNUMBER(SEARCH('F-VTA'!$F$33,Tabla11[[#This Row],[Cuenta]],1))</f>
        <v>1</v>
      </c>
      <c r="AO193" t="b">
        <f>+ISNUMBER(SEARCH('F-VTA'!$F$34,Tabla11[[#This Row],[Cuenta]],1))</f>
        <v>1</v>
      </c>
      <c r="AP193" t="b">
        <f>+ISNUMBER(SEARCH('F-VTA'!$F$35,Tabla11[[#This Row],[Cuenta]],1))</f>
        <v>1</v>
      </c>
      <c r="AQ193" t="b">
        <f>+ISNUMBER(SEARCH('F-VTA'!$F$36,Tabla11[[#This Row],[Cuenta]],1))</f>
        <v>1</v>
      </c>
      <c r="AR193" t="b">
        <f>+ISNUMBER(SEARCH(#REF!,Tabla11[[#This Row],[Cuenta]],1))</f>
        <v>0</v>
      </c>
      <c r="AS193" t="b">
        <f>+ISNUMBER(SEARCH(#REF!,Tabla11[[#This Row],[Cuenta]],1))</f>
        <v>0</v>
      </c>
      <c r="AT193" t="b">
        <f>+ISNUMBER(SEARCH(#REF!,Tabla11[[#This Row],[Cuenta]],1))</f>
        <v>0</v>
      </c>
      <c r="AU193" t="b">
        <f>+ISNUMBER(SEARCH('Conc. Ban.1'!$I$9,Tabla11[[#This Row],[Cuenta]],1))</f>
        <v>0</v>
      </c>
      <c r="AV193" t="b">
        <f>+ISNUMBER(SEARCH(CompConta!$F$21,Tabla11[[#This Row],[Cuenta]],1))</f>
        <v>1</v>
      </c>
      <c r="AW193" t="b">
        <f>+ISNUMBER(SEARCH(CompConta!$F$22,Tabla11[[#This Row],[Cuenta]],1))</f>
        <v>1</v>
      </c>
      <c r="AX193" t="b">
        <f>+ISNUMBER(SEARCH(CompConta!$F$23,Tabla11[[#This Row],[Cuenta]],1))</f>
        <v>1</v>
      </c>
      <c r="AY193" t="b">
        <f>+ISNUMBER(SEARCH(CompConta!$F$24,Tabla11[[#This Row],[Cuenta]],1))</f>
        <v>1</v>
      </c>
      <c r="AZ193" t="b">
        <f>+ISNUMBER(SEARCH(CompConta!$F$25,Tabla11[[#This Row],[Cuenta]],1))</f>
        <v>1</v>
      </c>
      <c r="BA193" t="b">
        <f>+ISNUMBER(SEARCH(CompConta!$F$26,Tabla11[[#This Row],[Cuenta]],1))</f>
        <v>1</v>
      </c>
      <c r="BB193" t="b">
        <f>+ISNUMBER(SEARCH(CompConta!$F$27,Tabla11[[#This Row],[Cuenta]],1))</f>
        <v>1</v>
      </c>
      <c r="BC193" t="b">
        <f>+ISNUMBER(SEARCH(CompConta!$F$28,Tabla11[[#This Row],[Cuenta]],1))</f>
        <v>1</v>
      </c>
      <c r="BD193" t="b">
        <f>+ISNUMBER(SEARCH(CompConta!$F$29,Tabla11[[#This Row],[Cuenta]],1))</f>
        <v>1</v>
      </c>
      <c r="BE193" t="b">
        <f>+ISNUMBER(SEARCH(CompConta!$F$30,Tabla11[[#This Row],[Cuenta]],1))</f>
        <v>1</v>
      </c>
      <c r="BF193" t="b">
        <f>+ISNUMBER(SEARCH('PAGO Compras'!$E$11,Tabla11[[#This Row],[Cuenta]],1))</f>
        <v>1</v>
      </c>
      <c r="BG193" t="b">
        <f>+ISNUMBER(SEARCH(#REF!,Tabla11[[#This Row],[Cuenta]],1))</f>
        <v>0</v>
      </c>
      <c r="BH193" t="b">
        <f>+ISNUMBER(SEARCH(#REF!,Tabla11[[#This Row],[Cuenta]],1))</f>
        <v>0</v>
      </c>
      <c r="BI193" t="b">
        <f>+ISNUMBER(SEARCH(#REF!,Tabla11[[#This Row],[Cuenta]],1))</f>
        <v>0</v>
      </c>
      <c r="BJ193" t="b">
        <f>+ISNUMBER(SEARCH(#REF!,Tabla11[[#This Row],[Cuenta]],1))</f>
        <v>0</v>
      </c>
      <c r="BS193" t="str">
        <v>155647 Poliductos</v>
      </c>
      <c r="BT193" t="str">
        <v>155647 Poliductos</v>
      </c>
      <c r="BU193" t="str">
        <v>155647 Poliductos</v>
      </c>
      <c r="BV193" t="str">
        <v>155647 Poliductos</v>
      </c>
      <c r="BZ193" t="str">
        <v>155647 Poliductos</v>
      </c>
      <c r="CA193" t="str">
        <v>155647 Poliductos</v>
      </c>
      <c r="CB193" t="str">
        <v>155647 Poliductos</v>
      </c>
      <c r="CC193" t="str">
        <v>155647 Poliductos</v>
      </c>
      <c r="CD193" t="str">
        <v>155647 Poliductos</v>
      </c>
      <c r="CE193" t="str">
        <v>155647 Poliductos</v>
      </c>
      <c r="CS193" s="141" t="str">
        <v>155647 Poliductos</v>
      </c>
      <c r="CT193" s="141" t="str">
        <v>155647 Poliductos</v>
      </c>
      <c r="CU193" s="141" t="str">
        <v>155647 Poliductos</v>
      </c>
      <c r="CV193" s="141" t="str">
        <v>155647 Poliductos</v>
      </c>
      <c r="CW193" s="141" t="str">
        <v>155647 Poliductos</v>
      </c>
      <c r="CX193" s="141" t="str">
        <v>155647 Poliductos</v>
      </c>
      <c r="CY193" s="141" t="str">
        <v>155647 Poliductos</v>
      </c>
      <c r="CZ193" s="141" t="str">
        <v>155647 Poliductos</v>
      </c>
      <c r="DA193" s="141" t="str">
        <v>155647 Poliductos</v>
      </c>
      <c r="DF193" t="str">
        <v>155647 Poliductos</v>
      </c>
      <c r="DG193" t="str">
        <v>155647 Poliductos</v>
      </c>
      <c r="DH193" t="str">
        <v>155647 Poliductos</v>
      </c>
      <c r="DI193" t="str">
        <v>155647 Poliductos</v>
      </c>
      <c r="DJ193" t="str">
        <v>155647 Poliductos</v>
      </c>
      <c r="DK193" t="str">
        <v>155647 Poliductos</v>
      </c>
      <c r="DL193" t="str">
        <v>155647 Poliductos</v>
      </c>
      <c r="DM193" t="str">
        <v>155647 Poliductos</v>
      </c>
      <c r="DN193" t="str">
        <v>155647 Poliductos</v>
      </c>
      <c r="DO193" t="str">
        <v>155647 Poliductos</v>
      </c>
      <c r="DP193" t="str">
        <v>155647 Poliductos</v>
      </c>
    </row>
    <row r="194" spans="4:120" ht="12.75">
      <c r="D194" s="7">
        <v>155650</v>
      </c>
      <c r="E194" s="6" t="s">
        <v>198</v>
      </c>
      <c r="F194" s="5">
        <v>4</v>
      </c>
      <c r="G194" s="34" t="s">
        <v>822</v>
      </c>
      <c r="H194" s="8" t="s">
        <v>32</v>
      </c>
      <c r="I194" t="b">
        <f>+ISNUMBER(SEARCH('F-COMPRA'!$F$28,Tabla11[[#This Row],[Cuenta]],1))</f>
        <v>1</v>
      </c>
      <c r="J194" t="b">
        <f>+ISNUMBER(SEARCH('F-COMPRA'!$F$29,Tabla11[[#This Row],[Cuenta]],1))</f>
        <v>1</v>
      </c>
      <c r="K194" t="b">
        <f>+ISNUMBER(SEARCH('F-COMPRA'!$F$30,Tabla11[[#This Row],[Cuenta]],1))</f>
        <v>1</v>
      </c>
      <c r="L194" t="b">
        <f>+ISNUMBER(SEARCH('F-COMPRA'!$F$31,Tabla11[[#This Row],[Cuenta]],1))</f>
        <v>1</v>
      </c>
      <c r="M194" t="b">
        <f>+ISNUMBER(SEARCH('F-COMPRA'!$G$25,Tabla11[[#This Row],[Cuenta]],1))</f>
        <v>0</v>
      </c>
      <c r="N194" t="b">
        <f>+ISNUMBER(SEARCH(#REF!,Tabla11[[#This Row],[Cuenta]],1))</f>
        <v>0</v>
      </c>
      <c r="O194" t="b">
        <f>+ISNUMBER(SEARCH(#REF!,Tabla11[[#This Row],[Cuenta]],1))</f>
        <v>0</v>
      </c>
      <c r="P194" t="b">
        <f>+ISNUMBER(SEARCH('F-COMPRA'!$F$32,Tabla11[[#This Row],[Cuenta]],1))</f>
        <v>1</v>
      </c>
      <c r="Q194" t="b">
        <f>+ISNUMBER(SEARCH('F-COMPRA'!$F$33,Tabla11[[#This Row],[Cuenta]],1))</f>
        <v>1</v>
      </c>
      <c r="R194" t="b">
        <f>+ISNUMBER(SEARCH('F-COMPRA'!$F$34,Tabla11[[#This Row],[Cuenta]],1))</f>
        <v>1</v>
      </c>
      <c r="S194" t="b">
        <f>+ISNUMBER(SEARCH('F-COMPRA'!$F$35,Tabla11[[#This Row],[Cuenta]],1))</f>
        <v>1</v>
      </c>
      <c r="T194" t="b">
        <f>+ISNUMBER(SEARCH('F-COMPRA'!$F$36,Tabla11[[#This Row],[Cuenta]],1))</f>
        <v>1</v>
      </c>
      <c r="U194" t="b">
        <f>+ISNUMBER(SEARCH('F-COMPRA'!$F$37,Tabla11[[#This Row],[Cuenta]],1))</f>
        <v>1</v>
      </c>
      <c r="V194" t="b">
        <f>+ISNUMBER(SEARCH(#REF!,Tabla11[[#This Row],[Cuenta]],1))</f>
        <v>0</v>
      </c>
      <c r="W194" t="b">
        <f>+ISNUMBER(SEARCH('F-COMPRA'!#REF!,Tabla11[[#This Row],[Cuenta]],1))</f>
        <v>0</v>
      </c>
      <c r="X194" t="b">
        <f>+ISNUMBER(SEARCH('F-COMPRA'!#REF!,Tabla11[[#This Row],[Cuenta]],1))</f>
        <v>0</v>
      </c>
      <c r="Y194" t="b">
        <f>+ISNUMBER(SEARCH('F-COMPRA'!#REF!,Tabla11[[#This Row],[Cuenta]],1))</f>
        <v>0</v>
      </c>
      <c r="Z194" t="b">
        <f>+ISNUMBER(SEARCH('F-COMPRA'!#REF!,Tabla11[[#This Row],[Cuenta]],1))</f>
        <v>0</v>
      </c>
      <c r="AA194" t="b">
        <f>+ISNUMBER(SEARCH('F-COMPRA'!#REF!,Tabla11[[#This Row],[Cuenta]],1))</f>
        <v>0</v>
      </c>
      <c r="AB194" t="b">
        <f>+ISNUMBER(SEARCH('F-COMPRA'!#REF!,Tabla11[[#This Row],[Cuenta]],1))</f>
        <v>0</v>
      </c>
      <c r="AC194" t="b">
        <f>+ISNUMBER(SEARCH('F-COMPRA'!#REF!,Tabla11[[#This Row],[Cuenta]],1))</f>
        <v>0</v>
      </c>
      <c r="AD194" t="b">
        <f>+ISNUMBER(SEARCH('F-COMPRA'!#REF!,Tabla11[[#This Row],[Cuenta]],1))</f>
        <v>0</v>
      </c>
      <c r="AE194" t="b">
        <f>+ISNUMBER(SEARCH('F-COMPRA'!#REF!,Tabla11[[#This Row],[Cuenta]],1))</f>
        <v>0</v>
      </c>
      <c r="AF194" t="b">
        <f>+ISNUMBER(SEARCH('F-VTA'!$G$23,Tabla11[[#This Row],[Cuenta]],1))</f>
        <v>0</v>
      </c>
      <c r="AG194" t="b">
        <f>+ISNUMBER(SEARCH('F-VTA'!$G$24,Tabla11[[#This Row],[Cuenta]],1))</f>
        <v>0</v>
      </c>
      <c r="AH194" t="b">
        <f>+ISNUMBER(SEARCH('F-VTA'!$G$25,Tabla11[[#This Row],[Cuenta]],1))</f>
        <v>0</v>
      </c>
      <c r="AI194" t="b">
        <f>+ISNUMBER(SEARCH('F-VTA'!$F$28,Tabla11[[#This Row],[Cuenta]],1))</f>
        <v>1</v>
      </c>
      <c r="AJ194" t="b">
        <f>+ISNUMBER(SEARCH('F-VTA'!$F$29,Tabla11[[#This Row],[Cuenta]],1))</f>
        <v>1</v>
      </c>
      <c r="AK194" t="b">
        <f>+ISNUMBER(SEARCH('F-VTA'!$F$30,Tabla11[[#This Row],[Cuenta]],1))</f>
        <v>1</v>
      </c>
      <c r="AL194" t="b">
        <f>+ISNUMBER(SEARCH('F-VTA'!$F$31,Tabla11[[#This Row],[Cuenta]],1))</f>
        <v>1</v>
      </c>
      <c r="AM194" t="b">
        <f>+ISNUMBER(SEARCH('F-VTA'!$F$32,Tabla11[[#This Row],[Cuenta]],1))</f>
        <v>1</v>
      </c>
      <c r="AN194" t="b">
        <f>+ISNUMBER(SEARCH('F-VTA'!$F$33,Tabla11[[#This Row],[Cuenta]],1))</f>
        <v>1</v>
      </c>
      <c r="AO194" t="b">
        <f>+ISNUMBER(SEARCH('F-VTA'!$F$34,Tabla11[[#This Row],[Cuenta]],1))</f>
        <v>1</v>
      </c>
      <c r="AP194" t="b">
        <f>+ISNUMBER(SEARCH('F-VTA'!$F$35,Tabla11[[#This Row],[Cuenta]],1))</f>
        <v>1</v>
      </c>
      <c r="AQ194" t="b">
        <f>+ISNUMBER(SEARCH('F-VTA'!$F$36,Tabla11[[#This Row],[Cuenta]],1))</f>
        <v>1</v>
      </c>
      <c r="AR194" t="b">
        <f>+ISNUMBER(SEARCH(#REF!,Tabla11[[#This Row],[Cuenta]],1))</f>
        <v>0</v>
      </c>
      <c r="AS194" t="b">
        <f>+ISNUMBER(SEARCH(#REF!,Tabla11[[#This Row],[Cuenta]],1))</f>
        <v>0</v>
      </c>
      <c r="AT194" t="b">
        <f>+ISNUMBER(SEARCH(#REF!,Tabla11[[#This Row],[Cuenta]],1))</f>
        <v>0</v>
      </c>
      <c r="AU194" t="b">
        <f>+ISNUMBER(SEARCH('Conc. Ban.1'!$I$9,Tabla11[[#This Row],[Cuenta]],1))</f>
        <v>0</v>
      </c>
      <c r="AV194" t="b">
        <f>+ISNUMBER(SEARCH(CompConta!$F$21,Tabla11[[#This Row],[Cuenta]],1))</f>
        <v>1</v>
      </c>
      <c r="AW194" t="b">
        <f>+ISNUMBER(SEARCH(CompConta!$F$22,Tabla11[[#This Row],[Cuenta]],1))</f>
        <v>1</v>
      </c>
      <c r="AX194" t="b">
        <f>+ISNUMBER(SEARCH(CompConta!$F$23,Tabla11[[#This Row],[Cuenta]],1))</f>
        <v>1</v>
      </c>
      <c r="AY194" t="b">
        <f>+ISNUMBER(SEARCH(CompConta!$F$24,Tabla11[[#This Row],[Cuenta]],1))</f>
        <v>1</v>
      </c>
      <c r="AZ194" t="b">
        <f>+ISNUMBER(SEARCH(CompConta!$F$25,Tabla11[[#This Row],[Cuenta]],1))</f>
        <v>1</v>
      </c>
      <c r="BA194" t="b">
        <f>+ISNUMBER(SEARCH(CompConta!$F$26,Tabla11[[#This Row],[Cuenta]],1))</f>
        <v>1</v>
      </c>
      <c r="BB194" t="b">
        <f>+ISNUMBER(SEARCH(CompConta!$F$27,Tabla11[[#This Row],[Cuenta]],1))</f>
        <v>1</v>
      </c>
      <c r="BC194" t="b">
        <f>+ISNUMBER(SEARCH(CompConta!$F$28,Tabla11[[#This Row],[Cuenta]],1))</f>
        <v>1</v>
      </c>
      <c r="BD194" t="b">
        <f>+ISNUMBER(SEARCH(CompConta!$F$29,Tabla11[[#This Row],[Cuenta]],1))</f>
        <v>1</v>
      </c>
      <c r="BE194" t="b">
        <f>+ISNUMBER(SEARCH(CompConta!$F$30,Tabla11[[#This Row],[Cuenta]],1))</f>
        <v>1</v>
      </c>
      <c r="BF194" t="b">
        <f>+ISNUMBER(SEARCH('PAGO Compras'!$E$11,Tabla11[[#This Row],[Cuenta]],1))</f>
        <v>1</v>
      </c>
      <c r="BG194" t="b">
        <f>+ISNUMBER(SEARCH(#REF!,Tabla11[[#This Row],[Cuenta]],1))</f>
        <v>0</v>
      </c>
      <c r="BH194" t="b">
        <f>+ISNUMBER(SEARCH(#REF!,Tabla11[[#This Row],[Cuenta]],1))</f>
        <v>0</v>
      </c>
      <c r="BI194" t="b">
        <f>+ISNUMBER(SEARCH(#REF!,Tabla11[[#This Row],[Cuenta]],1))</f>
        <v>0</v>
      </c>
      <c r="BJ194" t="b">
        <f>+ISNUMBER(SEARCH(#REF!,Tabla11[[#This Row],[Cuenta]],1))</f>
        <v>0</v>
      </c>
      <c r="BS194" t="str">
        <v>155650 Redes de distribución</v>
      </c>
      <c r="BT194" t="str">
        <v>155650 Redes de distribución</v>
      </c>
      <c r="BU194" t="str">
        <v>155650 Redes de distribución</v>
      </c>
      <c r="BV194" t="str">
        <v>155650 Redes de distribución</v>
      </c>
      <c r="BZ194" t="str">
        <v>155650 Redes de distribución</v>
      </c>
      <c r="CA194" t="str">
        <v>155650 Redes de distribución</v>
      </c>
      <c r="CB194" t="str">
        <v>155650 Redes de distribución</v>
      </c>
      <c r="CC194" t="str">
        <v>155650 Redes de distribución</v>
      </c>
      <c r="CD194" t="str">
        <v>155650 Redes de distribución</v>
      </c>
      <c r="CE194" t="str">
        <v>155650 Redes de distribución</v>
      </c>
      <c r="CS194" s="141" t="str">
        <v>155650 Redes de distribución</v>
      </c>
      <c r="CT194" s="141" t="str">
        <v>155650 Redes de distribución</v>
      </c>
      <c r="CU194" s="141" t="str">
        <v>155650 Redes de distribución</v>
      </c>
      <c r="CV194" s="141" t="str">
        <v>155650 Redes de distribución</v>
      </c>
      <c r="CW194" s="141" t="str">
        <v>155650 Redes de distribución</v>
      </c>
      <c r="CX194" s="141" t="str">
        <v>155650 Redes de distribución</v>
      </c>
      <c r="CY194" s="141" t="str">
        <v>155650 Redes de distribución</v>
      </c>
      <c r="CZ194" s="141" t="str">
        <v>155650 Redes de distribución</v>
      </c>
      <c r="DA194" s="141" t="str">
        <v>155650 Redes de distribución</v>
      </c>
      <c r="DF194" t="str">
        <v>155650 Redes de distribución</v>
      </c>
      <c r="DG194" t="str">
        <v>155650 Redes de distribución</v>
      </c>
      <c r="DH194" t="str">
        <v>155650 Redes de distribución</v>
      </c>
      <c r="DI194" t="str">
        <v>155650 Redes de distribución</v>
      </c>
      <c r="DJ194" t="str">
        <v>155650 Redes de distribución</v>
      </c>
      <c r="DK194" t="str">
        <v>155650 Redes de distribución</v>
      </c>
      <c r="DL194" t="str">
        <v>155650 Redes de distribución</v>
      </c>
      <c r="DM194" t="str">
        <v>155650 Redes de distribución</v>
      </c>
      <c r="DN194" t="str">
        <v>155650 Redes de distribución</v>
      </c>
      <c r="DO194" t="str">
        <v>155650 Redes de distribución</v>
      </c>
      <c r="DP194" t="str">
        <v>155650 Redes de distribución</v>
      </c>
    </row>
    <row r="195" spans="4:120" ht="12.75">
      <c r="D195" s="7">
        <v>155655</v>
      </c>
      <c r="E195" s="6" t="s">
        <v>199</v>
      </c>
      <c r="F195" s="5">
        <v>4</v>
      </c>
      <c r="G195" s="34" t="s">
        <v>822</v>
      </c>
      <c r="H195" s="8" t="s">
        <v>32</v>
      </c>
      <c r="I195" t="b">
        <f>+ISNUMBER(SEARCH('F-COMPRA'!$F$28,Tabla11[[#This Row],[Cuenta]],1))</f>
        <v>1</v>
      </c>
      <c r="J195" t="b">
        <f>+ISNUMBER(SEARCH('F-COMPRA'!$F$29,Tabla11[[#This Row],[Cuenta]],1))</f>
        <v>1</v>
      </c>
      <c r="K195" t="b">
        <f>+ISNUMBER(SEARCH('F-COMPRA'!$F$30,Tabla11[[#This Row],[Cuenta]],1))</f>
        <v>1</v>
      </c>
      <c r="L195" t="b">
        <f>+ISNUMBER(SEARCH('F-COMPRA'!$F$31,Tabla11[[#This Row],[Cuenta]],1))</f>
        <v>1</v>
      </c>
      <c r="M195" t="b">
        <f>+ISNUMBER(SEARCH('F-COMPRA'!$G$25,Tabla11[[#This Row],[Cuenta]],1))</f>
        <v>0</v>
      </c>
      <c r="N195" t="b">
        <f>+ISNUMBER(SEARCH(#REF!,Tabla11[[#This Row],[Cuenta]],1))</f>
        <v>0</v>
      </c>
      <c r="O195" t="b">
        <f>+ISNUMBER(SEARCH(#REF!,Tabla11[[#This Row],[Cuenta]],1))</f>
        <v>0</v>
      </c>
      <c r="P195" t="b">
        <f>+ISNUMBER(SEARCH('F-COMPRA'!$F$32,Tabla11[[#This Row],[Cuenta]],1))</f>
        <v>1</v>
      </c>
      <c r="Q195" t="b">
        <f>+ISNUMBER(SEARCH('F-COMPRA'!$F$33,Tabla11[[#This Row],[Cuenta]],1))</f>
        <v>1</v>
      </c>
      <c r="R195" t="b">
        <f>+ISNUMBER(SEARCH('F-COMPRA'!$F$34,Tabla11[[#This Row],[Cuenta]],1))</f>
        <v>1</v>
      </c>
      <c r="S195" t="b">
        <f>+ISNUMBER(SEARCH('F-COMPRA'!$F$35,Tabla11[[#This Row],[Cuenta]],1))</f>
        <v>1</v>
      </c>
      <c r="T195" t="b">
        <f>+ISNUMBER(SEARCH('F-COMPRA'!$F$36,Tabla11[[#This Row],[Cuenta]],1))</f>
        <v>1</v>
      </c>
      <c r="U195" t="b">
        <f>+ISNUMBER(SEARCH('F-COMPRA'!$F$37,Tabla11[[#This Row],[Cuenta]],1))</f>
        <v>1</v>
      </c>
      <c r="V195" t="b">
        <f>+ISNUMBER(SEARCH(#REF!,Tabla11[[#This Row],[Cuenta]],1))</f>
        <v>0</v>
      </c>
      <c r="W195" t="b">
        <f>+ISNUMBER(SEARCH('F-COMPRA'!#REF!,Tabla11[[#This Row],[Cuenta]],1))</f>
        <v>0</v>
      </c>
      <c r="X195" t="b">
        <f>+ISNUMBER(SEARCH('F-COMPRA'!#REF!,Tabla11[[#This Row],[Cuenta]],1))</f>
        <v>0</v>
      </c>
      <c r="Y195" t="b">
        <f>+ISNUMBER(SEARCH('F-COMPRA'!#REF!,Tabla11[[#This Row],[Cuenta]],1))</f>
        <v>0</v>
      </c>
      <c r="Z195" t="b">
        <f>+ISNUMBER(SEARCH('F-COMPRA'!#REF!,Tabla11[[#This Row],[Cuenta]],1))</f>
        <v>0</v>
      </c>
      <c r="AA195" t="b">
        <f>+ISNUMBER(SEARCH('F-COMPRA'!#REF!,Tabla11[[#This Row],[Cuenta]],1))</f>
        <v>0</v>
      </c>
      <c r="AB195" t="b">
        <f>+ISNUMBER(SEARCH('F-COMPRA'!#REF!,Tabla11[[#This Row],[Cuenta]],1))</f>
        <v>0</v>
      </c>
      <c r="AC195" t="b">
        <f>+ISNUMBER(SEARCH('F-COMPRA'!#REF!,Tabla11[[#This Row],[Cuenta]],1))</f>
        <v>0</v>
      </c>
      <c r="AD195" t="b">
        <f>+ISNUMBER(SEARCH('F-COMPRA'!#REF!,Tabla11[[#This Row],[Cuenta]],1))</f>
        <v>0</v>
      </c>
      <c r="AE195" t="b">
        <f>+ISNUMBER(SEARCH('F-COMPRA'!#REF!,Tabla11[[#This Row],[Cuenta]],1))</f>
        <v>0</v>
      </c>
      <c r="AF195" t="b">
        <f>+ISNUMBER(SEARCH('F-VTA'!$G$23,Tabla11[[#This Row],[Cuenta]],1))</f>
        <v>0</v>
      </c>
      <c r="AG195" t="b">
        <f>+ISNUMBER(SEARCH('F-VTA'!$G$24,Tabla11[[#This Row],[Cuenta]],1))</f>
        <v>0</v>
      </c>
      <c r="AH195" t="b">
        <f>+ISNUMBER(SEARCH('F-VTA'!$G$25,Tabla11[[#This Row],[Cuenta]],1))</f>
        <v>0</v>
      </c>
      <c r="AI195" t="b">
        <f>+ISNUMBER(SEARCH('F-VTA'!$F$28,Tabla11[[#This Row],[Cuenta]],1))</f>
        <v>1</v>
      </c>
      <c r="AJ195" t="b">
        <f>+ISNUMBER(SEARCH('F-VTA'!$F$29,Tabla11[[#This Row],[Cuenta]],1))</f>
        <v>1</v>
      </c>
      <c r="AK195" t="b">
        <f>+ISNUMBER(SEARCH('F-VTA'!$F$30,Tabla11[[#This Row],[Cuenta]],1))</f>
        <v>1</v>
      </c>
      <c r="AL195" t="b">
        <f>+ISNUMBER(SEARCH('F-VTA'!$F$31,Tabla11[[#This Row],[Cuenta]],1))</f>
        <v>1</v>
      </c>
      <c r="AM195" t="b">
        <f>+ISNUMBER(SEARCH('F-VTA'!$F$32,Tabla11[[#This Row],[Cuenta]],1))</f>
        <v>1</v>
      </c>
      <c r="AN195" t="b">
        <f>+ISNUMBER(SEARCH('F-VTA'!$F$33,Tabla11[[#This Row],[Cuenta]],1))</f>
        <v>1</v>
      </c>
      <c r="AO195" t="b">
        <f>+ISNUMBER(SEARCH('F-VTA'!$F$34,Tabla11[[#This Row],[Cuenta]],1))</f>
        <v>1</v>
      </c>
      <c r="AP195" t="b">
        <f>+ISNUMBER(SEARCH('F-VTA'!$F$35,Tabla11[[#This Row],[Cuenta]],1))</f>
        <v>1</v>
      </c>
      <c r="AQ195" t="b">
        <f>+ISNUMBER(SEARCH('F-VTA'!$F$36,Tabla11[[#This Row],[Cuenta]],1))</f>
        <v>1</v>
      </c>
      <c r="AR195" t="b">
        <f>+ISNUMBER(SEARCH(#REF!,Tabla11[[#This Row],[Cuenta]],1))</f>
        <v>0</v>
      </c>
      <c r="AS195" t="b">
        <f>+ISNUMBER(SEARCH(#REF!,Tabla11[[#This Row],[Cuenta]],1))</f>
        <v>0</v>
      </c>
      <c r="AT195" t="b">
        <f>+ISNUMBER(SEARCH(#REF!,Tabla11[[#This Row],[Cuenta]],1))</f>
        <v>0</v>
      </c>
      <c r="AU195" t="b">
        <f>+ISNUMBER(SEARCH('Conc. Ban.1'!$I$9,Tabla11[[#This Row],[Cuenta]],1))</f>
        <v>0</v>
      </c>
      <c r="AV195" t="b">
        <f>+ISNUMBER(SEARCH(CompConta!$F$21,Tabla11[[#This Row],[Cuenta]],1))</f>
        <v>1</v>
      </c>
      <c r="AW195" t="b">
        <f>+ISNUMBER(SEARCH(CompConta!$F$22,Tabla11[[#This Row],[Cuenta]],1))</f>
        <v>1</v>
      </c>
      <c r="AX195" t="b">
        <f>+ISNUMBER(SEARCH(CompConta!$F$23,Tabla11[[#This Row],[Cuenta]],1))</f>
        <v>1</v>
      </c>
      <c r="AY195" t="b">
        <f>+ISNUMBER(SEARCH(CompConta!$F$24,Tabla11[[#This Row],[Cuenta]],1))</f>
        <v>1</v>
      </c>
      <c r="AZ195" t="b">
        <f>+ISNUMBER(SEARCH(CompConta!$F$25,Tabla11[[#This Row],[Cuenta]],1))</f>
        <v>1</v>
      </c>
      <c r="BA195" t="b">
        <f>+ISNUMBER(SEARCH(CompConta!$F$26,Tabla11[[#This Row],[Cuenta]],1))</f>
        <v>1</v>
      </c>
      <c r="BB195" t="b">
        <f>+ISNUMBER(SEARCH(CompConta!$F$27,Tabla11[[#This Row],[Cuenta]],1))</f>
        <v>1</v>
      </c>
      <c r="BC195" t="b">
        <f>+ISNUMBER(SEARCH(CompConta!$F$28,Tabla11[[#This Row],[Cuenta]],1))</f>
        <v>1</v>
      </c>
      <c r="BD195" t="b">
        <f>+ISNUMBER(SEARCH(CompConta!$F$29,Tabla11[[#This Row],[Cuenta]],1))</f>
        <v>1</v>
      </c>
      <c r="BE195" t="b">
        <f>+ISNUMBER(SEARCH(CompConta!$F$30,Tabla11[[#This Row],[Cuenta]],1))</f>
        <v>1</v>
      </c>
      <c r="BF195" t="b">
        <f>+ISNUMBER(SEARCH('PAGO Compras'!$E$11,Tabla11[[#This Row],[Cuenta]],1))</f>
        <v>1</v>
      </c>
      <c r="BG195" t="b">
        <f>+ISNUMBER(SEARCH(#REF!,Tabla11[[#This Row],[Cuenta]],1))</f>
        <v>0</v>
      </c>
      <c r="BH195" t="b">
        <f>+ISNUMBER(SEARCH(#REF!,Tabla11[[#This Row],[Cuenta]],1))</f>
        <v>0</v>
      </c>
      <c r="BI195" t="b">
        <f>+ISNUMBER(SEARCH(#REF!,Tabla11[[#This Row],[Cuenta]],1))</f>
        <v>0</v>
      </c>
      <c r="BJ195" t="b">
        <f>+ISNUMBER(SEARCH(#REF!,Tabla11[[#This Row],[Cuenta]],1))</f>
        <v>0</v>
      </c>
      <c r="BS195" t="str">
        <v>155655 Plantas de tratamiento</v>
      </c>
      <c r="BT195" t="str">
        <v>155655 Plantas de tratamiento</v>
      </c>
      <c r="BU195" t="str">
        <v>155655 Plantas de tratamiento</v>
      </c>
      <c r="BV195" t="str">
        <v>155655 Plantas de tratamiento</v>
      </c>
      <c r="BZ195" t="str">
        <v>155655 Plantas de tratamiento</v>
      </c>
      <c r="CA195" t="str">
        <v>155655 Plantas de tratamiento</v>
      </c>
      <c r="CB195" t="str">
        <v>155655 Plantas de tratamiento</v>
      </c>
      <c r="CC195" t="str">
        <v>155655 Plantas de tratamiento</v>
      </c>
      <c r="CD195" t="str">
        <v>155655 Plantas de tratamiento</v>
      </c>
      <c r="CE195" t="str">
        <v>155655 Plantas de tratamiento</v>
      </c>
      <c r="CS195" s="141" t="str">
        <v>155655 Plantas de tratamiento</v>
      </c>
      <c r="CT195" s="141" t="str">
        <v>155655 Plantas de tratamiento</v>
      </c>
      <c r="CU195" s="141" t="str">
        <v>155655 Plantas de tratamiento</v>
      </c>
      <c r="CV195" s="141" t="str">
        <v>155655 Plantas de tratamiento</v>
      </c>
      <c r="CW195" s="141" t="str">
        <v>155655 Plantas de tratamiento</v>
      </c>
      <c r="CX195" s="141" t="str">
        <v>155655 Plantas de tratamiento</v>
      </c>
      <c r="CY195" s="141" t="str">
        <v>155655 Plantas de tratamiento</v>
      </c>
      <c r="CZ195" s="141" t="str">
        <v>155655 Plantas de tratamiento</v>
      </c>
      <c r="DA195" s="141" t="str">
        <v>155655 Plantas de tratamiento</v>
      </c>
      <c r="DF195" t="str">
        <v>155655 Plantas de tratamiento</v>
      </c>
      <c r="DG195" t="str">
        <v>155655 Plantas de tratamiento</v>
      </c>
      <c r="DH195" t="str">
        <v>155655 Plantas de tratamiento</v>
      </c>
      <c r="DI195" t="str">
        <v>155655 Plantas de tratamiento</v>
      </c>
      <c r="DJ195" t="str">
        <v>155655 Plantas de tratamiento</v>
      </c>
      <c r="DK195" t="str">
        <v>155655 Plantas de tratamiento</v>
      </c>
      <c r="DL195" t="str">
        <v>155655 Plantas de tratamiento</v>
      </c>
      <c r="DM195" t="str">
        <v>155655 Plantas de tratamiento</v>
      </c>
      <c r="DN195" t="str">
        <v>155655 Plantas de tratamiento</v>
      </c>
      <c r="DO195" t="str">
        <v>155655 Plantas de tratamiento</v>
      </c>
      <c r="DP195" t="str">
        <v>155655 Plantas de tratamiento</v>
      </c>
    </row>
    <row r="196" spans="4:120" ht="12.75">
      <c r="D196" s="7">
        <v>155660</v>
      </c>
      <c r="E196" s="6" t="s">
        <v>200</v>
      </c>
      <c r="F196" s="5">
        <v>4</v>
      </c>
      <c r="G196" s="34" t="s">
        <v>822</v>
      </c>
      <c r="H196" s="8" t="s">
        <v>32</v>
      </c>
      <c r="I196" t="b">
        <f>+ISNUMBER(SEARCH('F-COMPRA'!$F$28,Tabla11[[#This Row],[Cuenta]],1))</f>
        <v>1</v>
      </c>
      <c r="J196" t="b">
        <f>+ISNUMBER(SEARCH('F-COMPRA'!$F$29,Tabla11[[#This Row],[Cuenta]],1))</f>
        <v>1</v>
      </c>
      <c r="K196" t="b">
        <f>+ISNUMBER(SEARCH('F-COMPRA'!$F$30,Tabla11[[#This Row],[Cuenta]],1))</f>
        <v>1</v>
      </c>
      <c r="L196" t="b">
        <f>+ISNUMBER(SEARCH('F-COMPRA'!$F$31,Tabla11[[#This Row],[Cuenta]],1))</f>
        <v>1</v>
      </c>
      <c r="M196" t="b">
        <f>+ISNUMBER(SEARCH('F-COMPRA'!$G$25,Tabla11[[#This Row],[Cuenta]],1))</f>
        <v>0</v>
      </c>
      <c r="N196" t="b">
        <f>+ISNUMBER(SEARCH(#REF!,Tabla11[[#This Row],[Cuenta]],1))</f>
        <v>0</v>
      </c>
      <c r="O196" t="b">
        <f>+ISNUMBER(SEARCH(#REF!,Tabla11[[#This Row],[Cuenta]],1))</f>
        <v>0</v>
      </c>
      <c r="P196" t="b">
        <f>+ISNUMBER(SEARCH('F-COMPRA'!$F$32,Tabla11[[#This Row],[Cuenta]],1))</f>
        <v>1</v>
      </c>
      <c r="Q196" t="b">
        <f>+ISNUMBER(SEARCH('F-COMPRA'!$F$33,Tabla11[[#This Row],[Cuenta]],1))</f>
        <v>1</v>
      </c>
      <c r="R196" t="b">
        <f>+ISNUMBER(SEARCH('F-COMPRA'!$F$34,Tabla11[[#This Row],[Cuenta]],1))</f>
        <v>1</v>
      </c>
      <c r="S196" t="b">
        <f>+ISNUMBER(SEARCH('F-COMPRA'!$F$35,Tabla11[[#This Row],[Cuenta]],1))</f>
        <v>1</v>
      </c>
      <c r="T196" t="b">
        <f>+ISNUMBER(SEARCH('F-COMPRA'!$F$36,Tabla11[[#This Row],[Cuenta]],1))</f>
        <v>1</v>
      </c>
      <c r="U196" t="b">
        <f>+ISNUMBER(SEARCH('F-COMPRA'!$F$37,Tabla11[[#This Row],[Cuenta]],1))</f>
        <v>1</v>
      </c>
      <c r="V196" t="b">
        <f>+ISNUMBER(SEARCH(#REF!,Tabla11[[#This Row],[Cuenta]],1))</f>
        <v>0</v>
      </c>
      <c r="W196" t="b">
        <f>+ISNUMBER(SEARCH('F-COMPRA'!#REF!,Tabla11[[#This Row],[Cuenta]],1))</f>
        <v>0</v>
      </c>
      <c r="X196" t="b">
        <f>+ISNUMBER(SEARCH('F-COMPRA'!#REF!,Tabla11[[#This Row],[Cuenta]],1))</f>
        <v>0</v>
      </c>
      <c r="Y196" t="b">
        <f>+ISNUMBER(SEARCH('F-COMPRA'!#REF!,Tabla11[[#This Row],[Cuenta]],1))</f>
        <v>0</v>
      </c>
      <c r="Z196" t="b">
        <f>+ISNUMBER(SEARCH('F-COMPRA'!#REF!,Tabla11[[#This Row],[Cuenta]],1))</f>
        <v>0</v>
      </c>
      <c r="AA196" t="b">
        <f>+ISNUMBER(SEARCH('F-COMPRA'!#REF!,Tabla11[[#This Row],[Cuenta]],1))</f>
        <v>0</v>
      </c>
      <c r="AB196" t="b">
        <f>+ISNUMBER(SEARCH('F-COMPRA'!#REF!,Tabla11[[#This Row],[Cuenta]],1))</f>
        <v>0</v>
      </c>
      <c r="AC196" t="b">
        <f>+ISNUMBER(SEARCH('F-COMPRA'!#REF!,Tabla11[[#This Row],[Cuenta]],1))</f>
        <v>0</v>
      </c>
      <c r="AD196" t="b">
        <f>+ISNUMBER(SEARCH('F-COMPRA'!#REF!,Tabla11[[#This Row],[Cuenta]],1))</f>
        <v>0</v>
      </c>
      <c r="AE196" t="b">
        <f>+ISNUMBER(SEARCH('F-COMPRA'!#REF!,Tabla11[[#This Row],[Cuenta]],1))</f>
        <v>0</v>
      </c>
      <c r="AF196" t="b">
        <f>+ISNUMBER(SEARCH('F-VTA'!$G$23,Tabla11[[#This Row],[Cuenta]],1))</f>
        <v>0</v>
      </c>
      <c r="AG196" t="b">
        <f>+ISNUMBER(SEARCH('F-VTA'!$G$24,Tabla11[[#This Row],[Cuenta]],1))</f>
        <v>0</v>
      </c>
      <c r="AH196" t="b">
        <f>+ISNUMBER(SEARCH('F-VTA'!$G$25,Tabla11[[#This Row],[Cuenta]],1))</f>
        <v>0</v>
      </c>
      <c r="AI196" t="b">
        <f>+ISNUMBER(SEARCH('F-VTA'!$F$28,Tabla11[[#This Row],[Cuenta]],1))</f>
        <v>1</v>
      </c>
      <c r="AJ196" t="b">
        <f>+ISNUMBER(SEARCH('F-VTA'!$F$29,Tabla11[[#This Row],[Cuenta]],1))</f>
        <v>1</v>
      </c>
      <c r="AK196" t="b">
        <f>+ISNUMBER(SEARCH('F-VTA'!$F$30,Tabla11[[#This Row],[Cuenta]],1))</f>
        <v>1</v>
      </c>
      <c r="AL196" t="b">
        <f>+ISNUMBER(SEARCH('F-VTA'!$F$31,Tabla11[[#This Row],[Cuenta]],1))</f>
        <v>1</v>
      </c>
      <c r="AM196" t="b">
        <f>+ISNUMBER(SEARCH('F-VTA'!$F$32,Tabla11[[#This Row],[Cuenta]],1))</f>
        <v>1</v>
      </c>
      <c r="AN196" t="b">
        <f>+ISNUMBER(SEARCH('F-VTA'!$F$33,Tabla11[[#This Row],[Cuenta]],1))</f>
        <v>1</v>
      </c>
      <c r="AO196" t="b">
        <f>+ISNUMBER(SEARCH('F-VTA'!$F$34,Tabla11[[#This Row],[Cuenta]],1))</f>
        <v>1</v>
      </c>
      <c r="AP196" t="b">
        <f>+ISNUMBER(SEARCH('F-VTA'!$F$35,Tabla11[[#This Row],[Cuenta]],1))</f>
        <v>1</v>
      </c>
      <c r="AQ196" t="b">
        <f>+ISNUMBER(SEARCH('F-VTA'!$F$36,Tabla11[[#This Row],[Cuenta]],1))</f>
        <v>1</v>
      </c>
      <c r="AR196" t="b">
        <f>+ISNUMBER(SEARCH(#REF!,Tabla11[[#This Row],[Cuenta]],1))</f>
        <v>0</v>
      </c>
      <c r="AS196" t="b">
        <f>+ISNUMBER(SEARCH(#REF!,Tabla11[[#This Row],[Cuenta]],1))</f>
        <v>0</v>
      </c>
      <c r="AT196" t="b">
        <f>+ISNUMBER(SEARCH(#REF!,Tabla11[[#This Row],[Cuenta]],1))</f>
        <v>0</v>
      </c>
      <c r="AU196" t="b">
        <f>+ISNUMBER(SEARCH('Conc. Ban.1'!$I$9,Tabla11[[#This Row],[Cuenta]],1))</f>
        <v>0</v>
      </c>
      <c r="AV196" t="b">
        <f>+ISNUMBER(SEARCH(CompConta!$F$21,Tabla11[[#This Row],[Cuenta]],1))</f>
        <v>1</v>
      </c>
      <c r="AW196" t="b">
        <f>+ISNUMBER(SEARCH(CompConta!$F$22,Tabla11[[#This Row],[Cuenta]],1))</f>
        <v>1</v>
      </c>
      <c r="AX196" t="b">
        <f>+ISNUMBER(SEARCH(CompConta!$F$23,Tabla11[[#This Row],[Cuenta]],1))</f>
        <v>1</v>
      </c>
      <c r="AY196" t="b">
        <f>+ISNUMBER(SEARCH(CompConta!$F$24,Tabla11[[#This Row],[Cuenta]],1))</f>
        <v>1</v>
      </c>
      <c r="AZ196" t="b">
        <f>+ISNUMBER(SEARCH(CompConta!$F$25,Tabla11[[#This Row],[Cuenta]],1))</f>
        <v>1</v>
      </c>
      <c r="BA196" t="b">
        <f>+ISNUMBER(SEARCH(CompConta!$F$26,Tabla11[[#This Row],[Cuenta]],1))</f>
        <v>1</v>
      </c>
      <c r="BB196" t="b">
        <f>+ISNUMBER(SEARCH(CompConta!$F$27,Tabla11[[#This Row],[Cuenta]],1))</f>
        <v>1</v>
      </c>
      <c r="BC196" t="b">
        <f>+ISNUMBER(SEARCH(CompConta!$F$28,Tabla11[[#This Row],[Cuenta]],1))</f>
        <v>1</v>
      </c>
      <c r="BD196" t="b">
        <f>+ISNUMBER(SEARCH(CompConta!$F$29,Tabla11[[#This Row],[Cuenta]],1))</f>
        <v>1</v>
      </c>
      <c r="BE196" t="b">
        <f>+ISNUMBER(SEARCH(CompConta!$F$30,Tabla11[[#This Row],[Cuenta]],1))</f>
        <v>1</v>
      </c>
      <c r="BF196" t="b">
        <f>+ISNUMBER(SEARCH('PAGO Compras'!$E$11,Tabla11[[#This Row],[Cuenta]],1))</f>
        <v>1</v>
      </c>
      <c r="BG196" t="b">
        <f>+ISNUMBER(SEARCH(#REF!,Tabla11[[#This Row],[Cuenta]],1))</f>
        <v>0</v>
      </c>
      <c r="BH196" t="b">
        <f>+ISNUMBER(SEARCH(#REF!,Tabla11[[#This Row],[Cuenta]],1))</f>
        <v>0</v>
      </c>
      <c r="BI196" t="b">
        <f>+ISNUMBER(SEARCH(#REF!,Tabla11[[#This Row],[Cuenta]],1))</f>
        <v>0</v>
      </c>
      <c r="BJ196" t="b">
        <f>+ISNUMBER(SEARCH(#REF!,Tabla11[[#This Row],[Cuenta]],1))</f>
        <v>0</v>
      </c>
      <c r="BS196" t="str">
        <v>155660 Redes de recolección de aguas negras</v>
      </c>
      <c r="BT196" t="str">
        <v>155660 Redes de recolección de aguas negras</v>
      </c>
      <c r="BU196" t="str">
        <v>155660 Redes de recolección de aguas negras</v>
      </c>
      <c r="BV196" t="str">
        <v>155660 Redes de recolección de aguas negras</v>
      </c>
      <c r="BZ196" t="str">
        <v>155660 Redes de recolección de aguas negras</v>
      </c>
      <c r="CA196" t="str">
        <v>155660 Redes de recolección de aguas negras</v>
      </c>
      <c r="CB196" t="str">
        <v>155660 Redes de recolección de aguas negras</v>
      </c>
      <c r="CC196" t="str">
        <v>155660 Redes de recolección de aguas negras</v>
      </c>
      <c r="CD196" t="str">
        <v>155660 Redes de recolección de aguas negras</v>
      </c>
      <c r="CE196" t="str">
        <v>155660 Redes de recolección de aguas negras</v>
      </c>
      <c r="CS196" s="141" t="str">
        <v>155660 Redes de recolección de aguas negras</v>
      </c>
      <c r="CT196" s="141" t="str">
        <v>155660 Redes de recolección de aguas negras</v>
      </c>
      <c r="CU196" s="141" t="str">
        <v>155660 Redes de recolección de aguas negras</v>
      </c>
      <c r="CV196" s="141" t="str">
        <v>155660 Redes de recolección de aguas negras</v>
      </c>
      <c r="CW196" s="141" t="str">
        <v>155660 Redes de recolección de aguas negras</v>
      </c>
      <c r="CX196" s="141" t="str">
        <v>155660 Redes de recolección de aguas negras</v>
      </c>
      <c r="CY196" s="141" t="str">
        <v>155660 Redes de recolección de aguas negras</v>
      </c>
      <c r="CZ196" s="141" t="str">
        <v>155660 Redes de recolección de aguas negras</v>
      </c>
      <c r="DA196" s="141" t="str">
        <v>155660 Redes de recolección de aguas negras</v>
      </c>
      <c r="DF196" t="str">
        <v>155660 Redes de recolección de aguas negras</v>
      </c>
      <c r="DG196" t="str">
        <v>155660 Redes de recolección de aguas negras</v>
      </c>
      <c r="DH196" t="str">
        <v>155660 Redes de recolección de aguas negras</v>
      </c>
      <c r="DI196" t="str">
        <v>155660 Redes de recolección de aguas negras</v>
      </c>
      <c r="DJ196" t="str">
        <v>155660 Redes de recolección de aguas negras</v>
      </c>
      <c r="DK196" t="str">
        <v>155660 Redes de recolección de aguas negras</v>
      </c>
      <c r="DL196" t="str">
        <v>155660 Redes de recolección de aguas negras</v>
      </c>
      <c r="DM196" t="str">
        <v>155660 Redes de recolección de aguas negras</v>
      </c>
      <c r="DN196" t="str">
        <v>155660 Redes de recolección de aguas negras</v>
      </c>
      <c r="DO196" t="str">
        <v>155660 Redes de recolección de aguas negras</v>
      </c>
      <c r="DP196" t="str">
        <v>155660 Redes de recolección de aguas negras</v>
      </c>
    </row>
    <row r="197" spans="4:120" ht="12.75">
      <c r="D197" s="7">
        <v>155665</v>
      </c>
      <c r="E197" s="6" t="s">
        <v>201</v>
      </c>
      <c r="F197" s="5">
        <v>4</v>
      </c>
      <c r="G197" s="34" t="s">
        <v>822</v>
      </c>
      <c r="H197" s="8" t="s">
        <v>32</v>
      </c>
      <c r="I197" t="b">
        <f>+ISNUMBER(SEARCH('F-COMPRA'!$F$28,Tabla11[[#This Row],[Cuenta]],1))</f>
        <v>1</v>
      </c>
      <c r="J197" t="b">
        <f>+ISNUMBER(SEARCH('F-COMPRA'!$F$29,Tabla11[[#This Row],[Cuenta]],1))</f>
        <v>1</v>
      </c>
      <c r="K197" t="b">
        <f>+ISNUMBER(SEARCH('F-COMPRA'!$F$30,Tabla11[[#This Row],[Cuenta]],1))</f>
        <v>1</v>
      </c>
      <c r="L197" t="b">
        <f>+ISNUMBER(SEARCH('F-COMPRA'!$F$31,Tabla11[[#This Row],[Cuenta]],1))</f>
        <v>1</v>
      </c>
      <c r="M197" t="b">
        <f>+ISNUMBER(SEARCH('F-COMPRA'!$G$25,Tabla11[[#This Row],[Cuenta]],1))</f>
        <v>0</v>
      </c>
      <c r="N197" t="b">
        <f>+ISNUMBER(SEARCH(#REF!,Tabla11[[#This Row],[Cuenta]],1))</f>
        <v>0</v>
      </c>
      <c r="O197" t="b">
        <f>+ISNUMBER(SEARCH(#REF!,Tabla11[[#This Row],[Cuenta]],1))</f>
        <v>0</v>
      </c>
      <c r="P197" t="b">
        <f>+ISNUMBER(SEARCH('F-COMPRA'!$F$32,Tabla11[[#This Row],[Cuenta]],1))</f>
        <v>1</v>
      </c>
      <c r="Q197" t="b">
        <f>+ISNUMBER(SEARCH('F-COMPRA'!$F$33,Tabla11[[#This Row],[Cuenta]],1))</f>
        <v>1</v>
      </c>
      <c r="R197" t="b">
        <f>+ISNUMBER(SEARCH('F-COMPRA'!$F$34,Tabla11[[#This Row],[Cuenta]],1))</f>
        <v>1</v>
      </c>
      <c r="S197" t="b">
        <f>+ISNUMBER(SEARCH('F-COMPRA'!$F$35,Tabla11[[#This Row],[Cuenta]],1))</f>
        <v>1</v>
      </c>
      <c r="T197" t="b">
        <f>+ISNUMBER(SEARCH('F-COMPRA'!$F$36,Tabla11[[#This Row],[Cuenta]],1))</f>
        <v>1</v>
      </c>
      <c r="U197" t="b">
        <f>+ISNUMBER(SEARCH('F-COMPRA'!$F$37,Tabla11[[#This Row],[Cuenta]],1))</f>
        <v>1</v>
      </c>
      <c r="V197" t="b">
        <f>+ISNUMBER(SEARCH(#REF!,Tabla11[[#This Row],[Cuenta]],1))</f>
        <v>0</v>
      </c>
      <c r="W197" t="b">
        <f>+ISNUMBER(SEARCH('F-COMPRA'!#REF!,Tabla11[[#This Row],[Cuenta]],1))</f>
        <v>0</v>
      </c>
      <c r="X197" t="b">
        <f>+ISNUMBER(SEARCH('F-COMPRA'!#REF!,Tabla11[[#This Row],[Cuenta]],1))</f>
        <v>0</v>
      </c>
      <c r="Y197" t="b">
        <f>+ISNUMBER(SEARCH('F-COMPRA'!#REF!,Tabla11[[#This Row],[Cuenta]],1))</f>
        <v>0</v>
      </c>
      <c r="Z197" t="b">
        <f>+ISNUMBER(SEARCH('F-COMPRA'!#REF!,Tabla11[[#This Row],[Cuenta]],1))</f>
        <v>0</v>
      </c>
      <c r="AA197" t="b">
        <f>+ISNUMBER(SEARCH('F-COMPRA'!#REF!,Tabla11[[#This Row],[Cuenta]],1))</f>
        <v>0</v>
      </c>
      <c r="AB197" t="b">
        <f>+ISNUMBER(SEARCH('F-COMPRA'!#REF!,Tabla11[[#This Row],[Cuenta]],1))</f>
        <v>0</v>
      </c>
      <c r="AC197" t="b">
        <f>+ISNUMBER(SEARCH('F-COMPRA'!#REF!,Tabla11[[#This Row],[Cuenta]],1))</f>
        <v>0</v>
      </c>
      <c r="AD197" t="b">
        <f>+ISNUMBER(SEARCH('F-COMPRA'!#REF!,Tabla11[[#This Row],[Cuenta]],1))</f>
        <v>0</v>
      </c>
      <c r="AE197" t="b">
        <f>+ISNUMBER(SEARCH('F-COMPRA'!#REF!,Tabla11[[#This Row],[Cuenta]],1))</f>
        <v>0</v>
      </c>
      <c r="AF197" t="b">
        <f>+ISNUMBER(SEARCH('F-VTA'!$G$23,Tabla11[[#This Row],[Cuenta]],1))</f>
        <v>0</v>
      </c>
      <c r="AG197" t="b">
        <f>+ISNUMBER(SEARCH('F-VTA'!$G$24,Tabla11[[#This Row],[Cuenta]],1))</f>
        <v>0</v>
      </c>
      <c r="AH197" t="b">
        <f>+ISNUMBER(SEARCH('F-VTA'!$G$25,Tabla11[[#This Row],[Cuenta]],1))</f>
        <v>0</v>
      </c>
      <c r="AI197" t="b">
        <f>+ISNUMBER(SEARCH('F-VTA'!$F$28,Tabla11[[#This Row],[Cuenta]],1))</f>
        <v>1</v>
      </c>
      <c r="AJ197" t="b">
        <f>+ISNUMBER(SEARCH('F-VTA'!$F$29,Tabla11[[#This Row],[Cuenta]],1))</f>
        <v>1</v>
      </c>
      <c r="AK197" t="b">
        <f>+ISNUMBER(SEARCH('F-VTA'!$F$30,Tabla11[[#This Row],[Cuenta]],1))</f>
        <v>1</v>
      </c>
      <c r="AL197" t="b">
        <f>+ISNUMBER(SEARCH('F-VTA'!$F$31,Tabla11[[#This Row],[Cuenta]],1))</f>
        <v>1</v>
      </c>
      <c r="AM197" t="b">
        <f>+ISNUMBER(SEARCH('F-VTA'!$F$32,Tabla11[[#This Row],[Cuenta]],1))</f>
        <v>1</v>
      </c>
      <c r="AN197" t="b">
        <f>+ISNUMBER(SEARCH('F-VTA'!$F$33,Tabla11[[#This Row],[Cuenta]],1))</f>
        <v>1</v>
      </c>
      <c r="AO197" t="b">
        <f>+ISNUMBER(SEARCH('F-VTA'!$F$34,Tabla11[[#This Row],[Cuenta]],1))</f>
        <v>1</v>
      </c>
      <c r="AP197" t="b">
        <f>+ISNUMBER(SEARCH('F-VTA'!$F$35,Tabla11[[#This Row],[Cuenta]],1))</f>
        <v>1</v>
      </c>
      <c r="AQ197" t="b">
        <f>+ISNUMBER(SEARCH('F-VTA'!$F$36,Tabla11[[#This Row],[Cuenta]],1))</f>
        <v>1</v>
      </c>
      <c r="AR197" t="b">
        <f>+ISNUMBER(SEARCH(#REF!,Tabla11[[#This Row],[Cuenta]],1))</f>
        <v>0</v>
      </c>
      <c r="AS197" t="b">
        <f>+ISNUMBER(SEARCH(#REF!,Tabla11[[#This Row],[Cuenta]],1))</f>
        <v>0</v>
      </c>
      <c r="AT197" t="b">
        <f>+ISNUMBER(SEARCH(#REF!,Tabla11[[#This Row],[Cuenta]],1))</f>
        <v>0</v>
      </c>
      <c r="AU197" t="b">
        <f>+ISNUMBER(SEARCH('Conc. Ban.1'!$I$9,Tabla11[[#This Row],[Cuenta]],1))</f>
        <v>0</v>
      </c>
      <c r="AV197" t="b">
        <f>+ISNUMBER(SEARCH(CompConta!$F$21,Tabla11[[#This Row],[Cuenta]],1))</f>
        <v>1</v>
      </c>
      <c r="AW197" t="b">
        <f>+ISNUMBER(SEARCH(CompConta!$F$22,Tabla11[[#This Row],[Cuenta]],1))</f>
        <v>1</v>
      </c>
      <c r="AX197" t="b">
        <f>+ISNUMBER(SEARCH(CompConta!$F$23,Tabla11[[#This Row],[Cuenta]],1))</f>
        <v>1</v>
      </c>
      <c r="AY197" t="b">
        <f>+ISNUMBER(SEARCH(CompConta!$F$24,Tabla11[[#This Row],[Cuenta]],1))</f>
        <v>1</v>
      </c>
      <c r="AZ197" t="b">
        <f>+ISNUMBER(SEARCH(CompConta!$F$25,Tabla11[[#This Row],[Cuenta]],1))</f>
        <v>1</v>
      </c>
      <c r="BA197" t="b">
        <f>+ISNUMBER(SEARCH(CompConta!$F$26,Tabla11[[#This Row],[Cuenta]],1))</f>
        <v>1</v>
      </c>
      <c r="BB197" t="b">
        <f>+ISNUMBER(SEARCH(CompConta!$F$27,Tabla11[[#This Row],[Cuenta]],1))</f>
        <v>1</v>
      </c>
      <c r="BC197" t="b">
        <f>+ISNUMBER(SEARCH(CompConta!$F$28,Tabla11[[#This Row],[Cuenta]],1))</f>
        <v>1</v>
      </c>
      <c r="BD197" t="b">
        <f>+ISNUMBER(SEARCH(CompConta!$F$29,Tabla11[[#This Row],[Cuenta]],1))</f>
        <v>1</v>
      </c>
      <c r="BE197" t="b">
        <f>+ISNUMBER(SEARCH(CompConta!$F$30,Tabla11[[#This Row],[Cuenta]],1))</f>
        <v>1</v>
      </c>
      <c r="BF197" t="b">
        <f>+ISNUMBER(SEARCH('PAGO Compras'!$E$11,Tabla11[[#This Row],[Cuenta]],1))</f>
        <v>1</v>
      </c>
      <c r="BG197" t="b">
        <f>+ISNUMBER(SEARCH(#REF!,Tabla11[[#This Row],[Cuenta]],1))</f>
        <v>0</v>
      </c>
      <c r="BH197" t="b">
        <f>+ISNUMBER(SEARCH(#REF!,Tabla11[[#This Row],[Cuenta]],1))</f>
        <v>0</v>
      </c>
      <c r="BI197" t="b">
        <f>+ISNUMBER(SEARCH(#REF!,Tabla11[[#This Row],[Cuenta]],1))</f>
        <v>0</v>
      </c>
      <c r="BJ197" t="b">
        <f>+ISNUMBER(SEARCH(#REF!,Tabla11[[#This Row],[Cuenta]],1))</f>
        <v>0</v>
      </c>
      <c r="BS197" t="str">
        <v>155665 Instalaciones y equipo de bombeo</v>
      </c>
      <c r="BT197" t="str">
        <v>155665 Instalaciones y equipo de bombeo</v>
      </c>
      <c r="BU197" t="str">
        <v>155665 Instalaciones y equipo de bombeo</v>
      </c>
      <c r="BV197" t="str">
        <v>155665 Instalaciones y equipo de bombeo</v>
      </c>
      <c r="BZ197" t="str">
        <v>155665 Instalaciones y equipo de bombeo</v>
      </c>
      <c r="CA197" t="str">
        <v>155665 Instalaciones y equipo de bombeo</v>
      </c>
      <c r="CB197" t="str">
        <v>155665 Instalaciones y equipo de bombeo</v>
      </c>
      <c r="CC197" t="str">
        <v>155665 Instalaciones y equipo de bombeo</v>
      </c>
      <c r="CD197" t="str">
        <v>155665 Instalaciones y equipo de bombeo</v>
      </c>
      <c r="CE197" t="str">
        <v>155665 Instalaciones y equipo de bombeo</v>
      </c>
      <c r="CS197" s="141" t="str">
        <v>155665 Instalaciones y equipo de bombeo</v>
      </c>
      <c r="CT197" s="141" t="str">
        <v>155665 Instalaciones y equipo de bombeo</v>
      </c>
      <c r="CU197" s="141" t="str">
        <v>155665 Instalaciones y equipo de bombeo</v>
      </c>
      <c r="CV197" s="141" t="str">
        <v>155665 Instalaciones y equipo de bombeo</v>
      </c>
      <c r="CW197" s="141" t="str">
        <v>155665 Instalaciones y equipo de bombeo</v>
      </c>
      <c r="CX197" s="141" t="str">
        <v>155665 Instalaciones y equipo de bombeo</v>
      </c>
      <c r="CY197" s="141" t="str">
        <v>155665 Instalaciones y equipo de bombeo</v>
      </c>
      <c r="CZ197" s="141" t="str">
        <v>155665 Instalaciones y equipo de bombeo</v>
      </c>
      <c r="DA197" s="141" t="str">
        <v>155665 Instalaciones y equipo de bombeo</v>
      </c>
      <c r="DF197" t="str">
        <v>155665 Instalaciones y equipo de bombeo</v>
      </c>
      <c r="DG197" t="str">
        <v>155665 Instalaciones y equipo de bombeo</v>
      </c>
      <c r="DH197" t="str">
        <v>155665 Instalaciones y equipo de bombeo</v>
      </c>
      <c r="DI197" t="str">
        <v>155665 Instalaciones y equipo de bombeo</v>
      </c>
      <c r="DJ197" t="str">
        <v>155665 Instalaciones y equipo de bombeo</v>
      </c>
      <c r="DK197" t="str">
        <v>155665 Instalaciones y equipo de bombeo</v>
      </c>
      <c r="DL197" t="str">
        <v>155665 Instalaciones y equipo de bombeo</v>
      </c>
      <c r="DM197" t="str">
        <v>155665 Instalaciones y equipo de bombeo</v>
      </c>
      <c r="DN197" t="str">
        <v>155665 Instalaciones y equipo de bombeo</v>
      </c>
      <c r="DO197" t="str">
        <v>155665 Instalaciones y equipo de bombeo</v>
      </c>
      <c r="DP197" t="str">
        <v>155665 Instalaciones y equipo de bombeo</v>
      </c>
    </row>
    <row r="198" spans="4:120" ht="12.75">
      <c r="D198" s="7">
        <v>155670</v>
      </c>
      <c r="E198" s="6" t="s">
        <v>202</v>
      </c>
      <c r="F198" s="5">
        <v>4</v>
      </c>
      <c r="G198" s="34" t="s">
        <v>822</v>
      </c>
      <c r="H198" s="8" t="s">
        <v>32</v>
      </c>
      <c r="I198" t="b">
        <f>+ISNUMBER(SEARCH('F-COMPRA'!$F$28,Tabla11[[#This Row],[Cuenta]],1))</f>
        <v>1</v>
      </c>
      <c r="J198" t="b">
        <f>+ISNUMBER(SEARCH('F-COMPRA'!$F$29,Tabla11[[#This Row],[Cuenta]],1))</f>
        <v>1</v>
      </c>
      <c r="K198" t="b">
        <f>+ISNUMBER(SEARCH('F-COMPRA'!$F$30,Tabla11[[#This Row],[Cuenta]],1))</f>
        <v>1</v>
      </c>
      <c r="L198" t="b">
        <f>+ISNUMBER(SEARCH('F-COMPRA'!$F$31,Tabla11[[#This Row],[Cuenta]],1))</f>
        <v>1</v>
      </c>
      <c r="M198" t="b">
        <f>+ISNUMBER(SEARCH('F-COMPRA'!$G$25,Tabla11[[#This Row],[Cuenta]],1))</f>
        <v>0</v>
      </c>
      <c r="N198" t="b">
        <f>+ISNUMBER(SEARCH(#REF!,Tabla11[[#This Row],[Cuenta]],1))</f>
        <v>0</v>
      </c>
      <c r="O198" t="b">
        <f>+ISNUMBER(SEARCH(#REF!,Tabla11[[#This Row],[Cuenta]],1))</f>
        <v>0</v>
      </c>
      <c r="P198" t="b">
        <f>+ISNUMBER(SEARCH('F-COMPRA'!$F$32,Tabla11[[#This Row],[Cuenta]],1))</f>
        <v>1</v>
      </c>
      <c r="Q198" t="b">
        <f>+ISNUMBER(SEARCH('F-COMPRA'!$F$33,Tabla11[[#This Row],[Cuenta]],1))</f>
        <v>1</v>
      </c>
      <c r="R198" t="b">
        <f>+ISNUMBER(SEARCH('F-COMPRA'!$F$34,Tabla11[[#This Row],[Cuenta]],1))</f>
        <v>1</v>
      </c>
      <c r="S198" t="b">
        <f>+ISNUMBER(SEARCH('F-COMPRA'!$F$35,Tabla11[[#This Row],[Cuenta]],1))</f>
        <v>1</v>
      </c>
      <c r="T198" t="b">
        <f>+ISNUMBER(SEARCH('F-COMPRA'!$F$36,Tabla11[[#This Row],[Cuenta]],1))</f>
        <v>1</v>
      </c>
      <c r="U198" t="b">
        <f>+ISNUMBER(SEARCH('F-COMPRA'!$F$37,Tabla11[[#This Row],[Cuenta]],1))</f>
        <v>1</v>
      </c>
      <c r="V198" t="b">
        <f>+ISNUMBER(SEARCH(#REF!,Tabla11[[#This Row],[Cuenta]],1))</f>
        <v>0</v>
      </c>
      <c r="W198" t="b">
        <f>+ISNUMBER(SEARCH('F-COMPRA'!#REF!,Tabla11[[#This Row],[Cuenta]],1))</f>
        <v>0</v>
      </c>
      <c r="X198" t="b">
        <f>+ISNUMBER(SEARCH('F-COMPRA'!#REF!,Tabla11[[#This Row],[Cuenta]],1))</f>
        <v>0</v>
      </c>
      <c r="Y198" t="b">
        <f>+ISNUMBER(SEARCH('F-COMPRA'!#REF!,Tabla11[[#This Row],[Cuenta]],1))</f>
        <v>0</v>
      </c>
      <c r="Z198" t="b">
        <f>+ISNUMBER(SEARCH('F-COMPRA'!#REF!,Tabla11[[#This Row],[Cuenta]],1))</f>
        <v>0</v>
      </c>
      <c r="AA198" t="b">
        <f>+ISNUMBER(SEARCH('F-COMPRA'!#REF!,Tabla11[[#This Row],[Cuenta]],1))</f>
        <v>0</v>
      </c>
      <c r="AB198" t="b">
        <f>+ISNUMBER(SEARCH('F-COMPRA'!#REF!,Tabla11[[#This Row],[Cuenta]],1))</f>
        <v>0</v>
      </c>
      <c r="AC198" t="b">
        <f>+ISNUMBER(SEARCH('F-COMPRA'!#REF!,Tabla11[[#This Row],[Cuenta]],1))</f>
        <v>0</v>
      </c>
      <c r="AD198" t="b">
        <f>+ISNUMBER(SEARCH('F-COMPRA'!#REF!,Tabla11[[#This Row],[Cuenta]],1))</f>
        <v>0</v>
      </c>
      <c r="AE198" t="b">
        <f>+ISNUMBER(SEARCH('F-COMPRA'!#REF!,Tabla11[[#This Row],[Cuenta]],1))</f>
        <v>0</v>
      </c>
      <c r="AF198" t="b">
        <f>+ISNUMBER(SEARCH('F-VTA'!$G$23,Tabla11[[#This Row],[Cuenta]],1))</f>
        <v>0</v>
      </c>
      <c r="AG198" t="b">
        <f>+ISNUMBER(SEARCH('F-VTA'!$G$24,Tabla11[[#This Row],[Cuenta]],1))</f>
        <v>0</v>
      </c>
      <c r="AH198" t="b">
        <f>+ISNUMBER(SEARCH('F-VTA'!$G$25,Tabla11[[#This Row],[Cuenta]],1))</f>
        <v>0</v>
      </c>
      <c r="AI198" t="b">
        <f>+ISNUMBER(SEARCH('F-VTA'!$F$28,Tabla11[[#This Row],[Cuenta]],1))</f>
        <v>1</v>
      </c>
      <c r="AJ198" t="b">
        <f>+ISNUMBER(SEARCH('F-VTA'!$F$29,Tabla11[[#This Row],[Cuenta]],1))</f>
        <v>1</v>
      </c>
      <c r="AK198" t="b">
        <f>+ISNUMBER(SEARCH('F-VTA'!$F$30,Tabla11[[#This Row],[Cuenta]],1))</f>
        <v>1</v>
      </c>
      <c r="AL198" t="b">
        <f>+ISNUMBER(SEARCH('F-VTA'!$F$31,Tabla11[[#This Row],[Cuenta]],1))</f>
        <v>1</v>
      </c>
      <c r="AM198" t="b">
        <f>+ISNUMBER(SEARCH('F-VTA'!$F$32,Tabla11[[#This Row],[Cuenta]],1))</f>
        <v>1</v>
      </c>
      <c r="AN198" t="b">
        <f>+ISNUMBER(SEARCH('F-VTA'!$F$33,Tabla11[[#This Row],[Cuenta]],1))</f>
        <v>1</v>
      </c>
      <c r="AO198" t="b">
        <f>+ISNUMBER(SEARCH('F-VTA'!$F$34,Tabla11[[#This Row],[Cuenta]],1))</f>
        <v>1</v>
      </c>
      <c r="AP198" t="b">
        <f>+ISNUMBER(SEARCH('F-VTA'!$F$35,Tabla11[[#This Row],[Cuenta]],1))</f>
        <v>1</v>
      </c>
      <c r="AQ198" t="b">
        <f>+ISNUMBER(SEARCH('F-VTA'!$F$36,Tabla11[[#This Row],[Cuenta]],1))</f>
        <v>1</v>
      </c>
      <c r="AR198" t="b">
        <f>+ISNUMBER(SEARCH(#REF!,Tabla11[[#This Row],[Cuenta]],1))</f>
        <v>0</v>
      </c>
      <c r="AS198" t="b">
        <f>+ISNUMBER(SEARCH(#REF!,Tabla11[[#This Row],[Cuenta]],1))</f>
        <v>0</v>
      </c>
      <c r="AT198" t="b">
        <f>+ISNUMBER(SEARCH(#REF!,Tabla11[[#This Row],[Cuenta]],1))</f>
        <v>0</v>
      </c>
      <c r="AU198" t="b">
        <f>+ISNUMBER(SEARCH('Conc. Ban.1'!$I$9,Tabla11[[#This Row],[Cuenta]],1))</f>
        <v>0</v>
      </c>
      <c r="AV198" t="b">
        <f>+ISNUMBER(SEARCH(CompConta!$F$21,Tabla11[[#This Row],[Cuenta]],1))</f>
        <v>1</v>
      </c>
      <c r="AW198" t="b">
        <f>+ISNUMBER(SEARCH(CompConta!$F$22,Tabla11[[#This Row],[Cuenta]],1))</f>
        <v>1</v>
      </c>
      <c r="AX198" t="b">
        <f>+ISNUMBER(SEARCH(CompConta!$F$23,Tabla11[[#This Row],[Cuenta]],1))</f>
        <v>1</v>
      </c>
      <c r="AY198" t="b">
        <f>+ISNUMBER(SEARCH(CompConta!$F$24,Tabla11[[#This Row],[Cuenta]],1))</f>
        <v>1</v>
      </c>
      <c r="AZ198" t="b">
        <f>+ISNUMBER(SEARCH(CompConta!$F$25,Tabla11[[#This Row],[Cuenta]],1))</f>
        <v>1</v>
      </c>
      <c r="BA198" t="b">
        <f>+ISNUMBER(SEARCH(CompConta!$F$26,Tabla11[[#This Row],[Cuenta]],1))</f>
        <v>1</v>
      </c>
      <c r="BB198" t="b">
        <f>+ISNUMBER(SEARCH(CompConta!$F$27,Tabla11[[#This Row],[Cuenta]],1))</f>
        <v>1</v>
      </c>
      <c r="BC198" t="b">
        <f>+ISNUMBER(SEARCH(CompConta!$F$28,Tabla11[[#This Row],[Cuenta]],1))</f>
        <v>1</v>
      </c>
      <c r="BD198" t="b">
        <f>+ISNUMBER(SEARCH(CompConta!$F$29,Tabla11[[#This Row],[Cuenta]],1))</f>
        <v>1</v>
      </c>
      <c r="BE198" t="b">
        <f>+ISNUMBER(SEARCH(CompConta!$F$30,Tabla11[[#This Row],[Cuenta]],1))</f>
        <v>1</v>
      </c>
      <c r="BF198" t="b">
        <f>+ISNUMBER(SEARCH('PAGO Compras'!$E$11,Tabla11[[#This Row],[Cuenta]],1))</f>
        <v>1</v>
      </c>
      <c r="BG198" t="b">
        <f>+ISNUMBER(SEARCH(#REF!,Tabla11[[#This Row],[Cuenta]],1))</f>
        <v>0</v>
      </c>
      <c r="BH198" t="b">
        <f>+ISNUMBER(SEARCH(#REF!,Tabla11[[#This Row],[Cuenta]],1))</f>
        <v>0</v>
      </c>
      <c r="BI198" t="b">
        <f>+ISNUMBER(SEARCH(#REF!,Tabla11[[#This Row],[Cuenta]],1))</f>
        <v>0</v>
      </c>
      <c r="BJ198" t="b">
        <f>+ISNUMBER(SEARCH(#REF!,Tabla11[[#This Row],[Cuenta]],1))</f>
        <v>0</v>
      </c>
      <c r="BS198" t="str">
        <v>155670 Redes de distribución de vapor</v>
      </c>
      <c r="BT198" t="str">
        <v>155670 Redes de distribución de vapor</v>
      </c>
      <c r="BU198" t="str">
        <v>155670 Redes de distribución de vapor</v>
      </c>
      <c r="BV198" t="str">
        <v>155670 Redes de distribución de vapor</v>
      </c>
      <c r="BZ198" t="str">
        <v>155670 Redes de distribución de vapor</v>
      </c>
      <c r="CA198" t="str">
        <v>155670 Redes de distribución de vapor</v>
      </c>
      <c r="CB198" t="str">
        <v>155670 Redes de distribución de vapor</v>
      </c>
      <c r="CC198" t="str">
        <v>155670 Redes de distribución de vapor</v>
      </c>
      <c r="CD198" t="str">
        <v>155670 Redes de distribución de vapor</v>
      </c>
      <c r="CE198" t="str">
        <v>155670 Redes de distribución de vapor</v>
      </c>
      <c r="CS198" s="141" t="str">
        <v>155670 Redes de distribución de vapor</v>
      </c>
      <c r="CT198" s="141" t="str">
        <v>155670 Redes de distribución de vapor</v>
      </c>
      <c r="CU198" s="141" t="str">
        <v>155670 Redes de distribución de vapor</v>
      </c>
      <c r="CV198" s="141" t="str">
        <v>155670 Redes de distribución de vapor</v>
      </c>
      <c r="CW198" s="141" t="str">
        <v>155670 Redes de distribución de vapor</v>
      </c>
      <c r="CX198" s="141" t="str">
        <v>155670 Redes de distribución de vapor</v>
      </c>
      <c r="CY198" s="141" t="str">
        <v>155670 Redes de distribución de vapor</v>
      </c>
      <c r="CZ198" s="141" t="str">
        <v>155670 Redes de distribución de vapor</v>
      </c>
      <c r="DA198" s="141" t="str">
        <v>155670 Redes de distribución de vapor</v>
      </c>
      <c r="DF198" t="str">
        <v>155670 Redes de distribución de vapor</v>
      </c>
      <c r="DG198" t="str">
        <v>155670 Redes de distribución de vapor</v>
      </c>
      <c r="DH198" t="str">
        <v>155670 Redes de distribución de vapor</v>
      </c>
      <c r="DI198" t="str">
        <v>155670 Redes de distribución de vapor</v>
      </c>
      <c r="DJ198" t="str">
        <v>155670 Redes de distribución de vapor</v>
      </c>
      <c r="DK198" t="str">
        <v>155670 Redes de distribución de vapor</v>
      </c>
      <c r="DL198" t="str">
        <v>155670 Redes de distribución de vapor</v>
      </c>
      <c r="DM198" t="str">
        <v>155670 Redes de distribución de vapor</v>
      </c>
      <c r="DN198" t="str">
        <v>155670 Redes de distribución de vapor</v>
      </c>
      <c r="DO198" t="str">
        <v>155670 Redes de distribución de vapor</v>
      </c>
      <c r="DP198" t="str">
        <v>155670 Redes de distribución de vapor</v>
      </c>
    </row>
    <row r="199" spans="4:120" ht="12.75">
      <c r="D199" s="7">
        <v>155675</v>
      </c>
      <c r="E199" s="6" t="s">
        <v>203</v>
      </c>
      <c r="F199" s="5">
        <v>4</v>
      </c>
      <c r="G199" s="34" t="s">
        <v>822</v>
      </c>
      <c r="H199" s="8" t="s">
        <v>32</v>
      </c>
      <c r="I199" t="b">
        <f>+ISNUMBER(SEARCH('F-COMPRA'!$F$28,Tabla11[[#This Row],[Cuenta]],1))</f>
        <v>1</v>
      </c>
      <c r="J199" t="b">
        <f>+ISNUMBER(SEARCH('F-COMPRA'!$F$29,Tabla11[[#This Row],[Cuenta]],1))</f>
        <v>1</v>
      </c>
      <c r="K199" t="b">
        <f>+ISNUMBER(SEARCH('F-COMPRA'!$F$30,Tabla11[[#This Row],[Cuenta]],1))</f>
        <v>1</v>
      </c>
      <c r="L199" t="b">
        <f>+ISNUMBER(SEARCH('F-COMPRA'!$F$31,Tabla11[[#This Row],[Cuenta]],1))</f>
        <v>1</v>
      </c>
      <c r="M199" t="b">
        <f>+ISNUMBER(SEARCH('F-COMPRA'!$G$25,Tabla11[[#This Row],[Cuenta]],1))</f>
        <v>0</v>
      </c>
      <c r="N199" t="b">
        <f>+ISNUMBER(SEARCH(#REF!,Tabla11[[#This Row],[Cuenta]],1))</f>
        <v>0</v>
      </c>
      <c r="O199" t="b">
        <f>+ISNUMBER(SEARCH(#REF!,Tabla11[[#This Row],[Cuenta]],1))</f>
        <v>0</v>
      </c>
      <c r="P199" t="b">
        <f>+ISNUMBER(SEARCH('F-COMPRA'!$F$32,Tabla11[[#This Row],[Cuenta]],1))</f>
        <v>1</v>
      </c>
      <c r="Q199" t="b">
        <f>+ISNUMBER(SEARCH('F-COMPRA'!$F$33,Tabla11[[#This Row],[Cuenta]],1))</f>
        <v>1</v>
      </c>
      <c r="R199" t="b">
        <f>+ISNUMBER(SEARCH('F-COMPRA'!$F$34,Tabla11[[#This Row],[Cuenta]],1))</f>
        <v>1</v>
      </c>
      <c r="S199" t="b">
        <f>+ISNUMBER(SEARCH('F-COMPRA'!$F$35,Tabla11[[#This Row],[Cuenta]],1))</f>
        <v>1</v>
      </c>
      <c r="T199" t="b">
        <f>+ISNUMBER(SEARCH('F-COMPRA'!$F$36,Tabla11[[#This Row],[Cuenta]],1))</f>
        <v>1</v>
      </c>
      <c r="U199" t="b">
        <f>+ISNUMBER(SEARCH('F-COMPRA'!$F$37,Tabla11[[#This Row],[Cuenta]],1))</f>
        <v>1</v>
      </c>
      <c r="V199" t="b">
        <f>+ISNUMBER(SEARCH(#REF!,Tabla11[[#This Row],[Cuenta]],1))</f>
        <v>0</v>
      </c>
      <c r="W199" t="b">
        <f>+ISNUMBER(SEARCH('F-COMPRA'!#REF!,Tabla11[[#This Row],[Cuenta]],1))</f>
        <v>0</v>
      </c>
      <c r="X199" t="b">
        <f>+ISNUMBER(SEARCH('F-COMPRA'!#REF!,Tabla11[[#This Row],[Cuenta]],1))</f>
        <v>0</v>
      </c>
      <c r="Y199" t="b">
        <f>+ISNUMBER(SEARCH('F-COMPRA'!#REF!,Tabla11[[#This Row],[Cuenta]],1))</f>
        <v>0</v>
      </c>
      <c r="Z199" t="b">
        <f>+ISNUMBER(SEARCH('F-COMPRA'!#REF!,Tabla11[[#This Row],[Cuenta]],1))</f>
        <v>0</v>
      </c>
      <c r="AA199" t="b">
        <f>+ISNUMBER(SEARCH('F-COMPRA'!#REF!,Tabla11[[#This Row],[Cuenta]],1))</f>
        <v>0</v>
      </c>
      <c r="AB199" t="b">
        <f>+ISNUMBER(SEARCH('F-COMPRA'!#REF!,Tabla11[[#This Row],[Cuenta]],1))</f>
        <v>0</v>
      </c>
      <c r="AC199" t="b">
        <f>+ISNUMBER(SEARCH('F-COMPRA'!#REF!,Tabla11[[#This Row],[Cuenta]],1))</f>
        <v>0</v>
      </c>
      <c r="AD199" t="b">
        <f>+ISNUMBER(SEARCH('F-COMPRA'!#REF!,Tabla11[[#This Row],[Cuenta]],1))</f>
        <v>0</v>
      </c>
      <c r="AE199" t="b">
        <f>+ISNUMBER(SEARCH('F-COMPRA'!#REF!,Tabla11[[#This Row],[Cuenta]],1))</f>
        <v>0</v>
      </c>
      <c r="AF199" t="b">
        <f>+ISNUMBER(SEARCH('F-VTA'!$G$23,Tabla11[[#This Row],[Cuenta]],1))</f>
        <v>0</v>
      </c>
      <c r="AG199" t="b">
        <f>+ISNUMBER(SEARCH('F-VTA'!$G$24,Tabla11[[#This Row],[Cuenta]],1))</f>
        <v>0</v>
      </c>
      <c r="AH199" t="b">
        <f>+ISNUMBER(SEARCH('F-VTA'!$G$25,Tabla11[[#This Row],[Cuenta]],1))</f>
        <v>0</v>
      </c>
      <c r="AI199" t="b">
        <f>+ISNUMBER(SEARCH('F-VTA'!$F$28,Tabla11[[#This Row],[Cuenta]],1))</f>
        <v>1</v>
      </c>
      <c r="AJ199" t="b">
        <f>+ISNUMBER(SEARCH('F-VTA'!$F$29,Tabla11[[#This Row],[Cuenta]],1))</f>
        <v>1</v>
      </c>
      <c r="AK199" t="b">
        <f>+ISNUMBER(SEARCH('F-VTA'!$F$30,Tabla11[[#This Row],[Cuenta]],1))</f>
        <v>1</v>
      </c>
      <c r="AL199" t="b">
        <f>+ISNUMBER(SEARCH('F-VTA'!$F$31,Tabla11[[#This Row],[Cuenta]],1))</f>
        <v>1</v>
      </c>
      <c r="AM199" t="b">
        <f>+ISNUMBER(SEARCH('F-VTA'!$F$32,Tabla11[[#This Row],[Cuenta]],1))</f>
        <v>1</v>
      </c>
      <c r="AN199" t="b">
        <f>+ISNUMBER(SEARCH('F-VTA'!$F$33,Tabla11[[#This Row],[Cuenta]],1))</f>
        <v>1</v>
      </c>
      <c r="AO199" t="b">
        <f>+ISNUMBER(SEARCH('F-VTA'!$F$34,Tabla11[[#This Row],[Cuenta]],1))</f>
        <v>1</v>
      </c>
      <c r="AP199" t="b">
        <f>+ISNUMBER(SEARCH('F-VTA'!$F$35,Tabla11[[#This Row],[Cuenta]],1))</f>
        <v>1</v>
      </c>
      <c r="AQ199" t="b">
        <f>+ISNUMBER(SEARCH('F-VTA'!$F$36,Tabla11[[#This Row],[Cuenta]],1))</f>
        <v>1</v>
      </c>
      <c r="AR199" t="b">
        <f>+ISNUMBER(SEARCH(#REF!,Tabla11[[#This Row],[Cuenta]],1))</f>
        <v>0</v>
      </c>
      <c r="AS199" t="b">
        <f>+ISNUMBER(SEARCH(#REF!,Tabla11[[#This Row],[Cuenta]],1))</f>
        <v>0</v>
      </c>
      <c r="AT199" t="b">
        <f>+ISNUMBER(SEARCH(#REF!,Tabla11[[#This Row],[Cuenta]],1))</f>
        <v>0</v>
      </c>
      <c r="AU199" t="b">
        <f>+ISNUMBER(SEARCH('Conc. Ban.1'!$I$9,Tabla11[[#This Row],[Cuenta]],1))</f>
        <v>0</v>
      </c>
      <c r="AV199" t="b">
        <f>+ISNUMBER(SEARCH(CompConta!$F$21,Tabla11[[#This Row],[Cuenta]],1))</f>
        <v>1</v>
      </c>
      <c r="AW199" t="b">
        <f>+ISNUMBER(SEARCH(CompConta!$F$22,Tabla11[[#This Row],[Cuenta]],1))</f>
        <v>1</v>
      </c>
      <c r="AX199" t="b">
        <f>+ISNUMBER(SEARCH(CompConta!$F$23,Tabla11[[#This Row],[Cuenta]],1))</f>
        <v>1</v>
      </c>
      <c r="AY199" t="b">
        <f>+ISNUMBER(SEARCH(CompConta!$F$24,Tabla11[[#This Row],[Cuenta]],1))</f>
        <v>1</v>
      </c>
      <c r="AZ199" t="b">
        <f>+ISNUMBER(SEARCH(CompConta!$F$25,Tabla11[[#This Row],[Cuenta]],1))</f>
        <v>1</v>
      </c>
      <c r="BA199" t="b">
        <f>+ISNUMBER(SEARCH(CompConta!$F$26,Tabla11[[#This Row],[Cuenta]],1))</f>
        <v>1</v>
      </c>
      <c r="BB199" t="b">
        <f>+ISNUMBER(SEARCH(CompConta!$F$27,Tabla11[[#This Row],[Cuenta]],1))</f>
        <v>1</v>
      </c>
      <c r="BC199" t="b">
        <f>+ISNUMBER(SEARCH(CompConta!$F$28,Tabla11[[#This Row],[Cuenta]],1))</f>
        <v>1</v>
      </c>
      <c r="BD199" t="b">
        <f>+ISNUMBER(SEARCH(CompConta!$F$29,Tabla11[[#This Row],[Cuenta]],1))</f>
        <v>1</v>
      </c>
      <c r="BE199" t="b">
        <f>+ISNUMBER(SEARCH(CompConta!$F$30,Tabla11[[#This Row],[Cuenta]],1))</f>
        <v>1</v>
      </c>
      <c r="BF199" t="b">
        <f>+ISNUMBER(SEARCH('PAGO Compras'!$E$11,Tabla11[[#This Row],[Cuenta]],1))</f>
        <v>1</v>
      </c>
      <c r="BG199" t="b">
        <f>+ISNUMBER(SEARCH(#REF!,Tabla11[[#This Row],[Cuenta]],1))</f>
        <v>0</v>
      </c>
      <c r="BH199" t="b">
        <f>+ISNUMBER(SEARCH(#REF!,Tabla11[[#This Row],[Cuenta]],1))</f>
        <v>0</v>
      </c>
      <c r="BI199" t="b">
        <f>+ISNUMBER(SEARCH(#REF!,Tabla11[[#This Row],[Cuenta]],1))</f>
        <v>0</v>
      </c>
      <c r="BJ199" t="b">
        <f>+ISNUMBER(SEARCH(#REF!,Tabla11[[#This Row],[Cuenta]],1))</f>
        <v>0</v>
      </c>
      <c r="BS199" t="str">
        <v>155675 Redes de aire</v>
      </c>
      <c r="BT199" t="str">
        <v>155675 Redes de aire</v>
      </c>
      <c r="BU199" t="str">
        <v>155675 Redes de aire</v>
      </c>
      <c r="BV199" t="str">
        <v>155675 Redes de aire</v>
      </c>
      <c r="BZ199" t="str">
        <v>155675 Redes de aire</v>
      </c>
      <c r="CA199" t="str">
        <v>155675 Redes de aire</v>
      </c>
      <c r="CB199" t="str">
        <v>155675 Redes de aire</v>
      </c>
      <c r="CC199" t="str">
        <v>155675 Redes de aire</v>
      </c>
      <c r="CD199" t="str">
        <v>155675 Redes de aire</v>
      </c>
      <c r="CE199" t="str">
        <v>155675 Redes de aire</v>
      </c>
      <c r="CS199" s="141" t="str">
        <v>155675 Redes de aire</v>
      </c>
      <c r="CT199" s="141" t="str">
        <v>155675 Redes de aire</v>
      </c>
      <c r="CU199" s="141" t="str">
        <v>155675 Redes de aire</v>
      </c>
      <c r="CV199" s="141" t="str">
        <v>155675 Redes de aire</v>
      </c>
      <c r="CW199" s="141" t="str">
        <v>155675 Redes de aire</v>
      </c>
      <c r="CX199" s="141" t="str">
        <v>155675 Redes de aire</v>
      </c>
      <c r="CY199" s="141" t="str">
        <v>155675 Redes de aire</v>
      </c>
      <c r="CZ199" s="141" t="str">
        <v>155675 Redes de aire</v>
      </c>
      <c r="DA199" s="141" t="str">
        <v>155675 Redes de aire</v>
      </c>
      <c r="DF199" t="str">
        <v>155675 Redes de aire</v>
      </c>
      <c r="DG199" t="str">
        <v>155675 Redes de aire</v>
      </c>
      <c r="DH199" t="str">
        <v>155675 Redes de aire</v>
      </c>
      <c r="DI199" t="str">
        <v>155675 Redes de aire</v>
      </c>
      <c r="DJ199" t="str">
        <v>155675 Redes de aire</v>
      </c>
      <c r="DK199" t="str">
        <v>155675 Redes de aire</v>
      </c>
      <c r="DL199" t="str">
        <v>155675 Redes de aire</v>
      </c>
      <c r="DM199" t="str">
        <v>155675 Redes de aire</v>
      </c>
      <c r="DN199" t="str">
        <v>155675 Redes de aire</v>
      </c>
      <c r="DO199" t="str">
        <v>155675 Redes de aire</v>
      </c>
      <c r="DP199" t="str">
        <v>155675 Redes de aire</v>
      </c>
    </row>
    <row r="200" spans="4:120" ht="12.75">
      <c r="D200" s="7">
        <v>155680</v>
      </c>
      <c r="E200" s="6" t="s">
        <v>204</v>
      </c>
      <c r="F200" s="5">
        <v>4</v>
      </c>
      <c r="G200" s="34" t="s">
        <v>822</v>
      </c>
      <c r="H200" s="8" t="s">
        <v>32</v>
      </c>
      <c r="I200" t="b">
        <f>+ISNUMBER(SEARCH('F-COMPRA'!$F$28,Tabla11[[#This Row],[Cuenta]],1))</f>
        <v>1</v>
      </c>
      <c r="J200" t="b">
        <f>+ISNUMBER(SEARCH('F-COMPRA'!$F$29,Tabla11[[#This Row],[Cuenta]],1))</f>
        <v>1</v>
      </c>
      <c r="K200" t="b">
        <f>+ISNUMBER(SEARCH('F-COMPRA'!$F$30,Tabla11[[#This Row],[Cuenta]],1))</f>
        <v>1</v>
      </c>
      <c r="L200" t="b">
        <f>+ISNUMBER(SEARCH('F-COMPRA'!$F$31,Tabla11[[#This Row],[Cuenta]],1))</f>
        <v>1</v>
      </c>
      <c r="M200" t="b">
        <f>+ISNUMBER(SEARCH('F-COMPRA'!$G$25,Tabla11[[#This Row],[Cuenta]],1))</f>
        <v>0</v>
      </c>
      <c r="N200" t="b">
        <f>+ISNUMBER(SEARCH(#REF!,Tabla11[[#This Row],[Cuenta]],1))</f>
        <v>0</v>
      </c>
      <c r="O200" t="b">
        <f>+ISNUMBER(SEARCH(#REF!,Tabla11[[#This Row],[Cuenta]],1))</f>
        <v>0</v>
      </c>
      <c r="P200" t="b">
        <f>+ISNUMBER(SEARCH('F-COMPRA'!$F$32,Tabla11[[#This Row],[Cuenta]],1))</f>
        <v>1</v>
      </c>
      <c r="Q200" t="b">
        <f>+ISNUMBER(SEARCH('F-COMPRA'!$F$33,Tabla11[[#This Row],[Cuenta]],1))</f>
        <v>1</v>
      </c>
      <c r="R200" t="b">
        <f>+ISNUMBER(SEARCH('F-COMPRA'!$F$34,Tabla11[[#This Row],[Cuenta]],1))</f>
        <v>1</v>
      </c>
      <c r="S200" t="b">
        <f>+ISNUMBER(SEARCH('F-COMPRA'!$F$35,Tabla11[[#This Row],[Cuenta]],1))</f>
        <v>1</v>
      </c>
      <c r="T200" t="b">
        <f>+ISNUMBER(SEARCH('F-COMPRA'!$F$36,Tabla11[[#This Row],[Cuenta]],1))</f>
        <v>1</v>
      </c>
      <c r="U200" t="b">
        <f>+ISNUMBER(SEARCH('F-COMPRA'!$F$37,Tabla11[[#This Row],[Cuenta]],1))</f>
        <v>1</v>
      </c>
      <c r="V200" t="b">
        <f>+ISNUMBER(SEARCH(#REF!,Tabla11[[#This Row],[Cuenta]],1))</f>
        <v>0</v>
      </c>
      <c r="W200" t="b">
        <f>+ISNUMBER(SEARCH('F-COMPRA'!#REF!,Tabla11[[#This Row],[Cuenta]],1))</f>
        <v>0</v>
      </c>
      <c r="X200" t="b">
        <f>+ISNUMBER(SEARCH('F-COMPRA'!#REF!,Tabla11[[#This Row],[Cuenta]],1))</f>
        <v>0</v>
      </c>
      <c r="Y200" t="b">
        <f>+ISNUMBER(SEARCH('F-COMPRA'!#REF!,Tabla11[[#This Row],[Cuenta]],1))</f>
        <v>0</v>
      </c>
      <c r="Z200" t="b">
        <f>+ISNUMBER(SEARCH('F-COMPRA'!#REF!,Tabla11[[#This Row],[Cuenta]],1))</f>
        <v>0</v>
      </c>
      <c r="AA200" t="b">
        <f>+ISNUMBER(SEARCH('F-COMPRA'!#REF!,Tabla11[[#This Row],[Cuenta]],1))</f>
        <v>0</v>
      </c>
      <c r="AB200" t="b">
        <f>+ISNUMBER(SEARCH('F-COMPRA'!#REF!,Tabla11[[#This Row],[Cuenta]],1))</f>
        <v>0</v>
      </c>
      <c r="AC200" t="b">
        <f>+ISNUMBER(SEARCH('F-COMPRA'!#REF!,Tabla11[[#This Row],[Cuenta]],1))</f>
        <v>0</v>
      </c>
      <c r="AD200" t="b">
        <f>+ISNUMBER(SEARCH('F-COMPRA'!#REF!,Tabla11[[#This Row],[Cuenta]],1))</f>
        <v>0</v>
      </c>
      <c r="AE200" t="b">
        <f>+ISNUMBER(SEARCH('F-COMPRA'!#REF!,Tabla11[[#This Row],[Cuenta]],1))</f>
        <v>0</v>
      </c>
      <c r="AF200" t="b">
        <f>+ISNUMBER(SEARCH('F-VTA'!$G$23,Tabla11[[#This Row],[Cuenta]],1))</f>
        <v>0</v>
      </c>
      <c r="AG200" t="b">
        <f>+ISNUMBER(SEARCH('F-VTA'!$G$24,Tabla11[[#This Row],[Cuenta]],1))</f>
        <v>0</v>
      </c>
      <c r="AH200" t="b">
        <f>+ISNUMBER(SEARCH('F-VTA'!$G$25,Tabla11[[#This Row],[Cuenta]],1))</f>
        <v>0</v>
      </c>
      <c r="AI200" t="b">
        <f>+ISNUMBER(SEARCH('F-VTA'!$F$28,Tabla11[[#This Row],[Cuenta]],1))</f>
        <v>1</v>
      </c>
      <c r="AJ200" t="b">
        <f>+ISNUMBER(SEARCH('F-VTA'!$F$29,Tabla11[[#This Row],[Cuenta]],1))</f>
        <v>1</v>
      </c>
      <c r="AK200" t="b">
        <f>+ISNUMBER(SEARCH('F-VTA'!$F$30,Tabla11[[#This Row],[Cuenta]],1))</f>
        <v>1</v>
      </c>
      <c r="AL200" t="b">
        <f>+ISNUMBER(SEARCH('F-VTA'!$F$31,Tabla11[[#This Row],[Cuenta]],1))</f>
        <v>1</v>
      </c>
      <c r="AM200" t="b">
        <f>+ISNUMBER(SEARCH('F-VTA'!$F$32,Tabla11[[#This Row],[Cuenta]],1))</f>
        <v>1</v>
      </c>
      <c r="AN200" t="b">
        <f>+ISNUMBER(SEARCH('F-VTA'!$F$33,Tabla11[[#This Row],[Cuenta]],1))</f>
        <v>1</v>
      </c>
      <c r="AO200" t="b">
        <f>+ISNUMBER(SEARCH('F-VTA'!$F$34,Tabla11[[#This Row],[Cuenta]],1))</f>
        <v>1</v>
      </c>
      <c r="AP200" t="b">
        <f>+ISNUMBER(SEARCH('F-VTA'!$F$35,Tabla11[[#This Row],[Cuenta]],1))</f>
        <v>1</v>
      </c>
      <c r="AQ200" t="b">
        <f>+ISNUMBER(SEARCH('F-VTA'!$F$36,Tabla11[[#This Row],[Cuenta]],1))</f>
        <v>1</v>
      </c>
      <c r="AR200" t="b">
        <f>+ISNUMBER(SEARCH(#REF!,Tabla11[[#This Row],[Cuenta]],1))</f>
        <v>0</v>
      </c>
      <c r="AS200" t="b">
        <f>+ISNUMBER(SEARCH(#REF!,Tabla11[[#This Row],[Cuenta]],1))</f>
        <v>0</v>
      </c>
      <c r="AT200" t="b">
        <f>+ISNUMBER(SEARCH(#REF!,Tabla11[[#This Row],[Cuenta]],1))</f>
        <v>0</v>
      </c>
      <c r="AU200" t="b">
        <f>+ISNUMBER(SEARCH('Conc. Ban.1'!$I$9,Tabla11[[#This Row],[Cuenta]],1))</f>
        <v>0</v>
      </c>
      <c r="AV200" t="b">
        <f>+ISNUMBER(SEARCH(CompConta!$F$21,Tabla11[[#This Row],[Cuenta]],1))</f>
        <v>1</v>
      </c>
      <c r="AW200" t="b">
        <f>+ISNUMBER(SEARCH(CompConta!$F$22,Tabla11[[#This Row],[Cuenta]],1))</f>
        <v>1</v>
      </c>
      <c r="AX200" t="b">
        <f>+ISNUMBER(SEARCH(CompConta!$F$23,Tabla11[[#This Row],[Cuenta]],1))</f>
        <v>1</v>
      </c>
      <c r="AY200" t="b">
        <f>+ISNUMBER(SEARCH(CompConta!$F$24,Tabla11[[#This Row],[Cuenta]],1))</f>
        <v>1</v>
      </c>
      <c r="AZ200" t="b">
        <f>+ISNUMBER(SEARCH(CompConta!$F$25,Tabla11[[#This Row],[Cuenta]],1))</f>
        <v>1</v>
      </c>
      <c r="BA200" t="b">
        <f>+ISNUMBER(SEARCH(CompConta!$F$26,Tabla11[[#This Row],[Cuenta]],1))</f>
        <v>1</v>
      </c>
      <c r="BB200" t="b">
        <f>+ISNUMBER(SEARCH(CompConta!$F$27,Tabla11[[#This Row],[Cuenta]],1))</f>
        <v>1</v>
      </c>
      <c r="BC200" t="b">
        <f>+ISNUMBER(SEARCH(CompConta!$F$28,Tabla11[[#This Row],[Cuenta]],1))</f>
        <v>1</v>
      </c>
      <c r="BD200" t="b">
        <f>+ISNUMBER(SEARCH(CompConta!$F$29,Tabla11[[#This Row],[Cuenta]],1))</f>
        <v>1</v>
      </c>
      <c r="BE200" t="b">
        <f>+ISNUMBER(SEARCH(CompConta!$F$30,Tabla11[[#This Row],[Cuenta]],1))</f>
        <v>1</v>
      </c>
      <c r="BF200" t="b">
        <f>+ISNUMBER(SEARCH('PAGO Compras'!$E$11,Tabla11[[#This Row],[Cuenta]],1))</f>
        <v>1</v>
      </c>
      <c r="BG200" t="b">
        <f>+ISNUMBER(SEARCH(#REF!,Tabla11[[#This Row],[Cuenta]],1))</f>
        <v>0</v>
      </c>
      <c r="BH200" t="b">
        <f>+ISNUMBER(SEARCH(#REF!,Tabla11[[#This Row],[Cuenta]],1))</f>
        <v>0</v>
      </c>
      <c r="BI200" t="b">
        <f>+ISNUMBER(SEARCH(#REF!,Tabla11[[#This Row],[Cuenta]],1))</f>
        <v>0</v>
      </c>
      <c r="BJ200" t="b">
        <f>+ISNUMBER(SEARCH(#REF!,Tabla11[[#This Row],[Cuenta]],1))</f>
        <v>0</v>
      </c>
      <c r="BS200" t="str">
        <v>155680 Redes alimentación de gas</v>
      </c>
      <c r="BT200" t="str">
        <v>155680 Redes alimentación de gas</v>
      </c>
      <c r="BU200" t="str">
        <v>155680 Redes alimentación de gas</v>
      </c>
      <c r="BV200" t="str">
        <v>155680 Redes alimentación de gas</v>
      </c>
      <c r="BZ200" t="str">
        <v>155680 Redes alimentación de gas</v>
      </c>
      <c r="CA200" t="str">
        <v>155680 Redes alimentación de gas</v>
      </c>
      <c r="CB200" t="str">
        <v>155680 Redes alimentación de gas</v>
      </c>
      <c r="CC200" t="str">
        <v>155680 Redes alimentación de gas</v>
      </c>
      <c r="CD200" t="str">
        <v>155680 Redes alimentación de gas</v>
      </c>
      <c r="CE200" t="str">
        <v>155680 Redes alimentación de gas</v>
      </c>
      <c r="CS200" s="141" t="str">
        <v>155680 Redes alimentación de gas</v>
      </c>
      <c r="CT200" s="141" t="str">
        <v>155680 Redes alimentación de gas</v>
      </c>
      <c r="CU200" s="141" t="str">
        <v>155680 Redes alimentación de gas</v>
      </c>
      <c r="CV200" s="141" t="str">
        <v>155680 Redes alimentación de gas</v>
      </c>
      <c r="CW200" s="141" t="str">
        <v>155680 Redes alimentación de gas</v>
      </c>
      <c r="CX200" s="141" t="str">
        <v>155680 Redes alimentación de gas</v>
      </c>
      <c r="CY200" s="141" t="str">
        <v>155680 Redes alimentación de gas</v>
      </c>
      <c r="CZ200" s="141" t="str">
        <v>155680 Redes alimentación de gas</v>
      </c>
      <c r="DA200" s="141" t="str">
        <v>155680 Redes alimentación de gas</v>
      </c>
      <c r="DF200" t="str">
        <v>155680 Redes alimentación de gas</v>
      </c>
      <c r="DG200" t="str">
        <v>155680 Redes alimentación de gas</v>
      </c>
      <c r="DH200" t="str">
        <v>155680 Redes alimentación de gas</v>
      </c>
      <c r="DI200" t="str">
        <v>155680 Redes alimentación de gas</v>
      </c>
      <c r="DJ200" t="str">
        <v>155680 Redes alimentación de gas</v>
      </c>
      <c r="DK200" t="str">
        <v>155680 Redes alimentación de gas</v>
      </c>
      <c r="DL200" t="str">
        <v>155680 Redes alimentación de gas</v>
      </c>
      <c r="DM200" t="str">
        <v>155680 Redes alimentación de gas</v>
      </c>
      <c r="DN200" t="str">
        <v>155680 Redes alimentación de gas</v>
      </c>
      <c r="DO200" t="str">
        <v>155680 Redes alimentación de gas</v>
      </c>
      <c r="DP200" t="str">
        <v>155680 Redes alimentación de gas</v>
      </c>
    </row>
    <row r="201" spans="4:120" ht="12.75">
      <c r="D201" s="7">
        <v>155682</v>
      </c>
      <c r="E201" s="6" t="s">
        <v>205</v>
      </c>
      <c r="F201" s="5">
        <v>4</v>
      </c>
      <c r="G201" s="34" t="s">
        <v>822</v>
      </c>
      <c r="H201" s="8" t="s">
        <v>32</v>
      </c>
      <c r="I201" t="b">
        <f>+ISNUMBER(SEARCH('F-COMPRA'!$F$28,Tabla11[[#This Row],[Cuenta]],1))</f>
        <v>1</v>
      </c>
      <c r="J201" t="b">
        <f>+ISNUMBER(SEARCH('F-COMPRA'!$F$29,Tabla11[[#This Row],[Cuenta]],1))</f>
        <v>1</v>
      </c>
      <c r="K201" t="b">
        <f>+ISNUMBER(SEARCH('F-COMPRA'!$F$30,Tabla11[[#This Row],[Cuenta]],1))</f>
        <v>1</v>
      </c>
      <c r="L201" t="b">
        <f>+ISNUMBER(SEARCH('F-COMPRA'!$F$31,Tabla11[[#This Row],[Cuenta]],1))</f>
        <v>1</v>
      </c>
      <c r="M201" t="b">
        <f>+ISNUMBER(SEARCH('F-COMPRA'!$G$25,Tabla11[[#This Row],[Cuenta]],1))</f>
        <v>0</v>
      </c>
      <c r="N201" t="b">
        <f>+ISNUMBER(SEARCH(#REF!,Tabla11[[#This Row],[Cuenta]],1))</f>
        <v>0</v>
      </c>
      <c r="O201" t="b">
        <f>+ISNUMBER(SEARCH(#REF!,Tabla11[[#This Row],[Cuenta]],1))</f>
        <v>0</v>
      </c>
      <c r="P201" t="b">
        <f>+ISNUMBER(SEARCH('F-COMPRA'!$F$32,Tabla11[[#This Row],[Cuenta]],1))</f>
        <v>1</v>
      </c>
      <c r="Q201" t="b">
        <f>+ISNUMBER(SEARCH('F-COMPRA'!$F$33,Tabla11[[#This Row],[Cuenta]],1))</f>
        <v>1</v>
      </c>
      <c r="R201" t="b">
        <f>+ISNUMBER(SEARCH('F-COMPRA'!$F$34,Tabla11[[#This Row],[Cuenta]],1))</f>
        <v>1</v>
      </c>
      <c r="S201" t="b">
        <f>+ISNUMBER(SEARCH('F-COMPRA'!$F$35,Tabla11[[#This Row],[Cuenta]],1))</f>
        <v>1</v>
      </c>
      <c r="T201" t="b">
        <f>+ISNUMBER(SEARCH('F-COMPRA'!$F$36,Tabla11[[#This Row],[Cuenta]],1))</f>
        <v>1</v>
      </c>
      <c r="U201" t="b">
        <f>+ISNUMBER(SEARCH('F-COMPRA'!$F$37,Tabla11[[#This Row],[Cuenta]],1))</f>
        <v>1</v>
      </c>
      <c r="V201" t="b">
        <f>+ISNUMBER(SEARCH(#REF!,Tabla11[[#This Row],[Cuenta]],1))</f>
        <v>0</v>
      </c>
      <c r="W201" t="b">
        <f>+ISNUMBER(SEARCH('F-COMPRA'!#REF!,Tabla11[[#This Row],[Cuenta]],1))</f>
        <v>0</v>
      </c>
      <c r="X201" t="b">
        <f>+ISNUMBER(SEARCH('F-COMPRA'!#REF!,Tabla11[[#This Row],[Cuenta]],1))</f>
        <v>0</v>
      </c>
      <c r="Y201" t="b">
        <f>+ISNUMBER(SEARCH('F-COMPRA'!#REF!,Tabla11[[#This Row],[Cuenta]],1))</f>
        <v>0</v>
      </c>
      <c r="Z201" t="b">
        <f>+ISNUMBER(SEARCH('F-COMPRA'!#REF!,Tabla11[[#This Row],[Cuenta]],1))</f>
        <v>0</v>
      </c>
      <c r="AA201" t="b">
        <f>+ISNUMBER(SEARCH('F-COMPRA'!#REF!,Tabla11[[#This Row],[Cuenta]],1))</f>
        <v>0</v>
      </c>
      <c r="AB201" t="b">
        <f>+ISNUMBER(SEARCH('F-COMPRA'!#REF!,Tabla11[[#This Row],[Cuenta]],1))</f>
        <v>0</v>
      </c>
      <c r="AC201" t="b">
        <f>+ISNUMBER(SEARCH('F-COMPRA'!#REF!,Tabla11[[#This Row],[Cuenta]],1))</f>
        <v>0</v>
      </c>
      <c r="AD201" t="b">
        <f>+ISNUMBER(SEARCH('F-COMPRA'!#REF!,Tabla11[[#This Row],[Cuenta]],1))</f>
        <v>0</v>
      </c>
      <c r="AE201" t="b">
        <f>+ISNUMBER(SEARCH('F-COMPRA'!#REF!,Tabla11[[#This Row],[Cuenta]],1))</f>
        <v>0</v>
      </c>
      <c r="AF201" t="b">
        <f>+ISNUMBER(SEARCH('F-VTA'!$G$23,Tabla11[[#This Row],[Cuenta]],1))</f>
        <v>0</v>
      </c>
      <c r="AG201" t="b">
        <f>+ISNUMBER(SEARCH('F-VTA'!$G$24,Tabla11[[#This Row],[Cuenta]],1))</f>
        <v>0</v>
      </c>
      <c r="AH201" t="b">
        <f>+ISNUMBER(SEARCH('F-VTA'!$G$25,Tabla11[[#This Row],[Cuenta]],1))</f>
        <v>0</v>
      </c>
      <c r="AI201" t="b">
        <f>+ISNUMBER(SEARCH('F-VTA'!$F$28,Tabla11[[#This Row],[Cuenta]],1))</f>
        <v>1</v>
      </c>
      <c r="AJ201" t="b">
        <f>+ISNUMBER(SEARCH('F-VTA'!$F$29,Tabla11[[#This Row],[Cuenta]],1))</f>
        <v>1</v>
      </c>
      <c r="AK201" t="b">
        <f>+ISNUMBER(SEARCH('F-VTA'!$F$30,Tabla11[[#This Row],[Cuenta]],1))</f>
        <v>1</v>
      </c>
      <c r="AL201" t="b">
        <f>+ISNUMBER(SEARCH('F-VTA'!$F$31,Tabla11[[#This Row],[Cuenta]],1))</f>
        <v>1</v>
      </c>
      <c r="AM201" t="b">
        <f>+ISNUMBER(SEARCH('F-VTA'!$F$32,Tabla11[[#This Row],[Cuenta]],1))</f>
        <v>1</v>
      </c>
      <c r="AN201" t="b">
        <f>+ISNUMBER(SEARCH('F-VTA'!$F$33,Tabla11[[#This Row],[Cuenta]],1))</f>
        <v>1</v>
      </c>
      <c r="AO201" t="b">
        <f>+ISNUMBER(SEARCH('F-VTA'!$F$34,Tabla11[[#This Row],[Cuenta]],1))</f>
        <v>1</v>
      </c>
      <c r="AP201" t="b">
        <f>+ISNUMBER(SEARCH('F-VTA'!$F$35,Tabla11[[#This Row],[Cuenta]],1))</f>
        <v>1</v>
      </c>
      <c r="AQ201" t="b">
        <f>+ISNUMBER(SEARCH('F-VTA'!$F$36,Tabla11[[#This Row],[Cuenta]],1))</f>
        <v>1</v>
      </c>
      <c r="AR201" t="b">
        <f>+ISNUMBER(SEARCH(#REF!,Tabla11[[#This Row],[Cuenta]],1))</f>
        <v>0</v>
      </c>
      <c r="AS201" t="b">
        <f>+ISNUMBER(SEARCH(#REF!,Tabla11[[#This Row],[Cuenta]],1))</f>
        <v>0</v>
      </c>
      <c r="AT201" t="b">
        <f>+ISNUMBER(SEARCH(#REF!,Tabla11[[#This Row],[Cuenta]],1))</f>
        <v>0</v>
      </c>
      <c r="AU201" t="b">
        <f>+ISNUMBER(SEARCH('Conc. Ban.1'!$I$9,Tabla11[[#This Row],[Cuenta]],1))</f>
        <v>0</v>
      </c>
      <c r="AV201" t="b">
        <f>+ISNUMBER(SEARCH(CompConta!$F$21,Tabla11[[#This Row],[Cuenta]],1))</f>
        <v>1</v>
      </c>
      <c r="AW201" t="b">
        <f>+ISNUMBER(SEARCH(CompConta!$F$22,Tabla11[[#This Row],[Cuenta]],1))</f>
        <v>1</v>
      </c>
      <c r="AX201" t="b">
        <f>+ISNUMBER(SEARCH(CompConta!$F$23,Tabla11[[#This Row],[Cuenta]],1))</f>
        <v>1</v>
      </c>
      <c r="AY201" t="b">
        <f>+ISNUMBER(SEARCH(CompConta!$F$24,Tabla11[[#This Row],[Cuenta]],1))</f>
        <v>1</v>
      </c>
      <c r="AZ201" t="b">
        <f>+ISNUMBER(SEARCH(CompConta!$F$25,Tabla11[[#This Row],[Cuenta]],1))</f>
        <v>1</v>
      </c>
      <c r="BA201" t="b">
        <f>+ISNUMBER(SEARCH(CompConta!$F$26,Tabla11[[#This Row],[Cuenta]],1))</f>
        <v>1</v>
      </c>
      <c r="BB201" t="b">
        <f>+ISNUMBER(SEARCH(CompConta!$F$27,Tabla11[[#This Row],[Cuenta]],1))</f>
        <v>1</v>
      </c>
      <c r="BC201" t="b">
        <f>+ISNUMBER(SEARCH(CompConta!$F$28,Tabla11[[#This Row],[Cuenta]],1))</f>
        <v>1</v>
      </c>
      <c r="BD201" t="b">
        <f>+ISNUMBER(SEARCH(CompConta!$F$29,Tabla11[[#This Row],[Cuenta]],1))</f>
        <v>1</v>
      </c>
      <c r="BE201" t="b">
        <f>+ISNUMBER(SEARCH(CompConta!$F$30,Tabla11[[#This Row],[Cuenta]],1))</f>
        <v>1</v>
      </c>
      <c r="BF201" t="b">
        <f>+ISNUMBER(SEARCH('PAGO Compras'!$E$11,Tabla11[[#This Row],[Cuenta]],1))</f>
        <v>1</v>
      </c>
      <c r="BG201" t="b">
        <f>+ISNUMBER(SEARCH(#REF!,Tabla11[[#This Row],[Cuenta]],1))</f>
        <v>0</v>
      </c>
      <c r="BH201" t="b">
        <f>+ISNUMBER(SEARCH(#REF!,Tabla11[[#This Row],[Cuenta]],1))</f>
        <v>0</v>
      </c>
      <c r="BI201" t="b">
        <f>+ISNUMBER(SEARCH(#REF!,Tabla11[[#This Row],[Cuenta]],1))</f>
        <v>0</v>
      </c>
      <c r="BJ201" t="b">
        <f>+ISNUMBER(SEARCH(#REF!,Tabla11[[#This Row],[Cuenta]],1))</f>
        <v>0</v>
      </c>
      <c r="BS201" t="str">
        <v>155682 Redes externas de telefonía</v>
      </c>
      <c r="BT201" t="str">
        <v>155682 Redes externas de telefonía</v>
      </c>
      <c r="BU201" t="str">
        <v>155682 Redes externas de telefonía</v>
      </c>
      <c r="BV201" t="str">
        <v>155682 Redes externas de telefonía</v>
      </c>
      <c r="BZ201" t="str">
        <v>155682 Redes externas de telefonía</v>
      </c>
      <c r="CA201" t="str">
        <v>155682 Redes externas de telefonía</v>
      </c>
      <c r="CB201" t="str">
        <v>155682 Redes externas de telefonía</v>
      </c>
      <c r="CC201" t="str">
        <v>155682 Redes externas de telefonía</v>
      </c>
      <c r="CD201" t="str">
        <v>155682 Redes externas de telefonía</v>
      </c>
      <c r="CE201" t="str">
        <v>155682 Redes externas de telefonía</v>
      </c>
      <c r="CS201" s="141" t="str">
        <v>155682 Redes externas de telefonía</v>
      </c>
      <c r="CT201" s="141" t="str">
        <v>155682 Redes externas de telefonía</v>
      </c>
      <c r="CU201" s="141" t="str">
        <v>155682 Redes externas de telefonía</v>
      </c>
      <c r="CV201" s="141" t="str">
        <v>155682 Redes externas de telefonía</v>
      </c>
      <c r="CW201" s="141" t="str">
        <v>155682 Redes externas de telefonía</v>
      </c>
      <c r="CX201" s="141" t="str">
        <v>155682 Redes externas de telefonía</v>
      </c>
      <c r="CY201" s="141" t="str">
        <v>155682 Redes externas de telefonía</v>
      </c>
      <c r="CZ201" s="141" t="str">
        <v>155682 Redes externas de telefonía</v>
      </c>
      <c r="DA201" s="141" t="str">
        <v>155682 Redes externas de telefonía</v>
      </c>
      <c r="DF201" t="str">
        <v>155682 Redes externas de telefonía</v>
      </c>
      <c r="DG201" t="str">
        <v>155682 Redes externas de telefonía</v>
      </c>
      <c r="DH201" t="str">
        <v>155682 Redes externas de telefonía</v>
      </c>
      <c r="DI201" t="str">
        <v>155682 Redes externas de telefonía</v>
      </c>
      <c r="DJ201" t="str">
        <v>155682 Redes externas de telefonía</v>
      </c>
      <c r="DK201" t="str">
        <v>155682 Redes externas de telefonía</v>
      </c>
      <c r="DL201" t="str">
        <v>155682 Redes externas de telefonía</v>
      </c>
      <c r="DM201" t="str">
        <v>155682 Redes externas de telefonía</v>
      </c>
      <c r="DN201" t="str">
        <v>155682 Redes externas de telefonía</v>
      </c>
      <c r="DO201" t="str">
        <v>155682 Redes externas de telefonía</v>
      </c>
      <c r="DP201" t="str">
        <v>155682 Redes externas de telefonía</v>
      </c>
    </row>
    <row r="202" spans="4:120" ht="12.75">
      <c r="D202" s="7">
        <v>155685</v>
      </c>
      <c r="E202" s="6" t="s">
        <v>206</v>
      </c>
      <c r="F202" s="5">
        <v>4</v>
      </c>
      <c r="G202" s="34" t="s">
        <v>822</v>
      </c>
      <c r="H202" s="8" t="s">
        <v>32</v>
      </c>
      <c r="I202" t="b">
        <f>+ISNUMBER(SEARCH('F-COMPRA'!$F$28,Tabla11[[#This Row],[Cuenta]],1))</f>
        <v>1</v>
      </c>
      <c r="J202" t="b">
        <f>+ISNUMBER(SEARCH('F-COMPRA'!$F$29,Tabla11[[#This Row],[Cuenta]],1))</f>
        <v>1</v>
      </c>
      <c r="K202" t="b">
        <f>+ISNUMBER(SEARCH('F-COMPRA'!$F$30,Tabla11[[#This Row],[Cuenta]],1))</f>
        <v>1</v>
      </c>
      <c r="L202" t="b">
        <f>+ISNUMBER(SEARCH('F-COMPRA'!$F$31,Tabla11[[#This Row],[Cuenta]],1))</f>
        <v>1</v>
      </c>
      <c r="M202" t="b">
        <f>+ISNUMBER(SEARCH('F-COMPRA'!$G$25,Tabla11[[#This Row],[Cuenta]],1))</f>
        <v>0</v>
      </c>
      <c r="N202" t="b">
        <f>+ISNUMBER(SEARCH(#REF!,Tabla11[[#This Row],[Cuenta]],1))</f>
        <v>0</v>
      </c>
      <c r="O202" t="b">
        <f>+ISNUMBER(SEARCH(#REF!,Tabla11[[#This Row],[Cuenta]],1))</f>
        <v>0</v>
      </c>
      <c r="P202" t="b">
        <f>+ISNUMBER(SEARCH('F-COMPRA'!$F$32,Tabla11[[#This Row],[Cuenta]],1))</f>
        <v>1</v>
      </c>
      <c r="Q202" t="b">
        <f>+ISNUMBER(SEARCH('F-COMPRA'!$F$33,Tabla11[[#This Row],[Cuenta]],1))</f>
        <v>1</v>
      </c>
      <c r="R202" t="b">
        <f>+ISNUMBER(SEARCH('F-COMPRA'!$F$34,Tabla11[[#This Row],[Cuenta]],1))</f>
        <v>1</v>
      </c>
      <c r="S202" t="b">
        <f>+ISNUMBER(SEARCH('F-COMPRA'!$F$35,Tabla11[[#This Row],[Cuenta]],1))</f>
        <v>1</v>
      </c>
      <c r="T202" t="b">
        <f>+ISNUMBER(SEARCH('F-COMPRA'!$F$36,Tabla11[[#This Row],[Cuenta]],1))</f>
        <v>1</v>
      </c>
      <c r="U202" t="b">
        <f>+ISNUMBER(SEARCH('F-COMPRA'!$F$37,Tabla11[[#This Row],[Cuenta]],1))</f>
        <v>1</v>
      </c>
      <c r="V202" t="b">
        <f>+ISNUMBER(SEARCH(#REF!,Tabla11[[#This Row],[Cuenta]],1))</f>
        <v>0</v>
      </c>
      <c r="W202" t="b">
        <f>+ISNUMBER(SEARCH('F-COMPRA'!#REF!,Tabla11[[#This Row],[Cuenta]],1))</f>
        <v>0</v>
      </c>
      <c r="X202" t="b">
        <f>+ISNUMBER(SEARCH('F-COMPRA'!#REF!,Tabla11[[#This Row],[Cuenta]],1))</f>
        <v>0</v>
      </c>
      <c r="Y202" t="b">
        <f>+ISNUMBER(SEARCH('F-COMPRA'!#REF!,Tabla11[[#This Row],[Cuenta]],1))</f>
        <v>0</v>
      </c>
      <c r="Z202" t="b">
        <f>+ISNUMBER(SEARCH('F-COMPRA'!#REF!,Tabla11[[#This Row],[Cuenta]],1))</f>
        <v>0</v>
      </c>
      <c r="AA202" t="b">
        <f>+ISNUMBER(SEARCH('F-COMPRA'!#REF!,Tabla11[[#This Row],[Cuenta]],1))</f>
        <v>0</v>
      </c>
      <c r="AB202" t="b">
        <f>+ISNUMBER(SEARCH('F-COMPRA'!#REF!,Tabla11[[#This Row],[Cuenta]],1))</f>
        <v>0</v>
      </c>
      <c r="AC202" t="b">
        <f>+ISNUMBER(SEARCH('F-COMPRA'!#REF!,Tabla11[[#This Row],[Cuenta]],1))</f>
        <v>0</v>
      </c>
      <c r="AD202" t="b">
        <f>+ISNUMBER(SEARCH('F-COMPRA'!#REF!,Tabla11[[#This Row],[Cuenta]],1))</f>
        <v>0</v>
      </c>
      <c r="AE202" t="b">
        <f>+ISNUMBER(SEARCH('F-COMPRA'!#REF!,Tabla11[[#This Row],[Cuenta]],1))</f>
        <v>0</v>
      </c>
      <c r="AF202" t="b">
        <f>+ISNUMBER(SEARCH('F-VTA'!$G$23,Tabla11[[#This Row],[Cuenta]],1))</f>
        <v>0</v>
      </c>
      <c r="AG202" t="b">
        <f>+ISNUMBER(SEARCH('F-VTA'!$G$24,Tabla11[[#This Row],[Cuenta]],1))</f>
        <v>0</v>
      </c>
      <c r="AH202" t="b">
        <f>+ISNUMBER(SEARCH('F-VTA'!$G$25,Tabla11[[#This Row],[Cuenta]],1))</f>
        <v>0</v>
      </c>
      <c r="AI202" t="b">
        <f>+ISNUMBER(SEARCH('F-VTA'!$F$28,Tabla11[[#This Row],[Cuenta]],1))</f>
        <v>1</v>
      </c>
      <c r="AJ202" t="b">
        <f>+ISNUMBER(SEARCH('F-VTA'!$F$29,Tabla11[[#This Row],[Cuenta]],1))</f>
        <v>1</v>
      </c>
      <c r="AK202" t="b">
        <f>+ISNUMBER(SEARCH('F-VTA'!$F$30,Tabla11[[#This Row],[Cuenta]],1))</f>
        <v>1</v>
      </c>
      <c r="AL202" t="b">
        <f>+ISNUMBER(SEARCH('F-VTA'!$F$31,Tabla11[[#This Row],[Cuenta]],1))</f>
        <v>1</v>
      </c>
      <c r="AM202" t="b">
        <f>+ISNUMBER(SEARCH('F-VTA'!$F$32,Tabla11[[#This Row],[Cuenta]],1))</f>
        <v>1</v>
      </c>
      <c r="AN202" t="b">
        <f>+ISNUMBER(SEARCH('F-VTA'!$F$33,Tabla11[[#This Row],[Cuenta]],1))</f>
        <v>1</v>
      </c>
      <c r="AO202" t="b">
        <f>+ISNUMBER(SEARCH('F-VTA'!$F$34,Tabla11[[#This Row],[Cuenta]],1))</f>
        <v>1</v>
      </c>
      <c r="AP202" t="b">
        <f>+ISNUMBER(SEARCH('F-VTA'!$F$35,Tabla11[[#This Row],[Cuenta]],1))</f>
        <v>1</v>
      </c>
      <c r="AQ202" t="b">
        <f>+ISNUMBER(SEARCH('F-VTA'!$F$36,Tabla11[[#This Row],[Cuenta]],1))</f>
        <v>1</v>
      </c>
      <c r="AR202" t="b">
        <f>+ISNUMBER(SEARCH(#REF!,Tabla11[[#This Row],[Cuenta]],1))</f>
        <v>0</v>
      </c>
      <c r="AS202" t="b">
        <f>+ISNUMBER(SEARCH(#REF!,Tabla11[[#This Row],[Cuenta]],1))</f>
        <v>0</v>
      </c>
      <c r="AT202" t="b">
        <f>+ISNUMBER(SEARCH(#REF!,Tabla11[[#This Row],[Cuenta]],1))</f>
        <v>0</v>
      </c>
      <c r="AU202" t="b">
        <f>+ISNUMBER(SEARCH('Conc. Ban.1'!$I$9,Tabla11[[#This Row],[Cuenta]],1))</f>
        <v>0</v>
      </c>
      <c r="AV202" t="b">
        <f>+ISNUMBER(SEARCH(CompConta!$F$21,Tabla11[[#This Row],[Cuenta]],1))</f>
        <v>1</v>
      </c>
      <c r="AW202" t="b">
        <f>+ISNUMBER(SEARCH(CompConta!$F$22,Tabla11[[#This Row],[Cuenta]],1))</f>
        <v>1</v>
      </c>
      <c r="AX202" t="b">
        <f>+ISNUMBER(SEARCH(CompConta!$F$23,Tabla11[[#This Row],[Cuenta]],1))</f>
        <v>1</v>
      </c>
      <c r="AY202" t="b">
        <f>+ISNUMBER(SEARCH(CompConta!$F$24,Tabla11[[#This Row],[Cuenta]],1))</f>
        <v>1</v>
      </c>
      <c r="AZ202" t="b">
        <f>+ISNUMBER(SEARCH(CompConta!$F$25,Tabla11[[#This Row],[Cuenta]],1))</f>
        <v>1</v>
      </c>
      <c r="BA202" t="b">
        <f>+ISNUMBER(SEARCH(CompConta!$F$26,Tabla11[[#This Row],[Cuenta]],1))</f>
        <v>1</v>
      </c>
      <c r="BB202" t="b">
        <f>+ISNUMBER(SEARCH(CompConta!$F$27,Tabla11[[#This Row],[Cuenta]],1))</f>
        <v>1</v>
      </c>
      <c r="BC202" t="b">
        <f>+ISNUMBER(SEARCH(CompConta!$F$28,Tabla11[[#This Row],[Cuenta]],1))</f>
        <v>1</v>
      </c>
      <c r="BD202" t="b">
        <f>+ISNUMBER(SEARCH(CompConta!$F$29,Tabla11[[#This Row],[Cuenta]],1))</f>
        <v>1</v>
      </c>
      <c r="BE202" t="b">
        <f>+ISNUMBER(SEARCH(CompConta!$F$30,Tabla11[[#This Row],[Cuenta]],1))</f>
        <v>1</v>
      </c>
      <c r="BF202" t="b">
        <f>+ISNUMBER(SEARCH('PAGO Compras'!$E$11,Tabla11[[#This Row],[Cuenta]],1))</f>
        <v>1</v>
      </c>
      <c r="BG202" t="b">
        <f>+ISNUMBER(SEARCH(#REF!,Tabla11[[#This Row],[Cuenta]],1))</f>
        <v>0</v>
      </c>
      <c r="BH202" t="b">
        <f>+ISNUMBER(SEARCH(#REF!,Tabla11[[#This Row],[Cuenta]],1))</f>
        <v>0</v>
      </c>
      <c r="BI202" t="b">
        <f>+ISNUMBER(SEARCH(#REF!,Tabla11[[#This Row],[Cuenta]],1))</f>
        <v>0</v>
      </c>
      <c r="BJ202" t="b">
        <f>+ISNUMBER(SEARCH(#REF!,Tabla11[[#This Row],[Cuenta]],1))</f>
        <v>0</v>
      </c>
      <c r="BS202" t="str">
        <v>155685 Plantas deshidratadoras</v>
      </c>
      <c r="BT202" t="str">
        <v>155685 Plantas deshidratadoras</v>
      </c>
      <c r="BU202" t="str">
        <v>155685 Plantas deshidratadoras</v>
      </c>
      <c r="BV202" t="str">
        <v>155685 Plantas deshidratadoras</v>
      </c>
      <c r="BZ202" t="str">
        <v>155685 Plantas deshidratadoras</v>
      </c>
      <c r="CA202" t="str">
        <v>155685 Plantas deshidratadoras</v>
      </c>
      <c r="CB202" t="str">
        <v>155685 Plantas deshidratadoras</v>
      </c>
      <c r="CC202" t="str">
        <v>155685 Plantas deshidratadoras</v>
      </c>
      <c r="CD202" t="str">
        <v>155685 Plantas deshidratadoras</v>
      </c>
      <c r="CE202" t="str">
        <v>155685 Plantas deshidratadoras</v>
      </c>
      <c r="CS202" s="141" t="str">
        <v>155685 Plantas deshidratadoras</v>
      </c>
      <c r="CT202" s="141" t="str">
        <v>155685 Plantas deshidratadoras</v>
      </c>
      <c r="CU202" s="141" t="str">
        <v>155685 Plantas deshidratadoras</v>
      </c>
      <c r="CV202" s="141" t="str">
        <v>155685 Plantas deshidratadoras</v>
      </c>
      <c r="CW202" s="141" t="str">
        <v>155685 Plantas deshidratadoras</v>
      </c>
      <c r="CX202" s="141" t="str">
        <v>155685 Plantas deshidratadoras</v>
      </c>
      <c r="CY202" s="141" t="str">
        <v>155685 Plantas deshidratadoras</v>
      </c>
      <c r="CZ202" s="141" t="str">
        <v>155685 Plantas deshidratadoras</v>
      </c>
      <c r="DA202" s="141" t="str">
        <v>155685 Plantas deshidratadoras</v>
      </c>
      <c r="DF202" t="str">
        <v>155685 Plantas deshidratadoras</v>
      </c>
      <c r="DG202" t="str">
        <v>155685 Plantas deshidratadoras</v>
      </c>
      <c r="DH202" t="str">
        <v>155685 Plantas deshidratadoras</v>
      </c>
      <c r="DI202" t="str">
        <v>155685 Plantas deshidratadoras</v>
      </c>
      <c r="DJ202" t="str">
        <v>155685 Plantas deshidratadoras</v>
      </c>
      <c r="DK202" t="str">
        <v>155685 Plantas deshidratadoras</v>
      </c>
      <c r="DL202" t="str">
        <v>155685 Plantas deshidratadoras</v>
      </c>
      <c r="DM202" t="str">
        <v>155685 Plantas deshidratadoras</v>
      </c>
      <c r="DN202" t="str">
        <v>155685 Plantas deshidratadoras</v>
      </c>
      <c r="DO202" t="str">
        <v>155685 Plantas deshidratadoras</v>
      </c>
      <c r="DP202" t="str">
        <v>155685 Plantas deshidratadoras</v>
      </c>
    </row>
    <row r="203" spans="4:120" ht="12.75">
      <c r="D203" s="7">
        <v>155695</v>
      </c>
      <c r="E203" s="6" t="s">
        <v>45</v>
      </c>
      <c r="F203" s="5">
        <v>4</v>
      </c>
      <c r="G203" s="34" t="s">
        <v>822</v>
      </c>
      <c r="H203" s="8" t="s">
        <v>32</v>
      </c>
      <c r="I203" t="b">
        <f>+ISNUMBER(SEARCH('F-COMPRA'!$F$28,Tabla11[[#This Row],[Cuenta]],1))</f>
        <v>1</v>
      </c>
      <c r="J203" t="b">
        <f>+ISNUMBER(SEARCH('F-COMPRA'!$F$29,Tabla11[[#This Row],[Cuenta]],1))</f>
        <v>1</v>
      </c>
      <c r="K203" t="b">
        <f>+ISNUMBER(SEARCH('F-COMPRA'!$F$30,Tabla11[[#This Row],[Cuenta]],1))</f>
        <v>1</v>
      </c>
      <c r="L203" t="b">
        <f>+ISNUMBER(SEARCH('F-COMPRA'!$F$31,Tabla11[[#This Row],[Cuenta]],1))</f>
        <v>1</v>
      </c>
      <c r="M203" t="b">
        <f>+ISNUMBER(SEARCH('F-COMPRA'!$G$25,Tabla11[[#This Row],[Cuenta]],1))</f>
        <v>0</v>
      </c>
      <c r="N203" t="b">
        <f>+ISNUMBER(SEARCH(#REF!,Tabla11[[#This Row],[Cuenta]],1))</f>
        <v>0</v>
      </c>
      <c r="O203" t="b">
        <f>+ISNUMBER(SEARCH(#REF!,Tabla11[[#This Row],[Cuenta]],1))</f>
        <v>0</v>
      </c>
      <c r="P203" t="b">
        <f>+ISNUMBER(SEARCH('F-COMPRA'!$F$32,Tabla11[[#This Row],[Cuenta]],1))</f>
        <v>1</v>
      </c>
      <c r="Q203" t="b">
        <f>+ISNUMBER(SEARCH('F-COMPRA'!$F$33,Tabla11[[#This Row],[Cuenta]],1))</f>
        <v>1</v>
      </c>
      <c r="R203" t="b">
        <f>+ISNUMBER(SEARCH('F-COMPRA'!$F$34,Tabla11[[#This Row],[Cuenta]],1))</f>
        <v>1</v>
      </c>
      <c r="S203" t="b">
        <f>+ISNUMBER(SEARCH('F-COMPRA'!$F$35,Tabla11[[#This Row],[Cuenta]],1))</f>
        <v>1</v>
      </c>
      <c r="T203" t="b">
        <f>+ISNUMBER(SEARCH('F-COMPRA'!$F$36,Tabla11[[#This Row],[Cuenta]],1))</f>
        <v>1</v>
      </c>
      <c r="U203" t="b">
        <f>+ISNUMBER(SEARCH('F-COMPRA'!$F$37,Tabla11[[#This Row],[Cuenta]],1))</f>
        <v>1</v>
      </c>
      <c r="V203" t="b">
        <f>+ISNUMBER(SEARCH(#REF!,Tabla11[[#This Row],[Cuenta]],1))</f>
        <v>0</v>
      </c>
      <c r="W203" t="b">
        <f>+ISNUMBER(SEARCH('F-COMPRA'!#REF!,Tabla11[[#This Row],[Cuenta]],1))</f>
        <v>0</v>
      </c>
      <c r="X203" t="b">
        <f>+ISNUMBER(SEARCH('F-COMPRA'!#REF!,Tabla11[[#This Row],[Cuenta]],1))</f>
        <v>0</v>
      </c>
      <c r="Y203" t="b">
        <f>+ISNUMBER(SEARCH('F-COMPRA'!#REF!,Tabla11[[#This Row],[Cuenta]],1))</f>
        <v>0</v>
      </c>
      <c r="Z203" t="b">
        <f>+ISNUMBER(SEARCH('F-COMPRA'!#REF!,Tabla11[[#This Row],[Cuenta]],1))</f>
        <v>0</v>
      </c>
      <c r="AA203" t="b">
        <f>+ISNUMBER(SEARCH('F-COMPRA'!#REF!,Tabla11[[#This Row],[Cuenta]],1))</f>
        <v>0</v>
      </c>
      <c r="AB203" t="b">
        <f>+ISNUMBER(SEARCH('F-COMPRA'!#REF!,Tabla11[[#This Row],[Cuenta]],1))</f>
        <v>0</v>
      </c>
      <c r="AC203" t="b">
        <f>+ISNUMBER(SEARCH('F-COMPRA'!#REF!,Tabla11[[#This Row],[Cuenta]],1))</f>
        <v>0</v>
      </c>
      <c r="AD203" t="b">
        <f>+ISNUMBER(SEARCH('F-COMPRA'!#REF!,Tabla11[[#This Row],[Cuenta]],1))</f>
        <v>0</v>
      </c>
      <c r="AE203" t="b">
        <f>+ISNUMBER(SEARCH('F-COMPRA'!#REF!,Tabla11[[#This Row],[Cuenta]],1))</f>
        <v>0</v>
      </c>
      <c r="AF203" t="b">
        <f>+ISNUMBER(SEARCH('F-VTA'!$G$23,Tabla11[[#This Row],[Cuenta]],1))</f>
        <v>0</v>
      </c>
      <c r="AG203" t="b">
        <f>+ISNUMBER(SEARCH('F-VTA'!$G$24,Tabla11[[#This Row],[Cuenta]],1))</f>
        <v>0</v>
      </c>
      <c r="AH203" t="b">
        <f>+ISNUMBER(SEARCH('F-VTA'!$G$25,Tabla11[[#This Row],[Cuenta]],1))</f>
        <v>0</v>
      </c>
      <c r="AI203" t="b">
        <f>+ISNUMBER(SEARCH('F-VTA'!$F$28,Tabla11[[#This Row],[Cuenta]],1))</f>
        <v>1</v>
      </c>
      <c r="AJ203" t="b">
        <f>+ISNUMBER(SEARCH('F-VTA'!$F$29,Tabla11[[#This Row],[Cuenta]],1))</f>
        <v>1</v>
      </c>
      <c r="AK203" t="b">
        <f>+ISNUMBER(SEARCH('F-VTA'!$F$30,Tabla11[[#This Row],[Cuenta]],1))</f>
        <v>1</v>
      </c>
      <c r="AL203" t="b">
        <f>+ISNUMBER(SEARCH('F-VTA'!$F$31,Tabla11[[#This Row],[Cuenta]],1))</f>
        <v>1</v>
      </c>
      <c r="AM203" t="b">
        <f>+ISNUMBER(SEARCH('F-VTA'!$F$32,Tabla11[[#This Row],[Cuenta]],1))</f>
        <v>1</v>
      </c>
      <c r="AN203" t="b">
        <f>+ISNUMBER(SEARCH('F-VTA'!$F$33,Tabla11[[#This Row],[Cuenta]],1))</f>
        <v>1</v>
      </c>
      <c r="AO203" t="b">
        <f>+ISNUMBER(SEARCH('F-VTA'!$F$34,Tabla11[[#This Row],[Cuenta]],1))</f>
        <v>1</v>
      </c>
      <c r="AP203" t="b">
        <f>+ISNUMBER(SEARCH('F-VTA'!$F$35,Tabla11[[#This Row],[Cuenta]],1))</f>
        <v>1</v>
      </c>
      <c r="AQ203" t="b">
        <f>+ISNUMBER(SEARCH('F-VTA'!$F$36,Tabla11[[#This Row],[Cuenta]],1))</f>
        <v>1</v>
      </c>
      <c r="AR203" t="b">
        <f>+ISNUMBER(SEARCH(#REF!,Tabla11[[#This Row],[Cuenta]],1))</f>
        <v>0</v>
      </c>
      <c r="AS203" t="b">
        <f>+ISNUMBER(SEARCH(#REF!,Tabla11[[#This Row],[Cuenta]],1))</f>
        <v>0</v>
      </c>
      <c r="AT203" t="b">
        <f>+ISNUMBER(SEARCH(#REF!,Tabla11[[#This Row],[Cuenta]],1))</f>
        <v>0</v>
      </c>
      <c r="AU203" t="b">
        <f>+ISNUMBER(SEARCH('Conc. Ban.1'!$I$9,Tabla11[[#This Row],[Cuenta]],1))</f>
        <v>0</v>
      </c>
      <c r="AV203" t="b">
        <f>+ISNUMBER(SEARCH(CompConta!$F$21,Tabla11[[#This Row],[Cuenta]],1))</f>
        <v>1</v>
      </c>
      <c r="AW203" t="b">
        <f>+ISNUMBER(SEARCH(CompConta!$F$22,Tabla11[[#This Row],[Cuenta]],1))</f>
        <v>1</v>
      </c>
      <c r="AX203" t="b">
        <f>+ISNUMBER(SEARCH(CompConta!$F$23,Tabla11[[#This Row],[Cuenta]],1))</f>
        <v>1</v>
      </c>
      <c r="AY203" t="b">
        <f>+ISNUMBER(SEARCH(CompConta!$F$24,Tabla11[[#This Row],[Cuenta]],1))</f>
        <v>1</v>
      </c>
      <c r="AZ203" t="b">
        <f>+ISNUMBER(SEARCH(CompConta!$F$25,Tabla11[[#This Row],[Cuenta]],1))</f>
        <v>1</v>
      </c>
      <c r="BA203" t="b">
        <f>+ISNUMBER(SEARCH(CompConta!$F$26,Tabla11[[#This Row],[Cuenta]],1))</f>
        <v>1</v>
      </c>
      <c r="BB203" t="b">
        <f>+ISNUMBER(SEARCH(CompConta!$F$27,Tabla11[[#This Row],[Cuenta]],1))</f>
        <v>1</v>
      </c>
      <c r="BC203" t="b">
        <f>+ISNUMBER(SEARCH(CompConta!$F$28,Tabla11[[#This Row],[Cuenta]],1))</f>
        <v>1</v>
      </c>
      <c r="BD203" t="b">
        <f>+ISNUMBER(SEARCH(CompConta!$F$29,Tabla11[[#This Row],[Cuenta]],1))</f>
        <v>1</v>
      </c>
      <c r="BE203" t="b">
        <f>+ISNUMBER(SEARCH(CompConta!$F$30,Tabla11[[#This Row],[Cuenta]],1))</f>
        <v>1</v>
      </c>
      <c r="BF203" t="b">
        <f>+ISNUMBER(SEARCH('PAGO Compras'!$E$11,Tabla11[[#This Row],[Cuenta]],1))</f>
        <v>1</v>
      </c>
      <c r="BG203" t="b">
        <f>+ISNUMBER(SEARCH(#REF!,Tabla11[[#This Row],[Cuenta]],1))</f>
        <v>0</v>
      </c>
      <c r="BH203" t="b">
        <f>+ISNUMBER(SEARCH(#REF!,Tabla11[[#This Row],[Cuenta]],1))</f>
        <v>0</v>
      </c>
      <c r="BI203" t="b">
        <f>+ISNUMBER(SEARCH(#REF!,Tabla11[[#This Row],[Cuenta]],1))</f>
        <v>0</v>
      </c>
      <c r="BJ203" t="b">
        <f>+ISNUMBER(SEARCH(#REF!,Tabla11[[#This Row],[Cuenta]],1))</f>
        <v>0</v>
      </c>
      <c r="BS203" t="str">
        <v>155695 Otros</v>
      </c>
      <c r="BT203" t="str">
        <v>155695 Otros</v>
      </c>
      <c r="BU203" t="str">
        <v>155695 Otros</v>
      </c>
      <c r="BV203" t="str">
        <v>155695 Otros</v>
      </c>
      <c r="BZ203" t="str">
        <v>155695 Otros</v>
      </c>
      <c r="CA203" t="str">
        <v>155695 Otros</v>
      </c>
      <c r="CB203" t="str">
        <v>155695 Otros</v>
      </c>
      <c r="CC203" t="str">
        <v>155695 Otros</v>
      </c>
      <c r="CD203" t="str">
        <v>155695 Otros</v>
      </c>
      <c r="CE203" t="str">
        <v>155695 Otros</v>
      </c>
      <c r="CS203" s="141" t="str">
        <v>155695 Otros</v>
      </c>
      <c r="CT203" s="141" t="str">
        <v>155695 Otros</v>
      </c>
      <c r="CU203" s="141" t="str">
        <v>155695 Otros</v>
      </c>
      <c r="CV203" s="141" t="str">
        <v>155695 Otros</v>
      </c>
      <c r="CW203" s="141" t="str">
        <v>155695 Otros</v>
      </c>
      <c r="CX203" s="141" t="str">
        <v>155695 Otros</v>
      </c>
      <c r="CY203" s="141" t="str">
        <v>155695 Otros</v>
      </c>
      <c r="CZ203" s="141" t="str">
        <v>155695 Otros</v>
      </c>
      <c r="DA203" s="141" t="str">
        <v>155695 Otros</v>
      </c>
      <c r="DF203" t="str">
        <v>155695 Otros</v>
      </c>
      <c r="DG203" t="str">
        <v>155695 Otros</v>
      </c>
      <c r="DH203" t="str">
        <v>155695 Otros</v>
      </c>
      <c r="DI203" t="str">
        <v>155695 Otros</v>
      </c>
      <c r="DJ203" t="str">
        <v>155695 Otros</v>
      </c>
      <c r="DK203" t="str">
        <v>155695 Otros</v>
      </c>
      <c r="DL203" t="str">
        <v>155695 Otros</v>
      </c>
      <c r="DM203" t="str">
        <v>155695 Otros</v>
      </c>
      <c r="DN203" t="str">
        <v>155695 Otros</v>
      </c>
      <c r="DO203" t="str">
        <v>155695 Otros</v>
      </c>
      <c r="DP203" t="str">
        <v>155695 Otros</v>
      </c>
    </row>
    <row r="204" spans="4:120" ht="12.75">
      <c r="D204" s="7">
        <v>155699</v>
      </c>
      <c r="E204" s="6" t="s">
        <v>44</v>
      </c>
      <c r="F204" s="5">
        <v>4</v>
      </c>
      <c r="G204" s="34" t="s">
        <v>822</v>
      </c>
      <c r="H204" s="8" t="s">
        <v>32</v>
      </c>
      <c r="I204" t="b">
        <f>+ISNUMBER(SEARCH('F-COMPRA'!$F$28,Tabla11[[#This Row],[Cuenta]],1))</f>
        <v>1</v>
      </c>
      <c r="J204" t="b">
        <f>+ISNUMBER(SEARCH('F-COMPRA'!$F$29,Tabla11[[#This Row],[Cuenta]],1))</f>
        <v>1</v>
      </c>
      <c r="K204" t="b">
        <f>+ISNUMBER(SEARCH('F-COMPRA'!$F$30,Tabla11[[#This Row],[Cuenta]],1))</f>
        <v>1</v>
      </c>
      <c r="L204" t="b">
        <f>+ISNUMBER(SEARCH('F-COMPRA'!$F$31,Tabla11[[#This Row],[Cuenta]],1))</f>
        <v>1</v>
      </c>
      <c r="M204" t="b">
        <f>+ISNUMBER(SEARCH('F-COMPRA'!$G$25,Tabla11[[#This Row],[Cuenta]],1))</f>
        <v>0</v>
      </c>
      <c r="N204" t="b">
        <f>+ISNUMBER(SEARCH(#REF!,Tabla11[[#This Row],[Cuenta]],1))</f>
        <v>0</v>
      </c>
      <c r="O204" t="b">
        <f>+ISNUMBER(SEARCH(#REF!,Tabla11[[#This Row],[Cuenta]],1))</f>
        <v>0</v>
      </c>
      <c r="P204" t="b">
        <f>+ISNUMBER(SEARCH('F-COMPRA'!$F$32,Tabla11[[#This Row],[Cuenta]],1))</f>
        <v>1</v>
      </c>
      <c r="Q204" t="b">
        <f>+ISNUMBER(SEARCH('F-COMPRA'!$F$33,Tabla11[[#This Row],[Cuenta]],1))</f>
        <v>1</v>
      </c>
      <c r="R204" t="b">
        <f>+ISNUMBER(SEARCH('F-COMPRA'!$F$34,Tabla11[[#This Row],[Cuenta]],1))</f>
        <v>1</v>
      </c>
      <c r="S204" t="b">
        <f>+ISNUMBER(SEARCH('F-COMPRA'!$F$35,Tabla11[[#This Row],[Cuenta]],1))</f>
        <v>1</v>
      </c>
      <c r="T204" t="b">
        <f>+ISNUMBER(SEARCH('F-COMPRA'!$F$36,Tabla11[[#This Row],[Cuenta]],1))</f>
        <v>1</v>
      </c>
      <c r="U204" t="b">
        <f>+ISNUMBER(SEARCH('F-COMPRA'!$F$37,Tabla11[[#This Row],[Cuenta]],1))</f>
        <v>1</v>
      </c>
      <c r="V204" t="b">
        <f>+ISNUMBER(SEARCH(#REF!,Tabla11[[#This Row],[Cuenta]],1))</f>
        <v>0</v>
      </c>
      <c r="W204" t="b">
        <f>+ISNUMBER(SEARCH('F-COMPRA'!#REF!,Tabla11[[#This Row],[Cuenta]],1))</f>
        <v>0</v>
      </c>
      <c r="X204" t="b">
        <f>+ISNUMBER(SEARCH('F-COMPRA'!#REF!,Tabla11[[#This Row],[Cuenta]],1))</f>
        <v>0</v>
      </c>
      <c r="Y204" t="b">
        <f>+ISNUMBER(SEARCH('F-COMPRA'!#REF!,Tabla11[[#This Row],[Cuenta]],1))</f>
        <v>0</v>
      </c>
      <c r="Z204" t="b">
        <f>+ISNUMBER(SEARCH('F-COMPRA'!#REF!,Tabla11[[#This Row],[Cuenta]],1))</f>
        <v>0</v>
      </c>
      <c r="AA204" t="b">
        <f>+ISNUMBER(SEARCH('F-COMPRA'!#REF!,Tabla11[[#This Row],[Cuenta]],1))</f>
        <v>0</v>
      </c>
      <c r="AB204" t="b">
        <f>+ISNUMBER(SEARCH('F-COMPRA'!#REF!,Tabla11[[#This Row],[Cuenta]],1))</f>
        <v>0</v>
      </c>
      <c r="AC204" t="b">
        <f>+ISNUMBER(SEARCH('F-COMPRA'!#REF!,Tabla11[[#This Row],[Cuenta]],1))</f>
        <v>0</v>
      </c>
      <c r="AD204" t="b">
        <f>+ISNUMBER(SEARCH('F-COMPRA'!#REF!,Tabla11[[#This Row],[Cuenta]],1))</f>
        <v>0</v>
      </c>
      <c r="AE204" t="b">
        <f>+ISNUMBER(SEARCH('F-COMPRA'!#REF!,Tabla11[[#This Row],[Cuenta]],1))</f>
        <v>0</v>
      </c>
      <c r="AF204" t="b">
        <f>+ISNUMBER(SEARCH('F-VTA'!$G$23,Tabla11[[#This Row],[Cuenta]],1))</f>
        <v>0</v>
      </c>
      <c r="AG204" t="b">
        <f>+ISNUMBER(SEARCH('F-VTA'!$G$24,Tabla11[[#This Row],[Cuenta]],1))</f>
        <v>0</v>
      </c>
      <c r="AH204" t="b">
        <f>+ISNUMBER(SEARCH('F-VTA'!$G$25,Tabla11[[#This Row],[Cuenta]],1))</f>
        <v>0</v>
      </c>
      <c r="AI204" t="b">
        <f>+ISNUMBER(SEARCH('F-VTA'!$F$28,Tabla11[[#This Row],[Cuenta]],1))</f>
        <v>1</v>
      </c>
      <c r="AJ204" t="b">
        <f>+ISNUMBER(SEARCH('F-VTA'!$F$29,Tabla11[[#This Row],[Cuenta]],1))</f>
        <v>1</v>
      </c>
      <c r="AK204" t="b">
        <f>+ISNUMBER(SEARCH('F-VTA'!$F$30,Tabla11[[#This Row],[Cuenta]],1))</f>
        <v>1</v>
      </c>
      <c r="AL204" t="b">
        <f>+ISNUMBER(SEARCH('F-VTA'!$F$31,Tabla11[[#This Row],[Cuenta]],1))</f>
        <v>1</v>
      </c>
      <c r="AM204" t="b">
        <f>+ISNUMBER(SEARCH('F-VTA'!$F$32,Tabla11[[#This Row],[Cuenta]],1))</f>
        <v>1</v>
      </c>
      <c r="AN204" t="b">
        <f>+ISNUMBER(SEARCH('F-VTA'!$F$33,Tabla11[[#This Row],[Cuenta]],1))</f>
        <v>1</v>
      </c>
      <c r="AO204" t="b">
        <f>+ISNUMBER(SEARCH('F-VTA'!$F$34,Tabla11[[#This Row],[Cuenta]],1))</f>
        <v>1</v>
      </c>
      <c r="AP204" t="b">
        <f>+ISNUMBER(SEARCH('F-VTA'!$F$35,Tabla11[[#This Row],[Cuenta]],1))</f>
        <v>1</v>
      </c>
      <c r="AQ204" t="b">
        <f>+ISNUMBER(SEARCH('F-VTA'!$F$36,Tabla11[[#This Row],[Cuenta]],1))</f>
        <v>1</v>
      </c>
      <c r="AR204" t="b">
        <f>+ISNUMBER(SEARCH(#REF!,Tabla11[[#This Row],[Cuenta]],1))</f>
        <v>0</v>
      </c>
      <c r="AS204" t="b">
        <f>+ISNUMBER(SEARCH(#REF!,Tabla11[[#This Row],[Cuenta]],1))</f>
        <v>0</v>
      </c>
      <c r="AT204" t="b">
        <f>+ISNUMBER(SEARCH(#REF!,Tabla11[[#This Row],[Cuenta]],1))</f>
        <v>0</v>
      </c>
      <c r="AU204" t="b">
        <f>+ISNUMBER(SEARCH('Conc. Ban.1'!$I$9,Tabla11[[#This Row],[Cuenta]],1))</f>
        <v>0</v>
      </c>
      <c r="AV204" t="b">
        <f>+ISNUMBER(SEARCH(CompConta!$F$21,Tabla11[[#This Row],[Cuenta]],1))</f>
        <v>1</v>
      </c>
      <c r="AW204" t="b">
        <f>+ISNUMBER(SEARCH(CompConta!$F$22,Tabla11[[#This Row],[Cuenta]],1))</f>
        <v>1</v>
      </c>
      <c r="AX204" t="b">
        <f>+ISNUMBER(SEARCH(CompConta!$F$23,Tabla11[[#This Row],[Cuenta]],1))</f>
        <v>1</v>
      </c>
      <c r="AY204" t="b">
        <f>+ISNUMBER(SEARCH(CompConta!$F$24,Tabla11[[#This Row],[Cuenta]],1))</f>
        <v>1</v>
      </c>
      <c r="AZ204" t="b">
        <f>+ISNUMBER(SEARCH(CompConta!$F$25,Tabla11[[#This Row],[Cuenta]],1))</f>
        <v>1</v>
      </c>
      <c r="BA204" t="b">
        <f>+ISNUMBER(SEARCH(CompConta!$F$26,Tabla11[[#This Row],[Cuenta]],1))</f>
        <v>1</v>
      </c>
      <c r="BB204" t="b">
        <f>+ISNUMBER(SEARCH(CompConta!$F$27,Tabla11[[#This Row],[Cuenta]],1))</f>
        <v>1</v>
      </c>
      <c r="BC204" t="b">
        <f>+ISNUMBER(SEARCH(CompConta!$F$28,Tabla11[[#This Row],[Cuenta]],1))</f>
        <v>1</v>
      </c>
      <c r="BD204" t="b">
        <f>+ISNUMBER(SEARCH(CompConta!$F$29,Tabla11[[#This Row],[Cuenta]],1))</f>
        <v>1</v>
      </c>
      <c r="BE204" t="b">
        <f>+ISNUMBER(SEARCH(CompConta!$F$30,Tabla11[[#This Row],[Cuenta]],1))</f>
        <v>1</v>
      </c>
      <c r="BF204" t="b">
        <f>+ISNUMBER(SEARCH('PAGO Compras'!$E$11,Tabla11[[#This Row],[Cuenta]],1))</f>
        <v>1</v>
      </c>
      <c r="BG204" t="b">
        <f>+ISNUMBER(SEARCH(#REF!,Tabla11[[#This Row],[Cuenta]],1))</f>
        <v>0</v>
      </c>
      <c r="BH204" t="b">
        <f>+ISNUMBER(SEARCH(#REF!,Tabla11[[#This Row],[Cuenta]],1))</f>
        <v>0</v>
      </c>
      <c r="BI204" t="b">
        <f>+ISNUMBER(SEARCH(#REF!,Tabla11[[#This Row],[Cuenta]],1))</f>
        <v>0</v>
      </c>
      <c r="BJ204" t="b">
        <f>+ISNUMBER(SEARCH(#REF!,Tabla11[[#This Row],[Cuenta]],1))</f>
        <v>0</v>
      </c>
      <c r="BS204" t="str">
        <v>155699 Ajustes por inflación</v>
      </c>
      <c r="BT204" t="str">
        <v>155699 Ajustes por inflación</v>
      </c>
      <c r="BU204" t="str">
        <v>155699 Ajustes por inflación</v>
      </c>
      <c r="BV204" t="str">
        <v>155699 Ajustes por inflación</v>
      </c>
      <c r="BZ204" t="str">
        <v>155699 Ajustes por inflación</v>
      </c>
      <c r="CA204" t="str">
        <v>155699 Ajustes por inflación</v>
      </c>
      <c r="CB204" t="str">
        <v>155699 Ajustes por inflación</v>
      </c>
      <c r="CC204" t="str">
        <v>155699 Ajustes por inflación</v>
      </c>
      <c r="CD204" t="str">
        <v>155699 Ajustes por inflación</v>
      </c>
      <c r="CE204" t="str">
        <v>155699 Ajustes por inflación</v>
      </c>
      <c r="CS204" s="141" t="str">
        <v>155699 Ajustes por inflación</v>
      </c>
      <c r="CT204" s="141" t="str">
        <v>155699 Ajustes por inflación</v>
      </c>
      <c r="CU204" s="141" t="str">
        <v>155699 Ajustes por inflación</v>
      </c>
      <c r="CV204" s="141" t="str">
        <v>155699 Ajustes por inflación</v>
      </c>
      <c r="CW204" s="141" t="str">
        <v>155699 Ajustes por inflación</v>
      </c>
      <c r="CX204" s="141" t="str">
        <v>155699 Ajustes por inflación</v>
      </c>
      <c r="CY204" s="141" t="str">
        <v>155699 Ajustes por inflación</v>
      </c>
      <c r="CZ204" s="141" t="str">
        <v>155699 Ajustes por inflación</v>
      </c>
      <c r="DA204" s="141" t="str">
        <v>155699 Ajustes por inflación</v>
      </c>
      <c r="DF204" t="str">
        <v>155699 Ajustes por inflación</v>
      </c>
      <c r="DG204" t="str">
        <v>155699 Ajustes por inflación</v>
      </c>
      <c r="DH204" t="str">
        <v>155699 Ajustes por inflación</v>
      </c>
      <c r="DI204" t="str">
        <v>155699 Ajustes por inflación</v>
      </c>
      <c r="DJ204" t="str">
        <v>155699 Ajustes por inflación</v>
      </c>
      <c r="DK204" t="str">
        <v>155699 Ajustes por inflación</v>
      </c>
      <c r="DL204" t="str">
        <v>155699 Ajustes por inflación</v>
      </c>
      <c r="DM204" t="str">
        <v>155699 Ajustes por inflación</v>
      </c>
      <c r="DN204" t="str">
        <v>155699 Ajustes por inflación</v>
      </c>
      <c r="DO204" t="str">
        <v>155699 Ajustes por inflación</v>
      </c>
      <c r="DP204" t="str">
        <v>155699 Ajustes por inflación</v>
      </c>
    </row>
    <row r="205" spans="4:120" ht="12.75">
      <c r="D205" s="7">
        <v>1562</v>
      </c>
      <c r="E205" s="6" t="s">
        <v>107</v>
      </c>
      <c r="F205" s="5">
        <v>3</v>
      </c>
      <c r="G205" s="34" t="s">
        <v>822</v>
      </c>
      <c r="H205" s="8" t="s">
        <v>32</v>
      </c>
      <c r="I205" t="b">
        <f>+ISNUMBER(SEARCH('F-COMPRA'!$F$28,Tabla11[[#This Row],[Cuenta]],1))</f>
        <v>1</v>
      </c>
      <c r="J205" t="b">
        <f>+ISNUMBER(SEARCH('F-COMPRA'!$F$29,Tabla11[[#This Row],[Cuenta]],1))</f>
        <v>1</v>
      </c>
      <c r="K205" t="b">
        <f>+ISNUMBER(SEARCH('F-COMPRA'!$F$30,Tabla11[[#This Row],[Cuenta]],1))</f>
        <v>1</v>
      </c>
      <c r="L205" t="b">
        <f>+ISNUMBER(SEARCH('F-COMPRA'!$F$31,Tabla11[[#This Row],[Cuenta]],1))</f>
        <v>1</v>
      </c>
      <c r="M205" t="b">
        <f>+ISNUMBER(SEARCH('F-COMPRA'!$G$25,Tabla11[[#This Row],[Cuenta]],1))</f>
        <v>0</v>
      </c>
      <c r="N205" t="b">
        <f>+ISNUMBER(SEARCH(#REF!,Tabla11[[#This Row],[Cuenta]],1))</f>
        <v>0</v>
      </c>
      <c r="O205" t="b">
        <f>+ISNUMBER(SEARCH(#REF!,Tabla11[[#This Row],[Cuenta]],1))</f>
        <v>0</v>
      </c>
      <c r="P205" t="b">
        <f>+ISNUMBER(SEARCH('F-COMPRA'!$F$32,Tabla11[[#This Row],[Cuenta]],1))</f>
        <v>1</v>
      </c>
      <c r="Q205" t="b">
        <f>+ISNUMBER(SEARCH('F-COMPRA'!$F$33,Tabla11[[#This Row],[Cuenta]],1))</f>
        <v>1</v>
      </c>
      <c r="R205" t="b">
        <f>+ISNUMBER(SEARCH('F-COMPRA'!$F$34,Tabla11[[#This Row],[Cuenta]],1))</f>
        <v>1</v>
      </c>
      <c r="S205" t="b">
        <f>+ISNUMBER(SEARCH('F-COMPRA'!$F$35,Tabla11[[#This Row],[Cuenta]],1))</f>
        <v>1</v>
      </c>
      <c r="T205" t="b">
        <f>+ISNUMBER(SEARCH('F-COMPRA'!$F$36,Tabla11[[#This Row],[Cuenta]],1))</f>
        <v>1</v>
      </c>
      <c r="U205" t="b">
        <f>+ISNUMBER(SEARCH('F-COMPRA'!$F$37,Tabla11[[#This Row],[Cuenta]],1))</f>
        <v>1</v>
      </c>
      <c r="V205" t="b">
        <f>+ISNUMBER(SEARCH(#REF!,Tabla11[[#This Row],[Cuenta]],1))</f>
        <v>0</v>
      </c>
      <c r="W205" t="b">
        <f>+ISNUMBER(SEARCH('F-COMPRA'!#REF!,Tabla11[[#This Row],[Cuenta]],1))</f>
        <v>0</v>
      </c>
      <c r="X205" t="b">
        <f>+ISNUMBER(SEARCH('F-COMPRA'!#REF!,Tabla11[[#This Row],[Cuenta]],1))</f>
        <v>0</v>
      </c>
      <c r="Y205" t="b">
        <f>+ISNUMBER(SEARCH('F-COMPRA'!#REF!,Tabla11[[#This Row],[Cuenta]],1))</f>
        <v>0</v>
      </c>
      <c r="Z205" t="b">
        <f>+ISNUMBER(SEARCH('F-COMPRA'!#REF!,Tabla11[[#This Row],[Cuenta]],1))</f>
        <v>0</v>
      </c>
      <c r="AA205" t="b">
        <f>+ISNUMBER(SEARCH('F-COMPRA'!#REF!,Tabla11[[#This Row],[Cuenta]],1))</f>
        <v>0</v>
      </c>
      <c r="AB205" t="b">
        <f>+ISNUMBER(SEARCH('F-COMPRA'!#REF!,Tabla11[[#This Row],[Cuenta]],1))</f>
        <v>0</v>
      </c>
      <c r="AC205" t="b">
        <f>+ISNUMBER(SEARCH('F-COMPRA'!#REF!,Tabla11[[#This Row],[Cuenta]],1))</f>
        <v>0</v>
      </c>
      <c r="AD205" t="b">
        <f>+ISNUMBER(SEARCH('F-COMPRA'!#REF!,Tabla11[[#This Row],[Cuenta]],1))</f>
        <v>0</v>
      </c>
      <c r="AE205" t="b">
        <f>+ISNUMBER(SEARCH('F-COMPRA'!#REF!,Tabla11[[#This Row],[Cuenta]],1))</f>
        <v>0</v>
      </c>
      <c r="AF205" t="b">
        <f>+ISNUMBER(SEARCH('F-VTA'!$G$23,Tabla11[[#This Row],[Cuenta]],1))</f>
        <v>0</v>
      </c>
      <c r="AG205" t="b">
        <f>+ISNUMBER(SEARCH('F-VTA'!$G$24,Tabla11[[#This Row],[Cuenta]],1))</f>
        <v>0</v>
      </c>
      <c r="AH205" t="b">
        <f>+ISNUMBER(SEARCH('F-VTA'!$G$25,Tabla11[[#This Row],[Cuenta]],1))</f>
        <v>0</v>
      </c>
      <c r="AI205" t="b">
        <f>+ISNUMBER(SEARCH('F-VTA'!$F$28,Tabla11[[#This Row],[Cuenta]],1))</f>
        <v>1</v>
      </c>
      <c r="AJ205" t="b">
        <f>+ISNUMBER(SEARCH('F-VTA'!$F$29,Tabla11[[#This Row],[Cuenta]],1))</f>
        <v>1</v>
      </c>
      <c r="AK205" t="b">
        <f>+ISNUMBER(SEARCH('F-VTA'!$F$30,Tabla11[[#This Row],[Cuenta]],1))</f>
        <v>1</v>
      </c>
      <c r="AL205" t="b">
        <f>+ISNUMBER(SEARCH('F-VTA'!$F$31,Tabla11[[#This Row],[Cuenta]],1))</f>
        <v>1</v>
      </c>
      <c r="AM205" t="b">
        <f>+ISNUMBER(SEARCH('F-VTA'!$F$32,Tabla11[[#This Row],[Cuenta]],1))</f>
        <v>1</v>
      </c>
      <c r="AN205" t="b">
        <f>+ISNUMBER(SEARCH('F-VTA'!$F$33,Tabla11[[#This Row],[Cuenta]],1))</f>
        <v>1</v>
      </c>
      <c r="AO205" t="b">
        <f>+ISNUMBER(SEARCH('F-VTA'!$F$34,Tabla11[[#This Row],[Cuenta]],1))</f>
        <v>1</v>
      </c>
      <c r="AP205" t="b">
        <f>+ISNUMBER(SEARCH('F-VTA'!$F$35,Tabla11[[#This Row],[Cuenta]],1))</f>
        <v>1</v>
      </c>
      <c r="AQ205" t="b">
        <f>+ISNUMBER(SEARCH('F-VTA'!$F$36,Tabla11[[#This Row],[Cuenta]],1))</f>
        <v>1</v>
      </c>
      <c r="AR205" t="b">
        <f>+ISNUMBER(SEARCH(#REF!,Tabla11[[#This Row],[Cuenta]],1))</f>
        <v>0</v>
      </c>
      <c r="AS205" t="b">
        <f>+ISNUMBER(SEARCH(#REF!,Tabla11[[#This Row],[Cuenta]],1))</f>
        <v>0</v>
      </c>
      <c r="AT205" t="b">
        <f>+ISNUMBER(SEARCH(#REF!,Tabla11[[#This Row],[Cuenta]],1))</f>
        <v>0</v>
      </c>
      <c r="AU205" t="b">
        <f>+ISNUMBER(SEARCH('Conc. Ban.1'!$I$9,Tabla11[[#This Row],[Cuenta]],1))</f>
        <v>0</v>
      </c>
      <c r="AV205" t="b">
        <f>+ISNUMBER(SEARCH(CompConta!$F$21,Tabla11[[#This Row],[Cuenta]],1))</f>
        <v>1</v>
      </c>
      <c r="AW205" t="b">
        <f>+ISNUMBER(SEARCH(CompConta!$F$22,Tabla11[[#This Row],[Cuenta]],1))</f>
        <v>1</v>
      </c>
      <c r="AX205" t="b">
        <f>+ISNUMBER(SEARCH(CompConta!$F$23,Tabla11[[#This Row],[Cuenta]],1))</f>
        <v>1</v>
      </c>
      <c r="AY205" t="b">
        <f>+ISNUMBER(SEARCH(CompConta!$F$24,Tabla11[[#This Row],[Cuenta]],1))</f>
        <v>1</v>
      </c>
      <c r="AZ205" t="b">
        <f>+ISNUMBER(SEARCH(CompConta!$F$25,Tabla11[[#This Row],[Cuenta]],1))</f>
        <v>1</v>
      </c>
      <c r="BA205" t="b">
        <f>+ISNUMBER(SEARCH(CompConta!$F$26,Tabla11[[#This Row],[Cuenta]],1))</f>
        <v>1</v>
      </c>
      <c r="BB205" t="b">
        <f>+ISNUMBER(SEARCH(CompConta!$F$27,Tabla11[[#This Row],[Cuenta]],1))</f>
        <v>1</v>
      </c>
      <c r="BC205" t="b">
        <f>+ISNUMBER(SEARCH(CompConta!$F$28,Tabla11[[#This Row],[Cuenta]],1))</f>
        <v>1</v>
      </c>
      <c r="BD205" t="b">
        <f>+ISNUMBER(SEARCH(CompConta!$F$29,Tabla11[[#This Row],[Cuenta]],1))</f>
        <v>1</v>
      </c>
      <c r="BE205" t="b">
        <f>+ISNUMBER(SEARCH(CompConta!$F$30,Tabla11[[#This Row],[Cuenta]],1))</f>
        <v>1</v>
      </c>
      <c r="BF205" t="b">
        <f>+ISNUMBER(SEARCH('PAGO Compras'!$E$11,Tabla11[[#This Row],[Cuenta]],1))</f>
        <v>1</v>
      </c>
      <c r="BG205" t="b">
        <f>+ISNUMBER(SEARCH(#REF!,Tabla11[[#This Row],[Cuenta]],1))</f>
        <v>0</v>
      </c>
      <c r="BH205" t="b">
        <f>+ISNUMBER(SEARCH(#REF!,Tabla11[[#This Row],[Cuenta]],1))</f>
        <v>0</v>
      </c>
      <c r="BI205" t="b">
        <f>+ISNUMBER(SEARCH(#REF!,Tabla11[[#This Row],[Cuenta]],1))</f>
        <v>0</v>
      </c>
      <c r="BJ205" t="b">
        <f>+ISNUMBER(SEARCH(#REF!,Tabla11[[#This Row],[Cuenta]],1))</f>
        <v>0</v>
      </c>
      <c r="BS205" t="str">
        <v>1562 ENVASES Y EMPAQUES</v>
      </c>
      <c r="BT205" t="str">
        <v>1562 ENVASES Y EMPAQUES</v>
      </c>
      <c r="BU205" t="str">
        <v>1562 ENVASES Y EMPAQUES</v>
      </c>
      <c r="BV205" t="str">
        <v>1562 ENVASES Y EMPAQUES</v>
      </c>
      <c r="BZ205" t="str">
        <v>1562 ENVASES Y EMPAQUES</v>
      </c>
      <c r="CA205" t="str">
        <v>1562 ENVASES Y EMPAQUES</v>
      </c>
      <c r="CB205" t="str">
        <v>1562 ENVASES Y EMPAQUES</v>
      </c>
      <c r="CC205" t="str">
        <v>1562 ENVASES Y EMPAQUES</v>
      </c>
      <c r="CD205" t="str">
        <v>1562 ENVASES Y EMPAQUES</v>
      </c>
      <c r="CE205" t="str">
        <v>1562 ENVASES Y EMPAQUES</v>
      </c>
      <c r="CS205" s="141" t="str">
        <v>1562 ENVASES Y EMPAQUES</v>
      </c>
      <c r="CT205" s="141" t="str">
        <v>1562 ENVASES Y EMPAQUES</v>
      </c>
      <c r="CU205" s="141" t="str">
        <v>1562 ENVASES Y EMPAQUES</v>
      </c>
      <c r="CV205" s="141" t="str">
        <v>1562 ENVASES Y EMPAQUES</v>
      </c>
      <c r="CW205" s="141" t="str">
        <v>1562 ENVASES Y EMPAQUES</v>
      </c>
      <c r="CX205" s="141" t="str">
        <v>1562 ENVASES Y EMPAQUES</v>
      </c>
      <c r="CY205" s="141" t="str">
        <v>1562 ENVASES Y EMPAQUES</v>
      </c>
      <c r="CZ205" s="141" t="str">
        <v>1562 ENVASES Y EMPAQUES</v>
      </c>
      <c r="DA205" s="141" t="str">
        <v>1562 ENVASES Y EMPAQUES</v>
      </c>
      <c r="DF205" t="str">
        <v>1562 ENVASES Y EMPAQUES</v>
      </c>
      <c r="DG205" t="str">
        <v>1562 ENVASES Y EMPAQUES</v>
      </c>
      <c r="DH205" t="str">
        <v>1562 ENVASES Y EMPAQUES</v>
      </c>
      <c r="DI205" t="str">
        <v>1562 ENVASES Y EMPAQUES</v>
      </c>
      <c r="DJ205" t="str">
        <v>1562 ENVASES Y EMPAQUES</v>
      </c>
      <c r="DK205" t="str">
        <v>1562 ENVASES Y EMPAQUES</v>
      </c>
      <c r="DL205" t="str">
        <v>1562 ENVASES Y EMPAQUES</v>
      </c>
      <c r="DM205" t="str">
        <v>1562 ENVASES Y EMPAQUES</v>
      </c>
      <c r="DN205" t="str">
        <v>1562 ENVASES Y EMPAQUES</v>
      </c>
      <c r="DO205" t="str">
        <v>1562 ENVASES Y EMPAQUES</v>
      </c>
      <c r="DP205" t="str">
        <v>1562 ENVASES Y EMPAQUES</v>
      </c>
    </row>
    <row r="206" spans="4:120" ht="12.75">
      <c r="D206" s="7">
        <v>156299</v>
      </c>
      <c r="E206" s="6" t="s">
        <v>44</v>
      </c>
      <c r="F206" s="5">
        <v>4</v>
      </c>
      <c r="G206" s="34" t="s">
        <v>822</v>
      </c>
      <c r="H206" s="8" t="s">
        <v>32</v>
      </c>
      <c r="I206" t="b">
        <f>+ISNUMBER(SEARCH('F-COMPRA'!$F$28,Tabla11[[#This Row],[Cuenta]],1))</f>
        <v>1</v>
      </c>
      <c r="J206" t="b">
        <f>+ISNUMBER(SEARCH('F-COMPRA'!$F$29,Tabla11[[#This Row],[Cuenta]],1))</f>
        <v>1</v>
      </c>
      <c r="K206" t="b">
        <f>+ISNUMBER(SEARCH('F-COMPRA'!$F$30,Tabla11[[#This Row],[Cuenta]],1))</f>
        <v>1</v>
      </c>
      <c r="L206" t="b">
        <f>+ISNUMBER(SEARCH('F-COMPRA'!$F$31,Tabla11[[#This Row],[Cuenta]],1))</f>
        <v>1</v>
      </c>
      <c r="M206" t="b">
        <f>+ISNUMBER(SEARCH('F-COMPRA'!$G$25,Tabla11[[#This Row],[Cuenta]],1))</f>
        <v>0</v>
      </c>
      <c r="N206" t="b">
        <f>+ISNUMBER(SEARCH(#REF!,Tabla11[[#This Row],[Cuenta]],1))</f>
        <v>0</v>
      </c>
      <c r="O206" t="b">
        <f>+ISNUMBER(SEARCH(#REF!,Tabla11[[#This Row],[Cuenta]],1))</f>
        <v>0</v>
      </c>
      <c r="P206" t="b">
        <f>+ISNUMBER(SEARCH('F-COMPRA'!$F$32,Tabla11[[#This Row],[Cuenta]],1))</f>
        <v>1</v>
      </c>
      <c r="Q206" t="b">
        <f>+ISNUMBER(SEARCH('F-COMPRA'!$F$33,Tabla11[[#This Row],[Cuenta]],1))</f>
        <v>1</v>
      </c>
      <c r="R206" t="b">
        <f>+ISNUMBER(SEARCH('F-COMPRA'!$F$34,Tabla11[[#This Row],[Cuenta]],1))</f>
        <v>1</v>
      </c>
      <c r="S206" t="b">
        <f>+ISNUMBER(SEARCH('F-COMPRA'!$F$35,Tabla11[[#This Row],[Cuenta]],1))</f>
        <v>1</v>
      </c>
      <c r="T206" t="b">
        <f>+ISNUMBER(SEARCH('F-COMPRA'!$F$36,Tabla11[[#This Row],[Cuenta]],1))</f>
        <v>1</v>
      </c>
      <c r="U206" t="b">
        <f>+ISNUMBER(SEARCH('F-COMPRA'!$F$37,Tabla11[[#This Row],[Cuenta]],1))</f>
        <v>1</v>
      </c>
      <c r="V206" t="b">
        <f>+ISNUMBER(SEARCH(#REF!,Tabla11[[#This Row],[Cuenta]],1))</f>
        <v>0</v>
      </c>
      <c r="W206" t="b">
        <f>+ISNUMBER(SEARCH('F-COMPRA'!#REF!,Tabla11[[#This Row],[Cuenta]],1))</f>
        <v>0</v>
      </c>
      <c r="X206" t="b">
        <f>+ISNUMBER(SEARCH('F-COMPRA'!#REF!,Tabla11[[#This Row],[Cuenta]],1))</f>
        <v>0</v>
      </c>
      <c r="Y206" t="b">
        <f>+ISNUMBER(SEARCH('F-COMPRA'!#REF!,Tabla11[[#This Row],[Cuenta]],1))</f>
        <v>0</v>
      </c>
      <c r="Z206" t="b">
        <f>+ISNUMBER(SEARCH('F-COMPRA'!#REF!,Tabla11[[#This Row],[Cuenta]],1))</f>
        <v>0</v>
      </c>
      <c r="AA206" t="b">
        <f>+ISNUMBER(SEARCH('F-COMPRA'!#REF!,Tabla11[[#This Row],[Cuenta]],1))</f>
        <v>0</v>
      </c>
      <c r="AB206" t="b">
        <f>+ISNUMBER(SEARCH('F-COMPRA'!#REF!,Tabla11[[#This Row],[Cuenta]],1))</f>
        <v>0</v>
      </c>
      <c r="AC206" t="b">
        <f>+ISNUMBER(SEARCH('F-COMPRA'!#REF!,Tabla11[[#This Row],[Cuenta]],1))</f>
        <v>0</v>
      </c>
      <c r="AD206" t="b">
        <f>+ISNUMBER(SEARCH('F-COMPRA'!#REF!,Tabla11[[#This Row],[Cuenta]],1))</f>
        <v>0</v>
      </c>
      <c r="AE206" t="b">
        <f>+ISNUMBER(SEARCH('F-COMPRA'!#REF!,Tabla11[[#This Row],[Cuenta]],1))</f>
        <v>0</v>
      </c>
      <c r="AF206" t="b">
        <f>+ISNUMBER(SEARCH('F-VTA'!$G$23,Tabla11[[#This Row],[Cuenta]],1))</f>
        <v>0</v>
      </c>
      <c r="AG206" t="b">
        <f>+ISNUMBER(SEARCH('F-VTA'!$G$24,Tabla11[[#This Row],[Cuenta]],1))</f>
        <v>0</v>
      </c>
      <c r="AH206" t="b">
        <f>+ISNUMBER(SEARCH('F-VTA'!$G$25,Tabla11[[#This Row],[Cuenta]],1))</f>
        <v>0</v>
      </c>
      <c r="AI206" t="b">
        <f>+ISNUMBER(SEARCH('F-VTA'!$F$28,Tabla11[[#This Row],[Cuenta]],1))</f>
        <v>1</v>
      </c>
      <c r="AJ206" t="b">
        <f>+ISNUMBER(SEARCH('F-VTA'!$F$29,Tabla11[[#This Row],[Cuenta]],1))</f>
        <v>1</v>
      </c>
      <c r="AK206" t="b">
        <f>+ISNUMBER(SEARCH('F-VTA'!$F$30,Tabla11[[#This Row],[Cuenta]],1))</f>
        <v>1</v>
      </c>
      <c r="AL206" t="b">
        <f>+ISNUMBER(SEARCH('F-VTA'!$F$31,Tabla11[[#This Row],[Cuenta]],1))</f>
        <v>1</v>
      </c>
      <c r="AM206" t="b">
        <f>+ISNUMBER(SEARCH('F-VTA'!$F$32,Tabla11[[#This Row],[Cuenta]],1))</f>
        <v>1</v>
      </c>
      <c r="AN206" t="b">
        <f>+ISNUMBER(SEARCH('F-VTA'!$F$33,Tabla11[[#This Row],[Cuenta]],1))</f>
        <v>1</v>
      </c>
      <c r="AO206" t="b">
        <f>+ISNUMBER(SEARCH('F-VTA'!$F$34,Tabla11[[#This Row],[Cuenta]],1))</f>
        <v>1</v>
      </c>
      <c r="AP206" t="b">
        <f>+ISNUMBER(SEARCH('F-VTA'!$F$35,Tabla11[[#This Row],[Cuenta]],1))</f>
        <v>1</v>
      </c>
      <c r="AQ206" t="b">
        <f>+ISNUMBER(SEARCH('F-VTA'!$F$36,Tabla11[[#This Row],[Cuenta]],1))</f>
        <v>1</v>
      </c>
      <c r="AR206" t="b">
        <f>+ISNUMBER(SEARCH(#REF!,Tabla11[[#This Row],[Cuenta]],1))</f>
        <v>0</v>
      </c>
      <c r="AS206" t="b">
        <f>+ISNUMBER(SEARCH(#REF!,Tabla11[[#This Row],[Cuenta]],1))</f>
        <v>0</v>
      </c>
      <c r="AT206" t="b">
        <f>+ISNUMBER(SEARCH(#REF!,Tabla11[[#This Row],[Cuenta]],1))</f>
        <v>0</v>
      </c>
      <c r="AU206" t="b">
        <f>+ISNUMBER(SEARCH('Conc. Ban.1'!$I$9,Tabla11[[#This Row],[Cuenta]],1))</f>
        <v>0</v>
      </c>
      <c r="AV206" t="b">
        <f>+ISNUMBER(SEARCH(CompConta!$F$21,Tabla11[[#This Row],[Cuenta]],1))</f>
        <v>1</v>
      </c>
      <c r="AW206" t="b">
        <f>+ISNUMBER(SEARCH(CompConta!$F$22,Tabla11[[#This Row],[Cuenta]],1))</f>
        <v>1</v>
      </c>
      <c r="AX206" t="b">
        <f>+ISNUMBER(SEARCH(CompConta!$F$23,Tabla11[[#This Row],[Cuenta]],1))</f>
        <v>1</v>
      </c>
      <c r="AY206" t="b">
        <f>+ISNUMBER(SEARCH(CompConta!$F$24,Tabla11[[#This Row],[Cuenta]],1))</f>
        <v>1</v>
      </c>
      <c r="AZ206" t="b">
        <f>+ISNUMBER(SEARCH(CompConta!$F$25,Tabla11[[#This Row],[Cuenta]],1))</f>
        <v>1</v>
      </c>
      <c r="BA206" t="b">
        <f>+ISNUMBER(SEARCH(CompConta!$F$26,Tabla11[[#This Row],[Cuenta]],1))</f>
        <v>1</v>
      </c>
      <c r="BB206" t="b">
        <f>+ISNUMBER(SEARCH(CompConta!$F$27,Tabla11[[#This Row],[Cuenta]],1))</f>
        <v>1</v>
      </c>
      <c r="BC206" t="b">
        <f>+ISNUMBER(SEARCH(CompConta!$F$28,Tabla11[[#This Row],[Cuenta]],1))</f>
        <v>1</v>
      </c>
      <c r="BD206" t="b">
        <f>+ISNUMBER(SEARCH(CompConta!$F$29,Tabla11[[#This Row],[Cuenta]],1))</f>
        <v>1</v>
      </c>
      <c r="BE206" t="b">
        <f>+ISNUMBER(SEARCH(CompConta!$F$30,Tabla11[[#This Row],[Cuenta]],1))</f>
        <v>1</v>
      </c>
      <c r="BF206" t="b">
        <f>+ISNUMBER(SEARCH('PAGO Compras'!$E$11,Tabla11[[#This Row],[Cuenta]],1))</f>
        <v>1</v>
      </c>
      <c r="BG206" t="b">
        <f>+ISNUMBER(SEARCH(#REF!,Tabla11[[#This Row],[Cuenta]],1))</f>
        <v>0</v>
      </c>
      <c r="BH206" t="b">
        <f>+ISNUMBER(SEARCH(#REF!,Tabla11[[#This Row],[Cuenta]],1))</f>
        <v>0</v>
      </c>
      <c r="BI206" t="b">
        <f>+ISNUMBER(SEARCH(#REF!,Tabla11[[#This Row],[Cuenta]],1))</f>
        <v>0</v>
      </c>
      <c r="BJ206" t="b">
        <f>+ISNUMBER(SEARCH(#REF!,Tabla11[[#This Row],[Cuenta]],1))</f>
        <v>0</v>
      </c>
      <c r="BS206" t="str">
        <v>156299 Ajustes por inflación</v>
      </c>
      <c r="BT206" t="str">
        <v>156299 Ajustes por inflación</v>
      </c>
      <c r="BU206" t="str">
        <v>156299 Ajustes por inflación</v>
      </c>
      <c r="BV206" t="str">
        <v>156299 Ajustes por inflación</v>
      </c>
      <c r="BZ206" t="str">
        <v>156299 Ajustes por inflación</v>
      </c>
      <c r="CA206" t="str">
        <v>156299 Ajustes por inflación</v>
      </c>
      <c r="CB206" t="str">
        <v>156299 Ajustes por inflación</v>
      </c>
      <c r="CC206" t="str">
        <v>156299 Ajustes por inflación</v>
      </c>
      <c r="CD206" t="str">
        <v>156299 Ajustes por inflación</v>
      </c>
      <c r="CE206" t="str">
        <v>156299 Ajustes por inflación</v>
      </c>
      <c r="CS206" s="141" t="str">
        <v>156299 Ajustes por inflación</v>
      </c>
      <c r="CT206" s="141" t="str">
        <v>156299 Ajustes por inflación</v>
      </c>
      <c r="CU206" s="141" t="str">
        <v>156299 Ajustes por inflación</v>
      </c>
      <c r="CV206" s="141" t="str">
        <v>156299 Ajustes por inflación</v>
      </c>
      <c r="CW206" s="141" t="str">
        <v>156299 Ajustes por inflación</v>
      </c>
      <c r="CX206" s="141" t="str">
        <v>156299 Ajustes por inflación</v>
      </c>
      <c r="CY206" s="141" t="str">
        <v>156299 Ajustes por inflación</v>
      </c>
      <c r="CZ206" s="141" t="str">
        <v>156299 Ajustes por inflación</v>
      </c>
      <c r="DA206" s="141" t="str">
        <v>156299 Ajustes por inflación</v>
      </c>
      <c r="DF206" t="str">
        <v>156299 Ajustes por inflación</v>
      </c>
      <c r="DG206" t="str">
        <v>156299 Ajustes por inflación</v>
      </c>
      <c r="DH206" t="str">
        <v>156299 Ajustes por inflación</v>
      </c>
      <c r="DI206" t="str">
        <v>156299 Ajustes por inflación</v>
      </c>
      <c r="DJ206" t="str">
        <v>156299 Ajustes por inflación</v>
      </c>
      <c r="DK206" t="str">
        <v>156299 Ajustes por inflación</v>
      </c>
      <c r="DL206" t="str">
        <v>156299 Ajustes por inflación</v>
      </c>
      <c r="DM206" t="str">
        <v>156299 Ajustes por inflación</v>
      </c>
      <c r="DN206" t="str">
        <v>156299 Ajustes por inflación</v>
      </c>
      <c r="DO206" t="str">
        <v>156299 Ajustes por inflación</v>
      </c>
      <c r="DP206" t="str">
        <v>156299 Ajustes por inflación</v>
      </c>
    </row>
    <row r="207" spans="4:120" ht="12.75">
      <c r="D207" s="7">
        <v>1564</v>
      </c>
      <c r="E207" s="6" t="s">
        <v>207</v>
      </c>
      <c r="F207" s="5">
        <v>3</v>
      </c>
      <c r="G207" s="34" t="s">
        <v>822</v>
      </c>
      <c r="H207" s="8" t="s">
        <v>32</v>
      </c>
      <c r="I207" t="b">
        <f>+ISNUMBER(SEARCH('F-COMPRA'!$F$28,Tabla11[[#This Row],[Cuenta]],1))</f>
        <v>1</v>
      </c>
      <c r="J207" t="b">
        <f>+ISNUMBER(SEARCH('F-COMPRA'!$F$29,Tabla11[[#This Row],[Cuenta]],1))</f>
        <v>1</v>
      </c>
      <c r="K207" t="b">
        <f>+ISNUMBER(SEARCH('F-COMPRA'!$F$30,Tabla11[[#This Row],[Cuenta]],1))</f>
        <v>1</v>
      </c>
      <c r="L207" t="b">
        <f>+ISNUMBER(SEARCH('F-COMPRA'!$F$31,Tabla11[[#This Row],[Cuenta]],1))</f>
        <v>1</v>
      </c>
      <c r="M207" t="b">
        <f>+ISNUMBER(SEARCH('F-COMPRA'!$G$25,Tabla11[[#This Row],[Cuenta]],1))</f>
        <v>0</v>
      </c>
      <c r="N207" t="b">
        <f>+ISNUMBER(SEARCH(#REF!,Tabla11[[#This Row],[Cuenta]],1))</f>
        <v>0</v>
      </c>
      <c r="O207" t="b">
        <f>+ISNUMBER(SEARCH(#REF!,Tabla11[[#This Row],[Cuenta]],1))</f>
        <v>0</v>
      </c>
      <c r="P207" t="b">
        <f>+ISNUMBER(SEARCH('F-COMPRA'!$F$32,Tabla11[[#This Row],[Cuenta]],1))</f>
        <v>1</v>
      </c>
      <c r="Q207" t="b">
        <f>+ISNUMBER(SEARCH('F-COMPRA'!$F$33,Tabla11[[#This Row],[Cuenta]],1))</f>
        <v>1</v>
      </c>
      <c r="R207" t="b">
        <f>+ISNUMBER(SEARCH('F-COMPRA'!$F$34,Tabla11[[#This Row],[Cuenta]],1))</f>
        <v>1</v>
      </c>
      <c r="S207" t="b">
        <f>+ISNUMBER(SEARCH('F-COMPRA'!$F$35,Tabla11[[#This Row],[Cuenta]],1))</f>
        <v>1</v>
      </c>
      <c r="T207" t="b">
        <f>+ISNUMBER(SEARCH('F-COMPRA'!$F$36,Tabla11[[#This Row],[Cuenta]],1))</f>
        <v>1</v>
      </c>
      <c r="U207" t="b">
        <f>+ISNUMBER(SEARCH('F-COMPRA'!$F$37,Tabla11[[#This Row],[Cuenta]],1))</f>
        <v>1</v>
      </c>
      <c r="V207" t="b">
        <f>+ISNUMBER(SEARCH(#REF!,Tabla11[[#This Row],[Cuenta]],1))</f>
        <v>0</v>
      </c>
      <c r="W207" t="b">
        <f>+ISNUMBER(SEARCH('F-COMPRA'!#REF!,Tabla11[[#This Row],[Cuenta]],1))</f>
        <v>0</v>
      </c>
      <c r="X207" t="b">
        <f>+ISNUMBER(SEARCH('F-COMPRA'!#REF!,Tabla11[[#This Row],[Cuenta]],1))</f>
        <v>0</v>
      </c>
      <c r="Y207" t="b">
        <f>+ISNUMBER(SEARCH('F-COMPRA'!#REF!,Tabla11[[#This Row],[Cuenta]],1))</f>
        <v>0</v>
      </c>
      <c r="Z207" t="b">
        <f>+ISNUMBER(SEARCH('F-COMPRA'!#REF!,Tabla11[[#This Row],[Cuenta]],1))</f>
        <v>0</v>
      </c>
      <c r="AA207" t="b">
        <f>+ISNUMBER(SEARCH('F-COMPRA'!#REF!,Tabla11[[#This Row],[Cuenta]],1))</f>
        <v>0</v>
      </c>
      <c r="AB207" t="b">
        <f>+ISNUMBER(SEARCH('F-COMPRA'!#REF!,Tabla11[[#This Row],[Cuenta]],1))</f>
        <v>0</v>
      </c>
      <c r="AC207" t="b">
        <f>+ISNUMBER(SEARCH('F-COMPRA'!#REF!,Tabla11[[#This Row],[Cuenta]],1))</f>
        <v>0</v>
      </c>
      <c r="AD207" t="b">
        <f>+ISNUMBER(SEARCH('F-COMPRA'!#REF!,Tabla11[[#This Row],[Cuenta]],1))</f>
        <v>0</v>
      </c>
      <c r="AE207" t="b">
        <f>+ISNUMBER(SEARCH('F-COMPRA'!#REF!,Tabla11[[#This Row],[Cuenta]],1))</f>
        <v>0</v>
      </c>
      <c r="AF207" t="b">
        <f>+ISNUMBER(SEARCH('F-VTA'!$G$23,Tabla11[[#This Row],[Cuenta]],1))</f>
        <v>0</v>
      </c>
      <c r="AG207" t="b">
        <f>+ISNUMBER(SEARCH('F-VTA'!$G$24,Tabla11[[#This Row],[Cuenta]],1))</f>
        <v>0</v>
      </c>
      <c r="AH207" t="b">
        <f>+ISNUMBER(SEARCH('F-VTA'!$G$25,Tabla11[[#This Row],[Cuenta]],1))</f>
        <v>0</v>
      </c>
      <c r="AI207" t="b">
        <f>+ISNUMBER(SEARCH('F-VTA'!$F$28,Tabla11[[#This Row],[Cuenta]],1))</f>
        <v>1</v>
      </c>
      <c r="AJ207" t="b">
        <f>+ISNUMBER(SEARCH('F-VTA'!$F$29,Tabla11[[#This Row],[Cuenta]],1))</f>
        <v>1</v>
      </c>
      <c r="AK207" t="b">
        <f>+ISNUMBER(SEARCH('F-VTA'!$F$30,Tabla11[[#This Row],[Cuenta]],1))</f>
        <v>1</v>
      </c>
      <c r="AL207" t="b">
        <f>+ISNUMBER(SEARCH('F-VTA'!$F$31,Tabla11[[#This Row],[Cuenta]],1))</f>
        <v>1</v>
      </c>
      <c r="AM207" t="b">
        <f>+ISNUMBER(SEARCH('F-VTA'!$F$32,Tabla11[[#This Row],[Cuenta]],1))</f>
        <v>1</v>
      </c>
      <c r="AN207" t="b">
        <f>+ISNUMBER(SEARCH('F-VTA'!$F$33,Tabla11[[#This Row],[Cuenta]],1))</f>
        <v>1</v>
      </c>
      <c r="AO207" t="b">
        <f>+ISNUMBER(SEARCH('F-VTA'!$F$34,Tabla11[[#This Row],[Cuenta]],1))</f>
        <v>1</v>
      </c>
      <c r="AP207" t="b">
        <f>+ISNUMBER(SEARCH('F-VTA'!$F$35,Tabla11[[#This Row],[Cuenta]],1))</f>
        <v>1</v>
      </c>
      <c r="AQ207" t="b">
        <f>+ISNUMBER(SEARCH('F-VTA'!$F$36,Tabla11[[#This Row],[Cuenta]],1))</f>
        <v>1</v>
      </c>
      <c r="AR207" t="b">
        <f>+ISNUMBER(SEARCH(#REF!,Tabla11[[#This Row],[Cuenta]],1))</f>
        <v>0</v>
      </c>
      <c r="AS207" t="b">
        <f>+ISNUMBER(SEARCH(#REF!,Tabla11[[#This Row],[Cuenta]],1))</f>
        <v>0</v>
      </c>
      <c r="AT207" t="b">
        <f>+ISNUMBER(SEARCH(#REF!,Tabla11[[#This Row],[Cuenta]],1))</f>
        <v>0</v>
      </c>
      <c r="AU207" t="b">
        <f>+ISNUMBER(SEARCH('Conc. Ban.1'!$I$9,Tabla11[[#This Row],[Cuenta]],1))</f>
        <v>0</v>
      </c>
      <c r="AV207" t="b">
        <f>+ISNUMBER(SEARCH(CompConta!$F$21,Tabla11[[#This Row],[Cuenta]],1))</f>
        <v>1</v>
      </c>
      <c r="AW207" t="b">
        <f>+ISNUMBER(SEARCH(CompConta!$F$22,Tabla11[[#This Row],[Cuenta]],1))</f>
        <v>1</v>
      </c>
      <c r="AX207" t="b">
        <f>+ISNUMBER(SEARCH(CompConta!$F$23,Tabla11[[#This Row],[Cuenta]],1))</f>
        <v>1</v>
      </c>
      <c r="AY207" t="b">
        <f>+ISNUMBER(SEARCH(CompConta!$F$24,Tabla11[[#This Row],[Cuenta]],1))</f>
        <v>1</v>
      </c>
      <c r="AZ207" t="b">
        <f>+ISNUMBER(SEARCH(CompConta!$F$25,Tabla11[[#This Row],[Cuenta]],1))</f>
        <v>1</v>
      </c>
      <c r="BA207" t="b">
        <f>+ISNUMBER(SEARCH(CompConta!$F$26,Tabla11[[#This Row],[Cuenta]],1))</f>
        <v>1</v>
      </c>
      <c r="BB207" t="b">
        <f>+ISNUMBER(SEARCH(CompConta!$F$27,Tabla11[[#This Row],[Cuenta]],1))</f>
        <v>1</v>
      </c>
      <c r="BC207" t="b">
        <f>+ISNUMBER(SEARCH(CompConta!$F$28,Tabla11[[#This Row],[Cuenta]],1))</f>
        <v>1</v>
      </c>
      <c r="BD207" t="b">
        <f>+ISNUMBER(SEARCH(CompConta!$F$29,Tabla11[[#This Row],[Cuenta]],1))</f>
        <v>1</v>
      </c>
      <c r="BE207" t="b">
        <f>+ISNUMBER(SEARCH(CompConta!$F$30,Tabla11[[#This Row],[Cuenta]],1))</f>
        <v>1</v>
      </c>
      <c r="BF207" t="b">
        <f>+ISNUMBER(SEARCH('PAGO Compras'!$E$11,Tabla11[[#This Row],[Cuenta]],1))</f>
        <v>1</v>
      </c>
      <c r="BG207" t="b">
        <f>+ISNUMBER(SEARCH(#REF!,Tabla11[[#This Row],[Cuenta]],1))</f>
        <v>0</v>
      </c>
      <c r="BH207" t="b">
        <f>+ISNUMBER(SEARCH(#REF!,Tabla11[[#This Row],[Cuenta]],1))</f>
        <v>0</v>
      </c>
      <c r="BI207" t="b">
        <f>+ISNUMBER(SEARCH(#REF!,Tabla11[[#This Row],[Cuenta]],1))</f>
        <v>0</v>
      </c>
      <c r="BJ207" t="b">
        <f>+ISNUMBER(SEARCH(#REF!,Tabla11[[#This Row],[Cuenta]],1))</f>
        <v>0</v>
      </c>
      <c r="BS207" t="str">
        <v>1564 PLANTACIONES AGRÍCOLAS Y FORESTALES</v>
      </c>
      <c r="BT207" t="str">
        <v>1564 PLANTACIONES AGRÍCOLAS Y FORESTALES</v>
      </c>
      <c r="BU207" t="str">
        <v>1564 PLANTACIONES AGRÍCOLAS Y FORESTALES</v>
      </c>
      <c r="BV207" t="str">
        <v>1564 PLANTACIONES AGRÍCOLAS Y FORESTALES</v>
      </c>
      <c r="BZ207" t="str">
        <v>1564 PLANTACIONES AGRÍCOLAS Y FORESTALES</v>
      </c>
      <c r="CA207" t="str">
        <v>1564 PLANTACIONES AGRÍCOLAS Y FORESTALES</v>
      </c>
      <c r="CB207" t="str">
        <v>1564 PLANTACIONES AGRÍCOLAS Y FORESTALES</v>
      </c>
      <c r="CC207" t="str">
        <v>1564 PLANTACIONES AGRÍCOLAS Y FORESTALES</v>
      </c>
      <c r="CD207" t="str">
        <v>1564 PLANTACIONES AGRÍCOLAS Y FORESTALES</v>
      </c>
      <c r="CE207" t="str">
        <v>1564 PLANTACIONES AGRÍCOLAS Y FORESTALES</v>
      </c>
      <c r="CS207" s="141" t="str">
        <v>1564 PLANTACIONES AGRÍCOLAS Y FORESTALES</v>
      </c>
      <c r="CT207" s="141" t="str">
        <v>1564 PLANTACIONES AGRÍCOLAS Y FORESTALES</v>
      </c>
      <c r="CU207" s="141" t="str">
        <v>1564 PLANTACIONES AGRÍCOLAS Y FORESTALES</v>
      </c>
      <c r="CV207" s="141" t="str">
        <v>1564 PLANTACIONES AGRÍCOLAS Y FORESTALES</v>
      </c>
      <c r="CW207" s="141" t="str">
        <v>1564 PLANTACIONES AGRÍCOLAS Y FORESTALES</v>
      </c>
      <c r="CX207" s="141" t="str">
        <v>1564 PLANTACIONES AGRÍCOLAS Y FORESTALES</v>
      </c>
      <c r="CY207" s="141" t="str">
        <v>1564 PLANTACIONES AGRÍCOLAS Y FORESTALES</v>
      </c>
      <c r="CZ207" s="141" t="str">
        <v>1564 PLANTACIONES AGRÍCOLAS Y FORESTALES</v>
      </c>
      <c r="DA207" s="141" t="str">
        <v>1564 PLANTACIONES AGRÍCOLAS Y FORESTALES</v>
      </c>
      <c r="DF207" t="str">
        <v>1564 PLANTACIONES AGRÍCOLAS Y FORESTALES</v>
      </c>
      <c r="DG207" t="str">
        <v>1564 PLANTACIONES AGRÍCOLAS Y FORESTALES</v>
      </c>
      <c r="DH207" t="str">
        <v>1564 PLANTACIONES AGRÍCOLAS Y FORESTALES</v>
      </c>
      <c r="DI207" t="str">
        <v>1564 PLANTACIONES AGRÍCOLAS Y FORESTALES</v>
      </c>
      <c r="DJ207" t="str">
        <v>1564 PLANTACIONES AGRÍCOLAS Y FORESTALES</v>
      </c>
      <c r="DK207" t="str">
        <v>1564 PLANTACIONES AGRÍCOLAS Y FORESTALES</v>
      </c>
      <c r="DL207" t="str">
        <v>1564 PLANTACIONES AGRÍCOLAS Y FORESTALES</v>
      </c>
      <c r="DM207" t="str">
        <v>1564 PLANTACIONES AGRÍCOLAS Y FORESTALES</v>
      </c>
      <c r="DN207" t="str">
        <v>1564 PLANTACIONES AGRÍCOLAS Y FORESTALES</v>
      </c>
      <c r="DO207" t="str">
        <v>1564 PLANTACIONES AGRÍCOLAS Y FORESTALES</v>
      </c>
      <c r="DP207" t="str">
        <v>1564 PLANTACIONES AGRÍCOLAS Y FORESTALES</v>
      </c>
    </row>
    <row r="208" spans="4:120" ht="12.75">
      <c r="D208" s="7">
        <v>156405</v>
      </c>
      <c r="E208" s="6" t="s">
        <v>208</v>
      </c>
      <c r="F208" s="5">
        <v>4</v>
      </c>
      <c r="G208" s="34" t="s">
        <v>822</v>
      </c>
      <c r="H208" s="8" t="s">
        <v>32</v>
      </c>
      <c r="I208" t="b">
        <f>+ISNUMBER(SEARCH('F-COMPRA'!$F$28,Tabla11[[#This Row],[Cuenta]],1))</f>
        <v>1</v>
      </c>
      <c r="J208" t="b">
        <f>+ISNUMBER(SEARCH('F-COMPRA'!$F$29,Tabla11[[#This Row],[Cuenta]],1))</f>
        <v>1</v>
      </c>
      <c r="K208" t="b">
        <f>+ISNUMBER(SEARCH('F-COMPRA'!$F$30,Tabla11[[#This Row],[Cuenta]],1))</f>
        <v>1</v>
      </c>
      <c r="L208" t="b">
        <f>+ISNUMBER(SEARCH('F-COMPRA'!$F$31,Tabla11[[#This Row],[Cuenta]],1))</f>
        <v>1</v>
      </c>
      <c r="M208" t="b">
        <f>+ISNUMBER(SEARCH('F-COMPRA'!$G$25,Tabla11[[#This Row],[Cuenta]],1))</f>
        <v>0</v>
      </c>
      <c r="N208" t="b">
        <f>+ISNUMBER(SEARCH(#REF!,Tabla11[[#This Row],[Cuenta]],1))</f>
        <v>0</v>
      </c>
      <c r="O208" t="b">
        <f>+ISNUMBER(SEARCH(#REF!,Tabla11[[#This Row],[Cuenta]],1))</f>
        <v>0</v>
      </c>
      <c r="P208" t="b">
        <f>+ISNUMBER(SEARCH('F-COMPRA'!$F$32,Tabla11[[#This Row],[Cuenta]],1))</f>
        <v>1</v>
      </c>
      <c r="Q208" t="b">
        <f>+ISNUMBER(SEARCH('F-COMPRA'!$F$33,Tabla11[[#This Row],[Cuenta]],1))</f>
        <v>1</v>
      </c>
      <c r="R208" t="b">
        <f>+ISNUMBER(SEARCH('F-COMPRA'!$F$34,Tabla11[[#This Row],[Cuenta]],1))</f>
        <v>1</v>
      </c>
      <c r="S208" t="b">
        <f>+ISNUMBER(SEARCH('F-COMPRA'!$F$35,Tabla11[[#This Row],[Cuenta]],1))</f>
        <v>1</v>
      </c>
      <c r="T208" t="b">
        <f>+ISNUMBER(SEARCH('F-COMPRA'!$F$36,Tabla11[[#This Row],[Cuenta]],1))</f>
        <v>1</v>
      </c>
      <c r="U208" t="b">
        <f>+ISNUMBER(SEARCH('F-COMPRA'!$F$37,Tabla11[[#This Row],[Cuenta]],1))</f>
        <v>1</v>
      </c>
      <c r="V208" t="b">
        <f>+ISNUMBER(SEARCH(#REF!,Tabla11[[#This Row],[Cuenta]],1))</f>
        <v>0</v>
      </c>
      <c r="W208" t="b">
        <f>+ISNUMBER(SEARCH('F-COMPRA'!#REF!,Tabla11[[#This Row],[Cuenta]],1))</f>
        <v>0</v>
      </c>
      <c r="X208" t="b">
        <f>+ISNUMBER(SEARCH('F-COMPRA'!#REF!,Tabla11[[#This Row],[Cuenta]],1))</f>
        <v>0</v>
      </c>
      <c r="Y208" t="b">
        <f>+ISNUMBER(SEARCH('F-COMPRA'!#REF!,Tabla11[[#This Row],[Cuenta]],1))</f>
        <v>0</v>
      </c>
      <c r="Z208" t="b">
        <f>+ISNUMBER(SEARCH('F-COMPRA'!#REF!,Tabla11[[#This Row],[Cuenta]],1))</f>
        <v>0</v>
      </c>
      <c r="AA208" t="b">
        <f>+ISNUMBER(SEARCH('F-COMPRA'!#REF!,Tabla11[[#This Row],[Cuenta]],1))</f>
        <v>0</v>
      </c>
      <c r="AB208" t="b">
        <f>+ISNUMBER(SEARCH('F-COMPRA'!#REF!,Tabla11[[#This Row],[Cuenta]],1))</f>
        <v>0</v>
      </c>
      <c r="AC208" t="b">
        <f>+ISNUMBER(SEARCH('F-COMPRA'!#REF!,Tabla11[[#This Row],[Cuenta]],1))</f>
        <v>0</v>
      </c>
      <c r="AD208" t="b">
        <f>+ISNUMBER(SEARCH('F-COMPRA'!#REF!,Tabla11[[#This Row],[Cuenta]],1))</f>
        <v>0</v>
      </c>
      <c r="AE208" t="b">
        <f>+ISNUMBER(SEARCH('F-COMPRA'!#REF!,Tabla11[[#This Row],[Cuenta]],1))</f>
        <v>0</v>
      </c>
      <c r="AF208" t="b">
        <f>+ISNUMBER(SEARCH('F-VTA'!$G$23,Tabla11[[#This Row],[Cuenta]],1))</f>
        <v>0</v>
      </c>
      <c r="AG208" t="b">
        <f>+ISNUMBER(SEARCH('F-VTA'!$G$24,Tabla11[[#This Row],[Cuenta]],1))</f>
        <v>0</v>
      </c>
      <c r="AH208" t="b">
        <f>+ISNUMBER(SEARCH('F-VTA'!$G$25,Tabla11[[#This Row],[Cuenta]],1))</f>
        <v>0</v>
      </c>
      <c r="AI208" t="b">
        <f>+ISNUMBER(SEARCH('F-VTA'!$F$28,Tabla11[[#This Row],[Cuenta]],1))</f>
        <v>1</v>
      </c>
      <c r="AJ208" t="b">
        <f>+ISNUMBER(SEARCH('F-VTA'!$F$29,Tabla11[[#This Row],[Cuenta]],1))</f>
        <v>1</v>
      </c>
      <c r="AK208" t="b">
        <f>+ISNUMBER(SEARCH('F-VTA'!$F$30,Tabla11[[#This Row],[Cuenta]],1))</f>
        <v>1</v>
      </c>
      <c r="AL208" t="b">
        <f>+ISNUMBER(SEARCH('F-VTA'!$F$31,Tabla11[[#This Row],[Cuenta]],1))</f>
        <v>1</v>
      </c>
      <c r="AM208" t="b">
        <f>+ISNUMBER(SEARCH('F-VTA'!$F$32,Tabla11[[#This Row],[Cuenta]],1))</f>
        <v>1</v>
      </c>
      <c r="AN208" t="b">
        <f>+ISNUMBER(SEARCH('F-VTA'!$F$33,Tabla11[[#This Row],[Cuenta]],1))</f>
        <v>1</v>
      </c>
      <c r="AO208" t="b">
        <f>+ISNUMBER(SEARCH('F-VTA'!$F$34,Tabla11[[#This Row],[Cuenta]],1))</f>
        <v>1</v>
      </c>
      <c r="AP208" t="b">
        <f>+ISNUMBER(SEARCH('F-VTA'!$F$35,Tabla11[[#This Row],[Cuenta]],1))</f>
        <v>1</v>
      </c>
      <c r="AQ208" t="b">
        <f>+ISNUMBER(SEARCH('F-VTA'!$F$36,Tabla11[[#This Row],[Cuenta]],1))</f>
        <v>1</v>
      </c>
      <c r="AR208" t="b">
        <f>+ISNUMBER(SEARCH(#REF!,Tabla11[[#This Row],[Cuenta]],1))</f>
        <v>0</v>
      </c>
      <c r="AS208" t="b">
        <f>+ISNUMBER(SEARCH(#REF!,Tabla11[[#This Row],[Cuenta]],1))</f>
        <v>0</v>
      </c>
      <c r="AT208" t="b">
        <f>+ISNUMBER(SEARCH(#REF!,Tabla11[[#This Row],[Cuenta]],1))</f>
        <v>0</v>
      </c>
      <c r="AU208" t="b">
        <f>+ISNUMBER(SEARCH('Conc. Ban.1'!$I$9,Tabla11[[#This Row],[Cuenta]],1))</f>
        <v>0</v>
      </c>
      <c r="AV208" t="b">
        <f>+ISNUMBER(SEARCH(CompConta!$F$21,Tabla11[[#This Row],[Cuenta]],1))</f>
        <v>1</v>
      </c>
      <c r="AW208" t="b">
        <f>+ISNUMBER(SEARCH(CompConta!$F$22,Tabla11[[#This Row],[Cuenta]],1))</f>
        <v>1</v>
      </c>
      <c r="AX208" t="b">
        <f>+ISNUMBER(SEARCH(CompConta!$F$23,Tabla11[[#This Row],[Cuenta]],1))</f>
        <v>1</v>
      </c>
      <c r="AY208" t="b">
        <f>+ISNUMBER(SEARCH(CompConta!$F$24,Tabla11[[#This Row],[Cuenta]],1))</f>
        <v>1</v>
      </c>
      <c r="AZ208" t="b">
        <f>+ISNUMBER(SEARCH(CompConta!$F$25,Tabla11[[#This Row],[Cuenta]],1))</f>
        <v>1</v>
      </c>
      <c r="BA208" t="b">
        <f>+ISNUMBER(SEARCH(CompConta!$F$26,Tabla11[[#This Row],[Cuenta]],1))</f>
        <v>1</v>
      </c>
      <c r="BB208" t="b">
        <f>+ISNUMBER(SEARCH(CompConta!$F$27,Tabla11[[#This Row],[Cuenta]],1))</f>
        <v>1</v>
      </c>
      <c r="BC208" t="b">
        <f>+ISNUMBER(SEARCH(CompConta!$F$28,Tabla11[[#This Row],[Cuenta]],1))</f>
        <v>1</v>
      </c>
      <c r="BD208" t="b">
        <f>+ISNUMBER(SEARCH(CompConta!$F$29,Tabla11[[#This Row],[Cuenta]],1))</f>
        <v>1</v>
      </c>
      <c r="BE208" t="b">
        <f>+ISNUMBER(SEARCH(CompConta!$F$30,Tabla11[[#This Row],[Cuenta]],1))</f>
        <v>1</v>
      </c>
      <c r="BF208" t="b">
        <f>+ISNUMBER(SEARCH('PAGO Compras'!$E$11,Tabla11[[#This Row],[Cuenta]],1))</f>
        <v>1</v>
      </c>
      <c r="BG208" t="b">
        <f>+ISNUMBER(SEARCH(#REF!,Tabla11[[#This Row],[Cuenta]],1))</f>
        <v>0</v>
      </c>
      <c r="BH208" t="b">
        <f>+ISNUMBER(SEARCH(#REF!,Tabla11[[#This Row],[Cuenta]],1))</f>
        <v>0</v>
      </c>
      <c r="BI208" t="b">
        <f>+ISNUMBER(SEARCH(#REF!,Tabla11[[#This Row],[Cuenta]],1))</f>
        <v>0</v>
      </c>
      <c r="BJ208" t="b">
        <f>+ISNUMBER(SEARCH(#REF!,Tabla11[[#This Row],[Cuenta]],1))</f>
        <v>0</v>
      </c>
      <c r="BS208" t="str">
        <v>156405 Cultivos en desarrollo</v>
      </c>
      <c r="BT208" t="str">
        <v>156405 Cultivos en desarrollo</v>
      </c>
      <c r="BU208" t="str">
        <v>156405 Cultivos en desarrollo</v>
      </c>
      <c r="BV208" t="str">
        <v>156405 Cultivos en desarrollo</v>
      </c>
      <c r="BZ208" t="str">
        <v>156405 Cultivos en desarrollo</v>
      </c>
      <c r="CA208" t="str">
        <v>156405 Cultivos en desarrollo</v>
      </c>
      <c r="CB208" t="str">
        <v>156405 Cultivos en desarrollo</v>
      </c>
      <c r="CC208" t="str">
        <v>156405 Cultivos en desarrollo</v>
      </c>
      <c r="CD208" t="str">
        <v>156405 Cultivos en desarrollo</v>
      </c>
      <c r="CE208" t="str">
        <v>156405 Cultivos en desarrollo</v>
      </c>
      <c r="CS208" s="141" t="str">
        <v>156405 Cultivos en desarrollo</v>
      </c>
      <c r="CT208" s="141" t="str">
        <v>156405 Cultivos en desarrollo</v>
      </c>
      <c r="CU208" s="141" t="str">
        <v>156405 Cultivos en desarrollo</v>
      </c>
      <c r="CV208" s="141" t="str">
        <v>156405 Cultivos en desarrollo</v>
      </c>
      <c r="CW208" s="141" t="str">
        <v>156405 Cultivos en desarrollo</v>
      </c>
      <c r="CX208" s="141" t="str">
        <v>156405 Cultivos en desarrollo</v>
      </c>
      <c r="CY208" s="141" t="str">
        <v>156405 Cultivos en desarrollo</v>
      </c>
      <c r="CZ208" s="141" t="str">
        <v>156405 Cultivos en desarrollo</v>
      </c>
      <c r="DA208" s="141" t="str">
        <v>156405 Cultivos en desarrollo</v>
      </c>
      <c r="DF208" t="str">
        <v>156405 Cultivos en desarrollo</v>
      </c>
      <c r="DG208" t="str">
        <v>156405 Cultivos en desarrollo</v>
      </c>
      <c r="DH208" t="str">
        <v>156405 Cultivos en desarrollo</v>
      </c>
      <c r="DI208" t="str">
        <v>156405 Cultivos en desarrollo</v>
      </c>
      <c r="DJ208" t="str">
        <v>156405 Cultivos en desarrollo</v>
      </c>
      <c r="DK208" t="str">
        <v>156405 Cultivos en desarrollo</v>
      </c>
      <c r="DL208" t="str">
        <v>156405 Cultivos en desarrollo</v>
      </c>
      <c r="DM208" t="str">
        <v>156405 Cultivos en desarrollo</v>
      </c>
      <c r="DN208" t="str">
        <v>156405 Cultivos en desarrollo</v>
      </c>
      <c r="DO208" t="str">
        <v>156405 Cultivos en desarrollo</v>
      </c>
      <c r="DP208" t="str">
        <v>156405 Cultivos en desarrollo</v>
      </c>
    </row>
    <row r="209" spans="4:120" ht="12.75">
      <c r="D209" s="7">
        <v>156410</v>
      </c>
      <c r="E209" s="6" t="s">
        <v>209</v>
      </c>
      <c r="F209" s="5">
        <v>4</v>
      </c>
      <c r="G209" s="34" t="s">
        <v>822</v>
      </c>
      <c r="H209" s="8" t="s">
        <v>32</v>
      </c>
      <c r="I209" t="b">
        <f>+ISNUMBER(SEARCH('F-COMPRA'!$F$28,Tabla11[[#This Row],[Cuenta]],1))</f>
        <v>1</v>
      </c>
      <c r="J209" t="b">
        <f>+ISNUMBER(SEARCH('F-COMPRA'!$F$29,Tabla11[[#This Row],[Cuenta]],1))</f>
        <v>1</v>
      </c>
      <c r="K209" t="b">
        <f>+ISNUMBER(SEARCH('F-COMPRA'!$F$30,Tabla11[[#This Row],[Cuenta]],1))</f>
        <v>1</v>
      </c>
      <c r="L209" t="b">
        <f>+ISNUMBER(SEARCH('F-COMPRA'!$F$31,Tabla11[[#This Row],[Cuenta]],1))</f>
        <v>1</v>
      </c>
      <c r="M209" t="b">
        <f>+ISNUMBER(SEARCH('F-COMPRA'!$G$25,Tabla11[[#This Row],[Cuenta]],1))</f>
        <v>0</v>
      </c>
      <c r="N209" t="b">
        <f>+ISNUMBER(SEARCH(#REF!,Tabla11[[#This Row],[Cuenta]],1))</f>
        <v>0</v>
      </c>
      <c r="O209" t="b">
        <f>+ISNUMBER(SEARCH(#REF!,Tabla11[[#This Row],[Cuenta]],1))</f>
        <v>0</v>
      </c>
      <c r="P209" t="b">
        <f>+ISNUMBER(SEARCH('F-COMPRA'!$F$32,Tabla11[[#This Row],[Cuenta]],1))</f>
        <v>1</v>
      </c>
      <c r="Q209" t="b">
        <f>+ISNUMBER(SEARCH('F-COMPRA'!$F$33,Tabla11[[#This Row],[Cuenta]],1))</f>
        <v>1</v>
      </c>
      <c r="R209" t="b">
        <f>+ISNUMBER(SEARCH('F-COMPRA'!$F$34,Tabla11[[#This Row],[Cuenta]],1))</f>
        <v>1</v>
      </c>
      <c r="S209" t="b">
        <f>+ISNUMBER(SEARCH('F-COMPRA'!$F$35,Tabla11[[#This Row],[Cuenta]],1))</f>
        <v>1</v>
      </c>
      <c r="T209" t="b">
        <f>+ISNUMBER(SEARCH('F-COMPRA'!$F$36,Tabla11[[#This Row],[Cuenta]],1))</f>
        <v>1</v>
      </c>
      <c r="U209" t="b">
        <f>+ISNUMBER(SEARCH('F-COMPRA'!$F$37,Tabla11[[#This Row],[Cuenta]],1))</f>
        <v>1</v>
      </c>
      <c r="V209" t="b">
        <f>+ISNUMBER(SEARCH(#REF!,Tabla11[[#This Row],[Cuenta]],1))</f>
        <v>0</v>
      </c>
      <c r="W209" t="b">
        <f>+ISNUMBER(SEARCH('F-COMPRA'!#REF!,Tabla11[[#This Row],[Cuenta]],1))</f>
        <v>0</v>
      </c>
      <c r="X209" t="b">
        <f>+ISNUMBER(SEARCH('F-COMPRA'!#REF!,Tabla11[[#This Row],[Cuenta]],1))</f>
        <v>0</v>
      </c>
      <c r="Y209" t="b">
        <f>+ISNUMBER(SEARCH('F-COMPRA'!#REF!,Tabla11[[#This Row],[Cuenta]],1))</f>
        <v>0</v>
      </c>
      <c r="Z209" t="b">
        <f>+ISNUMBER(SEARCH('F-COMPRA'!#REF!,Tabla11[[#This Row],[Cuenta]],1))</f>
        <v>0</v>
      </c>
      <c r="AA209" t="b">
        <f>+ISNUMBER(SEARCH('F-COMPRA'!#REF!,Tabla11[[#This Row],[Cuenta]],1))</f>
        <v>0</v>
      </c>
      <c r="AB209" t="b">
        <f>+ISNUMBER(SEARCH('F-COMPRA'!#REF!,Tabla11[[#This Row],[Cuenta]],1))</f>
        <v>0</v>
      </c>
      <c r="AC209" t="b">
        <f>+ISNUMBER(SEARCH('F-COMPRA'!#REF!,Tabla11[[#This Row],[Cuenta]],1))</f>
        <v>0</v>
      </c>
      <c r="AD209" t="b">
        <f>+ISNUMBER(SEARCH('F-COMPRA'!#REF!,Tabla11[[#This Row],[Cuenta]],1))</f>
        <v>0</v>
      </c>
      <c r="AE209" t="b">
        <f>+ISNUMBER(SEARCH('F-COMPRA'!#REF!,Tabla11[[#This Row],[Cuenta]],1))</f>
        <v>0</v>
      </c>
      <c r="AF209" t="b">
        <f>+ISNUMBER(SEARCH('F-VTA'!$G$23,Tabla11[[#This Row],[Cuenta]],1))</f>
        <v>0</v>
      </c>
      <c r="AG209" t="b">
        <f>+ISNUMBER(SEARCH('F-VTA'!$G$24,Tabla11[[#This Row],[Cuenta]],1))</f>
        <v>0</v>
      </c>
      <c r="AH209" t="b">
        <f>+ISNUMBER(SEARCH('F-VTA'!$G$25,Tabla11[[#This Row],[Cuenta]],1))</f>
        <v>0</v>
      </c>
      <c r="AI209" t="b">
        <f>+ISNUMBER(SEARCH('F-VTA'!$F$28,Tabla11[[#This Row],[Cuenta]],1))</f>
        <v>1</v>
      </c>
      <c r="AJ209" t="b">
        <f>+ISNUMBER(SEARCH('F-VTA'!$F$29,Tabla11[[#This Row],[Cuenta]],1))</f>
        <v>1</v>
      </c>
      <c r="AK209" t="b">
        <f>+ISNUMBER(SEARCH('F-VTA'!$F$30,Tabla11[[#This Row],[Cuenta]],1))</f>
        <v>1</v>
      </c>
      <c r="AL209" t="b">
        <f>+ISNUMBER(SEARCH('F-VTA'!$F$31,Tabla11[[#This Row],[Cuenta]],1))</f>
        <v>1</v>
      </c>
      <c r="AM209" t="b">
        <f>+ISNUMBER(SEARCH('F-VTA'!$F$32,Tabla11[[#This Row],[Cuenta]],1))</f>
        <v>1</v>
      </c>
      <c r="AN209" t="b">
        <f>+ISNUMBER(SEARCH('F-VTA'!$F$33,Tabla11[[#This Row],[Cuenta]],1))</f>
        <v>1</v>
      </c>
      <c r="AO209" t="b">
        <f>+ISNUMBER(SEARCH('F-VTA'!$F$34,Tabla11[[#This Row],[Cuenta]],1))</f>
        <v>1</v>
      </c>
      <c r="AP209" t="b">
        <f>+ISNUMBER(SEARCH('F-VTA'!$F$35,Tabla11[[#This Row],[Cuenta]],1))</f>
        <v>1</v>
      </c>
      <c r="AQ209" t="b">
        <f>+ISNUMBER(SEARCH('F-VTA'!$F$36,Tabla11[[#This Row],[Cuenta]],1))</f>
        <v>1</v>
      </c>
      <c r="AR209" t="b">
        <f>+ISNUMBER(SEARCH(#REF!,Tabla11[[#This Row],[Cuenta]],1))</f>
        <v>0</v>
      </c>
      <c r="AS209" t="b">
        <f>+ISNUMBER(SEARCH(#REF!,Tabla11[[#This Row],[Cuenta]],1))</f>
        <v>0</v>
      </c>
      <c r="AT209" t="b">
        <f>+ISNUMBER(SEARCH(#REF!,Tabla11[[#This Row],[Cuenta]],1))</f>
        <v>0</v>
      </c>
      <c r="AU209" t="b">
        <f>+ISNUMBER(SEARCH('Conc. Ban.1'!$I$9,Tabla11[[#This Row],[Cuenta]],1))</f>
        <v>0</v>
      </c>
      <c r="AV209" t="b">
        <f>+ISNUMBER(SEARCH(CompConta!$F$21,Tabla11[[#This Row],[Cuenta]],1))</f>
        <v>1</v>
      </c>
      <c r="AW209" t="b">
        <f>+ISNUMBER(SEARCH(CompConta!$F$22,Tabla11[[#This Row],[Cuenta]],1))</f>
        <v>1</v>
      </c>
      <c r="AX209" t="b">
        <f>+ISNUMBER(SEARCH(CompConta!$F$23,Tabla11[[#This Row],[Cuenta]],1))</f>
        <v>1</v>
      </c>
      <c r="AY209" t="b">
        <f>+ISNUMBER(SEARCH(CompConta!$F$24,Tabla11[[#This Row],[Cuenta]],1))</f>
        <v>1</v>
      </c>
      <c r="AZ209" t="b">
        <f>+ISNUMBER(SEARCH(CompConta!$F$25,Tabla11[[#This Row],[Cuenta]],1))</f>
        <v>1</v>
      </c>
      <c r="BA209" t="b">
        <f>+ISNUMBER(SEARCH(CompConta!$F$26,Tabla11[[#This Row],[Cuenta]],1))</f>
        <v>1</v>
      </c>
      <c r="BB209" t="b">
        <f>+ISNUMBER(SEARCH(CompConta!$F$27,Tabla11[[#This Row],[Cuenta]],1))</f>
        <v>1</v>
      </c>
      <c r="BC209" t="b">
        <f>+ISNUMBER(SEARCH(CompConta!$F$28,Tabla11[[#This Row],[Cuenta]],1))</f>
        <v>1</v>
      </c>
      <c r="BD209" t="b">
        <f>+ISNUMBER(SEARCH(CompConta!$F$29,Tabla11[[#This Row],[Cuenta]],1))</f>
        <v>1</v>
      </c>
      <c r="BE209" t="b">
        <f>+ISNUMBER(SEARCH(CompConta!$F$30,Tabla11[[#This Row],[Cuenta]],1))</f>
        <v>1</v>
      </c>
      <c r="BF209" t="b">
        <f>+ISNUMBER(SEARCH('PAGO Compras'!$E$11,Tabla11[[#This Row],[Cuenta]],1))</f>
        <v>1</v>
      </c>
      <c r="BG209" t="b">
        <f>+ISNUMBER(SEARCH(#REF!,Tabla11[[#This Row],[Cuenta]],1))</f>
        <v>0</v>
      </c>
      <c r="BH209" t="b">
        <f>+ISNUMBER(SEARCH(#REF!,Tabla11[[#This Row],[Cuenta]],1))</f>
        <v>0</v>
      </c>
      <c r="BI209" t="b">
        <f>+ISNUMBER(SEARCH(#REF!,Tabla11[[#This Row],[Cuenta]],1))</f>
        <v>0</v>
      </c>
      <c r="BJ209" t="b">
        <f>+ISNUMBER(SEARCH(#REF!,Tabla11[[#This Row],[Cuenta]],1))</f>
        <v>0</v>
      </c>
      <c r="BS209" t="str">
        <v>156410 Cultivos amortizables</v>
      </c>
      <c r="BT209" t="str">
        <v>156410 Cultivos amortizables</v>
      </c>
      <c r="BU209" t="str">
        <v>156410 Cultivos amortizables</v>
      </c>
      <c r="BV209" t="str">
        <v>156410 Cultivos amortizables</v>
      </c>
      <c r="BZ209" t="str">
        <v>156410 Cultivos amortizables</v>
      </c>
      <c r="CA209" t="str">
        <v>156410 Cultivos amortizables</v>
      </c>
      <c r="CB209" t="str">
        <v>156410 Cultivos amortizables</v>
      </c>
      <c r="CC209" t="str">
        <v>156410 Cultivos amortizables</v>
      </c>
      <c r="CD209" t="str">
        <v>156410 Cultivos amortizables</v>
      </c>
      <c r="CE209" t="str">
        <v>156410 Cultivos amortizables</v>
      </c>
      <c r="CS209" s="141" t="str">
        <v>156410 Cultivos amortizables</v>
      </c>
      <c r="CT209" s="141" t="str">
        <v>156410 Cultivos amortizables</v>
      </c>
      <c r="CU209" s="141" t="str">
        <v>156410 Cultivos amortizables</v>
      </c>
      <c r="CV209" s="141" t="str">
        <v>156410 Cultivos amortizables</v>
      </c>
      <c r="CW209" s="141" t="str">
        <v>156410 Cultivos amortizables</v>
      </c>
      <c r="CX209" s="141" t="str">
        <v>156410 Cultivos amortizables</v>
      </c>
      <c r="CY209" s="141" t="str">
        <v>156410 Cultivos amortizables</v>
      </c>
      <c r="CZ209" s="141" t="str">
        <v>156410 Cultivos amortizables</v>
      </c>
      <c r="DA209" s="141" t="str">
        <v>156410 Cultivos amortizables</v>
      </c>
      <c r="DF209" t="str">
        <v>156410 Cultivos amortizables</v>
      </c>
      <c r="DG209" t="str">
        <v>156410 Cultivos amortizables</v>
      </c>
      <c r="DH209" t="str">
        <v>156410 Cultivos amortizables</v>
      </c>
      <c r="DI209" t="str">
        <v>156410 Cultivos amortizables</v>
      </c>
      <c r="DJ209" t="str">
        <v>156410 Cultivos amortizables</v>
      </c>
      <c r="DK209" t="str">
        <v>156410 Cultivos amortizables</v>
      </c>
      <c r="DL209" t="str">
        <v>156410 Cultivos amortizables</v>
      </c>
      <c r="DM209" t="str">
        <v>156410 Cultivos amortizables</v>
      </c>
      <c r="DN209" t="str">
        <v>156410 Cultivos amortizables</v>
      </c>
      <c r="DO209" t="str">
        <v>156410 Cultivos amortizables</v>
      </c>
      <c r="DP209" t="str">
        <v>156410 Cultivos amortizables</v>
      </c>
    </row>
    <row r="210" spans="4:120" ht="12.75">
      <c r="D210" s="7">
        <v>156499</v>
      </c>
      <c r="E210" s="6" t="s">
        <v>44</v>
      </c>
      <c r="F210" s="5">
        <v>4</v>
      </c>
      <c r="G210" s="34" t="s">
        <v>822</v>
      </c>
      <c r="H210" s="8" t="s">
        <v>32</v>
      </c>
      <c r="I210" t="b">
        <f>+ISNUMBER(SEARCH('F-COMPRA'!$F$28,Tabla11[[#This Row],[Cuenta]],1))</f>
        <v>1</v>
      </c>
      <c r="J210" t="b">
        <f>+ISNUMBER(SEARCH('F-COMPRA'!$F$29,Tabla11[[#This Row],[Cuenta]],1))</f>
        <v>1</v>
      </c>
      <c r="K210" t="b">
        <f>+ISNUMBER(SEARCH('F-COMPRA'!$F$30,Tabla11[[#This Row],[Cuenta]],1))</f>
        <v>1</v>
      </c>
      <c r="L210" t="b">
        <f>+ISNUMBER(SEARCH('F-COMPRA'!$F$31,Tabla11[[#This Row],[Cuenta]],1))</f>
        <v>1</v>
      </c>
      <c r="M210" t="b">
        <f>+ISNUMBER(SEARCH('F-COMPRA'!$G$25,Tabla11[[#This Row],[Cuenta]],1))</f>
        <v>0</v>
      </c>
      <c r="N210" t="b">
        <f>+ISNUMBER(SEARCH(#REF!,Tabla11[[#This Row],[Cuenta]],1))</f>
        <v>0</v>
      </c>
      <c r="O210" t="b">
        <f>+ISNUMBER(SEARCH(#REF!,Tabla11[[#This Row],[Cuenta]],1))</f>
        <v>0</v>
      </c>
      <c r="P210" t="b">
        <f>+ISNUMBER(SEARCH('F-COMPRA'!$F$32,Tabla11[[#This Row],[Cuenta]],1))</f>
        <v>1</v>
      </c>
      <c r="Q210" t="b">
        <f>+ISNUMBER(SEARCH('F-COMPRA'!$F$33,Tabla11[[#This Row],[Cuenta]],1))</f>
        <v>1</v>
      </c>
      <c r="R210" t="b">
        <f>+ISNUMBER(SEARCH('F-COMPRA'!$F$34,Tabla11[[#This Row],[Cuenta]],1))</f>
        <v>1</v>
      </c>
      <c r="S210" t="b">
        <f>+ISNUMBER(SEARCH('F-COMPRA'!$F$35,Tabla11[[#This Row],[Cuenta]],1))</f>
        <v>1</v>
      </c>
      <c r="T210" t="b">
        <f>+ISNUMBER(SEARCH('F-COMPRA'!$F$36,Tabla11[[#This Row],[Cuenta]],1))</f>
        <v>1</v>
      </c>
      <c r="U210" t="b">
        <f>+ISNUMBER(SEARCH('F-COMPRA'!$F$37,Tabla11[[#This Row],[Cuenta]],1))</f>
        <v>1</v>
      </c>
      <c r="V210" t="b">
        <f>+ISNUMBER(SEARCH(#REF!,Tabla11[[#This Row],[Cuenta]],1))</f>
        <v>0</v>
      </c>
      <c r="W210" t="b">
        <f>+ISNUMBER(SEARCH('F-COMPRA'!#REF!,Tabla11[[#This Row],[Cuenta]],1))</f>
        <v>0</v>
      </c>
      <c r="X210" t="b">
        <f>+ISNUMBER(SEARCH('F-COMPRA'!#REF!,Tabla11[[#This Row],[Cuenta]],1))</f>
        <v>0</v>
      </c>
      <c r="Y210" t="b">
        <f>+ISNUMBER(SEARCH('F-COMPRA'!#REF!,Tabla11[[#This Row],[Cuenta]],1))</f>
        <v>0</v>
      </c>
      <c r="Z210" t="b">
        <f>+ISNUMBER(SEARCH('F-COMPRA'!#REF!,Tabla11[[#This Row],[Cuenta]],1))</f>
        <v>0</v>
      </c>
      <c r="AA210" t="b">
        <f>+ISNUMBER(SEARCH('F-COMPRA'!#REF!,Tabla11[[#This Row],[Cuenta]],1))</f>
        <v>0</v>
      </c>
      <c r="AB210" t="b">
        <f>+ISNUMBER(SEARCH('F-COMPRA'!#REF!,Tabla11[[#This Row],[Cuenta]],1))</f>
        <v>0</v>
      </c>
      <c r="AC210" t="b">
        <f>+ISNUMBER(SEARCH('F-COMPRA'!#REF!,Tabla11[[#This Row],[Cuenta]],1))</f>
        <v>0</v>
      </c>
      <c r="AD210" t="b">
        <f>+ISNUMBER(SEARCH('F-COMPRA'!#REF!,Tabla11[[#This Row],[Cuenta]],1))</f>
        <v>0</v>
      </c>
      <c r="AE210" t="b">
        <f>+ISNUMBER(SEARCH('F-COMPRA'!#REF!,Tabla11[[#This Row],[Cuenta]],1))</f>
        <v>0</v>
      </c>
      <c r="AF210" t="b">
        <f>+ISNUMBER(SEARCH('F-VTA'!$G$23,Tabla11[[#This Row],[Cuenta]],1))</f>
        <v>0</v>
      </c>
      <c r="AG210" t="b">
        <f>+ISNUMBER(SEARCH('F-VTA'!$G$24,Tabla11[[#This Row],[Cuenta]],1))</f>
        <v>0</v>
      </c>
      <c r="AH210" t="b">
        <f>+ISNUMBER(SEARCH('F-VTA'!$G$25,Tabla11[[#This Row],[Cuenta]],1))</f>
        <v>0</v>
      </c>
      <c r="AI210" t="b">
        <f>+ISNUMBER(SEARCH('F-VTA'!$F$28,Tabla11[[#This Row],[Cuenta]],1))</f>
        <v>1</v>
      </c>
      <c r="AJ210" t="b">
        <f>+ISNUMBER(SEARCH('F-VTA'!$F$29,Tabla11[[#This Row],[Cuenta]],1))</f>
        <v>1</v>
      </c>
      <c r="AK210" t="b">
        <f>+ISNUMBER(SEARCH('F-VTA'!$F$30,Tabla11[[#This Row],[Cuenta]],1))</f>
        <v>1</v>
      </c>
      <c r="AL210" t="b">
        <f>+ISNUMBER(SEARCH('F-VTA'!$F$31,Tabla11[[#This Row],[Cuenta]],1))</f>
        <v>1</v>
      </c>
      <c r="AM210" t="b">
        <f>+ISNUMBER(SEARCH('F-VTA'!$F$32,Tabla11[[#This Row],[Cuenta]],1))</f>
        <v>1</v>
      </c>
      <c r="AN210" t="b">
        <f>+ISNUMBER(SEARCH('F-VTA'!$F$33,Tabla11[[#This Row],[Cuenta]],1))</f>
        <v>1</v>
      </c>
      <c r="AO210" t="b">
        <f>+ISNUMBER(SEARCH('F-VTA'!$F$34,Tabla11[[#This Row],[Cuenta]],1))</f>
        <v>1</v>
      </c>
      <c r="AP210" t="b">
        <f>+ISNUMBER(SEARCH('F-VTA'!$F$35,Tabla11[[#This Row],[Cuenta]],1))</f>
        <v>1</v>
      </c>
      <c r="AQ210" t="b">
        <f>+ISNUMBER(SEARCH('F-VTA'!$F$36,Tabla11[[#This Row],[Cuenta]],1))</f>
        <v>1</v>
      </c>
      <c r="AR210" t="b">
        <f>+ISNUMBER(SEARCH(#REF!,Tabla11[[#This Row],[Cuenta]],1))</f>
        <v>0</v>
      </c>
      <c r="AS210" t="b">
        <f>+ISNUMBER(SEARCH(#REF!,Tabla11[[#This Row],[Cuenta]],1))</f>
        <v>0</v>
      </c>
      <c r="AT210" t="b">
        <f>+ISNUMBER(SEARCH(#REF!,Tabla11[[#This Row],[Cuenta]],1))</f>
        <v>0</v>
      </c>
      <c r="AU210" t="b">
        <f>+ISNUMBER(SEARCH('Conc. Ban.1'!$I$9,Tabla11[[#This Row],[Cuenta]],1))</f>
        <v>0</v>
      </c>
      <c r="AV210" t="b">
        <f>+ISNUMBER(SEARCH(CompConta!$F$21,Tabla11[[#This Row],[Cuenta]],1))</f>
        <v>1</v>
      </c>
      <c r="AW210" t="b">
        <f>+ISNUMBER(SEARCH(CompConta!$F$22,Tabla11[[#This Row],[Cuenta]],1))</f>
        <v>1</v>
      </c>
      <c r="AX210" t="b">
        <f>+ISNUMBER(SEARCH(CompConta!$F$23,Tabla11[[#This Row],[Cuenta]],1))</f>
        <v>1</v>
      </c>
      <c r="AY210" t="b">
        <f>+ISNUMBER(SEARCH(CompConta!$F$24,Tabla11[[#This Row],[Cuenta]],1))</f>
        <v>1</v>
      </c>
      <c r="AZ210" t="b">
        <f>+ISNUMBER(SEARCH(CompConta!$F$25,Tabla11[[#This Row],[Cuenta]],1))</f>
        <v>1</v>
      </c>
      <c r="BA210" t="b">
        <f>+ISNUMBER(SEARCH(CompConta!$F$26,Tabla11[[#This Row],[Cuenta]],1))</f>
        <v>1</v>
      </c>
      <c r="BB210" t="b">
        <f>+ISNUMBER(SEARCH(CompConta!$F$27,Tabla11[[#This Row],[Cuenta]],1))</f>
        <v>1</v>
      </c>
      <c r="BC210" t="b">
        <f>+ISNUMBER(SEARCH(CompConta!$F$28,Tabla11[[#This Row],[Cuenta]],1))</f>
        <v>1</v>
      </c>
      <c r="BD210" t="b">
        <f>+ISNUMBER(SEARCH(CompConta!$F$29,Tabla11[[#This Row],[Cuenta]],1))</f>
        <v>1</v>
      </c>
      <c r="BE210" t="b">
        <f>+ISNUMBER(SEARCH(CompConta!$F$30,Tabla11[[#This Row],[Cuenta]],1))</f>
        <v>1</v>
      </c>
      <c r="BF210" t="b">
        <f>+ISNUMBER(SEARCH('PAGO Compras'!$E$11,Tabla11[[#This Row],[Cuenta]],1))</f>
        <v>1</v>
      </c>
      <c r="BG210" t="b">
        <f>+ISNUMBER(SEARCH(#REF!,Tabla11[[#This Row],[Cuenta]],1))</f>
        <v>0</v>
      </c>
      <c r="BH210" t="b">
        <f>+ISNUMBER(SEARCH(#REF!,Tabla11[[#This Row],[Cuenta]],1))</f>
        <v>0</v>
      </c>
      <c r="BI210" t="b">
        <f>+ISNUMBER(SEARCH(#REF!,Tabla11[[#This Row],[Cuenta]],1))</f>
        <v>0</v>
      </c>
      <c r="BJ210" t="b">
        <f>+ISNUMBER(SEARCH(#REF!,Tabla11[[#This Row],[Cuenta]],1))</f>
        <v>0</v>
      </c>
      <c r="BS210" t="str">
        <v>156499 Ajustes por inflación</v>
      </c>
      <c r="BT210" t="str">
        <v>156499 Ajustes por inflación</v>
      </c>
      <c r="BU210" t="str">
        <v>156499 Ajustes por inflación</v>
      </c>
      <c r="BV210" t="str">
        <v>156499 Ajustes por inflación</v>
      </c>
      <c r="BZ210" t="str">
        <v>156499 Ajustes por inflación</v>
      </c>
      <c r="CA210" t="str">
        <v>156499 Ajustes por inflación</v>
      </c>
      <c r="CB210" t="str">
        <v>156499 Ajustes por inflación</v>
      </c>
      <c r="CC210" t="str">
        <v>156499 Ajustes por inflación</v>
      </c>
      <c r="CD210" t="str">
        <v>156499 Ajustes por inflación</v>
      </c>
      <c r="CE210" t="str">
        <v>156499 Ajustes por inflación</v>
      </c>
      <c r="CS210" s="141" t="str">
        <v>156499 Ajustes por inflación</v>
      </c>
      <c r="CT210" s="141" t="str">
        <v>156499 Ajustes por inflación</v>
      </c>
      <c r="CU210" s="141" t="str">
        <v>156499 Ajustes por inflación</v>
      </c>
      <c r="CV210" s="141" t="str">
        <v>156499 Ajustes por inflación</v>
      </c>
      <c r="CW210" s="141" t="str">
        <v>156499 Ajustes por inflación</v>
      </c>
      <c r="CX210" s="141" t="str">
        <v>156499 Ajustes por inflación</v>
      </c>
      <c r="CY210" s="141" t="str">
        <v>156499 Ajustes por inflación</v>
      </c>
      <c r="CZ210" s="141" t="str">
        <v>156499 Ajustes por inflación</v>
      </c>
      <c r="DA210" s="141" t="str">
        <v>156499 Ajustes por inflación</v>
      </c>
      <c r="DF210" t="str">
        <v>156499 Ajustes por inflación</v>
      </c>
      <c r="DG210" t="str">
        <v>156499 Ajustes por inflación</v>
      </c>
      <c r="DH210" t="str">
        <v>156499 Ajustes por inflación</v>
      </c>
      <c r="DI210" t="str">
        <v>156499 Ajustes por inflación</v>
      </c>
      <c r="DJ210" t="str">
        <v>156499 Ajustes por inflación</v>
      </c>
      <c r="DK210" t="str">
        <v>156499 Ajustes por inflación</v>
      </c>
      <c r="DL210" t="str">
        <v>156499 Ajustes por inflación</v>
      </c>
      <c r="DM210" t="str">
        <v>156499 Ajustes por inflación</v>
      </c>
      <c r="DN210" t="str">
        <v>156499 Ajustes por inflación</v>
      </c>
      <c r="DO210" t="str">
        <v>156499 Ajustes por inflación</v>
      </c>
      <c r="DP210" t="str">
        <v>156499 Ajustes por inflación</v>
      </c>
    </row>
    <row r="211" spans="4:120" ht="12.75">
      <c r="D211" s="7">
        <v>1588</v>
      </c>
      <c r="E211" s="6" t="s">
        <v>210</v>
      </c>
      <c r="F211" s="5">
        <v>3</v>
      </c>
      <c r="G211" s="34" t="s">
        <v>822</v>
      </c>
      <c r="H211" s="8" t="s">
        <v>32</v>
      </c>
      <c r="I211" t="b">
        <f>+ISNUMBER(SEARCH('F-COMPRA'!$F$28,Tabla11[[#This Row],[Cuenta]],1))</f>
        <v>1</v>
      </c>
      <c r="J211" t="b">
        <f>+ISNUMBER(SEARCH('F-COMPRA'!$F$29,Tabla11[[#This Row],[Cuenta]],1))</f>
        <v>1</v>
      </c>
      <c r="K211" t="b">
        <f>+ISNUMBER(SEARCH('F-COMPRA'!$F$30,Tabla11[[#This Row],[Cuenta]],1))</f>
        <v>1</v>
      </c>
      <c r="L211" t="b">
        <f>+ISNUMBER(SEARCH('F-COMPRA'!$F$31,Tabla11[[#This Row],[Cuenta]],1))</f>
        <v>1</v>
      </c>
      <c r="M211" t="b">
        <f>+ISNUMBER(SEARCH('F-COMPRA'!$G$25,Tabla11[[#This Row],[Cuenta]],1))</f>
        <v>0</v>
      </c>
      <c r="N211" t="b">
        <f>+ISNUMBER(SEARCH(#REF!,Tabla11[[#This Row],[Cuenta]],1))</f>
        <v>0</v>
      </c>
      <c r="O211" t="b">
        <f>+ISNUMBER(SEARCH(#REF!,Tabla11[[#This Row],[Cuenta]],1))</f>
        <v>0</v>
      </c>
      <c r="P211" t="b">
        <f>+ISNUMBER(SEARCH('F-COMPRA'!$F$32,Tabla11[[#This Row],[Cuenta]],1))</f>
        <v>1</v>
      </c>
      <c r="Q211" t="b">
        <f>+ISNUMBER(SEARCH('F-COMPRA'!$F$33,Tabla11[[#This Row],[Cuenta]],1))</f>
        <v>1</v>
      </c>
      <c r="R211" t="b">
        <f>+ISNUMBER(SEARCH('F-COMPRA'!$F$34,Tabla11[[#This Row],[Cuenta]],1))</f>
        <v>1</v>
      </c>
      <c r="S211" t="b">
        <f>+ISNUMBER(SEARCH('F-COMPRA'!$F$35,Tabla11[[#This Row],[Cuenta]],1))</f>
        <v>1</v>
      </c>
      <c r="T211" t="b">
        <f>+ISNUMBER(SEARCH('F-COMPRA'!$F$36,Tabla11[[#This Row],[Cuenta]],1))</f>
        <v>1</v>
      </c>
      <c r="U211" t="b">
        <f>+ISNUMBER(SEARCH('F-COMPRA'!$F$37,Tabla11[[#This Row],[Cuenta]],1))</f>
        <v>1</v>
      </c>
      <c r="V211" t="b">
        <f>+ISNUMBER(SEARCH(#REF!,Tabla11[[#This Row],[Cuenta]],1))</f>
        <v>0</v>
      </c>
      <c r="W211" t="b">
        <f>+ISNUMBER(SEARCH('F-COMPRA'!#REF!,Tabla11[[#This Row],[Cuenta]],1))</f>
        <v>0</v>
      </c>
      <c r="X211" t="b">
        <f>+ISNUMBER(SEARCH('F-COMPRA'!#REF!,Tabla11[[#This Row],[Cuenta]],1))</f>
        <v>0</v>
      </c>
      <c r="Y211" t="b">
        <f>+ISNUMBER(SEARCH('F-COMPRA'!#REF!,Tabla11[[#This Row],[Cuenta]],1))</f>
        <v>0</v>
      </c>
      <c r="Z211" t="b">
        <f>+ISNUMBER(SEARCH('F-COMPRA'!#REF!,Tabla11[[#This Row],[Cuenta]],1))</f>
        <v>0</v>
      </c>
      <c r="AA211" t="b">
        <f>+ISNUMBER(SEARCH('F-COMPRA'!#REF!,Tabla11[[#This Row],[Cuenta]],1))</f>
        <v>0</v>
      </c>
      <c r="AB211" t="b">
        <f>+ISNUMBER(SEARCH('F-COMPRA'!#REF!,Tabla11[[#This Row],[Cuenta]],1))</f>
        <v>0</v>
      </c>
      <c r="AC211" t="b">
        <f>+ISNUMBER(SEARCH('F-COMPRA'!#REF!,Tabla11[[#This Row],[Cuenta]],1))</f>
        <v>0</v>
      </c>
      <c r="AD211" t="b">
        <f>+ISNUMBER(SEARCH('F-COMPRA'!#REF!,Tabla11[[#This Row],[Cuenta]],1))</f>
        <v>0</v>
      </c>
      <c r="AE211" t="b">
        <f>+ISNUMBER(SEARCH('F-COMPRA'!#REF!,Tabla11[[#This Row],[Cuenta]],1))</f>
        <v>0</v>
      </c>
      <c r="AF211" t="b">
        <f>+ISNUMBER(SEARCH('F-VTA'!$G$23,Tabla11[[#This Row],[Cuenta]],1))</f>
        <v>0</v>
      </c>
      <c r="AG211" t="b">
        <f>+ISNUMBER(SEARCH('F-VTA'!$G$24,Tabla11[[#This Row],[Cuenta]],1))</f>
        <v>0</v>
      </c>
      <c r="AH211" t="b">
        <f>+ISNUMBER(SEARCH('F-VTA'!$G$25,Tabla11[[#This Row],[Cuenta]],1))</f>
        <v>0</v>
      </c>
      <c r="AI211" t="b">
        <f>+ISNUMBER(SEARCH('F-VTA'!$F$28,Tabla11[[#This Row],[Cuenta]],1))</f>
        <v>1</v>
      </c>
      <c r="AJ211" t="b">
        <f>+ISNUMBER(SEARCH('F-VTA'!$F$29,Tabla11[[#This Row],[Cuenta]],1))</f>
        <v>1</v>
      </c>
      <c r="AK211" t="b">
        <f>+ISNUMBER(SEARCH('F-VTA'!$F$30,Tabla11[[#This Row],[Cuenta]],1))</f>
        <v>1</v>
      </c>
      <c r="AL211" t="b">
        <f>+ISNUMBER(SEARCH('F-VTA'!$F$31,Tabla11[[#This Row],[Cuenta]],1))</f>
        <v>1</v>
      </c>
      <c r="AM211" t="b">
        <f>+ISNUMBER(SEARCH('F-VTA'!$F$32,Tabla11[[#This Row],[Cuenta]],1))</f>
        <v>1</v>
      </c>
      <c r="AN211" t="b">
        <f>+ISNUMBER(SEARCH('F-VTA'!$F$33,Tabla11[[#This Row],[Cuenta]],1))</f>
        <v>1</v>
      </c>
      <c r="AO211" t="b">
        <f>+ISNUMBER(SEARCH('F-VTA'!$F$34,Tabla11[[#This Row],[Cuenta]],1))</f>
        <v>1</v>
      </c>
      <c r="AP211" t="b">
        <f>+ISNUMBER(SEARCH('F-VTA'!$F$35,Tabla11[[#This Row],[Cuenta]],1))</f>
        <v>1</v>
      </c>
      <c r="AQ211" t="b">
        <f>+ISNUMBER(SEARCH('F-VTA'!$F$36,Tabla11[[#This Row],[Cuenta]],1))</f>
        <v>1</v>
      </c>
      <c r="AR211" t="b">
        <f>+ISNUMBER(SEARCH(#REF!,Tabla11[[#This Row],[Cuenta]],1))</f>
        <v>0</v>
      </c>
      <c r="AS211" t="b">
        <f>+ISNUMBER(SEARCH(#REF!,Tabla11[[#This Row],[Cuenta]],1))</f>
        <v>0</v>
      </c>
      <c r="AT211" t="b">
        <f>+ISNUMBER(SEARCH(#REF!,Tabla11[[#This Row],[Cuenta]],1))</f>
        <v>0</v>
      </c>
      <c r="AU211" t="b">
        <f>+ISNUMBER(SEARCH('Conc. Ban.1'!$I$9,Tabla11[[#This Row],[Cuenta]],1))</f>
        <v>0</v>
      </c>
      <c r="AV211" t="b">
        <f>+ISNUMBER(SEARCH(CompConta!$F$21,Tabla11[[#This Row],[Cuenta]],1))</f>
        <v>1</v>
      </c>
      <c r="AW211" t="b">
        <f>+ISNUMBER(SEARCH(CompConta!$F$22,Tabla11[[#This Row],[Cuenta]],1))</f>
        <v>1</v>
      </c>
      <c r="AX211" t="b">
        <f>+ISNUMBER(SEARCH(CompConta!$F$23,Tabla11[[#This Row],[Cuenta]],1))</f>
        <v>1</v>
      </c>
      <c r="AY211" t="b">
        <f>+ISNUMBER(SEARCH(CompConta!$F$24,Tabla11[[#This Row],[Cuenta]],1))</f>
        <v>1</v>
      </c>
      <c r="AZ211" t="b">
        <f>+ISNUMBER(SEARCH(CompConta!$F$25,Tabla11[[#This Row],[Cuenta]],1))</f>
        <v>1</v>
      </c>
      <c r="BA211" t="b">
        <f>+ISNUMBER(SEARCH(CompConta!$F$26,Tabla11[[#This Row],[Cuenta]],1))</f>
        <v>1</v>
      </c>
      <c r="BB211" t="b">
        <f>+ISNUMBER(SEARCH(CompConta!$F$27,Tabla11[[#This Row],[Cuenta]],1))</f>
        <v>1</v>
      </c>
      <c r="BC211" t="b">
        <f>+ISNUMBER(SEARCH(CompConta!$F$28,Tabla11[[#This Row],[Cuenta]],1))</f>
        <v>1</v>
      </c>
      <c r="BD211" t="b">
        <f>+ISNUMBER(SEARCH(CompConta!$F$29,Tabla11[[#This Row],[Cuenta]],1))</f>
        <v>1</v>
      </c>
      <c r="BE211" t="b">
        <f>+ISNUMBER(SEARCH(CompConta!$F$30,Tabla11[[#This Row],[Cuenta]],1))</f>
        <v>1</v>
      </c>
      <c r="BF211" t="b">
        <f>+ISNUMBER(SEARCH('PAGO Compras'!$E$11,Tabla11[[#This Row],[Cuenta]],1))</f>
        <v>1</v>
      </c>
      <c r="BG211" t="b">
        <f>+ISNUMBER(SEARCH(#REF!,Tabla11[[#This Row],[Cuenta]],1))</f>
        <v>0</v>
      </c>
      <c r="BH211" t="b">
        <f>+ISNUMBER(SEARCH(#REF!,Tabla11[[#This Row],[Cuenta]],1))</f>
        <v>0</v>
      </c>
      <c r="BI211" t="b">
        <f>+ISNUMBER(SEARCH(#REF!,Tabla11[[#This Row],[Cuenta]],1))</f>
        <v>0</v>
      </c>
      <c r="BJ211" t="b">
        <f>+ISNUMBER(SEARCH(#REF!,Tabla11[[#This Row],[Cuenta]],1))</f>
        <v>0</v>
      </c>
      <c r="BS211" t="str">
        <v>1588 PROPIEDADES, PLANTA Y EQUIPO EN TRÁNSITO</v>
      </c>
      <c r="BT211" t="str">
        <v>1588 PROPIEDADES, PLANTA Y EQUIPO EN TRÁNSITO</v>
      </c>
      <c r="BU211" t="str">
        <v>1588 PROPIEDADES, PLANTA Y EQUIPO EN TRÁNSITO</v>
      </c>
      <c r="BV211" t="str">
        <v>1588 PROPIEDADES, PLANTA Y EQUIPO EN TRÁNSITO</v>
      </c>
      <c r="BZ211" t="str">
        <v>1588 PROPIEDADES, PLANTA Y EQUIPO EN TRÁNSITO</v>
      </c>
      <c r="CA211" t="str">
        <v>1588 PROPIEDADES, PLANTA Y EQUIPO EN TRÁNSITO</v>
      </c>
      <c r="CB211" t="str">
        <v>1588 PROPIEDADES, PLANTA Y EQUIPO EN TRÁNSITO</v>
      </c>
      <c r="CC211" t="str">
        <v>1588 PROPIEDADES, PLANTA Y EQUIPO EN TRÁNSITO</v>
      </c>
      <c r="CD211" t="str">
        <v>1588 PROPIEDADES, PLANTA Y EQUIPO EN TRÁNSITO</v>
      </c>
      <c r="CE211" t="str">
        <v>1588 PROPIEDADES, PLANTA Y EQUIPO EN TRÁNSITO</v>
      </c>
      <c r="CS211" s="141" t="str">
        <v>1588 PROPIEDADES, PLANTA Y EQUIPO EN TRÁNSITO</v>
      </c>
      <c r="CT211" s="141" t="str">
        <v>1588 PROPIEDADES, PLANTA Y EQUIPO EN TRÁNSITO</v>
      </c>
      <c r="CU211" s="141" t="str">
        <v>1588 PROPIEDADES, PLANTA Y EQUIPO EN TRÁNSITO</v>
      </c>
      <c r="CV211" s="141" t="str">
        <v>1588 PROPIEDADES, PLANTA Y EQUIPO EN TRÁNSITO</v>
      </c>
      <c r="CW211" s="141" t="str">
        <v>1588 PROPIEDADES, PLANTA Y EQUIPO EN TRÁNSITO</v>
      </c>
      <c r="CX211" s="141" t="str">
        <v>1588 PROPIEDADES, PLANTA Y EQUIPO EN TRÁNSITO</v>
      </c>
      <c r="CY211" s="141" t="str">
        <v>1588 PROPIEDADES, PLANTA Y EQUIPO EN TRÁNSITO</v>
      </c>
      <c r="CZ211" s="141" t="str">
        <v>1588 PROPIEDADES, PLANTA Y EQUIPO EN TRÁNSITO</v>
      </c>
      <c r="DA211" s="141" t="str">
        <v>1588 PROPIEDADES, PLANTA Y EQUIPO EN TRÁNSITO</v>
      </c>
      <c r="DF211" t="str">
        <v>1588 PROPIEDADES, PLANTA Y EQUIPO EN TRÁNSITO</v>
      </c>
      <c r="DG211" t="str">
        <v>1588 PROPIEDADES, PLANTA Y EQUIPO EN TRÁNSITO</v>
      </c>
      <c r="DH211" t="str">
        <v>1588 PROPIEDADES, PLANTA Y EQUIPO EN TRÁNSITO</v>
      </c>
      <c r="DI211" t="str">
        <v>1588 PROPIEDADES, PLANTA Y EQUIPO EN TRÁNSITO</v>
      </c>
      <c r="DJ211" t="str">
        <v>1588 PROPIEDADES, PLANTA Y EQUIPO EN TRÁNSITO</v>
      </c>
      <c r="DK211" t="str">
        <v>1588 PROPIEDADES, PLANTA Y EQUIPO EN TRÁNSITO</v>
      </c>
      <c r="DL211" t="str">
        <v>1588 PROPIEDADES, PLANTA Y EQUIPO EN TRÁNSITO</v>
      </c>
      <c r="DM211" t="str">
        <v>1588 PROPIEDADES, PLANTA Y EQUIPO EN TRÁNSITO</v>
      </c>
      <c r="DN211" t="str">
        <v>1588 PROPIEDADES, PLANTA Y EQUIPO EN TRÁNSITO</v>
      </c>
      <c r="DO211" t="str">
        <v>1588 PROPIEDADES, PLANTA Y EQUIPO EN TRÁNSITO</v>
      </c>
      <c r="DP211" t="str">
        <v>1588 PROPIEDADES, PLANTA Y EQUIPO EN TRÁNSITO</v>
      </c>
    </row>
    <row r="212" spans="4:120" ht="12.75">
      <c r="D212" s="7">
        <v>158805</v>
      </c>
      <c r="E212" s="6" t="s">
        <v>128</v>
      </c>
      <c r="F212" s="5">
        <v>4</v>
      </c>
      <c r="G212" s="34" t="s">
        <v>822</v>
      </c>
      <c r="H212" s="8" t="s">
        <v>32</v>
      </c>
      <c r="I212" t="b">
        <f>+ISNUMBER(SEARCH('F-COMPRA'!$F$28,Tabla11[[#This Row],[Cuenta]],1))</f>
        <v>1</v>
      </c>
      <c r="J212" t="b">
        <f>+ISNUMBER(SEARCH('F-COMPRA'!$F$29,Tabla11[[#This Row],[Cuenta]],1))</f>
        <v>1</v>
      </c>
      <c r="K212" t="b">
        <f>+ISNUMBER(SEARCH('F-COMPRA'!$F$30,Tabla11[[#This Row],[Cuenta]],1))</f>
        <v>1</v>
      </c>
      <c r="L212" t="b">
        <f>+ISNUMBER(SEARCH('F-COMPRA'!$F$31,Tabla11[[#This Row],[Cuenta]],1))</f>
        <v>1</v>
      </c>
      <c r="M212" t="b">
        <f>+ISNUMBER(SEARCH('F-COMPRA'!$G$25,Tabla11[[#This Row],[Cuenta]],1))</f>
        <v>0</v>
      </c>
      <c r="N212" t="b">
        <f>+ISNUMBER(SEARCH(#REF!,Tabla11[[#This Row],[Cuenta]],1))</f>
        <v>0</v>
      </c>
      <c r="O212" t="b">
        <f>+ISNUMBER(SEARCH(#REF!,Tabla11[[#This Row],[Cuenta]],1))</f>
        <v>0</v>
      </c>
      <c r="P212" t="b">
        <f>+ISNUMBER(SEARCH('F-COMPRA'!$F$32,Tabla11[[#This Row],[Cuenta]],1))</f>
        <v>1</v>
      </c>
      <c r="Q212" t="b">
        <f>+ISNUMBER(SEARCH('F-COMPRA'!$F$33,Tabla11[[#This Row],[Cuenta]],1))</f>
        <v>1</v>
      </c>
      <c r="R212" t="b">
        <f>+ISNUMBER(SEARCH('F-COMPRA'!$F$34,Tabla11[[#This Row],[Cuenta]],1))</f>
        <v>1</v>
      </c>
      <c r="S212" t="b">
        <f>+ISNUMBER(SEARCH('F-COMPRA'!$F$35,Tabla11[[#This Row],[Cuenta]],1))</f>
        <v>1</v>
      </c>
      <c r="T212" t="b">
        <f>+ISNUMBER(SEARCH('F-COMPRA'!$F$36,Tabla11[[#This Row],[Cuenta]],1))</f>
        <v>1</v>
      </c>
      <c r="U212" t="b">
        <f>+ISNUMBER(SEARCH('F-COMPRA'!$F$37,Tabla11[[#This Row],[Cuenta]],1))</f>
        <v>1</v>
      </c>
      <c r="V212" t="b">
        <f>+ISNUMBER(SEARCH(#REF!,Tabla11[[#This Row],[Cuenta]],1))</f>
        <v>0</v>
      </c>
      <c r="W212" t="b">
        <f>+ISNUMBER(SEARCH('F-COMPRA'!#REF!,Tabla11[[#This Row],[Cuenta]],1))</f>
        <v>0</v>
      </c>
      <c r="X212" t="b">
        <f>+ISNUMBER(SEARCH('F-COMPRA'!#REF!,Tabla11[[#This Row],[Cuenta]],1))</f>
        <v>0</v>
      </c>
      <c r="Y212" t="b">
        <f>+ISNUMBER(SEARCH('F-COMPRA'!#REF!,Tabla11[[#This Row],[Cuenta]],1))</f>
        <v>0</v>
      </c>
      <c r="Z212" t="b">
        <f>+ISNUMBER(SEARCH('F-COMPRA'!#REF!,Tabla11[[#This Row],[Cuenta]],1))</f>
        <v>0</v>
      </c>
      <c r="AA212" t="b">
        <f>+ISNUMBER(SEARCH('F-COMPRA'!#REF!,Tabla11[[#This Row],[Cuenta]],1))</f>
        <v>0</v>
      </c>
      <c r="AB212" t="b">
        <f>+ISNUMBER(SEARCH('F-COMPRA'!#REF!,Tabla11[[#This Row],[Cuenta]],1))</f>
        <v>0</v>
      </c>
      <c r="AC212" t="b">
        <f>+ISNUMBER(SEARCH('F-COMPRA'!#REF!,Tabla11[[#This Row],[Cuenta]],1))</f>
        <v>0</v>
      </c>
      <c r="AD212" t="b">
        <f>+ISNUMBER(SEARCH('F-COMPRA'!#REF!,Tabla11[[#This Row],[Cuenta]],1))</f>
        <v>0</v>
      </c>
      <c r="AE212" t="b">
        <f>+ISNUMBER(SEARCH('F-COMPRA'!#REF!,Tabla11[[#This Row],[Cuenta]],1))</f>
        <v>0</v>
      </c>
      <c r="AF212" t="b">
        <f>+ISNUMBER(SEARCH('F-VTA'!$G$23,Tabla11[[#This Row],[Cuenta]],1))</f>
        <v>0</v>
      </c>
      <c r="AG212" t="b">
        <f>+ISNUMBER(SEARCH('F-VTA'!$G$24,Tabla11[[#This Row],[Cuenta]],1))</f>
        <v>0</v>
      </c>
      <c r="AH212" t="b">
        <f>+ISNUMBER(SEARCH('F-VTA'!$G$25,Tabla11[[#This Row],[Cuenta]],1))</f>
        <v>0</v>
      </c>
      <c r="AI212" t="b">
        <f>+ISNUMBER(SEARCH('F-VTA'!$F$28,Tabla11[[#This Row],[Cuenta]],1))</f>
        <v>1</v>
      </c>
      <c r="AJ212" t="b">
        <f>+ISNUMBER(SEARCH('F-VTA'!$F$29,Tabla11[[#This Row],[Cuenta]],1))</f>
        <v>1</v>
      </c>
      <c r="AK212" t="b">
        <f>+ISNUMBER(SEARCH('F-VTA'!$F$30,Tabla11[[#This Row],[Cuenta]],1))</f>
        <v>1</v>
      </c>
      <c r="AL212" t="b">
        <f>+ISNUMBER(SEARCH('F-VTA'!$F$31,Tabla11[[#This Row],[Cuenta]],1))</f>
        <v>1</v>
      </c>
      <c r="AM212" t="b">
        <f>+ISNUMBER(SEARCH('F-VTA'!$F$32,Tabla11[[#This Row],[Cuenta]],1))</f>
        <v>1</v>
      </c>
      <c r="AN212" t="b">
        <f>+ISNUMBER(SEARCH('F-VTA'!$F$33,Tabla11[[#This Row],[Cuenta]],1))</f>
        <v>1</v>
      </c>
      <c r="AO212" t="b">
        <f>+ISNUMBER(SEARCH('F-VTA'!$F$34,Tabla11[[#This Row],[Cuenta]],1))</f>
        <v>1</v>
      </c>
      <c r="AP212" t="b">
        <f>+ISNUMBER(SEARCH('F-VTA'!$F$35,Tabla11[[#This Row],[Cuenta]],1))</f>
        <v>1</v>
      </c>
      <c r="AQ212" t="b">
        <f>+ISNUMBER(SEARCH('F-VTA'!$F$36,Tabla11[[#This Row],[Cuenta]],1))</f>
        <v>1</v>
      </c>
      <c r="AR212" t="b">
        <f>+ISNUMBER(SEARCH(#REF!,Tabla11[[#This Row],[Cuenta]],1))</f>
        <v>0</v>
      </c>
      <c r="AS212" t="b">
        <f>+ISNUMBER(SEARCH(#REF!,Tabla11[[#This Row],[Cuenta]],1))</f>
        <v>0</v>
      </c>
      <c r="AT212" t="b">
        <f>+ISNUMBER(SEARCH(#REF!,Tabla11[[#This Row],[Cuenta]],1))</f>
        <v>0</v>
      </c>
      <c r="AU212" t="b">
        <f>+ISNUMBER(SEARCH('Conc. Ban.1'!$I$9,Tabla11[[#This Row],[Cuenta]],1))</f>
        <v>0</v>
      </c>
      <c r="AV212" t="b">
        <f>+ISNUMBER(SEARCH(CompConta!$F$21,Tabla11[[#This Row],[Cuenta]],1))</f>
        <v>1</v>
      </c>
      <c r="AW212" t="b">
        <f>+ISNUMBER(SEARCH(CompConta!$F$22,Tabla11[[#This Row],[Cuenta]],1))</f>
        <v>1</v>
      </c>
      <c r="AX212" t="b">
        <f>+ISNUMBER(SEARCH(CompConta!$F$23,Tabla11[[#This Row],[Cuenta]],1))</f>
        <v>1</v>
      </c>
      <c r="AY212" t="b">
        <f>+ISNUMBER(SEARCH(CompConta!$F$24,Tabla11[[#This Row],[Cuenta]],1))</f>
        <v>1</v>
      </c>
      <c r="AZ212" t="b">
        <f>+ISNUMBER(SEARCH(CompConta!$F$25,Tabla11[[#This Row],[Cuenta]],1))</f>
        <v>1</v>
      </c>
      <c r="BA212" t="b">
        <f>+ISNUMBER(SEARCH(CompConta!$F$26,Tabla11[[#This Row],[Cuenta]],1))</f>
        <v>1</v>
      </c>
      <c r="BB212" t="b">
        <f>+ISNUMBER(SEARCH(CompConta!$F$27,Tabla11[[#This Row],[Cuenta]],1))</f>
        <v>1</v>
      </c>
      <c r="BC212" t="b">
        <f>+ISNUMBER(SEARCH(CompConta!$F$28,Tabla11[[#This Row],[Cuenta]],1))</f>
        <v>1</v>
      </c>
      <c r="BD212" t="b">
        <f>+ISNUMBER(SEARCH(CompConta!$F$29,Tabla11[[#This Row],[Cuenta]],1))</f>
        <v>1</v>
      </c>
      <c r="BE212" t="b">
        <f>+ISNUMBER(SEARCH(CompConta!$F$30,Tabla11[[#This Row],[Cuenta]],1))</f>
        <v>1</v>
      </c>
      <c r="BF212" t="b">
        <f>+ISNUMBER(SEARCH('PAGO Compras'!$E$11,Tabla11[[#This Row],[Cuenta]],1))</f>
        <v>1</v>
      </c>
      <c r="BG212" t="b">
        <f>+ISNUMBER(SEARCH(#REF!,Tabla11[[#This Row],[Cuenta]],1))</f>
        <v>0</v>
      </c>
      <c r="BH212" t="b">
        <f>+ISNUMBER(SEARCH(#REF!,Tabla11[[#This Row],[Cuenta]],1))</f>
        <v>0</v>
      </c>
      <c r="BI212" t="b">
        <f>+ISNUMBER(SEARCH(#REF!,Tabla11[[#This Row],[Cuenta]],1))</f>
        <v>0</v>
      </c>
      <c r="BJ212" t="b">
        <f>+ISNUMBER(SEARCH(#REF!,Tabla11[[#This Row],[Cuenta]],1))</f>
        <v>0</v>
      </c>
      <c r="BS212" t="str">
        <v>158805 Maquinaria y equipo</v>
      </c>
      <c r="BT212" t="str">
        <v>158805 Maquinaria y equipo</v>
      </c>
      <c r="BU212" t="str">
        <v>158805 Maquinaria y equipo</v>
      </c>
      <c r="BV212" t="str">
        <v>158805 Maquinaria y equipo</v>
      </c>
      <c r="BZ212" t="str">
        <v>158805 Maquinaria y equipo</v>
      </c>
      <c r="CA212" t="str">
        <v>158805 Maquinaria y equipo</v>
      </c>
      <c r="CB212" t="str">
        <v>158805 Maquinaria y equipo</v>
      </c>
      <c r="CC212" t="str">
        <v>158805 Maquinaria y equipo</v>
      </c>
      <c r="CD212" t="str">
        <v>158805 Maquinaria y equipo</v>
      </c>
      <c r="CE212" t="str">
        <v>158805 Maquinaria y equipo</v>
      </c>
      <c r="CS212" s="141" t="str">
        <v>158805 Maquinaria y equipo</v>
      </c>
      <c r="CT212" s="141" t="str">
        <v>158805 Maquinaria y equipo</v>
      </c>
      <c r="CU212" s="141" t="str">
        <v>158805 Maquinaria y equipo</v>
      </c>
      <c r="CV212" s="141" t="str">
        <v>158805 Maquinaria y equipo</v>
      </c>
      <c r="CW212" s="141" t="str">
        <v>158805 Maquinaria y equipo</v>
      </c>
      <c r="CX212" s="141" t="str">
        <v>158805 Maquinaria y equipo</v>
      </c>
      <c r="CY212" s="141" t="str">
        <v>158805 Maquinaria y equipo</v>
      </c>
      <c r="CZ212" s="141" t="str">
        <v>158805 Maquinaria y equipo</v>
      </c>
      <c r="DA212" s="141" t="str">
        <v>158805 Maquinaria y equipo</v>
      </c>
      <c r="DF212" t="str">
        <v>158805 Maquinaria y equipo</v>
      </c>
      <c r="DG212" t="str">
        <v>158805 Maquinaria y equipo</v>
      </c>
      <c r="DH212" t="str">
        <v>158805 Maquinaria y equipo</v>
      </c>
      <c r="DI212" t="str">
        <v>158805 Maquinaria y equipo</v>
      </c>
      <c r="DJ212" t="str">
        <v>158805 Maquinaria y equipo</v>
      </c>
      <c r="DK212" t="str">
        <v>158805 Maquinaria y equipo</v>
      </c>
      <c r="DL212" t="str">
        <v>158805 Maquinaria y equipo</v>
      </c>
      <c r="DM212" t="str">
        <v>158805 Maquinaria y equipo</v>
      </c>
      <c r="DN212" t="str">
        <v>158805 Maquinaria y equipo</v>
      </c>
      <c r="DO212" t="str">
        <v>158805 Maquinaria y equipo</v>
      </c>
      <c r="DP212" t="str">
        <v>158805 Maquinaria y equipo</v>
      </c>
    </row>
    <row r="213" spans="4:120" ht="12.75">
      <c r="D213" s="7">
        <v>158810</v>
      </c>
      <c r="E213" s="6" t="s">
        <v>129</v>
      </c>
      <c r="F213" s="5">
        <v>4</v>
      </c>
      <c r="G213" s="34" t="s">
        <v>822</v>
      </c>
      <c r="H213" s="8" t="s">
        <v>32</v>
      </c>
      <c r="I213" t="b">
        <f>+ISNUMBER(SEARCH('F-COMPRA'!$F$28,Tabla11[[#This Row],[Cuenta]],1))</f>
        <v>1</v>
      </c>
      <c r="J213" t="b">
        <f>+ISNUMBER(SEARCH('F-COMPRA'!$F$29,Tabla11[[#This Row],[Cuenta]],1))</f>
        <v>1</v>
      </c>
      <c r="K213" t="b">
        <f>+ISNUMBER(SEARCH('F-COMPRA'!$F$30,Tabla11[[#This Row],[Cuenta]],1))</f>
        <v>1</v>
      </c>
      <c r="L213" t="b">
        <f>+ISNUMBER(SEARCH('F-COMPRA'!$F$31,Tabla11[[#This Row],[Cuenta]],1))</f>
        <v>1</v>
      </c>
      <c r="M213" t="b">
        <f>+ISNUMBER(SEARCH('F-COMPRA'!$G$25,Tabla11[[#This Row],[Cuenta]],1))</f>
        <v>0</v>
      </c>
      <c r="N213" t="b">
        <f>+ISNUMBER(SEARCH(#REF!,Tabla11[[#This Row],[Cuenta]],1))</f>
        <v>0</v>
      </c>
      <c r="O213" t="b">
        <f>+ISNUMBER(SEARCH(#REF!,Tabla11[[#This Row],[Cuenta]],1))</f>
        <v>0</v>
      </c>
      <c r="P213" t="b">
        <f>+ISNUMBER(SEARCH('F-COMPRA'!$F$32,Tabla11[[#This Row],[Cuenta]],1))</f>
        <v>1</v>
      </c>
      <c r="Q213" t="b">
        <f>+ISNUMBER(SEARCH('F-COMPRA'!$F$33,Tabla11[[#This Row],[Cuenta]],1))</f>
        <v>1</v>
      </c>
      <c r="R213" t="b">
        <f>+ISNUMBER(SEARCH('F-COMPRA'!$F$34,Tabla11[[#This Row],[Cuenta]],1))</f>
        <v>1</v>
      </c>
      <c r="S213" t="b">
        <f>+ISNUMBER(SEARCH('F-COMPRA'!$F$35,Tabla11[[#This Row],[Cuenta]],1))</f>
        <v>1</v>
      </c>
      <c r="T213" t="b">
        <f>+ISNUMBER(SEARCH('F-COMPRA'!$F$36,Tabla11[[#This Row],[Cuenta]],1))</f>
        <v>1</v>
      </c>
      <c r="U213" t="b">
        <f>+ISNUMBER(SEARCH('F-COMPRA'!$F$37,Tabla11[[#This Row],[Cuenta]],1))</f>
        <v>1</v>
      </c>
      <c r="V213" t="b">
        <f>+ISNUMBER(SEARCH(#REF!,Tabla11[[#This Row],[Cuenta]],1))</f>
        <v>0</v>
      </c>
      <c r="W213" t="b">
        <f>+ISNUMBER(SEARCH('F-COMPRA'!#REF!,Tabla11[[#This Row],[Cuenta]],1))</f>
        <v>0</v>
      </c>
      <c r="X213" t="b">
        <f>+ISNUMBER(SEARCH('F-COMPRA'!#REF!,Tabla11[[#This Row],[Cuenta]],1))</f>
        <v>0</v>
      </c>
      <c r="Y213" t="b">
        <f>+ISNUMBER(SEARCH('F-COMPRA'!#REF!,Tabla11[[#This Row],[Cuenta]],1))</f>
        <v>0</v>
      </c>
      <c r="Z213" t="b">
        <f>+ISNUMBER(SEARCH('F-COMPRA'!#REF!,Tabla11[[#This Row],[Cuenta]],1))</f>
        <v>0</v>
      </c>
      <c r="AA213" t="b">
        <f>+ISNUMBER(SEARCH('F-COMPRA'!#REF!,Tabla11[[#This Row],[Cuenta]],1))</f>
        <v>0</v>
      </c>
      <c r="AB213" t="b">
        <f>+ISNUMBER(SEARCH('F-COMPRA'!#REF!,Tabla11[[#This Row],[Cuenta]],1))</f>
        <v>0</v>
      </c>
      <c r="AC213" t="b">
        <f>+ISNUMBER(SEARCH('F-COMPRA'!#REF!,Tabla11[[#This Row],[Cuenta]],1))</f>
        <v>0</v>
      </c>
      <c r="AD213" t="b">
        <f>+ISNUMBER(SEARCH('F-COMPRA'!#REF!,Tabla11[[#This Row],[Cuenta]],1))</f>
        <v>0</v>
      </c>
      <c r="AE213" t="b">
        <f>+ISNUMBER(SEARCH('F-COMPRA'!#REF!,Tabla11[[#This Row],[Cuenta]],1))</f>
        <v>0</v>
      </c>
      <c r="AF213" t="b">
        <f>+ISNUMBER(SEARCH('F-VTA'!$G$23,Tabla11[[#This Row],[Cuenta]],1))</f>
        <v>0</v>
      </c>
      <c r="AG213" t="b">
        <f>+ISNUMBER(SEARCH('F-VTA'!$G$24,Tabla11[[#This Row],[Cuenta]],1))</f>
        <v>0</v>
      </c>
      <c r="AH213" t="b">
        <f>+ISNUMBER(SEARCH('F-VTA'!$G$25,Tabla11[[#This Row],[Cuenta]],1))</f>
        <v>0</v>
      </c>
      <c r="AI213" t="b">
        <f>+ISNUMBER(SEARCH('F-VTA'!$F$28,Tabla11[[#This Row],[Cuenta]],1))</f>
        <v>1</v>
      </c>
      <c r="AJ213" t="b">
        <f>+ISNUMBER(SEARCH('F-VTA'!$F$29,Tabla11[[#This Row],[Cuenta]],1))</f>
        <v>1</v>
      </c>
      <c r="AK213" t="b">
        <f>+ISNUMBER(SEARCH('F-VTA'!$F$30,Tabla11[[#This Row],[Cuenta]],1))</f>
        <v>1</v>
      </c>
      <c r="AL213" t="b">
        <f>+ISNUMBER(SEARCH('F-VTA'!$F$31,Tabla11[[#This Row],[Cuenta]],1))</f>
        <v>1</v>
      </c>
      <c r="AM213" t="b">
        <f>+ISNUMBER(SEARCH('F-VTA'!$F$32,Tabla11[[#This Row],[Cuenta]],1))</f>
        <v>1</v>
      </c>
      <c r="AN213" t="b">
        <f>+ISNUMBER(SEARCH('F-VTA'!$F$33,Tabla11[[#This Row],[Cuenta]],1))</f>
        <v>1</v>
      </c>
      <c r="AO213" t="b">
        <f>+ISNUMBER(SEARCH('F-VTA'!$F$34,Tabla11[[#This Row],[Cuenta]],1))</f>
        <v>1</v>
      </c>
      <c r="AP213" t="b">
        <f>+ISNUMBER(SEARCH('F-VTA'!$F$35,Tabla11[[#This Row],[Cuenta]],1))</f>
        <v>1</v>
      </c>
      <c r="AQ213" t="b">
        <f>+ISNUMBER(SEARCH('F-VTA'!$F$36,Tabla11[[#This Row],[Cuenta]],1))</f>
        <v>1</v>
      </c>
      <c r="AR213" t="b">
        <f>+ISNUMBER(SEARCH(#REF!,Tabla11[[#This Row],[Cuenta]],1))</f>
        <v>0</v>
      </c>
      <c r="AS213" t="b">
        <f>+ISNUMBER(SEARCH(#REF!,Tabla11[[#This Row],[Cuenta]],1))</f>
        <v>0</v>
      </c>
      <c r="AT213" t="b">
        <f>+ISNUMBER(SEARCH(#REF!,Tabla11[[#This Row],[Cuenta]],1))</f>
        <v>0</v>
      </c>
      <c r="AU213" t="b">
        <f>+ISNUMBER(SEARCH('Conc. Ban.1'!$I$9,Tabla11[[#This Row],[Cuenta]],1))</f>
        <v>0</v>
      </c>
      <c r="AV213" t="b">
        <f>+ISNUMBER(SEARCH(CompConta!$F$21,Tabla11[[#This Row],[Cuenta]],1))</f>
        <v>1</v>
      </c>
      <c r="AW213" t="b">
        <f>+ISNUMBER(SEARCH(CompConta!$F$22,Tabla11[[#This Row],[Cuenta]],1))</f>
        <v>1</v>
      </c>
      <c r="AX213" t="b">
        <f>+ISNUMBER(SEARCH(CompConta!$F$23,Tabla11[[#This Row],[Cuenta]],1))</f>
        <v>1</v>
      </c>
      <c r="AY213" t="b">
        <f>+ISNUMBER(SEARCH(CompConta!$F$24,Tabla11[[#This Row],[Cuenta]],1))</f>
        <v>1</v>
      </c>
      <c r="AZ213" t="b">
        <f>+ISNUMBER(SEARCH(CompConta!$F$25,Tabla11[[#This Row],[Cuenta]],1))</f>
        <v>1</v>
      </c>
      <c r="BA213" t="b">
        <f>+ISNUMBER(SEARCH(CompConta!$F$26,Tabla11[[#This Row],[Cuenta]],1))</f>
        <v>1</v>
      </c>
      <c r="BB213" t="b">
        <f>+ISNUMBER(SEARCH(CompConta!$F$27,Tabla11[[#This Row],[Cuenta]],1))</f>
        <v>1</v>
      </c>
      <c r="BC213" t="b">
        <f>+ISNUMBER(SEARCH(CompConta!$F$28,Tabla11[[#This Row],[Cuenta]],1))</f>
        <v>1</v>
      </c>
      <c r="BD213" t="b">
        <f>+ISNUMBER(SEARCH(CompConta!$F$29,Tabla11[[#This Row],[Cuenta]],1))</f>
        <v>1</v>
      </c>
      <c r="BE213" t="b">
        <f>+ISNUMBER(SEARCH(CompConta!$F$30,Tabla11[[#This Row],[Cuenta]],1))</f>
        <v>1</v>
      </c>
      <c r="BF213" t="b">
        <f>+ISNUMBER(SEARCH('PAGO Compras'!$E$11,Tabla11[[#This Row],[Cuenta]],1))</f>
        <v>1</v>
      </c>
      <c r="BG213" t="b">
        <f>+ISNUMBER(SEARCH(#REF!,Tabla11[[#This Row],[Cuenta]],1))</f>
        <v>0</v>
      </c>
      <c r="BH213" t="b">
        <f>+ISNUMBER(SEARCH(#REF!,Tabla11[[#This Row],[Cuenta]],1))</f>
        <v>0</v>
      </c>
      <c r="BI213" t="b">
        <f>+ISNUMBER(SEARCH(#REF!,Tabla11[[#This Row],[Cuenta]],1))</f>
        <v>0</v>
      </c>
      <c r="BJ213" t="b">
        <f>+ISNUMBER(SEARCH(#REF!,Tabla11[[#This Row],[Cuenta]],1))</f>
        <v>0</v>
      </c>
      <c r="BS213" t="str">
        <v>158810 Equipo de oficina</v>
      </c>
      <c r="BT213" t="str">
        <v>158810 Equipo de oficina</v>
      </c>
      <c r="BU213" t="str">
        <v>158810 Equipo de oficina</v>
      </c>
      <c r="BV213" t="str">
        <v>158810 Equipo de oficina</v>
      </c>
      <c r="BZ213" t="str">
        <v>158810 Equipo de oficina</v>
      </c>
      <c r="CA213" t="str">
        <v>158810 Equipo de oficina</v>
      </c>
      <c r="CB213" t="str">
        <v>158810 Equipo de oficina</v>
      </c>
      <c r="CC213" t="str">
        <v>158810 Equipo de oficina</v>
      </c>
      <c r="CD213" t="str">
        <v>158810 Equipo de oficina</v>
      </c>
      <c r="CE213" t="str">
        <v>158810 Equipo de oficina</v>
      </c>
      <c r="CS213" s="141" t="str">
        <v>158810 Equipo de oficina</v>
      </c>
      <c r="CT213" s="141" t="str">
        <v>158810 Equipo de oficina</v>
      </c>
      <c r="CU213" s="141" t="str">
        <v>158810 Equipo de oficina</v>
      </c>
      <c r="CV213" s="141" t="str">
        <v>158810 Equipo de oficina</v>
      </c>
      <c r="CW213" s="141" t="str">
        <v>158810 Equipo de oficina</v>
      </c>
      <c r="CX213" s="141" t="str">
        <v>158810 Equipo de oficina</v>
      </c>
      <c r="CY213" s="141" t="str">
        <v>158810 Equipo de oficina</v>
      </c>
      <c r="CZ213" s="141" t="str">
        <v>158810 Equipo de oficina</v>
      </c>
      <c r="DA213" s="141" t="str">
        <v>158810 Equipo de oficina</v>
      </c>
      <c r="DF213" t="str">
        <v>158810 Equipo de oficina</v>
      </c>
      <c r="DG213" t="str">
        <v>158810 Equipo de oficina</v>
      </c>
      <c r="DH213" t="str">
        <v>158810 Equipo de oficina</v>
      </c>
      <c r="DI213" t="str">
        <v>158810 Equipo de oficina</v>
      </c>
      <c r="DJ213" t="str">
        <v>158810 Equipo de oficina</v>
      </c>
      <c r="DK213" t="str">
        <v>158810 Equipo de oficina</v>
      </c>
      <c r="DL213" t="str">
        <v>158810 Equipo de oficina</v>
      </c>
      <c r="DM213" t="str">
        <v>158810 Equipo de oficina</v>
      </c>
      <c r="DN213" t="str">
        <v>158810 Equipo de oficina</v>
      </c>
      <c r="DO213" t="str">
        <v>158810 Equipo de oficina</v>
      </c>
      <c r="DP213" t="str">
        <v>158810 Equipo de oficina</v>
      </c>
    </row>
    <row r="214" spans="4:120" ht="12.75">
      <c r="D214" s="7">
        <v>158815</v>
      </c>
      <c r="E214" s="6" t="s">
        <v>130</v>
      </c>
      <c r="F214" s="5">
        <v>4</v>
      </c>
      <c r="G214" s="34" t="s">
        <v>822</v>
      </c>
      <c r="H214" s="8" t="s">
        <v>32</v>
      </c>
      <c r="I214" t="b">
        <f>+ISNUMBER(SEARCH('F-COMPRA'!$F$28,Tabla11[[#This Row],[Cuenta]],1))</f>
        <v>1</v>
      </c>
      <c r="J214" t="b">
        <f>+ISNUMBER(SEARCH('F-COMPRA'!$F$29,Tabla11[[#This Row],[Cuenta]],1))</f>
        <v>1</v>
      </c>
      <c r="K214" t="b">
        <f>+ISNUMBER(SEARCH('F-COMPRA'!$F$30,Tabla11[[#This Row],[Cuenta]],1))</f>
        <v>1</v>
      </c>
      <c r="L214" t="b">
        <f>+ISNUMBER(SEARCH('F-COMPRA'!$F$31,Tabla11[[#This Row],[Cuenta]],1))</f>
        <v>1</v>
      </c>
      <c r="M214" t="b">
        <f>+ISNUMBER(SEARCH('F-COMPRA'!$G$25,Tabla11[[#This Row],[Cuenta]],1))</f>
        <v>0</v>
      </c>
      <c r="N214" t="b">
        <f>+ISNUMBER(SEARCH(#REF!,Tabla11[[#This Row],[Cuenta]],1))</f>
        <v>0</v>
      </c>
      <c r="O214" t="b">
        <f>+ISNUMBER(SEARCH(#REF!,Tabla11[[#This Row],[Cuenta]],1))</f>
        <v>0</v>
      </c>
      <c r="P214" t="b">
        <f>+ISNUMBER(SEARCH('F-COMPRA'!$F$32,Tabla11[[#This Row],[Cuenta]],1))</f>
        <v>1</v>
      </c>
      <c r="Q214" t="b">
        <f>+ISNUMBER(SEARCH('F-COMPRA'!$F$33,Tabla11[[#This Row],[Cuenta]],1))</f>
        <v>1</v>
      </c>
      <c r="R214" t="b">
        <f>+ISNUMBER(SEARCH('F-COMPRA'!$F$34,Tabla11[[#This Row],[Cuenta]],1))</f>
        <v>1</v>
      </c>
      <c r="S214" t="b">
        <f>+ISNUMBER(SEARCH('F-COMPRA'!$F$35,Tabla11[[#This Row],[Cuenta]],1))</f>
        <v>1</v>
      </c>
      <c r="T214" t="b">
        <f>+ISNUMBER(SEARCH('F-COMPRA'!$F$36,Tabla11[[#This Row],[Cuenta]],1))</f>
        <v>1</v>
      </c>
      <c r="U214" t="b">
        <f>+ISNUMBER(SEARCH('F-COMPRA'!$F$37,Tabla11[[#This Row],[Cuenta]],1))</f>
        <v>1</v>
      </c>
      <c r="V214" t="b">
        <f>+ISNUMBER(SEARCH(#REF!,Tabla11[[#This Row],[Cuenta]],1))</f>
        <v>0</v>
      </c>
      <c r="W214" t="b">
        <f>+ISNUMBER(SEARCH('F-COMPRA'!#REF!,Tabla11[[#This Row],[Cuenta]],1))</f>
        <v>0</v>
      </c>
      <c r="X214" t="b">
        <f>+ISNUMBER(SEARCH('F-COMPRA'!#REF!,Tabla11[[#This Row],[Cuenta]],1))</f>
        <v>0</v>
      </c>
      <c r="Y214" t="b">
        <f>+ISNUMBER(SEARCH('F-COMPRA'!#REF!,Tabla11[[#This Row],[Cuenta]],1))</f>
        <v>0</v>
      </c>
      <c r="Z214" t="b">
        <f>+ISNUMBER(SEARCH('F-COMPRA'!#REF!,Tabla11[[#This Row],[Cuenta]],1))</f>
        <v>0</v>
      </c>
      <c r="AA214" t="b">
        <f>+ISNUMBER(SEARCH('F-COMPRA'!#REF!,Tabla11[[#This Row],[Cuenta]],1))</f>
        <v>0</v>
      </c>
      <c r="AB214" t="b">
        <f>+ISNUMBER(SEARCH('F-COMPRA'!#REF!,Tabla11[[#This Row],[Cuenta]],1))</f>
        <v>0</v>
      </c>
      <c r="AC214" t="b">
        <f>+ISNUMBER(SEARCH('F-COMPRA'!#REF!,Tabla11[[#This Row],[Cuenta]],1))</f>
        <v>0</v>
      </c>
      <c r="AD214" t="b">
        <f>+ISNUMBER(SEARCH('F-COMPRA'!#REF!,Tabla11[[#This Row],[Cuenta]],1))</f>
        <v>0</v>
      </c>
      <c r="AE214" t="b">
        <f>+ISNUMBER(SEARCH('F-COMPRA'!#REF!,Tabla11[[#This Row],[Cuenta]],1))</f>
        <v>0</v>
      </c>
      <c r="AF214" t="b">
        <f>+ISNUMBER(SEARCH('F-VTA'!$G$23,Tabla11[[#This Row],[Cuenta]],1))</f>
        <v>0</v>
      </c>
      <c r="AG214" t="b">
        <f>+ISNUMBER(SEARCH('F-VTA'!$G$24,Tabla11[[#This Row],[Cuenta]],1))</f>
        <v>0</v>
      </c>
      <c r="AH214" t="b">
        <f>+ISNUMBER(SEARCH('F-VTA'!$G$25,Tabla11[[#This Row],[Cuenta]],1))</f>
        <v>0</v>
      </c>
      <c r="AI214" t="b">
        <f>+ISNUMBER(SEARCH('F-VTA'!$F$28,Tabla11[[#This Row],[Cuenta]],1))</f>
        <v>1</v>
      </c>
      <c r="AJ214" t="b">
        <f>+ISNUMBER(SEARCH('F-VTA'!$F$29,Tabla11[[#This Row],[Cuenta]],1))</f>
        <v>1</v>
      </c>
      <c r="AK214" t="b">
        <f>+ISNUMBER(SEARCH('F-VTA'!$F$30,Tabla11[[#This Row],[Cuenta]],1))</f>
        <v>1</v>
      </c>
      <c r="AL214" t="b">
        <f>+ISNUMBER(SEARCH('F-VTA'!$F$31,Tabla11[[#This Row],[Cuenta]],1))</f>
        <v>1</v>
      </c>
      <c r="AM214" t="b">
        <f>+ISNUMBER(SEARCH('F-VTA'!$F$32,Tabla11[[#This Row],[Cuenta]],1))</f>
        <v>1</v>
      </c>
      <c r="AN214" t="b">
        <f>+ISNUMBER(SEARCH('F-VTA'!$F$33,Tabla11[[#This Row],[Cuenta]],1))</f>
        <v>1</v>
      </c>
      <c r="AO214" t="b">
        <f>+ISNUMBER(SEARCH('F-VTA'!$F$34,Tabla11[[#This Row],[Cuenta]],1))</f>
        <v>1</v>
      </c>
      <c r="AP214" t="b">
        <f>+ISNUMBER(SEARCH('F-VTA'!$F$35,Tabla11[[#This Row],[Cuenta]],1))</f>
        <v>1</v>
      </c>
      <c r="AQ214" t="b">
        <f>+ISNUMBER(SEARCH('F-VTA'!$F$36,Tabla11[[#This Row],[Cuenta]],1))</f>
        <v>1</v>
      </c>
      <c r="AR214" t="b">
        <f>+ISNUMBER(SEARCH(#REF!,Tabla11[[#This Row],[Cuenta]],1))</f>
        <v>0</v>
      </c>
      <c r="AS214" t="b">
        <f>+ISNUMBER(SEARCH(#REF!,Tabla11[[#This Row],[Cuenta]],1))</f>
        <v>0</v>
      </c>
      <c r="AT214" t="b">
        <f>+ISNUMBER(SEARCH(#REF!,Tabla11[[#This Row],[Cuenta]],1))</f>
        <v>0</v>
      </c>
      <c r="AU214" t="b">
        <f>+ISNUMBER(SEARCH('Conc. Ban.1'!$I$9,Tabla11[[#This Row],[Cuenta]],1))</f>
        <v>0</v>
      </c>
      <c r="AV214" t="b">
        <f>+ISNUMBER(SEARCH(CompConta!$F$21,Tabla11[[#This Row],[Cuenta]],1))</f>
        <v>1</v>
      </c>
      <c r="AW214" t="b">
        <f>+ISNUMBER(SEARCH(CompConta!$F$22,Tabla11[[#This Row],[Cuenta]],1))</f>
        <v>1</v>
      </c>
      <c r="AX214" t="b">
        <f>+ISNUMBER(SEARCH(CompConta!$F$23,Tabla11[[#This Row],[Cuenta]],1))</f>
        <v>1</v>
      </c>
      <c r="AY214" t="b">
        <f>+ISNUMBER(SEARCH(CompConta!$F$24,Tabla11[[#This Row],[Cuenta]],1))</f>
        <v>1</v>
      </c>
      <c r="AZ214" t="b">
        <f>+ISNUMBER(SEARCH(CompConta!$F$25,Tabla11[[#This Row],[Cuenta]],1))</f>
        <v>1</v>
      </c>
      <c r="BA214" t="b">
        <f>+ISNUMBER(SEARCH(CompConta!$F$26,Tabla11[[#This Row],[Cuenta]],1))</f>
        <v>1</v>
      </c>
      <c r="BB214" t="b">
        <f>+ISNUMBER(SEARCH(CompConta!$F$27,Tabla11[[#This Row],[Cuenta]],1))</f>
        <v>1</v>
      </c>
      <c r="BC214" t="b">
        <f>+ISNUMBER(SEARCH(CompConta!$F$28,Tabla11[[#This Row],[Cuenta]],1))</f>
        <v>1</v>
      </c>
      <c r="BD214" t="b">
        <f>+ISNUMBER(SEARCH(CompConta!$F$29,Tabla11[[#This Row],[Cuenta]],1))</f>
        <v>1</v>
      </c>
      <c r="BE214" t="b">
        <f>+ISNUMBER(SEARCH(CompConta!$F$30,Tabla11[[#This Row],[Cuenta]],1))</f>
        <v>1</v>
      </c>
      <c r="BF214" t="b">
        <f>+ISNUMBER(SEARCH('PAGO Compras'!$E$11,Tabla11[[#This Row],[Cuenta]],1))</f>
        <v>1</v>
      </c>
      <c r="BG214" t="b">
        <f>+ISNUMBER(SEARCH(#REF!,Tabla11[[#This Row],[Cuenta]],1))</f>
        <v>0</v>
      </c>
      <c r="BH214" t="b">
        <f>+ISNUMBER(SEARCH(#REF!,Tabla11[[#This Row],[Cuenta]],1))</f>
        <v>0</v>
      </c>
      <c r="BI214" t="b">
        <f>+ISNUMBER(SEARCH(#REF!,Tabla11[[#This Row],[Cuenta]],1))</f>
        <v>0</v>
      </c>
      <c r="BJ214" t="b">
        <f>+ISNUMBER(SEARCH(#REF!,Tabla11[[#This Row],[Cuenta]],1))</f>
        <v>0</v>
      </c>
      <c r="BS214" t="str">
        <v>158815 Equipo de computación y comunicación</v>
      </c>
      <c r="BT214" t="str">
        <v>158815 Equipo de computación y comunicación</v>
      </c>
      <c r="BU214" t="str">
        <v>158815 Equipo de computación y comunicación</v>
      </c>
      <c r="BV214" t="str">
        <v>158815 Equipo de computación y comunicación</v>
      </c>
      <c r="BZ214" t="str">
        <v>158815 Equipo de computación y comunicación</v>
      </c>
      <c r="CA214" t="str">
        <v>158815 Equipo de computación y comunicación</v>
      </c>
      <c r="CB214" t="str">
        <v>158815 Equipo de computación y comunicación</v>
      </c>
      <c r="CC214" t="str">
        <v>158815 Equipo de computación y comunicación</v>
      </c>
      <c r="CD214" t="str">
        <v>158815 Equipo de computación y comunicación</v>
      </c>
      <c r="CE214" t="str">
        <v>158815 Equipo de computación y comunicación</v>
      </c>
      <c r="CS214" s="141" t="str">
        <v>158815 Equipo de computación y comunicación</v>
      </c>
      <c r="CT214" s="141" t="str">
        <v>158815 Equipo de computación y comunicación</v>
      </c>
      <c r="CU214" s="141" t="str">
        <v>158815 Equipo de computación y comunicación</v>
      </c>
      <c r="CV214" s="141" t="str">
        <v>158815 Equipo de computación y comunicación</v>
      </c>
      <c r="CW214" s="141" t="str">
        <v>158815 Equipo de computación y comunicación</v>
      </c>
      <c r="CX214" s="141" t="str">
        <v>158815 Equipo de computación y comunicación</v>
      </c>
      <c r="CY214" s="141" t="str">
        <v>158815 Equipo de computación y comunicación</v>
      </c>
      <c r="CZ214" s="141" t="str">
        <v>158815 Equipo de computación y comunicación</v>
      </c>
      <c r="DA214" s="141" t="str">
        <v>158815 Equipo de computación y comunicación</v>
      </c>
      <c r="DF214" t="str">
        <v>158815 Equipo de computación y comunicación</v>
      </c>
      <c r="DG214" t="str">
        <v>158815 Equipo de computación y comunicación</v>
      </c>
      <c r="DH214" t="str">
        <v>158815 Equipo de computación y comunicación</v>
      </c>
      <c r="DI214" t="str">
        <v>158815 Equipo de computación y comunicación</v>
      </c>
      <c r="DJ214" t="str">
        <v>158815 Equipo de computación y comunicación</v>
      </c>
      <c r="DK214" t="str">
        <v>158815 Equipo de computación y comunicación</v>
      </c>
      <c r="DL214" t="str">
        <v>158815 Equipo de computación y comunicación</v>
      </c>
      <c r="DM214" t="str">
        <v>158815 Equipo de computación y comunicación</v>
      </c>
      <c r="DN214" t="str">
        <v>158815 Equipo de computación y comunicación</v>
      </c>
      <c r="DO214" t="str">
        <v>158815 Equipo de computación y comunicación</v>
      </c>
      <c r="DP214" t="str">
        <v>158815 Equipo de computación y comunicación</v>
      </c>
    </row>
    <row r="215" spans="4:120" ht="12.75">
      <c r="D215" s="7">
        <v>158820</v>
      </c>
      <c r="E215" s="6" t="s">
        <v>131</v>
      </c>
      <c r="F215" s="5">
        <v>4</v>
      </c>
      <c r="G215" s="34" t="s">
        <v>822</v>
      </c>
      <c r="H215" s="8" t="s">
        <v>32</v>
      </c>
      <c r="I215" t="b">
        <f>+ISNUMBER(SEARCH('F-COMPRA'!$F$28,Tabla11[[#This Row],[Cuenta]],1))</f>
        <v>1</v>
      </c>
      <c r="J215" t="b">
        <f>+ISNUMBER(SEARCH('F-COMPRA'!$F$29,Tabla11[[#This Row],[Cuenta]],1))</f>
        <v>1</v>
      </c>
      <c r="K215" t="b">
        <f>+ISNUMBER(SEARCH('F-COMPRA'!$F$30,Tabla11[[#This Row],[Cuenta]],1))</f>
        <v>1</v>
      </c>
      <c r="L215" t="b">
        <f>+ISNUMBER(SEARCH('F-COMPRA'!$F$31,Tabla11[[#This Row],[Cuenta]],1))</f>
        <v>1</v>
      </c>
      <c r="M215" t="b">
        <f>+ISNUMBER(SEARCH('F-COMPRA'!$G$25,Tabla11[[#This Row],[Cuenta]],1))</f>
        <v>0</v>
      </c>
      <c r="N215" t="b">
        <f>+ISNUMBER(SEARCH(#REF!,Tabla11[[#This Row],[Cuenta]],1))</f>
        <v>0</v>
      </c>
      <c r="O215" t="b">
        <f>+ISNUMBER(SEARCH(#REF!,Tabla11[[#This Row],[Cuenta]],1))</f>
        <v>0</v>
      </c>
      <c r="P215" t="b">
        <f>+ISNUMBER(SEARCH('F-COMPRA'!$F$32,Tabla11[[#This Row],[Cuenta]],1))</f>
        <v>1</v>
      </c>
      <c r="Q215" t="b">
        <f>+ISNUMBER(SEARCH('F-COMPRA'!$F$33,Tabla11[[#This Row],[Cuenta]],1))</f>
        <v>1</v>
      </c>
      <c r="R215" t="b">
        <f>+ISNUMBER(SEARCH('F-COMPRA'!$F$34,Tabla11[[#This Row],[Cuenta]],1))</f>
        <v>1</v>
      </c>
      <c r="S215" t="b">
        <f>+ISNUMBER(SEARCH('F-COMPRA'!$F$35,Tabla11[[#This Row],[Cuenta]],1))</f>
        <v>1</v>
      </c>
      <c r="T215" t="b">
        <f>+ISNUMBER(SEARCH('F-COMPRA'!$F$36,Tabla11[[#This Row],[Cuenta]],1))</f>
        <v>1</v>
      </c>
      <c r="U215" t="b">
        <f>+ISNUMBER(SEARCH('F-COMPRA'!$F$37,Tabla11[[#This Row],[Cuenta]],1))</f>
        <v>1</v>
      </c>
      <c r="V215" t="b">
        <f>+ISNUMBER(SEARCH(#REF!,Tabla11[[#This Row],[Cuenta]],1))</f>
        <v>0</v>
      </c>
      <c r="W215" t="b">
        <f>+ISNUMBER(SEARCH('F-COMPRA'!#REF!,Tabla11[[#This Row],[Cuenta]],1))</f>
        <v>0</v>
      </c>
      <c r="X215" t="b">
        <f>+ISNUMBER(SEARCH('F-COMPRA'!#REF!,Tabla11[[#This Row],[Cuenta]],1))</f>
        <v>0</v>
      </c>
      <c r="Y215" t="b">
        <f>+ISNUMBER(SEARCH('F-COMPRA'!#REF!,Tabla11[[#This Row],[Cuenta]],1))</f>
        <v>0</v>
      </c>
      <c r="Z215" t="b">
        <f>+ISNUMBER(SEARCH('F-COMPRA'!#REF!,Tabla11[[#This Row],[Cuenta]],1))</f>
        <v>0</v>
      </c>
      <c r="AA215" t="b">
        <f>+ISNUMBER(SEARCH('F-COMPRA'!#REF!,Tabla11[[#This Row],[Cuenta]],1))</f>
        <v>0</v>
      </c>
      <c r="AB215" t="b">
        <f>+ISNUMBER(SEARCH('F-COMPRA'!#REF!,Tabla11[[#This Row],[Cuenta]],1))</f>
        <v>0</v>
      </c>
      <c r="AC215" t="b">
        <f>+ISNUMBER(SEARCH('F-COMPRA'!#REF!,Tabla11[[#This Row],[Cuenta]],1))</f>
        <v>0</v>
      </c>
      <c r="AD215" t="b">
        <f>+ISNUMBER(SEARCH('F-COMPRA'!#REF!,Tabla11[[#This Row],[Cuenta]],1))</f>
        <v>0</v>
      </c>
      <c r="AE215" t="b">
        <f>+ISNUMBER(SEARCH('F-COMPRA'!#REF!,Tabla11[[#This Row],[Cuenta]],1))</f>
        <v>0</v>
      </c>
      <c r="AF215" t="b">
        <f>+ISNUMBER(SEARCH('F-VTA'!$G$23,Tabla11[[#This Row],[Cuenta]],1))</f>
        <v>0</v>
      </c>
      <c r="AG215" t="b">
        <f>+ISNUMBER(SEARCH('F-VTA'!$G$24,Tabla11[[#This Row],[Cuenta]],1))</f>
        <v>0</v>
      </c>
      <c r="AH215" t="b">
        <f>+ISNUMBER(SEARCH('F-VTA'!$G$25,Tabla11[[#This Row],[Cuenta]],1))</f>
        <v>0</v>
      </c>
      <c r="AI215" t="b">
        <f>+ISNUMBER(SEARCH('F-VTA'!$F$28,Tabla11[[#This Row],[Cuenta]],1))</f>
        <v>1</v>
      </c>
      <c r="AJ215" t="b">
        <f>+ISNUMBER(SEARCH('F-VTA'!$F$29,Tabla11[[#This Row],[Cuenta]],1))</f>
        <v>1</v>
      </c>
      <c r="AK215" t="b">
        <f>+ISNUMBER(SEARCH('F-VTA'!$F$30,Tabla11[[#This Row],[Cuenta]],1))</f>
        <v>1</v>
      </c>
      <c r="AL215" t="b">
        <f>+ISNUMBER(SEARCH('F-VTA'!$F$31,Tabla11[[#This Row],[Cuenta]],1))</f>
        <v>1</v>
      </c>
      <c r="AM215" t="b">
        <f>+ISNUMBER(SEARCH('F-VTA'!$F$32,Tabla11[[#This Row],[Cuenta]],1))</f>
        <v>1</v>
      </c>
      <c r="AN215" t="b">
        <f>+ISNUMBER(SEARCH('F-VTA'!$F$33,Tabla11[[#This Row],[Cuenta]],1))</f>
        <v>1</v>
      </c>
      <c r="AO215" t="b">
        <f>+ISNUMBER(SEARCH('F-VTA'!$F$34,Tabla11[[#This Row],[Cuenta]],1))</f>
        <v>1</v>
      </c>
      <c r="AP215" t="b">
        <f>+ISNUMBER(SEARCH('F-VTA'!$F$35,Tabla11[[#This Row],[Cuenta]],1))</f>
        <v>1</v>
      </c>
      <c r="AQ215" t="b">
        <f>+ISNUMBER(SEARCH('F-VTA'!$F$36,Tabla11[[#This Row],[Cuenta]],1))</f>
        <v>1</v>
      </c>
      <c r="AR215" t="b">
        <f>+ISNUMBER(SEARCH(#REF!,Tabla11[[#This Row],[Cuenta]],1))</f>
        <v>0</v>
      </c>
      <c r="AS215" t="b">
        <f>+ISNUMBER(SEARCH(#REF!,Tabla11[[#This Row],[Cuenta]],1))</f>
        <v>0</v>
      </c>
      <c r="AT215" t="b">
        <f>+ISNUMBER(SEARCH(#REF!,Tabla11[[#This Row],[Cuenta]],1))</f>
        <v>0</v>
      </c>
      <c r="AU215" t="b">
        <f>+ISNUMBER(SEARCH('Conc. Ban.1'!$I$9,Tabla11[[#This Row],[Cuenta]],1))</f>
        <v>0</v>
      </c>
      <c r="AV215" t="b">
        <f>+ISNUMBER(SEARCH(CompConta!$F$21,Tabla11[[#This Row],[Cuenta]],1))</f>
        <v>1</v>
      </c>
      <c r="AW215" t="b">
        <f>+ISNUMBER(SEARCH(CompConta!$F$22,Tabla11[[#This Row],[Cuenta]],1))</f>
        <v>1</v>
      </c>
      <c r="AX215" t="b">
        <f>+ISNUMBER(SEARCH(CompConta!$F$23,Tabla11[[#This Row],[Cuenta]],1))</f>
        <v>1</v>
      </c>
      <c r="AY215" t="b">
        <f>+ISNUMBER(SEARCH(CompConta!$F$24,Tabla11[[#This Row],[Cuenta]],1))</f>
        <v>1</v>
      </c>
      <c r="AZ215" t="b">
        <f>+ISNUMBER(SEARCH(CompConta!$F$25,Tabla11[[#This Row],[Cuenta]],1))</f>
        <v>1</v>
      </c>
      <c r="BA215" t="b">
        <f>+ISNUMBER(SEARCH(CompConta!$F$26,Tabla11[[#This Row],[Cuenta]],1))</f>
        <v>1</v>
      </c>
      <c r="BB215" t="b">
        <f>+ISNUMBER(SEARCH(CompConta!$F$27,Tabla11[[#This Row],[Cuenta]],1))</f>
        <v>1</v>
      </c>
      <c r="BC215" t="b">
        <f>+ISNUMBER(SEARCH(CompConta!$F$28,Tabla11[[#This Row],[Cuenta]],1))</f>
        <v>1</v>
      </c>
      <c r="BD215" t="b">
        <f>+ISNUMBER(SEARCH(CompConta!$F$29,Tabla11[[#This Row],[Cuenta]],1))</f>
        <v>1</v>
      </c>
      <c r="BE215" t="b">
        <f>+ISNUMBER(SEARCH(CompConta!$F$30,Tabla11[[#This Row],[Cuenta]],1))</f>
        <v>1</v>
      </c>
      <c r="BF215" t="b">
        <f>+ISNUMBER(SEARCH('PAGO Compras'!$E$11,Tabla11[[#This Row],[Cuenta]],1))</f>
        <v>1</v>
      </c>
      <c r="BG215" t="b">
        <f>+ISNUMBER(SEARCH(#REF!,Tabla11[[#This Row],[Cuenta]],1))</f>
        <v>0</v>
      </c>
      <c r="BH215" t="b">
        <f>+ISNUMBER(SEARCH(#REF!,Tabla11[[#This Row],[Cuenta]],1))</f>
        <v>0</v>
      </c>
      <c r="BI215" t="b">
        <f>+ISNUMBER(SEARCH(#REF!,Tabla11[[#This Row],[Cuenta]],1))</f>
        <v>0</v>
      </c>
      <c r="BJ215" t="b">
        <f>+ISNUMBER(SEARCH(#REF!,Tabla11[[#This Row],[Cuenta]],1))</f>
        <v>0</v>
      </c>
      <c r="BS215" t="str">
        <v>158820 Equipo médico-científico</v>
      </c>
      <c r="BT215" t="str">
        <v>158820 Equipo médico-científico</v>
      </c>
      <c r="BU215" t="str">
        <v>158820 Equipo médico-científico</v>
      </c>
      <c r="BV215" t="str">
        <v>158820 Equipo médico-científico</v>
      </c>
      <c r="BZ215" t="str">
        <v>158820 Equipo médico-científico</v>
      </c>
      <c r="CA215" t="str">
        <v>158820 Equipo médico-científico</v>
      </c>
      <c r="CB215" t="str">
        <v>158820 Equipo médico-científico</v>
      </c>
      <c r="CC215" t="str">
        <v>158820 Equipo médico-científico</v>
      </c>
      <c r="CD215" t="str">
        <v>158820 Equipo médico-científico</v>
      </c>
      <c r="CE215" t="str">
        <v>158820 Equipo médico-científico</v>
      </c>
      <c r="CS215" s="141" t="str">
        <v>158820 Equipo médico-científico</v>
      </c>
      <c r="CT215" s="141" t="str">
        <v>158820 Equipo médico-científico</v>
      </c>
      <c r="CU215" s="141" t="str">
        <v>158820 Equipo médico-científico</v>
      </c>
      <c r="CV215" s="141" t="str">
        <v>158820 Equipo médico-científico</v>
      </c>
      <c r="CW215" s="141" t="str">
        <v>158820 Equipo médico-científico</v>
      </c>
      <c r="CX215" s="141" t="str">
        <v>158820 Equipo médico-científico</v>
      </c>
      <c r="CY215" s="141" t="str">
        <v>158820 Equipo médico-científico</v>
      </c>
      <c r="CZ215" s="141" t="str">
        <v>158820 Equipo médico-científico</v>
      </c>
      <c r="DA215" s="141" t="str">
        <v>158820 Equipo médico-científico</v>
      </c>
      <c r="DF215" t="str">
        <v>158820 Equipo médico-científico</v>
      </c>
      <c r="DG215" t="str">
        <v>158820 Equipo médico-científico</v>
      </c>
      <c r="DH215" t="str">
        <v>158820 Equipo médico-científico</v>
      </c>
      <c r="DI215" t="str">
        <v>158820 Equipo médico-científico</v>
      </c>
      <c r="DJ215" t="str">
        <v>158820 Equipo médico-científico</v>
      </c>
      <c r="DK215" t="str">
        <v>158820 Equipo médico-científico</v>
      </c>
      <c r="DL215" t="str">
        <v>158820 Equipo médico-científico</v>
      </c>
      <c r="DM215" t="str">
        <v>158820 Equipo médico-científico</v>
      </c>
      <c r="DN215" t="str">
        <v>158820 Equipo médico-científico</v>
      </c>
      <c r="DO215" t="str">
        <v>158820 Equipo médico-científico</v>
      </c>
      <c r="DP215" t="str">
        <v>158820 Equipo médico-científico</v>
      </c>
    </row>
    <row r="216" spans="4:120" ht="12.75">
      <c r="D216" s="7">
        <v>158825</v>
      </c>
      <c r="E216" s="6" t="s">
        <v>132</v>
      </c>
      <c r="F216" s="5">
        <v>4</v>
      </c>
      <c r="G216" s="34" t="s">
        <v>822</v>
      </c>
      <c r="H216" s="8" t="s">
        <v>32</v>
      </c>
      <c r="I216" t="b">
        <f>+ISNUMBER(SEARCH('F-COMPRA'!$F$28,Tabla11[[#This Row],[Cuenta]],1))</f>
        <v>1</v>
      </c>
      <c r="J216" t="b">
        <f>+ISNUMBER(SEARCH('F-COMPRA'!$F$29,Tabla11[[#This Row],[Cuenta]],1))</f>
        <v>1</v>
      </c>
      <c r="K216" t="b">
        <f>+ISNUMBER(SEARCH('F-COMPRA'!$F$30,Tabla11[[#This Row],[Cuenta]],1))</f>
        <v>1</v>
      </c>
      <c r="L216" t="b">
        <f>+ISNUMBER(SEARCH('F-COMPRA'!$F$31,Tabla11[[#This Row],[Cuenta]],1))</f>
        <v>1</v>
      </c>
      <c r="M216" t="b">
        <f>+ISNUMBER(SEARCH('F-COMPRA'!$G$25,Tabla11[[#This Row],[Cuenta]],1))</f>
        <v>0</v>
      </c>
      <c r="N216" t="b">
        <f>+ISNUMBER(SEARCH(#REF!,Tabla11[[#This Row],[Cuenta]],1))</f>
        <v>0</v>
      </c>
      <c r="O216" t="b">
        <f>+ISNUMBER(SEARCH(#REF!,Tabla11[[#This Row],[Cuenta]],1))</f>
        <v>0</v>
      </c>
      <c r="P216" t="b">
        <f>+ISNUMBER(SEARCH('F-COMPRA'!$F$32,Tabla11[[#This Row],[Cuenta]],1))</f>
        <v>1</v>
      </c>
      <c r="Q216" t="b">
        <f>+ISNUMBER(SEARCH('F-COMPRA'!$F$33,Tabla11[[#This Row],[Cuenta]],1))</f>
        <v>1</v>
      </c>
      <c r="R216" t="b">
        <f>+ISNUMBER(SEARCH('F-COMPRA'!$F$34,Tabla11[[#This Row],[Cuenta]],1))</f>
        <v>1</v>
      </c>
      <c r="S216" t="b">
        <f>+ISNUMBER(SEARCH('F-COMPRA'!$F$35,Tabla11[[#This Row],[Cuenta]],1))</f>
        <v>1</v>
      </c>
      <c r="T216" t="b">
        <f>+ISNUMBER(SEARCH('F-COMPRA'!$F$36,Tabla11[[#This Row],[Cuenta]],1))</f>
        <v>1</v>
      </c>
      <c r="U216" t="b">
        <f>+ISNUMBER(SEARCH('F-COMPRA'!$F$37,Tabla11[[#This Row],[Cuenta]],1))</f>
        <v>1</v>
      </c>
      <c r="V216" t="b">
        <f>+ISNUMBER(SEARCH(#REF!,Tabla11[[#This Row],[Cuenta]],1))</f>
        <v>0</v>
      </c>
      <c r="W216" t="b">
        <f>+ISNUMBER(SEARCH('F-COMPRA'!#REF!,Tabla11[[#This Row],[Cuenta]],1))</f>
        <v>0</v>
      </c>
      <c r="X216" t="b">
        <f>+ISNUMBER(SEARCH('F-COMPRA'!#REF!,Tabla11[[#This Row],[Cuenta]],1))</f>
        <v>0</v>
      </c>
      <c r="Y216" t="b">
        <f>+ISNUMBER(SEARCH('F-COMPRA'!#REF!,Tabla11[[#This Row],[Cuenta]],1))</f>
        <v>0</v>
      </c>
      <c r="Z216" t="b">
        <f>+ISNUMBER(SEARCH('F-COMPRA'!#REF!,Tabla11[[#This Row],[Cuenta]],1))</f>
        <v>0</v>
      </c>
      <c r="AA216" t="b">
        <f>+ISNUMBER(SEARCH('F-COMPRA'!#REF!,Tabla11[[#This Row],[Cuenta]],1))</f>
        <v>0</v>
      </c>
      <c r="AB216" t="b">
        <f>+ISNUMBER(SEARCH('F-COMPRA'!#REF!,Tabla11[[#This Row],[Cuenta]],1))</f>
        <v>0</v>
      </c>
      <c r="AC216" t="b">
        <f>+ISNUMBER(SEARCH('F-COMPRA'!#REF!,Tabla11[[#This Row],[Cuenta]],1))</f>
        <v>0</v>
      </c>
      <c r="AD216" t="b">
        <f>+ISNUMBER(SEARCH('F-COMPRA'!#REF!,Tabla11[[#This Row],[Cuenta]],1))</f>
        <v>0</v>
      </c>
      <c r="AE216" t="b">
        <f>+ISNUMBER(SEARCH('F-COMPRA'!#REF!,Tabla11[[#This Row],[Cuenta]],1))</f>
        <v>0</v>
      </c>
      <c r="AF216" t="b">
        <f>+ISNUMBER(SEARCH('F-VTA'!$G$23,Tabla11[[#This Row],[Cuenta]],1))</f>
        <v>0</v>
      </c>
      <c r="AG216" t="b">
        <f>+ISNUMBER(SEARCH('F-VTA'!$G$24,Tabla11[[#This Row],[Cuenta]],1))</f>
        <v>0</v>
      </c>
      <c r="AH216" t="b">
        <f>+ISNUMBER(SEARCH('F-VTA'!$G$25,Tabla11[[#This Row],[Cuenta]],1))</f>
        <v>0</v>
      </c>
      <c r="AI216" t="b">
        <f>+ISNUMBER(SEARCH('F-VTA'!$F$28,Tabla11[[#This Row],[Cuenta]],1))</f>
        <v>1</v>
      </c>
      <c r="AJ216" t="b">
        <f>+ISNUMBER(SEARCH('F-VTA'!$F$29,Tabla11[[#This Row],[Cuenta]],1))</f>
        <v>1</v>
      </c>
      <c r="AK216" t="b">
        <f>+ISNUMBER(SEARCH('F-VTA'!$F$30,Tabla11[[#This Row],[Cuenta]],1))</f>
        <v>1</v>
      </c>
      <c r="AL216" t="b">
        <f>+ISNUMBER(SEARCH('F-VTA'!$F$31,Tabla11[[#This Row],[Cuenta]],1))</f>
        <v>1</v>
      </c>
      <c r="AM216" t="b">
        <f>+ISNUMBER(SEARCH('F-VTA'!$F$32,Tabla11[[#This Row],[Cuenta]],1))</f>
        <v>1</v>
      </c>
      <c r="AN216" t="b">
        <f>+ISNUMBER(SEARCH('F-VTA'!$F$33,Tabla11[[#This Row],[Cuenta]],1))</f>
        <v>1</v>
      </c>
      <c r="AO216" t="b">
        <f>+ISNUMBER(SEARCH('F-VTA'!$F$34,Tabla11[[#This Row],[Cuenta]],1))</f>
        <v>1</v>
      </c>
      <c r="AP216" t="b">
        <f>+ISNUMBER(SEARCH('F-VTA'!$F$35,Tabla11[[#This Row],[Cuenta]],1))</f>
        <v>1</v>
      </c>
      <c r="AQ216" t="b">
        <f>+ISNUMBER(SEARCH('F-VTA'!$F$36,Tabla11[[#This Row],[Cuenta]],1))</f>
        <v>1</v>
      </c>
      <c r="AR216" t="b">
        <f>+ISNUMBER(SEARCH(#REF!,Tabla11[[#This Row],[Cuenta]],1))</f>
        <v>0</v>
      </c>
      <c r="AS216" t="b">
        <f>+ISNUMBER(SEARCH(#REF!,Tabla11[[#This Row],[Cuenta]],1))</f>
        <v>0</v>
      </c>
      <c r="AT216" t="b">
        <f>+ISNUMBER(SEARCH(#REF!,Tabla11[[#This Row],[Cuenta]],1))</f>
        <v>0</v>
      </c>
      <c r="AU216" t="b">
        <f>+ISNUMBER(SEARCH('Conc. Ban.1'!$I$9,Tabla11[[#This Row],[Cuenta]],1))</f>
        <v>0</v>
      </c>
      <c r="AV216" t="b">
        <f>+ISNUMBER(SEARCH(CompConta!$F$21,Tabla11[[#This Row],[Cuenta]],1))</f>
        <v>1</v>
      </c>
      <c r="AW216" t="b">
        <f>+ISNUMBER(SEARCH(CompConta!$F$22,Tabla11[[#This Row],[Cuenta]],1))</f>
        <v>1</v>
      </c>
      <c r="AX216" t="b">
        <f>+ISNUMBER(SEARCH(CompConta!$F$23,Tabla11[[#This Row],[Cuenta]],1))</f>
        <v>1</v>
      </c>
      <c r="AY216" t="b">
        <f>+ISNUMBER(SEARCH(CompConta!$F$24,Tabla11[[#This Row],[Cuenta]],1))</f>
        <v>1</v>
      </c>
      <c r="AZ216" t="b">
        <f>+ISNUMBER(SEARCH(CompConta!$F$25,Tabla11[[#This Row],[Cuenta]],1))</f>
        <v>1</v>
      </c>
      <c r="BA216" t="b">
        <f>+ISNUMBER(SEARCH(CompConta!$F$26,Tabla11[[#This Row],[Cuenta]],1))</f>
        <v>1</v>
      </c>
      <c r="BB216" t="b">
        <f>+ISNUMBER(SEARCH(CompConta!$F$27,Tabla11[[#This Row],[Cuenta]],1))</f>
        <v>1</v>
      </c>
      <c r="BC216" t="b">
        <f>+ISNUMBER(SEARCH(CompConta!$F$28,Tabla11[[#This Row],[Cuenta]],1))</f>
        <v>1</v>
      </c>
      <c r="BD216" t="b">
        <f>+ISNUMBER(SEARCH(CompConta!$F$29,Tabla11[[#This Row],[Cuenta]],1))</f>
        <v>1</v>
      </c>
      <c r="BE216" t="b">
        <f>+ISNUMBER(SEARCH(CompConta!$F$30,Tabla11[[#This Row],[Cuenta]],1))</f>
        <v>1</v>
      </c>
      <c r="BF216" t="b">
        <f>+ISNUMBER(SEARCH('PAGO Compras'!$E$11,Tabla11[[#This Row],[Cuenta]],1))</f>
        <v>1</v>
      </c>
      <c r="BG216" t="b">
        <f>+ISNUMBER(SEARCH(#REF!,Tabla11[[#This Row],[Cuenta]],1))</f>
        <v>0</v>
      </c>
      <c r="BH216" t="b">
        <f>+ISNUMBER(SEARCH(#REF!,Tabla11[[#This Row],[Cuenta]],1))</f>
        <v>0</v>
      </c>
      <c r="BI216" t="b">
        <f>+ISNUMBER(SEARCH(#REF!,Tabla11[[#This Row],[Cuenta]],1))</f>
        <v>0</v>
      </c>
      <c r="BJ216" t="b">
        <f>+ISNUMBER(SEARCH(#REF!,Tabla11[[#This Row],[Cuenta]],1))</f>
        <v>0</v>
      </c>
      <c r="BS216" t="str">
        <v>158825 Equipo de hoteles y restaurantes</v>
      </c>
      <c r="BT216" t="str">
        <v>158825 Equipo de hoteles y restaurantes</v>
      </c>
      <c r="BU216" t="str">
        <v>158825 Equipo de hoteles y restaurantes</v>
      </c>
      <c r="BV216" t="str">
        <v>158825 Equipo de hoteles y restaurantes</v>
      </c>
      <c r="BZ216" t="str">
        <v>158825 Equipo de hoteles y restaurantes</v>
      </c>
      <c r="CA216" t="str">
        <v>158825 Equipo de hoteles y restaurantes</v>
      </c>
      <c r="CB216" t="str">
        <v>158825 Equipo de hoteles y restaurantes</v>
      </c>
      <c r="CC216" t="str">
        <v>158825 Equipo de hoteles y restaurantes</v>
      </c>
      <c r="CD216" t="str">
        <v>158825 Equipo de hoteles y restaurantes</v>
      </c>
      <c r="CE216" t="str">
        <v>158825 Equipo de hoteles y restaurantes</v>
      </c>
      <c r="CS216" s="141" t="str">
        <v>158825 Equipo de hoteles y restaurantes</v>
      </c>
      <c r="CT216" s="141" t="str">
        <v>158825 Equipo de hoteles y restaurantes</v>
      </c>
      <c r="CU216" s="141" t="str">
        <v>158825 Equipo de hoteles y restaurantes</v>
      </c>
      <c r="CV216" s="141" t="str">
        <v>158825 Equipo de hoteles y restaurantes</v>
      </c>
      <c r="CW216" s="141" t="str">
        <v>158825 Equipo de hoteles y restaurantes</v>
      </c>
      <c r="CX216" s="141" t="str">
        <v>158825 Equipo de hoteles y restaurantes</v>
      </c>
      <c r="CY216" s="141" t="str">
        <v>158825 Equipo de hoteles y restaurantes</v>
      </c>
      <c r="CZ216" s="141" t="str">
        <v>158825 Equipo de hoteles y restaurantes</v>
      </c>
      <c r="DA216" s="141" t="str">
        <v>158825 Equipo de hoteles y restaurantes</v>
      </c>
      <c r="DF216" t="str">
        <v>158825 Equipo de hoteles y restaurantes</v>
      </c>
      <c r="DG216" t="str">
        <v>158825 Equipo de hoteles y restaurantes</v>
      </c>
      <c r="DH216" t="str">
        <v>158825 Equipo de hoteles y restaurantes</v>
      </c>
      <c r="DI216" t="str">
        <v>158825 Equipo de hoteles y restaurantes</v>
      </c>
      <c r="DJ216" t="str">
        <v>158825 Equipo de hoteles y restaurantes</v>
      </c>
      <c r="DK216" t="str">
        <v>158825 Equipo de hoteles y restaurantes</v>
      </c>
      <c r="DL216" t="str">
        <v>158825 Equipo de hoteles y restaurantes</v>
      </c>
      <c r="DM216" t="str">
        <v>158825 Equipo de hoteles y restaurantes</v>
      </c>
      <c r="DN216" t="str">
        <v>158825 Equipo de hoteles y restaurantes</v>
      </c>
      <c r="DO216" t="str">
        <v>158825 Equipo de hoteles y restaurantes</v>
      </c>
      <c r="DP216" t="str">
        <v>158825 Equipo de hoteles y restaurantes</v>
      </c>
    </row>
    <row r="217" spans="4:120" ht="12.75">
      <c r="D217" s="7">
        <v>158830</v>
      </c>
      <c r="E217" s="6" t="s">
        <v>133</v>
      </c>
      <c r="F217" s="5">
        <v>4</v>
      </c>
      <c r="G217" s="34" t="s">
        <v>822</v>
      </c>
      <c r="H217" s="8" t="s">
        <v>32</v>
      </c>
      <c r="I217" t="b">
        <f>+ISNUMBER(SEARCH('F-COMPRA'!$F$28,Tabla11[[#This Row],[Cuenta]],1))</f>
        <v>1</v>
      </c>
      <c r="J217" t="b">
        <f>+ISNUMBER(SEARCH('F-COMPRA'!$F$29,Tabla11[[#This Row],[Cuenta]],1))</f>
        <v>1</v>
      </c>
      <c r="K217" t="b">
        <f>+ISNUMBER(SEARCH('F-COMPRA'!$F$30,Tabla11[[#This Row],[Cuenta]],1))</f>
        <v>1</v>
      </c>
      <c r="L217" t="b">
        <f>+ISNUMBER(SEARCH('F-COMPRA'!$F$31,Tabla11[[#This Row],[Cuenta]],1))</f>
        <v>1</v>
      </c>
      <c r="M217" t="b">
        <f>+ISNUMBER(SEARCH('F-COMPRA'!$G$25,Tabla11[[#This Row],[Cuenta]],1))</f>
        <v>0</v>
      </c>
      <c r="N217" t="b">
        <f>+ISNUMBER(SEARCH(#REF!,Tabla11[[#This Row],[Cuenta]],1))</f>
        <v>0</v>
      </c>
      <c r="O217" t="b">
        <f>+ISNUMBER(SEARCH(#REF!,Tabla11[[#This Row],[Cuenta]],1))</f>
        <v>0</v>
      </c>
      <c r="P217" t="b">
        <f>+ISNUMBER(SEARCH('F-COMPRA'!$F$32,Tabla11[[#This Row],[Cuenta]],1))</f>
        <v>1</v>
      </c>
      <c r="Q217" t="b">
        <f>+ISNUMBER(SEARCH('F-COMPRA'!$F$33,Tabla11[[#This Row],[Cuenta]],1))</f>
        <v>1</v>
      </c>
      <c r="R217" t="b">
        <f>+ISNUMBER(SEARCH('F-COMPRA'!$F$34,Tabla11[[#This Row],[Cuenta]],1))</f>
        <v>1</v>
      </c>
      <c r="S217" t="b">
        <f>+ISNUMBER(SEARCH('F-COMPRA'!$F$35,Tabla11[[#This Row],[Cuenta]],1))</f>
        <v>1</v>
      </c>
      <c r="T217" t="b">
        <f>+ISNUMBER(SEARCH('F-COMPRA'!$F$36,Tabla11[[#This Row],[Cuenta]],1))</f>
        <v>1</v>
      </c>
      <c r="U217" t="b">
        <f>+ISNUMBER(SEARCH('F-COMPRA'!$F$37,Tabla11[[#This Row],[Cuenta]],1))</f>
        <v>1</v>
      </c>
      <c r="V217" t="b">
        <f>+ISNUMBER(SEARCH(#REF!,Tabla11[[#This Row],[Cuenta]],1))</f>
        <v>0</v>
      </c>
      <c r="W217" t="b">
        <f>+ISNUMBER(SEARCH('F-COMPRA'!#REF!,Tabla11[[#This Row],[Cuenta]],1))</f>
        <v>0</v>
      </c>
      <c r="X217" t="b">
        <f>+ISNUMBER(SEARCH('F-COMPRA'!#REF!,Tabla11[[#This Row],[Cuenta]],1))</f>
        <v>0</v>
      </c>
      <c r="Y217" t="b">
        <f>+ISNUMBER(SEARCH('F-COMPRA'!#REF!,Tabla11[[#This Row],[Cuenta]],1))</f>
        <v>0</v>
      </c>
      <c r="Z217" t="b">
        <f>+ISNUMBER(SEARCH('F-COMPRA'!#REF!,Tabla11[[#This Row],[Cuenta]],1))</f>
        <v>0</v>
      </c>
      <c r="AA217" t="b">
        <f>+ISNUMBER(SEARCH('F-COMPRA'!#REF!,Tabla11[[#This Row],[Cuenta]],1))</f>
        <v>0</v>
      </c>
      <c r="AB217" t="b">
        <f>+ISNUMBER(SEARCH('F-COMPRA'!#REF!,Tabla11[[#This Row],[Cuenta]],1))</f>
        <v>0</v>
      </c>
      <c r="AC217" t="b">
        <f>+ISNUMBER(SEARCH('F-COMPRA'!#REF!,Tabla11[[#This Row],[Cuenta]],1))</f>
        <v>0</v>
      </c>
      <c r="AD217" t="b">
        <f>+ISNUMBER(SEARCH('F-COMPRA'!#REF!,Tabla11[[#This Row],[Cuenta]],1))</f>
        <v>0</v>
      </c>
      <c r="AE217" t="b">
        <f>+ISNUMBER(SEARCH('F-COMPRA'!#REF!,Tabla11[[#This Row],[Cuenta]],1))</f>
        <v>0</v>
      </c>
      <c r="AF217" t="b">
        <f>+ISNUMBER(SEARCH('F-VTA'!$G$23,Tabla11[[#This Row],[Cuenta]],1))</f>
        <v>0</v>
      </c>
      <c r="AG217" t="b">
        <f>+ISNUMBER(SEARCH('F-VTA'!$G$24,Tabla11[[#This Row],[Cuenta]],1))</f>
        <v>0</v>
      </c>
      <c r="AH217" t="b">
        <f>+ISNUMBER(SEARCH('F-VTA'!$G$25,Tabla11[[#This Row],[Cuenta]],1))</f>
        <v>0</v>
      </c>
      <c r="AI217" t="b">
        <f>+ISNUMBER(SEARCH('F-VTA'!$F$28,Tabla11[[#This Row],[Cuenta]],1))</f>
        <v>1</v>
      </c>
      <c r="AJ217" t="b">
        <f>+ISNUMBER(SEARCH('F-VTA'!$F$29,Tabla11[[#This Row],[Cuenta]],1))</f>
        <v>1</v>
      </c>
      <c r="AK217" t="b">
        <f>+ISNUMBER(SEARCH('F-VTA'!$F$30,Tabla11[[#This Row],[Cuenta]],1))</f>
        <v>1</v>
      </c>
      <c r="AL217" t="b">
        <f>+ISNUMBER(SEARCH('F-VTA'!$F$31,Tabla11[[#This Row],[Cuenta]],1))</f>
        <v>1</v>
      </c>
      <c r="AM217" t="b">
        <f>+ISNUMBER(SEARCH('F-VTA'!$F$32,Tabla11[[#This Row],[Cuenta]],1))</f>
        <v>1</v>
      </c>
      <c r="AN217" t="b">
        <f>+ISNUMBER(SEARCH('F-VTA'!$F$33,Tabla11[[#This Row],[Cuenta]],1))</f>
        <v>1</v>
      </c>
      <c r="AO217" t="b">
        <f>+ISNUMBER(SEARCH('F-VTA'!$F$34,Tabla11[[#This Row],[Cuenta]],1))</f>
        <v>1</v>
      </c>
      <c r="AP217" t="b">
        <f>+ISNUMBER(SEARCH('F-VTA'!$F$35,Tabla11[[#This Row],[Cuenta]],1))</f>
        <v>1</v>
      </c>
      <c r="AQ217" t="b">
        <f>+ISNUMBER(SEARCH('F-VTA'!$F$36,Tabla11[[#This Row],[Cuenta]],1))</f>
        <v>1</v>
      </c>
      <c r="AR217" t="b">
        <f>+ISNUMBER(SEARCH(#REF!,Tabla11[[#This Row],[Cuenta]],1))</f>
        <v>0</v>
      </c>
      <c r="AS217" t="b">
        <f>+ISNUMBER(SEARCH(#REF!,Tabla11[[#This Row],[Cuenta]],1))</f>
        <v>0</v>
      </c>
      <c r="AT217" t="b">
        <f>+ISNUMBER(SEARCH(#REF!,Tabla11[[#This Row],[Cuenta]],1))</f>
        <v>0</v>
      </c>
      <c r="AU217" t="b">
        <f>+ISNUMBER(SEARCH('Conc. Ban.1'!$I$9,Tabla11[[#This Row],[Cuenta]],1))</f>
        <v>0</v>
      </c>
      <c r="AV217" t="b">
        <f>+ISNUMBER(SEARCH(CompConta!$F$21,Tabla11[[#This Row],[Cuenta]],1))</f>
        <v>1</v>
      </c>
      <c r="AW217" t="b">
        <f>+ISNUMBER(SEARCH(CompConta!$F$22,Tabla11[[#This Row],[Cuenta]],1))</f>
        <v>1</v>
      </c>
      <c r="AX217" t="b">
        <f>+ISNUMBER(SEARCH(CompConta!$F$23,Tabla11[[#This Row],[Cuenta]],1))</f>
        <v>1</v>
      </c>
      <c r="AY217" t="b">
        <f>+ISNUMBER(SEARCH(CompConta!$F$24,Tabla11[[#This Row],[Cuenta]],1))</f>
        <v>1</v>
      </c>
      <c r="AZ217" t="b">
        <f>+ISNUMBER(SEARCH(CompConta!$F$25,Tabla11[[#This Row],[Cuenta]],1))</f>
        <v>1</v>
      </c>
      <c r="BA217" t="b">
        <f>+ISNUMBER(SEARCH(CompConta!$F$26,Tabla11[[#This Row],[Cuenta]],1))</f>
        <v>1</v>
      </c>
      <c r="BB217" t="b">
        <f>+ISNUMBER(SEARCH(CompConta!$F$27,Tabla11[[#This Row],[Cuenta]],1))</f>
        <v>1</v>
      </c>
      <c r="BC217" t="b">
        <f>+ISNUMBER(SEARCH(CompConta!$F$28,Tabla11[[#This Row],[Cuenta]],1))</f>
        <v>1</v>
      </c>
      <c r="BD217" t="b">
        <f>+ISNUMBER(SEARCH(CompConta!$F$29,Tabla11[[#This Row],[Cuenta]],1))</f>
        <v>1</v>
      </c>
      <c r="BE217" t="b">
        <f>+ISNUMBER(SEARCH(CompConta!$F$30,Tabla11[[#This Row],[Cuenta]],1))</f>
        <v>1</v>
      </c>
      <c r="BF217" t="b">
        <f>+ISNUMBER(SEARCH('PAGO Compras'!$E$11,Tabla11[[#This Row],[Cuenta]],1))</f>
        <v>1</v>
      </c>
      <c r="BG217" t="b">
        <f>+ISNUMBER(SEARCH(#REF!,Tabla11[[#This Row],[Cuenta]],1))</f>
        <v>0</v>
      </c>
      <c r="BH217" t="b">
        <f>+ISNUMBER(SEARCH(#REF!,Tabla11[[#This Row],[Cuenta]],1))</f>
        <v>0</v>
      </c>
      <c r="BI217" t="b">
        <f>+ISNUMBER(SEARCH(#REF!,Tabla11[[#This Row],[Cuenta]],1))</f>
        <v>0</v>
      </c>
      <c r="BJ217" t="b">
        <f>+ISNUMBER(SEARCH(#REF!,Tabla11[[#This Row],[Cuenta]],1))</f>
        <v>0</v>
      </c>
      <c r="BS217" t="str">
        <v>158830 Flota y equipo de transporte</v>
      </c>
      <c r="BT217" t="str">
        <v>158830 Flota y equipo de transporte</v>
      </c>
      <c r="BU217" t="str">
        <v>158830 Flota y equipo de transporte</v>
      </c>
      <c r="BV217" t="str">
        <v>158830 Flota y equipo de transporte</v>
      </c>
      <c r="BZ217" t="str">
        <v>158830 Flota y equipo de transporte</v>
      </c>
      <c r="CA217" t="str">
        <v>158830 Flota y equipo de transporte</v>
      </c>
      <c r="CB217" t="str">
        <v>158830 Flota y equipo de transporte</v>
      </c>
      <c r="CC217" t="str">
        <v>158830 Flota y equipo de transporte</v>
      </c>
      <c r="CD217" t="str">
        <v>158830 Flota y equipo de transporte</v>
      </c>
      <c r="CE217" t="str">
        <v>158830 Flota y equipo de transporte</v>
      </c>
      <c r="CS217" s="141" t="str">
        <v>158830 Flota y equipo de transporte</v>
      </c>
      <c r="CT217" s="141" t="str">
        <v>158830 Flota y equipo de transporte</v>
      </c>
      <c r="CU217" s="141" t="str">
        <v>158830 Flota y equipo de transporte</v>
      </c>
      <c r="CV217" s="141" t="str">
        <v>158830 Flota y equipo de transporte</v>
      </c>
      <c r="CW217" s="141" t="str">
        <v>158830 Flota y equipo de transporte</v>
      </c>
      <c r="CX217" s="141" t="str">
        <v>158830 Flota y equipo de transporte</v>
      </c>
      <c r="CY217" s="141" t="str">
        <v>158830 Flota y equipo de transporte</v>
      </c>
      <c r="CZ217" s="141" t="str">
        <v>158830 Flota y equipo de transporte</v>
      </c>
      <c r="DA217" s="141" t="str">
        <v>158830 Flota y equipo de transporte</v>
      </c>
      <c r="DF217" t="str">
        <v>158830 Flota y equipo de transporte</v>
      </c>
      <c r="DG217" t="str">
        <v>158830 Flota y equipo de transporte</v>
      </c>
      <c r="DH217" t="str">
        <v>158830 Flota y equipo de transporte</v>
      </c>
      <c r="DI217" t="str">
        <v>158830 Flota y equipo de transporte</v>
      </c>
      <c r="DJ217" t="str">
        <v>158830 Flota y equipo de transporte</v>
      </c>
      <c r="DK217" t="str">
        <v>158830 Flota y equipo de transporte</v>
      </c>
      <c r="DL217" t="str">
        <v>158830 Flota y equipo de transporte</v>
      </c>
      <c r="DM217" t="str">
        <v>158830 Flota y equipo de transporte</v>
      </c>
      <c r="DN217" t="str">
        <v>158830 Flota y equipo de transporte</v>
      </c>
      <c r="DO217" t="str">
        <v>158830 Flota y equipo de transporte</v>
      </c>
      <c r="DP217" t="str">
        <v>158830 Flota y equipo de transporte</v>
      </c>
    </row>
    <row r="218" spans="4:120" ht="12.75">
      <c r="D218" s="7">
        <v>158835</v>
      </c>
      <c r="E218" s="6" t="s">
        <v>134</v>
      </c>
      <c r="F218" s="5">
        <v>4</v>
      </c>
      <c r="G218" s="34" t="s">
        <v>822</v>
      </c>
      <c r="H218" s="8" t="s">
        <v>32</v>
      </c>
      <c r="I218" t="b">
        <f>+ISNUMBER(SEARCH('F-COMPRA'!$F$28,Tabla11[[#This Row],[Cuenta]],1))</f>
        <v>1</v>
      </c>
      <c r="J218" t="b">
        <f>+ISNUMBER(SEARCH('F-COMPRA'!$F$29,Tabla11[[#This Row],[Cuenta]],1))</f>
        <v>1</v>
      </c>
      <c r="K218" t="b">
        <f>+ISNUMBER(SEARCH('F-COMPRA'!$F$30,Tabla11[[#This Row],[Cuenta]],1))</f>
        <v>1</v>
      </c>
      <c r="L218" t="b">
        <f>+ISNUMBER(SEARCH('F-COMPRA'!$F$31,Tabla11[[#This Row],[Cuenta]],1))</f>
        <v>1</v>
      </c>
      <c r="M218" t="b">
        <f>+ISNUMBER(SEARCH('F-COMPRA'!$G$25,Tabla11[[#This Row],[Cuenta]],1))</f>
        <v>0</v>
      </c>
      <c r="N218" t="b">
        <f>+ISNUMBER(SEARCH(#REF!,Tabla11[[#This Row],[Cuenta]],1))</f>
        <v>0</v>
      </c>
      <c r="O218" t="b">
        <f>+ISNUMBER(SEARCH(#REF!,Tabla11[[#This Row],[Cuenta]],1))</f>
        <v>0</v>
      </c>
      <c r="P218" t="b">
        <f>+ISNUMBER(SEARCH('F-COMPRA'!$F$32,Tabla11[[#This Row],[Cuenta]],1))</f>
        <v>1</v>
      </c>
      <c r="Q218" t="b">
        <f>+ISNUMBER(SEARCH('F-COMPRA'!$F$33,Tabla11[[#This Row],[Cuenta]],1))</f>
        <v>1</v>
      </c>
      <c r="R218" t="b">
        <f>+ISNUMBER(SEARCH('F-COMPRA'!$F$34,Tabla11[[#This Row],[Cuenta]],1))</f>
        <v>1</v>
      </c>
      <c r="S218" t="b">
        <f>+ISNUMBER(SEARCH('F-COMPRA'!$F$35,Tabla11[[#This Row],[Cuenta]],1))</f>
        <v>1</v>
      </c>
      <c r="T218" t="b">
        <f>+ISNUMBER(SEARCH('F-COMPRA'!$F$36,Tabla11[[#This Row],[Cuenta]],1))</f>
        <v>1</v>
      </c>
      <c r="U218" t="b">
        <f>+ISNUMBER(SEARCH('F-COMPRA'!$F$37,Tabla11[[#This Row],[Cuenta]],1))</f>
        <v>1</v>
      </c>
      <c r="V218" t="b">
        <f>+ISNUMBER(SEARCH(#REF!,Tabla11[[#This Row],[Cuenta]],1))</f>
        <v>0</v>
      </c>
      <c r="W218" t="b">
        <f>+ISNUMBER(SEARCH('F-COMPRA'!#REF!,Tabla11[[#This Row],[Cuenta]],1))</f>
        <v>0</v>
      </c>
      <c r="X218" t="b">
        <f>+ISNUMBER(SEARCH('F-COMPRA'!#REF!,Tabla11[[#This Row],[Cuenta]],1))</f>
        <v>0</v>
      </c>
      <c r="Y218" t="b">
        <f>+ISNUMBER(SEARCH('F-COMPRA'!#REF!,Tabla11[[#This Row],[Cuenta]],1))</f>
        <v>0</v>
      </c>
      <c r="Z218" t="b">
        <f>+ISNUMBER(SEARCH('F-COMPRA'!#REF!,Tabla11[[#This Row],[Cuenta]],1))</f>
        <v>0</v>
      </c>
      <c r="AA218" t="b">
        <f>+ISNUMBER(SEARCH('F-COMPRA'!#REF!,Tabla11[[#This Row],[Cuenta]],1))</f>
        <v>0</v>
      </c>
      <c r="AB218" t="b">
        <f>+ISNUMBER(SEARCH('F-COMPRA'!#REF!,Tabla11[[#This Row],[Cuenta]],1))</f>
        <v>0</v>
      </c>
      <c r="AC218" t="b">
        <f>+ISNUMBER(SEARCH('F-COMPRA'!#REF!,Tabla11[[#This Row],[Cuenta]],1))</f>
        <v>0</v>
      </c>
      <c r="AD218" t="b">
        <f>+ISNUMBER(SEARCH('F-COMPRA'!#REF!,Tabla11[[#This Row],[Cuenta]],1))</f>
        <v>0</v>
      </c>
      <c r="AE218" t="b">
        <f>+ISNUMBER(SEARCH('F-COMPRA'!#REF!,Tabla11[[#This Row],[Cuenta]],1))</f>
        <v>0</v>
      </c>
      <c r="AF218" t="b">
        <f>+ISNUMBER(SEARCH('F-VTA'!$G$23,Tabla11[[#This Row],[Cuenta]],1))</f>
        <v>0</v>
      </c>
      <c r="AG218" t="b">
        <f>+ISNUMBER(SEARCH('F-VTA'!$G$24,Tabla11[[#This Row],[Cuenta]],1))</f>
        <v>0</v>
      </c>
      <c r="AH218" t="b">
        <f>+ISNUMBER(SEARCH('F-VTA'!$G$25,Tabla11[[#This Row],[Cuenta]],1))</f>
        <v>0</v>
      </c>
      <c r="AI218" t="b">
        <f>+ISNUMBER(SEARCH('F-VTA'!$F$28,Tabla11[[#This Row],[Cuenta]],1))</f>
        <v>1</v>
      </c>
      <c r="AJ218" t="b">
        <f>+ISNUMBER(SEARCH('F-VTA'!$F$29,Tabla11[[#This Row],[Cuenta]],1))</f>
        <v>1</v>
      </c>
      <c r="AK218" t="b">
        <f>+ISNUMBER(SEARCH('F-VTA'!$F$30,Tabla11[[#This Row],[Cuenta]],1))</f>
        <v>1</v>
      </c>
      <c r="AL218" t="b">
        <f>+ISNUMBER(SEARCH('F-VTA'!$F$31,Tabla11[[#This Row],[Cuenta]],1))</f>
        <v>1</v>
      </c>
      <c r="AM218" t="b">
        <f>+ISNUMBER(SEARCH('F-VTA'!$F$32,Tabla11[[#This Row],[Cuenta]],1))</f>
        <v>1</v>
      </c>
      <c r="AN218" t="b">
        <f>+ISNUMBER(SEARCH('F-VTA'!$F$33,Tabla11[[#This Row],[Cuenta]],1))</f>
        <v>1</v>
      </c>
      <c r="AO218" t="b">
        <f>+ISNUMBER(SEARCH('F-VTA'!$F$34,Tabla11[[#This Row],[Cuenta]],1))</f>
        <v>1</v>
      </c>
      <c r="AP218" t="b">
        <f>+ISNUMBER(SEARCH('F-VTA'!$F$35,Tabla11[[#This Row],[Cuenta]],1))</f>
        <v>1</v>
      </c>
      <c r="AQ218" t="b">
        <f>+ISNUMBER(SEARCH('F-VTA'!$F$36,Tabla11[[#This Row],[Cuenta]],1))</f>
        <v>1</v>
      </c>
      <c r="AR218" t="b">
        <f>+ISNUMBER(SEARCH(#REF!,Tabla11[[#This Row],[Cuenta]],1))</f>
        <v>0</v>
      </c>
      <c r="AS218" t="b">
        <f>+ISNUMBER(SEARCH(#REF!,Tabla11[[#This Row],[Cuenta]],1))</f>
        <v>0</v>
      </c>
      <c r="AT218" t="b">
        <f>+ISNUMBER(SEARCH(#REF!,Tabla11[[#This Row],[Cuenta]],1))</f>
        <v>0</v>
      </c>
      <c r="AU218" t="b">
        <f>+ISNUMBER(SEARCH('Conc. Ban.1'!$I$9,Tabla11[[#This Row],[Cuenta]],1))</f>
        <v>0</v>
      </c>
      <c r="AV218" t="b">
        <f>+ISNUMBER(SEARCH(CompConta!$F$21,Tabla11[[#This Row],[Cuenta]],1))</f>
        <v>1</v>
      </c>
      <c r="AW218" t="b">
        <f>+ISNUMBER(SEARCH(CompConta!$F$22,Tabla11[[#This Row],[Cuenta]],1))</f>
        <v>1</v>
      </c>
      <c r="AX218" t="b">
        <f>+ISNUMBER(SEARCH(CompConta!$F$23,Tabla11[[#This Row],[Cuenta]],1))</f>
        <v>1</v>
      </c>
      <c r="AY218" t="b">
        <f>+ISNUMBER(SEARCH(CompConta!$F$24,Tabla11[[#This Row],[Cuenta]],1))</f>
        <v>1</v>
      </c>
      <c r="AZ218" t="b">
        <f>+ISNUMBER(SEARCH(CompConta!$F$25,Tabla11[[#This Row],[Cuenta]],1))</f>
        <v>1</v>
      </c>
      <c r="BA218" t="b">
        <f>+ISNUMBER(SEARCH(CompConta!$F$26,Tabla11[[#This Row],[Cuenta]],1))</f>
        <v>1</v>
      </c>
      <c r="BB218" t="b">
        <f>+ISNUMBER(SEARCH(CompConta!$F$27,Tabla11[[#This Row],[Cuenta]],1))</f>
        <v>1</v>
      </c>
      <c r="BC218" t="b">
        <f>+ISNUMBER(SEARCH(CompConta!$F$28,Tabla11[[#This Row],[Cuenta]],1))</f>
        <v>1</v>
      </c>
      <c r="BD218" t="b">
        <f>+ISNUMBER(SEARCH(CompConta!$F$29,Tabla11[[#This Row],[Cuenta]],1))</f>
        <v>1</v>
      </c>
      <c r="BE218" t="b">
        <f>+ISNUMBER(SEARCH(CompConta!$F$30,Tabla11[[#This Row],[Cuenta]],1))</f>
        <v>1</v>
      </c>
      <c r="BF218" t="b">
        <f>+ISNUMBER(SEARCH('PAGO Compras'!$E$11,Tabla11[[#This Row],[Cuenta]],1))</f>
        <v>1</v>
      </c>
      <c r="BG218" t="b">
        <f>+ISNUMBER(SEARCH(#REF!,Tabla11[[#This Row],[Cuenta]],1))</f>
        <v>0</v>
      </c>
      <c r="BH218" t="b">
        <f>+ISNUMBER(SEARCH(#REF!,Tabla11[[#This Row],[Cuenta]],1))</f>
        <v>0</v>
      </c>
      <c r="BI218" t="b">
        <f>+ISNUMBER(SEARCH(#REF!,Tabla11[[#This Row],[Cuenta]],1))</f>
        <v>0</v>
      </c>
      <c r="BJ218" t="b">
        <f>+ISNUMBER(SEARCH(#REF!,Tabla11[[#This Row],[Cuenta]],1))</f>
        <v>0</v>
      </c>
      <c r="BS218" t="str">
        <v>158835 Flota y equipo fluvial y/o marítimo</v>
      </c>
      <c r="BT218" t="str">
        <v>158835 Flota y equipo fluvial y/o marítimo</v>
      </c>
      <c r="BU218" t="str">
        <v>158835 Flota y equipo fluvial y/o marítimo</v>
      </c>
      <c r="BV218" t="str">
        <v>158835 Flota y equipo fluvial y/o marítimo</v>
      </c>
      <c r="BZ218" t="str">
        <v>158835 Flota y equipo fluvial y/o marítimo</v>
      </c>
      <c r="CA218" t="str">
        <v>158835 Flota y equipo fluvial y/o marítimo</v>
      </c>
      <c r="CB218" t="str">
        <v>158835 Flota y equipo fluvial y/o marítimo</v>
      </c>
      <c r="CC218" t="str">
        <v>158835 Flota y equipo fluvial y/o marítimo</v>
      </c>
      <c r="CD218" t="str">
        <v>158835 Flota y equipo fluvial y/o marítimo</v>
      </c>
      <c r="CE218" t="str">
        <v>158835 Flota y equipo fluvial y/o marítimo</v>
      </c>
      <c r="CS218" s="141" t="str">
        <v>158835 Flota y equipo fluvial y/o marítimo</v>
      </c>
      <c r="CT218" s="141" t="str">
        <v>158835 Flota y equipo fluvial y/o marítimo</v>
      </c>
      <c r="CU218" s="141" t="str">
        <v>158835 Flota y equipo fluvial y/o marítimo</v>
      </c>
      <c r="CV218" s="141" t="str">
        <v>158835 Flota y equipo fluvial y/o marítimo</v>
      </c>
      <c r="CW218" s="141" t="str">
        <v>158835 Flota y equipo fluvial y/o marítimo</v>
      </c>
      <c r="CX218" s="141" t="str">
        <v>158835 Flota y equipo fluvial y/o marítimo</v>
      </c>
      <c r="CY218" s="141" t="str">
        <v>158835 Flota y equipo fluvial y/o marítimo</v>
      </c>
      <c r="CZ218" s="141" t="str">
        <v>158835 Flota y equipo fluvial y/o marítimo</v>
      </c>
      <c r="DA218" s="141" t="str">
        <v>158835 Flota y equipo fluvial y/o marítimo</v>
      </c>
      <c r="DF218" t="str">
        <v>158835 Flota y equipo fluvial y/o marítimo</v>
      </c>
      <c r="DG218" t="str">
        <v>158835 Flota y equipo fluvial y/o marítimo</v>
      </c>
      <c r="DH218" t="str">
        <v>158835 Flota y equipo fluvial y/o marítimo</v>
      </c>
      <c r="DI218" t="str">
        <v>158835 Flota y equipo fluvial y/o marítimo</v>
      </c>
      <c r="DJ218" t="str">
        <v>158835 Flota y equipo fluvial y/o marítimo</v>
      </c>
      <c r="DK218" t="str">
        <v>158835 Flota y equipo fluvial y/o marítimo</v>
      </c>
      <c r="DL218" t="str">
        <v>158835 Flota y equipo fluvial y/o marítimo</v>
      </c>
      <c r="DM218" t="str">
        <v>158835 Flota y equipo fluvial y/o marítimo</v>
      </c>
      <c r="DN218" t="str">
        <v>158835 Flota y equipo fluvial y/o marítimo</v>
      </c>
      <c r="DO218" t="str">
        <v>158835 Flota y equipo fluvial y/o marítimo</v>
      </c>
      <c r="DP218" t="str">
        <v>158835 Flota y equipo fluvial y/o marítimo</v>
      </c>
    </row>
    <row r="219" spans="4:120" ht="12.75">
      <c r="D219" s="7">
        <v>158840</v>
      </c>
      <c r="E219" s="6" t="s">
        <v>135</v>
      </c>
      <c r="F219" s="5">
        <v>4</v>
      </c>
      <c r="G219" s="34" t="s">
        <v>822</v>
      </c>
      <c r="H219" s="8" t="s">
        <v>32</v>
      </c>
      <c r="I219" t="b">
        <f>+ISNUMBER(SEARCH('F-COMPRA'!$F$28,Tabla11[[#This Row],[Cuenta]],1))</f>
        <v>1</v>
      </c>
      <c r="J219" t="b">
        <f>+ISNUMBER(SEARCH('F-COMPRA'!$F$29,Tabla11[[#This Row],[Cuenta]],1))</f>
        <v>1</v>
      </c>
      <c r="K219" t="b">
        <f>+ISNUMBER(SEARCH('F-COMPRA'!$F$30,Tabla11[[#This Row],[Cuenta]],1))</f>
        <v>1</v>
      </c>
      <c r="L219" t="b">
        <f>+ISNUMBER(SEARCH('F-COMPRA'!$F$31,Tabla11[[#This Row],[Cuenta]],1))</f>
        <v>1</v>
      </c>
      <c r="M219" t="b">
        <f>+ISNUMBER(SEARCH('F-COMPRA'!$G$25,Tabla11[[#This Row],[Cuenta]],1))</f>
        <v>0</v>
      </c>
      <c r="N219" t="b">
        <f>+ISNUMBER(SEARCH(#REF!,Tabla11[[#This Row],[Cuenta]],1))</f>
        <v>0</v>
      </c>
      <c r="O219" t="b">
        <f>+ISNUMBER(SEARCH(#REF!,Tabla11[[#This Row],[Cuenta]],1))</f>
        <v>0</v>
      </c>
      <c r="P219" t="b">
        <f>+ISNUMBER(SEARCH('F-COMPRA'!$F$32,Tabla11[[#This Row],[Cuenta]],1))</f>
        <v>1</v>
      </c>
      <c r="Q219" t="b">
        <f>+ISNUMBER(SEARCH('F-COMPRA'!$F$33,Tabla11[[#This Row],[Cuenta]],1))</f>
        <v>1</v>
      </c>
      <c r="R219" t="b">
        <f>+ISNUMBER(SEARCH('F-COMPRA'!$F$34,Tabla11[[#This Row],[Cuenta]],1))</f>
        <v>1</v>
      </c>
      <c r="S219" t="b">
        <f>+ISNUMBER(SEARCH('F-COMPRA'!$F$35,Tabla11[[#This Row],[Cuenta]],1))</f>
        <v>1</v>
      </c>
      <c r="T219" t="b">
        <f>+ISNUMBER(SEARCH('F-COMPRA'!$F$36,Tabla11[[#This Row],[Cuenta]],1))</f>
        <v>1</v>
      </c>
      <c r="U219" t="b">
        <f>+ISNUMBER(SEARCH('F-COMPRA'!$F$37,Tabla11[[#This Row],[Cuenta]],1))</f>
        <v>1</v>
      </c>
      <c r="V219" t="b">
        <f>+ISNUMBER(SEARCH(#REF!,Tabla11[[#This Row],[Cuenta]],1))</f>
        <v>0</v>
      </c>
      <c r="W219" t="b">
        <f>+ISNUMBER(SEARCH('F-COMPRA'!#REF!,Tabla11[[#This Row],[Cuenta]],1))</f>
        <v>0</v>
      </c>
      <c r="X219" t="b">
        <f>+ISNUMBER(SEARCH('F-COMPRA'!#REF!,Tabla11[[#This Row],[Cuenta]],1))</f>
        <v>0</v>
      </c>
      <c r="Y219" t="b">
        <f>+ISNUMBER(SEARCH('F-COMPRA'!#REF!,Tabla11[[#This Row],[Cuenta]],1))</f>
        <v>0</v>
      </c>
      <c r="Z219" t="b">
        <f>+ISNUMBER(SEARCH('F-COMPRA'!#REF!,Tabla11[[#This Row],[Cuenta]],1))</f>
        <v>0</v>
      </c>
      <c r="AA219" t="b">
        <f>+ISNUMBER(SEARCH('F-COMPRA'!#REF!,Tabla11[[#This Row],[Cuenta]],1))</f>
        <v>0</v>
      </c>
      <c r="AB219" t="b">
        <f>+ISNUMBER(SEARCH('F-COMPRA'!#REF!,Tabla11[[#This Row],[Cuenta]],1))</f>
        <v>0</v>
      </c>
      <c r="AC219" t="b">
        <f>+ISNUMBER(SEARCH('F-COMPRA'!#REF!,Tabla11[[#This Row],[Cuenta]],1))</f>
        <v>0</v>
      </c>
      <c r="AD219" t="b">
        <f>+ISNUMBER(SEARCH('F-COMPRA'!#REF!,Tabla11[[#This Row],[Cuenta]],1))</f>
        <v>0</v>
      </c>
      <c r="AE219" t="b">
        <f>+ISNUMBER(SEARCH('F-COMPRA'!#REF!,Tabla11[[#This Row],[Cuenta]],1))</f>
        <v>0</v>
      </c>
      <c r="AF219" t="b">
        <f>+ISNUMBER(SEARCH('F-VTA'!$G$23,Tabla11[[#This Row],[Cuenta]],1))</f>
        <v>0</v>
      </c>
      <c r="AG219" t="b">
        <f>+ISNUMBER(SEARCH('F-VTA'!$G$24,Tabla11[[#This Row],[Cuenta]],1))</f>
        <v>0</v>
      </c>
      <c r="AH219" t="b">
        <f>+ISNUMBER(SEARCH('F-VTA'!$G$25,Tabla11[[#This Row],[Cuenta]],1))</f>
        <v>0</v>
      </c>
      <c r="AI219" t="b">
        <f>+ISNUMBER(SEARCH('F-VTA'!$F$28,Tabla11[[#This Row],[Cuenta]],1))</f>
        <v>1</v>
      </c>
      <c r="AJ219" t="b">
        <f>+ISNUMBER(SEARCH('F-VTA'!$F$29,Tabla11[[#This Row],[Cuenta]],1))</f>
        <v>1</v>
      </c>
      <c r="AK219" t="b">
        <f>+ISNUMBER(SEARCH('F-VTA'!$F$30,Tabla11[[#This Row],[Cuenta]],1))</f>
        <v>1</v>
      </c>
      <c r="AL219" t="b">
        <f>+ISNUMBER(SEARCH('F-VTA'!$F$31,Tabla11[[#This Row],[Cuenta]],1))</f>
        <v>1</v>
      </c>
      <c r="AM219" t="b">
        <f>+ISNUMBER(SEARCH('F-VTA'!$F$32,Tabla11[[#This Row],[Cuenta]],1))</f>
        <v>1</v>
      </c>
      <c r="AN219" t="b">
        <f>+ISNUMBER(SEARCH('F-VTA'!$F$33,Tabla11[[#This Row],[Cuenta]],1))</f>
        <v>1</v>
      </c>
      <c r="AO219" t="b">
        <f>+ISNUMBER(SEARCH('F-VTA'!$F$34,Tabla11[[#This Row],[Cuenta]],1))</f>
        <v>1</v>
      </c>
      <c r="AP219" t="b">
        <f>+ISNUMBER(SEARCH('F-VTA'!$F$35,Tabla11[[#This Row],[Cuenta]],1))</f>
        <v>1</v>
      </c>
      <c r="AQ219" t="b">
        <f>+ISNUMBER(SEARCH('F-VTA'!$F$36,Tabla11[[#This Row],[Cuenta]],1))</f>
        <v>1</v>
      </c>
      <c r="AR219" t="b">
        <f>+ISNUMBER(SEARCH(#REF!,Tabla11[[#This Row],[Cuenta]],1))</f>
        <v>0</v>
      </c>
      <c r="AS219" t="b">
        <f>+ISNUMBER(SEARCH(#REF!,Tabla11[[#This Row],[Cuenta]],1))</f>
        <v>0</v>
      </c>
      <c r="AT219" t="b">
        <f>+ISNUMBER(SEARCH(#REF!,Tabla11[[#This Row],[Cuenta]],1))</f>
        <v>0</v>
      </c>
      <c r="AU219" t="b">
        <f>+ISNUMBER(SEARCH('Conc. Ban.1'!$I$9,Tabla11[[#This Row],[Cuenta]],1))</f>
        <v>0</v>
      </c>
      <c r="AV219" t="b">
        <f>+ISNUMBER(SEARCH(CompConta!$F$21,Tabla11[[#This Row],[Cuenta]],1))</f>
        <v>1</v>
      </c>
      <c r="AW219" t="b">
        <f>+ISNUMBER(SEARCH(CompConta!$F$22,Tabla11[[#This Row],[Cuenta]],1))</f>
        <v>1</v>
      </c>
      <c r="AX219" t="b">
        <f>+ISNUMBER(SEARCH(CompConta!$F$23,Tabla11[[#This Row],[Cuenta]],1))</f>
        <v>1</v>
      </c>
      <c r="AY219" t="b">
        <f>+ISNUMBER(SEARCH(CompConta!$F$24,Tabla11[[#This Row],[Cuenta]],1))</f>
        <v>1</v>
      </c>
      <c r="AZ219" t="b">
        <f>+ISNUMBER(SEARCH(CompConta!$F$25,Tabla11[[#This Row],[Cuenta]],1))</f>
        <v>1</v>
      </c>
      <c r="BA219" t="b">
        <f>+ISNUMBER(SEARCH(CompConta!$F$26,Tabla11[[#This Row],[Cuenta]],1))</f>
        <v>1</v>
      </c>
      <c r="BB219" t="b">
        <f>+ISNUMBER(SEARCH(CompConta!$F$27,Tabla11[[#This Row],[Cuenta]],1))</f>
        <v>1</v>
      </c>
      <c r="BC219" t="b">
        <f>+ISNUMBER(SEARCH(CompConta!$F$28,Tabla11[[#This Row],[Cuenta]],1))</f>
        <v>1</v>
      </c>
      <c r="BD219" t="b">
        <f>+ISNUMBER(SEARCH(CompConta!$F$29,Tabla11[[#This Row],[Cuenta]],1))</f>
        <v>1</v>
      </c>
      <c r="BE219" t="b">
        <f>+ISNUMBER(SEARCH(CompConta!$F$30,Tabla11[[#This Row],[Cuenta]],1))</f>
        <v>1</v>
      </c>
      <c r="BF219" t="b">
        <f>+ISNUMBER(SEARCH('PAGO Compras'!$E$11,Tabla11[[#This Row],[Cuenta]],1))</f>
        <v>1</v>
      </c>
      <c r="BG219" t="b">
        <f>+ISNUMBER(SEARCH(#REF!,Tabla11[[#This Row],[Cuenta]],1))</f>
        <v>0</v>
      </c>
      <c r="BH219" t="b">
        <f>+ISNUMBER(SEARCH(#REF!,Tabla11[[#This Row],[Cuenta]],1))</f>
        <v>0</v>
      </c>
      <c r="BI219" t="b">
        <f>+ISNUMBER(SEARCH(#REF!,Tabla11[[#This Row],[Cuenta]],1))</f>
        <v>0</v>
      </c>
      <c r="BJ219" t="b">
        <f>+ISNUMBER(SEARCH(#REF!,Tabla11[[#This Row],[Cuenta]],1))</f>
        <v>0</v>
      </c>
      <c r="BS219" t="str">
        <v>158840 Flota y equipo aéreo</v>
      </c>
      <c r="BT219" t="str">
        <v>158840 Flota y equipo aéreo</v>
      </c>
      <c r="BU219" t="str">
        <v>158840 Flota y equipo aéreo</v>
      </c>
      <c r="BV219" t="str">
        <v>158840 Flota y equipo aéreo</v>
      </c>
      <c r="BZ219" t="str">
        <v>158840 Flota y equipo aéreo</v>
      </c>
      <c r="CA219" t="str">
        <v>158840 Flota y equipo aéreo</v>
      </c>
      <c r="CB219" t="str">
        <v>158840 Flota y equipo aéreo</v>
      </c>
      <c r="CC219" t="str">
        <v>158840 Flota y equipo aéreo</v>
      </c>
      <c r="CD219" t="str">
        <v>158840 Flota y equipo aéreo</v>
      </c>
      <c r="CE219" t="str">
        <v>158840 Flota y equipo aéreo</v>
      </c>
      <c r="CS219" s="141" t="str">
        <v>158840 Flota y equipo aéreo</v>
      </c>
      <c r="CT219" s="141" t="str">
        <v>158840 Flota y equipo aéreo</v>
      </c>
      <c r="CU219" s="141" t="str">
        <v>158840 Flota y equipo aéreo</v>
      </c>
      <c r="CV219" s="141" t="str">
        <v>158840 Flota y equipo aéreo</v>
      </c>
      <c r="CW219" s="141" t="str">
        <v>158840 Flota y equipo aéreo</v>
      </c>
      <c r="CX219" s="141" t="str">
        <v>158840 Flota y equipo aéreo</v>
      </c>
      <c r="CY219" s="141" t="str">
        <v>158840 Flota y equipo aéreo</v>
      </c>
      <c r="CZ219" s="141" t="str">
        <v>158840 Flota y equipo aéreo</v>
      </c>
      <c r="DA219" s="141" t="str">
        <v>158840 Flota y equipo aéreo</v>
      </c>
      <c r="DF219" t="str">
        <v>158840 Flota y equipo aéreo</v>
      </c>
      <c r="DG219" t="str">
        <v>158840 Flota y equipo aéreo</v>
      </c>
      <c r="DH219" t="str">
        <v>158840 Flota y equipo aéreo</v>
      </c>
      <c r="DI219" t="str">
        <v>158840 Flota y equipo aéreo</v>
      </c>
      <c r="DJ219" t="str">
        <v>158840 Flota y equipo aéreo</v>
      </c>
      <c r="DK219" t="str">
        <v>158840 Flota y equipo aéreo</v>
      </c>
      <c r="DL219" t="str">
        <v>158840 Flota y equipo aéreo</v>
      </c>
      <c r="DM219" t="str">
        <v>158840 Flota y equipo aéreo</v>
      </c>
      <c r="DN219" t="str">
        <v>158840 Flota y equipo aéreo</v>
      </c>
      <c r="DO219" t="str">
        <v>158840 Flota y equipo aéreo</v>
      </c>
      <c r="DP219" t="str">
        <v>158840 Flota y equipo aéreo</v>
      </c>
    </row>
    <row r="220" spans="4:120" ht="12.75">
      <c r="D220" s="7">
        <v>158845</v>
      </c>
      <c r="E220" s="6" t="s">
        <v>136</v>
      </c>
      <c r="F220" s="5">
        <v>4</v>
      </c>
      <c r="G220" s="34" t="s">
        <v>822</v>
      </c>
      <c r="H220" s="8" t="s">
        <v>32</v>
      </c>
      <c r="I220" t="b">
        <f>+ISNUMBER(SEARCH('F-COMPRA'!$F$28,Tabla11[[#This Row],[Cuenta]],1))</f>
        <v>1</v>
      </c>
      <c r="J220" t="b">
        <f>+ISNUMBER(SEARCH('F-COMPRA'!$F$29,Tabla11[[#This Row],[Cuenta]],1))</f>
        <v>1</v>
      </c>
      <c r="K220" t="b">
        <f>+ISNUMBER(SEARCH('F-COMPRA'!$F$30,Tabla11[[#This Row],[Cuenta]],1))</f>
        <v>1</v>
      </c>
      <c r="L220" t="b">
        <f>+ISNUMBER(SEARCH('F-COMPRA'!$F$31,Tabla11[[#This Row],[Cuenta]],1))</f>
        <v>1</v>
      </c>
      <c r="M220" t="b">
        <f>+ISNUMBER(SEARCH('F-COMPRA'!$G$25,Tabla11[[#This Row],[Cuenta]],1))</f>
        <v>0</v>
      </c>
      <c r="N220" t="b">
        <f>+ISNUMBER(SEARCH(#REF!,Tabla11[[#This Row],[Cuenta]],1))</f>
        <v>0</v>
      </c>
      <c r="O220" t="b">
        <f>+ISNUMBER(SEARCH(#REF!,Tabla11[[#This Row],[Cuenta]],1))</f>
        <v>0</v>
      </c>
      <c r="P220" t="b">
        <f>+ISNUMBER(SEARCH('F-COMPRA'!$F$32,Tabla11[[#This Row],[Cuenta]],1))</f>
        <v>1</v>
      </c>
      <c r="Q220" t="b">
        <f>+ISNUMBER(SEARCH('F-COMPRA'!$F$33,Tabla11[[#This Row],[Cuenta]],1))</f>
        <v>1</v>
      </c>
      <c r="R220" t="b">
        <f>+ISNUMBER(SEARCH('F-COMPRA'!$F$34,Tabla11[[#This Row],[Cuenta]],1))</f>
        <v>1</v>
      </c>
      <c r="S220" t="b">
        <f>+ISNUMBER(SEARCH('F-COMPRA'!$F$35,Tabla11[[#This Row],[Cuenta]],1))</f>
        <v>1</v>
      </c>
      <c r="T220" t="b">
        <f>+ISNUMBER(SEARCH('F-COMPRA'!$F$36,Tabla11[[#This Row],[Cuenta]],1))</f>
        <v>1</v>
      </c>
      <c r="U220" t="b">
        <f>+ISNUMBER(SEARCH('F-COMPRA'!$F$37,Tabla11[[#This Row],[Cuenta]],1))</f>
        <v>1</v>
      </c>
      <c r="V220" t="b">
        <f>+ISNUMBER(SEARCH(#REF!,Tabla11[[#This Row],[Cuenta]],1))</f>
        <v>0</v>
      </c>
      <c r="W220" t="b">
        <f>+ISNUMBER(SEARCH('F-COMPRA'!#REF!,Tabla11[[#This Row],[Cuenta]],1))</f>
        <v>0</v>
      </c>
      <c r="X220" t="b">
        <f>+ISNUMBER(SEARCH('F-COMPRA'!#REF!,Tabla11[[#This Row],[Cuenta]],1))</f>
        <v>0</v>
      </c>
      <c r="Y220" t="b">
        <f>+ISNUMBER(SEARCH('F-COMPRA'!#REF!,Tabla11[[#This Row],[Cuenta]],1))</f>
        <v>0</v>
      </c>
      <c r="Z220" t="b">
        <f>+ISNUMBER(SEARCH('F-COMPRA'!#REF!,Tabla11[[#This Row],[Cuenta]],1))</f>
        <v>0</v>
      </c>
      <c r="AA220" t="b">
        <f>+ISNUMBER(SEARCH('F-COMPRA'!#REF!,Tabla11[[#This Row],[Cuenta]],1))</f>
        <v>0</v>
      </c>
      <c r="AB220" t="b">
        <f>+ISNUMBER(SEARCH('F-COMPRA'!#REF!,Tabla11[[#This Row],[Cuenta]],1))</f>
        <v>0</v>
      </c>
      <c r="AC220" t="b">
        <f>+ISNUMBER(SEARCH('F-COMPRA'!#REF!,Tabla11[[#This Row],[Cuenta]],1))</f>
        <v>0</v>
      </c>
      <c r="AD220" t="b">
        <f>+ISNUMBER(SEARCH('F-COMPRA'!#REF!,Tabla11[[#This Row],[Cuenta]],1))</f>
        <v>0</v>
      </c>
      <c r="AE220" t="b">
        <f>+ISNUMBER(SEARCH('F-COMPRA'!#REF!,Tabla11[[#This Row],[Cuenta]],1))</f>
        <v>0</v>
      </c>
      <c r="AF220" t="b">
        <f>+ISNUMBER(SEARCH('F-VTA'!$G$23,Tabla11[[#This Row],[Cuenta]],1))</f>
        <v>0</v>
      </c>
      <c r="AG220" t="b">
        <f>+ISNUMBER(SEARCH('F-VTA'!$G$24,Tabla11[[#This Row],[Cuenta]],1))</f>
        <v>0</v>
      </c>
      <c r="AH220" t="b">
        <f>+ISNUMBER(SEARCH('F-VTA'!$G$25,Tabla11[[#This Row],[Cuenta]],1))</f>
        <v>0</v>
      </c>
      <c r="AI220" t="b">
        <f>+ISNUMBER(SEARCH('F-VTA'!$F$28,Tabla11[[#This Row],[Cuenta]],1))</f>
        <v>1</v>
      </c>
      <c r="AJ220" t="b">
        <f>+ISNUMBER(SEARCH('F-VTA'!$F$29,Tabla11[[#This Row],[Cuenta]],1))</f>
        <v>1</v>
      </c>
      <c r="AK220" t="b">
        <f>+ISNUMBER(SEARCH('F-VTA'!$F$30,Tabla11[[#This Row],[Cuenta]],1))</f>
        <v>1</v>
      </c>
      <c r="AL220" t="b">
        <f>+ISNUMBER(SEARCH('F-VTA'!$F$31,Tabla11[[#This Row],[Cuenta]],1))</f>
        <v>1</v>
      </c>
      <c r="AM220" t="b">
        <f>+ISNUMBER(SEARCH('F-VTA'!$F$32,Tabla11[[#This Row],[Cuenta]],1))</f>
        <v>1</v>
      </c>
      <c r="AN220" t="b">
        <f>+ISNUMBER(SEARCH('F-VTA'!$F$33,Tabla11[[#This Row],[Cuenta]],1))</f>
        <v>1</v>
      </c>
      <c r="AO220" t="b">
        <f>+ISNUMBER(SEARCH('F-VTA'!$F$34,Tabla11[[#This Row],[Cuenta]],1))</f>
        <v>1</v>
      </c>
      <c r="AP220" t="b">
        <f>+ISNUMBER(SEARCH('F-VTA'!$F$35,Tabla11[[#This Row],[Cuenta]],1))</f>
        <v>1</v>
      </c>
      <c r="AQ220" t="b">
        <f>+ISNUMBER(SEARCH('F-VTA'!$F$36,Tabla11[[#This Row],[Cuenta]],1))</f>
        <v>1</v>
      </c>
      <c r="AR220" t="b">
        <f>+ISNUMBER(SEARCH(#REF!,Tabla11[[#This Row],[Cuenta]],1))</f>
        <v>0</v>
      </c>
      <c r="AS220" t="b">
        <f>+ISNUMBER(SEARCH(#REF!,Tabla11[[#This Row],[Cuenta]],1))</f>
        <v>0</v>
      </c>
      <c r="AT220" t="b">
        <f>+ISNUMBER(SEARCH(#REF!,Tabla11[[#This Row],[Cuenta]],1))</f>
        <v>0</v>
      </c>
      <c r="AU220" t="b">
        <f>+ISNUMBER(SEARCH('Conc. Ban.1'!$I$9,Tabla11[[#This Row],[Cuenta]],1))</f>
        <v>0</v>
      </c>
      <c r="AV220" t="b">
        <f>+ISNUMBER(SEARCH(CompConta!$F$21,Tabla11[[#This Row],[Cuenta]],1))</f>
        <v>1</v>
      </c>
      <c r="AW220" t="b">
        <f>+ISNUMBER(SEARCH(CompConta!$F$22,Tabla11[[#This Row],[Cuenta]],1))</f>
        <v>1</v>
      </c>
      <c r="AX220" t="b">
        <f>+ISNUMBER(SEARCH(CompConta!$F$23,Tabla11[[#This Row],[Cuenta]],1))</f>
        <v>1</v>
      </c>
      <c r="AY220" t="b">
        <f>+ISNUMBER(SEARCH(CompConta!$F$24,Tabla11[[#This Row],[Cuenta]],1))</f>
        <v>1</v>
      </c>
      <c r="AZ220" t="b">
        <f>+ISNUMBER(SEARCH(CompConta!$F$25,Tabla11[[#This Row],[Cuenta]],1))</f>
        <v>1</v>
      </c>
      <c r="BA220" t="b">
        <f>+ISNUMBER(SEARCH(CompConta!$F$26,Tabla11[[#This Row],[Cuenta]],1))</f>
        <v>1</v>
      </c>
      <c r="BB220" t="b">
        <f>+ISNUMBER(SEARCH(CompConta!$F$27,Tabla11[[#This Row],[Cuenta]],1))</f>
        <v>1</v>
      </c>
      <c r="BC220" t="b">
        <f>+ISNUMBER(SEARCH(CompConta!$F$28,Tabla11[[#This Row],[Cuenta]],1))</f>
        <v>1</v>
      </c>
      <c r="BD220" t="b">
        <f>+ISNUMBER(SEARCH(CompConta!$F$29,Tabla11[[#This Row],[Cuenta]],1))</f>
        <v>1</v>
      </c>
      <c r="BE220" t="b">
        <f>+ISNUMBER(SEARCH(CompConta!$F$30,Tabla11[[#This Row],[Cuenta]],1))</f>
        <v>1</v>
      </c>
      <c r="BF220" t="b">
        <f>+ISNUMBER(SEARCH('PAGO Compras'!$E$11,Tabla11[[#This Row],[Cuenta]],1))</f>
        <v>1</v>
      </c>
      <c r="BG220" t="b">
        <f>+ISNUMBER(SEARCH(#REF!,Tabla11[[#This Row],[Cuenta]],1))</f>
        <v>0</v>
      </c>
      <c r="BH220" t="b">
        <f>+ISNUMBER(SEARCH(#REF!,Tabla11[[#This Row],[Cuenta]],1))</f>
        <v>0</v>
      </c>
      <c r="BI220" t="b">
        <f>+ISNUMBER(SEARCH(#REF!,Tabla11[[#This Row],[Cuenta]],1))</f>
        <v>0</v>
      </c>
      <c r="BJ220" t="b">
        <f>+ISNUMBER(SEARCH(#REF!,Tabla11[[#This Row],[Cuenta]],1))</f>
        <v>0</v>
      </c>
      <c r="BS220" t="str">
        <v>158845 Flota y equipo férreo</v>
      </c>
      <c r="BT220" t="str">
        <v>158845 Flota y equipo férreo</v>
      </c>
      <c r="BU220" t="str">
        <v>158845 Flota y equipo férreo</v>
      </c>
      <c r="BV220" t="str">
        <v>158845 Flota y equipo férreo</v>
      </c>
      <c r="BZ220" t="str">
        <v>158845 Flota y equipo férreo</v>
      </c>
      <c r="CA220" t="str">
        <v>158845 Flota y equipo férreo</v>
      </c>
      <c r="CB220" t="str">
        <v>158845 Flota y equipo férreo</v>
      </c>
      <c r="CC220" t="str">
        <v>158845 Flota y equipo férreo</v>
      </c>
      <c r="CD220" t="str">
        <v>158845 Flota y equipo férreo</v>
      </c>
      <c r="CE220" t="str">
        <v>158845 Flota y equipo férreo</v>
      </c>
      <c r="CS220" s="141" t="str">
        <v>158845 Flota y equipo férreo</v>
      </c>
      <c r="CT220" s="141" t="str">
        <v>158845 Flota y equipo férreo</v>
      </c>
      <c r="CU220" s="141" t="str">
        <v>158845 Flota y equipo férreo</v>
      </c>
      <c r="CV220" s="141" t="str">
        <v>158845 Flota y equipo férreo</v>
      </c>
      <c r="CW220" s="141" t="str">
        <v>158845 Flota y equipo férreo</v>
      </c>
      <c r="CX220" s="141" t="str">
        <v>158845 Flota y equipo férreo</v>
      </c>
      <c r="CY220" s="141" t="str">
        <v>158845 Flota y equipo férreo</v>
      </c>
      <c r="CZ220" s="141" t="str">
        <v>158845 Flota y equipo férreo</v>
      </c>
      <c r="DA220" s="141" t="str">
        <v>158845 Flota y equipo férreo</v>
      </c>
      <c r="DF220" t="str">
        <v>158845 Flota y equipo férreo</v>
      </c>
      <c r="DG220" t="str">
        <v>158845 Flota y equipo férreo</v>
      </c>
      <c r="DH220" t="str">
        <v>158845 Flota y equipo férreo</v>
      </c>
      <c r="DI220" t="str">
        <v>158845 Flota y equipo férreo</v>
      </c>
      <c r="DJ220" t="str">
        <v>158845 Flota y equipo férreo</v>
      </c>
      <c r="DK220" t="str">
        <v>158845 Flota y equipo férreo</v>
      </c>
      <c r="DL220" t="str">
        <v>158845 Flota y equipo férreo</v>
      </c>
      <c r="DM220" t="str">
        <v>158845 Flota y equipo férreo</v>
      </c>
      <c r="DN220" t="str">
        <v>158845 Flota y equipo férreo</v>
      </c>
      <c r="DO220" t="str">
        <v>158845 Flota y equipo férreo</v>
      </c>
      <c r="DP220" t="str">
        <v>158845 Flota y equipo férreo</v>
      </c>
    </row>
    <row r="221" spans="4:120" ht="12.75">
      <c r="D221" s="7">
        <v>158850</v>
      </c>
      <c r="E221" s="6" t="s">
        <v>137</v>
      </c>
      <c r="F221" s="5">
        <v>4</v>
      </c>
      <c r="G221" s="34" t="s">
        <v>822</v>
      </c>
      <c r="H221" s="8" t="s">
        <v>32</v>
      </c>
      <c r="I221" t="b">
        <f>+ISNUMBER(SEARCH('F-COMPRA'!$F$28,Tabla11[[#This Row],[Cuenta]],1))</f>
        <v>1</v>
      </c>
      <c r="J221" t="b">
        <f>+ISNUMBER(SEARCH('F-COMPRA'!$F$29,Tabla11[[#This Row],[Cuenta]],1))</f>
        <v>1</v>
      </c>
      <c r="K221" t="b">
        <f>+ISNUMBER(SEARCH('F-COMPRA'!$F$30,Tabla11[[#This Row],[Cuenta]],1))</f>
        <v>1</v>
      </c>
      <c r="L221" t="b">
        <f>+ISNUMBER(SEARCH('F-COMPRA'!$F$31,Tabla11[[#This Row],[Cuenta]],1))</f>
        <v>1</v>
      </c>
      <c r="M221" t="b">
        <f>+ISNUMBER(SEARCH('F-COMPRA'!$G$25,Tabla11[[#This Row],[Cuenta]],1))</f>
        <v>0</v>
      </c>
      <c r="N221" t="b">
        <f>+ISNUMBER(SEARCH(#REF!,Tabla11[[#This Row],[Cuenta]],1))</f>
        <v>0</v>
      </c>
      <c r="O221" t="b">
        <f>+ISNUMBER(SEARCH(#REF!,Tabla11[[#This Row],[Cuenta]],1))</f>
        <v>0</v>
      </c>
      <c r="P221" t="b">
        <f>+ISNUMBER(SEARCH('F-COMPRA'!$F$32,Tabla11[[#This Row],[Cuenta]],1))</f>
        <v>1</v>
      </c>
      <c r="Q221" t="b">
        <f>+ISNUMBER(SEARCH('F-COMPRA'!$F$33,Tabla11[[#This Row],[Cuenta]],1))</f>
        <v>1</v>
      </c>
      <c r="R221" t="b">
        <f>+ISNUMBER(SEARCH('F-COMPRA'!$F$34,Tabla11[[#This Row],[Cuenta]],1))</f>
        <v>1</v>
      </c>
      <c r="S221" t="b">
        <f>+ISNUMBER(SEARCH('F-COMPRA'!$F$35,Tabla11[[#This Row],[Cuenta]],1))</f>
        <v>1</v>
      </c>
      <c r="T221" t="b">
        <f>+ISNUMBER(SEARCH('F-COMPRA'!$F$36,Tabla11[[#This Row],[Cuenta]],1))</f>
        <v>1</v>
      </c>
      <c r="U221" t="b">
        <f>+ISNUMBER(SEARCH('F-COMPRA'!$F$37,Tabla11[[#This Row],[Cuenta]],1))</f>
        <v>1</v>
      </c>
      <c r="V221" t="b">
        <f>+ISNUMBER(SEARCH(#REF!,Tabla11[[#This Row],[Cuenta]],1))</f>
        <v>0</v>
      </c>
      <c r="W221" t="b">
        <f>+ISNUMBER(SEARCH('F-COMPRA'!#REF!,Tabla11[[#This Row],[Cuenta]],1))</f>
        <v>0</v>
      </c>
      <c r="X221" t="b">
        <f>+ISNUMBER(SEARCH('F-COMPRA'!#REF!,Tabla11[[#This Row],[Cuenta]],1))</f>
        <v>0</v>
      </c>
      <c r="Y221" t="b">
        <f>+ISNUMBER(SEARCH('F-COMPRA'!#REF!,Tabla11[[#This Row],[Cuenta]],1))</f>
        <v>0</v>
      </c>
      <c r="Z221" t="b">
        <f>+ISNUMBER(SEARCH('F-COMPRA'!#REF!,Tabla11[[#This Row],[Cuenta]],1))</f>
        <v>0</v>
      </c>
      <c r="AA221" t="b">
        <f>+ISNUMBER(SEARCH('F-COMPRA'!#REF!,Tabla11[[#This Row],[Cuenta]],1))</f>
        <v>0</v>
      </c>
      <c r="AB221" t="b">
        <f>+ISNUMBER(SEARCH('F-COMPRA'!#REF!,Tabla11[[#This Row],[Cuenta]],1))</f>
        <v>0</v>
      </c>
      <c r="AC221" t="b">
        <f>+ISNUMBER(SEARCH('F-COMPRA'!#REF!,Tabla11[[#This Row],[Cuenta]],1))</f>
        <v>0</v>
      </c>
      <c r="AD221" t="b">
        <f>+ISNUMBER(SEARCH('F-COMPRA'!#REF!,Tabla11[[#This Row],[Cuenta]],1))</f>
        <v>0</v>
      </c>
      <c r="AE221" t="b">
        <f>+ISNUMBER(SEARCH('F-COMPRA'!#REF!,Tabla11[[#This Row],[Cuenta]],1))</f>
        <v>0</v>
      </c>
      <c r="AF221" t="b">
        <f>+ISNUMBER(SEARCH('F-VTA'!$G$23,Tabla11[[#This Row],[Cuenta]],1))</f>
        <v>0</v>
      </c>
      <c r="AG221" t="b">
        <f>+ISNUMBER(SEARCH('F-VTA'!$G$24,Tabla11[[#This Row],[Cuenta]],1))</f>
        <v>0</v>
      </c>
      <c r="AH221" t="b">
        <f>+ISNUMBER(SEARCH('F-VTA'!$G$25,Tabla11[[#This Row],[Cuenta]],1))</f>
        <v>0</v>
      </c>
      <c r="AI221" t="b">
        <f>+ISNUMBER(SEARCH('F-VTA'!$F$28,Tabla11[[#This Row],[Cuenta]],1))</f>
        <v>1</v>
      </c>
      <c r="AJ221" t="b">
        <f>+ISNUMBER(SEARCH('F-VTA'!$F$29,Tabla11[[#This Row],[Cuenta]],1))</f>
        <v>1</v>
      </c>
      <c r="AK221" t="b">
        <f>+ISNUMBER(SEARCH('F-VTA'!$F$30,Tabla11[[#This Row],[Cuenta]],1))</f>
        <v>1</v>
      </c>
      <c r="AL221" t="b">
        <f>+ISNUMBER(SEARCH('F-VTA'!$F$31,Tabla11[[#This Row],[Cuenta]],1))</f>
        <v>1</v>
      </c>
      <c r="AM221" t="b">
        <f>+ISNUMBER(SEARCH('F-VTA'!$F$32,Tabla11[[#This Row],[Cuenta]],1))</f>
        <v>1</v>
      </c>
      <c r="AN221" t="b">
        <f>+ISNUMBER(SEARCH('F-VTA'!$F$33,Tabla11[[#This Row],[Cuenta]],1))</f>
        <v>1</v>
      </c>
      <c r="AO221" t="b">
        <f>+ISNUMBER(SEARCH('F-VTA'!$F$34,Tabla11[[#This Row],[Cuenta]],1))</f>
        <v>1</v>
      </c>
      <c r="AP221" t="b">
        <f>+ISNUMBER(SEARCH('F-VTA'!$F$35,Tabla11[[#This Row],[Cuenta]],1))</f>
        <v>1</v>
      </c>
      <c r="AQ221" t="b">
        <f>+ISNUMBER(SEARCH('F-VTA'!$F$36,Tabla11[[#This Row],[Cuenta]],1))</f>
        <v>1</v>
      </c>
      <c r="AR221" t="b">
        <f>+ISNUMBER(SEARCH(#REF!,Tabla11[[#This Row],[Cuenta]],1))</f>
        <v>0</v>
      </c>
      <c r="AS221" t="b">
        <f>+ISNUMBER(SEARCH(#REF!,Tabla11[[#This Row],[Cuenta]],1))</f>
        <v>0</v>
      </c>
      <c r="AT221" t="b">
        <f>+ISNUMBER(SEARCH(#REF!,Tabla11[[#This Row],[Cuenta]],1))</f>
        <v>0</v>
      </c>
      <c r="AU221" t="b">
        <f>+ISNUMBER(SEARCH('Conc. Ban.1'!$I$9,Tabla11[[#This Row],[Cuenta]],1))</f>
        <v>0</v>
      </c>
      <c r="AV221" t="b">
        <f>+ISNUMBER(SEARCH(CompConta!$F$21,Tabla11[[#This Row],[Cuenta]],1))</f>
        <v>1</v>
      </c>
      <c r="AW221" t="b">
        <f>+ISNUMBER(SEARCH(CompConta!$F$22,Tabla11[[#This Row],[Cuenta]],1))</f>
        <v>1</v>
      </c>
      <c r="AX221" t="b">
        <f>+ISNUMBER(SEARCH(CompConta!$F$23,Tabla11[[#This Row],[Cuenta]],1))</f>
        <v>1</v>
      </c>
      <c r="AY221" t="b">
        <f>+ISNUMBER(SEARCH(CompConta!$F$24,Tabla11[[#This Row],[Cuenta]],1))</f>
        <v>1</v>
      </c>
      <c r="AZ221" t="b">
        <f>+ISNUMBER(SEARCH(CompConta!$F$25,Tabla11[[#This Row],[Cuenta]],1))</f>
        <v>1</v>
      </c>
      <c r="BA221" t="b">
        <f>+ISNUMBER(SEARCH(CompConta!$F$26,Tabla11[[#This Row],[Cuenta]],1))</f>
        <v>1</v>
      </c>
      <c r="BB221" t="b">
        <f>+ISNUMBER(SEARCH(CompConta!$F$27,Tabla11[[#This Row],[Cuenta]],1))</f>
        <v>1</v>
      </c>
      <c r="BC221" t="b">
        <f>+ISNUMBER(SEARCH(CompConta!$F$28,Tabla11[[#This Row],[Cuenta]],1))</f>
        <v>1</v>
      </c>
      <c r="BD221" t="b">
        <f>+ISNUMBER(SEARCH(CompConta!$F$29,Tabla11[[#This Row],[Cuenta]],1))</f>
        <v>1</v>
      </c>
      <c r="BE221" t="b">
        <f>+ISNUMBER(SEARCH(CompConta!$F$30,Tabla11[[#This Row],[Cuenta]],1))</f>
        <v>1</v>
      </c>
      <c r="BF221" t="b">
        <f>+ISNUMBER(SEARCH('PAGO Compras'!$E$11,Tabla11[[#This Row],[Cuenta]],1))</f>
        <v>1</v>
      </c>
      <c r="BG221" t="b">
        <f>+ISNUMBER(SEARCH(#REF!,Tabla11[[#This Row],[Cuenta]],1))</f>
        <v>0</v>
      </c>
      <c r="BH221" t="b">
        <f>+ISNUMBER(SEARCH(#REF!,Tabla11[[#This Row],[Cuenta]],1))</f>
        <v>0</v>
      </c>
      <c r="BI221" t="b">
        <f>+ISNUMBER(SEARCH(#REF!,Tabla11[[#This Row],[Cuenta]],1))</f>
        <v>0</v>
      </c>
      <c r="BJ221" t="b">
        <f>+ISNUMBER(SEARCH(#REF!,Tabla11[[#This Row],[Cuenta]],1))</f>
        <v>0</v>
      </c>
      <c r="BS221" t="str">
        <v>158850 Plantas y redes</v>
      </c>
      <c r="BT221" t="str">
        <v>158850 Plantas y redes</v>
      </c>
      <c r="BU221" t="str">
        <v>158850 Plantas y redes</v>
      </c>
      <c r="BV221" t="str">
        <v>158850 Plantas y redes</v>
      </c>
      <c r="BZ221" t="str">
        <v>158850 Plantas y redes</v>
      </c>
      <c r="CA221" t="str">
        <v>158850 Plantas y redes</v>
      </c>
      <c r="CB221" t="str">
        <v>158850 Plantas y redes</v>
      </c>
      <c r="CC221" t="str">
        <v>158850 Plantas y redes</v>
      </c>
      <c r="CD221" t="str">
        <v>158850 Plantas y redes</v>
      </c>
      <c r="CE221" t="str">
        <v>158850 Plantas y redes</v>
      </c>
      <c r="CS221" s="141" t="str">
        <v>158850 Plantas y redes</v>
      </c>
      <c r="CT221" s="141" t="str">
        <v>158850 Plantas y redes</v>
      </c>
      <c r="CU221" s="141" t="str">
        <v>158850 Plantas y redes</v>
      </c>
      <c r="CV221" s="141" t="str">
        <v>158850 Plantas y redes</v>
      </c>
      <c r="CW221" s="141" t="str">
        <v>158850 Plantas y redes</v>
      </c>
      <c r="CX221" s="141" t="str">
        <v>158850 Plantas y redes</v>
      </c>
      <c r="CY221" s="141" t="str">
        <v>158850 Plantas y redes</v>
      </c>
      <c r="CZ221" s="141" t="str">
        <v>158850 Plantas y redes</v>
      </c>
      <c r="DA221" s="141" t="str">
        <v>158850 Plantas y redes</v>
      </c>
      <c r="DF221" t="str">
        <v>158850 Plantas y redes</v>
      </c>
      <c r="DG221" t="str">
        <v>158850 Plantas y redes</v>
      </c>
      <c r="DH221" t="str">
        <v>158850 Plantas y redes</v>
      </c>
      <c r="DI221" t="str">
        <v>158850 Plantas y redes</v>
      </c>
      <c r="DJ221" t="str">
        <v>158850 Plantas y redes</v>
      </c>
      <c r="DK221" t="str">
        <v>158850 Plantas y redes</v>
      </c>
      <c r="DL221" t="str">
        <v>158850 Plantas y redes</v>
      </c>
      <c r="DM221" t="str">
        <v>158850 Plantas y redes</v>
      </c>
      <c r="DN221" t="str">
        <v>158850 Plantas y redes</v>
      </c>
      <c r="DO221" t="str">
        <v>158850 Plantas y redes</v>
      </c>
      <c r="DP221" t="str">
        <v>158850 Plantas y redes</v>
      </c>
    </row>
    <row r="222" spans="4:120" ht="12.75">
      <c r="D222" s="7">
        <v>158855</v>
      </c>
      <c r="E222" s="6" t="s">
        <v>211</v>
      </c>
      <c r="F222" s="5">
        <v>4</v>
      </c>
      <c r="G222" s="34" t="s">
        <v>822</v>
      </c>
      <c r="H222" s="8" t="s">
        <v>32</v>
      </c>
      <c r="I222" t="b">
        <f>+ISNUMBER(SEARCH('F-COMPRA'!$F$28,Tabla11[[#This Row],[Cuenta]],1))</f>
        <v>1</v>
      </c>
      <c r="J222" t="b">
        <f>+ISNUMBER(SEARCH('F-COMPRA'!$F$29,Tabla11[[#This Row],[Cuenta]],1))</f>
        <v>1</v>
      </c>
      <c r="K222" t="b">
        <f>+ISNUMBER(SEARCH('F-COMPRA'!$F$30,Tabla11[[#This Row],[Cuenta]],1))</f>
        <v>1</v>
      </c>
      <c r="L222" t="b">
        <f>+ISNUMBER(SEARCH('F-COMPRA'!$F$31,Tabla11[[#This Row],[Cuenta]],1))</f>
        <v>1</v>
      </c>
      <c r="M222" t="b">
        <f>+ISNUMBER(SEARCH('F-COMPRA'!$G$25,Tabla11[[#This Row],[Cuenta]],1))</f>
        <v>0</v>
      </c>
      <c r="N222" t="b">
        <f>+ISNUMBER(SEARCH(#REF!,Tabla11[[#This Row],[Cuenta]],1))</f>
        <v>0</v>
      </c>
      <c r="O222" t="b">
        <f>+ISNUMBER(SEARCH(#REF!,Tabla11[[#This Row],[Cuenta]],1))</f>
        <v>0</v>
      </c>
      <c r="P222" t="b">
        <f>+ISNUMBER(SEARCH('F-COMPRA'!$F$32,Tabla11[[#This Row],[Cuenta]],1))</f>
        <v>1</v>
      </c>
      <c r="Q222" t="b">
        <f>+ISNUMBER(SEARCH('F-COMPRA'!$F$33,Tabla11[[#This Row],[Cuenta]],1))</f>
        <v>1</v>
      </c>
      <c r="R222" t="b">
        <f>+ISNUMBER(SEARCH('F-COMPRA'!$F$34,Tabla11[[#This Row],[Cuenta]],1))</f>
        <v>1</v>
      </c>
      <c r="S222" t="b">
        <f>+ISNUMBER(SEARCH('F-COMPRA'!$F$35,Tabla11[[#This Row],[Cuenta]],1))</f>
        <v>1</v>
      </c>
      <c r="T222" t="b">
        <f>+ISNUMBER(SEARCH('F-COMPRA'!$F$36,Tabla11[[#This Row],[Cuenta]],1))</f>
        <v>1</v>
      </c>
      <c r="U222" t="b">
        <f>+ISNUMBER(SEARCH('F-COMPRA'!$F$37,Tabla11[[#This Row],[Cuenta]],1))</f>
        <v>1</v>
      </c>
      <c r="V222" t="b">
        <f>+ISNUMBER(SEARCH(#REF!,Tabla11[[#This Row],[Cuenta]],1))</f>
        <v>0</v>
      </c>
      <c r="W222" t="b">
        <f>+ISNUMBER(SEARCH('F-COMPRA'!#REF!,Tabla11[[#This Row],[Cuenta]],1))</f>
        <v>0</v>
      </c>
      <c r="X222" t="b">
        <f>+ISNUMBER(SEARCH('F-COMPRA'!#REF!,Tabla11[[#This Row],[Cuenta]],1))</f>
        <v>0</v>
      </c>
      <c r="Y222" t="b">
        <f>+ISNUMBER(SEARCH('F-COMPRA'!#REF!,Tabla11[[#This Row],[Cuenta]],1))</f>
        <v>0</v>
      </c>
      <c r="Z222" t="b">
        <f>+ISNUMBER(SEARCH('F-COMPRA'!#REF!,Tabla11[[#This Row],[Cuenta]],1))</f>
        <v>0</v>
      </c>
      <c r="AA222" t="b">
        <f>+ISNUMBER(SEARCH('F-COMPRA'!#REF!,Tabla11[[#This Row],[Cuenta]],1))</f>
        <v>0</v>
      </c>
      <c r="AB222" t="b">
        <f>+ISNUMBER(SEARCH('F-COMPRA'!#REF!,Tabla11[[#This Row],[Cuenta]],1))</f>
        <v>0</v>
      </c>
      <c r="AC222" t="b">
        <f>+ISNUMBER(SEARCH('F-COMPRA'!#REF!,Tabla11[[#This Row],[Cuenta]],1))</f>
        <v>0</v>
      </c>
      <c r="AD222" t="b">
        <f>+ISNUMBER(SEARCH('F-COMPRA'!#REF!,Tabla11[[#This Row],[Cuenta]],1))</f>
        <v>0</v>
      </c>
      <c r="AE222" t="b">
        <f>+ISNUMBER(SEARCH('F-COMPRA'!#REF!,Tabla11[[#This Row],[Cuenta]],1))</f>
        <v>0</v>
      </c>
      <c r="AF222" t="b">
        <f>+ISNUMBER(SEARCH('F-VTA'!$G$23,Tabla11[[#This Row],[Cuenta]],1))</f>
        <v>0</v>
      </c>
      <c r="AG222" t="b">
        <f>+ISNUMBER(SEARCH('F-VTA'!$G$24,Tabla11[[#This Row],[Cuenta]],1))</f>
        <v>0</v>
      </c>
      <c r="AH222" t="b">
        <f>+ISNUMBER(SEARCH('F-VTA'!$G$25,Tabla11[[#This Row],[Cuenta]],1))</f>
        <v>0</v>
      </c>
      <c r="AI222" t="b">
        <f>+ISNUMBER(SEARCH('F-VTA'!$F$28,Tabla11[[#This Row],[Cuenta]],1))</f>
        <v>1</v>
      </c>
      <c r="AJ222" t="b">
        <f>+ISNUMBER(SEARCH('F-VTA'!$F$29,Tabla11[[#This Row],[Cuenta]],1))</f>
        <v>1</v>
      </c>
      <c r="AK222" t="b">
        <f>+ISNUMBER(SEARCH('F-VTA'!$F$30,Tabla11[[#This Row],[Cuenta]],1))</f>
        <v>1</v>
      </c>
      <c r="AL222" t="b">
        <f>+ISNUMBER(SEARCH('F-VTA'!$F$31,Tabla11[[#This Row],[Cuenta]],1))</f>
        <v>1</v>
      </c>
      <c r="AM222" t="b">
        <f>+ISNUMBER(SEARCH('F-VTA'!$F$32,Tabla11[[#This Row],[Cuenta]],1))</f>
        <v>1</v>
      </c>
      <c r="AN222" t="b">
        <f>+ISNUMBER(SEARCH('F-VTA'!$F$33,Tabla11[[#This Row],[Cuenta]],1))</f>
        <v>1</v>
      </c>
      <c r="AO222" t="b">
        <f>+ISNUMBER(SEARCH('F-VTA'!$F$34,Tabla11[[#This Row],[Cuenta]],1))</f>
        <v>1</v>
      </c>
      <c r="AP222" t="b">
        <f>+ISNUMBER(SEARCH('F-VTA'!$F$35,Tabla11[[#This Row],[Cuenta]],1))</f>
        <v>1</v>
      </c>
      <c r="AQ222" t="b">
        <f>+ISNUMBER(SEARCH('F-VTA'!$F$36,Tabla11[[#This Row],[Cuenta]],1))</f>
        <v>1</v>
      </c>
      <c r="AR222" t="b">
        <f>+ISNUMBER(SEARCH(#REF!,Tabla11[[#This Row],[Cuenta]],1))</f>
        <v>0</v>
      </c>
      <c r="AS222" t="b">
        <f>+ISNUMBER(SEARCH(#REF!,Tabla11[[#This Row],[Cuenta]],1))</f>
        <v>0</v>
      </c>
      <c r="AT222" t="b">
        <f>+ISNUMBER(SEARCH(#REF!,Tabla11[[#This Row],[Cuenta]],1))</f>
        <v>0</v>
      </c>
      <c r="AU222" t="b">
        <f>+ISNUMBER(SEARCH('Conc. Ban.1'!$I$9,Tabla11[[#This Row],[Cuenta]],1))</f>
        <v>0</v>
      </c>
      <c r="AV222" t="b">
        <f>+ISNUMBER(SEARCH(CompConta!$F$21,Tabla11[[#This Row],[Cuenta]],1))</f>
        <v>1</v>
      </c>
      <c r="AW222" t="b">
        <f>+ISNUMBER(SEARCH(CompConta!$F$22,Tabla11[[#This Row],[Cuenta]],1))</f>
        <v>1</v>
      </c>
      <c r="AX222" t="b">
        <f>+ISNUMBER(SEARCH(CompConta!$F$23,Tabla11[[#This Row],[Cuenta]],1))</f>
        <v>1</v>
      </c>
      <c r="AY222" t="b">
        <f>+ISNUMBER(SEARCH(CompConta!$F$24,Tabla11[[#This Row],[Cuenta]],1))</f>
        <v>1</v>
      </c>
      <c r="AZ222" t="b">
        <f>+ISNUMBER(SEARCH(CompConta!$F$25,Tabla11[[#This Row],[Cuenta]],1))</f>
        <v>1</v>
      </c>
      <c r="BA222" t="b">
        <f>+ISNUMBER(SEARCH(CompConta!$F$26,Tabla11[[#This Row],[Cuenta]],1))</f>
        <v>1</v>
      </c>
      <c r="BB222" t="b">
        <f>+ISNUMBER(SEARCH(CompConta!$F$27,Tabla11[[#This Row],[Cuenta]],1))</f>
        <v>1</v>
      </c>
      <c r="BC222" t="b">
        <f>+ISNUMBER(SEARCH(CompConta!$F$28,Tabla11[[#This Row],[Cuenta]],1))</f>
        <v>1</v>
      </c>
      <c r="BD222" t="b">
        <f>+ISNUMBER(SEARCH(CompConta!$F$29,Tabla11[[#This Row],[Cuenta]],1))</f>
        <v>1</v>
      </c>
      <c r="BE222" t="b">
        <f>+ISNUMBER(SEARCH(CompConta!$F$30,Tabla11[[#This Row],[Cuenta]],1))</f>
        <v>1</v>
      </c>
      <c r="BF222" t="b">
        <f>+ISNUMBER(SEARCH('PAGO Compras'!$E$11,Tabla11[[#This Row],[Cuenta]],1))</f>
        <v>1</v>
      </c>
      <c r="BG222" t="b">
        <f>+ISNUMBER(SEARCH(#REF!,Tabla11[[#This Row],[Cuenta]],1))</f>
        <v>0</v>
      </c>
      <c r="BH222" t="b">
        <f>+ISNUMBER(SEARCH(#REF!,Tabla11[[#This Row],[Cuenta]],1))</f>
        <v>0</v>
      </c>
      <c r="BI222" t="b">
        <f>+ISNUMBER(SEARCH(#REF!,Tabla11[[#This Row],[Cuenta]],1))</f>
        <v>0</v>
      </c>
      <c r="BJ222" t="b">
        <f>+ISNUMBER(SEARCH(#REF!,Tabla11[[#This Row],[Cuenta]],1))</f>
        <v>0</v>
      </c>
      <c r="BS222" t="str">
        <v>158855 Armamento de vigilancia</v>
      </c>
      <c r="BT222" t="str">
        <v>158855 Armamento de vigilancia</v>
      </c>
      <c r="BU222" t="str">
        <v>158855 Armamento de vigilancia</v>
      </c>
      <c r="BV222" t="str">
        <v>158855 Armamento de vigilancia</v>
      </c>
      <c r="BZ222" t="str">
        <v>158855 Armamento de vigilancia</v>
      </c>
      <c r="CA222" t="str">
        <v>158855 Armamento de vigilancia</v>
      </c>
      <c r="CB222" t="str">
        <v>158855 Armamento de vigilancia</v>
      </c>
      <c r="CC222" t="str">
        <v>158855 Armamento de vigilancia</v>
      </c>
      <c r="CD222" t="str">
        <v>158855 Armamento de vigilancia</v>
      </c>
      <c r="CE222" t="str">
        <v>158855 Armamento de vigilancia</v>
      </c>
      <c r="CS222" s="141" t="str">
        <v>158855 Armamento de vigilancia</v>
      </c>
      <c r="CT222" s="141" t="str">
        <v>158855 Armamento de vigilancia</v>
      </c>
      <c r="CU222" s="141" t="str">
        <v>158855 Armamento de vigilancia</v>
      </c>
      <c r="CV222" s="141" t="str">
        <v>158855 Armamento de vigilancia</v>
      </c>
      <c r="CW222" s="141" t="str">
        <v>158855 Armamento de vigilancia</v>
      </c>
      <c r="CX222" s="141" t="str">
        <v>158855 Armamento de vigilancia</v>
      </c>
      <c r="CY222" s="141" t="str">
        <v>158855 Armamento de vigilancia</v>
      </c>
      <c r="CZ222" s="141" t="str">
        <v>158855 Armamento de vigilancia</v>
      </c>
      <c r="DA222" s="141" t="str">
        <v>158855 Armamento de vigilancia</v>
      </c>
      <c r="DF222" t="str">
        <v>158855 Armamento de vigilancia</v>
      </c>
      <c r="DG222" t="str">
        <v>158855 Armamento de vigilancia</v>
      </c>
      <c r="DH222" t="str">
        <v>158855 Armamento de vigilancia</v>
      </c>
      <c r="DI222" t="str">
        <v>158855 Armamento de vigilancia</v>
      </c>
      <c r="DJ222" t="str">
        <v>158855 Armamento de vigilancia</v>
      </c>
      <c r="DK222" t="str">
        <v>158855 Armamento de vigilancia</v>
      </c>
      <c r="DL222" t="str">
        <v>158855 Armamento de vigilancia</v>
      </c>
      <c r="DM222" t="str">
        <v>158855 Armamento de vigilancia</v>
      </c>
      <c r="DN222" t="str">
        <v>158855 Armamento de vigilancia</v>
      </c>
      <c r="DO222" t="str">
        <v>158855 Armamento de vigilancia</v>
      </c>
      <c r="DP222" t="str">
        <v>158855 Armamento de vigilancia</v>
      </c>
    </row>
    <row r="223" spans="4:120" ht="12.75">
      <c r="D223" s="7">
        <v>158860</v>
      </c>
      <c r="E223" s="6" t="s">
        <v>212</v>
      </c>
      <c r="F223" s="5">
        <v>4</v>
      </c>
      <c r="G223" s="34" t="s">
        <v>822</v>
      </c>
      <c r="H223" s="8" t="s">
        <v>32</v>
      </c>
      <c r="I223" t="b">
        <f>+ISNUMBER(SEARCH('F-COMPRA'!$F$28,Tabla11[[#This Row],[Cuenta]],1))</f>
        <v>1</v>
      </c>
      <c r="J223" t="b">
        <f>+ISNUMBER(SEARCH('F-COMPRA'!$F$29,Tabla11[[#This Row],[Cuenta]],1))</f>
        <v>1</v>
      </c>
      <c r="K223" t="b">
        <f>+ISNUMBER(SEARCH('F-COMPRA'!$F$30,Tabla11[[#This Row],[Cuenta]],1))</f>
        <v>1</v>
      </c>
      <c r="L223" t="b">
        <f>+ISNUMBER(SEARCH('F-COMPRA'!$F$31,Tabla11[[#This Row],[Cuenta]],1))</f>
        <v>1</v>
      </c>
      <c r="M223" t="b">
        <f>+ISNUMBER(SEARCH('F-COMPRA'!$G$25,Tabla11[[#This Row],[Cuenta]],1))</f>
        <v>0</v>
      </c>
      <c r="N223" t="b">
        <f>+ISNUMBER(SEARCH(#REF!,Tabla11[[#This Row],[Cuenta]],1))</f>
        <v>0</v>
      </c>
      <c r="O223" t="b">
        <f>+ISNUMBER(SEARCH(#REF!,Tabla11[[#This Row],[Cuenta]],1))</f>
        <v>0</v>
      </c>
      <c r="P223" t="b">
        <f>+ISNUMBER(SEARCH('F-COMPRA'!$F$32,Tabla11[[#This Row],[Cuenta]],1))</f>
        <v>1</v>
      </c>
      <c r="Q223" t="b">
        <f>+ISNUMBER(SEARCH('F-COMPRA'!$F$33,Tabla11[[#This Row],[Cuenta]],1))</f>
        <v>1</v>
      </c>
      <c r="R223" t="b">
        <f>+ISNUMBER(SEARCH('F-COMPRA'!$F$34,Tabla11[[#This Row],[Cuenta]],1))</f>
        <v>1</v>
      </c>
      <c r="S223" t="b">
        <f>+ISNUMBER(SEARCH('F-COMPRA'!$F$35,Tabla11[[#This Row],[Cuenta]],1))</f>
        <v>1</v>
      </c>
      <c r="T223" t="b">
        <f>+ISNUMBER(SEARCH('F-COMPRA'!$F$36,Tabla11[[#This Row],[Cuenta]],1))</f>
        <v>1</v>
      </c>
      <c r="U223" t="b">
        <f>+ISNUMBER(SEARCH('F-COMPRA'!$F$37,Tabla11[[#This Row],[Cuenta]],1))</f>
        <v>1</v>
      </c>
      <c r="V223" t="b">
        <f>+ISNUMBER(SEARCH(#REF!,Tabla11[[#This Row],[Cuenta]],1))</f>
        <v>0</v>
      </c>
      <c r="W223" t="b">
        <f>+ISNUMBER(SEARCH('F-COMPRA'!#REF!,Tabla11[[#This Row],[Cuenta]],1))</f>
        <v>0</v>
      </c>
      <c r="X223" t="b">
        <f>+ISNUMBER(SEARCH('F-COMPRA'!#REF!,Tabla11[[#This Row],[Cuenta]],1))</f>
        <v>0</v>
      </c>
      <c r="Y223" t="b">
        <f>+ISNUMBER(SEARCH('F-COMPRA'!#REF!,Tabla11[[#This Row],[Cuenta]],1))</f>
        <v>0</v>
      </c>
      <c r="Z223" t="b">
        <f>+ISNUMBER(SEARCH('F-COMPRA'!#REF!,Tabla11[[#This Row],[Cuenta]],1))</f>
        <v>0</v>
      </c>
      <c r="AA223" t="b">
        <f>+ISNUMBER(SEARCH('F-COMPRA'!#REF!,Tabla11[[#This Row],[Cuenta]],1))</f>
        <v>0</v>
      </c>
      <c r="AB223" t="b">
        <f>+ISNUMBER(SEARCH('F-COMPRA'!#REF!,Tabla11[[#This Row],[Cuenta]],1))</f>
        <v>0</v>
      </c>
      <c r="AC223" t="b">
        <f>+ISNUMBER(SEARCH('F-COMPRA'!#REF!,Tabla11[[#This Row],[Cuenta]],1))</f>
        <v>0</v>
      </c>
      <c r="AD223" t="b">
        <f>+ISNUMBER(SEARCH('F-COMPRA'!#REF!,Tabla11[[#This Row],[Cuenta]],1))</f>
        <v>0</v>
      </c>
      <c r="AE223" t="b">
        <f>+ISNUMBER(SEARCH('F-COMPRA'!#REF!,Tabla11[[#This Row],[Cuenta]],1))</f>
        <v>0</v>
      </c>
      <c r="AF223" t="b">
        <f>+ISNUMBER(SEARCH('F-VTA'!$G$23,Tabla11[[#This Row],[Cuenta]],1))</f>
        <v>0</v>
      </c>
      <c r="AG223" t="b">
        <f>+ISNUMBER(SEARCH('F-VTA'!$G$24,Tabla11[[#This Row],[Cuenta]],1))</f>
        <v>0</v>
      </c>
      <c r="AH223" t="b">
        <f>+ISNUMBER(SEARCH('F-VTA'!$G$25,Tabla11[[#This Row],[Cuenta]],1))</f>
        <v>0</v>
      </c>
      <c r="AI223" t="b">
        <f>+ISNUMBER(SEARCH('F-VTA'!$F$28,Tabla11[[#This Row],[Cuenta]],1))</f>
        <v>1</v>
      </c>
      <c r="AJ223" t="b">
        <f>+ISNUMBER(SEARCH('F-VTA'!$F$29,Tabla11[[#This Row],[Cuenta]],1))</f>
        <v>1</v>
      </c>
      <c r="AK223" t="b">
        <f>+ISNUMBER(SEARCH('F-VTA'!$F$30,Tabla11[[#This Row],[Cuenta]],1))</f>
        <v>1</v>
      </c>
      <c r="AL223" t="b">
        <f>+ISNUMBER(SEARCH('F-VTA'!$F$31,Tabla11[[#This Row],[Cuenta]],1))</f>
        <v>1</v>
      </c>
      <c r="AM223" t="b">
        <f>+ISNUMBER(SEARCH('F-VTA'!$F$32,Tabla11[[#This Row],[Cuenta]],1))</f>
        <v>1</v>
      </c>
      <c r="AN223" t="b">
        <f>+ISNUMBER(SEARCH('F-VTA'!$F$33,Tabla11[[#This Row],[Cuenta]],1))</f>
        <v>1</v>
      </c>
      <c r="AO223" t="b">
        <f>+ISNUMBER(SEARCH('F-VTA'!$F$34,Tabla11[[#This Row],[Cuenta]],1))</f>
        <v>1</v>
      </c>
      <c r="AP223" t="b">
        <f>+ISNUMBER(SEARCH('F-VTA'!$F$35,Tabla11[[#This Row],[Cuenta]],1))</f>
        <v>1</v>
      </c>
      <c r="AQ223" t="b">
        <f>+ISNUMBER(SEARCH('F-VTA'!$F$36,Tabla11[[#This Row],[Cuenta]],1))</f>
        <v>1</v>
      </c>
      <c r="AR223" t="b">
        <f>+ISNUMBER(SEARCH(#REF!,Tabla11[[#This Row],[Cuenta]],1))</f>
        <v>0</v>
      </c>
      <c r="AS223" t="b">
        <f>+ISNUMBER(SEARCH(#REF!,Tabla11[[#This Row],[Cuenta]],1))</f>
        <v>0</v>
      </c>
      <c r="AT223" t="b">
        <f>+ISNUMBER(SEARCH(#REF!,Tabla11[[#This Row],[Cuenta]],1))</f>
        <v>0</v>
      </c>
      <c r="AU223" t="b">
        <f>+ISNUMBER(SEARCH('Conc. Ban.1'!$I$9,Tabla11[[#This Row],[Cuenta]],1))</f>
        <v>0</v>
      </c>
      <c r="AV223" t="b">
        <f>+ISNUMBER(SEARCH(CompConta!$F$21,Tabla11[[#This Row],[Cuenta]],1))</f>
        <v>1</v>
      </c>
      <c r="AW223" t="b">
        <f>+ISNUMBER(SEARCH(CompConta!$F$22,Tabla11[[#This Row],[Cuenta]],1))</f>
        <v>1</v>
      </c>
      <c r="AX223" t="b">
        <f>+ISNUMBER(SEARCH(CompConta!$F$23,Tabla11[[#This Row],[Cuenta]],1))</f>
        <v>1</v>
      </c>
      <c r="AY223" t="b">
        <f>+ISNUMBER(SEARCH(CompConta!$F$24,Tabla11[[#This Row],[Cuenta]],1))</f>
        <v>1</v>
      </c>
      <c r="AZ223" t="b">
        <f>+ISNUMBER(SEARCH(CompConta!$F$25,Tabla11[[#This Row],[Cuenta]],1))</f>
        <v>1</v>
      </c>
      <c r="BA223" t="b">
        <f>+ISNUMBER(SEARCH(CompConta!$F$26,Tabla11[[#This Row],[Cuenta]],1))</f>
        <v>1</v>
      </c>
      <c r="BB223" t="b">
        <f>+ISNUMBER(SEARCH(CompConta!$F$27,Tabla11[[#This Row],[Cuenta]],1))</f>
        <v>1</v>
      </c>
      <c r="BC223" t="b">
        <f>+ISNUMBER(SEARCH(CompConta!$F$28,Tabla11[[#This Row],[Cuenta]],1))</f>
        <v>1</v>
      </c>
      <c r="BD223" t="b">
        <f>+ISNUMBER(SEARCH(CompConta!$F$29,Tabla11[[#This Row],[Cuenta]],1))</f>
        <v>1</v>
      </c>
      <c r="BE223" t="b">
        <f>+ISNUMBER(SEARCH(CompConta!$F$30,Tabla11[[#This Row],[Cuenta]],1))</f>
        <v>1</v>
      </c>
      <c r="BF223" t="b">
        <f>+ISNUMBER(SEARCH('PAGO Compras'!$E$11,Tabla11[[#This Row],[Cuenta]],1))</f>
        <v>1</v>
      </c>
      <c r="BG223" t="b">
        <f>+ISNUMBER(SEARCH(#REF!,Tabla11[[#This Row],[Cuenta]],1))</f>
        <v>0</v>
      </c>
      <c r="BH223" t="b">
        <f>+ISNUMBER(SEARCH(#REF!,Tabla11[[#This Row],[Cuenta]],1))</f>
        <v>0</v>
      </c>
      <c r="BI223" t="b">
        <f>+ISNUMBER(SEARCH(#REF!,Tabla11[[#This Row],[Cuenta]],1))</f>
        <v>0</v>
      </c>
      <c r="BJ223" t="b">
        <f>+ISNUMBER(SEARCH(#REF!,Tabla11[[#This Row],[Cuenta]],1))</f>
        <v>0</v>
      </c>
      <c r="BS223" t="str">
        <v>158860 Semovientes</v>
      </c>
      <c r="BT223" t="str">
        <v>158860 Semovientes</v>
      </c>
      <c r="BU223" t="str">
        <v>158860 Semovientes</v>
      </c>
      <c r="BV223" t="str">
        <v>158860 Semovientes</v>
      </c>
      <c r="BZ223" t="str">
        <v>158860 Semovientes</v>
      </c>
      <c r="CA223" t="str">
        <v>158860 Semovientes</v>
      </c>
      <c r="CB223" t="str">
        <v>158860 Semovientes</v>
      </c>
      <c r="CC223" t="str">
        <v>158860 Semovientes</v>
      </c>
      <c r="CD223" t="str">
        <v>158860 Semovientes</v>
      </c>
      <c r="CE223" t="str">
        <v>158860 Semovientes</v>
      </c>
      <c r="CS223" s="141" t="str">
        <v>158860 Semovientes</v>
      </c>
      <c r="CT223" s="141" t="str">
        <v>158860 Semovientes</v>
      </c>
      <c r="CU223" s="141" t="str">
        <v>158860 Semovientes</v>
      </c>
      <c r="CV223" s="141" t="str">
        <v>158860 Semovientes</v>
      </c>
      <c r="CW223" s="141" t="str">
        <v>158860 Semovientes</v>
      </c>
      <c r="CX223" s="141" t="str">
        <v>158860 Semovientes</v>
      </c>
      <c r="CY223" s="141" t="str">
        <v>158860 Semovientes</v>
      </c>
      <c r="CZ223" s="141" t="str">
        <v>158860 Semovientes</v>
      </c>
      <c r="DA223" s="141" t="str">
        <v>158860 Semovientes</v>
      </c>
      <c r="DF223" t="str">
        <v>158860 Semovientes</v>
      </c>
      <c r="DG223" t="str">
        <v>158860 Semovientes</v>
      </c>
      <c r="DH223" t="str">
        <v>158860 Semovientes</v>
      </c>
      <c r="DI223" t="str">
        <v>158860 Semovientes</v>
      </c>
      <c r="DJ223" t="str">
        <v>158860 Semovientes</v>
      </c>
      <c r="DK223" t="str">
        <v>158860 Semovientes</v>
      </c>
      <c r="DL223" t="str">
        <v>158860 Semovientes</v>
      </c>
      <c r="DM223" t="str">
        <v>158860 Semovientes</v>
      </c>
      <c r="DN223" t="str">
        <v>158860 Semovientes</v>
      </c>
      <c r="DO223" t="str">
        <v>158860 Semovientes</v>
      </c>
      <c r="DP223" t="str">
        <v>158860 Semovientes</v>
      </c>
    </row>
    <row r="224" spans="4:120" ht="12.75">
      <c r="D224" s="7">
        <v>158865</v>
      </c>
      <c r="E224" s="6" t="s">
        <v>213</v>
      </c>
      <c r="F224" s="5">
        <v>4</v>
      </c>
      <c r="G224" s="34" t="s">
        <v>822</v>
      </c>
      <c r="H224" s="8" t="s">
        <v>32</v>
      </c>
      <c r="I224" t="b">
        <f>+ISNUMBER(SEARCH('F-COMPRA'!$F$28,Tabla11[[#This Row],[Cuenta]],1))</f>
        <v>1</v>
      </c>
      <c r="J224" t="b">
        <f>+ISNUMBER(SEARCH('F-COMPRA'!$F$29,Tabla11[[#This Row],[Cuenta]],1))</f>
        <v>1</v>
      </c>
      <c r="K224" t="b">
        <f>+ISNUMBER(SEARCH('F-COMPRA'!$F$30,Tabla11[[#This Row],[Cuenta]],1))</f>
        <v>1</v>
      </c>
      <c r="L224" t="b">
        <f>+ISNUMBER(SEARCH('F-COMPRA'!$F$31,Tabla11[[#This Row],[Cuenta]],1))</f>
        <v>1</v>
      </c>
      <c r="M224" t="b">
        <f>+ISNUMBER(SEARCH('F-COMPRA'!$G$25,Tabla11[[#This Row],[Cuenta]],1))</f>
        <v>0</v>
      </c>
      <c r="N224" t="b">
        <f>+ISNUMBER(SEARCH(#REF!,Tabla11[[#This Row],[Cuenta]],1))</f>
        <v>0</v>
      </c>
      <c r="O224" t="b">
        <f>+ISNUMBER(SEARCH(#REF!,Tabla11[[#This Row],[Cuenta]],1))</f>
        <v>0</v>
      </c>
      <c r="P224" t="b">
        <f>+ISNUMBER(SEARCH('F-COMPRA'!$F$32,Tabla11[[#This Row],[Cuenta]],1))</f>
        <v>1</v>
      </c>
      <c r="Q224" t="b">
        <f>+ISNUMBER(SEARCH('F-COMPRA'!$F$33,Tabla11[[#This Row],[Cuenta]],1))</f>
        <v>1</v>
      </c>
      <c r="R224" t="b">
        <f>+ISNUMBER(SEARCH('F-COMPRA'!$F$34,Tabla11[[#This Row],[Cuenta]],1))</f>
        <v>1</v>
      </c>
      <c r="S224" t="b">
        <f>+ISNUMBER(SEARCH('F-COMPRA'!$F$35,Tabla11[[#This Row],[Cuenta]],1))</f>
        <v>1</v>
      </c>
      <c r="T224" t="b">
        <f>+ISNUMBER(SEARCH('F-COMPRA'!$F$36,Tabla11[[#This Row],[Cuenta]],1))</f>
        <v>1</v>
      </c>
      <c r="U224" t="b">
        <f>+ISNUMBER(SEARCH('F-COMPRA'!$F$37,Tabla11[[#This Row],[Cuenta]],1))</f>
        <v>1</v>
      </c>
      <c r="V224" t="b">
        <f>+ISNUMBER(SEARCH(#REF!,Tabla11[[#This Row],[Cuenta]],1))</f>
        <v>0</v>
      </c>
      <c r="W224" t="b">
        <f>+ISNUMBER(SEARCH('F-COMPRA'!#REF!,Tabla11[[#This Row],[Cuenta]],1))</f>
        <v>0</v>
      </c>
      <c r="X224" t="b">
        <f>+ISNUMBER(SEARCH('F-COMPRA'!#REF!,Tabla11[[#This Row],[Cuenta]],1))</f>
        <v>0</v>
      </c>
      <c r="Y224" t="b">
        <f>+ISNUMBER(SEARCH('F-COMPRA'!#REF!,Tabla11[[#This Row],[Cuenta]],1))</f>
        <v>0</v>
      </c>
      <c r="Z224" t="b">
        <f>+ISNUMBER(SEARCH('F-COMPRA'!#REF!,Tabla11[[#This Row],[Cuenta]],1))</f>
        <v>0</v>
      </c>
      <c r="AA224" t="b">
        <f>+ISNUMBER(SEARCH('F-COMPRA'!#REF!,Tabla11[[#This Row],[Cuenta]],1))</f>
        <v>0</v>
      </c>
      <c r="AB224" t="b">
        <f>+ISNUMBER(SEARCH('F-COMPRA'!#REF!,Tabla11[[#This Row],[Cuenta]],1))</f>
        <v>0</v>
      </c>
      <c r="AC224" t="b">
        <f>+ISNUMBER(SEARCH('F-COMPRA'!#REF!,Tabla11[[#This Row],[Cuenta]],1))</f>
        <v>0</v>
      </c>
      <c r="AD224" t="b">
        <f>+ISNUMBER(SEARCH('F-COMPRA'!#REF!,Tabla11[[#This Row],[Cuenta]],1))</f>
        <v>0</v>
      </c>
      <c r="AE224" t="b">
        <f>+ISNUMBER(SEARCH('F-COMPRA'!#REF!,Tabla11[[#This Row],[Cuenta]],1))</f>
        <v>0</v>
      </c>
      <c r="AF224" t="b">
        <f>+ISNUMBER(SEARCH('F-VTA'!$G$23,Tabla11[[#This Row],[Cuenta]],1))</f>
        <v>0</v>
      </c>
      <c r="AG224" t="b">
        <f>+ISNUMBER(SEARCH('F-VTA'!$G$24,Tabla11[[#This Row],[Cuenta]],1))</f>
        <v>0</v>
      </c>
      <c r="AH224" t="b">
        <f>+ISNUMBER(SEARCH('F-VTA'!$G$25,Tabla11[[#This Row],[Cuenta]],1))</f>
        <v>0</v>
      </c>
      <c r="AI224" t="b">
        <f>+ISNUMBER(SEARCH('F-VTA'!$F$28,Tabla11[[#This Row],[Cuenta]],1))</f>
        <v>1</v>
      </c>
      <c r="AJ224" t="b">
        <f>+ISNUMBER(SEARCH('F-VTA'!$F$29,Tabla11[[#This Row],[Cuenta]],1))</f>
        <v>1</v>
      </c>
      <c r="AK224" t="b">
        <f>+ISNUMBER(SEARCH('F-VTA'!$F$30,Tabla11[[#This Row],[Cuenta]],1))</f>
        <v>1</v>
      </c>
      <c r="AL224" t="b">
        <f>+ISNUMBER(SEARCH('F-VTA'!$F$31,Tabla11[[#This Row],[Cuenta]],1))</f>
        <v>1</v>
      </c>
      <c r="AM224" t="b">
        <f>+ISNUMBER(SEARCH('F-VTA'!$F$32,Tabla11[[#This Row],[Cuenta]],1))</f>
        <v>1</v>
      </c>
      <c r="AN224" t="b">
        <f>+ISNUMBER(SEARCH('F-VTA'!$F$33,Tabla11[[#This Row],[Cuenta]],1))</f>
        <v>1</v>
      </c>
      <c r="AO224" t="b">
        <f>+ISNUMBER(SEARCH('F-VTA'!$F$34,Tabla11[[#This Row],[Cuenta]],1))</f>
        <v>1</v>
      </c>
      <c r="AP224" t="b">
        <f>+ISNUMBER(SEARCH('F-VTA'!$F$35,Tabla11[[#This Row],[Cuenta]],1))</f>
        <v>1</v>
      </c>
      <c r="AQ224" t="b">
        <f>+ISNUMBER(SEARCH('F-VTA'!$F$36,Tabla11[[#This Row],[Cuenta]],1))</f>
        <v>1</v>
      </c>
      <c r="AR224" t="b">
        <f>+ISNUMBER(SEARCH(#REF!,Tabla11[[#This Row],[Cuenta]],1))</f>
        <v>0</v>
      </c>
      <c r="AS224" t="b">
        <f>+ISNUMBER(SEARCH(#REF!,Tabla11[[#This Row],[Cuenta]],1))</f>
        <v>0</v>
      </c>
      <c r="AT224" t="b">
        <f>+ISNUMBER(SEARCH(#REF!,Tabla11[[#This Row],[Cuenta]],1))</f>
        <v>0</v>
      </c>
      <c r="AU224" t="b">
        <f>+ISNUMBER(SEARCH('Conc. Ban.1'!$I$9,Tabla11[[#This Row],[Cuenta]],1))</f>
        <v>0</v>
      </c>
      <c r="AV224" t="b">
        <f>+ISNUMBER(SEARCH(CompConta!$F$21,Tabla11[[#This Row],[Cuenta]],1))</f>
        <v>1</v>
      </c>
      <c r="AW224" t="b">
        <f>+ISNUMBER(SEARCH(CompConta!$F$22,Tabla11[[#This Row],[Cuenta]],1))</f>
        <v>1</v>
      </c>
      <c r="AX224" t="b">
        <f>+ISNUMBER(SEARCH(CompConta!$F$23,Tabla11[[#This Row],[Cuenta]],1))</f>
        <v>1</v>
      </c>
      <c r="AY224" t="b">
        <f>+ISNUMBER(SEARCH(CompConta!$F$24,Tabla11[[#This Row],[Cuenta]],1))</f>
        <v>1</v>
      </c>
      <c r="AZ224" t="b">
        <f>+ISNUMBER(SEARCH(CompConta!$F$25,Tabla11[[#This Row],[Cuenta]],1))</f>
        <v>1</v>
      </c>
      <c r="BA224" t="b">
        <f>+ISNUMBER(SEARCH(CompConta!$F$26,Tabla11[[#This Row],[Cuenta]],1))</f>
        <v>1</v>
      </c>
      <c r="BB224" t="b">
        <f>+ISNUMBER(SEARCH(CompConta!$F$27,Tabla11[[#This Row],[Cuenta]],1))</f>
        <v>1</v>
      </c>
      <c r="BC224" t="b">
        <f>+ISNUMBER(SEARCH(CompConta!$F$28,Tabla11[[#This Row],[Cuenta]],1))</f>
        <v>1</v>
      </c>
      <c r="BD224" t="b">
        <f>+ISNUMBER(SEARCH(CompConta!$F$29,Tabla11[[#This Row],[Cuenta]],1))</f>
        <v>1</v>
      </c>
      <c r="BE224" t="b">
        <f>+ISNUMBER(SEARCH(CompConta!$F$30,Tabla11[[#This Row],[Cuenta]],1))</f>
        <v>1</v>
      </c>
      <c r="BF224" t="b">
        <f>+ISNUMBER(SEARCH('PAGO Compras'!$E$11,Tabla11[[#This Row],[Cuenta]],1))</f>
        <v>1</v>
      </c>
      <c r="BG224" t="b">
        <f>+ISNUMBER(SEARCH(#REF!,Tabla11[[#This Row],[Cuenta]],1))</f>
        <v>0</v>
      </c>
      <c r="BH224" t="b">
        <f>+ISNUMBER(SEARCH(#REF!,Tabla11[[#This Row],[Cuenta]],1))</f>
        <v>0</v>
      </c>
      <c r="BI224" t="b">
        <f>+ISNUMBER(SEARCH(#REF!,Tabla11[[#This Row],[Cuenta]],1))</f>
        <v>0</v>
      </c>
      <c r="BJ224" t="b">
        <f>+ISNUMBER(SEARCH(#REF!,Tabla11[[#This Row],[Cuenta]],1))</f>
        <v>0</v>
      </c>
      <c r="BS224" t="str">
        <v>158865 Envases y empaques</v>
      </c>
      <c r="BT224" t="str">
        <v>158865 Envases y empaques</v>
      </c>
      <c r="BU224" t="str">
        <v>158865 Envases y empaques</v>
      </c>
      <c r="BV224" t="str">
        <v>158865 Envases y empaques</v>
      </c>
      <c r="BZ224" t="str">
        <v>158865 Envases y empaques</v>
      </c>
      <c r="CA224" t="str">
        <v>158865 Envases y empaques</v>
      </c>
      <c r="CB224" t="str">
        <v>158865 Envases y empaques</v>
      </c>
      <c r="CC224" t="str">
        <v>158865 Envases y empaques</v>
      </c>
      <c r="CD224" t="str">
        <v>158865 Envases y empaques</v>
      </c>
      <c r="CE224" t="str">
        <v>158865 Envases y empaques</v>
      </c>
      <c r="CS224" s="141" t="str">
        <v>158865 Envases y empaques</v>
      </c>
      <c r="CT224" s="141" t="str">
        <v>158865 Envases y empaques</v>
      </c>
      <c r="CU224" s="141" t="str">
        <v>158865 Envases y empaques</v>
      </c>
      <c r="CV224" s="141" t="str">
        <v>158865 Envases y empaques</v>
      </c>
      <c r="CW224" s="141" t="str">
        <v>158865 Envases y empaques</v>
      </c>
      <c r="CX224" s="141" t="str">
        <v>158865 Envases y empaques</v>
      </c>
      <c r="CY224" s="141" t="str">
        <v>158865 Envases y empaques</v>
      </c>
      <c r="CZ224" s="141" t="str">
        <v>158865 Envases y empaques</v>
      </c>
      <c r="DA224" s="141" t="str">
        <v>158865 Envases y empaques</v>
      </c>
      <c r="DF224" t="str">
        <v>158865 Envases y empaques</v>
      </c>
      <c r="DG224" t="str">
        <v>158865 Envases y empaques</v>
      </c>
      <c r="DH224" t="str">
        <v>158865 Envases y empaques</v>
      </c>
      <c r="DI224" t="str">
        <v>158865 Envases y empaques</v>
      </c>
      <c r="DJ224" t="str">
        <v>158865 Envases y empaques</v>
      </c>
      <c r="DK224" t="str">
        <v>158865 Envases y empaques</v>
      </c>
      <c r="DL224" t="str">
        <v>158865 Envases y empaques</v>
      </c>
      <c r="DM224" t="str">
        <v>158865 Envases y empaques</v>
      </c>
      <c r="DN224" t="str">
        <v>158865 Envases y empaques</v>
      </c>
      <c r="DO224" t="str">
        <v>158865 Envases y empaques</v>
      </c>
      <c r="DP224" t="str">
        <v>158865 Envases y empaques</v>
      </c>
    </row>
    <row r="225" spans="4:120" ht="12.75">
      <c r="D225" s="7">
        <v>158899</v>
      </c>
      <c r="E225" s="6" t="s">
        <v>44</v>
      </c>
      <c r="F225" s="5">
        <v>4</v>
      </c>
      <c r="G225" s="34" t="s">
        <v>822</v>
      </c>
      <c r="H225" s="8" t="s">
        <v>32</v>
      </c>
      <c r="I225" t="b">
        <f>+ISNUMBER(SEARCH('F-COMPRA'!$F$28,Tabla11[[#This Row],[Cuenta]],1))</f>
        <v>1</v>
      </c>
      <c r="J225" t="b">
        <f>+ISNUMBER(SEARCH('F-COMPRA'!$F$29,Tabla11[[#This Row],[Cuenta]],1))</f>
        <v>1</v>
      </c>
      <c r="K225" t="b">
        <f>+ISNUMBER(SEARCH('F-COMPRA'!$F$30,Tabla11[[#This Row],[Cuenta]],1))</f>
        <v>1</v>
      </c>
      <c r="L225" t="b">
        <f>+ISNUMBER(SEARCH('F-COMPRA'!$F$31,Tabla11[[#This Row],[Cuenta]],1))</f>
        <v>1</v>
      </c>
      <c r="M225" t="b">
        <f>+ISNUMBER(SEARCH('F-COMPRA'!$G$25,Tabla11[[#This Row],[Cuenta]],1))</f>
        <v>0</v>
      </c>
      <c r="N225" t="b">
        <f>+ISNUMBER(SEARCH(#REF!,Tabla11[[#This Row],[Cuenta]],1))</f>
        <v>0</v>
      </c>
      <c r="O225" t="b">
        <f>+ISNUMBER(SEARCH(#REF!,Tabla11[[#This Row],[Cuenta]],1))</f>
        <v>0</v>
      </c>
      <c r="P225" t="b">
        <f>+ISNUMBER(SEARCH('F-COMPRA'!$F$32,Tabla11[[#This Row],[Cuenta]],1))</f>
        <v>1</v>
      </c>
      <c r="Q225" t="b">
        <f>+ISNUMBER(SEARCH('F-COMPRA'!$F$33,Tabla11[[#This Row],[Cuenta]],1))</f>
        <v>1</v>
      </c>
      <c r="R225" t="b">
        <f>+ISNUMBER(SEARCH('F-COMPRA'!$F$34,Tabla11[[#This Row],[Cuenta]],1))</f>
        <v>1</v>
      </c>
      <c r="S225" t="b">
        <f>+ISNUMBER(SEARCH('F-COMPRA'!$F$35,Tabla11[[#This Row],[Cuenta]],1))</f>
        <v>1</v>
      </c>
      <c r="T225" t="b">
        <f>+ISNUMBER(SEARCH('F-COMPRA'!$F$36,Tabla11[[#This Row],[Cuenta]],1))</f>
        <v>1</v>
      </c>
      <c r="U225" t="b">
        <f>+ISNUMBER(SEARCH('F-COMPRA'!$F$37,Tabla11[[#This Row],[Cuenta]],1))</f>
        <v>1</v>
      </c>
      <c r="V225" t="b">
        <f>+ISNUMBER(SEARCH(#REF!,Tabla11[[#This Row],[Cuenta]],1))</f>
        <v>0</v>
      </c>
      <c r="W225" t="b">
        <f>+ISNUMBER(SEARCH('F-COMPRA'!#REF!,Tabla11[[#This Row],[Cuenta]],1))</f>
        <v>0</v>
      </c>
      <c r="X225" t="b">
        <f>+ISNUMBER(SEARCH('F-COMPRA'!#REF!,Tabla11[[#This Row],[Cuenta]],1))</f>
        <v>0</v>
      </c>
      <c r="Y225" t="b">
        <f>+ISNUMBER(SEARCH('F-COMPRA'!#REF!,Tabla11[[#This Row],[Cuenta]],1))</f>
        <v>0</v>
      </c>
      <c r="Z225" t="b">
        <f>+ISNUMBER(SEARCH('F-COMPRA'!#REF!,Tabla11[[#This Row],[Cuenta]],1))</f>
        <v>0</v>
      </c>
      <c r="AA225" t="b">
        <f>+ISNUMBER(SEARCH('F-COMPRA'!#REF!,Tabla11[[#This Row],[Cuenta]],1))</f>
        <v>0</v>
      </c>
      <c r="AB225" t="b">
        <f>+ISNUMBER(SEARCH('F-COMPRA'!#REF!,Tabla11[[#This Row],[Cuenta]],1))</f>
        <v>0</v>
      </c>
      <c r="AC225" t="b">
        <f>+ISNUMBER(SEARCH('F-COMPRA'!#REF!,Tabla11[[#This Row],[Cuenta]],1))</f>
        <v>0</v>
      </c>
      <c r="AD225" t="b">
        <f>+ISNUMBER(SEARCH('F-COMPRA'!#REF!,Tabla11[[#This Row],[Cuenta]],1))</f>
        <v>0</v>
      </c>
      <c r="AE225" t="b">
        <f>+ISNUMBER(SEARCH('F-COMPRA'!#REF!,Tabla11[[#This Row],[Cuenta]],1))</f>
        <v>0</v>
      </c>
      <c r="AF225" t="b">
        <f>+ISNUMBER(SEARCH('F-VTA'!$G$23,Tabla11[[#This Row],[Cuenta]],1))</f>
        <v>0</v>
      </c>
      <c r="AG225" t="b">
        <f>+ISNUMBER(SEARCH('F-VTA'!$G$24,Tabla11[[#This Row],[Cuenta]],1))</f>
        <v>0</v>
      </c>
      <c r="AH225" t="b">
        <f>+ISNUMBER(SEARCH('F-VTA'!$G$25,Tabla11[[#This Row],[Cuenta]],1))</f>
        <v>0</v>
      </c>
      <c r="AI225" t="b">
        <f>+ISNUMBER(SEARCH('F-VTA'!$F$28,Tabla11[[#This Row],[Cuenta]],1))</f>
        <v>1</v>
      </c>
      <c r="AJ225" t="b">
        <f>+ISNUMBER(SEARCH('F-VTA'!$F$29,Tabla11[[#This Row],[Cuenta]],1))</f>
        <v>1</v>
      </c>
      <c r="AK225" t="b">
        <f>+ISNUMBER(SEARCH('F-VTA'!$F$30,Tabla11[[#This Row],[Cuenta]],1))</f>
        <v>1</v>
      </c>
      <c r="AL225" t="b">
        <f>+ISNUMBER(SEARCH('F-VTA'!$F$31,Tabla11[[#This Row],[Cuenta]],1))</f>
        <v>1</v>
      </c>
      <c r="AM225" t="b">
        <f>+ISNUMBER(SEARCH('F-VTA'!$F$32,Tabla11[[#This Row],[Cuenta]],1))</f>
        <v>1</v>
      </c>
      <c r="AN225" t="b">
        <f>+ISNUMBER(SEARCH('F-VTA'!$F$33,Tabla11[[#This Row],[Cuenta]],1))</f>
        <v>1</v>
      </c>
      <c r="AO225" t="b">
        <f>+ISNUMBER(SEARCH('F-VTA'!$F$34,Tabla11[[#This Row],[Cuenta]],1))</f>
        <v>1</v>
      </c>
      <c r="AP225" t="b">
        <f>+ISNUMBER(SEARCH('F-VTA'!$F$35,Tabla11[[#This Row],[Cuenta]],1))</f>
        <v>1</v>
      </c>
      <c r="AQ225" t="b">
        <f>+ISNUMBER(SEARCH('F-VTA'!$F$36,Tabla11[[#This Row],[Cuenta]],1))</f>
        <v>1</v>
      </c>
      <c r="AR225" t="b">
        <f>+ISNUMBER(SEARCH(#REF!,Tabla11[[#This Row],[Cuenta]],1))</f>
        <v>0</v>
      </c>
      <c r="AS225" t="b">
        <f>+ISNUMBER(SEARCH(#REF!,Tabla11[[#This Row],[Cuenta]],1))</f>
        <v>0</v>
      </c>
      <c r="AT225" t="b">
        <f>+ISNUMBER(SEARCH(#REF!,Tabla11[[#This Row],[Cuenta]],1))</f>
        <v>0</v>
      </c>
      <c r="AU225" t="b">
        <f>+ISNUMBER(SEARCH('Conc. Ban.1'!$I$9,Tabla11[[#This Row],[Cuenta]],1))</f>
        <v>0</v>
      </c>
      <c r="AV225" t="b">
        <f>+ISNUMBER(SEARCH(CompConta!$F$21,Tabla11[[#This Row],[Cuenta]],1))</f>
        <v>1</v>
      </c>
      <c r="AW225" t="b">
        <f>+ISNUMBER(SEARCH(CompConta!$F$22,Tabla11[[#This Row],[Cuenta]],1))</f>
        <v>1</v>
      </c>
      <c r="AX225" t="b">
        <f>+ISNUMBER(SEARCH(CompConta!$F$23,Tabla11[[#This Row],[Cuenta]],1))</f>
        <v>1</v>
      </c>
      <c r="AY225" t="b">
        <f>+ISNUMBER(SEARCH(CompConta!$F$24,Tabla11[[#This Row],[Cuenta]],1))</f>
        <v>1</v>
      </c>
      <c r="AZ225" t="b">
        <f>+ISNUMBER(SEARCH(CompConta!$F$25,Tabla11[[#This Row],[Cuenta]],1))</f>
        <v>1</v>
      </c>
      <c r="BA225" t="b">
        <f>+ISNUMBER(SEARCH(CompConta!$F$26,Tabla11[[#This Row],[Cuenta]],1))</f>
        <v>1</v>
      </c>
      <c r="BB225" t="b">
        <f>+ISNUMBER(SEARCH(CompConta!$F$27,Tabla11[[#This Row],[Cuenta]],1))</f>
        <v>1</v>
      </c>
      <c r="BC225" t="b">
        <f>+ISNUMBER(SEARCH(CompConta!$F$28,Tabla11[[#This Row],[Cuenta]],1))</f>
        <v>1</v>
      </c>
      <c r="BD225" t="b">
        <f>+ISNUMBER(SEARCH(CompConta!$F$29,Tabla11[[#This Row],[Cuenta]],1))</f>
        <v>1</v>
      </c>
      <c r="BE225" t="b">
        <f>+ISNUMBER(SEARCH(CompConta!$F$30,Tabla11[[#This Row],[Cuenta]],1))</f>
        <v>1</v>
      </c>
      <c r="BF225" t="b">
        <f>+ISNUMBER(SEARCH('PAGO Compras'!$E$11,Tabla11[[#This Row],[Cuenta]],1))</f>
        <v>1</v>
      </c>
      <c r="BG225" t="b">
        <f>+ISNUMBER(SEARCH(#REF!,Tabla11[[#This Row],[Cuenta]],1))</f>
        <v>0</v>
      </c>
      <c r="BH225" t="b">
        <f>+ISNUMBER(SEARCH(#REF!,Tabla11[[#This Row],[Cuenta]],1))</f>
        <v>0</v>
      </c>
      <c r="BI225" t="b">
        <f>+ISNUMBER(SEARCH(#REF!,Tabla11[[#This Row],[Cuenta]],1))</f>
        <v>0</v>
      </c>
      <c r="BJ225" t="b">
        <f>+ISNUMBER(SEARCH(#REF!,Tabla11[[#This Row],[Cuenta]],1))</f>
        <v>0</v>
      </c>
      <c r="BS225" t="str">
        <v>158899 Ajustes por inflación</v>
      </c>
      <c r="BT225" t="str">
        <v>158899 Ajustes por inflación</v>
      </c>
      <c r="BU225" t="str">
        <v>158899 Ajustes por inflación</v>
      </c>
      <c r="BV225" t="str">
        <v>158899 Ajustes por inflación</v>
      </c>
      <c r="BZ225" t="str">
        <v>158899 Ajustes por inflación</v>
      </c>
      <c r="CA225" t="str">
        <v>158899 Ajustes por inflación</v>
      </c>
      <c r="CB225" t="str">
        <v>158899 Ajustes por inflación</v>
      </c>
      <c r="CC225" t="str">
        <v>158899 Ajustes por inflación</v>
      </c>
      <c r="CD225" t="str">
        <v>158899 Ajustes por inflación</v>
      </c>
      <c r="CE225" t="str">
        <v>158899 Ajustes por inflación</v>
      </c>
      <c r="CS225" s="141" t="str">
        <v>158899 Ajustes por inflación</v>
      </c>
      <c r="CT225" s="141" t="str">
        <v>158899 Ajustes por inflación</v>
      </c>
      <c r="CU225" s="141" t="str">
        <v>158899 Ajustes por inflación</v>
      </c>
      <c r="CV225" s="141" t="str">
        <v>158899 Ajustes por inflación</v>
      </c>
      <c r="CW225" s="141" t="str">
        <v>158899 Ajustes por inflación</v>
      </c>
      <c r="CX225" s="141" t="str">
        <v>158899 Ajustes por inflación</v>
      </c>
      <c r="CY225" s="141" t="str">
        <v>158899 Ajustes por inflación</v>
      </c>
      <c r="CZ225" s="141" t="str">
        <v>158899 Ajustes por inflación</v>
      </c>
      <c r="DA225" s="141" t="str">
        <v>158899 Ajustes por inflación</v>
      </c>
      <c r="DF225" t="str">
        <v>158899 Ajustes por inflación</v>
      </c>
      <c r="DG225" t="str">
        <v>158899 Ajustes por inflación</v>
      </c>
      <c r="DH225" t="str">
        <v>158899 Ajustes por inflación</v>
      </c>
      <c r="DI225" t="str">
        <v>158899 Ajustes por inflación</v>
      </c>
      <c r="DJ225" t="str">
        <v>158899 Ajustes por inflación</v>
      </c>
      <c r="DK225" t="str">
        <v>158899 Ajustes por inflación</v>
      </c>
      <c r="DL225" t="str">
        <v>158899 Ajustes por inflación</v>
      </c>
      <c r="DM225" t="str">
        <v>158899 Ajustes por inflación</v>
      </c>
      <c r="DN225" t="str">
        <v>158899 Ajustes por inflación</v>
      </c>
      <c r="DO225" t="str">
        <v>158899 Ajustes por inflación</v>
      </c>
      <c r="DP225" t="str">
        <v>158899 Ajustes por inflación</v>
      </c>
    </row>
    <row r="226" spans="4:120" ht="12.75">
      <c r="D226" s="7">
        <v>1592</v>
      </c>
      <c r="E226" s="6" t="s">
        <v>214</v>
      </c>
      <c r="F226" s="5">
        <v>3</v>
      </c>
      <c r="G226" s="34" t="s">
        <v>822</v>
      </c>
      <c r="H226" s="8" t="s">
        <v>56</v>
      </c>
      <c r="I226" t="b">
        <f>+ISNUMBER(SEARCH('F-COMPRA'!$F$28,Tabla11[[#This Row],[Cuenta]],1))</f>
        <v>1</v>
      </c>
      <c r="J226" t="b">
        <f>+ISNUMBER(SEARCH('F-COMPRA'!$F$29,Tabla11[[#This Row],[Cuenta]],1))</f>
        <v>1</v>
      </c>
      <c r="K226" t="b">
        <f>+ISNUMBER(SEARCH('F-COMPRA'!$F$30,Tabla11[[#This Row],[Cuenta]],1))</f>
        <v>1</v>
      </c>
      <c r="L226" t="b">
        <f>+ISNUMBER(SEARCH('F-COMPRA'!$F$31,Tabla11[[#This Row],[Cuenta]],1))</f>
        <v>1</v>
      </c>
      <c r="M226" t="b">
        <f>+ISNUMBER(SEARCH('F-COMPRA'!$G$25,Tabla11[[#This Row],[Cuenta]],1))</f>
        <v>0</v>
      </c>
      <c r="N226" t="b">
        <f>+ISNUMBER(SEARCH(#REF!,Tabla11[[#This Row],[Cuenta]],1))</f>
        <v>0</v>
      </c>
      <c r="O226" t="b">
        <f>+ISNUMBER(SEARCH(#REF!,Tabla11[[#This Row],[Cuenta]],1))</f>
        <v>0</v>
      </c>
      <c r="P226" t="b">
        <f>+ISNUMBER(SEARCH('F-COMPRA'!$F$32,Tabla11[[#This Row],[Cuenta]],1))</f>
        <v>1</v>
      </c>
      <c r="Q226" t="b">
        <f>+ISNUMBER(SEARCH('F-COMPRA'!$F$33,Tabla11[[#This Row],[Cuenta]],1))</f>
        <v>1</v>
      </c>
      <c r="R226" t="b">
        <f>+ISNUMBER(SEARCH('F-COMPRA'!$F$34,Tabla11[[#This Row],[Cuenta]],1))</f>
        <v>1</v>
      </c>
      <c r="S226" t="b">
        <f>+ISNUMBER(SEARCH('F-COMPRA'!$F$35,Tabla11[[#This Row],[Cuenta]],1))</f>
        <v>1</v>
      </c>
      <c r="T226" t="b">
        <f>+ISNUMBER(SEARCH('F-COMPRA'!$F$36,Tabla11[[#This Row],[Cuenta]],1))</f>
        <v>1</v>
      </c>
      <c r="U226" t="b">
        <f>+ISNUMBER(SEARCH('F-COMPRA'!$F$37,Tabla11[[#This Row],[Cuenta]],1))</f>
        <v>1</v>
      </c>
      <c r="V226" t="b">
        <f>+ISNUMBER(SEARCH(#REF!,Tabla11[[#This Row],[Cuenta]],1))</f>
        <v>0</v>
      </c>
      <c r="W226" t="b">
        <f>+ISNUMBER(SEARCH('F-COMPRA'!#REF!,Tabla11[[#This Row],[Cuenta]],1))</f>
        <v>0</v>
      </c>
      <c r="X226" t="b">
        <f>+ISNUMBER(SEARCH('F-COMPRA'!#REF!,Tabla11[[#This Row],[Cuenta]],1))</f>
        <v>0</v>
      </c>
      <c r="Y226" t="b">
        <f>+ISNUMBER(SEARCH('F-COMPRA'!#REF!,Tabla11[[#This Row],[Cuenta]],1))</f>
        <v>0</v>
      </c>
      <c r="Z226" t="b">
        <f>+ISNUMBER(SEARCH('F-COMPRA'!#REF!,Tabla11[[#This Row],[Cuenta]],1))</f>
        <v>0</v>
      </c>
      <c r="AA226" t="b">
        <f>+ISNUMBER(SEARCH('F-COMPRA'!#REF!,Tabla11[[#This Row],[Cuenta]],1))</f>
        <v>0</v>
      </c>
      <c r="AB226" t="b">
        <f>+ISNUMBER(SEARCH('F-COMPRA'!#REF!,Tabla11[[#This Row],[Cuenta]],1))</f>
        <v>0</v>
      </c>
      <c r="AC226" t="b">
        <f>+ISNUMBER(SEARCH('F-COMPRA'!#REF!,Tabla11[[#This Row],[Cuenta]],1))</f>
        <v>0</v>
      </c>
      <c r="AD226" t="b">
        <f>+ISNUMBER(SEARCH('F-COMPRA'!#REF!,Tabla11[[#This Row],[Cuenta]],1))</f>
        <v>0</v>
      </c>
      <c r="AE226" t="b">
        <f>+ISNUMBER(SEARCH('F-COMPRA'!#REF!,Tabla11[[#This Row],[Cuenta]],1))</f>
        <v>0</v>
      </c>
      <c r="AF226" t="b">
        <f>+ISNUMBER(SEARCH('F-VTA'!$G$23,Tabla11[[#This Row],[Cuenta]],1))</f>
        <v>0</v>
      </c>
      <c r="AG226" t="b">
        <f>+ISNUMBER(SEARCH('F-VTA'!$G$24,Tabla11[[#This Row],[Cuenta]],1))</f>
        <v>0</v>
      </c>
      <c r="AH226" t="b">
        <f>+ISNUMBER(SEARCH('F-VTA'!$G$25,Tabla11[[#This Row],[Cuenta]],1))</f>
        <v>0</v>
      </c>
      <c r="AI226" t="b">
        <f>+ISNUMBER(SEARCH('F-VTA'!$F$28,Tabla11[[#This Row],[Cuenta]],1))</f>
        <v>1</v>
      </c>
      <c r="AJ226" t="b">
        <f>+ISNUMBER(SEARCH('F-VTA'!$F$29,Tabla11[[#This Row],[Cuenta]],1))</f>
        <v>1</v>
      </c>
      <c r="AK226" t="b">
        <f>+ISNUMBER(SEARCH('F-VTA'!$F$30,Tabla11[[#This Row],[Cuenta]],1))</f>
        <v>1</v>
      </c>
      <c r="AL226" t="b">
        <f>+ISNUMBER(SEARCH('F-VTA'!$F$31,Tabla11[[#This Row],[Cuenta]],1))</f>
        <v>1</v>
      </c>
      <c r="AM226" t="b">
        <f>+ISNUMBER(SEARCH('F-VTA'!$F$32,Tabla11[[#This Row],[Cuenta]],1))</f>
        <v>1</v>
      </c>
      <c r="AN226" t="b">
        <f>+ISNUMBER(SEARCH('F-VTA'!$F$33,Tabla11[[#This Row],[Cuenta]],1))</f>
        <v>1</v>
      </c>
      <c r="AO226" t="b">
        <f>+ISNUMBER(SEARCH('F-VTA'!$F$34,Tabla11[[#This Row],[Cuenta]],1))</f>
        <v>1</v>
      </c>
      <c r="AP226" t="b">
        <f>+ISNUMBER(SEARCH('F-VTA'!$F$35,Tabla11[[#This Row],[Cuenta]],1))</f>
        <v>1</v>
      </c>
      <c r="AQ226" t="b">
        <f>+ISNUMBER(SEARCH('F-VTA'!$F$36,Tabla11[[#This Row],[Cuenta]],1))</f>
        <v>1</v>
      </c>
      <c r="AR226" t="b">
        <f>+ISNUMBER(SEARCH(#REF!,Tabla11[[#This Row],[Cuenta]],1))</f>
        <v>0</v>
      </c>
      <c r="AS226" t="b">
        <f>+ISNUMBER(SEARCH(#REF!,Tabla11[[#This Row],[Cuenta]],1))</f>
        <v>0</v>
      </c>
      <c r="AT226" t="b">
        <f>+ISNUMBER(SEARCH(#REF!,Tabla11[[#This Row],[Cuenta]],1))</f>
        <v>0</v>
      </c>
      <c r="AU226" t="b">
        <f>+ISNUMBER(SEARCH('Conc. Ban.1'!$I$9,Tabla11[[#This Row],[Cuenta]],1))</f>
        <v>0</v>
      </c>
      <c r="AV226" t="b">
        <f>+ISNUMBER(SEARCH(CompConta!$F$21,Tabla11[[#This Row],[Cuenta]],1))</f>
        <v>1</v>
      </c>
      <c r="AW226" t="b">
        <f>+ISNUMBER(SEARCH(CompConta!$F$22,Tabla11[[#This Row],[Cuenta]],1))</f>
        <v>1</v>
      </c>
      <c r="AX226" t="b">
        <f>+ISNUMBER(SEARCH(CompConta!$F$23,Tabla11[[#This Row],[Cuenta]],1))</f>
        <v>1</v>
      </c>
      <c r="AY226" t="b">
        <f>+ISNUMBER(SEARCH(CompConta!$F$24,Tabla11[[#This Row],[Cuenta]],1))</f>
        <v>1</v>
      </c>
      <c r="AZ226" t="b">
        <f>+ISNUMBER(SEARCH(CompConta!$F$25,Tabla11[[#This Row],[Cuenta]],1))</f>
        <v>1</v>
      </c>
      <c r="BA226" t="b">
        <f>+ISNUMBER(SEARCH(CompConta!$F$26,Tabla11[[#This Row],[Cuenta]],1))</f>
        <v>1</v>
      </c>
      <c r="BB226" t="b">
        <f>+ISNUMBER(SEARCH(CompConta!$F$27,Tabla11[[#This Row],[Cuenta]],1))</f>
        <v>1</v>
      </c>
      <c r="BC226" t="b">
        <f>+ISNUMBER(SEARCH(CompConta!$F$28,Tabla11[[#This Row],[Cuenta]],1))</f>
        <v>1</v>
      </c>
      <c r="BD226" t="b">
        <f>+ISNUMBER(SEARCH(CompConta!$F$29,Tabla11[[#This Row],[Cuenta]],1))</f>
        <v>1</v>
      </c>
      <c r="BE226" t="b">
        <f>+ISNUMBER(SEARCH(CompConta!$F$30,Tabla11[[#This Row],[Cuenta]],1))</f>
        <v>1</v>
      </c>
      <c r="BF226" t="b">
        <f>+ISNUMBER(SEARCH('PAGO Compras'!$E$11,Tabla11[[#This Row],[Cuenta]],1))</f>
        <v>1</v>
      </c>
      <c r="BG226" t="b">
        <f>+ISNUMBER(SEARCH(#REF!,Tabla11[[#This Row],[Cuenta]],1))</f>
        <v>0</v>
      </c>
      <c r="BH226" t="b">
        <f>+ISNUMBER(SEARCH(#REF!,Tabla11[[#This Row],[Cuenta]],1))</f>
        <v>0</v>
      </c>
      <c r="BI226" t="b">
        <f>+ISNUMBER(SEARCH(#REF!,Tabla11[[#This Row],[Cuenta]],1))</f>
        <v>0</v>
      </c>
      <c r="BJ226" t="b">
        <f>+ISNUMBER(SEARCH(#REF!,Tabla11[[#This Row],[Cuenta]],1))</f>
        <v>0</v>
      </c>
      <c r="BS226" t="str">
        <v>1592 DEPRECIACIÓN ACUMULADA</v>
      </c>
      <c r="BT226" t="str">
        <v>1592 DEPRECIACIÓN ACUMULADA</v>
      </c>
      <c r="BU226" t="str">
        <v>1592 DEPRECIACIÓN ACUMULADA</v>
      </c>
      <c r="BV226" t="str">
        <v>1592 DEPRECIACIÓN ACUMULADA</v>
      </c>
      <c r="BZ226" t="str">
        <v>1592 DEPRECIACIÓN ACUMULADA</v>
      </c>
      <c r="CA226" t="str">
        <v>1592 DEPRECIACIÓN ACUMULADA</v>
      </c>
      <c r="CB226" t="str">
        <v>1592 DEPRECIACIÓN ACUMULADA</v>
      </c>
      <c r="CC226" t="str">
        <v>1592 DEPRECIACIÓN ACUMULADA</v>
      </c>
      <c r="CD226" t="str">
        <v>1592 DEPRECIACIÓN ACUMULADA</v>
      </c>
      <c r="CE226" t="str">
        <v>1592 DEPRECIACIÓN ACUMULADA</v>
      </c>
      <c r="CS226" s="141" t="str">
        <v>1592 DEPRECIACIÓN ACUMULADA</v>
      </c>
      <c r="CT226" s="141" t="str">
        <v>1592 DEPRECIACIÓN ACUMULADA</v>
      </c>
      <c r="CU226" s="141" t="str">
        <v>1592 DEPRECIACIÓN ACUMULADA</v>
      </c>
      <c r="CV226" s="141" t="str">
        <v>1592 DEPRECIACIÓN ACUMULADA</v>
      </c>
      <c r="CW226" s="141" t="str">
        <v>1592 DEPRECIACIÓN ACUMULADA</v>
      </c>
      <c r="CX226" s="141" t="str">
        <v>1592 DEPRECIACIÓN ACUMULADA</v>
      </c>
      <c r="CY226" s="141" t="str">
        <v>1592 DEPRECIACIÓN ACUMULADA</v>
      </c>
      <c r="CZ226" s="141" t="str">
        <v>1592 DEPRECIACIÓN ACUMULADA</v>
      </c>
      <c r="DA226" s="141" t="str">
        <v>1592 DEPRECIACIÓN ACUMULADA</v>
      </c>
      <c r="DF226" t="str">
        <v>1592 DEPRECIACIÓN ACUMULADA</v>
      </c>
      <c r="DG226" t="str">
        <v>1592 DEPRECIACIÓN ACUMULADA</v>
      </c>
      <c r="DH226" t="str">
        <v>1592 DEPRECIACIÓN ACUMULADA</v>
      </c>
      <c r="DI226" t="str">
        <v>1592 DEPRECIACIÓN ACUMULADA</v>
      </c>
      <c r="DJ226" t="str">
        <v>1592 DEPRECIACIÓN ACUMULADA</v>
      </c>
      <c r="DK226" t="str">
        <v>1592 DEPRECIACIÓN ACUMULADA</v>
      </c>
      <c r="DL226" t="str">
        <v>1592 DEPRECIACIÓN ACUMULADA</v>
      </c>
      <c r="DM226" t="str">
        <v>1592 DEPRECIACIÓN ACUMULADA</v>
      </c>
      <c r="DN226" t="str">
        <v>1592 DEPRECIACIÓN ACUMULADA</v>
      </c>
      <c r="DO226" t="str">
        <v>1592 DEPRECIACIÓN ACUMULADA</v>
      </c>
      <c r="DP226" t="str">
        <v>1592 DEPRECIACIÓN ACUMULADA</v>
      </c>
    </row>
    <row r="227" spans="4:120" ht="12.75">
      <c r="D227" s="7">
        <v>159205</v>
      </c>
      <c r="E227" s="6" t="s">
        <v>121</v>
      </c>
      <c r="F227" s="5">
        <v>4</v>
      </c>
      <c r="G227" s="34" t="s">
        <v>822</v>
      </c>
      <c r="H227" s="8" t="s">
        <v>56</v>
      </c>
      <c r="I227" t="b">
        <f>+ISNUMBER(SEARCH('F-COMPRA'!$F$28,Tabla11[[#This Row],[Cuenta]],1))</f>
        <v>1</v>
      </c>
      <c r="J227" t="b">
        <f>+ISNUMBER(SEARCH('F-COMPRA'!$F$29,Tabla11[[#This Row],[Cuenta]],1))</f>
        <v>1</v>
      </c>
      <c r="K227" t="b">
        <f>+ISNUMBER(SEARCH('F-COMPRA'!$F$30,Tabla11[[#This Row],[Cuenta]],1))</f>
        <v>1</v>
      </c>
      <c r="L227" t="b">
        <f>+ISNUMBER(SEARCH('F-COMPRA'!$F$31,Tabla11[[#This Row],[Cuenta]],1))</f>
        <v>1</v>
      </c>
      <c r="M227" t="b">
        <f>+ISNUMBER(SEARCH('F-COMPRA'!$G$25,Tabla11[[#This Row],[Cuenta]],1))</f>
        <v>0</v>
      </c>
      <c r="N227" t="b">
        <f>+ISNUMBER(SEARCH(#REF!,Tabla11[[#This Row],[Cuenta]],1))</f>
        <v>0</v>
      </c>
      <c r="O227" t="b">
        <f>+ISNUMBER(SEARCH(#REF!,Tabla11[[#This Row],[Cuenta]],1))</f>
        <v>0</v>
      </c>
      <c r="P227" t="b">
        <f>+ISNUMBER(SEARCH('F-COMPRA'!$F$32,Tabla11[[#This Row],[Cuenta]],1))</f>
        <v>1</v>
      </c>
      <c r="Q227" t="b">
        <f>+ISNUMBER(SEARCH('F-COMPRA'!$F$33,Tabla11[[#This Row],[Cuenta]],1))</f>
        <v>1</v>
      </c>
      <c r="R227" t="b">
        <f>+ISNUMBER(SEARCH('F-COMPRA'!$F$34,Tabla11[[#This Row],[Cuenta]],1))</f>
        <v>1</v>
      </c>
      <c r="S227" t="b">
        <f>+ISNUMBER(SEARCH('F-COMPRA'!$F$35,Tabla11[[#This Row],[Cuenta]],1))</f>
        <v>1</v>
      </c>
      <c r="T227" t="b">
        <f>+ISNUMBER(SEARCH('F-COMPRA'!$F$36,Tabla11[[#This Row],[Cuenta]],1))</f>
        <v>1</v>
      </c>
      <c r="U227" t="b">
        <f>+ISNUMBER(SEARCH('F-COMPRA'!$F$37,Tabla11[[#This Row],[Cuenta]],1))</f>
        <v>1</v>
      </c>
      <c r="V227" t="b">
        <f>+ISNUMBER(SEARCH(#REF!,Tabla11[[#This Row],[Cuenta]],1))</f>
        <v>0</v>
      </c>
      <c r="W227" t="b">
        <f>+ISNUMBER(SEARCH('F-COMPRA'!#REF!,Tabla11[[#This Row],[Cuenta]],1))</f>
        <v>0</v>
      </c>
      <c r="X227" t="b">
        <f>+ISNUMBER(SEARCH('F-COMPRA'!#REF!,Tabla11[[#This Row],[Cuenta]],1))</f>
        <v>0</v>
      </c>
      <c r="Y227" t="b">
        <f>+ISNUMBER(SEARCH('F-COMPRA'!#REF!,Tabla11[[#This Row],[Cuenta]],1))</f>
        <v>0</v>
      </c>
      <c r="Z227" t="b">
        <f>+ISNUMBER(SEARCH('F-COMPRA'!#REF!,Tabla11[[#This Row],[Cuenta]],1))</f>
        <v>0</v>
      </c>
      <c r="AA227" t="b">
        <f>+ISNUMBER(SEARCH('F-COMPRA'!#REF!,Tabla11[[#This Row],[Cuenta]],1))</f>
        <v>0</v>
      </c>
      <c r="AB227" t="b">
        <f>+ISNUMBER(SEARCH('F-COMPRA'!#REF!,Tabla11[[#This Row],[Cuenta]],1))</f>
        <v>0</v>
      </c>
      <c r="AC227" t="b">
        <f>+ISNUMBER(SEARCH('F-COMPRA'!#REF!,Tabla11[[#This Row],[Cuenta]],1))</f>
        <v>0</v>
      </c>
      <c r="AD227" t="b">
        <f>+ISNUMBER(SEARCH('F-COMPRA'!#REF!,Tabla11[[#This Row],[Cuenta]],1))</f>
        <v>0</v>
      </c>
      <c r="AE227" t="b">
        <f>+ISNUMBER(SEARCH('F-COMPRA'!#REF!,Tabla11[[#This Row],[Cuenta]],1))</f>
        <v>0</v>
      </c>
      <c r="AF227" t="b">
        <f>+ISNUMBER(SEARCH('F-VTA'!$G$23,Tabla11[[#This Row],[Cuenta]],1))</f>
        <v>0</v>
      </c>
      <c r="AG227" t="b">
        <f>+ISNUMBER(SEARCH('F-VTA'!$G$24,Tabla11[[#This Row],[Cuenta]],1))</f>
        <v>0</v>
      </c>
      <c r="AH227" t="b">
        <f>+ISNUMBER(SEARCH('F-VTA'!$G$25,Tabla11[[#This Row],[Cuenta]],1))</f>
        <v>0</v>
      </c>
      <c r="AI227" t="b">
        <f>+ISNUMBER(SEARCH('F-VTA'!$F$28,Tabla11[[#This Row],[Cuenta]],1))</f>
        <v>1</v>
      </c>
      <c r="AJ227" t="b">
        <f>+ISNUMBER(SEARCH('F-VTA'!$F$29,Tabla11[[#This Row],[Cuenta]],1))</f>
        <v>1</v>
      </c>
      <c r="AK227" t="b">
        <f>+ISNUMBER(SEARCH('F-VTA'!$F$30,Tabla11[[#This Row],[Cuenta]],1))</f>
        <v>1</v>
      </c>
      <c r="AL227" t="b">
        <f>+ISNUMBER(SEARCH('F-VTA'!$F$31,Tabla11[[#This Row],[Cuenta]],1))</f>
        <v>1</v>
      </c>
      <c r="AM227" t="b">
        <f>+ISNUMBER(SEARCH('F-VTA'!$F$32,Tabla11[[#This Row],[Cuenta]],1))</f>
        <v>1</v>
      </c>
      <c r="AN227" t="b">
        <f>+ISNUMBER(SEARCH('F-VTA'!$F$33,Tabla11[[#This Row],[Cuenta]],1))</f>
        <v>1</v>
      </c>
      <c r="AO227" t="b">
        <f>+ISNUMBER(SEARCH('F-VTA'!$F$34,Tabla11[[#This Row],[Cuenta]],1))</f>
        <v>1</v>
      </c>
      <c r="AP227" t="b">
        <f>+ISNUMBER(SEARCH('F-VTA'!$F$35,Tabla11[[#This Row],[Cuenta]],1))</f>
        <v>1</v>
      </c>
      <c r="AQ227" t="b">
        <f>+ISNUMBER(SEARCH('F-VTA'!$F$36,Tabla11[[#This Row],[Cuenta]],1))</f>
        <v>1</v>
      </c>
      <c r="AR227" t="b">
        <f>+ISNUMBER(SEARCH(#REF!,Tabla11[[#This Row],[Cuenta]],1))</f>
        <v>0</v>
      </c>
      <c r="AS227" t="b">
        <f>+ISNUMBER(SEARCH(#REF!,Tabla11[[#This Row],[Cuenta]],1))</f>
        <v>0</v>
      </c>
      <c r="AT227" t="b">
        <f>+ISNUMBER(SEARCH(#REF!,Tabla11[[#This Row],[Cuenta]],1))</f>
        <v>0</v>
      </c>
      <c r="AU227" t="b">
        <f>+ISNUMBER(SEARCH('Conc. Ban.1'!$I$9,Tabla11[[#This Row],[Cuenta]],1))</f>
        <v>0</v>
      </c>
      <c r="AV227" t="b">
        <f>+ISNUMBER(SEARCH(CompConta!$F$21,Tabla11[[#This Row],[Cuenta]],1))</f>
        <v>1</v>
      </c>
      <c r="AW227" t="b">
        <f>+ISNUMBER(SEARCH(CompConta!$F$22,Tabla11[[#This Row],[Cuenta]],1))</f>
        <v>1</v>
      </c>
      <c r="AX227" t="b">
        <f>+ISNUMBER(SEARCH(CompConta!$F$23,Tabla11[[#This Row],[Cuenta]],1))</f>
        <v>1</v>
      </c>
      <c r="AY227" t="b">
        <f>+ISNUMBER(SEARCH(CompConta!$F$24,Tabla11[[#This Row],[Cuenta]],1))</f>
        <v>1</v>
      </c>
      <c r="AZ227" t="b">
        <f>+ISNUMBER(SEARCH(CompConta!$F$25,Tabla11[[#This Row],[Cuenta]],1))</f>
        <v>1</v>
      </c>
      <c r="BA227" t="b">
        <f>+ISNUMBER(SEARCH(CompConta!$F$26,Tabla11[[#This Row],[Cuenta]],1))</f>
        <v>1</v>
      </c>
      <c r="BB227" t="b">
        <f>+ISNUMBER(SEARCH(CompConta!$F$27,Tabla11[[#This Row],[Cuenta]],1))</f>
        <v>1</v>
      </c>
      <c r="BC227" t="b">
        <f>+ISNUMBER(SEARCH(CompConta!$F$28,Tabla11[[#This Row],[Cuenta]],1))</f>
        <v>1</v>
      </c>
      <c r="BD227" t="b">
        <f>+ISNUMBER(SEARCH(CompConta!$F$29,Tabla11[[#This Row],[Cuenta]],1))</f>
        <v>1</v>
      </c>
      <c r="BE227" t="b">
        <f>+ISNUMBER(SEARCH(CompConta!$F$30,Tabla11[[#This Row],[Cuenta]],1))</f>
        <v>1</v>
      </c>
      <c r="BF227" t="b">
        <f>+ISNUMBER(SEARCH('PAGO Compras'!$E$11,Tabla11[[#This Row],[Cuenta]],1))</f>
        <v>1</v>
      </c>
      <c r="BG227" t="b">
        <f>+ISNUMBER(SEARCH(#REF!,Tabla11[[#This Row],[Cuenta]],1))</f>
        <v>0</v>
      </c>
      <c r="BH227" t="b">
        <f>+ISNUMBER(SEARCH(#REF!,Tabla11[[#This Row],[Cuenta]],1))</f>
        <v>0</v>
      </c>
      <c r="BI227" t="b">
        <f>+ISNUMBER(SEARCH(#REF!,Tabla11[[#This Row],[Cuenta]],1))</f>
        <v>0</v>
      </c>
      <c r="BJ227" t="b">
        <f>+ISNUMBER(SEARCH(#REF!,Tabla11[[#This Row],[Cuenta]],1))</f>
        <v>0</v>
      </c>
      <c r="BS227" t="str">
        <v>159205 Construcciones y edificaciones</v>
      </c>
      <c r="BT227" t="str">
        <v>159205 Construcciones y edificaciones</v>
      </c>
      <c r="BU227" t="str">
        <v>159205 Construcciones y edificaciones</v>
      </c>
      <c r="BV227" t="str">
        <v>159205 Construcciones y edificaciones</v>
      </c>
      <c r="BZ227" t="str">
        <v>159205 Construcciones y edificaciones</v>
      </c>
      <c r="CA227" t="str">
        <v>159205 Construcciones y edificaciones</v>
      </c>
      <c r="CB227" t="str">
        <v>159205 Construcciones y edificaciones</v>
      </c>
      <c r="CC227" t="str">
        <v>159205 Construcciones y edificaciones</v>
      </c>
      <c r="CD227" t="str">
        <v>159205 Construcciones y edificaciones</v>
      </c>
      <c r="CE227" t="str">
        <v>159205 Construcciones y edificaciones</v>
      </c>
      <c r="CS227" s="141" t="str">
        <v>159205 Construcciones y edificaciones</v>
      </c>
      <c r="CT227" s="141" t="str">
        <v>159205 Construcciones y edificaciones</v>
      </c>
      <c r="CU227" s="141" t="str">
        <v>159205 Construcciones y edificaciones</v>
      </c>
      <c r="CV227" s="141" t="str">
        <v>159205 Construcciones y edificaciones</v>
      </c>
      <c r="CW227" s="141" t="str">
        <v>159205 Construcciones y edificaciones</v>
      </c>
      <c r="CX227" s="141" t="str">
        <v>159205 Construcciones y edificaciones</v>
      </c>
      <c r="CY227" s="141" t="str">
        <v>159205 Construcciones y edificaciones</v>
      </c>
      <c r="CZ227" s="141" t="str">
        <v>159205 Construcciones y edificaciones</v>
      </c>
      <c r="DA227" s="141" t="str">
        <v>159205 Construcciones y edificaciones</v>
      </c>
      <c r="DF227" t="str">
        <v>159205 Construcciones y edificaciones</v>
      </c>
      <c r="DG227" t="str">
        <v>159205 Construcciones y edificaciones</v>
      </c>
      <c r="DH227" t="str">
        <v>159205 Construcciones y edificaciones</v>
      </c>
      <c r="DI227" t="str">
        <v>159205 Construcciones y edificaciones</v>
      </c>
      <c r="DJ227" t="str">
        <v>159205 Construcciones y edificaciones</v>
      </c>
      <c r="DK227" t="str">
        <v>159205 Construcciones y edificaciones</v>
      </c>
      <c r="DL227" t="str">
        <v>159205 Construcciones y edificaciones</v>
      </c>
      <c r="DM227" t="str">
        <v>159205 Construcciones y edificaciones</v>
      </c>
      <c r="DN227" t="str">
        <v>159205 Construcciones y edificaciones</v>
      </c>
      <c r="DO227" t="str">
        <v>159205 Construcciones y edificaciones</v>
      </c>
      <c r="DP227" t="str">
        <v>159205 Construcciones y edificaciones</v>
      </c>
    </row>
    <row r="228" spans="4:120" ht="12.75">
      <c r="D228" s="7">
        <v>159210</v>
      </c>
      <c r="E228" s="6" t="s">
        <v>128</v>
      </c>
      <c r="F228" s="5">
        <v>4</v>
      </c>
      <c r="G228" s="34" t="s">
        <v>822</v>
      </c>
      <c r="H228" s="8" t="s">
        <v>56</v>
      </c>
      <c r="I228" t="b">
        <f>+ISNUMBER(SEARCH('F-COMPRA'!$F$28,Tabla11[[#This Row],[Cuenta]],1))</f>
        <v>1</v>
      </c>
      <c r="J228" t="b">
        <f>+ISNUMBER(SEARCH('F-COMPRA'!$F$29,Tabla11[[#This Row],[Cuenta]],1))</f>
        <v>1</v>
      </c>
      <c r="K228" t="b">
        <f>+ISNUMBER(SEARCH('F-COMPRA'!$F$30,Tabla11[[#This Row],[Cuenta]],1))</f>
        <v>1</v>
      </c>
      <c r="L228" t="b">
        <f>+ISNUMBER(SEARCH('F-COMPRA'!$F$31,Tabla11[[#This Row],[Cuenta]],1))</f>
        <v>1</v>
      </c>
      <c r="M228" t="b">
        <f>+ISNUMBER(SEARCH('F-COMPRA'!$G$25,Tabla11[[#This Row],[Cuenta]],1))</f>
        <v>0</v>
      </c>
      <c r="N228" t="b">
        <f>+ISNUMBER(SEARCH(#REF!,Tabla11[[#This Row],[Cuenta]],1))</f>
        <v>0</v>
      </c>
      <c r="O228" t="b">
        <f>+ISNUMBER(SEARCH(#REF!,Tabla11[[#This Row],[Cuenta]],1))</f>
        <v>0</v>
      </c>
      <c r="P228" t="b">
        <f>+ISNUMBER(SEARCH('F-COMPRA'!$F$32,Tabla11[[#This Row],[Cuenta]],1))</f>
        <v>1</v>
      </c>
      <c r="Q228" t="b">
        <f>+ISNUMBER(SEARCH('F-COMPRA'!$F$33,Tabla11[[#This Row],[Cuenta]],1))</f>
        <v>1</v>
      </c>
      <c r="R228" t="b">
        <f>+ISNUMBER(SEARCH('F-COMPRA'!$F$34,Tabla11[[#This Row],[Cuenta]],1))</f>
        <v>1</v>
      </c>
      <c r="S228" t="b">
        <f>+ISNUMBER(SEARCH('F-COMPRA'!$F$35,Tabla11[[#This Row],[Cuenta]],1))</f>
        <v>1</v>
      </c>
      <c r="T228" t="b">
        <f>+ISNUMBER(SEARCH('F-COMPRA'!$F$36,Tabla11[[#This Row],[Cuenta]],1))</f>
        <v>1</v>
      </c>
      <c r="U228" t="b">
        <f>+ISNUMBER(SEARCH('F-COMPRA'!$F$37,Tabla11[[#This Row],[Cuenta]],1))</f>
        <v>1</v>
      </c>
      <c r="V228" t="b">
        <f>+ISNUMBER(SEARCH(#REF!,Tabla11[[#This Row],[Cuenta]],1))</f>
        <v>0</v>
      </c>
      <c r="W228" t="b">
        <f>+ISNUMBER(SEARCH('F-COMPRA'!#REF!,Tabla11[[#This Row],[Cuenta]],1))</f>
        <v>0</v>
      </c>
      <c r="X228" t="b">
        <f>+ISNUMBER(SEARCH('F-COMPRA'!#REF!,Tabla11[[#This Row],[Cuenta]],1))</f>
        <v>0</v>
      </c>
      <c r="Y228" t="b">
        <f>+ISNUMBER(SEARCH('F-COMPRA'!#REF!,Tabla11[[#This Row],[Cuenta]],1))</f>
        <v>0</v>
      </c>
      <c r="Z228" t="b">
        <f>+ISNUMBER(SEARCH('F-COMPRA'!#REF!,Tabla11[[#This Row],[Cuenta]],1))</f>
        <v>0</v>
      </c>
      <c r="AA228" t="b">
        <f>+ISNUMBER(SEARCH('F-COMPRA'!#REF!,Tabla11[[#This Row],[Cuenta]],1))</f>
        <v>0</v>
      </c>
      <c r="AB228" t="b">
        <f>+ISNUMBER(SEARCH('F-COMPRA'!#REF!,Tabla11[[#This Row],[Cuenta]],1))</f>
        <v>0</v>
      </c>
      <c r="AC228" t="b">
        <f>+ISNUMBER(SEARCH('F-COMPRA'!#REF!,Tabla11[[#This Row],[Cuenta]],1))</f>
        <v>0</v>
      </c>
      <c r="AD228" t="b">
        <f>+ISNUMBER(SEARCH('F-COMPRA'!#REF!,Tabla11[[#This Row],[Cuenta]],1))</f>
        <v>0</v>
      </c>
      <c r="AE228" t="b">
        <f>+ISNUMBER(SEARCH('F-COMPRA'!#REF!,Tabla11[[#This Row],[Cuenta]],1))</f>
        <v>0</v>
      </c>
      <c r="AF228" t="b">
        <f>+ISNUMBER(SEARCH('F-VTA'!$G$23,Tabla11[[#This Row],[Cuenta]],1))</f>
        <v>0</v>
      </c>
      <c r="AG228" t="b">
        <f>+ISNUMBER(SEARCH('F-VTA'!$G$24,Tabla11[[#This Row],[Cuenta]],1))</f>
        <v>0</v>
      </c>
      <c r="AH228" t="b">
        <f>+ISNUMBER(SEARCH('F-VTA'!$G$25,Tabla11[[#This Row],[Cuenta]],1))</f>
        <v>0</v>
      </c>
      <c r="AI228" t="b">
        <f>+ISNUMBER(SEARCH('F-VTA'!$F$28,Tabla11[[#This Row],[Cuenta]],1))</f>
        <v>1</v>
      </c>
      <c r="AJ228" t="b">
        <f>+ISNUMBER(SEARCH('F-VTA'!$F$29,Tabla11[[#This Row],[Cuenta]],1))</f>
        <v>1</v>
      </c>
      <c r="AK228" t="b">
        <f>+ISNUMBER(SEARCH('F-VTA'!$F$30,Tabla11[[#This Row],[Cuenta]],1))</f>
        <v>1</v>
      </c>
      <c r="AL228" t="b">
        <f>+ISNUMBER(SEARCH('F-VTA'!$F$31,Tabla11[[#This Row],[Cuenta]],1))</f>
        <v>1</v>
      </c>
      <c r="AM228" t="b">
        <f>+ISNUMBER(SEARCH('F-VTA'!$F$32,Tabla11[[#This Row],[Cuenta]],1))</f>
        <v>1</v>
      </c>
      <c r="AN228" t="b">
        <f>+ISNUMBER(SEARCH('F-VTA'!$F$33,Tabla11[[#This Row],[Cuenta]],1))</f>
        <v>1</v>
      </c>
      <c r="AO228" t="b">
        <f>+ISNUMBER(SEARCH('F-VTA'!$F$34,Tabla11[[#This Row],[Cuenta]],1))</f>
        <v>1</v>
      </c>
      <c r="AP228" t="b">
        <f>+ISNUMBER(SEARCH('F-VTA'!$F$35,Tabla11[[#This Row],[Cuenta]],1))</f>
        <v>1</v>
      </c>
      <c r="AQ228" t="b">
        <f>+ISNUMBER(SEARCH('F-VTA'!$F$36,Tabla11[[#This Row],[Cuenta]],1))</f>
        <v>1</v>
      </c>
      <c r="AR228" t="b">
        <f>+ISNUMBER(SEARCH(#REF!,Tabla11[[#This Row],[Cuenta]],1))</f>
        <v>0</v>
      </c>
      <c r="AS228" t="b">
        <f>+ISNUMBER(SEARCH(#REF!,Tabla11[[#This Row],[Cuenta]],1))</f>
        <v>0</v>
      </c>
      <c r="AT228" t="b">
        <f>+ISNUMBER(SEARCH(#REF!,Tabla11[[#This Row],[Cuenta]],1))</f>
        <v>0</v>
      </c>
      <c r="AU228" t="b">
        <f>+ISNUMBER(SEARCH('Conc. Ban.1'!$I$9,Tabla11[[#This Row],[Cuenta]],1))</f>
        <v>0</v>
      </c>
      <c r="AV228" t="b">
        <f>+ISNUMBER(SEARCH(CompConta!$F$21,Tabla11[[#This Row],[Cuenta]],1))</f>
        <v>1</v>
      </c>
      <c r="AW228" t="b">
        <f>+ISNUMBER(SEARCH(CompConta!$F$22,Tabla11[[#This Row],[Cuenta]],1))</f>
        <v>1</v>
      </c>
      <c r="AX228" t="b">
        <f>+ISNUMBER(SEARCH(CompConta!$F$23,Tabla11[[#This Row],[Cuenta]],1))</f>
        <v>1</v>
      </c>
      <c r="AY228" t="b">
        <f>+ISNUMBER(SEARCH(CompConta!$F$24,Tabla11[[#This Row],[Cuenta]],1))</f>
        <v>1</v>
      </c>
      <c r="AZ228" t="b">
        <f>+ISNUMBER(SEARCH(CompConta!$F$25,Tabla11[[#This Row],[Cuenta]],1))</f>
        <v>1</v>
      </c>
      <c r="BA228" t="b">
        <f>+ISNUMBER(SEARCH(CompConta!$F$26,Tabla11[[#This Row],[Cuenta]],1))</f>
        <v>1</v>
      </c>
      <c r="BB228" t="b">
        <f>+ISNUMBER(SEARCH(CompConta!$F$27,Tabla11[[#This Row],[Cuenta]],1))</f>
        <v>1</v>
      </c>
      <c r="BC228" t="b">
        <f>+ISNUMBER(SEARCH(CompConta!$F$28,Tabla11[[#This Row],[Cuenta]],1))</f>
        <v>1</v>
      </c>
      <c r="BD228" t="b">
        <f>+ISNUMBER(SEARCH(CompConta!$F$29,Tabla11[[#This Row],[Cuenta]],1))</f>
        <v>1</v>
      </c>
      <c r="BE228" t="b">
        <f>+ISNUMBER(SEARCH(CompConta!$F$30,Tabla11[[#This Row],[Cuenta]],1))</f>
        <v>1</v>
      </c>
      <c r="BF228" t="b">
        <f>+ISNUMBER(SEARCH('PAGO Compras'!$E$11,Tabla11[[#This Row],[Cuenta]],1))</f>
        <v>1</v>
      </c>
      <c r="BG228" t="b">
        <f>+ISNUMBER(SEARCH(#REF!,Tabla11[[#This Row],[Cuenta]],1))</f>
        <v>0</v>
      </c>
      <c r="BH228" t="b">
        <f>+ISNUMBER(SEARCH(#REF!,Tabla11[[#This Row],[Cuenta]],1))</f>
        <v>0</v>
      </c>
      <c r="BI228" t="b">
        <f>+ISNUMBER(SEARCH(#REF!,Tabla11[[#This Row],[Cuenta]],1))</f>
        <v>0</v>
      </c>
      <c r="BJ228" t="b">
        <f>+ISNUMBER(SEARCH(#REF!,Tabla11[[#This Row],[Cuenta]],1))</f>
        <v>0</v>
      </c>
      <c r="BS228" t="str">
        <v>159210 Maquinaria y equipo</v>
      </c>
      <c r="BT228" t="str">
        <v>159210 Maquinaria y equipo</v>
      </c>
      <c r="BU228" t="str">
        <v>159210 Maquinaria y equipo</v>
      </c>
      <c r="BV228" t="str">
        <v>159210 Maquinaria y equipo</v>
      </c>
      <c r="BZ228" t="str">
        <v>159210 Maquinaria y equipo</v>
      </c>
      <c r="CA228" t="str">
        <v>159210 Maquinaria y equipo</v>
      </c>
      <c r="CB228" t="str">
        <v>159210 Maquinaria y equipo</v>
      </c>
      <c r="CC228" t="str">
        <v>159210 Maquinaria y equipo</v>
      </c>
      <c r="CD228" t="str">
        <v>159210 Maquinaria y equipo</v>
      </c>
      <c r="CE228" t="str">
        <v>159210 Maquinaria y equipo</v>
      </c>
      <c r="CS228" s="141" t="str">
        <v>159210 Maquinaria y equipo</v>
      </c>
      <c r="CT228" s="141" t="str">
        <v>159210 Maquinaria y equipo</v>
      </c>
      <c r="CU228" s="141" t="str">
        <v>159210 Maquinaria y equipo</v>
      </c>
      <c r="CV228" s="141" t="str">
        <v>159210 Maquinaria y equipo</v>
      </c>
      <c r="CW228" s="141" t="str">
        <v>159210 Maquinaria y equipo</v>
      </c>
      <c r="CX228" s="141" t="str">
        <v>159210 Maquinaria y equipo</v>
      </c>
      <c r="CY228" s="141" t="str">
        <v>159210 Maquinaria y equipo</v>
      </c>
      <c r="CZ228" s="141" t="str">
        <v>159210 Maquinaria y equipo</v>
      </c>
      <c r="DA228" s="141" t="str">
        <v>159210 Maquinaria y equipo</v>
      </c>
      <c r="DF228" t="str">
        <v>159210 Maquinaria y equipo</v>
      </c>
      <c r="DG228" t="str">
        <v>159210 Maquinaria y equipo</v>
      </c>
      <c r="DH228" t="str">
        <v>159210 Maquinaria y equipo</v>
      </c>
      <c r="DI228" t="str">
        <v>159210 Maquinaria y equipo</v>
      </c>
      <c r="DJ228" t="str">
        <v>159210 Maquinaria y equipo</v>
      </c>
      <c r="DK228" t="str">
        <v>159210 Maquinaria y equipo</v>
      </c>
      <c r="DL228" t="str">
        <v>159210 Maquinaria y equipo</v>
      </c>
      <c r="DM228" t="str">
        <v>159210 Maquinaria y equipo</v>
      </c>
      <c r="DN228" t="str">
        <v>159210 Maquinaria y equipo</v>
      </c>
      <c r="DO228" t="str">
        <v>159210 Maquinaria y equipo</v>
      </c>
      <c r="DP228" t="str">
        <v>159210 Maquinaria y equipo</v>
      </c>
    </row>
    <row r="229" spans="4:120" ht="12.75">
      <c r="D229" s="7">
        <v>159215</v>
      </c>
      <c r="E229" s="6" t="s">
        <v>129</v>
      </c>
      <c r="F229" s="5">
        <v>4</v>
      </c>
      <c r="G229" s="34" t="s">
        <v>822</v>
      </c>
      <c r="H229" s="8" t="s">
        <v>56</v>
      </c>
      <c r="I229" t="b">
        <f>+ISNUMBER(SEARCH('F-COMPRA'!$F$28,Tabla11[[#This Row],[Cuenta]],1))</f>
        <v>1</v>
      </c>
      <c r="J229" t="b">
        <f>+ISNUMBER(SEARCH('F-COMPRA'!$F$29,Tabla11[[#This Row],[Cuenta]],1))</f>
        <v>1</v>
      </c>
      <c r="K229" t="b">
        <f>+ISNUMBER(SEARCH('F-COMPRA'!$F$30,Tabla11[[#This Row],[Cuenta]],1))</f>
        <v>1</v>
      </c>
      <c r="L229" t="b">
        <f>+ISNUMBER(SEARCH('F-COMPRA'!$F$31,Tabla11[[#This Row],[Cuenta]],1))</f>
        <v>1</v>
      </c>
      <c r="M229" t="b">
        <f>+ISNUMBER(SEARCH('F-COMPRA'!$G$25,Tabla11[[#This Row],[Cuenta]],1))</f>
        <v>0</v>
      </c>
      <c r="N229" t="b">
        <f>+ISNUMBER(SEARCH(#REF!,Tabla11[[#This Row],[Cuenta]],1))</f>
        <v>0</v>
      </c>
      <c r="O229" t="b">
        <f>+ISNUMBER(SEARCH(#REF!,Tabla11[[#This Row],[Cuenta]],1))</f>
        <v>0</v>
      </c>
      <c r="P229" t="b">
        <f>+ISNUMBER(SEARCH('F-COMPRA'!$F$32,Tabla11[[#This Row],[Cuenta]],1))</f>
        <v>1</v>
      </c>
      <c r="Q229" t="b">
        <f>+ISNUMBER(SEARCH('F-COMPRA'!$F$33,Tabla11[[#This Row],[Cuenta]],1))</f>
        <v>1</v>
      </c>
      <c r="R229" t="b">
        <f>+ISNUMBER(SEARCH('F-COMPRA'!$F$34,Tabla11[[#This Row],[Cuenta]],1))</f>
        <v>1</v>
      </c>
      <c r="S229" t="b">
        <f>+ISNUMBER(SEARCH('F-COMPRA'!$F$35,Tabla11[[#This Row],[Cuenta]],1))</f>
        <v>1</v>
      </c>
      <c r="T229" t="b">
        <f>+ISNUMBER(SEARCH('F-COMPRA'!$F$36,Tabla11[[#This Row],[Cuenta]],1))</f>
        <v>1</v>
      </c>
      <c r="U229" t="b">
        <f>+ISNUMBER(SEARCH('F-COMPRA'!$F$37,Tabla11[[#This Row],[Cuenta]],1))</f>
        <v>1</v>
      </c>
      <c r="V229" t="b">
        <f>+ISNUMBER(SEARCH(#REF!,Tabla11[[#This Row],[Cuenta]],1))</f>
        <v>0</v>
      </c>
      <c r="W229" t="b">
        <f>+ISNUMBER(SEARCH('F-COMPRA'!#REF!,Tabla11[[#This Row],[Cuenta]],1))</f>
        <v>0</v>
      </c>
      <c r="X229" t="b">
        <f>+ISNUMBER(SEARCH('F-COMPRA'!#REF!,Tabla11[[#This Row],[Cuenta]],1))</f>
        <v>0</v>
      </c>
      <c r="Y229" t="b">
        <f>+ISNUMBER(SEARCH('F-COMPRA'!#REF!,Tabla11[[#This Row],[Cuenta]],1))</f>
        <v>0</v>
      </c>
      <c r="Z229" t="b">
        <f>+ISNUMBER(SEARCH('F-COMPRA'!#REF!,Tabla11[[#This Row],[Cuenta]],1))</f>
        <v>0</v>
      </c>
      <c r="AA229" t="b">
        <f>+ISNUMBER(SEARCH('F-COMPRA'!#REF!,Tabla11[[#This Row],[Cuenta]],1))</f>
        <v>0</v>
      </c>
      <c r="AB229" t="b">
        <f>+ISNUMBER(SEARCH('F-COMPRA'!#REF!,Tabla11[[#This Row],[Cuenta]],1))</f>
        <v>0</v>
      </c>
      <c r="AC229" t="b">
        <f>+ISNUMBER(SEARCH('F-COMPRA'!#REF!,Tabla11[[#This Row],[Cuenta]],1))</f>
        <v>0</v>
      </c>
      <c r="AD229" t="b">
        <f>+ISNUMBER(SEARCH('F-COMPRA'!#REF!,Tabla11[[#This Row],[Cuenta]],1))</f>
        <v>0</v>
      </c>
      <c r="AE229" t="b">
        <f>+ISNUMBER(SEARCH('F-COMPRA'!#REF!,Tabla11[[#This Row],[Cuenta]],1))</f>
        <v>0</v>
      </c>
      <c r="AF229" t="b">
        <f>+ISNUMBER(SEARCH('F-VTA'!$G$23,Tabla11[[#This Row],[Cuenta]],1))</f>
        <v>0</v>
      </c>
      <c r="AG229" t="b">
        <f>+ISNUMBER(SEARCH('F-VTA'!$G$24,Tabla11[[#This Row],[Cuenta]],1))</f>
        <v>0</v>
      </c>
      <c r="AH229" t="b">
        <f>+ISNUMBER(SEARCH('F-VTA'!$G$25,Tabla11[[#This Row],[Cuenta]],1))</f>
        <v>0</v>
      </c>
      <c r="AI229" t="b">
        <f>+ISNUMBER(SEARCH('F-VTA'!$F$28,Tabla11[[#This Row],[Cuenta]],1))</f>
        <v>1</v>
      </c>
      <c r="AJ229" t="b">
        <f>+ISNUMBER(SEARCH('F-VTA'!$F$29,Tabla11[[#This Row],[Cuenta]],1))</f>
        <v>1</v>
      </c>
      <c r="AK229" t="b">
        <f>+ISNUMBER(SEARCH('F-VTA'!$F$30,Tabla11[[#This Row],[Cuenta]],1))</f>
        <v>1</v>
      </c>
      <c r="AL229" t="b">
        <f>+ISNUMBER(SEARCH('F-VTA'!$F$31,Tabla11[[#This Row],[Cuenta]],1))</f>
        <v>1</v>
      </c>
      <c r="AM229" t="b">
        <f>+ISNUMBER(SEARCH('F-VTA'!$F$32,Tabla11[[#This Row],[Cuenta]],1))</f>
        <v>1</v>
      </c>
      <c r="AN229" t="b">
        <f>+ISNUMBER(SEARCH('F-VTA'!$F$33,Tabla11[[#This Row],[Cuenta]],1))</f>
        <v>1</v>
      </c>
      <c r="AO229" t="b">
        <f>+ISNUMBER(SEARCH('F-VTA'!$F$34,Tabla11[[#This Row],[Cuenta]],1))</f>
        <v>1</v>
      </c>
      <c r="AP229" t="b">
        <f>+ISNUMBER(SEARCH('F-VTA'!$F$35,Tabla11[[#This Row],[Cuenta]],1))</f>
        <v>1</v>
      </c>
      <c r="AQ229" t="b">
        <f>+ISNUMBER(SEARCH('F-VTA'!$F$36,Tabla11[[#This Row],[Cuenta]],1))</f>
        <v>1</v>
      </c>
      <c r="AR229" t="b">
        <f>+ISNUMBER(SEARCH(#REF!,Tabla11[[#This Row],[Cuenta]],1))</f>
        <v>0</v>
      </c>
      <c r="AS229" t="b">
        <f>+ISNUMBER(SEARCH(#REF!,Tabla11[[#This Row],[Cuenta]],1))</f>
        <v>0</v>
      </c>
      <c r="AT229" t="b">
        <f>+ISNUMBER(SEARCH(#REF!,Tabla11[[#This Row],[Cuenta]],1))</f>
        <v>0</v>
      </c>
      <c r="AU229" t="b">
        <f>+ISNUMBER(SEARCH('Conc. Ban.1'!$I$9,Tabla11[[#This Row],[Cuenta]],1))</f>
        <v>0</v>
      </c>
      <c r="AV229" t="b">
        <f>+ISNUMBER(SEARCH(CompConta!$F$21,Tabla11[[#This Row],[Cuenta]],1))</f>
        <v>1</v>
      </c>
      <c r="AW229" t="b">
        <f>+ISNUMBER(SEARCH(CompConta!$F$22,Tabla11[[#This Row],[Cuenta]],1))</f>
        <v>1</v>
      </c>
      <c r="AX229" t="b">
        <f>+ISNUMBER(SEARCH(CompConta!$F$23,Tabla11[[#This Row],[Cuenta]],1))</f>
        <v>1</v>
      </c>
      <c r="AY229" t="b">
        <f>+ISNUMBER(SEARCH(CompConta!$F$24,Tabla11[[#This Row],[Cuenta]],1))</f>
        <v>1</v>
      </c>
      <c r="AZ229" t="b">
        <f>+ISNUMBER(SEARCH(CompConta!$F$25,Tabla11[[#This Row],[Cuenta]],1))</f>
        <v>1</v>
      </c>
      <c r="BA229" t="b">
        <f>+ISNUMBER(SEARCH(CompConta!$F$26,Tabla11[[#This Row],[Cuenta]],1))</f>
        <v>1</v>
      </c>
      <c r="BB229" t="b">
        <f>+ISNUMBER(SEARCH(CompConta!$F$27,Tabla11[[#This Row],[Cuenta]],1))</f>
        <v>1</v>
      </c>
      <c r="BC229" t="b">
        <f>+ISNUMBER(SEARCH(CompConta!$F$28,Tabla11[[#This Row],[Cuenta]],1))</f>
        <v>1</v>
      </c>
      <c r="BD229" t="b">
        <f>+ISNUMBER(SEARCH(CompConta!$F$29,Tabla11[[#This Row],[Cuenta]],1))</f>
        <v>1</v>
      </c>
      <c r="BE229" t="b">
        <f>+ISNUMBER(SEARCH(CompConta!$F$30,Tabla11[[#This Row],[Cuenta]],1))</f>
        <v>1</v>
      </c>
      <c r="BF229" t="b">
        <f>+ISNUMBER(SEARCH('PAGO Compras'!$E$11,Tabla11[[#This Row],[Cuenta]],1))</f>
        <v>1</v>
      </c>
      <c r="BG229" t="b">
        <f>+ISNUMBER(SEARCH(#REF!,Tabla11[[#This Row],[Cuenta]],1))</f>
        <v>0</v>
      </c>
      <c r="BH229" t="b">
        <f>+ISNUMBER(SEARCH(#REF!,Tabla11[[#This Row],[Cuenta]],1))</f>
        <v>0</v>
      </c>
      <c r="BI229" t="b">
        <f>+ISNUMBER(SEARCH(#REF!,Tabla11[[#This Row],[Cuenta]],1))</f>
        <v>0</v>
      </c>
      <c r="BJ229" t="b">
        <f>+ISNUMBER(SEARCH(#REF!,Tabla11[[#This Row],[Cuenta]],1))</f>
        <v>0</v>
      </c>
      <c r="BS229" t="str">
        <v>159215 Equipo de oficina</v>
      </c>
      <c r="BT229" t="str">
        <v>159215 Equipo de oficina</v>
      </c>
      <c r="BU229" t="str">
        <v>159215 Equipo de oficina</v>
      </c>
      <c r="BV229" t="str">
        <v>159215 Equipo de oficina</v>
      </c>
      <c r="BZ229" t="str">
        <v>159215 Equipo de oficina</v>
      </c>
      <c r="CA229" t="str">
        <v>159215 Equipo de oficina</v>
      </c>
      <c r="CB229" t="str">
        <v>159215 Equipo de oficina</v>
      </c>
      <c r="CC229" t="str">
        <v>159215 Equipo de oficina</v>
      </c>
      <c r="CD229" t="str">
        <v>159215 Equipo de oficina</v>
      </c>
      <c r="CE229" t="str">
        <v>159215 Equipo de oficina</v>
      </c>
      <c r="CS229" s="141" t="str">
        <v>159215 Equipo de oficina</v>
      </c>
      <c r="CT229" s="141" t="str">
        <v>159215 Equipo de oficina</v>
      </c>
      <c r="CU229" s="141" t="str">
        <v>159215 Equipo de oficina</v>
      </c>
      <c r="CV229" s="141" t="str">
        <v>159215 Equipo de oficina</v>
      </c>
      <c r="CW229" s="141" t="str">
        <v>159215 Equipo de oficina</v>
      </c>
      <c r="CX229" s="141" t="str">
        <v>159215 Equipo de oficina</v>
      </c>
      <c r="CY229" s="141" t="str">
        <v>159215 Equipo de oficina</v>
      </c>
      <c r="CZ229" s="141" t="str">
        <v>159215 Equipo de oficina</v>
      </c>
      <c r="DA229" s="141" t="str">
        <v>159215 Equipo de oficina</v>
      </c>
      <c r="DF229" t="str">
        <v>159215 Equipo de oficina</v>
      </c>
      <c r="DG229" t="str">
        <v>159215 Equipo de oficina</v>
      </c>
      <c r="DH229" t="str">
        <v>159215 Equipo de oficina</v>
      </c>
      <c r="DI229" t="str">
        <v>159215 Equipo de oficina</v>
      </c>
      <c r="DJ229" t="str">
        <v>159215 Equipo de oficina</v>
      </c>
      <c r="DK229" t="str">
        <v>159215 Equipo de oficina</v>
      </c>
      <c r="DL229" t="str">
        <v>159215 Equipo de oficina</v>
      </c>
      <c r="DM229" t="str">
        <v>159215 Equipo de oficina</v>
      </c>
      <c r="DN229" t="str">
        <v>159215 Equipo de oficina</v>
      </c>
      <c r="DO229" t="str">
        <v>159215 Equipo de oficina</v>
      </c>
      <c r="DP229" t="str">
        <v>159215 Equipo de oficina</v>
      </c>
    </row>
    <row r="230" spans="4:120" ht="12.75">
      <c r="D230" s="7">
        <v>159220</v>
      </c>
      <c r="E230" s="6" t="s">
        <v>130</v>
      </c>
      <c r="F230" s="5">
        <v>4</v>
      </c>
      <c r="G230" s="34" t="s">
        <v>822</v>
      </c>
      <c r="H230" s="8" t="s">
        <v>56</v>
      </c>
      <c r="I230" t="b">
        <f>+ISNUMBER(SEARCH('F-COMPRA'!$F$28,Tabla11[[#This Row],[Cuenta]],1))</f>
        <v>1</v>
      </c>
      <c r="J230" t="b">
        <f>+ISNUMBER(SEARCH('F-COMPRA'!$F$29,Tabla11[[#This Row],[Cuenta]],1))</f>
        <v>1</v>
      </c>
      <c r="K230" t="b">
        <f>+ISNUMBER(SEARCH('F-COMPRA'!$F$30,Tabla11[[#This Row],[Cuenta]],1))</f>
        <v>1</v>
      </c>
      <c r="L230" t="b">
        <f>+ISNUMBER(SEARCH('F-COMPRA'!$F$31,Tabla11[[#This Row],[Cuenta]],1))</f>
        <v>1</v>
      </c>
      <c r="M230" t="b">
        <f>+ISNUMBER(SEARCH('F-COMPRA'!$G$25,Tabla11[[#This Row],[Cuenta]],1))</f>
        <v>0</v>
      </c>
      <c r="N230" t="b">
        <f>+ISNUMBER(SEARCH(#REF!,Tabla11[[#This Row],[Cuenta]],1))</f>
        <v>0</v>
      </c>
      <c r="O230" t="b">
        <f>+ISNUMBER(SEARCH(#REF!,Tabla11[[#This Row],[Cuenta]],1))</f>
        <v>0</v>
      </c>
      <c r="P230" t="b">
        <f>+ISNUMBER(SEARCH('F-COMPRA'!$F$32,Tabla11[[#This Row],[Cuenta]],1))</f>
        <v>1</v>
      </c>
      <c r="Q230" t="b">
        <f>+ISNUMBER(SEARCH('F-COMPRA'!$F$33,Tabla11[[#This Row],[Cuenta]],1))</f>
        <v>1</v>
      </c>
      <c r="R230" t="b">
        <f>+ISNUMBER(SEARCH('F-COMPRA'!$F$34,Tabla11[[#This Row],[Cuenta]],1))</f>
        <v>1</v>
      </c>
      <c r="S230" t="b">
        <f>+ISNUMBER(SEARCH('F-COMPRA'!$F$35,Tabla11[[#This Row],[Cuenta]],1))</f>
        <v>1</v>
      </c>
      <c r="T230" t="b">
        <f>+ISNUMBER(SEARCH('F-COMPRA'!$F$36,Tabla11[[#This Row],[Cuenta]],1))</f>
        <v>1</v>
      </c>
      <c r="U230" t="b">
        <f>+ISNUMBER(SEARCH('F-COMPRA'!$F$37,Tabla11[[#This Row],[Cuenta]],1))</f>
        <v>1</v>
      </c>
      <c r="V230" t="b">
        <f>+ISNUMBER(SEARCH(#REF!,Tabla11[[#This Row],[Cuenta]],1))</f>
        <v>0</v>
      </c>
      <c r="W230" t="b">
        <f>+ISNUMBER(SEARCH('F-COMPRA'!#REF!,Tabla11[[#This Row],[Cuenta]],1))</f>
        <v>0</v>
      </c>
      <c r="X230" t="b">
        <f>+ISNUMBER(SEARCH('F-COMPRA'!#REF!,Tabla11[[#This Row],[Cuenta]],1))</f>
        <v>0</v>
      </c>
      <c r="Y230" t="b">
        <f>+ISNUMBER(SEARCH('F-COMPRA'!#REF!,Tabla11[[#This Row],[Cuenta]],1))</f>
        <v>0</v>
      </c>
      <c r="Z230" t="b">
        <f>+ISNUMBER(SEARCH('F-COMPRA'!#REF!,Tabla11[[#This Row],[Cuenta]],1))</f>
        <v>0</v>
      </c>
      <c r="AA230" t="b">
        <f>+ISNUMBER(SEARCH('F-COMPRA'!#REF!,Tabla11[[#This Row],[Cuenta]],1))</f>
        <v>0</v>
      </c>
      <c r="AB230" t="b">
        <f>+ISNUMBER(SEARCH('F-COMPRA'!#REF!,Tabla11[[#This Row],[Cuenta]],1))</f>
        <v>0</v>
      </c>
      <c r="AC230" t="b">
        <f>+ISNUMBER(SEARCH('F-COMPRA'!#REF!,Tabla11[[#This Row],[Cuenta]],1))</f>
        <v>0</v>
      </c>
      <c r="AD230" t="b">
        <f>+ISNUMBER(SEARCH('F-COMPRA'!#REF!,Tabla11[[#This Row],[Cuenta]],1))</f>
        <v>0</v>
      </c>
      <c r="AE230" t="b">
        <f>+ISNUMBER(SEARCH('F-COMPRA'!#REF!,Tabla11[[#This Row],[Cuenta]],1))</f>
        <v>0</v>
      </c>
      <c r="AF230" t="b">
        <f>+ISNUMBER(SEARCH('F-VTA'!$G$23,Tabla11[[#This Row],[Cuenta]],1))</f>
        <v>0</v>
      </c>
      <c r="AG230" t="b">
        <f>+ISNUMBER(SEARCH('F-VTA'!$G$24,Tabla11[[#This Row],[Cuenta]],1))</f>
        <v>0</v>
      </c>
      <c r="AH230" t="b">
        <f>+ISNUMBER(SEARCH('F-VTA'!$G$25,Tabla11[[#This Row],[Cuenta]],1))</f>
        <v>0</v>
      </c>
      <c r="AI230" t="b">
        <f>+ISNUMBER(SEARCH('F-VTA'!$F$28,Tabla11[[#This Row],[Cuenta]],1))</f>
        <v>1</v>
      </c>
      <c r="AJ230" t="b">
        <f>+ISNUMBER(SEARCH('F-VTA'!$F$29,Tabla11[[#This Row],[Cuenta]],1))</f>
        <v>1</v>
      </c>
      <c r="AK230" t="b">
        <f>+ISNUMBER(SEARCH('F-VTA'!$F$30,Tabla11[[#This Row],[Cuenta]],1))</f>
        <v>1</v>
      </c>
      <c r="AL230" t="b">
        <f>+ISNUMBER(SEARCH('F-VTA'!$F$31,Tabla11[[#This Row],[Cuenta]],1))</f>
        <v>1</v>
      </c>
      <c r="AM230" t="b">
        <f>+ISNUMBER(SEARCH('F-VTA'!$F$32,Tabla11[[#This Row],[Cuenta]],1))</f>
        <v>1</v>
      </c>
      <c r="AN230" t="b">
        <f>+ISNUMBER(SEARCH('F-VTA'!$F$33,Tabla11[[#This Row],[Cuenta]],1))</f>
        <v>1</v>
      </c>
      <c r="AO230" t="b">
        <f>+ISNUMBER(SEARCH('F-VTA'!$F$34,Tabla11[[#This Row],[Cuenta]],1))</f>
        <v>1</v>
      </c>
      <c r="AP230" t="b">
        <f>+ISNUMBER(SEARCH('F-VTA'!$F$35,Tabla11[[#This Row],[Cuenta]],1))</f>
        <v>1</v>
      </c>
      <c r="AQ230" t="b">
        <f>+ISNUMBER(SEARCH('F-VTA'!$F$36,Tabla11[[#This Row],[Cuenta]],1))</f>
        <v>1</v>
      </c>
      <c r="AR230" t="b">
        <f>+ISNUMBER(SEARCH(#REF!,Tabla11[[#This Row],[Cuenta]],1))</f>
        <v>0</v>
      </c>
      <c r="AS230" t="b">
        <f>+ISNUMBER(SEARCH(#REF!,Tabla11[[#This Row],[Cuenta]],1))</f>
        <v>0</v>
      </c>
      <c r="AT230" t="b">
        <f>+ISNUMBER(SEARCH(#REF!,Tabla11[[#This Row],[Cuenta]],1))</f>
        <v>0</v>
      </c>
      <c r="AU230" t="b">
        <f>+ISNUMBER(SEARCH('Conc. Ban.1'!$I$9,Tabla11[[#This Row],[Cuenta]],1))</f>
        <v>0</v>
      </c>
      <c r="AV230" t="b">
        <f>+ISNUMBER(SEARCH(CompConta!$F$21,Tabla11[[#This Row],[Cuenta]],1))</f>
        <v>1</v>
      </c>
      <c r="AW230" t="b">
        <f>+ISNUMBER(SEARCH(CompConta!$F$22,Tabla11[[#This Row],[Cuenta]],1))</f>
        <v>1</v>
      </c>
      <c r="AX230" t="b">
        <f>+ISNUMBER(SEARCH(CompConta!$F$23,Tabla11[[#This Row],[Cuenta]],1))</f>
        <v>1</v>
      </c>
      <c r="AY230" t="b">
        <f>+ISNUMBER(SEARCH(CompConta!$F$24,Tabla11[[#This Row],[Cuenta]],1))</f>
        <v>1</v>
      </c>
      <c r="AZ230" t="b">
        <f>+ISNUMBER(SEARCH(CompConta!$F$25,Tabla11[[#This Row],[Cuenta]],1))</f>
        <v>1</v>
      </c>
      <c r="BA230" t="b">
        <f>+ISNUMBER(SEARCH(CompConta!$F$26,Tabla11[[#This Row],[Cuenta]],1))</f>
        <v>1</v>
      </c>
      <c r="BB230" t="b">
        <f>+ISNUMBER(SEARCH(CompConta!$F$27,Tabla11[[#This Row],[Cuenta]],1))</f>
        <v>1</v>
      </c>
      <c r="BC230" t="b">
        <f>+ISNUMBER(SEARCH(CompConta!$F$28,Tabla11[[#This Row],[Cuenta]],1))</f>
        <v>1</v>
      </c>
      <c r="BD230" t="b">
        <f>+ISNUMBER(SEARCH(CompConta!$F$29,Tabla11[[#This Row],[Cuenta]],1))</f>
        <v>1</v>
      </c>
      <c r="BE230" t="b">
        <f>+ISNUMBER(SEARCH(CompConta!$F$30,Tabla11[[#This Row],[Cuenta]],1))</f>
        <v>1</v>
      </c>
      <c r="BF230" t="b">
        <f>+ISNUMBER(SEARCH('PAGO Compras'!$E$11,Tabla11[[#This Row],[Cuenta]],1))</f>
        <v>1</v>
      </c>
      <c r="BG230" t="b">
        <f>+ISNUMBER(SEARCH(#REF!,Tabla11[[#This Row],[Cuenta]],1))</f>
        <v>0</v>
      </c>
      <c r="BH230" t="b">
        <f>+ISNUMBER(SEARCH(#REF!,Tabla11[[#This Row],[Cuenta]],1))</f>
        <v>0</v>
      </c>
      <c r="BI230" t="b">
        <f>+ISNUMBER(SEARCH(#REF!,Tabla11[[#This Row],[Cuenta]],1))</f>
        <v>0</v>
      </c>
      <c r="BJ230" t="b">
        <f>+ISNUMBER(SEARCH(#REF!,Tabla11[[#This Row],[Cuenta]],1))</f>
        <v>0</v>
      </c>
      <c r="BS230" t="str">
        <v>159220 Equipo de computación y comunicación</v>
      </c>
      <c r="BT230" t="str">
        <v>159220 Equipo de computación y comunicación</v>
      </c>
      <c r="BU230" t="str">
        <v>159220 Equipo de computación y comunicación</v>
      </c>
      <c r="BV230" t="str">
        <v>159220 Equipo de computación y comunicación</v>
      </c>
      <c r="BZ230" t="str">
        <v>159220 Equipo de computación y comunicación</v>
      </c>
      <c r="CA230" t="str">
        <v>159220 Equipo de computación y comunicación</v>
      </c>
      <c r="CB230" t="str">
        <v>159220 Equipo de computación y comunicación</v>
      </c>
      <c r="CC230" t="str">
        <v>159220 Equipo de computación y comunicación</v>
      </c>
      <c r="CD230" t="str">
        <v>159220 Equipo de computación y comunicación</v>
      </c>
      <c r="CE230" t="str">
        <v>159220 Equipo de computación y comunicación</v>
      </c>
      <c r="CS230" s="141" t="str">
        <v>159220 Equipo de computación y comunicación</v>
      </c>
      <c r="CT230" s="141" t="str">
        <v>159220 Equipo de computación y comunicación</v>
      </c>
      <c r="CU230" s="141" t="str">
        <v>159220 Equipo de computación y comunicación</v>
      </c>
      <c r="CV230" s="141" t="str">
        <v>159220 Equipo de computación y comunicación</v>
      </c>
      <c r="CW230" s="141" t="str">
        <v>159220 Equipo de computación y comunicación</v>
      </c>
      <c r="CX230" s="141" t="str">
        <v>159220 Equipo de computación y comunicación</v>
      </c>
      <c r="CY230" s="141" t="str">
        <v>159220 Equipo de computación y comunicación</v>
      </c>
      <c r="CZ230" s="141" t="str">
        <v>159220 Equipo de computación y comunicación</v>
      </c>
      <c r="DA230" s="141" t="str">
        <v>159220 Equipo de computación y comunicación</v>
      </c>
      <c r="DF230" t="str">
        <v>159220 Equipo de computación y comunicación</v>
      </c>
      <c r="DG230" t="str">
        <v>159220 Equipo de computación y comunicación</v>
      </c>
      <c r="DH230" t="str">
        <v>159220 Equipo de computación y comunicación</v>
      </c>
      <c r="DI230" t="str">
        <v>159220 Equipo de computación y comunicación</v>
      </c>
      <c r="DJ230" t="str">
        <v>159220 Equipo de computación y comunicación</v>
      </c>
      <c r="DK230" t="str">
        <v>159220 Equipo de computación y comunicación</v>
      </c>
      <c r="DL230" t="str">
        <v>159220 Equipo de computación y comunicación</v>
      </c>
      <c r="DM230" t="str">
        <v>159220 Equipo de computación y comunicación</v>
      </c>
      <c r="DN230" t="str">
        <v>159220 Equipo de computación y comunicación</v>
      </c>
      <c r="DO230" t="str">
        <v>159220 Equipo de computación y comunicación</v>
      </c>
      <c r="DP230" t="str">
        <v>159220 Equipo de computación y comunicación</v>
      </c>
    </row>
    <row r="231" spans="4:120" ht="12.75">
      <c r="D231" s="7">
        <v>159225</v>
      </c>
      <c r="E231" s="6" t="s">
        <v>131</v>
      </c>
      <c r="F231" s="5">
        <v>4</v>
      </c>
      <c r="G231" s="34" t="s">
        <v>822</v>
      </c>
      <c r="H231" s="8" t="s">
        <v>56</v>
      </c>
      <c r="I231" t="b">
        <f>+ISNUMBER(SEARCH('F-COMPRA'!$F$28,Tabla11[[#This Row],[Cuenta]],1))</f>
        <v>1</v>
      </c>
      <c r="J231" t="b">
        <f>+ISNUMBER(SEARCH('F-COMPRA'!$F$29,Tabla11[[#This Row],[Cuenta]],1))</f>
        <v>1</v>
      </c>
      <c r="K231" t="b">
        <f>+ISNUMBER(SEARCH('F-COMPRA'!$F$30,Tabla11[[#This Row],[Cuenta]],1))</f>
        <v>1</v>
      </c>
      <c r="L231" t="b">
        <f>+ISNUMBER(SEARCH('F-COMPRA'!$F$31,Tabla11[[#This Row],[Cuenta]],1))</f>
        <v>1</v>
      </c>
      <c r="M231" t="b">
        <f>+ISNUMBER(SEARCH('F-COMPRA'!$G$25,Tabla11[[#This Row],[Cuenta]],1))</f>
        <v>0</v>
      </c>
      <c r="N231" t="b">
        <f>+ISNUMBER(SEARCH(#REF!,Tabla11[[#This Row],[Cuenta]],1))</f>
        <v>0</v>
      </c>
      <c r="O231" t="b">
        <f>+ISNUMBER(SEARCH(#REF!,Tabla11[[#This Row],[Cuenta]],1))</f>
        <v>0</v>
      </c>
      <c r="P231" t="b">
        <f>+ISNUMBER(SEARCH('F-COMPRA'!$F$32,Tabla11[[#This Row],[Cuenta]],1))</f>
        <v>1</v>
      </c>
      <c r="Q231" t="b">
        <f>+ISNUMBER(SEARCH('F-COMPRA'!$F$33,Tabla11[[#This Row],[Cuenta]],1))</f>
        <v>1</v>
      </c>
      <c r="R231" t="b">
        <f>+ISNUMBER(SEARCH('F-COMPRA'!$F$34,Tabla11[[#This Row],[Cuenta]],1))</f>
        <v>1</v>
      </c>
      <c r="S231" t="b">
        <f>+ISNUMBER(SEARCH('F-COMPRA'!$F$35,Tabla11[[#This Row],[Cuenta]],1))</f>
        <v>1</v>
      </c>
      <c r="T231" t="b">
        <f>+ISNUMBER(SEARCH('F-COMPRA'!$F$36,Tabla11[[#This Row],[Cuenta]],1))</f>
        <v>1</v>
      </c>
      <c r="U231" t="b">
        <f>+ISNUMBER(SEARCH('F-COMPRA'!$F$37,Tabla11[[#This Row],[Cuenta]],1))</f>
        <v>1</v>
      </c>
      <c r="V231" t="b">
        <f>+ISNUMBER(SEARCH(#REF!,Tabla11[[#This Row],[Cuenta]],1))</f>
        <v>0</v>
      </c>
      <c r="W231" t="b">
        <f>+ISNUMBER(SEARCH('F-COMPRA'!#REF!,Tabla11[[#This Row],[Cuenta]],1))</f>
        <v>0</v>
      </c>
      <c r="X231" t="b">
        <f>+ISNUMBER(SEARCH('F-COMPRA'!#REF!,Tabla11[[#This Row],[Cuenta]],1))</f>
        <v>0</v>
      </c>
      <c r="Y231" t="b">
        <f>+ISNUMBER(SEARCH('F-COMPRA'!#REF!,Tabla11[[#This Row],[Cuenta]],1))</f>
        <v>0</v>
      </c>
      <c r="Z231" t="b">
        <f>+ISNUMBER(SEARCH('F-COMPRA'!#REF!,Tabla11[[#This Row],[Cuenta]],1))</f>
        <v>0</v>
      </c>
      <c r="AA231" t="b">
        <f>+ISNUMBER(SEARCH('F-COMPRA'!#REF!,Tabla11[[#This Row],[Cuenta]],1))</f>
        <v>0</v>
      </c>
      <c r="AB231" t="b">
        <f>+ISNUMBER(SEARCH('F-COMPRA'!#REF!,Tabla11[[#This Row],[Cuenta]],1))</f>
        <v>0</v>
      </c>
      <c r="AC231" t="b">
        <f>+ISNUMBER(SEARCH('F-COMPRA'!#REF!,Tabla11[[#This Row],[Cuenta]],1))</f>
        <v>0</v>
      </c>
      <c r="AD231" t="b">
        <f>+ISNUMBER(SEARCH('F-COMPRA'!#REF!,Tabla11[[#This Row],[Cuenta]],1))</f>
        <v>0</v>
      </c>
      <c r="AE231" t="b">
        <f>+ISNUMBER(SEARCH('F-COMPRA'!#REF!,Tabla11[[#This Row],[Cuenta]],1))</f>
        <v>0</v>
      </c>
      <c r="AF231" t="b">
        <f>+ISNUMBER(SEARCH('F-VTA'!$G$23,Tabla11[[#This Row],[Cuenta]],1))</f>
        <v>0</v>
      </c>
      <c r="AG231" t="b">
        <f>+ISNUMBER(SEARCH('F-VTA'!$G$24,Tabla11[[#This Row],[Cuenta]],1))</f>
        <v>0</v>
      </c>
      <c r="AH231" t="b">
        <f>+ISNUMBER(SEARCH('F-VTA'!$G$25,Tabla11[[#This Row],[Cuenta]],1))</f>
        <v>0</v>
      </c>
      <c r="AI231" t="b">
        <f>+ISNUMBER(SEARCH('F-VTA'!$F$28,Tabla11[[#This Row],[Cuenta]],1))</f>
        <v>1</v>
      </c>
      <c r="AJ231" t="b">
        <f>+ISNUMBER(SEARCH('F-VTA'!$F$29,Tabla11[[#This Row],[Cuenta]],1))</f>
        <v>1</v>
      </c>
      <c r="AK231" t="b">
        <f>+ISNUMBER(SEARCH('F-VTA'!$F$30,Tabla11[[#This Row],[Cuenta]],1))</f>
        <v>1</v>
      </c>
      <c r="AL231" t="b">
        <f>+ISNUMBER(SEARCH('F-VTA'!$F$31,Tabla11[[#This Row],[Cuenta]],1))</f>
        <v>1</v>
      </c>
      <c r="AM231" t="b">
        <f>+ISNUMBER(SEARCH('F-VTA'!$F$32,Tabla11[[#This Row],[Cuenta]],1))</f>
        <v>1</v>
      </c>
      <c r="AN231" t="b">
        <f>+ISNUMBER(SEARCH('F-VTA'!$F$33,Tabla11[[#This Row],[Cuenta]],1))</f>
        <v>1</v>
      </c>
      <c r="AO231" t="b">
        <f>+ISNUMBER(SEARCH('F-VTA'!$F$34,Tabla11[[#This Row],[Cuenta]],1))</f>
        <v>1</v>
      </c>
      <c r="AP231" t="b">
        <f>+ISNUMBER(SEARCH('F-VTA'!$F$35,Tabla11[[#This Row],[Cuenta]],1))</f>
        <v>1</v>
      </c>
      <c r="AQ231" t="b">
        <f>+ISNUMBER(SEARCH('F-VTA'!$F$36,Tabla11[[#This Row],[Cuenta]],1))</f>
        <v>1</v>
      </c>
      <c r="AR231" t="b">
        <f>+ISNUMBER(SEARCH(#REF!,Tabla11[[#This Row],[Cuenta]],1))</f>
        <v>0</v>
      </c>
      <c r="AS231" t="b">
        <f>+ISNUMBER(SEARCH(#REF!,Tabla11[[#This Row],[Cuenta]],1))</f>
        <v>0</v>
      </c>
      <c r="AT231" t="b">
        <f>+ISNUMBER(SEARCH(#REF!,Tabla11[[#This Row],[Cuenta]],1))</f>
        <v>0</v>
      </c>
      <c r="AU231" t="b">
        <f>+ISNUMBER(SEARCH('Conc. Ban.1'!$I$9,Tabla11[[#This Row],[Cuenta]],1))</f>
        <v>0</v>
      </c>
      <c r="AV231" t="b">
        <f>+ISNUMBER(SEARCH(CompConta!$F$21,Tabla11[[#This Row],[Cuenta]],1))</f>
        <v>1</v>
      </c>
      <c r="AW231" t="b">
        <f>+ISNUMBER(SEARCH(CompConta!$F$22,Tabla11[[#This Row],[Cuenta]],1))</f>
        <v>1</v>
      </c>
      <c r="AX231" t="b">
        <f>+ISNUMBER(SEARCH(CompConta!$F$23,Tabla11[[#This Row],[Cuenta]],1))</f>
        <v>1</v>
      </c>
      <c r="AY231" t="b">
        <f>+ISNUMBER(SEARCH(CompConta!$F$24,Tabla11[[#This Row],[Cuenta]],1))</f>
        <v>1</v>
      </c>
      <c r="AZ231" t="b">
        <f>+ISNUMBER(SEARCH(CompConta!$F$25,Tabla11[[#This Row],[Cuenta]],1))</f>
        <v>1</v>
      </c>
      <c r="BA231" t="b">
        <f>+ISNUMBER(SEARCH(CompConta!$F$26,Tabla11[[#This Row],[Cuenta]],1))</f>
        <v>1</v>
      </c>
      <c r="BB231" t="b">
        <f>+ISNUMBER(SEARCH(CompConta!$F$27,Tabla11[[#This Row],[Cuenta]],1))</f>
        <v>1</v>
      </c>
      <c r="BC231" t="b">
        <f>+ISNUMBER(SEARCH(CompConta!$F$28,Tabla11[[#This Row],[Cuenta]],1))</f>
        <v>1</v>
      </c>
      <c r="BD231" t="b">
        <f>+ISNUMBER(SEARCH(CompConta!$F$29,Tabla11[[#This Row],[Cuenta]],1))</f>
        <v>1</v>
      </c>
      <c r="BE231" t="b">
        <f>+ISNUMBER(SEARCH(CompConta!$F$30,Tabla11[[#This Row],[Cuenta]],1))</f>
        <v>1</v>
      </c>
      <c r="BF231" t="b">
        <f>+ISNUMBER(SEARCH('PAGO Compras'!$E$11,Tabla11[[#This Row],[Cuenta]],1))</f>
        <v>1</v>
      </c>
      <c r="BG231" t="b">
        <f>+ISNUMBER(SEARCH(#REF!,Tabla11[[#This Row],[Cuenta]],1))</f>
        <v>0</v>
      </c>
      <c r="BH231" t="b">
        <f>+ISNUMBER(SEARCH(#REF!,Tabla11[[#This Row],[Cuenta]],1))</f>
        <v>0</v>
      </c>
      <c r="BI231" t="b">
        <f>+ISNUMBER(SEARCH(#REF!,Tabla11[[#This Row],[Cuenta]],1))</f>
        <v>0</v>
      </c>
      <c r="BJ231" t="b">
        <f>+ISNUMBER(SEARCH(#REF!,Tabla11[[#This Row],[Cuenta]],1))</f>
        <v>0</v>
      </c>
      <c r="BS231" t="str">
        <v>159225 Equipo médico-científico</v>
      </c>
      <c r="BT231" t="str">
        <v>159225 Equipo médico-científico</v>
      </c>
      <c r="BU231" t="str">
        <v>159225 Equipo médico-científico</v>
      </c>
      <c r="BV231" t="str">
        <v>159225 Equipo médico-científico</v>
      </c>
      <c r="BZ231" t="str">
        <v>159225 Equipo médico-científico</v>
      </c>
      <c r="CA231" t="str">
        <v>159225 Equipo médico-científico</v>
      </c>
      <c r="CB231" t="str">
        <v>159225 Equipo médico-científico</v>
      </c>
      <c r="CC231" t="str">
        <v>159225 Equipo médico-científico</v>
      </c>
      <c r="CD231" t="str">
        <v>159225 Equipo médico-científico</v>
      </c>
      <c r="CE231" t="str">
        <v>159225 Equipo médico-científico</v>
      </c>
      <c r="CS231" s="141" t="str">
        <v>159225 Equipo médico-científico</v>
      </c>
      <c r="CT231" s="141" t="str">
        <v>159225 Equipo médico-científico</v>
      </c>
      <c r="CU231" s="141" t="str">
        <v>159225 Equipo médico-científico</v>
      </c>
      <c r="CV231" s="141" t="str">
        <v>159225 Equipo médico-científico</v>
      </c>
      <c r="CW231" s="141" t="str">
        <v>159225 Equipo médico-científico</v>
      </c>
      <c r="CX231" s="141" t="str">
        <v>159225 Equipo médico-científico</v>
      </c>
      <c r="CY231" s="141" t="str">
        <v>159225 Equipo médico-científico</v>
      </c>
      <c r="CZ231" s="141" t="str">
        <v>159225 Equipo médico-científico</v>
      </c>
      <c r="DA231" s="141" t="str">
        <v>159225 Equipo médico-científico</v>
      </c>
      <c r="DF231" t="str">
        <v>159225 Equipo médico-científico</v>
      </c>
      <c r="DG231" t="str">
        <v>159225 Equipo médico-científico</v>
      </c>
      <c r="DH231" t="str">
        <v>159225 Equipo médico-científico</v>
      </c>
      <c r="DI231" t="str">
        <v>159225 Equipo médico-científico</v>
      </c>
      <c r="DJ231" t="str">
        <v>159225 Equipo médico-científico</v>
      </c>
      <c r="DK231" t="str">
        <v>159225 Equipo médico-científico</v>
      </c>
      <c r="DL231" t="str">
        <v>159225 Equipo médico-científico</v>
      </c>
      <c r="DM231" t="str">
        <v>159225 Equipo médico-científico</v>
      </c>
      <c r="DN231" t="str">
        <v>159225 Equipo médico-científico</v>
      </c>
      <c r="DO231" t="str">
        <v>159225 Equipo médico-científico</v>
      </c>
      <c r="DP231" t="str">
        <v>159225 Equipo médico-científico</v>
      </c>
    </row>
    <row r="232" spans="4:120" ht="12.75">
      <c r="D232" s="7">
        <v>159230</v>
      </c>
      <c r="E232" s="6" t="s">
        <v>132</v>
      </c>
      <c r="F232" s="5">
        <v>4</v>
      </c>
      <c r="G232" s="34" t="s">
        <v>822</v>
      </c>
      <c r="H232" s="8" t="s">
        <v>56</v>
      </c>
      <c r="I232" t="b">
        <f>+ISNUMBER(SEARCH('F-COMPRA'!$F$28,Tabla11[[#This Row],[Cuenta]],1))</f>
        <v>1</v>
      </c>
      <c r="J232" t="b">
        <f>+ISNUMBER(SEARCH('F-COMPRA'!$F$29,Tabla11[[#This Row],[Cuenta]],1))</f>
        <v>1</v>
      </c>
      <c r="K232" t="b">
        <f>+ISNUMBER(SEARCH('F-COMPRA'!$F$30,Tabla11[[#This Row],[Cuenta]],1))</f>
        <v>1</v>
      </c>
      <c r="L232" t="b">
        <f>+ISNUMBER(SEARCH('F-COMPRA'!$F$31,Tabla11[[#This Row],[Cuenta]],1))</f>
        <v>1</v>
      </c>
      <c r="M232" t="b">
        <f>+ISNUMBER(SEARCH('F-COMPRA'!$G$25,Tabla11[[#This Row],[Cuenta]],1))</f>
        <v>0</v>
      </c>
      <c r="N232" t="b">
        <f>+ISNUMBER(SEARCH(#REF!,Tabla11[[#This Row],[Cuenta]],1))</f>
        <v>0</v>
      </c>
      <c r="O232" t="b">
        <f>+ISNUMBER(SEARCH(#REF!,Tabla11[[#This Row],[Cuenta]],1))</f>
        <v>0</v>
      </c>
      <c r="P232" t="b">
        <f>+ISNUMBER(SEARCH('F-COMPRA'!$F$32,Tabla11[[#This Row],[Cuenta]],1))</f>
        <v>1</v>
      </c>
      <c r="Q232" t="b">
        <f>+ISNUMBER(SEARCH('F-COMPRA'!$F$33,Tabla11[[#This Row],[Cuenta]],1))</f>
        <v>1</v>
      </c>
      <c r="R232" t="b">
        <f>+ISNUMBER(SEARCH('F-COMPRA'!$F$34,Tabla11[[#This Row],[Cuenta]],1))</f>
        <v>1</v>
      </c>
      <c r="S232" t="b">
        <f>+ISNUMBER(SEARCH('F-COMPRA'!$F$35,Tabla11[[#This Row],[Cuenta]],1))</f>
        <v>1</v>
      </c>
      <c r="T232" t="b">
        <f>+ISNUMBER(SEARCH('F-COMPRA'!$F$36,Tabla11[[#This Row],[Cuenta]],1))</f>
        <v>1</v>
      </c>
      <c r="U232" t="b">
        <f>+ISNUMBER(SEARCH('F-COMPRA'!$F$37,Tabla11[[#This Row],[Cuenta]],1))</f>
        <v>1</v>
      </c>
      <c r="V232" t="b">
        <f>+ISNUMBER(SEARCH(#REF!,Tabla11[[#This Row],[Cuenta]],1))</f>
        <v>0</v>
      </c>
      <c r="W232" t="b">
        <f>+ISNUMBER(SEARCH('F-COMPRA'!#REF!,Tabla11[[#This Row],[Cuenta]],1))</f>
        <v>0</v>
      </c>
      <c r="X232" t="b">
        <f>+ISNUMBER(SEARCH('F-COMPRA'!#REF!,Tabla11[[#This Row],[Cuenta]],1))</f>
        <v>0</v>
      </c>
      <c r="Y232" t="b">
        <f>+ISNUMBER(SEARCH('F-COMPRA'!#REF!,Tabla11[[#This Row],[Cuenta]],1))</f>
        <v>0</v>
      </c>
      <c r="Z232" t="b">
        <f>+ISNUMBER(SEARCH('F-COMPRA'!#REF!,Tabla11[[#This Row],[Cuenta]],1))</f>
        <v>0</v>
      </c>
      <c r="AA232" t="b">
        <f>+ISNUMBER(SEARCH('F-COMPRA'!#REF!,Tabla11[[#This Row],[Cuenta]],1))</f>
        <v>0</v>
      </c>
      <c r="AB232" t="b">
        <f>+ISNUMBER(SEARCH('F-COMPRA'!#REF!,Tabla11[[#This Row],[Cuenta]],1))</f>
        <v>0</v>
      </c>
      <c r="AC232" t="b">
        <f>+ISNUMBER(SEARCH('F-COMPRA'!#REF!,Tabla11[[#This Row],[Cuenta]],1))</f>
        <v>0</v>
      </c>
      <c r="AD232" t="b">
        <f>+ISNUMBER(SEARCH('F-COMPRA'!#REF!,Tabla11[[#This Row],[Cuenta]],1))</f>
        <v>0</v>
      </c>
      <c r="AE232" t="b">
        <f>+ISNUMBER(SEARCH('F-COMPRA'!#REF!,Tabla11[[#This Row],[Cuenta]],1))</f>
        <v>0</v>
      </c>
      <c r="AF232" t="b">
        <f>+ISNUMBER(SEARCH('F-VTA'!$G$23,Tabla11[[#This Row],[Cuenta]],1))</f>
        <v>0</v>
      </c>
      <c r="AG232" t="b">
        <f>+ISNUMBER(SEARCH('F-VTA'!$G$24,Tabla11[[#This Row],[Cuenta]],1))</f>
        <v>0</v>
      </c>
      <c r="AH232" t="b">
        <f>+ISNUMBER(SEARCH('F-VTA'!$G$25,Tabla11[[#This Row],[Cuenta]],1))</f>
        <v>0</v>
      </c>
      <c r="AI232" t="b">
        <f>+ISNUMBER(SEARCH('F-VTA'!$F$28,Tabla11[[#This Row],[Cuenta]],1))</f>
        <v>1</v>
      </c>
      <c r="AJ232" t="b">
        <f>+ISNUMBER(SEARCH('F-VTA'!$F$29,Tabla11[[#This Row],[Cuenta]],1))</f>
        <v>1</v>
      </c>
      <c r="AK232" t="b">
        <f>+ISNUMBER(SEARCH('F-VTA'!$F$30,Tabla11[[#This Row],[Cuenta]],1))</f>
        <v>1</v>
      </c>
      <c r="AL232" t="b">
        <f>+ISNUMBER(SEARCH('F-VTA'!$F$31,Tabla11[[#This Row],[Cuenta]],1))</f>
        <v>1</v>
      </c>
      <c r="AM232" t="b">
        <f>+ISNUMBER(SEARCH('F-VTA'!$F$32,Tabla11[[#This Row],[Cuenta]],1))</f>
        <v>1</v>
      </c>
      <c r="AN232" t="b">
        <f>+ISNUMBER(SEARCH('F-VTA'!$F$33,Tabla11[[#This Row],[Cuenta]],1))</f>
        <v>1</v>
      </c>
      <c r="AO232" t="b">
        <f>+ISNUMBER(SEARCH('F-VTA'!$F$34,Tabla11[[#This Row],[Cuenta]],1))</f>
        <v>1</v>
      </c>
      <c r="AP232" t="b">
        <f>+ISNUMBER(SEARCH('F-VTA'!$F$35,Tabla11[[#This Row],[Cuenta]],1))</f>
        <v>1</v>
      </c>
      <c r="AQ232" t="b">
        <f>+ISNUMBER(SEARCH('F-VTA'!$F$36,Tabla11[[#This Row],[Cuenta]],1))</f>
        <v>1</v>
      </c>
      <c r="AR232" t="b">
        <f>+ISNUMBER(SEARCH(#REF!,Tabla11[[#This Row],[Cuenta]],1))</f>
        <v>0</v>
      </c>
      <c r="AS232" t="b">
        <f>+ISNUMBER(SEARCH(#REF!,Tabla11[[#This Row],[Cuenta]],1))</f>
        <v>0</v>
      </c>
      <c r="AT232" t="b">
        <f>+ISNUMBER(SEARCH(#REF!,Tabla11[[#This Row],[Cuenta]],1))</f>
        <v>0</v>
      </c>
      <c r="AU232" t="b">
        <f>+ISNUMBER(SEARCH('Conc. Ban.1'!$I$9,Tabla11[[#This Row],[Cuenta]],1))</f>
        <v>0</v>
      </c>
      <c r="AV232" t="b">
        <f>+ISNUMBER(SEARCH(CompConta!$F$21,Tabla11[[#This Row],[Cuenta]],1))</f>
        <v>1</v>
      </c>
      <c r="AW232" t="b">
        <f>+ISNUMBER(SEARCH(CompConta!$F$22,Tabla11[[#This Row],[Cuenta]],1))</f>
        <v>1</v>
      </c>
      <c r="AX232" t="b">
        <f>+ISNUMBER(SEARCH(CompConta!$F$23,Tabla11[[#This Row],[Cuenta]],1))</f>
        <v>1</v>
      </c>
      <c r="AY232" t="b">
        <f>+ISNUMBER(SEARCH(CompConta!$F$24,Tabla11[[#This Row],[Cuenta]],1))</f>
        <v>1</v>
      </c>
      <c r="AZ232" t="b">
        <f>+ISNUMBER(SEARCH(CompConta!$F$25,Tabla11[[#This Row],[Cuenta]],1))</f>
        <v>1</v>
      </c>
      <c r="BA232" t="b">
        <f>+ISNUMBER(SEARCH(CompConta!$F$26,Tabla11[[#This Row],[Cuenta]],1))</f>
        <v>1</v>
      </c>
      <c r="BB232" t="b">
        <f>+ISNUMBER(SEARCH(CompConta!$F$27,Tabla11[[#This Row],[Cuenta]],1))</f>
        <v>1</v>
      </c>
      <c r="BC232" t="b">
        <f>+ISNUMBER(SEARCH(CompConta!$F$28,Tabla11[[#This Row],[Cuenta]],1))</f>
        <v>1</v>
      </c>
      <c r="BD232" t="b">
        <f>+ISNUMBER(SEARCH(CompConta!$F$29,Tabla11[[#This Row],[Cuenta]],1))</f>
        <v>1</v>
      </c>
      <c r="BE232" t="b">
        <f>+ISNUMBER(SEARCH(CompConta!$F$30,Tabla11[[#This Row],[Cuenta]],1))</f>
        <v>1</v>
      </c>
      <c r="BF232" t="b">
        <f>+ISNUMBER(SEARCH('PAGO Compras'!$E$11,Tabla11[[#This Row],[Cuenta]],1))</f>
        <v>1</v>
      </c>
      <c r="BG232" t="b">
        <f>+ISNUMBER(SEARCH(#REF!,Tabla11[[#This Row],[Cuenta]],1))</f>
        <v>0</v>
      </c>
      <c r="BH232" t="b">
        <f>+ISNUMBER(SEARCH(#REF!,Tabla11[[#This Row],[Cuenta]],1))</f>
        <v>0</v>
      </c>
      <c r="BI232" t="b">
        <f>+ISNUMBER(SEARCH(#REF!,Tabla11[[#This Row],[Cuenta]],1))</f>
        <v>0</v>
      </c>
      <c r="BJ232" t="b">
        <f>+ISNUMBER(SEARCH(#REF!,Tabla11[[#This Row],[Cuenta]],1))</f>
        <v>0</v>
      </c>
      <c r="BS232" t="str">
        <v>159230 Equipo de hoteles y restaurantes</v>
      </c>
      <c r="BT232" t="str">
        <v>159230 Equipo de hoteles y restaurantes</v>
      </c>
      <c r="BU232" t="str">
        <v>159230 Equipo de hoteles y restaurantes</v>
      </c>
      <c r="BV232" t="str">
        <v>159230 Equipo de hoteles y restaurantes</v>
      </c>
      <c r="BZ232" t="str">
        <v>159230 Equipo de hoteles y restaurantes</v>
      </c>
      <c r="CA232" t="str">
        <v>159230 Equipo de hoteles y restaurantes</v>
      </c>
      <c r="CB232" t="str">
        <v>159230 Equipo de hoteles y restaurantes</v>
      </c>
      <c r="CC232" t="str">
        <v>159230 Equipo de hoteles y restaurantes</v>
      </c>
      <c r="CD232" t="str">
        <v>159230 Equipo de hoteles y restaurantes</v>
      </c>
      <c r="CE232" t="str">
        <v>159230 Equipo de hoteles y restaurantes</v>
      </c>
      <c r="CS232" s="141" t="str">
        <v>159230 Equipo de hoteles y restaurantes</v>
      </c>
      <c r="CT232" s="141" t="str">
        <v>159230 Equipo de hoteles y restaurantes</v>
      </c>
      <c r="CU232" s="141" t="str">
        <v>159230 Equipo de hoteles y restaurantes</v>
      </c>
      <c r="CV232" s="141" t="str">
        <v>159230 Equipo de hoteles y restaurantes</v>
      </c>
      <c r="CW232" s="141" t="str">
        <v>159230 Equipo de hoteles y restaurantes</v>
      </c>
      <c r="CX232" s="141" t="str">
        <v>159230 Equipo de hoteles y restaurantes</v>
      </c>
      <c r="CY232" s="141" t="str">
        <v>159230 Equipo de hoteles y restaurantes</v>
      </c>
      <c r="CZ232" s="141" t="str">
        <v>159230 Equipo de hoteles y restaurantes</v>
      </c>
      <c r="DA232" s="141" t="str">
        <v>159230 Equipo de hoteles y restaurantes</v>
      </c>
      <c r="DF232" t="str">
        <v>159230 Equipo de hoteles y restaurantes</v>
      </c>
      <c r="DG232" t="str">
        <v>159230 Equipo de hoteles y restaurantes</v>
      </c>
      <c r="DH232" t="str">
        <v>159230 Equipo de hoteles y restaurantes</v>
      </c>
      <c r="DI232" t="str">
        <v>159230 Equipo de hoteles y restaurantes</v>
      </c>
      <c r="DJ232" t="str">
        <v>159230 Equipo de hoteles y restaurantes</v>
      </c>
      <c r="DK232" t="str">
        <v>159230 Equipo de hoteles y restaurantes</v>
      </c>
      <c r="DL232" t="str">
        <v>159230 Equipo de hoteles y restaurantes</v>
      </c>
      <c r="DM232" t="str">
        <v>159230 Equipo de hoteles y restaurantes</v>
      </c>
      <c r="DN232" t="str">
        <v>159230 Equipo de hoteles y restaurantes</v>
      </c>
      <c r="DO232" t="str">
        <v>159230 Equipo de hoteles y restaurantes</v>
      </c>
      <c r="DP232" t="str">
        <v>159230 Equipo de hoteles y restaurantes</v>
      </c>
    </row>
    <row r="233" spans="4:120" ht="12.75">
      <c r="D233" s="7">
        <v>159235</v>
      </c>
      <c r="E233" s="6" t="s">
        <v>133</v>
      </c>
      <c r="F233" s="5">
        <v>4</v>
      </c>
      <c r="G233" s="34" t="s">
        <v>822</v>
      </c>
      <c r="H233" s="8" t="s">
        <v>56</v>
      </c>
      <c r="I233" t="b">
        <f>+ISNUMBER(SEARCH('F-COMPRA'!$F$28,Tabla11[[#This Row],[Cuenta]],1))</f>
        <v>1</v>
      </c>
      <c r="J233" t="b">
        <f>+ISNUMBER(SEARCH('F-COMPRA'!$F$29,Tabla11[[#This Row],[Cuenta]],1))</f>
        <v>1</v>
      </c>
      <c r="K233" t="b">
        <f>+ISNUMBER(SEARCH('F-COMPRA'!$F$30,Tabla11[[#This Row],[Cuenta]],1))</f>
        <v>1</v>
      </c>
      <c r="L233" t="b">
        <f>+ISNUMBER(SEARCH('F-COMPRA'!$F$31,Tabla11[[#This Row],[Cuenta]],1))</f>
        <v>1</v>
      </c>
      <c r="M233" t="b">
        <f>+ISNUMBER(SEARCH('F-COMPRA'!$G$25,Tabla11[[#This Row],[Cuenta]],1))</f>
        <v>0</v>
      </c>
      <c r="N233" t="b">
        <f>+ISNUMBER(SEARCH(#REF!,Tabla11[[#This Row],[Cuenta]],1))</f>
        <v>0</v>
      </c>
      <c r="O233" t="b">
        <f>+ISNUMBER(SEARCH(#REF!,Tabla11[[#This Row],[Cuenta]],1))</f>
        <v>0</v>
      </c>
      <c r="P233" t="b">
        <f>+ISNUMBER(SEARCH('F-COMPRA'!$F$32,Tabla11[[#This Row],[Cuenta]],1))</f>
        <v>1</v>
      </c>
      <c r="Q233" t="b">
        <f>+ISNUMBER(SEARCH('F-COMPRA'!$F$33,Tabla11[[#This Row],[Cuenta]],1))</f>
        <v>1</v>
      </c>
      <c r="R233" t="b">
        <f>+ISNUMBER(SEARCH('F-COMPRA'!$F$34,Tabla11[[#This Row],[Cuenta]],1))</f>
        <v>1</v>
      </c>
      <c r="S233" t="b">
        <f>+ISNUMBER(SEARCH('F-COMPRA'!$F$35,Tabla11[[#This Row],[Cuenta]],1))</f>
        <v>1</v>
      </c>
      <c r="T233" t="b">
        <f>+ISNUMBER(SEARCH('F-COMPRA'!$F$36,Tabla11[[#This Row],[Cuenta]],1))</f>
        <v>1</v>
      </c>
      <c r="U233" t="b">
        <f>+ISNUMBER(SEARCH('F-COMPRA'!$F$37,Tabla11[[#This Row],[Cuenta]],1))</f>
        <v>1</v>
      </c>
      <c r="V233" t="b">
        <f>+ISNUMBER(SEARCH(#REF!,Tabla11[[#This Row],[Cuenta]],1))</f>
        <v>0</v>
      </c>
      <c r="W233" t="b">
        <f>+ISNUMBER(SEARCH('F-COMPRA'!#REF!,Tabla11[[#This Row],[Cuenta]],1))</f>
        <v>0</v>
      </c>
      <c r="X233" t="b">
        <f>+ISNUMBER(SEARCH('F-COMPRA'!#REF!,Tabla11[[#This Row],[Cuenta]],1))</f>
        <v>0</v>
      </c>
      <c r="Y233" t="b">
        <f>+ISNUMBER(SEARCH('F-COMPRA'!#REF!,Tabla11[[#This Row],[Cuenta]],1))</f>
        <v>0</v>
      </c>
      <c r="Z233" t="b">
        <f>+ISNUMBER(SEARCH('F-COMPRA'!#REF!,Tabla11[[#This Row],[Cuenta]],1))</f>
        <v>0</v>
      </c>
      <c r="AA233" t="b">
        <f>+ISNUMBER(SEARCH('F-COMPRA'!#REF!,Tabla11[[#This Row],[Cuenta]],1))</f>
        <v>0</v>
      </c>
      <c r="AB233" t="b">
        <f>+ISNUMBER(SEARCH('F-COMPRA'!#REF!,Tabla11[[#This Row],[Cuenta]],1))</f>
        <v>0</v>
      </c>
      <c r="AC233" t="b">
        <f>+ISNUMBER(SEARCH('F-COMPRA'!#REF!,Tabla11[[#This Row],[Cuenta]],1))</f>
        <v>0</v>
      </c>
      <c r="AD233" t="b">
        <f>+ISNUMBER(SEARCH('F-COMPRA'!#REF!,Tabla11[[#This Row],[Cuenta]],1))</f>
        <v>0</v>
      </c>
      <c r="AE233" t="b">
        <f>+ISNUMBER(SEARCH('F-COMPRA'!#REF!,Tabla11[[#This Row],[Cuenta]],1))</f>
        <v>0</v>
      </c>
      <c r="AF233" t="b">
        <f>+ISNUMBER(SEARCH('F-VTA'!$G$23,Tabla11[[#This Row],[Cuenta]],1))</f>
        <v>0</v>
      </c>
      <c r="AG233" t="b">
        <f>+ISNUMBER(SEARCH('F-VTA'!$G$24,Tabla11[[#This Row],[Cuenta]],1))</f>
        <v>0</v>
      </c>
      <c r="AH233" t="b">
        <f>+ISNUMBER(SEARCH('F-VTA'!$G$25,Tabla11[[#This Row],[Cuenta]],1))</f>
        <v>0</v>
      </c>
      <c r="AI233" t="b">
        <f>+ISNUMBER(SEARCH('F-VTA'!$F$28,Tabla11[[#This Row],[Cuenta]],1))</f>
        <v>1</v>
      </c>
      <c r="AJ233" t="b">
        <f>+ISNUMBER(SEARCH('F-VTA'!$F$29,Tabla11[[#This Row],[Cuenta]],1))</f>
        <v>1</v>
      </c>
      <c r="AK233" t="b">
        <f>+ISNUMBER(SEARCH('F-VTA'!$F$30,Tabla11[[#This Row],[Cuenta]],1))</f>
        <v>1</v>
      </c>
      <c r="AL233" t="b">
        <f>+ISNUMBER(SEARCH('F-VTA'!$F$31,Tabla11[[#This Row],[Cuenta]],1))</f>
        <v>1</v>
      </c>
      <c r="AM233" t="b">
        <f>+ISNUMBER(SEARCH('F-VTA'!$F$32,Tabla11[[#This Row],[Cuenta]],1))</f>
        <v>1</v>
      </c>
      <c r="AN233" t="b">
        <f>+ISNUMBER(SEARCH('F-VTA'!$F$33,Tabla11[[#This Row],[Cuenta]],1))</f>
        <v>1</v>
      </c>
      <c r="AO233" t="b">
        <f>+ISNUMBER(SEARCH('F-VTA'!$F$34,Tabla11[[#This Row],[Cuenta]],1))</f>
        <v>1</v>
      </c>
      <c r="AP233" t="b">
        <f>+ISNUMBER(SEARCH('F-VTA'!$F$35,Tabla11[[#This Row],[Cuenta]],1))</f>
        <v>1</v>
      </c>
      <c r="AQ233" t="b">
        <f>+ISNUMBER(SEARCH('F-VTA'!$F$36,Tabla11[[#This Row],[Cuenta]],1))</f>
        <v>1</v>
      </c>
      <c r="AR233" t="b">
        <f>+ISNUMBER(SEARCH(#REF!,Tabla11[[#This Row],[Cuenta]],1))</f>
        <v>0</v>
      </c>
      <c r="AS233" t="b">
        <f>+ISNUMBER(SEARCH(#REF!,Tabla11[[#This Row],[Cuenta]],1))</f>
        <v>0</v>
      </c>
      <c r="AT233" t="b">
        <f>+ISNUMBER(SEARCH(#REF!,Tabla11[[#This Row],[Cuenta]],1))</f>
        <v>0</v>
      </c>
      <c r="AU233" t="b">
        <f>+ISNUMBER(SEARCH('Conc. Ban.1'!$I$9,Tabla11[[#This Row],[Cuenta]],1))</f>
        <v>0</v>
      </c>
      <c r="AV233" t="b">
        <f>+ISNUMBER(SEARCH(CompConta!$F$21,Tabla11[[#This Row],[Cuenta]],1))</f>
        <v>1</v>
      </c>
      <c r="AW233" t="b">
        <f>+ISNUMBER(SEARCH(CompConta!$F$22,Tabla11[[#This Row],[Cuenta]],1))</f>
        <v>1</v>
      </c>
      <c r="AX233" t="b">
        <f>+ISNUMBER(SEARCH(CompConta!$F$23,Tabla11[[#This Row],[Cuenta]],1))</f>
        <v>1</v>
      </c>
      <c r="AY233" t="b">
        <f>+ISNUMBER(SEARCH(CompConta!$F$24,Tabla11[[#This Row],[Cuenta]],1))</f>
        <v>1</v>
      </c>
      <c r="AZ233" t="b">
        <f>+ISNUMBER(SEARCH(CompConta!$F$25,Tabla11[[#This Row],[Cuenta]],1))</f>
        <v>1</v>
      </c>
      <c r="BA233" t="b">
        <f>+ISNUMBER(SEARCH(CompConta!$F$26,Tabla11[[#This Row],[Cuenta]],1))</f>
        <v>1</v>
      </c>
      <c r="BB233" t="b">
        <f>+ISNUMBER(SEARCH(CompConta!$F$27,Tabla11[[#This Row],[Cuenta]],1))</f>
        <v>1</v>
      </c>
      <c r="BC233" t="b">
        <f>+ISNUMBER(SEARCH(CompConta!$F$28,Tabla11[[#This Row],[Cuenta]],1))</f>
        <v>1</v>
      </c>
      <c r="BD233" t="b">
        <f>+ISNUMBER(SEARCH(CompConta!$F$29,Tabla11[[#This Row],[Cuenta]],1))</f>
        <v>1</v>
      </c>
      <c r="BE233" t="b">
        <f>+ISNUMBER(SEARCH(CompConta!$F$30,Tabla11[[#This Row],[Cuenta]],1))</f>
        <v>1</v>
      </c>
      <c r="BF233" t="b">
        <f>+ISNUMBER(SEARCH('PAGO Compras'!$E$11,Tabla11[[#This Row],[Cuenta]],1))</f>
        <v>1</v>
      </c>
      <c r="BG233" t="b">
        <f>+ISNUMBER(SEARCH(#REF!,Tabla11[[#This Row],[Cuenta]],1))</f>
        <v>0</v>
      </c>
      <c r="BH233" t="b">
        <f>+ISNUMBER(SEARCH(#REF!,Tabla11[[#This Row],[Cuenta]],1))</f>
        <v>0</v>
      </c>
      <c r="BI233" t="b">
        <f>+ISNUMBER(SEARCH(#REF!,Tabla11[[#This Row],[Cuenta]],1))</f>
        <v>0</v>
      </c>
      <c r="BJ233" t="b">
        <f>+ISNUMBER(SEARCH(#REF!,Tabla11[[#This Row],[Cuenta]],1))</f>
        <v>0</v>
      </c>
      <c r="BS233" t="str">
        <v>159235 Flota y equipo de transporte</v>
      </c>
      <c r="BT233" t="str">
        <v>159235 Flota y equipo de transporte</v>
      </c>
      <c r="BU233" t="str">
        <v>159235 Flota y equipo de transporte</v>
      </c>
      <c r="BV233" t="str">
        <v>159235 Flota y equipo de transporte</v>
      </c>
      <c r="BZ233" t="str">
        <v>159235 Flota y equipo de transporte</v>
      </c>
      <c r="CA233" t="str">
        <v>159235 Flota y equipo de transporte</v>
      </c>
      <c r="CB233" t="str">
        <v>159235 Flota y equipo de transporte</v>
      </c>
      <c r="CC233" t="str">
        <v>159235 Flota y equipo de transporte</v>
      </c>
      <c r="CD233" t="str">
        <v>159235 Flota y equipo de transporte</v>
      </c>
      <c r="CE233" t="str">
        <v>159235 Flota y equipo de transporte</v>
      </c>
      <c r="CS233" s="141" t="str">
        <v>159235 Flota y equipo de transporte</v>
      </c>
      <c r="CT233" s="141" t="str">
        <v>159235 Flota y equipo de transporte</v>
      </c>
      <c r="CU233" s="141" t="str">
        <v>159235 Flota y equipo de transporte</v>
      </c>
      <c r="CV233" s="141" t="str">
        <v>159235 Flota y equipo de transporte</v>
      </c>
      <c r="CW233" s="141" t="str">
        <v>159235 Flota y equipo de transporte</v>
      </c>
      <c r="CX233" s="141" t="str">
        <v>159235 Flota y equipo de transporte</v>
      </c>
      <c r="CY233" s="141" t="str">
        <v>159235 Flota y equipo de transporte</v>
      </c>
      <c r="CZ233" s="141" t="str">
        <v>159235 Flota y equipo de transporte</v>
      </c>
      <c r="DA233" s="141" t="str">
        <v>159235 Flota y equipo de transporte</v>
      </c>
      <c r="DF233" t="str">
        <v>159235 Flota y equipo de transporte</v>
      </c>
      <c r="DG233" t="str">
        <v>159235 Flota y equipo de transporte</v>
      </c>
      <c r="DH233" t="str">
        <v>159235 Flota y equipo de transporte</v>
      </c>
      <c r="DI233" t="str">
        <v>159235 Flota y equipo de transporte</v>
      </c>
      <c r="DJ233" t="str">
        <v>159235 Flota y equipo de transporte</v>
      </c>
      <c r="DK233" t="str">
        <v>159235 Flota y equipo de transporte</v>
      </c>
      <c r="DL233" t="str">
        <v>159235 Flota y equipo de transporte</v>
      </c>
      <c r="DM233" t="str">
        <v>159235 Flota y equipo de transporte</v>
      </c>
      <c r="DN233" t="str">
        <v>159235 Flota y equipo de transporte</v>
      </c>
      <c r="DO233" t="str">
        <v>159235 Flota y equipo de transporte</v>
      </c>
      <c r="DP233" t="str">
        <v>159235 Flota y equipo de transporte</v>
      </c>
    </row>
    <row r="234" spans="4:120" ht="12.75">
      <c r="D234" s="7">
        <v>159240</v>
      </c>
      <c r="E234" s="6" t="s">
        <v>134</v>
      </c>
      <c r="F234" s="5">
        <v>4</v>
      </c>
      <c r="G234" s="34" t="s">
        <v>822</v>
      </c>
      <c r="H234" s="8" t="s">
        <v>56</v>
      </c>
      <c r="I234" t="b">
        <f>+ISNUMBER(SEARCH('F-COMPRA'!$F$28,Tabla11[[#This Row],[Cuenta]],1))</f>
        <v>1</v>
      </c>
      <c r="J234" t="b">
        <f>+ISNUMBER(SEARCH('F-COMPRA'!$F$29,Tabla11[[#This Row],[Cuenta]],1))</f>
        <v>1</v>
      </c>
      <c r="K234" t="b">
        <f>+ISNUMBER(SEARCH('F-COMPRA'!$F$30,Tabla11[[#This Row],[Cuenta]],1))</f>
        <v>1</v>
      </c>
      <c r="L234" t="b">
        <f>+ISNUMBER(SEARCH('F-COMPRA'!$F$31,Tabla11[[#This Row],[Cuenta]],1))</f>
        <v>1</v>
      </c>
      <c r="M234" t="b">
        <f>+ISNUMBER(SEARCH('F-COMPRA'!$G$25,Tabla11[[#This Row],[Cuenta]],1))</f>
        <v>0</v>
      </c>
      <c r="N234" t="b">
        <f>+ISNUMBER(SEARCH(#REF!,Tabla11[[#This Row],[Cuenta]],1))</f>
        <v>0</v>
      </c>
      <c r="O234" t="b">
        <f>+ISNUMBER(SEARCH(#REF!,Tabla11[[#This Row],[Cuenta]],1))</f>
        <v>0</v>
      </c>
      <c r="P234" t="b">
        <f>+ISNUMBER(SEARCH('F-COMPRA'!$F$32,Tabla11[[#This Row],[Cuenta]],1))</f>
        <v>1</v>
      </c>
      <c r="Q234" t="b">
        <f>+ISNUMBER(SEARCH('F-COMPRA'!$F$33,Tabla11[[#This Row],[Cuenta]],1))</f>
        <v>1</v>
      </c>
      <c r="R234" t="b">
        <f>+ISNUMBER(SEARCH('F-COMPRA'!$F$34,Tabla11[[#This Row],[Cuenta]],1))</f>
        <v>1</v>
      </c>
      <c r="S234" t="b">
        <f>+ISNUMBER(SEARCH('F-COMPRA'!$F$35,Tabla11[[#This Row],[Cuenta]],1))</f>
        <v>1</v>
      </c>
      <c r="T234" t="b">
        <f>+ISNUMBER(SEARCH('F-COMPRA'!$F$36,Tabla11[[#This Row],[Cuenta]],1))</f>
        <v>1</v>
      </c>
      <c r="U234" t="b">
        <f>+ISNUMBER(SEARCH('F-COMPRA'!$F$37,Tabla11[[#This Row],[Cuenta]],1))</f>
        <v>1</v>
      </c>
      <c r="V234" t="b">
        <f>+ISNUMBER(SEARCH(#REF!,Tabla11[[#This Row],[Cuenta]],1))</f>
        <v>0</v>
      </c>
      <c r="W234" t="b">
        <f>+ISNUMBER(SEARCH('F-COMPRA'!#REF!,Tabla11[[#This Row],[Cuenta]],1))</f>
        <v>0</v>
      </c>
      <c r="X234" t="b">
        <f>+ISNUMBER(SEARCH('F-COMPRA'!#REF!,Tabla11[[#This Row],[Cuenta]],1))</f>
        <v>0</v>
      </c>
      <c r="Y234" t="b">
        <f>+ISNUMBER(SEARCH('F-COMPRA'!#REF!,Tabla11[[#This Row],[Cuenta]],1))</f>
        <v>0</v>
      </c>
      <c r="Z234" t="b">
        <f>+ISNUMBER(SEARCH('F-COMPRA'!#REF!,Tabla11[[#This Row],[Cuenta]],1))</f>
        <v>0</v>
      </c>
      <c r="AA234" t="b">
        <f>+ISNUMBER(SEARCH('F-COMPRA'!#REF!,Tabla11[[#This Row],[Cuenta]],1))</f>
        <v>0</v>
      </c>
      <c r="AB234" t="b">
        <f>+ISNUMBER(SEARCH('F-COMPRA'!#REF!,Tabla11[[#This Row],[Cuenta]],1))</f>
        <v>0</v>
      </c>
      <c r="AC234" t="b">
        <f>+ISNUMBER(SEARCH('F-COMPRA'!#REF!,Tabla11[[#This Row],[Cuenta]],1))</f>
        <v>0</v>
      </c>
      <c r="AD234" t="b">
        <f>+ISNUMBER(SEARCH('F-COMPRA'!#REF!,Tabla11[[#This Row],[Cuenta]],1))</f>
        <v>0</v>
      </c>
      <c r="AE234" t="b">
        <f>+ISNUMBER(SEARCH('F-COMPRA'!#REF!,Tabla11[[#This Row],[Cuenta]],1))</f>
        <v>0</v>
      </c>
      <c r="AF234" t="b">
        <f>+ISNUMBER(SEARCH('F-VTA'!$G$23,Tabla11[[#This Row],[Cuenta]],1))</f>
        <v>0</v>
      </c>
      <c r="AG234" t="b">
        <f>+ISNUMBER(SEARCH('F-VTA'!$G$24,Tabla11[[#This Row],[Cuenta]],1))</f>
        <v>0</v>
      </c>
      <c r="AH234" t="b">
        <f>+ISNUMBER(SEARCH('F-VTA'!$G$25,Tabla11[[#This Row],[Cuenta]],1))</f>
        <v>0</v>
      </c>
      <c r="AI234" t="b">
        <f>+ISNUMBER(SEARCH('F-VTA'!$F$28,Tabla11[[#This Row],[Cuenta]],1))</f>
        <v>1</v>
      </c>
      <c r="AJ234" t="b">
        <f>+ISNUMBER(SEARCH('F-VTA'!$F$29,Tabla11[[#This Row],[Cuenta]],1))</f>
        <v>1</v>
      </c>
      <c r="AK234" t="b">
        <f>+ISNUMBER(SEARCH('F-VTA'!$F$30,Tabla11[[#This Row],[Cuenta]],1))</f>
        <v>1</v>
      </c>
      <c r="AL234" t="b">
        <f>+ISNUMBER(SEARCH('F-VTA'!$F$31,Tabla11[[#This Row],[Cuenta]],1))</f>
        <v>1</v>
      </c>
      <c r="AM234" t="b">
        <f>+ISNUMBER(SEARCH('F-VTA'!$F$32,Tabla11[[#This Row],[Cuenta]],1))</f>
        <v>1</v>
      </c>
      <c r="AN234" t="b">
        <f>+ISNUMBER(SEARCH('F-VTA'!$F$33,Tabla11[[#This Row],[Cuenta]],1))</f>
        <v>1</v>
      </c>
      <c r="AO234" t="b">
        <f>+ISNUMBER(SEARCH('F-VTA'!$F$34,Tabla11[[#This Row],[Cuenta]],1))</f>
        <v>1</v>
      </c>
      <c r="AP234" t="b">
        <f>+ISNUMBER(SEARCH('F-VTA'!$F$35,Tabla11[[#This Row],[Cuenta]],1))</f>
        <v>1</v>
      </c>
      <c r="AQ234" t="b">
        <f>+ISNUMBER(SEARCH('F-VTA'!$F$36,Tabla11[[#This Row],[Cuenta]],1))</f>
        <v>1</v>
      </c>
      <c r="AR234" t="b">
        <f>+ISNUMBER(SEARCH(#REF!,Tabla11[[#This Row],[Cuenta]],1))</f>
        <v>0</v>
      </c>
      <c r="AS234" t="b">
        <f>+ISNUMBER(SEARCH(#REF!,Tabla11[[#This Row],[Cuenta]],1))</f>
        <v>0</v>
      </c>
      <c r="AT234" t="b">
        <f>+ISNUMBER(SEARCH(#REF!,Tabla11[[#This Row],[Cuenta]],1))</f>
        <v>0</v>
      </c>
      <c r="AU234" t="b">
        <f>+ISNUMBER(SEARCH('Conc. Ban.1'!$I$9,Tabla11[[#This Row],[Cuenta]],1))</f>
        <v>0</v>
      </c>
      <c r="AV234" t="b">
        <f>+ISNUMBER(SEARCH(CompConta!$F$21,Tabla11[[#This Row],[Cuenta]],1))</f>
        <v>1</v>
      </c>
      <c r="AW234" t="b">
        <f>+ISNUMBER(SEARCH(CompConta!$F$22,Tabla11[[#This Row],[Cuenta]],1))</f>
        <v>1</v>
      </c>
      <c r="AX234" t="b">
        <f>+ISNUMBER(SEARCH(CompConta!$F$23,Tabla11[[#This Row],[Cuenta]],1))</f>
        <v>1</v>
      </c>
      <c r="AY234" t="b">
        <f>+ISNUMBER(SEARCH(CompConta!$F$24,Tabla11[[#This Row],[Cuenta]],1))</f>
        <v>1</v>
      </c>
      <c r="AZ234" t="b">
        <f>+ISNUMBER(SEARCH(CompConta!$F$25,Tabla11[[#This Row],[Cuenta]],1))</f>
        <v>1</v>
      </c>
      <c r="BA234" t="b">
        <f>+ISNUMBER(SEARCH(CompConta!$F$26,Tabla11[[#This Row],[Cuenta]],1))</f>
        <v>1</v>
      </c>
      <c r="BB234" t="b">
        <f>+ISNUMBER(SEARCH(CompConta!$F$27,Tabla11[[#This Row],[Cuenta]],1))</f>
        <v>1</v>
      </c>
      <c r="BC234" t="b">
        <f>+ISNUMBER(SEARCH(CompConta!$F$28,Tabla11[[#This Row],[Cuenta]],1))</f>
        <v>1</v>
      </c>
      <c r="BD234" t="b">
        <f>+ISNUMBER(SEARCH(CompConta!$F$29,Tabla11[[#This Row],[Cuenta]],1))</f>
        <v>1</v>
      </c>
      <c r="BE234" t="b">
        <f>+ISNUMBER(SEARCH(CompConta!$F$30,Tabla11[[#This Row],[Cuenta]],1))</f>
        <v>1</v>
      </c>
      <c r="BF234" t="b">
        <f>+ISNUMBER(SEARCH('PAGO Compras'!$E$11,Tabla11[[#This Row],[Cuenta]],1))</f>
        <v>1</v>
      </c>
      <c r="BG234" t="b">
        <f>+ISNUMBER(SEARCH(#REF!,Tabla11[[#This Row],[Cuenta]],1))</f>
        <v>0</v>
      </c>
      <c r="BH234" t="b">
        <f>+ISNUMBER(SEARCH(#REF!,Tabla11[[#This Row],[Cuenta]],1))</f>
        <v>0</v>
      </c>
      <c r="BI234" t="b">
        <f>+ISNUMBER(SEARCH(#REF!,Tabla11[[#This Row],[Cuenta]],1))</f>
        <v>0</v>
      </c>
      <c r="BJ234" t="b">
        <f>+ISNUMBER(SEARCH(#REF!,Tabla11[[#This Row],[Cuenta]],1))</f>
        <v>0</v>
      </c>
      <c r="BS234" t="str">
        <v>159240 Flota y equipo fluvial y/o marítimo</v>
      </c>
      <c r="BT234" t="str">
        <v>159240 Flota y equipo fluvial y/o marítimo</v>
      </c>
      <c r="BU234" t="str">
        <v>159240 Flota y equipo fluvial y/o marítimo</v>
      </c>
      <c r="BV234" t="str">
        <v>159240 Flota y equipo fluvial y/o marítimo</v>
      </c>
      <c r="BZ234" t="str">
        <v>159240 Flota y equipo fluvial y/o marítimo</v>
      </c>
      <c r="CA234" t="str">
        <v>159240 Flota y equipo fluvial y/o marítimo</v>
      </c>
      <c r="CB234" t="str">
        <v>159240 Flota y equipo fluvial y/o marítimo</v>
      </c>
      <c r="CC234" t="str">
        <v>159240 Flota y equipo fluvial y/o marítimo</v>
      </c>
      <c r="CD234" t="str">
        <v>159240 Flota y equipo fluvial y/o marítimo</v>
      </c>
      <c r="CE234" t="str">
        <v>159240 Flota y equipo fluvial y/o marítimo</v>
      </c>
      <c r="CS234" s="141" t="str">
        <v>159240 Flota y equipo fluvial y/o marítimo</v>
      </c>
      <c r="CT234" s="141" t="str">
        <v>159240 Flota y equipo fluvial y/o marítimo</v>
      </c>
      <c r="CU234" s="141" t="str">
        <v>159240 Flota y equipo fluvial y/o marítimo</v>
      </c>
      <c r="CV234" s="141" t="str">
        <v>159240 Flota y equipo fluvial y/o marítimo</v>
      </c>
      <c r="CW234" s="141" t="str">
        <v>159240 Flota y equipo fluvial y/o marítimo</v>
      </c>
      <c r="CX234" s="141" t="str">
        <v>159240 Flota y equipo fluvial y/o marítimo</v>
      </c>
      <c r="CY234" s="141" t="str">
        <v>159240 Flota y equipo fluvial y/o marítimo</v>
      </c>
      <c r="CZ234" s="141" t="str">
        <v>159240 Flota y equipo fluvial y/o marítimo</v>
      </c>
      <c r="DA234" s="141" t="str">
        <v>159240 Flota y equipo fluvial y/o marítimo</v>
      </c>
      <c r="DF234" t="str">
        <v>159240 Flota y equipo fluvial y/o marítimo</v>
      </c>
      <c r="DG234" t="str">
        <v>159240 Flota y equipo fluvial y/o marítimo</v>
      </c>
      <c r="DH234" t="str">
        <v>159240 Flota y equipo fluvial y/o marítimo</v>
      </c>
      <c r="DI234" t="str">
        <v>159240 Flota y equipo fluvial y/o marítimo</v>
      </c>
      <c r="DJ234" t="str">
        <v>159240 Flota y equipo fluvial y/o marítimo</v>
      </c>
      <c r="DK234" t="str">
        <v>159240 Flota y equipo fluvial y/o marítimo</v>
      </c>
      <c r="DL234" t="str">
        <v>159240 Flota y equipo fluvial y/o marítimo</v>
      </c>
      <c r="DM234" t="str">
        <v>159240 Flota y equipo fluvial y/o marítimo</v>
      </c>
      <c r="DN234" t="str">
        <v>159240 Flota y equipo fluvial y/o marítimo</v>
      </c>
      <c r="DO234" t="str">
        <v>159240 Flota y equipo fluvial y/o marítimo</v>
      </c>
      <c r="DP234" t="str">
        <v>159240 Flota y equipo fluvial y/o marítimo</v>
      </c>
    </row>
    <row r="235" spans="4:120" ht="12.75">
      <c r="D235" s="7">
        <v>159245</v>
      </c>
      <c r="E235" s="6" t="s">
        <v>135</v>
      </c>
      <c r="F235" s="5">
        <v>4</v>
      </c>
      <c r="G235" s="34" t="s">
        <v>822</v>
      </c>
      <c r="H235" s="8" t="s">
        <v>56</v>
      </c>
      <c r="I235" t="b">
        <f>+ISNUMBER(SEARCH('F-COMPRA'!$F$28,Tabla11[[#This Row],[Cuenta]],1))</f>
        <v>1</v>
      </c>
      <c r="J235" t="b">
        <f>+ISNUMBER(SEARCH('F-COMPRA'!$F$29,Tabla11[[#This Row],[Cuenta]],1))</f>
        <v>1</v>
      </c>
      <c r="K235" t="b">
        <f>+ISNUMBER(SEARCH('F-COMPRA'!$F$30,Tabla11[[#This Row],[Cuenta]],1))</f>
        <v>1</v>
      </c>
      <c r="L235" t="b">
        <f>+ISNUMBER(SEARCH('F-COMPRA'!$F$31,Tabla11[[#This Row],[Cuenta]],1))</f>
        <v>1</v>
      </c>
      <c r="M235" t="b">
        <f>+ISNUMBER(SEARCH('F-COMPRA'!$G$25,Tabla11[[#This Row],[Cuenta]],1))</f>
        <v>0</v>
      </c>
      <c r="N235" t="b">
        <f>+ISNUMBER(SEARCH(#REF!,Tabla11[[#This Row],[Cuenta]],1))</f>
        <v>0</v>
      </c>
      <c r="O235" t="b">
        <f>+ISNUMBER(SEARCH(#REF!,Tabla11[[#This Row],[Cuenta]],1))</f>
        <v>0</v>
      </c>
      <c r="P235" t="b">
        <f>+ISNUMBER(SEARCH('F-COMPRA'!$F$32,Tabla11[[#This Row],[Cuenta]],1))</f>
        <v>1</v>
      </c>
      <c r="Q235" t="b">
        <f>+ISNUMBER(SEARCH('F-COMPRA'!$F$33,Tabla11[[#This Row],[Cuenta]],1))</f>
        <v>1</v>
      </c>
      <c r="R235" t="b">
        <f>+ISNUMBER(SEARCH('F-COMPRA'!$F$34,Tabla11[[#This Row],[Cuenta]],1))</f>
        <v>1</v>
      </c>
      <c r="S235" t="b">
        <f>+ISNUMBER(SEARCH('F-COMPRA'!$F$35,Tabla11[[#This Row],[Cuenta]],1))</f>
        <v>1</v>
      </c>
      <c r="T235" t="b">
        <f>+ISNUMBER(SEARCH('F-COMPRA'!$F$36,Tabla11[[#This Row],[Cuenta]],1))</f>
        <v>1</v>
      </c>
      <c r="U235" t="b">
        <f>+ISNUMBER(SEARCH('F-COMPRA'!$F$37,Tabla11[[#This Row],[Cuenta]],1))</f>
        <v>1</v>
      </c>
      <c r="V235" t="b">
        <f>+ISNUMBER(SEARCH(#REF!,Tabla11[[#This Row],[Cuenta]],1))</f>
        <v>0</v>
      </c>
      <c r="W235" t="b">
        <f>+ISNUMBER(SEARCH('F-COMPRA'!#REF!,Tabla11[[#This Row],[Cuenta]],1))</f>
        <v>0</v>
      </c>
      <c r="X235" t="b">
        <f>+ISNUMBER(SEARCH('F-COMPRA'!#REF!,Tabla11[[#This Row],[Cuenta]],1))</f>
        <v>0</v>
      </c>
      <c r="Y235" t="b">
        <f>+ISNUMBER(SEARCH('F-COMPRA'!#REF!,Tabla11[[#This Row],[Cuenta]],1))</f>
        <v>0</v>
      </c>
      <c r="Z235" t="b">
        <f>+ISNUMBER(SEARCH('F-COMPRA'!#REF!,Tabla11[[#This Row],[Cuenta]],1))</f>
        <v>0</v>
      </c>
      <c r="AA235" t="b">
        <f>+ISNUMBER(SEARCH('F-COMPRA'!#REF!,Tabla11[[#This Row],[Cuenta]],1))</f>
        <v>0</v>
      </c>
      <c r="AB235" t="b">
        <f>+ISNUMBER(SEARCH('F-COMPRA'!#REF!,Tabla11[[#This Row],[Cuenta]],1))</f>
        <v>0</v>
      </c>
      <c r="AC235" t="b">
        <f>+ISNUMBER(SEARCH('F-COMPRA'!#REF!,Tabla11[[#This Row],[Cuenta]],1))</f>
        <v>0</v>
      </c>
      <c r="AD235" t="b">
        <f>+ISNUMBER(SEARCH('F-COMPRA'!#REF!,Tabla11[[#This Row],[Cuenta]],1))</f>
        <v>0</v>
      </c>
      <c r="AE235" t="b">
        <f>+ISNUMBER(SEARCH('F-COMPRA'!#REF!,Tabla11[[#This Row],[Cuenta]],1))</f>
        <v>0</v>
      </c>
      <c r="AF235" t="b">
        <f>+ISNUMBER(SEARCH('F-VTA'!$G$23,Tabla11[[#This Row],[Cuenta]],1))</f>
        <v>0</v>
      </c>
      <c r="AG235" t="b">
        <f>+ISNUMBER(SEARCH('F-VTA'!$G$24,Tabla11[[#This Row],[Cuenta]],1))</f>
        <v>0</v>
      </c>
      <c r="AH235" t="b">
        <f>+ISNUMBER(SEARCH('F-VTA'!$G$25,Tabla11[[#This Row],[Cuenta]],1))</f>
        <v>0</v>
      </c>
      <c r="AI235" t="b">
        <f>+ISNUMBER(SEARCH('F-VTA'!$F$28,Tabla11[[#This Row],[Cuenta]],1))</f>
        <v>1</v>
      </c>
      <c r="AJ235" t="b">
        <f>+ISNUMBER(SEARCH('F-VTA'!$F$29,Tabla11[[#This Row],[Cuenta]],1))</f>
        <v>1</v>
      </c>
      <c r="AK235" t="b">
        <f>+ISNUMBER(SEARCH('F-VTA'!$F$30,Tabla11[[#This Row],[Cuenta]],1))</f>
        <v>1</v>
      </c>
      <c r="AL235" t="b">
        <f>+ISNUMBER(SEARCH('F-VTA'!$F$31,Tabla11[[#This Row],[Cuenta]],1))</f>
        <v>1</v>
      </c>
      <c r="AM235" t="b">
        <f>+ISNUMBER(SEARCH('F-VTA'!$F$32,Tabla11[[#This Row],[Cuenta]],1))</f>
        <v>1</v>
      </c>
      <c r="AN235" t="b">
        <f>+ISNUMBER(SEARCH('F-VTA'!$F$33,Tabla11[[#This Row],[Cuenta]],1))</f>
        <v>1</v>
      </c>
      <c r="AO235" t="b">
        <f>+ISNUMBER(SEARCH('F-VTA'!$F$34,Tabla11[[#This Row],[Cuenta]],1))</f>
        <v>1</v>
      </c>
      <c r="AP235" t="b">
        <f>+ISNUMBER(SEARCH('F-VTA'!$F$35,Tabla11[[#This Row],[Cuenta]],1))</f>
        <v>1</v>
      </c>
      <c r="AQ235" t="b">
        <f>+ISNUMBER(SEARCH('F-VTA'!$F$36,Tabla11[[#This Row],[Cuenta]],1))</f>
        <v>1</v>
      </c>
      <c r="AR235" t="b">
        <f>+ISNUMBER(SEARCH(#REF!,Tabla11[[#This Row],[Cuenta]],1))</f>
        <v>0</v>
      </c>
      <c r="AS235" t="b">
        <f>+ISNUMBER(SEARCH(#REF!,Tabla11[[#This Row],[Cuenta]],1))</f>
        <v>0</v>
      </c>
      <c r="AT235" t="b">
        <f>+ISNUMBER(SEARCH(#REF!,Tabla11[[#This Row],[Cuenta]],1))</f>
        <v>0</v>
      </c>
      <c r="AU235" t="b">
        <f>+ISNUMBER(SEARCH('Conc. Ban.1'!$I$9,Tabla11[[#This Row],[Cuenta]],1))</f>
        <v>0</v>
      </c>
      <c r="AV235" t="b">
        <f>+ISNUMBER(SEARCH(CompConta!$F$21,Tabla11[[#This Row],[Cuenta]],1))</f>
        <v>1</v>
      </c>
      <c r="AW235" t="b">
        <f>+ISNUMBER(SEARCH(CompConta!$F$22,Tabla11[[#This Row],[Cuenta]],1))</f>
        <v>1</v>
      </c>
      <c r="AX235" t="b">
        <f>+ISNUMBER(SEARCH(CompConta!$F$23,Tabla11[[#This Row],[Cuenta]],1))</f>
        <v>1</v>
      </c>
      <c r="AY235" t="b">
        <f>+ISNUMBER(SEARCH(CompConta!$F$24,Tabla11[[#This Row],[Cuenta]],1))</f>
        <v>1</v>
      </c>
      <c r="AZ235" t="b">
        <f>+ISNUMBER(SEARCH(CompConta!$F$25,Tabla11[[#This Row],[Cuenta]],1))</f>
        <v>1</v>
      </c>
      <c r="BA235" t="b">
        <f>+ISNUMBER(SEARCH(CompConta!$F$26,Tabla11[[#This Row],[Cuenta]],1))</f>
        <v>1</v>
      </c>
      <c r="BB235" t="b">
        <f>+ISNUMBER(SEARCH(CompConta!$F$27,Tabla11[[#This Row],[Cuenta]],1))</f>
        <v>1</v>
      </c>
      <c r="BC235" t="b">
        <f>+ISNUMBER(SEARCH(CompConta!$F$28,Tabla11[[#This Row],[Cuenta]],1))</f>
        <v>1</v>
      </c>
      <c r="BD235" t="b">
        <f>+ISNUMBER(SEARCH(CompConta!$F$29,Tabla11[[#This Row],[Cuenta]],1))</f>
        <v>1</v>
      </c>
      <c r="BE235" t="b">
        <f>+ISNUMBER(SEARCH(CompConta!$F$30,Tabla11[[#This Row],[Cuenta]],1))</f>
        <v>1</v>
      </c>
      <c r="BF235" t="b">
        <f>+ISNUMBER(SEARCH('PAGO Compras'!$E$11,Tabla11[[#This Row],[Cuenta]],1))</f>
        <v>1</v>
      </c>
      <c r="BG235" t="b">
        <f>+ISNUMBER(SEARCH(#REF!,Tabla11[[#This Row],[Cuenta]],1))</f>
        <v>0</v>
      </c>
      <c r="BH235" t="b">
        <f>+ISNUMBER(SEARCH(#REF!,Tabla11[[#This Row],[Cuenta]],1))</f>
        <v>0</v>
      </c>
      <c r="BI235" t="b">
        <f>+ISNUMBER(SEARCH(#REF!,Tabla11[[#This Row],[Cuenta]],1))</f>
        <v>0</v>
      </c>
      <c r="BJ235" t="b">
        <f>+ISNUMBER(SEARCH(#REF!,Tabla11[[#This Row],[Cuenta]],1))</f>
        <v>0</v>
      </c>
      <c r="BS235" t="str">
        <v>159245 Flota y equipo aéreo</v>
      </c>
      <c r="BT235" t="str">
        <v>159245 Flota y equipo aéreo</v>
      </c>
      <c r="BU235" t="str">
        <v>159245 Flota y equipo aéreo</v>
      </c>
      <c r="BV235" t="str">
        <v>159245 Flota y equipo aéreo</v>
      </c>
      <c r="BZ235" t="str">
        <v>159245 Flota y equipo aéreo</v>
      </c>
      <c r="CA235" t="str">
        <v>159245 Flota y equipo aéreo</v>
      </c>
      <c r="CB235" t="str">
        <v>159245 Flota y equipo aéreo</v>
      </c>
      <c r="CC235" t="str">
        <v>159245 Flota y equipo aéreo</v>
      </c>
      <c r="CD235" t="str">
        <v>159245 Flota y equipo aéreo</v>
      </c>
      <c r="CE235" t="str">
        <v>159245 Flota y equipo aéreo</v>
      </c>
      <c r="CS235" s="141" t="str">
        <v>159245 Flota y equipo aéreo</v>
      </c>
      <c r="CT235" s="141" t="str">
        <v>159245 Flota y equipo aéreo</v>
      </c>
      <c r="CU235" s="141" t="str">
        <v>159245 Flota y equipo aéreo</v>
      </c>
      <c r="CV235" s="141" t="str">
        <v>159245 Flota y equipo aéreo</v>
      </c>
      <c r="CW235" s="141" t="str">
        <v>159245 Flota y equipo aéreo</v>
      </c>
      <c r="CX235" s="141" t="str">
        <v>159245 Flota y equipo aéreo</v>
      </c>
      <c r="CY235" s="141" t="str">
        <v>159245 Flota y equipo aéreo</v>
      </c>
      <c r="CZ235" s="141" t="str">
        <v>159245 Flota y equipo aéreo</v>
      </c>
      <c r="DA235" s="141" t="str">
        <v>159245 Flota y equipo aéreo</v>
      </c>
      <c r="DF235" t="str">
        <v>159245 Flota y equipo aéreo</v>
      </c>
      <c r="DG235" t="str">
        <v>159245 Flota y equipo aéreo</v>
      </c>
      <c r="DH235" t="str">
        <v>159245 Flota y equipo aéreo</v>
      </c>
      <c r="DI235" t="str">
        <v>159245 Flota y equipo aéreo</v>
      </c>
      <c r="DJ235" t="str">
        <v>159245 Flota y equipo aéreo</v>
      </c>
      <c r="DK235" t="str">
        <v>159245 Flota y equipo aéreo</v>
      </c>
      <c r="DL235" t="str">
        <v>159245 Flota y equipo aéreo</v>
      </c>
      <c r="DM235" t="str">
        <v>159245 Flota y equipo aéreo</v>
      </c>
      <c r="DN235" t="str">
        <v>159245 Flota y equipo aéreo</v>
      </c>
      <c r="DO235" t="str">
        <v>159245 Flota y equipo aéreo</v>
      </c>
      <c r="DP235" t="str">
        <v>159245 Flota y equipo aéreo</v>
      </c>
    </row>
    <row r="236" spans="4:120" ht="12.75">
      <c r="D236" s="7">
        <v>159250</v>
      </c>
      <c r="E236" s="6" t="s">
        <v>136</v>
      </c>
      <c r="F236" s="5">
        <v>4</v>
      </c>
      <c r="G236" s="34" t="s">
        <v>822</v>
      </c>
      <c r="H236" s="8" t="s">
        <v>56</v>
      </c>
      <c r="I236" t="b">
        <f>+ISNUMBER(SEARCH('F-COMPRA'!$F$28,Tabla11[[#This Row],[Cuenta]],1))</f>
        <v>1</v>
      </c>
      <c r="J236" t="b">
        <f>+ISNUMBER(SEARCH('F-COMPRA'!$F$29,Tabla11[[#This Row],[Cuenta]],1))</f>
        <v>1</v>
      </c>
      <c r="K236" t="b">
        <f>+ISNUMBER(SEARCH('F-COMPRA'!$F$30,Tabla11[[#This Row],[Cuenta]],1))</f>
        <v>1</v>
      </c>
      <c r="L236" t="b">
        <f>+ISNUMBER(SEARCH('F-COMPRA'!$F$31,Tabla11[[#This Row],[Cuenta]],1))</f>
        <v>1</v>
      </c>
      <c r="M236" t="b">
        <f>+ISNUMBER(SEARCH('F-COMPRA'!$G$25,Tabla11[[#This Row],[Cuenta]],1))</f>
        <v>0</v>
      </c>
      <c r="N236" t="b">
        <f>+ISNUMBER(SEARCH(#REF!,Tabla11[[#This Row],[Cuenta]],1))</f>
        <v>0</v>
      </c>
      <c r="O236" t="b">
        <f>+ISNUMBER(SEARCH(#REF!,Tabla11[[#This Row],[Cuenta]],1))</f>
        <v>0</v>
      </c>
      <c r="P236" t="b">
        <f>+ISNUMBER(SEARCH('F-COMPRA'!$F$32,Tabla11[[#This Row],[Cuenta]],1))</f>
        <v>1</v>
      </c>
      <c r="Q236" t="b">
        <f>+ISNUMBER(SEARCH('F-COMPRA'!$F$33,Tabla11[[#This Row],[Cuenta]],1))</f>
        <v>1</v>
      </c>
      <c r="R236" t="b">
        <f>+ISNUMBER(SEARCH('F-COMPRA'!$F$34,Tabla11[[#This Row],[Cuenta]],1))</f>
        <v>1</v>
      </c>
      <c r="S236" t="b">
        <f>+ISNUMBER(SEARCH('F-COMPRA'!$F$35,Tabla11[[#This Row],[Cuenta]],1))</f>
        <v>1</v>
      </c>
      <c r="T236" t="b">
        <f>+ISNUMBER(SEARCH('F-COMPRA'!$F$36,Tabla11[[#This Row],[Cuenta]],1))</f>
        <v>1</v>
      </c>
      <c r="U236" t="b">
        <f>+ISNUMBER(SEARCH('F-COMPRA'!$F$37,Tabla11[[#This Row],[Cuenta]],1))</f>
        <v>1</v>
      </c>
      <c r="V236" t="b">
        <f>+ISNUMBER(SEARCH(#REF!,Tabla11[[#This Row],[Cuenta]],1))</f>
        <v>0</v>
      </c>
      <c r="W236" t="b">
        <f>+ISNUMBER(SEARCH('F-COMPRA'!#REF!,Tabla11[[#This Row],[Cuenta]],1))</f>
        <v>0</v>
      </c>
      <c r="X236" t="b">
        <f>+ISNUMBER(SEARCH('F-COMPRA'!#REF!,Tabla11[[#This Row],[Cuenta]],1))</f>
        <v>0</v>
      </c>
      <c r="Y236" t="b">
        <f>+ISNUMBER(SEARCH('F-COMPRA'!#REF!,Tabla11[[#This Row],[Cuenta]],1))</f>
        <v>0</v>
      </c>
      <c r="Z236" t="b">
        <f>+ISNUMBER(SEARCH('F-COMPRA'!#REF!,Tabla11[[#This Row],[Cuenta]],1))</f>
        <v>0</v>
      </c>
      <c r="AA236" t="b">
        <f>+ISNUMBER(SEARCH('F-COMPRA'!#REF!,Tabla11[[#This Row],[Cuenta]],1))</f>
        <v>0</v>
      </c>
      <c r="AB236" t="b">
        <f>+ISNUMBER(SEARCH('F-COMPRA'!#REF!,Tabla11[[#This Row],[Cuenta]],1))</f>
        <v>0</v>
      </c>
      <c r="AC236" t="b">
        <f>+ISNUMBER(SEARCH('F-COMPRA'!#REF!,Tabla11[[#This Row],[Cuenta]],1))</f>
        <v>0</v>
      </c>
      <c r="AD236" t="b">
        <f>+ISNUMBER(SEARCH('F-COMPRA'!#REF!,Tabla11[[#This Row],[Cuenta]],1))</f>
        <v>0</v>
      </c>
      <c r="AE236" t="b">
        <f>+ISNUMBER(SEARCH('F-COMPRA'!#REF!,Tabla11[[#This Row],[Cuenta]],1))</f>
        <v>0</v>
      </c>
      <c r="AF236" t="b">
        <f>+ISNUMBER(SEARCH('F-VTA'!$G$23,Tabla11[[#This Row],[Cuenta]],1))</f>
        <v>0</v>
      </c>
      <c r="AG236" t="b">
        <f>+ISNUMBER(SEARCH('F-VTA'!$G$24,Tabla11[[#This Row],[Cuenta]],1))</f>
        <v>0</v>
      </c>
      <c r="AH236" t="b">
        <f>+ISNUMBER(SEARCH('F-VTA'!$G$25,Tabla11[[#This Row],[Cuenta]],1))</f>
        <v>0</v>
      </c>
      <c r="AI236" t="b">
        <f>+ISNUMBER(SEARCH('F-VTA'!$F$28,Tabla11[[#This Row],[Cuenta]],1))</f>
        <v>1</v>
      </c>
      <c r="AJ236" t="b">
        <f>+ISNUMBER(SEARCH('F-VTA'!$F$29,Tabla11[[#This Row],[Cuenta]],1))</f>
        <v>1</v>
      </c>
      <c r="AK236" t="b">
        <f>+ISNUMBER(SEARCH('F-VTA'!$F$30,Tabla11[[#This Row],[Cuenta]],1))</f>
        <v>1</v>
      </c>
      <c r="AL236" t="b">
        <f>+ISNUMBER(SEARCH('F-VTA'!$F$31,Tabla11[[#This Row],[Cuenta]],1))</f>
        <v>1</v>
      </c>
      <c r="AM236" t="b">
        <f>+ISNUMBER(SEARCH('F-VTA'!$F$32,Tabla11[[#This Row],[Cuenta]],1))</f>
        <v>1</v>
      </c>
      <c r="AN236" t="b">
        <f>+ISNUMBER(SEARCH('F-VTA'!$F$33,Tabla11[[#This Row],[Cuenta]],1))</f>
        <v>1</v>
      </c>
      <c r="AO236" t="b">
        <f>+ISNUMBER(SEARCH('F-VTA'!$F$34,Tabla11[[#This Row],[Cuenta]],1))</f>
        <v>1</v>
      </c>
      <c r="AP236" t="b">
        <f>+ISNUMBER(SEARCH('F-VTA'!$F$35,Tabla11[[#This Row],[Cuenta]],1))</f>
        <v>1</v>
      </c>
      <c r="AQ236" t="b">
        <f>+ISNUMBER(SEARCH('F-VTA'!$F$36,Tabla11[[#This Row],[Cuenta]],1))</f>
        <v>1</v>
      </c>
      <c r="AR236" t="b">
        <f>+ISNUMBER(SEARCH(#REF!,Tabla11[[#This Row],[Cuenta]],1))</f>
        <v>0</v>
      </c>
      <c r="AS236" t="b">
        <f>+ISNUMBER(SEARCH(#REF!,Tabla11[[#This Row],[Cuenta]],1))</f>
        <v>0</v>
      </c>
      <c r="AT236" t="b">
        <f>+ISNUMBER(SEARCH(#REF!,Tabla11[[#This Row],[Cuenta]],1))</f>
        <v>0</v>
      </c>
      <c r="AU236" t="b">
        <f>+ISNUMBER(SEARCH('Conc. Ban.1'!$I$9,Tabla11[[#This Row],[Cuenta]],1))</f>
        <v>0</v>
      </c>
      <c r="AV236" t="b">
        <f>+ISNUMBER(SEARCH(CompConta!$F$21,Tabla11[[#This Row],[Cuenta]],1))</f>
        <v>1</v>
      </c>
      <c r="AW236" t="b">
        <f>+ISNUMBER(SEARCH(CompConta!$F$22,Tabla11[[#This Row],[Cuenta]],1))</f>
        <v>1</v>
      </c>
      <c r="AX236" t="b">
        <f>+ISNUMBER(SEARCH(CompConta!$F$23,Tabla11[[#This Row],[Cuenta]],1))</f>
        <v>1</v>
      </c>
      <c r="AY236" t="b">
        <f>+ISNUMBER(SEARCH(CompConta!$F$24,Tabla11[[#This Row],[Cuenta]],1))</f>
        <v>1</v>
      </c>
      <c r="AZ236" t="b">
        <f>+ISNUMBER(SEARCH(CompConta!$F$25,Tabla11[[#This Row],[Cuenta]],1))</f>
        <v>1</v>
      </c>
      <c r="BA236" t="b">
        <f>+ISNUMBER(SEARCH(CompConta!$F$26,Tabla11[[#This Row],[Cuenta]],1))</f>
        <v>1</v>
      </c>
      <c r="BB236" t="b">
        <f>+ISNUMBER(SEARCH(CompConta!$F$27,Tabla11[[#This Row],[Cuenta]],1))</f>
        <v>1</v>
      </c>
      <c r="BC236" t="b">
        <f>+ISNUMBER(SEARCH(CompConta!$F$28,Tabla11[[#This Row],[Cuenta]],1))</f>
        <v>1</v>
      </c>
      <c r="BD236" t="b">
        <f>+ISNUMBER(SEARCH(CompConta!$F$29,Tabla11[[#This Row],[Cuenta]],1))</f>
        <v>1</v>
      </c>
      <c r="BE236" t="b">
        <f>+ISNUMBER(SEARCH(CompConta!$F$30,Tabla11[[#This Row],[Cuenta]],1))</f>
        <v>1</v>
      </c>
      <c r="BF236" t="b">
        <f>+ISNUMBER(SEARCH('PAGO Compras'!$E$11,Tabla11[[#This Row],[Cuenta]],1))</f>
        <v>1</v>
      </c>
      <c r="BG236" t="b">
        <f>+ISNUMBER(SEARCH(#REF!,Tabla11[[#This Row],[Cuenta]],1))</f>
        <v>0</v>
      </c>
      <c r="BH236" t="b">
        <f>+ISNUMBER(SEARCH(#REF!,Tabla11[[#This Row],[Cuenta]],1))</f>
        <v>0</v>
      </c>
      <c r="BI236" t="b">
        <f>+ISNUMBER(SEARCH(#REF!,Tabla11[[#This Row],[Cuenta]],1))</f>
        <v>0</v>
      </c>
      <c r="BJ236" t="b">
        <f>+ISNUMBER(SEARCH(#REF!,Tabla11[[#This Row],[Cuenta]],1))</f>
        <v>0</v>
      </c>
      <c r="BS236" t="str">
        <v>159250 Flota y equipo férreo</v>
      </c>
      <c r="BT236" t="str">
        <v>159250 Flota y equipo férreo</v>
      </c>
      <c r="BU236" t="str">
        <v>159250 Flota y equipo férreo</v>
      </c>
      <c r="BV236" t="str">
        <v>159250 Flota y equipo férreo</v>
      </c>
      <c r="BZ236" t="str">
        <v>159250 Flota y equipo férreo</v>
      </c>
      <c r="CA236" t="str">
        <v>159250 Flota y equipo férreo</v>
      </c>
      <c r="CB236" t="str">
        <v>159250 Flota y equipo férreo</v>
      </c>
      <c r="CC236" t="str">
        <v>159250 Flota y equipo férreo</v>
      </c>
      <c r="CD236" t="str">
        <v>159250 Flota y equipo férreo</v>
      </c>
      <c r="CE236" t="str">
        <v>159250 Flota y equipo férreo</v>
      </c>
      <c r="CS236" s="141" t="str">
        <v>159250 Flota y equipo férreo</v>
      </c>
      <c r="CT236" s="141" t="str">
        <v>159250 Flota y equipo férreo</v>
      </c>
      <c r="CU236" s="141" t="str">
        <v>159250 Flota y equipo férreo</v>
      </c>
      <c r="CV236" s="141" t="str">
        <v>159250 Flota y equipo férreo</v>
      </c>
      <c r="CW236" s="141" t="str">
        <v>159250 Flota y equipo férreo</v>
      </c>
      <c r="CX236" s="141" t="str">
        <v>159250 Flota y equipo férreo</v>
      </c>
      <c r="CY236" s="141" t="str">
        <v>159250 Flota y equipo férreo</v>
      </c>
      <c r="CZ236" s="141" t="str">
        <v>159250 Flota y equipo férreo</v>
      </c>
      <c r="DA236" s="141" t="str">
        <v>159250 Flota y equipo férreo</v>
      </c>
      <c r="DF236" t="str">
        <v>159250 Flota y equipo férreo</v>
      </c>
      <c r="DG236" t="str">
        <v>159250 Flota y equipo férreo</v>
      </c>
      <c r="DH236" t="str">
        <v>159250 Flota y equipo férreo</v>
      </c>
      <c r="DI236" t="str">
        <v>159250 Flota y equipo férreo</v>
      </c>
      <c r="DJ236" t="str">
        <v>159250 Flota y equipo férreo</v>
      </c>
      <c r="DK236" t="str">
        <v>159250 Flota y equipo férreo</v>
      </c>
      <c r="DL236" t="str">
        <v>159250 Flota y equipo férreo</v>
      </c>
      <c r="DM236" t="str">
        <v>159250 Flota y equipo férreo</v>
      </c>
      <c r="DN236" t="str">
        <v>159250 Flota y equipo férreo</v>
      </c>
      <c r="DO236" t="str">
        <v>159250 Flota y equipo férreo</v>
      </c>
      <c r="DP236" t="str">
        <v>159250 Flota y equipo férreo</v>
      </c>
    </row>
    <row r="237" spans="4:120" ht="12.75">
      <c r="D237" s="7">
        <v>159255</v>
      </c>
      <c r="E237" s="6" t="s">
        <v>122</v>
      </c>
      <c r="F237" s="5">
        <v>4</v>
      </c>
      <c r="G237" s="34" t="s">
        <v>822</v>
      </c>
      <c r="H237" s="8" t="s">
        <v>56</v>
      </c>
      <c r="I237" t="b">
        <f>+ISNUMBER(SEARCH('F-COMPRA'!$F$28,Tabla11[[#This Row],[Cuenta]],1))</f>
        <v>1</v>
      </c>
      <c r="J237" t="b">
        <f>+ISNUMBER(SEARCH('F-COMPRA'!$F$29,Tabla11[[#This Row],[Cuenta]],1))</f>
        <v>1</v>
      </c>
      <c r="K237" t="b">
        <f>+ISNUMBER(SEARCH('F-COMPRA'!$F$30,Tabla11[[#This Row],[Cuenta]],1))</f>
        <v>1</v>
      </c>
      <c r="L237" t="b">
        <f>+ISNUMBER(SEARCH('F-COMPRA'!$F$31,Tabla11[[#This Row],[Cuenta]],1))</f>
        <v>1</v>
      </c>
      <c r="M237" t="b">
        <f>+ISNUMBER(SEARCH('F-COMPRA'!$G$25,Tabla11[[#This Row],[Cuenta]],1))</f>
        <v>0</v>
      </c>
      <c r="N237" t="b">
        <f>+ISNUMBER(SEARCH(#REF!,Tabla11[[#This Row],[Cuenta]],1))</f>
        <v>0</v>
      </c>
      <c r="O237" t="b">
        <f>+ISNUMBER(SEARCH(#REF!,Tabla11[[#This Row],[Cuenta]],1))</f>
        <v>0</v>
      </c>
      <c r="P237" t="b">
        <f>+ISNUMBER(SEARCH('F-COMPRA'!$F$32,Tabla11[[#This Row],[Cuenta]],1))</f>
        <v>1</v>
      </c>
      <c r="Q237" t="b">
        <f>+ISNUMBER(SEARCH('F-COMPRA'!$F$33,Tabla11[[#This Row],[Cuenta]],1))</f>
        <v>1</v>
      </c>
      <c r="R237" t="b">
        <f>+ISNUMBER(SEARCH('F-COMPRA'!$F$34,Tabla11[[#This Row],[Cuenta]],1))</f>
        <v>1</v>
      </c>
      <c r="S237" t="b">
        <f>+ISNUMBER(SEARCH('F-COMPRA'!$F$35,Tabla11[[#This Row],[Cuenta]],1))</f>
        <v>1</v>
      </c>
      <c r="T237" t="b">
        <f>+ISNUMBER(SEARCH('F-COMPRA'!$F$36,Tabla11[[#This Row],[Cuenta]],1))</f>
        <v>1</v>
      </c>
      <c r="U237" t="b">
        <f>+ISNUMBER(SEARCH('F-COMPRA'!$F$37,Tabla11[[#This Row],[Cuenta]],1))</f>
        <v>1</v>
      </c>
      <c r="V237" t="b">
        <f>+ISNUMBER(SEARCH(#REF!,Tabla11[[#This Row],[Cuenta]],1))</f>
        <v>0</v>
      </c>
      <c r="W237" t="b">
        <f>+ISNUMBER(SEARCH('F-COMPRA'!#REF!,Tabla11[[#This Row],[Cuenta]],1))</f>
        <v>0</v>
      </c>
      <c r="X237" t="b">
        <f>+ISNUMBER(SEARCH('F-COMPRA'!#REF!,Tabla11[[#This Row],[Cuenta]],1))</f>
        <v>0</v>
      </c>
      <c r="Y237" t="b">
        <f>+ISNUMBER(SEARCH('F-COMPRA'!#REF!,Tabla11[[#This Row],[Cuenta]],1))</f>
        <v>0</v>
      </c>
      <c r="Z237" t="b">
        <f>+ISNUMBER(SEARCH('F-COMPRA'!#REF!,Tabla11[[#This Row],[Cuenta]],1))</f>
        <v>0</v>
      </c>
      <c r="AA237" t="b">
        <f>+ISNUMBER(SEARCH('F-COMPRA'!#REF!,Tabla11[[#This Row],[Cuenta]],1))</f>
        <v>0</v>
      </c>
      <c r="AB237" t="b">
        <f>+ISNUMBER(SEARCH('F-COMPRA'!#REF!,Tabla11[[#This Row],[Cuenta]],1))</f>
        <v>0</v>
      </c>
      <c r="AC237" t="b">
        <f>+ISNUMBER(SEARCH('F-COMPRA'!#REF!,Tabla11[[#This Row],[Cuenta]],1))</f>
        <v>0</v>
      </c>
      <c r="AD237" t="b">
        <f>+ISNUMBER(SEARCH('F-COMPRA'!#REF!,Tabla11[[#This Row],[Cuenta]],1))</f>
        <v>0</v>
      </c>
      <c r="AE237" t="b">
        <f>+ISNUMBER(SEARCH('F-COMPRA'!#REF!,Tabla11[[#This Row],[Cuenta]],1))</f>
        <v>0</v>
      </c>
      <c r="AF237" t="b">
        <f>+ISNUMBER(SEARCH('F-VTA'!$G$23,Tabla11[[#This Row],[Cuenta]],1))</f>
        <v>0</v>
      </c>
      <c r="AG237" t="b">
        <f>+ISNUMBER(SEARCH('F-VTA'!$G$24,Tabla11[[#This Row],[Cuenta]],1))</f>
        <v>0</v>
      </c>
      <c r="AH237" t="b">
        <f>+ISNUMBER(SEARCH('F-VTA'!$G$25,Tabla11[[#This Row],[Cuenta]],1))</f>
        <v>0</v>
      </c>
      <c r="AI237" t="b">
        <f>+ISNUMBER(SEARCH('F-VTA'!$F$28,Tabla11[[#This Row],[Cuenta]],1))</f>
        <v>1</v>
      </c>
      <c r="AJ237" t="b">
        <f>+ISNUMBER(SEARCH('F-VTA'!$F$29,Tabla11[[#This Row],[Cuenta]],1))</f>
        <v>1</v>
      </c>
      <c r="AK237" t="b">
        <f>+ISNUMBER(SEARCH('F-VTA'!$F$30,Tabla11[[#This Row],[Cuenta]],1))</f>
        <v>1</v>
      </c>
      <c r="AL237" t="b">
        <f>+ISNUMBER(SEARCH('F-VTA'!$F$31,Tabla11[[#This Row],[Cuenta]],1))</f>
        <v>1</v>
      </c>
      <c r="AM237" t="b">
        <f>+ISNUMBER(SEARCH('F-VTA'!$F$32,Tabla11[[#This Row],[Cuenta]],1))</f>
        <v>1</v>
      </c>
      <c r="AN237" t="b">
        <f>+ISNUMBER(SEARCH('F-VTA'!$F$33,Tabla11[[#This Row],[Cuenta]],1))</f>
        <v>1</v>
      </c>
      <c r="AO237" t="b">
        <f>+ISNUMBER(SEARCH('F-VTA'!$F$34,Tabla11[[#This Row],[Cuenta]],1))</f>
        <v>1</v>
      </c>
      <c r="AP237" t="b">
        <f>+ISNUMBER(SEARCH('F-VTA'!$F$35,Tabla11[[#This Row],[Cuenta]],1))</f>
        <v>1</v>
      </c>
      <c r="AQ237" t="b">
        <f>+ISNUMBER(SEARCH('F-VTA'!$F$36,Tabla11[[#This Row],[Cuenta]],1))</f>
        <v>1</v>
      </c>
      <c r="AR237" t="b">
        <f>+ISNUMBER(SEARCH(#REF!,Tabla11[[#This Row],[Cuenta]],1))</f>
        <v>0</v>
      </c>
      <c r="AS237" t="b">
        <f>+ISNUMBER(SEARCH(#REF!,Tabla11[[#This Row],[Cuenta]],1))</f>
        <v>0</v>
      </c>
      <c r="AT237" t="b">
        <f>+ISNUMBER(SEARCH(#REF!,Tabla11[[#This Row],[Cuenta]],1))</f>
        <v>0</v>
      </c>
      <c r="AU237" t="b">
        <f>+ISNUMBER(SEARCH('Conc. Ban.1'!$I$9,Tabla11[[#This Row],[Cuenta]],1))</f>
        <v>0</v>
      </c>
      <c r="AV237" t="b">
        <f>+ISNUMBER(SEARCH(CompConta!$F$21,Tabla11[[#This Row],[Cuenta]],1))</f>
        <v>1</v>
      </c>
      <c r="AW237" t="b">
        <f>+ISNUMBER(SEARCH(CompConta!$F$22,Tabla11[[#This Row],[Cuenta]],1))</f>
        <v>1</v>
      </c>
      <c r="AX237" t="b">
        <f>+ISNUMBER(SEARCH(CompConta!$F$23,Tabla11[[#This Row],[Cuenta]],1))</f>
        <v>1</v>
      </c>
      <c r="AY237" t="b">
        <f>+ISNUMBER(SEARCH(CompConta!$F$24,Tabla11[[#This Row],[Cuenta]],1))</f>
        <v>1</v>
      </c>
      <c r="AZ237" t="b">
        <f>+ISNUMBER(SEARCH(CompConta!$F$25,Tabla11[[#This Row],[Cuenta]],1))</f>
        <v>1</v>
      </c>
      <c r="BA237" t="b">
        <f>+ISNUMBER(SEARCH(CompConta!$F$26,Tabla11[[#This Row],[Cuenta]],1))</f>
        <v>1</v>
      </c>
      <c r="BB237" t="b">
        <f>+ISNUMBER(SEARCH(CompConta!$F$27,Tabla11[[#This Row],[Cuenta]],1))</f>
        <v>1</v>
      </c>
      <c r="BC237" t="b">
        <f>+ISNUMBER(SEARCH(CompConta!$F$28,Tabla11[[#This Row],[Cuenta]],1))</f>
        <v>1</v>
      </c>
      <c r="BD237" t="b">
        <f>+ISNUMBER(SEARCH(CompConta!$F$29,Tabla11[[#This Row],[Cuenta]],1))</f>
        <v>1</v>
      </c>
      <c r="BE237" t="b">
        <f>+ISNUMBER(SEARCH(CompConta!$F$30,Tabla11[[#This Row],[Cuenta]],1))</f>
        <v>1</v>
      </c>
      <c r="BF237" t="b">
        <f>+ISNUMBER(SEARCH('PAGO Compras'!$E$11,Tabla11[[#This Row],[Cuenta]],1))</f>
        <v>1</v>
      </c>
      <c r="BG237" t="b">
        <f>+ISNUMBER(SEARCH(#REF!,Tabla11[[#This Row],[Cuenta]],1))</f>
        <v>0</v>
      </c>
      <c r="BH237" t="b">
        <f>+ISNUMBER(SEARCH(#REF!,Tabla11[[#This Row],[Cuenta]],1))</f>
        <v>0</v>
      </c>
      <c r="BI237" t="b">
        <f>+ISNUMBER(SEARCH(#REF!,Tabla11[[#This Row],[Cuenta]],1))</f>
        <v>0</v>
      </c>
      <c r="BJ237" t="b">
        <f>+ISNUMBER(SEARCH(#REF!,Tabla11[[#This Row],[Cuenta]],1))</f>
        <v>0</v>
      </c>
      <c r="BS237" t="str">
        <v>159255 Acueductos, plantas y redes</v>
      </c>
      <c r="BT237" t="str">
        <v>159255 Acueductos, plantas y redes</v>
      </c>
      <c r="BU237" t="str">
        <v>159255 Acueductos, plantas y redes</v>
      </c>
      <c r="BV237" t="str">
        <v>159255 Acueductos, plantas y redes</v>
      </c>
      <c r="BZ237" t="str">
        <v>159255 Acueductos, plantas y redes</v>
      </c>
      <c r="CA237" t="str">
        <v>159255 Acueductos, plantas y redes</v>
      </c>
      <c r="CB237" t="str">
        <v>159255 Acueductos, plantas y redes</v>
      </c>
      <c r="CC237" t="str">
        <v>159255 Acueductos, plantas y redes</v>
      </c>
      <c r="CD237" t="str">
        <v>159255 Acueductos, plantas y redes</v>
      </c>
      <c r="CE237" t="str">
        <v>159255 Acueductos, plantas y redes</v>
      </c>
      <c r="CS237" s="141" t="str">
        <v>159255 Acueductos, plantas y redes</v>
      </c>
      <c r="CT237" s="141" t="str">
        <v>159255 Acueductos, plantas y redes</v>
      </c>
      <c r="CU237" s="141" t="str">
        <v>159255 Acueductos, plantas y redes</v>
      </c>
      <c r="CV237" s="141" t="str">
        <v>159255 Acueductos, plantas y redes</v>
      </c>
      <c r="CW237" s="141" t="str">
        <v>159255 Acueductos, plantas y redes</v>
      </c>
      <c r="CX237" s="141" t="str">
        <v>159255 Acueductos, plantas y redes</v>
      </c>
      <c r="CY237" s="141" t="str">
        <v>159255 Acueductos, plantas y redes</v>
      </c>
      <c r="CZ237" s="141" t="str">
        <v>159255 Acueductos, plantas y redes</v>
      </c>
      <c r="DA237" s="141" t="str">
        <v>159255 Acueductos, plantas y redes</v>
      </c>
      <c r="DF237" t="str">
        <v>159255 Acueductos, plantas y redes</v>
      </c>
      <c r="DG237" t="str">
        <v>159255 Acueductos, plantas y redes</v>
      </c>
      <c r="DH237" t="str">
        <v>159255 Acueductos, plantas y redes</v>
      </c>
      <c r="DI237" t="str">
        <v>159255 Acueductos, plantas y redes</v>
      </c>
      <c r="DJ237" t="str">
        <v>159255 Acueductos, plantas y redes</v>
      </c>
      <c r="DK237" t="str">
        <v>159255 Acueductos, plantas y redes</v>
      </c>
      <c r="DL237" t="str">
        <v>159255 Acueductos, plantas y redes</v>
      </c>
      <c r="DM237" t="str">
        <v>159255 Acueductos, plantas y redes</v>
      </c>
      <c r="DN237" t="str">
        <v>159255 Acueductos, plantas y redes</v>
      </c>
      <c r="DO237" t="str">
        <v>159255 Acueductos, plantas y redes</v>
      </c>
      <c r="DP237" t="str">
        <v>159255 Acueductos, plantas y redes</v>
      </c>
    </row>
    <row r="238" spans="4:120" ht="12.75">
      <c r="D238" s="7">
        <v>159260</v>
      </c>
      <c r="E238" s="6" t="s">
        <v>211</v>
      </c>
      <c r="F238" s="5">
        <v>4</v>
      </c>
      <c r="G238" s="34" t="s">
        <v>822</v>
      </c>
      <c r="H238" s="8" t="s">
        <v>56</v>
      </c>
      <c r="I238" t="b">
        <f>+ISNUMBER(SEARCH('F-COMPRA'!$F$28,Tabla11[[#This Row],[Cuenta]],1))</f>
        <v>1</v>
      </c>
      <c r="J238" t="b">
        <f>+ISNUMBER(SEARCH('F-COMPRA'!$F$29,Tabla11[[#This Row],[Cuenta]],1))</f>
        <v>1</v>
      </c>
      <c r="K238" t="b">
        <f>+ISNUMBER(SEARCH('F-COMPRA'!$F$30,Tabla11[[#This Row],[Cuenta]],1))</f>
        <v>1</v>
      </c>
      <c r="L238" t="b">
        <f>+ISNUMBER(SEARCH('F-COMPRA'!$F$31,Tabla11[[#This Row],[Cuenta]],1))</f>
        <v>1</v>
      </c>
      <c r="M238" t="b">
        <f>+ISNUMBER(SEARCH('F-COMPRA'!$G$25,Tabla11[[#This Row],[Cuenta]],1))</f>
        <v>0</v>
      </c>
      <c r="N238" t="b">
        <f>+ISNUMBER(SEARCH(#REF!,Tabla11[[#This Row],[Cuenta]],1))</f>
        <v>0</v>
      </c>
      <c r="O238" t="b">
        <f>+ISNUMBER(SEARCH(#REF!,Tabla11[[#This Row],[Cuenta]],1))</f>
        <v>0</v>
      </c>
      <c r="P238" t="b">
        <f>+ISNUMBER(SEARCH('F-COMPRA'!$F$32,Tabla11[[#This Row],[Cuenta]],1))</f>
        <v>1</v>
      </c>
      <c r="Q238" t="b">
        <f>+ISNUMBER(SEARCH('F-COMPRA'!$F$33,Tabla11[[#This Row],[Cuenta]],1))</f>
        <v>1</v>
      </c>
      <c r="R238" t="b">
        <f>+ISNUMBER(SEARCH('F-COMPRA'!$F$34,Tabla11[[#This Row],[Cuenta]],1))</f>
        <v>1</v>
      </c>
      <c r="S238" t="b">
        <f>+ISNUMBER(SEARCH('F-COMPRA'!$F$35,Tabla11[[#This Row],[Cuenta]],1))</f>
        <v>1</v>
      </c>
      <c r="T238" t="b">
        <f>+ISNUMBER(SEARCH('F-COMPRA'!$F$36,Tabla11[[#This Row],[Cuenta]],1))</f>
        <v>1</v>
      </c>
      <c r="U238" t="b">
        <f>+ISNUMBER(SEARCH('F-COMPRA'!$F$37,Tabla11[[#This Row],[Cuenta]],1))</f>
        <v>1</v>
      </c>
      <c r="V238" t="b">
        <f>+ISNUMBER(SEARCH(#REF!,Tabla11[[#This Row],[Cuenta]],1))</f>
        <v>0</v>
      </c>
      <c r="W238" t="b">
        <f>+ISNUMBER(SEARCH('F-COMPRA'!#REF!,Tabla11[[#This Row],[Cuenta]],1))</f>
        <v>0</v>
      </c>
      <c r="X238" t="b">
        <f>+ISNUMBER(SEARCH('F-COMPRA'!#REF!,Tabla11[[#This Row],[Cuenta]],1))</f>
        <v>0</v>
      </c>
      <c r="Y238" t="b">
        <f>+ISNUMBER(SEARCH('F-COMPRA'!#REF!,Tabla11[[#This Row],[Cuenta]],1))</f>
        <v>0</v>
      </c>
      <c r="Z238" t="b">
        <f>+ISNUMBER(SEARCH('F-COMPRA'!#REF!,Tabla11[[#This Row],[Cuenta]],1))</f>
        <v>0</v>
      </c>
      <c r="AA238" t="b">
        <f>+ISNUMBER(SEARCH('F-COMPRA'!#REF!,Tabla11[[#This Row],[Cuenta]],1))</f>
        <v>0</v>
      </c>
      <c r="AB238" t="b">
        <f>+ISNUMBER(SEARCH('F-COMPRA'!#REF!,Tabla11[[#This Row],[Cuenta]],1))</f>
        <v>0</v>
      </c>
      <c r="AC238" t="b">
        <f>+ISNUMBER(SEARCH('F-COMPRA'!#REF!,Tabla11[[#This Row],[Cuenta]],1))</f>
        <v>0</v>
      </c>
      <c r="AD238" t="b">
        <f>+ISNUMBER(SEARCH('F-COMPRA'!#REF!,Tabla11[[#This Row],[Cuenta]],1))</f>
        <v>0</v>
      </c>
      <c r="AE238" t="b">
        <f>+ISNUMBER(SEARCH('F-COMPRA'!#REF!,Tabla11[[#This Row],[Cuenta]],1))</f>
        <v>0</v>
      </c>
      <c r="AF238" t="b">
        <f>+ISNUMBER(SEARCH('F-VTA'!$G$23,Tabla11[[#This Row],[Cuenta]],1))</f>
        <v>0</v>
      </c>
      <c r="AG238" t="b">
        <f>+ISNUMBER(SEARCH('F-VTA'!$G$24,Tabla11[[#This Row],[Cuenta]],1))</f>
        <v>0</v>
      </c>
      <c r="AH238" t="b">
        <f>+ISNUMBER(SEARCH('F-VTA'!$G$25,Tabla11[[#This Row],[Cuenta]],1))</f>
        <v>0</v>
      </c>
      <c r="AI238" t="b">
        <f>+ISNUMBER(SEARCH('F-VTA'!$F$28,Tabla11[[#This Row],[Cuenta]],1))</f>
        <v>1</v>
      </c>
      <c r="AJ238" t="b">
        <f>+ISNUMBER(SEARCH('F-VTA'!$F$29,Tabla11[[#This Row],[Cuenta]],1))</f>
        <v>1</v>
      </c>
      <c r="AK238" t="b">
        <f>+ISNUMBER(SEARCH('F-VTA'!$F$30,Tabla11[[#This Row],[Cuenta]],1))</f>
        <v>1</v>
      </c>
      <c r="AL238" t="b">
        <f>+ISNUMBER(SEARCH('F-VTA'!$F$31,Tabla11[[#This Row],[Cuenta]],1))</f>
        <v>1</v>
      </c>
      <c r="AM238" t="b">
        <f>+ISNUMBER(SEARCH('F-VTA'!$F$32,Tabla11[[#This Row],[Cuenta]],1))</f>
        <v>1</v>
      </c>
      <c r="AN238" t="b">
        <f>+ISNUMBER(SEARCH('F-VTA'!$F$33,Tabla11[[#This Row],[Cuenta]],1))</f>
        <v>1</v>
      </c>
      <c r="AO238" t="b">
        <f>+ISNUMBER(SEARCH('F-VTA'!$F$34,Tabla11[[#This Row],[Cuenta]],1))</f>
        <v>1</v>
      </c>
      <c r="AP238" t="b">
        <f>+ISNUMBER(SEARCH('F-VTA'!$F$35,Tabla11[[#This Row],[Cuenta]],1))</f>
        <v>1</v>
      </c>
      <c r="AQ238" t="b">
        <f>+ISNUMBER(SEARCH('F-VTA'!$F$36,Tabla11[[#This Row],[Cuenta]],1))</f>
        <v>1</v>
      </c>
      <c r="AR238" t="b">
        <f>+ISNUMBER(SEARCH(#REF!,Tabla11[[#This Row],[Cuenta]],1))</f>
        <v>0</v>
      </c>
      <c r="AS238" t="b">
        <f>+ISNUMBER(SEARCH(#REF!,Tabla11[[#This Row],[Cuenta]],1))</f>
        <v>0</v>
      </c>
      <c r="AT238" t="b">
        <f>+ISNUMBER(SEARCH(#REF!,Tabla11[[#This Row],[Cuenta]],1))</f>
        <v>0</v>
      </c>
      <c r="AU238" t="b">
        <f>+ISNUMBER(SEARCH('Conc. Ban.1'!$I$9,Tabla11[[#This Row],[Cuenta]],1))</f>
        <v>0</v>
      </c>
      <c r="AV238" t="b">
        <f>+ISNUMBER(SEARCH(CompConta!$F$21,Tabla11[[#This Row],[Cuenta]],1))</f>
        <v>1</v>
      </c>
      <c r="AW238" t="b">
        <f>+ISNUMBER(SEARCH(CompConta!$F$22,Tabla11[[#This Row],[Cuenta]],1))</f>
        <v>1</v>
      </c>
      <c r="AX238" t="b">
        <f>+ISNUMBER(SEARCH(CompConta!$F$23,Tabla11[[#This Row],[Cuenta]],1))</f>
        <v>1</v>
      </c>
      <c r="AY238" t="b">
        <f>+ISNUMBER(SEARCH(CompConta!$F$24,Tabla11[[#This Row],[Cuenta]],1))</f>
        <v>1</v>
      </c>
      <c r="AZ238" t="b">
        <f>+ISNUMBER(SEARCH(CompConta!$F$25,Tabla11[[#This Row],[Cuenta]],1))</f>
        <v>1</v>
      </c>
      <c r="BA238" t="b">
        <f>+ISNUMBER(SEARCH(CompConta!$F$26,Tabla11[[#This Row],[Cuenta]],1))</f>
        <v>1</v>
      </c>
      <c r="BB238" t="b">
        <f>+ISNUMBER(SEARCH(CompConta!$F$27,Tabla11[[#This Row],[Cuenta]],1))</f>
        <v>1</v>
      </c>
      <c r="BC238" t="b">
        <f>+ISNUMBER(SEARCH(CompConta!$F$28,Tabla11[[#This Row],[Cuenta]],1))</f>
        <v>1</v>
      </c>
      <c r="BD238" t="b">
        <f>+ISNUMBER(SEARCH(CompConta!$F$29,Tabla11[[#This Row],[Cuenta]],1))</f>
        <v>1</v>
      </c>
      <c r="BE238" t="b">
        <f>+ISNUMBER(SEARCH(CompConta!$F$30,Tabla11[[#This Row],[Cuenta]],1))</f>
        <v>1</v>
      </c>
      <c r="BF238" t="b">
        <f>+ISNUMBER(SEARCH('PAGO Compras'!$E$11,Tabla11[[#This Row],[Cuenta]],1))</f>
        <v>1</v>
      </c>
      <c r="BG238" t="b">
        <f>+ISNUMBER(SEARCH(#REF!,Tabla11[[#This Row],[Cuenta]],1))</f>
        <v>0</v>
      </c>
      <c r="BH238" t="b">
        <f>+ISNUMBER(SEARCH(#REF!,Tabla11[[#This Row],[Cuenta]],1))</f>
        <v>0</v>
      </c>
      <c r="BI238" t="b">
        <f>+ISNUMBER(SEARCH(#REF!,Tabla11[[#This Row],[Cuenta]],1))</f>
        <v>0</v>
      </c>
      <c r="BJ238" t="b">
        <f>+ISNUMBER(SEARCH(#REF!,Tabla11[[#This Row],[Cuenta]],1))</f>
        <v>0</v>
      </c>
      <c r="BS238" t="str">
        <v>159260 Armamento de vigilancia</v>
      </c>
      <c r="BT238" t="str">
        <v>159260 Armamento de vigilancia</v>
      </c>
      <c r="BU238" t="str">
        <v>159260 Armamento de vigilancia</v>
      </c>
      <c r="BV238" t="str">
        <v>159260 Armamento de vigilancia</v>
      </c>
      <c r="BZ238" t="str">
        <v>159260 Armamento de vigilancia</v>
      </c>
      <c r="CA238" t="str">
        <v>159260 Armamento de vigilancia</v>
      </c>
      <c r="CB238" t="str">
        <v>159260 Armamento de vigilancia</v>
      </c>
      <c r="CC238" t="str">
        <v>159260 Armamento de vigilancia</v>
      </c>
      <c r="CD238" t="str">
        <v>159260 Armamento de vigilancia</v>
      </c>
      <c r="CE238" t="str">
        <v>159260 Armamento de vigilancia</v>
      </c>
      <c r="CS238" s="141" t="str">
        <v>159260 Armamento de vigilancia</v>
      </c>
      <c r="CT238" s="141" t="str">
        <v>159260 Armamento de vigilancia</v>
      </c>
      <c r="CU238" s="141" t="str">
        <v>159260 Armamento de vigilancia</v>
      </c>
      <c r="CV238" s="141" t="str">
        <v>159260 Armamento de vigilancia</v>
      </c>
      <c r="CW238" s="141" t="str">
        <v>159260 Armamento de vigilancia</v>
      </c>
      <c r="CX238" s="141" t="str">
        <v>159260 Armamento de vigilancia</v>
      </c>
      <c r="CY238" s="141" t="str">
        <v>159260 Armamento de vigilancia</v>
      </c>
      <c r="CZ238" s="141" t="str">
        <v>159260 Armamento de vigilancia</v>
      </c>
      <c r="DA238" s="141" t="str">
        <v>159260 Armamento de vigilancia</v>
      </c>
      <c r="DF238" t="str">
        <v>159260 Armamento de vigilancia</v>
      </c>
      <c r="DG238" t="str">
        <v>159260 Armamento de vigilancia</v>
      </c>
      <c r="DH238" t="str">
        <v>159260 Armamento de vigilancia</v>
      </c>
      <c r="DI238" t="str">
        <v>159260 Armamento de vigilancia</v>
      </c>
      <c r="DJ238" t="str">
        <v>159260 Armamento de vigilancia</v>
      </c>
      <c r="DK238" t="str">
        <v>159260 Armamento de vigilancia</v>
      </c>
      <c r="DL238" t="str">
        <v>159260 Armamento de vigilancia</v>
      </c>
      <c r="DM238" t="str">
        <v>159260 Armamento de vigilancia</v>
      </c>
      <c r="DN238" t="str">
        <v>159260 Armamento de vigilancia</v>
      </c>
      <c r="DO238" t="str">
        <v>159260 Armamento de vigilancia</v>
      </c>
      <c r="DP238" t="str">
        <v>159260 Armamento de vigilancia</v>
      </c>
    </row>
    <row r="239" spans="4:120" ht="12.75">
      <c r="D239" s="7">
        <v>159265</v>
      </c>
      <c r="E239" s="6" t="s">
        <v>213</v>
      </c>
      <c r="F239" s="5">
        <v>4</v>
      </c>
      <c r="G239" s="34" t="s">
        <v>822</v>
      </c>
      <c r="H239" s="8" t="s">
        <v>56</v>
      </c>
      <c r="I239" t="b">
        <f>+ISNUMBER(SEARCH('F-COMPRA'!$F$28,Tabla11[[#This Row],[Cuenta]],1))</f>
        <v>1</v>
      </c>
      <c r="J239" t="b">
        <f>+ISNUMBER(SEARCH('F-COMPRA'!$F$29,Tabla11[[#This Row],[Cuenta]],1))</f>
        <v>1</v>
      </c>
      <c r="K239" t="b">
        <f>+ISNUMBER(SEARCH('F-COMPRA'!$F$30,Tabla11[[#This Row],[Cuenta]],1))</f>
        <v>1</v>
      </c>
      <c r="L239" t="b">
        <f>+ISNUMBER(SEARCH('F-COMPRA'!$F$31,Tabla11[[#This Row],[Cuenta]],1))</f>
        <v>1</v>
      </c>
      <c r="M239" t="b">
        <f>+ISNUMBER(SEARCH('F-COMPRA'!$G$25,Tabla11[[#This Row],[Cuenta]],1))</f>
        <v>0</v>
      </c>
      <c r="N239" t="b">
        <f>+ISNUMBER(SEARCH(#REF!,Tabla11[[#This Row],[Cuenta]],1))</f>
        <v>0</v>
      </c>
      <c r="O239" t="b">
        <f>+ISNUMBER(SEARCH(#REF!,Tabla11[[#This Row],[Cuenta]],1))</f>
        <v>0</v>
      </c>
      <c r="P239" t="b">
        <f>+ISNUMBER(SEARCH('F-COMPRA'!$F$32,Tabla11[[#This Row],[Cuenta]],1))</f>
        <v>1</v>
      </c>
      <c r="Q239" t="b">
        <f>+ISNUMBER(SEARCH('F-COMPRA'!$F$33,Tabla11[[#This Row],[Cuenta]],1))</f>
        <v>1</v>
      </c>
      <c r="R239" t="b">
        <f>+ISNUMBER(SEARCH('F-COMPRA'!$F$34,Tabla11[[#This Row],[Cuenta]],1))</f>
        <v>1</v>
      </c>
      <c r="S239" t="b">
        <f>+ISNUMBER(SEARCH('F-COMPRA'!$F$35,Tabla11[[#This Row],[Cuenta]],1))</f>
        <v>1</v>
      </c>
      <c r="T239" t="b">
        <f>+ISNUMBER(SEARCH('F-COMPRA'!$F$36,Tabla11[[#This Row],[Cuenta]],1))</f>
        <v>1</v>
      </c>
      <c r="U239" t="b">
        <f>+ISNUMBER(SEARCH('F-COMPRA'!$F$37,Tabla11[[#This Row],[Cuenta]],1))</f>
        <v>1</v>
      </c>
      <c r="V239" t="b">
        <f>+ISNUMBER(SEARCH(#REF!,Tabla11[[#This Row],[Cuenta]],1))</f>
        <v>0</v>
      </c>
      <c r="W239" t="b">
        <f>+ISNUMBER(SEARCH('F-COMPRA'!#REF!,Tabla11[[#This Row],[Cuenta]],1))</f>
        <v>0</v>
      </c>
      <c r="X239" t="b">
        <f>+ISNUMBER(SEARCH('F-COMPRA'!#REF!,Tabla11[[#This Row],[Cuenta]],1))</f>
        <v>0</v>
      </c>
      <c r="Y239" t="b">
        <f>+ISNUMBER(SEARCH('F-COMPRA'!#REF!,Tabla11[[#This Row],[Cuenta]],1))</f>
        <v>0</v>
      </c>
      <c r="Z239" t="b">
        <f>+ISNUMBER(SEARCH('F-COMPRA'!#REF!,Tabla11[[#This Row],[Cuenta]],1))</f>
        <v>0</v>
      </c>
      <c r="AA239" t="b">
        <f>+ISNUMBER(SEARCH('F-COMPRA'!#REF!,Tabla11[[#This Row],[Cuenta]],1))</f>
        <v>0</v>
      </c>
      <c r="AB239" t="b">
        <f>+ISNUMBER(SEARCH('F-COMPRA'!#REF!,Tabla11[[#This Row],[Cuenta]],1))</f>
        <v>0</v>
      </c>
      <c r="AC239" t="b">
        <f>+ISNUMBER(SEARCH('F-COMPRA'!#REF!,Tabla11[[#This Row],[Cuenta]],1))</f>
        <v>0</v>
      </c>
      <c r="AD239" t="b">
        <f>+ISNUMBER(SEARCH('F-COMPRA'!#REF!,Tabla11[[#This Row],[Cuenta]],1))</f>
        <v>0</v>
      </c>
      <c r="AE239" t="b">
        <f>+ISNUMBER(SEARCH('F-COMPRA'!#REF!,Tabla11[[#This Row],[Cuenta]],1))</f>
        <v>0</v>
      </c>
      <c r="AF239" t="b">
        <f>+ISNUMBER(SEARCH('F-VTA'!$G$23,Tabla11[[#This Row],[Cuenta]],1))</f>
        <v>0</v>
      </c>
      <c r="AG239" t="b">
        <f>+ISNUMBER(SEARCH('F-VTA'!$G$24,Tabla11[[#This Row],[Cuenta]],1))</f>
        <v>0</v>
      </c>
      <c r="AH239" t="b">
        <f>+ISNUMBER(SEARCH('F-VTA'!$G$25,Tabla11[[#This Row],[Cuenta]],1))</f>
        <v>0</v>
      </c>
      <c r="AI239" t="b">
        <f>+ISNUMBER(SEARCH('F-VTA'!$F$28,Tabla11[[#This Row],[Cuenta]],1))</f>
        <v>1</v>
      </c>
      <c r="AJ239" t="b">
        <f>+ISNUMBER(SEARCH('F-VTA'!$F$29,Tabla11[[#This Row],[Cuenta]],1))</f>
        <v>1</v>
      </c>
      <c r="AK239" t="b">
        <f>+ISNUMBER(SEARCH('F-VTA'!$F$30,Tabla11[[#This Row],[Cuenta]],1))</f>
        <v>1</v>
      </c>
      <c r="AL239" t="b">
        <f>+ISNUMBER(SEARCH('F-VTA'!$F$31,Tabla11[[#This Row],[Cuenta]],1))</f>
        <v>1</v>
      </c>
      <c r="AM239" t="b">
        <f>+ISNUMBER(SEARCH('F-VTA'!$F$32,Tabla11[[#This Row],[Cuenta]],1))</f>
        <v>1</v>
      </c>
      <c r="AN239" t="b">
        <f>+ISNUMBER(SEARCH('F-VTA'!$F$33,Tabla11[[#This Row],[Cuenta]],1))</f>
        <v>1</v>
      </c>
      <c r="AO239" t="b">
        <f>+ISNUMBER(SEARCH('F-VTA'!$F$34,Tabla11[[#This Row],[Cuenta]],1))</f>
        <v>1</v>
      </c>
      <c r="AP239" t="b">
        <f>+ISNUMBER(SEARCH('F-VTA'!$F$35,Tabla11[[#This Row],[Cuenta]],1))</f>
        <v>1</v>
      </c>
      <c r="AQ239" t="b">
        <f>+ISNUMBER(SEARCH('F-VTA'!$F$36,Tabla11[[#This Row],[Cuenta]],1))</f>
        <v>1</v>
      </c>
      <c r="AR239" t="b">
        <f>+ISNUMBER(SEARCH(#REF!,Tabla11[[#This Row],[Cuenta]],1))</f>
        <v>0</v>
      </c>
      <c r="AS239" t="b">
        <f>+ISNUMBER(SEARCH(#REF!,Tabla11[[#This Row],[Cuenta]],1))</f>
        <v>0</v>
      </c>
      <c r="AT239" t="b">
        <f>+ISNUMBER(SEARCH(#REF!,Tabla11[[#This Row],[Cuenta]],1))</f>
        <v>0</v>
      </c>
      <c r="AU239" t="b">
        <f>+ISNUMBER(SEARCH('Conc. Ban.1'!$I$9,Tabla11[[#This Row],[Cuenta]],1))</f>
        <v>0</v>
      </c>
      <c r="AV239" t="b">
        <f>+ISNUMBER(SEARCH(CompConta!$F$21,Tabla11[[#This Row],[Cuenta]],1))</f>
        <v>1</v>
      </c>
      <c r="AW239" t="b">
        <f>+ISNUMBER(SEARCH(CompConta!$F$22,Tabla11[[#This Row],[Cuenta]],1))</f>
        <v>1</v>
      </c>
      <c r="AX239" t="b">
        <f>+ISNUMBER(SEARCH(CompConta!$F$23,Tabla11[[#This Row],[Cuenta]],1))</f>
        <v>1</v>
      </c>
      <c r="AY239" t="b">
        <f>+ISNUMBER(SEARCH(CompConta!$F$24,Tabla11[[#This Row],[Cuenta]],1))</f>
        <v>1</v>
      </c>
      <c r="AZ239" t="b">
        <f>+ISNUMBER(SEARCH(CompConta!$F$25,Tabla11[[#This Row],[Cuenta]],1))</f>
        <v>1</v>
      </c>
      <c r="BA239" t="b">
        <f>+ISNUMBER(SEARCH(CompConta!$F$26,Tabla11[[#This Row],[Cuenta]],1))</f>
        <v>1</v>
      </c>
      <c r="BB239" t="b">
        <f>+ISNUMBER(SEARCH(CompConta!$F$27,Tabla11[[#This Row],[Cuenta]],1))</f>
        <v>1</v>
      </c>
      <c r="BC239" t="b">
        <f>+ISNUMBER(SEARCH(CompConta!$F$28,Tabla11[[#This Row],[Cuenta]],1))</f>
        <v>1</v>
      </c>
      <c r="BD239" t="b">
        <f>+ISNUMBER(SEARCH(CompConta!$F$29,Tabla11[[#This Row],[Cuenta]],1))</f>
        <v>1</v>
      </c>
      <c r="BE239" t="b">
        <f>+ISNUMBER(SEARCH(CompConta!$F$30,Tabla11[[#This Row],[Cuenta]],1))</f>
        <v>1</v>
      </c>
      <c r="BF239" t="b">
        <f>+ISNUMBER(SEARCH('PAGO Compras'!$E$11,Tabla11[[#This Row],[Cuenta]],1))</f>
        <v>1</v>
      </c>
      <c r="BG239" t="b">
        <f>+ISNUMBER(SEARCH(#REF!,Tabla11[[#This Row],[Cuenta]],1))</f>
        <v>0</v>
      </c>
      <c r="BH239" t="b">
        <f>+ISNUMBER(SEARCH(#REF!,Tabla11[[#This Row],[Cuenta]],1))</f>
        <v>0</v>
      </c>
      <c r="BI239" t="b">
        <f>+ISNUMBER(SEARCH(#REF!,Tabla11[[#This Row],[Cuenta]],1))</f>
        <v>0</v>
      </c>
      <c r="BJ239" t="b">
        <f>+ISNUMBER(SEARCH(#REF!,Tabla11[[#This Row],[Cuenta]],1))</f>
        <v>0</v>
      </c>
      <c r="BS239" t="str">
        <v>159265 Envases y empaques</v>
      </c>
      <c r="BT239" t="str">
        <v>159265 Envases y empaques</v>
      </c>
      <c r="BU239" t="str">
        <v>159265 Envases y empaques</v>
      </c>
      <c r="BV239" t="str">
        <v>159265 Envases y empaques</v>
      </c>
      <c r="BZ239" t="str">
        <v>159265 Envases y empaques</v>
      </c>
      <c r="CA239" t="str">
        <v>159265 Envases y empaques</v>
      </c>
      <c r="CB239" t="str">
        <v>159265 Envases y empaques</v>
      </c>
      <c r="CC239" t="str">
        <v>159265 Envases y empaques</v>
      </c>
      <c r="CD239" t="str">
        <v>159265 Envases y empaques</v>
      </c>
      <c r="CE239" t="str">
        <v>159265 Envases y empaques</v>
      </c>
      <c r="CS239" s="141" t="str">
        <v>159265 Envases y empaques</v>
      </c>
      <c r="CT239" s="141" t="str">
        <v>159265 Envases y empaques</v>
      </c>
      <c r="CU239" s="141" t="str">
        <v>159265 Envases y empaques</v>
      </c>
      <c r="CV239" s="141" t="str">
        <v>159265 Envases y empaques</v>
      </c>
      <c r="CW239" s="141" t="str">
        <v>159265 Envases y empaques</v>
      </c>
      <c r="CX239" s="141" t="str">
        <v>159265 Envases y empaques</v>
      </c>
      <c r="CY239" s="141" t="str">
        <v>159265 Envases y empaques</v>
      </c>
      <c r="CZ239" s="141" t="str">
        <v>159265 Envases y empaques</v>
      </c>
      <c r="DA239" s="141" t="str">
        <v>159265 Envases y empaques</v>
      </c>
      <c r="DF239" t="str">
        <v>159265 Envases y empaques</v>
      </c>
      <c r="DG239" t="str">
        <v>159265 Envases y empaques</v>
      </c>
      <c r="DH239" t="str">
        <v>159265 Envases y empaques</v>
      </c>
      <c r="DI239" t="str">
        <v>159265 Envases y empaques</v>
      </c>
      <c r="DJ239" t="str">
        <v>159265 Envases y empaques</v>
      </c>
      <c r="DK239" t="str">
        <v>159265 Envases y empaques</v>
      </c>
      <c r="DL239" t="str">
        <v>159265 Envases y empaques</v>
      </c>
      <c r="DM239" t="str">
        <v>159265 Envases y empaques</v>
      </c>
      <c r="DN239" t="str">
        <v>159265 Envases y empaques</v>
      </c>
      <c r="DO239" t="str">
        <v>159265 Envases y empaques</v>
      </c>
      <c r="DP239" t="str">
        <v>159265 Envases y empaques</v>
      </c>
    </row>
    <row r="240" spans="4:120" ht="12.75">
      <c r="D240" s="7">
        <v>159299</v>
      </c>
      <c r="E240" s="6" t="s">
        <v>44</v>
      </c>
      <c r="F240" s="5">
        <v>4</v>
      </c>
      <c r="G240" s="34" t="s">
        <v>822</v>
      </c>
      <c r="H240" s="8" t="s">
        <v>56</v>
      </c>
      <c r="I240" t="b">
        <f>+ISNUMBER(SEARCH('F-COMPRA'!$F$28,Tabla11[[#This Row],[Cuenta]],1))</f>
        <v>1</v>
      </c>
      <c r="J240" t="b">
        <f>+ISNUMBER(SEARCH('F-COMPRA'!$F$29,Tabla11[[#This Row],[Cuenta]],1))</f>
        <v>1</v>
      </c>
      <c r="K240" t="b">
        <f>+ISNUMBER(SEARCH('F-COMPRA'!$F$30,Tabla11[[#This Row],[Cuenta]],1))</f>
        <v>1</v>
      </c>
      <c r="L240" t="b">
        <f>+ISNUMBER(SEARCH('F-COMPRA'!$F$31,Tabla11[[#This Row],[Cuenta]],1))</f>
        <v>1</v>
      </c>
      <c r="M240" t="b">
        <f>+ISNUMBER(SEARCH('F-COMPRA'!$G$25,Tabla11[[#This Row],[Cuenta]],1))</f>
        <v>0</v>
      </c>
      <c r="N240" t="b">
        <f>+ISNUMBER(SEARCH(#REF!,Tabla11[[#This Row],[Cuenta]],1))</f>
        <v>0</v>
      </c>
      <c r="O240" t="b">
        <f>+ISNUMBER(SEARCH(#REF!,Tabla11[[#This Row],[Cuenta]],1))</f>
        <v>0</v>
      </c>
      <c r="P240" t="b">
        <f>+ISNUMBER(SEARCH('F-COMPRA'!$F$32,Tabla11[[#This Row],[Cuenta]],1))</f>
        <v>1</v>
      </c>
      <c r="Q240" t="b">
        <f>+ISNUMBER(SEARCH('F-COMPRA'!$F$33,Tabla11[[#This Row],[Cuenta]],1))</f>
        <v>1</v>
      </c>
      <c r="R240" t="b">
        <f>+ISNUMBER(SEARCH('F-COMPRA'!$F$34,Tabla11[[#This Row],[Cuenta]],1))</f>
        <v>1</v>
      </c>
      <c r="S240" t="b">
        <f>+ISNUMBER(SEARCH('F-COMPRA'!$F$35,Tabla11[[#This Row],[Cuenta]],1))</f>
        <v>1</v>
      </c>
      <c r="T240" t="b">
        <f>+ISNUMBER(SEARCH('F-COMPRA'!$F$36,Tabla11[[#This Row],[Cuenta]],1))</f>
        <v>1</v>
      </c>
      <c r="U240" t="b">
        <f>+ISNUMBER(SEARCH('F-COMPRA'!$F$37,Tabla11[[#This Row],[Cuenta]],1))</f>
        <v>1</v>
      </c>
      <c r="V240" t="b">
        <f>+ISNUMBER(SEARCH(#REF!,Tabla11[[#This Row],[Cuenta]],1))</f>
        <v>0</v>
      </c>
      <c r="W240" t="b">
        <f>+ISNUMBER(SEARCH('F-COMPRA'!#REF!,Tabla11[[#This Row],[Cuenta]],1))</f>
        <v>0</v>
      </c>
      <c r="X240" t="b">
        <f>+ISNUMBER(SEARCH('F-COMPRA'!#REF!,Tabla11[[#This Row],[Cuenta]],1))</f>
        <v>0</v>
      </c>
      <c r="Y240" t="b">
        <f>+ISNUMBER(SEARCH('F-COMPRA'!#REF!,Tabla11[[#This Row],[Cuenta]],1))</f>
        <v>0</v>
      </c>
      <c r="Z240" t="b">
        <f>+ISNUMBER(SEARCH('F-COMPRA'!#REF!,Tabla11[[#This Row],[Cuenta]],1))</f>
        <v>0</v>
      </c>
      <c r="AA240" t="b">
        <f>+ISNUMBER(SEARCH('F-COMPRA'!#REF!,Tabla11[[#This Row],[Cuenta]],1))</f>
        <v>0</v>
      </c>
      <c r="AB240" t="b">
        <f>+ISNUMBER(SEARCH('F-COMPRA'!#REF!,Tabla11[[#This Row],[Cuenta]],1))</f>
        <v>0</v>
      </c>
      <c r="AC240" t="b">
        <f>+ISNUMBER(SEARCH('F-COMPRA'!#REF!,Tabla11[[#This Row],[Cuenta]],1))</f>
        <v>0</v>
      </c>
      <c r="AD240" t="b">
        <f>+ISNUMBER(SEARCH('F-COMPRA'!#REF!,Tabla11[[#This Row],[Cuenta]],1))</f>
        <v>0</v>
      </c>
      <c r="AE240" t="b">
        <f>+ISNUMBER(SEARCH('F-COMPRA'!#REF!,Tabla11[[#This Row],[Cuenta]],1))</f>
        <v>0</v>
      </c>
      <c r="AF240" t="b">
        <f>+ISNUMBER(SEARCH('F-VTA'!$G$23,Tabla11[[#This Row],[Cuenta]],1))</f>
        <v>0</v>
      </c>
      <c r="AG240" t="b">
        <f>+ISNUMBER(SEARCH('F-VTA'!$G$24,Tabla11[[#This Row],[Cuenta]],1))</f>
        <v>0</v>
      </c>
      <c r="AH240" t="b">
        <f>+ISNUMBER(SEARCH('F-VTA'!$G$25,Tabla11[[#This Row],[Cuenta]],1))</f>
        <v>0</v>
      </c>
      <c r="AI240" t="b">
        <f>+ISNUMBER(SEARCH('F-VTA'!$F$28,Tabla11[[#This Row],[Cuenta]],1))</f>
        <v>1</v>
      </c>
      <c r="AJ240" t="b">
        <f>+ISNUMBER(SEARCH('F-VTA'!$F$29,Tabla11[[#This Row],[Cuenta]],1))</f>
        <v>1</v>
      </c>
      <c r="AK240" t="b">
        <f>+ISNUMBER(SEARCH('F-VTA'!$F$30,Tabla11[[#This Row],[Cuenta]],1))</f>
        <v>1</v>
      </c>
      <c r="AL240" t="b">
        <f>+ISNUMBER(SEARCH('F-VTA'!$F$31,Tabla11[[#This Row],[Cuenta]],1))</f>
        <v>1</v>
      </c>
      <c r="AM240" t="b">
        <f>+ISNUMBER(SEARCH('F-VTA'!$F$32,Tabla11[[#This Row],[Cuenta]],1))</f>
        <v>1</v>
      </c>
      <c r="AN240" t="b">
        <f>+ISNUMBER(SEARCH('F-VTA'!$F$33,Tabla11[[#This Row],[Cuenta]],1))</f>
        <v>1</v>
      </c>
      <c r="AO240" t="b">
        <f>+ISNUMBER(SEARCH('F-VTA'!$F$34,Tabla11[[#This Row],[Cuenta]],1))</f>
        <v>1</v>
      </c>
      <c r="AP240" t="b">
        <f>+ISNUMBER(SEARCH('F-VTA'!$F$35,Tabla11[[#This Row],[Cuenta]],1))</f>
        <v>1</v>
      </c>
      <c r="AQ240" t="b">
        <f>+ISNUMBER(SEARCH('F-VTA'!$F$36,Tabla11[[#This Row],[Cuenta]],1))</f>
        <v>1</v>
      </c>
      <c r="AR240" t="b">
        <f>+ISNUMBER(SEARCH(#REF!,Tabla11[[#This Row],[Cuenta]],1))</f>
        <v>0</v>
      </c>
      <c r="AS240" t="b">
        <f>+ISNUMBER(SEARCH(#REF!,Tabla11[[#This Row],[Cuenta]],1))</f>
        <v>0</v>
      </c>
      <c r="AT240" t="b">
        <f>+ISNUMBER(SEARCH(#REF!,Tabla11[[#This Row],[Cuenta]],1))</f>
        <v>0</v>
      </c>
      <c r="AU240" t="b">
        <f>+ISNUMBER(SEARCH('Conc. Ban.1'!$I$9,Tabla11[[#This Row],[Cuenta]],1))</f>
        <v>0</v>
      </c>
      <c r="AV240" t="b">
        <f>+ISNUMBER(SEARCH(CompConta!$F$21,Tabla11[[#This Row],[Cuenta]],1))</f>
        <v>1</v>
      </c>
      <c r="AW240" t="b">
        <f>+ISNUMBER(SEARCH(CompConta!$F$22,Tabla11[[#This Row],[Cuenta]],1))</f>
        <v>1</v>
      </c>
      <c r="AX240" t="b">
        <f>+ISNUMBER(SEARCH(CompConta!$F$23,Tabla11[[#This Row],[Cuenta]],1))</f>
        <v>1</v>
      </c>
      <c r="AY240" t="b">
        <f>+ISNUMBER(SEARCH(CompConta!$F$24,Tabla11[[#This Row],[Cuenta]],1))</f>
        <v>1</v>
      </c>
      <c r="AZ240" t="b">
        <f>+ISNUMBER(SEARCH(CompConta!$F$25,Tabla11[[#This Row],[Cuenta]],1))</f>
        <v>1</v>
      </c>
      <c r="BA240" t="b">
        <f>+ISNUMBER(SEARCH(CompConta!$F$26,Tabla11[[#This Row],[Cuenta]],1))</f>
        <v>1</v>
      </c>
      <c r="BB240" t="b">
        <f>+ISNUMBER(SEARCH(CompConta!$F$27,Tabla11[[#This Row],[Cuenta]],1))</f>
        <v>1</v>
      </c>
      <c r="BC240" t="b">
        <f>+ISNUMBER(SEARCH(CompConta!$F$28,Tabla11[[#This Row],[Cuenta]],1))</f>
        <v>1</v>
      </c>
      <c r="BD240" t="b">
        <f>+ISNUMBER(SEARCH(CompConta!$F$29,Tabla11[[#This Row],[Cuenta]],1))</f>
        <v>1</v>
      </c>
      <c r="BE240" t="b">
        <f>+ISNUMBER(SEARCH(CompConta!$F$30,Tabla11[[#This Row],[Cuenta]],1))</f>
        <v>1</v>
      </c>
      <c r="BF240" t="b">
        <f>+ISNUMBER(SEARCH('PAGO Compras'!$E$11,Tabla11[[#This Row],[Cuenta]],1))</f>
        <v>1</v>
      </c>
      <c r="BG240" t="b">
        <f>+ISNUMBER(SEARCH(#REF!,Tabla11[[#This Row],[Cuenta]],1))</f>
        <v>0</v>
      </c>
      <c r="BH240" t="b">
        <f>+ISNUMBER(SEARCH(#REF!,Tabla11[[#This Row],[Cuenta]],1))</f>
        <v>0</v>
      </c>
      <c r="BI240" t="b">
        <f>+ISNUMBER(SEARCH(#REF!,Tabla11[[#This Row],[Cuenta]],1))</f>
        <v>0</v>
      </c>
      <c r="BJ240" t="b">
        <f>+ISNUMBER(SEARCH(#REF!,Tabla11[[#This Row],[Cuenta]],1))</f>
        <v>0</v>
      </c>
      <c r="BS240" t="str">
        <v>159299 Ajustes por inflación</v>
      </c>
      <c r="BT240" t="str">
        <v>159299 Ajustes por inflación</v>
      </c>
      <c r="BU240" t="str">
        <v>159299 Ajustes por inflación</v>
      </c>
      <c r="BV240" t="str">
        <v>159299 Ajustes por inflación</v>
      </c>
      <c r="BZ240" t="str">
        <v>159299 Ajustes por inflación</v>
      </c>
      <c r="CA240" t="str">
        <v>159299 Ajustes por inflación</v>
      </c>
      <c r="CB240" t="str">
        <v>159299 Ajustes por inflación</v>
      </c>
      <c r="CC240" t="str">
        <v>159299 Ajustes por inflación</v>
      </c>
      <c r="CD240" t="str">
        <v>159299 Ajustes por inflación</v>
      </c>
      <c r="CE240" t="str">
        <v>159299 Ajustes por inflación</v>
      </c>
      <c r="CS240" s="141" t="str">
        <v>159299 Ajustes por inflación</v>
      </c>
      <c r="CT240" s="141" t="str">
        <v>159299 Ajustes por inflación</v>
      </c>
      <c r="CU240" s="141" t="str">
        <v>159299 Ajustes por inflación</v>
      </c>
      <c r="CV240" s="141" t="str">
        <v>159299 Ajustes por inflación</v>
      </c>
      <c r="CW240" s="141" t="str">
        <v>159299 Ajustes por inflación</v>
      </c>
      <c r="CX240" s="141" t="str">
        <v>159299 Ajustes por inflación</v>
      </c>
      <c r="CY240" s="141" t="str">
        <v>159299 Ajustes por inflación</v>
      </c>
      <c r="CZ240" s="141" t="str">
        <v>159299 Ajustes por inflación</v>
      </c>
      <c r="DA240" s="141" t="str">
        <v>159299 Ajustes por inflación</v>
      </c>
      <c r="DF240" t="str">
        <v>159299 Ajustes por inflación</v>
      </c>
      <c r="DG240" t="str">
        <v>159299 Ajustes por inflación</v>
      </c>
      <c r="DH240" t="str">
        <v>159299 Ajustes por inflación</v>
      </c>
      <c r="DI240" t="str">
        <v>159299 Ajustes por inflación</v>
      </c>
      <c r="DJ240" t="str">
        <v>159299 Ajustes por inflación</v>
      </c>
      <c r="DK240" t="str">
        <v>159299 Ajustes por inflación</v>
      </c>
      <c r="DL240" t="str">
        <v>159299 Ajustes por inflación</v>
      </c>
      <c r="DM240" t="str">
        <v>159299 Ajustes por inflación</v>
      </c>
      <c r="DN240" t="str">
        <v>159299 Ajustes por inflación</v>
      </c>
      <c r="DO240" t="str">
        <v>159299 Ajustes por inflación</v>
      </c>
      <c r="DP240" t="str">
        <v>159299 Ajustes por inflación</v>
      </c>
    </row>
    <row r="241" spans="4:120" ht="12.75">
      <c r="D241" s="7">
        <v>1596</v>
      </c>
      <c r="E241" s="6" t="s">
        <v>215</v>
      </c>
      <c r="F241" s="5">
        <v>3</v>
      </c>
      <c r="G241" s="34" t="s">
        <v>822</v>
      </c>
      <c r="H241" s="8" t="s">
        <v>56</v>
      </c>
      <c r="I241" t="b">
        <f>+ISNUMBER(SEARCH('F-COMPRA'!$F$28,Tabla11[[#This Row],[Cuenta]],1))</f>
        <v>1</v>
      </c>
      <c r="J241" t="b">
        <f>+ISNUMBER(SEARCH('F-COMPRA'!$F$29,Tabla11[[#This Row],[Cuenta]],1))</f>
        <v>1</v>
      </c>
      <c r="K241" t="b">
        <f>+ISNUMBER(SEARCH('F-COMPRA'!$F$30,Tabla11[[#This Row],[Cuenta]],1))</f>
        <v>1</v>
      </c>
      <c r="L241" t="b">
        <f>+ISNUMBER(SEARCH('F-COMPRA'!$F$31,Tabla11[[#This Row],[Cuenta]],1))</f>
        <v>1</v>
      </c>
      <c r="M241" t="b">
        <f>+ISNUMBER(SEARCH('F-COMPRA'!$G$25,Tabla11[[#This Row],[Cuenta]],1))</f>
        <v>0</v>
      </c>
      <c r="N241" t="b">
        <f>+ISNUMBER(SEARCH(#REF!,Tabla11[[#This Row],[Cuenta]],1))</f>
        <v>0</v>
      </c>
      <c r="O241" t="b">
        <f>+ISNUMBER(SEARCH(#REF!,Tabla11[[#This Row],[Cuenta]],1))</f>
        <v>0</v>
      </c>
      <c r="P241" t="b">
        <f>+ISNUMBER(SEARCH('F-COMPRA'!$F$32,Tabla11[[#This Row],[Cuenta]],1))</f>
        <v>1</v>
      </c>
      <c r="Q241" t="b">
        <f>+ISNUMBER(SEARCH('F-COMPRA'!$F$33,Tabla11[[#This Row],[Cuenta]],1))</f>
        <v>1</v>
      </c>
      <c r="R241" t="b">
        <f>+ISNUMBER(SEARCH('F-COMPRA'!$F$34,Tabla11[[#This Row],[Cuenta]],1))</f>
        <v>1</v>
      </c>
      <c r="S241" t="b">
        <f>+ISNUMBER(SEARCH('F-COMPRA'!$F$35,Tabla11[[#This Row],[Cuenta]],1))</f>
        <v>1</v>
      </c>
      <c r="T241" t="b">
        <f>+ISNUMBER(SEARCH('F-COMPRA'!$F$36,Tabla11[[#This Row],[Cuenta]],1))</f>
        <v>1</v>
      </c>
      <c r="U241" t="b">
        <f>+ISNUMBER(SEARCH('F-COMPRA'!$F$37,Tabla11[[#This Row],[Cuenta]],1))</f>
        <v>1</v>
      </c>
      <c r="V241" t="b">
        <f>+ISNUMBER(SEARCH(#REF!,Tabla11[[#This Row],[Cuenta]],1))</f>
        <v>0</v>
      </c>
      <c r="W241" t="b">
        <f>+ISNUMBER(SEARCH('F-COMPRA'!#REF!,Tabla11[[#This Row],[Cuenta]],1))</f>
        <v>0</v>
      </c>
      <c r="X241" t="b">
        <f>+ISNUMBER(SEARCH('F-COMPRA'!#REF!,Tabla11[[#This Row],[Cuenta]],1))</f>
        <v>0</v>
      </c>
      <c r="Y241" t="b">
        <f>+ISNUMBER(SEARCH('F-COMPRA'!#REF!,Tabla11[[#This Row],[Cuenta]],1))</f>
        <v>0</v>
      </c>
      <c r="Z241" t="b">
        <f>+ISNUMBER(SEARCH('F-COMPRA'!#REF!,Tabla11[[#This Row],[Cuenta]],1))</f>
        <v>0</v>
      </c>
      <c r="AA241" t="b">
        <f>+ISNUMBER(SEARCH('F-COMPRA'!#REF!,Tabla11[[#This Row],[Cuenta]],1))</f>
        <v>0</v>
      </c>
      <c r="AB241" t="b">
        <f>+ISNUMBER(SEARCH('F-COMPRA'!#REF!,Tabla11[[#This Row],[Cuenta]],1))</f>
        <v>0</v>
      </c>
      <c r="AC241" t="b">
        <f>+ISNUMBER(SEARCH('F-COMPRA'!#REF!,Tabla11[[#This Row],[Cuenta]],1))</f>
        <v>0</v>
      </c>
      <c r="AD241" t="b">
        <f>+ISNUMBER(SEARCH('F-COMPRA'!#REF!,Tabla11[[#This Row],[Cuenta]],1))</f>
        <v>0</v>
      </c>
      <c r="AE241" t="b">
        <f>+ISNUMBER(SEARCH('F-COMPRA'!#REF!,Tabla11[[#This Row],[Cuenta]],1))</f>
        <v>0</v>
      </c>
      <c r="AF241" t="b">
        <f>+ISNUMBER(SEARCH('F-VTA'!$G$23,Tabla11[[#This Row],[Cuenta]],1))</f>
        <v>0</v>
      </c>
      <c r="AG241" t="b">
        <f>+ISNUMBER(SEARCH('F-VTA'!$G$24,Tabla11[[#This Row],[Cuenta]],1))</f>
        <v>0</v>
      </c>
      <c r="AH241" t="b">
        <f>+ISNUMBER(SEARCH('F-VTA'!$G$25,Tabla11[[#This Row],[Cuenta]],1))</f>
        <v>0</v>
      </c>
      <c r="AI241" t="b">
        <f>+ISNUMBER(SEARCH('F-VTA'!$F$28,Tabla11[[#This Row],[Cuenta]],1))</f>
        <v>1</v>
      </c>
      <c r="AJ241" t="b">
        <f>+ISNUMBER(SEARCH('F-VTA'!$F$29,Tabla11[[#This Row],[Cuenta]],1))</f>
        <v>1</v>
      </c>
      <c r="AK241" t="b">
        <f>+ISNUMBER(SEARCH('F-VTA'!$F$30,Tabla11[[#This Row],[Cuenta]],1))</f>
        <v>1</v>
      </c>
      <c r="AL241" t="b">
        <f>+ISNUMBER(SEARCH('F-VTA'!$F$31,Tabla11[[#This Row],[Cuenta]],1))</f>
        <v>1</v>
      </c>
      <c r="AM241" t="b">
        <f>+ISNUMBER(SEARCH('F-VTA'!$F$32,Tabla11[[#This Row],[Cuenta]],1))</f>
        <v>1</v>
      </c>
      <c r="AN241" t="b">
        <f>+ISNUMBER(SEARCH('F-VTA'!$F$33,Tabla11[[#This Row],[Cuenta]],1))</f>
        <v>1</v>
      </c>
      <c r="AO241" t="b">
        <f>+ISNUMBER(SEARCH('F-VTA'!$F$34,Tabla11[[#This Row],[Cuenta]],1))</f>
        <v>1</v>
      </c>
      <c r="AP241" t="b">
        <f>+ISNUMBER(SEARCH('F-VTA'!$F$35,Tabla11[[#This Row],[Cuenta]],1))</f>
        <v>1</v>
      </c>
      <c r="AQ241" t="b">
        <f>+ISNUMBER(SEARCH('F-VTA'!$F$36,Tabla11[[#This Row],[Cuenta]],1))</f>
        <v>1</v>
      </c>
      <c r="AR241" t="b">
        <f>+ISNUMBER(SEARCH(#REF!,Tabla11[[#This Row],[Cuenta]],1))</f>
        <v>0</v>
      </c>
      <c r="AS241" t="b">
        <f>+ISNUMBER(SEARCH(#REF!,Tabla11[[#This Row],[Cuenta]],1))</f>
        <v>0</v>
      </c>
      <c r="AT241" t="b">
        <f>+ISNUMBER(SEARCH(#REF!,Tabla11[[#This Row],[Cuenta]],1))</f>
        <v>0</v>
      </c>
      <c r="AU241" t="b">
        <f>+ISNUMBER(SEARCH('Conc. Ban.1'!$I$9,Tabla11[[#This Row],[Cuenta]],1))</f>
        <v>0</v>
      </c>
      <c r="AV241" t="b">
        <f>+ISNUMBER(SEARCH(CompConta!$F$21,Tabla11[[#This Row],[Cuenta]],1))</f>
        <v>1</v>
      </c>
      <c r="AW241" t="b">
        <f>+ISNUMBER(SEARCH(CompConta!$F$22,Tabla11[[#This Row],[Cuenta]],1))</f>
        <v>1</v>
      </c>
      <c r="AX241" t="b">
        <f>+ISNUMBER(SEARCH(CompConta!$F$23,Tabla11[[#This Row],[Cuenta]],1))</f>
        <v>1</v>
      </c>
      <c r="AY241" t="b">
        <f>+ISNUMBER(SEARCH(CompConta!$F$24,Tabla11[[#This Row],[Cuenta]],1))</f>
        <v>1</v>
      </c>
      <c r="AZ241" t="b">
        <f>+ISNUMBER(SEARCH(CompConta!$F$25,Tabla11[[#This Row],[Cuenta]],1))</f>
        <v>1</v>
      </c>
      <c r="BA241" t="b">
        <f>+ISNUMBER(SEARCH(CompConta!$F$26,Tabla11[[#This Row],[Cuenta]],1))</f>
        <v>1</v>
      </c>
      <c r="BB241" t="b">
        <f>+ISNUMBER(SEARCH(CompConta!$F$27,Tabla11[[#This Row],[Cuenta]],1))</f>
        <v>1</v>
      </c>
      <c r="BC241" t="b">
        <f>+ISNUMBER(SEARCH(CompConta!$F$28,Tabla11[[#This Row],[Cuenta]],1))</f>
        <v>1</v>
      </c>
      <c r="BD241" t="b">
        <f>+ISNUMBER(SEARCH(CompConta!$F$29,Tabla11[[#This Row],[Cuenta]],1))</f>
        <v>1</v>
      </c>
      <c r="BE241" t="b">
        <f>+ISNUMBER(SEARCH(CompConta!$F$30,Tabla11[[#This Row],[Cuenta]],1))</f>
        <v>1</v>
      </c>
      <c r="BF241" t="b">
        <f>+ISNUMBER(SEARCH('PAGO Compras'!$E$11,Tabla11[[#This Row],[Cuenta]],1))</f>
        <v>1</v>
      </c>
      <c r="BG241" t="b">
        <f>+ISNUMBER(SEARCH(#REF!,Tabla11[[#This Row],[Cuenta]],1))</f>
        <v>0</v>
      </c>
      <c r="BH241" t="b">
        <f>+ISNUMBER(SEARCH(#REF!,Tabla11[[#This Row],[Cuenta]],1))</f>
        <v>0</v>
      </c>
      <c r="BI241" t="b">
        <f>+ISNUMBER(SEARCH(#REF!,Tabla11[[#This Row],[Cuenta]],1))</f>
        <v>0</v>
      </c>
      <c r="BJ241" t="b">
        <f>+ISNUMBER(SEARCH(#REF!,Tabla11[[#This Row],[Cuenta]],1))</f>
        <v>0</v>
      </c>
      <c r="BS241" t="str">
        <v>1596 DEPRECIACIÓN DIFERIDA</v>
      </c>
      <c r="BT241" t="str">
        <v>1596 DEPRECIACIÓN DIFERIDA</v>
      </c>
      <c r="BU241" t="str">
        <v>1596 DEPRECIACIÓN DIFERIDA</v>
      </c>
      <c r="BV241" t="str">
        <v>1596 DEPRECIACIÓN DIFERIDA</v>
      </c>
      <c r="BZ241" t="str">
        <v>1596 DEPRECIACIÓN DIFERIDA</v>
      </c>
      <c r="CA241" t="str">
        <v>1596 DEPRECIACIÓN DIFERIDA</v>
      </c>
      <c r="CB241" t="str">
        <v>1596 DEPRECIACIÓN DIFERIDA</v>
      </c>
      <c r="CC241" t="str">
        <v>1596 DEPRECIACIÓN DIFERIDA</v>
      </c>
      <c r="CD241" t="str">
        <v>1596 DEPRECIACIÓN DIFERIDA</v>
      </c>
      <c r="CE241" t="str">
        <v>1596 DEPRECIACIÓN DIFERIDA</v>
      </c>
      <c r="CS241" s="141" t="str">
        <v>1596 DEPRECIACIÓN DIFERIDA</v>
      </c>
      <c r="CT241" s="141" t="str">
        <v>1596 DEPRECIACIÓN DIFERIDA</v>
      </c>
      <c r="CU241" s="141" t="str">
        <v>1596 DEPRECIACIÓN DIFERIDA</v>
      </c>
      <c r="CV241" s="141" t="str">
        <v>1596 DEPRECIACIÓN DIFERIDA</v>
      </c>
      <c r="CW241" s="141" t="str">
        <v>1596 DEPRECIACIÓN DIFERIDA</v>
      </c>
      <c r="CX241" s="141" t="str">
        <v>1596 DEPRECIACIÓN DIFERIDA</v>
      </c>
      <c r="CY241" s="141" t="str">
        <v>1596 DEPRECIACIÓN DIFERIDA</v>
      </c>
      <c r="CZ241" s="141" t="str">
        <v>1596 DEPRECIACIÓN DIFERIDA</v>
      </c>
      <c r="DA241" s="141" t="str">
        <v>1596 DEPRECIACIÓN DIFERIDA</v>
      </c>
      <c r="DF241" t="str">
        <v>1596 DEPRECIACIÓN DIFERIDA</v>
      </c>
      <c r="DG241" t="str">
        <v>1596 DEPRECIACIÓN DIFERIDA</v>
      </c>
      <c r="DH241" t="str">
        <v>1596 DEPRECIACIÓN DIFERIDA</v>
      </c>
      <c r="DI241" t="str">
        <v>1596 DEPRECIACIÓN DIFERIDA</v>
      </c>
      <c r="DJ241" t="str">
        <v>1596 DEPRECIACIÓN DIFERIDA</v>
      </c>
      <c r="DK241" t="str">
        <v>1596 DEPRECIACIÓN DIFERIDA</v>
      </c>
      <c r="DL241" t="str">
        <v>1596 DEPRECIACIÓN DIFERIDA</v>
      </c>
      <c r="DM241" t="str">
        <v>1596 DEPRECIACIÓN DIFERIDA</v>
      </c>
      <c r="DN241" t="str">
        <v>1596 DEPRECIACIÓN DIFERIDA</v>
      </c>
      <c r="DO241" t="str">
        <v>1596 DEPRECIACIÓN DIFERIDA</v>
      </c>
      <c r="DP241" t="str">
        <v>1596 DEPRECIACIÓN DIFERIDA</v>
      </c>
    </row>
    <row r="242" spans="4:120" ht="12.75">
      <c r="D242" s="7">
        <v>159605</v>
      </c>
      <c r="E242" s="6" t="s">
        <v>216</v>
      </c>
      <c r="F242" s="5">
        <v>4</v>
      </c>
      <c r="G242" s="34" t="s">
        <v>822</v>
      </c>
      <c r="H242" s="8" t="s">
        <v>56</v>
      </c>
      <c r="I242" t="b">
        <f>+ISNUMBER(SEARCH('F-COMPRA'!$F$28,Tabla11[[#This Row],[Cuenta]],1))</f>
        <v>1</v>
      </c>
      <c r="J242" t="b">
        <f>+ISNUMBER(SEARCH('F-COMPRA'!$F$29,Tabla11[[#This Row],[Cuenta]],1))</f>
        <v>1</v>
      </c>
      <c r="K242" t="b">
        <f>+ISNUMBER(SEARCH('F-COMPRA'!$F$30,Tabla11[[#This Row],[Cuenta]],1))</f>
        <v>1</v>
      </c>
      <c r="L242" t="b">
        <f>+ISNUMBER(SEARCH('F-COMPRA'!$F$31,Tabla11[[#This Row],[Cuenta]],1))</f>
        <v>1</v>
      </c>
      <c r="M242" t="b">
        <f>+ISNUMBER(SEARCH('F-COMPRA'!$G$25,Tabla11[[#This Row],[Cuenta]],1))</f>
        <v>0</v>
      </c>
      <c r="N242" t="b">
        <f>+ISNUMBER(SEARCH(#REF!,Tabla11[[#This Row],[Cuenta]],1))</f>
        <v>0</v>
      </c>
      <c r="O242" t="b">
        <f>+ISNUMBER(SEARCH(#REF!,Tabla11[[#This Row],[Cuenta]],1))</f>
        <v>0</v>
      </c>
      <c r="P242" t="b">
        <f>+ISNUMBER(SEARCH('F-COMPRA'!$F$32,Tabla11[[#This Row],[Cuenta]],1))</f>
        <v>1</v>
      </c>
      <c r="Q242" t="b">
        <f>+ISNUMBER(SEARCH('F-COMPRA'!$F$33,Tabla11[[#This Row],[Cuenta]],1))</f>
        <v>1</v>
      </c>
      <c r="R242" t="b">
        <f>+ISNUMBER(SEARCH('F-COMPRA'!$F$34,Tabla11[[#This Row],[Cuenta]],1))</f>
        <v>1</v>
      </c>
      <c r="S242" t="b">
        <f>+ISNUMBER(SEARCH('F-COMPRA'!$F$35,Tabla11[[#This Row],[Cuenta]],1))</f>
        <v>1</v>
      </c>
      <c r="T242" t="b">
        <f>+ISNUMBER(SEARCH('F-COMPRA'!$F$36,Tabla11[[#This Row],[Cuenta]],1))</f>
        <v>1</v>
      </c>
      <c r="U242" t="b">
        <f>+ISNUMBER(SEARCH('F-COMPRA'!$F$37,Tabla11[[#This Row],[Cuenta]],1))</f>
        <v>1</v>
      </c>
      <c r="V242" t="b">
        <f>+ISNUMBER(SEARCH(#REF!,Tabla11[[#This Row],[Cuenta]],1))</f>
        <v>0</v>
      </c>
      <c r="W242" t="b">
        <f>+ISNUMBER(SEARCH('F-COMPRA'!#REF!,Tabla11[[#This Row],[Cuenta]],1))</f>
        <v>0</v>
      </c>
      <c r="X242" t="b">
        <f>+ISNUMBER(SEARCH('F-COMPRA'!#REF!,Tabla11[[#This Row],[Cuenta]],1))</f>
        <v>0</v>
      </c>
      <c r="Y242" t="b">
        <f>+ISNUMBER(SEARCH('F-COMPRA'!#REF!,Tabla11[[#This Row],[Cuenta]],1))</f>
        <v>0</v>
      </c>
      <c r="Z242" t="b">
        <f>+ISNUMBER(SEARCH('F-COMPRA'!#REF!,Tabla11[[#This Row],[Cuenta]],1))</f>
        <v>0</v>
      </c>
      <c r="AA242" t="b">
        <f>+ISNUMBER(SEARCH('F-COMPRA'!#REF!,Tabla11[[#This Row],[Cuenta]],1))</f>
        <v>0</v>
      </c>
      <c r="AB242" t="b">
        <f>+ISNUMBER(SEARCH('F-COMPRA'!#REF!,Tabla11[[#This Row],[Cuenta]],1))</f>
        <v>0</v>
      </c>
      <c r="AC242" t="b">
        <f>+ISNUMBER(SEARCH('F-COMPRA'!#REF!,Tabla11[[#This Row],[Cuenta]],1))</f>
        <v>0</v>
      </c>
      <c r="AD242" t="b">
        <f>+ISNUMBER(SEARCH('F-COMPRA'!#REF!,Tabla11[[#This Row],[Cuenta]],1))</f>
        <v>0</v>
      </c>
      <c r="AE242" t="b">
        <f>+ISNUMBER(SEARCH('F-COMPRA'!#REF!,Tabla11[[#This Row],[Cuenta]],1))</f>
        <v>0</v>
      </c>
      <c r="AF242" t="b">
        <f>+ISNUMBER(SEARCH('F-VTA'!$G$23,Tabla11[[#This Row],[Cuenta]],1))</f>
        <v>0</v>
      </c>
      <c r="AG242" t="b">
        <f>+ISNUMBER(SEARCH('F-VTA'!$G$24,Tabla11[[#This Row],[Cuenta]],1))</f>
        <v>0</v>
      </c>
      <c r="AH242" t="b">
        <f>+ISNUMBER(SEARCH('F-VTA'!$G$25,Tabla11[[#This Row],[Cuenta]],1))</f>
        <v>0</v>
      </c>
      <c r="AI242" t="b">
        <f>+ISNUMBER(SEARCH('F-VTA'!$F$28,Tabla11[[#This Row],[Cuenta]],1))</f>
        <v>1</v>
      </c>
      <c r="AJ242" t="b">
        <f>+ISNUMBER(SEARCH('F-VTA'!$F$29,Tabla11[[#This Row],[Cuenta]],1))</f>
        <v>1</v>
      </c>
      <c r="AK242" t="b">
        <f>+ISNUMBER(SEARCH('F-VTA'!$F$30,Tabla11[[#This Row],[Cuenta]],1))</f>
        <v>1</v>
      </c>
      <c r="AL242" t="b">
        <f>+ISNUMBER(SEARCH('F-VTA'!$F$31,Tabla11[[#This Row],[Cuenta]],1))</f>
        <v>1</v>
      </c>
      <c r="AM242" t="b">
        <f>+ISNUMBER(SEARCH('F-VTA'!$F$32,Tabla11[[#This Row],[Cuenta]],1))</f>
        <v>1</v>
      </c>
      <c r="AN242" t="b">
        <f>+ISNUMBER(SEARCH('F-VTA'!$F$33,Tabla11[[#This Row],[Cuenta]],1))</f>
        <v>1</v>
      </c>
      <c r="AO242" t="b">
        <f>+ISNUMBER(SEARCH('F-VTA'!$F$34,Tabla11[[#This Row],[Cuenta]],1))</f>
        <v>1</v>
      </c>
      <c r="AP242" t="b">
        <f>+ISNUMBER(SEARCH('F-VTA'!$F$35,Tabla11[[#This Row],[Cuenta]],1))</f>
        <v>1</v>
      </c>
      <c r="AQ242" t="b">
        <f>+ISNUMBER(SEARCH('F-VTA'!$F$36,Tabla11[[#This Row],[Cuenta]],1))</f>
        <v>1</v>
      </c>
      <c r="AR242" t="b">
        <f>+ISNUMBER(SEARCH(#REF!,Tabla11[[#This Row],[Cuenta]],1))</f>
        <v>0</v>
      </c>
      <c r="AS242" t="b">
        <f>+ISNUMBER(SEARCH(#REF!,Tabla11[[#This Row],[Cuenta]],1))</f>
        <v>0</v>
      </c>
      <c r="AT242" t="b">
        <f>+ISNUMBER(SEARCH(#REF!,Tabla11[[#This Row],[Cuenta]],1))</f>
        <v>0</v>
      </c>
      <c r="AU242" t="b">
        <f>+ISNUMBER(SEARCH('Conc. Ban.1'!$I$9,Tabla11[[#This Row],[Cuenta]],1))</f>
        <v>0</v>
      </c>
      <c r="AV242" t="b">
        <f>+ISNUMBER(SEARCH(CompConta!$F$21,Tabla11[[#This Row],[Cuenta]],1))</f>
        <v>1</v>
      </c>
      <c r="AW242" t="b">
        <f>+ISNUMBER(SEARCH(CompConta!$F$22,Tabla11[[#This Row],[Cuenta]],1))</f>
        <v>1</v>
      </c>
      <c r="AX242" t="b">
        <f>+ISNUMBER(SEARCH(CompConta!$F$23,Tabla11[[#This Row],[Cuenta]],1))</f>
        <v>1</v>
      </c>
      <c r="AY242" t="b">
        <f>+ISNUMBER(SEARCH(CompConta!$F$24,Tabla11[[#This Row],[Cuenta]],1))</f>
        <v>1</v>
      </c>
      <c r="AZ242" t="b">
        <f>+ISNUMBER(SEARCH(CompConta!$F$25,Tabla11[[#This Row],[Cuenta]],1))</f>
        <v>1</v>
      </c>
      <c r="BA242" t="b">
        <f>+ISNUMBER(SEARCH(CompConta!$F$26,Tabla11[[#This Row],[Cuenta]],1))</f>
        <v>1</v>
      </c>
      <c r="BB242" t="b">
        <f>+ISNUMBER(SEARCH(CompConta!$F$27,Tabla11[[#This Row],[Cuenta]],1))</f>
        <v>1</v>
      </c>
      <c r="BC242" t="b">
        <f>+ISNUMBER(SEARCH(CompConta!$F$28,Tabla11[[#This Row],[Cuenta]],1))</f>
        <v>1</v>
      </c>
      <c r="BD242" t="b">
        <f>+ISNUMBER(SEARCH(CompConta!$F$29,Tabla11[[#This Row],[Cuenta]],1))</f>
        <v>1</v>
      </c>
      <c r="BE242" t="b">
        <f>+ISNUMBER(SEARCH(CompConta!$F$30,Tabla11[[#This Row],[Cuenta]],1))</f>
        <v>1</v>
      </c>
      <c r="BF242" t="b">
        <f>+ISNUMBER(SEARCH('PAGO Compras'!$E$11,Tabla11[[#This Row],[Cuenta]],1))</f>
        <v>1</v>
      </c>
      <c r="BG242" t="b">
        <f>+ISNUMBER(SEARCH(#REF!,Tabla11[[#This Row],[Cuenta]],1))</f>
        <v>0</v>
      </c>
      <c r="BH242" t="b">
        <f>+ISNUMBER(SEARCH(#REF!,Tabla11[[#This Row],[Cuenta]],1))</f>
        <v>0</v>
      </c>
      <c r="BI242" t="b">
        <f>+ISNUMBER(SEARCH(#REF!,Tabla11[[#This Row],[Cuenta]],1))</f>
        <v>0</v>
      </c>
      <c r="BJ242" t="b">
        <f>+ISNUMBER(SEARCH(#REF!,Tabla11[[#This Row],[Cuenta]],1))</f>
        <v>0</v>
      </c>
      <c r="BS242" t="str">
        <v>159605 Exceso fiscal sobre la contable</v>
      </c>
      <c r="BT242" t="str">
        <v>159605 Exceso fiscal sobre la contable</v>
      </c>
      <c r="BU242" t="str">
        <v>159605 Exceso fiscal sobre la contable</v>
      </c>
      <c r="BV242" t="str">
        <v>159605 Exceso fiscal sobre la contable</v>
      </c>
      <c r="BZ242" t="str">
        <v>159605 Exceso fiscal sobre la contable</v>
      </c>
      <c r="CA242" t="str">
        <v>159605 Exceso fiscal sobre la contable</v>
      </c>
      <c r="CB242" t="str">
        <v>159605 Exceso fiscal sobre la contable</v>
      </c>
      <c r="CC242" t="str">
        <v>159605 Exceso fiscal sobre la contable</v>
      </c>
      <c r="CD242" t="str">
        <v>159605 Exceso fiscal sobre la contable</v>
      </c>
      <c r="CE242" t="str">
        <v>159605 Exceso fiscal sobre la contable</v>
      </c>
      <c r="CS242" s="141" t="str">
        <v>159605 Exceso fiscal sobre la contable</v>
      </c>
      <c r="CT242" s="141" t="str">
        <v>159605 Exceso fiscal sobre la contable</v>
      </c>
      <c r="CU242" s="141" t="str">
        <v>159605 Exceso fiscal sobre la contable</v>
      </c>
      <c r="CV242" s="141" t="str">
        <v>159605 Exceso fiscal sobre la contable</v>
      </c>
      <c r="CW242" s="141" t="str">
        <v>159605 Exceso fiscal sobre la contable</v>
      </c>
      <c r="CX242" s="141" t="str">
        <v>159605 Exceso fiscal sobre la contable</v>
      </c>
      <c r="CY242" s="141" t="str">
        <v>159605 Exceso fiscal sobre la contable</v>
      </c>
      <c r="CZ242" s="141" t="str">
        <v>159605 Exceso fiscal sobre la contable</v>
      </c>
      <c r="DA242" s="141" t="str">
        <v>159605 Exceso fiscal sobre la contable</v>
      </c>
      <c r="DF242" t="str">
        <v>159605 Exceso fiscal sobre la contable</v>
      </c>
      <c r="DG242" t="str">
        <v>159605 Exceso fiscal sobre la contable</v>
      </c>
      <c r="DH242" t="str">
        <v>159605 Exceso fiscal sobre la contable</v>
      </c>
      <c r="DI242" t="str">
        <v>159605 Exceso fiscal sobre la contable</v>
      </c>
      <c r="DJ242" t="str">
        <v>159605 Exceso fiscal sobre la contable</v>
      </c>
      <c r="DK242" t="str">
        <v>159605 Exceso fiscal sobre la contable</v>
      </c>
      <c r="DL242" t="str">
        <v>159605 Exceso fiscal sobre la contable</v>
      </c>
      <c r="DM242" t="str">
        <v>159605 Exceso fiscal sobre la contable</v>
      </c>
      <c r="DN242" t="str">
        <v>159605 Exceso fiscal sobre la contable</v>
      </c>
      <c r="DO242" t="str">
        <v>159605 Exceso fiscal sobre la contable</v>
      </c>
      <c r="DP242" t="str">
        <v>159605 Exceso fiscal sobre la contable</v>
      </c>
    </row>
    <row r="243" spans="4:120" ht="12.75">
      <c r="D243" s="7">
        <v>159610</v>
      </c>
      <c r="E243" s="6" t="s">
        <v>217</v>
      </c>
      <c r="F243" s="5">
        <v>4</v>
      </c>
      <c r="G243" s="34" t="s">
        <v>822</v>
      </c>
      <c r="H243" s="8" t="s">
        <v>56</v>
      </c>
      <c r="I243" t="b">
        <f>+ISNUMBER(SEARCH('F-COMPRA'!$F$28,Tabla11[[#This Row],[Cuenta]],1))</f>
        <v>1</v>
      </c>
      <c r="J243" t="b">
        <f>+ISNUMBER(SEARCH('F-COMPRA'!$F$29,Tabla11[[#This Row],[Cuenta]],1))</f>
        <v>1</v>
      </c>
      <c r="K243" t="b">
        <f>+ISNUMBER(SEARCH('F-COMPRA'!$F$30,Tabla11[[#This Row],[Cuenta]],1))</f>
        <v>1</v>
      </c>
      <c r="L243" t="b">
        <f>+ISNUMBER(SEARCH('F-COMPRA'!$F$31,Tabla11[[#This Row],[Cuenta]],1))</f>
        <v>1</v>
      </c>
      <c r="M243" t="b">
        <f>+ISNUMBER(SEARCH('F-COMPRA'!$G$25,Tabla11[[#This Row],[Cuenta]],1))</f>
        <v>0</v>
      </c>
      <c r="N243" t="b">
        <f>+ISNUMBER(SEARCH(#REF!,Tabla11[[#This Row],[Cuenta]],1))</f>
        <v>0</v>
      </c>
      <c r="O243" t="b">
        <f>+ISNUMBER(SEARCH(#REF!,Tabla11[[#This Row],[Cuenta]],1))</f>
        <v>0</v>
      </c>
      <c r="P243" t="b">
        <f>+ISNUMBER(SEARCH('F-COMPRA'!$F$32,Tabla11[[#This Row],[Cuenta]],1))</f>
        <v>1</v>
      </c>
      <c r="Q243" t="b">
        <f>+ISNUMBER(SEARCH('F-COMPRA'!$F$33,Tabla11[[#This Row],[Cuenta]],1))</f>
        <v>1</v>
      </c>
      <c r="R243" t="b">
        <f>+ISNUMBER(SEARCH('F-COMPRA'!$F$34,Tabla11[[#This Row],[Cuenta]],1))</f>
        <v>1</v>
      </c>
      <c r="S243" t="b">
        <f>+ISNUMBER(SEARCH('F-COMPRA'!$F$35,Tabla11[[#This Row],[Cuenta]],1))</f>
        <v>1</v>
      </c>
      <c r="T243" t="b">
        <f>+ISNUMBER(SEARCH('F-COMPRA'!$F$36,Tabla11[[#This Row],[Cuenta]],1))</f>
        <v>1</v>
      </c>
      <c r="U243" t="b">
        <f>+ISNUMBER(SEARCH('F-COMPRA'!$F$37,Tabla11[[#This Row],[Cuenta]],1))</f>
        <v>1</v>
      </c>
      <c r="V243" t="b">
        <f>+ISNUMBER(SEARCH(#REF!,Tabla11[[#This Row],[Cuenta]],1))</f>
        <v>0</v>
      </c>
      <c r="W243" t="b">
        <f>+ISNUMBER(SEARCH('F-COMPRA'!#REF!,Tabla11[[#This Row],[Cuenta]],1))</f>
        <v>0</v>
      </c>
      <c r="X243" t="b">
        <f>+ISNUMBER(SEARCH('F-COMPRA'!#REF!,Tabla11[[#This Row],[Cuenta]],1))</f>
        <v>0</v>
      </c>
      <c r="Y243" t="b">
        <f>+ISNUMBER(SEARCH('F-COMPRA'!#REF!,Tabla11[[#This Row],[Cuenta]],1))</f>
        <v>0</v>
      </c>
      <c r="Z243" t="b">
        <f>+ISNUMBER(SEARCH('F-COMPRA'!#REF!,Tabla11[[#This Row],[Cuenta]],1))</f>
        <v>0</v>
      </c>
      <c r="AA243" t="b">
        <f>+ISNUMBER(SEARCH('F-COMPRA'!#REF!,Tabla11[[#This Row],[Cuenta]],1))</f>
        <v>0</v>
      </c>
      <c r="AB243" t="b">
        <f>+ISNUMBER(SEARCH('F-COMPRA'!#REF!,Tabla11[[#This Row],[Cuenta]],1))</f>
        <v>0</v>
      </c>
      <c r="AC243" t="b">
        <f>+ISNUMBER(SEARCH('F-COMPRA'!#REF!,Tabla11[[#This Row],[Cuenta]],1))</f>
        <v>0</v>
      </c>
      <c r="AD243" t="b">
        <f>+ISNUMBER(SEARCH('F-COMPRA'!#REF!,Tabla11[[#This Row],[Cuenta]],1))</f>
        <v>0</v>
      </c>
      <c r="AE243" t="b">
        <f>+ISNUMBER(SEARCH('F-COMPRA'!#REF!,Tabla11[[#This Row],[Cuenta]],1))</f>
        <v>0</v>
      </c>
      <c r="AF243" t="b">
        <f>+ISNUMBER(SEARCH('F-VTA'!$G$23,Tabla11[[#This Row],[Cuenta]],1))</f>
        <v>0</v>
      </c>
      <c r="AG243" t="b">
        <f>+ISNUMBER(SEARCH('F-VTA'!$G$24,Tabla11[[#This Row],[Cuenta]],1))</f>
        <v>0</v>
      </c>
      <c r="AH243" t="b">
        <f>+ISNUMBER(SEARCH('F-VTA'!$G$25,Tabla11[[#This Row],[Cuenta]],1))</f>
        <v>0</v>
      </c>
      <c r="AI243" t="b">
        <f>+ISNUMBER(SEARCH('F-VTA'!$F$28,Tabla11[[#This Row],[Cuenta]],1))</f>
        <v>1</v>
      </c>
      <c r="AJ243" t="b">
        <f>+ISNUMBER(SEARCH('F-VTA'!$F$29,Tabla11[[#This Row],[Cuenta]],1))</f>
        <v>1</v>
      </c>
      <c r="AK243" t="b">
        <f>+ISNUMBER(SEARCH('F-VTA'!$F$30,Tabla11[[#This Row],[Cuenta]],1))</f>
        <v>1</v>
      </c>
      <c r="AL243" t="b">
        <f>+ISNUMBER(SEARCH('F-VTA'!$F$31,Tabla11[[#This Row],[Cuenta]],1))</f>
        <v>1</v>
      </c>
      <c r="AM243" t="b">
        <f>+ISNUMBER(SEARCH('F-VTA'!$F$32,Tabla11[[#This Row],[Cuenta]],1))</f>
        <v>1</v>
      </c>
      <c r="AN243" t="b">
        <f>+ISNUMBER(SEARCH('F-VTA'!$F$33,Tabla11[[#This Row],[Cuenta]],1))</f>
        <v>1</v>
      </c>
      <c r="AO243" t="b">
        <f>+ISNUMBER(SEARCH('F-VTA'!$F$34,Tabla11[[#This Row],[Cuenta]],1))</f>
        <v>1</v>
      </c>
      <c r="AP243" t="b">
        <f>+ISNUMBER(SEARCH('F-VTA'!$F$35,Tabla11[[#This Row],[Cuenta]],1))</f>
        <v>1</v>
      </c>
      <c r="AQ243" t="b">
        <f>+ISNUMBER(SEARCH('F-VTA'!$F$36,Tabla11[[#This Row],[Cuenta]],1))</f>
        <v>1</v>
      </c>
      <c r="AR243" t="b">
        <f>+ISNUMBER(SEARCH(#REF!,Tabla11[[#This Row],[Cuenta]],1))</f>
        <v>0</v>
      </c>
      <c r="AS243" t="b">
        <f>+ISNUMBER(SEARCH(#REF!,Tabla11[[#This Row],[Cuenta]],1))</f>
        <v>0</v>
      </c>
      <c r="AT243" t="b">
        <f>+ISNUMBER(SEARCH(#REF!,Tabla11[[#This Row],[Cuenta]],1))</f>
        <v>0</v>
      </c>
      <c r="AU243" t="b">
        <f>+ISNUMBER(SEARCH('Conc. Ban.1'!$I$9,Tabla11[[#This Row],[Cuenta]],1))</f>
        <v>0</v>
      </c>
      <c r="AV243" t="b">
        <f>+ISNUMBER(SEARCH(CompConta!$F$21,Tabla11[[#This Row],[Cuenta]],1))</f>
        <v>1</v>
      </c>
      <c r="AW243" t="b">
        <f>+ISNUMBER(SEARCH(CompConta!$F$22,Tabla11[[#This Row],[Cuenta]],1))</f>
        <v>1</v>
      </c>
      <c r="AX243" t="b">
        <f>+ISNUMBER(SEARCH(CompConta!$F$23,Tabla11[[#This Row],[Cuenta]],1))</f>
        <v>1</v>
      </c>
      <c r="AY243" t="b">
        <f>+ISNUMBER(SEARCH(CompConta!$F$24,Tabla11[[#This Row],[Cuenta]],1))</f>
        <v>1</v>
      </c>
      <c r="AZ243" t="b">
        <f>+ISNUMBER(SEARCH(CompConta!$F$25,Tabla11[[#This Row],[Cuenta]],1))</f>
        <v>1</v>
      </c>
      <c r="BA243" t="b">
        <f>+ISNUMBER(SEARCH(CompConta!$F$26,Tabla11[[#This Row],[Cuenta]],1))</f>
        <v>1</v>
      </c>
      <c r="BB243" t="b">
        <f>+ISNUMBER(SEARCH(CompConta!$F$27,Tabla11[[#This Row],[Cuenta]],1))</f>
        <v>1</v>
      </c>
      <c r="BC243" t="b">
        <f>+ISNUMBER(SEARCH(CompConta!$F$28,Tabla11[[#This Row],[Cuenta]],1))</f>
        <v>1</v>
      </c>
      <c r="BD243" t="b">
        <f>+ISNUMBER(SEARCH(CompConta!$F$29,Tabla11[[#This Row],[Cuenta]],1))</f>
        <v>1</v>
      </c>
      <c r="BE243" t="b">
        <f>+ISNUMBER(SEARCH(CompConta!$F$30,Tabla11[[#This Row],[Cuenta]],1))</f>
        <v>1</v>
      </c>
      <c r="BF243" t="b">
        <f>+ISNUMBER(SEARCH('PAGO Compras'!$E$11,Tabla11[[#This Row],[Cuenta]],1))</f>
        <v>1</v>
      </c>
      <c r="BG243" t="b">
        <f>+ISNUMBER(SEARCH(#REF!,Tabla11[[#This Row],[Cuenta]],1))</f>
        <v>0</v>
      </c>
      <c r="BH243" t="b">
        <f>+ISNUMBER(SEARCH(#REF!,Tabla11[[#This Row],[Cuenta]],1))</f>
        <v>0</v>
      </c>
      <c r="BI243" t="b">
        <f>+ISNUMBER(SEARCH(#REF!,Tabla11[[#This Row],[Cuenta]],1))</f>
        <v>0</v>
      </c>
      <c r="BJ243" t="b">
        <f>+ISNUMBER(SEARCH(#REF!,Tabla11[[#This Row],[Cuenta]],1))</f>
        <v>0</v>
      </c>
      <c r="BS243" t="str">
        <v>159610 Defecto fiscal sobre la contable (CR)</v>
      </c>
      <c r="BT243" t="str">
        <v>159610 Defecto fiscal sobre la contable (CR)</v>
      </c>
      <c r="BU243" t="str">
        <v>159610 Defecto fiscal sobre la contable (CR)</v>
      </c>
      <c r="BV243" t="str">
        <v>159610 Defecto fiscal sobre la contable (CR)</v>
      </c>
      <c r="BZ243" t="str">
        <v>159610 Defecto fiscal sobre la contable (CR)</v>
      </c>
      <c r="CA243" t="str">
        <v>159610 Defecto fiscal sobre la contable (CR)</v>
      </c>
      <c r="CB243" t="str">
        <v>159610 Defecto fiscal sobre la contable (CR)</v>
      </c>
      <c r="CC243" t="str">
        <v>159610 Defecto fiscal sobre la contable (CR)</v>
      </c>
      <c r="CD243" t="str">
        <v>159610 Defecto fiscal sobre la contable (CR)</v>
      </c>
      <c r="CE243" t="str">
        <v>159610 Defecto fiscal sobre la contable (CR)</v>
      </c>
      <c r="CS243" s="141" t="str">
        <v>159610 Defecto fiscal sobre la contable (CR)</v>
      </c>
      <c r="CT243" s="141" t="str">
        <v>159610 Defecto fiscal sobre la contable (CR)</v>
      </c>
      <c r="CU243" s="141" t="str">
        <v>159610 Defecto fiscal sobre la contable (CR)</v>
      </c>
      <c r="CV243" s="141" t="str">
        <v>159610 Defecto fiscal sobre la contable (CR)</v>
      </c>
      <c r="CW243" s="141" t="str">
        <v>159610 Defecto fiscal sobre la contable (CR)</v>
      </c>
      <c r="CX243" s="141" t="str">
        <v>159610 Defecto fiscal sobre la contable (CR)</v>
      </c>
      <c r="CY243" s="141" t="str">
        <v>159610 Defecto fiscal sobre la contable (CR)</v>
      </c>
      <c r="CZ243" s="141" t="str">
        <v>159610 Defecto fiscal sobre la contable (CR)</v>
      </c>
      <c r="DA243" s="141" t="str">
        <v>159610 Defecto fiscal sobre la contable (CR)</v>
      </c>
      <c r="DF243" t="str">
        <v>159610 Defecto fiscal sobre la contable (CR)</v>
      </c>
      <c r="DG243" t="str">
        <v>159610 Defecto fiscal sobre la contable (CR)</v>
      </c>
      <c r="DH243" t="str">
        <v>159610 Defecto fiscal sobre la contable (CR)</v>
      </c>
      <c r="DI243" t="str">
        <v>159610 Defecto fiscal sobre la contable (CR)</v>
      </c>
      <c r="DJ243" t="str">
        <v>159610 Defecto fiscal sobre la contable (CR)</v>
      </c>
      <c r="DK243" t="str">
        <v>159610 Defecto fiscal sobre la contable (CR)</v>
      </c>
      <c r="DL243" t="str">
        <v>159610 Defecto fiscal sobre la contable (CR)</v>
      </c>
      <c r="DM243" t="str">
        <v>159610 Defecto fiscal sobre la contable (CR)</v>
      </c>
      <c r="DN243" t="str">
        <v>159610 Defecto fiscal sobre la contable (CR)</v>
      </c>
      <c r="DO243" t="str">
        <v>159610 Defecto fiscal sobre la contable (CR)</v>
      </c>
      <c r="DP243" t="str">
        <v>159610 Defecto fiscal sobre la contable (CR)</v>
      </c>
    </row>
    <row r="244" spans="4:120" ht="12.75">
      <c r="D244" s="7">
        <v>159699</v>
      </c>
      <c r="E244" s="6" t="s">
        <v>44</v>
      </c>
      <c r="F244" s="5">
        <v>4</v>
      </c>
      <c r="G244" s="34" t="s">
        <v>822</v>
      </c>
      <c r="H244" s="8" t="s">
        <v>56</v>
      </c>
      <c r="I244" t="b">
        <f>+ISNUMBER(SEARCH('F-COMPRA'!$F$28,Tabla11[[#This Row],[Cuenta]],1))</f>
        <v>1</v>
      </c>
      <c r="J244" t="b">
        <f>+ISNUMBER(SEARCH('F-COMPRA'!$F$29,Tabla11[[#This Row],[Cuenta]],1))</f>
        <v>1</v>
      </c>
      <c r="K244" t="b">
        <f>+ISNUMBER(SEARCH('F-COMPRA'!$F$30,Tabla11[[#This Row],[Cuenta]],1))</f>
        <v>1</v>
      </c>
      <c r="L244" t="b">
        <f>+ISNUMBER(SEARCH('F-COMPRA'!$F$31,Tabla11[[#This Row],[Cuenta]],1))</f>
        <v>1</v>
      </c>
      <c r="M244" t="b">
        <f>+ISNUMBER(SEARCH('F-COMPRA'!$G$25,Tabla11[[#This Row],[Cuenta]],1))</f>
        <v>0</v>
      </c>
      <c r="N244" t="b">
        <f>+ISNUMBER(SEARCH(#REF!,Tabla11[[#This Row],[Cuenta]],1))</f>
        <v>0</v>
      </c>
      <c r="O244" t="b">
        <f>+ISNUMBER(SEARCH(#REF!,Tabla11[[#This Row],[Cuenta]],1))</f>
        <v>0</v>
      </c>
      <c r="P244" t="b">
        <f>+ISNUMBER(SEARCH('F-COMPRA'!$F$32,Tabla11[[#This Row],[Cuenta]],1))</f>
        <v>1</v>
      </c>
      <c r="Q244" t="b">
        <f>+ISNUMBER(SEARCH('F-COMPRA'!$F$33,Tabla11[[#This Row],[Cuenta]],1))</f>
        <v>1</v>
      </c>
      <c r="R244" t="b">
        <f>+ISNUMBER(SEARCH('F-COMPRA'!$F$34,Tabla11[[#This Row],[Cuenta]],1))</f>
        <v>1</v>
      </c>
      <c r="S244" t="b">
        <f>+ISNUMBER(SEARCH('F-COMPRA'!$F$35,Tabla11[[#This Row],[Cuenta]],1))</f>
        <v>1</v>
      </c>
      <c r="T244" t="b">
        <f>+ISNUMBER(SEARCH('F-COMPRA'!$F$36,Tabla11[[#This Row],[Cuenta]],1))</f>
        <v>1</v>
      </c>
      <c r="U244" t="b">
        <f>+ISNUMBER(SEARCH('F-COMPRA'!$F$37,Tabla11[[#This Row],[Cuenta]],1))</f>
        <v>1</v>
      </c>
      <c r="V244" t="b">
        <f>+ISNUMBER(SEARCH(#REF!,Tabla11[[#This Row],[Cuenta]],1))</f>
        <v>0</v>
      </c>
      <c r="W244" t="b">
        <f>+ISNUMBER(SEARCH('F-COMPRA'!#REF!,Tabla11[[#This Row],[Cuenta]],1))</f>
        <v>0</v>
      </c>
      <c r="X244" t="b">
        <f>+ISNUMBER(SEARCH('F-COMPRA'!#REF!,Tabla11[[#This Row],[Cuenta]],1))</f>
        <v>0</v>
      </c>
      <c r="Y244" t="b">
        <f>+ISNUMBER(SEARCH('F-COMPRA'!#REF!,Tabla11[[#This Row],[Cuenta]],1))</f>
        <v>0</v>
      </c>
      <c r="Z244" t="b">
        <f>+ISNUMBER(SEARCH('F-COMPRA'!#REF!,Tabla11[[#This Row],[Cuenta]],1))</f>
        <v>0</v>
      </c>
      <c r="AA244" t="b">
        <f>+ISNUMBER(SEARCH('F-COMPRA'!#REF!,Tabla11[[#This Row],[Cuenta]],1))</f>
        <v>0</v>
      </c>
      <c r="AB244" t="b">
        <f>+ISNUMBER(SEARCH('F-COMPRA'!#REF!,Tabla11[[#This Row],[Cuenta]],1))</f>
        <v>0</v>
      </c>
      <c r="AC244" t="b">
        <f>+ISNUMBER(SEARCH('F-COMPRA'!#REF!,Tabla11[[#This Row],[Cuenta]],1))</f>
        <v>0</v>
      </c>
      <c r="AD244" t="b">
        <f>+ISNUMBER(SEARCH('F-COMPRA'!#REF!,Tabla11[[#This Row],[Cuenta]],1))</f>
        <v>0</v>
      </c>
      <c r="AE244" t="b">
        <f>+ISNUMBER(SEARCH('F-COMPRA'!#REF!,Tabla11[[#This Row],[Cuenta]],1))</f>
        <v>0</v>
      </c>
      <c r="AF244" t="b">
        <f>+ISNUMBER(SEARCH('F-VTA'!$G$23,Tabla11[[#This Row],[Cuenta]],1))</f>
        <v>0</v>
      </c>
      <c r="AG244" t="b">
        <f>+ISNUMBER(SEARCH('F-VTA'!$G$24,Tabla11[[#This Row],[Cuenta]],1))</f>
        <v>0</v>
      </c>
      <c r="AH244" t="b">
        <f>+ISNUMBER(SEARCH('F-VTA'!$G$25,Tabla11[[#This Row],[Cuenta]],1))</f>
        <v>0</v>
      </c>
      <c r="AI244" t="b">
        <f>+ISNUMBER(SEARCH('F-VTA'!$F$28,Tabla11[[#This Row],[Cuenta]],1))</f>
        <v>1</v>
      </c>
      <c r="AJ244" t="b">
        <f>+ISNUMBER(SEARCH('F-VTA'!$F$29,Tabla11[[#This Row],[Cuenta]],1))</f>
        <v>1</v>
      </c>
      <c r="AK244" t="b">
        <f>+ISNUMBER(SEARCH('F-VTA'!$F$30,Tabla11[[#This Row],[Cuenta]],1))</f>
        <v>1</v>
      </c>
      <c r="AL244" t="b">
        <f>+ISNUMBER(SEARCH('F-VTA'!$F$31,Tabla11[[#This Row],[Cuenta]],1))</f>
        <v>1</v>
      </c>
      <c r="AM244" t="b">
        <f>+ISNUMBER(SEARCH('F-VTA'!$F$32,Tabla11[[#This Row],[Cuenta]],1))</f>
        <v>1</v>
      </c>
      <c r="AN244" t="b">
        <f>+ISNUMBER(SEARCH('F-VTA'!$F$33,Tabla11[[#This Row],[Cuenta]],1))</f>
        <v>1</v>
      </c>
      <c r="AO244" t="b">
        <f>+ISNUMBER(SEARCH('F-VTA'!$F$34,Tabla11[[#This Row],[Cuenta]],1))</f>
        <v>1</v>
      </c>
      <c r="AP244" t="b">
        <f>+ISNUMBER(SEARCH('F-VTA'!$F$35,Tabla11[[#This Row],[Cuenta]],1))</f>
        <v>1</v>
      </c>
      <c r="AQ244" t="b">
        <f>+ISNUMBER(SEARCH('F-VTA'!$F$36,Tabla11[[#This Row],[Cuenta]],1))</f>
        <v>1</v>
      </c>
      <c r="AR244" t="b">
        <f>+ISNUMBER(SEARCH(#REF!,Tabla11[[#This Row],[Cuenta]],1))</f>
        <v>0</v>
      </c>
      <c r="AS244" t="b">
        <f>+ISNUMBER(SEARCH(#REF!,Tabla11[[#This Row],[Cuenta]],1))</f>
        <v>0</v>
      </c>
      <c r="AT244" t="b">
        <f>+ISNUMBER(SEARCH(#REF!,Tabla11[[#This Row],[Cuenta]],1))</f>
        <v>0</v>
      </c>
      <c r="AU244" t="b">
        <f>+ISNUMBER(SEARCH('Conc. Ban.1'!$I$9,Tabla11[[#This Row],[Cuenta]],1))</f>
        <v>0</v>
      </c>
      <c r="AV244" t="b">
        <f>+ISNUMBER(SEARCH(CompConta!$F$21,Tabla11[[#This Row],[Cuenta]],1))</f>
        <v>1</v>
      </c>
      <c r="AW244" t="b">
        <f>+ISNUMBER(SEARCH(CompConta!$F$22,Tabla11[[#This Row],[Cuenta]],1))</f>
        <v>1</v>
      </c>
      <c r="AX244" t="b">
        <f>+ISNUMBER(SEARCH(CompConta!$F$23,Tabla11[[#This Row],[Cuenta]],1))</f>
        <v>1</v>
      </c>
      <c r="AY244" t="b">
        <f>+ISNUMBER(SEARCH(CompConta!$F$24,Tabla11[[#This Row],[Cuenta]],1))</f>
        <v>1</v>
      </c>
      <c r="AZ244" t="b">
        <f>+ISNUMBER(SEARCH(CompConta!$F$25,Tabla11[[#This Row],[Cuenta]],1))</f>
        <v>1</v>
      </c>
      <c r="BA244" t="b">
        <f>+ISNUMBER(SEARCH(CompConta!$F$26,Tabla11[[#This Row],[Cuenta]],1))</f>
        <v>1</v>
      </c>
      <c r="BB244" t="b">
        <f>+ISNUMBER(SEARCH(CompConta!$F$27,Tabla11[[#This Row],[Cuenta]],1))</f>
        <v>1</v>
      </c>
      <c r="BC244" t="b">
        <f>+ISNUMBER(SEARCH(CompConta!$F$28,Tabla11[[#This Row],[Cuenta]],1))</f>
        <v>1</v>
      </c>
      <c r="BD244" t="b">
        <f>+ISNUMBER(SEARCH(CompConta!$F$29,Tabla11[[#This Row],[Cuenta]],1))</f>
        <v>1</v>
      </c>
      <c r="BE244" t="b">
        <f>+ISNUMBER(SEARCH(CompConta!$F$30,Tabla11[[#This Row],[Cuenta]],1))</f>
        <v>1</v>
      </c>
      <c r="BF244" t="b">
        <f>+ISNUMBER(SEARCH('PAGO Compras'!$E$11,Tabla11[[#This Row],[Cuenta]],1))</f>
        <v>1</v>
      </c>
      <c r="BG244" t="b">
        <f>+ISNUMBER(SEARCH(#REF!,Tabla11[[#This Row],[Cuenta]],1))</f>
        <v>0</v>
      </c>
      <c r="BH244" t="b">
        <f>+ISNUMBER(SEARCH(#REF!,Tabla11[[#This Row],[Cuenta]],1))</f>
        <v>0</v>
      </c>
      <c r="BI244" t="b">
        <f>+ISNUMBER(SEARCH(#REF!,Tabla11[[#This Row],[Cuenta]],1))</f>
        <v>0</v>
      </c>
      <c r="BJ244" t="b">
        <f>+ISNUMBER(SEARCH(#REF!,Tabla11[[#This Row],[Cuenta]],1))</f>
        <v>0</v>
      </c>
      <c r="BS244" t="str">
        <v>159699 Ajustes por inflación</v>
      </c>
      <c r="BT244" t="str">
        <v>159699 Ajustes por inflación</v>
      </c>
      <c r="BU244" t="str">
        <v>159699 Ajustes por inflación</v>
      </c>
      <c r="BV244" t="str">
        <v>159699 Ajustes por inflación</v>
      </c>
      <c r="BZ244" t="str">
        <v>159699 Ajustes por inflación</v>
      </c>
      <c r="CA244" t="str">
        <v>159699 Ajustes por inflación</v>
      </c>
      <c r="CB244" t="str">
        <v>159699 Ajustes por inflación</v>
      </c>
      <c r="CC244" t="str">
        <v>159699 Ajustes por inflación</v>
      </c>
      <c r="CD244" t="str">
        <v>159699 Ajustes por inflación</v>
      </c>
      <c r="CE244" t="str">
        <v>159699 Ajustes por inflación</v>
      </c>
      <c r="CS244" s="141" t="str">
        <v>159699 Ajustes por inflación</v>
      </c>
      <c r="CT244" s="141" t="str">
        <v>159699 Ajustes por inflación</v>
      </c>
      <c r="CU244" s="141" t="str">
        <v>159699 Ajustes por inflación</v>
      </c>
      <c r="CV244" s="141" t="str">
        <v>159699 Ajustes por inflación</v>
      </c>
      <c r="CW244" s="141" t="str">
        <v>159699 Ajustes por inflación</v>
      </c>
      <c r="CX244" s="141" t="str">
        <v>159699 Ajustes por inflación</v>
      </c>
      <c r="CY244" s="141" t="str">
        <v>159699 Ajustes por inflación</v>
      </c>
      <c r="CZ244" s="141" t="str">
        <v>159699 Ajustes por inflación</v>
      </c>
      <c r="DA244" s="141" t="str">
        <v>159699 Ajustes por inflación</v>
      </c>
      <c r="DF244" t="str">
        <v>159699 Ajustes por inflación</v>
      </c>
      <c r="DG244" t="str">
        <v>159699 Ajustes por inflación</v>
      </c>
      <c r="DH244" t="str">
        <v>159699 Ajustes por inflación</v>
      </c>
      <c r="DI244" t="str">
        <v>159699 Ajustes por inflación</v>
      </c>
      <c r="DJ244" t="str">
        <v>159699 Ajustes por inflación</v>
      </c>
      <c r="DK244" t="str">
        <v>159699 Ajustes por inflación</v>
      </c>
      <c r="DL244" t="str">
        <v>159699 Ajustes por inflación</v>
      </c>
      <c r="DM244" t="str">
        <v>159699 Ajustes por inflación</v>
      </c>
      <c r="DN244" t="str">
        <v>159699 Ajustes por inflación</v>
      </c>
      <c r="DO244" t="str">
        <v>159699 Ajustes por inflación</v>
      </c>
      <c r="DP244" t="str">
        <v>159699 Ajustes por inflación</v>
      </c>
    </row>
    <row r="245" spans="4:120" ht="12.75">
      <c r="D245" s="7">
        <v>1597</v>
      </c>
      <c r="E245" s="6" t="s">
        <v>218</v>
      </c>
      <c r="F245" s="5">
        <v>3</v>
      </c>
      <c r="G245" s="34" t="s">
        <v>822</v>
      </c>
      <c r="H245" s="8" t="s">
        <v>56</v>
      </c>
      <c r="I245" t="b">
        <f>+ISNUMBER(SEARCH('F-COMPRA'!$F$28,Tabla11[[#This Row],[Cuenta]],1))</f>
        <v>1</v>
      </c>
      <c r="J245" t="b">
        <f>+ISNUMBER(SEARCH('F-COMPRA'!$F$29,Tabla11[[#This Row],[Cuenta]],1))</f>
        <v>1</v>
      </c>
      <c r="K245" t="b">
        <f>+ISNUMBER(SEARCH('F-COMPRA'!$F$30,Tabla11[[#This Row],[Cuenta]],1))</f>
        <v>1</v>
      </c>
      <c r="L245" t="b">
        <f>+ISNUMBER(SEARCH('F-COMPRA'!$F$31,Tabla11[[#This Row],[Cuenta]],1))</f>
        <v>1</v>
      </c>
      <c r="M245" t="b">
        <f>+ISNUMBER(SEARCH('F-COMPRA'!$G$25,Tabla11[[#This Row],[Cuenta]],1))</f>
        <v>0</v>
      </c>
      <c r="N245" t="b">
        <f>+ISNUMBER(SEARCH(#REF!,Tabla11[[#This Row],[Cuenta]],1))</f>
        <v>0</v>
      </c>
      <c r="O245" t="b">
        <f>+ISNUMBER(SEARCH(#REF!,Tabla11[[#This Row],[Cuenta]],1))</f>
        <v>0</v>
      </c>
      <c r="P245" t="b">
        <f>+ISNUMBER(SEARCH('F-COMPRA'!$F$32,Tabla11[[#This Row],[Cuenta]],1))</f>
        <v>1</v>
      </c>
      <c r="Q245" t="b">
        <f>+ISNUMBER(SEARCH('F-COMPRA'!$F$33,Tabla11[[#This Row],[Cuenta]],1))</f>
        <v>1</v>
      </c>
      <c r="R245" t="b">
        <f>+ISNUMBER(SEARCH('F-COMPRA'!$F$34,Tabla11[[#This Row],[Cuenta]],1))</f>
        <v>1</v>
      </c>
      <c r="S245" t="b">
        <f>+ISNUMBER(SEARCH('F-COMPRA'!$F$35,Tabla11[[#This Row],[Cuenta]],1))</f>
        <v>1</v>
      </c>
      <c r="T245" t="b">
        <f>+ISNUMBER(SEARCH('F-COMPRA'!$F$36,Tabla11[[#This Row],[Cuenta]],1))</f>
        <v>1</v>
      </c>
      <c r="U245" t="b">
        <f>+ISNUMBER(SEARCH('F-COMPRA'!$F$37,Tabla11[[#This Row],[Cuenta]],1))</f>
        <v>1</v>
      </c>
      <c r="V245" t="b">
        <f>+ISNUMBER(SEARCH(#REF!,Tabla11[[#This Row],[Cuenta]],1))</f>
        <v>0</v>
      </c>
      <c r="W245" t="b">
        <f>+ISNUMBER(SEARCH('F-COMPRA'!#REF!,Tabla11[[#This Row],[Cuenta]],1))</f>
        <v>0</v>
      </c>
      <c r="X245" t="b">
        <f>+ISNUMBER(SEARCH('F-COMPRA'!#REF!,Tabla11[[#This Row],[Cuenta]],1))</f>
        <v>0</v>
      </c>
      <c r="Y245" t="b">
        <f>+ISNUMBER(SEARCH('F-COMPRA'!#REF!,Tabla11[[#This Row],[Cuenta]],1))</f>
        <v>0</v>
      </c>
      <c r="Z245" t="b">
        <f>+ISNUMBER(SEARCH('F-COMPRA'!#REF!,Tabla11[[#This Row],[Cuenta]],1))</f>
        <v>0</v>
      </c>
      <c r="AA245" t="b">
        <f>+ISNUMBER(SEARCH('F-COMPRA'!#REF!,Tabla11[[#This Row],[Cuenta]],1))</f>
        <v>0</v>
      </c>
      <c r="AB245" t="b">
        <f>+ISNUMBER(SEARCH('F-COMPRA'!#REF!,Tabla11[[#This Row],[Cuenta]],1))</f>
        <v>0</v>
      </c>
      <c r="AC245" t="b">
        <f>+ISNUMBER(SEARCH('F-COMPRA'!#REF!,Tabla11[[#This Row],[Cuenta]],1))</f>
        <v>0</v>
      </c>
      <c r="AD245" t="b">
        <f>+ISNUMBER(SEARCH('F-COMPRA'!#REF!,Tabla11[[#This Row],[Cuenta]],1))</f>
        <v>0</v>
      </c>
      <c r="AE245" t="b">
        <f>+ISNUMBER(SEARCH('F-COMPRA'!#REF!,Tabla11[[#This Row],[Cuenta]],1))</f>
        <v>0</v>
      </c>
      <c r="AF245" t="b">
        <f>+ISNUMBER(SEARCH('F-VTA'!$G$23,Tabla11[[#This Row],[Cuenta]],1))</f>
        <v>0</v>
      </c>
      <c r="AG245" t="b">
        <f>+ISNUMBER(SEARCH('F-VTA'!$G$24,Tabla11[[#This Row],[Cuenta]],1))</f>
        <v>0</v>
      </c>
      <c r="AH245" t="b">
        <f>+ISNUMBER(SEARCH('F-VTA'!$G$25,Tabla11[[#This Row],[Cuenta]],1))</f>
        <v>0</v>
      </c>
      <c r="AI245" t="b">
        <f>+ISNUMBER(SEARCH('F-VTA'!$F$28,Tabla11[[#This Row],[Cuenta]],1))</f>
        <v>1</v>
      </c>
      <c r="AJ245" t="b">
        <f>+ISNUMBER(SEARCH('F-VTA'!$F$29,Tabla11[[#This Row],[Cuenta]],1))</f>
        <v>1</v>
      </c>
      <c r="AK245" t="b">
        <f>+ISNUMBER(SEARCH('F-VTA'!$F$30,Tabla11[[#This Row],[Cuenta]],1))</f>
        <v>1</v>
      </c>
      <c r="AL245" t="b">
        <f>+ISNUMBER(SEARCH('F-VTA'!$F$31,Tabla11[[#This Row],[Cuenta]],1))</f>
        <v>1</v>
      </c>
      <c r="AM245" t="b">
        <f>+ISNUMBER(SEARCH('F-VTA'!$F$32,Tabla11[[#This Row],[Cuenta]],1))</f>
        <v>1</v>
      </c>
      <c r="AN245" t="b">
        <f>+ISNUMBER(SEARCH('F-VTA'!$F$33,Tabla11[[#This Row],[Cuenta]],1))</f>
        <v>1</v>
      </c>
      <c r="AO245" t="b">
        <f>+ISNUMBER(SEARCH('F-VTA'!$F$34,Tabla11[[#This Row],[Cuenta]],1))</f>
        <v>1</v>
      </c>
      <c r="AP245" t="b">
        <f>+ISNUMBER(SEARCH('F-VTA'!$F$35,Tabla11[[#This Row],[Cuenta]],1))</f>
        <v>1</v>
      </c>
      <c r="AQ245" t="b">
        <f>+ISNUMBER(SEARCH('F-VTA'!$F$36,Tabla11[[#This Row],[Cuenta]],1))</f>
        <v>1</v>
      </c>
      <c r="AR245" t="b">
        <f>+ISNUMBER(SEARCH(#REF!,Tabla11[[#This Row],[Cuenta]],1))</f>
        <v>0</v>
      </c>
      <c r="AS245" t="b">
        <f>+ISNUMBER(SEARCH(#REF!,Tabla11[[#This Row],[Cuenta]],1))</f>
        <v>0</v>
      </c>
      <c r="AT245" t="b">
        <f>+ISNUMBER(SEARCH(#REF!,Tabla11[[#This Row],[Cuenta]],1))</f>
        <v>0</v>
      </c>
      <c r="AU245" t="b">
        <f>+ISNUMBER(SEARCH('Conc. Ban.1'!$I$9,Tabla11[[#This Row],[Cuenta]],1))</f>
        <v>0</v>
      </c>
      <c r="AV245" t="b">
        <f>+ISNUMBER(SEARCH(CompConta!$F$21,Tabla11[[#This Row],[Cuenta]],1))</f>
        <v>1</v>
      </c>
      <c r="AW245" t="b">
        <f>+ISNUMBER(SEARCH(CompConta!$F$22,Tabla11[[#This Row],[Cuenta]],1))</f>
        <v>1</v>
      </c>
      <c r="AX245" t="b">
        <f>+ISNUMBER(SEARCH(CompConta!$F$23,Tabla11[[#This Row],[Cuenta]],1))</f>
        <v>1</v>
      </c>
      <c r="AY245" t="b">
        <f>+ISNUMBER(SEARCH(CompConta!$F$24,Tabla11[[#This Row],[Cuenta]],1))</f>
        <v>1</v>
      </c>
      <c r="AZ245" t="b">
        <f>+ISNUMBER(SEARCH(CompConta!$F$25,Tabla11[[#This Row],[Cuenta]],1))</f>
        <v>1</v>
      </c>
      <c r="BA245" t="b">
        <f>+ISNUMBER(SEARCH(CompConta!$F$26,Tabla11[[#This Row],[Cuenta]],1))</f>
        <v>1</v>
      </c>
      <c r="BB245" t="b">
        <f>+ISNUMBER(SEARCH(CompConta!$F$27,Tabla11[[#This Row],[Cuenta]],1))</f>
        <v>1</v>
      </c>
      <c r="BC245" t="b">
        <f>+ISNUMBER(SEARCH(CompConta!$F$28,Tabla11[[#This Row],[Cuenta]],1))</f>
        <v>1</v>
      </c>
      <c r="BD245" t="b">
        <f>+ISNUMBER(SEARCH(CompConta!$F$29,Tabla11[[#This Row],[Cuenta]],1))</f>
        <v>1</v>
      </c>
      <c r="BE245" t="b">
        <f>+ISNUMBER(SEARCH(CompConta!$F$30,Tabla11[[#This Row],[Cuenta]],1))</f>
        <v>1</v>
      </c>
      <c r="BF245" t="b">
        <f>+ISNUMBER(SEARCH('PAGO Compras'!$E$11,Tabla11[[#This Row],[Cuenta]],1))</f>
        <v>1</v>
      </c>
      <c r="BG245" t="b">
        <f>+ISNUMBER(SEARCH(#REF!,Tabla11[[#This Row],[Cuenta]],1))</f>
        <v>0</v>
      </c>
      <c r="BH245" t="b">
        <f>+ISNUMBER(SEARCH(#REF!,Tabla11[[#This Row],[Cuenta]],1))</f>
        <v>0</v>
      </c>
      <c r="BI245" t="b">
        <f>+ISNUMBER(SEARCH(#REF!,Tabla11[[#This Row],[Cuenta]],1))</f>
        <v>0</v>
      </c>
      <c r="BJ245" t="b">
        <f>+ISNUMBER(SEARCH(#REF!,Tabla11[[#This Row],[Cuenta]],1))</f>
        <v>0</v>
      </c>
      <c r="BS245" t="str">
        <v>1597 AMORTIZACIÓN ACUMULADA</v>
      </c>
      <c r="BT245" t="str">
        <v>1597 AMORTIZACIÓN ACUMULADA</v>
      </c>
      <c r="BU245" t="str">
        <v>1597 AMORTIZACIÓN ACUMULADA</v>
      </c>
      <c r="BV245" t="str">
        <v>1597 AMORTIZACIÓN ACUMULADA</v>
      </c>
      <c r="BZ245" t="str">
        <v>1597 AMORTIZACIÓN ACUMULADA</v>
      </c>
      <c r="CA245" t="str">
        <v>1597 AMORTIZACIÓN ACUMULADA</v>
      </c>
      <c r="CB245" t="str">
        <v>1597 AMORTIZACIÓN ACUMULADA</v>
      </c>
      <c r="CC245" t="str">
        <v>1597 AMORTIZACIÓN ACUMULADA</v>
      </c>
      <c r="CD245" t="str">
        <v>1597 AMORTIZACIÓN ACUMULADA</v>
      </c>
      <c r="CE245" t="str">
        <v>1597 AMORTIZACIÓN ACUMULADA</v>
      </c>
      <c r="CS245" s="141" t="str">
        <v>1597 AMORTIZACIÓN ACUMULADA</v>
      </c>
      <c r="CT245" s="141" t="str">
        <v>1597 AMORTIZACIÓN ACUMULADA</v>
      </c>
      <c r="CU245" s="141" t="str">
        <v>1597 AMORTIZACIÓN ACUMULADA</v>
      </c>
      <c r="CV245" s="141" t="str">
        <v>1597 AMORTIZACIÓN ACUMULADA</v>
      </c>
      <c r="CW245" s="141" t="str">
        <v>1597 AMORTIZACIÓN ACUMULADA</v>
      </c>
      <c r="CX245" s="141" t="str">
        <v>1597 AMORTIZACIÓN ACUMULADA</v>
      </c>
      <c r="CY245" s="141" t="str">
        <v>1597 AMORTIZACIÓN ACUMULADA</v>
      </c>
      <c r="CZ245" s="141" t="str">
        <v>1597 AMORTIZACIÓN ACUMULADA</v>
      </c>
      <c r="DA245" s="141" t="str">
        <v>1597 AMORTIZACIÓN ACUMULADA</v>
      </c>
      <c r="DF245" t="str">
        <v>1597 AMORTIZACIÓN ACUMULADA</v>
      </c>
      <c r="DG245" t="str">
        <v>1597 AMORTIZACIÓN ACUMULADA</v>
      </c>
      <c r="DH245" t="str">
        <v>1597 AMORTIZACIÓN ACUMULADA</v>
      </c>
      <c r="DI245" t="str">
        <v>1597 AMORTIZACIÓN ACUMULADA</v>
      </c>
      <c r="DJ245" t="str">
        <v>1597 AMORTIZACIÓN ACUMULADA</v>
      </c>
      <c r="DK245" t="str">
        <v>1597 AMORTIZACIÓN ACUMULADA</v>
      </c>
      <c r="DL245" t="str">
        <v>1597 AMORTIZACIÓN ACUMULADA</v>
      </c>
      <c r="DM245" t="str">
        <v>1597 AMORTIZACIÓN ACUMULADA</v>
      </c>
      <c r="DN245" t="str">
        <v>1597 AMORTIZACIÓN ACUMULADA</v>
      </c>
      <c r="DO245" t="str">
        <v>1597 AMORTIZACIÓN ACUMULADA</v>
      </c>
      <c r="DP245" t="str">
        <v>1597 AMORTIZACIÓN ACUMULADA</v>
      </c>
    </row>
    <row r="246" spans="4:120" ht="12.75">
      <c r="D246" s="7">
        <v>159705</v>
      </c>
      <c r="E246" s="6" t="s">
        <v>219</v>
      </c>
      <c r="F246" s="5">
        <v>4</v>
      </c>
      <c r="G246" s="34" t="s">
        <v>822</v>
      </c>
      <c r="H246" s="8" t="s">
        <v>56</v>
      </c>
      <c r="I246" t="b">
        <f>+ISNUMBER(SEARCH('F-COMPRA'!$F$28,Tabla11[[#This Row],[Cuenta]],1))</f>
        <v>1</v>
      </c>
      <c r="J246" t="b">
        <f>+ISNUMBER(SEARCH('F-COMPRA'!$F$29,Tabla11[[#This Row],[Cuenta]],1))</f>
        <v>1</v>
      </c>
      <c r="K246" t="b">
        <f>+ISNUMBER(SEARCH('F-COMPRA'!$F$30,Tabla11[[#This Row],[Cuenta]],1))</f>
        <v>1</v>
      </c>
      <c r="L246" t="b">
        <f>+ISNUMBER(SEARCH('F-COMPRA'!$F$31,Tabla11[[#This Row],[Cuenta]],1))</f>
        <v>1</v>
      </c>
      <c r="M246" t="b">
        <f>+ISNUMBER(SEARCH('F-COMPRA'!$G$25,Tabla11[[#This Row],[Cuenta]],1))</f>
        <v>0</v>
      </c>
      <c r="N246" t="b">
        <f>+ISNUMBER(SEARCH(#REF!,Tabla11[[#This Row],[Cuenta]],1))</f>
        <v>0</v>
      </c>
      <c r="O246" t="b">
        <f>+ISNUMBER(SEARCH(#REF!,Tabla11[[#This Row],[Cuenta]],1))</f>
        <v>0</v>
      </c>
      <c r="P246" t="b">
        <f>+ISNUMBER(SEARCH('F-COMPRA'!$F$32,Tabla11[[#This Row],[Cuenta]],1))</f>
        <v>1</v>
      </c>
      <c r="Q246" t="b">
        <f>+ISNUMBER(SEARCH('F-COMPRA'!$F$33,Tabla11[[#This Row],[Cuenta]],1))</f>
        <v>1</v>
      </c>
      <c r="R246" t="b">
        <f>+ISNUMBER(SEARCH('F-COMPRA'!$F$34,Tabla11[[#This Row],[Cuenta]],1))</f>
        <v>1</v>
      </c>
      <c r="S246" t="b">
        <f>+ISNUMBER(SEARCH('F-COMPRA'!$F$35,Tabla11[[#This Row],[Cuenta]],1))</f>
        <v>1</v>
      </c>
      <c r="T246" t="b">
        <f>+ISNUMBER(SEARCH('F-COMPRA'!$F$36,Tabla11[[#This Row],[Cuenta]],1))</f>
        <v>1</v>
      </c>
      <c r="U246" t="b">
        <f>+ISNUMBER(SEARCH('F-COMPRA'!$F$37,Tabla11[[#This Row],[Cuenta]],1))</f>
        <v>1</v>
      </c>
      <c r="V246" t="b">
        <f>+ISNUMBER(SEARCH(#REF!,Tabla11[[#This Row],[Cuenta]],1))</f>
        <v>0</v>
      </c>
      <c r="W246" t="b">
        <f>+ISNUMBER(SEARCH('F-COMPRA'!#REF!,Tabla11[[#This Row],[Cuenta]],1))</f>
        <v>0</v>
      </c>
      <c r="X246" t="b">
        <f>+ISNUMBER(SEARCH('F-COMPRA'!#REF!,Tabla11[[#This Row],[Cuenta]],1))</f>
        <v>0</v>
      </c>
      <c r="Y246" t="b">
        <f>+ISNUMBER(SEARCH('F-COMPRA'!#REF!,Tabla11[[#This Row],[Cuenta]],1))</f>
        <v>0</v>
      </c>
      <c r="Z246" t="b">
        <f>+ISNUMBER(SEARCH('F-COMPRA'!#REF!,Tabla11[[#This Row],[Cuenta]],1))</f>
        <v>0</v>
      </c>
      <c r="AA246" t="b">
        <f>+ISNUMBER(SEARCH('F-COMPRA'!#REF!,Tabla11[[#This Row],[Cuenta]],1))</f>
        <v>0</v>
      </c>
      <c r="AB246" t="b">
        <f>+ISNUMBER(SEARCH('F-COMPRA'!#REF!,Tabla11[[#This Row],[Cuenta]],1))</f>
        <v>0</v>
      </c>
      <c r="AC246" t="b">
        <f>+ISNUMBER(SEARCH('F-COMPRA'!#REF!,Tabla11[[#This Row],[Cuenta]],1))</f>
        <v>0</v>
      </c>
      <c r="AD246" t="b">
        <f>+ISNUMBER(SEARCH('F-COMPRA'!#REF!,Tabla11[[#This Row],[Cuenta]],1))</f>
        <v>0</v>
      </c>
      <c r="AE246" t="b">
        <f>+ISNUMBER(SEARCH('F-COMPRA'!#REF!,Tabla11[[#This Row],[Cuenta]],1))</f>
        <v>0</v>
      </c>
      <c r="AF246" t="b">
        <f>+ISNUMBER(SEARCH('F-VTA'!$G$23,Tabla11[[#This Row],[Cuenta]],1))</f>
        <v>0</v>
      </c>
      <c r="AG246" t="b">
        <f>+ISNUMBER(SEARCH('F-VTA'!$G$24,Tabla11[[#This Row],[Cuenta]],1))</f>
        <v>0</v>
      </c>
      <c r="AH246" t="b">
        <f>+ISNUMBER(SEARCH('F-VTA'!$G$25,Tabla11[[#This Row],[Cuenta]],1))</f>
        <v>0</v>
      </c>
      <c r="AI246" t="b">
        <f>+ISNUMBER(SEARCH('F-VTA'!$F$28,Tabla11[[#This Row],[Cuenta]],1))</f>
        <v>1</v>
      </c>
      <c r="AJ246" t="b">
        <f>+ISNUMBER(SEARCH('F-VTA'!$F$29,Tabla11[[#This Row],[Cuenta]],1))</f>
        <v>1</v>
      </c>
      <c r="AK246" t="b">
        <f>+ISNUMBER(SEARCH('F-VTA'!$F$30,Tabla11[[#This Row],[Cuenta]],1))</f>
        <v>1</v>
      </c>
      <c r="AL246" t="b">
        <f>+ISNUMBER(SEARCH('F-VTA'!$F$31,Tabla11[[#This Row],[Cuenta]],1))</f>
        <v>1</v>
      </c>
      <c r="AM246" t="b">
        <f>+ISNUMBER(SEARCH('F-VTA'!$F$32,Tabla11[[#This Row],[Cuenta]],1))</f>
        <v>1</v>
      </c>
      <c r="AN246" t="b">
        <f>+ISNUMBER(SEARCH('F-VTA'!$F$33,Tabla11[[#This Row],[Cuenta]],1))</f>
        <v>1</v>
      </c>
      <c r="AO246" t="b">
        <f>+ISNUMBER(SEARCH('F-VTA'!$F$34,Tabla11[[#This Row],[Cuenta]],1))</f>
        <v>1</v>
      </c>
      <c r="AP246" t="b">
        <f>+ISNUMBER(SEARCH('F-VTA'!$F$35,Tabla11[[#This Row],[Cuenta]],1))</f>
        <v>1</v>
      </c>
      <c r="AQ246" t="b">
        <f>+ISNUMBER(SEARCH('F-VTA'!$F$36,Tabla11[[#This Row],[Cuenta]],1))</f>
        <v>1</v>
      </c>
      <c r="AR246" t="b">
        <f>+ISNUMBER(SEARCH(#REF!,Tabla11[[#This Row],[Cuenta]],1))</f>
        <v>0</v>
      </c>
      <c r="AS246" t="b">
        <f>+ISNUMBER(SEARCH(#REF!,Tabla11[[#This Row],[Cuenta]],1))</f>
        <v>0</v>
      </c>
      <c r="AT246" t="b">
        <f>+ISNUMBER(SEARCH(#REF!,Tabla11[[#This Row],[Cuenta]],1))</f>
        <v>0</v>
      </c>
      <c r="AU246" t="b">
        <f>+ISNUMBER(SEARCH('Conc. Ban.1'!$I$9,Tabla11[[#This Row],[Cuenta]],1))</f>
        <v>0</v>
      </c>
      <c r="AV246" t="b">
        <f>+ISNUMBER(SEARCH(CompConta!$F$21,Tabla11[[#This Row],[Cuenta]],1))</f>
        <v>1</v>
      </c>
      <c r="AW246" t="b">
        <f>+ISNUMBER(SEARCH(CompConta!$F$22,Tabla11[[#This Row],[Cuenta]],1))</f>
        <v>1</v>
      </c>
      <c r="AX246" t="b">
        <f>+ISNUMBER(SEARCH(CompConta!$F$23,Tabla11[[#This Row],[Cuenta]],1))</f>
        <v>1</v>
      </c>
      <c r="AY246" t="b">
        <f>+ISNUMBER(SEARCH(CompConta!$F$24,Tabla11[[#This Row],[Cuenta]],1))</f>
        <v>1</v>
      </c>
      <c r="AZ246" t="b">
        <f>+ISNUMBER(SEARCH(CompConta!$F$25,Tabla11[[#This Row],[Cuenta]],1))</f>
        <v>1</v>
      </c>
      <c r="BA246" t="b">
        <f>+ISNUMBER(SEARCH(CompConta!$F$26,Tabla11[[#This Row],[Cuenta]],1))</f>
        <v>1</v>
      </c>
      <c r="BB246" t="b">
        <f>+ISNUMBER(SEARCH(CompConta!$F$27,Tabla11[[#This Row],[Cuenta]],1))</f>
        <v>1</v>
      </c>
      <c r="BC246" t="b">
        <f>+ISNUMBER(SEARCH(CompConta!$F$28,Tabla11[[#This Row],[Cuenta]],1))</f>
        <v>1</v>
      </c>
      <c r="BD246" t="b">
        <f>+ISNUMBER(SEARCH(CompConta!$F$29,Tabla11[[#This Row],[Cuenta]],1))</f>
        <v>1</v>
      </c>
      <c r="BE246" t="b">
        <f>+ISNUMBER(SEARCH(CompConta!$F$30,Tabla11[[#This Row],[Cuenta]],1))</f>
        <v>1</v>
      </c>
      <c r="BF246" t="b">
        <f>+ISNUMBER(SEARCH('PAGO Compras'!$E$11,Tabla11[[#This Row],[Cuenta]],1))</f>
        <v>1</v>
      </c>
      <c r="BG246" t="b">
        <f>+ISNUMBER(SEARCH(#REF!,Tabla11[[#This Row],[Cuenta]],1))</f>
        <v>0</v>
      </c>
      <c r="BH246" t="b">
        <f>+ISNUMBER(SEARCH(#REF!,Tabla11[[#This Row],[Cuenta]],1))</f>
        <v>0</v>
      </c>
      <c r="BI246" t="b">
        <f>+ISNUMBER(SEARCH(#REF!,Tabla11[[#This Row],[Cuenta]],1))</f>
        <v>0</v>
      </c>
      <c r="BJ246" t="b">
        <f>+ISNUMBER(SEARCH(#REF!,Tabla11[[#This Row],[Cuenta]],1))</f>
        <v>0</v>
      </c>
      <c r="BS246" t="str">
        <v>159705 Plantaciones agrícolas y forestales</v>
      </c>
      <c r="BT246" t="str">
        <v>159705 Plantaciones agrícolas y forestales</v>
      </c>
      <c r="BU246" t="str">
        <v>159705 Plantaciones agrícolas y forestales</v>
      </c>
      <c r="BV246" t="str">
        <v>159705 Plantaciones agrícolas y forestales</v>
      </c>
      <c r="BZ246" t="str">
        <v>159705 Plantaciones agrícolas y forestales</v>
      </c>
      <c r="CA246" t="str">
        <v>159705 Plantaciones agrícolas y forestales</v>
      </c>
      <c r="CB246" t="str">
        <v>159705 Plantaciones agrícolas y forestales</v>
      </c>
      <c r="CC246" t="str">
        <v>159705 Plantaciones agrícolas y forestales</v>
      </c>
      <c r="CD246" t="str">
        <v>159705 Plantaciones agrícolas y forestales</v>
      </c>
      <c r="CE246" t="str">
        <v>159705 Plantaciones agrícolas y forestales</v>
      </c>
      <c r="CS246" s="141" t="str">
        <v>159705 Plantaciones agrícolas y forestales</v>
      </c>
      <c r="CT246" s="141" t="str">
        <v>159705 Plantaciones agrícolas y forestales</v>
      </c>
      <c r="CU246" s="141" t="str">
        <v>159705 Plantaciones agrícolas y forestales</v>
      </c>
      <c r="CV246" s="141" t="str">
        <v>159705 Plantaciones agrícolas y forestales</v>
      </c>
      <c r="CW246" s="141" t="str">
        <v>159705 Plantaciones agrícolas y forestales</v>
      </c>
      <c r="CX246" s="141" t="str">
        <v>159705 Plantaciones agrícolas y forestales</v>
      </c>
      <c r="CY246" s="141" t="str">
        <v>159705 Plantaciones agrícolas y forestales</v>
      </c>
      <c r="CZ246" s="141" t="str">
        <v>159705 Plantaciones agrícolas y forestales</v>
      </c>
      <c r="DA246" s="141" t="str">
        <v>159705 Plantaciones agrícolas y forestales</v>
      </c>
      <c r="DF246" t="str">
        <v>159705 Plantaciones agrícolas y forestales</v>
      </c>
      <c r="DG246" t="str">
        <v>159705 Plantaciones agrícolas y forestales</v>
      </c>
      <c r="DH246" t="str">
        <v>159705 Plantaciones agrícolas y forestales</v>
      </c>
      <c r="DI246" t="str">
        <v>159705 Plantaciones agrícolas y forestales</v>
      </c>
      <c r="DJ246" t="str">
        <v>159705 Plantaciones agrícolas y forestales</v>
      </c>
      <c r="DK246" t="str">
        <v>159705 Plantaciones agrícolas y forestales</v>
      </c>
      <c r="DL246" t="str">
        <v>159705 Plantaciones agrícolas y forestales</v>
      </c>
      <c r="DM246" t="str">
        <v>159705 Plantaciones agrícolas y forestales</v>
      </c>
      <c r="DN246" t="str">
        <v>159705 Plantaciones agrícolas y forestales</v>
      </c>
      <c r="DO246" t="str">
        <v>159705 Plantaciones agrícolas y forestales</v>
      </c>
      <c r="DP246" t="str">
        <v>159705 Plantaciones agrícolas y forestales</v>
      </c>
    </row>
    <row r="247" spans="4:120" ht="12.75">
      <c r="D247" s="7">
        <v>159710</v>
      </c>
      <c r="E247" s="6" t="s">
        <v>123</v>
      </c>
      <c r="F247" s="5">
        <v>4</v>
      </c>
      <c r="G247" s="34" t="s">
        <v>822</v>
      </c>
      <c r="H247" s="8" t="s">
        <v>56</v>
      </c>
      <c r="I247" t="b">
        <f>+ISNUMBER(SEARCH('F-COMPRA'!$F$28,Tabla11[[#This Row],[Cuenta]],1))</f>
        <v>1</v>
      </c>
      <c r="J247" t="b">
        <f>+ISNUMBER(SEARCH('F-COMPRA'!$F$29,Tabla11[[#This Row],[Cuenta]],1))</f>
        <v>1</v>
      </c>
      <c r="K247" t="b">
        <f>+ISNUMBER(SEARCH('F-COMPRA'!$F$30,Tabla11[[#This Row],[Cuenta]],1))</f>
        <v>1</v>
      </c>
      <c r="L247" t="b">
        <f>+ISNUMBER(SEARCH('F-COMPRA'!$F$31,Tabla11[[#This Row],[Cuenta]],1))</f>
        <v>1</v>
      </c>
      <c r="M247" t="b">
        <f>+ISNUMBER(SEARCH('F-COMPRA'!$G$25,Tabla11[[#This Row],[Cuenta]],1))</f>
        <v>0</v>
      </c>
      <c r="N247" t="b">
        <f>+ISNUMBER(SEARCH(#REF!,Tabla11[[#This Row],[Cuenta]],1))</f>
        <v>0</v>
      </c>
      <c r="O247" t="b">
        <f>+ISNUMBER(SEARCH(#REF!,Tabla11[[#This Row],[Cuenta]],1))</f>
        <v>0</v>
      </c>
      <c r="P247" t="b">
        <f>+ISNUMBER(SEARCH('F-COMPRA'!$F$32,Tabla11[[#This Row],[Cuenta]],1))</f>
        <v>1</v>
      </c>
      <c r="Q247" t="b">
        <f>+ISNUMBER(SEARCH('F-COMPRA'!$F$33,Tabla11[[#This Row],[Cuenta]],1))</f>
        <v>1</v>
      </c>
      <c r="R247" t="b">
        <f>+ISNUMBER(SEARCH('F-COMPRA'!$F$34,Tabla11[[#This Row],[Cuenta]],1))</f>
        <v>1</v>
      </c>
      <c r="S247" t="b">
        <f>+ISNUMBER(SEARCH('F-COMPRA'!$F$35,Tabla11[[#This Row],[Cuenta]],1))</f>
        <v>1</v>
      </c>
      <c r="T247" t="b">
        <f>+ISNUMBER(SEARCH('F-COMPRA'!$F$36,Tabla11[[#This Row],[Cuenta]],1))</f>
        <v>1</v>
      </c>
      <c r="U247" t="b">
        <f>+ISNUMBER(SEARCH('F-COMPRA'!$F$37,Tabla11[[#This Row],[Cuenta]],1))</f>
        <v>1</v>
      </c>
      <c r="V247" t="b">
        <f>+ISNUMBER(SEARCH(#REF!,Tabla11[[#This Row],[Cuenta]],1))</f>
        <v>0</v>
      </c>
      <c r="W247" t="b">
        <f>+ISNUMBER(SEARCH('F-COMPRA'!#REF!,Tabla11[[#This Row],[Cuenta]],1))</f>
        <v>0</v>
      </c>
      <c r="X247" t="b">
        <f>+ISNUMBER(SEARCH('F-COMPRA'!#REF!,Tabla11[[#This Row],[Cuenta]],1))</f>
        <v>0</v>
      </c>
      <c r="Y247" t="b">
        <f>+ISNUMBER(SEARCH('F-COMPRA'!#REF!,Tabla11[[#This Row],[Cuenta]],1))</f>
        <v>0</v>
      </c>
      <c r="Z247" t="b">
        <f>+ISNUMBER(SEARCH('F-COMPRA'!#REF!,Tabla11[[#This Row],[Cuenta]],1))</f>
        <v>0</v>
      </c>
      <c r="AA247" t="b">
        <f>+ISNUMBER(SEARCH('F-COMPRA'!#REF!,Tabla11[[#This Row],[Cuenta]],1))</f>
        <v>0</v>
      </c>
      <c r="AB247" t="b">
        <f>+ISNUMBER(SEARCH('F-COMPRA'!#REF!,Tabla11[[#This Row],[Cuenta]],1))</f>
        <v>0</v>
      </c>
      <c r="AC247" t="b">
        <f>+ISNUMBER(SEARCH('F-COMPRA'!#REF!,Tabla11[[#This Row],[Cuenta]],1))</f>
        <v>0</v>
      </c>
      <c r="AD247" t="b">
        <f>+ISNUMBER(SEARCH('F-COMPRA'!#REF!,Tabla11[[#This Row],[Cuenta]],1))</f>
        <v>0</v>
      </c>
      <c r="AE247" t="b">
        <f>+ISNUMBER(SEARCH('F-COMPRA'!#REF!,Tabla11[[#This Row],[Cuenta]],1))</f>
        <v>0</v>
      </c>
      <c r="AF247" t="b">
        <f>+ISNUMBER(SEARCH('F-VTA'!$G$23,Tabla11[[#This Row],[Cuenta]],1))</f>
        <v>0</v>
      </c>
      <c r="AG247" t="b">
        <f>+ISNUMBER(SEARCH('F-VTA'!$G$24,Tabla11[[#This Row],[Cuenta]],1))</f>
        <v>0</v>
      </c>
      <c r="AH247" t="b">
        <f>+ISNUMBER(SEARCH('F-VTA'!$G$25,Tabla11[[#This Row],[Cuenta]],1))</f>
        <v>0</v>
      </c>
      <c r="AI247" t="b">
        <f>+ISNUMBER(SEARCH('F-VTA'!$F$28,Tabla11[[#This Row],[Cuenta]],1))</f>
        <v>1</v>
      </c>
      <c r="AJ247" t="b">
        <f>+ISNUMBER(SEARCH('F-VTA'!$F$29,Tabla11[[#This Row],[Cuenta]],1))</f>
        <v>1</v>
      </c>
      <c r="AK247" t="b">
        <f>+ISNUMBER(SEARCH('F-VTA'!$F$30,Tabla11[[#This Row],[Cuenta]],1))</f>
        <v>1</v>
      </c>
      <c r="AL247" t="b">
        <f>+ISNUMBER(SEARCH('F-VTA'!$F$31,Tabla11[[#This Row],[Cuenta]],1))</f>
        <v>1</v>
      </c>
      <c r="AM247" t="b">
        <f>+ISNUMBER(SEARCH('F-VTA'!$F$32,Tabla11[[#This Row],[Cuenta]],1))</f>
        <v>1</v>
      </c>
      <c r="AN247" t="b">
        <f>+ISNUMBER(SEARCH('F-VTA'!$F$33,Tabla11[[#This Row],[Cuenta]],1))</f>
        <v>1</v>
      </c>
      <c r="AO247" t="b">
        <f>+ISNUMBER(SEARCH('F-VTA'!$F$34,Tabla11[[#This Row],[Cuenta]],1))</f>
        <v>1</v>
      </c>
      <c r="AP247" t="b">
        <f>+ISNUMBER(SEARCH('F-VTA'!$F$35,Tabla11[[#This Row],[Cuenta]],1))</f>
        <v>1</v>
      </c>
      <c r="AQ247" t="b">
        <f>+ISNUMBER(SEARCH('F-VTA'!$F$36,Tabla11[[#This Row],[Cuenta]],1))</f>
        <v>1</v>
      </c>
      <c r="AR247" t="b">
        <f>+ISNUMBER(SEARCH(#REF!,Tabla11[[#This Row],[Cuenta]],1))</f>
        <v>0</v>
      </c>
      <c r="AS247" t="b">
        <f>+ISNUMBER(SEARCH(#REF!,Tabla11[[#This Row],[Cuenta]],1))</f>
        <v>0</v>
      </c>
      <c r="AT247" t="b">
        <f>+ISNUMBER(SEARCH(#REF!,Tabla11[[#This Row],[Cuenta]],1))</f>
        <v>0</v>
      </c>
      <c r="AU247" t="b">
        <f>+ISNUMBER(SEARCH('Conc. Ban.1'!$I$9,Tabla11[[#This Row],[Cuenta]],1))</f>
        <v>0</v>
      </c>
      <c r="AV247" t="b">
        <f>+ISNUMBER(SEARCH(CompConta!$F$21,Tabla11[[#This Row],[Cuenta]],1))</f>
        <v>1</v>
      </c>
      <c r="AW247" t="b">
        <f>+ISNUMBER(SEARCH(CompConta!$F$22,Tabla11[[#This Row],[Cuenta]],1))</f>
        <v>1</v>
      </c>
      <c r="AX247" t="b">
        <f>+ISNUMBER(SEARCH(CompConta!$F$23,Tabla11[[#This Row],[Cuenta]],1))</f>
        <v>1</v>
      </c>
      <c r="AY247" t="b">
        <f>+ISNUMBER(SEARCH(CompConta!$F$24,Tabla11[[#This Row],[Cuenta]],1))</f>
        <v>1</v>
      </c>
      <c r="AZ247" t="b">
        <f>+ISNUMBER(SEARCH(CompConta!$F$25,Tabla11[[#This Row],[Cuenta]],1))</f>
        <v>1</v>
      </c>
      <c r="BA247" t="b">
        <f>+ISNUMBER(SEARCH(CompConta!$F$26,Tabla11[[#This Row],[Cuenta]],1))</f>
        <v>1</v>
      </c>
      <c r="BB247" t="b">
        <f>+ISNUMBER(SEARCH(CompConta!$F$27,Tabla11[[#This Row],[Cuenta]],1))</f>
        <v>1</v>
      </c>
      <c r="BC247" t="b">
        <f>+ISNUMBER(SEARCH(CompConta!$F$28,Tabla11[[#This Row],[Cuenta]],1))</f>
        <v>1</v>
      </c>
      <c r="BD247" t="b">
        <f>+ISNUMBER(SEARCH(CompConta!$F$29,Tabla11[[#This Row],[Cuenta]],1))</f>
        <v>1</v>
      </c>
      <c r="BE247" t="b">
        <f>+ISNUMBER(SEARCH(CompConta!$F$30,Tabla11[[#This Row],[Cuenta]],1))</f>
        <v>1</v>
      </c>
      <c r="BF247" t="b">
        <f>+ISNUMBER(SEARCH('PAGO Compras'!$E$11,Tabla11[[#This Row],[Cuenta]],1))</f>
        <v>1</v>
      </c>
      <c r="BG247" t="b">
        <f>+ISNUMBER(SEARCH(#REF!,Tabla11[[#This Row],[Cuenta]],1))</f>
        <v>0</v>
      </c>
      <c r="BH247" t="b">
        <f>+ISNUMBER(SEARCH(#REF!,Tabla11[[#This Row],[Cuenta]],1))</f>
        <v>0</v>
      </c>
      <c r="BI247" t="b">
        <f>+ISNUMBER(SEARCH(#REF!,Tabla11[[#This Row],[Cuenta]],1))</f>
        <v>0</v>
      </c>
      <c r="BJ247" t="b">
        <f>+ISNUMBER(SEARCH(#REF!,Tabla11[[#This Row],[Cuenta]],1))</f>
        <v>0</v>
      </c>
      <c r="BS247" t="str">
        <v>159710 Vías de comunicación</v>
      </c>
      <c r="BT247" t="str">
        <v>159710 Vías de comunicación</v>
      </c>
      <c r="BU247" t="str">
        <v>159710 Vías de comunicación</v>
      </c>
      <c r="BV247" t="str">
        <v>159710 Vías de comunicación</v>
      </c>
      <c r="BZ247" t="str">
        <v>159710 Vías de comunicación</v>
      </c>
      <c r="CA247" t="str">
        <v>159710 Vías de comunicación</v>
      </c>
      <c r="CB247" t="str">
        <v>159710 Vías de comunicación</v>
      </c>
      <c r="CC247" t="str">
        <v>159710 Vías de comunicación</v>
      </c>
      <c r="CD247" t="str">
        <v>159710 Vías de comunicación</v>
      </c>
      <c r="CE247" t="str">
        <v>159710 Vías de comunicación</v>
      </c>
      <c r="CS247" s="141" t="str">
        <v>159710 Vías de comunicación</v>
      </c>
      <c r="CT247" s="141" t="str">
        <v>159710 Vías de comunicación</v>
      </c>
      <c r="CU247" s="141" t="str">
        <v>159710 Vías de comunicación</v>
      </c>
      <c r="CV247" s="141" t="str">
        <v>159710 Vías de comunicación</v>
      </c>
      <c r="CW247" s="141" t="str">
        <v>159710 Vías de comunicación</v>
      </c>
      <c r="CX247" s="141" t="str">
        <v>159710 Vías de comunicación</v>
      </c>
      <c r="CY247" s="141" t="str">
        <v>159710 Vías de comunicación</v>
      </c>
      <c r="CZ247" s="141" t="str">
        <v>159710 Vías de comunicación</v>
      </c>
      <c r="DA247" s="141" t="str">
        <v>159710 Vías de comunicación</v>
      </c>
      <c r="DF247" t="str">
        <v>159710 Vías de comunicación</v>
      </c>
      <c r="DG247" t="str">
        <v>159710 Vías de comunicación</v>
      </c>
      <c r="DH247" t="str">
        <v>159710 Vías de comunicación</v>
      </c>
      <c r="DI247" t="str">
        <v>159710 Vías de comunicación</v>
      </c>
      <c r="DJ247" t="str">
        <v>159710 Vías de comunicación</v>
      </c>
      <c r="DK247" t="str">
        <v>159710 Vías de comunicación</v>
      </c>
      <c r="DL247" t="str">
        <v>159710 Vías de comunicación</v>
      </c>
      <c r="DM247" t="str">
        <v>159710 Vías de comunicación</v>
      </c>
      <c r="DN247" t="str">
        <v>159710 Vías de comunicación</v>
      </c>
      <c r="DO247" t="str">
        <v>159710 Vías de comunicación</v>
      </c>
      <c r="DP247" t="str">
        <v>159710 Vías de comunicación</v>
      </c>
    </row>
    <row r="248" spans="4:120" ht="12.75">
      <c r="D248" s="7">
        <v>159715</v>
      </c>
      <c r="E248" s="6" t="s">
        <v>212</v>
      </c>
      <c r="F248" s="5">
        <v>4</v>
      </c>
      <c r="G248" s="34" t="s">
        <v>822</v>
      </c>
      <c r="H248" s="8" t="s">
        <v>56</v>
      </c>
      <c r="I248" t="b">
        <f>+ISNUMBER(SEARCH('F-COMPRA'!$F$28,Tabla11[[#This Row],[Cuenta]],1))</f>
        <v>1</v>
      </c>
      <c r="J248" t="b">
        <f>+ISNUMBER(SEARCH('F-COMPRA'!$F$29,Tabla11[[#This Row],[Cuenta]],1))</f>
        <v>1</v>
      </c>
      <c r="K248" t="b">
        <f>+ISNUMBER(SEARCH('F-COMPRA'!$F$30,Tabla11[[#This Row],[Cuenta]],1))</f>
        <v>1</v>
      </c>
      <c r="L248" t="b">
        <f>+ISNUMBER(SEARCH('F-COMPRA'!$F$31,Tabla11[[#This Row],[Cuenta]],1))</f>
        <v>1</v>
      </c>
      <c r="M248" t="b">
        <f>+ISNUMBER(SEARCH('F-COMPRA'!$G$25,Tabla11[[#This Row],[Cuenta]],1))</f>
        <v>0</v>
      </c>
      <c r="N248" t="b">
        <f>+ISNUMBER(SEARCH(#REF!,Tabla11[[#This Row],[Cuenta]],1))</f>
        <v>0</v>
      </c>
      <c r="O248" t="b">
        <f>+ISNUMBER(SEARCH(#REF!,Tabla11[[#This Row],[Cuenta]],1))</f>
        <v>0</v>
      </c>
      <c r="P248" t="b">
        <f>+ISNUMBER(SEARCH('F-COMPRA'!$F$32,Tabla11[[#This Row],[Cuenta]],1))</f>
        <v>1</v>
      </c>
      <c r="Q248" t="b">
        <f>+ISNUMBER(SEARCH('F-COMPRA'!$F$33,Tabla11[[#This Row],[Cuenta]],1))</f>
        <v>1</v>
      </c>
      <c r="R248" t="b">
        <f>+ISNUMBER(SEARCH('F-COMPRA'!$F$34,Tabla11[[#This Row],[Cuenta]],1))</f>
        <v>1</v>
      </c>
      <c r="S248" t="b">
        <f>+ISNUMBER(SEARCH('F-COMPRA'!$F$35,Tabla11[[#This Row],[Cuenta]],1))</f>
        <v>1</v>
      </c>
      <c r="T248" t="b">
        <f>+ISNUMBER(SEARCH('F-COMPRA'!$F$36,Tabla11[[#This Row],[Cuenta]],1))</f>
        <v>1</v>
      </c>
      <c r="U248" t="b">
        <f>+ISNUMBER(SEARCH('F-COMPRA'!$F$37,Tabla11[[#This Row],[Cuenta]],1))</f>
        <v>1</v>
      </c>
      <c r="V248" t="b">
        <f>+ISNUMBER(SEARCH(#REF!,Tabla11[[#This Row],[Cuenta]],1))</f>
        <v>0</v>
      </c>
      <c r="W248" t="b">
        <f>+ISNUMBER(SEARCH('F-COMPRA'!#REF!,Tabla11[[#This Row],[Cuenta]],1))</f>
        <v>0</v>
      </c>
      <c r="X248" t="b">
        <f>+ISNUMBER(SEARCH('F-COMPRA'!#REF!,Tabla11[[#This Row],[Cuenta]],1))</f>
        <v>0</v>
      </c>
      <c r="Y248" t="b">
        <f>+ISNUMBER(SEARCH('F-COMPRA'!#REF!,Tabla11[[#This Row],[Cuenta]],1))</f>
        <v>0</v>
      </c>
      <c r="Z248" t="b">
        <f>+ISNUMBER(SEARCH('F-COMPRA'!#REF!,Tabla11[[#This Row],[Cuenta]],1))</f>
        <v>0</v>
      </c>
      <c r="AA248" t="b">
        <f>+ISNUMBER(SEARCH('F-COMPRA'!#REF!,Tabla11[[#This Row],[Cuenta]],1))</f>
        <v>0</v>
      </c>
      <c r="AB248" t="b">
        <f>+ISNUMBER(SEARCH('F-COMPRA'!#REF!,Tabla11[[#This Row],[Cuenta]],1))</f>
        <v>0</v>
      </c>
      <c r="AC248" t="b">
        <f>+ISNUMBER(SEARCH('F-COMPRA'!#REF!,Tabla11[[#This Row],[Cuenta]],1))</f>
        <v>0</v>
      </c>
      <c r="AD248" t="b">
        <f>+ISNUMBER(SEARCH('F-COMPRA'!#REF!,Tabla11[[#This Row],[Cuenta]],1))</f>
        <v>0</v>
      </c>
      <c r="AE248" t="b">
        <f>+ISNUMBER(SEARCH('F-COMPRA'!#REF!,Tabla11[[#This Row],[Cuenta]],1))</f>
        <v>0</v>
      </c>
      <c r="AF248" t="b">
        <f>+ISNUMBER(SEARCH('F-VTA'!$G$23,Tabla11[[#This Row],[Cuenta]],1))</f>
        <v>0</v>
      </c>
      <c r="AG248" t="b">
        <f>+ISNUMBER(SEARCH('F-VTA'!$G$24,Tabla11[[#This Row],[Cuenta]],1))</f>
        <v>0</v>
      </c>
      <c r="AH248" t="b">
        <f>+ISNUMBER(SEARCH('F-VTA'!$G$25,Tabla11[[#This Row],[Cuenta]],1))</f>
        <v>0</v>
      </c>
      <c r="AI248" t="b">
        <f>+ISNUMBER(SEARCH('F-VTA'!$F$28,Tabla11[[#This Row],[Cuenta]],1))</f>
        <v>1</v>
      </c>
      <c r="AJ248" t="b">
        <f>+ISNUMBER(SEARCH('F-VTA'!$F$29,Tabla11[[#This Row],[Cuenta]],1))</f>
        <v>1</v>
      </c>
      <c r="AK248" t="b">
        <f>+ISNUMBER(SEARCH('F-VTA'!$F$30,Tabla11[[#This Row],[Cuenta]],1))</f>
        <v>1</v>
      </c>
      <c r="AL248" t="b">
        <f>+ISNUMBER(SEARCH('F-VTA'!$F$31,Tabla11[[#This Row],[Cuenta]],1))</f>
        <v>1</v>
      </c>
      <c r="AM248" t="b">
        <f>+ISNUMBER(SEARCH('F-VTA'!$F$32,Tabla11[[#This Row],[Cuenta]],1))</f>
        <v>1</v>
      </c>
      <c r="AN248" t="b">
        <f>+ISNUMBER(SEARCH('F-VTA'!$F$33,Tabla11[[#This Row],[Cuenta]],1))</f>
        <v>1</v>
      </c>
      <c r="AO248" t="b">
        <f>+ISNUMBER(SEARCH('F-VTA'!$F$34,Tabla11[[#This Row],[Cuenta]],1))</f>
        <v>1</v>
      </c>
      <c r="AP248" t="b">
        <f>+ISNUMBER(SEARCH('F-VTA'!$F$35,Tabla11[[#This Row],[Cuenta]],1))</f>
        <v>1</v>
      </c>
      <c r="AQ248" t="b">
        <f>+ISNUMBER(SEARCH('F-VTA'!$F$36,Tabla11[[#This Row],[Cuenta]],1))</f>
        <v>1</v>
      </c>
      <c r="AR248" t="b">
        <f>+ISNUMBER(SEARCH(#REF!,Tabla11[[#This Row],[Cuenta]],1))</f>
        <v>0</v>
      </c>
      <c r="AS248" t="b">
        <f>+ISNUMBER(SEARCH(#REF!,Tabla11[[#This Row],[Cuenta]],1))</f>
        <v>0</v>
      </c>
      <c r="AT248" t="b">
        <f>+ISNUMBER(SEARCH(#REF!,Tabla11[[#This Row],[Cuenta]],1))</f>
        <v>0</v>
      </c>
      <c r="AU248" t="b">
        <f>+ISNUMBER(SEARCH('Conc. Ban.1'!$I$9,Tabla11[[#This Row],[Cuenta]],1))</f>
        <v>0</v>
      </c>
      <c r="AV248" t="b">
        <f>+ISNUMBER(SEARCH(CompConta!$F$21,Tabla11[[#This Row],[Cuenta]],1))</f>
        <v>1</v>
      </c>
      <c r="AW248" t="b">
        <f>+ISNUMBER(SEARCH(CompConta!$F$22,Tabla11[[#This Row],[Cuenta]],1))</f>
        <v>1</v>
      </c>
      <c r="AX248" t="b">
        <f>+ISNUMBER(SEARCH(CompConta!$F$23,Tabla11[[#This Row],[Cuenta]],1))</f>
        <v>1</v>
      </c>
      <c r="AY248" t="b">
        <f>+ISNUMBER(SEARCH(CompConta!$F$24,Tabla11[[#This Row],[Cuenta]],1))</f>
        <v>1</v>
      </c>
      <c r="AZ248" t="b">
        <f>+ISNUMBER(SEARCH(CompConta!$F$25,Tabla11[[#This Row],[Cuenta]],1))</f>
        <v>1</v>
      </c>
      <c r="BA248" t="b">
        <f>+ISNUMBER(SEARCH(CompConta!$F$26,Tabla11[[#This Row],[Cuenta]],1))</f>
        <v>1</v>
      </c>
      <c r="BB248" t="b">
        <f>+ISNUMBER(SEARCH(CompConta!$F$27,Tabla11[[#This Row],[Cuenta]],1))</f>
        <v>1</v>
      </c>
      <c r="BC248" t="b">
        <f>+ISNUMBER(SEARCH(CompConta!$F$28,Tabla11[[#This Row],[Cuenta]],1))</f>
        <v>1</v>
      </c>
      <c r="BD248" t="b">
        <f>+ISNUMBER(SEARCH(CompConta!$F$29,Tabla11[[#This Row],[Cuenta]],1))</f>
        <v>1</v>
      </c>
      <c r="BE248" t="b">
        <f>+ISNUMBER(SEARCH(CompConta!$F$30,Tabla11[[#This Row],[Cuenta]],1))</f>
        <v>1</v>
      </c>
      <c r="BF248" t="b">
        <f>+ISNUMBER(SEARCH('PAGO Compras'!$E$11,Tabla11[[#This Row],[Cuenta]],1))</f>
        <v>1</v>
      </c>
      <c r="BG248" t="b">
        <f>+ISNUMBER(SEARCH(#REF!,Tabla11[[#This Row],[Cuenta]],1))</f>
        <v>0</v>
      </c>
      <c r="BH248" t="b">
        <f>+ISNUMBER(SEARCH(#REF!,Tabla11[[#This Row],[Cuenta]],1))</f>
        <v>0</v>
      </c>
      <c r="BI248" t="b">
        <f>+ISNUMBER(SEARCH(#REF!,Tabla11[[#This Row],[Cuenta]],1))</f>
        <v>0</v>
      </c>
      <c r="BJ248" t="b">
        <f>+ISNUMBER(SEARCH(#REF!,Tabla11[[#This Row],[Cuenta]],1))</f>
        <v>0</v>
      </c>
      <c r="BS248" t="str">
        <v>159715 Semovientes</v>
      </c>
      <c r="BT248" t="str">
        <v>159715 Semovientes</v>
      </c>
      <c r="BU248" t="str">
        <v>159715 Semovientes</v>
      </c>
      <c r="BV248" t="str">
        <v>159715 Semovientes</v>
      </c>
      <c r="BZ248" t="str">
        <v>159715 Semovientes</v>
      </c>
      <c r="CA248" t="str">
        <v>159715 Semovientes</v>
      </c>
      <c r="CB248" t="str">
        <v>159715 Semovientes</v>
      </c>
      <c r="CC248" t="str">
        <v>159715 Semovientes</v>
      </c>
      <c r="CD248" t="str">
        <v>159715 Semovientes</v>
      </c>
      <c r="CE248" t="str">
        <v>159715 Semovientes</v>
      </c>
      <c r="CS248" s="141" t="str">
        <v>159715 Semovientes</v>
      </c>
      <c r="CT248" s="141" t="str">
        <v>159715 Semovientes</v>
      </c>
      <c r="CU248" s="141" t="str">
        <v>159715 Semovientes</v>
      </c>
      <c r="CV248" s="141" t="str">
        <v>159715 Semovientes</v>
      </c>
      <c r="CW248" s="141" t="str">
        <v>159715 Semovientes</v>
      </c>
      <c r="CX248" s="141" t="str">
        <v>159715 Semovientes</v>
      </c>
      <c r="CY248" s="141" t="str">
        <v>159715 Semovientes</v>
      </c>
      <c r="CZ248" s="141" t="str">
        <v>159715 Semovientes</v>
      </c>
      <c r="DA248" s="141" t="str">
        <v>159715 Semovientes</v>
      </c>
      <c r="DF248" t="str">
        <v>159715 Semovientes</v>
      </c>
      <c r="DG248" t="str">
        <v>159715 Semovientes</v>
      </c>
      <c r="DH248" t="str">
        <v>159715 Semovientes</v>
      </c>
      <c r="DI248" t="str">
        <v>159715 Semovientes</v>
      </c>
      <c r="DJ248" t="str">
        <v>159715 Semovientes</v>
      </c>
      <c r="DK248" t="str">
        <v>159715 Semovientes</v>
      </c>
      <c r="DL248" t="str">
        <v>159715 Semovientes</v>
      </c>
      <c r="DM248" t="str">
        <v>159715 Semovientes</v>
      </c>
      <c r="DN248" t="str">
        <v>159715 Semovientes</v>
      </c>
      <c r="DO248" t="str">
        <v>159715 Semovientes</v>
      </c>
      <c r="DP248" t="str">
        <v>159715 Semovientes</v>
      </c>
    </row>
    <row r="249" spans="4:120" ht="12.75">
      <c r="D249" s="7">
        <v>159799</v>
      </c>
      <c r="E249" s="6" t="s">
        <v>44</v>
      </c>
      <c r="F249" s="5">
        <v>4</v>
      </c>
      <c r="G249" s="34" t="s">
        <v>822</v>
      </c>
      <c r="H249" s="8" t="s">
        <v>56</v>
      </c>
      <c r="I249" t="b">
        <f>+ISNUMBER(SEARCH('F-COMPRA'!$F$28,Tabla11[[#This Row],[Cuenta]],1))</f>
        <v>1</v>
      </c>
      <c r="J249" t="b">
        <f>+ISNUMBER(SEARCH('F-COMPRA'!$F$29,Tabla11[[#This Row],[Cuenta]],1))</f>
        <v>1</v>
      </c>
      <c r="K249" t="b">
        <f>+ISNUMBER(SEARCH('F-COMPRA'!$F$30,Tabla11[[#This Row],[Cuenta]],1))</f>
        <v>1</v>
      </c>
      <c r="L249" t="b">
        <f>+ISNUMBER(SEARCH('F-COMPRA'!$F$31,Tabla11[[#This Row],[Cuenta]],1))</f>
        <v>1</v>
      </c>
      <c r="M249" t="b">
        <f>+ISNUMBER(SEARCH('F-COMPRA'!$G$25,Tabla11[[#This Row],[Cuenta]],1))</f>
        <v>0</v>
      </c>
      <c r="N249" t="b">
        <f>+ISNUMBER(SEARCH(#REF!,Tabla11[[#This Row],[Cuenta]],1))</f>
        <v>0</v>
      </c>
      <c r="O249" t="b">
        <f>+ISNUMBER(SEARCH(#REF!,Tabla11[[#This Row],[Cuenta]],1))</f>
        <v>0</v>
      </c>
      <c r="P249" t="b">
        <f>+ISNUMBER(SEARCH('F-COMPRA'!$F$32,Tabla11[[#This Row],[Cuenta]],1))</f>
        <v>1</v>
      </c>
      <c r="Q249" t="b">
        <f>+ISNUMBER(SEARCH('F-COMPRA'!$F$33,Tabla11[[#This Row],[Cuenta]],1))</f>
        <v>1</v>
      </c>
      <c r="R249" t="b">
        <f>+ISNUMBER(SEARCH('F-COMPRA'!$F$34,Tabla11[[#This Row],[Cuenta]],1))</f>
        <v>1</v>
      </c>
      <c r="S249" t="b">
        <f>+ISNUMBER(SEARCH('F-COMPRA'!$F$35,Tabla11[[#This Row],[Cuenta]],1))</f>
        <v>1</v>
      </c>
      <c r="T249" t="b">
        <f>+ISNUMBER(SEARCH('F-COMPRA'!$F$36,Tabla11[[#This Row],[Cuenta]],1))</f>
        <v>1</v>
      </c>
      <c r="U249" t="b">
        <f>+ISNUMBER(SEARCH('F-COMPRA'!$F$37,Tabla11[[#This Row],[Cuenta]],1))</f>
        <v>1</v>
      </c>
      <c r="V249" t="b">
        <f>+ISNUMBER(SEARCH(#REF!,Tabla11[[#This Row],[Cuenta]],1))</f>
        <v>0</v>
      </c>
      <c r="W249" t="b">
        <f>+ISNUMBER(SEARCH('F-COMPRA'!#REF!,Tabla11[[#This Row],[Cuenta]],1))</f>
        <v>0</v>
      </c>
      <c r="X249" t="b">
        <f>+ISNUMBER(SEARCH('F-COMPRA'!#REF!,Tabla11[[#This Row],[Cuenta]],1))</f>
        <v>0</v>
      </c>
      <c r="Y249" t="b">
        <f>+ISNUMBER(SEARCH('F-COMPRA'!#REF!,Tabla11[[#This Row],[Cuenta]],1))</f>
        <v>0</v>
      </c>
      <c r="Z249" t="b">
        <f>+ISNUMBER(SEARCH('F-COMPRA'!#REF!,Tabla11[[#This Row],[Cuenta]],1))</f>
        <v>0</v>
      </c>
      <c r="AA249" t="b">
        <f>+ISNUMBER(SEARCH('F-COMPRA'!#REF!,Tabla11[[#This Row],[Cuenta]],1))</f>
        <v>0</v>
      </c>
      <c r="AB249" t="b">
        <f>+ISNUMBER(SEARCH('F-COMPRA'!#REF!,Tabla11[[#This Row],[Cuenta]],1))</f>
        <v>0</v>
      </c>
      <c r="AC249" t="b">
        <f>+ISNUMBER(SEARCH('F-COMPRA'!#REF!,Tabla11[[#This Row],[Cuenta]],1))</f>
        <v>0</v>
      </c>
      <c r="AD249" t="b">
        <f>+ISNUMBER(SEARCH('F-COMPRA'!#REF!,Tabla11[[#This Row],[Cuenta]],1))</f>
        <v>0</v>
      </c>
      <c r="AE249" t="b">
        <f>+ISNUMBER(SEARCH('F-COMPRA'!#REF!,Tabla11[[#This Row],[Cuenta]],1))</f>
        <v>0</v>
      </c>
      <c r="AF249" t="b">
        <f>+ISNUMBER(SEARCH('F-VTA'!$G$23,Tabla11[[#This Row],[Cuenta]],1))</f>
        <v>0</v>
      </c>
      <c r="AG249" t="b">
        <f>+ISNUMBER(SEARCH('F-VTA'!$G$24,Tabla11[[#This Row],[Cuenta]],1))</f>
        <v>0</v>
      </c>
      <c r="AH249" t="b">
        <f>+ISNUMBER(SEARCH('F-VTA'!$G$25,Tabla11[[#This Row],[Cuenta]],1))</f>
        <v>0</v>
      </c>
      <c r="AI249" t="b">
        <f>+ISNUMBER(SEARCH('F-VTA'!$F$28,Tabla11[[#This Row],[Cuenta]],1))</f>
        <v>1</v>
      </c>
      <c r="AJ249" t="b">
        <f>+ISNUMBER(SEARCH('F-VTA'!$F$29,Tabla11[[#This Row],[Cuenta]],1))</f>
        <v>1</v>
      </c>
      <c r="AK249" t="b">
        <f>+ISNUMBER(SEARCH('F-VTA'!$F$30,Tabla11[[#This Row],[Cuenta]],1))</f>
        <v>1</v>
      </c>
      <c r="AL249" t="b">
        <f>+ISNUMBER(SEARCH('F-VTA'!$F$31,Tabla11[[#This Row],[Cuenta]],1))</f>
        <v>1</v>
      </c>
      <c r="AM249" t="b">
        <f>+ISNUMBER(SEARCH('F-VTA'!$F$32,Tabla11[[#This Row],[Cuenta]],1))</f>
        <v>1</v>
      </c>
      <c r="AN249" t="b">
        <f>+ISNUMBER(SEARCH('F-VTA'!$F$33,Tabla11[[#This Row],[Cuenta]],1))</f>
        <v>1</v>
      </c>
      <c r="AO249" t="b">
        <f>+ISNUMBER(SEARCH('F-VTA'!$F$34,Tabla11[[#This Row],[Cuenta]],1))</f>
        <v>1</v>
      </c>
      <c r="AP249" t="b">
        <f>+ISNUMBER(SEARCH('F-VTA'!$F$35,Tabla11[[#This Row],[Cuenta]],1))</f>
        <v>1</v>
      </c>
      <c r="AQ249" t="b">
        <f>+ISNUMBER(SEARCH('F-VTA'!$F$36,Tabla11[[#This Row],[Cuenta]],1))</f>
        <v>1</v>
      </c>
      <c r="AR249" t="b">
        <f>+ISNUMBER(SEARCH(#REF!,Tabla11[[#This Row],[Cuenta]],1))</f>
        <v>0</v>
      </c>
      <c r="AS249" t="b">
        <f>+ISNUMBER(SEARCH(#REF!,Tabla11[[#This Row],[Cuenta]],1))</f>
        <v>0</v>
      </c>
      <c r="AT249" t="b">
        <f>+ISNUMBER(SEARCH(#REF!,Tabla11[[#This Row],[Cuenta]],1))</f>
        <v>0</v>
      </c>
      <c r="AU249" t="b">
        <f>+ISNUMBER(SEARCH('Conc. Ban.1'!$I$9,Tabla11[[#This Row],[Cuenta]],1))</f>
        <v>0</v>
      </c>
      <c r="AV249" t="b">
        <f>+ISNUMBER(SEARCH(CompConta!$F$21,Tabla11[[#This Row],[Cuenta]],1))</f>
        <v>1</v>
      </c>
      <c r="AW249" t="b">
        <f>+ISNUMBER(SEARCH(CompConta!$F$22,Tabla11[[#This Row],[Cuenta]],1))</f>
        <v>1</v>
      </c>
      <c r="AX249" t="b">
        <f>+ISNUMBER(SEARCH(CompConta!$F$23,Tabla11[[#This Row],[Cuenta]],1))</f>
        <v>1</v>
      </c>
      <c r="AY249" t="b">
        <f>+ISNUMBER(SEARCH(CompConta!$F$24,Tabla11[[#This Row],[Cuenta]],1))</f>
        <v>1</v>
      </c>
      <c r="AZ249" t="b">
        <f>+ISNUMBER(SEARCH(CompConta!$F$25,Tabla11[[#This Row],[Cuenta]],1))</f>
        <v>1</v>
      </c>
      <c r="BA249" t="b">
        <f>+ISNUMBER(SEARCH(CompConta!$F$26,Tabla11[[#This Row],[Cuenta]],1))</f>
        <v>1</v>
      </c>
      <c r="BB249" t="b">
        <f>+ISNUMBER(SEARCH(CompConta!$F$27,Tabla11[[#This Row],[Cuenta]],1))</f>
        <v>1</v>
      </c>
      <c r="BC249" t="b">
        <f>+ISNUMBER(SEARCH(CompConta!$F$28,Tabla11[[#This Row],[Cuenta]],1))</f>
        <v>1</v>
      </c>
      <c r="BD249" t="b">
        <f>+ISNUMBER(SEARCH(CompConta!$F$29,Tabla11[[#This Row],[Cuenta]],1))</f>
        <v>1</v>
      </c>
      <c r="BE249" t="b">
        <f>+ISNUMBER(SEARCH(CompConta!$F$30,Tabla11[[#This Row],[Cuenta]],1))</f>
        <v>1</v>
      </c>
      <c r="BF249" t="b">
        <f>+ISNUMBER(SEARCH('PAGO Compras'!$E$11,Tabla11[[#This Row],[Cuenta]],1))</f>
        <v>1</v>
      </c>
      <c r="BG249" t="b">
        <f>+ISNUMBER(SEARCH(#REF!,Tabla11[[#This Row],[Cuenta]],1))</f>
        <v>0</v>
      </c>
      <c r="BH249" t="b">
        <f>+ISNUMBER(SEARCH(#REF!,Tabla11[[#This Row],[Cuenta]],1))</f>
        <v>0</v>
      </c>
      <c r="BI249" t="b">
        <f>+ISNUMBER(SEARCH(#REF!,Tabla11[[#This Row],[Cuenta]],1))</f>
        <v>0</v>
      </c>
      <c r="BJ249" t="b">
        <f>+ISNUMBER(SEARCH(#REF!,Tabla11[[#This Row],[Cuenta]],1))</f>
        <v>0</v>
      </c>
      <c r="BS249" t="str">
        <v>159799 Ajustes por inflación</v>
      </c>
      <c r="BT249" t="str">
        <v>159799 Ajustes por inflación</v>
      </c>
      <c r="BU249" t="str">
        <v>159799 Ajustes por inflación</v>
      </c>
      <c r="BV249" t="str">
        <v>159799 Ajustes por inflación</v>
      </c>
      <c r="BZ249" t="str">
        <v>159799 Ajustes por inflación</v>
      </c>
      <c r="CA249" t="str">
        <v>159799 Ajustes por inflación</v>
      </c>
      <c r="CB249" t="str">
        <v>159799 Ajustes por inflación</v>
      </c>
      <c r="CC249" t="str">
        <v>159799 Ajustes por inflación</v>
      </c>
      <c r="CD249" t="str">
        <v>159799 Ajustes por inflación</v>
      </c>
      <c r="CE249" t="str">
        <v>159799 Ajustes por inflación</v>
      </c>
      <c r="CS249" s="141" t="str">
        <v>159799 Ajustes por inflación</v>
      </c>
      <c r="CT249" s="141" t="str">
        <v>159799 Ajustes por inflación</v>
      </c>
      <c r="CU249" s="141" t="str">
        <v>159799 Ajustes por inflación</v>
      </c>
      <c r="CV249" s="141" t="str">
        <v>159799 Ajustes por inflación</v>
      </c>
      <c r="CW249" s="141" t="str">
        <v>159799 Ajustes por inflación</v>
      </c>
      <c r="CX249" s="141" t="str">
        <v>159799 Ajustes por inflación</v>
      </c>
      <c r="CY249" s="141" t="str">
        <v>159799 Ajustes por inflación</v>
      </c>
      <c r="CZ249" s="141" t="str">
        <v>159799 Ajustes por inflación</v>
      </c>
      <c r="DA249" s="141" t="str">
        <v>159799 Ajustes por inflación</v>
      </c>
      <c r="DF249" t="str">
        <v>159799 Ajustes por inflación</v>
      </c>
      <c r="DG249" t="str">
        <v>159799 Ajustes por inflación</v>
      </c>
      <c r="DH249" t="str">
        <v>159799 Ajustes por inflación</v>
      </c>
      <c r="DI249" t="str">
        <v>159799 Ajustes por inflación</v>
      </c>
      <c r="DJ249" t="str">
        <v>159799 Ajustes por inflación</v>
      </c>
      <c r="DK249" t="str">
        <v>159799 Ajustes por inflación</v>
      </c>
      <c r="DL249" t="str">
        <v>159799 Ajustes por inflación</v>
      </c>
      <c r="DM249" t="str">
        <v>159799 Ajustes por inflación</v>
      </c>
      <c r="DN249" t="str">
        <v>159799 Ajustes por inflación</v>
      </c>
      <c r="DO249" t="str">
        <v>159799 Ajustes por inflación</v>
      </c>
      <c r="DP249" t="str">
        <v>159799 Ajustes por inflación</v>
      </c>
    </row>
    <row r="250" spans="4:120" ht="12.75">
      <c r="D250" s="7">
        <v>1598</v>
      </c>
      <c r="E250" s="6" t="s">
        <v>220</v>
      </c>
      <c r="F250" s="5">
        <v>3</v>
      </c>
      <c r="G250" s="34" t="s">
        <v>822</v>
      </c>
      <c r="H250" s="8" t="s">
        <v>56</v>
      </c>
      <c r="I250" t="b">
        <f>+ISNUMBER(SEARCH('F-COMPRA'!$F$28,Tabla11[[#This Row],[Cuenta]],1))</f>
        <v>1</v>
      </c>
      <c r="J250" t="b">
        <f>+ISNUMBER(SEARCH('F-COMPRA'!$F$29,Tabla11[[#This Row],[Cuenta]],1))</f>
        <v>1</v>
      </c>
      <c r="K250" t="b">
        <f>+ISNUMBER(SEARCH('F-COMPRA'!$F$30,Tabla11[[#This Row],[Cuenta]],1))</f>
        <v>1</v>
      </c>
      <c r="L250" t="b">
        <f>+ISNUMBER(SEARCH('F-COMPRA'!$F$31,Tabla11[[#This Row],[Cuenta]],1))</f>
        <v>1</v>
      </c>
      <c r="M250" t="b">
        <f>+ISNUMBER(SEARCH('F-COMPRA'!$G$25,Tabla11[[#This Row],[Cuenta]],1))</f>
        <v>0</v>
      </c>
      <c r="N250" t="b">
        <f>+ISNUMBER(SEARCH(#REF!,Tabla11[[#This Row],[Cuenta]],1))</f>
        <v>0</v>
      </c>
      <c r="O250" t="b">
        <f>+ISNUMBER(SEARCH(#REF!,Tabla11[[#This Row],[Cuenta]],1))</f>
        <v>0</v>
      </c>
      <c r="P250" t="b">
        <f>+ISNUMBER(SEARCH('F-COMPRA'!$F$32,Tabla11[[#This Row],[Cuenta]],1))</f>
        <v>1</v>
      </c>
      <c r="Q250" t="b">
        <f>+ISNUMBER(SEARCH('F-COMPRA'!$F$33,Tabla11[[#This Row],[Cuenta]],1))</f>
        <v>1</v>
      </c>
      <c r="R250" t="b">
        <f>+ISNUMBER(SEARCH('F-COMPRA'!$F$34,Tabla11[[#This Row],[Cuenta]],1))</f>
        <v>1</v>
      </c>
      <c r="S250" t="b">
        <f>+ISNUMBER(SEARCH('F-COMPRA'!$F$35,Tabla11[[#This Row],[Cuenta]],1))</f>
        <v>1</v>
      </c>
      <c r="T250" t="b">
        <f>+ISNUMBER(SEARCH('F-COMPRA'!$F$36,Tabla11[[#This Row],[Cuenta]],1))</f>
        <v>1</v>
      </c>
      <c r="U250" t="b">
        <f>+ISNUMBER(SEARCH('F-COMPRA'!$F$37,Tabla11[[#This Row],[Cuenta]],1))</f>
        <v>1</v>
      </c>
      <c r="V250" t="b">
        <f>+ISNUMBER(SEARCH(#REF!,Tabla11[[#This Row],[Cuenta]],1))</f>
        <v>0</v>
      </c>
      <c r="W250" t="b">
        <f>+ISNUMBER(SEARCH('F-COMPRA'!#REF!,Tabla11[[#This Row],[Cuenta]],1))</f>
        <v>0</v>
      </c>
      <c r="X250" t="b">
        <f>+ISNUMBER(SEARCH('F-COMPRA'!#REF!,Tabla11[[#This Row],[Cuenta]],1))</f>
        <v>0</v>
      </c>
      <c r="Y250" t="b">
        <f>+ISNUMBER(SEARCH('F-COMPRA'!#REF!,Tabla11[[#This Row],[Cuenta]],1))</f>
        <v>0</v>
      </c>
      <c r="Z250" t="b">
        <f>+ISNUMBER(SEARCH('F-COMPRA'!#REF!,Tabla11[[#This Row],[Cuenta]],1))</f>
        <v>0</v>
      </c>
      <c r="AA250" t="b">
        <f>+ISNUMBER(SEARCH('F-COMPRA'!#REF!,Tabla11[[#This Row],[Cuenta]],1))</f>
        <v>0</v>
      </c>
      <c r="AB250" t="b">
        <f>+ISNUMBER(SEARCH('F-COMPRA'!#REF!,Tabla11[[#This Row],[Cuenta]],1))</f>
        <v>0</v>
      </c>
      <c r="AC250" t="b">
        <f>+ISNUMBER(SEARCH('F-COMPRA'!#REF!,Tabla11[[#This Row],[Cuenta]],1))</f>
        <v>0</v>
      </c>
      <c r="AD250" t="b">
        <f>+ISNUMBER(SEARCH('F-COMPRA'!#REF!,Tabla11[[#This Row],[Cuenta]],1))</f>
        <v>0</v>
      </c>
      <c r="AE250" t="b">
        <f>+ISNUMBER(SEARCH('F-COMPRA'!#REF!,Tabla11[[#This Row],[Cuenta]],1))</f>
        <v>0</v>
      </c>
      <c r="AF250" t="b">
        <f>+ISNUMBER(SEARCH('F-VTA'!$G$23,Tabla11[[#This Row],[Cuenta]],1))</f>
        <v>0</v>
      </c>
      <c r="AG250" t="b">
        <f>+ISNUMBER(SEARCH('F-VTA'!$G$24,Tabla11[[#This Row],[Cuenta]],1))</f>
        <v>0</v>
      </c>
      <c r="AH250" t="b">
        <f>+ISNUMBER(SEARCH('F-VTA'!$G$25,Tabla11[[#This Row],[Cuenta]],1))</f>
        <v>0</v>
      </c>
      <c r="AI250" t="b">
        <f>+ISNUMBER(SEARCH('F-VTA'!$F$28,Tabla11[[#This Row],[Cuenta]],1))</f>
        <v>1</v>
      </c>
      <c r="AJ250" t="b">
        <f>+ISNUMBER(SEARCH('F-VTA'!$F$29,Tabla11[[#This Row],[Cuenta]],1))</f>
        <v>1</v>
      </c>
      <c r="AK250" t="b">
        <f>+ISNUMBER(SEARCH('F-VTA'!$F$30,Tabla11[[#This Row],[Cuenta]],1))</f>
        <v>1</v>
      </c>
      <c r="AL250" t="b">
        <f>+ISNUMBER(SEARCH('F-VTA'!$F$31,Tabla11[[#This Row],[Cuenta]],1))</f>
        <v>1</v>
      </c>
      <c r="AM250" t="b">
        <f>+ISNUMBER(SEARCH('F-VTA'!$F$32,Tabla11[[#This Row],[Cuenta]],1))</f>
        <v>1</v>
      </c>
      <c r="AN250" t="b">
        <f>+ISNUMBER(SEARCH('F-VTA'!$F$33,Tabla11[[#This Row],[Cuenta]],1))</f>
        <v>1</v>
      </c>
      <c r="AO250" t="b">
        <f>+ISNUMBER(SEARCH('F-VTA'!$F$34,Tabla11[[#This Row],[Cuenta]],1))</f>
        <v>1</v>
      </c>
      <c r="AP250" t="b">
        <f>+ISNUMBER(SEARCH('F-VTA'!$F$35,Tabla11[[#This Row],[Cuenta]],1))</f>
        <v>1</v>
      </c>
      <c r="AQ250" t="b">
        <f>+ISNUMBER(SEARCH('F-VTA'!$F$36,Tabla11[[#This Row],[Cuenta]],1))</f>
        <v>1</v>
      </c>
      <c r="AR250" t="b">
        <f>+ISNUMBER(SEARCH(#REF!,Tabla11[[#This Row],[Cuenta]],1))</f>
        <v>0</v>
      </c>
      <c r="AS250" t="b">
        <f>+ISNUMBER(SEARCH(#REF!,Tabla11[[#This Row],[Cuenta]],1))</f>
        <v>0</v>
      </c>
      <c r="AT250" t="b">
        <f>+ISNUMBER(SEARCH(#REF!,Tabla11[[#This Row],[Cuenta]],1))</f>
        <v>0</v>
      </c>
      <c r="AU250" t="b">
        <f>+ISNUMBER(SEARCH('Conc. Ban.1'!$I$9,Tabla11[[#This Row],[Cuenta]],1))</f>
        <v>0</v>
      </c>
      <c r="AV250" t="b">
        <f>+ISNUMBER(SEARCH(CompConta!$F$21,Tabla11[[#This Row],[Cuenta]],1))</f>
        <v>1</v>
      </c>
      <c r="AW250" t="b">
        <f>+ISNUMBER(SEARCH(CompConta!$F$22,Tabla11[[#This Row],[Cuenta]],1))</f>
        <v>1</v>
      </c>
      <c r="AX250" t="b">
        <f>+ISNUMBER(SEARCH(CompConta!$F$23,Tabla11[[#This Row],[Cuenta]],1))</f>
        <v>1</v>
      </c>
      <c r="AY250" t="b">
        <f>+ISNUMBER(SEARCH(CompConta!$F$24,Tabla11[[#This Row],[Cuenta]],1))</f>
        <v>1</v>
      </c>
      <c r="AZ250" t="b">
        <f>+ISNUMBER(SEARCH(CompConta!$F$25,Tabla11[[#This Row],[Cuenta]],1))</f>
        <v>1</v>
      </c>
      <c r="BA250" t="b">
        <f>+ISNUMBER(SEARCH(CompConta!$F$26,Tabla11[[#This Row],[Cuenta]],1))</f>
        <v>1</v>
      </c>
      <c r="BB250" t="b">
        <f>+ISNUMBER(SEARCH(CompConta!$F$27,Tabla11[[#This Row],[Cuenta]],1))</f>
        <v>1</v>
      </c>
      <c r="BC250" t="b">
        <f>+ISNUMBER(SEARCH(CompConta!$F$28,Tabla11[[#This Row],[Cuenta]],1))</f>
        <v>1</v>
      </c>
      <c r="BD250" t="b">
        <f>+ISNUMBER(SEARCH(CompConta!$F$29,Tabla11[[#This Row],[Cuenta]],1))</f>
        <v>1</v>
      </c>
      <c r="BE250" t="b">
        <f>+ISNUMBER(SEARCH(CompConta!$F$30,Tabla11[[#This Row],[Cuenta]],1))</f>
        <v>1</v>
      </c>
      <c r="BF250" t="b">
        <f>+ISNUMBER(SEARCH('PAGO Compras'!$E$11,Tabla11[[#This Row],[Cuenta]],1))</f>
        <v>1</v>
      </c>
      <c r="BG250" t="b">
        <f>+ISNUMBER(SEARCH(#REF!,Tabla11[[#This Row],[Cuenta]],1))</f>
        <v>0</v>
      </c>
      <c r="BH250" t="b">
        <f>+ISNUMBER(SEARCH(#REF!,Tabla11[[#This Row],[Cuenta]],1))</f>
        <v>0</v>
      </c>
      <c r="BI250" t="b">
        <f>+ISNUMBER(SEARCH(#REF!,Tabla11[[#This Row],[Cuenta]],1))</f>
        <v>0</v>
      </c>
      <c r="BJ250" t="b">
        <f>+ISNUMBER(SEARCH(#REF!,Tabla11[[#This Row],[Cuenta]],1))</f>
        <v>0</v>
      </c>
      <c r="BS250" t="str">
        <v>1598 AGOTAMIENTO ACUMULADO</v>
      </c>
      <c r="BT250" t="str">
        <v>1598 AGOTAMIENTO ACUMULADO</v>
      </c>
      <c r="BU250" t="str">
        <v>1598 AGOTAMIENTO ACUMULADO</v>
      </c>
      <c r="BV250" t="str">
        <v>1598 AGOTAMIENTO ACUMULADO</v>
      </c>
      <c r="BZ250" t="str">
        <v>1598 AGOTAMIENTO ACUMULADO</v>
      </c>
      <c r="CA250" t="str">
        <v>1598 AGOTAMIENTO ACUMULADO</v>
      </c>
      <c r="CB250" t="str">
        <v>1598 AGOTAMIENTO ACUMULADO</v>
      </c>
      <c r="CC250" t="str">
        <v>1598 AGOTAMIENTO ACUMULADO</v>
      </c>
      <c r="CD250" t="str">
        <v>1598 AGOTAMIENTO ACUMULADO</v>
      </c>
      <c r="CE250" t="str">
        <v>1598 AGOTAMIENTO ACUMULADO</v>
      </c>
      <c r="CS250" s="141" t="str">
        <v>1598 AGOTAMIENTO ACUMULADO</v>
      </c>
      <c r="CT250" s="141" t="str">
        <v>1598 AGOTAMIENTO ACUMULADO</v>
      </c>
      <c r="CU250" s="141" t="str">
        <v>1598 AGOTAMIENTO ACUMULADO</v>
      </c>
      <c r="CV250" s="141" t="str">
        <v>1598 AGOTAMIENTO ACUMULADO</v>
      </c>
      <c r="CW250" s="141" t="str">
        <v>1598 AGOTAMIENTO ACUMULADO</v>
      </c>
      <c r="CX250" s="141" t="str">
        <v>1598 AGOTAMIENTO ACUMULADO</v>
      </c>
      <c r="CY250" s="141" t="str">
        <v>1598 AGOTAMIENTO ACUMULADO</v>
      </c>
      <c r="CZ250" s="141" t="str">
        <v>1598 AGOTAMIENTO ACUMULADO</v>
      </c>
      <c r="DA250" s="141" t="str">
        <v>1598 AGOTAMIENTO ACUMULADO</v>
      </c>
      <c r="DF250" t="str">
        <v>1598 AGOTAMIENTO ACUMULADO</v>
      </c>
      <c r="DG250" t="str">
        <v>1598 AGOTAMIENTO ACUMULADO</v>
      </c>
      <c r="DH250" t="str">
        <v>1598 AGOTAMIENTO ACUMULADO</v>
      </c>
      <c r="DI250" t="str">
        <v>1598 AGOTAMIENTO ACUMULADO</v>
      </c>
      <c r="DJ250" t="str">
        <v>1598 AGOTAMIENTO ACUMULADO</v>
      </c>
      <c r="DK250" t="str">
        <v>1598 AGOTAMIENTO ACUMULADO</v>
      </c>
      <c r="DL250" t="str">
        <v>1598 AGOTAMIENTO ACUMULADO</v>
      </c>
      <c r="DM250" t="str">
        <v>1598 AGOTAMIENTO ACUMULADO</v>
      </c>
      <c r="DN250" t="str">
        <v>1598 AGOTAMIENTO ACUMULADO</v>
      </c>
      <c r="DO250" t="str">
        <v>1598 AGOTAMIENTO ACUMULADO</v>
      </c>
      <c r="DP250" t="str">
        <v>1598 AGOTAMIENTO ACUMULADO</v>
      </c>
    </row>
    <row r="251" spans="4:120" ht="12.75">
      <c r="D251" s="7">
        <v>159805</v>
      </c>
      <c r="E251" s="6" t="s">
        <v>221</v>
      </c>
      <c r="F251" s="5">
        <v>4</v>
      </c>
      <c r="G251" s="34" t="s">
        <v>822</v>
      </c>
      <c r="H251" s="8" t="s">
        <v>56</v>
      </c>
      <c r="I251" t="b">
        <f>+ISNUMBER(SEARCH('F-COMPRA'!$F$28,Tabla11[[#This Row],[Cuenta]],1))</f>
        <v>1</v>
      </c>
      <c r="J251" t="b">
        <f>+ISNUMBER(SEARCH('F-COMPRA'!$F$29,Tabla11[[#This Row],[Cuenta]],1))</f>
        <v>1</v>
      </c>
      <c r="K251" t="b">
        <f>+ISNUMBER(SEARCH('F-COMPRA'!$F$30,Tabla11[[#This Row],[Cuenta]],1))</f>
        <v>1</v>
      </c>
      <c r="L251" t="b">
        <f>+ISNUMBER(SEARCH('F-COMPRA'!$F$31,Tabla11[[#This Row],[Cuenta]],1))</f>
        <v>1</v>
      </c>
      <c r="M251" t="b">
        <f>+ISNUMBER(SEARCH('F-COMPRA'!$G$25,Tabla11[[#This Row],[Cuenta]],1))</f>
        <v>0</v>
      </c>
      <c r="N251" t="b">
        <f>+ISNUMBER(SEARCH(#REF!,Tabla11[[#This Row],[Cuenta]],1))</f>
        <v>0</v>
      </c>
      <c r="O251" t="b">
        <f>+ISNUMBER(SEARCH(#REF!,Tabla11[[#This Row],[Cuenta]],1))</f>
        <v>0</v>
      </c>
      <c r="P251" t="b">
        <f>+ISNUMBER(SEARCH('F-COMPRA'!$F$32,Tabla11[[#This Row],[Cuenta]],1))</f>
        <v>1</v>
      </c>
      <c r="Q251" t="b">
        <f>+ISNUMBER(SEARCH('F-COMPRA'!$F$33,Tabla11[[#This Row],[Cuenta]],1))</f>
        <v>1</v>
      </c>
      <c r="R251" t="b">
        <f>+ISNUMBER(SEARCH('F-COMPRA'!$F$34,Tabla11[[#This Row],[Cuenta]],1))</f>
        <v>1</v>
      </c>
      <c r="S251" t="b">
        <f>+ISNUMBER(SEARCH('F-COMPRA'!$F$35,Tabla11[[#This Row],[Cuenta]],1))</f>
        <v>1</v>
      </c>
      <c r="T251" t="b">
        <f>+ISNUMBER(SEARCH('F-COMPRA'!$F$36,Tabla11[[#This Row],[Cuenta]],1))</f>
        <v>1</v>
      </c>
      <c r="U251" t="b">
        <f>+ISNUMBER(SEARCH('F-COMPRA'!$F$37,Tabla11[[#This Row],[Cuenta]],1))</f>
        <v>1</v>
      </c>
      <c r="V251" t="b">
        <f>+ISNUMBER(SEARCH(#REF!,Tabla11[[#This Row],[Cuenta]],1))</f>
        <v>0</v>
      </c>
      <c r="W251" t="b">
        <f>+ISNUMBER(SEARCH('F-COMPRA'!#REF!,Tabla11[[#This Row],[Cuenta]],1))</f>
        <v>0</v>
      </c>
      <c r="X251" t="b">
        <f>+ISNUMBER(SEARCH('F-COMPRA'!#REF!,Tabla11[[#This Row],[Cuenta]],1))</f>
        <v>0</v>
      </c>
      <c r="Y251" t="b">
        <f>+ISNUMBER(SEARCH('F-COMPRA'!#REF!,Tabla11[[#This Row],[Cuenta]],1))</f>
        <v>0</v>
      </c>
      <c r="Z251" t="b">
        <f>+ISNUMBER(SEARCH('F-COMPRA'!#REF!,Tabla11[[#This Row],[Cuenta]],1))</f>
        <v>0</v>
      </c>
      <c r="AA251" t="b">
        <f>+ISNUMBER(SEARCH('F-COMPRA'!#REF!,Tabla11[[#This Row],[Cuenta]],1))</f>
        <v>0</v>
      </c>
      <c r="AB251" t="b">
        <f>+ISNUMBER(SEARCH('F-COMPRA'!#REF!,Tabla11[[#This Row],[Cuenta]],1))</f>
        <v>0</v>
      </c>
      <c r="AC251" t="b">
        <f>+ISNUMBER(SEARCH('F-COMPRA'!#REF!,Tabla11[[#This Row],[Cuenta]],1))</f>
        <v>0</v>
      </c>
      <c r="AD251" t="b">
        <f>+ISNUMBER(SEARCH('F-COMPRA'!#REF!,Tabla11[[#This Row],[Cuenta]],1))</f>
        <v>0</v>
      </c>
      <c r="AE251" t="b">
        <f>+ISNUMBER(SEARCH('F-COMPRA'!#REF!,Tabla11[[#This Row],[Cuenta]],1))</f>
        <v>0</v>
      </c>
      <c r="AF251" t="b">
        <f>+ISNUMBER(SEARCH('F-VTA'!$G$23,Tabla11[[#This Row],[Cuenta]],1))</f>
        <v>0</v>
      </c>
      <c r="AG251" t="b">
        <f>+ISNUMBER(SEARCH('F-VTA'!$G$24,Tabla11[[#This Row],[Cuenta]],1))</f>
        <v>0</v>
      </c>
      <c r="AH251" t="b">
        <f>+ISNUMBER(SEARCH('F-VTA'!$G$25,Tabla11[[#This Row],[Cuenta]],1))</f>
        <v>0</v>
      </c>
      <c r="AI251" t="b">
        <f>+ISNUMBER(SEARCH('F-VTA'!$F$28,Tabla11[[#This Row],[Cuenta]],1))</f>
        <v>1</v>
      </c>
      <c r="AJ251" t="b">
        <f>+ISNUMBER(SEARCH('F-VTA'!$F$29,Tabla11[[#This Row],[Cuenta]],1))</f>
        <v>1</v>
      </c>
      <c r="AK251" t="b">
        <f>+ISNUMBER(SEARCH('F-VTA'!$F$30,Tabla11[[#This Row],[Cuenta]],1))</f>
        <v>1</v>
      </c>
      <c r="AL251" t="b">
        <f>+ISNUMBER(SEARCH('F-VTA'!$F$31,Tabla11[[#This Row],[Cuenta]],1))</f>
        <v>1</v>
      </c>
      <c r="AM251" t="b">
        <f>+ISNUMBER(SEARCH('F-VTA'!$F$32,Tabla11[[#This Row],[Cuenta]],1))</f>
        <v>1</v>
      </c>
      <c r="AN251" t="b">
        <f>+ISNUMBER(SEARCH('F-VTA'!$F$33,Tabla11[[#This Row],[Cuenta]],1))</f>
        <v>1</v>
      </c>
      <c r="AO251" t="b">
        <f>+ISNUMBER(SEARCH('F-VTA'!$F$34,Tabla11[[#This Row],[Cuenta]],1))</f>
        <v>1</v>
      </c>
      <c r="AP251" t="b">
        <f>+ISNUMBER(SEARCH('F-VTA'!$F$35,Tabla11[[#This Row],[Cuenta]],1))</f>
        <v>1</v>
      </c>
      <c r="AQ251" t="b">
        <f>+ISNUMBER(SEARCH('F-VTA'!$F$36,Tabla11[[#This Row],[Cuenta]],1))</f>
        <v>1</v>
      </c>
      <c r="AR251" t="b">
        <f>+ISNUMBER(SEARCH(#REF!,Tabla11[[#This Row],[Cuenta]],1))</f>
        <v>0</v>
      </c>
      <c r="AS251" t="b">
        <f>+ISNUMBER(SEARCH(#REF!,Tabla11[[#This Row],[Cuenta]],1))</f>
        <v>0</v>
      </c>
      <c r="AT251" t="b">
        <f>+ISNUMBER(SEARCH(#REF!,Tabla11[[#This Row],[Cuenta]],1))</f>
        <v>0</v>
      </c>
      <c r="AU251" t="b">
        <f>+ISNUMBER(SEARCH('Conc. Ban.1'!$I$9,Tabla11[[#This Row],[Cuenta]],1))</f>
        <v>0</v>
      </c>
      <c r="AV251" t="b">
        <f>+ISNUMBER(SEARCH(CompConta!$F$21,Tabla11[[#This Row],[Cuenta]],1))</f>
        <v>1</v>
      </c>
      <c r="AW251" t="b">
        <f>+ISNUMBER(SEARCH(CompConta!$F$22,Tabla11[[#This Row],[Cuenta]],1))</f>
        <v>1</v>
      </c>
      <c r="AX251" t="b">
        <f>+ISNUMBER(SEARCH(CompConta!$F$23,Tabla11[[#This Row],[Cuenta]],1))</f>
        <v>1</v>
      </c>
      <c r="AY251" t="b">
        <f>+ISNUMBER(SEARCH(CompConta!$F$24,Tabla11[[#This Row],[Cuenta]],1))</f>
        <v>1</v>
      </c>
      <c r="AZ251" t="b">
        <f>+ISNUMBER(SEARCH(CompConta!$F$25,Tabla11[[#This Row],[Cuenta]],1))</f>
        <v>1</v>
      </c>
      <c r="BA251" t="b">
        <f>+ISNUMBER(SEARCH(CompConta!$F$26,Tabla11[[#This Row],[Cuenta]],1))</f>
        <v>1</v>
      </c>
      <c r="BB251" t="b">
        <f>+ISNUMBER(SEARCH(CompConta!$F$27,Tabla11[[#This Row],[Cuenta]],1))</f>
        <v>1</v>
      </c>
      <c r="BC251" t="b">
        <f>+ISNUMBER(SEARCH(CompConta!$F$28,Tabla11[[#This Row],[Cuenta]],1))</f>
        <v>1</v>
      </c>
      <c r="BD251" t="b">
        <f>+ISNUMBER(SEARCH(CompConta!$F$29,Tabla11[[#This Row],[Cuenta]],1))</f>
        <v>1</v>
      </c>
      <c r="BE251" t="b">
        <f>+ISNUMBER(SEARCH(CompConta!$F$30,Tabla11[[#This Row],[Cuenta]],1))</f>
        <v>1</v>
      </c>
      <c r="BF251" t="b">
        <f>+ISNUMBER(SEARCH('PAGO Compras'!$E$11,Tabla11[[#This Row],[Cuenta]],1))</f>
        <v>1</v>
      </c>
      <c r="BG251" t="b">
        <f>+ISNUMBER(SEARCH(#REF!,Tabla11[[#This Row],[Cuenta]],1))</f>
        <v>0</v>
      </c>
      <c r="BH251" t="b">
        <f>+ISNUMBER(SEARCH(#REF!,Tabla11[[#This Row],[Cuenta]],1))</f>
        <v>0</v>
      </c>
      <c r="BI251" t="b">
        <f>+ISNUMBER(SEARCH(#REF!,Tabla11[[#This Row],[Cuenta]],1))</f>
        <v>0</v>
      </c>
      <c r="BJ251" t="b">
        <f>+ISNUMBER(SEARCH(#REF!,Tabla11[[#This Row],[Cuenta]],1))</f>
        <v>0</v>
      </c>
      <c r="BS251" t="str">
        <v>159805 Minas y canteras</v>
      </c>
      <c r="BT251" t="str">
        <v>159805 Minas y canteras</v>
      </c>
      <c r="BU251" t="str">
        <v>159805 Minas y canteras</v>
      </c>
      <c r="BV251" t="str">
        <v>159805 Minas y canteras</v>
      </c>
      <c r="BZ251" t="str">
        <v>159805 Minas y canteras</v>
      </c>
      <c r="CA251" t="str">
        <v>159805 Minas y canteras</v>
      </c>
      <c r="CB251" t="str">
        <v>159805 Minas y canteras</v>
      </c>
      <c r="CC251" t="str">
        <v>159805 Minas y canteras</v>
      </c>
      <c r="CD251" t="str">
        <v>159805 Minas y canteras</v>
      </c>
      <c r="CE251" t="str">
        <v>159805 Minas y canteras</v>
      </c>
      <c r="CS251" s="141" t="str">
        <v>159805 Minas y canteras</v>
      </c>
      <c r="CT251" s="141" t="str">
        <v>159805 Minas y canteras</v>
      </c>
      <c r="CU251" s="141" t="str">
        <v>159805 Minas y canteras</v>
      </c>
      <c r="CV251" s="141" t="str">
        <v>159805 Minas y canteras</v>
      </c>
      <c r="CW251" s="141" t="str">
        <v>159805 Minas y canteras</v>
      </c>
      <c r="CX251" s="141" t="str">
        <v>159805 Minas y canteras</v>
      </c>
      <c r="CY251" s="141" t="str">
        <v>159805 Minas y canteras</v>
      </c>
      <c r="CZ251" s="141" t="str">
        <v>159805 Minas y canteras</v>
      </c>
      <c r="DA251" s="141" t="str">
        <v>159805 Minas y canteras</v>
      </c>
      <c r="DF251" t="str">
        <v>159805 Minas y canteras</v>
      </c>
      <c r="DG251" t="str">
        <v>159805 Minas y canteras</v>
      </c>
      <c r="DH251" t="str">
        <v>159805 Minas y canteras</v>
      </c>
      <c r="DI251" t="str">
        <v>159805 Minas y canteras</v>
      </c>
      <c r="DJ251" t="str">
        <v>159805 Minas y canteras</v>
      </c>
      <c r="DK251" t="str">
        <v>159805 Minas y canteras</v>
      </c>
      <c r="DL251" t="str">
        <v>159805 Minas y canteras</v>
      </c>
      <c r="DM251" t="str">
        <v>159805 Minas y canteras</v>
      </c>
      <c r="DN251" t="str">
        <v>159805 Minas y canteras</v>
      </c>
      <c r="DO251" t="str">
        <v>159805 Minas y canteras</v>
      </c>
      <c r="DP251" t="str">
        <v>159805 Minas y canteras</v>
      </c>
    </row>
    <row r="252" spans="4:120" ht="12.75">
      <c r="D252" s="7">
        <v>159815</v>
      </c>
      <c r="E252" s="6" t="s">
        <v>124</v>
      </c>
      <c r="F252" s="5">
        <v>4</v>
      </c>
      <c r="G252" s="34" t="s">
        <v>822</v>
      </c>
      <c r="H252" s="8" t="s">
        <v>56</v>
      </c>
      <c r="I252" t="b">
        <f>+ISNUMBER(SEARCH('F-COMPRA'!$F$28,Tabla11[[#This Row],[Cuenta]],1))</f>
        <v>1</v>
      </c>
      <c r="J252" t="b">
        <f>+ISNUMBER(SEARCH('F-COMPRA'!$F$29,Tabla11[[#This Row],[Cuenta]],1))</f>
        <v>1</v>
      </c>
      <c r="K252" t="b">
        <f>+ISNUMBER(SEARCH('F-COMPRA'!$F$30,Tabla11[[#This Row],[Cuenta]],1))</f>
        <v>1</v>
      </c>
      <c r="L252" t="b">
        <f>+ISNUMBER(SEARCH('F-COMPRA'!$F$31,Tabla11[[#This Row],[Cuenta]],1))</f>
        <v>1</v>
      </c>
      <c r="M252" t="b">
        <f>+ISNUMBER(SEARCH('F-COMPRA'!$G$25,Tabla11[[#This Row],[Cuenta]],1))</f>
        <v>0</v>
      </c>
      <c r="N252" t="b">
        <f>+ISNUMBER(SEARCH(#REF!,Tabla11[[#This Row],[Cuenta]],1))</f>
        <v>0</v>
      </c>
      <c r="O252" t="b">
        <f>+ISNUMBER(SEARCH(#REF!,Tabla11[[#This Row],[Cuenta]],1))</f>
        <v>0</v>
      </c>
      <c r="P252" t="b">
        <f>+ISNUMBER(SEARCH('F-COMPRA'!$F$32,Tabla11[[#This Row],[Cuenta]],1))</f>
        <v>1</v>
      </c>
      <c r="Q252" t="b">
        <f>+ISNUMBER(SEARCH('F-COMPRA'!$F$33,Tabla11[[#This Row],[Cuenta]],1))</f>
        <v>1</v>
      </c>
      <c r="R252" t="b">
        <f>+ISNUMBER(SEARCH('F-COMPRA'!$F$34,Tabla11[[#This Row],[Cuenta]],1))</f>
        <v>1</v>
      </c>
      <c r="S252" t="b">
        <f>+ISNUMBER(SEARCH('F-COMPRA'!$F$35,Tabla11[[#This Row],[Cuenta]],1))</f>
        <v>1</v>
      </c>
      <c r="T252" t="b">
        <f>+ISNUMBER(SEARCH('F-COMPRA'!$F$36,Tabla11[[#This Row],[Cuenta]],1))</f>
        <v>1</v>
      </c>
      <c r="U252" t="b">
        <f>+ISNUMBER(SEARCH('F-COMPRA'!$F$37,Tabla11[[#This Row],[Cuenta]],1))</f>
        <v>1</v>
      </c>
      <c r="V252" t="b">
        <f>+ISNUMBER(SEARCH(#REF!,Tabla11[[#This Row],[Cuenta]],1))</f>
        <v>0</v>
      </c>
      <c r="W252" t="b">
        <f>+ISNUMBER(SEARCH('F-COMPRA'!#REF!,Tabla11[[#This Row],[Cuenta]],1))</f>
        <v>0</v>
      </c>
      <c r="X252" t="b">
        <f>+ISNUMBER(SEARCH('F-COMPRA'!#REF!,Tabla11[[#This Row],[Cuenta]],1))</f>
        <v>0</v>
      </c>
      <c r="Y252" t="b">
        <f>+ISNUMBER(SEARCH('F-COMPRA'!#REF!,Tabla11[[#This Row],[Cuenta]],1))</f>
        <v>0</v>
      </c>
      <c r="Z252" t="b">
        <f>+ISNUMBER(SEARCH('F-COMPRA'!#REF!,Tabla11[[#This Row],[Cuenta]],1))</f>
        <v>0</v>
      </c>
      <c r="AA252" t="b">
        <f>+ISNUMBER(SEARCH('F-COMPRA'!#REF!,Tabla11[[#This Row],[Cuenta]],1))</f>
        <v>0</v>
      </c>
      <c r="AB252" t="b">
        <f>+ISNUMBER(SEARCH('F-COMPRA'!#REF!,Tabla11[[#This Row],[Cuenta]],1))</f>
        <v>0</v>
      </c>
      <c r="AC252" t="b">
        <f>+ISNUMBER(SEARCH('F-COMPRA'!#REF!,Tabla11[[#This Row],[Cuenta]],1))</f>
        <v>0</v>
      </c>
      <c r="AD252" t="b">
        <f>+ISNUMBER(SEARCH('F-COMPRA'!#REF!,Tabla11[[#This Row],[Cuenta]],1))</f>
        <v>0</v>
      </c>
      <c r="AE252" t="b">
        <f>+ISNUMBER(SEARCH('F-COMPRA'!#REF!,Tabla11[[#This Row],[Cuenta]],1))</f>
        <v>0</v>
      </c>
      <c r="AF252" t="b">
        <f>+ISNUMBER(SEARCH('F-VTA'!$G$23,Tabla11[[#This Row],[Cuenta]],1))</f>
        <v>0</v>
      </c>
      <c r="AG252" t="b">
        <f>+ISNUMBER(SEARCH('F-VTA'!$G$24,Tabla11[[#This Row],[Cuenta]],1))</f>
        <v>0</v>
      </c>
      <c r="AH252" t="b">
        <f>+ISNUMBER(SEARCH('F-VTA'!$G$25,Tabla11[[#This Row],[Cuenta]],1))</f>
        <v>0</v>
      </c>
      <c r="AI252" t="b">
        <f>+ISNUMBER(SEARCH('F-VTA'!$F$28,Tabla11[[#This Row],[Cuenta]],1))</f>
        <v>1</v>
      </c>
      <c r="AJ252" t="b">
        <f>+ISNUMBER(SEARCH('F-VTA'!$F$29,Tabla11[[#This Row],[Cuenta]],1))</f>
        <v>1</v>
      </c>
      <c r="AK252" t="b">
        <f>+ISNUMBER(SEARCH('F-VTA'!$F$30,Tabla11[[#This Row],[Cuenta]],1))</f>
        <v>1</v>
      </c>
      <c r="AL252" t="b">
        <f>+ISNUMBER(SEARCH('F-VTA'!$F$31,Tabla11[[#This Row],[Cuenta]],1))</f>
        <v>1</v>
      </c>
      <c r="AM252" t="b">
        <f>+ISNUMBER(SEARCH('F-VTA'!$F$32,Tabla11[[#This Row],[Cuenta]],1))</f>
        <v>1</v>
      </c>
      <c r="AN252" t="b">
        <f>+ISNUMBER(SEARCH('F-VTA'!$F$33,Tabla11[[#This Row],[Cuenta]],1))</f>
        <v>1</v>
      </c>
      <c r="AO252" t="b">
        <f>+ISNUMBER(SEARCH('F-VTA'!$F$34,Tabla11[[#This Row],[Cuenta]],1))</f>
        <v>1</v>
      </c>
      <c r="AP252" t="b">
        <f>+ISNUMBER(SEARCH('F-VTA'!$F$35,Tabla11[[#This Row],[Cuenta]],1))</f>
        <v>1</v>
      </c>
      <c r="AQ252" t="b">
        <f>+ISNUMBER(SEARCH('F-VTA'!$F$36,Tabla11[[#This Row],[Cuenta]],1))</f>
        <v>1</v>
      </c>
      <c r="AR252" t="b">
        <f>+ISNUMBER(SEARCH(#REF!,Tabla11[[#This Row],[Cuenta]],1))</f>
        <v>0</v>
      </c>
      <c r="AS252" t="b">
        <f>+ISNUMBER(SEARCH(#REF!,Tabla11[[#This Row],[Cuenta]],1))</f>
        <v>0</v>
      </c>
      <c r="AT252" t="b">
        <f>+ISNUMBER(SEARCH(#REF!,Tabla11[[#This Row],[Cuenta]],1))</f>
        <v>0</v>
      </c>
      <c r="AU252" t="b">
        <f>+ISNUMBER(SEARCH('Conc. Ban.1'!$I$9,Tabla11[[#This Row],[Cuenta]],1))</f>
        <v>0</v>
      </c>
      <c r="AV252" t="b">
        <f>+ISNUMBER(SEARCH(CompConta!$F$21,Tabla11[[#This Row],[Cuenta]],1))</f>
        <v>1</v>
      </c>
      <c r="AW252" t="b">
        <f>+ISNUMBER(SEARCH(CompConta!$F$22,Tabla11[[#This Row],[Cuenta]],1))</f>
        <v>1</v>
      </c>
      <c r="AX252" t="b">
        <f>+ISNUMBER(SEARCH(CompConta!$F$23,Tabla11[[#This Row],[Cuenta]],1))</f>
        <v>1</v>
      </c>
      <c r="AY252" t="b">
        <f>+ISNUMBER(SEARCH(CompConta!$F$24,Tabla11[[#This Row],[Cuenta]],1))</f>
        <v>1</v>
      </c>
      <c r="AZ252" t="b">
        <f>+ISNUMBER(SEARCH(CompConta!$F$25,Tabla11[[#This Row],[Cuenta]],1))</f>
        <v>1</v>
      </c>
      <c r="BA252" t="b">
        <f>+ISNUMBER(SEARCH(CompConta!$F$26,Tabla11[[#This Row],[Cuenta]],1))</f>
        <v>1</v>
      </c>
      <c r="BB252" t="b">
        <f>+ISNUMBER(SEARCH(CompConta!$F$27,Tabla11[[#This Row],[Cuenta]],1))</f>
        <v>1</v>
      </c>
      <c r="BC252" t="b">
        <f>+ISNUMBER(SEARCH(CompConta!$F$28,Tabla11[[#This Row],[Cuenta]],1))</f>
        <v>1</v>
      </c>
      <c r="BD252" t="b">
        <f>+ISNUMBER(SEARCH(CompConta!$F$29,Tabla11[[#This Row],[Cuenta]],1))</f>
        <v>1</v>
      </c>
      <c r="BE252" t="b">
        <f>+ISNUMBER(SEARCH(CompConta!$F$30,Tabla11[[#This Row],[Cuenta]],1))</f>
        <v>1</v>
      </c>
      <c r="BF252" t="b">
        <f>+ISNUMBER(SEARCH('PAGO Compras'!$E$11,Tabla11[[#This Row],[Cuenta]],1))</f>
        <v>1</v>
      </c>
      <c r="BG252" t="b">
        <f>+ISNUMBER(SEARCH(#REF!,Tabla11[[#This Row],[Cuenta]],1))</f>
        <v>0</v>
      </c>
      <c r="BH252" t="b">
        <f>+ISNUMBER(SEARCH(#REF!,Tabla11[[#This Row],[Cuenta]],1))</f>
        <v>0</v>
      </c>
      <c r="BI252" t="b">
        <f>+ISNUMBER(SEARCH(#REF!,Tabla11[[#This Row],[Cuenta]],1))</f>
        <v>0</v>
      </c>
      <c r="BJ252" t="b">
        <f>+ISNUMBER(SEARCH(#REF!,Tabla11[[#This Row],[Cuenta]],1))</f>
        <v>0</v>
      </c>
      <c r="BS252" t="str">
        <v>159815 Pozos artesianos</v>
      </c>
      <c r="BT252" t="str">
        <v>159815 Pozos artesianos</v>
      </c>
      <c r="BU252" t="str">
        <v>159815 Pozos artesianos</v>
      </c>
      <c r="BV252" t="str">
        <v>159815 Pozos artesianos</v>
      </c>
      <c r="BZ252" t="str">
        <v>159815 Pozos artesianos</v>
      </c>
      <c r="CA252" t="str">
        <v>159815 Pozos artesianos</v>
      </c>
      <c r="CB252" t="str">
        <v>159815 Pozos artesianos</v>
      </c>
      <c r="CC252" t="str">
        <v>159815 Pozos artesianos</v>
      </c>
      <c r="CD252" t="str">
        <v>159815 Pozos artesianos</v>
      </c>
      <c r="CE252" t="str">
        <v>159815 Pozos artesianos</v>
      </c>
      <c r="CS252" s="141" t="str">
        <v>159815 Pozos artesianos</v>
      </c>
      <c r="CT252" s="141" t="str">
        <v>159815 Pozos artesianos</v>
      </c>
      <c r="CU252" s="141" t="str">
        <v>159815 Pozos artesianos</v>
      </c>
      <c r="CV252" s="141" t="str">
        <v>159815 Pozos artesianos</v>
      </c>
      <c r="CW252" s="141" t="str">
        <v>159815 Pozos artesianos</v>
      </c>
      <c r="CX252" s="141" t="str">
        <v>159815 Pozos artesianos</v>
      </c>
      <c r="CY252" s="141" t="str">
        <v>159815 Pozos artesianos</v>
      </c>
      <c r="CZ252" s="141" t="str">
        <v>159815 Pozos artesianos</v>
      </c>
      <c r="DA252" s="141" t="str">
        <v>159815 Pozos artesianos</v>
      </c>
      <c r="DF252" t="str">
        <v>159815 Pozos artesianos</v>
      </c>
      <c r="DG252" t="str">
        <v>159815 Pozos artesianos</v>
      </c>
      <c r="DH252" t="str">
        <v>159815 Pozos artesianos</v>
      </c>
      <c r="DI252" t="str">
        <v>159815 Pozos artesianos</v>
      </c>
      <c r="DJ252" t="str">
        <v>159815 Pozos artesianos</v>
      </c>
      <c r="DK252" t="str">
        <v>159815 Pozos artesianos</v>
      </c>
      <c r="DL252" t="str">
        <v>159815 Pozos artesianos</v>
      </c>
      <c r="DM252" t="str">
        <v>159815 Pozos artesianos</v>
      </c>
      <c r="DN252" t="str">
        <v>159815 Pozos artesianos</v>
      </c>
      <c r="DO252" t="str">
        <v>159815 Pozos artesianos</v>
      </c>
      <c r="DP252" t="str">
        <v>159815 Pozos artesianos</v>
      </c>
    </row>
    <row r="253" spans="4:120" ht="12.75">
      <c r="D253" s="7">
        <v>159820</v>
      </c>
      <c r="E253" s="6" t="s">
        <v>222</v>
      </c>
      <c r="F253" s="5">
        <v>4</v>
      </c>
      <c r="G253" s="34" t="s">
        <v>822</v>
      </c>
      <c r="H253" s="8" t="s">
        <v>56</v>
      </c>
      <c r="I253" t="b">
        <f>+ISNUMBER(SEARCH('F-COMPRA'!$F$28,Tabla11[[#This Row],[Cuenta]],1))</f>
        <v>1</v>
      </c>
      <c r="J253" t="b">
        <f>+ISNUMBER(SEARCH('F-COMPRA'!$F$29,Tabla11[[#This Row],[Cuenta]],1))</f>
        <v>1</v>
      </c>
      <c r="K253" t="b">
        <f>+ISNUMBER(SEARCH('F-COMPRA'!$F$30,Tabla11[[#This Row],[Cuenta]],1))</f>
        <v>1</v>
      </c>
      <c r="L253" t="b">
        <f>+ISNUMBER(SEARCH('F-COMPRA'!$F$31,Tabla11[[#This Row],[Cuenta]],1))</f>
        <v>1</v>
      </c>
      <c r="M253" t="b">
        <f>+ISNUMBER(SEARCH('F-COMPRA'!$G$25,Tabla11[[#This Row],[Cuenta]],1))</f>
        <v>0</v>
      </c>
      <c r="N253" t="b">
        <f>+ISNUMBER(SEARCH(#REF!,Tabla11[[#This Row],[Cuenta]],1))</f>
        <v>0</v>
      </c>
      <c r="O253" t="b">
        <f>+ISNUMBER(SEARCH(#REF!,Tabla11[[#This Row],[Cuenta]],1))</f>
        <v>0</v>
      </c>
      <c r="P253" t="b">
        <f>+ISNUMBER(SEARCH('F-COMPRA'!$F$32,Tabla11[[#This Row],[Cuenta]],1))</f>
        <v>1</v>
      </c>
      <c r="Q253" t="b">
        <f>+ISNUMBER(SEARCH('F-COMPRA'!$F$33,Tabla11[[#This Row],[Cuenta]],1))</f>
        <v>1</v>
      </c>
      <c r="R253" t="b">
        <f>+ISNUMBER(SEARCH('F-COMPRA'!$F$34,Tabla11[[#This Row],[Cuenta]],1))</f>
        <v>1</v>
      </c>
      <c r="S253" t="b">
        <f>+ISNUMBER(SEARCH('F-COMPRA'!$F$35,Tabla11[[#This Row],[Cuenta]],1))</f>
        <v>1</v>
      </c>
      <c r="T253" t="b">
        <f>+ISNUMBER(SEARCH('F-COMPRA'!$F$36,Tabla11[[#This Row],[Cuenta]],1))</f>
        <v>1</v>
      </c>
      <c r="U253" t="b">
        <f>+ISNUMBER(SEARCH('F-COMPRA'!$F$37,Tabla11[[#This Row],[Cuenta]],1))</f>
        <v>1</v>
      </c>
      <c r="V253" t="b">
        <f>+ISNUMBER(SEARCH(#REF!,Tabla11[[#This Row],[Cuenta]],1))</f>
        <v>0</v>
      </c>
      <c r="W253" t="b">
        <f>+ISNUMBER(SEARCH('F-COMPRA'!#REF!,Tabla11[[#This Row],[Cuenta]],1))</f>
        <v>0</v>
      </c>
      <c r="X253" t="b">
        <f>+ISNUMBER(SEARCH('F-COMPRA'!#REF!,Tabla11[[#This Row],[Cuenta]],1))</f>
        <v>0</v>
      </c>
      <c r="Y253" t="b">
        <f>+ISNUMBER(SEARCH('F-COMPRA'!#REF!,Tabla11[[#This Row],[Cuenta]],1))</f>
        <v>0</v>
      </c>
      <c r="Z253" t="b">
        <f>+ISNUMBER(SEARCH('F-COMPRA'!#REF!,Tabla11[[#This Row],[Cuenta]],1))</f>
        <v>0</v>
      </c>
      <c r="AA253" t="b">
        <f>+ISNUMBER(SEARCH('F-COMPRA'!#REF!,Tabla11[[#This Row],[Cuenta]],1))</f>
        <v>0</v>
      </c>
      <c r="AB253" t="b">
        <f>+ISNUMBER(SEARCH('F-COMPRA'!#REF!,Tabla11[[#This Row],[Cuenta]],1))</f>
        <v>0</v>
      </c>
      <c r="AC253" t="b">
        <f>+ISNUMBER(SEARCH('F-COMPRA'!#REF!,Tabla11[[#This Row],[Cuenta]],1))</f>
        <v>0</v>
      </c>
      <c r="AD253" t="b">
        <f>+ISNUMBER(SEARCH('F-COMPRA'!#REF!,Tabla11[[#This Row],[Cuenta]],1))</f>
        <v>0</v>
      </c>
      <c r="AE253" t="b">
        <f>+ISNUMBER(SEARCH('F-COMPRA'!#REF!,Tabla11[[#This Row],[Cuenta]],1))</f>
        <v>0</v>
      </c>
      <c r="AF253" t="b">
        <f>+ISNUMBER(SEARCH('F-VTA'!$G$23,Tabla11[[#This Row],[Cuenta]],1))</f>
        <v>0</v>
      </c>
      <c r="AG253" t="b">
        <f>+ISNUMBER(SEARCH('F-VTA'!$G$24,Tabla11[[#This Row],[Cuenta]],1))</f>
        <v>0</v>
      </c>
      <c r="AH253" t="b">
        <f>+ISNUMBER(SEARCH('F-VTA'!$G$25,Tabla11[[#This Row],[Cuenta]],1))</f>
        <v>0</v>
      </c>
      <c r="AI253" t="b">
        <f>+ISNUMBER(SEARCH('F-VTA'!$F$28,Tabla11[[#This Row],[Cuenta]],1))</f>
        <v>1</v>
      </c>
      <c r="AJ253" t="b">
        <f>+ISNUMBER(SEARCH('F-VTA'!$F$29,Tabla11[[#This Row],[Cuenta]],1))</f>
        <v>1</v>
      </c>
      <c r="AK253" t="b">
        <f>+ISNUMBER(SEARCH('F-VTA'!$F$30,Tabla11[[#This Row],[Cuenta]],1))</f>
        <v>1</v>
      </c>
      <c r="AL253" t="b">
        <f>+ISNUMBER(SEARCH('F-VTA'!$F$31,Tabla11[[#This Row],[Cuenta]],1))</f>
        <v>1</v>
      </c>
      <c r="AM253" t="b">
        <f>+ISNUMBER(SEARCH('F-VTA'!$F$32,Tabla11[[#This Row],[Cuenta]],1))</f>
        <v>1</v>
      </c>
      <c r="AN253" t="b">
        <f>+ISNUMBER(SEARCH('F-VTA'!$F$33,Tabla11[[#This Row],[Cuenta]],1))</f>
        <v>1</v>
      </c>
      <c r="AO253" t="b">
        <f>+ISNUMBER(SEARCH('F-VTA'!$F$34,Tabla11[[#This Row],[Cuenta]],1))</f>
        <v>1</v>
      </c>
      <c r="AP253" t="b">
        <f>+ISNUMBER(SEARCH('F-VTA'!$F$35,Tabla11[[#This Row],[Cuenta]],1))</f>
        <v>1</v>
      </c>
      <c r="AQ253" t="b">
        <f>+ISNUMBER(SEARCH('F-VTA'!$F$36,Tabla11[[#This Row],[Cuenta]],1))</f>
        <v>1</v>
      </c>
      <c r="AR253" t="b">
        <f>+ISNUMBER(SEARCH(#REF!,Tabla11[[#This Row],[Cuenta]],1))</f>
        <v>0</v>
      </c>
      <c r="AS253" t="b">
        <f>+ISNUMBER(SEARCH(#REF!,Tabla11[[#This Row],[Cuenta]],1))</f>
        <v>0</v>
      </c>
      <c r="AT253" t="b">
        <f>+ISNUMBER(SEARCH(#REF!,Tabla11[[#This Row],[Cuenta]],1))</f>
        <v>0</v>
      </c>
      <c r="AU253" t="b">
        <f>+ISNUMBER(SEARCH('Conc. Ban.1'!$I$9,Tabla11[[#This Row],[Cuenta]],1))</f>
        <v>0</v>
      </c>
      <c r="AV253" t="b">
        <f>+ISNUMBER(SEARCH(CompConta!$F$21,Tabla11[[#This Row],[Cuenta]],1))</f>
        <v>1</v>
      </c>
      <c r="AW253" t="b">
        <f>+ISNUMBER(SEARCH(CompConta!$F$22,Tabla11[[#This Row],[Cuenta]],1))</f>
        <v>1</v>
      </c>
      <c r="AX253" t="b">
        <f>+ISNUMBER(SEARCH(CompConta!$F$23,Tabla11[[#This Row],[Cuenta]],1))</f>
        <v>1</v>
      </c>
      <c r="AY253" t="b">
        <f>+ISNUMBER(SEARCH(CompConta!$F$24,Tabla11[[#This Row],[Cuenta]],1))</f>
        <v>1</v>
      </c>
      <c r="AZ253" t="b">
        <f>+ISNUMBER(SEARCH(CompConta!$F$25,Tabla11[[#This Row],[Cuenta]],1))</f>
        <v>1</v>
      </c>
      <c r="BA253" t="b">
        <f>+ISNUMBER(SEARCH(CompConta!$F$26,Tabla11[[#This Row],[Cuenta]],1))</f>
        <v>1</v>
      </c>
      <c r="BB253" t="b">
        <f>+ISNUMBER(SEARCH(CompConta!$F$27,Tabla11[[#This Row],[Cuenta]],1))</f>
        <v>1</v>
      </c>
      <c r="BC253" t="b">
        <f>+ISNUMBER(SEARCH(CompConta!$F$28,Tabla11[[#This Row],[Cuenta]],1))</f>
        <v>1</v>
      </c>
      <c r="BD253" t="b">
        <f>+ISNUMBER(SEARCH(CompConta!$F$29,Tabla11[[#This Row],[Cuenta]],1))</f>
        <v>1</v>
      </c>
      <c r="BE253" t="b">
        <f>+ISNUMBER(SEARCH(CompConta!$F$30,Tabla11[[#This Row],[Cuenta]],1))</f>
        <v>1</v>
      </c>
      <c r="BF253" t="b">
        <f>+ISNUMBER(SEARCH('PAGO Compras'!$E$11,Tabla11[[#This Row],[Cuenta]],1))</f>
        <v>1</v>
      </c>
      <c r="BG253" t="b">
        <f>+ISNUMBER(SEARCH(#REF!,Tabla11[[#This Row],[Cuenta]],1))</f>
        <v>0</v>
      </c>
      <c r="BH253" t="b">
        <f>+ISNUMBER(SEARCH(#REF!,Tabla11[[#This Row],[Cuenta]],1))</f>
        <v>0</v>
      </c>
      <c r="BI253" t="b">
        <f>+ISNUMBER(SEARCH(#REF!,Tabla11[[#This Row],[Cuenta]],1))</f>
        <v>0</v>
      </c>
      <c r="BJ253" t="b">
        <f>+ISNUMBER(SEARCH(#REF!,Tabla11[[#This Row],[Cuenta]],1))</f>
        <v>0</v>
      </c>
      <c r="BS253" t="str">
        <v>159820 Yacimientos</v>
      </c>
      <c r="BT253" t="str">
        <v>159820 Yacimientos</v>
      </c>
      <c r="BU253" t="str">
        <v>159820 Yacimientos</v>
      </c>
      <c r="BV253" t="str">
        <v>159820 Yacimientos</v>
      </c>
      <c r="BZ253" t="str">
        <v>159820 Yacimientos</v>
      </c>
      <c r="CA253" t="str">
        <v>159820 Yacimientos</v>
      </c>
      <c r="CB253" t="str">
        <v>159820 Yacimientos</v>
      </c>
      <c r="CC253" t="str">
        <v>159820 Yacimientos</v>
      </c>
      <c r="CD253" t="str">
        <v>159820 Yacimientos</v>
      </c>
      <c r="CE253" t="str">
        <v>159820 Yacimientos</v>
      </c>
      <c r="CS253" s="141" t="str">
        <v>159820 Yacimientos</v>
      </c>
      <c r="CT253" s="141" t="str">
        <v>159820 Yacimientos</v>
      </c>
      <c r="CU253" s="141" t="str">
        <v>159820 Yacimientos</v>
      </c>
      <c r="CV253" s="141" t="str">
        <v>159820 Yacimientos</v>
      </c>
      <c r="CW253" s="141" t="str">
        <v>159820 Yacimientos</v>
      </c>
      <c r="CX253" s="141" t="str">
        <v>159820 Yacimientos</v>
      </c>
      <c r="CY253" s="141" t="str">
        <v>159820 Yacimientos</v>
      </c>
      <c r="CZ253" s="141" t="str">
        <v>159820 Yacimientos</v>
      </c>
      <c r="DA253" s="141" t="str">
        <v>159820 Yacimientos</v>
      </c>
      <c r="DF253" t="str">
        <v>159820 Yacimientos</v>
      </c>
      <c r="DG253" t="str">
        <v>159820 Yacimientos</v>
      </c>
      <c r="DH253" t="str">
        <v>159820 Yacimientos</v>
      </c>
      <c r="DI253" t="str">
        <v>159820 Yacimientos</v>
      </c>
      <c r="DJ253" t="str">
        <v>159820 Yacimientos</v>
      </c>
      <c r="DK253" t="str">
        <v>159820 Yacimientos</v>
      </c>
      <c r="DL253" t="str">
        <v>159820 Yacimientos</v>
      </c>
      <c r="DM253" t="str">
        <v>159820 Yacimientos</v>
      </c>
      <c r="DN253" t="str">
        <v>159820 Yacimientos</v>
      </c>
      <c r="DO253" t="str">
        <v>159820 Yacimientos</v>
      </c>
      <c r="DP253" t="str">
        <v>159820 Yacimientos</v>
      </c>
    </row>
    <row r="254" spans="4:120" ht="12.75">
      <c r="D254" s="7">
        <v>159899</v>
      </c>
      <c r="E254" s="6" t="s">
        <v>44</v>
      </c>
      <c r="F254" s="5">
        <v>4</v>
      </c>
      <c r="G254" s="34" t="s">
        <v>822</v>
      </c>
      <c r="H254" s="8" t="s">
        <v>56</v>
      </c>
      <c r="I254" t="b">
        <f>+ISNUMBER(SEARCH('F-COMPRA'!$F$28,Tabla11[[#This Row],[Cuenta]],1))</f>
        <v>1</v>
      </c>
      <c r="J254" t="b">
        <f>+ISNUMBER(SEARCH('F-COMPRA'!$F$29,Tabla11[[#This Row],[Cuenta]],1))</f>
        <v>1</v>
      </c>
      <c r="K254" t="b">
        <f>+ISNUMBER(SEARCH('F-COMPRA'!$F$30,Tabla11[[#This Row],[Cuenta]],1))</f>
        <v>1</v>
      </c>
      <c r="L254" t="b">
        <f>+ISNUMBER(SEARCH('F-COMPRA'!$F$31,Tabla11[[#This Row],[Cuenta]],1))</f>
        <v>1</v>
      </c>
      <c r="M254" t="b">
        <f>+ISNUMBER(SEARCH('F-COMPRA'!$G$25,Tabla11[[#This Row],[Cuenta]],1))</f>
        <v>0</v>
      </c>
      <c r="N254" t="b">
        <f>+ISNUMBER(SEARCH(#REF!,Tabla11[[#This Row],[Cuenta]],1))</f>
        <v>0</v>
      </c>
      <c r="O254" t="b">
        <f>+ISNUMBER(SEARCH(#REF!,Tabla11[[#This Row],[Cuenta]],1))</f>
        <v>0</v>
      </c>
      <c r="P254" t="b">
        <f>+ISNUMBER(SEARCH('F-COMPRA'!$F$32,Tabla11[[#This Row],[Cuenta]],1))</f>
        <v>1</v>
      </c>
      <c r="Q254" t="b">
        <f>+ISNUMBER(SEARCH('F-COMPRA'!$F$33,Tabla11[[#This Row],[Cuenta]],1))</f>
        <v>1</v>
      </c>
      <c r="R254" t="b">
        <f>+ISNUMBER(SEARCH('F-COMPRA'!$F$34,Tabla11[[#This Row],[Cuenta]],1))</f>
        <v>1</v>
      </c>
      <c r="S254" t="b">
        <f>+ISNUMBER(SEARCH('F-COMPRA'!$F$35,Tabla11[[#This Row],[Cuenta]],1))</f>
        <v>1</v>
      </c>
      <c r="T254" t="b">
        <f>+ISNUMBER(SEARCH('F-COMPRA'!$F$36,Tabla11[[#This Row],[Cuenta]],1))</f>
        <v>1</v>
      </c>
      <c r="U254" t="b">
        <f>+ISNUMBER(SEARCH('F-COMPRA'!$F$37,Tabla11[[#This Row],[Cuenta]],1))</f>
        <v>1</v>
      </c>
      <c r="V254" t="b">
        <f>+ISNUMBER(SEARCH(#REF!,Tabla11[[#This Row],[Cuenta]],1))</f>
        <v>0</v>
      </c>
      <c r="W254" t="b">
        <f>+ISNUMBER(SEARCH('F-COMPRA'!#REF!,Tabla11[[#This Row],[Cuenta]],1))</f>
        <v>0</v>
      </c>
      <c r="X254" t="b">
        <f>+ISNUMBER(SEARCH('F-COMPRA'!#REF!,Tabla11[[#This Row],[Cuenta]],1))</f>
        <v>0</v>
      </c>
      <c r="Y254" t="b">
        <f>+ISNUMBER(SEARCH('F-COMPRA'!#REF!,Tabla11[[#This Row],[Cuenta]],1))</f>
        <v>0</v>
      </c>
      <c r="Z254" t="b">
        <f>+ISNUMBER(SEARCH('F-COMPRA'!#REF!,Tabla11[[#This Row],[Cuenta]],1))</f>
        <v>0</v>
      </c>
      <c r="AA254" t="b">
        <f>+ISNUMBER(SEARCH('F-COMPRA'!#REF!,Tabla11[[#This Row],[Cuenta]],1))</f>
        <v>0</v>
      </c>
      <c r="AB254" t="b">
        <f>+ISNUMBER(SEARCH('F-COMPRA'!#REF!,Tabla11[[#This Row],[Cuenta]],1))</f>
        <v>0</v>
      </c>
      <c r="AC254" t="b">
        <f>+ISNUMBER(SEARCH('F-COMPRA'!#REF!,Tabla11[[#This Row],[Cuenta]],1))</f>
        <v>0</v>
      </c>
      <c r="AD254" t="b">
        <f>+ISNUMBER(SEARCH('F-COMPRA'!#REF!,Tabla11[[#This Row],[Cuenta]],1))</f>
        <v>0</v>
      </c>
      <c r="AE254" t="b">
        <f>+ISNUMBER(SEARCH('F-COMPRA'!#REF!,Tabla11[[#This Row],[Cuenta]],1))</f>
        <v>0</v>
      </c>
      <c r="AF254" t="b">
        <f>+ISNUMBER(SEARCH('F-VTA'!$G$23,Tabla11[[#This Row],[Cuenta]],1))</f>
        <v>0</v>
      </c>
      <c r="AG254" t="b">
        <f>+ISNUMBER(SEARCH('F-VTA'!$G$24,Tabla11[[#This Row],[Cuenta]],1))</f>
        <v>0</v>
      </c>
      <c r="AH254" t="b">
        <f>+ISNUMBER(SEARCH('F-VTA'!$G$25,Tabla11[[#This Row],[Cuenta]],1))</f>
        <v>0</v>
      </c>
      <c r="AI254" t="b">
        <f>+ISNUMBER(SEARCH('F-VTA'!$F$28,Tabla11[[#This Row],[Cuenta]],1))</f>
        <v>1</v>
      </c>
      <c r="AJ254" t="b">
        <f>+ISNUMBER(SEARCH('F-VTA'!$F$29,Tabla11[[#This Row],[Cuenta]],1))</f>
        <v>1</v>
      </c>
      <c r="AK254" t="b">
        <f>+ISNUMBER(SEARCH('F-VTA'!$F$30,Tabla11[[#This Row],[Cuenta]],1))</f>
        <v>1</v>
      </c>
      <c r="AL254" t="b">
        <f>+ISNUMBER(SEARCH('F-VTA'!$F$31,Tabla11[[#This Row],[Cuenta]],1))</f>
        <v>1</v>
      </c>
      <c r="AM254" t="b">
        <f>+ISNUMBER(SEARCH('F-VTA'!$F$32,Tabla11[[#This Row],[Cuenta]],1))</f>
        <v>1</v>
      </c>
      <c r="AN254" t="b">
        <f>+ISNUMBER(SEARCH('F-VTA'!$F$33,Tabla11[[#This Row],[Cuenta]],1))</f>
        <v>1</v>
      </c>
      <c r="AO254" t="b">
        <f>+ISNUMBER(SEARCH('F-VTA'!$F$34,Tabla11[[#This Row],[Cuenta]],1))</f>
        <v>1</v>
      </c>
      <c r="AP254" t="b">
        <f>+ISNUMBER(SEARCH('F-VTA'!$F$35,Tabla11[[#This Row],[Cuenta]],1))</f>
        <v>1</v>
      </c>
      <c r="AQ254" t="b">
        <f>+ISNUMBER(SEARCH('F-VTA'!$F$36,Tabla11[[#This Row],[Cuenta]],1))</f>
        <v>1</v>
      </c>
      <c r="AR254" t="b">
        <f>+ISNUMBER(SEARCH(#REF!,Tabla11[[#This Row],[Cuenta]],1))</f>
        <v>0</v>
      </c>
      <c r="AS254" t="b">
        <f>+ISNUMBER(SEARCH(#REF!,Tabla11[[#This Row],[Cuenta]],1))</f>
        <v>0</v>
      </c>
      <c r="AT254" t="b">
        <f>+ISNUMBER(SEARCH(#REF!,Tabla11[[#This Row],[Cuenta]],1))</f>
        <v>0</v>
      </c>
      <c r="AU254" t="b">
        <f>+ISNUMBER(SEARCH('Conc. Ban.1'!$I$9,Tabla11[[#This Row],[Cuenta]],1))</f>
        <v>0</v>
      </c>
      <c r="AV254" t="b">
        <f>+ISNUMBER(SEARCH(CompConta!$F$21,Tabla11[[#This Row],[Cuenta]],1))</f>
        <v>1</v>
      </c>
      <c r="AW254" t="b">
        <f>+ISNUMBER(SEARCH(CompConta!$F$22,Tabla11[[#This Row],[Cuenta]],1))</f>
        <v>1</v>
      </c>
      <c r="AX254" t="b">
        <f>+ISNUMBER(SEARCH(CompConta!$F$23,Tabla11[[#This Row],[Cuenta]],1))</f>
        <v>1</v>
      </c>
      <c r="AY254" t="b">
        <f>+ISNUMBER(SEARCH(CompConta!$F$24,Tabla11[[#This Row],[Cuenta]],1))</f>
        <v>1</v>
      </c>
      <c r="AZ254" t="b">
        <f>+ISNUMBER(SEARCH(CompConta!$F$25,Tabla11[[#This Row],[Cuenta]],1))</f>
        <v>1</v>
      </c>
      <c r="BA254" t="b">
        <f>+ISNUMBER(SEARCH(CompConta!$F$26,Tabla11[[#This Row],[Cuenta]],1))</f>
        <v>1</v>
      </c>
      <c r="BB254" t="b">
        <f>+ISNUMBER(SEARCH(CompConta!$F$27,Tabla11[[#This Row],[Cuenta]],1))</f>
        <v>1</v>
      </c>
      <c r="BC254" t="b">
        <f>+ISNUMBER(SEARCH(CompConta!$F$28,Tabla11[[#This Row],[Cuenta]],1))</f>
        <v>1</v>
      </c>
      <c r="BD254" t="b">
        <f>+ISNUMBER(SEARCH(CompConta!$F$29,Tabla11[[#This Row],[Cuenta]],1))</f>
        <v>1</v>
      </c>
      <c r="BE254" t="b">
        <f>+ISNUMBER(SEARCH(CompConta!$F$30,Tabla11[[#This Row],[Cuenta]],1))</f>
        <v>1</v>
      </c>
      <c r="BF254" t="b">
        <f>+ISNUMBER(SEARCH('PAGO Compras'!$E$11,Tabla11[[#This Row],[Cuenta]],1))</f>
        <v>1</v>
      </c>
      <c r="BG254" t="b">
        <f>+ISNUMBER(SEARCH(#REF!,Tabla11[[#This Row],[Cuenta]],1))</f>
        <v>0</v>
      </c>
      <c r="BH254" t="b">
        <f>+ISNUMBER(SEARCH(#REF!,Tabla11[[#This Row],[Cuenta]],1))</f>
        <v>0</v>
      </c>
      <c r="BI254" t="b">
        <f>+ISNUMBER(SEARCH(#REF!,Tabla11[[#This Row],[Cuenta]],1))</f>
        <v>0</v>
      </c>
      <c r="BJ254" t="b">
        <f>+ISNUMBER(SEARCH(#REF!,Tabla11[[#This Row],[Cuenta]],1))</f>
        <v>0</v>
      </c>
      <c r="BS254" t="str">
        <v>159899 Ajustes por inflación</v>
      </c>
      <c r="BT254" t="str">
        <v>159899 Ajustes por inflación</v>
      </c>
      <c r="BU254" t="str">
        <v>159899 Ajustes por inflación</v>
      </c>
      <c r="BV254" t="str">
        <v>159899 Ajustes por inflación</v>
      </c>
      <c r="BZ254" t="str">
        <v>159899 Ajustes por inflación</v>
      </c>
      <c r="CA254" t="str">
        <v>159899 Ajustes por inflación</v>
      </c>
      <c r="CB254" t="str">
        <v>159899 Ajustes por inflación</v>
      </c>
      <c r="CC254" t="str">
        <v>159899 Ajustes por inflación</v>
      </c>
      <c r="CD254" t="str">
        <v>159899 Ajustes por inflación</v>
      </c>
      <c r="CE254" t="str">
        <v>159899 Ajustes por inflación</v>
      </c>
      <c r="CS254" s="141" t="str">
        <v>159899 Ajustes por inflación</v>
      </c>
      <c r="CT254" s="141" t="str">
        <v>159899 Ajustes por inflación</v>
      </c>
      <c r="CU254" s="141" t="str">
        <v>159899 Ajustes por inflación</v>
      </c>
      <c r="CV254" s="141" t="str">
        <v>159899 Ajustes por inflación</v>
      </c>
      <c r="CW254" s="141" t="str">
        <v>159899 Ajustes por inflación</v>
      </c>
      <c r="CX254" s="141" t="str">
        <v>159899 Ajustes por inflación</v>
      </c>
      <c r="CY254" s="141" t="str">
        <v>159899 Ajustes por inflación</v>
      </c>
      <c r="CZ254" s="141" t="str">
        <v>159899 Ajustes por inflación</v>
      </c>
      <c r="DA254" s="141" t="str">
        <v>159899 Ajustes por inflación</v>
      </c>
      <c r="DF254" t="str">
        <v>159899 Ajustes por inflación</v>
      </c>
      <c r="DG254" t="str">
        <v>159899 Ajustes por inflación</v>
      </c>
      <c r="DH254" t="str">
        <v>159899 Ajustes por inflación</v>
      </c>
      <c r="DI254" t="str">
        <v>159899 Ajustes por inflación</v>
      </c>
      <c r="DJ254" t="str">
        <v>159899 Ajustes por inflación</v>
      </c>
      <c r="DK254" t="str">
        <v>159899 Ajustes por inflación</v>
      </c>
      <c r="DL254" t="str">
        <v>159899 Ajustes por inflación</v>
      </c>
      <c r="DM254" t="str">
        <v>159899 Ajustes por inflación</v>
      </c>
      <c r="DN254" t="str">
        <v>159899 Ajustes por inflación</v>
      </c>
      <c r="DO254" t="str">
        <v>159899 Ajustes por inflación</v>
      </c>
      <c r="DP254" t="str">
        <v>159899 Ajustes por inflación</v>
      </c>
    </row>
    <row r="255" spans="4:120" ht="12.75">
      <c r="D255" s="7">
        <v>1599</v>
      </c>
      <c r="E255" s="6" t="s">
        <v>55</v>
      </c>
      <c r="F255" s="5">
        <v>3</v>
      </c>
      <c r="G255" s="34" t="s">
        <v>822</v>
      </c>
      <c r="H255" s="8" t="s">
        <v>32</v>
      </c>
      <c r="I255" t="b">
        <f>+ISNUMBER(SEARCH('F-COMPRA'!$F$28,Tabla11[[#This Row],[Cuenta]],1))</f>
        <v>1</v>
      </c>
      <c r="J255" t="b">
        <f>+ISNUMBER(SEARCH('F-COMPRA'!$F$29,Tabla11[[#This Row],[Cuenta]],1))</f>
        <v>1</v>
      </c>
      <c r="K255" t="b">
        <f>+ISNUMBER(SEARCH('F-COMPRA'!$F$30,Tabla11[[#This Row],[Cuenta]],1))</f>
        <v>1</v>
      </c>
      <c r="L255" t="b">
        <f>+ISNUMBER(SEARCH('F-COMPRA'!$F$31,Tabla11[[#This Row],[Cuenta]],1))</f>
        <v>1</v>
      </c>
      <c r="M255" t="b">
        <f>+ISNUMBER(SEARCH('F-COMPRA'!$G$25,Tabla11[[#This Row],[Cuenta]],1))</f>
        <v>0</v>
      </c>
      <c r="N255" t="b">
        <f>+ISNUMBER(SEARCH(#REF!,Tabla11[[#This Row],[Cuenta]],1))</f>
        <v>0</v>
      </c>
      <c r="O255" t="b">
        <f>+ISNUMBER(SEARCH(#REF!,Tabla11[[#This Row],[Cuenta]],1))</f>
        <v>0</v>
      </c>
      <c r="P255" t="b">
        <f>+ISNUMBER(SEARCH('F-COMPRA'!$F$32,Tabla11[[#This Row],[Cuenta]],1))</f>
        <v>1</v>
      </c>
      <c r="Q255" t="b">
        <f>+ISNUMBER(SEARCH('F-COMPRA'!$F$33,Tabla11[[#This Row],[Cuenta]],1))</f>
        <v>1</v>
      </c>
      <c r="R255" t="b">
        <f>+ISNUMBER(SEARCH('F-COMPRA'!$F$34,Tabla11[[#This Row],[Cuenta]],1))</f>
        <v>1</v>
      </c>
      <c r="S255" t="b">
        <f>+ISNUMBER(SEARCH('F-COMPRA'!$F$35,Tabla11[[#This Row],[Cuenta]],1))</f>
        <v>1</v>
      </c>
      <c r="T255" t="b">
        <f>+ISNUMBER(SEARCH('F-COMPRA'!$F$36,Tabla11[[#This Row],[Cuenta]],1))</f>
        <v>1</v>
      </c>
      <c r="U255" t="b">
        <f>+ISNUMBER(SEARCH('F-COMPRA'!$F$37,Tabla11[[#This Row],[Cuenta]],1))</f>
        <v>1</v>
      </c>
      <c r="V255" t="b">
        <f>+ISNUMBER(SEARCH(#REF!,Tabla11[[#This Row],[Cuenta]],1))</f>
        <v>0</v>
      </c>
      <c r="W255" t="b">
        <f>+ISNUMBER(SEARCH('F-COMPRA'!#REF!,Tabla11[[#This Row],[Cuenta]],1))</f>
        <v>0</v>
      </c>
      <c r="X255" t="b">
        <f>+ISNUMBER(SEARCH('F-COMPRA'!#REF!,Tabla11[[#This Row],[Cuenta]],1))</f>
        <v>0</v>
      </c>
      <c r="Y255" t="b">
        <f>+ISNUMBER(SEARCH('F-COMPRA'!#REF!,Tabla11[[#This Row],[Cuenta]],1))</f>
        <v>0</v>
      </c>
      <c r="Z255" t="b">
        <f>+ISNUMBER(SEARCH('F-COMPRA'!#REF!,Tabla11[[#This Row],[Cuenta]],1))</f>
        <v>0</v>
      </c>
      <c r="AA255" t="b">
        <f>+ISNUMBER(SEARCH('F-COMPRA'!#REF!,Tabla11[[#This Row],[Cuenta]],1))</f>
        <v>0</v>
      </c>
      <c r="AB255" t="b">
        <f>+ISNUMBER(SEARCH('F-COMPRA'!#REF!,Tabla11[[#This Row],[Cuenta]],1))</f>
        <v>0</v>
      </c>
      <c r="AC255" t="b">
        <f>+ISNUMBER(SEARCH('F-COMPRA'!#REF!,Tabla11[[#This Row],[Cuenta]],1))</f>
        <v>0</v>
      </c>
      <c r="AD255" t="b">
        <f>+ISNUMBER(SEARCH('F-COMPRA'!#REF!,Tabla11[[#This Row],[Cuenta]],1))</f>
        <v>0</v>
      </c>
      <c r="AE255" t="b">
        <f>+ISNUMBER(SEARCH('F-COMPRA'!#REF!,Tabla11[[#This Row],[Cuenta]],1))</f>
        <v>0</v>
      </c>
      <c r="AF255" t="b">
        <f>+ISNUMBER(SEARCH('F-VTA'!$G$23,Tabla11[[#This Row],[Cuenta]],1))</f>
        <v>0</v>
      </c>
      <c r="AG255" t="b">
        <f>+ISNUMBER(SEARCH('F-VTA'!$G$24,Tabla11[[#This Row],[Cuenta]],1))</f>
        <v>0</v>
      </c>
      <c r="AH255" t="b">
        <f>+ISNUMBER(SEARCH('F-VTA'!$G$25,Tabla11[[#This Row],[Cuenta]],1))</f>
        <v>0</v>
      </c>
      <c r="AI255" t="b">
        <f>+ISNUMBER(SEARCH('F-VTA'!$F$28,Tabla11[[#This Row],[Cuenta]],1))</f>
        <v>1</v>
      </c>
      <c r="AJ255" t="b">
        <f>+ISNUMBER(SEARCH('F-VTA'!$F$29,Tabla11[[#This Row],[Cuenta]],1))</f>
        <v>1</v>
      </c>
      <c r="AK255" t="b">
        <f>+ISNUMBER(SEARCH('F-VTA'!$F$30,Tabla11[[#This Row],[Cuenta]],1))</f>
        <v>1</v>
      </c>
      <c r="AL255" t="b">
        <f>+ISNUMBER(SEARCH('F-VTA'!$F$31,Tabla11[[#This Row],[Cuenta]],1))</f>
        <v>1</v>
      </c>
      <c r="AM255" t="b">
        <f>+ISNUMBER(SEARCH('F-VTA'!$F$32,Tabla11[[#This Row],[Cuenta]],1))</f>
        <v>1</v>
      </c>
      <c r="AN255" t="b">
        <f>+ISNUMBER(SEARCH('F-VTA'!$F$33,Tabla11[[#This Row],[Cuenta]],1))</f>
        <v>1</v>
      </c>
      <c r="AO255" t="b">
        <f>+ISNUMBER(SEARCH('F-VTA'!$F$34,Tabla11[[#This Row],[Cuenta]],1))</f>
        <v>1</v>
      </c>
      <c r="AP255" t="b">
        <f>+ISNUMBER(SEARCH('F-VTA'!$F$35,Tabla11[[#This Row],[Cuenta]],1))</f>
        <v>1</v>
      </c>
      <c r="AQ255" t="b">
        <f>+ISNUMBER(SEARCH('F-VTA'!$F$36,Tabla11[[#This Row],[Cuenta]],1))</f>
        <v>1</v>
      </c>
      <c r="AR255" t="b">
        <f>+ISNUMBER(SEARCH(#REF!,Tabla11[[#This Row],[Cuenta]],1))</f>
        <v>0</v>
      </c>
      <c r="AS255" t="b">
        <f>+ISNUMBER(SEARCH(#REF!,Tabla11[[#This Row],[Cuenta]],1))</f>
        <v>0</v>
      </c>
      <c r="AT255" t="b">
        <f>+ISNUMBER(SEARCH(#REF!,Tabla11[[#This Row],[Cuenta]],1))</f>
        <v>0</v>
      </c>
      <c r="AU255" t="b">
        <f>+ISNUMBER(SEARCH('Conc. Ban.1'!$I$9,Tabla11[[#This Row],[Cuenta]],1))</f>
        <v>0</v>
      </c>
      <c r="AV255" t="b">
        <f>+ISNUMBER(SEARCH(CompConta!$F$21,Tabla11[[#This Row],[Cuenta]],1))</f>
        <v>1</v>
      </c>
      <c r="AW255" t="b">
        <f>+ISNUMBER(SEARCH(CompConta!$F$22,Tabla11[[#This Row],[Cuenta]],1))</f>
        <v>1</v>
      </c>
      <c r="AX255" t="b">
        <f>+ISNUMBER(SEARCH(CompConta!$F$23,Tabla11[[#This Row],[Cuenta]],1))</f>
        <v>1</v>
      </c>
      <c r="AY255" t="b">
        <f>+ISNUMBER(SEARCH(CompConta!$F$24,Tabla11[[#This Row],[Cuenta]],1))</f>
        <v>1</v>
      </c>
      <c r="AZ255" t="b">
        <f>+ISNUMBER(SEARCH(CompConta!$F$25,Tabla11[[#This Row],[Cuenta]],1))</f>
        <v>1</v>
      </c>
      <c r="BA255" t="b">
        <f>+ISNUMBER(SEARCH(CompConta!$F$26,Tabla11[[#This Row],[Cuenta]],1))</f>
        <v>1</v>
      </c>
      <c r="BB255" t="b">
        <f>+ISNUMBER(SEARCH(CompConta!$F$27,Tabla11[[#This Row],[Cuenta]],1))</f>
        <v>1</v>
      </c>
      <c r="BC255" t="b">
        <f>+ISNUMBER(SEARCH(CompConta!$F$28,Tabla11[[#This Row],[Cuenta]],1))</f>
        <v>1</v>
      </c>
      <c r="BD255" t="b">
        <f>+ISNUMBER(SEARCH(CompConta!$F$29,Tabla11[[#This Row],[Cuenta]],1))</f>
        <v>1</v>
      </c>
      <c r="BE255" t="b">
        <f>+ISNUMBER(SEARCH(CompConta!$F$30,Tabla11[[#This Row],[Cuenta]],1))</f>
        <v>1</v>
      </c>
      <c r="BF255" t="b">
        <f>+ISNUMBER(SEARCH('PAGO Compras'!$E$11,Tabla11[[#This Row],[Cuenta]],1))</f>
        <v>1</v>
      </c>
      <c r="BG255" t="b">
        <f>+ISNUMBER(SEARCH(#REF!,Tabla11[[#This Row],[Cuenta]],1))</f>
        <v>0</v>
      </c>
      <c r="BH255" t="b">
        <f>+ISNUMBER(SEARCH(#REF!,Tabla11[[#This Row],[Cuenta]],1))</f>
        <v>0</v>
      </c>
      <c r="BI255" t="b">
        <f>+ISNUMBER(SEARCH(#REF!,Tabla11[[#This Row],[Cuenta]],1))</f>
        <v>0</v>
      </c>
      <c r="BJ255" t="b">
        <f>+ISNUMBER(SEARCH(#REF!,Tabla11[[#This Row],[Cuenta]],1))</f>
        <v>0</v>
      </c>
      <c r="BS255" t="str">
        <v>1599 PROVISIONES</v>
      </c>
      <c r="BT255" t="str">
        <v>1599 PROVISIONES</v>
      </c>
      <c r="BU255" t="str">
        <v>1599 PROVISIONES</v>
      </c>
      <c r="BV255" t="str">
        <v>1599 PROVISIONES</v>
      </c>
      <c r="BZ255" t="str">
        <v>1599 PROVISIONES</v>
      </c>
      <c r="CA255" t="str">
        <v>1599 PROVISIONES</v>
      </c>
      <c r="CB255" t="str">
        <v>1599 PROVISIONES</v>
      </c>
      <c r="CC255" t="str">
        <v>1599 PROVISIONES</v>
      </c>
      <c r="CD255" t="str">
        <v>1599 PROVISIONES</v>
      </c>
      <c r="CE255" t="str">
        <v>1599 PROVISIONES</v>
      </c>
      <c r="CS255" s="141" t="str">
        <v>1599 PROVISIONES</v>
      </c>
      <c r="CT255" s="141" t="str">
        <v>1599 PROVISIONES</v>
      </c>
      <c r="CU255" s="141" t="str">
        <v>1599 PROVISIONES</v>
      </c>
      <c r="CV255" s="141" t="str">
        <v>1599 PROVISIONES</v>
      </c>
      <c r="CW255" s="141" t="str">
        <v>1599 PROVISIONES</v>
      </c>
      <c r="CX255" s="141" t="str">
        <v>1599 PROVISIONES</v>
      </c>
      <c r="CY255" s="141" t="str">
        <v>1599 PROVISIONES</v>
      </c>
      <c r="CZ255" s="141" t="str">
        <v>1599 PROVISIONES</v>
      </c>
      <c r="DA255" s="141" t="str">
        <v>1599 PROVISIONES</v>
      </c>
      <c r="DF255" t="str">
        <v>1599 PROVISIONES</v>
      </c>
      <c r="DG255" t="str">
        <v>1599 PROVISIONES</v>
      </c>
      <c r="DH255" t="str">
        <v>1599 PROVISIONES</v>
      </c>
      <c r="DI255" t="str">
        <v>1599 PROVISIONES</v>
      </c>
      <c r="DJ255" t="str">
        <v>1599 PROVISIONES</v>
      </c>
      <c r="DK255" t="str">
        <v>1599 PROVISIONES</v>
      </c>
      <c r="DL255" t="str">
        <v>1599 PROVISIONES</v>
      </c>
      <c r="DM255" t="str">
        <v>1599 PROVISIONES</v>
      </c>
      <c r="DN255" t="str">
        <v>1599 PROVISIONES</v>
      </c>
      <c r="DO255" t="str">
        <v>1599 PROVISIONES</v>
      </c>
      <c r="DP255" t="str">
        <v>1599 PROVISIONES</v>
      </c>
    </row>
    <row r="256" spans="4:120" ht="12.75">
      <c r="D256" s="7">
        <v>159904</v>
      </c>
      <c r="E256" s="6" t="s">
        <v>223</v>
      </c>
      <c r="F256" s="5">
        <v>4</v>
      </c>
      <c r="G256" s="34" t="s">
        <v>822</v>
      </c>
      <c r="H256" s="8" t="s">
        <v>56</v>
      </c>
      <c r="I256" t="b">
        <f>+ISNUMBER(SEARCH('F-COMPRA'!$F$28,Tabla11[[#This Row],[Cuenta]],1))</f>
        <v>1</v>
      </c>
      <c r="J256" t="b">
        <f>+ISNUMBER(SEARCH('F-COMPRA'!$F$29,Tabla11[[#This Row],[Cuenta]],1))</f>
        <v>1</v>
      </c>
      <c r="K256" t="b">
        <f>+ISNUMBER(SEARCH('F-COMPRA'!$F$30,Tabla11[[#This Row],[Cuenta]],1))</f>
        <v>1</v>
      </c>
      <c r="L256" t="b">
        <f>+ISNUMBER(SEARCH('F-COMPRA'!$F$31,Tabla11[[#This Row],[Cuenta]],1))</f>
        <v>1</v>
      </c>
      <c r="M256" t="b">
        <f>+ISNUMBER(SEARCH('F-COMPRA'!$G$25,Tabla11[[#This Row],[Cuenta]],1))</f>
        <v>0</v>
      </c>
      <c r="N256" t="b">
        <f>+ISNUMBER(SEARCH(#REF!,Tabla11[[#This Row],[Cuenta]],1))</f>
        <v>0</v>
      </c>
      <c r="O256" t="b">
        <f>+ISNUMBER(SEARCH(#REF!,Tabla11[[#This Row],[Cuenta]],1))</f>
        <v>0</v>
      </c>
      <c r="P256" t="b">
        <f>+ISNUMBER(SEARCH('F-COMPRA'!$F$32,Tabla11[[#This Row],[Cuenta]],1))</f>
        <v>1</v>
      </c>
      <c r="Q256" t="b">
        <f>+ISNUMBER(SEARCH('F-COMPRA'!$F$33,Tabla11[[#This Row],[Cuenta]],1))</f>
        <v>1</v>
      </c>
      <c r="R256" t="b">
        <f>+ISNUMBER(SEARCH('F-COMPRA'!$F$34,Tabla11[[#This Row],[Cuenta]],1))</f>
        <v>1</v>
      </c>
      <c r="S256" t="b">
        <f>+ISNUMBER(SEARCH('F-COMPRA'!$F$35,Tabla11[[#This Row],[Cuenta]],1))</f>
        <v>1</v>
      </c>
      <c r="T256" t="b">
        <f>+ISNUMBER(SEARCH('F-COMPRA'!$F$36,Tabla11[[#This Row],[Cuenta]],1))</f>
        <v>1</v>
      </c>
      <c r="U256" t="b">
        <f>+ISNUMBER(SEARCH('F-COMPRA'!$F$37,Tabla11[[#This Row],[Cuenta]],1))</f>
        <v>1</v>
      </c>
      <c r="V256" t="b">
        <f>+ISNUMBER(SEARCH(#REF!,Tabla11[[#This Row],[Cuenta]],1))</f>
        <v>0</v>
      </c>
      <c r="W256" t="b">
        <f>+ISNUMBER(SEARCH('F-COMPRA'!#REF!,Tabla11[[#This Row],[Cuenta]],1))</f>
        <v>0</v>
      </c>
      <c r="X256" t="b">
        <f>+ISNUMBER(SEARCH('F-COMPRA'!#REF!,Tabla11[[#This Row],[Cuenta]],1))</f>
        <v>0</v>
      </c>
      <c r="Y256" t="b">
        <f>+ISNUMBER(SEARCH('F-COMPRA'!#REF!,Tabla11[[#This Row],[Cuenta]],1))</f>
        <v>0</v>
      </c>
      <c r="Z256" t="b">
        <f>+ISNUMBER(SEARCH('F-COMPRA'!#REF!,Tabla11[[#This Row],[Cuenta]],1))</f>
        <v>0</v>
      </c>
      <c r="AA256" t="b">
        <f>+ISNUMBER(SEARCH('F-COMPRA'!#REF!,Tabla11[[#This Row],[Cuenta]],1))</f>
        <v>0</v>
      </c>
      <c r="AB256" t="b">
        <f>+ISNUMBER(SEARCH('F-COMPRA'!#REF!,Tabla11[[#This Row],[Cuenta]],1))</f>
        <v>0</v>
      </c>
      <c r="AC256" t="b">
        <f>+ISNUMBER(SEARCH('F-COMPRA'!#REF!,Tabla11[[#This Row],[Cuenta]],1))</f>
        <v>0</v>
      </c>
      <c r="AD256" t="b">
        <f>+ISNUMBER(SEARCH('F-COMPRA'!#REF!,Tabla11[[#This Row],[Cuenta]],1))</f>
        <v>0</v>
      </c>
      <c r="AE256" t="b">
        <f>+ISNUMBER(SEARCH('F-COMPRA'!#REF!,Tabla11[[#This Row],[Cuenta]],1))</f>
        <v>0</v>
      </c>
      <c r="AF256" t="b">
        <f>+ISNUMBER(SEARCH('F-VTA'!$G$23,Tabla11[[#This Row],[Cuenta]],1))</f>
        <v>0</v>
      </c>
      <c r="AG256" t="b">
        <f>+ISNUMBER(SEARCH('F-VTA'!$G$24,Tabla11[[#This Row],[Cuenta]],1))</f>
        <v>0</v>
      </c>
      <c r="AH256" t="b">
        <f>+ISNUMBER(SEARCH('F-VTA'!$G$25,Tabla11[[#This Row],[Cuenta]],1))</f>
        <v>0</v>
      </c>
      <c r="AI256" t="b">
        <f>+ISNUMBER(SEARCH('F-VTA'!$F$28,Tabla11[[#This Row],[Cuenta]],1))</f>
        <v>1</v>
      </c>
      <c r="AJ256" t="b">
        <f>+ISNUMBER(SEARCH('F-VTA'!$F$29,Tabla11[[#This Row],[Cuenta]],1))</f>
        <v>1</v>
      </c>
      <c r="AK256" t="b">
        <f>+ISNUMBER(SEARCH('F-VTA'!$F$30,Tabla11[[#This Row],[Cuenta]],1))</f>
        <v>1</v>
      </c>
      <c r="AL256" t="b">
        <f>+ISNUMBER(SEARCH('F-VTA'!$F$31,Tabla11[[#This Row],[Cuenta]],1))</f>
        <v>1</v>
      </c>
      <c r="AM256" t="b">
        <f>+ISNUMBER(SEARCH('F-VTA'!$F$32,Tabla11[[#This Row],[Cuenta]],1))</f>
        <v>1</v>
      </c>
      <c r="AN256" t="b">
        <f>+ISNUMBER(SEARCH('F-VTA'!$F$33,Tabla11[[#This Row],[Cuenta]],1))</f>
        <v>1</v>
      </c>
      <c r="AO256" t="b">
        <f>+ISNUMBER(SEARCH('F-VTA'!$F$34,Tabla11[[#This Row],[Cuenta]],1))</f>
        <v>1</v>
      </c>
      <c r="AP256" t="b">
        <f>+ISNUMBER(SEARCH('F-VTA'!$F$35,Tabla11[[#This Row],[Cuenta]],1))</f>
        <v>1</v>
      </c>
      <c r="AQ256" t="b">
        <f>+ISNUMBER(SEARCH('F-VTA'!$F$36,Tabla11[[#This Row],[Cuenta]],1))</f>
        <v>1</v>
      </c>
      <c r="AR256" t="b">
        <f>+ISNUMBER(SEARCH(#REF!,Tabla11[[#This Row],[Cuenta]],1))</f>
        <v>0</v>
      </c>
      <c r="AS256" t="b">
        <f>+ISNUMBER(SEARCH(#REF!,Tabla11[[#This Row],[Cuenta]],1))</f>
        <v>0</v>
      </c>
      <c r="AT256" t="b">
        <f>+ISNUMBER(SEARCH(#REF!,Tabla11[[#This Row],[Cuenta]],1))</f>
        <v>0</v>
      </c>
      <c r="AU256" t="b">
        <f>+ISNUMBER(SEARCH('Conc. Ban.1'!$I$9,Tabla11[[#This Row],[Cuenta]],1))</f>
        <v>0</v>
      </c>
      <c r="AV256" t="b">
        <f>+ISNUMBER(SEARCH(CompConta!$F$21,Tabla11[[#This Row],[Cuenta]],1))</f>
        <v>1</v>
      </c>
      <c r="AW256" t="b">
        <f>+ISNUMBER(SEARCH(CompConta!$F$22,Tabla11[[#This Row],[Cuenta]],1))</f>
        <v>1</v>
      </c>
      <c r="AX256" t="b">
        <f>+ISNUMBER(SEARCH(CompConta!$F$23,Tabla11[[#This Row],[Cuenta]],1))</f>
        <v>1</v>
      </c>
      <c r="AY256" t="b">
        <f>+ISNUMBER(SEARCH(CompConta!$F$24,Tabla11[[#This Row],[Cuenta]],1))</f>
        <v>1</v>
      </c>
      <c r="AZ256" t="b">
        <f>+ISNUMBER(SEARCH(CompConta!$F$25,Tabla11[[#This Row],[Cuenta]],1))</f>
        <v>1</v>
      </c>
      <c r="BA256" t="b">
        <f>+ISNUMBER(SEARCH(CompConta!$F$26,Tabla11[[#This Row],[Cuenta]],1))</f>
        <v>1</v>
      </c>
      <c r="BB256" t="b">
        <f>+ISNUMBER(SEARCH(CompConta!$F$27,Tabla11[[#This Row],[Cuenta]],1))</f>
        <v>1</v>
      </c>
      <c r="BC256" t="b">
        <f>+ISNUMBER(SEARCH(CompConta!$F$28,Tabla11[[#This Row],[Cuenta]],1))</f>
        <v>1</v>
      </c>
      <c r="BD256" t="b">
        <f>+ISNUMBER(SEARCH(CompConta!$F$29,Tabla11[[#This Row],[Cuenta]],1))</f>
        <v>1</v>
      </c>
      <c r="BE256" t="b">
        <f>+ISNUMBER(SEARCH(CompConta!$F$30,Tabla11[[#This Row],[Cuenta]],1))</f>
        <v>1</v>
      </c>
      <c r="BF256" t="b">
        <f>+ISNUMBER(SEARCH('PAGO Compras'!$E$11,Tabla11[[#This Row],[Cuenta]],1))</f>
        <v>1</v>
      </c>
      <c r="BG256" t="b">
        <f>+ISNUMBER(SEARCH(#REF!,Tabla11[[#This Row],[Cuenta]],1))</f>
        <v>0</v>
      </c>
      <c r="BH256" t="b">
        <f>+ISNUMBER(SEARCH(#REF!,Tabla11[[#This Row],[Cuenta]],1))</f>
        <v>0</v>
      </c>
      <c r="BI256" t="b">
        <f>+ISNUMBER(SEARCH(#REF!,Tabla11[[#This Row],[Cuenta]],1))</f>
        <v>0</v>
      </c>
      <c r="BJ256" t="b">
        <f>+ISNUMBER(SEARCH(#REF!,Tabla11[[#This Row],[Cuenta]],1))</f>
        <v>0</v>
      </c>
      <c r="BS256" t="str">
        <v>159904 Terrenos</v>
      </c>
      <c r="BT256" t="str">
        <v>159904 Terrenos</v>
      </c>
      <c r="BU256" t="str">
        <v>159904 Terrenos</v>
      </c>
      <c r="BV256" t="str">
        <v>159904 Terrenos</v>
      </c>
      <c r="BZ256" t="str">
        <v>159904 Terrenos</v>
      </c>
      <c r="CA256" t="str">
        <v>159904 Terrenos</v>
      </c>
      <c r="CB256" t="str">
        <v>159904 Terrenos</v>
      </c>
      <c r="CC256" t="str">
        <v>159904 Terrenos</v>
      </c>
      <c r="CD256" t="str">
        <v>159904 Terrenos</v>
      </c>
      <c r="CE256" t="str">
        <v>159904 Terrenos</v>
      </c>
      <c r="CS256" s="141" t="str">
        <v>159904 Terrenos</v>
      </c>
      <c r="CT256" s="141" t="str">
        <v>159904 Terrenos</v>
      </c>
      <c r="CU256" s="141" t="str">
        <v>159904 Terrenos</v>
      </c>
      <c r="CV256" s="141" t="str">
        <v>159904 Terrenos</v>
      </c>
      <c r="CW256" s="141" t="str">
        <v>159904 Terrenos</v>
      </c>
      <c r="CX256" s="141" t="str">
        <v>159904 Terrenos</v>
      </c>
      <c r="CY256" s="141" t="str">
        <v>159904 Terrenos</v>
      </c>
      <c r="CZ256" s="141" t="str">
        <v>159904 Terrenos</v>
      </c>
      <c r="DA256" s="141" t="str">
        <v>159904 Terrenos</v>
      </c>
      <c r="DF256" t="str">
        <v>159904 Terrenos</v>
      </c>
      <c r="DG256" t="str">
        <v>159904 Terrenos</v>
      </c>
      <c r="DH256" t="str">
        <v>159904 Terrenos</v>
      </c>
      <c r="DI256" t="str">
        <v>159904 Terrenos</v>
      </c>
      <c r="DJ256" t="str">
        <v>159904 Terrenos</v>
      </c>
      <c r="DK256" t="str">
        <v>159904 Terrenos</v>
      </c>
      <c r="DL256" t="str">
        <v>159904 Terrenos</v>
      </c>
      <c r="DM256" t="str">
        <v>159904 Terrenos</v>
      </c>
      <c r="DN256" t="str">
        <v>159904 Terrenos</v>
      </c>
      <c r="DO256" t="str">
        <v>159904 Terrenos</v>
      </c>
      <c r="DP256" t="str">
        <v>159904 Terrenos</v>
      </c>
    </row>
    <row r="257" spans="4:120" ht="12.75">
      <c r="D257" s="7">
        <v>159906</v>
      </c>
      <c r="E257" s="6" t="s">
        <v>224</v>
      </c>
      <c r="F257" s="5">
        <v>4</v>
      </c>
      <c r="G257" s="34" t="s">
        <v>822</v>
      </c>
      <c r="H257" s="8" t="s">
        <v>56</v>
      </c>
      <c r="I257" t="b">
        <f>+ISNUMBER(SEARCH('F-COMPRA'!$F$28,Tabla11[[#This Row],[Cuenta]],1))</f>
        <v>1</v>
      </c>
      <c r="J257" t="b">
        <f>+ISNUMBER(SEARCH('F-COMPRA'!$F$29,Tabla11[[#This Row],[Cuenta]],1))</f>
        <v>1</v>
      </c>
      <c r="K257" t="b">
        <f>+ISNUMBER(SEARCH('F-COMPRA'!$F$30,Tabla11[[#This Row],[Cuenta]],1))</f>
        <v>1</v>
      </c>
      <c r="L257" t="b">
        <f>+ISNUMBER(SEARCH('F-COMPRA'!$F$31,Tabla11[[#This Row],[Cuenta]],1))</f>
        <v>1</v>
      </c>
      <c r="M257" t="b">
        <f>+ISNUMBER(SEARCH('F-COMPRA'!$G$25,Tabla11[[#This Row],[Cuenta]],1))</f>
        <v>0</v>
      </c>
      <c r="N257" t="b">
        <f>+ISNUMBER(SEARCH(#REF!,Tabla11[[#This Row],[Cuenta]],1))</f>
        <v>0</v>
      </c>
      <c r="O257" t="b">
        <f>+ISNUMBER(SEARCH(#REF!,Tabla11[[#This Row],[Cuenta]],1))</f>
        <v>0</v>
      </c>
      <c r="P257" t="b">
        <f>+ISNUMBER(SEARCH('F-COMPRA'!$F$32,Tabla11[[#This Row],[Cuenta]],1))</f>
        <v>1</v>
      </c>
      <c r="Q257" t="b">
        <f>+ISNUMBER(SEARCH('F-COMPRA'!$F$33,Tabla11[[#This Row],[Cuenta]],1))</f>
        <v>1</v>
      </c>
      <c r="R257" t="b">
        <f>+ISNUMBER(SEARCH('F-COMPRA'!$F$34,Tabla11[[#This Row],[Cuenta]],1))</f>
        <v>1</v>
      </c>
      <c r="S257" t="b">
        <f>+ISNUMBER(SEARCH('F-COMPRA'!$F$35,Tabla11[[#This Row],[Cuenta]],1))</f>
        <v>1</v>
      </c>
      <c r="T257" t="b">
        <f>+ISNUMBER(SEARCH('F-COMPRA'!$F$36,Tabla11[[#This Row],[Cuenta]],1))</f>
        <v>1</v>
      </c>
      <c r="U257" t="b">
        <f>+ISNUMBER(SEARCH('F-COMPRA'!$F$37,Tabla11[[#This Row],[Cuenta]],1))</f>
        <v>1</v>
      </c>
      <c r="V257" t="b">
        <f>+ISNUMBER(SEARCH(#REF!,Tabla11[[#This Row],[Cuenta]],1))</f>
        <v>0</v>
      </c>
      <c r="W257" t="b">
        <f>+ISNUMBER(SEARCH('F-COMPRA'!#REF!,Tabla11[[#This Row],[Cuenta]],1))</f>
        <v>0</v>
      </c>
      <c r="X257" t="b">
        <f>+ISNUMBER(SEARCH('F-COMPRA'!#REF!,Tabla11[[#This Row],[Cuenta]],1))</f>
        <v>0</v>
      </c>
      <c r="Y257" t="b">
        <f>+ISNUMBER(SEARCH('F-COMPRA'!#REF!,Tabla11[[#This Row],[Cuenta]],1))</f>
        <v>0</v>
      </c>
      <c r="Z257" t="b">
        <f>+ISNUMBER(SEARCH('F-COMPRA'!#REF!,Tabla11[[#This Row],[Cuenta]],1))</f>
        <v>0</v>
      </c>
      <c r="AA257" t="b">
        <f>+ISNUMBER(SEARCH('F-COMPRA'!#REF!,Tabla11[[#This Row],[Cuenta]],1))</f>
        <v>0</v>
      </c>
      <c r="AB257" t="b">
        <f>+ISNUMBER(SEARCH('F-COMPRA'!#REF!,Tabla11[[#This Row],[Cuenta]],1))</f>
        <v>0</v>
      </c>
      <c r="AC257" t="b">
        <f>+ISNUMBER(SEARCH('F-COMPRA'!#REF!,Tabla11[[#This Row],[Cuenta]],1))</f>
        <v>0</v>
      </c>
      <c r="AD257" t="b">
        <f>+ISNUMBER(SEARCH('F-COMPRA'!#REF!,Tabla11[[#This Row],[Cuenta]],1))</f>
        <v>0</v>
      </c>
      <c r="AE257" t="b">
        <f>+ISNUMBER(SEARCH('F-COMPRA'!#REF!,Tabla11[[#This Row],[Cuenta]],1))</f>
        <v>0</v>
      </c>
      <c r="AF257" t="b">
        <f>+ISNUMBER(SEARCH('F-VTA'!$G$23,Tabla11[[#This Row],[Cuenta]],1))</f>
        <v>0</v>
      </c>
      <c r="AG257" t="b">
        <f>+ISNUMBER(SEARCH('F-VTA'!$G$24,Tabla11[[#This Row],[Cuenta]],1))</f>
        <v>0</v>
      </c>
      <c r="AH257" t="b">
        <f>+ISNUMBER(SEARCH('F-VTA'!$G$25,Tabla11[[#This Row],[Cuenta]],1))</f>
        <v>0</v>
      </c>
      <c r="AI257" t="b">
        <f>+ISNUMBER(SEARCH('F-VTA'!$F$28,Tabla11[[#This Row],[Cuenta]],1))</f>
        <v>1</v>
      </c>
      <c r="AJ257" t="b">
        <f>+ISNUMBER(SEARCH('F-VTA'!$F$29,Tabla11[[#This Row],[Cuenta]],1))</f>
        <v>1</v>
      </c>
      <c r="AK257" t="b">
        <f>+ISNUMBER(SEARCH('F-VTA'!$F$30,Tabla11[[#This Row],[Cuenta]],1))</f>
        <v>1</v>
      </c>
      <c r="AL257" t="b">
        <f>+ISNUMBER(SEARCH('F-VTA'!$F$31,Tabla11[[#This Row],[Cuenta]],1))</f>
        <v>1</v>
      </c>
      <c r="AM257" t="b">
        <f>+ISNUMBER(SEARCH('F-VTA'!$F$32,Tabla11[[#This Row],[Cuenta]],1))</f>
        <v>1</v>
      </c>
      <c r="AN257" t="b">
        <f>+ISNUMBER(SEARCH('F-VTA'!$F$33,Tabla11[[#This Row],[Cuenta]],1))</f>
        <v>1</v>
      </c>
      <c r="AO257" t="b">
        <f>+ISNUMBER(SEARCH('F-VTA'!$F$34,Tabla11[[#This Row],[Cuenta]],1))</f>
        <v>1</v>
      </c>
      <c r="AP257" t="b">
        <f>+ISNUMBER(SEARCH('F-VTA'!$F$35,Tabla11[[#This Row],[Cuenta]],1))</f>
        <v>1</v>
      </c>
      <c r="AQ257" t="b">
        <f>+ISNUMBER(SEARCH('F-VTA'!$F$36,Tabla11[[#This Row],[Cuenta]],1))</f>
        <v>1</v>
      </c>
      <c r="AR257" t="b">
        <f>+ISNUMBER(SEARCH(#REF!,Tabla11[[#This Row],[Cuenta]],1))</f>
        <v>0</v>
      </c>
      <c r="AS257" t="b">
        <f>+ISNUMBER(SEARCH(#REF!,Tabla11[[#This Row],[Cuenta]],1))</f>
        <v>0</v>
      </c>
      <c r="AT257" t="b">
        <f>+ISNUMBER(SEARCH(#REF!,Tabla11[[#This Row],[Cuenta]],1))</f>
        <v>0</v>
      </c>
      <c r="AU257" t="b">
        <f>+ISNUMBER(SEARCH('Conc. Ban.1'!$I$9,Tabla11[[#This Row],[Cuenta]],1))</f>
        <v>0</v>
      </c>
      <c r="AV257" t="b">
        <f>+ISNUMBER(SEARCH(CompConta!$F$21,Tabla11[[#This Row],[Cuenta]],1))</f>
        <v>1</v>
      </c>
      <c r="AW257" t="b">
        <f>+ISNUMBER(SEARCH(CompConta!$F$22,Tabla11[[#This Row],[Cuenta]],1))</f>
        <v>1</v>
      </c>
      <c r="AX257" t="b">
        <f>+ISNUMBER(SEARCH(CompConta!$F$23,Tabla11[[#This Row],[Cuenta]],1))</f>
        <v>1</v>
      </c>
      <c r="AY257" t="b">
        <f>+ISNUMBER(SEARCH(CompConta!$F$24,Tabla11[[#This Row],[Cuenta]],1))</f>
        <v>1</v>
      </c>
      <c r="AZ257" t="b">
        <f>+ISNUMBER(SEARCH(CompConta!$F$25,Tabla11[[#This Row],[Cuenta]],1))</f>
        <v>1</v>
      </c>
      <c r="BA257" t="b">
        <f>+ISNUMBER(SEARCH(CompConta!$F$26,Tabla11[[#This Row],[Cuenta]],1))</f>
        <v>1</v>
      </c>
      <c r="BB257" t="b">
        <f>+ISNUMBER(SEARCH(CompConta!$F$27,Tabla11[[#This Row],[Cuenta]],1))</f>
        <v>1</v>
      </c>
      <c r="BC257" t="b">
        <f>+ISNUMBER(SEARCH(CompConta!$F$28,Tabla11[[#This Row],[Cuenta]],1))</f>
        <v>1</v>
      </c>
      <c r="BD257" t="b">
        <f>+ISNUMBER(SEARCH(CompConta!$F$29,Tabla11[[#This Row],[Cuenta]],1))</f>
        <v>1</v>
      </c>
      <c r="BE257" t="b">
        <f>+ISNUMBER(SEARCH(CompConta!$F$30,Tabla11[[#This Row],[Cuenta]],1))</f>
        <v>1</v>
      </c>
      <c r="BF257" t="b">
        <f>+ISNUMBER(SEARCH('PAGO Compras'!$E$11,Tabla11[[#This Row],[Cuenta]],1))</f>
        <v>1</v>
      </c>
      <c r="BG257" t="b">
        <f>+ISNUMBER(SEARCH(#REF!,Tabla11[[#This Row],[Cuenta]],1))</f>
        <v>0</v>
      </c>
      <c r="BH257" t="b">
        <f>+ISNUMBER(SEARCH(#REF!,Tabla11[[#This Row],[Cuenta]],1))</f>
        <v>0</v>
      </c>
      <c r="BI257" t="b">
        <f>+ISNUMBER(SEARCH(#REF!,Tabla11[[#This Row],[Cuenta]],1))</f>
        <v>0</v>
      </c>
      <c r="BJ257" t="b">
        <f>+ISNUMBER(SEARCH(#REF!,Tabla11[[#This Row],[Cuenta]],1))</f>
        <v>0</v>
      </c>
      <c r="BS257" t="str">
        <v>159906 Materiales proyectos petroleros</v>
      </c>
      <c r="BT257" t="str">
        <v>159906 Materiales proyectos petroleros</v>
      </c>
      <c r="BU257" t="str">
        <v>159906 Materiales proyectos petroleros</v>
      </c>
      <c r="BV257" t="str">
        <v>159906 Materiales proyectos petroleros</v>
      </c>
      <c r="BZ257" t="str">
        <v>159906 Materiales proyectos petroleros</v>
      </c>
      <c r="CA257" t="str">
        <v>159906 Materiales proyectos petroleros</v>
      </c>
      <c r="CB257" t="str">
        <v>159906 Materiales proyectos petroleros</v>
      </c>
      <c r="CC257" t="str">
        <v>159906 Materiales proyectos petroleros</v>
      </c>
      <c r="CD257" t="str">
        <v>159906 Materiales proyectos petroleros</v>
      </c>
      <c r="CE257" t="str">
        <v>159906 Materiales proyectos petroleros</v>
      </c>
      <c r="CS257" s="141" t="str">
        <v>159906 Materiales proyectos petroleros</v>
      </c>
      <c r="CT257" s="141" t="str">
        <v>159906 Materiales proyectos petroleros</v>
      </c>
      <c r="CU257" s="141" t="str">
        <v>159906 Materiales proyectos petroleros</v>
      </c>
      <c r="CV257" s="141" t="str">
        <v>159906 Materiales proyectos petroleros</v>
      </c>
      <c r="CW257" s="141" t="str">
        <v>159906 Materiales proyectos petroleros</v>
      </c>
      <c r="CX257" s="141" t="str">
        <v>159906 Materiales proyectos petroleros</v>
      </c>
      <c r="CY257" s="141" t="str">
        <v>159906 Materiales proyectos petroleros</v>
      </c>
      <c r="CZ257" s="141" t="str">
        <v>159906 Materiales proyectos petroleros</v>
      </c>
      <c r="DA257" s="141" t="str">
        <v>159906 Materiales proyectos petroleros</v>
      </c>
      <c r="DF257" t="str">
        <v>159906 Materiales proyectos petroleros</v>
      </c>
      <c r="DG257" t="str">
        <v>159906 Materiales proyectos petroleros</v>
      </c>
      <c r="DH257" t="str">
        <v>159906 Materiales proyectos petroleros</v>
      </c>
      <c r="DI257" t="str">
        <v>159906 Materiales proyectos petroleros</v>
      </c>
      <c r="DJ257" t="str">
        <v>159906 Materiales proyectos petroleros</v>
      </c>
      <c r="DK257" t="str">
        <v>159906 Materiales proyectos petroleros</v>
      </c>
      <c r="DL257" t="str">
        <v>159906 Materiales proyectos petroleros</v>
      </c>
      <c r="DM257" t="str">
        <v>159906 Materiales proyectos petroleros</v>
      </c>
      <c r="DN257" t="str">
        <v>159906 Materiales proyectos petroleros</v>
      </c>
      <c r="DO257" t="str">
        <v>159906 Materiales proyectos petroleros</v>
      </c>
      <c r="DP257" t="str">
        <v>159906 Materiales proyectos petroleros</v>
      </c>
    </row>
    <row r="258" spans="4:120" ht="12.75">
      <c r="D258" s="7">
        <v>159908</v>
      </c>
      <c r="E258" s="6" t="s">
        <v>225</v>
      </c>
      <c r="F258" s="5">
        <v>4</v>
      </c>
      <c r="G258" s="34" t="s">
        <v>822</v>
      </c>
      <c r="H258" s="8" t="s">
        <v>56</v>
      </c>
      <c r="I258" t="b">
        <f>+ISNUMBER(SEARCH('F-COMPRA'!$F$28,Tabla11[[#This Row],[Cuenta]],1))</f>
        <v>1</v>
      </c>
      <c r="J258" t="b">
        <f>+ISNUMBER(SEARCH('F-COMPRA'!$F$29,Tabla11[[#This Row],[Cuenta]],1))</f>
        <v>1</v>
      </c>
      <c r="K258" t="b">
        <f>+ISNUMBER(SEARCH('F-COMPRA'!$F$30,Tabla11[[#This Row],[Cuenta]],1))</f>
        <v>1</v>
      </c>
      <c r="L258" t="b">
        <f>+ISNUMBER(SEARCH('F-COMPRA'!$F$31,Tabla11[[#This Row],[Cuenta]],1))</f>
        <v>1</v>
      </c>
      <c r="M258" t="b">
        <f>+ISNUMBER(SEARCH('F-COMPRA'!$G$25,Tabla11[[#This Row],[Cuenta]],1))</f>
        <v>0</v>
      </c>
      <c r="N258" t="b">
        <f>+ISNUMBER(SEARCH(#REF!,Tabla11[[#This Row],[Cuenta]],1))</f>
        <v>0</v>
      </c>
      <c r="O258" t="b">
        <f>+ISNUMBER(SEARCH(#REF!,Tabla11[[#This Row],[Cuenta]],1))</f>
        <v>0</v>
      </c>
      <c r="P258" t="b">
        <f>+ISNUMBER(SEARCH('F-COMPRA'!$F$32,Tabla11[[#This Row],[Cuenta]],1))</f>
        <v>1</v>
      </c>
      <c r="Q258" t="b">
        <f>+ISNUMBER(SEARCH('F-COMPRA'!$F$33,Tabla11[[#This Row],[Cuenta]],1))</f>
        <v>1</v>
      </c>
      <c r="R258" t="b">
        <f>+ISNUMBER(SEARCH('F-COMPRA'!$F$34,Tabla11[[#This Row],[Cuenta]],1))</f>
        <v>1</v>
      </c>
      <c r="S258" t="b">
        <f>+ISNUMBER(SEARCH('F-COMPRA'!$F$35,Tabla11[[#This Row],[Cuenta]],1))</f>
        <v>1</v>
      </c>
      <c r="T258" t="b">
        <f>+ISNUMBER(SEARCH('F-COMPRA'!$F$36,Tabla11[[#This Row],[Cuenta]],1))</f>
        <v>1</v>
      </c>
      <c r="U258" t="b">
        <f>+ISNUMBER(SEARCH('F-COMPRA'!$F$37,Tabla11[[#This Row],[Cuenta]],1))</f>
        <v>1</v>
      </c>
      <c r="V258" t="b">
        <f>+ISNUMBER(SEARCH(#REF!,Tabla11[[#This Row],[Cuenta]],1))</f>
        <v>0</v>
      </c>
      <c r="W258" t="b">
        <f>+ISNUMBER(SEARCH('F-COMPRA'!#REF!,Tabla11[[#This Row],[Cuenta]],1))</f>
        <v>0</v>
      </c>
      <c r="X258" t="b">
        <f>+ISNUMBER(SEARCH('F-COMPRA'!#REF!,Tabla11[[#This Row],[Cuenta]],1))</f>
        <v>0</v>
      </c>
      <c r="Y258" t="b">
        <f>+ISNUMBER(SEARCH('F-COMPRA'!#REF!,Tabla11[[#This Row],[Cuenta]],1))</f>
        <v>0</v>
      </c>
      <c r="Z258" t="b">
        <f>+ISNUMBER(SEARCH('F-COMPRA'!#REF!,Tabla11[[#This Row],[Cuenta]],1))</f>
        <v>0</v>
      </c>
      <c r="AA258" t="b">
        <f>+ISNUMBER(SEARCH('F-COMPRA'!#REF!,Tabla11[[#This Row],[Cuenta]],1))</f>
        <v>0</v>
      </c>
      <c r="AB258" t="b">
        <f>+ISNUMBER(SEARCH('F-COMPRA'!#REF!,Tabla11[[#This Row],[Cuenta]],1))</f>
        <v>0</v>
      </c>
      <c r="AC258" t="b">
        <f>+ISNUMBER(SEARCH('F-COMPRA'!#REF!,Tabla11[[#This Row],[Cuenta]],1))</f>
        <v>0</v>
      </c>
      <c r="AD258" t="b">
        <f>+ISNUMBER(SEARCH('F-COMPRA'!#REF!,Tabla11[[#This Row],[Cuenta]],1))</f>
        <v>0</v>
      </c>
      <c r="AE258" t="b">
        <f>+ISNUMBER(SEARCH('F-COMPRA'!#REF!,Tabla11[[#This Row],[Cuenta]],1))</f>
        <v>0</v>
      </c>
      <c r="AF258" t="b">
        <f>+ISNUMBER(SEARCH('F-VTA'!$G$23,Tabla11[[#This Row],[Cuenta]],1))</f>
        <v>0</v>
      </c>
      <c r="AG258" t="b">
        <f>+ISNUMBER(SEARCH('F-VTA'!$G$24,Tabla11[[#This Row],[Cuenta]],1))</f>
        <v>0</v>
      </c>
      <c r="AH258" t="b">
        <f>+ISNUMBER(SEARCH('F-VTA'!$G$25,Tabla11[[#This Row],[Cuenta]],1))</f>
        <v>0</v>
      </c>
      <c r="AI258" t="b">
        <f>+ISNUMBER(SEARCH('F-VTA'!$F$28,Tabla11[[#This Row],[Cuenta]],1))</f>
        <v>1</v>
      </c>
      <c r="AJ258" t="b">
        <f>+ISNUMBER(SEARCH('F-VTA'!$F$29,Tabla11[[#This Row],[Cuenta]],1))</f>
        <v>1</v>
      </c>
      <c r="AK258" t="b">
        <f>+ISNUMBER(SEARCH('F-VTA'!$F$30,Tabla11[[#This Row],[Cuenta]],1))</f>
        <v>1</v>
      </c>
      <c r="AL258" t="b">
        <f>+ISNUMBER(SEARCH('F-VTA'!$F$31,Tabla11[[#This Row],[Cuenta]],1))</f>
        <v>1</v>
      </c>
      <c r="AM258" t="b">
        <f>+ISNUMBER(SEARCH('F-VTA'!$F$32,Tabla11[[#This Row],[Cuenta]],1))</f>
        <v>1</v>
      </c>
      <c r="AN258" t="b">
        <f>+ISNUMBER(SEARCH('F-VTA'!$F$33,Tabla11[[#This Row],[Cuenta]],1))</f>
        <v>1</v>
      </c>
      <c r="AO258" t="b">
        <f>+ISNUMBER(SEARCH('F-VTA'!$F$34,Tabla11[[#This Row],[Cuenta]],1))</f>
        <v>1</v>
      </c>
      <c r="AP258" t="b">
        <f>+ISNUMBER(SEARCH('F-VTA'!$F$35,Tabla11[[#This Row],[Cuenta]],1))</f>
        <v>1</v>
      </c>
      <c r="AQ258" t="b">
        <f>+ISNUMBER(SEARCH('F-VTA'!$F$36,Tabla11[[#This Row],[Cuenta]],1))</f>
        <v>1</v>
      </c>
      <c r="AR258" t="b">
        <f>+ISNUMBER(SEARCH(#REF!,Tabla11[[#This Row],[Cuenta]],1))</f>
        <v>0</v>
      </c>
      <c r="AS258" t="b">
        <f>+ISNUMBER(SEARCH(#REF!,Tabla11[[#This Row],[Cuenta]],1))</f>
        <v>0</v>
      </c>
      <c r="AT258" t="b">
        <f>+ISNUMBER(SEARCH(#REF!,Tabla11[[#This Row],[Cuenta]],1))</f>
        <v>0</v>
      </c>
      <c r="AU258" t="b">
        <f>+ISNUMBER(SEARCH('Conc. Ban.1'!$I$9,Tabla11[[#This Row],[Cuenta]],1))</f>
        <v>0</v>
      </c>
      <c r="AV258" t="b">
        <f>+ISNUMBER(SEARCH(CompConta!$F$21,Tabla11[[#This Row],[Cuenta]],1))</f>
        <v>1</v>
      </c>
      <c r="AW258" t="b">
        <f>+ISNUMBER(SEARCH(CompConta!$F$22,Tabla11[[#This Row],[Cuenta]],1))</f>
        <v>1</v>
      </c>
      <c r="AX258" t="b">
        <f>+ISNUMBER(SEARCH(CompConta!$F$23,Tabla11[[#This Row],[Cuenta]],1))</f>
        <v>1</v>
      </c>
      <c r="AY258" t="b">
        <f>+ISNUMBER(SEARCH(CompConta!$F$24,Tabla11[[#This Row],[Cuenta]],1))</f>
        <v>1</v>
      </c>
      <c r="AZ258" t="b">
        <f>+ISNUMBER(SEARCH(CompConta!$F$25,Tabla11[[#This Row],[Cuenta]],1))</f>
        <v>1</v>
      </c>
      <c r="BA258" t="b">
        <f>+ISNUMBER(SEARCH(CompConta!$F$26,Tabla11[[#This Row],[Cuenta]],1))</f>
        <v>1</v>
      </c>
      <c r="BB258" t="b">
        <f>+ISNUMBER(SEARCH(CompConta!$F$27,Tabla11[[#This Row],[Cuenta]],1))</f>
        <v>1</v>
      </c>
      <c r="BC258" t="b">
        <f>+ISNUMBER(SEARCH(CompConta!$F$28,Tabla11[[#This Row],[Cuenta]],1))</f>
        <v>1</v>
      </c>
      <c r="BD258" t="b">
        <f>+ISNUMBER(SEARCH(CompConta!$F$29,Tabla11[[#This Row],[Cuenta]],1))</f>
        <v>1</v>
      </c>
      <c r="BE258" t="b">
        <f>+ISNUMBER(SEARCH(CompConta!$F$30,Tabla11[[#This Row],[Cuenta]],1))</f>
        <v>1</v>
      </c>
      <c r="BF258" t="b">
        <f>+ISNUMBER(SEARCH('PAGO Compras'!$E$11,Tabla11[[#This Row],[Cuenta]],1))</f>
        <v>1</v>
      </c>
      <c r="BG258" t="b">
        <f>+ISNUMBER(SEARCH(#REF!,Tabla11[[#This Row],[Cuenta]],1))</f>
        <v>0</v>
      </c>
      <c r="BH258" t="b">
        <f>+ISNUMBER(SEARCH(#REF!,Tabla11[[#This Row],[Cuenta]],1))</f>
        <v>0</v>
      </c>
      <c r="BI258" t="b">
        <f>+ISNUMBER(SEARCH(#REF!,Tabla11[[#This Row],[Cuenta]],1))</f>
        <v>0</v>
      </c>
      <c r="BJ258" t="b">
        <f>+ISNUMBER(SEARCH(#REF!,Tabla11[[#This Row],[Cuenta]],1))</f>
        <v>0</v>
      </c>
      <c r="BS258" t="str">
        <v>159908 Construcciones en curso</v>
      </c>
      <c r="BT258" t="str">
        <v>159908 Construcciones en curso</v>
      </c>
      <c r="BU258" t="str">
        <v>159908 Construcciones en curso</v>
      </c>
      <c r="BV258" t="str">
        <v>159908 Construcciones en curso</v>
      </c>
      <c r="BZ258" t="str">
        <v>159908 Construcciones en curso</v>
      </c>
      <c r="CA258" t="str">
        <v>159908 Construcciones en curso</v>
      </c>
      <c r="CB258" t="str">
        <v>159908 Construcciones en curso</v>
      </c>
      <c r="CC258" t="str">
        <v>159908 Construcciones en curso</v>
      </c>
      <c r="CD258" t="str">
        <v>159908 Construcciones en curso</v>
      </c>
      <c r="CE258" t="str">
        <v>159908 Construcciones en curso</v>
      </c>
      <c r="CS258" s="141" t="str">
        <v>159908 Construcciones en curso</v>
      </c>
      <c r="CT258" s="141" t="str">
        <v>159908 Construcciones en curso</v>
      </c>
      <c r="CU258" s="141" t="str">
        <v>159908 Construcciones en curso</v>
      </c>
      <c r="CV258" s="141" t="str">
        <v>159908 Construcciones en curso</v>
      </c>
      <c r="CW258" s="141" t="str">
        <v>159908 Construcciones en curso</v>
      </c>
      <c r="CX258" s="141" t="str">
        <v>159908 Construcciones en curso</v>
      </c>
      <c r="CY258" s="141" t="str">
        <v>159908 Construcciones en curso</v>
      </c>
      <c r="CZ258" s="141" t="str">
        <v>159908 Construcciones en curso</v>
      </c>
      <c r="DA258" s="141" t="str">
        <v>159908 Construcciones en curso</v>
      </c>
      <c r="DF258" t="str">
        <v>159908 Construcciones en curso</v>
      </c>
      <c r="DG258" t="str">
        <v>159908 Construcciones en curso</v>
      </c>
      <c r="DH258" t="str">
        <v>159908 Construcciones en curso</v>
      </c>
      <c r="DI258" t="str">
        <v>159908 Construcciones en curso</v>
      </c>
      <c r="DJ258" t="str">
        <v>159908 Construcciones en curso</v>
      </c>
      <c r="DK258" t="str">
        <v>159908 Construcciones en curso</v>
      </c>
      <c r="DL258" t="str">
        <v>159908 Construcciones en curso</v>
      </c>
      <c r="DM258" t="str">
        <v>159908 Construcciones en curso</v>
      </c>
      <c r="DN258" t="str">
        <v>159908 Construcciones en curso</v>
      </c>
      <c r="DO258" t="str">
        <v>159908 Construcciones en curso</v>
      </c>
      <c r="DP258" t="str">
        <v>159908 Construcciones en curso</v>
      </c>
    </row>
    <row r="259" spans="4:120" ht="12.75">
      <c r="D259" s="7">
        <v>159912</v>
      </c>
      <c r="E259" s="6" t="s">
        <v>226</v>
      </c>
      <c r="F259" s="5">
        <v>4</v>
      </c>
      <c r="G259" s="34" t="s">
        <v>822</v>
      </c>
      <c r="H259" s="8" t="s">
        <v>56</v>
      </c>
      <c r="I259" t="b">
        <f>+ISNUMBER(SEARCH('F-COMPRA'!$F$28,Tabla11[[#This Row],[Cuenta]],1))</f>
        <v>1</v>
      </c>
      <c r="J259" t="b">
        <f>+ISNUMBER(SEARCH('F-COMPRA'!$F$29,Tabla11[[#This Row],[Cuenta]],1))</f>
        <v>1</v>
      </c>
      <c r="K259" t="b">
        <f>+ISNUMBER(SEARCH('F-COMPRA'!$F$30,Tabla11[[#This Row],[Cuenta]],1))</f>
        <v>1</v>
      </c>
      <c r="L259" t="b">
        <f>+ISNUMBER(SEARCH('F-COMPRA'!$F$31,Tabla11[[#This Row],[Cuenta]],1))</f>
        <v>1</v>
      </c>
      <c r="M259" t="b">
        <f>+ISNUMBER(SEARCH('F-COMPRA'!$G$25,Tabla11[[#This Row],[Cuenta]],1))</f>
        <v>0</v>
      </c>
      <c r="N259" t="b">
        <f>+ISNUMBER(SEARCH(#REF!,Tabla11[[#This Row],[Cuenta]],1))</f>
        <v>0</v>
      </c>
      <c r="O259" t="b">
        <f>+ISNUMBER(SEARCH(#REF!,Tabla11[[#This Row],[Cuenta]],1))</f>
        <v>0</v>
      </c>
      <c r="P259" t="b">
        <f>+ISNUMBER(SEARCH('F-COMPRA'!$F$32,Tabla11[[#This Row],[Cuenta]],1))</f>
        <v>1</v>
      </c>
      <c r="Q259" t="b">
        <f>+ISNUMBER(SEARCH('F-COMPRA'!$F$33,Tabla11[[#This Row],[Cuenta]],1))</f>
        <v>1</v>
      </c>
      <c r="R259" t="b">
        <f>+ISNUMBER(SEARCH('F-COMPRA'!$F$34,Tabla11[[#This Row],[Cuenta]],1))</f>
        <v>1</v>
      </c>
      <c r="S259" t="b">
        <f>+ISNUMBER(SEARCH('F-COMPRA'!$F$35,Tabla11[[#This Row],[Cuenta]],1))</f>
        <v>1</v>
      </c>
      <c r="T259" t="b">
        <f>+ISNUMBER(SEARCH('F-COMPRA'!$F$36,Tabla11[[#This Row],[Cuenta]],1))</f>
        <v>1</v>
      </c>
      <c r="U259" t="b">
        <f>+ISNUMBER(SEARCH('F-COMPRA'!$F$37,Tabla11[[#This Row],[Cuenta]],1))</f>
        <v>1</v>
      </c>
      <c r="V259" t="b">
        <f>+ISNUMBER(SEARCH(#REF!,Tabla11[[#This Row],[Cuenta]],1))</f>
        <v>0</v>
      </c>
      <c r="W259" t="b">
        <f>+ISNUMBER(SEARCH('F-COMPRA'!#REF!,Tabla11[[#This Row],[Cuenta]],1))</f>
        <v>0</v>
      </c>
      <c r="X259" t="b">
        <f>+ISNUMBER(SEARCH('F-COMPRA'!#REF!,Tabla11[[#This Row],[Cuenta]],1))</f>
        <v>0</v>
      </c>
      <c r="Y259" t="b">
        <f>+ISNUMBER(SEARCH('F-COMPRA'!#REF!,Tabla11[[#This Row],[Cuenta]],1))</f>
        <v>0</v>
      </c>
      <c r="Z259" t="b">
        <f>+ISNUMBER(SEARCH('F-COMPRA'!#REF!,Tabla11[[#This Row],[Cuenta]],1))</f>
        <v>0</v>
      </c>
      <c r="AA259" t="b">
        <f>+ISNUMBER(SEARCH('F-COMPRA'!#REF!,Tabla11[[#This Row],[Cuenta]],1))</f>
        <v>0</v>
      </c>
      <c r="AB259" t="b">
        <f>+ISNUMBER(SEARCH('F-COMPRA'!#REF!,Tabla11[[#This Row],[Cuenta]],1))</f>
        <v>0</v>
      </c>
      <c r="AC259" t="b">
        <f>+ISNUMBER(SEARCH('F-COMPRA'!#REF!,Tabla11[[#This Row],[Cuenta]],1))</f>
        <v>0</v>
      </c>
      <c r="AD259" t="b">
        <f>+ISNUMBER(SEARCH('F-COMPRA'!#REF!,Tabla11[[#This Row],[Cuenta]],1))</f>
        <v>0</v>
      </c>
      <c r="AE259" t="b">
        <f>+ISNUMBER(SEARCH('F-COMPRA'!#REF!,Tabla11[[#This Row],[Cuenta]],1))</f>
        <v>0</v>
      </c>
      <c r="AF259" t="b">
        <f>+ISNUMBER(SEARCH('F-VTA'!$G$23,Tabla11[[#This Row],[Cuenta]],1))</f>
        <v>0</v>
      </c>
      <c r="AG259" t="b">
        <f>+ISNUMBER(SEARCH('F-VTA'!$G$24,Tabla11[[#This Row],[Cuenta]],1))</f>
        <v>0</v>
      </c>
      <c r="AH259" t="b">
        <f>+ISNUMBER(SEARCH('F-VTA'!$G$25,Tabla11[[#This Row],[Cuenta]],1))</f>
        <v>0</v>
      </c>
      <c r="AI259" t="b">
        <f>+ISNUMBER(SEARCH('F-VTA'!$F$28,Tabla11[[#This Row],[Cuenta]],1))</f>
        <v>1</v>
      </c>
      <c r="AJ259" t="b">
        <f>+ISNUMBER(SEARCH('F-VTA'!$F$29,Tabla11[[#This Row],[Cuenta]],1))</f>
        <v>1</v>
      </c>
      <c r="AK259" t="b">
        <f>+ISNUMBER(SEARCH('F-VTA'!$F$30,Tabla11[[#This Row],[Cuenta]],1))</f>
        <v>1</v>
      </c>
      <c r="AL259" t="b">
        <f>+ISNUMBER(SEARCH('F-VTA'!$F$31,Tabla11[[#This Row],[Cuenta]],1))</f>
        <v>1</v>
      </c>
      <c r="AM259" t="b">
        <f>+ISNUMBER(SEARCH('F-VTA'!$F$32,Tabla11[[#This Row],[Cuenta]],1))</f>
        <v>1</v>
      </c>
      <c r="AN259" t="b">
        <f>+ISNUMBER(SEARCH('F-VTA'!$F$33,Tabla11[[#This Row],[Cuenta]],1))</f>
        <v>1</v>
      </c>
      <c r="AO259" t="b">
        <f>+ISNUMBER(SEARCH('F-VTA'!$F$34,Tabla11[[#This Row],[Cuenta]],1))</f>
        <v>1</v>
      </c>
      <c r="AP259" t="b">
        <f>+ISNUMBER(SEARCH('F-VTA'!$F$35,Tabla11[[#This Row],[Cuenta]],1))</f>
        <v>1</v>
      </c>
      <c r="AQ259" t="b">
        <f>+ISNUMBER(SEARCH('F-VTA'!$F$36,Tabla11[[#This Row],[Cuenta]],1))</f>
        <v>1</v>
      </c>
      <c r="AR259" t="b">
        <f>+ISNUMBER(SEARCH(#REF!,Tabla11[[#This Row],[Cuenta]],1))</f>
        <v>0</v>
      </c>
      <c r="AS259" t="b">
        <f>+ISNUMBER(SEARCH(#REF!,Tabla11[[#This Row],[Cuenta]],1))</f>
        <v>0</v>
      </c>
      <c r="AT259" t="b">
        <f>+ISNUMBER(SEARCH(#REF!,Tabla11[[#This Row],[Cuenta]],1))</f>
        <v>0</v>
      </c>
      <c r="AU259" t="b">
        <f>+ISNUMBER(SEARCH('Conc. Ban.1'!$I$9,Tabla11[[#This Row],[Cuenta]],1))</f>
        <v>0</v>
      </c>
      <c r="AV259" t="b">
        <f>+ISNUMBER(SEARCH(CompConta!$F$21,Tabla11[[#This Row],[Cuenta]],1))</f>
        <v>1</v>
      </c>
      <c r="AW259" t="b">
        <f>+ISNUMBER(SEARCH(CompConta!$F$22,Tabla11[[#This Row],[Cuenta]],1))</f>
        <v>1</v>
      </c>
      <c r="AX259" t="b">
        <f>+ISNUMBER(SEARCH(CompConta!$F$23,Tabla11[[#This Row],[Cuenta]],1))</f>
        <v>1</v>
      </c>
      <c r="AY259" t="b">
        <f>+ISNUMBER(SEARCH(CompConta!$F$24,Tabla11[[#This Row],[Cuenta]],1))</f>
        <v>1</v>
      </c>
      <c r="AZ259" t="b">
        <f>+ISNUMBER(SEARCH(CompConta!$F$25,Tabla11[[#This Row],[Cuenta]],1))</f>
        <v>1</v>
      </c>
      <c r="BA259" t="b">
        <f>+ISNUMBER(SEARCH(CompConta!$F$26,Tabla11[[#This Row],[Cuenta]],1))</f>
        <v>1</v>
      </c>
      <c r="BB259" t="b">
        <f>+ISNUMBER(SEARCH(CompConta!$F$27,Tabla11[[#This Row],[Cuenta]],1))</f>
        <v>1</v>
      </c>
      <c r="BC259" t="b">
        <f>+ISNUMBER(SEARCH(CompConta!$F$28,Tabla11[[#This Row],[Cuenta]],1))</f>
        <v>1</v>
      </c>
      <c r="BD259" t="b">
        <f>+ISNUMBER(SEARCH(CompConta!$F$29,Tabla11[[#This Row],[Cuenta]],1))</f>
        <v>1</v>
      </c>
      <c r="BE259" t="b">
        <f>+ISNUMBER(SEARCH(CompConta!$F$30,Tabla11[[#This Row],[Cuenta]],1))</f>
        <v>1</v>
      </c>
      <c r="BF259" t="b">
        <f>+ISNUMBER(SEARCH('PAGO Compras'!$E$11,Tabla11[[#This Row],[Cuenta]],1))</f>
        <v>1</v>
      </c>
      <c r="BG259" t="b">
        <f>+ISNUMBER(SEARCH(#REF!,Tabla11[[#This Row],[Cuenta]],1))</f>
        <v>0</v>
      </c>
      <c r="BH259" t="b">
        <f>+ISNUMBER(SEARCH(#REF!,Tabla11[[#This Row],[Cuenta]],1))</f>
        <v>0</v>
      </c>
      <c r="BI259" t="b">
        <f>+ISNUMBER(SEARCH(#REF!,Tabla11[[#This Row],[Cuenta]],1))</f>
        <v>0</v>
      </c>
      <c r="BJ259" t="b">
        <f>+ISNUMBER(SEARCH(#REF!,Tabla11[[#This Row],[Cuenta]],1))</f>
        <v>0</v>
      </c>
      <c r="BS259" t="str">
        <v>159912 Maquinaria en montaje</v>
      </c>
      <c r="BT259" t="str">
        <v>159912 Maquinaria en montaje</v>
      </c>
      <c r="BU259" t="str">
        <v>159912 Maquinaria en montaje</v>
      </c>
      <c r="BV259" t="str">
        <v>159912 Maquinaria en montaje</v>
      </c>
      <c r="BZ259" t="str">
        <v>159912 Maquinaria en montaje</v>
      </c>
      <c r="CA259" t="str">
        <v>159912 Maquinaria en montaje</v>
      </c>
      <c r="CB259" t="str">
        <v>159912 Maquinaria en montaje</v>
      </c>
      <c r="CC259" t="str">
        <v>159912 Maquinaria en montaje</v>
      </c>
      <c r="CD259" t="str">
        <v>159912 Maquinaria en montaje</v>
      </c>
      <c r="CE259" t="str">
        <v>159912 Maquinaria en montaje</v>
      </c>
      <c r="CS259" s="141" t="str">
        <v>159912 Maquinaria en montaje</v>
      </c>
      <c r="CT259" s="141" t="str">
        <v>159912 Maquinaria en montaje</v>
      </c>
      <c r="CU259" s="141" t="str">
        <v>159912 Maquinaria en montaje</v>
      </c>
      <c r="CV259" s="141" t="str">
        <v>159912 Maquinaria en montaje</v>
      </c>
      <c r="CW259" s="141" t="str">
        <v>159912 Maquinaria en montaje</v>
      </c>
      <c r="CX259" s="141" t="str">
        <v>159912 Maquinaria en montaje</v>
      </c>
      <c r="CY259" s="141" t="str">
        <v>159912 Maquinaria en montaje</v>
      </c>
      <c r="CZ259" s="141" t="str">
        <v>159912 Maquinaria en montaje</v>
      </c>
      <c r="DA259" s="141" t="str">
        <v>159912 Maquinaria en montaje</v>
      </c>
      <c r="DF259" t="str">
        <v>159912 Maquinaria en montaje</v>
      </c>
      <c r="DG259" t="str">
        <v>159912 Maquinaria en montaje</v>
      </c>
      <c r="DH259" t="str">
        <v>159912 Maquinaria en montaje</v>
      </c>
      <c r="DI259" t="str">
        <v>159912 Maquinaria en montaje</v>
      </c>
      <c r="DJ259" t="str">
        <v>159912 Maquinaria en montaje</v>
      </c>
      <c r="DK259" t="str">
        <v>159912 Maquinaria en montaje</v>
      </c>
      <c r="DL259" t="str">
        <v>159912 Maquinaria en montaje</v>
      </c>
      <c r="DM259" t="str">
        <v>159912 Maquinaria en montaje</v>
      </c>
      <c r="DN259" t="str">
        <v>159912 Maquinaria en montaje</v>
      </c>
      <c r="DO259" t="str">
        <v>159912 Maquinaria en montaje</v>
      </c>
      <c r="DP259" t="str">
        <v>159912 Maquinaria en montaje</v>
      </c>
    </row>
    <row r="260" spans="4:120" ht="12.75">
      <c r="D260" s="7">
        <v>159916</v>
      </c>
      <c r="E260" s="6" t="s">
        <v>121</v>
      </c>
      <c r="F260" s="5">
        <v>4</v>
      </c>
      <c r="G260" s="34" t="s">
        <v>822</v>
      </c>
      <c r="H260" s="8" t="s">
        <v>56</v>
      </c>
      <c r="I260" t="b">
        <f>+ISNUMBER(SEARCH('F-COMPRA'!$F$28,Tabla11[[#This Row],[Cuenta]],1))</f>
        <v>1</v>
      </c>
      <c r="J260" t="b">
        <f>+ISNUMBER(SEARCH('F-COMPRA'!$F$29,Tabla11[[#This Row],[Cuenta]],1))</f>
        <v>1</v>
      </c>
      <c r="K260" t="b">
        <f>+ISNUMBER(SEARCH('F-COMPRA'!$F$30,Tabla11[[#This Row],[Cuenta]],1))</f>
        <v>1</v>
      </c>
      <c r="L260" t="b">
        <f>+ISNUMBER(SEARCH('F-COMPRA'!$F$31,Tabla11[[#This Row],[Cuenta]],1))</f>
        <v>1</v>
      </c>
      <c r="M260" t="b">
        <f>+ISNUMBER(SEARCH('F-COMPRA'!$G$25,Tabla11[[#This Row],[Cuenta]],1))</f>
        <v>0</v>
      </c>
      <c r="N260" t="b">
        <f>+ISNUMBER(SEARCH(#REF!,Tabla11[[#This Row],[Cuenta]],1))</f>
        <v>0</v>
      </c>
      <c r="O260" t="b">
        <f>+ISNUMBER(SEARCH(#REF!,Tabla11[[#This Row],[Cuenta]],1))</f>
        <v>0</v>
      </c>
      <c r="P260" t="b">
        <f>+ISNUMBER(SEARCH('F-COMPRA'!$F$32,Tabla11[[#This Row],[Cuenta]],1))</f>
        <v>1</v>
      </c>
      <c r="Q260" t="b">
        <f>+ISNUMBER(SEARCH('F-COMPRA'!$F$33,Tabla11[[#This Row],[Cuenta]],1))</f>
        <v>1</v>
      </c>
      <c r="R260" t="b">
        <f>+ISNUMBER(SEARCH('F-COMPRA'!$F$34,Tabla11[[#This Row],[Cuenta]],1))</f>
        <v>1</v>
      </c>
      <c r="S260" t="b">
        <f>+ISNUMBER(SEARCH('F-COMPRA'!$F$35,Tabla11[[#This Row],[Cuenta]],1))</f>
        <v>1</v>
      </c>
      <c r="T260" t="b">
        <f>+ISNUMBER(SEARCH('F-COMPRA'!$F$36,Tabla11[[#This Row],[Cuenta]],1))</f>
        <v>1</v>
      </c>
      <c r="U260" t="b">
        <f>+ISNUMBER(SEARCH('F-COMPRA'!$F$37,Tabla11[[#This Row],[Cuenta]],1))</f>
        <v>1</v>
      </c>
      <c r="V260" t="b">
        <f>+ISNUMBER(SEARCH(#REF!,Tabla11[[#This Row],[Cuenta]],1))</f>
        <v>0</v>
      </c>
      <c r="W260" t="b">
        <f>+ISNUMBER(SEARCH('F-COMPRA'!#REF!,Tabla11[[#This Row],[Cuenta]],1))</f>
        <v>0</v>
      </c>
      <c r="X260" t="b">
        <f>+ISNUMBER(SEARCH('F-COMPRA'!#REF!,Tabla11[[#This Row],[Cuenta]],1))</f>
        <v>0</v>
      </c>
      <c r="Y260" t="b">
        <f>+ISNUMBER(SEARCH('F-COMPRA'!#REF!,Tabla11[[#This Row],[Cuenta]],1))</f>
        <v>0</v>
      </c>
      <c r="Z260" t="b">
        <f>+ISNUMBER(SEARCH('F-COMPRA'!#REF!,Tabla11[[#This Row],[Cuenta]],1))</f>
        <v>0</v>
      </c>
      <c r="AA260" t="b">
        <f>+ISNUMBER(SEARCH('F-COMPRA'!#REF!,Tabla11[[#This Row],[Cuenta]],1))</f>
        <v>0</v>
      </c>
      <c r="AB260" t="b">
        <f>+ISNUMBER(SEARCH('F-COMPRA'!#REF!,Tabla11[[#This Row],[Cuenta]],1))</f>
        <v>0</v>
      </c>
      <c r="AC260" t="b">
        <f>+ISNUMBER(SEARCH('F-COMPRA'!#REF!,Tabla11[[#This Row],[Cuenta]],1))</f>
        <v>0</v>
      </c>
      <c r="AD260" t="b">
        <f>+ISNUMBER(SEARCH('F-COMPRA'!#REF!,Tabla11[[#This Row],[Cuenta]],1))</f>
        <v>0</v>
      </c>
      <c r="AE260" t="b">
        <f>+ISNUMBER(SEARCH('F-COMPRA'!#REF!,Tabla11[[#This Row],[Cuenta]],1))</f>
        <v>0</v>
      </c>
      <c r="AF260" t="b">
        <f>+ISNUMBER(SEARCH('F-VTA'!$G$23,Tabla11[[#This Row],[Cuenta]],1))</f>
        <v>0</v>
      </c>
      <c r="AG260" t="b">
        <f>+ISNUMBER(SEARCH('F-VTA'!$G$24,Tabla11[[#This Row],[Cuenta]],1))</f>
        <v>0</v>
      </c>
      <c r="AH260" t="b">
        <f>+ISNUMBER(SEARCH('F-VTA'!$G$25,Tabla11[[#This Row],[Cuenta]],1))</f>
        <v>0</v>
      </c>
      <c r="AI260" t="b">
        <f>+ISNUMBER(SEARCH('F-VTA'!$F$28,Tabla11[[#This Row],[Cuenta]],1))</f>
        <v>1</v>
      </c>
      <c r="AJ260" t="b">
        <f>+ISNUMBER(SEARCH('F-VTA'!$F$29,Tabla11[[#This Row],[Cuenta]],1))</f>
        <v>1</v>
      </c>
      <c r="AK260" t="b">
        <f>+ISNUMBER(SEARCH('F-VTA'!$F$30,Tabla11[[#This Row],[Cuenta]],1))</f>
        <v>1</v>
      </c>
      <c r="AL260" t="b">
        <f>+ISNUMBER(SEARCH('F-VTA'!$F$31,Tabla11[[#This Row],[Cuenta]],1))</f>
        <v>1</v>
      </c>
      <c r="AM260" t="b">
        <f>+ISNUMBER(SEARCH('F-VTA'!$F$32,Tabla11[[#This Row],[Cuenta]],1))</f>
        <v>1</v>
      </c>
      <c r="AN260" t="b">
        <f>+ISNUMBER(SEARCH('F-VTA'!$F$33,Tabla11[[#This Row],[Cuenta]],1))</f>
        <v>1</v>
      </c>
      <c r="AO260" t="b">
        <f>+ISNUMBER(SEARCH('F-VTA'!$F$34,Tabla11[[#This Row],[Cuenta]],1))</f>
        <v>1</v>
      </c>
      <c r="AP260" t="b">
        <f>+ISNUMBER(SEARCH('F-VTA'!$F$35,Tabla11[[#This Row],[Cuenta]],1))</f>
        <v>1</v>
      </c>
      <c r="AQ260" t="b">
        <f>+ISNUMBER(SEARCH('F-VTA'!$F$36,Tabla11[[#This Row],[Cuenta]],1))</f>
        <v>1</v>
      </c>
      <c r="AR260" t="b">
        <f>+ISNUMBER(SEARCH(#REF!,Tabla11[[#This Row],[Cuenta]],1))</f>
        <v>0</v>
      </c>
      <c r="AS260" t="b">
        <f>+ISNUMBER(SEARCH(#REF!,Tabla11[[#This Row],[Cuenta]],1))</f>
        <v>0</v>
      </c>
      <c r="AT260" t="b">
        <f>+ISNUMBER(SEARCH(#REF!,Tabla11[[#This Row],[Cuenta]],1))</f>
        <v>0</v>
      </c>
      <c r="AU260" t="b">
        <f>+ISNUMBER(SEARCH('Conc. Ban.1'!$I$9,Tabla11[[#This Row],[Cuenta]],1))</f>
        <v>0</v>
      </c>
      <c r="AV260" t="b">
        <f>+ISNUMBER(SEARCH(CompConta!$F$21,Tabla11[[#This Row],[Cuenta]],1))</f>
        <v>1</v>
      </c>
      <c r="AW260" t="b">
        <f>+ISNUMBER(SEARCH(CompConta!$F$22,Tabla11[[#This Row],[Cuenta]],1))</f>
        <v>1</v>
      </c>
      <c r="AX260" t="b">
        <f>+ISNUMBER(SEARCH(CompConta!$F$23,Tabla11[[#This Row],[Cuenta]],1))</f>
        <v>1</v>
      </c>
      <c r="AY260" t="b">
        <f>+ISNUMBER(SEARCH(CompConta!$F$24,Tabla11[[#This Row],[Cuenta]],1))</f>
        <v>1</v>
      </c>
      <c r="AZ260" t="b">
        <f>+ISNUMBER(SEARCH(CompConta!$F$25,Tabla11[[#This Row],[Cuenta]],1))</f>
        <v>1</v>
      </c>
      <c r="BA260" t="b">
        <f>+ISNUMBER(SEARCH(CompConta!$F$26,Tabla11[[#This Row],[Cuenta]],1))</f>
        <v>1</v>
      </c>
      <c r="BB260" t="b">
        <f>+ISNUMBER(SEARCH(CompConta!$F$27,Tabla11[[#This Row],[Cuenta]],1))</f>
        <v>1</v>
      </c>
      <c r="BC260" t="b">
        <f>+ISNUMBER(SEARCH(CompConta!$F$28,Tabla11[[#This Row],[Cuenta]],1))</f>
        <v>1</v>
      </c>
      <c r="BD260" t="b">
        <f>+ISNUMBER(SEARCH(CompConta!$F$29,Tabla11[[#This Row],[Cuenta]],1))</f>
        <v>1</v>
      </c>
      <c r="BE260" t="b">
        <f>+ISNUMBER(SEARCH(CompConta!$F$30,Tabla11[[#This Row],[Cuenta]],1))</f>
        <v>1</v>
      </c>
      <c r="BF260" t="b">
        <f>+ISNUMBER(SEARCH('PAGO Compras'!$E$11,Tabla11[[#This Row],[Cuenta]],1))</f>
        <v>1</v>
      </c>
      <c r="BG260" t="b">
        <f>+ISNUMBER(SEARCH(#REF!,Tabla11[[#This Row],[Cuenta]],1))</f>
        <v>0</v>
      </c>
      <c r="BH260" t="b">
        <f>+ISNUMBER(SEARCH(#REF!,Tabla11[[#This Row],[Cuenta]],1))</f>
        <v>0</v>
      </c>
      <c r="BI260" t="b">
        <f>+ISNUMBER(SEARCH(#REF!,Tabla11[[#This Row],[Cuenta]],1))</f>
        <v>0</v>
      </c>
      <c r="BJ260" t="b">
        <f>+ISNUMBER(SEARCH(#REF!,Tabla11[[#This Row],[Cuenta]],1))</f>
        <v>0</v>
      </c>
      <c r="BS260" t="str">
        <v>159916 Construcciones y edificaciones</v>
      </c>
      <c r="BT260" t="str">
        <v>159916 Construcciones y edificaciones</v>
      </c>
      <c r="BU260" t="str">
        <v>159916 Construcciones y edificaciones</v>
      </c>
      <c r="BV260" t="str">
        <v>159916 Construcciones y edificaciones</v>
      </c>
      <c r="BZ260" t="str">
        <v>159916 Construcciones y edificaciones</v>
      </c>
      <c r="CA260" t="str">
        <v>159916 Construcciones y edificaciones</v>
      </c>
      <c r="CB260" t="str">
        <v>159916 Construcciones y edificaciones</v>
      </c>
      <c r="CC260" t="str">
        <v>159916 Construcciones y edificaciones</v>
      </c>
      <c r="CD260" t="str">
        <v>159916 Construcciones y edificaciones</v>
      </c>
      <c r="CE260" t="str">
        <v>159916 Construcciones y edificaciones</v>
      </c>
      <c r="CS260" s="141" t="str">
        <v>159916 Construcciones y edificaciones</v>
      </c>
      <c r="CT260" s="141" t="str">
        <v>159916 Construcciones y edificaciones</v>
      </c>
      <c r="CU260" s="141" t="str">
        <v>159916 Construcciones y edificaciones</v>
      </c>
      <c r="CV260" s="141" t="str">
        <v>159916 Construcciones y edificaciones</v>
      </c>
      <c r="CW260" s="141" t="str">
        <v>159916 Construcciones y edificaciones</v>
      </c>
      <c r="CX260" s="141" t="str">
        <v>159916 Construcciones y edificaciones</v>
      </c>
      <c r="CY260" s="141" t="str">
        <v>159916 Construcciones y edificaciones</v>
      </c>
      <c r="CZ260" s="141" t="str">
        <v>159916 Construcciones y edificaciones</v>
      </c>
      <c r="DA260" s="141" t="str">
        <v>159916 Construcciones y edificaciones</v>
      </c>
      <c r="DF260" t="str">
        <v>159916 Construcciones y edificaciones</v>
      </c>
      <c r="DG260" t="str">
        <v>159916 Construcciones y edificaciones</v>
      </c>
      <c r="DH260" t="str">
        <v>159916 Construcciones y edificaciones</v>
      </c>
      <c r="DI260" t="str">
        <v>159916 Construcciones y edificaciones</v>
      </c>
      <c r="DJ260" t="str">
        <v>159916 Construcciones y edificaciones</v>
      </c>
      <c r="DK260" t="str">
        <v>159916 Construcciones y edificaciones</v>
      </c>
      <c r="DL260" t="str">
        <v>159916 Construcciones y edificaciones</v>
      </c>
      <c r="DM260" t="str">
        <v>159916 Construcciones y edificaciones</v>
      </c>
      <c r="DN260" t="str">
        <v>159916 Construcciones y edificaciones</v>
      </c>
      <c r="DO260" t="str">
        <v>159916 Construcciones y edificaciones</v>
      </c>
      <c r="DP260" t="str">
        <v>159916 Construcciones y edificaciones</v>
      </c>
    </row>
    <row r="261" spans="4:120" ht="12.75">
      <c r="D261" s="7">
        <v>159920</v>
      </c>
      <c r="E261" s="6" t="s">
        <v>128</v>
      </c>
      <c r="F261" s="5">
        <v>4</v>
      </c>
      <c r="G261" s="34" t="s">
        <v>822</v>
      </c>
      <c r="H261" s="8" t="s">
        <v>56</v>
      </c>
      <c r="I261" t="b">
        <f>+ISNUMBER(SEARCH('F-COMPRA'!$F$28,Tabla11[[#This Row],[Cuenta]],1))</f>
        <v>1</v>
      </c>
      <c r="J261" t="b">
        <f>+ISNUMBER(SEARCH('F-COMPRA'!$F$29,Tabla11[[#This Row],[Cuenta]],1))</f>
        <v>1</v>
      </c>
      <c r="K261" t="b">
        <f>+ISNUMBER(SEARCH('F-COMPRA'!$F$30,Tabla11[[#This Row],[Cuenta]],1))</f>
        <v>1</v>
      </c>
      <c r="L261" t="b">
        <f>+ISNUMBER(SEARCH('F-COMPRA'!$F$31,Tabla11[[#This Row],[Cuenta]],1))</f>
        <v>1</v>
      </c>
      <c r="M261" t="b">
        <f>+ISNUMBER(SEARCH('F-COMPRA'!$G$25,Tabla11[[#This Row],[Cuenta]],1))</f>
        <v>0</v>
      </c>
      <c r="N261" t="b">
        <f>+ISNUMBER(SEARCH(#REF!,Tabla11[[#This Row],[Cuenta]],1))</f>
        <v>0</v>
      </c>
      <c r="O261" t="b">
        <f>+ISNUMBER(SEARCH(#REF!,Tabla11[[#This Row],[Cuenta]],1))</f>
        <v>0</v>
      </c>
      <c r="P261" t="b">
        <f>+ISNUMBER(SEARCH('F-COMPRA'!$F$32,Tabla11[[#This Row],[Cuenta]],1))</f>
        <v>1</v>
      </c>
      <c r="Q261" t="b">
        <f>+ISNUMBER(SEARCH('F-COMPRA'!$F$33,Tabla11[[#This Row],[Cuenta]],1))</f>
        <v>1</v>
      </c>
      <c r="R261" t="b">
        <f>+ISNUMBER(SEARCH('F-COMPRA'!$F$34,Tabla11[[#This Row],[Cuenta]],1))</f>
        <v>1</v>
      </c>
      <c r="S261" t="b">
        <f>+ISNUMBER(SEARCH('F-COMPRA'!$F$35,Tabla11[[#This Row],[Cuenta]],1))</f>
        <v>1</v>
      </c>
      <c r="T261" t="b">
        <f>+ISNUMBER(SEARCH('F-COMPRA'!$F$36,Tabla11[[#This Row],[Cuenta]],1))</f>
        <v>1</v>
      </c>
      <c r="U261" t="b">
        <f>+ISNUMBER(SEARCH('F-COMPRA'!$F$37,Tabla11[[#This Row],[Cuenta]],1))</f>
        <v>1</v>
      </c>
      <c r="V261" t="b">
        <f>+ISNUMBER(SEARCH(#REF!,Tabla11[[#This Row],[Cuenta]],1))</f>
        <v>0</v>
      </c>
      <c r="W261" t="b">
        <f>+ISNUMBER(SEARCH('F-COMPRA'!#REF!,Tabla11[[#This Row],[Cuenta]],1))</f>
        <v>0</v>
      </c>
      <c r="X261" t="b">
        <f>+ISNUMBER(SEARCH('F-COMPRA'!#REF!,Tabla11[[#This Row],[Cuenta]],1))</f>
        <v>0</v>
      </c>
      <c r="Y261" t="b">
        <f>+ISNUMBER(SEARCH('F-COMPRA'!#REF!,Tabla11[[#This Row],[Cuenta]],1))</f>
        <v>0</v>
      </c>
      <c r="Z261" t="b">
        <f>+ISNUMBER(SEARCH('F-COMPRA'!#REF!,Tabla11[[#This Row],[Cuenta]],1))</f>
        <v>0</v>
      </c>
      <c r="AA261" t="b">
        <f>+ISNUMBER(SEARCH('F-COMPRA'!#REF!,Tabla11[[#This Row],[Cuenta]],1))</f>
        <v>0</v>
      </c>
      <c r="AB261" t="b">
        <f>+ISNUMBER(SEARCH('F-COMPRA'!#REF!,Tabla11[[#This Row],[Cuenta]],1))</f>
        <v>0</v>
      </c>
      <c r="AC261" t="b">
        <f>+ISNUMBER(SEARCH('F-COMPRA'!#REF!,Tabla11[[#This Row],[Cuenta]],1))</f>
        <v>0</v>
      </c>
      <c r="AD261" t="b">
        <f>+ISNUMBER(SEARCH('F-COMPRA'!#REF!,Tabla11[[#This Row],[Cuenta]],1))</f>
        <v>0</v>
      </c>
      <c r="AE261" t="b">
        <f>+ISNUMBER(SEARCH('F-COMPRA'!#REF!,Tabla11[[#This Row],[Cuenta]],1))</f>
        <v>0</v>
      </c>
      <c r="AF261" t="b">
        <f>+ISNUMBER(SEARCH('F-VTA'!$G$23,Tabla11[[#This Row],[Cuenta]],1))</f>
        <v>0</v>
      </c>
      <c r="AG261" t="b">
        <f>+ISNUMBER(SEARCH('F-VTA'!$G$24,Tabla11[[#This Row],[Cuenta]],1))</f>
        <v>0</v>
      </c>
      <c r="AH261" t="b">
        <f>+ISNUMBER(SEARCH('F-VTA'!$G$25,Tabla11[[#This Row],[Cuenta]],1))</f>
        <v>0</v>
      </c>
      <c r="AI261" t="b">
        <f>+ISNUMBER(SEARCH('F-VTA'!$F$28,Tabla11[[#This Row],[Cuenta]],1))</f>
        <v>1</v>
      </c>
      <c r="AJ261" t="b">
        <f>+ISNUMBER(SEARCH('F-VTA'!$F$29,Tabla11[[#This Row],[Cuenta]],1))</f>
        <v>1</v>
      </c>
      <c r="AK261" t="b">
        <f>+ISNUMBER(SEARCH('F-VTA'!$F$30,Tabla11[[#This Row],[Cuenta]],1))</f>
        <v>1</v>
      </c>
      <c r="AL261" t="b">
        <f>+ISNUMBER(SEARCH('F-VTA'!$F$31,Tabla11[[#This Row],[Cuenta]],1))</f>
        <v>1</v>
      </c>
      <c r="AM261" t="b">
        <f>+ISNUMBER(SEARCH('F-VTA'!$F$32,Tabla11[[#This Row],[Cuenta]],1))</f>
        <v>1</v>
      </c>
      <c r="AN261" t="b">
        <f>+ISNUMBER(SEARCH('F-VTA'!$F$33,Tabla11[[#This Row],[Cuenta]],1))</f>
        <v>1</v>
      </c>
      <c r="AO261" t="b">
        <f>+ISNUMBER(SEARCH('F-VTA'!$F$34,Tabla11[[#This Row],[Cuenta]],1))</f>
        <v>1</v>
      </c>
      <c r="AP261" t="b">
        <f>+ISNUMBER(SEARCH('F-VTA'!$F$35,Tabla11[[#This Row],[Cuenta]],1))</f>
        <v>1</v>
      </c>
      <c r="AQ261" t="b">
        <f>+ISNUMBER(SEARCH('F-VTA'!$F$36,Tabla11[[#This Row],[Cuenta]],1))</f>
        <v>1</v>
      </c>
      <c r="AR261" t="b">
        <f>+ISNUMBER(SEARCH(#REF!,Tabla11[[#This Row],[Cuenta]],1))</f>
        <v>0</v>
      </c>
      <c r="AS261" t="b">
        <f>+ISNUMBER(SEARCH(#REF!,Tabla11[[#This Row],[Cuenta]],1))</f>
        <v>0</v>
      </c>
      <c r="AT261" t="b">
        <f>+ISNUMBER(SEARCH(#REF!,Tabla11[[#This Row],[Cuenta]],1))</f>
        <v>0</v>
      </c>
      <c r="AU261" t="b">
        <f>+ISNUMBER(SEARCH('Conc. Ban.1'!$I$9,Tabla11[[#This Row],[Cuenta]],1))</f>
        <v>0</v>
      </c>
      <c r="AV261" t="b">
        <f>+ISNUMBER(SEARCH(CompConta!$F$21,Tabla11[[#This Row],[Cuenta]],1))</f>
        <v>1</v>
      </c>
      <c r="AW261" t="b">
        <f>+ISNUMBER(SEARCH(CompConta!$F$22,Tabla11[[#This Row],[Cuenta]],1))</f>
        <v>1</v>
      </c>
      <c r="AX261" t="b">
        <f>+ISNUMBER(SEARCH(CompConta!$F$23,Tabla11[[#This Row],[Cuenta]],1))</f>
        <v>1</v>
      </c>
      <c r="AY261" t="b">
        <f>+ISNUMBER(SEARCH(CompConta!$F$24,Tabla11[[#This Row],[Cuenta]],1))</f>
        <v>1</v>
      </c>
      <c r="AZ261" t="b">
        <f>+ISNUMBER(SEARCH(CompConta!$F$25,Tabla11[[#This Row],[Cuenta]],1))</f>
        <v>1</v>
      </c>
      <c r="BA261" t="b">
        <f>+ISNUMBER(SEARCH(CompConta!$F$26,Tabla11[[#This Row],[Cuenta]],1))</f>
        <v>1</v>
      </c>
      <c r="BB261" t="b">
        <f>+ISNUMBER(SEARCH(CompConta!$F$27,Tabla11[[#This Row],[Cuenta]],1))</f>
        <v>1</v>
      </c>
      <c r="BC261" t="b">
        <f>+ISNUMBER(SEARCH(CompConta!$F$28,Tabla11[[#This Row],[Cuenta]],1))</f>
        <v>1</v>
      </c>
      <c r="BD261" t="b">
        <f>+ISNUMBER(SEARCH(CompConta!$F$29,Tabla11[[#This Row],[Cuenta]],1))</f>
        <v>1</v>
      </c>
      <c r="BE261" t="b">
        <f>+ISNUMBER(SEARCH(CompConta!$F$30,Tabla11[[#This Row],[Cuenta]],1))</f>
        <v>1</v>
      </c>
      <c r="BF261" t="b">
        <f>+ISNUMBER(SEARCH('PAGO Compras'!$E$11,Tabla11[[#This Row],[Cuenta]],1))</f>
        <v>1</v>
      </c>
      <c r="BG261" t="b">
        <f>+ISNUMBER(SEARCH(#REF!,Tabla11[[#This Row],[Cuenta]],1))</f>
        <v>0</v>
      </c>
      <c r="BH261" t="b">
        <f>+ISNUMBER(SEARCH(#REF!,Tabla11[[#This Row],[Cuenta]],1))</f>
        <v>0</v>
      </c>
      <c r="BI261" t="b">
        <f>+ISNUMBER(SEARCH(#REF!,Tabla11[[#This Row],[Cuenta]],1))</f>
        <v>0</v>
      </c>
      <c r="BJ261" t="b">
        <f>+ISNUMBER(SEARCH(#REF!,Tabla11[[#This Row],[Cuenta]],1))</f>
        <v>0</v>
      </c>
      <c r="BS261" t="str">
        <v>159920 Maquinaria y equipo</v>
      </c>
      <c r="BT261" t="str">
        <v>159920 Maquinaria y equipo</v>
      </c>
      <c r="BU261" t="str">
        <v>159920 Maquinaria y equipo</v>
      </c>
      <c r="BV261" t="str">
        <v>159920 Maquinaria y equipo</v>
      </c>
      <c r="BZ261" t="str">
        <v>159920 Maquinaria y equipo</v>
      </c>
      <c r="CA261" t="str">
        <v>159920 Maquinaria y equipo</v>
      </c>
      <c r="CB261" t="str">
        <v>159920 Maquinaria y equipo</v>
      </c>
      <c r="CC261" t="str">
        <v>159920 Maquinaria y equipo</v>
      </c>
      <c r="CD261" t="str">
        <v>159920 Maquinaria y equipo</v>
      </c>
      <c r="CE261" t="str">
        <v>159920 Maquinaria y equipo</v>
      </c>
      <c r="CS261" s="141" t="str">
        <v>159920 Maquinaria y equipo</v>
      </c>
      <c r="CT261" s="141" t="str">
        <v>159920 Maquinaria y equipo</v>
      </c>
      <c r="CU261" s="141" t="str">
        <v>159920 Maquinaria y equipo</v>
      </c>
      <c r="CV261" s="141" t="str">
        <v>159920 Maquinaria y equipo</v>
      </c>
      <c r="CW261" s="141" t="str">
        <v>159920 Maquinaria y equipo</v>
      </c>
      <c r="CX261" s="141" t="str">
        <v>159920 Maquinaria y equipo</v>
      </c>
      <c r="CY261" s="141" t="str">
        <v>159920 Maquinaria y equipo</v>
      </c>
      <c r="CZ261" s="141" t="str">
        <v>159920 Maquinaria y equipo</v>
      </c>
      <c r="DA261" s="141" t="str">
        <v>159920 Maquinaria y equipo</v>
      </c>
      <c r="DF261" t="str">
        <v>159920 Maquinaria y equipo</v>
      </c>
      <c r="DG261" t="str">
        <v>159920 Maquinaria y equipo</v>
      </c>
      <c r="DH261" t="str">
        <v>159920 Maquinaria y equipo</v>
      </c>
      <c r="DI261" t="str">
        <v>159920 Maquinaria y equipo</v>
      </c>
      <c r="DJ261" t="str">
        <v>159920 Maquinaria y equipo</v>
      </c>
      <c r="DK261" t="str">
        <v>159920 Maquinaria y equipo</v>
      </c>
      <c r="DL261" t="str">
        <v>159920 Maquinaria y equipo</v>
      </c>
      <c r="DM261" t="str">
        <v>159920 Maquinaria y equipo</v>
      </c>
      <c r="DN261" t="str">
        <v>159920 Maquinaria y equipo</v>
      </c>
      <c r="DO261" t="str">
        <v>159920 Maquinaria y equipo</v>
      </c>
      <c r="DP261" t="str">
        <v>159920 Maquinaria y equipo</v>
      </c>
    </row>
    <row r="262" spans="4:120" ht="12.75">
      <c r="D262" s="7">
        <v>159924</v>
      </c>
      <c r="E262" s="6" t="s">
        <v>129</v>
      </c>
      <c r="F262" s="5">
        <v>4</v>
      </c>
      <c r="G262" s="34" t="s">
        <v>822</v>
      </c>
      <c r="H262" s="8" t="s">
        <v>56</v>
      </c>
      <c r="I262" t="b">
        <f>+ISNUMBER(SEARCH('F-COMPRA'!$F$28,Tabla11[[#This Row],[Cuenta]],1))</f>
        <v>1</v>
      </c>
      <c r="J262" t="b">
        <f>+ISNUMBER(SEARCH('F-COMPRA'!$F$29,Tabla11[[#This Row],[Cuenta]],1))</f>
        <v>1</v>
      </c>
      <c r="K262" t="b">
        <f>+ISNUMBER(SEARCH('F-COMPRA'!$F$30,Tabla11[[#This Row],[Cuenta]],1))</f>
        <v>1</v>
      </c>
      <c r="L262" t="b">
        <f>+ISNUMBER(SEARCH('F-COMPRA'!$F$31,Tabla11[[#This Row],[Cuenta]],1))</f>
        <v>1</v>
      </c>
      <c r="M262" t="b">
        <f>+ISNUMBER(SEARCH('F-COMPRA'!$G$25,Tabla11[[#This Row],[Cuenta]],1))</f>
        <v>0</v>
      </c>
      <c r="N262" t="b">
        <f>+ISNUMBER(SEARCH(#REF!,Tabla11[[#This Row],[Cuenta]],1))</f>
        <v>0</v>
      </c>
      <c r="O262" t="b">
        <f>+ISNUMBER(SEARCH(#REF!,Tabla11[[#This Row],[Cuenta]],1))</f>
        <v>0</v>
      </c>
      <c r="P262" t="b">
        <f>+ISNUMBER(SEARCH('F-COMPRA'!$F$32,Tabla11[[#This Row],[Cuenta]],1))</f>
        <v>1</v>
      </c>
      <c r="Q262" t="b">
        <f>+ISNUMBER(SEARCH('F-COMPRA'!$F$33,Tabla11[[#This Row],[Cuenta]],1))</f>
        <v>1</v>
      </c>
      <c r="R262" t="b">
        <f>+ISNUMBER(SEARCH('F-COMPRA'!$F$34,Tabla11[[#This Row],[Cuenta]],1))</f>
        <v>1</v>
      </c>
      <c r="S262" t="b">
        <f>+ISNUMBER(SEARCH('F-COMPRA'!$F$35,Tabla11[[#This Row],[Cuenta]],1))</f>
        <v>1</v>
      </c>
      <c r="T262" t="b">
        <f>+ISNUMBER(SEARCH('F-COMPRA'!$F$36,Tabla11[[#This Row],[Cuenta]],1))</f>
        <v>1</v>
      </c>
      <c r="U262" t="b">
        <f>+ISNUMBER(SEARCH('F-COMPRA'!$F$37,Tabla11[[#This Row],[Cuenta]],1))</f>
        <v>1</v>
      </c>
      <c r="V262" t="b">
        <f>+ISNUMBER(SEARCH(#REF!,Tabla11[[#This Row],[Cuenta]],1))</f>
        <v>0</v>
      </c>
      <c r="W262" t="b">
        <f>+ISNUMBER(SEARCH('F-COMPRA'!#REF!,Tabla11[[#This Row],[Cuenta]],1))</f>
        <v>0</v>
      </c>
      <c r="X262" t="b">
        <f>+ISNUMBER(SEARCH('F-COMPRA'!#REF!,Tabla11[[#This Row],[Cuenta]],1))</f>
        <v>0</v>
      </c>
      <c r="Y262" t="b">
        <f>+ISNUMBER(SEARCH('F-COMPRA'!#REF!,Tabla11[[#This Row],[Cuenta]],1))</f>
        <v>0</v>
      </c>
      <c r="Z262" t="b">
        <f>+ISNUMBER(SEARCH('F-COMPRA'!#REF!,Tabla11[[#This Row],[Cuenta]],1))</f>
        <v>0</v>
      </c>
      <c r="AA262" t="b">
        <f>+ISNUMBER(SEARCH('F-COMPRA'!#REF!,Tabla11[[#This Row],[Cuenta]],1))</f>
        <v>0</v>
      </c>
      <c r="AB262" t="b">
        <f>+ISNUMBER(SEARCH('F-COMPRA'!#REF!,Tabla11[[#This Row],[Cuenta]],1))</f>
        <v>0</v>
      </c>
      <c r="AC262" t="b">
        <f>+ISNUMBER(SEARCH('F-COMPRA'!#REF!,Tabla11[[#This Row],[Cuenta]],1))</f>
        <v>0</v>
      </c>
      <c r="AD262" t="b">
        <f>+ISNUMBER(SEARCH('F-COMPRA'!#REF!,Tabla11[[#This Row],[Cuenta]],1))</f>
        <v>0</v>
      </c>
      <c r="AE262" t="b">
        <f>+ISNUMBER(SEARCH('F-COMPRA'!#REF!,Tabla11[[#This Row],[Cuenta]],1))</f>
        <v>0</v>
      </c>
      <c r="AF262" t="b">
        <f>+ISNUMBER(SEARCH('F-VTA'!$G$23,Tabla11[[#This Row],[Cuenta]],1))</f>
        <v>0</v>
      </c>
      <c r="AG262" t="b">
        <f>+ISNUMBER(SEARCH('F-VTA'!$G$24,Tabla11[[#This Row],[Cuenta]],1))</f>
        <v>0</v>
      </c>
      <c r="AH262" t="b">
        <f>+ISNUMBER(SEARCH('F-VTA'!$G$25,Tabla11[[#This Row],[Cuenta]],1))</f>
        <v>0</v>
      </c>
      <c r="AI262" t="b">
        <f>+ISNUMBER(SEARCH('F-VTA'!$F$28,Tabla11[[#This Row],[Cuenta]],1))</f>
        <v>1</v>
      </c>
      <c r="AJ262" t="b">
        <f>+ISNUMBER(SEARCH('F-VTA'!$F$29,Tabla11[[#This Row],[Cuenta]],1))</f>
        <v>1</v>
      </c>
      <c r="AK262" t="b">
        <f>+ISNUMBER(SEARCH('F-VTA'!$F$30,Tabla11[[#This Row],[Cuenta]],1))</f>
        <v>1</v>
      </c>
      <c r="AL262" t="b">
        <f>+ISNUMBER(SEARCH('F-VTA'!$F$31,Tabla11[[#This Row],[Cuenta]],1))</f>
        <v>1</v>
      </c>
      <c r="AM262" t="b">
        <f>+ISNUMBER(SEARCH('F-VTA'!$F$32,Tabla11[[#This Row],[Cuenta]],1))</f>
        <v>1</v>
      </c>
      <c r="AN262" t="b">
        <f>+ISNUMBER(SEARCH('F-VTA'!$F$33,Tabla11[[#This Row],[Cuenta]],1))</f>
        <v>1</v>
      </c>
      <c r="AO262" t="b">
        <f>+ISNUMBER(SEARCH('F-VTA'!$F$34,Tabla11[[#This Row],[Cuenta]],1))</f>
        <v>1</v>
      </c>
      <c r="AP262" t="b">
        <f>+ISNUMBER(SEARCH('F-VTA'!$F$35,Tabla11[[#This Row],[Cuenta]],1))</f>
        <v>1</v>
      </c>
      <c r="AQ262" t="b">
        <f>+ISNUMBER(SEARCH('F-VTA'!$F$36,Tabla11[[#This Row],[Cuenta]],1))</f>
        <v>1</v>
      </c>
      <c r="AR262" t="b">
        <f>+ISNUMBER(SEARCH(#REF!,Tabla11[[#This Row],[Cuenta]],1))</f>
        <v>0</v>
      </c>
      <c r="AS262" t="b">
        <f>+ISNUMBER(SEARCH(#REF!,Tabla11[[#This Row],[Cuenta]],1))</f>
        <v>0</v>
      </c>
      <c r="AT262" t="b">
        <f>+ISNUMBER(SEARCH(#REF!,Tabla11[[#This Row],[Cuenta]],1))</f>
        <v>0</v>
      </c>
      <c r="AU262" t="b">
        <f>+ISNUMBER(SEARCH('Conc. Ban.1'!$I$9,Tabla11[[#This Row],[Cuenta]],1))</f>
        <v>0</v>
      </c>
      <c r="AV262" t="b">
        <f>+ISNUMBER(SEARCH(CompConta!$F$21,Tabla11[[#This Row],[Cuenta]],1))</f>
        <v>1</v>
      </c>
      <c r="AW262" t="b">
        <f>+ISNUMBER(SEARCH(CompConta!$F$22,Tabla11[[#This Row],[Cuenta]],1))</f>
        <v>1</v>
      </c>
      <c r="AX262" t="b">
        <f>+ISNUMBER(SEARCH(CompConta!$F$23,Tabla11[[#This Row],[Cuenta]],1))</f>
        <v>1</v>
      </c>
      <c r="AY262" t="b">
        <f>+ISNUMBER(SEARCH(CompConta!$F$24,Tabla11[[#This Row],[Cuenta]],1))</f>
        <v>1</v>
      </c>
      <c r="AZ262" t="b">
        <f>+ISNUMBER(SEARCH(CompConta!$F$25,Tabla11[[#This Row],[Cuenta]],1))</f>
        <v>1</v>
      </c>
      <c r="BA262" t="b">
        <f>+ISNUMBER(SEARCH(CompConta!$F$26,Tabla11[[#This Row],[Cuenta]],1))</f>
        <v>1</v>
      </c>
      <c r="BB262" t="b">
        <f>+ISNUMBER(SEARCH(CompConta!$F$27,Tabla11[[#This Row],[Cuenta]],1))</f>
        <v>1</v>
      </c>
      <c r="BC262" t="b">
        <f>+ISNUMBER(SEARCH(CompConta!$F$28,Tabla11[[#This Row],[Cuenta]],1))</f>
        <v>1</v>
      </c>
      <c r="BD262" t="b">
        <f>+ISNUMBER(SEARCH(CompConta!$F$29,Tabla11[[#This Row],[Cuenta]],1))</f>
        <v>1</v>
      </c>
      <c r="BE262" t="b">
        <f>+ISNUMBER(SEARCH(CompConta!$F$30,Tabla11[[#This Row],[Cuenta]],1))</f>
        <v>1</v>
      </c>
      <c r="BF262" t="b">
        <f>+ISNUMBER(SEARCH('PAGO Compras'!$E$11,Tabla11[[#This Row],[Cuenta]],1))</f>
        <v>1</v>
      </c>
      <c r="BG262" t="b">
        <f>+ISNUMBER(SEARCH(#REF!,Tabla11[[#This Row],[Cuenta]],1))</f>
        <v>0</v>
      </c>
      <c r="BH262" t="b">
        <f>+ISNUMBER(SEARCH(#REF!,Tabla11[[#This Row],[Cuenta]],1))</f>
        <v>0</v>
      </c>
      <c r="BI262" t="b">
        <f>+ISNUMBER(SEARCH(#REF!,Tabla11[[#This Row],[Cuenta]],1))</f>
        <v>0</v>
      </c>
      <c r="BJ262" t="b">
        <f>+ISNUMBER(SEARCH(#REF!,Tabla11[[#This Row],[Cuenta]],1))</f>
        <v>0</v>
      </c>
      <c r="BS262" t="str">
        <v>159924 Equipo de oficina</v>
      </c>
      <c r="BT262" t="str">
        <v>159924 Equipo de oficina</v>
      </c>
      <c r="BU262" t="str">
        <v>159924 Equipo de oficina</v>
      </c>
      <c r="BV262" t="str">
        <v>159924 Equipo de oficina</v>
      </c>
      <c r="BZ262" t="str">
        <v>159924 Equipo de oficina</v>
      </c>
      <c r="CA262" t="str">
        <v>159924 Equipo de oficina</v>
      </c>
      <c r="CB262" t="str">
        <v>159924 Equipo de oficina</v>
      </c>
      <c r="CC262" t="str">
        <v>159924 Equipo de oficina</v>
      </c>
      <c r="CD262" t="str">
        <v>159924 Equipo de oficina</v>
      </c>
      <c r="CE262" t="str">
        <v>159924 Equipo de oficina</v>
      </c>
      <c r="CS262" s="141" t="str">
        <v>159924 Equipo de oficina</v>
      </c>
      <c r="CT262" s="141" t="str">
        <v>159924 Equipo de oficina</v>
      </c>
      <c r="CU262" s="141" t="str">
        <v>159924 Equipo de oficina</v>
      </c>
      <c r="CV262" s="141" t="str">
        <v>159924 Equipo de oficina</v>
      </c>
      <c r="CW262" s="141" t="str">
        <v>159924 Equipo de oficina</v>
      </c>
      <c r="CX262" s="141" t="str">
        <v>159924 Equipo de oficina</v>
      </c>
      <c r="CY262" s="141" t="str">
        <v>159924 Equipo de oficina</v>
      </c>
      <c r="CZ262" s="141" t="str">
        <v>159924 Equipo de oficina</v>
      </c>
      <c r="DA262" s="141" t="str">
        <v>159924 Equipo de oficina</v>
      </c>
      <c r="DF262" t="str">
        <v>159924 Equipo de oficina</v>
      </c>
      <c r="DG262" t="str">
        <v>159924 Equipo de oficina</v>
      </c>
      <c r="DH262" t="str">
        <v>159924 Equipo de oficina</v>
      </c>
      <c r="DI262" t="str">
        <v>159924 Equipo de oficina</v>
      </c>
      <c r="DJ262" t="str">
        <v>159924 Equipo de oficina</v>
      </c>
      <c r="DK262" t="str">
        <v>159924 Equipo de oficina</v>
      </c>
      <c r="DL262" t="str">
        <v>159924 Equipo de oficina</v>
      </c>
      <c r="DM262" t="str">
        <v>159924 Equipo de oficina</v>
      </c>
      <c r="DN262" t="str">
        <v>159924 Equipo de oficina</v>
      </c>
      <c r="DO262" t="str">
        <v>159924 Equipo de oficina</v>
      </c>
      <c r="DP262" t="str">
        <v>159924 Equipo de oficina</v>
      </c>
    </row>
    <row r="263" spans="4:120" ht="12.75">
      <c r="D263" s="7">
        <v>159928</v>
      </c>
      <c r="E263" s="6" t="s">
        <v>130</v>
      </c>
      <c r="F263" s="5">
        <v>4</v>
      </c>
      <c r="G263" s="34" t="s">
        <v>822</v>
      </c>
      <c r="H263" s="8" t="s">
        <v>56</v>
      </c>
      <c r="I263" t="b">
        <f>+ISNUMBER(SEARCH('F-COMPRA'!$F$28,Tabla11[[#This Row],[Cuenta]],1))</f>
        <v>1</v>
      </c>
      <c r="J263" t="b">
        <f>+ISNUMBER(SEARCH('F-COMPRA'!$F$29,Tabla11[[#This Row],[Cuenta]],1))</f>
        <v>1</v>
      </c>
      <c r="K263" t="b">
        <f>+ISNUMBER(SEARCH('F-COMPRA'!$F$30,Tabla11[[#This Row],[Cuenta]],1))</f>
        <v>1</v>
      </c>
      <c r="L263" t="b">
        <f>+ISNUMBER(SEARCH('F-COMPRA'!$F$31,Tabla11[[#This Row],[Cuenta]],1))</f>
        <v>1</v>
      </c>
      <c r="M263" t="b">
        <f>+ISNUMBER(SEARCH('F-COMPRA'!$G$25,Tabla11[[#This Row],[Cuenta]],1))</f>
        <v>0</v>
      </c>
      <c r="N263" t="b">
        <f>+ISNUMBER(SEARCH(#REF!,Tabla11[[#This Row],[Cuenta]],1))</f>
        <v>0</v>
      </c>
      <c r="O263" t="b">
        <f>+ISNUMBER(SEARCH(#REF!,Tabla11[[#This Row],[Cuenta]],1))</f>
        <v>0</v>
      </c>
      <c r="P263" t="b">
        <f>+ISNUMBER(SEARCH('F-COMPRA'!$F$32,Tabla11[[#This Row],[Cuenta]],1))</f>
        <v>1</v>
      </c>
      <c r="Q263" t="b">
        <f>+ISNUMBER(SEARCH('F-COMPRA'!$F$33,Tabla11[[#This Row],[Cuenta]],1))</f>
        <v>1</v>
      </c>
      <c r="R263" t="b">
        <f>+ISNUMBER(SEARCH('F-COMPRA'!$F$34,Tabla11[[#This Row],[Cuenta]],1))</f>
        <v>1</v>
      </c>
      <c r="S263" t="b">
        <f>+ISNUMBER(SEARCH('F-COMPRA'!$F$35,Tabla11[[#This Row],[Cuenta]],1))</f>
        <v>1</v>
      </c>
      <c r="T263" t="b">
        <f>+ISNUMBER(SEARCH('F-COMPRA'!$F$36,Tabla11[[#This Row],[Cuenta]],1))</f>
        <v>1</v>
      </c>
      <c r="U263" t="b">
        <f>+ISNUMBER(SEARCH('F-COMPRA'!$F$37,Tabla11[[#This Row],[Cuenta]],1))</f>
        <v>1</v>
      </c>
      <c r="V263" t="b">
        <f>+ISNUMBER(SEARCH(#REF!,Tabla11[[#This Row],[Cuenta]],1))</f>
        <v>0</v>
      </c>
      <c r="W263" t="b">
        <f>+ISNUMBER(SEARCH('F-COMPRA'!#REF!,Tabla11[[#This Row],[Cuenta]],1))</f>
        <v>0</v>
      </c>
      <c r="X263" t="b">
        <f>+ISNUMBER(SEARCH('F-COMPRA'!#REF!,Tabla11[[#This Row],[Cuenta]],1))</f>
        <v>0</v>
      </c>
      <c r="Y263" t="b">
        <f>+ISNUMBER(SEARCH('F-COMPRA'!#REF!,Tabla11[[#This Row],[Cuenta]],1))</f>
        <v>0</v>
      </c>
      <c r="Z263" t="b">
        <f>+ISNUMBER(SEARCH('F-COMPRA'!#REF!,Tabla11[[#This Row],[Cuenta]],1))</f>
        <v>0</v>
      </c>
      <c r="AA263" t="b">
        <f>+ISNUMBER(SEARCH('F-COMPRA'!#REF!,Tabla11[[#This Row],[Cuenta]],1))</f>
        <v>0</v>
      </c>
      <c r="AB263" t="b">
        <f>+ISNUMBER(SEARCH('F-COMPRA'!#REF!,Tabla11[[#This Row],[Cuenta]],1))</f>
        <v>0</v>
      </c>
      <c r="AC263" t="b">
        <f>+ISNUMBER(SEARCH('F-COMPRA'!#REF!,Tabla11[[#This Row],[Cuenta]],1))</f>
        <v>0</v>
      </c>
      <c r="AD263" t="b">
        <f>+ISNUMBER(SEARCH('F-COMPRA'!#REF!,Tabla11[[#This Row],[Cuenta]],1))</f>
        <v>0</v>
      </c>
      <c r="AE263" t="b">
        <f>+ISNUMBER(SEARCH('F-COMPRA'!#REF!,Tabla11[[#This Row],[Cuenta]],1))</f>
        <v>0</v>
      </c>
      <c r="AF263" t="b">
        <f>+ISNUMBER(SEARCH('F-VTA'!$G$23,Tabla11[[#This Row],[Cuenta]],1))</f>
        <v>0</v>
      </c>
      <c r="AG263" t="b">
        <f>+ISNUMBER(SEARCH('F-VTA'!$G$24,Tabla11[[#This Row],[Cuenta]],1))</f>
        <v>0</v>
      </c>
      <c r="AH263" t="b">
        <f>+ISNUMBER(SEARCH('F-VTA'!$G$25,Tabla11[[#This Row],[Cuenta]],1))</f>
        <v>0</v>
      </c>
      <c r="AI263" t="b">
        <f>+ISNUMBER(SEARCH('F-VTA'!$F$28,Tabla11[[#This Row],[Cuenta]],1))</f>
        <v>1</v>
      </c>
      <c r="AJ263" t="b">
        <f>+ISNUMBER(SEARCH('F-VTA'!$F$29,Tabla11[[#This Row],[Cuenta]],1))</f>
        <v>1</v>
      </c>
      <c r="AK263" t="b">
        <f>+ISNUMBER(SEARCH('F-VTA'!$F$30,Tabla11[[#This Row],[Cuenta]],1))</f>
        <v>1</v>
      </c>
      <c r="AL263" t="b">
        <f>+ISNUMBER(SEARCH('F-VTA'!$F$31,Tabla11[[#This Row],[Cuenta]],1))</f>
        <v>1</v>
      </c>
      <c r="AM263" t="b">
        <f>+ISNUMBER(SEARCH('F-VTA'!$F$32,Tabla11[[#This Row],[Cuenta]],1))</f>
        <v>1</v>
      </c>
      <c r="AN263" t="b">
        <f>+ISNUMBER(SEARCH('F-VTA'!$F$33,Tabla11[[#This Row],[Cuenta]],1))</f>
        <v>1</v>
      </c>
      <c r="AO263" t="b">
        <f>+ISNUMBER(SEARCH('F-VTA'!$F$34,Tabla11[[#This Row],[Cuenta]],1))</f>
        <v>1</v>
      </c>
      <c r="AP263" t="b">
        <f>+ISNUMBER(SEARCH('F-VTA'!$F$35,Tabla11[[#This Row],[Cuenta]],1))</f>
        <v>1</v>
      </c>
      <c r="AQ263" t="b">
        <f>+ISNUMBER(SEARCH('F-VTA'!$F$36,Tabla11[[#This Row],[Cuenta]],1))</f>
        <v>1</v>
      </c>
      <c r="AR263" t="b">
        <f>+ISNUMBER(SEARCH(#REF!,Tabla11[[#This Row],[Cuenta]],1))</f>
        <v>0</v>
      </c>
      <c r="AS263" t="b">
        <f>+ISNUMBER(SEARCH(#REF!,Tabla11[[#This Row],[Cuenta]],1))</f>
        <v>0</v>
      </c>
      <c r="AT263" t="b">
        <f>+ISNUMBER(SEARCH(#REF!,Tabla11[[#This Row],[Cuenta]],1))</f>
        <v>0</v>
      </c>
      <c r="AU263" t="b">
        <f>+ISNUMBER(SEARCH('Conc. Ban.1'!$I$9,Tabla11[[#This Row],[Cuenta]],1))</f>
        <v>0</v>
      </c>
      <c r="AV263" t="b">
        <f>+ISNUMBER(SEARCH(CompConta!$F$21,Tabla11[[#This Row],[Cuenta]],1))</f>
        <v>1</v>
      </c>
      <c r="AW263" t="b">
        <f>+ISNUMBER(SEARCH(CompConta!$F$22,Tabla11[[#This Row],[Cuenta]],1))</f>
        <v>1</v>
      </c>
      <c r="AX263" t="b">
        <f>+ISNUMBER(SEARCH(CompConta!$F$23,Tabla11[[#This Row],[Cuenta]],1))</f>
        <v>1</v>
      </c>
      <c r="AY263" t="b">
        <f>+ISNUMBER(SEARCH(CompConta!$F$24,Tabla11[[#This Row],[Cuenta]],1))</f>
        <v>1</v>
      </c>
      <c r="AZ263" t="b">
        <f>+ISNUMBER(SEARCH(CompConta!$F$25,Tabla11[[#This Row],[Cuenta]],1))</f>
        <v>1</v>
      </c>
      <c r="BA263" t="b">
        <f>+ISNUMBER(SEARCH(CompConta!$F$26,Tabla11[[#This Row],[Cuenta]],1))</f>
        <v>1</v>
      </c>
      <c r="BB263" t="b">
        <f>+ISNUMBER(SEARCH(CompConta!$F$27,Tabla11[[#This Row],[Cuenta]],1))</f>
        <v>1</v>
      </c>
      <c r="BC263" t="b">
        <f>+ISNUMBER(SEARCH(CompConta!$F$28,Tabla11[[#This Row],[Cuenta]],1))</f>
        <v>1</v>
      </c>
      <c r="BD263" t="b">
        <f>+ISNUMBER(SEARCH(CompConta!$F$29,Tabla11[[#This Row],[Cuenta]],1))</f>
        <v>1</v>
      </c>
      <c r="BE263" t="b">
        <f>+ISNUMBER(SEARCH(CompConta!$F$30,Tabla11[[#This Row],[Cuenta]],1))</f>
        <v>1</v>
      </c>
      <c r="BF263" t="b">
        <f>+ISNUMBER(SEARCH('PAGO Compras'!$E$11,Tabla11[[#This Row],[Cuenta]],1))</f>
        <v>1</v>
      </c>
      <c r="BG263" t="b">
        <f>+ISNUMBER(SEARCH(#REF!,Tabla11[[#This Row],[Cuenta]],1))</f>
        <v>0</v>
      </c>
      <c r="BH263" t="b">
        <f>+ISNUMBER(SEARCH(#REF!,Tabla11[[#This Row],[Cuenta]],1))</f>
        <v>0</v>
      </c>
      <c r="BI263" t="b">
        <f>+ISNUMBER(SEARCH(#REF!,Tabla11[[#This Row],[Cuenta]],1))</f>
        <v>0</v>
      </c>
      <c r="BJ263" t="b">
        <f>+ISNUMBER(SEARCH(#REF!,Tabla11[[#This Row],[Cuenta]],1))</f>
        <v>0</v>
      </c>
      <c r="BS263" t="str">
        <v>159928 Equipo de computación y comunicación</v>
      </c>
      <c r="BT263" t="str">
        <v>159928 Equipo de computación y comunicación</v>
      </c>
      <c r="BU263" t="str">
        <v>159928 Equipo de computación y comunicación</v>
      </c>
      <c r="BV263" t="str">
        <v>159928 Equipo de computación y comunicación</v>
      </c>
      <c r="BZ263" t="str">
        <v>159928 Equipo de computación y comunicación</v>
      </c>
      <c r="CA263" t="str">
        <v>159928 Equipo de computación y comunicación</v>
      </c>
      <c r="CB263" t="str">
        <v>159928 Equipo de computación y comunicación</v>
      </c>
      <c r="CC263" t="str">
        <v>159928 Equipo de computación y comunicación</v>
      </c>
      <c r="CD263" t="str">
        <v>159928 Equipo de computación y comunicación</v>
      </c>
      <c r="CE263" t="str">
        <v>159928 Equipo de computación y comunicación</v>
      </c>
      <c r="CS263" s="141" t="str">
        <v>159928 Equipo de computación y comunicación</v>
      </c>
      <c r="CT263" s="141" t="str">
        <v>159928 Equipo de computación y comunicación</v>
      </c>
      <c r="CU263" s="141" t="str">
        <v>159928 Equipo de computación y comunicación</v>
      </c>
      <c r="CV263" s="141" t="str">
        <v>159928 Equipo de computación y comunicación</v>
      </c>
      <c r="CW263" s="141" t="str">
        <v>159928 Equipo de computación y comunicación</v>
      </c>
      <c r="CX263" s="141" t="str">
        <v>159928 Equipo de computación y comunicación</v>
      </c>
      <c r="CY263" s="141" t="str">
        <v>159928 Equipo de computación y comunicación</v>
      </c>
      <c r="CZ263" s="141" t="str">
        <v>159928 Equipo de computación y comunicación</v>
      </c>
      <c r="DA263" s="141" t="str">
        <v>159928 Equipo de computación y comunicación</v>
      </c>
      <c r="DF263" t="str">
        <v>159928 Equipo de computación y comunicación</v>
      </c>
      <c r="DG263" t="str">
        <v>159928 Equipo de computación y comunicación</v>
      </c>
      <c r="DH263" t="str">
        <v>159928 Equipo de computación y comunicación</v>
      </c>
      <c r="DI263" t="str">
        <v>159928 Equipo de computación y comunicación</v>
      </c>
      <c r="DJ263" t="str">
        <v>159928 Equipo de computación y comunicación</v>
      </c>
      <c r="DK263" t="str">
        <v>159928 Equipo de computación y comunicación</v>
      </c>
      <c r="DL263" t="str">
        <v>159928 Equipo de computación y comunicación</v>
      </c>
      <c r="DM263" t="str">
        <v>159928 Equipo de computación y comunicación</v>
      </c>
      <c r="DN263" t="str">
        <v>159928 Equipo de computación y comunicación</v>
      </c>
      <c r="DO263" t="str">
        <v>159928 Equipo de computación y comunicación</v>
      </c>
      <c r="DP263" t="str">
        <v>159928 Equipo de computación y comunicación</v>
      </c>
    </row>
    <row r="264" spans="4:120" ht="12.75">
      <c r="D264" s="7">
        <v>159932</v>
      </c>
      <c r="E264" s="6" t="s">
        <v>131</v>
      </c>
      <c r="F264" s="5">
        <v>4</v>
      </c>
      <c r="G264" s="34" t="s">
        <v>822</v>
      </c>
      <c r="H264" s="8" t="s">
        <v>56</v>
      </c>
      <c r="I264" t="b">
        <f>+ISNUMBER(SEARCH('F-COMPRA'!$F$28,Tabla11[[#This Row],[Cuenta]],1))</f>
        <v>1</v>
      </c>
      <c r="J264" t="b">
        <f>+ISNUMBER(SEARCH('F-COMPRA'!$F$29,Tabla11[[#This Row],[Cuenta]],1))</f>
        <v>1</v>
      </c>
      <c r="K264" t="b">
        <f>+ISNUMBER(SEARCH('F-COMPRA'!$F$30,Tabla11[[#This Row],[Cuenta]],1))</f>
        <v>1</v>
      </c>
      <c r="L264" t="b">
        <f>+ISNUMBER(SEARCH('F-COMPRA'!$F$31,Tabla11[[#This Row],[Cuenta]],1))</f>
        <v>1</v>
      </c>
      <c r="M264" t="b">
        <f>+ISNUMBER(SEARCH('F-COMPRA'!$G$25,Tabla11[[#This Row],[Cuenta]],1))</f>
        <v>0</v>
      </c>
      <c r="N264" t="b">
        <f>+ISNUMBER(SEARCH(#REF!,Tabla11[[#This Row],[Cuenta]],1))</f>
        <v>0</v>
      </c>
      <c r="O264" t="b">
        <f>+ISNUMBER(SEARCH(#REF!,Tabla11[[#This Row],[Cuenta]],1))</f>
        <v>0</v>
      </c>
      <c r="P264" t="b">
        <f>+ISNUMBER(SEARCH('F-COMPRA'!$F$32,Tabla11[[#This Row],[Cuenta]],1))</f>
        <v>1</v>
      </c>
      <c r="Q264" t="b">
        <f>+ISNUMBER(SEARCH('F-COMPRA'!$F$33,Tabla11[[#This Row],[Cuenta]],1))</f>
        <v>1</v>
      </c>
      <c r="R264" t="b">
        <f>+ISNUMBER(SEARCH('F-COMPRA'!$F$34,Tabla11[[#This Row],[Cuenta]],1))</f>
        <v>1</v>
      </c>
      <c r="S264" t="b">
        <f>+ISNUMBER(SEARCH('F-COMPRA'!$F$35,Tabla11[[#This Row],[Cuenta]],1))</f>
        <v>1</v>
      </c>
      <c r="T264" t="b">
        <f>+ISNUMBER(SEARCH('F-COMPRA'!$F$36,Tabla11[[#This Row],[Cuenta]],1))</f>
        <v>1</v>
      </c>
      <c r="U264" t="b">
        <f>+ISNUMBER(SEARCH('F-COMPRA'!$F$37,Tabla11[[#This Row],[Cuenta]],1))</f>
        <v>1</v>
      </c>
      <c r="V264" t="b">
        <f>+ISNUMBER(SEARCH(#REF!,Tabla11[[#This Row],[Cuenta]],1))</f>
        <v>0</v>
      </c>
      <c r="W264" t="b">
        <f>+ISNUMBER(SEARCH('F-COMPRA'!#REF!,Tabla11[[#This Row],[Cuenta]],1))</f>
        <v>0</v>
      </c>
      <c r="X264" t="b">
        <f>+ISNUMBER(SEARCH('F-COMPRA'!#REF!,Tabla11[[#This Row],[Cuenta]],1))</f>
        <v>0</v>
      </c>
      <c r="Y264" t="b">
        <f>+ISNUMBER(SEARCH('F-COMPRA'!#REF!,Tabla11[[#This Row],[Cuenta]],1))</f>
        <v>0</v>
      </c>
      <c r="Z264" t="b">
        <f>+ISNUMBER(SEARCH('F-COMPRA'!#REF!,Tabla11[[#This Row],[Cuenta]],1))</f>
        <v>0</v>
      </c>
      <c r="AA264" t="b">
        <f>+ISNUMBER(SEARCH('F-COMPRA'!#REF!,Tabla11[[#This Row],[Cuenta]],1))</f>
        <v>0</v>
      </c>
      <c r="AB264" t="b">
        <f>+ISNUMBER(SEARCH('F-COMPRA'!#REF!,Tabla11[[#This Row],[Cuenta]],1))</f>
        <v>0</v>
      </c>
      <c r="AC264" t="b">
        <f>+ISNUMBER(SEARCH('F-COMPRA'!#REF!,Tabla11[[#This Row],[Cuenta]],1))</f>
        <v>0</v>
      </c>
      <c r="AD264" t="b">
        <f>+ISNUMBER(SEARCH('F-COMPRA'!#REF!,Tabla11[[#This Row],[Cuenta]],1))</f>
        <v>0</v>
      </c>
      <c r="AE264" t="b">
        <f>+ISNUMBER(SEARCH('F-COMPRA'!#REF!,Tabla11[[#This Row],[Cuenta]],1))</f>
        <v>0</v>
      </c>
      <c r="AF264" t="b">
        <f>+ISNUMBER(SEARCH('F-VTA'!$G$23,Tabla11[[#This Row],[Cuenta]],1))</f>
        <v>0</v>
      </c>
      <c r="AG264" t="b">
        <f>+ISNUMBER(SEARCH('F-VTA'!$G$24,Tabla11[[#This Row],[Cuenta]],1))</f>
        <v>0</v>
      </c>
      <c r="AH264" t="b">
        <f>+ISNUMBER(SEARCH('F-VTA'!$G$25,Tabla11[[#This Row],[Cuenta]],1))</f>
        <v>0</v>
      </c>
      <c r="AI264" t="b">
        <f>+ISNUMBER(SEARCH('F-VTA'!$F$28,Tabla11[[#This Row],[Cuenta]],1))</f>
        <v>1</v>
      </c>
      <c r="AJ264" t="b">
        <f>+ISNUMBER(SEARCH('F-VTA'!$F$29,Tabla11[[#This Row],[Cuenta]],1))</f>
        <v>1</v>
      </c>
      <c r="AK264" t="b">
        <f>+ISNUMBER(SEARCH('F-VTA'!$F$30,Tabla11[[#This Row],[Cuenta]],1))</f>
        <v>1</v>
      </c>
      <c r="AL264" t="b">
        <f>+ISNUMBER(SEARCH('F-VTA'!$F$31,Tabla11[[#This Row],[Cuenta]],1))</f>
        <v>1</v>
      </c>
      <c r="AM264" t="b">
        <f>+ISNUMBER(SEARCH('F-VTA'!$F$32,Tabla11[[#This Row],[Cuenta]],1))</f>
        <v>1</v>
      </c>
      <c r="AN264" t="b">
        <f>+ISNUMBER(SEARCH('F-VTA'!$F$33,Tabla11[[#This Row],[Cuenta]],1))</f>
        <v>1</v>
      </c>
      <c r="AO264" t="b">
        <f>+ISNUMBER(SEARCH('F-VTA'!$F$34,Tabla11[[#This Row],[Cuenta]],1))</f>
        <v>1</v>
      </c>
      <c r="AP264" t="b">
        <f>+ISNUMBER(SEARCH('F-VTA'!$F$35,Tabla11[[#This Row],[Cuenta]],1))</f>
        <v>1</v>
      </c>
      <c r="AQ264" t="b">
        <f>+ISNUMBER(SEARCH('F-VTA'!$F$36,Tabla11[[#This Row],[Cuenta]],1))</f>
        <v>1</v>
      </c>
      <c r="AR264" t="b">
        <f>+ISNUMBER(SEARCH(#REF!,Tabla11[[#This Row],[Cuenta]],1))</f>
        <v>0</v>
      </c>
      <c r="AS264" t="b">
        <f>+ISNUMBER(SEARCH(#REF!,Tabla11[[#This Row],[Cuenta]],1))</f>
        <v>0</v>
      </c>
      <c r="AT264" t="b">
        <f>+ISNUMBER(SEARCH(#REF!,Tabla11[[#This Row],[Cuenta]],1))</f>
        <v>0</v>
      </c>
      <c r="AU264" t="b">
        <f>+ISNUMBER(SEARCH('Conc. Ban.1'!$I$9,Tabla11[[#This Row],[Cuenta]],1))</f>
        <v>0</v>
      </c>
      <c r="AV264" t="b">
        <f>+ISNUMBER(SEARCH(CompConta!$F$21,Tabla11[[#This Row],[Cuenta]],1))</f>
        <v>1</v>
      </c>
      <c r="AW264" t="b">
        <f>+ISNUMBER(SEARCH(CompConta!$F$22,Tabla11[[#This Row],[Cuenta]],1))</f>
        <v>1</v>
      </c>
      <c r="AX264" t="b">
        <f>+ISNUMBER(SEARCH(CompConta!$F$23,Tabla11[[#This Row],[Cuenta]],1))</f>
        <v>1</v>
      </c>
      <c r="AY264" t="b">
        <f>+ISNUMBER(SEARCH(CompConta!$F$24,Tabla11[[#This Row],[Cuenta]],1))</f>
        <v>1</v>
      </c>
      <c r="AZ264" t="b">
        <f>+ISNUMBER(SEARCH(CompConta!$F$25,Tabla11[[#This Row],[Cuenta]],1))</f>
        <v>1</v>
      </c>
      <c r="BA264" t="b">
        <f>+ISNUMBER(SEARCH(CompConta!$F$26,Tabla11[[#This Row],[Cuenta]],1))</f>
        <v>1</v>
      </c>
      <c r="BB264" t="b">
        <f>+ISNUMBER(SEARCH(CompConta!$F$27,Tabla11[[#This Row],[Cuenta]],1))</f>
        <v>1</v>
      </c>
      <c r="BC264" t="b">
        <f>+ISNUMBER(SEARCH(CompConta!$F$28,Tabla11[[#This Row],[Cuenta]],1))</f>
        <v>1</v>
      </c>
      <c r="BD264" t="b">
        <f>+ISNUMBER(SEARCH(CompConta!$F$29,Tabla11[[#This Row],[Cuenta]],1))</f>
        <v>1</v>
      </c>
      <c r="BE264" t="b">
        <f>+ISNUMBER(SEARCH(CompConta!$F$30,Tabla11[[#This Row],[Cuenta]],1))</f>
        <v>1</v>
      </c>
      <c r="BF264" t="b">
        <f>+ISNUMBER(SEARCH('PAGO Compras'!$E$11,Tabla11[[#This Row],[Cuenta]],1))</f>
        <v>1</v>
      </c>
      <c r="BG264" t="b">
        <f>+ISNUMBER(SEARCH(#REF!,Tabla11[[#This Row],[Cuenta]],1))</f>
        <v>0</v>
      </c>
      <c r="BH264" t="b">
        <f>+ISNUMBER(SEARCH(#REF!,Tabla11[[#This Row],[Cuenta]],1))</f>
        <v>0</v>
      </c>
      <c r="BI264" t="b">
        <f>+ISNUMBER(SEARCH(#REF!,Tabla11[[#This Row],[Cuenta]],1))</f>
        <v>0</v>
      </c>
      <c r="BJ264" t="b">
        <f>+ISNUMBER(SEARCH(#REF!,Tabla11[[#This Row],[Cuenta]],1))</f>
        <v>0</v>
      </c>
      <c r="BS264" t="str">
        <v>159932 Equipo médico-científico</v>
      </c>
      <c r="BT264" t="str">
        <v>159932 Equipo médico-científico</v>
      </c>
      <c r="BU264" t="str">
        <v>159932 Equipo médico-científico</v>
      </c>
      <c r="BV264" t="str">
        <v>159932 Equipo médico-científico</v>
      </c>
      <c r="BZ264" t="str">
        <v>159932 Equipo médico-científico</v>
      </c>
      <c r="CA264" t="str">
        <v>159932 Equipo médico-científico</v>
      </c>
      <c r="CB264" t="str">
        <v>159932 Equipo médico-científico</v>
      </c>
      <c r="CC264" t="str">
        <v>159932 Equipo médico-científico</v>
      </c>
      <c r="CD264" t="str">
        <v>159932 Equipo médico-científico</v>
      </c>
      <c r="CE264" t="str">
        <v>159932 Equipo médico-científico</v>
      </c>
      <c r="CS264" s="141" t="str">
        <v>159932 Equipo médico-científico</v>
      </c>
      <c r="CT264" s="141" t="str">
        <v>159932 Equipo médico-científico</v>
      </c>
      <c r="CU264" s="141" t="str">
        <v>159932 Equipo médico-científico</v>
      </c>
      <c r="CV264" s="141" t="str">
        <v>159932 Equipo médico-científico</v>
      </c>
      <c r="CW264" s="141" t="str">
        <v>159932 Equipo médico-científico</v>
      </c>
      <c r="CX264" s="141" t="str">
        <v>159932 Equipo médico-científico</v>
      </c>
      <c r="CY264" s="141" t="str">
        <v>159932 Equipo médico-científico</v>
      </c>
      <c r="CZ264" s="141" t="str">
        <v>159932 Equipo médico-científico</v>
      </c>
      <c r="DA264" s="141" t="str">
        <v>159932 Equipo médico-científico</v>
      </c>
      <c r="DF264" t="str">
        <v>159932 Equipo médico-científico</v>
      </c>
      <c r="DG264" t="str">
        <v>159932 Equipo médico-científico</v>
      </c>
      <c r="DH264" t="str">
        <v>159932 Equipo médico-científico</v>
      </c>
      <c r="DI264" t="str">
        <v>159932 Equipo médico-científico</v>
      </c>
      <c r="DJ264" t="str">
        <v>159932 Equipo médico-científico</v>
      </c>
      <c r="DK264" t="str">
        <v>159932 Equipo médico-científico</v>
      </c>
      <c r="DL264" t="str">
        <v>159932 Equipo médico-científico</v>
      </c>
      <c r="DM264" t="str">
        <v>159932 Equipo médico-científico</v>
      </c>
      <c r="DN264" t="str">
        <v>159932 Equipo médico-científico</v>
      </c>
      <c r="DO264" t="str">
        <v>159932 Equipo médico-científico</v>
      </c>
      <c r="DP264" t="str">
        <v>159932 Equipo médico-científico</v>
      </c>
    </row>
    <row r="265" spans="4:120" ht="12.75">
      <c r="D265" s="7">
        <v>159936</v>
      </c>
      <c r="E265" s="6" t="s">
        <v>132</v>
      </c>
      <c r="F265" s="5">
        <v>4</v>
      </c>
      <c r="G265" s="34" t="s">
        <v>822</v>
      </c>
      <c r="H265" s="8" t="s">
        <v>56</v>
      </c>
      <c r="I265" t="b">
        <f>+ISNUMBER(SEARCH('F-COMPRA'!$F$28,Tabla11[[#This Row],[Cuenta]],1))</f>
        <v>1</v>
      </c>
      <c r="J265" t="b">
        <f>+ISNUMBER(SEARCH('F-COMPRA'!$F$29,Tabla11[[#This Row],[Cuenta]],1))</f>
        <v>1</v>
      </c>
      <c r="K265" t="b">
        <f>+ISNUMBER(SEARCH('F-COMPRA'!$F$30,Tabla11[[#This Row],[Cuenta]],1))</f>
        <v>1</v>
      </c>
      <c r="L265" t="b">
        <f>+ISNUMBER(SEARCH('F-COMPRA'!$F$31,Tabla11[[#This Row],[Cuenta]],1))</f>
        <v>1</v>
      </c>
      <c r="M265" t="b">
        <f>+ISNUMBER(SEARCH('F-COMPRA'!$G$25,Tabla11[[#This Row],[Cuenta]],1))</f>
        <v>0</v>
      </c>
      <c r="N265" t="b">
        <f>+ISNUMBER(SEARCH(#REF!,Tabla11[[#This Row],[Cuenta]],1))</f>
        <v>0</v>
      </c>
      <c r="O265" t="b">
        <f>+ISNUMBER(SEARCH(#REF!,Tabla11[[#This Row],[Cuenta]],1))</f>
        <v>0</v>
      </c>
      <c r="P265" t="b">
        <f>+ISNUMBER(SEARCH('F-COMPRA'!$F$32,Tabla11[[#This Row],[Cuenta]],1))</f>
        <v>1</v>
      </c>
      <c r="Q265" t="b">
        <f>+ISNUMBER(SEARCH('F-COMPRA'!$F$33,Tabla11[[#This Row],[Cuenta]],1))</f>
        <v>1</v>
      </c>
      <c r="R265" t="b">
        <f>+ISNUMBER(SEARCH('F-COMPRA'!$F$34,Tabla11[[#This Row],[Cuenta]],1))</f>
        <v>1</v>
      </c>
      <c r="S265" t="b">
        <f>+ISNUMBER(SEARCH('F-COMPRA'!$F$35,Tabla11[[#This Row],[Cuenta]],1))</f>
        <v>1</v>
      </c>
      <c r="T265" t="b">
        <f>+ISNUMBER(SEARCH('F-COMPRA'!$F$36,Tabla11[[#This Row],[Cuenta]],1))</f>
        <v>1</v>
      </c>
      <c r="U265" t="b">
        <f>+ISNUMBER(SEARCH('F-COMPRA'!$F$37,Tabla11[[#This Row],[Cuenta]],1))</f>
        <v>1</v>
      </c>
      <c r="V265" t="b">
        <f>+ISNUMBER(SEARCH(#REF!,Tabla11[[#This Row],[Cuenta]],1))</f>
        <v>0</v>
      </c>
      <c r="W265" t="b">
        <f>+ISNUMBER(SEARCH('F-COMPRA'!#REF!,Tabla11[[#This Row],[Cuenta]],1))</f>
        <v>0</v>
      </c>
      <c r="X265" t="b">
        <f>+ISNUMBER(SEARCH('F-COMPRA'!#REF!,Tabla11[[#This Row],[Cuenta]],1))</f>
        <v>0</v>
      </c>
      <c r="Y265" t="b">
        <f>+ISNUMBER(SEARCH('F-COMPRA'!#REF!,Tabla11[[#This Row],[Cuenta]],1))</f>
        <v>0</v>
      </c>
      <c r="Z265" t="b">
        <f>+ISNUMBER(SEARCH('F-COMPRA'!#REF!,Tabla11[[#This Row],[Cuenta]],1))</f>
        <v>0</v>
      </c>
      <c r="AA265" t="b">
        <f>+ISNUMBER(SEARCH('F-COMPRA'!#REF!,Tabla11[[#This Row],[Cuenta]],1))</f>
        <v>0</v>
      </c>
      <c r="AB265" t="b">
        <f>+ISNUMBER(SEARCH('F-COMPRA'!#REF!,Tabla11[[#This Row],[Cuenta]],1))</f>
        <v>0</v>
      </c>
      <c r="AC265" t="b">
        <f>+ISNUMBER(SEARCH('F-COMPRA'!#REF!,Tabla11[[#This Row],[Cuenta]],1))</f>
        <v>0</v>
      </c>
      <c r="AD265" t="b">
        <f>+ISNUMBER(SEARCH('F-COMPRA'!#REF!,Tabla11[[#This Row],[Cuenta]],1))</f>
        <v>0</v>
      </c>
      <c r="AE265" t="b">
        <f>+ISNUMBER(SEARCH('F-COMPRA'!#REF!,Tabla11[[#This Row],[Cuenta]],1))</f>
        <v>0</v>
      </c>
      <c r="AF265" t="b">
        <f>+ISNUMBER(SEARCH('F-VTA'!$G$23,Tabla11[[#This Row],[Cuenta]],1))</f>
        <v>0</v>
      </c>
      <c r="AG265" t="b">
        <f>+ISNUMBER(SEARCH('F-VTA'!$G$24,Tabla11[[#This Row],[Cuenta]],1))</f>
        <v>0</v>
      </c>
      <c r="AH265" t="b">
        <f>+ISNUMBER(SEARCH('F-VTA'!$G$25,Tabla11[[#This Row],[Cuenta]],1))</f>
        <v>0</v>
      </c>
      <c r="AI265" t="b">
        <f>+ISNUMBER(SEARCH('F-VTA'!$F$28,Tabla11[[#This Row],[Cuenta]],1))</f>
        <v>1</v>
      </c>
      <c r="AJ265" t="b">
        <f>+ISNUMBER(SEARCH('F-VTA'!$F$29,Tabla11[[#This Row],[Cuenta]],1))</f>
        <v>1</v>
      </c>
      <c r="AK265" t="b">
        <f>+ISNUMBER(SEARCH('F-VTA'!$F$30,Tabla11[[#This Row],[Cuenta]],1))</f>
        <v>1</v>
      </c>
      <c r="AL265" t="b">
        <f>+ISNUMBER(SEARCH('F-VTA'!$F$31,Tabla11[[#This Row],[Cuenta]],1))</f>
        <v>1</v>
      </c>
      <c r="AM265" t="b">
        <f>+ISNUMBER(SEARCH('F-VTA'!$F$32,Tabla11[[#This Row],[Cuenta]],1))</f>
        <v>1</v>
      </c>
      <c r="AN265" t="b">
        <f>+ISNUMBER(SEARCH('F-VTA'!$F$33,Tabla11[[#This Row],[Cuenta]],1))</f>
        <v>1</v>
      </c>
      <c r="AO265" t="b">
        <f>+ISNUMBER(SEARCH('F-VTA'!$F$34,Tabla11[[#This Row],[Cuenta]],1))</f>
        <v>1</v>
      </c>
      <c r="AP265" t="b">
        <f>+ISNUMBER(SEARCH('F-VTA'!$F$35,Tabla11[[#This Row],[Cuenta]],1))</f>
        <v>1</v>
      </c>
      <c r="AQ265" t="b">
        <f>+ISNUMBER(SEARCH('F-VTA'!$F$36,Tabla11[[#This Row],[Cuenta]],1))</f>
        <v>1</v>
      </c>
      <c r="AR265" t="b">
        <f>+ISNUMBER(SEARCH(#REF!,Tabla11[[#This Row],[Cuenta]],1))</f>
        <v>0</v>
      </c>
      <c r="AS265" t="b">
        <f>+ISNUMBER(SEARCH(#REF!,Tabla11[[#This Row],[Cuenta]],1))</f>
        <v>0</v>
      </c>
      <c r="AT265" t="b">
        <f>+ISNUMBER(SEARCH(#REF!,Tabla11[[#This Row],[Cuenta]],1))</f>
        <v>0</v>
      </c>
      <c r="AU265" t="b">
        <f>+ISNUMBER(SEARCH('Conc. Ban.1'!$I$9,Tabla11[[#This Row],[Cuenta]],1))</f>
        <v>0</v>
      </c>
      <c r="AV265" t="b">
        <f>+ISNUMBER(SEARCH(CompConta!$F$21,Tabla11[[#This Row],[Cuenta]],1))</f>
        <v>1</v>
      </c>
      <c r="AW265" t="b">
        <f>+ISNUMBER(SEARCH(CompConta!$F$22,Tabla11[[#This Row],[Cuenta]],1))</f>
        <v>1</v>
      </c>
      <c r="AX265" t="b">
        <f>+ISNUMBER(SEARCH(CompConta!$F$23,Tabla11[[#This Row],[Cuenta]],1))</f>
        <v>1</v>
      </c>
      <c r="AY265" t="b">
        <f>+ISNUMBER(SEARCH(CompConta!$F$24,Tabla11[[#This Row],[Cuenta]],1))</f>
        <v>1</v>
      </c>
      <c r="AZ265" t="b">
        <f>+ISNUMBER(SEARCH(CompConta!$F$25,Tabla11[[#This Row],[Cuenta]],1))</f>
        <v>1</v>
      </c>
      <c r="BA265" t="b">
        <f>+ISNUMBER(SEARCH(CompConta!$F$26,Tabla11[[#This Row],[Cuenta]],1))</f>
        <v>1</v>
      </c>
      <c r="BB265" t="b">
        <f>+ISNUMBER(SEARCH(CompConta!$F$27,Tabla11[[#This Row],[Cuenta]],1))</f>
        <v>1</v>
      </c>
      <c r="BC265" t="b">
        <f>+ISNUMBER(SEARCH(CompConta!$F$28,Tabla11[[#This Row],[Cuenta]],1))</f>
        <v>1</v>
      </c>
      <c r="BD265" t="b">
        <f>+ISNUMBER(SEARCH(CompConta!$F$29,Tabla11[[#This Row],[Cuenta]],1))</f>
        <v>1</v>
      </c>
      <c r="BE265" t="b">
        <f>+ISNUMBER(SEARCH(CompConta!$F$30,Tabla11[[#This Row],[Cuenta]],1))</f>
        <v>1</v>
      </c>
      <c r="BF265" t="b">
        <f>+ISNUMBER(SEARCH('PAGO Compras'!$E$11,Tabla11[[#This Row],[Cuenta]],1))</f>
        <v>1</v>
      </c>
      <c r="BG265" t="b">
        <f>+ISNUMBER(SEARCH(#REF!,Tabla11[[#This Row],[Cuenta]],1))</f>
        <v>0</v>
      </c>
      <c r="BH265" t="b">
        <f>+ISNUMBER(SEARCH(#REF!,Tabla11[[#This Row],[Cuenta]],1))</f>
        <v>0</v>
      </c>
      <c r="BI265" t="b">
        <f>+ISNUMBER(SEARCH(#REF!,Tabla11[[#This Row],[Cuenta]],1))</f>
        <v>0</v>
      </c>
      <c r="BJ265" t="b">
        <f>+ISNUMBER(SEARCH(#REF!,Tabla11[[#This Row],[Cuenta]],1))</f>
        <v>0</v>
      </c>
      <c r="BS265" t="str">
        <v>159936 Equipo de hoteles y restaurantes</v>
      </c>
      <c r="BT265" t="str">
        <v>159936 Equipo de hoteles y restaurantes</v>
      </c>
      <c r="BU265" t="str">
        <v>159936 Equipo de hoteles y restaurantes</v>
      </c>
      <c r="BV265" t="str">
        <v>159936 Equipo de hoteles y restaurantes</v>
      </c>
      <c r="BZ265" t="str">
        <v>159936 Equipo de hoteles y restaurantes</v>
      </c>
      <c r="CA265" t="str">
        <v>159936 Equipo de hoteles y restaurantes</v>
      </c>
      <c r="CB265" t="str">
        <v>159936 Equipo de hoteles y restaurantes</v>
      </c>
      <c r="CC265" t="str">
        <v>159936 Equipo de hoteles y restaurantes</v>
      </c>
      <c r="CD265" t="str">
        <v>159936 Equipo de hoteles y restaurantes</v>
      </c>
      <c r="CE265" t="str">
        <v>159936 Equipo de hoteles y restaurantes</v>
      </c>
      <c r="CS265" s="141" t="str">
        <v>159936 Equipo de hoteles y restaurantes</v>
      </c>
      <c r="CT265" s="141" t="str">
        <v>159936 Equipo de hoteles y restaurantes</v>
      </c>
      <c r="CU265" s="141" t="str">
        <v>159936 Equipo de hoteles y restaurantes</v>
      </c>
      <c r="CV265" s="141" t="str">
        <v>159936 Equipo de hoteles y restaurantes</v>
      </c>
      <c r="CW265" s="141" t="str">
        <v>159936 Equipo de hoteles y restaurantes</v>
      </c>
      <c r="CX265" s="141" t="str">
        <v>159936 Equipo de hoteles y restaurantes</v>
      </c>
      <c r="CY265" s="141" t="str">
        <v>159936 Equipo de hoteles y restaurantes</v>
      </c>
      <c r="CZ265" s="141" t="str">
        <v>159936 Equipo de hoteles y restaurantes</v>
      </c>
      <c r="DA265" s="141" t="str">
        <v>159936 Equipo de hoteles y restaurantes</v>
      </c>
      <c r="DF265" t="str">
        <v>159936 Equipo de hoteles y restaurantes</v>
      </c>
      <c r="DG265" t="str">
        <v>159936 Equipo de hoteles y restaurantes</v>
      </c>
      <c r="DH265" t="str">
        <v>159936 Equipo de hoteles y restaurantes</v>
      </c>
      <c r="DI265" t="str">
        <v>159936 Equipo de hoteles y restaurantes</v>
      </c>
      <c r="DJ265" t="str">
        <v>159936 Equipo de hoteles y restaurantes</v>
      </c>
      <c r="DK265" t="str">
        <v>159936 Equipo de hoteles y restaurantes</v>
      </c>
      <c r="DL265" t="str">
        <v>159936 Equipo de hoteles y restaurantes</v>
      </c>
      <c r="DM265" t="str">
        <v>159936 Equipo de hoteles y restaurantes</v>
      </c>
      <c r="DN265" t="str">
        <v>159936 Equipo de hoteles y restaurantes</v>
      </c>
      <c r="DO265" t="str">
        <v>159936 Equipo de hoteles y restaurantes</v>
      </c>
      <c r="DP265" t="str">
        <v>159936 Equipo de hoteles y restaurantes</v>
      </c>
    </row>
    <row r="266" spans="4:120" ht="12.75">
      <c r="D266" s="7">
        <v>159940</v>
      </c>
      <c r="E266" s="6" t="s">
        <v>133</v>
      </c>
      <c r="F266" s="5">
        <v>4</v>
      </c>
      <c r="G266" s="34" t="s">
        <v>822</v>
      </c>
      <c r="H266" s="8" t="s">
        <v>56</v>
      </c>
      <c r="I266" t="b">
        <f>+ISNUMBER(SEARCH('F-COMPRA'!$F$28,Tabla11[[#This Row],[Cuenta]],1))</f>
        <v>1</v>
      </c>
      <c r="J266" t="b">
        <f>+ISNUMBER(SEARCH('F-COMPRA'!$F$29,Tabla11[[#This Row],[Cuenta]],1))</f>
        <v>1</v>
      </c>
      <c r="K266" t="b">
        <f>+ISNUMBER(SEARCH('F-COMPRA'!$F$30,Tabla11[[#This Row],[Cuenta]],1))</f>
        <v>1</v>
      </c>
      <c r="L266" t="b">
        <f>+ISNUMBER(SEARCH('F-COMPRA'!$F$31,Tabla11[[#This Row],[Cuenta]],1))</f>
        <v>1</v>
      </c>
      <c r="M266" t="b">
        <f>+ISNUMBER(SEARCH('F-COMPRA'!$G$25,Tabla11[[#This Row],[Cuenta]],1))</f>
        <v>0</v>
      </c>
      <c r="N266" t="b">
        <f>+ISNUMBER(SEARCH(#REF!,Tabla11[[#This Row],[Cuenta]],1))</f>
        <v>0</v>
      </c>
      <c r="O266" t="b">
        <f>+ISNUMBER(SEARCH(#REF!,Tabla11[[#This Row],[Cuenta]],1))</f>
        <v>0</v>
      </c>
      <c r="P266" t="b">
        <f>+ISNUMBER(SEARCH('F-COMPRA'!$F$32,Tabla11[[#This Row],[Cuenta]],1))</f>
        <v>1</v>
      </c>
      <c r="Q266" t="b">
        <f>+ISNUMBER(SEARCH('F-COMPRA'!$F$33,Tabla11[[#This Row],[Cuenta]],1))</f>
        <v>1</v>
      </c>
      <c r="R266" t="b">
        <f>+ISNUMBER(SEARCH('F-COMPRA'!$F$34,Tabla11[[#This Row],[Cuenta]],1))</f>
        <v>1</v>
      </c>
      <c r="S266" t="b">
        <f>+ISNUMBER(SEARCH('F-COMPRA'!$F$35,Tabla11[[#This Row],[Cuenta]],1))</f>
        <v>1</v>
      </c>
      <c r="T266" t="b">
        <f>+ISNUMBER(SEARCH('F-COMPRA'!$F$36,Tabla11[[#This Row],[Cuenta]],1))</f>
        <v>1</v>
      </c>
      <c r="U266" t="b">
        <f>+ISNUMBER(SEARCH('F-COMPRA'!$F$37,Tabla11[[#This Row],[Cuenta]],1))</f>
        <v>1</v>
      </c>
      <c r="V266" t="b">
        <f>+ISNUMBER(SEARCH(#REF!,Tabla11[[#This Row],[Cuenta]],1))</f>
        <v>0</v>
      </c>
      <c r="W266" t="b">
        <f>+ISNUMBER(SEARCH('F-COMPRA'!#REF!,Tabla11[[#This Row],[Cuenta]],1))</f>
        <v>0</v>
      </c>
      <c r="X266" t="b">
        <f>+ISNUMBER(SEARCH('F-COMPRA'!#REF!,Tabla11[[#This Row],[Cuenta]],1))</f>
        <v>0</v>
      </c>
      <c r="Y266" t="b">
        <f>+ISNUMBER(SEARCH('F-COMPRA'!#REF!,Tabla11[[#This Row],[Cuenta]],1))</f>
        <v>0</v>
      </c>
      <c r="Z266" t="b">
        <f>+ISNUMBER(SEARCH('F-COMPRA'!#REF!,Tabla11[[#This Row],[Cuenta]],1))</f>
        <v>0</v>
      </c>
      <c r="AA266" t="b">
        <f>+ISNUMBER(SEARCH('F-COMPRA'!#REF!,Tabla11[[#This Row],[Cuenta]],1))</f>
        <v>0</v>
      </c>
      <c r="AB266" t="b">
        <f>+ISNUMBER(SEARCH('F-COMPRA'!#REF!,Tabla11[[#This Row],[Cuenta]],1))</f>
        <v>0</v>
      </c>
      <c r="AC266" t="b">
        <f>+ISNUMBER(SEARCH('F-COMPRA'!#REF!,Tabla11[[#This Row],[Cuenta]],1))</f>
        <v>0</v>
      </c>
      <c r="AD266" t="b">
        <f>+ISNUMBER(SEARCH('F-COMPRA'!#REF!,Tabla11[[#This Row],[Cuenta]],1))</f>
        <v>0</v>
      </c>
      <c r="AE266" t="b">
        <f>+ISNUMBER(SEARCH('F-COMPRA'!#REF!,Tabla11[[#This Row],[Cuenta]],1))</f>
        <v>0</v>
      </c>
      <c r="AF266" t="b">
        <f>+ISNUMBER(SEARCH('F-VTA'!$G$23,Tabla11[[#This Row],[Cuenta]],1))</f>
        <v>0</v>
      </c>
      <c r="AG266" t="b">
        <f>+ISNUMBER(SEARCH('F-VTA'!$G$24,Tabla11[[#This Row],[Cuenta]],1))</f>
        <v>0</v>
      </c>
      <c r="AH266" t="b">
        <f>+ISNUMBER(SEARCH('F-VTA'!$G$25,Tabla11[[#This Row],[Cuenta]],1))</f>
        <v>0</v>
      </c>
      <c r="AI266" t="b">
        <f>+ISNUMBER(SEARCH('F-VTA'!$F$28,Tabla11[[#This Row],[Cuenta]],1))</f>
        <v>1</v>
      </c>
      <c r="AJ266" t="b">
        <f>+ISNUMBER(SEARCH('F-VTA'!$F$29,Tabla11[[#This Row],[Cuenta]],1))</f>
        <v>1</v>
      </c>
      <c r="AK266" t="b">
        <f>+ISNUMBER(SEARCH('F-VTA'!$F$30,Tabla11[[#This Row],[Cuenta]],1))</f>
        <v>1</v>
      </c>
      <c r="AL266" t="b">
        <f>+ISNUMBER(SEARCH('F-VTA'!$F$31,Tabla11[[#This Row],[Cuenta]],1))</f>
        <v>1</v>
      </c>
      <c r="AM266" t="b">
        <f>+ISNUMBER(SEARCH('F-VTA'!$F$32,Tabla11[[#This Row],[Cuenta]],1))</f>
        <v>1</v>
      </c>
      <c r="AN266" t="b">
        <f>+ISNUMBER(SEARCH('F-VTA'!$F$33,Tabla11[[#This Row],[Cuenta]],1))</f>
        <v>1</v>
      </c>
      <c r="AO266" t="b">
        <f>+ISNUMBER(SEARCH('F-VTA'!$F$34,Tabla11[[#This Row],[Cuenta]],1))</f>
        <v>1</v>
      </c>
      <c r="AP266" t="b">
        <f>+ISNUMBER(SEARCH('F-VTA'!$F$35,Tabla11[[#This Row],[Cuenta]],1))</f>
        <v>1</v>
      </c>
      <c r="AQ266" t="b">
        <f>+ISNUMBER(SEARCH('F-VTA'!$F$36,Tabla11[[#This Row],[Cuenta]],1))</f>
        <v>1</v>
      </c>
      <c r="AR266" t="b">
        <f>+ISNUMBER(SEARCH(#REF!,Tabla11[[#This Row],[Cuenta]],1))</f>
        <v>0</v>
      </c>
      <c r="AS266" t="b">
        <f>+ISNUMBER(SEARCH(#REF!,Tabla11[[#This Row],[Cuenta]],1))</f>
        <v>0</v>
      </c>
      <c r="AT266" t="b">
        <f>+ISNUMBER(SEARCH(#REF!,Tabla11[[#This Row],[Cuenta]],1))</f>
        <v>0</v>
      </c>
      <c r="AU266" t="b">
        <f>+ISNUMBER(SEARCH('Conc. Ban.1'!$I$9,Tabla11[[#This Row],[Cuenta]],1))</f>
        <v>0</v>
      </c>
      <c r="AV266" t="b">
        <f>+ISNUMBER(SEARCH(CompConta!$F$21,Tabla11[[#This Row],[Cuenta]],1))</f>
        <v>1</v>
      </c>
      <c r="AW266" t="b">
        <f>+ISNUMBER(SEARCH(CompConta!$F$22,Tabla11[[#This Row],[Cuenta]],1))</f>
        <v>1</v>
      </c>
      <c r="AX266" t="b">
        <f>+ISNUMBER(SEARCH(CompConta!$F$23,Tabla11[[#This Row],[Cuenta]],1))</f>
        <v>1</v>
      </c>
      <c r="AY266" t="b">
        <f>+ISNUMBER(SEARCH(CompConta!$F$24,Tabla11[[#This Row],[Cuenta]],1))</f>
        <v>1</v>
      </c>
      <c r="AZ266" t="b">
        <f>+ISNUMBER(SEARCH(CompConta!$F$25,Tabla11[[#This Row],[Cuenta]],1))</f>
        <v>1</v>
      </c>
      <c r="BA266" t="b">
        <f>+ISNUMBER(SEARCH(CompConta!$F$26,Tabla11[[#This Row],[Cuenta]],1))</f>
        <v>1</v>
      </c>
      <c r="BB266" t="b">
        <f>+ISNUMBER(SEARCH(CompConta!$F$27,Tabla11[[#This Row],[Cuenta]],1))</f>
        <v>1</v>
      </c>
      <c r="BC266" t="b">
        <f>+ISNUMBER(SEARCH(CompConta!$F$28,Tabla11[[#This Row],[Cuenta]],1))</f>
        <v>1</v>
      </c>
      <c r="BD266" t="b">
        <f>+ISNUMBER(SEARCH(CompConta!$F$29,Tabla11[[#This Row],[Cuenta]],1))</f>
        <v>1</v>
      </c>
      <c r="BE266" t="b">
        <f>+ISNUMBER(SEARCH(CompConta!$F$30,Tabla11[[#This Row],[Cuenta]],1))</f>
        <v>1</v>
      </c>
      <c r="BF266" t="b">
        <f>+ISNUMBER(SEARCH('PAGO Compras'!$E$11,Tabla11[[#This Row],[Cuenta]],1))</f>
        <v>1</v>
      </c>
      <c r="BG266" t="b">
        <f>+ISNUMBER(SEARCH(#REF!,Tabla11[[#This Row],[Cuenta]],1))</f>
        <v>0</v>
      </c>
      <c r="BH266" t="b">
        <f>+ISNUMBER(SEARCH(#REF!,Tabla11[[#This Row],[Cuenta]],1))</f>
        <v>0</v>
      </c>
      <c r="BI266" t="b">
        <f>+ISNUMBER(SEARCH(#REF!,Tabla11[[#This Row],[Cuenta]],1))</f>
        <v>0</v>
      </c>
      <c r="BJ266" t="b">
        <f>+ISNUMBER(SEARCH(#REF!,Tabla11[[#This Row],[Cuenta]],1))</f>
        <v>0</v>
      </c>
      <c r="BS266" t="str">
        <v>159940 Flota y equipo de transporte</v>
      </c>
      <c r="BT266" t="str">
        <v>159940 Flota y equipo de transporte</v>
      </c>
      <c r="BU266" t="str">
        <v>159940 Flota y equipo de transporte</v>
      </c>
      <c r="BV266" t="str">
        <v>159940 Flota y equipo de transporte</v>
      </c>
      <c r="BZ266" t="str">
        <v>159940 Flota y equipo de transporte</v>
      </c>
      <c r="CA266" t="str">
        <v>159940 Flota y equipo de transporte</v>
      </c>
      <c r="CB266" t="str">
        <v>159940 Flota y equipo de transporte</v>
      </c>
      <c r="CC266" t="str">
        <v>159940 Flota y equipo de transporte</v>
      </c>
      <c r="CD266" t="str">
        <v>159940 Flota y equipo de transporte</v>
      </c>
      <c r="CE266" t="str">
        <v>159940 Flota y equipo de transporte</v>
      </c>
      <c r="CS266" s="141" t="str">
        <v>159940 Flota y equipo de transporte</v>
      </c>
      <c r="CT266" s="141" t="str">
        <v>159940 Flota y equipo de transporte</v>
      </c>
      <c r="CU266" s="141" t="str">
        <v>159940 Flota y equipo de transporte</v>
      </c>
      <c r="CV266" s="141" t="str">
        <v>159940 Flota y equipo de transporte</v>
      </c>
      <c r="CW266" s="141" t="str">
        <v>159940 Flota y equipo de transporte</v>
      </c>
      <c r="CX266" s="141" t="str">
        <v>159940 Flota y equipo de transporte</v>
      </c>
      <c r="CY266" s="141" t="str">
        <v>159940 Flota y equipo de transporte</v>
      </c>
      <c r="CZ266" s="141" t="str">
        <v>159940 Flota y equipo de transporte</v>
      </c>
      <c r="DA266" s="141" t="str">
        <v>159940 Flota y equipo de transporte</v>
      </c>
      <c r="DF266" t="str">
        <v>159940 Flota y equipo de transporte</v>
      </c>
      <c r="DG266" t="str">
        <v>159940 Flota y equipo de transporte</v>
      </c>
      <c r="DH266" t="str">
        <v>159940 Flota y equipo de transporte</v>
      </c>
      <c r="DI266" t="str">
        <v>159940 Flota y equipo de transporte</v>
      </c>
      <c r="DJ266" t="str">
        <v>159940 Flota y equipo de transporte</v>
      </c>
      <c r="DK266" t="str">
        <v>159940 Flota y equipo de transporte</v>
      </c>
      <c r="DL266" t="str">
        <v>159940 Flota y equipo de transporte</v>
      </c>
      <c r="DM266" t="str">
        <v>159940 Flota y equipo de transporte</v>
      </c>
      <c r="DN266" t="str">
        <v>159940 Flota y equipo de transporte</v>
      </c>
      <c r="DO266" t="str">
        <v>159940 Flota y equipo de transporte</v>
      </c>
      <c r="DP266" t="str">
        <v>159940 Flota y equipo de transporte</v>
      </c>
    </row>
    <row r="267" spans="4:120" ht="12.75">
      <c r="D267" s="7">
        <v>159944</v>
      </c>
      <c r="E267" s="6" t="s">
        <v>134</v>
      </c>
      <c r="F267" s="5">
        <v>4</v>
      </c>
      <c r="G267" s="34" t="s">
        <v>822</v>
      </c>
      <c r="H267" s="8" t="s">
        <v>56</v>
      </c>
      <c r="I267" t="b">
        <f>+ISNUMBER(SEARCH('F-COMPRA'!$F$28,Tabla11[[#This Row],[Cuenta]],1))</f>
        <v>1</v>
      </c>
      <c r="J267" t="b">
        <f>+ISNUMBER(SEARCH('F-COMPRA'!$F$29,Tabla11[[#This Row],[Cuenta]],1))</f>
        <v>1</v>
      </c>
      <c r="K267" t="b">
        <f>+ISNUMBER(SEARCH('F-COMPRA'!$F$30,Tabla11[[#This Row],[Cuenta]],1))</f>
        <v>1</v>
      </c>
      <c r="L267" t="b">
        <f>+ISNUMBER(SEARCH('F-COMPRA'!$F$31,Tabla11[[#This Row],[Cuenta]],1))</f>
        <v>1</v>
      </c>
      <c r="M267" t="b">
        <f>+ISNUMBER(SEARCH('F-COMPRA'!$G$25,Tabla11[[#This Row],[Cuenta]],1))</f>
        <v>0</v>
      </c>
      <c r="N267" t="b">
        <f>+ISNUMBER(SEARCH(#REF!,Tabla11[[#This Row],[Cuenta]],1))</f>
        <v>0</v>
      </c>
      <c r="O267" t="b">
        <f>+ISNUMBER(SEARCH(#REF!,Tabla11[[#This Row],[Cuenta]],1))</f>
        <v>0</v>
      </c>
      <c r="P267" t="b">
        <f>+ISNUMBER(SEARCH('F-COMPRA'!$F$32,Tabla11[[#This Row],[Cuenta]],1))</f>
        <v>1</v>
      </c>
      <c r="Q267" t="b">
        <f>+ISNUMBER(SEARCH('F-COMPRA'!$F$33,Tabla11[[#This Row],[Cuenta]],1))</f>
        <v>1</v>
      </c>
      <c r="R267" t="b">
        <f>+ISNUMBER(SEARCH('F-COMPRA'!$F$34,Tabla11[[#This Row],[Cuenta]],1))</f>
        <v>1</v>
      </c>
      <c r="S267" t="b">
        <f>+ISNUMBER(SEARCH('F-COMPRA'!$F$35,Tabla11[[#This Row],[Cuenta]],1))</f>
        <v>1</v>
      </c>
      <c r="T267" t="b">
        <f>+ISNUMBER(SEARCH('F-COMPRA'!$F$36,Tabla11[[#This Row],[Cuenta]],1))</f>
        <v>1</v>
      </c>
      <c r="U267" t="b">
        <f>+ISNUMBER(SEARCH('F-COMPRA'!$F$37,Tabla11[[#This Row],[Cuenta]],1))</f>
        <v>1</v>
      </c>
      <c r="V267" t="b">
        <f>+ISNUMBER(SEARCH(#REF!,Tabla11[[#This Row],[Cuenta]],1))</f>
        <v>0</v>
      </c>
      <c r="W267" t="b">
        <f>+ISNUMBER(SEARCH('F-COMPRA'!#REF!,Tabla11[[#This Row],[Cuenta]],1))</f>
        <v>0</v>
      </c>
      <c r="X267" t="b">
        <f>+ISNUMBER(SEARCH('F-COMPRA'!#REF!,Tabla11[[#This Row],[Cuenta]],1))</f>
        <v>0</v>
      </c>
      <c r="Y267" t="b">
        <f>+ISNUMBER(SEARCH('F-COMPRA'!#REF!,Tabla11[[#This Row],[Cuenta]],1))</f>
        <v>0</v>
      </c>
      <c r="Z267" t="b">
        <f>+ISNUMBER(SEARCH('F-COMPRA'!#REF!,Tabla11[[#This Row],[Cuenta]],1))</f>
        <v>0</v>
      </c>
      <c r="AA267" t="b">
        <f>+ISNUMBER(SEARCH('F-COMPRA'!#REF!,Tabla11[[#This Row],[Cuenta]],1))</f>
        <v>0</v>
      </c>
      <c r="AB267" t="b">
        <f>+ISNUMBER(SEARCH('F-COMPRA'!#REF!,Tabla11[[#This Row],[Cuenta]],1))</f>
        <v>0</v>
      </c>
      <c r="AC267" t="b">
        <f>+ISNUMBER(SEARCH('F-COMPRA'!#REF!,Tabla11[[#This Row],[Cuenta]],1))</f>
        <v>0</v>
      </c>
      <c r="AD267" t="b">
        <f>+ISNUMBER(SEARCH('F-COMPRA'!#REF!,Tabla11[[#This Row],[Cuenta]],1))</f>
        <v>0</v>
      </c>
      <c r="AE267" t="b">
        <f>+ISNUMBER(SEARCH('F-COMPRA'!#REF!,Tabla11[[#This Row],[Cuenta]],1))</f>
        <v>0</v>
      </c>
      <c r="AF267" t="b">
        <f>+ISNUMBER(SEARCH('F-VTA'!$G$23,Tabla11[[#This Row],[Cuenta]],1))</f>
        <v>0</v>
      </c>
      <c r="AG267" t="b">
        <f>+ISNUMBER(SEARCH('F-VTA'!$G$24,Tabla11[[#This Row],[Cuenta]],1))</f>
        <v>0</v>
      </c>
      <c r="AH267" t="b">
        <f>+ISNUMBER(SEARCH('F-VTA'!$G$25,Tabla11[[#This Row],[Cuenta]],1))</f>
        <v>0</v>
      </c>
      <c r="AI267" t="b">
        <f>+ISNUMBER(SEARCH('F-VTA'!$F$28,Tabla11[[#This Row],[Cuenta]],1))</f>
        <v>1</v>
      </c>
      <c r="AJ267" t="b">
        <f>+ISNUMBER(SEARCH('F-VTA'!$F$29,Tabla11[[#This Row],[Cuenta]],1))</f>
        <v>1</v>
      </c>
      <c r="AK267" t="b">
        <f>+ISNUMBER(SEARCH('F-VTA'!$F$30,Tabla11[[#This Row],[Cuenta]],1))</f>
        <v>1</v>
      </c>
      <c r="AL267" t="b">
        <f>+ISNUMBER(SEARCH('F-VTA'!$F$31,Tabla11[[#This Row],[Cuenta]],1))</f>
        <v>1</v>
      </c>
      <c r="AM267" t="b">
        <f>+ISNUMBER(SEARCH('F-VTA'!$F$32,Tabla11[[#This Row],[Cuenta]],1))</f>
        <v>1</v>
      </c>
      <c r="AN267" t="b">
        <f>+ISNUMBER(SEARCH('F-VTA'!$F$33,Tabla11[[#This Row],[Cuenta]],1))</f>
        <v>1</v>
      </c>
      <c r="AO267" t="b">
        <f>+ISNUMBER(SEARCH('F-VTA'!$F$34,Tabla11[[#This Row],[Cuenta]],1))</f>
        <v>1</v>
      </c>
      <c r="AP267" t="b">
        <f>+ISNUMBER(SEARCH('F-VTA'!$F$35,Tabla11[[#This Row],[Cuenta]],1))</f>
        <v>1</v>
      </c>
      <c r="AQ267" t="b">
        <f>+ISNUMBER(SEARCH('F-VTA'!$F$36,Tabla11[[#This Row],[Cuenta]],1))</f>
        <v>1</v>
      </c>
      <c r="AR267" t="b">
        <f>+ISNUMBER(SEARCH(#REF!,Tabla11[[#This Row],[Cuenta]],1))</f>
        <v>0</v>
      </c>
      <c r="AS267" t="b">
        <f>+ISNUMBER(SEARCH(#REF!,Tabla11[[#This Row],[Cuenta]],1))</f>
        <v>0</v>
      </c>
      <c r="AT267" t="b">
        <f>+ISNUMBER(SEARCH(#REF!,Tabla11[[#This Row],[Cuenta]],1))</f>
        <v>0</v>
      </c>
      <c r="AU267" t="b">
        <f>+ISNUMBER(SEARCH('Conc. Ban.1'!$I$9,Tabla11[[#This Row],[Cuenta]],1))</f>
        <v>0</v>
      </c>
      <c r="AV267" t="b">
        <f>+ISNUMBER(SEARCH(CompConta!$F$21,Tabla11[[#This Row],[Cuenta]],1))</f>
        <v>1</v>
      </c>
      <c r="AW267" t="b">
        <f>+ISNUMBER(SEARCH(CompConta!$F$22,Tabla11[[#This Row],[Cuenta]],1))</f>
        <v>1</v>
      </c>
      <c r="AX267" t="b">
        <f>+ISNUMBER(SEARCH(CompConta!$F$23,Tabla11[[#This Row],[Cuenta]],1))</f>
        <v>1</v>
      </c>
      <c r="AY267" t="b">
        <f>+ISNUMBER(SEARCH(CompConta!$F$24,Tabla11[[#This Row],[Cuenta]],1))</f>
        <v>1</v>
      </c>
      <c r="AZ267" t="b">
        <f>+ISNUMBER(SEARCH(CompConta!$F$25,Tabla11[[#This Row],[Cuenta]],1))</f>
        <v>1</v>
      </c>
      <c r="BA267" t="b">
        <f>+ISNUMBER(SEARCH(CompConta!$F$26,Tabla11[[#This Row],[Cuenta]],1))</f>
        <v>1</v>
      </c>
      <c r="BB267" t="b">
        <f>+ISNUMBER(SEARCH(CompConta!$F$27,Tabla11[[#This Row],[Cuenta]],1))</f>
        <v>1</v>
      </c>
      <c r="BC267" t="b">
        <f>+ISNUMBER(SEARCH(CompConta!$F$28,Tabla11[[#This Row],[Cuenta]],1))</f>
        <v>1</v>
      </c>
      <c r="BD267" t="b">
        <f>+ISNUMBER(SEARCH(CompConta!$F$29,Tabla11[[#This Row],[Cuenta]],1))</f>
        <v>1</v>
      </c>
      <c r="BE267" t="b">
        <f>+ISNUMBER(SEARCH(CompConta!$F$30,Tabla11[[#This Row],[Cuenta]],1))</f>
        <v>1</v>
      </c>
      <c r="BF267" t="b">
        <f>+ISNUMBER(SEARCH('PAGO Compras'!$E$11,Tabla11[[#This Row],[Cuenta]],1))</f>
        <v>1</v>
      </c>
      <c r="BG267" t="b">
        <f>+ISNUMBER(SEARCH(#REF!,Tabla11[[#This Row],[Cuenta]],1))</f>
        <v>0</v>
      </c>
      <c r="BH267" t="b">
        <f>+ISNUMBER(SEARCH(#REF!,Tabla11[[#This Row],[Cuenta]],1))</f>
        <v>0</v>
      </c>
      <c r="BI267" t="b">
        <f>+ISNUMBER(SEARCH(#REF!,Tabla11[[#This Row],[Cuenta]],1))</f>
        <v>0</v>
      </c>
      <c r="BJ267" t="b">
        <f>+ISNUMBER(SEARCH(#REF!,Tabla11[[#This Row],[Cuenta]],1))</f>
        <v>0</v>
      </c>
      <c r="BS267" t="str">
        <v>159944 Flota y equipo fluvial y/o marítimo</v>
      </c>
      <c r="BT267" t="str">
        <v>159944 Flota y equipo fluvial y/o marítimo</v>
      </c>
      <c r="BU267" t="str">
        <v>159944 Flota y equipo fluvial y/o marítimo</v>
      </c>
      <c r="BV267" t="str">
        <v>159944 Flota y equipo fluvial y/o marítimo</v>
      </c>
      <c r="BZ267" t="str">
        <v>159944 Flota y equipo fluvial y/o marítimo</v>
      </c>
      <c r="CA267" t="str">
        <v>159944 Flota y equipo fluvial y/o marítimo</v>
      </c>
      <c r="CB267" t="str">
        <v>159944 Flota y equipo fluvial y/o marítimo</v>
      </c>
      <c r="CC267" t="str">
        <v>159944 Flota y equipo fluvial y/o marítimo</v>
      </c>
      <c r="CD267" t="str">
        <v>159944 Flota y equipo fluvial y/o marítimo</v>
      </c>
      <c r="CE267" t="str">
        <v>159944 Flota y equipo fluvial y/o marítimo</v>
      </c>
      <c r="CS267" s="141" t="str">
        <v>159944 Flota y equipo fluvial y/o marítimo</v>
      </c>
      <c r="CT267" s="141" t="str">
        <v>159944 Flota y equipo fluvial y/o marítimo</v>
      </c>
      <c r="CU267" s="141" t="str">
        <v>159944 Flota y equipo fluvial y/o marítimo</v>
      </c>
      <c r="CV267" s="141" t="str">
        <v>159944 Flota y equipo fluvial y/o marítimo</v>
      </c>
      <c r="CW267" s="141" t="str">
        <v>159944 Flota y equipo fluvial y/o marítimo</v>
      </c>
      <c r="CX267" s="141" t="str">
        <v>159944 Flota y equipo fluvial y/o marítimo</v>
      </c>
      <c r="CY267" s="141" t="str">
        <v>159944 Flota y equipo fluvial y/o marítimo</v>
      </c>
      <c r="CZ267" s="141" t="str">
        <v>159944 Flota y equipo fluvial y/o marítimo</v>
      </c>
      <c r="DA267" s="141" t="str">
        <v>159944 Flota y equipo fluvial y/o marítimo</v>
      </c>
      <c r="DF267" t="str">
        <v>159944 Flota y equipo fluvial y/o marítimo</v>
      </c>
      <c r="DG267" t="str">
        <v>159944 Flota y equipo fluvial y/o marítimo</v>
      </c>
      <c r="DH267" t="str">
        <v>159944 Flota y equipo fluvial y/o marítimo</v>
      </c>
      <c r="DI267" t="str">
        <v>159944 Flota y equipo fluvial y/o marítimo</v>
      </c>
      <c r="DJ267" t="str">
        <v>159944 Flota y equipo fluvial y/o marítimo</v>
      </c>
      <c r="DK267" t="str">
        <v>159944 Flota y equipo fluvial y/o marítimo</v>
      </c>
      <c r="DL267" t="str">
        <v>159944 Flota y equipo fluvial y/o marítimo</v>
      </c>
      <c r="DM267" t="str">
        <v>159944 Flota y equipo fluvial y/o marítimo</v>
      </c>
      <c r="DN267" t="str">
        <v>159944 Flota y equipo fluvial y/o marítimo</v>
      </c>
      <c r="DO267" t="str">
        <v>159944 Flota y equipo fluvial y/o marítimo</v>
      </c>
      <c r="DP267" t="str">
        <v>159944 Flota y equipo fluvial y/o marítimo</v>
      </c>
    </row>
    <row r="268" spans="4:120" ht="12.75">
      <c r="D268" s="7">
        <v>159948</v>
      </c>
      <c r="E268" s="6" t="s">
        <v>135</v>
      </c>
      <c r="F268" s="5">
        <v>4</v>
      </c>
      <c r="G268" s="34" t="s">
        <v>822</v>
      </c>
      <c r="H268" s="8" t="s">
        <v>56</v>
      </c>
      <c r="I268" t="b">
        <f>+ISNUMBER(SEARCH('F-COMPRA'!$F$28,Tabla11[[#This Row],[Cuenta]],1))</f>
        <v>1</v>
      </c>
      <c r="J268" t="b">
        <f>+ISNUMBER(SEARCH('F-COMPRA'!$F$29,Tabla11[[#This Row],[Cuenta]],1))</f>
        <v>1</v>
      </c>
      <c r="K268" t="b">
        <f>+ISNUMBER(SEARCH('F-COMPRA'!$F$30,Tabla11[[#This Row],[Cuenta]],1))</f>
        <v>1</v>
      </c>
      <c r="L268" t="b">
        <f>+ISNUMBER(SEARCH('F-COMPRA'!$F$31,Tabla11[[#This Row],[Cuenta]],1))</f>
        <v>1</v>
      </c>
      <c r="M268" t="b">
        <f>+ISNUMBER(SEARCH('F-COMPRA'!$G$25,Tabla11[[#This Row],[Cuenta]],1))</f>
        <v>0</v>
      </c>
      <c r="N268" t="b">
        <f>+ISNUMBER(SEARCH(#REF!,Tabla11[[#This Row],[Cuenta]],1))</f>
        <v>0</v>
      </c>
      <c r="O268" t="b">
        <f>+ISNUMBER(SEARCH(#REF!,Tabla11[[#This Row],[Cuenta]],1))</f>
        <v>0</v>
      </c>
      <c r="P268" t="b">
        <f>+ISNUMBER(SEARCH('F-COMPRA'!$F$32,Tabla11[[#This Row],[Cuenta]],1))</f>
        <v>1</v>
      </c>
      <c r="Q268" t="b">
        <f>+ISNUMBER(SEARCH('F-COMPRA'!$F$33,Tabla11[[#This Row],[Cuenta]],1))</f>
        <v>1</v>
      </c>
      <c r="R268" t="b">
        <f>+ISNUMBER(SEARCH('F-COMPRA'!$F$34,Tabla11[[#This Row],[Cuenta]],1))</f>
        <v>1</v>
      </c>
      <c r="S268" t="b">
        <f>+ISNUMBER(SEARCH('F-COMPRA'!$F$35,Tabla11[[#This Row],[Cuenta]],1))</f>
        <v>1</v>
      </c>
      <c r="T268" t="b">
        <f>+ISNUMBER(SEARCH('F-COMPRA'!$F$36,Tabla11[[#This Row],[Cuenta]],1))</f>
        <v>1</v>
      </c>
      <c r="U268" t="b">
        <f>+ISNUMBER(SEARCH('F-COMPRA'!$F$37,Tabla11[[#This Row],[Cuenta]],1))</f>
        <v>1</v>
      </c>
      <c r="V268" t="b">
        <f>+ISNUMBER(SEARCH(#REF!,Tabla11[[#This Row],[Cuenta]],1))</f>
        <v>0</v>
      </c>
      <c r="W268" t="b">
        <f>+ISNUMBER(SEARCH('F-COMPRA'!#REF!,Tabla11[[#This Row],[Cuenta]],1))</f>
        <v>0</v>
      </c>
      <c r="X268" t="b">
        <f>+ISNUMBER(SEARCH('F-COMPRA'!#REF!,Tabla11[[#This Row],[Cuenta]],1))</f>
        <v>0</v>
      </c>
      <c r="Y268" t="b">
        <f>+ISNUMBER(SEARCH('F-COMPRA'!#REF!,Tabla11[[#This Row],[Cuenta]],1))</f>
        <v>0</v>
      </c>
      <c r="Z268" t="b">
        <f>+ISNUMBER(SEARCH('F-COMPRA'!#REF!,Tabla11[[#This Row],[Cuenta]],1))</f>
        <v>0</v>
      </c>
      <c r="AA268" t="b">
        <f>+ISNUMBER(SEARCH('F-COMPRA'!#REF!,Tabla11[[#This Row],[Cuenta]],1))</f>
        <v>0</v>
      </c>
      <c r="AB268" t="b">
        <f>+ISNUMBER(SEARCH('F-COMPRA'!#REF!,Tabla11[[#This Row],[Cuenta]],1))</f>
        <v>0</v>
      </c>
      <c r="AC268" t="b">
        <f>+ISNUMBER(SEARCH('F-COMPRA'!#REF!,Tabla11[[#This Row],[Cuenta]],1))</f>
        <v>0</v>
      </c>
      <c r="AD268" t="b">
        <f>+ISNUMBER(SEARCH('F-COMPRA'!#REF!,Tabla11[[#This Row],[Cuenta]],1))</f>
        <v>0</v>
      </c>
      <c r="AE268" t="b">
        <f>+ISNUMBER(SEARCH('F-COMPRA'!#REF!,Tabla11[[#This Row],[Cuenta]],1))</f>
        <v>0</v>
      </c>
      <c r="AF268" t="b">
        <f>+ISNUMBER(SEARCH('F-VTA'!$G$23,Tabla11[[#This Row],[Cuenta]],1))</f>
        <v>0</v>
      </c>
      <c r="AG268" t="b">
        <f>+ISNUMBER(SEARCH('F-VTA'!$G$24,Tabla11[[#This Row],[Cuenta]],1))</f>
        <v>0</v>
      </c>
      <c r="AH268" t="b">
        <f>+ISNUMBER(SEARCH('F-VTA'!$G$25,Tabla11[[#This Row],[Cuenta]],1))</f>
        <v>0</v>
      </c>
      <c r="AI268" t="b">
        <f>+ISNUMBER(SEARCH('F-VTA'!$F$28,Tabla11[[#This Row],[Cuenta]],1))</f>
        <v>1</v>
      </c>
      <c r="AJ268" t="b">
        <f>+ISNUMBER(SEARCH('F-VTA'!$F$29,Tabla11[[#This Row],[Cuenta]],1))</f>
        <v>1</v>
      </c>
      <c r="AK268" t="b">
        <f>+ISNUMBER(SEARCH('F-VTA'!$F$30,Tabla11[[#This Row],[Cuenta]],1))</f>
        <v>1</v>
      </c>
      <c r="AL268" t="b">
        <f>+ISNUMBER(SEARCH('F-VTA'!$F$31,Tabla11[[#This Row],[Cuenta]],1))</f>
        <v>1</v>
      </c>
      <c r="AM268" t="b">
        <f>+ISNUMBER(SEARCH('F-VTA'!$F$32,Tabla11[[#This Row],[Cuenta]],1))</f>
        <v>1</v>
      </c>
      <c r="AN268" t="b">
        <f>+ISNUMBER(SEARCH('F-VTA'!$F$33,Tabla11[[#This Row],[Cuenta]],1))</f>
        <v>1</v>
      </c>
      <c r="AO268" t="b">
        <f>+ISNUMBER(SEARCH('F-VTA'!$F$34,Tabla11[[#This Row],[Cuenta]],1))</f>
        <v>1</v>
      </c>
      <c r="AP268" t="b">
        <f>+ISNUMBER(SEARCH('F-VTA'!$F$35,Tabla11[[#This Row],[Cuenta]],1))</f>
        <v>1</v>
      </c>
      <c r="AQ268" t="b">
        <f>+ISNUMBER(SEARCH('F-VTA'!$F$36,Tabla11[[#This Row],[Cuenta]],1))</f>
        <v>1</v>
      </c>
      <c r="AR268" t="b">
        <f>+ISNUMBER(SEARCH(#REF!,Tabla11[[#This Row],[Cuenta]],1))</f>
        <v>0</v>
      </c>
      <c r="AS268" t="b">
        <f>+ISNUMBER(SEARCH(#REF!,Tabla11[[#This Row],[Cuenta]],1))</f>
        <v>0</v>
      </c>
      <c r="AT268" t="b">
        <f>+ISNUMBER(SEARCH(#REF!,Tabla11[[#This Row],[Cuenta]],1))</f>
        <v>0</v>
      </c>
      <c r="AU268" t="b">
        <f>+ISNUMBER(SEARCH('Conc. Ban.1'!$I$9,Tabla11[[#This Row],[Cuenta]],1))</f>
        <v>0</v>
      </c>
      <c r="AV268" t="b">
        <f>+ISNUMBER(SEARCH(CompConta!$F$21,Tabla11[[#This Row],[Cuenta]],1))</f>
        <v>1</v>
      </c>
      <c r="AW268" t="b">
        <f>+ISNUMBER(SEARCH(CompConta!$F$22,Tabla11[[#This Row],[Cuenta]],1))</f>
        <v>1</v>
      </c>
      <c r="AX268" t="b">
        <f>+ISNUMBER(SEARCH(CompConta!$F$23,Tabla11[[#This Row],[Cuenta]],1))</f>
        <v>1</v>
      </c>
      <c r="AY268" t="b">
        <f>+ISNUMBER(SEARCH(CompConta!$F$24,Tabla11[[#This Row],[Cuenta]],1))</f>
        <v>1</v>
      </c>
      <c r="AZ268" t="b">
        <f>+ISNUMBER(SEARCH(CompConta!$F$25,Tabla11[[#This Row],[Cuenta]],1))</f>
        <v>1</v>
      </c>
      <c r="BA268" t="b">
        <f>+ISNUMBER(SEARCH(CompConta!$F$26,Tabla11[[#This Row],[Cuenta]],1))</f>
        <v>1</v>
      </c>
      <c r="BB268" t="b">
        <f>+ISNUMBER(SEARCH(CompConta!$F$27,Tabla11[[#This Row],[Cuenta]],1))</f>
        <v>1</v>
      </c>
      <c r="BC268" t="b">
        <f>+ISNUMBER(SEARCH(CompConta!$F$28,Tabla11[[#This Row],[Cuenta]],1))</f>
        <v>1</v>
      </c>
      <c r="BD268" t="b">
        <f>+ISNUMBER(SEARCH(CompConta!$F$29,Tabla11[[#This Row],[Cuenta]],1))</f>
        <v>1</v>
      </c>
      <c r="BE268" t="b">
        <f>+ISNUMBER(SEARCH(CompConta!$F$30,Tabla11[[#This Row],[Cuenta]],1))</f>
        <v>1</v>
      </c>
      <c r="BF268" t="b">
        <f>+ISNUMBER(SEARCH('PAGO Compras'!$E$11,Tabla11[[#This Row],[Cuenta]],1))</f>
        <v>1</v>
      </c>
      <c r="BG268" t="b">
        <f>+ISNUMBER(SEARCH(#REF!,Tabla11[[#This Row],[Cuenta]],1))</f>
        <v>0</v>
      </c>
      <c r="BH268" t="b">
        <f>+ISNUMBER(SEARCH(#REF!,Tabla11[[#This Row],[Cuenta]],1))</f>
        <v>0</v>
      </c>
      <c r="BI268" t="b">
        <f>+ISNUMBER(SEARCH(#REF!,Tabla11[[#This Row],[Cuenta]],1))</f>
        <v>0</v>
      </c>
      <c r="BJ268" t="b">
        <f>+ISNUMBER(SEARCH(#REF!,Tabla11[[#This Row],[Cuenta]],1))</f>
        <v>0</v>
      </c>
      <c r="BS268" t="str">
        <v>159948 Flota y equipo aéreo</v>
      </c>
      <c r="BT268" t="str">
        <v>159948 Flota y equipo aéreo</v>
      </c>
      <c r="BU268" t="str">
        <v>159948 Flota y equipo aéreo</v>
      </c>
      <c r="BV268" t="str">
        <v>159948 Flota y equipo aéreo</v>
      </c>
      <c r="BZ268" t="str">
        <v>159948 Flota y equipo aéreo</v>
      </c>
      <c r="CA268" t="str">
        <v>159948 Flota y equipo aéreo</v>
      </c>
      <c r="CB268" t="str">
        <v>159948 Flota y equipo aéreo</v>
      </c>
      <c r="CC268" t="str">
        <v>159948 Flota y equipo aéreo</v>
      </c>
      <c r="CD268" t="str">
        <v>159948 Flota y equipo aéreo</v>
      </c>
      <c r="CE268" t="str">
        <v>159948 Flota y equipo aéreo</v>
      </c>
      <c r="CS268" s="141" t="str">
        <v>159948 Flota y equipo aéreo</v>
      </c>
      <c r="CT268" s="141" t="str">
        <v>159948 Flota y equipo aéreo</v>
      </c>
      <c r="CU268" s="141" t="str">
        <v>159948 Flota y equipo aéreo</v>
      </c>
      <c r="CV268" s="141" t="str">
        <v>159948 Flota y equipo aéreo</v>
      </c>
      <c r="CW268" s="141" t="str">
        <v>159948 Flota y equipo aéreo</v>
      </c>
      <c r="CX268" s="141" t="str">
        <v>159948 Flota y equipo aéreo</v>
      </c>
      <c r="CY268" s="141" t="str">
        <v>159948 Flota y equipo aéreo</v>
      </c>
      <c r="CZ268" s="141" t="str">
        <v>159948 Flota y equipo aéreo</v>
      </c>
      <c r="DA268" s="141" t="str">
        <v>159948 Flota y equipo aéreo</v>
      </c>
      <c r="DF268" t="str">
        <v>159948 Flota y equipo aéreo</v>
      </c>
      <c r="DG268" t="str">
        <v>159948 Flota y equipo aéreo</v>
      </c>
      <c r="DH268" t="str">
        <v>159948 Flota y equipo aéreo</v>
      </c>
      <c r="DI268" t="str">
        <v>159948 Flota y equipo aéreo</v>
      </c>
      <c r="DJ268" t="str">
        <v>159948 Flota y equipo aéreo</v>
      </c>
      <c r="DK268" t="str">
        <v>159948 Flota y equipo aéreo</v>
      </c>
      <c r="DL268" t="str">
        <v>159948 Flota y equipo aéreo</v>
      </c>
      <c r="DM268" t="str">
        <v>159948 Flota y equipo aéreo</v>
      </c>
      <c r="DN268" t="str">
        <v>159948 Flota y equipo aéreo</v>
      </c>
      <c r="DO268" t="str">
        <v>159948 Flota y equipo aéreo</v>
      </c>
      <c r="DP268" t="str">
        <v>159948 Flota y equipo aéreo</v>
      </c>
    </row>
    <row r="269" spans="4:120" ht="12.75">
      <c r="D269" s="7">
        <v>159952</v>
      </c>
      <c r="E269" s="6" t="s">
        <v>136</v>
      </c>
      <c r="F269" s="5">
        <v>4</v>
      </c>
      <c r="G269" s="34" t="s">
        <v>822</v>
      </c>
      <c r="H269" s="8" t="s">
        <v>56</v>
      </c>
      <c r="I269" t="b">
        <f>+ISNUMBER(SEARCH('F-COMPRA'!$F$28,Tabla11[[#This Row],[Cuenta]],1))</f>
        <v>1</v>
      </c>
      <c r="J269" t="b">
        <f>+ISNUMBER(SEARCH('F-COMPRA'!$F$29,Tabla11[[#This Row],[Cuenta]],1))</f>
        <v>1</v>
      </c>
      <c r="K269" t="b">
        <f>+ISNUMBER(SEARCH('F-COMPRA'!$F$30,Tabla11[[#This Row],[Cuenta]],1))</f>
        <v>1</v>
      </c>
      <c r="L269" t="b">
        <f>+ISNUMBER(SEARCH('F-COMPRA'!$F$31,Tabla11[[#This Row],[Cuenta]],1))</f>
        <v>1</v>
      </c>
      <c r="M269" t="b">
        <f>+ISNUMBER(SEARCH('F-COMPRA'!$G$25,Tabla11[[#This Row],[Cuenta]],1))</f>
        <v>0</v>
      </c>
      <c r="N269" t="b">
        <f>+ISNUMBER(SEARCH(#REF!,Tabla11[[#This Row],[Cuenta]],1))</f>
        <v>0</v>
      </c>
      <c r="O269" t="b">
        <f>+ISNUMBER(SEARCH(#REF!,Tabla11[[#This Row],[Cuenta]],1))</f>
        <v>0</v>
      </c>
      <c r="P269" t="b">
        <f>+ISNUMBER(SEARCH('F-COMPRA'!$F$32,Tabla11[[#This Row],[Cuenta]],1))</f>
        <v>1</v>
      </c>
      <c r="Q269" t="b">
        <f>+ISNUMBER(SEARCH('F-COMPRA'!$F$33,Tabla11[[#This Row],[Cuenta]],1))</f>
        <v>1</v>
      </c>
      <c r="R269" t="b">
        <f>+ISNUMBER(SEARCH('F-COMPRA'!$F$34,Tabla11[[#This Row],[Cuenta]],1))</f>
        <v>1</v>
      </c>
      <c r="S269" t="b">
        <f>+ISNUMBER(SEARCH('F-COMPRA'!$F$35,Tabla11[[#This Row],[Cuenta]],1))</f>
        <v>1</v>
      </c>
      <c r="T269" t="b">
        <f>+ISNUMBER(SEARCH('F-COMPRA'!$F$36,Tabla11[[#This Row],[Cuenta]],1))</f>
        <v>1</v>
      </c>
      <c r="U269" t="b">
        <f>+ISNUMBER(SEARCH('F-COMPRA'!$F$37,Tabla11[[#This Row],[Cuenta]],1))</f>
        <v>1</v>
      </c>
      <c r="V269" t="b">
        <f>+ISNUMBER(SEARCH(#REF!,Tabla11[[#This Row],[Cuenta]],1))</f>
        <v>0</v>
      </c>
      <c r="W269" t="b">
        <f>+ISNUMBER(SEARCH('F-COMPRA'!#REF!,Tabla11[[#This Row],[Cuenta]],1))</f>
        <v>0</v>
      </c>
      <c r="X269" t="b">
        <f>+ISNUMBER(SEARCH('F-COMPRA'!#REF!,Tabla11[[#This Row],[Cuenta]],1))</f>
        <v>0</v>
      </c>
      <c r="Y269" t="b">
        <f>+ISNUMBER(SEARCH('F-COMPRA'!#REF!,Tabla11[[#This Row],[Cuenta]],1))</f>
        <v>0</v>
      </c>
      <c r="Z269" t="b">
        <f>+ISNUMBER(SEARCH('F-COMPRA'!#REF!,Tabla11[[#This Row],[Cuenta]],1))</f>
        <v>0</v>
      </c>
      <c r="AA269" t="b">
        <f>+ISNUMBER(SEARCH('F-COMPRA'!#REF!,Tabla11[[#This Row],[Cuenta]],1))</f>
        <v>0</v>
      </c>
      <c r="AB269" t="b">
        <f>+ISNUMBER(SEARCH('F-COMPRA'!#REF!,Tabla11[[#This Row],[Cuenta]],1))</f>
        <v>0</v>
      </c>
      <c r="AC269" t="b">
        <f>+ISNUMBER(SEARCH('F-COMPRA'!#REF!,Tabla11[[#This Row],[Cuenta]],1))</f>
        <v>0</v>
      </c>
      <c r="AD269" t="b">
        <f>+ISNUMBER(SEARCH('F-COMPRA'!#REF!,Tabla11[[#This Row],[Cuenta]],1))</f>
        <v>0</v>
      </c>
      <c r="AE269" t="b">
        <f>+ISNUMBER(SEARCH('F-COMPRA'!#REF!,Tabla11[[#This Row],[Cuenta]],1))</f>
        <v>0</v>
      </c>
      <c r="AF269" t="b">
        <f>+ISNUMBER(SEARCH('F-VTA'!$G$23,Tabla11[[#This Row],[Cuenta]],1))</f>
        <v>0</v>
      </c>
      <c r="AG269" t="b">
        <f>+ISNUMBER(SEARCH('F-VTA'!$G$24,Tabla11[[#This Row],[Cuenta]],1))</f>
        <v>0</v>
      </c>
      <c r="AH269" t="b">
        <f>+ISNUMBER(SEARCH('F-VTA'!$G$25,Tabla11[[#This Row],[Cuenta]],1))</f>
        <v>0</v>
      </c>
      <c r="AI269" t="b">
        <f>+ISNUMBER(SEARCH('F-VTA'!$F$28,Tabla11[[#This Row],[Cuenta]],1))</f>
        <v>1</v>
      </c>
      <c r="AJ269" t="b">
        <f>+ISNUMBER(SEARCH('F-VTA'!$F$29,Tabla11[[#This Row],[Cuenta]],1))</f>
        <v>1</v>
      </c>
      <c r="AK269" t="b">
        <f>+ISNUMBER(SEARCH('F-VTA'!$F$30,Tabla11[[#This Row],[Cuenta]],1))</f>
        <v>1</v>
      </c>
      <c r="AL269" t="b">
        <f>+ISNUMBER(SEARCH('F-VTA'!$F$31,Tabla11[[#This Row],[Cuenta]],1))</f>
        <v>1</v>
      </c>
      <c r="AM269" t="b">
        <f>+ISNUMBER(SEARCH('F-VTA'!$F$32,Tabla11[[#This Row],[Cuenta]],1))</f>
        <v>1</v>
      </c>
      <c r="AN269" t="b">
        <f>+ISNUMBER(SEARCH('F-VTA'!$F$33,Tabla11[[#This Row],[Cuenta]],1))</f>
        <v>1</v>
      </c>
      <c r="AO269" t="b">
        <f>+ISNUMBER(SEARCH('F-VTA'!$F$34,Tabla11[[#This Row],[Cuenta]],1))</f>
        <v>1</v>
      </c>
      <c r="AP269" t="b">
        <f>+ISNUMBER(SEARCH('F-VTA'!$F$35,Tabla11[[#This Row],[Cuenta]],1))</f>
        <v>1</v>
      </c>
      <c r="AQ269" t="b">
        <f>+ISNUMBER(SEARCH('F-VTA'!$F$36,Tabla11[[#This Row],[Cuenta]],1))</f>
        <v>1</v>
      </c>
      <c r="AR269" t="b">
        <f>+ISNUMBER(SEARCH(#REF!,Tabla11[[#This Row],[Cuenta]],1))</f>
        <v>0</v>
      </c>
      <c r="AS269" t="b">
        <f>+ISNUMBER(SEARCH(#REF!,Tabla11[[#This Row],[Cuenta]],1))</f>
        <v>0</v>
      </c>
      <c r="AT269" t="b">
        <f>+ISNUMBER(SEARCH(#REF!,Tabla11[[#This Row],[Cuenta]],1))</f>
        <v>0</v>
      </c>
      <c r="AU269" t="b">
        <f>+ISNUMBER(SEARCH('Conc. Ban.1'!$I$9,Tabla11[[#This Row],[Cuenta]],1))</f>
        <v>0</v>
      </c>
      <c r="AV269" t="b">
        <f>+ISNUMBER(SEARCH(CompConta!$F$21,Tabla11[[#This Row],[Cuenta]],1))</f>
        <v>1</v>
      </c>
      <c r="AW269" t="b">
        <f>+ISNUMBER(SEARCH(CompConta!$F$22,Tabla11[[#This Row],[Cuenta]],1))</f>
        <v>1</v>
      </c>
      <c r="AX269" t="b">
        <f>+ISNUMBER(SEARCH(CompConta!$F$23,Tabla11[[#This Row],[Cuenta]],1))</f>
        <v>1</v>
      </c>
      <c r="AY269" t="b">
        <f>+ISNUMBER(SEARCH(CompConta!$F$24,Tabla11[[#This Row],[Cuenta]],1))</f>
        <v>1</v>
      </c>
      <c r="AZ269" t="b">
        <f>+ISNUMBER(SEARCH(CompConta!$F$25,Tabla11[[#This Row],[Cuenta]],1))</f>
        <v>1</v>
      </c>
      <c r="BA269" t="b">
        <f>+ISNUMBER(SEARCH(CompConta!$F$26,Tabla11[[#This Row],[Cuenta]],1))</f>
        <v>1</v>
      </c>
      <c r="BB269" t="b">
        <f>+ISNUMBER(SEARCH(CompConta!$F$27,Tabla11[[#This Row],[Cuenta]],1))</f>
        <v>1</v>
      </c>
      <c r="BC269" t="b">
        <f>+ISNUMBER(SEARCH(CompConta!$F$28,Tabla11[[#This Row],[Cuenta]],1))</f>
        <v>1</v>
      </c>
      <c r="BD269" t="b">
        <f>+ISNUMBER(SEARCH(CompConta!$F$29,Tabla11[[#This Row],[Cuenta]],1))</f>
        <v>1</v>
      </c>
      <c r="BE269" t="b">
        <f>+ISNUMBER(SEARCH(CompConta!$F$30,Tabla11[[#This Row],[Cuenta]],1))</f>
        <v>1</v>
      </c>
      <c r="BF269" t="b">
        <f>+ISNUMBER(SEARCH('PAGO Compras'!$E$11,Tabla11[[#This Row],[Cuenta]],1))</f>
        <v>1</v>
      </c>
      <c r="BG269" t="b">
        <f>+ISNUMBER(SEARCH(#REF!,Tabla11[[#This Row],[Cuenta]],1))</f>
        <v>0</v>
      </c>
      <c r="BH269" t="b">
        <f>+ISNUMBER(SEARCH(#REF!,Tabla11[[#This Row],[Cuenta]],1))</f>
        <v>0</v>
      </c>
      <c r="BI269" t="b">
        <f>+ISNUMBER(SEARCH(#REF!,Tabla11[[#This Row],[Cuenta]],1))</f>
        <v>0</v>
      </c>
      <c r="BJ269" t="b">
        <f>+ISNUMBER(SEARCH(#REF!,Tabla11[[#This Row],[Cuenta]],1))</f>
        <v>0</v>
      </c>
      <c r="BS269" t="str">
        <v>159952 Flota y equipo férreo</v>
      </c>
      <c r="BT269" t="str">
        <v>159952 Flota y equipo férreo</v>
      </c>
      <c r="BU269" t="str">
        <v>159952 Flota y equipo férreo</v>
      </c>
      <c r="BV269" t="str">
        <v>159952 Flota y equipo férreo</v>
      </c>
      <c r="BZ269" t="str">
        <v>159952 Flota y equipo férreo</v>
      </c>
      <c r="CA269" t="str">
        <v>159952 Flota y equipo férreo</v>
      </c>
      <c r="CB269" t="str">
        <v>159952 Flota y equipo férreo</v>
      </c>
      <c r="CC269" t="str">
        <v>159952 Flota y equipo férreo</v>
      </c>
      <c r="CD269" t="str">
        <v>159952 Flota y equipo férreo</v>
      </c>
      <c r="CE269" t="str">
        <v>159952 Flota y equipo férreo</v>
      </c>
      <c r="CS269" s="141" t="str">
        <v>159952 Flota y equipo férreo</v>
      </c>
      <c r="CT269" s="141" t="str">
        <v>159952 Flota y equipo férreo</v>
      </c>
      <c r="CU269" s="141" t="str">
        <v>159952 Flota y equipo férreo</v>
      </c>
      <c r="CV269" s="141" t="str">
        <v>159952 Flota y equipo férreo</v>
      </c>
      <c r="CW269" s="141" t="str">
        <v>159952 Flota y equipo férreo</v>
      </c>
      <c r="CX269" s="141" t="str">
        <v>159952 Flota y equipo férreo</v>
      </c>
      <c r="CY269" s="141" t="str">
        <v>159952 Flota y equipo férreo</v>
      </c>
      <c r="CZ269" s="141" t="str">
        <v>159952 Flota y equipo férreo</v>
      </c>
      <c r="DA269" s="141" t="str">
        <v>159952 Flota y equipo férreo</v>
      </c>
      <c r="DF269" t="str">
        <v>159952 Flota y equipo férreo</v>
      </c>
      <c r="DG269" t="str">
        <v>159952 Flota y equipo férreo</v>
      </c>
      <c r="DH269" t="str">
        <v>159952 Flota y equipo férreo</v>
      </c>
      <c r="DI269" t="str">
        <v>159952 Flota y equipo férreo</v>
      </c>
      <c r="DJ269" t="str">
        <v>159952 Flota y equipo férreo</v>
      </c>
      <c r="DK269" t="str">
        <v>159952 Flota y equipo férreo</v>
      </c>
      <c r="DL269" t="str">
        <v>159952 Flota y equipo férreo</v>
      </c>
      <c r="DM269" t="str">
        <v>159952 Flota y equipo férreo</v>
      </c>
      <c r="DN269" t="str">
        <v>159952 Flota y equipo férreo</v>
      </c>
      <c r="DO269" t="str">
        <v>159952 Flota y equipo férreo</v>
      </c>
      <c r="DP269" t="str">
        <v>159952 Flota y equipo férreo</v>
      </c>
    </row>
    <row r="270" spans="4:120" ht="12.75">
      <c r="D270" s="7">
        <v>159956</v>
      </c>
      <c r="E270" s="6" t="s">
        <v>122</v>
      </c>
      <c r="F270" s="5">
        <v>4</v>
      </c>
      <c r="G270" s="34" t="s">
        <v>822</v>
      </c>
      <c r="H270" s="8" t="s">
        <v>56</v>
      </c>
      <c r="I270" t="b">
        <f>+ISNUMBER(SEARCH('F-COMPRA'!$F$28,Tabla11[[#This Row],[Cuenta]],1))</f>
        <v>1</v>
      </c>
      <c r="J270" t="b">
        <f>+ISNUMBER(SEARCH('F-COMPRA'!$F$29,Tabla11[[#This Row],[Cuenta]],1))</f>
        <v>1</v>
      </c>
      <c r="K270" t="b">
        <f>+ISNUMBER(SEARCH('F-COMPRA'!$F$30,Tabla11[[#This Row],[Cuenta]],1))</f>
        <v>1</v>
      </c>
      <c r="L270" t="b">
        <f>+ISNUMBER(SEARCH('F-COMPRA'!$F$31,Tabla11[[#This Row],[Cuenta]],1))</f>
        <v>1</v>
      </c>
      <c r="M270" t="b">
        <f>+ISNUMBER(SEARCH('F-COMPRA'!$G$25,Tabla11[[#This Row],[Cuenta]],1))</f>
        <v>0</v>
      </c>
      <c r="N270" t="b">
        <f>+ISNUMBER(SEARCH(#REF!,Tabla11[[#This Row],[Cuenta]],1))</f>
        <v>0</v>
      </c>
      <c r="O270" t="b">
        <f>+ISNUMBER(SEARCH(#REF!,Tabla11[[#This Row],[Cuenta]],1))</f>
        <v>0</v>
      </c>
      <c r="P270" t="b">
        <f>+ISNUMBER(SEARCH('F-COMPRA'!$F$32,Tabla11[[#This Row],[Cuenta]],1))</f>
        <v>1</v>
      </c>
      <c r="Q270" t="b">
        <f>+ISNUMBER(SEARCH('F-COMPRA'!$F$33,Tabla11[[#This Row],[Cuenta]],1))</f>
        <v>1</v>
      </c>
      <c r="R270" t="b">
        <f>+ISNUMBER(SEARCH('F-COMPRA'!$F$34,Tabla11[[#This Row],[Cuenta]],1))</f>
        <v>1</v>
      </c>
      <c r="S270" t="b">
        <f>+ISNUMBER(SEARCH('F-COMPRA'!$F$35,Tabla11[[#This Row],[Cuenta]],1))</f>
        <v>1</v>
      </c>
      <c r="T270" t="b">
        <f>+ISNUMBER(SEARCH('F-COMPRA'!$F$36,Tabla11[[#This Row],[Cuenta]],1))</f>
        <v>1</v>
      </c>
      <c r="U270" t="b">
        <f>+ISNUMBER(SEARCH('F-COMPRA'!$F$37,Tabla11[[#This Row],[Cuenta]],1))</f>
        <v>1</v>
      </c>
      <c r="V270" t="b">
        <f>+ISNUMBER(SEARCH(#REF!,Tabla11[[#This Row],[Cuenta]],1))</f>
        <v>0</v>
      </c>
      <c r="W270" t="b">
        <f>+ISNUMBER(SEARCH('F-COMPRA'!#REF!,Tabla11[[#This Row],[Cuenta]],1))</f>
        <v>0</v>
      </c>
      <c r="X270" t="b">
        <f>+ISNUMBER(SEARCH('F-COMPRA'!#REF!,Tabla11[[#This Row],[Cuenta]],1))</f>
        <v>0</v>
      </c>
      <c r="Y270" t="b">
        <f>+ISNUMBER(SEARCH('F-COMPRA'!#REF!,Tabla11[[#This Row],[Cuenta]],1))</f>
        <v>0</v>
      </c>
      <c r="Z270" t="b">
        <f>+ISNUMBER(SEARCH('F-COMPRA'!#REF!,Tabla11[[#This Row],[Cuenta]],1))</f>
        <v>0</v>
      </c>
      <c r="AA270" t="b">
        <f>+ISNUMBER(SEARCH('F-COMPRA'!#REF!,Tabla11[[#This Row],[Cuenta]],1))</f>
        <v>0</v>
      </c>
      <c r="AB270" t="b">
        <f>+ISNUMBER(SEARCH('F-COMPRA'!#REF!,Tabla11[[#This Row],[Cuenta]],1))</f>
        <v>0</v>
      </c>
      <c r="AC270" t="b">
        <f>+ISNUMBER(SEARCH('F-COMPRA'!#REF!,Tabla11[[#This Row],[Cuenta]],1))</f>
        <v>0</v>
      </c>
      <c r="AD270" t="b">
        <f>+ISNUMBER(SEARCH('F-COMPRA'!#REF!,Tabla11[[#This Row],[Cuenta]],1))</f>
        <v>0</v>
      </c>
      <c r="AE270" t="b">
        <f>+ISNUMBER(SEARCH('F-COMPRA'!#REF!,Tabla11[[#This Row],[Cuenta]],1))</f>
        <v>0</v>
      </c>
      <c r="AF270" t="b">
        <f>+ISNUMBER(SEARCH('F-VTA'!$G$23,Tabla11[[#This Row],[Cuenta]],1))</f>
        <v>0</v>
      </c>
      <c r="AG270" t="b">
        <f>+ISNUMBER(SEARCH('F-VTA'!$G$24,Tabla11[[#This Row],[Cuenta]],1))</f>
        <v>0</v>
      </c>
      <c r="AH270" t="b">
        <f>+ISNUMBER(SEARCH('F-VTA'!$G$25,Tabla11[[#This Row],[Cuenta]],1))</f>
        <v>0</v>
      </c>
      <c r="AI270" t="b">
        <f>+ISNUMBER(SEARCH('F-VTA'!$F$28,Tabla11[[#This Row],[Cuenta]],1))</f>
        <v>1</v>
      </c>
      <c r="AJ270" t="b">
        <f>+ISNUMBER(SEARCH('F-VTA'!$F$29,Tabla11[[#This Row],[Cuenta]],1))</f>
        <v>1</v>
      </c>
      <c r="AK270" t="b">
        <f>+ISNUMBER(SEARCH('F-VTA'!$F$30,Tabla11[[#This Row],[Cuenta]],1))</f>
        <v>1</v>
      </c>
      <c r="AL270" t="b">
        <f>+ISNUMBER(SEARCH('F-VTA'!$F$31,Tabla11[[#This Row],[Cuenta]],1))</f>
        <v>1</v>
      </c>
      <c r="AM270" t="b">
        <f>+ISNUMBER(SEARCH('F-VTA'!$F$32,Tabla11[[#This Row],[Cuenta]],1))</f>
        <v>1</v>
      </c>
      <c r="AN270" t="b">
        <f>+ISNUMBER(SEARCH('F-VTA'!$F$33,Tabla11[[#This Row],[Cuenta]],1))</f>
        <v>1</v>
      </c>
      <c r="AO270" t="b">
        <f>+ISNUMBER(SEARCH('F-VTA'!$F$34,Tabla11[[#This Row],[Cuenta]],1))</f>
        <v>1</v>
      </c>
      <c r="AP270" t="b">
        <f>+ISNUMBER(SEARCH('F-VTA'!$F$35,Tabla11[[#This Row],[Cuenta]],1))</f>
        <v>1</v>
      </c>
      <c r="AQ270" t="b">
        <f>+ISNUMBER(SEARCH('F-VTA'!$F$36,Tabla11[[#This Row],[Cuenta]],1))</f>
        <v>1</v>
      </c>
      <c r="AR270" t="b">
        <f>+ISNUMBER(SEARCH(#REF!,Tabla11[[#This Row],[Cuenta]],1))</f>
        <v>0</v>
      </c>
      <c r="AS270" t="b">
        <f>+ISNUMBER(SEARCH(#REF!,Tabla11[[#This Row],[Cuenta]],1))</f>
        <v>0</v>
      </c>
      <c r="AT270" t="b">
        <f>+ISNUMBER(SEARCH(#REF!,Tabla11[[#This Row],[Cuenta]],1))</f>
        <v>0</v>
      </c>
      <c r="AU270" t="b">
        <f>+ISNUMBER(SEARCH('Conc. Ban.1'!$I$9,Tabla11[[#This Row],[Cuenta]],1))</f>
        <v>0</v>
      </c>
      <c r="AV270" t="b">
        <f>+ISNUMBER(SEARCH(CompConta!$F$21,Tabla11[[#This Row],[Cuenta]],1))</f>
        <v>1</v>
      </c>
      <c r="AW270" t="b">
        <f>+ISNUMBER(SEARCH(CompConta!$F$22,Tabla11[[#This Row],[Cuenta]],1))</f>
        <v>1</v>
      </c>
      <c r="AX270" t="b">
        <f>+ISNUMBER(SEARCH(CompConta!$F$23,Tabla11[[#This Row],[Cuenta]],1))</f>
        <v>1</v>
      </c>
      <c r="AY270" t="b">
        <f>+ISNUMBER(SEARCH(CompConta!$F$24,Tabla11[[#This Row],[Cuenta]],1))</f>
        <v>1</v>
      </c>
      <c r="AZ270" t="b">
        <f>+ISNUMBER(SEARCH(CompConta!$F$25,Tabla11[[#This Row],[Cuenta]],1))</f>
        <v>1</v>
      </c>
      <c r="BA270" t="b">
        <f>+ISNUMBER(SEARCH(CompConta!$F$26,Tabla11[[#This Row],[Cuenta]],1))</f>
        <v>1</v>
      </c>
      <c r="BB270" t="b">
        <f>+ISNUMBER(SEARCH(CompConta!$F$27,Tabla11[[#This Row],[Cuenta]],1))</f>
        <v>1</v>
      </c>
      <c r="BC270" t="b">
        <f>+ISNUMBER(SEARCH(CompConta!$F$28,Tabla11[[#This Row],[Cuenta]],1))</f>
        <v>1</v>
      </c>
      <c r="BD270" t="b">
        <f>+ISNUMBER(SEARCH(CompConta!$F$29,Tabla11[[#This Row],[Cuenta]],1))</f>
        <v>1</v>
      </c>
      <c r="BE270" t="b">
        <f>+ISNUMBER(SEARCH(CompConta!$F$30,Tabla11[[#This Row],[Cuenta]],1))</f>
        <v>1</v>
      </c>
      <c r="BF270" t="b">
        <f>+ISNUMBER(SEARCH('PAGO Compras'!$E$11,Tabla11[[#This Row],[Cuenta]],1))</f>
        <v>1</v>
      </c>
      <c r="BG270" t="b">
        <f>+ISNUMBER(SEARCH(#REF!,Tabla11[[#This Row],[Cuenta]],1))</f>
        <v>0</v>
      </c>
      <c r="BH270" t="b">
        <f>+ISNUMBER(SEARCH(#REF!,Tabla11[[#This Row],[Cuenta]],1))</f>
        <v>0</v>
      </c>
      <c r="BI270" t="b">
        <f>+ISNUMBER(SEARCH(#REF!,Tabla11[[#This Row],[Cuenta]],1))</f>
        <v>0</v>
      </c>
      <c r="BJ270" t="b">
        <f>+ISNUMBER(SEARCH(#REF!,Tabla11[[#This Row],[Cuenta]],1))</f>
        <v>0</v>
      </c>
      <c r="BS270" t="str">
        <v>159956 Acueductos, plantas y redes</v>
      </c>
      <c r="BT270" t="str">
        <v>159956 Acueductos, plantas y redes</v>
      </c>
      <c r="BU270" t="str">
        <v>159956 Acueductos, plantas y redes</v>
      </c>
      <c r="BV270" t="str">
        <v>159956 Acueductos, plantas y redes</v>
      </c>
      <c r="BZ270" t="str">
        <v>159956 Acueductos, plantas y redes</v>
      </c>
      <c r="CA270" t="str">
        <v>159956 Acueductos, plantas y redes</v>
      </c>
      <c r="CB270" t="str">
        <v>159956 Acueductos, plantas y redes</v>
      </c>
      <c r="CC270" t="str">
        <v>159956 Acueductos, plantas y redes</v>
      </c>
      <c r="CD270" t="str">
        <v>159956 Acueductos, plantas y redes</v>
      </c>
      <c r="CE270" t="str">
        <v>159956 Acueductos, plantas y redes</v>
      </c>
      <c r="CS270" s="141" t="str">
        <v>159956 Acueductos, plantas y redes</v>
      </c>
      <c r="CT270" s="141" t="str">
        <v>159956 Acueductos, plantas y redes</v>
      </c>
      <c r="CU270" s="141" t="str">
        <v>159956 Acueductos, plantas y redes</v>
      </c>
      <c r="CV270" s="141" t="str">
        <v>159956 Acueductos, plantas y redes</v>
      </c>
      <c r="CW270" s="141" t="str">
        <v>159956 Acueductos, plantas y redes</v>
      </c>
      <c r="CX270" s="141" t="str">
        <v>159956 Acueductos, plantas y redes</v>
      </c>
      <c r="CY270" s="141" t="str">
        <v>159956 Acueductos, plantas y redes</v>
      </c>
      <c r="CZ270" s="141" t="str">
        <v>159956 Acueductos, plantas y redes</v>
      </c>
      <c r="DA270" s="141" t="str">
        <v>159956 Acueductos, plantas y redes</v>
      </c>
      <c r="DF270" t="str">
        <v>159956 Acueductos, plantas y redes</v>
      </c>
      <c r="DG270" t="str">
        <v>159956 Acueductos, plantas y redes</v>
      </c>
      <c r="DH270" t="str">
        <v>159956 Acueductos, plantas y redes</v>
      </c>
      <c r="DI270" t="str">
        <v>159956 Acueductos, plantas y redes</v>
      </c>
      <c r="DJ270" t="str">
        <v>159956 Acueductos, plantas y redes</v>
      </c>
      <c r="DK270" t="str">
        <v>159956 Acueductos, plantas y redes</v>
      </c>
      <c r="DL270" t="str">
        <v>159956 Acueductos, plantas y redes</v>
      </c>
      <c r="DM270" t="str">
        <v>159956 Acueductos, plantas y redes</v>
      </c>
      <c r="DN270" t="str">
        <v>159956 Acueductos, plantas y redes</v>
      </c>
      <c r="DO270" t="str">
        <v>159956 Acueductos, plantas y redes</v>
      </c>
      <c r="DP270" t="str">
        <v>159956 Acueductos, plantas y redes</v>
      </c>
    </row>
    <row r="271" spans="4:120" ht="12.75">
      <c r="D271" s="7">
        <v>159962</v>
      </c>
      <c r="E271" s="6" t="s">
        <v>213</v>
      </c>
      <c r="F271" s="5">
        <v>4</v>
      </c>
      <c r="G271" s="34" t="s">
        <v>822</v>
      </c>
      <c r="H271" s="8" t="s">
        <v>56</v>
      </c>
      <c r="I271" t="b">
        <f>+ISNUMBER(SEARCH('F-COMPRA'!$F$28,Tabla11[[#This Row],[Cuenta]],1))</f>
        <v>1</v>
      </c>
      <c r="J271" t="b">
        <f>+ISNUMBER(SEARCH('F-COMPRA'!$F$29,Tabla11[[#This Row],[Cuenta]],1))</f>
        <v>1</v>
      </c>
      <c r="K271" t="b">
        <f>+ISNUMBER(SEARCH('F-COMPRA'!$F$30,Tabla11[[#This Row],[Cuenta]],1))</f>
        <v>1</v>
      </c>
      <c r="L271" t="b">
        <f>+ISNUMBER(SEARCH('F-COMPRA'!$F$31,Tabla11[[#This Row],[Cuenta]],1))</f>
        <v>1</v>
      </c>
      <c r="M271" t="b">
        <f>+ISNUMBER(SEARCH('F-COMPRA'!$G$25,Tabla11[[#This Row],[Cuenta]],1))</f>
        <v>0</v>
      </c>
      <c r="N271" t="b">
        <f>+ISNUMBER(SEARCH(#REF!,Tabla11[[#This Row],[Cuenta]],1))</f>
        <v>0</v>
      </c>
      <c r="O271" t="b">
        <f>+ISNUMBER(SEARCH(#REF!,Tabla11[[#This Row],[Cuenta]],1))</f>
        <v>0</v>
      </c>
      <c r="P271" t="b">
        <f>+ISNUMBER(SEARCH('F-COMPRA'!$F$32,Tabla11[[#This Row],[Cuenta]],1))</f>
        <v>1</v>
      </c>
      <c r="Q271" t="b">
        <f>+ISNUMBER(SEARCH('F-COMPRA'!$F$33,Tabla11[[#This Row],[Cuenta]],1))</f>
        <v>1</v>
      </c>
      <c r="R271" t="b">
        <f>+ISNUMBER(SEARCH('F-COMPRA'!$F$34,Tabla11[[#This Row],[Cuenta]],1))</f>
        <v>1</v>
      </c>
      <c r="S271" t="b">
        <f>+ISNUMBER(SEARCH('F-COMPRA'!$F$35,Tabla11[[#This Row],[Cuenta]],1))</f>
        <v>1</v>
      </c>
      <c r="T271" t="b">
        <f>+ISNUMBER(SEARCH('F-COMPRA'!$F$36,Tabla11[[#This Row],[Cuenta]],1))</f>
        <v>1</v>
      </c>
      <c r="U271" t="b">
        <f>+ISNUMBER(SEARCH('F-COMPRA'!$F$37,Tabla11[[#This Row],[Cuenta]],1))</f>
        <v>1</v>
      </c>
      <c r="V271" t="b">
        <f>+ISNUMBER(SEARCH(#REF!,Tabla11[[#This Row],[Cuenta]],1))</f>
        <v>0</v>
      </c>
      <c r="W271" t="b">
        <f>+ISNUMBER(SEARCH('F-COMPRA'!#REF!,Tabla11[[#This Row],[Cuenta]],1))</f>
        <v>0</v>
      </c>
      <c r="X271" t="b">
        <f>+ISNUMBER(SEARCH('F-COMPRA'!#REF!,Tabla11[[#This Row],[Cuenta]],1))</f>
        <v>0</v>
      </c>
      <c r="Y271" t="b">
        <f>+ISNUMBER(SEARCH('F-COMPRA'!#REF!,Tabla11[[#This Row],[Cuenta]],1))</f>
        <v>0</v>
      </c>
      <c r="Z271" t="b">
        <f>+ISNUMBER(SEARCH('F-COMPRA'!#REF!,Tabla11[[#This Row],[Cuenta]],1))</f>
        <v>0</v>
      </c>
      <c r="AA271" t="b">
        <f>+ISNUMBER(SEARCH('F-COMPRA'!#REF!,Tabla11[[#This Row],[Cuenta]],1))</f>
        <v>0</v>
      </c>
      <c r="AB271" t="b">
        <f>+ISNUMBER(SEARCH('F-COMPRA'!#REF!,Tabla11[[#This Row],[Cuenta]],1))</f>
        <v>0</v>
      </c>
      <c r="AC271" t="b">
        <f>+ISNUMBER(SEARCH('F-COMPRA'!#REF!,Tabla11[[#This Row],[Cuenta]],1))</f>
        <v>0</v>
      </c>
      <c r="AD271" t="b">
        <f>+ISNUMBER(SEARCH('F-COMPRA'!#REF!,Tabla11[[#This Row],[Cuenta]],1))</f>
        <v>0</v>
      </c>
      <c r="AE271" t="b">
        <f>+ISNUMBER(SEARCH('F-COMPRA'!#REF!,Tabla11[[#This Row],[Cuenta]],1))</f>
        <v>0</v>
      </c>
      <c r="AF271" t="b">
        <f>+ISNUMBER(SEARCH('F-VTA'!$G$23,Tabla11[[#This Row],[Cuenta]],1))</f>
        <v>0</v>
      </c>
      <c r="AG271" t="b">
        <f>+ISNUMBER(SEARCH('F-VTA'!$G$24,Tabla11[[#This Row],[Cuenta]],1))</f>
        <v>0</v>
      </c>
      <c r="AH271" t="b">
        <f>+ISNUMBER(SEARCH('F-VTA'!$G$25,Tabla11[[#This Row],[Cuenta]],1))</f>
        <v>0</v>
      </c>
      <c r="AI271" t="b">
        <f>+ISNUMBER(SEARCH('F-VTA'!$F$28,Tabla11[[#This Row],[Cuenta]],1))</f>
        <v>1</v>
      </c>
      <c r="AJ271" t="b">
        <f>+ISNUMBER(SEARCH('F-VTA'!$F$29,Tabla11[[#This Row],[Cuenta]],1))</f>
        <v>1</v>
      </c>
      <c r="AK271" t="b">
        <f>+ISNUMBER(SEARCH('F-VTA'!$F$30,Tabla11[[#This Row],[Cuenta]],1))</f>
        <v>1</v>
      </c>
      <c r="AL271" t="b">
        <f>+ISNUMBER(SEARCH('F-VTA'!$F$31,Tabla11[[#This Row],[Cuenta]],1))</f>
        <v>1</v>
      </c>
      <c r="AM271" t="b">
        <f>+ISNUMBER(SEARCH('F-VTA'!$F$32,Tabla11[[#This Row],[Cuenta]],1))</f>
        <v>1</v>
      </c>
      <c r="AN271" t="b">
        <f>+ISNUMBER(SEARCH('F-VTA'!$F$33,Tabla11[[#This Row],[Cuenta]],1))</f>
        <v>1</v>
      </c>
      <c r="AO271" t="b">
        <f>+ISNUMBER(SEARCH('F-VTA'!$F$34,Tabla11[[#This Row],[Cuenta]],1))</f>
        <v>1</v>
      </c>
      <c r="AP271" t="b">
        <f>+ISNUMBER(SEARCH('F-VTA'!$F$35,Tabla11[[#This Row],[Cuenta]],1))</f>
        <v>1</v>
      </c>
      <c r="AQ271" t="b">
        <f>+ISNUMBER(SEARCH('F-VTA'!$F$36,Tabla11[[#This Row],[Cuenta]],1))</f>
        <v>1</v>
      </c>
      <c r="AR271" t="b">
        <f>+ISNUMBER(SEARCH(#REF!,Tabla11[[#This Row],[Cuenta]],1))</f>
        <v>0</v>
      </c>
      <c r="AS271" t="b">
        <f>+ISNUMBER(SEARCH(#REF!,Tabla11[[#This Row],[Cuenta]],1))</f>
        <v>0</v>
      </c>
      <c r="AT271" t="b">
        <f>+ISNUMBER(SEARCH(#REF!,Tabla11[[#This Row],[Cuenta]],1))</f>
        <v>0</v>
      </c>
      <c r="AU271" t="b">
        <f>+ISNUMBER(SEARCH('Conc. Ban.1'!$I$9,Tabla11[[#This Row],[Cuenta]],1))</f>
        <v>0</v>
      </c>
      <c r="AV271" t="b">
        <f>+ISNUMBER(SEARCH(CompConta!$F$21,Tabla11[[#This Row],[Cuenta]],1))</f>
        <v>1</v>
      </c>
      <c r="AW271" t="b">
        <f>+ISNUMBER(SEARCH(CompConta!$F$22,Tabla11[[#This Row],[Cuenta]],1))</f>
        <v>1</v>
      </c>
      <c r="AX271" t="b">
        <f>+ISNUMBER(SEARCH(CompConta!$F$23,Tabla11[[#This Row],[Cuenta]],1))</f>
        <v>1</v>
      </c>
      <c r="AY271" t="b">
        <f>+ISNUMBER(SEARCH(CompConta!$F$24,Tabla11[[#This Row],[Cuenta]],1))</f>
        <v>1</v>
      </c>
      <c r="AZ271" t="b">
        <f>+ISNUMBER(SEARCH(CompConta!$F$25,Tabla11[[#This Row],[Cuenta]],1))</f>
        <v>1</v>
      </c>
      <c r="BA271" t="b">
        <f>+ISNUMBER(SEARCH(CompConta!$F$26,Tabla11[[#This Row],[Cuenta]],1))</f>
        <v>1</v>
      </c>
      <c r="BB271" t="b">
        <f>+ISNUMBER(SEARCH(CompConta!$F$27,Tabla11[[#This Row],[Cuenta]],1))</f>
        <v>1</v>
      </c>
      <c r="BC271" t="b">
        <f>+ISNUMBER(SEARCH(CompConta!$F$28,Tabla11[[#This Row],[Cuenta]],1))</f>
        <v>1</v>
      </c>
      <c r="BD271" t="b">
        <f>+ISNUMBER(SEARCH(CompConta!$F$29,Tabla11[[#This Row],[Cuenta]],1))</f>
        <v>1</v>
      </c>
      <c r="BE271" t="b">
        <f>+ISNUMBER(SEARCH(CompConta!$F$30,Tabla11[[#This Row],[Cuenta]],1))</f>
        <v>1</v>
      </c>
      <c r="BF271" t="b">
        <f>+ISNUMBER(SEARCH('PAGO Compras'!$E$11,Tabla11[[#This Row],[Cuenta]],1))</f>
        <v>1</v>
      </c>
      <c r="BG271" t="b">
        <f>+ISNUMBER(SEARCH(#REF!,Tabla11[[#This Row],[Cuenta]],1))</f>
        <v>0</v>
      </c>
      <c r="BH271" t="b">
        <f>+ISNUMBER(SEARCH(#REF!,Tabla11[[#This Row],[Cuenta]],1))</f>
        <v>0</v>
      </c>
      <c r="BI271" t="b">
        <f>+ISNUMBER(SEARCH(#REF!,Tabla11[[#This Row],[Cuenta]],1))</f>
        <v>0</v>
      </c>
      <c r="BJ271" t="b">
        <f>+ISNUMBER(SEARCH(#REF!,Tabla11[[#This Row],[Cuenta]],1))</f>
        <v>0</v>
      </c>
      <c r="BS271" t="str">
        <v>159962 Envases y empaques</v>
      </c>
      <c r="BT271" t="str">
        <v>159962 Envases y empaques</v>
      </c>
      <c r="BU271" t="str">
        <v>159962 Envases y empaques</v>
      </c>
      <c r="BV271" t="str">
        <v>159962 Envases y empaques</v>
      </c>
      <c r="BZ271" t="str">
        <v>159962 Envases y empaques</v>
      </c>
      <c r="CA271" t="str">
        <v>159962 Envases y empaques</v>
      </c>
      <c r="CB271" t="str">
        <v>159962 Envases y empaques</v>
      </c>
      <c r="CC271" t="str">
        <v>159962 Envases y empaques</v>
      </c>
      <c r="CD271" t="str">
        <v>159962 Envases y empaques</v>
      </c>
      <c r="CE271" t="str">
        <v>159962 Envases y empaques</v>
      </c>
      <c r="CS271" s="141" t="str">
        <v>159962 Envases y empaques</v>
      </c>
      <c r="CT271" s="141" t="str">
        <v>159962 Envases y empaques</v>
      </c>
      <c r="CU271" s="141" t="str">
        <v>159962 Envases y empaques</v>
      </c>
      <c r="CV271" s="141" t="str">
        <v>159962 Envases y empaques</v>
      </c>
      <c r="CW271" s="141" t="str">
        <v>159962 Envases y empaques</v>
      </c>
      <c r="CX271" s="141" t="str">
        <v>159962 Envases y empaques</v>
      </c>
      <c r="CY271" s="141" t="str">
        <v>159962 Envases y empaques</v>
      </c>
      <c r="CZ271" s="141" t="str">
        <v>159962 Envases y empaques</v>
      </c>
      <c r="DA271" s="141" t="str">
        <v>159962 Envases y empaques</v>
      </c>
      <c r="DF271" t="str">
        <v>159962 Envases y empaques</v>
      </c>
      <c r="DG271" t="str">
        <v>159962 Envases y empaques</v>
      </c>
      <c r="DH271" t="str">
        <v>159962 Envases y empaques</v>
      </c>
      <c r="DI271" t="str">
        <v>159962 Envases y empaques</v>
      </c>
      <c r="DJ271" t="str">
        <v>159962 Envases y empaques</v>
      </c>
      <c r="DK271" t="str">
        <v>159962 Envases y empaques</v>
      </c>
      <c r="DL271" t="str">
        <v>159962 Envases y empaques</v>
      </c>
      <c r="DM271" t="str">
        <v>159962 Envases y empaques</v>
      </c>
      <c r="DN271" t="str">
        <v>159962 Envases y empaques</v>
      </c>
      <c r="DO271" t="str">
        <v>159962 Envases y empaques</v>
      </c>
      <c r="DP271" t="str">
        <v>159962 Envases y empaques</v>
      </c>
    </row>
    <row r="272" spans="4:120" ht="12.75">
      <c r="D272" s="7">
        <v>159964</v>
      </c>
      <c r="E272" s="6" t="s">
        <v>219</v>
      </c>
      <c r="F272" s="5">
        <v>4</v>
      </c>
      <c r="G272" s="34" t="s">
        <v>822</v>
      </c>
      <c r="H272" s="8" t="s">
        <v>56</v>
      </c>
      <c r="I272" t="b">
        <f>+ISNUMBER(SEARCH('F-COMPRA'!$F$28,Tabla11[[#This Row],[Cuenta]],1))</f>
        <v>1</v>
      </c>
      <c r="J272" t="b">
        <f>+ISNUMBER(SEARCH('F-COMPRA'!$F$29,Tabla11[[#This Row],[Cuenta]],1))</f>
        <v>1</v>
      </c>
      <c r="K272" t="b">
        <f>+ISNUMBER(SEARCH('F-COMPRA'!$F$30,Tabla11[[#This Row],[Cuenta]],1))</f>
        <v>1</v>
      </c>
      <c r="L272" t="b">
        <f>+ISNUMBER(SEARCH('F-COMPRA'!$F$31,Tabla11[[#This Row],[Cuenta]],1))</f>
        <v>1</v>
      </c>
      <c r="M272" t="b">
        <f>+ISNUMBER(SEARCH('F-COMPRA'!$G$25,Tabla11[[#This Row],[Cuenta]],1))</f>
        <v>0</v>
      </c>
      <c r="N272" t="b">
        <f>+ISNUMBER(SEARCH(#REF!,Tabla11[[#This Row],[Cuenta]],1))</f>
        <v>0</v>
      </c>
      <c r="O272" t="b">
        <f>+ISNUMBER(SEARCH(#REF!,Tabla11[[#This Row],[Cuenta]],1))</f>
        <v>0</v>
      </c>
      <c r="P272" t="b">
        <f>+ISNUMBER(SEARCH('F-COMPRA'!$F$32,Tabla11[[#This Row],[Cuenta]],1))</f>
        <v>1</v>
      </c>
      <c r="Q272" t="b">
        <f>+ISNUMBER(SEARCH('F-COMPRA'!$F$33,Tabla11[[#This Row],[Cuenta]],1))</f>
        <v>1</v>
      </c>
      <c r="R272" t="b">
        <f>+ISNUMBER(SEARCH('F-COMPRA'!$F$34,Tabla11[[#This Row],[Cuenta]],1))</f>
        <v>1</v>
      </c>
      <c r="S272" t="b">
        <f>+ISNUMBER(SEARCH('F-COMPRA'!$F$35,Tabla11[[#This Row],[Cuenta]],1))</f>
        <v>1</v>
      </c>
      <c r="T272" t="b">
        <f>+ISNUMBER(SEARCH('F-COMPRA'!$F$36,Tabla11[[#This Row],[Cuenta]],1))</f>
        <v>1</v>
      </c>
      <c r="U272" t="b">
        <f>+ISNUMBER(SEARCH('F-COMPRA'!$F$37,Tabla11[[#This Row],[Cuenta]],1))</f>
        <v>1</v>
      </c>
      <c r="V272" t="b">
        <f>+ISNUMBER(SEARCH(#REF!,Tabla11[[#This Row],[Cuenta]],1))</f>
        <v>0</v>
      </c>
      <c r="W272" t="b">
        <f>+ISNUMBER(SEARCH('F-COMPRA'!#REF!,Tabla11[[#This Row],[Cuenta]],1))</f>
        <v>0</v>
      </c>
      <c r="X272" t="b">
        <f>+ISNUMBER(SEARCH('F-COMPRA'!#REF!,Tabla11[[#This Row],[Cuenta]],1))</f>
        <v>0</v>
      </c>
      <c r="Y272" t="b">
        <f>+ISNUMBER(SEARCH('F-COMPRA'!#REF!,Tabla11[[#This Row],[Cuenta]],1))</f>
        <v>0</v>
      </c>
      <c r="Z272" t="b">
        <f>+ISNUMBER(SEARCH('F-COMPRA'!#REF!,Tabla11[[#This Row],[Cuenta]],1))</f>
        <v>0</v>
      </c>
      <c r="AA272" t="b">
        <f>+ISNUMBER(SEARCH('F-COMPRA'!#REF!,Tabla11[[#This Row],[Cuenta]],1))</f>
        <v>0</v>
      </c>
      <c r="AB272" t="b">
        <f>+ISNUMBER(SEARCH('F-COMPRA'!#REF!,Tabla11[[#This Row],[Cuenta]],1))</f>
        <v>0</v>
      </c>
      <c r="AC272" t="b">
        <f>+ISNUMBER(SEARCH('F-COMPRA'!#REF!,Tabla11[[#This Row],[Cuenta]],1))</f>
        <v>0</v>
      </c>
      <c r="AD272" t="b">
        <f>+ISNUMBER(SEARCH('F-COMPRA'!#REF!,Tabla11[[#This Row],[Cuenta]],1))</f>
        <v>0</v>
      </c>
      <c r="AE272" t="b">
        <f>+ISNUMBER(SEARCH('F-COMPRA'!#REF!,Tabla11[[#This Row],[Cuenta]],1))</f>
        <v>0</v>
      </c>
      <c r="AF272" t="b">
        <f>+ISNUMBER(SEARCH('F-VTA'!$G$23,Tabla11[[#This Row],[Cuenta]],1))</f>
        <v>0</v>
      </c>
      <c r="AG272" t="b">
        <f>+ISNUMBER(SEARCH('F-VTA'!$G$24,Tabla11[[#This Row],[Cuenta]],1))</f>
        <v>0</v>
      </c>
      <c r="AH272" t="b">
        <f>+ISNUMBER(SEARCH('F-VTA'!$G$25,Tabla11[[#This Row],[Cuenta]],1))</f>
        <v>0</v>
      </c>
      <c r="AI272" t="b">
        <f>+ISNUMBER(SEARCH('F-VTA'!$F$28,Tabla11[[#This Row],[Cuenta]],1))</f>
        <v>1</v>
      </c>
      <c r="AJ272" t="b">
        <f>+ISNUMBER(SEARCH('F-VTA'!$F$29,Tabla11[[#This Row],[Cuenta]],1))</f>
        <v>1</v>
      </c>
      <c r="AK272" t="b">
        <f>+ISNUMBER(SEARCH('F-VTA'!$F$30,Tabla11[[#This Row],[Cuenta]],1))</f>
        <v>1</v>
      </c>
      <c r="AL272" t="b">
        <f>+ISNUMBER(SEARCH('F-VTA'!$F$31,Tabla11[[#This Row],[Cuenta]],1))</f>
        <v>1</v>
      </c>
      <c r="AM272" t="b">
        <f>+ISNUMBER(SEARCH('F-VTA'!$F$32,Tabla11[[#This Row],[Cuenta]],1))</f>
        <v>1</v>
      </c>
      <c r="AN272" t="b">
        <f>+ISNUMBER(SEARCH('F-VTA'!$F$33,Tabla11[[#This Row],[Cuenta]],1))</f>
        <v>1</v>
      </c>
      <c r="AO272" t="b">
        <f>+ISNUMBER(SEARCH('F-VTA'!$F$34,Tabla11[[#This Row],[Cuenta]],1))</f>
        <v>1</v>
      </c>
      <c r="AP272" t="b">
        <f>+ISNUMBER(SEARCH('F-VTA'!$F$35,Tabla11[[#This Row],[Cuenta]],1))</f>
        <v>1</v>
      </c>
      <c r="AQ272" t="b">
        <f>+ISNUMBER(SEARCH('F-VTA'!$F$36,Tabla11[[#This Row],[Cuenta]],1))</f>
        <v>1</v>
      </c>
      <c r="AR272" t="b">
        <f>+ISNUMBER(SEARCH(#REF!,Tabla11[[#This Row],[Cuenta]],1))</f>
        <v>0</v>
      </c>
      <c r="AS272" t="b">
        <f>+ISNUMBER(SEARCH(#REF!,Tabla11[[#This Row],[Cuenta]],1))</f>
        <v>0</v>
      </c>
      <c r="AT272" t="b">
        <f>+ISNUMBER(SEARCH(#REF!,Tabla11[[#This Row],[Cuenta]],1))</f>
        <v>0</v>
      </c>
      <c r="AU272" t="b">
        <f>+ISNUMBER(SEARCH('Conc. Ban.1'!$I$9,Tabla11[[#This Row],[Cuenta]],1))</f>
        <v>0</v>
      </c>
      <c r="AV272" t="b">
        <f>+ISNUMBER(SEARCH(CompConta!$F$21,Tabla11[[#This Row],[Cuenta]],1))</f>
        <v>1</v>
      </c>
      <c r="AW272" t="b">
        <f>+ISNUMBER(SEARCH(CompConta!$F$22,Tabla11[[#This Row],[Cuenta]],1))</f>
        <v>1</v>
      </c>
      <c r="AX272" t="b">
        <f>+ISNUMBER(SEARCH(CompConta!$F$23,Tabla11[[#This Row],[Cuenta]],1))</f>
        <v>1</v>
      </c>
      <c r="AY272" t="b">
        <f>+ISNUMBER(SEARCH(CompConta!$F$24,Tabla11[[#This Row],[Cuenta]],1))</f>
        <v>1</v>
      </c>
      <c r="AZ272" t="b">
        <f>+ISNUMBER(SEARCH(CompConta!$F$25,Tabla11[[#This Row],[Cuenta]],1))</f>
        <v>1</v>
      </c>
      <c r="BA272" t="b">
        <f>+ISNUMBER(SEARCH(CompConta!$F$26,Tabla11[[#This Row],[Cuenta]],1))</f>
        <v>1</v>
      </c>
      <c r="BB272" t="b">
        <f>+ISNUMBER(SEARCH(CompConta!$F$27,Tabla11[[#This Row],[Cuenta]],1))</f>
        <v>1</v>
      </c>
      <c r="BC272" t="b">
        <f>+ISNUMBER(SEARCH(CompConta!$F$28,Tabla11[[#This Row],[Cuenta]],1))</f>
        <v>1</v>
      </c>
      <c r="BD272" t="b">
        <f>+ISNUMBER(SEARCH(CompConta!$F$29,Tabla11[[#This Row],[Cuenta]],1))</f>
        <v>1</v>
      </c>
      <c r="BE272" t="b">
        <f>+ISNUMBER(SEARCH(CompConta!$F$30,Tabla11[[#This Row],[Cuenta]],1))</f>
        <v>1</v>
      </c>
      <c r="BF272" t="b">
        <f>+ISNUMBER(SEARCH('PAGO Compras'!$E$11,Tabla11[[#This Row],[Cuenta]],1))</f>
        <v>1</v>
      </c>
      <c r="BG272" t="b">
        <f>+ISNUMBER(SEARCH(#REF!,Tabla11[[#This Row],[Cuenta]],1))</f>
        <v>0</v>
      </c>
      <c r="BH272" t="b">
        <f>+ISNUMBER(SEARCH(#REF!,Tabla11[[#This Row],[Cuenta]],1))</f>
        <v>0</v>
      </c>
      <c r="BI272" t="b">
        <f>+ISNUMBER(SEARCH(#REF!,Tabla11[[#This Row],[Cuenta]],1))</f>
        <v>0</v>
      </c>
      <c r="BJ272" t="b">
        <f>+ISNUMBER(SEARCH(#REF!,Tabla11[[#This Row],[Cuenta]],1))</f>
        <v>0</v>
      </c>
      <c r="BS272" t="str">
        <v>159964 Plantaciones agrícolas y forestales</v>
      </c>
      <c r="BT272" t="str">
        <v>159964 Plantaciones agrícolas y forestales</v>
      </c>
      <c r="BU272" t="str">
        <v>159964 Plantaciones agrícolas y forestales</v>
      </c>
      <c r="BV272" t="str">
        <v>159964 Plantaciones agrícolas y forestales</v>
      </c>
      <c r="BZ272" t="str">
        <v>159964 Plantaciones agrícolas y forestales</v>
      </c>
      <c r="CA272" t="str">
        <v>159964 Plantaciones agrícolas y forestales</v>
      </c>
      <c r="CB272" t="str">
        <v>159964 Plantaciones agrícolas y forestales</v>
      </c>
      <c r="CC272" t="str">
        <v>159964 Plantaciones agrícolas y forestales</v>
      </c>
      <c r="CD272" t="str">
        <v>159964 Plantaciones agrícolas y forestales</v>
      </c>
      <c r="CE272" t="str">
        <v>159964 Plantaciones agrícolas y forestales</v>
      </c>
      <c r="CS272" s="141" t="str">
        <v>159964 Plantaciones agrícolas y forestales</v>
      </c>
      <c r="CT272" s="141" t="str">
        <v>159964 Plantaciones agrícolas y forestales</v>
      </c>
      <c r="CU272" s="141" t="str">
        <v>159964 Plantaciones agrícolas y forestales</v>
      </c>
      <c r="CV272" s="141" t="str">
        <v>159964 Plantaciones agrícolas y forestales</v>
      </c>
      <c r="CW272" s="141" t="str">
        <v>159964 Plantaciones agrícolas y forestales</v>
      </c>
      <c r="CX272" s="141" t="str">
        <v>159964 Plantaciones agrícolas y forestales</v>
      </c>
      <c r="CY272" s="141" t="str">
        <v>159964 Plantaciones agrícolas y forestales</v>
      </c>
      <c r="CZ272" s="141" t="str">
        <v>159964 Plantaciones agrícolas y forestales</v>
      </c>
      <c r="DA272" s="141" t="str">
        <v>159964 Plantaciones agrícolas y forestales</v>
      </c>
      <c r="DF272" t="str">
        <v>159964 Plantaciones agrícolas y forestales</v>
      </c>
      <c r="DG272" t="str">
        <v>159964 Plantaciones agrícolas y forestales</v>
      </c>
      <c r="DH272" t="str">
        <v>159964 Plantaciones agrícolas y forestales</v>
      </c>
      <c r="DI272" t="str">
        <v>159964 Plantaciones agrícolas y forestales</v>
      </c>
      <c r="DJ272" t="str">
        <v>159964 Plantaciones agrícolas y forestales</v>
      </c>
      <c r="DK272" t="str">
        <v>159964 Plantaciones agrícolas y forestales</v>
      </c>
      <c r="DL272" t="str">
        <v>159964 Plantaciones agrícolas y forestales</v>
      </c>
      <c r="DM272" t="str">
        <v>159964 Plantaciones agrícolas y forestales</v>
      </c>
      <c r="DN272" t="str">
        <v>159964 Plantaciones agrícolas y forestales</v>
      </c>
      <c r="DO272" t="str">
        <v>159964 Plantaciones agrícolas y forestales</v>
      </c>
      <c r="DP272" t="str">
        <v>159964 Plantaciones agrícolas y forestales</v>
      </c>
    </row>
    <row r="273" spans="4:120" ht="12.75">
      <c r="D273" s="7">
        <v>159968</v>
      </c>
      <c r="E273" s="6" t="s">
        <v>123</v>
      </c>
      <c r="F273" s="5">
        <v>4</v>
      </c>
      <c r="G273" s="34" t="s">
        <v>822</v>
      </c>
      <c r="H273" s="8" t="s">
        <v>56</v>
      </c>
      <c r="I273" t="b">
        <f>+ISNUMBER(SEARCH('F-COMPRA'!$F$28,Tabla11[[#This Row],[Cuenta]],1))</f>
        <v>1</v>
      </c>
      <c r="J273" t="b">
        <f>+ISNUMBER(SEARCH('F-COMPRA'!$F$29,Tabla11[[#This Row],[Cuenta]],1))</f>
        <v>1</v>
      </c>
      <c r="K273" t="b">
        <f>+ISNUMBER(SEARCH('F-COMPRA'!$F$30,Tabla11[[#This Row],[Cuenta]],1))</f>
        <v>1</v>
      </c>
      <c r="L273" t="b">
        <f>+ISNUMBER(SEARCH('F-COMPRA'!$F$31,Tabla11[[#This Row],[Cuenta]],1))</f>
        <v>1</v>
      </c>
      <c r="M273" t="b">
        <f>+ISNUMBER(SEARCH('F-COMPRA'!$G$25,Tabla11[[#This Row],[Cuenta]],1))</f>
        <v>0</v>
      </c>
      <c r="N273" t="b">
        <f>+ISNUMBER(SEARCH(#REF!,Tabla11[[#This Row],[Cuenta]],1))</f>
        <v>0</v>
      </c>
      <c r="O273" t="b">
        <f>+ISNUMBER(SEARCH(#REF!,Tabla11[[#This Row],[Cuenta]],1))</f>
        <v>0</v>
      </c>
      <c r="P273" t="b">
        <f>+ISNUMBER(SEARCH('F-COMPRA'!$F$32,Tabla11[[#This Row],[Cuenta]],1))</f>
        <v>1</v>
      </c>
      <c r="Q273" t="b">
        <f>+ISNUMBER(SEARCH('F-COMPRA'!$F$33,Tabla11[[#This Row],[Cuenta]],1))</f>
        <v>1</v>
      </c>
      <c r="R273" t="b">
        <f>+ISNUMBER(SEARCH('F-COMPRA'!$F$34,Tabla11[[#This Row],[Cuenta]],1))</f>
        <v>1</v>
      </c>
      <c r="S273" t="b">
        <f>+ISNUMBER(SEARCH('F-COMPRA'!$F$35,Tabla11[[#This Row],[Cuenta]],1))</f>
        <v>1</v>
      </c>
      <c r="T273" t="b">
        <f>+ISNUMBER(SEARCH('F-COMPRA'!$F$36,Tabla11[[#This Row],[Cuenta]],1))</f>
        <v>1</v>
      </c>
      <c r="U273" t="b">
        <f>+ISNUMBER(SEARCH('F-COMPRA'!$F$37,Tabla11[[#This Row],[Cuenta]],1))</f>
        <v>1</v>
      </c>
      <c r="V273" t="b">
        <f>+ISNUMBER(SEARCH(#REF!,Tabla11[[#This Row],[Cuenta]],1))</f>
        <v>0</v>
      </c>
      <c r="W273" t="b">
        <f>+ISNUMBER(SEARCH('F-COMPRA'!#REF!,Tabla11[[#This Row],[Cuenta]],1))</f>
        <v>0</v>
      </c>
      <c r="X273" t="b">
        <f>+ISNUMBER(SEARCH('F-COMPRA'!#REF!,Tabla11[[#This Row],[Cuenta]],1))</f>
        <v>0</v>
      </c>
      <c r="Y273" t="b">
        <f>+ISNUMBER(SEARCH('F-COMPRA'!#REF!,Tabla11[[#This Row],[Cuenta]],1))</f>
        <v>0</v>
      </c>
      <c r="Z273" t="b">
        <f>+ISNUMBER(SEARCH('F-COMPRA'!#REF!,Tabla11[[#This Row],[Cuenta]],1))</f>
        <v>0</v>
      </c>
      <c r="AA273" t="b">
        <f>+ISNUMBER(SEARCH('F-COMPRA'!#REF!,Tabla11[[#This Row],[Cuenta]],1))</f>
        <v>0</v>
      </c>
      <c r="AB273" t="b">
        <f>+ISNUMBER(SEARCH('F-COMPRA'!#REF!,Tabla11[[#This Row],[Cuenta]],1))</f>
        <v>0</v>
      </c>
      <c r="AC273" t="b">
        <f>+ISNUMBER(SEARCH('F-COMPRA'!#REF!,Tabla11[[#This Row],[Cuenta]],1))</f>
        <v>0</v>
      </c>
      <c r="AD273" t="b">
        <f>+ISNUMBER(SEARCH('F-COMPRA'!#REF!,Tabla11[[#This Row],[Cuenta]],1))</f>
        <v>0</v>
      </c>
      <c r="AE273" t="b">
        <f>+ISNUMBER(SEARCH('F-COMPRA'!#REF!,Tabla11[[#This Row],[Cuenta]],1))</f>
        <v>0</v>
      </c>
      <c r="AF273" t="b">
        <f>+ISNUMBER(SEARCH('F-VTA'!$G$23,Tabla11[[#This Row],[Cuenta]],1))</f>
        <v>0</v>
      </c>
      <c r="AG273" t="b">
        <f>+ISNUMBER(SEARCH('F-VTA'!$G$24,Tabla11[[#This Row],[Cuenta]],1))</f>
        <v>0</v>
      </c>
      <c r="AH273" t="b">
        <f>+ISNUMBER(SEARCH('F-VTA'!$G$25,Tabla11[[#This Row],[Cuenta]],1))</f>
        <v>0</v>
      </c>
      <c r="AI273" t="b">
        <f>+ISNUMBER(SEARCH('F-VTA'!$F$28,Tabla11[[#This Row],[Cuenta]],1))</f>
        <v>1</v>
      </c>
      <c r="AJ273" t="b">
        <f>+ISNUMBER(SEARCH('F-VTA'!$F$29,Tabla11[[#This Row],[Cuenta]],1))</f>
        <v>1</v>
      </c>
      <c r="AK273" t="b">
        <f>+ISNUMBER(SEARCH('F-VTA'!$F$30,Tabla11[[#This Row],[Cuenta]],1))</f>
        <v>1</v>
      </c>
      <c r="AL273" t="b">
        <f>+ISNUMBER(SEARCH('F-VTA'!$F$31,Tabla11[[#This Row],[Cuenta]],1))</f>
        <v>1</v>
      </c>
      <c r="AM273" t="b">
        <f>+ISNUMBER(SEARCH('F-VTA'!$F$32,Tabla11[[#This Row],[Cuenta]],1))</f>
        <v>1</v>
      </c>
      <c r="AN273" t="b">
        <f>+ISNUMBER(SEARCH('F-VTA'!$F$33,Tabla11[[#This Row],[Cuenta]],1))</f>
        <v>1</v>
      </c>
      <c r="AO273" t="b">
        <f>+ISNUMBER(SEARCH('F-VTA'!$F$34,Tabla11[[#This Row],[Cuenta]],1))</f>
        <v>1</v>
      </c>
      <c r="AP273" t="b">
        <f>+ISNUMBER(SEARCH('F-VTA'!$F$35,Tabla11[[#This Row],[Cuenta]],1))</f>
        <v>1</v>
      </c>
      <c r="AQ273" t="b">
        <f>+ISNUMBER(SEARCH('F-VTA'!$F$36,Tabla11[[#This Row],[Cuenta]],1))</f>
        <v>1</v>
      </c>
      <c r="AR273" t="b">
        <f>+ISNUMBER(SEARCH(#REF!,Tabla11[[#This Row],[Cuenta]],1))</f>
        <v>0</v>
      </c>
      <c r="AS273" t="b">
        <f>+ISNUMBER(SEARCH(#REF!,Tabla11[[#This Row],[Cuenta]],1))</f>
        <v>0</v>
      </c>
      <c r="AT273" t="b">
        <f>+ISNUMBER(SEARCH(#REF!,Tabla11[[#This Row],[Cuenta]],1))</f>
        <v>0</v>
      </c>
      <c r="AU273" t="b">
        <f>+ISNUMBER(SEARCH('Conc. Ban.1'!$I$9,Tabla11[[#This Row],[Cuenta]],1))</f>
        <v>0</v>
      </c>
      <c r="AV273" t="b">
        <f>+ISNUMBER(SEARCH(CompConta!$F$21,Tabla11[[#This Row],[Cuenta]],1))</f>
        <v>1</v>
      </c>
      <c r="AW273" t="b">
        <f>+ISNUMBER(SEARCH(CompConta!$F$22,Tabla11[[#This Row],[Cuenta]],1))</f>
        <v>1</v>
      </c>
      <c r="AX273" t="b">
        <f>+ISNUMBER(SEARCH(CompConta!$F$23,Tabla11[[#This Row],[Cuenta]],1))</f>
        <v>1</v>
      </c>
      <c r="AY273" t="b">
        <f>+ISNUMBER(SEARCH(CompConta!$F$24,Tabla11[[#This Row],[Cuenta]],1))</f>
        <v>1</v>
      </c>
      <c r="AZ273" t="b">
        <f>+ISNUMBER(SEARCH(CompConta!$F$25,Tabla11[[#This Row],[Cuenta]],1))</f>
        <v>1</v>
      </c>
      <c r="BA273" t="b">
        <f>+ISNUMBER(SEARCH(CompConta!$F$26,Tabla11[[#This Row],[Cuenta]],1))</f>
        <v>1</v>
      </c>
      <c r="BB273" t="b">
        <f>+ISNUMBER(SEARCH(CompConta!$F$27,Tabla11[[#This Row],[Cuenta]],1))</f>
        <v>1</v>
      </c>
      <c r="BC273" t="b">
        <f>+ISNUMBER(SEARCH(CompConta!$F$28,Tabla11[[#This Row],[Cuenta]],1))</f>
        <v>1</v>
      </c>
      <c r="BD273" t="b">
        <f>+ISNUMBER(SEARCH(CompConta!$F$29,Tabla11[[#This Row],[Cuenta]],1))</f>
        <v>1</v>
      </c>
      <c r="BE273" t="b">
        <f>+ISNUMBER(SEARCH(CompConta!$F$30,Tabla11[[#This Row],[Cuenta]],1))</f>
        <v>1</v>
      </c>
      <c r="BF273" t="b">
        <f>+ISNUMBER(SEARCH('PAGO Compras'!$E$11,Tabla11[[#This Row],[Cuenta]],1))</f>
        <v>1</v>
      </c>
      <c r="BG273" t="b">
        <f>+ISNUMBER(SEARCH(#REF!,Tabla11[[#This Row],[Cuenta]],1))</f>
        <v>0</v>
      </c>
      <c r="BH273" t="b">
        <f>+ISNUMBER(SEARCH(#REF!,Tabla11[[#This Row],[Cuenta]],1))</f>
        <v>0</v>
      </c>
      <c r="BI273" t="b">
        <f>+ISNUMBER(SEARCH(#REF!,Tabla11[[#This Row],[Cuenta]],1))</f>
        <v>0</v>
      </c>
      <c r="BJ273" t="b">
        <f>+ISNUMBER(SEARCH(#REF!,Tabla11[[#This Row],[Cuenta]],1))</f>
        <v>0</v>
      </c>
      <c r="BS273" t="str">
        <v>159968 Vías de comunicación</v>
      </c>
      <c r="BT273" t="str">
        <v>159968 Vías de comunicación</v>
      </c>
      <c r="BU273" t="str">
        <v>159968 Vías de comunicación</v>
      </c>
      <c r="BV273" t="str">
        <v>159968 Vías de comunicación</v>
      </c>
      <c r="BZ273" t="str">
        <v>159968 Vías de comunicación</v>
      </c>
      <c r="CA273" t="str">
        <v>159968 Vías de comunicación</v>
      </c>
      <c r="CB273" t="str">
        <v>159968 Vías de comunicación</v>
      </c>
      <c r="CC273" t="str">
        <v>159968 Vías de comunicación</v>
      </c>
      <c r="CD273" t="str">
        <v>159968 Vías de comunicación</v>
      </c>
      <c r="CE273" t="str">
        <v>159968 Vías de comunicación</v>
      </c>
      <c r="CS273" s="141" t="str">
        <v>159968 Vías de comunicación</v>
      </c>
      <c r="CT273" s="141" t="str">
        <v>159968 Vías de comunicación</v>
      </c>
      <c r="CU273" s="141" t="str">
        <v>159968 Vías de comunicación</v>
      </c>
      <c r="CV273" s="141" t="str">
        <v>159968 Vías de comunicación</v>
      </c>
      <c r="CW273" s="141" t="str">
        <v>159968 Vías de comunicación</v>
      </c>
      <c r="CX273" s="141" t="str">
        <v>159968 Vías de comunicación</v>
      </c>
      <c r="CY273" s="141" t="str">
        <v>159968 Vías de comunicación</v>
      </c>
      <c r="CZ273" s="141" t="str">
        <v>159968 Vías de comunicación</v>
      </c>
      <c r="DA273" s="141" t="str">
        <v>159968 Vías de comunicación</v>
      </c>
      <c r="DF273" t="str">
        <v>159968 Vías de comunicación</v>
      </c>
      <c r="DG273" t="str">
        <v>159968 Vías de comunicación</v>
      </c>
      <c r="DH273" t="str">
        <v>159968 Vías de comunicación</v>
      </c>
      <c r="DI273" t="str">
        <v>159968 Vías de comunicación</v>
      </c>
      <c r="DJ273" t="str">
        <v>159968 Vías de comunicación</v>
      </c>
      <c r="DK273" t="str">
        <v>159968 Vías de comunicación</v>
      </c>
      <c r="DL273" t="str">
        <v>159968 Vías de comunicación</v>
      </c>
      <c r="DM273" t="str">
        <v>159968 Vías de comunicación</v>
      </c>
      <c r="DN273" t="str">
        <v>159968 Vías de comunicación</v>
      </c>
      <c r="DO273" t="str">
        <v>159968 Vías de comunicación</v>
      </c>
      <c r="DP273" t="str">
        <v>159968 Vías de comunicación</v>
      </c>
    </row>
    <row r="274" spans="4:120" ht="12.75">
      <c r="D274" s="7">
        <v>159992</v>
      </c>
      <c r="E274" s="6" t="s">
        <v>227</v>
      </c>
      <c r="F274" s="5">
        <v>4</v>
      </c>
      <c r="G274" s="34" t="s">
        <v>822</v>
      </c>
      <c r="H274" s="8" t="s">
        <v>56</v>
      </c>
      <c r="I274" t="b">
        <f>+ISNUMBER(SEARCH('F-COMPRA'!$F$28,Tabla11[[#This Row],[Cuenta]],1))</f>
        <v>1</v>
      </c>
      <c r="J274" t="b">
        <f>+ISNUMBER(SEARCH('F-COMPRA'!$F$29,Tabla11[[#This Row],[Cuenta]],1))</f>
        <v>1</v>
      </c>
      <c r="K274" t="b">
        <f>+ISNUMBER(SEARCH('F-COMPRA'!$F$30,Tabla11[[#This Row],[Cuenta]],1))</f>
        <v>1</v>
      </c>
      <c r="L274" t="b">
        <f>+ISNUMBER(SEARCH('F-COMPRA'!$F$31,Tabla11[[#This Row],[Cuenta]],1))</f>
        <v>1</v>
      </c>
      <c r="M274" t="b">
        <f>+ISNUMBER(SEARCH('F-COMPRA'!$G$25,Tabla11[[#This Row],[Cuenta]],1))</f>
        <v>0</v>
      </c>
      <c r="N274" t="b">
        <f>+ISNUMBER(SEARCH(#REF!,Tabla11[[#This Row],[Cuenta]],1))</f>
        <v>0</v>
      </c>
      <c r="O274" t="b">
        <f>+ISNUMBER(SEARCH(#REF!,Tabla11[[#This Row],[Cuenta]],1))</f>
        <v>0</v>
      </c>
      <c r="P274" t="b">
        <f>+ISNUMBER(SEARCH('F-COMPRA'!$F$32,Tabla11[[#This Row],[Cuenta]],1))</f>
        <v>1</v>
      </c>
      <c r="Q274" t="b">
        <f>+ISNUMBER(SEARCH('F-COMPRA'!$F$33,Tabla11[[#This Row],[Cuenta]],1))</f>
        <v>1</v>
      </c>
      <c r="R274" t="b">
        <f>+ISNUMBER(SEARCH('F-COMPRA'!$F$34,Tabla11[[#This Row],[Cuenta]],1))</f>
        <v>1</v>
      </c>
      <c r="S274" t="b">
        <f>+ISNUMBER(SEARCH('F-COMPRA'!$F$35,Tabla11[[#This Row],[Cuenta]],1))</f>
        <v>1</v>
      </c>
      <c r="T274" t="b">
        <f>+ISNUMBER(SEARCH('F-COMPRA'!$F$36,Tabla11[[#This Row],[Cuenta]],1))</f>
        <v>1</v>
      </c>
      <c r="U274" t="b">
        <f>+ISNUMBER(SEARCH('F-COMPRA'!$F$37,Tabla11[[#This Row],[Cuenta]],1))</f>
        <v>1</v>
      </c>
      <c r="V274" t="b">
        <f>+ISNUMBER(SEARCH(#REF!,Tabla11[[#This Row],[Cuenta]],1))</f>
        <v>0</v>
      </c>
      <c r="W274" t="b">
        <f>+ISNUMBER(SEARCH('F-COMPRA'!#REF!,Tabla11[[#This Row],[Cuenta]],1))</f>
        <v>0</v>
      </c>
      <c r="X274" t="b">
        <f>+ISNUMBER(SEARCH('F-COMPRA'!#REF!,Tabla11[[#This Row],[Cuenta]],1))</f>
        <v>0</v>
      </c>
      <c r="Y274" t="b">
        <f>+ISNUMBER(SEARCH('F-COMPRA'!#REF!,Tabla11[[#This Row],[Cuenta]],1))</f>
        <v>0</v>
      </c>
      <c r="Z274" t="b">
        <f>+ISNUMBER(SEARCH('F-COMPRA'!#REF!,Tabla11[[#This Row],[Cuenta]],1))</f>
        <v>0</v>
      </c>
      <c r="AA274" t="b">
        <f>+ISNUMBER(SEARCH('F-COMPRA'!#REF!,Tabla11[[#This Row],[Cuenta]],1))</f>
        <v>0</v>
      </c>
      <c r="AB274" t="b">
        <f>+ISNUMBER(SEARCH('F-COMPRA'!#REF!,Tabla11[[#This Row],[Cuenta]],1))</f>
        <v>0</v>
      </c>
      <c r="AC274" t="b">
        <f>+ISNUMBER(SEARCH('F-COMPRA'!#REF!,Tabla11[[#This Row],[Cuenta]],1))</f>
        <v>0</v>
      </c>
      <c r="AD274" t="b">
        <f>+ISNUMBER(SEARCH('F-COMPRA'!#REF!,Tabla11[[#This Row],[Cuenta]],1))</f>
        <v>0</v>
      </c>
      <c r="AE274" t="b">
        <f>+ISNUMBER(SEARCH('F-COMPRA'!#REF!,Tabla11[[#This Row],[Cuenta]],1))</f>
        <v>0</v>
      </c>
      <c r="AF274" t="b">
        <f>+ISNUMBER(SEARCH('F-VTA'!$G$23,Tabla11[[#This Row],[Cuenta]],1))</f>
        <v>0</v>
      </c>
      <c r="AG274" t="b">
        <f>+ISNUMBER(SEARCH('F-VTA'!$G$24,Tabla11[[#This Row],[Cuenta]],1))</f>
        <v>0</v>
      </c>
      <c r="AH274" t="b">
        <f>+ISNUMBER(SEARCH('F-VTA'!$G$25,Tabla11[[#This Row],[Cuenta]],1))</f>
        <v>0</v>
      </c>
      <c r="AI274" t="b">
        <f>+ISNUMBER(SEARCH('F-VTA'!$F$28,Tabla11[[#This Row],[Cuenta]],1))</f>
        <v>1</v>
      </c>
      <c r="AJ274" t="b">
        <f>+ISNUMBER(SEARCH('F-VTA'!$F$29,Tabla11[[#This Row],[Cuenta]],1))</f>
        <v>1</v>
      </c>
      <c r="AK274" t="b">
        <f>+ISNUMBER(SEARCH('F-VTA'!$F$30,Tabla11[[#This Row],[Cuenta]],1))</f>
        <v>1</v>
      </c>
      <c r="AL274" t="b">
        <f>+ISNUMBER(SEARCH('F-VTA'!$F$31,Tabla11[[#This Row],[Cuenta]],1))</f>
        <v>1</v>
      </c>
      <c r="AM274" t="b">
        <f>+ISNUMBER(SEARCH('F-VTA'!$F$32,Tabla11[[#This Row],[Cuenta]],1))</f>
        <v>1</v>
      </c>
      <c r="AN274" t="b">
        <f>+ISNUMBER(SEARCH('F-VTA'!$F$33,Tabla11[[#This Row],[Cuenta]],1))</f>
        <v>1</v>
      </c>
      <c r="AO274" t="b">
        <f>+ISNUMBER(SEARCH('F-VTA'!$F$34,Tabla11[[#This Row],[Cuenta]],1))</f>
        <v>1</v>
      </c>
      <c r="AP274" t="b">
        <f>+ISNUMBER(SEARCH('F-VTA'!$F$35,Tabla11[[#This Row],[Cuenta]],1))</f>
        <v>1</v>
      </c>
      <c r="AQ274" t="b">
        <f>+ISNUMBER(SEARCH('F-VTA'!$F$36,Tabla11[[#This Row],[Cuenta]],1))</f>
        <v>1</v>
      </c>
      <c r="AR274" t="b">
        <f>+ISNUMBER(SEARCH(#REF!,Tabla11[[#This Row],[Cuenta]],1))</f>
        <v>0</v>
      </c>
      <c r="AS274" t="b">
        <f>+ISNUMBER(SEARCH(#REF!,Tabla11[[#This Row],[Cuenta]],1))</f>
        <v>0</v>
      </c>
      <c r="AT274" t="b">
        <f>+ISNUMBER(SEARCH(#REF!,Tabla11[[#This Row],[Cuenta]],1))</f>
        <v>0</v>
      </c>
      <c r="AU274" t="b">
        <f>+ISNUMBER(SEARCH('Conc. Ban.1'!$I$9,Tabla11[[#This Row],[Cuenta]],1))</f>
        <v>0</v>
      </c>
      <c r="AV274" t="b">
        <f>+ISNUMBER(SEARCH(CompConta!$F$21,Tabla11[[#This Row],[Cuenta]],1))</f>
        <v>1</v>
      </c>
      <c r="AW274" t="b">
        <f>+ISNUMBER(SEARCH(CompConta!$F$22,Tabla11[[#This Row],[Cuenta]],1))</f>
        <v>1</v>
      </c>
      <c r="AX274" t="b">
        <f>+ISNUMBER(SEARCH(CompConta!$F$23,Tabla11[[#This Row],[Cuenta]],1))</f>
        <v>1</v>
      </c>
      <c r="AY274" t="b">
        <f>+ISNUMBER(SEARCH(CompConta!$F$24,Tabla11[[#This Row],[Cuenta]],1))</f>
        <v>1</v>
      </c>
      <c r="AZ274" t="b">
        <f>+ISNUMBER(SEARCH(CompConta!$F$25,Tabla11[[#This Row],[Cuenta]],1))</f>
        <v>1</v>
      </c>
      <c r="BA274" t="b">
        <f>+ISNUMBER(SEARCH(CompConta!$F$26,Tabla11[[#This Row],[Cuenta]],1))</f>
        <v>1</v>
      </c>
      <c r="BB274" t="b">
        <f>+ISNUMBER(SEARCH(CompConta!$F$27,Tabla11[[#This Row],[Cuenta]],1))</f>
        <v>1</v>
      </c>
      <c r="BC274" t="b">
        <f>+ISNUMBER(SEARCH(CompConta!$F$28,Tabla11[[#This Row],[Cuenta]],1))</f>
        <v>1</v>
      </c>
      <c r="BD274" t="b">
        <f>+ISNUMBER(SEARCH(CompConta!$F$29,Tabla11[[#This Row],[Cuenta]],1))</f>
        <v>1</v>
      </c>
      <c r="BE274" t="b">
        <f>+ISNUMBER(SEARCH(CompConta!$F$30,Tabla11[[#This Row],[Cuenta]],1))</f>
        <v>1</v>
      </c>
      <c r="BF274" t="b">
        <f>+ISNUMBER(SEARCH('PAGO Compras'!$E$11,Tabla11[[#This Row],[Cuenta]],1))</f>
        <v>1</v>
      </c>
      <c r="BG274" t="b">
        <f>+ISNUMBER(SEARCH(#REF!,Tabla11[[#This Row],[Cuenta]],1))</f>
        <v>0</v>
      </c>
      <c r="BH274" t="b">
        <f>+ISNUMBER(SEARCH(#REF!,Tabla11[[#This Row],[Cuenta]],1))</f>
        <v>0</v>
      </c>
      <c r="BI274" t="b">
        <f>+ISNUMBER(SEARCH(#REF!,Tabla11[[#This Row],[Cuenta]],1))</f>
        <v>0</v>
      </c>
      <c r="BJ274" t="b">
        <f>+ISNUMBER(SEARCH(#REF!,Tabla11[[#This Row],[Cuenta]],1))</f>
        <v>0</v>
      </c>
      <c r="BS274" t="str">
        <v>159992 Propiedades, planta y equipo en tránsito</v>
      </c>
      <c r="BT274" t="str">
        <v>159992 Propiedades, planta y equipo en tránsito</v>
      </c>
      <c r="BU274" t="str">
        <v>159992 Propiedades, planta y equipo en tránsito</v>
      </c>
      <c r="BV274" t="str">
        <v>159992 Propiedades, planta y equipo en tránsito</v>
      </c>
      <c r="BZ274" t="str">
        <v>159992 Propiedades, planta y equipo en tránsito</v>
      </c>
      <c r="CA274" t="str">
        <v>159992 Propiedades, planta y equipo en tránsito</v>
      </c>
      <c r="CB274" t="str">
        <v>159992 Propiedades, planta y equipo en tránsito</v>
      </c>
      <c r="CC274" t="str">
        <v>159992 Propiedades, planta y equipo en tránsito</v>
      </c>
      <c r="CD274" t="str">
        <v>159992 Propiedades, planta y equipo en tránsito</v>
      </c>
      <c r="CE274" t="str">
        <v>159992 Propiedades, planta y equipo en tránsito</v>
      </c>
      <c r="CS274" s="141" t="str">
        <v>159992 Propiedades, planta y equipo en tránsito</v>
      </c>
      <c r="CT274" s="141" t="str">
        <v>159992 Propiedades, planta y equipo en tránsito</v>
      </c>
      <c r="CU274" s="141" t="str">
        <v>159992 Propiedades, planta y equipo en tránsito</v>
      </c>
      <c r="CV274" s="141" t="str">
        <v>159992 Propiedades, planta y equipo en tránsito</v>
      </c>
      <c r="CW274" s="141" t="str">
        <v>159992 Propiedades, planta y equipo en tránsito</v>
      </c>
      <c r="CX274" s="141" t="str">
        <v>159992 Propiedades, planta y equipo en tránsito</v>
      </c>
      <c r="CY274" s="141" t="str">
        <v>159992 Propiedades, planta y equipo en tránsito</v>
      </c>
      <c r="CZ274" s="141" t="str">
        <v>159992 Propiedades, planta y equipo en tránsito</v>
      </c>
      <c r="DA274" s="141" t="str">
        <v>159992 Propiedades, planta y equipo en tránsito</v>
      </c>
      <c r="DF274" t="str">
        <v>159992 Propiedades, planta y equipo en tránsito</v>
      </c>
      <c r="DG274" t="str">
        <v>159992 Propiedades, planta y equipo en tránsito</v>
      </c>
      <c r="DH274" t="str">
        <v>159992 Propiedades, planta y equipo en tránsito</v>
      </c>
      <c r="DI274" t="str">
        <v>159992 Propiedades, planta y equipo en tránsito</v>
      </c>
      <c r="DJ274" t="str">
        <v>159992 Propiedades, planta y equipo en tránsito</v>
      </c>
      <c r="DK274" t="str">
        <v>159992 Propiedades, planta y equipo en tránsito</v>
      </c>
      <c r="DL274" t="str">
        <v>159992 Propiedades, planta y equipo en tránsito</v>
      </c>
      <c r="DM274" t="str">
        <v>159992 Propiedades, planta y equipo en tránsito</v>
      </c>
      <c r="DN274" t="str">
        <v>159992 Propiedades, planta y equipo en tránsito</v>
      </c>
      <c r="DO274" t="str">
        <v>159992 Propiedades, planta y equipo en tránsito</v>
      </c>
      <c r="DP274" t="str">
        <v>159992 Propiedades, planta y equipo en tránsito</v>
      </c>
    </row>
    <row r="275" spans="4:120" ht="12.75">
      <c r="D275" s="7">
        <v>16</v>
      </c>
      <c r="E275" s="6" t="s">
        <v>228</v>
      </c>
      <c r="F275" s="5">
        <v>2</v>
      </c>
      <c r="G275" s="34"/>
      <c r="H275" s="8" t="s">
        <v>32</v>
      </c>
      <c r="I275" t="b">
        <f>+ISNUMBER(SEARCH('F-COMPRA'!$F$28,Tabla11[[#This Row],[Cuenta]],1))</f>
        <v>1</v>
      </c>
      <c r="J275" t="b">
        <f>+ISNUMBER(SEARCH('F-COMPRA'!$F$29,Tabla11[[#This Row],[Cuenta]],1))</f>
        <v>1</v>
      </c>
      <c r="K275" t="b">
        <f>+ISNUMBER(SEARCH('F-COMPRA'!$F$30,Tabla11[[#This Row],[Cuenta]],1))</f>
        <v>1</v>
      </c>
      <c r="L275" t="b">
        <f>+ISNUMBER(SEARCH('F-COMPRA'!$F$31,Tabla11[[#This Row],[Cuenta]],1))</f>
        <v>1</v>
      </c>
      <c r="M275" t="b">
        <f>+ISNUMBER(SEARCH('F-COMPRA'!$G$25,Tabla11[[#This Row],[Cuenta]],1))</f>
        <v>0</v>
      </c>
      <c r="N275" t="b">
        <f>+ISNUMBER(SEARCH(#REF!,Tabla11[[#This Row],[Cuenta]],1))</f>
        <v>0</v>
      </c>
      <c r="O275" t="b">
        <f>+ISNUMBER(SEARCH(#REF!,Tabla11[[#This Row],[Cuenta]],1))</f>
        <v>0</v>
      </c>
      <c r="P275" t="b">
        <f>+ISNUMBER(SEARCH('F-COMPRA'!$F$32,Tabla11[[#This Row],[Cuenta]],1))</f>
        <v>1</v>
      </c>
      <c r="Q275" t="b">
        <f>+ISNUMBER(SEARCH('F-COMPRA'!$F$33,Tabla11[[#This Row],[Cuenta]],1))</f>
        <v>1</v>
      </c>
      <c r="R275" t="b">
        <f>+ISNUMBER(SEARCH('F-COMPRA'!$F$34,Tabla11[[#This Row],[Cuenta]],1))</f>
        <v>1</v>
      </c>
      <c r="S275" t="b">
        <f>+ISNUMBER(SEARCH('F-COMPRA'!$F$35,Tabla11[[#This Row],[Cuenta]],1))</f>
        <v>1</v>
      </c>
      <c r="T275" t="b">
        <f>+ISNUMBER(SEARCH('F-COMPRA'!$F$36,Tabla11[[#This Row],[Cuenta]],1))</f>
        <v>1</v>
      </c>
      <c r="U275" t="b">
        <f>+ISNUMBER(SEARCH('F-COMPRA'!$F$37,Tabla11[[#This Row],[Cuenta]],1))</f>
        <v>1</v>
      </c>
      <c r="V275" t="b">
        <f>+ISNUMBER(SEARCH(#REF!,Tabla11[[#This Row],[Cuenta]],1))</f>
        <v>0</v>
      </c>
      <c r="W275" t="b">
        <f>+ISNUMBER(SEARCH('F-COMPRA'!#REF!,Tabla11[[#This Row],[Cuenta]],1))</f>
        <v>0</v>
      </c>
      <c r="X275" t="b">
        <f>+ISNUMBER(SEARCH('F-COMPRA'!#REF!,Tabla11[[#This Row],[Cuenta]],1))</f>
        <v>0</v>
      </c>
      <c r="Y275" t="b">
        <f>+ISNUMBER(SEARCH('F-COMPRA'!#REF!,Tabla11[[#This Row],[Cuenta]],1))</f>
        <v>0</v>
      </c>
      <c r="Z275" t="b">
        <f>+ISNUMBER(SEARCH('F-COMPRA'!#REF!,Tabla11[[#This Row],[Cuenta]],1))</f>
        <v>0</v>
      </c>
      <c r="AA275" t="b">
        <f>+ISNUMBER(SEARCH('F-COMPRA'!#REF!,Tabla11[[#This Row],[Cuenta]],1))</f>
        <v>0</v>
      </c>
      <c r="AB275" t="b">
        <f>+ISNUMBER(SEARCH('F-COMPRA'!#REF!,Tabla11[[#This Row],[Cuenta]],1))</f>
        <v>0</v>
      </c>
      <c r="AC275" t="b">
        <f>+ISNUMBER(SEARCH('F-COMPRA'!#REF!,Tabla11[[#This Row],[Cuenta]],1))</f>
        <v>0</v>
      </c>
      <c r="AD275" t="b">
        <f>+ISNUMBER(SEARCH('F-COMPRA'!#REF!,Tabla11[[#This Row],[Cuenta]],1))</f>
        <v>0</v>
      </c>
      <c r="AE275" t="b">
        <f>+ISNUMBER(SEARCH('F-COMPRA'!#REF!,Tabla11[[#This Row],[Cuenta]],1))</f>
        <v>0</v>
      </c>
      <c r="AF275" t="b">
        <f>+ISNUMBER(SEARCH('F-VTA'!$G$23,Tabla11[[#This Row],[Cuenta]],1))</f>
        <v>0</v>
      </c>
      <c r="AG275" t="b">
        <f>+ISNUMBER(SEARCH('F-VTA'!$G$24,Tabla11[[#This Row],[Cuenta]],1))</f>
        <v>0</v>
      </c>
      <c r="AH275" t="b">
        <f>+ISNUMBER(SEARCH('F-VTA'!$G$25,Tabla11[[#This Row],[Cuenta]],1))</f>
        <v>0</v>
      </c>
      <c r="AI275" t="b">
        <f>+ISNUMBER(SEARCH('F-VTA'!$F$28,Tabla11[[#This Row],[Cuenta]],1))</f>
        <v>1</v>
      </c>
      <c r="AJ275" t="b">
        <f>+ISNUMBER(SEARCH('F-VTA'!$F$29,Tabla11[[#This Row],[Cuenta]],1))</f>
        <v>1</v>
      </c>
      <c r="AK275" t="b">
        <f>+ISNUMBER(SEARCH('F-VTA'!$F$30,Tabla11[[#This Row],[Cuenta]],1))</f>
        <v>1</v>
      </c>
      <c r="AL275" t="b">
        <f>+ISNUMBER(SEARCH('F-VTA'!$F$31,Tabla11[[#This Row],[Cuenta]],1))</f>
        <v>1</v>
      </c>
      <c r="AM275" t="b">
        <f>+ISNUMBER(SEARCH('F-VTA'!$F$32,Tabla11[[#This Row],[Cuenta]],1))</f>
        <v>1</v>
      </c>
      <c r="AN275" t="b">
        <f>+ISNUMBER(SEARCH('F-VTA'!$F$33,Tabla11[[#This Row],[Cuenta]],1))</f>
        <v>1</v>
      </c>
      <c r="AO275" t="b">
        <f>+ISNUMBER(SEARCH('F-VTA'!$F$34,Tabla11[[#This Row],[Cuenta]],1))</f>
        <v>1</v>
      </c>
      <c r="AP275" t="b">
        <f>+ISNUMBER(SEARCH('F-VTA'!$F$35,Tabla11[[#This Row],[Cuenta]],1))</f>
        <v>1</v>
      </c>
      <c r="AQ275" t="b">
        <f>+ISNUMBER(SEARCH('F-VTA'!$F$36,Tabla11[[#This Row],[Cuenta]],1))</f>
        <v>1</v>
      </c>
      <c r="AR275" t="b">
        <f>+ISNUMBER(SEARCH(#REF!,Tabla11[[#This Row],[Cuenta]],1))</f>
        <v>0</v>
      </c>
      <c r="AS275" t="b">
        <f>+ISNUMBER(SEARCH(#REF!,Tabla11[[#This Row],[Cuenta]],1))</f>
        <v>0</v>
      </c>
      <c r="AT275" t="b">
        <f>+ISNUMBER(SEARCH(#REF!,Tabla11[[#This Row],[Cuenta]],1))</f>
        <v>0</v>
      </c>
      <c r="AU275" t="b">
        <f>+ISNUMBER(SEARCH('Conc. Ban.1'!$I$9,Tabla11[[#This Row],[Cuenta]],1))</f>
        <v>0</v>
      </c>
      <c r="AV275" t="b">
        <f>+ISNUMBER(SEARCH(CompConta!$F$21,Tabla11[[#This Row],[Cuenta]],1))</f>
        <v>1</v>
      </c>
      <c r="AW275" t="b">
        <f>+ISNUMBER(SEARCH(CompConta!$F$22,Tabla11[[#This Row],[Cuenta]],1))</f>
        <v>1</v>
      </c>
      <c r="AX275" t="b">
        <f>+ISNUMBER(SEARCH(CompConta!$F$23,Tabla11[[#This Row],[Cuenta]],1))</f>
        <v>1</v>
      </c>
      <c r="AY275" t="b">
        <f>+ISNUMBER(SEARCH(CompConta!$F$24,Tabla11[[#This Row],[Cuenta]],1))</f>
        <v>1</v>
      </c>
      <c r="AZ275" t="b">
        <f>+ISNUMBER(SEARCH(CompConta!$F$25,Tabla11[[#This Row],[Cuenta]],1))</f>
        <v>1</v>
      </c>
      <c r="BA275" t="b">
        <f>+ISNUMBER(SEARCH(CompConta!$F$26,Tabla11[[#This Row],[Cuenta]],1))</f>
        <v>1</v>
      </c>
      <c r="BB275" t="b">
        <f>+ISNUMBER(SEARCH(CompConta!$F$27,Tabla11[[#This Row],[Cuenta]],1))</f>
        <v>1</v>
      </c>
      <c r="BC275" t="b">
        <f>+ISNUMBER(SEARCH(CompConta!$F$28,Tabla11[[#This Row],[Cuenta]],1))</f>
        <v>1</v>
      </c>
      <c r="BD275" t="b">
        <f>+ISNUMBER(SEARCH(CompConta!$F$29,Tabla11[[#This Row],[Cuenta]],1))</f>
        <v>1</v>
      </c>
      <c r="BE275" t="b">
        <f>+ISNUMBER(SEARCH(CompConta!$F$30,Tabla11[[#This Row],[Cuenta]],1))</f>
        <v>1</v>
      </c>
      <c r="BF275" t="b">
        <f>+ISNUMBER(SEARCH('PAGO Compras'!$E$11,Tabla11[[#This Row],[Cuenta]],1))</f>
        <v>1</v>
      </c>
      <c r="BG275" t="b">
        <f>+ISNUMBER(SEARCH(#REF!,Tabla11[[#This Row],[Cuenta]],1))</f>
        <v>0</v>
      </c>
      <c r="BH275" t="b">
        <f>+ISNUMBER(SEARCH(#REF!,Tabla11[[#This Row],[Cuenta]],1))</f>
        <v>0</v>
      </c>
      <c r="BI275" t="b">
        <f>+ISNUMBER(SEARCH(#REF!,Tabla11[[#This Row],[Cuenta]],1))</f>
        <v>0</v>
      </c>
      <c r="BJ275" t="b">
        <f>+ISNUMBER(SEARCH(#REF!,Tabla11[[#This Row],[Cuenta]],1))</f>
        <v>0</v>
      </c>
      <c r="BS275" t="str">
        <v>16 INTANGIBLES</v>
      </c>
      <c r="BT275" t="str">
        <v>16 INTANGIBLES</v>
      </c>
      <c r="BU275" t="str">
        <v>16 INTANGIBLES</v>
      </c>
      <c r="BV275" t="str">
        <v>16 INTANGIBLES</v>
      </c>
      <c r="BZ275" t="str">
        <v>16 INTANGIBLES</v>
      </c>
      <c r="CA275" t="str">
        <v>16 INTANGIBLES</v>
      </c>
      <c r="CB275" t="str">
        <v>16 INTANGIBLES</v>
      </c>
      <c r="CC275" t="str">
        <v>16 INTANGIBLES</v>
      </c>
      <c r="CD275" t="str">
        <v>16 INTANGIBLES</v>
      </c>
      <c r="CE275" t="str">
        <v>16 INTANGIBLES</v>
      </c>
      <c r="CS275" s="141" t="str">
        <v>16 INTANGIBLES</v>
      </c>
      <c r="CT275" s="141" t="str">
        <v>16 INTANGIBLES</v>
      </c>
      <c r="CU275" s="141" t="str">
        <v>16 INTANGIBLES</v>
      </c>
      <c r="CV275" s="141" t="str">
        <v>16 INTANGIBLES</v>
      </c>
      <c r="CW275" s="141" t="str">
        <v>16 INTANGIBLES</v>
      </c>
      <c r="CX275" s="141" t="str">
        <v>16 INTANGIBLES</v>
      </c>
      <c r="CY275" s="141" t="str">
        <v>16 INTANGIBLES</v>
      </c>
      <c r="CZ275" s="141" t="str">
        <v>16 INTANGIBLES</v>
      </c>
      <c r="DA275" s="141" t="str">
        <v>16 INTANGIBLES</v>
      </c>
      <c r="DF275" t="str">
        <v>16 INTANGIBLES</v>
      </c>
      <c r="DG275" t="str">
        <v>16 INTANGIBLES</v>
      </c>
      <c r="DH275" t="str">
        <v>16 INTANGIBLES</v>
      </c>
      <c r="DI275" t="str">
        <v>16 INTANGIBLES</v>
      </c>
      <c r="DJ275" t="str">
        <v>16 INTANGIBLES</v>
      </c>
      <c r="DK275" t="str">
        <v>16 INTANGIBLES</v>
      </c>
      <c r="DL275" t="str">
        <v>16 INTANGIBLES</v>
      </c>
      <c r="DM275" t="str">
        <v>16 INTANGIBLES</v>
      </c>
      <c r="DN275" t="str">
        <v>16 INTANGIBLES</v>
      </c>
      <c r="DO275" t="str">
        <v>16 INTANGIBLES</v>
      </c>
      <c r="DP275" t="str">
        <v>16 INTANGIBLES</v>
      </c>
    </row>
    <row r="276" spans="4:120" ht="12.75">
      <c r="D276" s="7">
        <v>1605</v>
      </c>
      <c r="E276" s="6" t="s">
        <v>229</v>
      </c>
      <c r="F276" s="5">
        <v>3</v>
      </c>
      <c r="G276" s="34" t="s">
        <v>822</v>
      </c>
      <c r="H276" s="8" t="s">
        <v>32</v>
      </c>
      <c r="I276" t="b">
        <f>+ISNUMBER(SEARCH('F-COMPRA'!$F$28,Tabla11[[#This Row],[Cuenta]],1))</f>
        <v>1</v>
      </c>
      <c r="J276" t="b">
        <f>+ISNUMBER(SEARCH('F-COMPRA'!$F$29,Tabla11[[#This Row],[Cuenta]],1))</f>
        <v>1</v>
      </c>
      <c r="K276" t="b">
        <f>+ISNUMBER(SEARCH('F-COMPRA'!$F$30,Tabla11[[#This Row],[Cuenta]],1))</f>
        <v>1</v>
      </c>
      <c r="L276" t="b">
        <f>+ISNUMBER(SEARCH('F-COMPRA'!$F$31,Tabla11[[#This Row],[Cuenta]],1))</f>
        <v>1</v>
      </c>
      <c r="M276" t="b">
        <f>+ISNUMBER(SEARCH('F-COMPRA'!$G$25,Tabla11[[#This Row],[Cuenta]],1))</f>
        <v>0</v>
      </c>
      <c r="N276" t="b">
        <f>+ISNUMBER(SEARCH(#REF!,Tabla11[[#This Row],[Cuenta]],1))</f>
        <v>0</v>
      </c>
      <c r="O276" t="b">
        <f>+ISNUMBER(SEARCH(#REF!,Tabla11[[#This Row],[Cuenta]],1))</f>
        <v>0</v>
      </c>
      <c r="P276" t="b">
        <f>+ISNUMBER(SEARCH('F-COMPRA'!$F$32,Tabla11[[#This Row],[Cuenta]],1))</f>
        <v>1</v>
      </c>
      <c r="Q276" t="b">
        <f>+ISNUMBER(SEARCH('F-COMPRA'!$F$33,Tabla11[[#This Row],[Cuenta]],1))</f>
        <v>1</v>
      </c>
      <c r="R276" t="b">
        <f>+ISNUMBER(SEARCH('F-COMPRA'!$F$34,Tabla11[[#This Row],[Cuenta]],1))</f>
        <v>1</v>
      </c>
      <c r="S276" t="b">
        <f>+ISNUMBER(SEARCH('F-COMPRA'!$F$35,Tabla11[[#This Row],[Cuenta]],1))</f>
        <v>1</v>
      </c>
      <c r="T276" t="b">
        <f>+ISNUMBER(SEARCH('F-COMPRA'!$F$36,Tabla11[[#This Row],[Cuenta]],1))</f>
        <v>1</v>
      </c>
      <c r="U276" t="b">
        <f>+ISNUMBER(SEARCH('F-COMPRA'!$F$37,Tabla11[[#This Row],[Cuenta]],1))</f>
        <v>1</v>
      </c>
      <c r="V276" t="b">
        <f>+ISNUMBER(SEARCH(#REF!,Tabla11[[#This Row],[Cuenta]],1))</f>
        <v>0</v>
      </c>
      <c r="W276" t="b">
        <f>+ISNUMBER(SEARCH('F-COMPRA'!#REF!,Tabla11[[#This Row],[Cuenta]],1))</f>
        <v>0</v>
      </c>
      <c r="X276" t="b">
        <f>+ISNUMBER(SEARCH('F-COMPRA'!#REF!,Tabla11[[#This Row],[Cuenta]],1))</f>
        <v>0</v>
      </c>
      <c r="Y276" t="b">
        <f>+ISNUMBER(SEARCH('F-COMPRA'!#REF!,Tabla11[[#This Row],[Cuenta]],1))</f>
        <v>0</v>
      </c>
      <c r="Z276" t="b">
        <f>+ISNUMBER(SEARCH('F-COMPRA'!#REF!,Tabla11[[#This Row],[Cuenta]],1))</f>
        <v>0</v>
      </c>
      <c r="AA276" t="b">
        <f>+ISNUMBER(SEARCH('F-COMPRA'!#REF!,Tabla11[[#This Row],[Cuenta]],1))</f>
        <v>0</v>
      </c>
      <c r="AB276" t="b">
        <f>+ISNUMBER(SEARCH('F-COMPRA'!#REF!,Tabla11[[#This Row],[Cuenta]],1))</f>
        <v>0</v>
      </c>
      <c r="AC276" t="b">
        <f>+ISNUMBER(SEARCH('F-COMPRA'!#REF!,Tabla11[[#This Row],[Cuenta]],1))</f>
        <v>0</v>
      </c>
      <c r="AD276" t="b">
        <f>+ISNUMBER(SEARCH('F-COMPRA'!#REF!,Tabla11[[#This Row],[Cuenta]],1))</f>
        <v>0</v>
      </c>
      <c r="AE276" t="b">
        <f>+ISNUMBER(SEARCH('F-COMPRA'!#REF!,Tabla11[[#This Row],[Cuenta]],1))</f>
        <v>0</v>
      </c>
      <c r="AF276" t="b">
        <f>+ISNUMBER(SEARCH('F-VTA'!$G$23,Tabla11[[#This Row],[Cuenta]],1))</f>
        <v>0</v>
      </c>
      <c r="AG276" t="b">
        <f>+ISNUMBER(SEARCH('F-VTA'!$G$24,Tabla11[[#This Row],[Cuenta]],1))</f>
        <v>0</v>
      </c>
      <c r="AH276" t="b">
        <f>+ISNUMBER(SEARCH('F-VTA'!$G$25,Tabla11[[#This Row],[Cuenta]],1))</f>
        <v>0</v>
      </c>
      <c r="AI276" t="b">
        <f>+ISNUMBER(SEARCH('F-VTA'!$F$28,Tabla11[[#This Row],[Cuenta]],1))</f>
        <v>1</v>
      </c>
      <c r="AJ276" t="b">
        <f>+ISNUMBER(SEARCH('F-VTA'!$F$29,Tabla11[[#This Row],[Cuenta]],1))</f>
        <v>1</v>
      </c>
      <c r="AK276" t="b">
        <f>+ISNUMBER(SEARCH('F-VTA'!$F$30,Tabla11[[#This Row],[Cuenta]],1))</f>
        <v>1</v>
      </c>
      <c r="AL276" t="b">
        <f>+ISNUMBER(SEARCH('F-VTA'!$F$31,Tabla11[[#This Row],[Cuenta]],1))</f>
        <v>1</v>
      </c>
      <c r="AM276" t="b">
        <f>+ISNUMBER(SEARCH('F-VTA'!$F$32,Tabla11[[#This Row],[Cuenta]],1))</f>
        <v>1</v>
      </c>
      <c r="AN276" t="b">
        <f>+ISNUMBER(SEARCH('F-VTA'!$F$33,Tabla11[[#This Row],[Cuenta]],1))</f>
        <v>1</v>
      </c>
      <c r="AO276" t="b">
        <f>+ISNUMBER(SEARCH('F-VTA'!$F$34,Tabla11[[#This Row],[Cuenta]],1))</f>
        <v>1</v>
      </c>
      <c r="AP276" t="b">
        <f>+ISNUMBER(SEARCH('F-VTA'!$F$35,Tabla11[[#This Row],[Cuenta]],1))</f>
        <v>1</v>
      </c>
      <c r="AQ276" t="b">
        <f>+ISNUMBER(SEARCH('F-VTA'!$F$36,Tabla11[[#This Row],[Cuenta]],1))</f>
        <v>1</v>
      </c>
      <c r="AR276" t="b">
        <f>+ISNUMBER(SEARCH(#REF!,Tabla11[[#This Row],[Cuenta]],1))</f>
        <v>0</v>
      </c>
      <c r="AS276" t="b">
        <f>+ISNUMBER(SEARCH(#REF!,Tabla11[[#This Row],[Cuenta]],1))</f>
        <v>0</v>
      </c>
      <c r="AT276" t="b">
        <f>+ISNUMBER(SEARCH(#REF!,Tabla11[[#This Row],[Cuenta]],1))</f>
        <v>0</v>
      </c>
      <c r="AU276" t="b">
        <f>+ISNUMBER(SEARCH('Conc. Ban.1'!$I$9,Tabla11[[#This Row],[Cuenta]],1))</f>
        <v>0</v>
      </c>
      <c r="AV276" t="b">
        <f>+ISNUMBER(SEARCH(CompConta!$F$21,Tabla11[[#This Row],[Cuenta]],1))</f>
        <v>1</v>
      </c>
      <c r="AW276" t="b">
        <f>+ISNUMBER(SEARCH(CompConta!$F$22,Tabla11[[#This Row],[Cuenta]],1))</f>
        <v>1</v>
      </c>
      <c r="AX276" t="b">
        <f>+ISNUMBER(SEARCH(CompConta!$F$23,Tabla11[[#This Row],[Cuenta]],1))</f>
        <v>1</v>
      </c>
      <c r="AY276" t="b">
        <f>+ISNUMBER(SEARCH(CompConta!$F$24,Tabla11[[#This Row],[Cuenta]],1))</f>
        <v>1</v>
      </c>
      <c r="AZ276" t="b">
        <f>+ISNUMBER(SEARCH(CompConta!$F$25,Tabla11[[#This Row],[Cuenta]],1))</f>
        <v>1</v>
      </c>
      <c r="BA276" t="b">
        <f>+ISNUMBER(SEARCH(CompConta!$F$26,Tabla11[[#This Row],[Cuenta]],1))</f>
        <v>1</v>
      </c>
      <c r="BB276" t="b">
        <f>+ISNUMBER(SEARCH(CompConta!$F$27,Tabla11[[#This Row],[Cuenta]],1))</f>
        <v>1</v>
      </c>
      <c r="BC276" t="b">
        <f>+ISNUMBER(SEARCH(CompConta!$F$28,Tabla11[[#This Row],[Cuenta]],1))</f>
        <v>1</v>
      </c>
      <c r="BD276" t="b">
        <f>+ISNUMBER(SEARCH(CompConta!$F$29,Tabla11[[#This Row],[Cuenta]],1))</f>
        <v>1</v>
      </c>
      <c r="BE276" t="b">
        <f>+ISNUMBER(SEARCH(CompConta!$F$30,Tabla11[[#This Row],[Cuenta]],1))</f>
        <v>1</v>
      </c>
      <c r="BF276" t="b">
        <f>+ISNUMBER(SEARCH('PAGO Compras'!$E$11,Tabla11[[#This Row],[Cuenta]],1))</f>
        <v>1</v>
      </c>
      <c r="BG276" t="b">
        <f>+ISNUMBER(SEARCH(#REF!,Tabla11[[#This Row],[Cuenta]],1))</f>
        <v>0</v>
      </c>
      <c r="BH276" t="b">
        <f>+ISNUMBER(SEARCH(#REF!,Tabla11[[#This Row],[Cuenta]],1))</f>
        <v>0</v>
      </c>
      <c r="BI276" t="b">
        <f>+ISNUMBER(SEARCH(#REF!,Tabla11[[#This Row],[Cuenta]],1))</f>
        <v>0</v>
      </c>
      <c r="BJ276" t="b">
        <f>+ISNUMBER(SEARCH(#REF!,Tabla11[[#This Row],[Cuenta]],1))</f>
        <v>0</v>
      </c>
      <c r="BS276" t="str">
        <v>1605 CRÉDITO MERCANTIL</v>
      </c>
      <c r="BT276" t="str">
        <v>1605 CRÉDITO MERCANTIL</v>
      </c>
      <c r="BU276" t="str">
        <v>1605 CRÉDITO MERCANTIL</v>
      </c>
      <c r="BV276" t="str">
        <v>1605 CRÉDITO MERCANTIL</v>
      </c>
      <c r="BZ276" t="str">
        <v>1605 CRÉDITO MERCANTIL</v>
      </c>
      <c r="CA276" t="str">
        <v>1605 CRÉDITO MERCANTIL</v>
      </c>
      <c r="CB276" t="str">
        <v>1605 CRÉDITO MERCANTIL</v>
      </c>
      <c r="CC276" t="str">
        <v>1605 CRÉDITO MERCANTIL</v>
      </c>
      <c r="CD276" t="str">
        <v>1605 CRÉDITO MERCANTIL</v>
      </c>
      <c r="CE276" t="str">
        <v>1605 CRÉDITO MERCANTIL</v>
      </c>
      <c r="CS276" s="141" t="str">
        <v>1605 CRÉDITO MERCANTIL</v>
      </c>
      <c r="CT276" s="141" t="str">
        <v>1605 CRÉDITO MERCANTIL</v>
      </c>
      <c r="CU276" s="141" t="str">
        <v>1605 CRÉDITO MERCANTIL</v>
      </c>
      <c r="CV276" s="141" t="str">
        <v>1605 CRÉDITO MERCANTIL</v>
      </c>
      <c r="CW276" s="141" t="str">
        <v>1605 CRÉDITO MERCANTIL</v>
      </c>
      <c r="CX276" s="141" t="str">
        <v>1605 CRÉDITO MERCANTIL</v>
      </c>
      <c r="CY276" s="141" t="str">
        <v>1605 CRÉDITO MERCANTIL</v>
      </c>
      <c r="CZ276" s="141" t="str">
        <v>1605 CRÉDITO MERCANTIL</v>
      </c>
      <c r="DA276" s="141" t="str">
        <v>1605 CRÉDITO MERCANTIL</v>
      </c>
      <c r="DF276" t="str">
        <v>1605 CRÉDITO MERCANTIL</v>
      </c>
      <c r="DG276" t="str">
        <v>1605 CRÉDITO MERCANTIL</v>
      </c>
      <c r="DH276" t="str">
        <v>1605 CRÉDITO MERCANTIL</v>
      </c>
      <c r="DI276" t="str">
        <v>1605 CRÉDITO MERCANTIL</v>
      </c>
      <c r="DJ276" t="str">
        <v>1605 CRÉDITO MERCANTIL</v>
      </c>
      <c r="DK276" t="str">
        <v>1605 CRÉDITO MERCANTIL</v>
      </c>
      <c r="DL276" t="str">
        <v>1605 CRÉDITO MERCANTIL</v>
      </c>
      <c r="DM276" t="str">
        <v>1605 CRÉDITO MERCANTIL</v>
      </c>
      <c r="DN276" t="str">
        <v>1605 CRÉDITO MERCANTIL</v>
      </c>
      <c r="DO276" t="str">
        <v>1605 CRÉDITO MERCANTIL</v>
      </c>
      <c r="DP276" t="str">
        <v>1605 CRÉDITO MERCANTIL</v>
      </c>
    </row>
    <row r="277" spans="4:120" ht="12.75">
      <c r="D277" s="7">
        <v>160505</v>
      </c>
      <c r="E277" s="6" t="s">
        <v>230</v>
      </c>
      <c r="F277" s="5">
        <v>4</v>
      </c>
      <c r="G277" s="34" t="s">
        <v>822</v>
      </c>
      <c r="H277" s="8" t="s">
        <v>32</v>
      </c>
      <c r="I277" t="b">
        <f>+ISNUMBER(SEARCH('F-COMPRA'!$F$28,Tabla11[[#This Row],[Cuenta]],1))</f>
        <v>1</v>
      </c>
      <c r="J277" t="b">
        <f>+ISNUMBER(SEARCH('F-COMPRA'!$F$29,Tabla11[[#This Row],[Cuenta]],1))</f>
        <v>1</v>
      </c>
      <c r="K277" t="b">
        <f>+ISNUMBER(SEARCH('F-COMPRA'!$F$30,Tabla11[[#This Row],[Cuenta]],1))</f>
        <v>1</v>
      </c>
      <c r="L277" t="b">
        <f>+ISNUMBER(SEARCH('F-COMPRA'!$F$31,Tabla11[[#This Row],[Cuenta]],1))</f>
        <v>1</v>
      </c>
      <c r="M277" t="b">
        <f>+ISNUMBER(SEARCH('F-COMPRA'!$G$25,Tabla11[[#This Row],[Cuenta]],1))</f>
        <v>0</v>
      </c>
      <c r="N277" t="b">
        <f>+ISNUMBER(SEARCH(#REF!,Tabla11[[#This Row],[Cuenta]],1))</f>
        <v>0</v>
      </c>
      <c r="O277" t="b">
        <f>+ISNUMBER(SEARCH(#REF!,Tabla11[[#This Row],[Cuenta]],1))</f>
        <v>0</v>
      </c>
      <c r="P277" t="b">
        <f>+ISNUMBER(SEARCH('F-COMPRA'!$F$32,Tabla11[[#This Row],[Cuenta]],1))</f>
        <v>1</v>
      </c>
      <c r="Q277" t="b">
        <f>+ISNUMBER(SEARCH('F-COMPRA'!$F$33,Tabla11[[#This Row],[Cuenta]],1))</f>
        <v>1</v>
      </c>
      <c r="R277" t="b">
        <f>+ISNUMBER(SEARCH('F-COMPRA'!$F$34,Tabla11[[#This Row],[Cuenta]],1))</f>
        <v>1</v>
      </c>
      <c r="S277" t="b">
        <f>+ISNUMBER(SEARCH('F-COMPRA'!$F$35,Tabla11[[#This Row],[Cuenta]],1))</f>
        <v>1</v>
      </c>
      <c r="T277" t="b">
        <f>+ISNUMBER(SEARCH('F-COMPRA'!$F$36,Tabla11[[#This Row],[Cuenta]],1))</f>
        <v>1</v>
      </c>
      <c r="U277" t="b">
        <f>+ISNUMBER(SEARCH('F-COMPRA'!$F$37,Tabla11[[#This Row],[Cuenta]],1))</f>
        <v>1</v>
      </c>
      <c r="V277" t="b">
        <f>+ISNUMBER(SEARCH(#REF!,Tabla11[[#This Row],[Cuenta]],1))</f>
        <v>0</v>
      </c>
      <c r="W277" t="b">
        <f>+ISNUMBER(SEARCH('F-COMPRA'!#REF!,Tabla11[[#This Row],[Cuenta]],1))</f>
        <v>0</v>
      </c>
      <c r="X277" t="b">
        <f>+ISNUMBER(SEARCH('F-COMPRA'!#REF!,Tabla11[[#This Row],[Cuenta]],1))</f>
        <v>0</v>
      </c>
      <c r="Y277" t="b">
        <f>+ISNUMBER(SEARCH('F-COMPRA'!#REF!,Tabla11[[#This Row],[Cuenta]],1))</f>
        <v>0</v>
      </c>
      <c r="Z277" t="b">
        <f>+ISNUMBER(SEARCH('F-COMPRA'!#REF!,Tabla11[[#This Row],[Cuenta]],1))</f>
        <v>0</v>
      </c>
      <c r="AA277" t="b">
        <f>+ISNUMBER(SEARCH('F-COMPRA'!#REF!,Tabla11[[#This Row],[Cuenta]],1))</f>
        <v>0</v>
      </c>
      <c r="AB277" t="b">
        <f>+ISNUMBER(SEARCH('F-COMPRA'!#REF!,Tabla11[[#This Row],[Cuenta]],1))</f>
        <v>0</v>
      </c>
      <c r="AC277" t="b">
        <f>+ISNUMBER(SEARCH('F-COMPRA'!#REF!,Tabla11[[#This Row],[Cuenta]],1))</f>
        <v>0</v>
      </c>
      <c r="AD277" t="b">
        <f>+ISNUMBER(SEARCH('F-COMPRA'!#REF!,Tabla11[[#This Row],[Cuenta]],1))</f>
        <v>0</v>
      </c>
      <c r="AE277" t="b">
        <f>+ISNUMBER(SEARCH('F-COMPRA'!#REF!,Tabla11[[#This Row],[Cuenta]],1))</f>
        <v>0</v>
      </c>
      <c r="AF277" t="b">
        <f>+ISNUMBER(SEARCH('F-VTA'!$G$23,Tabla11[[#This Row],[Cuenta]],1))</f>
        <v>0</v>
      </c>
      <c r="AG277" t="b">
        <f>+ISNUMBER(SEARCH('F-VTA'!$G$24,Tabla11[[#This Row],[Cuenta]],1))</f>
        <v>0</v>
      </c>
      <c r="AH277" t="b">
        <f>+ISNUMBER(SEARCH('F-VTA'!$G$25,Tabla11[[#This Row],[Cuenta]],1))</f>
        <v>0</v>
      </c>
      <c r="AI277" t="b">
        <f>+ISNUMBER(SEARCH('F-VTA'!$F$28,Tabla11[[#This Row],[Cuenta]],1))</f>
        <v>1</v>
      </c>
      <c r="AJ277" t="b">
        <f>+ISNUMBER(SEARCH('F-VTA'!$F$29,Tabla11[[#This Row],[Cuenta]],1))</f>
        <v>1</v>
      </c>
      <c r="AK277" t="b">
        <f>+ISNUMBER(SEARCH('F-VTA'!$F$30,Tabla11[[#This Row],[Cuenta]],1))</f>
        <v>1</v>
      </c>
      <c r="AL277" t="b">
        <f>+ISNUMBER(SEARCH('F-VTA'!$F$31,Tabla11[[#This Row],[Cuenta]],1))</f>
        <v>1</v>
      </c>
      <c r="AM277" t="b">
        <f>+ISNUMBER(SEARCH('F-VTA'!$F$32,Tabla11[[#This Row],[Cuenta]],1))</f>
        <v>1</v>
      </c>
      <c r="AN277" t="b">
        <f>+ISNUMBER(SEARCH('F-VTA'!$F$33,Tabla11[[#This Row],[Cuenta]],1))</f>
        <v>1</v>
      </c>
      <c r="AO277" t="b">
        <f>+ISNUMBER(SEARCH('F-VTA'!$F$34,Tabla11[[#This Row],[Cuenta]],1))</f>
        <v>1</v>
      </c>
      <c r="AP277" t="b">
        <f>+ISNUMBER(SEARCH('F-VTA'!$F$35,Tabla11[[#This Row],[Cuenta]],1))</f>
        <v>1</v>
      </c>
      <c r="AQ277" t="b">
        <f>+ISNUMBER(SEARCH('F-VTA'!$F$36,Tabla11[[#This Row],[Cuenta]],1))</f>
        <v>1</v>
      </c>
      <c r="AR277" t="b">
        <f>+ISNUMBER(SEARCH(#REF!,Tabla11[[#This Row],[Cuenta]],1))</f>
        <v>0</v>
      </c>
      <c r="AS277" t="b">
        <f>+ISNUMBER(SEARCH(#REF!,Tabla11[[#This Row],[Cuenta]],1))</f>
        <v>0</v>
      </c>
      <c r="AT277" t="b">
        <f>+ISNUMBER(SEARCH(#REF!,Tabla11[[#This Row],[Cuenta]],1))</f>
        <v>0</v>
      </c>
      <c r="AU277" t="b">
        <f>+ISNUMBER(SEARCH('Conc. Ban.1'!$I$9,Tabla11[[#This Row],[Cuenta]],1))</f>
        <v>0</v>
      </c>
      <c r="AV277" t="b">
        <f>+ISNUMBER(SEARCH(CompConta!$F$21,Tabla11[[#This Row],[Cuenta]],1))</f>
        <v>1</v>
      </c>
      <c r="AW277" t="b">
        <f>+ISNUMBER(SEARCH(CompConta!$F$22,Tabla11[[#This Row],[Cuenta]],1))</f>
        <v>1</v>
      </c>
      <c r="AX277" t="b">
        <f>+ISNUMBER(SEARCH(CompConta!$F$23,Tabla11[[#This Row],[Cuenta]],1))</f>
        <v>1</v>
      </c>
      <c r="AY277" t="b">
        <f>+ISNUMBER(SEARCH(CompConta!$F$24,Tabla11[[#This Row],[Cuenta]],1))</f>
        <v>1</v>
      </c>
      <c r="AZ277" t="b">
        <f>+ISNUMBER(SEARCH(CompConta!$F$25,Tabla11[[#This Row],[Cuenta]],1))</f>
        <v>1</v>
      </c>
      <c r="BA277" t="b">
        <f>+ISNUMBER(SEARCH(CompConta!$F$26,Tabla11[[#This Row],[Cuenta]],1))</f>
        <v>1</v>
      </c>
      <c r="BB277" t="b">
        <f>+ISNUMBER(SEARCH(CompConta!$F$27,Tabla11[[#This Row],[Cuenta]],1))</f>
        <v>1</v>
      </c>
      <c r="BC277" t="b">
        <f>+ISNUMBER(SEARCH(CompConta!$F$28,Tabla11[[#This Row],[Cuenta]],1))</f>
        <v>1</v>
      </c>
      <c r="BD277" t="b">
        <f>+ISNUMBER(SEARCH(CompConta!$F$29,Tabla11[[#This Row],[Cuenta]],1))</f>
        <v>1</v>
      </c>
      <c r="BE277" t="b">
        <f>+ISNUMBER(SEARCH(CompConta!$F$30,Tabla11[[#This Row],[Cuenta]],1))</f>
        <v>1</v>
      </c>
      <c r="BF277" t="b">
        <f>+ISNUMBER(SEARCH('PAGO Compras'!$E$11,Tabla11[[#This Row],[Cuenta]],1))</f>
        <v>1</v>
      </c>
      <c r="BG277" t="b">
        <f>+ISNUMBER(SEARCH(#REF!,Tabla11[[#This Row],[Cuenta]],1))</f>
        <v>0</v>
      </c>
      <c r="BH277" t="b">
        <f>+ISNUMBER(SEARCH(#REF!,Tabla11[[#This Row],[Cuenta]],1))</f>
        <v>0</v>
      </c>
      <c r="BI277" t="b">
        <f>+ISNUMBER(SEARCH(#REF!,Tabla11[[#This Row],[Cuenta]],1))</f>
        <v>0</v>
      </c>
      <c r="BJ277" t="b">
        <f>+ISNUMBER(SEARCH(#REF!,Tabla11[[#This Row],[Cuenta]],1))</f>
        <v>0</v>
      </c>
      <c r="BS277" t="str">
        <v>160505 Formado o estimado</v>
      </c>
      <c r="BT277" t="str">
        <v>160505 Formado o estimado</v>
      </c>
      <c r="BU277" t="str">
        <v>160505 Formado o estimado</v>
      </c>
      <c r="BV277" t="str">
        <v>160505 Formado o estimado</v>
      </c>
      <c r="BZ277" t="str">
        <v>160505 Formado o estimado</v>
      </c>
      <c r="CA277" t="str">
        <v>160505 Formado o estimado</v>
      </c>
      <c r="CB277" t="str">
        <v>160505 Formado o estimado</v>
      </c>
      <c r="CC277" t="str">
        <v>160505 Formado o estimado</v>
      </c>
      <c r="CD277" t="str">
        <v>160505 Formado o estimado</v>
      </c>
      <c r="CE277" t="str">
        <v>160505 Formado o estimado</v>
      </c>
      <c r="CS277" s="141" t="str">
        <v>160505 Formado o estimado</v>
      </c>
      <c r="CT277" s="141" t="str">
        <v>160505 Formado o estimado</v>
      </c>
      <c r="CU277" s="141" t="str">
        <v>160505 Formado o estimado</v>
      </c>
      <c r="CV277" s="141" t="str">
        <v>160505 Formado o estimado</v>
      </c>
      <c r="CW277" s="141" t="str">
        <v>160505 Formado o estimado</v>
      </c>
      <c r="CX277" s="141" t="str">
        <v>160505 Formado o estimado</v>
      </c>
      <c r="CY277" s="141" t="str">
        <v>160505 Formado o estimado</v>
      </c>
      <c r="CZ277" s="141" t="str">
        <v>160505 Formado o estimado</v>
      </c>
      <c r="DA277" s="141" t="str">
        <v>160505 Formado o estimado</v>
      </c>
      <c r="DF277" t="str">
        <v>160505 Formado o estimado</v>
      </c>
      <c r="DG277" t="str">
        <v>160505 Formado o estimado</v>
      </c>
      <c r="DH277" t="str">
        <v>160505 Formado o estimado</v>
      </c>
      <c r="DI277" t="str">
        <v>160505 Formado o estimado</v>
      </c>
      <c r="DJ277" t="str">
        <v>160505 Formado o estimado</v>
      </c>
      <c r="DK277" t="str">
        <v>160505 Formado o estimado</v>
      </c>
      <c r="DL277" t="str">
        <v>160505 Formado o estimado</v>
      </c>
      <c r="DM277" t="str">
        <v>160505 Formado o estimado</v>
      </c>
      <c r="DN277" t="str">
        <v>160505 Formado o estimado</v>
      </c>
      <c r="DO277" t="str">
        <v>160505 Formado o estimado</v>
      </c>
      <c r="DP277" t="str">
        <v>160505 Formado o estimado</v>
      </c>
    </row>
    <row r="278" spans="4:120" ht="12.75">
      <c r="D278" s="7">
        <v>160510</v>
      </c>
      <c r="E278" s="6" t="s">
        <v>231</v>
      </c>
      <c r="F278" s="5">
        <v>4</v>
      </c>
      <c r="G278" s="34" t="s">
        <v>822</v>
      </c>
      <c r="H278" s="8" t="s">
        <v>32</v>
      </c>
      <c r="I278" t="b">
        <f>+ISNUMBER(SEARCH('F-COMPRA'!$F$28,Tabla11[[#This Row],[Cuenta]],1))</f>
        <v>1</v>
      </c>
      <c r="J278" t="b">
        <f>+ISNUMBER(SEARCH('F-COMPRA'!$F$29,Tabla11[[#This Row],[Cuenta]],1))</f>
        <v>1</v>
      </c>
      <c r="K278" t="b">
        <f>+ISNUMBER(SEARCH('F-COMPRA'!$F$30,Tabla11[[#This Row],[Cuenta]],1))</f>
        <v>1</v>
      </c>
      <c r="L278" t="b">
        <f>+ISNUMBER(SEARCH('F-COMPRA'!$F$31,Tabla11[[#This Row],[Cuenta]],1))</f>
        <v>1</v>
      </c>
      <c r="M278" t="b">
        <f>+ISNUMBER(SEARCH('F-COMPRA'!$G$25,Tabla11[[#This Row],[Cuenta]],1))</f>
        <v>0</v>
      </c>
      <c r="N278" t="b">
        <f>+ISNUMBER(SEARCH(#REF!,Tabla11[[#This Row],[Cuenta]],1))</f>
        <v>0</v>
      </c>
      <c r="O278" t="b">
        <f>+ISNUMBER(SEARCH(#REF!,Tabla11[[#This Row],[Cuenta]],1))</f>
        <v>0</v>
      </c>
      <c r="P278" t="b">
        <f>+ISNUMBER(SEARCH('F-COMPRA'!$F$32,Tabla11[[#This Row],[Cuenta]],1))</f>
        <v>1</v>
      </c>
      <c r="Q278" t="b">
        <f>+ISNUMBER(SEARCH('F-COMPRA'!$F$33,Tabla11[[#This Row],[Cuenta]],1))</f>
        <v>1</v>
      </c>
      <c r="R278" t="b">
        <f>+ISNUMBER(SEARCH('F-COMPRA'!$F$34,Tabla11[[#This Row],[Cuenta]],1))</f>
        <v>1</v>
      </c>
      <c r="S278" t="b">
        <f>+ISNUMBER(SEARCH('F-COMPRA'!$F$35,Tabla11[[#This Row],[Cuenta]],1))</f>
        <v>1</v>
      </c>
      <c r="T278" t="b">
        <f>+ISNUMBER(SEARCH('F-COMPRA'!$F$36,Tabla11[[#This Row],[Cuenta]],1))</f>
        <v>1</v>
      </c>
      <c r="U278" t="b">
        <f>+ISNUMBER(SEARCH('F-COMPRA'!$F$37,Tabla11[[#This Row],[Cuenta]],1))</f>
        <v>1</v>
      </c>
      <c r="V278" t="b">
        <f>+ISNUMBER(SEARCH(#REF!,Tabla11[[#This Row],[Cuenta]],1))</f>
        <v>0</v>
      </c>
      <c r="W278" t="b">
        <f>+ISNUMBER(SEARCH('F-COMPRA'!#REF!,Tabla11[[#This Row],[Cuenta]],1))</f>
        <v>0</v>
      </c>
      <c r="X278" t="b">
        <f>+ISNUMBER(SEARCH('F-COMPRA'!#REF!,Tabla11[[#This Row],[Cuenta]],1))</f>
        <v>0</v>
      </c>
      <c r="Y278" t="b">
        <f>+ISNUMBER(SEARCH('F-COMPRA'!#REF!,Tabla11[[#This Row],[Cuenta]],1))</f>
        <v>0</v>
      </c>
      <c r="Z278" t="b">
        <f>+ISNUMBER(SEARCH('F-COMPRA'!#REF!,Tabla11[[#This Row],[Cuenta]],1))</f>
        <v>0</v>
      </c>
      <c r="AA278" t="b">
        <f>+ISNUMBER(SEARCH('F-COMPRA'!#REF!,Tabla11[[#This Row],[Cuenta]],1))</f>
        <v>0</v>
      </c>
      <c r="AB278" t="b">
        <f>+ISNUMBER(SEARCH('F-COMPRA'!#REF!,Tabla11[[#This Row],[Cuenta]],1))</f>
        <v>0</v>
      </c>
      <c r="AC278" t="b">
        <f>+ISNUMBER(SEARCH('F-COMPRA'!#REF!,Tabla11[[#This Row],[Cuenta]],1))</f>
        <v>0</v>
      </c>
      <c r="AD278" t="b">
        <f>+ISNUMBER(SEARCH('F-COMPRA'!#REF!,Tabla11[[#This Row],[Cuenta]],1))</f>
        <v>0</v>
      </c>
      <c r="AE278" t="b">
        <f>+ISNUMBER(SEARCH('F-COMPRA'!#REF!,Tabla11[[#This Row],[Cuenta]],1))</f>
        <v>0</v>
      </c>
      <c r="AF278" t="b">
        <f>+ISNUMBER(SEARCH('F-VTA'!$G$23,Tabla11[[#This Row],[Cuenta]],1))</f>
        <v>0</v>
      </c>
      <c r="AG278" t="b">
        <f>+ISNUMBER(SEARCH('F-VTA'!$G$24,Tabla11[[#This Row],[Cuenta]],1))</f>
        <v>0</v>
      </c>
      <c r="AH278" t="b">
        <f>+ISNUMBER(SEARCH('F-VTA'!$G$25,Tabla11[[#This Row],[Cuenta]],1))</f>
        <v>0</v>
      </c>
      <c r="AI278" t="b">
        <f>+ISNUMBER(SEARCH('F-VTA'!$F$28,Tabla11[[#This Row],[Cuenta]],1))</f>
        <v>1</v>
      </c>
      <c r="AJ278" t="b">
        <f>+ISNUMBER(SEARCH('F-VTA'!$F$29,Tabla11[[#This Row],[Cuenta]],1))</f>
        <v>1</v>
      </c>
      <c r="AK278" t="b">
        <f>+ISNUMBER(SEARCH('F-VTA'!$F$30,Tabla11[[#This Row],[Cuenta]],1))</f>
        <v>1</v>
      </c>
      <c r="AL278" t="b">
        <f>+ISNUMBER(SEARCH('F-VTA'!$F$31,Tabla11[[#This Row],[Cuenta]],1))</f>
        <v>1</v>
      </c>
      <c r="AM278" t="b">
        <f>+ISNUMBER(SEARCH('F-VTA'!$F$32,Tabla11[[#This Row],[Cuenta]],1))</f>
        <v>1</v>
      </c>
      <c r="AN278" t="b">
        <f>+ISNUMBER(SEARCH('F-VTA'!$F$33,Tabla11[[#This Row],[Cuenta]],1))</f>
        <v>1</v>
      </c>
      <c r="AO278" t="b">
        <f>+ISNUMBER(SEARCH('F-VTA'!$F$34,Tabla11[[#This Row],[Cuenta]],1))</f>
        <v>1</v>
      </c>
      <c r="AP278" t="b">
        <f>+ISNUMBER(SEARCH('F-VTA'!$F$35,Tabla11[[#This Row],[Cuenta]],1))</f>
        <v>1</v>
      </c>
      <c r="AQ278" t="b">
        <f>+ISNUMBER(SEARCH('F-VTA'!$F$36,Tabla11[[#This Row],[Cuenta]],1))</f>
        <v>1</v>
      </c>
      <c r="AR278" t="b">
        <f>+ISNUMBER(SEARCH(#REF!,Tabla11[[#This Row],[Cuenta]],1))</f>
        <v>0</v>
      </c>
      <c r="AS278" t="b">
        <f>+ISNUMBER(SEARCH(#REF!,Tabla11[[#This Row],[Cuenta]],1))</f>
        <v>0</v>
      </c>
      <c r="AT278" t="b">
        <f>+ISNUMBER(SEARCH(#REF!,Tabla11[[#This Row],[Cuenta]],1))</f>
        <v>0</v>
      </c>
      <c r="AU278" t="b">
        <f>+ISNUMBER(SEARCH('Conc. Ban.1'!$I$9,Tabla11[[#This Row],[Cuenta]],1))</f>
        <v>0</v>
      </c>
      <c r="AV278" t="b">
        <f>+ISNUMBER(SEARCH(CompConta!$F$21,Tabla11[[#This Row],[Cuenta]],1))</f>
        <v>1</v>
      </c>
      <c r="AW278" t="b">
        <f>+ISNUMBER(SEARCH(CompConta!$F$22,Tabla11[[#This Row],[Cuenta]],1))</f>
        <v>1</v>
      </c>
      <c r="AX278" t="b">
        <f>+ISNUMBER(SEARCH(CompConta!$F$23,Tabla11[[#This Row],[Cuenta]],1))</f>
        <v>1</v>
      </c>
      <c r="AY278" t="b">
        <f>+ISNUMBER(SEARCH(CompConta!$F$24,Tabla11[[#This Row],[Cuenta]],1))</f>
        <v>1</v>
      </c>
      <c r="AZ278" t="b">
        <f>+ISNUMBER(SEARCH(CompConta!$F$25,Tabla11[[#This Row],[Cuenta]],1))</f>
        <v>1</v>
      </c>
      <c r="BA278" t="b">
        <f>+ISNUMBER(SEARCH(CompConta!$F$26,Tabla11[[#This Row],[Cuenta]],1))</f>
        <v>1</v>
      </c>
      <c r="BB278" t="b">
        <f>+ISNUMBER(SEARCH(CompConta!$F$27,Tabla11[[#This Row],[Cuenta]],1))</f>
        <v>1</v>
      </c>
      <c r="BC278" t="b">
        <f>+ISNUMBER(SEARCH(CompConta!$F$28,Tabla11[[#This Row],[Cuenta]],1))</f>
        <v>1</v>
      </c>
      <c r="BD278" t="b">
        <f>+ISNUMBER(SEARCH(CompConta!$F$29,Tabla11[[#This Row],[Cuenta]],1))</f>
        <v>1</v>
      </c>
      <c r="BE278" t="b">
        <f>+ISNUMBER(SEARCH(CompConta!$F$30,Tabla11[[#This Row],[Cuenta]],1))</f>
        <v>1</v>
      </c>
      <c r="BF278" t="b">
        <f>+ISNUMBER(SEARCH('PAGO Compras'!$E$11,Tabla11[[#This Row],[Cuenta]],1))</f>
        <v>1</v>
      </c>
      <c r="BG278" t="b">
        <f>+ISNUMBER(SEARCH(#REF!,Tabla11[[#This Row],[Cuenta]],1))</f>
        <v>0</v>
      </c>
      <c r="BH278" t="b">
        <f>+ISNUMBER(SEARCH(#REF!,Tabla11[[#This Row],[Cuenta]],1))</f>
        <v>0</v>
      </c>
      <c r="BI278" t="b">
        <f>+ISNUMBER(SEARCH(#REF!,Tabla11[[#This Row],[Cuenta]],1))</f>
        <v>0</v>
      </c>
      <c r="BJ278" t="b">
        <f>+ISNUMBER(SEARCH(#REF!,Tabla11[[#This Row],[Cuenta]],1))</f>
        <v>0</v>
      </c>
      <c r="BS278" t="str">
        <v>160510 Adquirido o comprado</v>
      </c>
      <c r="BT278" t="str">
        <v>160510 Adquirido o comprado</v>
      </c>
      <c r="BU278" t="str">
        <v>160510 Adquirido o comprado</v>
      </c>
      <c r="BV278" t="str">
        <v>160510 Adquirido o comprado</v>
      </c>
      <c r="BZ278" t="str">
        <v>160510 Adquirido o comprado</v>
      </c>
      <c r="CA278" t="str">
        <v>160510 Adquirido o comprado</v>
      </c>
      <c r="CB278" t="str">
        <v>160510 Adquirido o comprado</v>
      </c>
      <c r="CC278" t="str">
        <v>160510 Adquirido o comprado</v>
      </c>
      <c r="CD278" t="str">
        <v>160510 Adquirido o comprado</v>
      </c>
      <c r="CE278" t="str">
        <v>160510 Adquirido o comprado</v>
      </c>
      <c r="CS278" s="141" t="str">
        <v>160510 Adquirido o comprado</v>
      </c>
      <c r="CT278" s="141" t="str">
        <v>160510 Adquirido o comprado</v>
      </c>
      <c r="CU278" s="141" t="str">
        <v>160510 Adquirido o comprado</v>
      </c>
      <c r="CV278" s="141" t="str">
        <v>160510 Adquirido o comprado</v>
      </c>
      <c r="CW278" s="141" t="str">
        <v>160510 Adquirido o comprado</v>
      </c>
      <c r="CX278" s="141" t="str">
        <v>160510 Adquirido o comprado</v>
      </c>
      <c r="CY278" s="141" t="str">
        <v>160510 Adquirido o comprado</v>
      </c>
      <c r="CZ278" s="141" t="str">
        <v>160510 Adquirido o comprado</v>
      </c>
      <c r="DA278" s="141" t="str">
        <v>160510 Adquirido o comprado</v>
      </c>
      <c r="DF278" t="str">
        <v>160510 Adquirido o comprado</v>
      </c>
      <c r="DG278" t="str">
        <v>160510 Adquirido o comprado</v>
      </c>
      <c r="DH278" t="str">
        <v>160510 Adquirido o comprado</v>
      </c>
      <c r="DI278" t="str">
        <v>160510 Adquirido o comprado</v>
      </c>
      <c r="DJ278" t="str">
        <v>160510 Adquirido o comprado</v>
      </c>
      <c r="DK278" t="str">
        <v>160510 Adquirido o comprado</v>
      </c>
      <c r="DL278" t="str">
        <v>160510 Adquirido o comprado</v>
      </c>
      <c r="DM278" t="str">
        <v>160510 Adquirido o comprado</v>
      </c>
      <c r="DN278" t="str">
        <v>160510 Adquirido o comprado</v>
      </c>
      <c r="DO278" t="str">
        <v>160510 Adquirido o comprado</v>
      </c>
      <c r="DP278" t="str">
        <v>160510 Adquirido o comprado</v>
      </c>
    </row>
    <row r="279" spans="4:120" ht="12.75">
      <c r="D279" s="7">
        <v>160599</v>
      </c>
      <c r="E279" s="6" t="s">
        <v>44</v>
      </c>
      <c r="F279" s="5">
        <v>4</v>
      </c>
      <c r="G279" s="34" t="s">
        <v>822</v>
      </c>
      <c r="H279" s="8" t="s">
        <v>32</v>
      </c>
      <c r="I279" t="b">
        <f>+ISNUMBER(SEARCH('F-COMPRA'!$F$28,Tabla11[[#This Row],[Cuenta]],1))</f>
        <v>1</v>
      </c>
      <c r="J279" t="b">
        <f>+ISNUMBER(SEARCH('F-COMPRA'!$F$29,Tabla11[[#This Row],[Cuenta]],1))</f>
        <v>1</v>
      </c>
      <c r="K279" t="b">
        <f>+ISNUMBER(SEARCH('F-COMPRA'!$F$30,Tabla11[[#This Row],[Cuenta]],1))</f>
        <v>1</v>
      </c>
      <c r="L279" t="b">
        <f>+ISNUMBER(SEARCH('F-COMPRA'!$F$31,Tabla11[[#This Row],[Cuenta]],1))</f>
        <v>1</v>
      </c>
      <c r="M279" t="b">
        <f>+ISNUMBER(SEARCH('F-COMPRA'!$G$25,Tabla11[[#This Row],[Cuenta]],1))</f>
        <v>0</v>
      </c>
      <c r="N279" t="b">
        <f>+ISNUMBER(SEARCH(#REF!,Tabla11[[#This Row],[Cuenta]],1))</f>
        <v>0</v>
      </c>
      <c r="O279" t="b">
        <f>+ISNUMBER(SEARCH(#REF!,Tabla11[[#This Row],[Cuenta]],1))</f>
        <v>0</v>
      </c>
      <c r="P279" t="b">
        <f>+ISNUMBER(SEARCH('F-COMPRA'!$F$32,Tabla11[[#This Row],[Cuenta]],1))</f>
        <v>1</v>
      </c>
      <c r="Q279" t="b">
        <f>+ISNUMBER(SEARCH('F-COMPRA'!$F$33,Tabla11[[#This Row],[Cuenta]],1))</f>
        <v>1</v>
      </c>
      <c r="R279" t="b">
        <f>+ISNUMBER(SEARCH('F-COMPRA'!$F$34,Tabla11[[#This Row],[Cuenta]],1))</f>
        <v>1</v>
      </c>
      <c r="S279" t="b">
        <f>+ISNUMBER(SEARCH('F-COMPRA'!$F$35,Tabla11[[#This Row],[Cuenta]],1))</f>
        <v>1</v>
      </c>
      <c r="T279" t="b">
        <f>+ISNUMBER(SEARCH('F-COMPRA'!$F$36,Tabla11[[#This Row],[Cuenta]],1))</f>
        <v>1</v>
      </c>
      <c r="U279" t="b">
        <f>+ISNUMBER(SEARCH('F-COMPRA'!$F$37,Tabla11[[#This Row],[Cuenta]],1))</f>
        <v>1</v>
      </c>
      <c r="V279" t="b">
        <f>+ISNUMBER(SEARCH(#REF!,Tabla11[[#This Row],[Cuenta]],1))</f>
        <v>0</v>
      </c>
      <c r="W279" t="b">
        <f>+ISNUMBER(SEARCH('F-COMPRA'!#REF!,Tabla11[[#This Row],[Cuenta]],1))</f>
        <v>0</v>
      </c>
      <c r="X279" t="b">
        <f>+ISNUMBER(SEARCH('F-COMPRA'!#REF!,Tabla11[[#This Row],[Cuenta]],1))</f>
        <v>0</v>
      </c>
      <c r="Y279" t="b">
        <f>+ISNUMBER(SEARCH('F-COMPRA'!#REF!,Tabla11[[#This Row],[Cuenta]],1))</f>
        <v>0</v>
      </c>
      <c r="Z279" t="b">
        <f>+ISNUMBER(SEARCH('F-COMPRA'!#REF!,Tabla11[[#This Row],[Cuenta]],1))</f>
        <v>0</v>
      </c>
      <c r="AA279" t="b">
        <f>+ISNUMBER(SEARCH('F-COMPRA'!#REF!,Tabla11[[#This Row],[Cuenta]],1))</f>
        <v>0</v>
      </c>
      <c r="AB279" t="b">
        <f>+ISNUMBER(SEARCH('F-COMPRA'!#REF!,Tabla11[[#This Row],[Cuenta]],1))</f>
        <v>0</v>
      </c>
      <c r="AC279" t="b">
        <f>+ISNUMBER(SEARCH('F-COMPRA'!#REF!,Tabla11[[#This Row],[Cuenta]],1))</f>
        <v>0</v>
      </c>
      <c r="AD279" t="b">
        <f>+ISNUMBER(SEARCH('F-COMPRA'!#REF!,Tabla11[[#This Row],[Cuenta]],1))</f>
        <v>0</v>
      </c>
      <c r="AE279" t="b">
        <f>+ISNUMBER(SEARCH('F-COMPRA'!#REF!,Tabla11[[#This Row],[Cuenta]],1))</f>
        <v>0</v>
      </c>
      <c r="AF279" t="b">
        <f>+ISNUMBER(SEARCH('F-VTA'!$G$23,Tabla11[[#This Row],[Cuenta]],1))</f>
        <v>0</v>
      </c>
      <c r="AG279" t="b">
        <f>+ISNUMBER(SEARCH('F-VTA'!$G$24,Tabla11[[#This Row],[Cuenta]],1))</f>
        <v>0</v>
      </c>
      <c r="AH279" t="b">
        <f>+ISNUMBER(SEARCH('F-VTA'!$G$25,Tabla11[[#This Row],[Cuenta]],1))</f>
        <v>0</v>
      </c>
      <c r="AI279" t="b">
        <f>+ISNUMBER(SEARCH('F-VTA'!$F$28,Tabla11[[#This Row],[Cuenta]],1))</f>
        <v>1</v>
      </c>
      <c r="AJ279" t="b">
        <f>+ISNUMBER(SEARCH('F-VTA'!$F$29,Tabla11[[#This Row],[Cuenta]],1))</f>
        <v>1</v>
      </c>
      <c r="AK279" t="b">
        <f>+ISNUMBER(SEARCH('F-VTA'!$F$30,Tabla11[[#This Row],[Cuenta]],1))</f>
        <v>1</v>
      </c>
      <c r="AL279" t="b">
        <f>+ISNUMBER(SEARCH('F-VTA'!$F$31,Tabla11[[#This Row],[Cuenta]],1))</f>
        <v>1</v>
      </c>
      <c r="AM279" t="b">
        <f>+ISNUMBER(SEARCH('F-VTA'!$F$32,Tabla11[[#This Row],[Cuenta]],1))</f>
        <v>1</v>
      </c>
      <c r="AN279" t="b">
        <f>+ISNUMBER(SEARCH('F-VTA'!$F$33,Tabla11[[#This Row],[Cuenta]],1))</f>
        <v>1</v>
      </c>
      <c r="AO279" t="b">
        <f>+ISNUMBER(SEARCH('F-VTA'!$F$34,Tabla11[[#This Row],[Cuenta]],1))</f>
        <v>1</v>
      </c>
      <c r="AP279" t="b">
        <f>+ISNUMBER(SEARCH('F-VTA'!$F$35,Tabla11[[#This Row],[Cuenta]],1))</f>
        <v>1</v>
      </c>
      <c r="AQ279" t="b">
        <f>+ISNUMBER(SEARCH('F-VTA'!$F$36,Tabla11[[#This Row],[Cuenta]],1))</f>
        <v>1</v>
      </c>
      <c r="AR279" t="b">
        <f>+ISNUMBER(SEARCH(#REF!,Tabla11[[#This Row],[Cuenta]],1))</f>
        <v>0</v>
      </c>
      <c r="AS279" t="b">
        <f>+ISNUMBER(SEARCH(#REF!,Tabla11[[#This Row],[Cuenta]],1))</f>
        <v>0</v>
      </c>
      <c r="AT279" t="b">
        <f>+ISNUMBER(SEARCH(#REF!,Tabla11[[#This Row],[Cuenta]],1))</f>
        <v>0</v>
      </c>
      <c r="AU279" t="b">
        <f>+ISNUMBER(SEARCH('Conc. Ban.1'!$I$9,Tabla11[[#This Row],[Cuenta]],1))</f>
        <v>0</v>
      </c>
      <c r="AV279" t="b">
        <f>+ISNUMBER(SEARCH(CompConta!$F$21,Tabla11[[#This Row],[Cuenta]],1))</f>
        <v>1</v>
      </c>
      <c r="AW279" t="b">
        <f>+ISNUMBER(SEARCH(CompConta!$F$22,Tabla11[[#This Row],[Cuenta]],1))</f>
        <v>1</v>
      </c>
      <c r="AX279" t="b">
        <f>+ISNUMBER(SEARCH(CompConta!$F$23,Tabla11[[#This Row],[Cuenta]],1))</f>
        <v>1</v>
      </c>
      <c r="AY279" t="b">
        <f>+ISNUMBER(SEARCH(CompConta!$F$24,Tabla11[[#This Row],[Cuenta]],1))</f>
        <v>1</v>
      </c>
      <c r="AZ279" t="b">
        <f>+ISNUMBER(SEARCH(CompConta!$F$25,Tabla11[[#This Row],[Cuenta]],1))</f>
        <v>1</v>
      </c>
      <c r="BA279" t="b">
        <f>+ISNUMBER(SEARCH(CompConta!$F$26,Tabla11[[#This Row],[Cuenta]],1))</f>
        <v>1</v>
      </c>
      <c r="BB279" t="b">
        <f>+ISNUMBER(SEARCH(CompConta!$F$27,Tabla11[[#This Row],[Cuenta]],1))</f>
        <v>1</v>
      </c>
      <c r="BC279" t="b">
        <f>+ISNUMBER(SEARCH(CompConta!$F$28,Tabla11[[#This Row],[Cuenta]],1))</f>
        <v>1</v>
      </c>
      <c r="BD279" t="b">
        <f>+ISNUMBER(SEARCH(CompConta!$F$29,Tabla11[[#This Row],[Cuenta]],1))</f>
        <v>1</v>
      </c>
      <c r="BE279" t="b">
        <f>+ISNUMBER(SEARCH(CompConta!$F$30,Tabla11[[#This Row],[Cuenta]],1))</f>
        <v>1</v>
      </c>
      <c r="BF279" t="b">
        <f>+ISNUMBER(SEARCH('PAGO Compras'!$E$11,Tabla11[[#This Row],[Cuenta]],1))</f>
        <v>1</v>
      </c>
      <c r="BG279" t="b">
        <f>+ISNUMBER(SEARCH(#REF!,Tabla11[[#This Row],[Cuenta]],1))</f>
        <v>0</v>
      </c>
      <c r="BH279" t="b">
        <f>+ISNUMBER(SEARCH(#REF!,Tabla11[[#This Row],[Cuenta]],1))</f>
        <v>0</v>
      </c>
      <c r="BI279" t="b">
        <f>+ISNUMBER(SEARCH(#REF!,Tabla11[[#This Row],[Cuenta]],1))</f>
        <v>0</v>
      </c>
      <c r="BJ279" t="b">
        <f>+ISNUMBER(SEARCH(#REF!,Tabla11[[#This Row],[Cuenta]],1))</f>
        <v>0</v>
      </c>
      <c r="BS279" t="str">
        <v>160599 Ajustes por inflación</v>
      </c>
      <c r="BT279" t="str">
        <v>160599 Ajustes por inflación</v>
      </c>
      <c r="BU279" t="str">
        <v>160599 Ajustes por inflación</v>
      </c>
      <c r="BV279" t="str">
        <v>160599 Ajustes por inflación</v>
      </c>
      <c r="BZ279" t="str">
        <v>160599 Ajustes por inflación</v>
      </c>
      <c r="CA279" t="str">
        <v>160599 Ajustes por inflación</v>
      </c>
      <c r="CB279" t="str">
        <v>160599 Ajustes por inflación</v>
      </c>
      <c r="CC279" t="str">
        <v>160599 Ajustes por inflación</v>
      </c>
      <c r="CD279" t="str">
        <v>160599 Ajustes por inflación</v>
      </c>
      <c r="CE279" t="str">
        <v>160599 Ajustes por inflación</v>
      </c>
      <c r="CS279" s="141" t="str">
        <v>160599 Ajustes por inflación</v>
      </c>
      <c r="CT279" s="141" t="str">
        <v>160599 Ajustes por inflación</v>
      </c>
      <c r="CU279" s="141" t="str">
        <v>160599 Ajustes por inflación</v>
      </c>
      <c r="CV279" s="141" t="str">
        <v>160599 Ajustes por inflación</v>
      </c>
      <c r="CW279" s="141" t="str">
        <v>160599 Ajustes por inflación</v>
      </c>
      <c r="CX279" s="141" t="str">
        <v>160599 Ajustes por inflación</v>
      </c>
      <c r="CY279" s="141" t="str">
        <v>160599 Ajustes por inflación</v>
      </c>
      <c r="CZ279" s="141" t="str">
        <v>160599 Ajustes por inflación</v>
      </c>
      <c r="DA279" s="141" t="str">
        <v>160599 Ajustes por inflación</v>
      </c>
      <c r="DF279" t="str">
        <v>160599 Ajustes por inflación</v>
      </c>
      <c r="DG279" t="str">
        <v>160599 Ajustes por inflación</v>
      </c>
      <c r="DH279" t="str">
        <v>160599 Ajustes por inflación</v>
      </c>
      <c r="DI279" t="str">
        <v>160599 Ajustes por inflación</v>
      </c>
      <c r="DJ279" t="str">
        <v>160599 Ajustes por inflación</v>
      </c>
      <c r="DK279" t="str">
        <v>160599 Ajustes por inflación</v>
      </c>
      <c r="DL279" t="str">
        <v>160599 Ajustes por inflación</v>
      </c>
      <c r="DM279" t="str">
        <v>160599 Ajustes por inflación</v>
      </c>
      <c r="DN279" t="str">
        <v>160599 Ajustes por inflación</v>
      </c>
      <c r="DO279" t="str">
        <v>160599 Ajustes por inflación</v>
      </c>
      <c r="DP279" t="str">
        <v>160599 Ajustes por inflación</v>
      </c>
    </row>
    <row r="280" spans="4:120" ht="12.75">
      <c r="D280" s="7">
        <v>1610</v>
      </c>
      <c r="E280" s="6" t="s">
        <v>232</v>
      </c>
      <c r="F280" s="5">
        <v>3</v>
      </c>
      <c r="G280" s="34" t="s">
        <v>822</v>
      </c>
      <c r="H280" s="8" t="s">
        <v>32</v>
      </c>
      <c r="I280" t="b">
        <f>+ISNUMBER(SEARCH('F-COMPRA'!$F$28,Tabla11[[#This Row],[Cuenta]],1))</f>
        <v>1</v>
      </c>
      <c r="J280" t="b">
        <f>+ISNUMBER(SEARCH('F-COMPRA'!$F$29,Tabla11[[#This Row],[Cuenta]],1))</f>
        <v>1</v>
      </c>
      <c r="K280" t="b">
        <f>+ISNUMBER(SEARCH('F-COMPRA'!$F$30,Tabla11[[#This Row],[Cuenta]],1))</f>
        <v>1</v>
      </c>
      <c r="L280" t="b">
        <f>+ISNUMBER(SEARCH('F-COMPRA'!$F$31,Tabla11[[#This Row],[Cuenta]],1))</f>
        <v>1</v>
      </c>
      <c r="M280" t="b">
        <f>+ISNUMBER(SEARCH('F-COMPRA'!$G$25,Tabla11[[#This Row],[Cuenta]],1))</f>
        <v>0</v>
      </c>
      <c r="N280" t="b">
        <f>+ISNUMBER(SEARCH(#REF!,Tabla11[[#This Row],[Cuenta]],1))</f>
        <v>0</v>
      </c>
      <c r="O280" t="b">
        <f>+ISNUMBER(SEARCH(#REF!,Tabla11[[#This Row],[Cuenta]],1))</f>
        <v>0</v>
      </c>
      <c r="P280" t="b">
        <f>+ISNUMBER(SEARCH('F-COMPRA'!$F$32,Tabla11[[#This Row],[Cuenta]],1))</f>
        <v>1</v>
      </c>
      <c r="Q280" t="b">
        <f>+ISNUMBER(SEARCH('F-COMPRA'!$F$33,Tabla11[[#This Row],[Cuenta]],1))</f>
        <v>1</v>
      </c>
      <c r="R280" t="b">
        <f>+ISNUMBER(SEARCH('F-COMPRA'!$F$34,Tabla11[[#This Row],[Cuenta]],1))</f>
        <v>1</v>
      </c>
      <c r="S280" t="b">
        <f>+ISNUMBER(SEARCH('F-COMPRA'!$F$35,Tabla11[[#This Row],[Cuenta]],1))</f>
        <v>1</v>
      </c>
      <c r="T280" t="b">
        <f>+ISNUMBER(SEARCH('F-COMPRA'!$F$36,Tabla11[[#This Row],[Cuenta]],1))</f>
        <v>1</v>
      </c>
      <c r="U280" t="b">
        <f>+ISNUMBER(SEARCH('F-COMPRA'!$F$37,Tabla11[[#This Row],[Cuenta]],1))</f>
        <v>1</v>
      </c>
      <c r="V280" t="b">
        <f>+ISNUMBER(SEARCH(#REF!,Tabla11[[#This Row],[Cuenta]],1))</f>
        <v>0</v>
      </c>
      <c r="W280" t="b">
        <f>+ISNUMBER(SEARCH('F-COMPRA'!#REF!,Tabla11[[#This Row],[Cuenta]],1))</f>
        <v>0</v>
      </c>
      <c r="X280" t="b">
        <f>+ISNUMBER(SEARCH('F-COMPRA'!#REF!,Tabla11[[#This Row],[Cuenta]],1))</f>
        <v>0</v>
      </c>
      <c r="Y280" t="b">
        <f>+ISNUMBER(SEARCH('F-COMPRA'!#REF!,Tabla11[[#This Row],[Cuenta]],1))</f>
        <v>0</v>
      </c>
      <c r="Z280" t="b">
        <f>+ISNUMBER(SEARCH('F-COMPRA'!#REF!,Tabla11[[#This Row],[Cuenta]],1))</f>
        <v>0</v>
      </c>
      <c r="AA280" t="b">
        <f>+ISNUMBER(SEARCH('F-COMPRA'!#REF!,Tabla11[[#This Row],[Cuenta]],1))</f>
        <v>0</v>
      </c>
      <c r="AB280" t="b">
        <f>+ISNUMBER(SEARCH('F-COMPRA'!#REF!,Tabla11[[#This Row],[Cuenta]],1))</f>
        <v>0</v>
      </c>
      <c r="AC280" t="b">
        <f>+ISNUMBER(SEARCH('F-COMPRA'!#REF!,Tabla11[[#This Row],[Cuenta]],1))</f>
        <v>0</v>
      </c>
      <c r="AD280" t="b">
        <f>+ISNUMBER(SEARCH('F-COMPRA'!#REF!,Tabla11[[#This Row],[Cuenta]],1))</f>
        <v>0</v>
      </c>
      <c r="AE280" t="b">
        <f>+ISNUMBER(SEARCH('F-COMPRA'!#REF!,Tabla11[[#This Row],[Cuenta]],1))</f>
        <v>0</v>
      </c>
      <c r="AF280" t="b">
        <f>+ISNUMBER(SEARCH('F-VTA'!$G$23,Tabla11[[#This Row],[Cuenta]],1))</f>
        <v>0</v>
      </c>
      <c r="AG280" t="b">
        <f>+ISNUMBER(SEARCH('F-VTA'!$G$24,Tabla11[[#This Row],[Cuenta]],1))</f>
        <v>0</v>
      </c>
      <c r="AH280" t="b">
        <f>+ISNUMBER(SEARCH('F-VTA'!$G$25,Tabla11[[#This Row],[Cuenta]],1))</f>
        <v>0</v>
      </c>
      <c r="AI280" t="b">
        <f>+ISNUMBER(SEARCH('F-VTA'!$F$28,Tabla11[[#This Row],[Cuenta]],1))</f>
        <v>1</v>
      </c>
      <c r="AJ280" t="b">
        <f>+ISNUMBER(SEARCH('F-VTA'!$F$29,Tabla11[[#This Row],[Cuenta]],1))</f>
        <v>1</v>
      </c>
      <c r="AK280" t="b">
        <f>+ISNUMBER(SEARCH('F-VTA'!$F$30,Tabla11[[#This Row],[Cuenta]],1))</f>
        <v>1</v>
      </c>
      <c r="AL280" t="b">
        <f>+ISNUMBER(SEARCH('F-VTA'!$F$31,Tabla11[[#This Row],[Cuenta]],1))</f>
        <v>1</v>
      </c>
      <c r="AM280" t="b">
        <f>+ISNUMBER(SEARCH('F-VTA'!$F$32,Tabla11[[#This Row],[Cuenta]],1))</f>
        <v>1</v>
      </c>
      <c r="AN280" t="b">
        <f>+ISNUMBER(SEARCH('F-VTA'!$F$33,Tabla11[[#This Row],[Cuenta]],1))</f>
        <v>1</v>
      </c>
      <c r="AO280" t="b">
        <f>+ISNUMBER(SEARCH('F-VTA'!$F$34,Tabla11[[#This Row],[Cuenta]],1))</f>
        <v>1</v>
      </c>
      <c r="AP280" t="b">
        <f>+ISNUMBER(SEARCH('F-VTA'!$F$35,Tabla11[[#This Row],[Cuenta]],1))</f>
        <v>1</v>
      </c>
      <c r="AQ280" t="b">
        <f>+ISNUMBER(SEARCH('F-VTA'!$F$36,Tabla11[[#This Row],[Cuenta]],1))</f>
        <v>1</v>
      </c>
      <c r="AR280" t="b">
        <f>+ISNUMBER(SEARCH(#REF!,Tabla11[[#This Row],[Cuenta]],1))</f>
        <v>0</v>
      </c>
      <c r="AS280" t="b">
        <f>+ISNUMBER(SEARCH(#REF!,Tabla11[[#This Row],[Cuenta]],1))</f>
        <v>0</v>
      </c>
      <c r="AT280" t="b">
        <f>+ISNUMBER(SEARCH(#REF!,Tabla11[[#This Row],[Cuenta]],1))</f>
        <v>0</v>
      </c>
      <c r="AU280" t="b">
        <f>+ISNUMBER(SEARCH('Conc. Ban.1'!$I$9,Tabla11[[#This Row],[Cuenta]],1))</f>
        <v>0</v>
      </c>
      <c r="AV280" t="b">
        <f>+ISNUMBER(SEARCH(CompConta!$F$21,Tabla11[[#This Row],[Cuenta]],1))</f>
        <v>1</v>
      </c>
      <c r="AW280" t="b">
        <f>+ISNUMBER(SEARCH(CompConta!$F$22,Tabla11[[#This Row],[Cuenta]],1))</f>
        <v>1</v>
      </c>
      <c r="AX280" t="b">
        <f>+ISNUMBER(SEARCH(CompConta!$F$23,Tabla11[[#This Row],[Cuenta]],1))</f>
        <v>1</v>
      </c>
      <c r="AY280" t="b">
        <f>+ISNUMBER(SEARCH(CompConta!$F$24,Tabla11[[#This Row],[Cuenta]],1))</f>
        <v>1</v>
      </c>
      <c r="AZ280" t="b">
        <f>+ISNUMBER(SEARCH(CompConta!$F$25,Tabla11[[#This Row],[Cuenta]],1))</f>
        <v>1</v>
      </c>
      <c r="BA280" t="b">
        <f>+ISNUMBER(SEARCH(CompConta!$F$26,Tabla11[[#This Row],[Cuenta]],1))</f>
        <v>1</v>
      </c>
      <c r="BB280" t="b">
        <f>+ISNUMBER(SEARCH(CompConta!$F$27,Tabla11[[#This Row],[Cuenta]],1))</f>
        <v>1</v>
      </c>
      <c r="BC280" t="b">
        <f>+ISNUMBER(SEARCH(CompConta!$F$28,Tabla11[[#This Row],[Cuenta]],1))</f>
        <v>1</v>
      </c>
      <c r="BD280" t="b">
        <f>+ISNUMBER(SEARCH(CompConta!$F$29,Tabla11[[#This Row],[Cuenta]],1))</f>
        <v>1</v>
      </c>
      <c r="BE280" t="b">
        <f>+ISNUMBER(SEARCH(CompConta!$F$30,Tabla11[[#This Row],[Cuenta]],1))</f>
        <v>1</v>
      </c>
      <c r="BF280" t="b">
        <f>+ISNUMBER(SEARCH('PAGO Compras'!$E$11,Tabla11[[#This Row],[Cuenta]],1))</f>
        <v>1</v>
      </c>
      <c r="BG280" t="b">
        <f>+ISNUMBER(SEARCH(#REF!,Tabla11[[#This Row],[Cuenta]],1))</f>
        <v>0</v>
      </c>
      <c r="BH280" t="b">
        <f>+ISNUMBER(SEARCH(#REF!,Tabla11[[#This Row],[Cuenta]],1))</f>
        <v>0</v>
      </c>
      <c r="BI280" t="b">
        <f>+ISNUMBER(SEARCH(#REF!,Tabla11[[#This Row],[Cuenta]],1))</f>
        <v>0</v>
      </c>
      <c r="BJ280" t="b">
        <f>+ISNUMBER(SEARCH(#REF!,Tabla11[[#This Row],[Cuenta]],1))</f>
        <v>0</v>
      </c>
      <c r="BS280" t="str">
        <v>1610 MARCAS</v>
      </c>
      <c r="BT280" t="str">
        <v>1610 MARCAS</v>
      </c>
      <c r="BU280" t="str">
        <v>1610 MARCAS</v>
      </c>
      <c r="BV280" t="str">
        <v>1610 MARCAS</v>
      </c>
      <c r="BZ280" t="str">
        <v>1610 MARCAS</v>
      </c>
      <c r="CA280" t="str">
        <v>1610 MARCAS</v>
      </c>
      <c r="CB280" t="str">
        <v>1610 MARCAS</v>
      </c>
      <c r="CC280" t="str">
        <v>1610 MARCAS</v>
      </c>
      <c r="CD280" t="str">
        <v>1610 MARCAS</v>
      </c>
      <c r="CE280" t="str">
        <v>1610 MARCAS</v>
      </c>
      <c r="CS280" s="141" t="str">
        <v>1610 MARCAS</v>
      </c>
      <c r="CT280" s="141" t="str">
        <v>1610 MARCAS</v>
      </c>
      <c r="CU280" s="141" t="str">
        <v>1610 MARCAS</v>
      </c>
      <c r="CV280" s="141" t="str">
        <v>1610 MARCAS</v>
      </c>
      <c r="CW280" s="141" t="str">
        <v>1610 MARCAS</v>
      </c>
      <c r="CX280" s="141" t="str">
        <v>1610 MARCAS</v>
      </c>
      <c r="CY280" s="141" t="str">
        <v>1610 MARCAS</v>
      </c>
      <c r="CZ280" s="141" t="str">
        <v>1610 MARCAS</v>
      </c>
      <c r="DA280" s="141" t="str">
        <v>1610 MARCAS</v>
      </c>
      <c r="DF280" t="str">
        <v>1610 MARCAS</v>
      </c>
      <c r="DG280" t="str">
        <v>1610 MARCAS</v>
      </c>
      <c r="DH280" t="str">
        <v>1610 MARCAS</v>
      </c>
      <c r="DI280" t="str">
        <v>1610 MARCAS</v>
      </c>
      <c r="DJ280" t="str">
        <v>1610 MARCAS</v>
      </c>
      <c r="DK280" t="str">
        <v>1610 MARCAS</v>
      </c>
      <c r="DL280" t="str">
        <v>1610 MARCAS</v>
      </c>
      <c r="DM280" t="str">
        <v>1610 MARCAS</v>
      </c>
      <c r="DN280" t="str">
        <v>1610 MARCAS</v>
      </c>
      <c r="DO280" t="str">
        <v>1610 MARCAS</v>
      </c>
      <c r="DP280" t="str">
        <v>1610 MARCAS</v>
      </c>
    </row>
    <row r="281" spans="4:120" ht="12.75">
      <c r="D281" s="7">
        <v>161005</v>
      </c>
      <c r="E281" s="6" t="s">
        <v>233</v>
      </c>
      <c r="F281" s="5">
        <v>4</v>
      </c>
      <c r="G281" s="34" t="s">
        <v>822</v>
      </c>
      <c r="H281" s="8" t="s">
        <v>32</v>
      </c>
      <c r="I281" t="b">
        <f>+ISNUMBER(SEARCH('F-COMPRA'!$F$28,Tabla11[[#This Row],[Cuenta]],1))</f>
        <v>1</v>
      </c>
      <c r="J281" t="b">
        <f>+ISNUMBER(SEARCH('F-COMPRA'!$F$29,Tabla11[[#This Row],[Cuenta]],1))</f>
        <v>1</v>
      </c>
      <c r="K281" t="b">
        <f>+ISNUMBER(SEARCH('F-COMPRA'!$F$30,Tabla11[[#This Row],[Cuenta]],1))</f>
        <v>1</v>
      </c>
      <c r="L281" t="b">
        <f>+ISNUMBER(SEARCH('F-COMPRA'!$F$31,Tabla11[[#This Row],[Cuenta]],1))</f>
        <v>1</v>
      </c>
      <c r="M281" t="b">
        <f>+ISNUMBER(SEARCH('F-COMPRA'!$G$25,Tabla11[[#This Row],[Cuenta]],1))</f>
        <v>0</v>
      </c>
      <c r="N281" t="b">
        <f>+ISNUMBER(SEARCH(#REF!,Tabla11[[#This Row],[Cuenta]],1))</f>
        <v>0</v>
      </c>
      <c r="O281" t="b">
        <f>+ISNUMBER(SEARCH(#REF!,Tabla11[[#This Row],[Cuenta]],1))</f>
        <v>0</v>
      </c>
      <c r="P281" t="b">
        <f>+ISNUMBER(SEARCH('F-COMPRA'!$F$32,Tabla11[[#This Row],[Cuenta]],1))</f>
        <v>1</v>
      </c>
      <c r="Q281" t="b">
        <f>+ISNUMBER(SEARCH('F-COMPRA'!$F$33,Tabla11[[#This Row],[Cuenta]],1))</f>
        <v>1</v>
      </c>
      <c r="R281" t="b">
        <f>+ISNUMBER(SEARCH('F-COMPRA'!$F$34,Tabla11[[#This Row],[Cuenta]],1))</f>
        <v>1</v>
      </c>
      <c r="S281" t="b">
        <f>+ISNUMBER(SEARCH('F-COMPRA'!$F$35,Tabla11[[#This Row],[Cuenta]],1))</f>
        <v>1</v>
      </c>
      <c r="T281" t="b">
        <f>+ISNUMBER(SEARCH('F-COMPRA'!$F$36,Tabla11[[#This Row],[Cuenta]],1))</f>
        <v>1</v>
      </c>
      <c r="U281" t="b">
        <f>+ISNUMBER(SEARCH('F-COMPRA'!$F$37,Tabla11[[#This Row],[Cuenta]],1))</f>
        <v>1</v>
      </c>
      <c r="V281" t="b">
        <f>+ISNUMBER(SEARCH(#REF!,Tabla11[[#This Row],[Cuenta]],1))</f>
        <v>0</v>
      </c>
      <c r="W281" t="b">
        <f>+ISNUMBER(SEARCH('F-COMPRA'!#REF!,Tabla11[[#This Row],[Cuenta]],1))</f>
        <v>0</v>
      </c>
      <c r="X281" t="b">
        <f>+ISNUMBER(SEARCH('F-COMPRA'!#REF!,Tabla11[[#This Row],[Cuenta]],1))</f>
        <v>0</v>
      </c>
      <c r="Y281" t="b">
        <f>+ISNUMBER(SEARCH('F-COMPRA'!#REF!,Tabla11[[#This Row],[Cuenta]],1))</f>
        <v>0</v>
      </c>
      <c r="Z281" t="b">
        <f>+ISNUMBER(SEARCH('F-COMPRA'!#REF!,Tabla11[[#This Row],[Cuenta]],1))</f>
        <v>0</v>
      </c>
      <c r="AA281" t="b">
        <f>+ISNUMBER(SEARCH('F-COMPRA'!#REF!,Tabla11[[#This Row],[Cuenta]],1))</f>
        <v>0</v>
      </c>
      <c r="AB281" t="b">
        <f>+ISNUMBER(SEARCH('F-COMPRA'!#REF!,Tabla11[[#This Row],[Cuenta]],1))</f>
        <v>0</v>
      </c>
      <c r="AC281" t="b">
        <f>+ISNUMBER(SEARCH('F-COMPRA'!#REF!,Tabla11[[#This Row],[Cuenta]],1))</f>
        <v>0</v>
      </c>
      <c r="AD281" t="b">
        <f>+ISNUMBER(SEARCH('F-COMPRA'!#REF!,Tabla11[[#This Row],[Cuenta]],1))</f>
        <v>0</v>
      </c>
      <c r="AE281" t="b">
        <f>+ISNUMBER(SEARCH('F-COMPRA'!#REF!,Tabla11[[#This Row],[Cuenta]],1))</f>
        <v>0</v>
      </c>
      <c r="AF281" t="b">
        <f>+ISNUMBER(SEARCH('F-VTA'!$G$23,Tabla11[[#This Row],[Cuenta]],1))</f>
        <v>0</v>
      </c>
      <c r="AG281" t="b">
        <f>+ISNUMBER(SEARCH('F-VTA'!$G$24,Tabla11[[#This Row],[Cuenta]],1))</f>
        <v>0</v>
      </c>
      <c r="AH281" t="b">
        <f>+ISNUMBER(SEARCH('F-VTA'!$G$25,Tabla11[[#This Row],[Cuenta]],1))</f>
        <v>0</v>
      </c>
      <c r="AI281" t="b">
        <f>+ISNUMBER(SEARCH('F-VTA'!$F$28,Tabla11[[#This Row],[Cuenta]],1))</f>
        <v>1</v>
      </c>
      <c r="AJ281" t="b">
        <f>+ISNUMBER(SEARCH('F-VTA'!$F$29,Tabla11[[#This Row],[Cuenta]],1))</f>
        <v>1</v>
      </c>
      <c r="AK281" t="b">
        <f>+ISNUMBER(SEARCH('F-VTA'!$F$30,Tabla11[[#This Row],[Cuenta]],1))</f>
        <v>1</v>
      </c>
      <c r="AL281" t="b">
        <f>+ISNUMBER(SEARCH('F-VTA'!$F$31,Tabla11[[#This Row],[Cuenta]],1))</f>
        <v>1</v>
      </c>
      <c r="AM281" t="b">
        <f>+ISNUMBER(SEARCH('F-VTA'!$F$32,Tabla11[[#This Row],[Cuenta]],1))</f>
        <v>1</v>
      </c>
      <c r="AN281" t="b">
        <f>+ISNUMBER(SEARCH('F-VTA'!$F$33,Tabla11[[#This Row],[Cuenta]],1))</f>
        <v>1</v>
      </c>
      <c r="AO281" t="b">
        <f>+ISNUMBER(SEARCH('F-VTA'!$F$34,Tabla11[[#This Row],[Cuenta]],1))</f>
        <v>1</v>
      </c>
      <c r="AP281" t="b">
        <f>+ISNUMBER(SEARCH('F-VTA'!$F$35,Tabla11[[#This Row],[Cuenta]],1))</f>
        <v>1</v>
      </c>
      <c r="AQ281" t="b">
        <f>+ISNUMBER(SEARCH('F-VTA'!$F$36,Tabla11[[#This Row],[Cuenta]],1))</f>
        <v>1</v>
      </c>
      <c r="AR281" t="b">
        <f>+ISNUMBER(SEARCH(#REF!,Tabla11[[#This Row],[Cuenta]],1))</f>
        <v>0</v>
      </c>
      <c r="AS281" t="b">
        <f>+ISNUMBER(SEARCH(#REF!,Tabla11[[#This Row],[Cuenta]],1))</f>
        <v>0</v>
      </c>
      <c r="AT281" t="b">
        <f>+ISNUMBER(SEARCH(#REF!,Tabla11[[#This Row],[Cuenta]],1))</f>
        <v>0</v>
      </c>
      <c r="AU281" t="b">
        <f>+ISNUMBER(SEARCH('Conc. Ban.1'!$I$9,Tabla11[[#This Row],[Cuenta]],1))</f>
        <v>0</v>
      </c>
      <c r="AV281" t="b">
        <f>+ISNUMBER(SEARCH(CompConta!$F$21,Tabla11[[#This Row],[Cuenta]],1))</f>
        <v>1</v>
      </c>
      <c r="AW281" t="b">
        <f>+ISNUMBER(SEARCH(CompConta!$F$22,Tabla11[[#This Row],[Cuenta]],1))</f>
        <v>1</v>
      </c>
      <c r="AX281" t="b">
        <f>+ISNUMBER(SEARCH(CompConta!$F$23,Tabla11[[#This Row],[Cuenta]],1))</f>
        <v>1</v>
      </c>
      <c r="AY281" t="b">
        <f>+ISNUMBER(SEARCH(CompConta!$F$24,Tabla11[[#This Row],[Cuenta]],1))</f>
        <v>1</v>
      </c>
      <c r="AZ281" t="b">
        <f>+ISNUMBER(SEARCH(CompConta!$F$25,Tabla11[[#This Row],[Cuenta]],1))</f>
        <v>1</v>
      </c>
      <c r="BA281" t="b">
        <f>+ISNUMBER(SEARCH(CompConta!$F$26,Tabla11[[#This Row],[Cuenta]],1))</f>
        <v>1</v>
      </c>
      <c r="BB281" t="b">
        <f>+ISNUMBER(SEARCH(CompConta!$F$27,Tabla11[[#This Row],[Cuenta]],1))</f>
        <v>1</v>
      </c>
      <c r="BC281" t="b">
        <f>+ISNUMBER(SEARCH(CompConta!$F$28,Tabla11[[#This Row],[Cuenta]],1))</f>
        <v>1</v>
      </c>
      <c r="BD281" t="b">
        <f>+ISNUMBER(SEARCH(CompConta!$F$29,Tabla11[[#This Row],[Cuenta]],1))</f>
        <v>1</v>
      </c>
      <c r="BE281" t="b">
        <f>+ISNUMBER(SEARCH(CompConta!$F$30,Tabla11[[#This Row],[Cuenta]],1))</f>
        <v>1</v>
      </c>
      <c r="BF281" t="b">
        <f>+ISNUMBER(SEARCH('PAGO Compras'!$E$11,Tabla11[[#This Row],[Cuenta]],1))</f>
        <v>1</v>
      </c>
      <c r="BG281" t="b">
        <f>+ISNUMBER(SEARCH(#REF!,Tabla11[[#This Row],[Cuenta]],1))</f>
        <v>0</v>
      </c>
      <c r="BH281" t="b">
        <f>+ISNUMBER(SEARCH(#REF!,Tabla11[[#This Row],[Cuenta]],1))</f>
        <v>0</v>
      </c>
      <c r="BI281" t="b">
        <f>+ISNUMBER(SEARCH(#REF!,Tabla11[[#This Row],[Cuenta]],1))</f>
        <v>0</v>
      </c>
      <c r="BJ281" t="b">
        <f>+ISNUMBER(SEARCH(#REF!,Tabla11[[#This Row],[Cuenta]],1))</f>
        <v>0</v>
      </c>
      <c r="BS281" t="str">
        <v>161005 Adquiridas</v>
      </c>
      <c r="BT281" t="str">
        <v>161005 Adquiridas</v>
      </c>
      <c r="BU281" t="str">
        <v>161005 Adquiridas</v>
      </c>
      <c r="BV281" t="str">
        <v>161005 Adquiridas</v>
      </c>
      <c r="BZ281" t="str">
        <v>161005 Adquiridas</v>
      </c>
      <c r="CA281" t="str">
        <v>161005 Adquiridas</v>
      </c>
      <c r="CB281" t="str">
        <v>161005 Adquiridas</v>
      </c>
      <c r="CC281" t="str">
        <v>161005 Adquiridas</v>
      </c>
      <c r="CD281" t="str">
        <v>161005 Adquiridas</v>
      </c>
      <c r="CE281" t="str">
        <v>161005 Adquiridas</v>
      </c>
      <c r="CS281" s="141" t="str">
        <v>161005 Adquiridas</v>
      </c>
      <c r="CT281" s="141" t="str">
        <v>161005 Adquiridas</v>
      </c>
      <c r="CU281" s="141" t="str">
        <v>161005 Adquiridas</v>
      </c>
      <c r="CV281" s="141" t="str">
        <v>161005 Adquiridas</v>
      </c>
      <c r="CW281" s="141" t="str">
        <v>161005 Adquiridas</v>
      </c>
      <c r="CX281" s="141" t="str">
        <v>161005 Adquiridas</v>
      </c>
      <c r="CY281" s="141" t="str">
        <v>161005 Adquiridas</v>
      </c>
      <c r="CZ281" s="141" t="str">
        <v>161005 Adquiridas</v>
      </c>
      <c r="DA281" s="141" t="str">
        <v>161005 Adquiridas</v>
      </c>
      <c r="DF281" t="str">
        <v>161005 Adquiridas</v>
      </c>
      <c r="DG281" t="str">
        <v>161005 Adquiridas</v>
      </c>
      <c r="DH281" t="str">
        <v>161005 Adquiridas</v>
      </c>
      <c r="DI281" t="str">
        <v>161005 Adquiridas</v>
      </c>
      <c r="DJ281" t="str">
        <v>161005 Adquiridas</v>
      </c>
      <c r="DK281" t="str">
        <v>161005 Adquiridas</v>
      </c>
      <c r="DL281" t="str">
        <v>161005 Adquiridas</v>
      </c>
      <c r="DM281" t="str">
        <v>161005 Adquiridas</v>
      </c>
      <c r="DN281" t="str">
        <v>161005 Adquiridas</v>
      </c>
      <c r="DO281" t="str">
        <v>161005 Adquiridas</v>
      </c>
      <c r="DP281" t="str">
        <v>161005 Adquiridas</v>
      </c>
    </row>
    <row r="282" spans="4:120" ht="12.75">
      <c r="D282" s="7">
        <v>161010</v>
      </c>
      <c r="E282" s="6" t="s">
        <v>234</v>
      </c>
      <c r="F282" s="5">
        <v>4</v>
      </c>
      <c r="G282" s="34" t="s">
        <v>822</v>
      </c>
      <c r="H282" s="8" t="s">
        <v>32</v>
      </c>
      <c r="I282" t="b">
        <f>+ISNUMBER(SEARCH('F-COMPRA'!$F$28,Tabla11[[#This Row],[Cuenta]],1))</f>
        <v>1</v>
      </c>
      <c r="J282" t="b">
        <f>+ISNUMBER(SEARCH('F-COMPRA'!$F$29,Tabla11[[#This Row],[Cuenta]],1))</f>
        <v>1</v>
      </c>
      <c r="K282" t="b">
        <f>+ISNUMBER(SEARCH('F-COMPRA'!$F$30,Tabla11[[#This Row],[Cuenta]],1))</f>
        <v>1</v>
      </c>
      <c r="L282" t="b">
        <f>+ISNUMBER(SEARCH('F-COMPRA'!$F$31,Tabla11[[#This Row],[Cuenta]],1))</f>
        <v>1</v>
      </c>
      <c r="M282" t="b">
        <f>+ISNUMBER(SEARCH('F-COMPRA'!$G$25,Tabla11[[#This Row],[Cuenta]],1))</f>
        <v>0</v>
      </c>
      <c r="N282" t="b">
        <f>+ISNUMBER(SEARCH(#REF!,Tabla11[[#This Row],[Cuenta]],1))</f>
        <v>0</v>
      </c>
      <c r="O282" t="b">
        <f>+ISNUMBER(SEARCH(#REF!,Tabla11[[#This Row],[Cuenta]],1))</f>
        <v>0</v>
      </c>
      <c r="P282" t="b">
        <f>+ISNUMBER(SEARCH('F-COMPRA'!$F$32,Tabla11[[#This Row],[Cuenta]],1))</f>
        <v>1</v>
      </c>
      <c r="Q282" t="b">
        <f>+ISNUMBER(SEARCH('F-COMPRA'!$F$33,Tabla11[[#This Row],[Cuenta]],1))</f>
        <v>1</v>
      </c>
      <c r="R282" t="b">
        <f>+ISNUMBER(SEARCH('F-COMPRA'!$F$34,Tabla11[[#This Row],[Cuenta]],1))</f>
        <v>1</v>
      </c>
      <c r="S282" t="b">
        <f>+ISNUMBER(SEARCH('F-COMPRA'!$F$35,Tabla11[[#This Row],[Cuenta]],1))</f>
        <v>1</v>
      </c>
      <c r="T282" t="b">
        <f>+ISNUMBER(SEARCH('F-COMPRA'!$F$36,Tabla11[[#This Row],[Cuenta]],1))</f>
        <v>1</v>
      </c>
      <c r="U282" t="b">
        <f>+ISNUMBER(SEARCH('F-COMPRA'!$F$37,Tabla11[[#This Row],[Cuenta]],1))</f>
        <v>1</v>
      </c>
      <c r="V282" t="b">
        <f>+ISNUMBER(SEARCH(#REF!,Tabla11[[#This Row],[Cuenta]],1))</f>
        <v>0</v>
      </c>
      <c r="W282" t="b">
        <f>+ISNUMBER(SEARCH('F-COMPRA'!#REF!,Tabla11[[#This Row],[Cuenta]],1))</f>
        <v>0</v>
      </c>
      <c r="X282" t="b">
        <f>+ISNUMBER(SEARCH('F-COMPRA'!#REF!,Tabla11[[#This Row],[Cuenta]],1))</f>
        <v>0</v>
      </c>
      <c r="Y282" t="b">
        <f>+ISNUMBER(SEARCH('F-COMPRA'!#REF!,Tabla11[[#This Row],[Cuenta]],1))</f>
        <v>0</v>
      </c>
      <c r="Z282" t="b">
        <f>+ISNUMBER(SEARCH('F-COMPRA'!#REF!,Tabla11[[#This Row],[Cuenta]],1))</f>
        <v>0</v>
      </c>
      <c r="AA282" t="b">
        <f>+ISNUMBER(SEARCH('F-COMPRA'!#REF!,Tabla11[[#This Row],[Cuenta]],1))</f>
        <v>0</v>
      </c>
      <c r="AB282" t="b">
        <f>+ISNUMBER(SEARCH('F-COMPRA'!#REF!,Tabla11[[#This Row],[Cuenta]],1))</f>
        <v>0</v>
      </c>
      <c r="AC282" t="b">
        <f>+ISNUMBER(SEARCH('F-COMPRA'!#REF!,Tabla11[[#This Row],[Cuenta]],1))</f>
        <v>0</v>
      </c>
      <c r="AD282" t="b">
        <f>+ISNUMBER(SEARCH('F-COMPRA'!#REF!,Tabla11[[#This Row],[Cuenta]],1))</f>
        <v>0</v>
      </c>
      <c r="AE282" t="b">
        <f>+ISNUMBER(SEARCH('F-COMPRA'!#REF!,Tabla11[[#This Row],[Cuenta]],1))</f>
        <v>0</v>
      </c>
      <c r="AF282" t="b">
        <f>+ISNUMBER(SEARCH('F-VTA'!$G$23,Tabla11[[#This Row],[Cuenta]],1))</f>
        <v>0</v>
      </c>
      <c r="AG282" t="b">
        <f>+ISNUMBER(SEARCH('F-VTA'!$G$24,Tabla11[[#This Row],[Cuenta]],1))</f>
        <v>0</v>
      </c>
      <c r="AH282" t="b">
        <f>+ISNUMBER(SEARCH('F-VTA'!$G$25,Tabla11[[#This Row],[Cuenta]],1))</f>
        <v>0</v>
      </c>
      <c r="AI282" t="b">
        <f>+ISNUMBER(SEARCH('F-VTA'!$F$28,Tabla11[[#This Row],[Cuenta]],1))</f>
        <v>1</v>
      </c>
      <c r="AJ282" t="b">
        <f>+ISNUMBER(SEARCH('F-VTA'!$F$29,Tabla11[[#This Row],[Cuenta]],1))</f>
        <v>1</v>
      </c>
      <c r="AK282" t="b">
        <f>+ISNUMBER(SEARCH('F-VTA'!$F$30,Tabla11[[#This Row],[Cuenta]],1))</f>
        <v>1</v>
      </c>
      <c r="AL282" t="b">
        <f>+ISNUMBER(SEARCH('F-VTA'!$F$31,Tabla11[[#This Row],[Cuenta]],1))</f>
        <v>1</v>
      </c>
      <c r="AM282" t="b">
        <f>+ISNUMBER(SEARCH('F-VTA'!$F$32,Tabla11[[#This Row],[Cuenta]],1))</f>
        <v>1</v>
      </c>
      <c r="AN282" t="b">
        <f>+ISNUMBER(SEARCH('F-VTA'!$F$33,Tabla11[[#This Row],[Cuenta]],1))</f>
        <v>1</v>
      </c>
      <c r="AO282" t="b">
        <f>+ISNUMBER(SEARCH('F-VTA'!$F$34,Tabla11[[#This Row],[Cuenta]],1))</f>
        <v>1</v>
      </c>
      <c r="AP282" t="b">
        <f>+ISNUMBER(SEARCH('F-VTA'!$F$35,Tabla11[[#This Row],[Cuenta]],1))</f>
        <v>1</v>
      </c>
      <c r="AQ282" t="b">
        <f>+ISNUMBER(SEARCH('F-VTA'!$F$36,Tabla11[[#This Row],[Cuenta]],1))</f>
        <v>1</v>
      </c>
      <c r="AR282" t="b">
        <f>+ISNUMBER(SEARCH(#REF!,Tabla11[[#This Row],[Cuenta]],1))</f>
        <v>0</v>
      </c>
      <c r="AS282" t="b">
        <f>+ISNUMBER(SEARCH(#REF!,Tabla11[[#This Row],[Cuenta]],1))</f>
        <v>0</v>
      </c>
      <c r="AT282" t="b">
        <f>+ISNUMBER(SEARCH(#REF!,Tabla11[[#This Row],[Cuenta]],1))</f>
        <v>0</v>
      </c>
      <c r="AU282" t="b">
        <f>+ISNUMBER(SEARCH('Conc. Ban.1'!$I$9,Tabla11[[#This Row],[Cuenta]],1))</f>
        <v>0</v>
      </c>
      <c r="AV282" t="b">
        <f>+ISNUMBER(SEARCH(CompConta!$F$21,Tabla11[[#This Row],[Cuenta]],1))</f>
        <v>1</v>
      </c>
      <c r="AW282" t="b">
        <f>+ISNUMBER(SEARCH(CompConta!$F$22,Tabla11[[#This Row],[Cuenta]],1))</f>
        <v>1</v>
      </c>
      <c r="AX282" t="b">
        <f>+ISNUMBER(SEARCH(CompConta!$F$23,Tabla11[[#This Row],[Cuenta]],1))</f>
        <v>1</v>
      </c>
      <c r="AY282" t="b">
        <f>+ISNUMBER(SEARCH(CompConta!$F$24,Tabla11[[#This Row],[Cuenta]],1))</f>
        <v>1</v>
      </c>
      <c r="AZ282" t="b">
        <f>+ISNUMBER(SEARCH(CompConta!$F$25,Tabla11[[#This Row],[Cuenta]],1))</f>
        <v>1</v>
      </c>
      <c r="BA282" t="b">
        <f>+ISNUMBER(SEARCH(CompConta!$F$26,Tabla11[[#This Row],[Cuenta]],1))</f>
        <v>1</v>
      </c>
      <c r="BB282" t="b">
        <f>+ISNUMBER(SEARCH(CompConta!$F$27,Tabla11[[#This Row],[Cuenta]],1))</f>
        <v>1</v>
      </c>
      <c r="BC282" t="b">
        <f>+ISNUMBER(SEARCH(CompConta!$F$28,Tabla11[[#This Row],[Cuenta]],1))</f>
        <v>1</v>
      </c>
      <c r="BD282" t="b">
        <f>+ISNUMBER(SEARCH(CompConta!$F$29,Tabla11[[#This Row],[Cuenta]],1))</f>
        <v>1</v>
      </c>
      <c r="BE282" t="b">
        <f>+ISNUMBER(SEARCH(CompConta!$F$30,Tabla11[[#This Row],[Cuenta]],1))</f>
        <v>1</v>
      </c>
      <c r="BF282" t="b">
        <f>+ISNUMBER(SEARCH('PAGO Compras'!$E$11,Tabla11[[#This Row],[Cuenta]],1))</f>
        <v>1</v>
      </c>
      <c r="BG282" t="b">
        <f>+ISNUMBER(SEARCH(#REF!,Tabla11[[#This Row],[Cuenta]],1))</f>
        <v>0</v>
      </c>
      <c r="BH282" t="b">
        <f>+ISNUMBER(SEARCH(#REF!,Tabla11[[#This Row],[Cuenta]],1))</f>
        <v>0</v>
      </c>
      <c r="BI282" t="b">
        <f>+ISNUMBER(SEARCH(#REF!,Tabla11[[#This Row],[Cuenta]],1))</f>
        <v>0</v>
      </c>
      <c r="BJ282" t="b">
        <f>+ISNUMBER(SEARCH(#REF!,Tabla11[[#This Row],[Cuenta]],1))</f>
        <v>0</v>
      </c>
      <c r="BS282" t="str">
        <v>161010 Formadas</v>
      </c>
      <c r="BT282" t="str">
        <v>161010 Formadas</v>
      </c>
      <c r="BU282" t="str">
        <v>161010 Formadas</v>
      </c>
      <c r="BV282" t="str">
        <v>161010 Formadas</v>
      </c>
      <c r="BZ282" t="str">
        <v>161010 Formadas</v>
      </c>
      <c r="CA282" t="str">
        <v>161010 Formadas</v>
      </c>
      <c r="CB282" t="str">
        <v>161010 Formadas</v>
      </c>
      <c r="CC282" t="str">
        <v>161010 Formadas</v>
      </c>
      <c r="CD282" t="str">
        <v>161010 Formadas</v>
      </c>
      <c r="CE282" t="str">
        <v>161010 Formadas</v>
      </c>
      <c r="CS282" s="141" t="str">
        <v>161010 Formadas</v>
      </c>
      <c r="CT282" s="141" t="str">
        <v>161010 Formadas</v>
      </c>
      <c r="CU282" s="141" t="str">
        <v>161010 Formadas</v>
      </c>
      <c r="CV282" s="141" t="str">
        <v>161010 Formadas</v>
      </c>
      <c r="CW282" s="141" t="str">
        <v>161010 Formadas</v>
      </c>
      <c r="CX282" s="141" t="str">
        <v>161010 Formadas</v>
      </c>
      <c r="CY282" s="141" t="str">
        <v>161010 Formadas</v>
      </c>
      <c r="CZ282" s="141" t="str">
        <v>161010 Formadas</v>
      </c>
      <c r="DA282" s="141" t="str">
        <v>161010 Formadas</v>
      </c>
      <c r="DF282" t="str">
        <v>161010 Formadas</v>
      </c>
      <c r="DG282" t="str">
        <v>161010 Formadas</v>
      </c>
      <c r="DH282" t="str">
        <v>161010 Formadas</v>
      </c>
      <c r="DI282" t="str">
        <v>161010 Formadas</v>
      </c>
      <c r="DJ282" t="str">
        <v>161010 Formadas</v>
      </c>
      <c r="DK282" t="str">
        <v>161010 Formadas</v>
      </c>
      <c r="DL282" t="str">
        <v>161010 Formadas</v>
      </c>
      <c r="DM282" t="str">
        <v>161010 Formadas</v>
      </c>
      <c r="DN282" t="str">
        <v>161010 Formadas</v>
      </c>
      <c r="DO282" t="str">
        <v>161010 Formadas</v>
      </c>
      <c r="DP282" t="str">
        <v>161010 Formadas</v>
      </c>
    </row>
    <row r="283" spans="4:120" ht="12.75">
      <c r="D283" s="7">
        <v>161099</v>
      </c>
      <c r="E283" s="6" t="s">
        <v>44</v>
      </c>
      <c r="F283" s="5">
        <v>4</v>
      </c>
      <c r="G283" s="34" t="s">
        <v>822</v>
      </c>
      <c r="H283" s="8" t="s">
        <v>32</v>
      </c>
      <c r="I283" t="b">
        <f>+ISNUMBER(SEARCH('F-COMPRA'!$F$28,Tabla11[[#This Row],[Cuenta]],1))</f>
        <v>1</v>
      </c>
      <c r="J283" t="b">
        <f>+ISNUMBER(SEARCH('F-COMPRA'!$F$29,Tabla11[[#This Row],[Cuenta]],1))</f>
        <v>1</v>
      </c>
      <c r="K283" t="b">
        <f>+ISNUMBER(SEARCH('F-COMPRA'!$F$30,Tabla11[[#This Row],[Cuenta]],1))</f>
        <v>1</v>
      </c>
      <c r="L283" t="b">
        <f>+ISNUMBER(SEARCH('F-COMPRA'!$F$31,Tabla11[[#This Row],[Cuenta]],1))</f>
        <v>1</v>
      </c>
      <c r="M283" t="b">
        <f>+ISNUMBER(SEARCH('F-COMPRA'!$G$25,Tabla11[[#This Row],[Cuenta]],1))</f>
        <v>0</v>
      </c>
      <c r="N283" t="b">
        <f>+ISNUMBER(SEARCH(#REF!,Tabla11[[#This Row],[Cuenta]],1))</f>
        <v>0</v>
      </c>
      <c r="O283" t="b">
        <f>+ISNUMBER(SEARCH(#REF!,Tabla11[[#This Row],[Cuenta]],1))</f>
        <v>0</v>
      </c>
      <c r="P283" t="b">
        <f>+ISNUMBER(SEARCH('F-COMPRA'!$F$32,Tabla11[[#This Row],[Cuenta]],1))</f>
        <v>1</v>
      </c>
      <c r="Q283" t="b">
        <f>+ISNUMBER(SEARCH('F-COMPRA'!$F$33,Tabla11[[#This Row],[Cuenta]],1))</f>
        <v>1</v>
      </c>
      <c r="R283" t="b">
        <f>+ISNUMBER(SEARCH('F-COMPRA'!$F$34,Tabla11[[#This Row],[Cuenta]],1))</f>
        <v>1</v>
      </c>
      <c r="S283" t="b">
        <f>+ISNUMBER(SEARCH('F-COMPRA'!$F$35,Tabla11[[#This Row],[Cuenta]],1))</f>
        <v>1</v>
      </c>
      <c r="T283" t="b">
        <f>+ISNUMBER(SEARCH('F-COMPRA'!$F$36,Tabla11[[#This Row],[Cuenta]],1))</f>
        <v>1</v>
      </c>
      <c r="U283" t="b">
        <f>+ISNUMBER(SEARCH('F-COMPRA'!$F$37,Tabla11[[#This Row],[Cuenta]],1))</f>
        <v>1</v>
      </c>
      <c r="V283" t="b">
        <f>+ISNUMBER(SEARCH(#REF!,Tabla11[[#This Row],[Cuenta]],1))</f>
        <v>0</v>
      </c>
      <c r="W283" t="b">
        <f>+ISNUMBER(SEARCH('F-COMPRA'!#REF!,Tabla11[[#This Row],[Cuenta]],1))</f>
        <v>0</v>
      </c>
      <c r="X283" t="b">
        <f>+ISNUMBER(SEARCH('F-COMPRA'!#REF!,Tabla11[[#This Row],[Cuenta]],1))</f>
        <v>0</v>
      </c>
      <c r="Y283" t="b">
        <f>+ISNUMBER(SEARCH('F-COMPRA'!#REF!,Tabla11[[#This Row],[Cuenta]],1))</f>
        <v>0</v>
      </c>
      <c r="Z283" t="b">
        <f>+ISNUMBER(SEARCH('F-COMPRA'!#REF!,Tabla11[[#This Row],[Cuenta]],1))</f>
        <v>0</v>
      </c>
      <c r="AA283" t="b">
        <f>+ISNUMBER(SEARCH('F-COMPRA'!#REF!,Tabla11[[#This Row],[Cuenta]],1))</f>
        <v>0</v>
      </c>
      <c r="AB283" t="b">
        <f>+ISNUMBER(SEARCH('F-COMPRA'!#REF!,Tabla11[[#This Row],[Cuenta]],1))</f>
        <v>0</v>
      </c>
      <c r="AC283" t="b">
        <f>+ISNUMBER(SEARCH('F-COMPRA'!#REF!,Tabla11[[#This Row],[Cuenta]],1))</f>
        <v>0</v>
      </c>
      <c r="AD283" t="b">
        <f>+ISNUMBER(SEARCH('F-COMPRA'!#REF!,Tabla11[[#This Row],[Cuenta]],1))</f>
        <v>0</v>
      </c>
      <c r="AE283" t="b">
        <f>+ISNUMBER(SEARCH('F-COMPRA'!#REF!,Tabla11[[#This Row],[Cuenta]],1))</f>
        <v>0</v>
      </c>
      <c r="AF283" t="b">
        <f>+ISNUMBER(SEARCH('F-VTA'!$G$23,Tabla11[[#This Row],[Cuenta]],1))</f>
        <v>0</v>
      </c>
      <c r="AG283" t="b">
        <f>+ISNUMBER(SEARCH('F-VTA'!$G$24,Tabla11[[#This Row],[Cuenta]],1))</f>
        <v>0</v>
      </c>
      <c r="AH283" t="b">
        <f>+ISNUMBER(SEARCH('F-VTA'!$G$25,Tabla11[[#This Row],[Cuenta]],1))</f>
        <v>0</v>
      </c>
      <c r="AI283" t="b">
        <f>+ISNUMBER(SEARCH('F-VTA'!$F$28,Tabla11[[#This Row],[Cuenta]],1))</f>
        <v>1</v>
      </c>
      <c r="AJ283" t="b">
        <f>+ISNUMBER(SEARCH('F-VTA'!$F$29,Tabla11[[#This Row],[Cuenta]],1))</f>
        <v>1</v>
      </c>
      <c r="AK283" t="b">
        <f>+ISNUMBER(SEARCH('F-VTA'!$F$30,Tabla11[[#This Row],[Cuenta]],1))</f>
        <v>1</v>
      </c>
      <c r="AL283" t="b">
        <f>+ISNUMBER(SEARCH('F-VTA'!$F$31,Tabla11[[#This Row],[Cuenta]],1))</f>
        <v>1</v>
      </c>
      <c r="AM283" t="b">
        <f>+ISNUMBER(SEARCH('F-VTA'!$F$32,Tabla11[[#This Row],[Cuenta]],1))</f>
        <v>1</v>
      </c>
      <c r="AN283" t="b">
        <f>+ISNUMBER(SEARCH('F-VTA'!$F$33,Tabla11[[#This Row],[Cuenta]],1))</f>
        <v>1</v>
      </c>
      <c r="AO283" t="b">
        <f>+ISNUMBER(SEARCH('F-VTA'!$F$34,Tabla11[[#This Row],[Cuenta]],1))</f>
        <v>1</v>
      </c>
      <c r="AP283" t="b">
        <f>+ISNUMBER(SEARCH('F-VTA'!$F$35,Tabla11[[#This Row],[Cuenta]],1))</f>
        <v>1</v>
      </c>
      <c r="AQ283" t="b">
        <f>+ISNUMBER(SEARCH('F-VTA'!$F$36,Tabla11[[#This Row],[Cuenta]],1))</f>
        <v>1</v>
      </c>
      <c r="AR283" t="b">
        <f>+ISNUMBER(SEARCH(#REF!,Tabla11[[#This Row],[Cuenta]],1))</f>
        <v>0</v>
      </c>
      <c r="AS283" t="b">
        <f>+ISNUMBER(SEARCH(#REF!,Tabla11[[#This Row],[Cuenta]],1))</f>
        <v>0</v>
      </c>
      <c r="AT283" t="b">
        <f>+ISNUMBER(SEARCH(#REF!,Tabla11[[#This Row],[Cuenta]],1))</f>
        <v>0</v>
      </c>
      <c r="AU283" t="b">
        <f>+ISNUMBER(SEARCH('Conc. Ban.1'!$I$9,Tabla11[[#This Row],[Cuenta]],1))</f>
        <v>0</v>
      </c>
      <c r="AV283" t="b">
        <f>+ISNUMBER(SEARCH(CompConta!$F$21,Tabla11[[#This Row],[Cuenta]],1))</f>
        <v>1</v>
      </c>
      <c r="AW283" t="b">
        <f>+ISNUMBER(SEARCH(CompConta!$F$22,Tabla11[[#This Row],[Cuenta]],1))</f>
        <v>1</v>
      </c>
      <c r="AX283" t="b">
        <f>+ISNUMBER(SEARCH(CompConta!$F$23,Tabla11[[#This Row],[Cuenta]],1))</f>
        <v>1</v>
      </c>
      <c r="AY283" t="b">
        <f>+ISNUMBER(SEARCH(CompConta!$F$24,Tabla11[[#This Row],[Cuenta]],1))</f>
        <v>1</v>
      </c>
      <c r="AZ283" t="b">
        <f>+ISNUMBER(SEARCH(CompConta!$F$25,Tabla11[[#This Row],[Cuenta]],1))</f>
        <v>1</v>
      </c>
      <c r="BA283" t="b">
        <f>+ISNUMBER(SEARCH(CompConta!$F$26,Tabla11[[#This Row],[Cuenta]],1))</f>
        <v>1</v>
      </c>
      <c r="BB283" t="b">
        <f>+ISNUMBER(SEARCH(CompConta!$F$27,Tabla11[[#This Row],[Cuenta]],1))</f>
        <v>1</v>
      </c>
      <c r="BC283" t="b">
        <f>+ISNUMBER(SEARCH(CompConta!$F$28,Tabla11[[#This Row],[Cuenta]],1))</f>
        <v>1</v>
      </c>
      <c r="BD283" t="b">
        <f>+ISNUMBER(SEARCH(CompConta!$F$29,Tabla11[[#This Row],[Cuenta]],1))</f>
        <v>1</v>
      </c>
      <c r="BE283" t="b">
        <f>+ISNUMBER(SEARCH(CompConta!$F$30,Tabla11[[#This Row],[Cuenta]],1))</f>
        <v>1</v>
      </c>
      <c r="BF283" t="b">
        <f>+ISNUMBER(SEARCH('PAGO Compras'!$E$11,Tabla11[[#This Row],[Cuenta]],1))</f>
        <v>1</v>
      </c>
      <c r="BG283" t="b">
        <f>+ISNUMBER(SEARCH(#REF!,Tabla11[[#This Row],[Cuenta]],1))</f>
        <v>0</v>
      </c>
      <c r="BH283" t="b">
        <f>+ISNUMBER(SEARCH(#REF!,Tabla11[[#This Row],[Cuenta]],1))</f>
        <v>0</v>
      </c>
      <c r="BI283" t="b">
        <f>+ISNUMBER(SEARCH(#REF!,Tabla11[[#This Row],[Cuenta]],1))</f>
        <v>0</v>
      </c>
      <c r="BJ283" t="b">
        <f>+ISNUMBER(SEARCH(#REF!,Tabla11[[#This Row],[Cuenta]],1))</f>
        <v>0</v>
      </c>
      <c r="BS283" t="str">
        <v>161099 Ajustes por inflación</v>
      </c>
      <c r="BT283" t="str">
        <v>161099 Ajustes por inflación</v>
      </c>
      <c r="BU283" t="str">
        <v>161099 Ajustes por inflación</v>
      </c>
      <c r="BV283" t="str">
        <v>161099 Ajustes por inflación</v>
      </c>
      <c r="BZ283" t="str">
        <v>161099 Ajustes por inflación</v>
      </c>
      <c r="CA283" t="str">
        <v>161099 Ajustes por inflación</v>
      </c>
      <c r="CB283" t="str">
        <v>161099 Ajustes por inflación</v>
      </c>
      <c r="CC283" t="str">
        <v>161099 Ajustes por inflación</v>
      </c>
      <c r="CD283" t="str">
        <v>161099 Ajustes por inflación</v>
      </c>
      <c r="CE283" t="str">
        <v>161099 Ajustes por inflación</v>
      </c>
      <c r="CS283" s="141" t="str">
        <v>161099 Ajustes por inflación</v>
      </c>
      <c r="CT283" s="141" t="str">
        <v>161099 Ajustes por inflación</v>
      </c>
      <c r="CU283" s="141" t="str">
        <v>161099 Ajustes por inflación</v>
      </c>
      <c r="CV283" s="141" t="str">
        <v>161099 Ajustes por inflación</v>
      </c>
      <c r="CW283" s="141" t="str">
        <v>161099 Ajustes por inflación</v>
      </c>
      <c r="CX283" s="141" t="str">
        <v>161099 Ajustes por inflación</v>
      </c>
      <c r="CY283" s="141" t="str">
        <v>161099 Ajustes por inflación</v>
      </c>
      <c r="CZ283" s="141" t="str">
        <v>161099 Ajustes por inflación</v>
      </c>
      <c r="DA283" s="141" t="str">
        <v>161099 Ajustes por inflación</v>
      </c>
      <c r="DF283" t="str">
        <v>161099 Ajustes por inflación</v>
      </c>
      <c r="DG283" t="str">
        <v>161099 Ajustes por inflación</v>
      </c>
      <c r="DH283" t="str">
        <v>161099 Ajustes por inflación</v>
      </c>
      <c r="DI283" t="str">
        <v>161099 Ajustes por inflación</v>
      </c>
      <c r="DJ283" t="str">
        <v>161099 Ajustes por inflación</v>
      </c>
      <c r="DK283" t="str">
        <v>161099 Ajustes por inflación</v>
      </c>
      <c r="DL283" t="str">
        <v>161099 Ajustes por inflación</v>
      </c>
      <c r="DM283" t="str">
        <v>161099 Ajustes por inflación</v>
      </c>
      <c r="DN283" t="str">
        <v>161099 Ajustes por inflación</v>
      </c>
      <c r="DO283" t="str">
        <v>161099 Ajustes por inflación</v>
      </c>
      <c r="DP283" t="str">
        <v>161099 Ajustes por inflación</v>
      </c>
    </row>
    <row r="284" spans="4:120" ht="12.75">
      <c r="D284" s="7">
        <v>1615</v>
      </c>
      <c r="E284" s="6" t="s">
        <v>235</v>
      </c>
      <c r="F284" s="5">
        <v>3</v>
      </c>
      <c r="G284" s="34" t="s">
        <v>822</v>
      </c>
      <c r="H284" s="8" t="s">
        <v>32</v>
      </c>
      <c r="I284" t="b">
        <f>+ISNUMBER(SEARCH('F-COMPRA'!$F$28,Tabla11[[#This Row],[Cuenta]],1))</f>
        <v>1</v>
      </c>
      <c r="J284" t="b">
        <f>+ISNUMBER(SEARCH('F-COMPRA'!$F$29,Tabla11[[#This Row],[Cuenta]],1))</f>
        <v>1</v>
      </c>
      <c r="K284" t="b">
        <f>+ISNUMBER(SEARCH('F-COMPRA'!$F$30,Tabla11[[#This Row],[Cuenta]],1))</f>
        <v>1</v>
      </c>
      <c r="L284" t="b">
        <f>+ISNUMBER(SEARCH('F-COMPRA'!$F$31,Tabla11[[#This Row],[Cuenta]],1))</f>
        <v>1</v>
      </c>
      <c r="M284" t="b">
        <f>+ISNUMBER(SEARCH('F-COMPRA'!$G$25,Tabla11[[#This Row],[Cuenta]],1))</f>
        <v>0</v>
      </c>
      <c r="N284" t="b">
        <f>+ISNUMBER(SEARCH(#REF!,Tabla11[[#This Row],[Cuenta]],1))</f>
        <v>0</v>
      </c>
      <c r="O284" t="b">
        <f>+ISNUMBER(SEARCH(#REF!,Tabla11[[#This Row],[Cuenta]],1))</f>
        <v>0</v>
      </c>
      <c r="P284" t="b">
        <f>+ISNUMBER(SEARCH('F-COMPRA'!$F$32,Tabla11[[#This Row],[Cuenta]],1))</f>
        <v>1</v>
      </c>
      <c r="Q284" t="b">
        <f>+ISNUMBER(SEARCH('F-COMPRA'!$F$33,Tabla11[[#This Row],[Cuenta]],1))</f>
        <v>1</v>
      </c>
      <c r="R284" t="b">
        <f>+ISNUMBER(SEARCH('F-COMPRA'!$F$34,Tabla11[[#This Row],[Cuenta]],1))</f>
        <v>1</v>
      </c>
      <c r="S284" t="b">
        <f>+ISNUMBER(SEARCH('F-COMPRA'!$F$35,Tabla11[[#This Row],[Cuenta]],1))</f>
        <v>1</v>
      </c>
      <c r="T284" t="b">
        <f>+ISNUMBER(SEARCH('F-COMPRA'!$F$36,Tabla11[[#This Row],[Cuenta]],1))</f>
        <v>1</v>
      </c>
      <c r="U284" t="b">
        <f>+ISNUMBER(SEARCH('F-COMPRA'!$F$37,Tabla11[[#This Row],[Cuenta]],1))</f>
        <v>1</v>
      </c>
      <c r="V284" t="b">
        <f>+ISNUMBER(SEARCH(#REF!,Tabla11[[#This Row],[Cuenta]],1))</f>
        <v>0</v>
      </c>
      <c r="W284" t="b">
        <f>+ISNUMBER(SEARCH('F-COMPRA'!#REF!,Tabla11[[#This Row],[Cuenta]],1))</f>
        <v>0</v>
      </c>
      <c r="X284" t="b">
        <f>+ISNUMBER(SEARCH('F-COMPRA'!#REF!,Tabla11[[#This Row],[Cuenta]],1))</f>
        <v>0</v>
      </c>
      <c r="Y284" t="b">
        <f>+ISNUMBER(SEARCH('F-COMPRA'!#REF!,Tabla11[[#This Row],[Cuenta]],1))</f>
        <v>0</v>
      </c>
      <c r="Z284" t="b">
        <f>+ISNUMBER(SEARCH('F-COMPRA'!#REF!,Tabla11[[#This Row],[Cuenta]],1))</f>
        <v>0</v>
      </c>
      <c r="AA284" t="b">
        <f>+ISNUMBER(SEARCH('F-COMPRA'!#REF!,Tabla11[[#This Row],[Cuenta]],1))</f>
        <v>0</v>
      </c>
      <c r="AB284" t="b">
        <f>+ISNUMBER(SEARCH('F-COMPRA'!#REF!,Tabla11[[#This Row],[Cuenta]],1))</f>
        <v>0</v>
      </c>
      <c r="AC284" t="b">
        <f>+ISNUMBER(SEARCH('F-COMPRA'!#REF!,Tabla11[[#This Row],[Cuenta]],1))</f>
        <v>0</v>
      </c>
      <c r="AD284" t="b">
        <f>+ISNUMBER(SEARCH('F-COMPRA'!#REF!,Tabla11[[#This Row],[Cuenta]],1))</f>
        <v>0</v>
      </c>
      <c r="AE284" t="b">
        <f>+ISNUMBER(SEARCH('F-COMPRA'!#REF!,Tabla11[[#This Row],[Cuenta]],1))</f>
        <v>0</v>
      </c>
      <c r="AF284" t="b">
        <f>+ISNUMBER(SEARCH('F-VTA'!$G$23,Tabla11[[#This Row],[Cuenta]],1))</f>
        <v>0</v>
      </c>
      <c r="AG284" t="b">
        <f>+ISNUMBER(SEARCH('F-VTA'!$G$24,Tabla11[[#This Row],[Cuenta]],1))</f>
        <v>0</v>
      </c>
      <c r="AH284" t="b">
        <f>+ISNUMBER(SEARCH('F-VTA'!$G$25,Tabla11[[#This Row],[Cuenta]],1))</f>
        <v>0</v>
      </c>
      <c r="AI284" t="b">
        <f>+ISNUMBER(SEARCH('F-VTA'!$F$28,Tabla11[[#This Row],[Cuenta]],1))</f>
        <v>1</v>
      </c>
      <c r="AJ284" t="b">
        <f>+ISNUMBER(SEARCH('F-VTA'!$F$29,Tabla11[[#This Row],[Cuenta]],1))</f>
        <v>1</v>
      </c>
      <c r="AK284" t="b">
        <f>+ISNUMBER(SEARCH('F-VTA'!$F$30,Tabla11[[#This Row],[Cuenta]],1))</f>
        <v>1</v>
      </c>
      <c r="AL284" t="b">
        <f>+ISNUMBER(SEARCH('F-VTA'!$F$31,Tabla11[[#This Row],[Cuenta]],1))</f>
        <v>1</v>
      </c>
      <c r="AM284" t="b">
        <f>+ISNUMBER(SEARCH('F-VTA'!$F$32,Tabla11[[#This Row],[Cuenta]],1))</f>
        <v>1</v>
      </c>
      <c r="AN284" t="b">
        <f>+ISNUMBER(SEARCH('F-VTA'!$F$33,Tabla11[[#This Row],[Cuenta]],1))</f>
        <v>1</v>
      </c>
      <c r="AO284" t="b">
        <f>+ISNUMBER(SEARCH('F-VTA'!$F$34,Tabla11[[#This Row],[Cuenta]],1))</f>
        <v>1</v>
      </c>
      <c r="AP284" t="b">
        <f>+ISNUMBER(SEARCH('F-VTA'!$F$35,Tabla11[[#This Row],[Cuenta]],1))</f>
        <v>1</v>
      </c>
      <c r="AQ284" t="b">
        <f>+ISNUMBER(SEARCH('F-VTA'!$F$36,Tabla11[[#This Row],[Cuenta]],1))</f>
        <v>1</v>
      </c>
      <c r="AR284" t="b">
        <f>+ISNUMBER(SEARCH(#REF!,Tabla11[[#This Row],[Cuenta]],1))</f>
        <v>0</v>
      </c>
      <c r="AS284" t="b">
        <f>+ISNUMBER(SEARCH(#REF!,Tabla11[[#This Row],[Cuenta]],1))</f>
        <v>0</v>
      </c>
      <c r="AT284" t="b">
        <f>+ISNUMBER(SEARCH(#REF!,Tabla11[[#This Row],[Cuenta]],1))</f>
        <v>0</v>
      </c>
      <c r="AU284" t="b">
        <f>+ISNUMBER(SEARCH('Conc. Ban.1'!$I$9,Tabla11[[#This Row],[Cuenta]],1))</f>
        <v>0</v>
      </c>
      <c r="AV284" t="b">
        <f>+ISNUMBER(SEARCH(CompConta!$F$21,Tabla11[[#This Row],[Cuenta]],1))</f>
        <v>1</v>
      </c>
      <c r="AW284" t="b">
        <f>+ISNUMBER(SEARCH(CompConta!$F$22,Tabla11[[#This Row],[Cuenta]],1))</f>
        <v>1</v>
      </c>
      <c r="AX284" t="b">
        <f>+ISNUMBER(SEARCH(CompConta!$F$23,Tabla11[[#This Row],[Cuenta]],1))</f>
        <v>1</v>
      </c>
      <c r="AY284" t="b">
        <f>+ISNUMBER(SEARCH(CompConta!$F$24,Tabla11[[#This Row],[Cuenta]],1))</f>
        <v>1</v>
      </c>
      <c r="AZ284" t="b">
        <f>+ISNUMBER(SEARCH(CompConta!$F$25,Tabla11[[#This Row],[Cuenta]],1))</f>
        <v>1</v>
      </c>
      <c r="BA284" t="b">
        <f>+ISNUMBER(SEARCH(CompConta!$F$26,Tabla11[[#This Row],[Cuenta]],1))</f>
        <v>1</v>
      </c>
      <c r="BB284" t="b">
        <f>+ISNUMBER(SEARCH(CompConta!$F$27,Tabla11[[#This Row],[Cuenta]],1))</f>
        <v>1</v>
      </c>
      <c r="BC284" t="b">
        <f>+ISNUMBER(SEARCH(CompConta!$F$28,Tabla11[[#This Row],[Cuenta]],1))</f>
        <v>1</v>
      </c>
      <c r="BD284" t="b">
        <f>+ISNUMBER(SEARCH(CompConta!$F$29,Tabla11[[#This Row],[Cuenta]],1))</f>
        <v>1</v>
      </c>
      <c r="BE284" t="b">
        <f>+ISNUMBER(SEARCH(CompConta!$F$30,Tabla11[[#This Row],[Cuenta]],1))</f>
        <v>1</v>
      </c>
      <c r="BF284" t="b">
        <f>+ISNUMBER(SEARCH('PAGO Compras'!$E$11,Tabla11[[#This Row],[Cuenta]],1))</f>
        <v>1</v>
      </c>
      <c r="BG284" t="b">
        <f>+ISNUMBER(SEARCH(#REF!,Tabla11[[#This Row],[Cuenta]],1))</f>
        <v>0</v>
      </c>
      <c r="BH284" t="b">
        <f>+ISNUMBER(SEARCH(#REF!,Tabla11[[#This Row],[Cuenta]],1))</f>
        <v>0</v>
      </c>
      <c r="BI284" t="b">
        <f>+ISNUMBER(SEARCH(#REF!,Tabla11[[#This Row],[Cuenta]],1))</f>
        <v>0</v>
      </c>
      <c r="BJ284" t="b">
        <f>+ISNUMBER(SEARCH(#REF!,Tabla11[[#This Row],[Cuenta]],1))</f>
        <v>0</v>
      </c>
      <c r="BS284" t="str">
        <v>1615 PATENTES</v>
      </c>
      <c r="BT284" t="str">
        <v>1615 PATENTES</v>
      </c>
      <c r="BU284" t="str">
        <v>1615 PATENTES</v>
      </c>
      <c r="BV284" t="str">
        <v>1615 PATENTES</v>
      </c>
      <c r="BZ284" t="str">
        <v>1615 PATENTES</v>
      </c>
      <c r="CA284" t="str">
        <v>1615 PATENTES</v>
      </c>
      <c r="CB284" t="str">
        <v>1615 PATENTES</v>
      </c>
      <c r="CC284" t="str">
        <v>1615 PATENTES</v>
      </c>
      <c r="CD284" t="str">
        <v>1615 PATENTES</v>
      </c>
      <c r="CE284" t="str">
        <v>1615 PATENTES</v>
      </c>
      <c r="CS284" s="141" t="str">
        <v>1615 PATENTES</v>
      </c>
      <c r="CT284" s="141" t="str">
        <v>1615 PATENTES</v>
      </c>
      <c r="CU284" s="141" t="str">
        <v>1615 PATENTES</v>
      </c>
      <c r="CV284" s="141" t="str">
        <v>1615 PATENTES</v>
      </c>
      <c r="CW284" s="141" t="str">
        <v>1615 PATENTES</v>
      </c>
      <c r="CX284" s="141" t="str">
        <v>1615 PATENTES</v>
      </c>
      <c r="CY284" s="141" t="str">
        <v>1615 PATENTES</v>
      </c>
      <c r="CZ284" s="141" t="str">
        <v>1615 PATENTES</v>
      </c>
      <c r="DA284" s="141" t="str">
        <v>1615 PATENTES</v>
      </c>
      <c r="DF284" t="str">
        <v>1615 PATENTES</v>
      </c>
      <c r="DG284" t="str">
        <v>1615 PATENTES</v>
      </c>
      <c r="DH284" t="str">
        <v>1615 PATENTES</v>
      </c>
      <c r="DI284" t="str">
        <v>1615 PATENTES</v>
      </c>
      <c r="DJ284" t="str">
        <v>1615 PATENTES</v>
      </c>
      <c r="DK284" t="str">
        <v>1615 PATENTES</v>
      </c>
      <c r="DL284" t="str">
        <v>1615 PATENTES</v>
      </c>
      <c r="DM284" t="str">
        <v>1615 PATENTES</v>
      </c>
      <c r="DN284" t="str">
        <v>1615 PATENTES</v>
      </c>
      <c r="DO284" t="str">
        <v>1615 PATENTES</v>
      </c>
      <c r="DP284" t="str">
        <v>1615 PATENTES</v>
      </c>
    </row>
    <row r="285" spans="4:120" ht="12.75">
      <c r="D285" s="7">
        <v>161505</v>
      </c>
      <c r="E285" s="6" t="s">
        <v>233</v>
      </c>
      <c r="F285" s="5">
        <v>4</v>
      </c>
      <c r="G285" s="34" t="s">
        <v>822</v>
      </c>
      <c r="H285" s="8" t="s">
        <v>32</v>
      </c>
      <c r="I285" t="b">
        <f>+ISNUMBER(SEARCH('F-COMPRA'!$F$28,Tabla11[[#This Row],[Cuenta]],1))</f>
        <v>1</v>
      </c>
      <c r="J285" t="b">
        <f>+ISNUMBER(SEARCH('F-COMPRA'!$F$29,Tabla11[[#This Row],[Cuenta]],1))</f>
        <v>1</v>
      </c>
      <c r="K285" t="b">
        <f>+ISNUMBER(SEARCH('F-COMPRA'!$F$30,Tabla11[[#This Row],[Cuenta]],1))</f>
        <v>1</v>
      </c>
      <c r="L285" t="b">
        <f>+ISNUMBER(SEARCH('F-COMPRA'!$F$31,Tabla11[[#This Row],[Cuenta]],1))</f>
        <v>1</v>
      </c>
      <c r="M285" t="b">
        <f>+ISNUMBER(SEARCH('F-COMPRA'!$G$25,Tabla11[[#This Row],[Cuenta]],1))</f>
        <v>0</v>
      </c>
      <c r="N285" t="b">
        <f>+ISNUMBER(SEARCH(#REF!,Tabla11[[#This Row],[Cuenta]],1))</f>
        <v>0</v>
      </c>
      <c r="O285" t="b">
        <f>+ISNUMBER(SEARCH(#REF!,Tabla11[[#This Row],[Cuenta]],1))</f>
        <v>0</v>
      </c>
      <c r="P285" t="b">
        <f>+ISNUMBER(SEARCH('F-COMPRA'!$F$32,Tabla11[[#This Row],[Cuenta]],1))</f>
        <v>1</v>
      </c>
      <c r="Q285" t="b">
        <f>+ISNUMBER(SEARCH('F-COMPRA'!$F$33,Tabla11[[#This Row],[Cuenta]],1))</f>
        <v>1</v>
      </c>
      <c r="R285" t="b">
        <f>+ISNUMBER(SEARCH('F-COMPRA'!$F$34,Tabla11[[#This Row],[Cuenta]],1))</f>
        <v>1</v>
      </c>
      <c r="S285" t="b">
        <f>+ISNUMBER(SEARCH('F-COMPRA'!$F$35,Tabla11[[#This Row],[Cuenta]],1))</f>
        <v>1</v>
      </c>
      <c r="T285" t="b">
        <f>+ISNUMBER(SEARCH('F-COMPRA'!$F$36,Tabla11[[#This Row],[Cuenta]],1))</f>
        <v>1</v>
      </c>
      <c r="U285" t="b">
        <f>+ISNUMBER(SEARCH('F-COMPRA'!$F$37,Tabla11[[#This Row],[Cuenta]],1))</f>
        <v>1</v>
      </c>
      <c r="V285" t="b">
        <f>+ISNUMBER(SEARCH(#REF!,Tabla11[[#This Row],[Cuenta]],1))</f>
        <v>0</v>
      </c>
      <c r="W285" t="b">
        <f>+ISNUMBER(SEARCH('F-COMPRA'!#REF!,Tabla11[[#This Row],[Cuenta]],1))</f>
        <v>0</v>
      </c>
      <c r="X285" t="b">
        <f>+ISNUMBER(SEARCH('F-COMPRA'!#REF!,Tabla11[[#This Row],[Cuenta]],1))</f>
        <v>0</v>
      </c>
      <c r="Y285" t="b">
        <f>+ISNUMBER(SEARCH('F-COMPRA'!#REF!,Tabla11[[#This Row],[Cuenta]],1))</f>
        <v>0</v>
      </c>
      <c r="Z285" t="b">
        <f>+ISNUMBER(SEARCH('F-COMPRA'!#REF!,Tabla11[[#This Row],[Cuenta]],1))</f>
        <v>0</v>
      </c>
      <c r="AA285" t="b">
        <f>+ISNUMBER(SEARCH('F-COMPRA'!#REF!,Tabla11[[#This Row],[Cuenta]],1))</f>
        <v>0</v>
      </c>
      <c r="AB285" t="b">
        <f>+ISNUMBER(SEARCH('F-COMPRA'!#REF!,Tabla11[[#This Row],[Cuenta]],1))</f>
        <v>0</v>
      </c>
      <c r="AC285" t="b">
        <f>+ISNUMBER(SEARCH('F-COMPRA'!#REF!,Tabla11[[#This Row],[Cuenta]],1))</f>
        <v>0</v>
      </c>
      <c r="AD285" t="b">
        <f>+ISNUMBER(SEARCH('F-COMPRA'!#REF!,Tabla11[[#This Row],[Cuenta]],1))</f>
        <v>0</v>
      </c>
      <c r="AE285" t="b">
        <f>+ISNUMBER(SEARCH('F-COMPRA'!#REF!,Tabla11[[#This Row],[Cuenta]],1))</f>
        <v>0</v>
      </c>
      <c r="AF285" t="b">
        <f>+ISNUMBER(SEARCH('F-VTA'!$G$23,Tabla11[[#This Row],[Cuenta]],1))</f>
        <v>0</v>
      </c>
      <c r="AG285" t="b">
        <f>+ISNUMBER(SEARCH('F-VTA'!$G$24,Tabla11[[#This Row],[Cuenta]],1))</f>
        <v>0</v>
      </c>
      <c r="AH285" t="b">
        <f>+ISNUMBER(SEARCH('F-VTA'!$G$25,Tabla11[[#This Row],[Cuenta]],1))</f>
        <v>0</v>
      </c>
      <c r="AI285" t="b">
        <f>+ISNUMBER(SEARCH('F-VTA'!$F$28,Tabla11[[#This Row],[Cuenta]],1))</f>
        <v>1</v>
      </c>
      <c r="AJ285" t="b">
        <f>+ISNUMBER(SEARCH('F-VTA'!$F$29,Tabla11[[#This Row],[Cuenta]],1))</f>
        <v>1</v>
      </c>
      <c r="AK285" t="b">
        <f>+ISNUMBER(SEARCH('F-VTA'!$F$30,Tabla11[[#This Row],[Cuenta]],1))</f>
        <v>1</v>
      </c>
      <c r="AL285" t="b">
        <f>+ISNUMBER(SEARCH('F-VTA'!$F$31,Tabla11[[#This Row],[Cuenta]],1))</f>
        <v>1</v>
      </c>
      <c r="AM285" t="b">
        <f>+ISNUMBER(SEARCH('F-VTA'!$F$32,Tabla11[[#This Row],[Cuenta]],1))</f>
        <v>1</v>
      </c>
      <c r="AN285" t="b">
        <f>+ISNUMBER(SEARCH('F-VTA'!$F$33,Tabla11[[#This Row],[Cuenta]],1))</f>
        <v>1</v>
      </c>
      <c r="AO285" t="b">
        <f>+ISNUMBER(SEARCH('F-VTA'!$F$34,Tabla11[[#This Row],[Cuenta]],1))</f>
        <v>1</v>
      </c>
      <c r="AP285" t="b">
        <f>+ISNUMBER(SEARCH('F-VTA'!$F$35,Tabla11[[#This Row],[Cuenta]],1))</f>
        <v>1</v>
      </c>
      <c r="AQ285" t="b">
        <f>+ISNUMBER(SEARCH('F-VTA'!$F$36,Tabla11[[#This Row],[Cuenta]],1))</f>
        <v>1</v>
      </c>
      <c r="AR285" t="b">
        <f>+ISNUMBER(SEARCH(#REF!,Tabla11[[#This Row],[Cuenta]],1))</f>
        <v>0</v>
      </c>
      <c r="AS285" t="b">
        <f>+ISNUMBER(SEARCH(#REF!,Tabla11[[#This Row],[Cuenta]],1))</f>
        <v>0</v>
      </c>
      <c r="AT285" t="b">
        <f>+ISNUMBER(SEARCH(#REF!,Tabla11[[#This Row],[Cuenta]],1))</f>
        <v>0</v>
      </c>
      <c r="AU285" t="b">
        <f>+ISNUMBER(SEARCH('Conc. Ban.1'!$I$9,Tabla11[[#This Row],[Cuenta]],1))</f>
        <v>0</v>
      </c>
      <c r="AV285" t="b">
        <f>+ISNUMBER(SEARCH(CompConta!$F$21,Tabla11[[#This Row],[Cuenta]],1))</f>
        <v>1</v>
      </c>
      <c r="AW285" t="b">
        <f>+ISNUMBER(SEARCH(CompConta!$F$22,Tabla11[[#This Row],[Cuenta]],1))</f>
        <v>1</v>
      </c>
      <c r="AX285" t="b">
        <f>+ISNUMBER(SEARCH(CompConta!$F$23,Tabla11[[#This Row],[Cuenta]],1))</f>
        <v>1</v>
      </c>
      <c r="AY285" t="b">
        <f>+ISNUMBER(SEARCH(CompConta!$F$24,Tabla11[[#This Row],[Cuenta]],1))</f>
        <v>1</v>
      </c>
      <c r="AZ285" t="b">
        <f>+ISNUMBER(SEARCH(CompConta!$F$25,Tabla11[[#This Row],[Cuenta]],1))</f>
        <v>1</v>
      </c>
      <c r="BA285" t="b">
        <f>+ISNUMBER(SEARCH(CompConta!$F$26,Tabla11[[#This Row],[Cuenta]],1))</f>
        <v>1</v>
      </c>
      <c r="BB285" t="b">
        <f>+ISNUMBER(SEARCH(CompConta!$F$27,Tabla11[[#This Row],[Cuenta]],1))</f>
        <v>1</v>
      </c>
      <c r="BC285" t="b">
        <f>+ISNUMBER(SEARCH(CompConta!$F$28,Tabla11[[#This Row],[Cuenta]],1))</f>
        <v>1</v>
      </c>
      <c r="BD285" t="b">
        <f>+ISNUMBER(SEARCH(CompConta!$F$29,Tabla11[[#This Row],[Cuenta]],1))</f>
        <v>1</v>
      </c>
      <c r="BE285" t="b">
        <f>+ISNUMBER(SEARCH(CompConta!$F$30,Tabla11[[#This Row],[Cuenta]],1))</f>
        <v>1</v>
      </c>
      <c r="BF285" t="b">
        <f>+ISNUMBER(SEARCH('PAGO Compras'!$E$11,Tabla11[[#This Row],[Cuenta]],1))</f>
        <v>1</v>
      </c>
      <c r="BG285" t="b">
        <f>+ISNUMBER(SEARCH(#REF!,Tabla11[[#This Row],[Cuenta]],1))</f>
        <v>0</v>
      </c>
      <c r="BH285" t="b">
        <f>+ISNUMBER(SEARCH(#REF!,Tabla11[[#This Row],[Cuenta]],1))</f>
        <v>0</v>
      </c>
      <c r="BI285" t="b">
        <f>+ISNUMBER(SEARCH(#REF!,Tabla11[[#This Row],[Cuenta]],1))</f>
        <v>0</v>
      </c>
      <c r="BJ285" t="b">
        <f>+ISNUMBER(SEARCH(#REF!,Tabla11[[#This Row],[Cuenta]],1))</f>
        <v>0</v>
      </c>
      <c r="BS285" t="str">
        <v>161505 Adquiridas</v>
      </c>
      <c r="BT285" t="str">
        <v>161505 Adquiridas</v>
      </c>
      <c r="BU285" t="str">
        <v>161505 Adquiridas</v>
      </c>
      <c r="BV285" t="str">
        <v>161505 Adquiridas</v>
      </c>
      <c r="BZ285" t="str">
        <v>161505 Adquiridas</v>
      </c>
      <c r="CA285" t="str">
        <v>161505 Adquiridas</v>
      </c>
      <c r="CB285" t="str">
        <v>161505 Adquiridas</v>
      </c>
      <c r="CC285" t="str">
        <v>161505 Adquiridas</v>
      </c>
      <c r="CD285" t="str">
        <v>161505 Adquiridas</v>
      </c>
      <c r="CE285" t="str">
        <v>161505 Adquiridas</v>
      </c>
      <c r="CS285" s="141" t="str">
        <v>161505 Adquiridas</v>
      </c>
      <c r="CT285" s="141" t="str">
        <v>161505 Adquiridas</v>
      </c>
      <c r="CU285" s="141" t="str">
        <v>161505 Adquiridas</v>
      </c>
      <c r="CV285" s="141" t="str">
        <v>161505 Adquiridas</v>
      </c>
      <c r="CW285" s="141" t="str">
        <v>161505 Adquiridas</v>
      </c>
      <c r="CX285" s="141" t="str">
        <v>161505 Adquiridas</v>
      </c>
      <c r="CY285" s="141" t="str">
        <v>161505 Adquiridas</v>
      </c>
      <c r="CZ285" s="141" t="str">
        <v>161505 Adquiridas</v>
      </c>
      <c r="DA285" s="141" t="str">
        <v>161505 Adquiridas</v>
      </c>
      <c r="DF285" t="str">
        <v>161505 Adquiridas</v>
      </c>
      <c r="DG285" t="str">
        <v>161505 Adquiridas</v>
      </c>
      <c r="DH285" t="str">
        <v>161505 Adquiridas</v>
      </c>
      <c r="DI285" t="str">
        <v>161505 Adquiridas</v>
      </c>
      <c r="DJ285" t="str">
        <v>161505 Adquiridas</v>
      </c>
      <c r="DK285" t="str">
        <v>161505 Adquiridas</v>
      </c>
      <c r="DL285" t="str">
        <v>161505 Adquiridas</v>
      </c>
      <c r="DM285" t="str">
        <v>161505 Adquiridas</v>
      </c>
      <c r="DN285" t="str">
        <v>161505 Adquiridas</v>
      </c>
      <c r="DO285" t="str">
        <v>161505 Adquiridas</v>
      </c>
      <c r="DP285" t="str">
        <v>161505 Adquiridas</v>
      </c>
    </row>
    <row r="286" spans="4:120" ht="12.75">
      <c r="D286" s="7">
        <v>161510</v>
      </c>
      <c r="E286" s="6" t="s">
        <v>234</v>
      </c>
      <c r="F286" s="5">
        <v>4</v>
      </c>
      <c r="G286" s="34" t="s">
        <v>822</v>
      </c>
      <c r="H286" s="8" t="s">
        <v>32</v>
      </c>
      <c r="I286" t="b">
        <f>+ISNUMBER(SEARCH('F-COMPRA'!$F$28,Tabla11[[#This Row],[Cuenta]],1))</f>
        <v>1</v>
      </c>
      <c r="J286" t="b">
        <f>+ISNUMBER(SEARCH('F-COMPRA'!$F$29,Tabla11[[#This Row],[Cuenta]],1))</f>
        <v>1</v>
      </c>
      <c r="K286" t="b">
        <f>+ISNUMBER(SEARCH('F-COMPRA'!$F$30,Tabla11[[#This Row],[Cuenta]],1))</f>
        <v>1</v>
      </c>
      <c r="L286" t="b">
        <f>+ISNUMBER(SEARCH('F-COMPRA'!$F$31,Tabla11[[#This Row],[Cuenta]],1))</f>
        <v>1</v>
      </c>
      <c r="M286" t="b">
        <f>+ISNUMBER(SEARCH('F-COMPRA'!$G$25,Tabla11[[#This Row],[Cuenta]],1))</f>
        <v>0</v>
      </c>
      <c r="N286" t="b">
        <f>+ISNUMBER(SEARCH(#REF!,Tabla11[[#This Row],[Cuenta]],1))</f>
        <v>0</v>
      </c>
      <c r="O286" t="b">
        <f>+ISNUMBER(SEARCH(#REF!,Tabla11[[#This Row],[Cuenta]],1))</f>
        <v>0</v>
      </c>
      <c r="P286" t="b">
        <f>+ISNUMBER(SEARCH('F-COMPRA'!$F$32,Tabla11[[#This Row],[Cuenta]],1))</f>
        <v>1</v>
      </c>
      <c r="Q286" t="b">
        <f>+ISNUMBER(SEARCH('F-COMPRA'!$F$33,Tabla11[[#This Row],[Cuenta]],1))</f>
        <v>1</v>
      </c>
      <c r="R286" t="b">
        <f>+ISNUMBER(SEARCH('F-COMPRA'!$F$34,Tabla11[[#This Row],[Cuenta]],1))</f>
        <v>1</v>
      </c>
      <c r="S286" t="b">
        <f>+ISNUMBER(SEARCH('F-COMPRA'!$F$35,Tabla11[[#This Row],[Cuenta]],1))</f>
        <v>1</v>
      </c>
      <c r="T286" t="b">
        <f>+ISNUMBER(SEARCH('F-COMPRA'!$F$36,Tabla11[[#This Row],[Cuenta]],1))</f>
        <v>1</v>
      </c>
      <c r="U286" t="b">
        <f>+ISNUMBER(SEARCH('F-COMPRA'!$F$37,Tabla11[[#This Row],[Cuenta]],1))</f>
        <v>1</v>
      </c>
      <c r="V286" t="b">
        <f>+ISNUMBER(SEARCH(#REF!,Tabla11[[#This Row],[Cuenta]],1))</f>
        <v>0</v>
      </c>
      <c r="W286" t="b">
        <f>+ISNUMBER(SEARCH('F-COMPRA'!#REF!,Tabla11[[#This Row],[Cuenta]],1))</f>
        <v>0</v>
      </c>
      <c r="X286" t="b">
        <f>+ISNUMBER(SEARCH('F-COMPRA'!#REF!,Tabla11[[#This Row],[Cuenta]],1))</f>
        <v>0</v>
      </c>
      <c r="Y286" t="b">
        <f>+ISNUMBER(SEARCH('F-COMPRA'!#REF!,Tabla11[[#This Row],[Cuenta]],1))</f>
        <v>0</v>
      </c>
      <c r="Z286" t="b">
        <f>+ISNUMBER(SEARCH('F-COMPRA'!#REF!,Tabla11[[#This Row],[Cuenta]],1))</f>
        <v>0</v>
      </c>
      <c r="AA286" t="b">
        <f>+ISNUMBER(SEARCH('F-COMPRA'!#REF!,Tabla11[[#This Row],[Cuenta]],1))</f>
        <v>0</v>
      </c>
      <c r="AB286" t="b">
        <f>+ISNUMBER(SEARCH('F-COMPRA'!#REF!,Tabla11[[#This Row],[Cuenta]],1))</f>
        <v>0</v>
      </c>
      <c r="AC286" t="b">
        <f>+ISNUMBER(SEARCH('F-COMPRA'!#REF!,Tabla11[[#This Row],[Cuenta]],1))</f>
        <v>0</v>
      </c>
      <c r="AD286" t="b">
        <f>+ISNUMBER(SEARCH('F-COMPRA'!#REF!,Tabla11[[#This Row],[Cuenta]],1))</f>
        <v>0</v>
      </c>
      <c r="AE286" t="b">
        <f>+ISNUMBER(SEARCH('F-COMPRA'!#REF!,Tabla11[[#This Row],[Cuenta]],1))</f>
        <v>0</v>
      </c>
      <c r="AF286" t="b">
        <f>+ISNUMBER(SEARCH('F-VTA'!$G$23,Tabla11[[#This Row],[Cuenta]],1))</f>
        <v>0</v>
      </c>
      <c r="AG286" t="b">
        <f>+ISNUMBER(SEARCH('F-VTA'!$G$24,Tabla11[[#This Row],[Cuenta]],1))</f>
        <v>0</v>
      </c>
      <c r="AH286" t="b">
        <f>+ISNUMBER(SEARCH('F-VTA'!$G$25,Tabla11[[#This Row],[Cuenta]],1))</f>
        <v>0</v>
      </c>
      <c r="AI286" t="b">
        <f>+ISNUMBER(SEARCH('F-VTA'!$F$28,Tabla11[[#This Row],[Cuenta]],1))</f>
        <v>1</v>
      </c>
      <c r="AJ286" t="b">
        <f>+ISNUMBER(SEARCH('F-VTA'!$F$29,Tabla11[[#This Row],[Cuenta]],1))</f>
        <v>1</v>
      </c>
      <c r="AK286" t="b">
        <f>+ISNUMBER(SEARCH('F-VTA'!$F$30,Tabla11[[#This Row],[Cuenta]],1))</f>
        <v>1</v>
      </c>
      <c r="AL286" t="b">
        <f>+ISNUMBER(SEARCH('F-VTA'!$F$31,Tabla11[[#This Row],[Cuenta]],1))</f>
        <v>1</v>
      </c>
      <c r="AM286" t="b">
        <f>+ISNUMBER(SEARCH('F-VTA'!$F$32,Tabla11[[#This Row],[Cuenta]],1))</f>
        <v>1</v>
      </c>
      <c r="AN286" t="b">
        <f>+ISNUMBER(SEARCH('F-VTA'!$F$33,Tabla11[[#This Row],[Cuenta]],1))</f>
        <v>1</v>
      </c>
      <c r="AO286" t="b">
        <f>+ISNUMBER(SEARCH('F-VTA'!$F$34,Tabla11[[#This Row],[Cuenta]],1))</f>
        <v>1</v>
      </c>
      <c r="AP286" t="b">
        <f>+ISNUMBER(SEARCH('F-VTA'!$F$35,Tabla11[[#This Row],[Cuenta]],1))</f>
        <v>1</v>
      </c>
      <c r="AQ286" t="b">
        <f>+ISNUMBER(SEARCH('F-VTA'!$F$36,Tabla11[[#This Row],[Cuenta]],1))</f>
        <v>1</v>
      </c>
      <c r="AR286" t="b">
        <f>+ISNUMBER(SEARCH(#REF!,Tabla11[[#This Row],[Cuenta]],1))</f>
        <v>0</v>
      </c>
      <c r="AS286" t="b">
        <f>+ISNUMBER(SEARCH(#REF!,Tabla11[[#This Row],[Cuenta]],1))</f>
        <v>0</v>
      </c>
      <c r="AT286" t="b">
        <f>+ISNUMBER(SEARCH(#REF!,Tabla11[[#This Row],[Cuenta]],1))</f>
        <v>0</v>
      </c>
      <c r="AU286" t="b">
        <f>+ISNUMBER(SEARCH('Conc. Ban.1'!$I$9,Tabla11[[#This Row],[Cuenta]],1))</f>
        <v>0</v>
      </c>
      <c r="AV286" t="b">
        <f>+ISNUMBER(SEARCH(CompConta!$F$21,Tabla11[[#This Row],[Cuenta]],1))</f>
        <v>1</v>
      </c>
      <c r="AW286" t="b">
        <f>+ISNUMBER(SEARCH(CompConta!$F$22,Tabla11[[#This Row],[Cuenta]],1))</f>
        <v>1</v>
      </c>
      <c r="AX286" t="b">
        <f>+ISNUMBER(SEARCH(CompConta!$F$23,Tabla11[[#This Row],[Cuenta]],1))</f>
        <v>1</v>
      </c>
      <c r="AY286" t="b">
        <f>+ISNUMBER(SEARCH(CompConta!$F$24,Tabla11[[#This Row],[Cuenta]],1))</f>
        <v>1</v>
      </c>
      <c r="AZ286" t="b">
        <f>+ISNUMBER(SEARCH(CompConta!$F$25,Tabla11[[#This Row],[Cuenta]],1))</f>
        <v>1</v>
      </c>
      <c r="BA286" t="b">
        <f>+ISNUMBER(SEARCH(CompConta!$F$26,Tabla11[[#This Row],[Cuenta]],1))</f>
        <v>1</v>
      </c>
      <c r="BB286" t="b">
        <f>+ISNUMBER(SEARCH(CompConta!$F$27,Tabla11[[#This Row],[Cuenta]],1))</f>
        <v>1</v>
      </c>
      <c r="BC286" t="b">
        <f>+ISNUMBER(SEARCH(CompConta!$F$28,Tabla11[[#This Row],[Cuenta]],1))</f>
        <v>1</v>
      </c>
      <c r="BD286" t="b">
        <f>+ISNUMBER(SEARCH(CompConta!$F$29,Tabla11[[#This Row],[Cuenta]],1))</f>
        <v>1</v>
      </c>
      <c r="BE286" t="b">
        <f>+ISNUMBER(SEARCH(CompConta!$F$30,Tabla11[[#This Row],[Cuenta]],1))</f>
        <v>1</v>
      </c>
      <c r="BF286" t="b">
        <f>+ISNUMBER(SEARCH('PAGO Compras'!$E$11,Tabla11[[#This Row],[Cuenta]],1))</f>
        <v>1</v>
      </c>
      <c r="BG286" t="b">
        <f>+ISNUMBER(SEARCH(#REF!,Tabla11[[#This Row],[Cuenta]],1))</f>
        <v>0</v>
      </c>
      <c r="BH286" t="b">
        <f>+ISNUMBER(SEARCH(#REF!,Tabla11[[#This Row],[Cuenta]],1))</f>
        <v>0</v>
      </c>
      <c r="BI286" t="b">
        <f>+ISNUMBER(SEARCH(#REF!,Tabla11[[#This Row],[Cuenta]],1))</f>
        <v>0</v>
      </c>
      <c r="BJ286" t="b">
        <f>+ISNUMBER(SEARCH(#REF!,Tabla11[[#This Row],[Cuenta]],1))</f>
        <v>0</v>
      </c>
      <c r="BS286" t="str">
        <v>161510 Formadas</v>
      </c>
      <c r="BT286" t="str">
        <v>161510 Formadas</v>
      </c>
      <c r="BU286" t="str">
        <v>161510 Formadas</v>
      </c>
      <c r="BV286" t="str">
        <v>161510 Formadas</v>
      </c>
      <c r="BZ286" t="str">
        <v>161510 Formadas</v>
      </c>
      <c r="CA286" t="str">
        <v>161510 Formadas</v>
      </c>
      <c r="CB286" t="str">
        <v>161510 Formadas</v>
      </c>
      <c r="CC286" t="str">
        <v>161510 Formadas</v>
      </c>
      <c r="CD286" t="str">
        <v>161510 Formadas</v>
      </c>
      <c r="CE286" t="str">
        <v>161510 Formadas</v>
      </c>
      <c r="CS286" s="141" t="str">
        <v>161510 Formadas</v>
      </c>
      <c r="CT286" s="141" t="str">
        <v>161510 Formadas</v>
      </c>
      <c r="CU286" s="141" t="str">
        <v>161510 Formadas</v>
      </c>
      <c r="CV286" s="141" t="str">
        <v>161510 Formadas</v>
      </c>
      <c r="CW286" s="141" t="str">
        <v>161510 Formadas</v>
      </c>
      <c r="CX286" s="141" t="str">
        <v>161510 Formadas</v>
      </c>
      <c r="CY286" s="141" t="str">
        <v>161510 Formadas</v>
      </c>
      <c r="CZ286" s="141" t="str">
        <v>161510 Formadas</v>
      </c>
      <c r="DA286" s="141" t="str">
        <v>161510 Formadas</v>
      </c>
      <c r="DF286" t="str">
        <v>161510 Formadas</v>
      </c>
      <c r="DG286" t="str">
        <v>161510 Formadas</v>
      </c>
      <c r="DH286" t="str">
        <v>161510 Formadas</v>
      </c>
      <c r="DI286" t="str">
        <v>161510 Formadas</v>
      </c>
      <c r="DJ286" t="str">
        <v>161510 Formadas</v>
      </c>
      <c r="DK286" t="str">
        <v>161510 Formadas</v>
      </c>
      <c r="DL286" t="str">
        <v>161510 Formadas</v>
      </c>
      <c r="DM286" t="str">
        <v>161510 Formadas</v>
      </c>
      <c r="DN286" t="str">
        <v>161510 Formadas</v>
      </c>
      <c r="DO286" t="str">
        <v>161510 Formadas</v>
      </c>
      <c r="DP286" t="str">
        <v>161510 Formadas</v>
      </c>
    </row>
    <row r="287" spans="4:120" ht="12.75">
      <c r="D287" s="7">
        <v>161599</v>
      </c>
      <c r="E287" s="6" t="s">
        <v>44</v>
      </c>
      <c r="F287" s="5">
        <v>4</v>
      </c>
      <c r="G287" s="34" t="s">
        <v>822</v>
      </c>
      <c r="H287" s="8" t="s">
        <v>32</v>
      </c>
      <c r="I287" t="b">
        <f>+ISNUMBER(SEARCH('F-COMPRA'!$F$28,Tabla11[[#This Row],[Cuenta]],1))</f>
        <v>1</v>
      </c>
      <c r="J287" t="b">
        <f>+ISNUMBER(SEARCH('F-COMPRA'!$F$29,Tabla11[[#This Row],[Cuenta]],1))</f>
        <v>1</v>
      </c>
      <c r="K287" t="b">
        <f>+ISNUMBER(SEARCH('F-COMPRA'!$F$30,Tabla11[[#This Row],[Cuenta]],1))</f>
        <v>1</v>
      </c>
      <c r="L287" t="b">
        <f>+ISNUMBER(SEARCH('F-COMPRA'!$F$31,Tabla11[[#This Row],[Cuenta]],1))</f>
        <v>1</v>
      </c>
      <c r="M287" t="b">
        <f>+ISNUMBER(SEARCH('F-COMPRA'!$G$25,Tabla11[[#This Row],[Cuenta]],1))</f>
        <v>0</v>
      </c>
      <c r="N287" t="b">
        <f>+ISNUMBER(SEARCH(#REF!,Tabla11[[#This Row],[Cuenta]],1))</f>
        <v>0</v>
      </c>
      <c r="O287" t="b">
        <f>+ISNUMBER(SEARCH(#REF!,Tabla11[[#This Row],[Cuenta]],1))</f>
        <v>0</v>
      </c>
      <c r="P287" t="b">
        <f>+ISNUMBER(SEARCH('F-COMPRA'!$F$32,Tabla11[[#This Row],[Cuenta]],1))</f>
        <v>1</v>
      </c>
      <c r="Q287" t="b">
        <f>+ISNUMBER(SEARCH('F-COMPRA'!$F$33,Tabla11[[#This Row],[Cuenta]],1))</f>
        <v>1</v>
      </c>
      <c r="R287" t="b">
        <f>+ISNUMBER(SEARCH('F-COMPRA'!$F$34,Tabla11[[#This Row],[Cuenta]],1))</f>
        <v>1</v>
      </c>
      <c r="S287" t="b">
        <f>+ISNUMBER(SEARCH('F-COMPRA'!$F$35,Tabla11[[#This Row],[Cuenta]],1))</f>
        <v>1</v>
      </c>
      <c r="T287" t="b">
        <f>+ISNUMBER(SEARCH('F-COMPRA'!$F$36,Tabla11[[#This Row],[Cuenta]],1))</f>
        <v>1</v>
      </c>
      <c r="U287" t="b">
        <f>+ISNUMBER(SEARCH('F-COMPRA'!$F$37,Tabla11[[#This Row],[Cuenta]],1))</f>
        <v>1</v>
      </c>
      <c r="V287" t="b">
        <f>+ISNUMBER(SEARCH(#REF!,Tabla11[[#This Row],[Cuenta]],1))</f>
        <v>0</v>
      </c>
      <c r="W287" t="b">
        <f>+ISNUMBER(SEARCH('F-COMPRA'!#REF!,Tabla11[[#This Row],[Cuenta]],1))</f>
        <v>0</v>
      </c>
      <c r="X287" t="b">
        <f>+ISNUMBER(SEARCH('F-COMPRA'!#REF!,Tabla11[[#This Row],[Cuenta]],1))</f>
        <v>0</v>
      </c>
      <c r="Y287" t="b">
        <f>+ISNUMBER(SEARCH('F-COMPRA'!#REF!,Tabla11[[#This Row],[Cuenta]],1))</f>
        <v>0</v>
      </c>
      <c r="Z287" t="b">
        <f>+ISNUMBER(SEARCH('F-COMPRA'!#REF!,Tabla11[[#This Row],[Cuenta]],1))</f>
        <v>0</v>
      </c>
      <c r="AA287" t="b">
        <f>+ISNUMBER(SEARCH('F-COMPRA'!#REF!,Tabla11[[#This Row],[Cuenta]],1))</f>
        <v>0</v>
      </c>
      <c r="AB287" t="b">
        <f>+ISNUMBER(SEARCH('F-COMPRA'!#REF!,Tabla11[[#This Row],[Cuenta]],1))</f>
        <v>0</v>
      </c>
      <c r="AC287" t="b">
        <f>+ISNUMBER(SEARCH('F-COMPRA'!#REF!,Tabla11[[#This Row],[Cuenta]],1))</f>
        <v>0</v>
      </c>
      <c r="AD287" t="b">
        <f>+ISNUMBER(SEARCH('F-COMPRA'!#REF!,Tabla11[[#This Row],[Cuenta]],1))</f>
        <v>0</v>
      </c>
      <c r="AE287" t="b">
        <f>+ISNUMBER(SEARCH('F-COMPRA'!#REF!,Tabla11[[#This Row],[Cuenta]],1))</f>
        <v>0</v>
      </c>
      <c r="AF287" t="b">
        <f>+ISNUMBER(SEARCH('F-VTA'!$G$23,Tabla11[[#This Row],[Cuenta]],1))</f>
        <v>0</v>
      </c>
      <c r="AG287" t="b">
        <f>+ISNUMBER(SEARCH('F-VTA'!$G$24,Tabla11[[#This Row],[Cuenta]],1))</f>
        <v>0</v>
      </c>
      <c r="AH287" t="b">
        <f>+ISNUMBER(SEARCH('F-VTA'!$G$25,Tabla11[[#This Row],[Cuenta]],1))</f>
        <v>0</v>
      </c>
      <c r="AI287" t="b">
        <f>+ISNUMBER(SEARCH('F-VTA'!$F$28,Tabla11[[#This Row],[Cuenta]],1))</f>
        <v>1</v>
      </c>
      <c r="AJ287" t="b">
        <f>+ISNUMBER(SEARCH('F-VTA'!$F$29,Tabla11[[#This Row],[Cuenta]],1))</f>
        <v>1</v>
      </c>
      <c r="AK287" t="b">
        <f>+ISNUMBER(SEARCH('F-VTA'!$F$30,Tabla11[[#This Row],[Cuenta]],1))</f>
        <v>1</v>
      </c>
      <c r="AL287" t="b">
        <f>+ISNUMBER(SEARCH('F-VTA'!$F$31,Tabla11[[#This Row],[Cuenta]],1))</f>
        <v>1</v>
      </c>
      <c r="AM287" t="b">
        <f>+ISNUMBER(SEARCH('F-VTA'!$F$32,Tabla11[[#This Row],[Cuenta]],1))</f>
        <v>1</v>
      </c>
      <c r="AN287" t="b">
        <f>+ISNUMBER(SEARCH('F-VTA'!$F$33,Tabla11[[#This Row],[Cuenta]],1))</f>
        <v>1</v>
      </c>
      <c r="AO287" t="b">
        <f>+ISNUMBER(SEARCH('F-VTA'!$F$34,Tabla11[[#This Row],[Cuenta]],1))</f>
        <v>1</v>
      </c>
      <c r="AP287" t="b">
        <f>+ISNUMBER(SEARCH('F-VTA'!$F$35,Tabla11[[#This Row],[Cuenta]],1))</f>
        <v>1</v>
      </c>
      <c r="AQ287" t="b">
        <f>+ISNUMBER(SEARCH('F-VTA'!$F$36,Tabla11[[#This Row],[Cuenta]],1))</f>
        <v>1</v>
      </c>
      <c r="AR287" t="b">
        <f>+ISNUMBER(SEARCH(#REF!,Tabla11[[#This Row],[Cuenta]],1))</f>
        <v>0</v>
      </c>
      <c r="AS287" t="b">
        <f>+ISNUMBER(SEARCH(#REF!,Tabla11[[#This Row],[Cuenta]],1))</f>
        <v>0</v>
      </c>
      <c r="AT287" t="b">
        <f>+ISNUMBER(SEARCH(#REF!,Tabla11[[#This Row],[Cuenta]],1))</f>
        <v>0</v>
      </c>
      <c r="AU287" t="b">
        <f>+ISNUMBER(SEARCH('Conc. Ban.1'!$I$9,Tabla11[[#This Row],[Cuenta]],1))</f>
        <v>0</v>
      </c>
      <c r="AV287" t="b">
        <f>+ISNUMBER(SEARCH(CompConta!$F$21,Tabla11[[#This Row],[Cuenta]],1))</f>
        <v>1</v>
      </c>
      <c r="AW287" t="b">
        <f>+ISNUMBER(SEARCH(CompConta!$F$22,Tabla11[[#This Row],[Cuenta]],1))</f>
        <v>1</v>
      </c>
      <c r="AX287" t="b">
        <f>+ISNUMBER(SEARCH(CompConta!$F$23,Tabla11[[#This Row],[Cuenta]],1))</f>
        <v>1</v>
      </c>
      <c r="AY287" t="b">
        <f>+ISNUMBER(SEARCH(CompConta!$F$24,Tabla11[[#This Row],[Cuenta]],1))</f>
        <v>1</v>
      </c>
      <c r="AZ287" t="b">
        <f>+ISNUMBER(SEARCH(CompConta!$F$25,Tabla11[[#This Row],[Cuenta]],1))</f>
        <v>1</v>
      </c>
      <c r="BA287" t="b">
        <f>+ISNUMBER(SEARCH(CompConta!$F$26,Tabla11[[#This Row],[Cuenta]],1))</f>
        <v>1</v>
      </c>
      <c r="BB287" t="b">
        <f>+ISNUMBER(SEARCH(CompConta!$F$27,Tabla11[[#This Row],[Cuenta]],1))</f>
        <v>1</v>
      </c>
      <c r="BC287" t="b">
        <f>+ISNUMBER(SEARCH(CompConta!$F$28,Tabla11[[#This Row],[Cuenta]],1))</f>
        <v>1</v>
      </c>
      <c r="BD287" t="b">
        <f>+ISNUMBER(SEARCH(CompConta!$F$29,Tabla11[[#This Row],[Cuenta]],1))</f>
        <v>1</v>
      </c>
      <c r="BE287" t="b">
        <f>+ISNUMBER(SEARCH(CompConta!$F$30,Tabla11[[#This Row],[Cuenta]],1))</f>
        <v>1</v>
      </c>
      <c r="BF287" t="b">
        <f>+ISNUMBER(SEARCH('PAGO Compras'!$E$11,Tabla11[[#This Row],[Cuenta]],1))</f>
        <v>1</v>
      </c>
      <c r="BG287" t="b">
        <f>+ISNUMBER(SEARCH(#REF!,Tabla11[[#This Row],[Cuenta]],1))</f>
        <v>0</v>
      </c>
      <c r="BH287" t="b">
        <f>+ISNUMBER(SEARCH(#REF!,Tabla11[[#This Row],[Cuenta]],1))</f>
        <v>0</v>
      </c>
      <c r="BI287" t="b">
        <f>+ISNUMBER(SEARCH(#REF!,Tabla11[[#This Row],[Cuenta]],1))</f>
        <v>0</v>
      </c>
      <c r="BJ287" t="b">
        <f>+ISNUMBER(SEARCH(#REF!,Tabla11[[#This Row],[Cuenta]],1))</f>
        <v>0</v>
      </c>
      <c r="BS287" t="str">
        <v>161599 Ajustes por inflación</v>
      </c>
      <c r="BT287" t="str">
        <v>161599 Ajustes por inflación</v>
      </c>
      <c r="BU287" t="str">
        <v>161599 Ajustes por inflación</v>
      </c>
      <c r="BV287" t="str">
        <v>161599 Ajustes por inflación</v>
      </c>
      <c r="BZ287" t="str">
        <v>161599 Ajustes por inflación</v>
      </c>
      <c r="CA287" t="str">
        <v>161599 Ajustes por inflación</v>
      </c>
      <c r="CB287" t="str">
        <v>161599 Ajustes por inflación</v>
      </c>
      <c r="CC287" t="str">
        <v>161599 Ajustes por inflación</v>
      </c>
      <c r="CD287" t="str">
        <v>161599 Ajustes por inflación</v>
      </c>
      <c r="CE287" t="str">
        <v>161599 Ajustes por inflación</v>
      </c>
      <c r="CS287" s="141" t="str">
        <v>161599 Ajustes por inflación</v>
      </c>
      <c r="CT287" s="141" t="str">
        <v>161599 Ajustes por inflación</v>
      </c>
      <c r="CU287" s="141" t="str">
        <v>161599 Ajustes por inflación</v>
      </c>
      <c r="CV287" s="141" t="str">
        <v>161599 Ajustes por inflación</v>
      </c>
      <c r="CW287" s="141" t="str">
        <v>161599 Ajustes por inflación</v>
      </c>
      <c r="CX287" s="141" t="str">
        <v>161599 Ajustes por inflación</v>
      </c>
      <c r="CY287" s="141" t="str">
        <v>161599 Ajustes por inflación</v>
      </c>
      <c r="CZ287" s="141" t="str">
        <v>161599 Ajustes por inflación</v>
      </c>
      <c r="DA287" s="141" t="str">
        <v>161599 Ajustes por inflación</v>
      </c>
      <c r="DF287" t="str">
        <v>161599 Ajustes por inflación</v>
      </c>
      <c r="DG287" t="str">
        <v>161599 Ajustes por inflación</v>
      </c>
      <c r="DH287" t="str">
        <v>161599 Ajustes por inflación</v>
      </c>
      <c r="DI287" t="str">
        <v>161599 Ajustes por inflación</v>
      </c>
      <c r="DJ287" t="str">
        <v>161599 Ajustes por inflación</v>
      </c>
      <c r="DK287" t="str">
        <v>161599 Ajustes por inflación</v>
      </c>
      <c r="DL287" t="str">
        <v>161599 Ajustes por inflación</v>
      </c>
      <c r="DM287" t="str">
        <v>161599 Ajustes por inflación</v>
      </c>
      <c r="DN287" t="str">
        <v>161599 Ajustes por inflación</v>
      </c>
      <c r="DO287" t="str">
        <v>161599 Ajustes por inflación</v>
      </c>
      <c r="DP287" t="str">
        <v>161599 Ajustes por inflación</v>
      </c>
    </row>
    <row r="288" spans="4:120" ht="12.75">
      <c r="D288" s="7">
        <v>1620</v>
      </c>
      <c r="E288" s="6" t="s">
        <v>236</v>
      </c>
      <c r="F288" s="5">
        <v>3</v>
      </c>
      <c r="G288" s="34" t="s">
        <v>822</v>
      </c>
      <c r="H288" s="8" t="s">
        <v>32</v>
      </c>
      <c r="I288" t="b">
        <f>+ISNUMBER(SEARCH('F-COMPRA'!$F$28,Tabla11[[#This Row],[Cuenta]],1))</f>
        <v>1</v>
      </c>
      <c r="J288" t="b">
        <f>+ISNUMBER(SEARCH('F-COMPRA'!$F$29,Tabla11[[#This Row],[Cuenta]],1))</f>
        <v>1</v>
      </c>
      <c r="K288" t="b">
        <f>+ISNUMBER(SEARCH('F-COMPRA'!$F$30,Tabla11[[#This Row],[Cuenta]],1))</f>
        <v>1</v>
      </c>
      <c r="L288" t="b">
        <f>+ISNUMBER(SEARCH('F-COMPRA'!$F$31,Tabla11[[#This Row],[Cuenta]],1))</f>
        <v>1</v>
      </c>
      <c r="M288" t="b">
        <f>+ISNUMBER(SEARCH('F-COMPRA'!$G$25,Tabla11[[#This Row],[Cuenta]],1))</f>
        <v>0</v>
      </c>
      <c r="N288" t="b">
        <f>+ISNUMBER(SEARCH(#REF!,Tabla11[[#This Row],[Cuenta]],1))</f>
        <v>0</v>
      </c>
      <c r="O288" t="b">
        <f>+ISNUMBER(SEARCH(#REF!,Tabla11[[#This Row],[Cuenta]],1))</f>
        <v>0</v>
      </c>
      <c r="P288" t="b">
        <f>+ISNUMBER(SEARCH('F-COMPRA'!$F$32,Tabla11[[#This Row],[Cuenta]],1))</f>
        <v>1</v>
      </c>
      <c r="Q288" t="b">
        <f>+ISNUMBER(SEARCH('F-COMPRA'!$F$33,Tabla11[[#This Row],[Cuenta]],1))</f>
        <v>1</v>
      </c>
      <c r="R288" t="b">
        <f>+ISNUMBER(SEARCH('F-COMPRA'!$F$34,Tabla11[[#This Row],[Cuenta]],1))</f>
        <v>1</v>
      </c>
      <c r="S288" t="b">
        <f>+ISNUMBER(SEARCH('F-COMPRA'!$F$35,Tabla11[[#This Row],[Cuenta]],1))</f>
        <v>1</v>
      </c>
      <c r="T288" t="b">
        <f>+ISNUMBER(SEARCH('F-COMPRA'!$F$36,Tabla11[[#This Row],[Cuenta]],1))</f>
        <v>1</v>
      </c>
      <c r="U288" t="b">
        <f>+ISNUMBER(SEARCH('F-COMPRA'!$F$37,Tabla11[[#This Row],[Cuenta]],1))</f>
        <v>1</v>
      </c>
      <c r="V288" t="b">
        <f>+ISNUMBER(SEARCH(#REF!,Tabla11[[#This Row],[Cuenta]],1))</f>
        <v>0</v>
      </c>
      <c r="W288" t="b">
        <f>+ISNUMBER(SEARCH('F-COMPRA'!#REF!,Tabla11[[#This Row],[Cuenta]],1))</f>
        <v>0</v>
      </c>
      <c r="X288" t="b">
        <f>+ISNUMBER(SEARCH('F-COMPRA'!#REF!,Tabla11[[#This Row],[Cuenta]],1))</f>
        <v>0</v>
      </c>
      <c r="Y288" t="b">
        <f>+ISNUMBER(SEARCH('F-COMPRA'!#REF!,Tabla11[[#This Row],[Cuenta]],1))</f>
        <v>0</v>
      </c>
      <c r="Z288" t="b">
        <f>+ISNUMBER(SEARCH('F-COMPRA'!#REF!,Tabla11[[#This Row],[Cuenta]],1))</f>
        <v>0</v>
      </c>
      <c r="AA288" t="b">
        <f>+ISNUMBER(SEARCH('F-COMPRA'!#REF!,Tabla11[[#This Row],[Cuenta]],1))</f>
        <v>0</v>
      </c>
      <c r="AB288" t="b">
        <f>+ISNUMBER(SEARCH('F-COMPRA'!#REF!,Tabla11[[#This Row],[Cuenta]],1))</f>
        <v>0</v>
      </c>
      <c r="AC288" t="b">
        <f>+ISNUMBER(SEARCH('F-COMPRA'!#REF!,Tabla11[[#This Row],[Cuenta]],1))</f>
        <v>0</v>
      </c>
      <c r="AD288" t="b">
        <f>+ISNUMBER(SEARCH('F-COMPRA'!#REF!,Tabla11[[#This Row],[Cuenta]],1))</f>
        <v>0</v>
      </c>
      <c r="AE288" t="b">
        <f>+ISNUMBER(SEARCH('F-COMPRA'!#REF!,Tabla11[[#This Row],[Cuenta]],1))</f>
        <v>0</v>
      </c>
      <c r="AF288" t="b">
        <f>+ISNUMBER(SEARCH('F-VTA'!$G$23,Tabla11[[#This Row],[Cuenta]],1))</f>
        <v>0</v>
      </c>
      <c r="AG288" t="b">
        <f>+ISNUMBER(SEARCH('F-VTA'!$G$24,Tabla11[[#This Row],[Cuenta]],1))</f>
        <v>0</v>
      </c>
      <c r="AH288" t="b">
        <f>+ISNUMBER(SEARCH('F-VTA'!$G$25,Tabla11[[#This Row],[Cuenta]],1))</f>
        <v>0</v>
      </c>
      <c r="AI288" t="b">
        <f>+ISNUMBER(SEARCH('F-VTA'!$F$28,Tabla11[[#This Row],[Cuenta]],1))</f>
        <v>1</v>
      </c>
      <c r="AJ288" t="b">
        <f>+ISNUMBER(SEARCH('F-VTA'!$F$29,Tabla11[[#This Row],[Cuenta]],1))</f>
        <v>1</v>
      </c>
      <c r="AK288" t="b">
        <f>+ISNUMBER(SEARCH('F-VTA'!$F$30,Tabla11[[#This Row],[Cuenta]],1))</f>
        <v>1</v>
      </c>
      <c r="AL288" t="b">
        <f>+ISNUMBER(SEARCH('F-VTA'!$F$31,Tabla11[[#This Row],[Cuenta]],1))</f>
        <v>1</v>
      </c>
      <c r="AM288" t="b">
        <f>+ISNUMBER(SEARCH('F-VTA'!$F$32,Tabla11[[#This Row],[Cuenta]],1))</f>
        <v>1</v>
      </c>
      <c r="AN288" t="b">
        <f>+ISNUMBER(SEARCH('F-VTA'!$F$33,Tabla11[[#This Row],[Cuenta]],1))</f>
        <v>1</v>
      </c>
      <c r="AO288" t="b">
        <f>+ISNUMBER(SEARCH('F-VTA'!$F$34,Tabla11[[#This Row],[Cuenta]],1))</f>
        <v>1</v>
      </c>
      <c r="AP288" t="b">
        <f>+ISNUMBER(SEARCH('F-VTA'!$F$35,Tabla11[[#This Row],[Cuenta]],1))</f>
        <v>1</v>
      </c>
      <c r="AQ288" t="b">
        <f>+ISNUMBER(SEARCH('F-VTA'!$F$36,Tabla11[[#This Row],[Cuenta]],1))</f>
        <v>1</v>
      </c>
      <c r="AR288" t="b">
        <f>+ISNUMBER(SEARCH(#REF!,Tabla11[[#This Row],[Cuenta]],1))</f>
        <v>0</v>
      </c>
      <c r="AS288" t="b">
        <f>+ISNUMBER(SEARCH(#REF!,Tabla11[[#This Row],[Cuenta]],1))</f>
        <v>0</v>
      </c>
      <c r="AT288" t="b">
        <f>+ISNUMBER(SEARCH(#REF!,Tabla11[[#This Row],[Cuenta]],1))</f>
        <v>0</v>
      </c>
      <c r="AU288" t="b">
        <f>+ISNUMBER(SEARCH('Conc. Ban.1'!$I$9,Tabla11[[#This Row],[Cuenta]],1))</f>
        <v>0</v>
      </c>
      <c r="AV288" t="b">
        <f>+ISNUMBER(SEARCH(CompConta!$F$21,Tabla11[[#This Row],[Cuenta]],1))</f>
        <v>1</v>
      </c>
      <c r="AW288" t="b">
        <f>+ISNUMBER(SEARCH(CompConta!$F$22,Tabla11[[#This Row],[Cuenta]],1))</f>
        <v>1</v>
      </c>
      <c r="AX288" t="b">
        <f>+ISNUMBER(SEARCH(CompConta!$F$23,Tabla11[[#This Row],[Cuenta]],1))</f>
        <v>1</v>
      </c>
      <c r="AY288" t="b">
        <f>+ISNUMBER(SEARCH(CompConta!$F$24,Tabla11[[#This Row],[Cuenta]],1))</f>
        <v>1</v>
      </c>
      <c r="AZ288" t="b">
        <f>+ISNUMBER(SEARCH(CompConta!$F$25,Tabla11[[#This Row],[Cuenta]],1))</f>
        <v>1</v>
      </c>
      <c r="BA288" t="b">
        <f>+ISNUMBER(SEARCH(CompConta!$F$26,Tabla11[[#This Row],[Cuenta]],1))</f>
        <v>1</v>
      </c>
      <c r="BB288" t="b">
        <f>+ISNUMBER(SEARCH(CompConta!$F$27,Tabla11[[#This Row],[Cuenta]],1))</f>
        <v>1</v>
      </c>
      <c r="BC288" t="b">
        <f>+ISNUMBER(SEARCH(CompConta!$F$28,Tabla11[[#This Row],[Cuenta]],1))</f>
        <v>1</v>
      </c>
      <c r="BD288" t="b">
        <f>+ISNUMBER(SEARCH(CompConta!$F$29,Tabla11[[#This Row],[Cuenta]],1))</f>
        <v>1</v>
      </c>
      <c r="BE288" t="b">
        <f>+ISNUMBER(SEARCH(CompConta!$F$30,Tabla11[[#This Row],[Cuenta]],1))</f>
        <v>1</v>
      </c>
      <c r="BF288" t="b">
        <f>+ISNUMBER(SEARCH('PAGO Compras'!$E$11,Tabla11[[#This Row],[Cuenta]],1))</f>
        <v>1</v>
      </c>
      <c r="BG288" t="b">
        <f>+ISNUMBER(SEARCH(#REF!,Tabla11[[#This Row],[Cuenta]],1))</f>
        <v>0</v>
      </c>
      <c r="BH288" t="b">
        <f>+ISNUMBER(SEARCH(#REF!,Tabla11[[#This Row],[Cuenta]],1))</f>
        <v>0</v>
      </c>
      <c r="BI288" t="b">
        <f>+ISNUMBER(SEARCH(#REF!,Tabla11[[#This Row],[Cuenta]],1))</f>
        <v>0</v>
      </c>
      <c r="BJ288" t="b">
        <f>+ISNUMBER(SEARCH(#REF!,Tabla11[[#This Row],[Cuenta]],1))</f>
        <v>0</v>
      </c>
      <c r="BS288" t="str">
        <v>1620 CONCESIONES Y FRANQUICIAS</v>
      </c>
      <c r="BT288" t="str">
        <v>1620 CONCESIONES Y FRANQUICIAS</v>
      </c>
      <c r="BU288" t="str">
        <v>1620 CONCESIONES Y FRANQUICIAS</v>
      </c>
      <c r="BV288" t="str">
        <v>1620 CONCESIONES Y FRANQUICIAS</v>
      </c>
      <c r="BZ288" t="str">
        <v>1620 CONCESIONES Y FRANQUICIAS</v>
      </c>
      <c r="CA288" t="str">
        <v>1620 CONCESIONES Y FRANQUICIAS</v>
      </c>
      <c r="CB288" t="str">
        <v>1620 CONCESIONES Y FRANQUICIAS</v>
      </c>
      <c r="CC288" t="str">
        <v>1620 CONCESIONES Y FRANQUICIAS</v>
      </c>
      <c r="CD288" t="str">
        <v>1620 CONCESIONES Y FRANQUICIAS</v>
      </c>
      <c r="CE288" t="str">
        <v>1620 CONCESIONES Y FRANQUICIAS</v>
      </c>
      <c r="CS288" s="141" t="str">
        <v>1620 CONCESIONES Y FRANQUICIAS</v>
      </c>
      <c r="CT288" s="141" t="str">
        <v>1620 CONCESIONES Y FRANQUICIAS</v>
      </c>
      <c r="CU288" s="141" t="str">
        <v>1620 CONCESIONES Y FRANQUICIAS</v>
      </c>
      <c r="CV288" s="141" t="str">
        <v>1620 CONCESIONES Y FRANQUICIAS</v>
      </c>
      <c r="CW288" s="141" t="str">
        <v>1620 CONCESIONES Y FRANQUICIAS</v>
      </c>
      <c r="CX288" s="141" t="str">
        <v>1620 CONCESIONES Y FRANQUICIAS</v>
      </c>
      <c r="CY288" s="141" t="str">
        <v>1620 CONCESIONES Y FRANQUICIAS</v>
      </c>
      <c r="CZ288" s="141" t="str">
        <v>1620 CONCESIONES Y FRANQUICIAS</v>
      </c>
      <c r="DA288" s="141" t="str">
        <v>1620 CONCESIONES Y FRANQUICIAS</v>
      </c>
      <c r="DF288" t="str">
        <v>1620 CONCESIONES Y FRANQUICIAS</v>
      </c>
      <c r="DG288" t="str">
        <v>1620 CONCESIONES Y FRANQUICIAS</v>
      </c>
      <c r="DH288" t="str">
        <v>1620 CONCESIONES Y FRANQUICIAS</v>
      </c>
      <c r="DI288" t="str">
        <v>1620 CONCESIONES Y FRANQUICIAS</v>
      </c>
      <c r="DJ288" t="str">
        <v>1620 CONCESIONES Y FRANQUICIAS</v>
      </c>
      <c r="DK288" t="str">
        <v>1620 CONCESIONES Y FRANQUICIAS</v>
      </c>
      <c r="DL288" t="str">
        <v>1620 CONCESIONES Y FRANQUICIAS</v>
      </c>
      <c r="DM288" t="str">
        <v>1620 CONCESIONES Y FRANQUICIAS</v>
      </c>
      <c r="DN288" t="str">
        <v>1620 CONCESIONES Y FRANQUICIAS</v>
      </c>
      <c r="DO288" t="str">
        <v>1620 CONCESIONES Y FRANQUICIAS</v>
      </c>
      <c r="DP288" t="str">
        <v>1620 CONCESIONES Y FRANQUICIAS</v>
      </c>
    </row>
    <row r="289" spans="4:120" ht="12.75">
      <c r="D289" s="7">
        <v>162005</v>
      </c>
      <c r="E289" s="6" t="s">
        <v>237</v>
      </c>
      <c r="F289" s="5">
        <v>4</v>
      </c>
      <c r="G289" s="34" t="s">
        <v>822</v>
      </c>
      <c r="H289" s="8" t="s">
        <v>32</v>
      </c>
      <c r="I289" t="b">
        <f>+ISNUMBER(SEARCH('F-COMPRA'!$F$28,Tabla11[[#This Row],[Cuenta]],1))</f>
        <v>1</v>
      </c>
      <c r="J289" t="b">
        <f>+ISNUMBER(SEARCH('F-COMPRA'!$F$29,Tabla11[[#This Row],[Cuenta]],1))</f>
        <v>1</v>
      </c>
      <c r="K289" t="b">
        <f>+ISNUMBER(SEARCH('F-COMPRA'!$F$30,Tabla11[[#This Row],[Cuenta]],1))</f>
        <v>1</v>
      </c>
      <c r="L289" t="b">
        <f>+ISNUMBER(SEARCH('F-COMPRA'!$F$31,Tabla11[[#This Row],[Cuenta]],1))</f>
        <v>1</v>
      </c>
      <c r="M289" t="b">
        <f>+ISNUMBER(SEARCH('F-COMPRA'!$G$25,Tabla11[[#This Row],[Cuenta]],1))</f>
        <v>0</v>
      </c>
      <c r="N289" t="b">
        <f>+ISNUMBER(SEARCH(#REF!,Tabla11[[#This Row],[Cuenta]],1))</f>
        <v>0</v>
      </c>
      <c r="O289" t="b">
        <f>+ISNUMBER(SEARCH(#REF!,Tabla11[[#This Row],[Cuenta]],1))</f>
        <v>0</v>
      </c>
      <c r="P289" t="b">
        <f>+ISNUMBER(SEARCH('F-COMPRA'!$F$32,Tabla11[[#This Row],[Cuenta]],1))</f>
        <v>1</v>
      </c>
      <c r="Q289" t="b">
        <f>+ISNUMBER(SEARCH('F-COMPRA'!$F$33,Tabla11[[#This Row],[Cuenta]],1))</f>
        <v>1</v>
      </c>
      <c r="R289" t="b">
        <f>+ISNUMBER(SEARCH('F-COMPRA'!$F$34,Tabla11[[#This Row],[Cuenta]],1))</f>
        <v>1</v>
      </c>
      <c r="S289" t="b">
        <f>+ISNUMBER(SEARCH('F-COMPRA'!$F$35,Tabla11[[#This Row],[Cuenta]],1))</f>
        <v>1</v>
      </c>
      <c r="T289" t="b">
        <f>+ISNUMBER(SEARCH('F-COMPRA'!$F$36,Tabla11[[#This Row],[Cuenta]],1))</f>
        <v>1</v>
      </c>
      <c r="U289" t="b">
        <f>+ISNUMBER(SEARCH('F-COMPRA'!$F$37,Tabla11[[#This Row],[Cuenta]],1))</f>
        <v>1</v>
      </c>
      <c r="V289" t="b">
        <f>+ISNUMBER(SEARCH(#REF!,Tabla11[[#This Row],[Cuenta]],1))</f>
        <v>0</v>
      </c>
      <c r="W289" t="b">
        <f>+ISNUMBER(SEARCH('F-COMPRA'!#REF!,Tabla11[[#This Row],[Cuenta]],1))</f>
        <v>0</v>
      </c>
      <c r="X289" t="b">
        <f>+ISNUMBER(SEARCH('F-COMPRA'!#REF!,Tabla11[[#This Row],[Cuenta]],1))</f>
        <v>0</v>
      </c>
      <c r="Y289" t="b">
        <f>+ISNUMBER(SEARCH('F-COMPRA'!#REF!,Tabla11[[#This Row],[Cuenta]],1))</f>
        <v>0</v>
      </c>
      <c r="Z289" t="b">
        <f>+ISNUMBER(SEARCH('F-COMPRA'!#REF!,Tabla11[[#This Row],[Cuenta]],1))</f>
        <v>0</v>
      </c>
      <c r="AA289" t="b">
        <f>+ISNUMBER(SEARCH('F-COMPRA'!#REF!,Tabla11[[#This Row],[Cuenta]],1))</f>
        <v>0</v>
      </c>
      <c r="AB289" t="b">
        <f>+ISNUMBER(SEARCH('F-COMPRA'!#REF!,Tabla11[[#This Row],[Cuenta]],1))</f>
        <v>0</v>
      </c>
      <c r="AC289" t="b">
        <f>+ISNUMBER(SEARCH('F-COMPRA'!#REF!,Tabla11[[#This Row],[Cuenta]],1))</f>
        <v>0</v>
      </c>
      <c r="AD289" t="b">
        <f>+ISNUMBER(SEARCH('F-COMPRA'!#REF!,Tabla11[[#This Row],[Cuenta]],1))</f>
        <v>0</v>
      </c>
      <c r="AE289" t="b">
        <f>+ISNUMBER(SEARCH('F-COMPRA'!#REF!,Tabla11[[#This Row],[Cuenta]],1))</f>
        <v>0</v>
      </c>
      <c r="AF289" t="b">
        <f>+ISNUMBER(SEARCH('F-VTA'!$G$23,Tabla11[[#This Row],[Cuenta]],1))</f>
        <v>0</v>
      </c>
      <c r="AG289" t="b">
        <f>+ISNUMBER(SEARCH('F-VTA'!$G$24,Tabla11[[#This Row],[Cuenta]],1))</f>
        <v>0</v>
      </c>
      <c r="AH289" t="b">
        <f>+ISNUMBER(SEARCH('F-VTA'!$G$25,Tabla11[[#This Row],[Cuenta]],1))</f>
        <v>0</v>
      </c>
      <c r="AI289" t="b">
        <f>+ISNUMBER(SEARCH('F-VTA'!$F$28,Tabla11[[#This Row],[Cuenta]],1))</f>
        <v>1</v>
      </c>
      <c r="AJ289" t="b">
        <f>+ISNUMBER(SEARCH('F-VTA'!$F$29,Tabla11[[#This Row],[Cuenta]],1))</f>
        <v>1</v>
      </c>
      <c r="AK289" t="b">
        <f>+ISNUMBER(SEARCH('F-VTA'!$F$30,Tabla11[[#This Row],[Cuenta]],1))</f>
        <v>1</v>
      </c>
      <c r="AL289" t="b">
        <f>+ISNUMBER(SEARCH('F-VTA'!$F$31,Tabla11[[#This Row],[Cuenta]],1))</f>
        <v>1</v>
      </c>
      <c r="AM289" t="b">
        <f>+ISNUMBER(SEARCH('F-VTA'!$F$32,Tabla11[[#This Row],[Cuenta]],1))</f>
        <v>1</v>
      </c>
      <c r="AN289" t="b">
        <f>+ISNUMBER(SEARCH('F-VTA'!$F$33,Tabla11[[#This Row],[Cuenta]],1))</f>
        <v>1</v>
      </c>
      <c r="AO289" t="b">
        <f>+ISNUMBER(SEARCH('F-VTA'!$F$34,Tabla11[[#This Row],[Cuenta]],1))</f>
        <v>1</v>
      </c>
      <c r="AP289" t="b">
        <f>+ISNUMBER(SEARCH('F-VTA'!$F$35,Tabla11[[#This Row],[Cuenta]],1))</f>
        <v>1</v>
      </c>
      <c r="AQ289" t="b">
        <f>+ISNUMBER(SEARCH('F-VTA'!$F$36,Tabla11[[#This Row],[Cuenta]],1))</f>
        <v>1</v>
      </c>
      <c r="AR289" t="b">
        <f>+ISNUMBER(SEARCH(#REF!,Tabla11[[#This Row],[Cuenta]],1))</f>
        <v>0</v>
      </c>
      <c r="AS289" t="b">
        <f>+ISNUMBER(SEARCH(#REF!,Tabla11[[#This Row],[Cuenta]],1))</f>
        <v>0</v>
      </c>
      <c r="AT289" t="b">
        <f>+ISNUMBER(SEARCH(#REF!,Tabla11[[#This Row],[Cuenta]],1))</f>
        <v>0</v>
      </c>
      <c r="AU289" t="b">
        <f>+ISNUMBER(SEARCH('Conc. Ban.1'!$I$9,Tabla11[[#This Row],[Cuenta]],1))</f>
        <v>0</v>
      </c>
      <c r="AV289" t="b">
        <f>+ISNUMBER(SEARCH(CompConta!$F$21,Tabla11[[#This Row],[Cuenta]],1))</f>
        <v>1</v>
      </c>
      <c r="AW289" t="b">
        <f>+ISNUMBER(SEARCH(CompConta!$F$22,Tabla11[[#This Row],[Cuenta]],1))</f>
        <v>1</v>
      </c>
      <c r="AX289" t="b">
        <f>+ISNUMBER(SEARCH(CompConta!$F$23,Tabla11[[#This Row],[Cuenta]],1))</f>
        <v>1</v>
      </c>
      <c r="AY289" t="b">
        <f>+ISNUMBER(SEARCH(CompConta!$F$24,Tabla11[[#This Row],[Cuenta]],1))</f>
        <v>1</v>
      </c>
      <c r="AZ289" t="b">
        <f>+ISNUMBER(SEARCH(CompConta!$F$25,Tabla11[[#This Row],[Cuenta]],1))</f>
        <v>1</v>
      </c>
      <c r="BA289" t="b">
        <f>+ISNUMBER(SEARCH(CompConta!$F$26,Tabla11[[#This Row],[Cuenta]],1))</f>
        <v>1</v>
      </c>
      <c r="BB289" t="b">
        <f>+ISNUMBER(SEARCH(CompConta!$F$27,Tabla11[[#This Row],[Cuenta]],1))</f>
        <v>1</v>
      </c>
      <c r="BC289" t="b">
        <f>+ISNUMBER(SEARCH(CompConta!$F$28,Tabla11[[#This Row],[Cuenta]],1))</f>
        <v>1</v>
      </c>
      <c r="BD289" t="b">
        <f>+ISNUMBER(SEARCH(CompConta!$F$29,Tabla11[[#This Row],[Cuenta]],1))</f>
        <v>1</v>
      </c>
      <c r="BE289" t="b">
        <f>+ISNUMBER(SEARCH(CompConta!$F$30,Tabla11[[#This Row],[Cuenta]],1))</f>
        <v>1</v>
      </c>
      <c r="BF289" t="b">
        <f>+ISNUMBER(SEARCH('PAGO Compras'!$E$11,Tabla11[[#This Row],[Cuenta]],1))</f>
        <v>1</v>
      </c>
      <c r="BG289" t="b">
        <f>+ISNUMBER(SEARCH(#REF!,Tabla11[[#This Row],[Cuenta]],1))</f>
        <v>0</v>
      </c>
      <c r="BH289" t="b">
        <f>+ISNUMBER(SEARCH(#REF!,Tabla11[[#This Row],[Cuenta]],1))</f>
        <v>0</v>
      </c>
      <c r="BI289" t="b">
        <f>+ISNUMBER(SEARCH(#REF!,Tabla11[[#This Row],[Cuenta]],1))</f>
        <v>0</v>
      </c>
      <c r="BJ289" t="b">
        <f>+ISNUMBER(SEARCH(#REF!,Tabla11[[#This Row],[Cuenta]],1))</f>
        <v>0</v>
      </c>
      <c r="BS289" t="str">
        <v>162005 Concesiones</v>
      </c>
      <c r="BT289" t="str">
        <v>162005 Concesiones</v>
      </c>
      <c r="BU289" t="str">
        <v>162005 Concesiones</v>
      </c>
      <c r="BV289" t="str">
        <v>162005 Concesiones</v>
      </c>
      <c r="BZ289" t="str">
        <v>162005 Concesiones</v>
      </c>
      <c r="CA289" t="str">
        <v>162005 Concesiones</v>
      </c>
      <c r="CB289" t="str">
        <v>162005 Concesiones</v>
      </c>
      <c r="CC289" t="str">
        <v>162005 Concesiones</v>
      </c>
      <c r="CD289" t="str">
        <v>162005 Concesiones</v>
      </c>
      <c r="CE289" t="str">
        <v>162005 Concesiones</v>
      </c>
      <c r="CS289" s="141" t="str">
        <v>162005 Concesiones</v>
      </c>
      <c r="CT289" s="141" t="str">
        <v>162005 Concesiones</v>
      </c>
      <c r="CU289" s="141" t="str">
        <v>162005 Concesiones</v>
      </c>
      <c r="CV289" s="141" t="str">
        <v>162005 Concesiones</v>
      </c>
      <c r="CW289" s="141" t="str">
        <v>162005 Concesiones</v>
      </c>
      <c r="CX289" s="141" t="str">
        <v>162005 Concesiones</v>
      </c>
      <c r="CY289" s="141" t="str">
        <v>162005 Concesiones</v>
      </c>
      <c r="CZ289" s="141" t="str">
        <v>162005 Concesiones</v>
      </c>
      <c r="DA289" s="141" t="str">
        <v>162005 Concesiones</v>
      </c>
      <c r="DF289" t="str">
        <v>162005 Concesiones</v>
      </c>
      <c r="DG289" t="str">
        <v>162005 Concesiones</v>
      </c>
      <c r="DH289" t="str">
        <v>162005 Concesiones</v>
      </c>
      <c r="DI289" t="str">
        <v>162005 Concesiones</v>
      </c>
      <c r="DJ289" t="str">
        <v>162005 Concesiones</v>
      </c>
      <c r="DK289" t="str">
        <v>162005 Concesiones</v>
      </c>
      <c r="DL289" t="str">
        <v>162005 Concesiones</v>
      </c>
      <c r="DM289" t="str">
        <v>162005 Concesiones</v>
      </c>
      <c r="DN289" t="str">
        <v>162005 Concesiones</v>
      </c>
      <c r="DO289" t="str">
        <v>162005 Concesiones</v>
      </c>
      <c r="DP289" t="str">
        <v>162005 Concesiones</v>
      </c>
    </row>
    <row r="290" spans="4:120" ht="12.75">
      <c r="D290" s="7">
        <v>162010</v>
      </c>
      <c r="E290" s="6" t="s">
        <v>238</v>
      </c>
      <c r="F290" s="5">
        <v>4</v>
      </c>
      <c r="G290" s="34" t="s">
        <v>822</v>
      </c>
      <c r="H290" s="8" t="s">
        <v>32</v>
      </c>
      <c r="I290" t="b">
        <f>+ISNUMBER(SEARCH('F-COMPRA'!$F$28,Tabla11[[#This Row],[Cuenta]],1))</f>
        <v>1</v>
      </c>
      <c r="J290" t="b">
        <f>+ISNUMBER(SEARCH('F-COMPRA'!$F$29,Tabla11[[#This Row],[Cuenta]],1))</f>
        <v>1</v>
      </c>
      <c r="K290" t="b">
        <f>+ISNUMBER(SEARCH('F-COMPRA'!$F$30,Tabla11[[#This Row],[Cuenta]],1))</f>
        <v>1</v>
      </c>
      <c r="L290" t="b">
        <f>+ISNUMBER(SEARCH('F-COMPRA'!$F$31,Tabla11[[#This Row],[Cuenta]],1))</f>
        <v>1</v>
      </c>
      <c r="M290" t="b">
        <f>+ISNUMBER(SEARCH('F-COMPRA'!$G$25,Tabla11[[#This Row],[Cuenta]],1))</f>
        <v>0</v>
      </c>
      <c r="N290" t="b">
        <f>+ISNUMBER(SEARCH(#REF!,Tabla11[[#This Row],[Cuenta]],1))</f>
        <v>0</v>
      </c>
      <c r="O290" t="b">
        <f>+ISNUMBER(SEARCH(#REF!,Tabla11[[#This Row],[Cuenta]],1))</f>
        <v>0</v>
      </c>
      <c r="P290" t="b">
        <f>+ISNUMBER(SEARCH('F-COMPRA'!$F$32,Tabla11[[#This Row],[Cuenta]],1))</f>
        <v>1</v>
      </c>
      <c r="Q290" t="b">
        <f>+ISNUMBER(SEARCH('F-COMPRA'!$F$33,Tabla11[[#This Row],[Cuenta]],1))</f>
        <v>1</v>
      </c>
      <c r="R290" t="b">
        <f>+ISNUMBER(SEARCH('F-COMPRA'!$F$34,Tabla11[[#This Row],[Cuenta]],1))</f>
        <v>1</v>
      </c>
      <c r="S290" t="b">
        <f>+ISNUMBER(SEARCH('F-COMPRA'!$F$35,Tabla11[[#This Row],[Cuenta]],1))</f>
        <v>1</v>
      </c>
      <c r="T290" t="b">
        <f>+ISNUMBER(SEARCH('F-COMPRA'!$F$36,Tabla11[[#This Row],[Cuenta]],1))</f>
        <v>1</v>
      </c>
      <c r="U290" t="b">
        <f>+ISNUMBER(SEARCH('F-COMPRA'!$F$37,Tabla11[[#This Row],[Cuenta]],1))</f>
        <v>1</v>
      </c>
      <c r="V290" t="b">
        <f>+ISNUMBER(SEARCH(#REF!,Tabla11[[#This Row],[Cuenta]],1))</f>
        <v>0</v>
      </c>
      <c r="W290" t="b">
        <f>+ISNUMBER(SEARCH('F-COMPRA'!#REF!,Tabla11[[#This Row],[Cuenta]],1))</f>
        <v>0</v>
      </c>
      <c r="X290" t="b">
        <f>+ISNUMBER(SEARCH('F-COMPRA'!#REF!,Tabla11[[#This Row],[Cuenta]],1))</f>
        <v>0</v>
      </c>
      <c r="Y290" t="b">
        <f>+ISNUMBER(SEARCH('F-COMPRA'!#REF!,Tabla11[[#This Row],[Cuenta]],1))</f>
        <v>0</v>
      </c>
      <c r="Z290" t="b">
        <f>+ISNUMBER(SEARCH('F-COMPRA'!#REF!,Tabla11[[#This Row],[Cuenta]],1))</f>
        <v>0</v>
      </c>
      <c r="AA290" t="b">
        <f>+ISNUMBER(SEARCH('F-COMPRA'!#REF!,Tabla11[[#This Row],[Cuenta]],1))</f>
        <v>0</v>
      </c>
      <c r="AB290" t="b">
        <f>+ISNUMBER(SEARCH('F-COMPRA'!#REF!,Tabla11[[#This Row],[Cuenta]],1))</f>
        <v>0</v>
      </c>
      <c r="AC290" t="b">
        <f>+ISNUMBER(SEARCH('F-COMPRA'!#REF!,Tabla11[[#This Row],[Cuenta]],1))</f>
        <v>0</v>
      </c>
      <c r="AD290" t="b">
        <f>+ISNUMBER(SEARCH('F-COMPRA'!#REF!,Tabla11[[#This Row],[Cuenta]],1))</f>
        <v>0</v>
      </c>
      <c r="AE290" t="b">
        <f>+ISNUMBER(SEARCH('F-COMPRA'!#REF!,Tabla11[[#This Row],[Cuenta]],1))</f>
        <v>0</v>
      </c>
      <c r="AF290" t="b">
        <f>+ISNUMBER(SEARCH('F-VTA'!$G$23,Tabla11[[#This Row],[Cuenta]],1))</f>
        <v>0</v>
      </c>
      <c r="AG290" t="b">
        <f>+ISNUMBER(SEARCH('F-VTA'!$G$24,Tabla11[[#This Row],[Cuenta]],1))</f>
        <v>0</v>
      </c>
      <c r="AH290" t="b">
        <f>+ISNUMBER(SEARCH('F-VTA'!$G$25,Tabla11[[#This Row],[Cuenta]],1))</f>
        <v>0</v>
      </c>
      <c r="AI290" t="b">
        <f>+ISNUMBER(SEARCH('F-VTA'!$F$28,Tabla11[[#This Row],[Cuenta]],1))</f>
        <v>1</v>
      </c>
      <c r="AJ290" t="b">
        <f>+ISNUMBER(SEARCH('F-VTA'!$F$29,Tabla11[[#This Row],[Cuenta]],1))</f>
        <v>1</v>
      </c>
      <c r="AK290" t="b">
        <f>+ISNUMBER(SEARCH('F-VTA'!$F$30,Tabla11[[#This Row],[Cuenta]],1))</f>
        <v>1</v>
      </c>
      <c r="AL290" t="b">
        <f>+ISNUMBER(SEARCH('F-VTA'!$F$31,Tabla11[[#This Row],[Cuenta]],1))</f>
        <v>1</v>
      </c>
      <c r="AM290" t="b">
        <f>+ISNUMBER(SEARCH('F-VTA'!$F$32,Tabla11[[#This Row],[Cuenta]],1))</f>
        <v>1</v>
      </c>
      <c r="AN290" t="b">
        <f>+ISNUMBER(SEARCH('F-VTA'!$F$33,Tabla11[[#This Row],[Cuenta]],1))</f>
        <v>1</v>
      </c>
      <c r="AO290" t="b">
        <f>+ISNUMBER(SEARCH('F-VTA'!$F$34,Tabla11[[#This Row],[Cuenta]],1))</f>
        <v>1</v>
      </c>
      <c r="AP290" t="b">
        <f>+ISNUMBER(SEARCH('F-VTA'!$F$35,Tabla11[[#This Row],[Cuenta]],1))</f>
        <v>1</v>
      </c>
      <c r="AQ290" t="b">
        <f>+ISNUMBER(SEARCH('F-VTA'!$F$36,Tabla11[[#This Row],[Cuenta]],1))</f>
        <v>1</v>
      </c>
      <c r="AR290" t="b">
        <f>+ISNUMBER(SEARCH(#REF!,Tabla11[[#This Row],[Cuenta]],1))</f>
        <v>0</v>
      </c>
      <c r="AS290" t="b">
        <f>+ISNUMBER(SEARCH(#REF!,Tabla11[[#This Row],[Cuenta]],1))</f>
        <v>0</v>
      </c>
      <c r="AT290" t="b">
        <f>+ISNUMBER(SEARCH(#REF!,Tabla11[[#This Row],[Cuenta]],1))</f>
        <v>0</v>
      </c>
      <c r="AU290" t="b">
        <f>+ISNUMBER(SEARCH('Conc. Ban.1'!$I$9,Tabla11[[#This Row],[Cuenta]],1))</f>
        <v>0</v>
      </c>
      <c r="AV290" t="b">
        <f>+ISNUMBER(SEARCH(CompConta!$F$21,Tabla11[[#This Row],[Cuenta]],1))</f>
        <v>1</v>
      </c>
      <c r="AW290" t="b">
        <f>+ISNUMBER(SEARCH(CompConta!$F$22,Tabla11[[#This Row],[Cuenta]],1))</f>
        <v>1</v>
      </c>
      <c r="AX290" t="b">
        <f>+ISNUMBER(SEARCH(CompConta!$F$23,Tabla11[[#This Row],[Cuenta]],1))</f>
        <v>1</v>
      </c>
      <c r="AY290" t="b">
        <f>+ISNUMBER(SEARCH(CompConta!$F$24,Tabla11[[#This Row],[Cuenta]],1))</f>
        <v>1</v>
      </c>
      <c r="AZ290" t="b">
        <f>+ISNUMBER(SEARCH(CompConta!$F$25,Tabla11[[#This Row],[Cuenta]],1))</f>
        <v>1</v>
      </c>
      <c r="BA290" t="b">
        <f>+ISNUMBER(SEARCH(CompConta!$F$26,Tabla11[[#This Row],[Cuenta]],1))</f>
        <v>1</v>
      </c>
      <c r="BB290" t="b">
        <f>+ISNUMBER(SEARCH(CompConta!$F$27,Tabla11[[#This Row],[Cuenta]],1))</f>
        <v>1</v>
      </c>
      <c r="BC290" t="b">
        <f>+ISNUMBER(SEARCH(CompConta!$F$28,Tabla11[[#This Row],[Cuenta]],1))</f>
        <v>1</v>
      </c>
      <c r="BD290" t="b">
        <f>+ISNUMBER(SEARCH(CompConta!$F$29,Tabla11[[#This Row],[Cuenta]],1))</f>
        <v>1</v>
      </c>
      <c r="BE290" t="b">
        <f>+ISNUMBER(SEARCH(CompConta!$F$30,Tabla11[[#This Row],[Cuenta]],1))</f>
        <v>1</v>
      </c>
      <c r="BF290" t="b">
        <f>+ISNUMBER(SEARCH('PAGO Compras'!$E$11,Tabla11[[#This Row],[Cuenta]],1))</f>
        <v>1</v>
      </c>
      <c r="BG290" t="b">
        <f>+ISNUMBER(SEARCH(#REF!,Tabla11[[#This Row],[Cuenta]],1))</f>
        <v>0</v>
      </c>
      <c r="BH290" t="b">
        <f>+ISNUMBER(SEARCH(#REF!,Tabla11[[#This Row],[Cuenta]],1))</f>
        <v>0</v>
      </c>
      <c r="BI290" t="b">
        <f>+ISNUMBER(SEARCH(#REF!,Tabla11[[#This Row],[Cuenta]],1))</f>
        <v>0</v>
      </c>
      <c r="BJ290" t="b">
        <f>+ISNUMBER(SEARCH(#REF!,Tabla11[[#This Row],[Cuenta]],1))</f>
        <v>0</v>
      </c>
      <c r="BS290" t="str">
        <v>162010 Franquicias</v>
      </c>
      <c r="BT290" t="str">
        <v>162010 Franquicias</v>
      </c>
      <c r="BU290" t="str">
        <v>162010 Franquicias</v>
      </c>
      <c r="BV290" t="str">
        <v>162010 Franquicias</v>
      </c>
      <c r="BZ290" t="str">
        <v>162010 Franquicias</v>
      </c>
      <c r="CA290" t="str">
        <v>162010 Franquicias</v>
      </c>
      <c r="CB290" t="str">
        <v>162010 Franquicias</v>
      </c>
      <c r="CC290" t="str">
        <v>162010 Franquicias</v>
      </c>
      <c r="CD290" t="str">
        <v>162010 Franquicias</v>
      </c>
      <c r="CE290" t="str">
        <v>162010 Franquicias</v>
      </c>
      <c r="CS290" s="141" t="str">
        <v>162010 Franquicias</v>
      </c>
      <c r="CT290" s="141" t="str">
        <v>162010 Franquicias</v>
      </c>
      <c r="CU290" s="141" t="str">
        <v>162010 Franquicias</v>
      </c>
      <c r="CV290" s="141" t="str">
        <v>162010 Franquicias</v>
      </c>
      <c r="CW290" s="141" t="str">
        <v>162010 Franquicias</v>
      </c>
      <c r="CX290" s="141" t="str">
        <v>162010 Franquicias</v>
      </c>
      <c r="CY290" s="141" t="str">
        <v>162010 Franquicias</v>
      </c>
      <c r="CZ290" s="141" t="str">
        <v>162010 Franquicias</v>
      </c>
      <c r="DA290" s="141" t="str">
        <v>162010 Franquicias</v>
      </c>
      <c r="DF290" t="str">
        <v>162010 Franquicias</v>
      </c>
      <c r="DG290" t="str">
        <v>162010 Franquicias</v>
      </c>
      <c r="DH290" t="str">
        <v>162010 Franquicias</v>
      </c>
      <c r="DI290" t="str">
        <v>162010 Franquicias</v>
      </c>
      <c r="DJ290" t="str">
        <v>162010 Franquicias</v>
      </c>
      <c r="DK290" t="str">
        <v>162010 Franquicias</v>
      </c>
      <c r="DL290" t="str">
        <v>162010 Franquicias</v>
      </c>
      <c r="DM290" t="str">
        <v>162010 Franquicias</v>
      </c>
      <c r="DN290" t="str">
        <v>162010 Franquicias</v>
      </c>
      <c r="DO290" t="str">
        <v>162010 Franquicias</v>
      </c>
      <c r="DP290" t="str">
        <v>162010 Franquicias</v>
      </c>
    </row>
    <row r="291" spans="4:120" ht="12.75">
      <c r="D291" s="7">
        <v>162099</v>
      </c>
      <c r="E291" s="6" t="s">
        <v>44</v>
      </c>
      <c r="F291" s="5">
        <v>4</v>
      </c>
      <c r="G291" s="34" t="s">
        <v>822</v>
      </c>
      <c r="H291" s="8" t="s">
        <v>32</v>
      </c>
      <c r="I291" t="b">
        <f>+ISNUMBER(SEARCH('F-COMPRA'!$F$28,Tabla11[[#This Row],[Cuenta]],1))</f>
        <v>1</v>
      </c>
      <c r="J291" t="b">
        <f>+ISNUMBER(SEARCH('F-COMPRA'!$F$29,Tabla11[[#This Row],[Cuenta]],1))</f>
        <v>1</v>
      </c>
      <c r="K291" t="b">
        <f>+ISNUMBER(SEARCH('F-COMPRA'!$F$30,Tabla11[[#This Row],[Cuenta]],1))</f>
        <v>1</v>
      </c>
      <c r="L291" t="b">
        <f>+ISNUMBER(SEARCH('F-COMPRA'!$F$31,Tabla11[[#This Row],[Cuenta]],1))</f>
        <v>1</v>
      </c>
      <c r="M291" t="b">
        <f>+ISNUMBER(SEARCH('F-COMPRA'!$G$25,Tabla11[[#This Row],[Cuenta]],1))</f>
        <v>0</v>
      </c>
      <c r="N291" t="b">
        <f>+ISNUMBER(SEARCH(#REF!,Tabla11[[#This Row],[Cuenta]],1))</f>
        <v>0</v>
      </c>
      <c r="O291" t="b">
        <f>+ISNUMBER(SEARCH(#REF!,Tabla11[[#This Row],[Cuenta]],1))</f>
        <v>0</v>
      </c>
      <c r="P291" t="b">
        <f>+ISNUMBER(SEARCH('F-COMPRA'!$F$32,Tabla11[[#This Row],[Cuenta]],1))</f>
        <v>1</v>
      </c>
      <c r="Q291" t="b">
        <f>+ISNUMBER(SEARCH('F-COMPRA'!$F$33,Tabla11[[#This Row],[Cuenta]],1))</f>
        <v>1</v>
      </c>
      <c r="R291" t="b">
        <f>+ISNUMBER(SEARCH('F-COMPRA'!$F$34,Tabla11[[#This Row],[Cuenta]],1))</f>
        <v>1</v>
      </c>
      <c r="S291" t="b">
        <f>+ISNUMBER(SEARCH('F-COMPRA'!$F$35,Tabla11[[#This Row],[Cuenta]],1))</f>
        <v>1</v>
      </c>
      <c r="T291" t="b">
        <f>+ISNUMBER(SEARCH('F-COMPRA'!$F$36,Tabla11[[#This Row],[Cuenta]],1))</f>
        <v>1</v>
      </c>
      <c r="U291" t="b">
        <f>+ISNUMBER(SEARCH('F-COMPRA'!$F$37,Tabla11[[#This Row],[Cuenta]],1))</f>
        <v>1</v>
      </c>
      <c r="V291" t="b">
        <f>+ISNUMBER(SEARCH(#REF!,Tabla11[[#This Row],[Cuenta]],1))</f>
        <v>0</v>
      </c>
      <c r="W291" t="b">
        <f>+ISNUMBER(SEARCH('F-COMPRA'!#REF!,Tabla11[[#This Row],[Cuenta]],1))</f>
        <v>0</v>
      </c>
      <c r="X291" t="b">
        <f>+ISNUMBER(SEARCH('F-COMPRA'!#REF!,Tabla11[[#This Row],[Cuenta]],1))</f>
        <v>0</v>
      </c>
      <c r="Y291" t="b">
        <f>+ISNUMBER(SEARCH('F-COMPRA'!#REF!,Tabla11[[#This Row],[Cuenta]],1))</f>
        <v>0</v>
      </c>
      <c r="Z291" t="b">
        <f>+ISNUMBER(SEARCH('F-COMPRA'!#REF!,Tabla11[[#This Row],[Cuenta]],1))</f>
        <v>0</v>
      </c>
      <c r="AA291" t="b">
        <f>+ISNUMBER(SEARCH('F-COMPRA'!#REF!,Tabla11[[#This Row],[Cuenta]],1))</f>
        <v>0</v>
      </c>
      <c r="AB291" t="b">
        <f>+ISNUMBER(SEARCH('F-COMPRA'!#REF!,Tabla11[[#This Row],[Cuenta]],1))</f>
        <v>0</v>
      </c>
      <c r="AC291" t="b">
        <f>+ISNUMBER(SEARCH('F-COMPRA'!#REF!,Tabla11[[#This Row],[Cuenta]],1))</f>
        <v>0</v>
      </c>
      <c r="AD291" t="b">
        <f>+ISNUMBER(SEARCH('F-COMPRA'!#REF!,Tabla11[[#This Row],[Cuenta]],1))</f>
        <v>0</v>
      </c>
      <c r="AE291" t="b">
        <f>+ISNUMBER(SEARCH('F-COMPRA'!#REF!,Tabla11[[#This Row],[Cuenta]],1))</f>
        <v>0</v>
      </c>
      <c r="AF291" t="b">
        <f>+ISNUMBER(SEARCH('F-VTA'!$G$23,Tabla11[[#This Row],[Cuenta]],1))</f>
        <v>0</v>
      </c>
      <c r="AG291" t="b">
        <f>+ISNUMBER(SEARCH('F-VTA'!$G$24,Tabla11[[#This Row],[Cuenta]],1))</f>
        <v>0</v>
      </c>
      <c r="AH291" t="b">
        <f>+ISNUMBER(SEARCH('F-VTA'!$G$25,Tabla11[[#This Row],[Cuenta]],1))</f>
        <v>0</v>
      </c>
      <c r="AI291" t="b">
        <f>+ISNUMBER(SEARCH('F-VTA'!$F$28,Tabla11[[#This Row],[Cuenta]],1))</f>
        <v>1</v>
      </c>
      <c r="AJ291" t="b">
        <f>+ISNUMBER(SEARCH('F-VTA'!$F$29,Tabla11[[#This Row],[Cuenta]],1))</f>
        <v>1</v>
      </c>
      <c r="AK291" t="b">
        <f>+ISNUMBER(SEARCH('F-VTA'!$F$30,Tabla11[[#This Row],[Cuenta]],1))</f>
        <v>1</v>
      </c>
      <c r="AL291" t="b">
        <f>+ISNUMBER(SEARCH('F-VTA'!$F$31,Tabla11[[#This Row],[Cuenta]],1))</f>
        <v>1</v>
      </c>
      <c r="AM291" t="b">
        <f>+ISNUMBER(SEARCH('F-VTA'!$F$32,Tabla11[[#This Row],[Cuenta]],1))</f>
        <v>1</v>
      </c>
      <c r="AN291" t="b">
        <f>+ISNUMBER(SEARCH('F-VTA'!$F$33,Tabla11[[#This Row],[Cuenta]],1))</f>
        <v>1</v>
      </c>
      <c r="AO291" t="b">
        <f>+ISNUMBER(SEARCH('F-VTA'!$F$34,Tabla11[[#This Row],[Cuenta]],1))</f>
        <v>1</v>
      </c>
      <c r="AP291" t="b">
        <f>+ISNUMBER(SEARCH('F-VTA'!$F$35,Tabla11[[#This Row],[Cuenta]],1))</f>
        <v>1</v>
      </c>
      <c r="AQ291" t="b">
        <f>+ISNUMBER(SEARCH('F-VTA'!$F$36,Tabla11[[#This Row],[Cuenta]],1))</f>
        <v>1</v>
      </c>
      <c r="AR291" t="b">
        <f>+ISNUMBER(SEARCH(#REF!,Tabla11[[#This Row],[Cuenta]],1))</f>
        <v>0</v>
      </c>
      <c r="AS291" t="b">
        <f>+ISNUMBER(SEARCH(#REF!,Tabla11[[#This Row],[Cuenta]],1))</f>
        <v>0</v>
      </c>
      <c r="AT291" t="b">
        <f>+ISNUMBER(SEARCH(#REF!,Tabla11[[#This Row],[Cuenta]],1))</f>
        <v>0</v>
      </c>
      <c r="AU291" t="b">
        <f>+ISNUMBER(SEARCH('Conc. Ban.1'!$I$9,Tabla11[[#This Row],[Cuenta]],1))</f>
        <v>0</v>
      </c>
      <c r="AV291" t="b">
        <f>+ISNUMBER(SEARCH(CompConta!$F$21,Tabla11[[#This Row],[Cuenta]],1))</f>
        <v>1</v>
      </c>
      <c r="AW291" t="b">
        <f>+ISNUMBER(SEARCH(CompConta!$F$22,Tabla11[[#This Row],[Cuenta]],1))</f>
        <v>1</v>
      </c>
      <c r="AX291" t="b">
        <f>+ISNUMBER(SEARCH(CompConta!$F$23,Tabla11[[#This Row],[Cuenta]],1))</f>
        <v>1</v>
      </c>
      <c r="AY291" t="b">
        <f>+ISNUMBER(SEARCH(CompConta!$F$24,Tabla11[[#This Row],[Cuenta]],1))</f>
        <v>1</v>
      </c>
      <c r="AZ291" t="b">
        <f>+ISNUMBER(SEARCH(CompConta!$F$25,Tabla11[[#This Row],[Cuenta]],1))</f>
        <v>1</v>
      </c>
      <c r="BA291" t="b">
        <f>+ISNUMBER(SEARCH(CompConta!$F$26,Tabla11[[#This Row],[Cuenta]],1))</f>
        <v>1</v>
      </c>
      <c r="BB291" t="b">
        <f>+ISNUMBER(SEARCH(CompConta!$F$27,Tabla11[[#This Row],[Cuenta]],1))</f>
        <v>1</v>
      </c>
      <c r="BC291" t="b">
        <f>+ISNUMBER(SEARCH(CompConta!$F$28,Tabla11[[#This Row],[Cuenta]],1))</f>
        <v>1</v>
      </c>
      <c r="BD291" t="b">
        <f>+ISNUMBER(SEARCH(CompConta!$F$29,Tabla11[[#This Row],[Cuenta]],1))</f>
        <v>1</v>
      </c>
      <c r="BE291" t="b">
        <f>+ISNUMBER(SEARCH(CompConta!$F$30,Tabla11[[#This Row],[Cuenta]],1))</f>
        <v>1</v>
      </c>
      <c r="BF291" t="b">
        <f>+ISNUMBER(SEARCH('PAGO Compras'!$E$11,Tabla11[[#This Row],[Cuenta]],1))</f>
        <v>1</v>
      </c>
      <c r="BG291" t="b">
        <f>+ISNUMBER(SEARCH(#REF!,Tabla11[[#This Row],[Cuenta]],1))</f>
        <v>0</v>
      </c>
      <c r="BH291" t="b">
        <f>+ISNUMBER(SEARCH(#REF!,Tabla11[[#This Row],[Cuenta]],1))</f>
        <v>0</v>
      </c>
      <c r="BI291" t="b">
        <f>+ISNUMBER(SEARCH(#REF!,Tabla11[[#This Row],[Cuenta]],1))</f>
        <v>0</v>
      </c>
      <c r="BJ291" t="b">
        <f>+ISNUMBER(SEARCH(#REF!,Tabla11[[#This Row],[Cuenta]],1))</f>
        <v>0</v>
      </c>
      <c r="BS291" t="str">
        <v>162099 Ajustes por inflación</v>
      </c>
      <c r="BT291" t="str">
        <v>162099 Ajustes por inflación</v>
      </c>
      <c r="BU291" t="str">
        <v>162099 Ajustes por inflación</v>
      </c>
      <c r="BV291" t="str">
        <v>162099 Ajustes por inflación</v>
      </c>
      <c r="BZ291" t="str">
        <v>162099 Ajustes por inflación</v>
      </c>
      <c r="CA291" t="str">
        <v>162099 Ajustes por inflación</v>
      </c>
      <c r="CB291" t="str">
        <v>162099 Ajustes por inflación</v>
      </c>
      <c r="CC291" t="str">
        <v>162099 Ajustes por inflación</v>
      </c>
      <c r="CD291" t="str">
        <v>162099 Ajustes por inflación</v>
      </c>
      <c r="CE291" t="str">
        <v>162099 Ajustes por inflación</v>
      </c>
      <c r="CS291" s="141" t="str">
        <v>162099 Ajustes por inflación</v>
      </c>
      <c r="CT291" s="141" t="str">
        <v>162099 Ajustes por inflación</v>
      </c>
      <c r="CU291" s="141" t="str">
        <v>162099 Ajustes por inflación</v>
      </c>
      <c r="CV291" s="141" t="str">
        <v>162099 Ajustes por inflación</v>
      </c>
      <c r="CW291" s="141" t="str">
        <v>162099 Ajustes por inflación</v>
      </c>
      <c r="CX291" s="141" t="str">
        <v>162099 Ajustes por inflación</v>
      </c>
      <c r="CY291" s="141" t="str">
        <v>162099 Ajustes por inflación</v>
      </c>
      <c r="CZ291" s="141" t="str">
        <v>162099 Ajustes por inflación</v>
      </c>
      <c r="DA291" s="141" t="str">
        <v>162099 Ajustes por inflación</v>
      </c>
      <c r="DF291" t="str">
        <v>162099 Ajustes por inflación</v>
      </c>
      <c r="DG291" t="str">
        <v>162099 Ajustes por inflación</v>
      </c>
      <c r="DH291" t="str">
        <v>162099 Ajustes por inflación</v>
      </c>
      <c r="DI291" t="str">
        <v>162099 Ajustes por inflación</v>
      </c>
      <c r="DJ291" t="str">
        <v>162099 Ajustes por inflación</v>
      </c>
      <c r="DK291" t="str">
        <v>162099 Ajustes por inflación</v>
      </c>
      <c r="DL291" t="str">
        <v>162099 Ajustes por inflación</v>
      </c>
      <c r="DM291" t="str">
        <v>162099 Ajustes por inflación</v>
      </c>
      <c r="DN291" t="str">
        <v>162099 Ajustes por inflación</v>
      </c>
      <c r="DO291" t="str">
        <v>162099 Ajustes por inflación</v>
      </c>
      <c r="DP291" t="str">
        <v>162099 Ajustes por inflación</v>
      </c>
    </row>
    <row r="292" spans="4:120" ht="12.75">
      <c r="D292" s="7">
        <v>1625</v>
      </c>
      <c r="E292" s="6" t="s">
        <v>239</v>
      </c>
      <c r="F292" s="5">
        <v>3</v>
      </c>
      <c r="G292" s="34" t="s">
        <v>822</v>
      </c>
      <c r="H292" s="8" t="s">
        <v>32</v>
      </c>
      <c r="I292" t="b">
        <f>+ISNUMBER(SEARCH('F-COMPRA'!$F$28,Tabla11[[#This Row],[Cuenta]],1))</f>
        <v>1</v>
      </c>
      <c r="J292" t="b">
        <f>+ISNUMBER(SEARCH('F-COMPRA'!$F$29,Tabla11[[#This Row],[Cuenta]],1))</f>
        <v>1</v>
      </c>
      <c r="K292" t="b">
        <f>+ISNUMBER(SEARCH('F-COMPRA'!$F$30,Tabla11[[#This Row],[Cuenta]],1))</f>
        <v>1</v>
      </c>
      <c r="L292" t="b">
        <f>+ISNUMBER(SEARCH('F-COMPRA'!$F$31,Tabla11[[#This Row],[Cuenta]],1))</f>
        <v>1</v>
      </c>
      <c r="M292" t="b">
        <f>+ISNUMBER(SEARCH('F-COMPRA'!$G$25,Tabla11[[#This Row],[Cuenta]],1))</f>
        <v>0</v>
      </c>
      <c r="N292" t="b">
        <f>+ISNUMBER(SEARCH(#REF!,Tabla11[[#This Row],[Cuenta]],1))</f>
        <v>0</v>
      </c>
      <c r="O292" t="b">
        <f>+ISNUMBER(SEARCH(#REF!,Tabla11[[#This Row],[Cuenta]],1))</f>
        <v>0</v>
      </c>
      <c r="P292" t="b">
        <f>+ISNUMBER(SEARCH('F-COMPRA'!$F$32,Tabla11[[#This Row],[Cuenta]],1))</f>
        <v>1</v>
      </c>
      <c r="Q292" t="b">
        <f>+ISNUMBER(SEARCH('F-COMPRA'!$F$33,Tabla11[[#This Row],[Cuenta]],1))</f>
        <v>1</v>
      </c>
      <c r="R292" t="b">
        <f>+ISNUMBER(SEARCH('F-COMPRA'!$F$34,Tabla11[[#This Row],[Cuenta]],1))</f>
        <v>1</v>
      </c>
      <c r="S292" t="b">
        <f>+ISNUMBER(SEARCH('F-COMPRA'!$F$35,Tabla11[[#This Row],[Cuenta]],1))</f>
        <v>1</v>
      </c>
      <c r="T292" t="b">
        <f>+ISNUMBER(SEARCH('F-COMPRA'!$F$36,Tabla11[[#This Row],[Cuenta]],1))</f>
        <v>1</v>
      </c>
      <c r="U292" t="b">
        <f>+ISNUMBER(SEARCH('F-COMPRA'!$F$37,Tabla11[[#This Row],[Cuenta]],1))</f>
        <v>1</v>
      </c>
      <c r="V292" t="b">
        <f>+ISNUMBER(SEARCH(#REF!,Tabla11[[#This Row],[Cuenta]],1))</f>
        <v>0</v>
      </c>
      <c r="W292" t="b">
        <f>+ISNUMBER(SEARCH('F-COMPRA'!#REF!,Tabla11[[#This Row],[Cuenta]],1))</f>
        <v>0</v>
      </c>
      <c r="X292" t="b">
        <f>+ISNUMBER(SEARCH('F-COMPRA'!#REF!,Tabla11[[#This Row],[Cuenta]],1))</f>
        <v>0</v>
      </c>
      <c r="Y292" t="b">
        <f>+ISNUMBER(SEARCH('F-COMPRA'!#REF!,Tabla11[[#This Row],[Cuenta]],1))</f>
        <v>0</v>
      </c>
      <c r="Z292" t="b">
        <f>+ISNUMBER(SEARCH('F-COMPRA'!#REF!,Tabla11[[#This Row],[Cuenta]],1))</f>
        <v>0</v>
      </c>
      <c r="AA292" t="b">
        <f>+ISNUMBER(SEARCH('F-COMPRA'!#REF!,Tabla11[[#This Row],[Cuenta]],1))</f>
        <v>0</v>
      </c>
      <c r="AB292" t="b">
        <f>+ISNUMBER(SEARCH('F-COMPRA'!#REF!,Tabla11[[#This Row],[Cuenta]],1))</f>
        <v>0</v>
      </c>
      <c r="AC292" t="b">
        <f>+ISNUMBER(SEARCH('F-COMPRA'!#REF!,Tabla11[[#This Row],[Cuenta]],1))</f>
        <v>0</v>
      </c>
      <c r="AD292" t="b">
        <f>+ISNUMBER(SEARCH('F-COMPRA'!#REF!,Tabla11[[#This Row],[Cuenta]],1))</f>
        <v>0</v>
      </c>
      <c r="AE292" t="b">
        <f>+ISNUMBER(SEARCH('F-COMPRA'!#REF!,Tabla11[[#This Row],[Cuenta]],1))</f>
        <v>0</v>
      </c>
      <c r="AF292" t="b">
        <f>+ISNUMBER(SEARCH('F-VTA'!$G$23,Tabla11[[#This Row],[Cuenta]],1))</f>
        <v>0</v>
      </c>
      <c r="AG292" t="b">
        <f>+ISNUMBER(SEARCH('F-VTA'!$G$24,Tabla11[[#This Row],[Cuenta]],1))</f>
        <v>0</v>
      </c>
      <c r="AH292" t="b">
        <f>+ISNUMBER(SEARCH('F-VTA'!$G$25,Tabla11[[#This Row],[Cuenta]],1))</f>
        <v>0</v>
      </c>
      <c r="AI292" t="b">
        <f>+ISNUMBER(SEARCH('F-VTA'!$F$28,Tabla11[[#This Row],[Cuenta]],1))</f>
        <v>1</v>
      </c>
      <c r="AJ292" t="b">
        <f>+ISNUMBER(SEARCH('F-VTA'!$F$29,Tabla11[[#This Row],[Cuenta]],1))</f>
        <v>1</v>
      </c>
      <c r="AK292" t="b">
        <f>+ISNUMBER(SEARCH('F-VTA'!$F$30,Tabla11[[#This Row],[Cuenta]],1))</f>
        <v>1</v>
      </c>
      <c r="AL292" t="b">
        <f>+ISNUMBER(SEARCH('F-VTA'!$F$31,Tabla11[[#This Row],[Cuenta]],1))</f>
        <v>1</v>
      </c>
      <c r="AM292" t="b">
        <f>+ISNUMBER(SEARCH('F-VTA'!$F$32,Tabla11[[#This Row],[Cuenta]],1))</f>
        <v>1</v>
      </c>
      <c r="AN292" t="b">
        <f>+ISNUMBER(SEARCH('F-VTA'!$F$33,Tabla11[[#This Row],[Cuenta]],1))</f>
        <v>1</v>
      </c>
      <c r="AO292" t="b">
        <f>+ISNUMBER(SEARCH('F-VTA'!$F$34,Tabla11[[#This Row],[Cuenta]],1))</f>
        <v>1</v>
      </c>
      <c r="AP292" t="b">
        <f>+ISNUMBER(SEARCH('F-VTA'!$F$35,Tabla11[[#This Row],[Cuenta]],1))</f>
        <v>1</v>
      </c>
      <c r="AQ292" t="b">
        <f>+ISNUMBER(SEARCH('F-VTA'!$F$36,Tabla11[[#This Row],[Cuenta]],1))</f>
        <v>1</v>
      </c>
      <c r="AR292" t="b">
        <f>+ISNUMBER(SEARCH(#REF!,Tabla11[[#This Row],[Cuenta]],1))</f>
        <v>0</v>
      </c>
      <c r="AS292" t="b">
        <f>+ISNUMBER(SEARCH(#REF!,Tabla11[[#This Row],[Cuenta]],1))</f>
        <v>0</v>
      </c>
      <c r="AT292" t="b">
        <f>+ISNUMBER(SEARCH(#REF!,Tabla11[[#This Row],[Cuenta]],1))</f>
        <v>0</v>
      </c>
      <c r="AU292" t="b">
        <f>+ISNUMBER(SEARCH('Conc. Ban.1'!$I$9,Tabla11[[#This Row],[Cuenta]],1))</f>
        <v>0</v>
      </c>
      <c r="AV292" t="b">
        <f>+ISNUMBER(SEARCH(CompConta!$F$21,Tabla11[[#This Row],[Cuenta]],1))</f>
        <v>1</v>
      </c>
      <c r="AW292" t="b">
        <f>+ISNUMBER(SEARCH(CompConta!$F$22,Tabla11[[#This Row],[Cuenta]],1))</f>
        <v>1</v>
      </c>
      <c r="AX292" t="b">
        <f>+ISNUMBER(SEARCH(CompConta!$F$23,Tabla11[[#This Row],[Cuenta]],1))</f>
        <v>1</v>
      </c>
      <c r="AY292" t="b">
        <f>+ISNUMBER(SEARCH(CompConta!$F$24,Tabla11[[#This Row],[Cuenta]],1))</f>
        <v>1</v>
      </c>
      <c r="AZ292" t="b">
        <f>+ISNUMBER(SEARCH(CompConta!$F$25,Tabla11[[#This Row],[Cuenta]],1))</f>
        <v>1</v>
      </c>
      <c r="BA292" t="b">
        <f>+ISNUMBER(SEARCH(CompConta!$F$26,Tabla11[[#This Row],[Cuenta]],1))</f>
        <v>1</v>
      </c>
      <c r="BB292" t="b">
        <f>+ISNUMBER(SEARCH(CompConta!$F$27,Tabla11[[#This Row],[Cuenta]],1))</f>
        <v>1</v>
      </c>
      <c r="BC292" t="b">
        <f>+ISNUMBER(SEARCH(CompConta!$F$28,Tabla11[[#This Row],[Cuenta]],1))</f>
        <v>1</v>
      </c>
      <c r="BD292" t="b">
        <f>+ISNUMBER(SEARCH(CompConta!$F$29,Tabla11[[#This Row],[Cuenta]],1))</f>
        <v>1</v>
      </c>
      <c r="BE292" t="b">
        <f>+ISNUMBER(SEARCH(CompConta!$F$30,Tabla11[[#This Row],[Cuenta]],1))</f>
        <v>1</v>
      </c>
      <c r="BF292" t="b">
        <f>+ISNUMBER(SEARCH('PAGO Compras'!$E$11,Tabla11[[#This Row],[Cuenta]],1))</f>
        <v>1</v>
      </c>
      <c r="BG292" t="b">
        <f>+ISNUMBER(SEARCH(#REF!,Tabla11[[#This Row],[Cuenta]],1))</f>
        <v>0</v>
      </c>
      <c r="BH292" t="b">
        <f>+ISNUMBER(SEARCH(#REF!,Tabla11[[#This Row],[Cuenta]],1))</f>
        <v>0</v>
      </c>
      <c r="BI292" t="b">
        <f>+ISNUMBER(SEARCH(#REF!,Tabla11[[#This Row],[Cuenta]],1))</f>
        <v>0</v>
      </c>
      <c r="BJ292" t="b">
        <f>+ISNUMBER(SEARCH(#REF!,Tabla11[[#This Row],[Cuenta]],1))</f>
        <v>0</v>
      </c>
      <c r="BS292" t="str">
        <v>1625 DERECHOS</v>
      </c>
      <c r="BT292" t="str">
        <v>1625 DERECHOS</v>
      </c>
      <c r="BU292" t="str">
        <v>1625 DERECHOS</v>
      </c>
      <c r="BV292" t="str">
        <v>1625 DERECHOS</v>
      </c>
      <c r="BZ292" t="str">
        <v>1625 DERECHOS</v>
      </c>
      <c r="CA292" t="str">
        <v>1625 DERECHOS</v>
      </c>
      <c r="CB292" t="str">
        <v>1625 DERECHOS</v>
      </c>
      <c r="CC292" t="str">
        <v>1625 DERECHOS</v>
      </c>
      <c r="CD292" t="str">
        <v>1625 DERECHOS</v>
      </c>
      <c r="CE292" t="str">
        <v>1625 DERECHOS</v>
      </c>
      <c r="CS292" s="141" t="str">
        <v>1625 DERECHOS</v>
      </c>
      <c r="CT292" s="141" t="str">
        <v>1625 DERECHOS</v>
      </c>
      <c r="CU292" s="141" t="str">
        <v>1625 DERECHOS</v>
      </c>
      <c r="CV292" s="141" t="str">
        <v>1625 DERECHOS</v>
      </c>
      <c r="CW292" s="141" t="str">
        <v>1625 DERECHOS</v>
      </c>
      <c r="CX292" s="141" t="str">
        <v>1625 DERECHOS</v>
      </c>
      <c r="CY292" s="141" t="str">
        <v>1625 DERECHOS</v>
      </c>
      <c r="CZ292" s="141" t="str">
        <v>1625 DERECHOS</v>
      </c>
      <c r="DA292" s="141" t="str">
        <v>1625 DERECHOS</v>
      </c>
      <c r="DF292" t="str">
        <v>1625 DERECHOS</v>
      </c>
      <c r="DG292" t="str">
        <v>1625 DERECHOS</v>
      </c>
      <c r="DH292" t="str">
        <v>1625 DERECHOS</v>
      </c>
      <c r="DI292" t="str">
        <v>1625 DERECHOS</v>
      </c>
      <c r="DJ292" t="str">
        <v>1625 DERECHOS</v>
      </c>
      <c r="DK292" t="str">
        <v>1625 DERECHOS</v>
      </c>
      <c r="DL292" t="str">
        <v>1625 DERECHOS</v>
      </c>
      <c r="DM292" t="str">
        <v>1625 DERECHOS</v>
      </c>
      <c r="DN292" t="str">
        <v>1625 DERECHOS</v>
      </c>
      <c r="DO292" t="str">
        <v>1625 DERECHOS</v>
      </c>
      <c r="DP292" t="str">
        <v>1625 DERECHOS</v>
      </c>
    </row>
    <row r="293" spans="4:120" ht="12.75">
      <c r="D293" s="7">
        <v>162505</v>
      </c>
      <c r="E293" s="6" t="s">
        <v>240</v>
      </c>
      <c r="F293" s="5">
        <v>3</v>
      </c>
      <c r="G293" s="34" t="s">
        <v>822</v>
      </c>
      <c r="H293" s="8" t="s">
        <v>32</v>
      </c>
      <c r="I293" t="b">
        <f>+ISNUMBER(SEARCH('F-COMPRA'!$F$28,Tabla11[[#This Row],[Cuenta]],1))</f>
        <v>1</v>
      </c>
      <c r="J293" t="b">
        <f>+ISNUMBER(SEARCH('F-COMPRA'!$F$29,Tabla11[[#This Row],[Cuenta]],1))</f>
        <v>1</v>
      </c>
      <c r="K293" t="b">
        <f>+ISNUMBER(SEARCH('F-COMPRA'!$F$30,Tabla11[[#This Row],[Cuenta]],1))</f>
        <v>1</v>
      </c>
      <c r="L293" t="b">
        <f>+ISNUMBER(SEARCH('F-COMPRA'!$F$31,Tabla11[[#This Row],[Cuenta]],1))</f>
        <v>1</v>
      </c>
      <c r="M293" t="b">
        <f>+ISNUMBER(SEARCH('F-COMPRA'!$G$25,Tabla11[[#This Row],[Cuenta]],1))</f>
        <v>0</v>
      </c>
      <c r="N293" t="b">
        <f>+ISNUMBER(SEARCH(#REF!,Tabla11[[#This Row],[Cuenta]],1))</f>
        <v>0</v>
      </c>
      <c r="O293" t="b">
        <f>+ISNUMBER(SEARCH(#REF!,Tabla11[[#This Row],[Cuenta]],1))</f>
        <v>0</v>
      </c>
      <c r="P293" t="b">
        <f>+ISNUMBER(SEARCH('F-COMPRA'!$F$32,Tabla11[[#This Row],[Cuenta]],1))</f>
        <v>1</v>
      </c>
      <c r="Q293" t="b">
        <f>+ISNUMBER(SEARCH('F-COMPRA'!$F$33,Tabla11[[#This Row],[Cuenta]],1))</f>
        <v>1</v>
      </c>
      <c r="R293" t="b">
        <f>+ISNUMBER(SEARCH('F-COMPRA'!$F$34,Tabla11[[#This Row],[Cuenta]],1))</f>
        <v>1</v>
      </c>
      <c r="S293" t="b">
        <f>+ISNUMBER(SEARCH('F-COMPRA'!$F$35,Tabla11[[#This Row],[Cuenta]],1))</f>
        <v>1</v>
      </c>
      <c r="T293" t="b">
        <f>+ISNUMBER(SEARCH('F-COMPRA'!$F$36,Tabla11[[#This Row],[Cuenta]],1))</f>
        <v>1</v>
      </c>
      <c r="U293" t="b">
        <f>+ISNUMBER(SEARCH('F-COMPRA'!$F$37,Tabla11[[#This Row],[Cuenta]],1))</f>
        <v>1</v>
      </c>
      <c r="V293" t="b">
        <f>+ISNUMBER(SEARCH(#REF!,Tabla11[[#This Row],[Cuenta]],1))</f>
        <v>0</v>
      </c>
      <c r="W293" t="b">
        <f>+ISNUMBER(SEARCH('F-COMPRA'!#REF!,Tabla11[[#This Row],[Cuenta]],1))</f>
        <v>0</v>
      </c>
      <c r="X293" t="b">
        <f>+ISNUMBER(SEARCH('F-COMPRA'!#REF!,Tabla11[[#This Row],[Cuenta]],1))</f>
        <v>0</v>
      </c>
      <c r="Y293" t="b">
        <f>+ISNUMBER(SEARCH('F-COMPRA'!#REF!,Tabla11[[#This Row],[Cuenta]],1))</f>
        <v>0</v>
      </c>
      <c r="Z293" t="b">
        <f>+ISNUMBER(SEARCH('F-COMPRA'!#REF!,Tabla11[[#This Row],[Cuenta]],1))</f>
        <v>0</v>
      </c>
      <c r="AA293" t="b">
        <f>+ISNUMBER(SEARCH('F-COMPRA'!#REF!,Tabla11[[#This Row],[Cuenta]],1))</f>
        <v>0</v>
      </c>
      <c r="AB293" t="b">
        <f>+ISNUMBER(SEARCH('F-COMPRA'!#REF!,Tabla11[[#This Row],[Cuenta]],1))</f>
        <v>0</v>
      </c>
      <c r="AC293" t="b">
        <f>+ISNUMBER(SEARCH('F-COMPRA'!#REF!,Tabla11[[#This Row],[Cuenta]],1))</f>
        <v>0</v>
      </c>
      <c r="AD293" t="b">
        <f>+ISNUMBER(SEARCH('F-COMPRA'!#REF!,Tabla11[[#This Row],[Cuenta]],1))</f>
        <v>0</v>
      </c>
      <c r="AE293" t="b">
        <f>+ISNUMBER(SEARCH('F-COMPRA'!#REF!,Tabla11[[#This Row],[Cuenta]],1))</f>
        <v>0</v>
      </c>
      <c r="AF293" t="b">
        <f>+ISNUMBER(SEARCH('F-VTA'!$G$23,Tabla11[[#This Row],[Cuenta]],1))</f>
        <v>0</v>
      </c>
      <c r="AG293" t="b">
        <f>+ISNUMBER(SEARCH('F-VTA'!$G$24,Tabla11[[#This Row],[Cuenta]],1))</f>
        <v>0</v>
      </c>
      <c r="AH293" t="b">
        <f>+ISNUMBER(SEARCH('F-VTA'!$G$25,Tabla11[[#This Row],[Cuenta]],1))</f>
        <v>0</v>
      </c>
      <c r="AI293" t="b">
        <f>+ISNUMBER(SEARCH('F-VTA'!$F$28,Tabla11[[#This Row],[Cuenta]],1))</f>
        <v>1</v>
      </c>
      <c r="AJ293" t="b">
        <f>+ISNUMBER(SEARCH('F-VTA'!$F$29,Tabla11[[#This Row],[Cuenta]],1))</f>
        <v>1</v>
      </c>
      <c r="AK293" t="b">
        <f>+ISNUMBER(SEARCH('F-VTA'!$F$30,Tabla11[[#This Row],[Cuenta]],1))</f>
        <v>1</v>
      </c>
      <c r="AL293" t="b">
        <f>+ISNUMBER(SEARCH('F-VTA'!$F$31,Tabla11[[#This Row],[Cuenta]],1))</f>
        <v>1</v>
      </c>
      <c r="AM293" t="b">
        <f>+ISNUMBER(SEARCH('F-VTA'!$F$32,Tabla11[[#This Row],[Cuenta]],1))</f>
        <v>1</v>
      </c>
      <c r="AN293" t="b">
        <f>+ISNUMBER(SEARCH('F-VTA'!$F$33,Tabla11[[#This Row],[Cuenta]],1))</f>
        <v>1</v>
      </c>
      <c r="AO293" t="b">
        <f>+ISNUMBER(SEARCH('F-VTA'!$F$34,Tabla11[[#This Row],[Cuenta]],1))</f>
        <v>1</v>
      </c>
      <c r="AP293" t="b">
        <f>+ISNUMBER(SEARCH('F-VTA'!$F$35,Tabla11[[#This Row],[Cuenta]],1))</f>
        <v>1</v>
      </c>
      <c r="AQ293" t="b">
        <f>+ISNUMBER(SEARCH('F-VTA'!$F$36,Tabla11[[#This Row],[Cuenta]],1))</f>
        <v>1</v>
      </c>
      <c r="AR293" t="b">
        <f>+ISNUMBER(SEARCH(#REF!,Tabla11[[#This Row],[Cuenta]],1))</f>
        <v>0</v>
      </c>
      <c r="AS293" t="b">
        <f>+ISNUMBER(SEARCH(#REF!,Tabla11[[#This Row],[Cuenta]],1))</f>
        <v>0</v>
      </c>
      <c r="AT293" t="b">
        <f>+ISNUMBER(SEARCH(#REF!,Tabla11[[#This Row],[Cuenta]],1))</f>
        <v>0</v>
      </c>
      <c r="AU293" t="b">
        <f>+ISNUMBER(SEARCH('Conc. Ban.1'!$I$9,Tabla11[[#This Row],[Cuenta]],1))</f>
        <v>0</v>
      </c>
      <c r="AV293" t="b">
        <f>+ISNUMBER(SEARCH(CompConta!$F$21,Tabla11[[#This Row],[Cuenta]],1))</f>
        <v>1</v>
      </c>
      <c r="AW293" t="b">
        <f>+ISNUMBER(SEARCH(CompConta!$F$22,Tabla11[[#This Row],[Cuenta]],1))</f>
        <v>1</v>
      </c>
      <c r="AX293" t="b">
        <f>+ISNUMBER(SEARCH(CompConta!$F$23,Tabla11[[#This Row],[Cuenta]],1))</f>
        <v>1</v>
      </c>
      <c r="AY293" t="b">
        <f>+ISNUMBER(SEARCH(CompConta!$F$24,Tabla11[[#This Row],[Cuenta]],1))</f>
        <v>1</v>
      </c>
      <c r="AZ293" t="b">
        <f>+ISNUMBER(SEARCH(CompConta!$F$25,Tabla11[[#This Row],[Cuenta]],1))</f>
        <v>1</v>
      </c>
      <c r="BA293" t="b">
        <f>+ISNUMBER(SEARCH(CompConta!$F$26,Tabla11[[#This Row],[Cuenta]],1))</f>
        <v>1</v>
      </c>
      <c r="BB293" t="b">
        <f>+ISNUMBER(SEARCH(CompConta!$F$27,Tabla11[[#This Row],[Cuenta]],1))</f>
        <v>1</v>
      </c>
      <c r="BC293" t="b">
        <f>+ISNUMBER(SEARCH(CompConta!$F$28,Tabla11[[#This Row],[Cuenta]],1))</f>
        <v>1</v>
      </c>
      <c r="BD293" t="b">
        <f>+ISNUMBER(SEARCH(CompConta!$F$29,Tabla11[[#This Row],[Cuenta]],1))</f>
        <v>1</v>
      </c>
      <c r="BE293" t="b">
        <f>+ISNUMBER(SEARCH(CompConta!$F$30,Tabla11[[#This Row],[Cuenta]],1))</f>
        <v>1</v>
      </c>
      <c r="BF293" t="b">
        <f>+ISNUMBER(SEARCH('PAGO Compras'!$E$11,Tabla11[[#This Row],[Cuenta]],1))</f>
        <v>1</v>
      </c>
      <c r="BG293" t="b">
        <f>+ISNUMBER(SEARCH(#REF!,Tabla11[[#This Row],[Cuenta]],1))</f>
        <v>0</v>
      </c>
      <c r="BH293" t="b">
        <f>+ISNUMBER(SEARCH(#REF!,Tabla11[[#This Row],[Cuenta]],1))</f>
        <v>0</v>
      </c>
      <c r="BI293" t="b">
        <f>+ISNUMBER(SEARCH(#REF!,Tabla11[[#This Row],[Cuenta]],1))</f>
        <v>0</v>
      </c>
      <c r="BJ293" t="b">
        <f>+ISNUMBER(SEARCH(#REF!,Tabla11[[#This Row],[Cuenta]],1))</f>
        <v>0</v>
      </c>
      <c r="BS293" t="str">
        <v>162505 Derechos de autor</v>
      </c>
      <c r="BT293" t="str">
        <v>162505 Derechos de autor</v>
      </c>
      <c r="BU293" t="str">
        <v>162505 Derechos de autor</v>
      </c>
      <c r="BV293" t="str">
        <v>162505 Derechos de autor</v>
      </c>
      <c r="BZ293" t="str">
        <v>162505 Derechos de autor</v>
      </c>
      <c r="CA293" t="str">
        <v>162505 Derechos de autor</v>
      </c>
      <c r="CB293" t="str">
        <v>162505 Derechos de autor</v>
      </c>
      <c r="CC293" t="str">
        <v>162505 Derechos de autor</v>
      </c>
      <c r="CD293" t="str">
        <v>162505 Derechos de autor</v>
      </c>
      <c r="CE293" t="str">
        <v>162505 Derechos de autor</v>
      </c>
      <c r="CS293" s="141" t="str">
        <v>162505 Derechos de autor</v>
      </c>
      <c r="CT293" s="141" t="str">
        <v>162505 Derechos de autor</v>
      </c>
      <c r="CU293" s="141" t="str">
        <v>162505 Derechos de autor</v>
      </c>
      <c r="CV293" s="141" t="str">
        <v>162505 Derechos de autor</v>
      </c>
      <c r="CW293" s="141" t="str">
        <v>162505 Derechos de autor</v>
      </c>
      <c r="CX293" s="141" t="str">
        <v>162505 Derechos de autor</v>
      </c>
      <c r="CY293" s="141" t="str">
        <v>162505 Derechos de autor</v>
      </c>
      <c r="CZ293" s="141" t="str">
        <v>162505 Derechos de autor</v>
      </c>
      <c r="DA293" s="141" t="str">
        <v>162505 Derechos de autor</v>
      </c>
      <c r="DF293" t="str">
        <v>162505 Derechos de autor</v>
      </c>
      <c r="DG293" t="str">
        <v>162505 Derechos de autor</v>
      </c>
      <c r="DH293" t="str">
        <v>162505 Derechos de autor</v>
      </c>
      <c r="DI293" t="str">
        <v>162505 Derechos de autor</v>
      </c>
      <c r="DJ293" t="str">
        <v>162505 Derechos de autor</v>
      </c>
      <c r="DK293" t="str">
        <v>162505 Derechos de autor</v>
      </c>
      <c r="DL293" t="str">
        <v>162505 Derechos de autor</v>
      </c>
      <c r="DM293" t="str">
        <v>162505 Derechos de autor</v>
      </c>
      <c r="DN293" t="str">
        <v>162505 Derechos de autor</v>
      </c>
      <c r="DO293" t="str">
        <v>162505 Derechos de autor</v>
      </c>
      <c r="DP293" t="str">
        <v>162505 Derechos de autor</v>
      </c>
    </row>
    <row r="294" spans="4:120" ht="12.75">
      <c r="D294" s="7">
        <v>162510</v>
      </c>
      <c r="E294" s="6" t="s">
        <v>241</v>
      </c>
      <c r="F294" s="5">
        <v>4</v>
      </c>
      <c r="G294" s="34" t="s">
        <v>822</v>
      </c>
      <c r="H294" s="8" t="s">
        <v>32</v>
      </c>
      <c r="I294" t="b">
        <f>+ISNUMBER(SEARCH('F-COMPRA'!$F$28,Tabla11[[#This Row],[Cuenta]],1))</f>
        <v>1</v>
      </c>
      <c r="J294" t="b">
        <f>+ISNUMBER(SEARCH('F-COMPRA'!$F$29,Tabla11[[#This Row],[Cuenta]],1))</f>
        <v>1</v>
      </c>
      <c r="K294" t="b">
        <f>+ISNUMBER(SEARCH('F-COMPRA'!$F$30,Tabla11[[#This Row],[Cuenta]],1))</f>
        <v>1</v>
      </c>
      <c r="L294" t="b">
        <f>+ISNUMBER(SEARCH('F-COMPRA'!$F$31,Tabla11[[#This Row],[Cuenta]],1))</f>
        <v>1</v>
      </c>
      <c r="M294" t="b">
        <f>+ISNUMBER(SEARCH('F-COMPRA'!$G$25,Tabla11[[#This Row],[Cuenta]],1))</f>
        <v>0</v>
      </c>
      <c r="N294" t="b">
        <f>+ISNUMBER(SEARCH(#REF!,Tabla11[[#This Row],[Cuenta]],1))</f>
        <v>0</v>
      </c>
      <c r="O294" t="b">
        <f>+ISNUMBER(SEARCH(#REF!,Tabla11[[#This Row],[Cuenta]],1))</f>
        <v>0</v>
      </c>
      <c r="P294" t="b">
        <f>+ISNUMBER(SEARCH('F-COMPRA'!$F$32,Tabla11[[#This Row],[Cuenta]],1))</f>
        <v>1</v>
      </c>
      <c r="Q294" t="b">
        <f>+ISNUMBER(SEARCH('F-COMPRA'!$F$33,Tabla11[[#This Row],[Cuenta]],1))</f>
        <v>1</v>
      </c>
      <c r="R294" t="b">
        <f>+ISNUMBER(SEARCH('F-COMPRA'!$F$34,Tabla11[[#This Row],[Cuenta]],1))</f>
        <v>1</v>
      </c>
      <c r="S294" t="b">
        <f>+ISNUMBER(SEARCH('F-COMPRA'!$F$35,Tabla11[[#This Row],[Cuenta]],1))</f>
        <v>1</v>
      </c>
      <c r="T294" t="b">
        <f>+ISNUMBER(SEARCH('F-COMPRA'!$F$36,Tabla11[[#This Row],[Cuenta]],1))</f>
        <v>1</v>
      </c>
      <c r="U294" t="b">
        <f>+ISNUMBER(SEARCH('F-COMPRA'!$F$37,Tabla11[[#This Row],[Cuenta]],1))</f>
        <v>1</v>
      </c>
      <c r="V294" t="b">
        <f>+ISNUMBER(SEARCH(#REF!,Tabla11[[#This Row],[Cuenta]],1))</f>
        <v>0</v>
      </c>
      <c r="W294" t="b">
        <f>+ISNUMBER(SEARCH('F-COMPRA'!#REF!,Tabla11[[#This Row],[Cuenta]],1))</f>
        <v>0</v>
      </c>
      <c r="X294" t="b">
        <f>+ISNUMBER(SEARCH('F-COMPRA'!#REF!,Tabla11[[#This Row],[Cuenta]],1))</f>
        <v>0</v>
      </c>
      <c r="Y294" t="b">
        <f>+ISNUMBER(SEARCH('F-COMPRA'!#REF!,Tabla11[[#This Row],[Cuenta]],1))</f>
        <v>0</v>
      </c>
      <c r="Z294" t="b">
        <f>+ISNUMBER(SEARCH('F-COMPRA'!#REF!,Tabla11[[#This Row],[Cuenta]],1))</f>
        <v>0</v>
      </c>
      <c r="AA294" t="b">
        <f>+ISNUMBER(SEARCH('F-COMPRA'!#REF!,Tabla11[[#This Row],[Cuenta]],1))</f>
        <v>0</v>
      </c>
      <c r="AB294" t="b">
        <f>+ISNUMBER(SEARCH('F-COMPRA'!#REF!,Tabla11[[#This Row],[Cuenta]],1))</f>
        <v>0</v>
      </c>
      <c r="AC294" t="b">
        <f>+ISNUMBER(SEARCH('F-COMPRA'!#REF!,Tabla11[[#This Row],[Cuenta]],1))</f>
        <v>0</v>
      </c>
      <c r="AD294" t="b">
        <f>+ISNUMBER(SEARCH('F-COMPRA'!#REF!,Tabla11[[#This Row],[Cuenta]],1))</f>
        <v>0</v>
      </c>
      <c r="AE294" t="b">
        <f>+ISNUMBER(SEARCH('F-COMPRA'!#REF!,Tabla11[[#This Row],[Cuenta]],1))</f>
        <v>0</v>
      </c>
      <c r="AF294" t="b">
        <f>+ISNUMBER(SEARCH('F-VTA'!$G$23,Tabla11[[#This Row],[Cuenta]],1))</f>
        <v>0</v>
      </c>
      <c r="AG294" t="b">
        <f>+ISNUMBER(SEARCH('F-VTA'!$G$24,Tabla11[[#This Row],[Cuenta]],1))</f>
        <v>0</v>
      </c>
      <c r="AH294" t="b">
        <f>+ISNUMBER(SEARCH('F-VTA'!$G$25,Tabla11[[#This Row],[Cuenta]],1))</f>
        <v>0</v>
      </c>
      <c r="AI294" t="b">
        <f>+ISNUMBER(SEARCH('F-VTA'!$F$28,Tabla11[[#This Row],[Cuenta]],1))</f>
        <v>1</v>
      </c>
      <c r="AJ294" t="b">
        <f>+ISNUMBER(SEARCH('F-VTA'!$F$29,Tabla11[[#This Row],[Cuenta]],1))</f>
        <v>1</v>
      </c>
      <c r="AK294" t="b">
        <f>+ISNUMBER(SEARCH('F-VTA'!$F$30,Tabla11[[#This Row],[Cuenta]],1))</f>
        <v>1</v>
      </c>
      <c r="AL294" t="b">
        <f>+ISNUMBER(SEARCH('F-VTA'!$F$31,Tabla11[[#This Row],[Cuenta]],1))</f>
        <v>1</v>
      </c>
      <c r="AM294" t="b">
        <f>+ISNUMBER(SEARCH('F-VTA'!$F$32,Tabla11[[#This Row],[Cuenta]],1))</f>
        <v>1</v>
      </c>
      <c r="AN294" t="b">
        <f>+ISNUMBER(SEARCH('F-VTA'!$F$33,Tabla11[[#This Row],[Cuenta]],1))</f>
        <v>1</v>
      </c>
      <c r="AO294" t="b">
        <f>+ISNUMBER(SEARCH('F-VTA'!$F$34,Tabla11[[#This Row],[Cuenta]],1))</f>
        <v>1</v>
      </c>
      <c r="AP294" t="b">
        <f>+ISNUMBER(SEARCH('F-VTA'!$F$35,Tabla11[[#This Row],[Cuenta]],1))</f>
        <v>1</v>
      </c>
      <c r="AQ294" t="b">
        <f>+ISNUMBER(SEARCH('F-VTA'!$F$36,Tabla11[[#This Row],[Cuenta]],1))</f>
        <v>1</v>
      </c>
      <c r="AR294" t="b">
        <f>+ISNUMBER(SEARCH(#REF!,Tabla11[[#This Row],[Cuenta]],1))</f>
        <v>0</v>
      </c>
      <c r="AS294" t="b">
        <f>+ISNUMBER(SEARCH(#REF!,Tabla11[[#This Row],[Cuenta]],1))</f>
        <v>0</v>
      </c>
      <c r="AT294" t="b">
        <f>+ISNUMBER(SEARCH(#REF!,Tabla11[[#This Row],[Cuenta]],1))</f>
        <v>0</v>
      </c>
      <c r="AU294" t="b">
        <f>+ISNUMBER(SEARCH('Conc. Ban.1'!$I$9,Tabla11[[#This Row],[Cuenta]],1))</f>
        <v>0</v>
      </c>
      <c r="AV294" t="b">
        <f>+ISNUMBER(SEARCH(CompConta!$F$21,Tabla11[[#This Row],[Cuenta]],1))</f>
        <v>1</v>
      </c>
      <c r="AW294" t="b">
        <f>+ISNUMBER(SEARCH(CompConta!$F$22,Tabla11[[#This Row],[Cuenta]],1))</f>
        <v>1</v>
      </c>
      <c r="AX294" t="b">
        <f>+ISNUMBER(SEARCH(CompConta!$F$23,Tabla11[[#This Row],[Cuenta]],1))</f>
        <v>1</v>
      </c>
      <c r="AY294" t="b">
        <f>+ISNUMBER(SEARCH(CompConta!$F$24,Tabla11[[#This Row],[Cuenta]],1))</f>
        <v>1</v>
      </c>
      <c r="AZ294" t="b">
        <f>+ISNUMBER(SEARCH(CompConta!$F$25,Tabla11[[#This Row],[Cuenta]],1))</f>
        <v>1</v>
      </c>
      <c r="BA294" t="b">
        <f>+ISNUMBER(SEARCH(CompConta!$F$26,Tabla11[[#This Row],[Cuenta]],1))</f>
        <v>1</v>
      </c>
      <c r="BB294" t="b">
        <f>+ISNUMBER(SEARCH(CompConta!$F$27,Tabla11[[#This Row],[Cuenta]],1))</f>
        <v>1</v>
      </c>
      <c r="BC294" t="b">
        <f>+ISNUMBER(SEARCH(CompConta!$F$28,Tabla11[[#This Row],[Cuenta]],1))</f>
        <v>1</v>
      </c>
      <c r="BD294" t="b">
        <f>+ISNUMBER(SEARCH(CompConta!$F$29,Tabla11[[#This Row],[Cuenta]],1))</f>
        <v>1</v>
      </c>
      <c r="BE294" t="b">
        <f>+ISNUMBER(SEARCH(CompConta!$F$30,Tabla11[[#This Row],[Cuenta]],1))</f>
        <v>1</v>
      </c>
      <c r="BF294" t="b">
        <f>+ISNUMBER(SEARCH('PAGO Compras'!$E$11,Tabla11[[#This Row],[Cuenta]],1))</f>
        <v>1</v>
      </c>
      <c r="BG294" t="b">
        <f>+ISNUMBER(SEARCH(#REF!,Tabla11[[#This Row],[Cuenta]],1))</f>
        <v>0</v>
      </c>
      <c r="BH294" t="b">
        <f>+ISNUMBER(SEARCH(#REF!,Tabla11[[#This Row],[Cuenta]],1))</f>
        <v>0</v>
      </c>
      <c r="BI294" t="b">
        <f>+ISNUMBER(SEARCH(#REF!,Tabla11[[#This Row],[Cuenta]],1))</f>
        <v>0</v>
      </c>
      <c r="BJ294" t="b">
        <f>+ISNUMBER(SEARCH(#REF!,Tabla11[[#This Row],[Cuenta]],1))</f>
        <v>0</v>
      </c>
      <c r="BS294" t="str">
        <v>162510 Puesto de bolsa</v>
      </c>
      <c r="BT294" t="str">
        <v>162510 Puesto de bolsa</v>
      </c>
      <c r="BU294" t="str">
        <v>162510 Puesto de bolsa</v>
      </c>
      <c r="BV294" t="str">
        <v>162510 Puesto de bolsa</v>
      </c>
      <c r="BZ294" t="str">
        <v>162510 Puesto de bolsa</v>
      </c>
      <c r="CA294" t="str">
        <v>162510 Puesto de bolsa</v>
      </c>
      <c r="CB294" t="str">
        <v>162510 Puesto de bolsa</v>
      </c>
      <c r="CC294" t="str">
        <v>162510 Puesto de bolsa</v>
      </c>
      <c r="CD294" t="str">
        <v>162510 Puesto de bolsa</v>
      </c>
      <c r="CE294" t="str">
        <v>162510 Puesto de bolsa</v>
      </c>
      <c r="CS294" s="141" t="str">
        <v>162510 Puesto de bolsa</v>
      </c>
      <c r="CT294" s="141" t="str">
        <v>162510 Puesto de bolsa</v>
      </c>
      <c r="CU294" s="141" t="str">
        <v>162510 Puesto de bolsa</v>
      </c>
      <c r="CV294" s="141" t="str">
        <v>162510 Puesto de bolsa</v>
      </c>
      <c r="CW294" s="141" t="str">
        <v>162510 Puesto de bolsa</v>
      </c>
      <c r="CX294" s="141" t="str">
        <v>162510 Puesto de bolsa</v>
      </c>
      <c r="CY294" s="141" t="str">
        <v>162510 Puesto de bolsa</v>
      </c>
      <c r="CZ294" s="141" t="str">
        <v>162510 Puesto de bolsa</v>
      </c>
      <c r="DA294" s="141" t="str">
        <v>162510 Puesto de bolsa</v>
      </c>
      <c r="DF294" t="str">
        <v>162510 Puesto de bolsa</v>
      </c>
      <c r="DG294" t="str">
        <v>162510 Puesto de bolsa</v>
      </c>
      <c r="DH294" t="str">
        <v>162510 Puesto de bolsa</v>
      </c>
      <c r="DI294" t="str">
        <v>162510 Puesto de bolsa</v>
      </c>
      <c r="DJ294" t="str">
        <v>162510 Puesto de bolsa</v>
      </c>
      <c r="DK294" t="str">
        <v>162510 Puesto de bolsa</v>
      </c>
      <c r="DL294" t="str">
        <v>162510 Puesto de bolsa</v>
      </c>
      <c r="DM294" t="str">
        <v>162510 Puesto de bolsa</v>
      </c>
      <c r="DN294" t="str">
        <v>162510 Puesto de bolsa</v>
      </c>
      <c r="DO294" t="str">
        <v>162510 Puesto de bolsa</v>
      </c>
      <c r="DP294" t="str">
        <v>162510 Puesto de bolsa</v>
      </c>
    </row>
    <row r="295" spans="4:120" ht="12.75">
      <c r="D295" s="7">
        <v>162515</v>
      </c>
      <c r="E295" s="6" t="s">
        <v>242</v>
      </c>
      <c r="F295" s="5">
        <v>4</v>
      </c>
      <c r="G295" s="34" t="s">
        <v>822</v>
      </c>
      <c r="H295" s="8" t="s">
        <v>32</v>
      </c>
      <c r="I295" t="b">
        <f>+ISNUMBER(SEARCH('F-COMPRA'!$F$28,Tabla11[[#This Row],[Cuenta]],1))</f>
        <v>1</v>
      </c>
      <c r="J295" t="b">
        <f>+ISNUMBER(SEARCH('F-COMPRA'!$F$29,Tabla11[[#This Row],[Cuenta]],1))</f>
        <v>1</v>
      </c>
      <c r="K295" t="b">
        <f>+ISNUMBER(SEARCH('F-COMPRA'!$F$30,Tabla11[[#This Row],[Cuenta]],1))</f>
        <v>1</v>
      </c>
      <c r="L295" t="b">
        <f>+ISNUMBER(SEARCH('F-COMPRA'!$F$31,Tabla11[[#This Row],[Cuenta]],1))</f>
        <v>1</v>
      </c>
      <c r="M295" t="b">
        <f>+ISNUMBER(SEARCH('F-COMPRA'!$G$25,Tabla11[[#This Row],[Cuenta]],1))</f>
        <v>0</v>
      </c>
      <c r="N295" t="b">
        <f>+ISNUMBER(SEARCH(#REF!,Tabla11[[#This Row],[Cuenta]],1))</f>
        <v>0</v>
      </c>
      <c r="O295" t="b">
        <f>+ISNUMBER(SEARCH(#REF!,Tabla11[[#This Row],[Cuenta]],1))</f>
        <v>0</v>
      </c>
      <c r="P295" t="b">
        <f>+ISNUMBER(SEARCH('F-COMPRA'!$F$32,Tabla11[[#This Row],[Cuenta]],1))</f>
        <v>1</v>
      </c>
      <c r="Q295" t="b">
        <f>+ISNUMBER(SEARCH('F-COMPRA'!$F$33,Tabla11[[#This Row],[Cuenta]],1))</f>
        <v>1</v>
      </c>
      <c r="R295" t="b">
        <f>+ISNUMBER(SEARCH('F-COMPRA'!$F$34,Tabla11[[#This Row],[Cuenta]],1))</f>
        <v>1</v>
      </c>
      <c r="S295" t="b">
        <f>+ISNUMBER(SEARCH('F-COMPRA'!$F$35,Tabla11[[#This Row],[Cuenta]],1))</f>
        <v>1</v>
      </c>
      <c r="T295" t="b">
        <f>+ISNUMBER(SEARCH('F-COMPRA'!$F$36,Tabla11[[#This Row],[Cuenta]],1))</f>
        <v>1</v>
      </c>
      <c r="U295" t="b">
        <f>+ISNUMBER(SEARCH('F-COMPRA'!$F$37,Tabla11[[#This Row],[Cuenta]],1))</f>
        <v>1</v>
      </c>
      <c r="V295" t="b">
        <f>+ISNUMBER(SEARCH(#REF!,Tabla11[[#This Row],[Cuenta]],1))</f>
        <v>0</v>
      </c>
      <c r="W295" t="b">
        <f>+ISNUMBER(SEARCH('F-COMPRA'!#REF!,Tabla11[[#This Row],[Cuenta]],1))</f>
        <v>0</v>
      </c>
      <c r="X295" t="b">
        <f>+ISNUMBER(SEARCH('F-COMPRA'!#REF!,Tabla11[[#This Row],[Cuenta]],1))</f>
        <v>0</v>
      </c>
      <c r="Y295" t="b">
        <f>+ISNUMBER(SEARCH('F-COMPRA'!#REF!,Tabla11[[#This Row],[Cuenta]],1))</f>
        <v>0</v>
      </c>
      <c r="Z295" t="b">
        <f>+ISNUMBER(SEARCH('F-COMPRA'!#REF!,Tabla11[[#This Row],[Cuenta]],1))</f>
        <v>0</v>
      </c>
      <c r="AA295" t="b">
        <f>+ISNUMBER(SEARCH('F-COMPRA'!#REF!,Tabla11[[#This Row],[Cuenta]],1))</f>
        <v>0</v>
      </c>
      <c r="AB295" t="b">
        <f>+ISNUMBER(SEARCH('F-COMPRA'!#REF!,Tabla11[[#This Row],[Cuenta]],1))</f>
        <v>0</v>
      </c>
      <c r="AC295" t="b">
        <f>+ISNUMBER(SEARCH('F-COMPRA'!#REF!,Tabla11[[#This Row],[Cuenta]],1))</f>
        <v>0</v>
      </c>
      <c r="AD295" t="b">
        <f>+ISNUMBER(SEARCH('F-COMPRA'!#REF!,Tabla11[[#This Row],[Cuenta]],1))</f>
        <v>0</v>
      </c>
      <c r="AE295" t="b">
        <f>+ISNUMBER(SEARCH('F-COMPRA'!#REF!,Tabla11[[#This Row],[Cuenta]],1))</f>
        <v>0</v>
      </c>
      <c r="AF295" t="b">
        <f>+ISNUMBER(SEARCH('F-VTA'!$G$23,Tabla11[[#This Row],[Cuenta]],1))</f>
        <v>0</v>
      </c>
      <c r="AG295" t="b">
        <f>+ISNUMBER(SEARCH('F-VTA'!$G$24,Tabla11[[#This Row],[Cuenta]],1))</f>
        <v>0</v>
      </c>
      <c r="AH295" t="b">
        <f>+ISNUMBER(SEARCH('F-VTA'!$G$25,Tabla11[[#This Row],[Cuenta]],1))</f>
        <v>0</v>
      </c>
      <c r="AI295" t="b">
        <f>+ISNUMBER(SEARCH('F-VTA'!$F$28,Tabla11[[#This Row],[Cuenta]],1))</f>
        <v>1</v>
      </c>
      <c r="AJ295" t="b">
        <f>+ISNUMBER(SEARCH('F-VTA'!$F$29,Tabla11[[#This Row],[Cuenta]],1))</f>
        <v>1</v>
      </c>
      <c r="AK295" t="b">
        <f>+ISNUMBER(SEARCH('F-VTA'!$F$30,Tabla11[[#This Row],[Cuenta]],1))</f>
        <v>1</v>
      </c>
      <c r="AL295" t="b">
        <f>+ISNUMBER(SEARCH('F-VTA'!$F$31,Tabla11[[#This Row],[Cuenta]],1))</f>
        <v>1</v>
      </c>
      <c r="AM295" t="b">
        <f>+ISNUMBER(SEARCH('F-VTA'!$F$32,Tabla11[[#This Row],[Cuenta]],1))</f>
        <v>1</v>
      </c>
      <c r="AN295" t="b">
        <f>+ISNUMBER(SEARCH('F-VTA'!$F$33,Tabla11[[#This Row],[Cuenta]],1))</f>
        <v>1</v>
      </c>
      <c r="AO295" t="b">
        <f>+ISNUMBER(SEARCH('F-VTA'!$F$34,Tabla11[[#This Row],[Cuenta]],1))</f>
        <v>1</v>
      </c>
      <c r="AP295" t="b">
        <f>+ISNUMBER(SEARCH('F-VTA'!$F$35,Tabla11[[#This Row],[Cuenta]],1))</f>
        <v>1</v>
      </c>
      <c r="AQ295" t="b">
        <f>+ISNUMBER(SEARCH('F-VTA'!$F$36,Tabla11[[#This Row],[Cuenta]],1))</f>
        <v>1</v>
      </c>
      <c r="AR295" t="b">
        <f>+ISNUMBER(SEARCH(#REF!,Tabla11[[#This Row],[Cuenta]],1))</f>
        <v>0</v>
      </c>
      <c r="AS295" t="b">
        <f>+ISNUMBER(SEARCH(#REF!,Tabla11[[#This Row],[Cuenta]],1))</f>
        <v>0</v>
      </c>
      <c r="AT295" t="b">
        <f>+ISNUMBER(SEARCH(#REF!,Tabla11[[#This Row],[Cuenta]],1))</f>
        <v>0</v>
      </c>
      <c r="AU295" t="b">
        <f>+ISNUMBER(SEARCH('Conc. Ban.1'!$I$9,Tabla11[[#This Row],[Cuenta]],1))</f>
        <v>0</v>
      </c>
      <c r="AV295" t="b">
        <f>+ISNUMBER(SEARCH(CompConta!$F$21,Tabla11[[#This Row],[Cuenta]],1))</f>
        <v>1</v>
      </c>
      <c r="AW295" t="b">
        <f>+ISNUMBER(SEARCH(CompConta!$F$22,Tabla11[[#This Row],[Cuenta]],1))</f>
        <v>1</v>
      </c>
      <c r="AX295" t="b">
        <f>+ISNUMBER(SEARCH(CompConta!$F$23,Tabla11[[#This Row],[Cuenta]],1))</f>
        <v>1</v>
      </c>
      <c r="AY295" t="b">
        <f>+ISNUMBER(SEARCH(CompConta!$F$24,Tabla11[[#This Row],[Cuenta]],1))</f>
        <v>1</v>
      </c>
      <c r="AZ295" t="b">
        <f>+ISNUMBER(SEARCH(CompConta!$F$25,Tabla11[[#This Row],[Cuenta]],1))</f>
        <v>1</v>
      </c>
      <c r="BA295" t="b">
        <f>+ISNUMBER(SEARCH(CompConta!$F$26,Tabla11[[#This Row],[Cuenta]],1))</f>
        <v>1</v>
      </c>
      <c r="BB295" t="b">
        <f>+ISNUMBER(SEARCH(CompConta!$F$27,Tabla11[[#This Row],[Cuenta]],1))</f>
        <v>1</v>
      </c>
      <c r="BC295" t="b">
        <f>+ISNUMBER(SEARCH(CompConta!$F$28,Tabla11[[#This Row],[Cuenta]],1))</f>
        <v>1</v>
      </c>
      <c r="BD295" t="b">
        <f>+ISNUMBER(SEARCH(CompConta!$F$29,Tabla11[[#This Row],[Cuenta]],1))</f>
        <v>1</v>
      </c>
      <c r="BE295" t="b">
        <f>+ISNUMBER(SEARCH(CompConta!$F$30,Tabla11[[#This Row],[Cuenta]],1))</f>
        <v>1</v>
      </c>
      <c r="BF295" t="b">
        <f>+ISNUMBER(SEARCH('PAGO Compras'!$E$11,Tabla11[[#This Row],[Cuenta]],1))</f>
        <v>1</v>
      </c>
      <c r="BG295" t="b">
        <f>+ISNUMBER(SEARCH(#REF!,Tabla11[[#This Row],[Cuenta]],1))</f>
        <v>0</v>
      </c>
      <c r="BH295" t="b">
        <f>+ISNUMBER(SEARCH(#REF!,Tabla11[[#This Row],[Cuenta]],1))</f>
        <v>0</v>
      </c>
      <c r="BI295" t="b">
        <f>+ISNUMBER(SEARCH(#REF!,Tabla11[[#This Row],[Cuenta]],1))</f>
        <v>0</v>
      </c>
      <c r="BJ295" t="b">
        <f>+ISNUMBER(SEARCH(#REF!,Tabla11[[#This Row],[Cuenta]],1))</f>
        <v>0</v>
      </c>
      <c r="BS295" t="str">
        <v>162515 En fideicomisos inmobiliarios</v>
      </c>
      <c r="BT295" t="str">
        <v>162515 En fideicomisos inmobiliarios</v>
      </c>
      <c r="BU295" t="str">
        <v>162515 En fideicomisos inmobiliarios</v>
      </c>
      <c r="BV295" t="str">
        <v>162515 En fideicomisos inmobiliarios</v>
      </c>
      <c r="BZ295" t="str">
        <v>162515 En fideicomisos inmobiliarios</v>
      </c>
      <c r="CA295" t="str">
        <v>162515 En fideicomisos inmobiliarios</v>
      </c>
      <c r="CB295" t="str">
        <v>162515 En fideicomisos inmobiliarios</v>
      </c>
      <c r="CC295" t="str">
        <v>162515 En fideicomisos inmobiliarios</v>
      </c>
      <c r="CD295" t="str">
        <v>162515 En fideicomisos inmobiliarios</v>
      </c>
      <c r="CE295" t="str">
        <v>162515 En fideicomisos inmobiliarios</v>
      </c>
      <c r="CS295" s="141" t="str">
        <v>162515 En fideicomisos inmobiliarios</v>
      </c>
      <c r="CT295" s="141" t="str">
        <v>162515 En fideicomisos inmobiliarios</v>
      </c>
      <c r="CU295" s="141" t="str">
        <v>162515 En fideicomisos inmobiliarios</v>
      </c>
      <c r="CV295" s="141" t="str">
        <v>162515 En fideicomisos inmobiliarios</v>
      </c>
      <c r="CW295" s="141" t="str">
        <v>162515 En fideicomisos inmobiliarios</v>
      </c>
      <c r="CX295" s="141" t="str">
        <v>162515 En fideicomisos inmobiliarios</v>
      </c>
      <c r="CY295" s="141" t="str">
        <v>162515 En fideicomisos inmobiliarios</v>
      </c>
      <c r="CZ295" s="141" t="str">
        <v>162515 En fideicomisos inmobiliarios</v>
      </c>
      <c r="DA295" s="141" t="str">
        <v>162515 En fideicomisos inmobiliarios</v>
      </c>
      <c r="DF295" t="str">
        <v>162515 En fideicomisos inmobiliarios</v>
      </c>
      <c r="DG295" t="str">
        <v>162515 En fideicomisos inmobiliarios</v>
      </c>
      <c r="DH295" t="str">
        <v>162515 En fideicomisos inmobiliarios</v>
      </c>
      <c r="DI295" t="str">
        <v>162515 En fideicomisos inmobiliarios</v>
      </c>
      <c r="DJ295" t="str">
        <v>162515 En fideicomisos inmobiliarios</v>
      </c>
      <c r="DK295" t="str">
        <v>162515 En fideicomisos inmobiliarios</v>
      </c>
      <c r="DL295" t="str">
        <v>162515 En fideicomisos inmobiliarios</v>
      </c>
      <c r="DM295" t="str">
        <v>162515 En fideicomisos inmobiliarios</v>
      </c>
      <c r="DN295" t="str">
        <v>162515 En fideicomisos inmobiliarios</v>
      </c>
      <c r="DO295" t="str">
        <v>162515 En fideicomisos inmobiliarios</v>
      </c>
      <c r="DP295" t="str">
        <v>162515 En fideicomisos inmobiliarios</v>
      </c>
    </row>
    <row r="296" spans="4:120" ht="12.75">
      <c r="D296" s="7">
        <v>162520</v>
      </c>
      <c r="E296" s="6" t="s">
        <v>243</v>
      </c>
      <c r="F296" s="5">
        <v>4</v>
      </c>
      <c r="G296" s="34" t="s">
        <v>822</v>
      </c>
      <c r="H296" s="8" t="s">
        <v>32</v>
      </c>
      <c r="I296" t="b">
        <f>+ISNUMBER(SEARCH('F-COMPRA'!$F$28,Tabla11[[#This Row],[Cuenta]],1))</f>
        <v>1</v>
      </c>
      <c r="J296" t="b">
        <f>+ISNUMBER(SEARCH('F-COMPRA'!$F$29,Tabla11[[#This Row],[Cuenta]],1))</f>
        <v>1</v>
      </c>
      <c r="K296" t="b">
        <f>+ISNUMBER(SEARCH('F-COMPRA'!$F$30,Tabla11[[#This Row],[Cuenta]],1))</f>
        <v>1</v>
      </c>
      <c r="L296" t="b">
        <f>+ISNUMBER(SEARCH('F-COMPRA'!$F$31,Tabla11[[#This Row],[Cuenta]],1))</f>
        <v>1</v>
      </c>
      <c r="M296" t="b">
        <f>+ISNUMBER(SEARCH('F-COMPRA'!$G$25,Tabla11[[#This Row],[Cuenta]],1))</f>
        <v>0</v>
      </c>
      <c r="N296" t="b">
        <f>+ISNUMBER(SEARCH(#REF!,Tabla11[[#This Row],[Cuenta]],1))</f>
        <v>0</v>
      </c>
      <c r="O296" t="b">
        <f>+ISNUMBER(SEARCH(#REF!,Tabla11[[#This Row],[Cuenta]],1))</f>
        <v>0</v>
      </c>
      <c r="P296" t="b">
        <f>+ISNUMBER(SEARCH('F-COMPRA'!$F$32,Tabla11[[#This Row],[Cuenta]],1))</f>
        <v>1</v>
      </c>
      <c r="Q296" t="b">
        <f>+ISNUMBER(SEARCH('F-COMPRA'!$F$33,Tabla11[[#This Row],[Cuenta]],1))</f>
        <v>1</v>
      </c>
      <c r="R296" t="b">
        <f>+ISNUMBER(SEARCH('F-COMPRA'!$F$34,Tabla11[[#This Row],[Cuenta]],1))</f>
        <v>1</v>
      </c>
      <c r="S296" t="b">
        <f>+ISNUMBER(SEARCH('F-COMPRA'!$F$35,Tabla11[[#This Row],[Cuenta]],1))</f>
        <v>1</v>
      </c>
      <c r="T296" t="b">
        <f>+ISNUMBER(SEARCH('F-COMPRA'!$F$36,Tabla11[[#This Row],[Cuenta]],1))</f>
        <v>1</v>
      </c>
      <c r="U296" t="b">
        <f>+ISNUMBER(SEARCH('F-COMPRA'!$F$37,Tabla11[[#This Row],[Cuenta]],1))</f>
        <v>1</v>
      </c>
      <c r="V296" t="b">
        <f>+ISNUMBER(SEARCH(#REF!,Tabla11[[#This Row],[Cuenta]],1))</f>
        <v>0</v>
      </c>
      <c r="W296" t="b">
        <f>+ISNUMBER(SEARCH('F-COMPRA'!#REF!,Tabla11[[#This Row],[Cuenta]],1))</f>
        <v>0</v>
      </c>
      <c r="X296" t="b">
        <f>+ISNUMBER(SEARCH('F-COMPRA'!#REF!,Tabla11[[#This Row],[Cuenta]],1))</f>
        <v>0</v>
      </c>
      <c r="Y296" t="b">
        <f>+ISNUMBER(SEARCH('F-COMPRA'!#REF!,Tabla11[[#This Row],[Cuenta]],1))</f>
        <v>0</v>
      </c>
      <c r="Z296" t="b">
        <f>+ISNUMBER(SEARCH('F-COMPRA'!#REF!,Tabla11[[#This Row],[Cuenta]],1))</f>
        <v>0</v>
      </c>
      <c r="AA296" t="b">
        <f>+ISNUMBER(SEARCH('F-COMPRA'!#REF!,Tabla11[[#This Row],[Cuenta]],1))</f>
        <v>0</v>
      </c>
      <c r="AB296" t="b">
        <f>+ISNUMBER(SEARCH('F-COMPRA'!#REF!,Tabla11[[#This Row],[Cuenta]],1))</f>
        <v>0</v>
      </c>
      <c r="AC296" t="b">
        <f>+ISNUMBER(SEARCH('F-COMPRA'!#REF!,Tabla11[[#This Row],[Cuenta]],1))</f>
        <v>0</v>
      </c>
      <c r="AD296" t="b">
        <f>+ISNUMBER(SEARCH('F-COMPRA'!#REF!,Tabla11[[#This Row],[Cuenta]],1))</f>
        <v>0</v>
      </c>
      <c r="AE296" t="b">
        <f>+ISNUMBER(SEARCH('F-COMPRA'!#REF!,Tabla11[[#This Row],[Cuenta]],1))</f>
        <v>0</v>
      </c>
      <c r="AF296" t="b">
        <f>+ISNUMBER(SEARCH('F-VTA'!$G$23,Tabla11[[#This Row],[Cuenta]],1))</f>
        <v>0</v>
      </c>
      <c r="AG296" t="b">
        <f>+ISNUMBER(SEARCH('F-VTA'!$G$24,Tabla11[[#This Row],[Cuenta]],1))</f>
        <v>0</v>
      </c>
      <c r="AH296" t="b">
        <f>+ISNUMBER(SEARCH('F-VTA'!$G$25,Tabla11[[#This Row],[Cuenta]],1))</f>
        <v>0</v>
      </c>
      <c r="AI296" t="b">
        <f>+ISNUMBER(SEARCH('F-VTA'!$F$28,Tabla11[[#This Row],[Cuenta]],1))</f>
        <v>1</v>
      </c>
      <c r="AJ296" t="b">
        <f>+ISNUMBER(SEARCH('F-VTA'!$F$29,Tabla11[[#This Row],[Cuenta]],1))</f>
        <v>1</v>
      </c>
      <c r="AK296" t="b">
        <f>+ISNUMBER(SEARCH('F-VTA'!$F$30,Tabla11[[#This Row],[Cuenta]],1))</f>
        <v>1</v>
      </c>
      <c r="AL296" t="b">
        <f>+ISNUMBER(SEARCH('F-VTA'!$F$31,Tabla11[[#This Row],[Cuenta]],1))</f>
        <v>1</v>
      </c>
      <c r="AM296" t="b">
        <f>+ISNUMBER(SEARCH('F-VTA'!$F$32,Tabla11[[#This Row],[Cuenta]],1))</f>
        <v>1</v>
      </c>
      <c r="AN296" t="b">
        <f>+ISNUMBER(SEARCH('F-VTA'!$F$33,Tabla11[[#This Row],[Cuenta]],1))</f>
        <v>1</v>
      </c>
      <c r="AO296" t="b">
        <f>+ISNUMBER(SEARCH('F-VTA'!$F$34,Tabla11[[#This Row],[Cuenta]],1))</f>
        <v>1</v>
      </c>
      <c r="AP296" t="b">
        <f>+ISNUMBER(SEARCH('F-VTA'!$F$35,Tabla11[[#This Row],[Cuenta]],1))</f>
        <v>1</v>
      </c>
      <c r="AQ296" t="b">
        <f>+ISNUMBER(SEARCH('F-VTA'!$F$36,Tabla11[[#This Row],[Cuenta]],1))</f>
        <v>1</v>
      </c>
      <c r="AR296" t="b">
        <f>+ISNUMBER(SEARCH(#REF!,Tabla11[[#This Row],[Cuenta]],1))</f>
        <v>0</v>
      </c>
      <c r="AS296" t="b">
        <f>+ISNUMBER(SEARCH(#REF!,Tabla11[[#This Row],[Cuenta]],1))</f>
        <v>0</v>
      </c>
      <c r="AT296" t="b">
        <f>+ISNUMBER(SEARCH(#REF!,Tabla11[[#This Row],[Cuenta]],1))</f>
        <v>0</v>
      </c>
      <c r="AU296" t="b">
        <f>+ISNUMBER(SEARCH('Conc. Ban.1'!$I$9,Tabla11[[#This Row],[Cuenta]],1))</f>
        <v>0</v>
      </c>
      <c r="AV296" t="b">
        <f>+ISNUMBER(SEARCH(CompConta!$F$21,Tabla11[[#This Row],[Cuenta]],1))</f>
        <v>1</v>
      </c>
      <c r="AW296" t="b">
        <f>+ISNUMBER(SEARCH(CompConta!$F$22,Tabla11[[#This Row],[Cuenta]],1))</f>
        <v>1</v>
      </c>
      <c r="AX296" t="b">
        <f>+ISNUMBER(SEARCH(CompConta!$F$23,Tabla11[[#This Row],[Cuenta]],1))</f>
        <v>1</v>
      </c>
      <c r="AY296" t="b">
        <f>+ISNUMBER(SEARCH(CompConta!$F$24,Tabla11[[#This Row],[Cuenta]],1))</f>
        <v>1</v>
      </c>
      <c r="AZ296" t="b">
        <f>+ISNUMBER(SEARCH(CompConta!$F$25,Tabla11[[#This Row],[Cuenta]],1))</f>
        <v>1</v>
      </c>
      <c r="BA296" t="b">
        <f>+ISNUMBER(SEARCH(CompConta!$F$26,Tabla11[[#This Row],[Cuenta]],1))</f>
        <v>1</v>
      </c>
      <c r="BB296" t="b">
        <f>+ISNUMBER(SEARCH(CompConta!$F$27,Tabla11[[#This Row],[Cuenta]],1))</f>
        <v>1</v>
      </c>
      <c r="BC296" t="b">
        <f>+ISNUMBER(SEARCH(CompConta!$F$28,Tabla11[[#This Row],[Cuenta]],1))</f>
        <v>1</v>
      </c>
      <c r="BD296" t="b">
        <f>+ISNUMBER(SEARCH(CompConta!$F$29,Tabla11[[#This Row],[Cuenta]],1))</f>
        <v>1</v>
      </c>
      <c r="BE296" t="b">
        <f>+ISNUMBER(SEARCH(CompConta!$F$30,Tabla11[[#This Row],[Cuenta]],1))</f>
        <v>1</v>
      </c>
      <c r="BF296" t="b">
        <f>+ISNUMBER(SEARCH('PAGO Compras'!$E$11,Tabla11[[#This Row],[Cuenta]],1))</f>
        <v>1</v>
      </c>
      <c r="BG296" t="b">
        <f>+ISNUMBER(SEARCH(#REF!,Tabla11[[#This Row],[Cuenta]],1))</f>
        <v>0</v>
      </c>
      <c r="BH296" t="b">
        <f>+ISNUMBER(SEARCH(#REF!,Tabla11[[#This Row],[Cuenta]],1))</f>
        <v>0</v>
      </c>
      <c r="BI296" t="b">
        <f>+ISNUMBER(SEARCH(#REF!,Tabla11[[#This Row],[Cuenta]],1))</f>
        <v>0</v>
      </c>
      <c r="BJ296" t="b">
        <f>+ISNUMBER(SEARCH(#REF!,Tabla11[[#This Row],[Cuenta]],1))</f>
        <v>0</v>
      </c>
      <c r="BS296" t="str">
        <v>162520 En fideicomisos de garantía</v>
      </c>
      <c r="BT296" t="str">
        <v>162520 En fideicomisos de garantía</v>
      </c>
      <c r="BU296" t="str">
        <v>162520 En fideicomisos de garantía</v>
      </c>
      <c r="BV296" t="str">
        <v>162520 En fideicomisos de garantía</v>
      </c>
      <c r="BZ296" t="str">
        <v>162520 En fideicomisos de garantía</v>
      </c>
      <c r="CA296" t="str">
        <v>162520 En fideicomisos de garantía</v>
      </c>
      <c r="CB296" t="str">
        <v>162520 En fideicomisos de garantía</v>
      </c>
      <c r="CC296" t="str">
        <v>162520 En fideicomisos de garantía</v>
      </c>
      <c r="CD296" t="str">
        <v>162520 En fideicomisos de garantía</v>
      </c>
      <c r="CE296" t="str">
        <v>162520 En fideicomisos de garantía</v>
      </c>
      <c r="CS296" s="141" t="str">
        <v>162520 En fideicomisos de garantía</v>
      </c>
      <c r="CT296" s="141" t="str">
        <v>162520 En fideicomisos de garantía</v>
      </c>
      <c r="CU296" s="141" t="str">
        <v>162520 En fideicomisos de garantía</v>
      </c>
      <c r="CV296" s="141" t="str">
        <v>162520 En fideicomisos de garantía</v>
      </c>
      <c r="CW296" s="141" t="str">
        <v>162520 En fideicomisos de garantía</v>
      </c>
      <c r="CX296" s="141" t="str">
        <v>162520 En fideicomisos de garantía</v>
      </c>
      <c r="CY296" s="141" t="str">
        <v>162520 En fideicomisos de garantía</v>
      </c>
      <c r="CZ296" s="141" t="str">
        <v>162520 En fideicomisos de garantía</v>
      </c>
      <c r="DA296" s="141" t="str">
        <v>162520 En fideicomisos de garantía</v>
      </c>
      <c r="DF296" t="str">
        <v>162520 En fideicomisos de garantía</v>
      </c>
      <c r="DG296" t="str">
        <v>162520 En fideicomisos de garantía</v>
      </c>
      <c r="DH296" t="str">
        <v>162520 En fideicomisos de garantía</v>
      </c>
      <c r="DI296" t="str">
        <v>162520 En fideicomisos de garantía</v>
      </c>
      <c r="DJ296" t="str">
        <v>162520 En fideicomisos de garantía</v>
      </c>
      <c r="DK296" t="str">
        <v>162520 En fideicomisos de garantía</v>
      </c>
      <c r="DL296" t="str">
        <v>162520 En fideicomisos de garantía</v>
      </c>
      <c r="DM296" t="str">
        <v>162520 En fideicomisos de garantía</v>
      </c>
      <c r="DN296" t="str">
        <v>162520 En fideicomisos de garantía</v>
      </c>
      <c r="DO296" t="str">
        <v>162520 En fideicomisos de garantía</v>
      </c>
      <c r="DP296" t="str">
        <v>162520 En fideicomisos de garantía</v>
      </c>
    </row>
    <row r="297" spans="4:120" ht="12.75">
      <c r="D297" s="7">
        <v>162525</v>
      </c>
      <c r="E297" s="6" t="s">
        <v>244</v>
      </c>
      <c r="F297" s="5">
        <v>4</v>
      </c>
      <c r="G297" s="34" t="s">
        <v>822</v>
      </c>
      <c r="H297" s="8" t="s">
        <v>32</v>
      </c>
      <c r="I297" t="b">
        <f>+ISNUMBER(SEARCH('F-COMPRA'!$F$28,Tabla11[[#This Row],[Cuenta]],1))</f>
        <v>1</v>
      </c>
      <c r="J297" t="b">
        <f>+ISNUMBER(SEARCH('F-COMPRA'!$F$29,Tabla11[[#This Row],[Cuenta]],1))</f>
        <v>1</v>
      </c>
      <c r="K297" t="b">
        <f>+ISNUMBER(SEARCH('F-COMPRA'!$F$30,Tabla11[[#This Row],[Cuenta]],1))</f>
        <v>1</v>
      </c>
      <c r="L297" t="b">
        <f>+ISNUMBER(SEARCH('F-COMPRA'!$F$31,Tabla11[[#This Row],[Cuenta]],1))</f>
        <v>1</v>
      </c>
      <c r="M297" t="b">
        <f>+ISNUMBER(SEARCH('F-COMPRA'!$G$25,Tabla11[[#This Row],[Cuenta]],1))</f>
        <v>0</v>
      </c>
      <c r="N297" t="b">
        <f>+ISNUMBER(SEARCH(#REF!,Tabla11[[#This Row],[Cuenta]],1))</f>
        <v>0</v>
      </c>
      <c r="O297" t="b">
        <f>+ISNUMBER(SEARCH(#REF!,Tabla11[[#This Row],[Cuenta]],1))</f>
        <v>0</v>
      </c>
      <c r="P297" t="b">
        <f>+ISNUMBER(SEARCH('F-COMPRA'!$F$32,Tabla11[[#This Row],[Cuenta]],1))</f>
        <v>1</v>
      </c>
      <c r="Q297" t="b">
        <f>+ISNUMBER(SEARCH('F-COMPRA'!$F$33,Tabla11[[#This Row],[Cuenta]],1))</f>
        <v>1</v>
      </c>
      <c r="R297" t="b">
        <f>+ISNUMBER(SEARCH('F-COMPRA'!$F$34,Tabla11[[#This Row],[Cuenta]],1))</f>
        <v>1</v>
      </c>
      <c r="S297" t="b">
        <f>+ISNUMBER(SEARCH('F-COMPRA'!$F$35,Tabla11[[#This Row],[Cuenta]],1))</f>
        <v>1</v>
      </c>
      <c r="T297" t="b">
        <f>+ISNUMBER(SEARCH('F-COMPRA'!$F$36,Tabla11[[#This Row],[Cuenta]],1))</f>
        <v>1</v>
      </c>
      <c r="U297" t="b">
        <f>+ISNUMBER(SEARCH('F-COMPRA'!$F$37,Tabla11[[#This Row],[Cuenta]],1))</f>
        <v>1</v>
      </c>
      <c r="V297" t="b">
        <f>+ISNUMBER(SEARCH(#REF!,Tabla11[[#This Row],[Cuenta]],1))</f>
        <v>0</v>
      </c>
      <c r="W297" t="b">
        <f>+ISNUMBER(SEARCH('F-COMPRA'!#REF!,Tabla11[[#This Row],[Cuenta]],1))</f>
        <v>0</v>
      </c>
      <c r="X297" t="b">
        <f>+ISNUMBER(SEARCH('F-COMPRA'!#REF!,Tabla11[[#This Row],[Cuenta]],1))</f>
        <v>0</v>
      </c>
      <c r="Y297" t="b">
        <f>+ISNUMBER(SEARCH('F-COMPRA'!#REF!,Tabla11[[#This Row],[Cuenta]],1))</f>
        <v>0</v>
      </c>
      <c r="Z297" t="b">
        <f>+ISNUMBER(SEARCH('F-COMPRA'!#REF!,Tabla11[[#This Row],[Cuenta]],1))</f>
        <v>0</v>
      </c>
      <c r="AA297" t="b">
        <f>+ISNUMBER(SEARCH('F-COMPRA'!#REF!,Tabla11[[#This Row],[Cuenta]],1))</f>
        <v>0</v>
      </c>
      <c r="AB297" t="b">
        <f>+ISNUMBER(SEARCH('F-COMPRA'!#REF!,Tabla11[[#This Row],[Cuenta]],1))</f>
        <v>0</v>
      </c>
      <c r="AC297" t="b">
        <f>+ISNUMBER(SEARCH('F-COMPRA'!#REF!,Tabla11[[#This Row],[Cuenta]],1))</f>
        <v>0</v>
      </c>
      <c r="AD297" t="b">
        <f>+ISNUMBER(SEARCH('F-COMPRA'!#REF!,Tabla11[[#This Row],[Cuenta]],1))</f>
        <v>0</v>
      </c>
      <c r="AE297" t="b">
        <f>+ISNUMBER(SEARCH('F-COMPRA'!#REF!,Tabla11[[#This Row],[Cuenta]],1))</f>
        <v>0</v>
      </c>
      <c r="AF297" t="b">
        <f>+ISNUMBER(SEARCH('F-VTA'!$G$23,Tabla11[[#This Row],[Cuenta]],1))</f>
        <v>0</v>
      </c>
      <c r="AG297" t="b">
        <f>+ISNUMBER(SEARCH('F-VTA'!$G$24,Tabla11[[#This Row],[Cuenta]],1))</f>
        <v>0</v>
      </c>
      <c r="AH297" t="b">
        <f>+ISNUMBER(SEARCH('F-VTA'!$G$25,Tabla11[[#This Row],[Cuenta]],1))</f>
        <v>0</v>
      </c>
      <c r="AI297" t="b">
        <f>+ISNUMBER(SEARCH('F-VTA'!$F$28,Tabla11[[#This Row],[Cuenta]],1))</f>
        <v>1</v>
      </c>
      <c r="AJ297" t="b">
        <f>+ISNUMBER(SEARCH('F-VTA'!$F$29,Tabla11[[#This Row],[Cuenta]],1))</f>
        <v>1</v>
      </c>
      <c r="AK297" t="b">
        <f>+ISNUMBER(SEARCH('F-VTA'!$F$30,Tabla11[[#This Row],[Cuenta]],1))</f>
        <v>1</v>
      </c>
      <c r="AL297" t="b">
        <f>+ISNUMBER(SEARCH('F-VTA'!$F$31,Tabla11[[#This Row],[Cuenta]],1))</f>
        <v>1</v>
      </c>
      <c r="AM297" t="b">
        <f>+ISNUMBER(SEARCH('F-VTA'!$F$32,Tabla11[[#This Row],[Cuenta]],1))</f>
        <v>1</v>
      </c>
      <c r="AN297" t="b">
        <f>+ISNUMBER(SEARCH('F-VTA'!$F$33,Tabla11[[#This Row],[Cuenta]],1))</f>
        <v>1</v>
      </c>
      <c r="AO297" t="b">
        <f>+ISNUMBER(SEARCH('F-VTA'!$F$34,Tabla11[[#This Row],[Cuenta]],1))</f>
        <v>1</v>
      </c>
      <c r="AP297" t="b">
        <f>+ISNUMBER(SEARCH('F-VTA'!$F$35,Tabla11[[#This Row],[Cuenta]],1))</f>
        <v>1</v>
      </c>
      <c r="AQ297" t="b">
        <f>+ISNUMBER(SEARCH('F-VTA'!$F$36,Tabla11[[#This Row],[Cuenta]],1))</f>
        <v>1</v>
      </c>
      <c r="AR297" t="b">
        <f>+ISNUMBER(SEARCH(#REF!,Tabla11[[#This Row],[Cuenta]],1))</f>
        <v>0</v>
      </c>
      <c r="AS297" t="b">
        <f>+ISNUMBER(SEARCH(#REF!,Tabla11[[#This Row],[Cuenta]],1))</f>
        <v>0</v>
      </c>
      <c r="AT297" t="b">
        <f>+ISNUMBER(SEARCH(#REF!,Tabla11[[#This Row],[Cuenta]],1))</f>
        <v>0</v>
      </c>
      <c r="AU297" t="b">
        <f>+ISNUMBER(SEARCH('Conc. Ban.1'!$I$9,Tabla11[[#This Row],[Cuenta]],1))</f>
        <v>0</v>
      </c>
      <c r="AV297" t="b">
        <f>+ISNUMBER(SEARCH(CompConta!$F$21,Tabla11[[#This Row],[Cuenta]],1))</f>
        <v>1</v>
      </c>
      <c r="AW297" t="b">
        <f>+ISNUMBER(SEARCH(CompConta!$F$22,Tabla11[[#This Row],[Cuenta]],1))</f>
        <v>1</v>
      </c>
      <c r="AX297" t="b">
        <f>+ISNUMBER(SEARCH(CompConta!$F$23,Tabla11[[#This Row],[Cuenta]],1))</f>
        <v>1</v>
      </c>
      <c r="AY297" t="b">
        <f>+ISNUMBER(SEARCH(CompConta!$F$24,Tabla11[[#This Row],[Cuenta]],1))</f>
        <v>1</v>
      </c>
      <c r="AZ297" t="b">
        <f>+ISNUMBER(SEARCH(CompConta!$F$25,Tabla11[[#This Row],[Cuenta]],1))</f>
        <v>1</v>
      </c>
      <c r="BA297" t="b">
        <f>+ISNUMBER(SEARCH(CompConta!$F$26,Tabla11[[#This Row],[Cuenta]],1))</f>
        <v>1</v>
      </c>
      <c r="BB297" t="b">
        <f>+ISNUMBER(SEARCH(CompConta!$F$27,Tabla11[[#This Row],[Cuenta]],1))</f>
        <v>1</v>
      </c>
      <c r="BC297" t="b">
        <f>+ISNUMBER(SEARCH(CompConta!$F$28,Tabla11[[#This Row],[Cuenta]],1))</f>
        <v>1</v>
      </c>
      <c r="BD297" t="b">
        <f>+ISNUMBER(SEARCH(CompConta!$F$29,Tabla11[[#This Row],[Cuenta]],1))</f>
        <v>1</v>
      </c>
      <c r="BE297" t="b">
        <f>+ISNUMBER(SEARCH(CompConta!$F$30,Tabla11[[#This Row],[Cuenta]],1))</f>
        <v>1</v>
      </c>
      <c r="BF297" t="b">
        <f>+ISNUMBER(SEARCH('PAGO Compras'!$E$11,Tabla11[[#This Row],[Cuenta]],1))</f>
        <v>1</v>
      </c>
      <c r="BG297" t="b">
        <f>+ISNUMBER(SEARCH(#REF!,Tabla11[[#This Row],[Cuenta]],1))</f>
        <v>0</v>
      </c>
      <c r="BH297" t="b">
        <f>+ISNUMBER(SEARCH(#REF!,Tabla11[[#This Row],[Cuenta]],1))</f>
        <v>0</v>
      </c>
      <c r="BI297" t="b">
        <f>+ISNUMBER(SEARCH(#REF!,Tabla11[[#This Row],[Cuenta]],1))</f>
        <v>0</v>
      </c>
      <c r="BJ297" t="b">
        <f>+ISNUMBER(SEARCH(#REF!,Tabla11[[#This Row],[Cuenta]],1))</f>
        <v>0</v>
      </c>
      <c r="BS297" t="str">
        <v>162525 En fideicomisos de administración</v>
      </c>
      <c r="BT297" t="str">
        <v>162525 En fideicomisos de administración</v>
      </c>
      <c r="BU297" t="str">
        <v>162525 En fideicomisos de administración</v>
      </c>
      <c r="BV297" t="str">
        <v>162525 En fideicomisos de administración</v>
      </c>
      <c r="BZ297" t="str">
        <v>162525 En fideicomisos de administración</v>
      </c>
      <c r="CA297" t="str">
        <v>162525 En fideicomisos de administración</v>
      </c>
      <c r="CB297" t="str">
        <v>162525 En fideicomisos de administración</v>
      </c>
      <c r="CC297" t="str">
        <v>162525 En fideicomisos de administración</v>
      </c>
      <c r="CD297" t="str">
        <v>162525 En fideicomisos de administración</v>
      </c>
      <c r="CE297" t="str">
        <v>162525 En fideicomisos de administración</v>
      </c>
      <c r="CS297" s="141" t="str">
        <v>162525 En fideicomisos de administración</v>
      </c>
      <c r="CT297" s="141" t="str">
        <v>162525 En fideicomisos de administración</v>
      </c>
      <c r="CU297" s="141" t="str">
        <v>162525 En fideicomisos de administración</v>
      </c>
      <c r="CV297" s="141" t="str">
        <v>162525 En fideicomisos de administración</v>
      </c>
      <c r="CW297" s="141" t="str">
        <v>162525 En fideicomisos de administración</v>
      </c>
      <c r="CX297" s="141" t="str">
        <v>162525 En fideicomisos de administración</v>
      </c>
      <c r="CY297" s="141" t="str">
        <v>162525 En fideicomisos de administración</v>
      </c>
      <c r="CZ297" s="141" t="str">
        <v>162525 En fideicomisos de administración</v>
      </c>
      <c r="DA297" s="141" t="str">
        <v>162525 En fideicomisos de administración</v>
      </c>
      <c r="DF297" t="str">
        <v>162525 En fideicomisos de administración</v>
      </c>
      <c r="DG297" t="str">
        <v>162525 En fideicomisos de administración</v>
      </c>
      <c r="DH297" t="str">
        <v>162525 En fideicomisos de administración</v>
      </c>
      <c r="DI297" t="str">
        <v>162525 En fideicomisos de administración</v>
      </c>
      <c r="DJ297" t="str">
        <v>162525 En fideicomisos de administración</v>
      </c>
      <c r="DK297" t="str">
        <v>162525 En fideicomisos de administración</v>
      </c>
      <c r="DL297" t="str">
        <v>162525 En fideicomisos de administración</v>
      </c>
      <c r="DM297" t="str">
        <v>162525 En fideicomisos de administración</v>
      </c>
      <c r="DN297" t="str">
        <v>162525 En fideicomisos de administración</v>
      </c>
      <c r="DO297" t="str">
        <v>162525 En fideicomisos de administración</v>
      </c>
      <c r="DP297" t="str">
        <v>162525 En fideicomisos de administración</v>
      </c>
    </row>
    <row r="298" spans="4:120" ht="12.75">
      <c r="D298" s="7">
        <v>162530</v>
      </c>
      <c r="E298" s="6" t="s">
        <v>245</v>
      </c>
      <c r="F298" s="5">
        <v>4</v>
      </c>
      <c r="G298" s="34" t="s">
        <v>822</v>
      </c>
      <c r="H298" s="8" t="s">
        <v>32</v>
      </c>
      <c r="I298" t="b">
        <f>+ISNUMBER(SEARCH('F-COMPRA'!$F$28,Tabla11[[#This Row],[Cuenta]],1))</f>
        <v>1</v>
      </c>
      <c r="J298" t="b">
        <f>+ISNUMBER(SEARCH('F-COMPRA'!$F$29,Tabla11[[#This Row],[Cuenta]],1))</f>
        <v>1</v>
      </c>
      <c r="K298" t="b">
        <f>+ISNUMBER(SEARCH('F-COMPRA'!$F$30,Tabla11[[#This Row],[Cuenta]],1))</f>
        <v>1</v>
      </c>
      <c r="L298" t="b">
        <f>+ISNUMBER(SEARCH('F-COMPRA'!$F$31,Tabla11[[#This Row],[Cuenta]],1))</f>
        <v>1</v>
      </c>
      <c r="M298" t="b">
        <f>+ISNUMBER(SEARCH('F-COMPRA'!$G$25,Tabla11[[#This Row],[Cuenta]],1))</f>
        <v>0</v>
      </c>
      <c r="N298" t="b">
        <f>+ISNUMBER(SEARCH(#REF!,Tabla11[[#This Row],[Cuenta]],1))</f>
        <v>0</v>
      </c>
      <c r="O298" t="b">
        <f>+ISNUMBER(SEARCH(#REF!,Tabla11[[#This Row],[Cuenta]],1))</f>
        <v>0</v>
      </c>
      <c r="P298" t="b">
        <f>+ISNUMBER(SEARCH('F-COMPRA'!$F$32,Tabla11[[#This Row],[Cuenta]],1))</f>
        <v>1</v>
      </c>
      <c r="Q298" t="b">
        <f>+ISNUMBER(SEARCH('F-COMPRA'!$F$33,Tabla11[[#This Row],[Cuenta]],1))</f>
        <v>1</v>
      </c>
      <c r="R298" t="b">
        <f>+ISNUMBER(SEARCH('F-COMPRA'!$F$34,Tabla11[[#This Row],[Cuenta]],1))</f>
        <v>1</v>
      </c>
      <c r="S298" t="b">
        <f>+ISNUMBER(SEARCH('F-COMPRA'!$F$35,Tabla11[[#This Row],[Cuenta]],1))</f>
        <v>1</v>
      </c>
      <c r="T298" t="b">
        <f>+ISNUMBER(SEARCH('F-COMPRA'!$F$36,Tabla11[[#This Row],[Cuenta]],1))</f>
        <v>1</v>
      </c>
      <c r="U298" t="b">
        <f>+ISNUMBER(SEARCH('F-COMPRA'!$F$37,Tabla11[[#This Row],[Cuenta]],1))</f>
        <v>1</v>
      </c>
      <c r="V298" t="b">
        <f>+ISNUMBER(SEARCH(#REF!,Tabla11[[#This Row],[Cuenta]],1))</f>
        <v>0</v>
      </c>
      <c r="W298" t="b">
        <f>+ISNUMBER(SEARCH('F-COMPRA'!#REF!,Tabla11[[#This Row],[Cuenta]],1))</f>
        <v>0</v>
      </c>
      <c r="X298" t="b">
        <f>+ISNUMBER(SEARCH('F-COMPRA'!#REF!,Tabla11[[#This Row],[Cuenta]],1))</f>
        <v>0</v>
      </c>
      <c r="Y298" t="b">
        <f>+ISNUMBER(SEARCH('F-COMPRA'!#REF!,Tabla11[[#This Row],[Cuenta]],1))</f>
        <v>0</v>
      </c>
      <c r="Z298" t="b">
        <f>+ISNUMBER(SEARCH('F-COMPRA'!#REF!,Tabla11[[#This Row],[Cuenta]],1))</f>
        <v>0</v>
      </c>
      <c r="AA298" t="b">
        <f>+ISNUMBER(SEARCH('F-COMPRA'!#REF!,Tabla11[[#This Row],[Cuenta]],1))</f>
        <v>0</v>
      </c>
      <c r="AB298" t="b">
        <f>+ISNUMBER(SEARCH('F-COMPRA'!#REF!,Tabla11[[#This Row],[Cuenta]],1))</f>
        <v>0</v>
      </c>
      <c r="AC298" t="b">
        <f>+ISNUMBER(SEARCH('F-COMPRA'!#REF!,Tabla11[[#This Row],[Cuenta]],1))</f>
        <v>0</v>
      </c>
      <c r="AD298" t="b">
        <f>+ISNUMBER(SEARCH('F-COMPRA'!#REF!,Tabla11[[#This Row],[Cuenta]],1))</f>
        <v>0</v>
      </c>
      <c r="AE298" t="b">
        <f>+ISNUMBER(SEARCH('F-COMPRA'!#REF!,Tabla11[[#This Row],[Cuenta]],1))</f>
        <v>0</v>
      </c>
      <c r="AF298" t="b">
        <f>+ISNUMBER(SEARCH('F-VTA'!$G$23,Tabla11[[#This Row],[Cuenta]],1))</f>
        <v>0</v>
      </c>
      <c r="AG298" t="b">
        <f>+ISNUMBER(SEARCH('F-VTA'!$G$24,Tabla11[[#This Row],[Cuenta]],1))</f>
        <v>0</v>
      </c>
      <c r="AH298" t="b">
        <f>+ISNUMBER(SEARCH('F-VTA'!$G$25,Tabla11[[#This Row],[Cuenta]],1))</f>
        <v>0</v>
      </c>
      <c r="AI298" t="b">
        <f>+ISNUMBER(SEARCH('F-VTA'!$F$28,Tabla11[[#This Row],[Cuenta]],1))</f>
        <v>1</v>
      </c>
      <c r="AJ298" t="b">
        <f>+ISNUMBER(SEARCH('F-VTA'!$F$29,Tabla11[[#This Row],[Cuenta]],1))</f>
        <v>1</v>
      </c>
      <c r="AK298" t="b">
        <f>+ISNUMBER(SEARCH('F-VTA'!$F$30,Tabla11[[#This Row],[Cuenta]],1))</f>
        <v>1</v>
      </c>
      <c r="AL298" t="b">
        <f>+ISNUMBER(SEARCH('F-VTA'!$F$31,Tabla11[[#This Row],[Cuenta]],1))</f>
        <v>1</v>
      </c>
      <c r="AM298" t="b">
        <f>+ISNUMBER(SEARCH('F-VTA'!$F$32,Tabla11[[#This Row],[Cuenta]],1))</f>
        <v>1</v>
      </c>
      <c r="AN298" t="b">
        <f>+ISNUMBER(SEARCH('F-VTA'!$F$33,Tabla11[[#This Row],[Cuenta]],1))</f>
        <v>1</v>
      </c>
      <c r="AO298" t="b">
        <f>+ISNUMBER(SEARCH('F-VTA'!$F$34,Tabla11[[#This Row],[Cuenta]],1))</f>
        <v>1</v>
      </c>
      <c r="AP298" t="b">
        <f>+ISNUMBER(SEARCH('F-VTA'!$F$35,Tabla11[[#This Row],[Cuenta]],1))</f>
        <v>1</v>
      </c>
      <c r="AQ298" t="b">
        <f>+ISNUMBER(SEARCH('F-VTA'!$F$36,Tabla11[[#This Row],[Cuenta]],1))</f>
        <v>1</v>
      </c>
      <c r="AR298" t="b">
        <f>+ISNUMBER(SEARCH(#REF!,Tabla11[[#This Row],[Cuenta]],1))</f>
        <v>0</v>
      </c>
      <c r="AS298" t="b">
        <f>+ISNUMBER(SEARCH(#REF!,Tabla11[[#This Row],[Cuenta]],1))</f>
        <v>0</v>
      </c>
      <c r="AT298" t="b">
        <f>+ISNUMBER(SEARCH(#REF!,Tabla11[[#This Row],[Cuenta]],1))</f>
        <v>0</v>
      </c>
      <c r="AU298" t="b">
        <f>+ISNUMBER(SEARCH('Conc. Ban.1'!$I$9,Tabla11[[#This Row],[Cuenta]],1))</f>
        <v>0</v>
      </c>
      <c r="AV298" t="b">
        <f>+ISNUMBER(SEARCH(CompConta!$F$21,Tabla11[[#This Row],[Cuenta]],1))</f>
        <v>1</v>
      </c>
      <c r="AW298" t="b">
        <f>+ISNUMBER(SEARCH(CompConta!$F$22,Tabla11[[#This Row],[Cuenta]],1))</f>
        <v>1</v>
      </c>
      <c r="AX298" t="b">
        <f>+ISNUMBER(SEARCH(CompConta!$F$23,Tabla11[[#This Row],[Cuenta]],1))</f>
        <v>1</v>
      </c>
      <c r="AY298" t="b">
        <f>+ISNUMBER(SEARCH(CompConta!$F$24,Tabla11[[#This Row],[Cuenta]],1))</f>
        <v>1</v>
      </c>
      <c r="AZ298" t="b">
        <f>+ISNUMBER(SEARCH(CompConta!$F$25,Tabla11[[#This Row],[Cuenta]],1))</f>
        <v>1</v>
      </c>
      <c r="BA298" t="b">
        <f>+ISNUMBER(SEARCH(CompConta!$F$26,Tabla11[[#This Row],[Cuenta]],1))</f>
        <v>1</v>
      </c>
      <c r="BB298" t="b">
        <f>+ISNUMBER(SEARCH(CompConta!$F$27,Tabla11[[#This Row],[Cuenta]],1))</f>
        <v>1</v>
      </c>
      <c r="BC298" t="b">
        <f>+ISNUMBER(SEARCH(CompConta!$F$28,Tabla11[[#This Row],[Cuenta]],1))</f>
        <v>1</v>
      </c>
      <c r="BD298" t="b">
        <f>+ISNUMBER(SEARCH(CompConta!$F$29,Tabla11[[#This Row],[Cuenta]],1))</f>
        <v>1</v>
      </c>
      <c r="BE298" t="b">
        <f>+ISNUMBER(SEARCH(CompConta!$F$30,Tabla11[[#This Row],[Cuenta]],1))</f>
        <v>1</v>
      </c>
      <c r="BF298" t="b">
        <f>+ISNUMBER(SEARCH('PAGO Compras'!$E$11,Tabla11[[#This Row],[Cuenta]],1))</f>
        <v>1</v>
      </c>
      <c r="BG298" t="b">
        <f>+ISNUMBER(SEARCH(#REF!,Tabla11[[#This Row],[Cuenta]],1))</f>
        <v>0</v>
      </c>
      <c r="BH298" t="b">
        <f>+ISNUMBER(SEARCH(#REF!,Tabla11[[#This Row],[Cuenta]],1))</f>
        <v>0</v>
      </c>
      <c r="BI298" t="b">
        <f>+ISNUMBER(SEARCH(#REF!,Tabla11[[#This Row],[Cuenta]],1))</f>
        <v>0</v>
      </c>
      <c r="BJ298" t="b">
        <f>+ISNUMBER(SEARCH(#REF!,Tabla11[[#This Row],[Cuenta]],1))</f>
        <v>0</v>
      </c>
      <c r="BS298" t="str">
        <v>162530 De exhibición - películas</v>
      </c>
      <c r="BT298" t="str">
        <v>162530 De exhibición - películas</v>
      </c>
      <c r="BU298" t="str">
        <v>162530 De exhibición - películas</v>
      </c>
      <c r="BV298" t="str">
        <v>162530 De exhibición - películas</v>
      </c>
      <c r="BZ298" t="str">
        <v>162530 De exhibición - películas</v>
      </c>
      <c r="CA298" t="str">
        <v>162530 De exhibición - películas</v>
      </c>
      <c r="CB298" t="str">
        <v>162530 De exhibición - películas</v>
      </c>
      <c r="CC298" t="str">
        <v>162530 De exhibición - películas</v>
      </c>
      <c r="CD298" t="str">
        <v>162530 De exhibición - películas</v>
      </c>
      <c r="CE298" t="str">
        <v>162530 De exhibición - películas</v>
      </c>
      <c r="CS298" s="141" t="str">
        <v>162530 De exhibición - películas</v>
      </c>
      <c r="CT298" s="141" t="str">
        <v>162530 De exhibición - películas</v>
      </c>
      <c r="CU298" s="141" t="str">
        <v>162530 De exhibición - películas</v>
      </c>
      <c r="CV298" s="141" t="str">
        <v>162530 De exhibición - películas</v>
      </c>
      <c r="CW298" s="141" t="str">
        <v>162530 De exhibición - películas</v>
      </c>
      <c r="CX298" s="141" t="str">
        <v>162530 De exhibición - películas</v>
      </c>
      <c r="CY298" s="141" t="str">
        <v>162530 De exhibición - películas</v>
      </c>
      <c r="CZ298" s="141" t="str">
        <v>162530 De exhibición - películas</v>
      </c>
      <c r="DA298" s="141" t="str">
        <v>162530 De exhibición - películas</v>
      </c>
      <c r="DF298" t="str">
        <v>162530 De exhibición - películas</v>
      </c>
      <c r="DG298" t="str">
        <v>162530 De exhibición - películas</v>
      </c>
      <c r="DH298" t="str">
        <v>162530 De exhibición - películas</v>
      </c>
      <c r="DI298" t="str">
        <v>162530 De exhibición - películas</v>
      </c>
      <c r="DJ298" t="str">
        <v>162530 De exhibición - películas</v>
      </c>
      <c r="DK298" t="str">
        <v>162530 De exhibición - películas</v>
      </c>
      <c r="DL298" t="str">
        <v>162530 De exhibición - películas</v>
      </c>
      <c r="DM298" t="str">
        <v>162530 De exhibición - películas</v>
      </c>
      <c r="DN298" t="str">
        <v>162530 De exhibición - películas</v>
      </c>
      <c r="DO298" t="str">
        <v>162530 De exhibición - películas</v>
      </c>
      <c r="DP298" t="str">
        <v>162530 De exhibición - películas</v>
      </c>
    </row>
    <row r="299" spans="4:120" ht="12.75">
      <c r="D299" s="7">
        <v>162535</v>
      </c>
      <c r="E299" s="6" t="s">
        <v>246</v>
      </c>
      <c r="F299" s="5">
        <v>4</v>
      </c>
      <c r="G299" s="34" t="s">
        <v>822</v>
      </c>
      <c r="H299" s="8" t="s">
        <v>32</v>
      </c>
      <c r="I299" t="b">
        <f>+ISNUMBER(SEARCH('F-COMPRA'!$F$28,Tabla11[[#This Row],[Cuenta]],1))</f>
        <v>1</v>
      </c>
      <c r="J299" t="b">
        <f>+ISNUMBER(SEARCH('F-COMPRA'!$F$29,Tabla11[[#This Row],[Cuenta]],1))</f>
        <v>1</v>
      </c>
      <c r="K299" t="b">
        <f>+ISNUMBER(SEARCH('F-COMPRA'!$F$30,Tabla11[[#This Row],[Cuenta]],1))</f>
        <v>1</v>
      </c>
      <c r="L299" t="b">
        <f>+ISNUMBER(SEARCH('F-COMPRA'!$F$31,Tabla11[[#This Row],[Cuenta]],1))</f>
        <v>1</v>
      </c>
      <c r="M299" t="b">
        <f>+ISNUMBER(SEARCH('F-COMPRA'!$G$25,Tabla11[[#This Row],[Cuenta]],1))</f>
        <v>0</v>
      </c>
      <c r="N299" t="b">
        <f>+ISNUMBER(SEARCH(#REF!,Tabla11[[#This Row],[Cuenta]],1))</f>
        <v>0</v>
      </c>
      <c r="O299" t="b">
        <f>+ISNUMBER(SEARCH(#REF!,Tabla11[[#This Row],[Cuenta]],1))</f>
        <v>0</v>
      </c>
      <c r="P299" t="b">
        <f>+ISNUMBER(SEARCH('F-COMPRA'!$F$32,Tabla11[[#This Row],[Cuenta]],1))</f>
        <v>1</v>
      </c>
      <c r="Q299" t="b">
        <f>+ISNUMBER(SEARCH('F-COMPRA'!$F$33,Tabla11[[#This Row],[Cuenta]],1))</f>
        <v>1</v>
      </c>
      <c r="R299" t="b">
        <f>+ISNUMBER(SEARCH('F-COMPRA'!$F$34,Tabla11[[#This Row],[Cuenta]],1))</f>
        <v>1</v>
      </c>
      <c r="S299" t="b">
        <f>+ISNUMBER(SEARCH('F-COMPRA'!$F$35,Tabla11[[#This Row],[Cuenta]],1))</f>
        <v>1</v>
      </c>
      <c r="T299" t="b">
        <f>+ISNUMBER(SEARCH('F-COMPRA'!$F$36,Tabla11[[#This Row],[Cuenta]],1))</f>
        <v>1</v>
      </c>
      <c r="U299" t="b">
        <f>+ISNUMBER(SEARCH('F-COMPRA'!$F$37,Tabla11[[#This Row],[Cuenta]],1))</f>
        <v>1</v>
      </c>
      <c r="V299" t="b">
        <f>+ISNUMBER(SEARCH(#REF!,Tabla11[[#This Row],[Cuenta]],1))</f>
        <v>0</v>
      </c>
      <c r="W299" t="b">
        <f>+ISNUMBER(SEARCH('F-COMPRA'!#REF!,Tabla11[[#This Row],[Cuenta]],1))</f>
        <v>0</v>
      </c>
      <c r="X299" t="b">
        <f>+ISNUMBER(SEARCH('F-COMPRA'!#REF!,Tabla11[[#This Row],[Cuenta]],1))</f>
        <v>0</v>
      </c>
      <c r="Y299" t="b">
        <f>+ISNUMBER(SEARCH('F-COMPRA'!#REF!,Tabla11[[#This Row],[Cuenta]],1))</f>
        <v>0</v>
      </c>
      <c r="Z299" t="b">
        <f>+ISNUMBER(SEARCH('F-COMPRA'!#REF!,Tabla11[[#This Row],[Cuenta]],1))</f>
        <v>0</v>
      </c>
      <c r="AA299" t="b">
        <f>+ISNUMBER(SEARCH('F-COMPRA'!#REF!,Tabla11[[#This Row],[Cuenta]],1))</f>
        <v>0</v>
      </c>
      <c r="AB299" t="b">
        <f>+ISNUMBER(SEARCH('F-COMPRA'!#REF!,Tabla11[[#This Row],[Cuenta]],1))</f>
        <v>0</v>
      </c>
      <c r="AC299" t="b">
        <f>+ISNUMBER(SEARCH('F-COMPRA'!#REF!,Tabla11[[#This Row],[Cuenta]],1))</f>
        <v>0</v>
      </c>
      <c r="AD299" t="b">
        <f>+ISNUMBER(SEARCH('F-COMPRA'!#REF!,Tabla11[[#This Row],[Cuenta]],1))</f>
        <v>0</v>
      </c>
      <c r="AE299" t="b">
        <f>+ISNUMBER(SEARCH('F-COMPRA'!#REF!,Tabla11[[#This Row],[Cuenta]],1))</f>
        <v>0</v>
      </c>
      <c r="AF299" t="b">
        <f>+ISNUMBER(SEARCH('F-VTA'!$G$23,Tabla11[[#This Row],[Cuenta]],1))</f>
        <v>0</v>
      </c>
      <c r="AG299" t="b">
        <f>+ISNUMBER(SEARCH('F-VTA'!$G$24,Tabla11[[#This Row],[Cuenta]],1))</f>
        <v>0</v>
      </c>
      <c r="AH299" t="b">
        <f>+ISNUMBER(SEARCH('F-VTA'!$G$25,Tabla11[[#This Row],[Cuenta]],1))</f>
        <v>0</v>
      </c>
      <c r="AI299" t="b">
        <f>+ISNUMBER(SEARCH('F-VTA'!$F$28,Tabla11[[#This Row],[Cuenta]],1))</f>
        <v>1</v>
      </c>
      <c r="AJ299" t="b">
        <f>+ISNUMBER(SEARCH('F-VTA'!$F$29,Tabla11[[#This Row],[Cuenta]],1))</f>
        <v>1</v>
      </c>
      <c r="AK299" t="b">
        <f>+ISNUMBER(SEARCH('F-VTA'!$F$30,Tabla11[[#This Row],[Cuenta]],1))</f>
        <v>1</v>
      </c>
      <c r="AL299" t="b">
        <f>+ISNUMBER(SEARCH('F-VTA'!$F$31,Tabla11[[#This Row],[Cuenta]],1))</f>
        <v>1</v>
      </c>
      <c r="AM299" t="b">
        <f>+ISNUMBER(SEARCH('F-VTA'!$F$32,Tabla11[[#This Row],[Cuenta]],1))</f>
        <v>1</v>
      </c>
      <c r="AN299" t="b">
        <f>+ISNUMBER(SEARCH('F-VTA'!$F$33,Tabla11[[#This Row],[Cuenta]],1))</f>
        <v>1</v>
      </c>
      <c r="AO299" t="b">
        <f>+ISNUMBER(SEARCH('F-VTA'!$F$34,Tabla11[[#This Row],[Cuenta]],1))</f>
        <v>1</v>
      </c>
      <c r="AP299" t="b">
        <f>+ISNUMBER(SEARCH('F-VTA'!$F$35,Tabla11[[#This Row],[Cuenta]],1))</f>
        <v>1</v>
      </c>
      <c r="AQ299" t="b">
        <f>+ISNUMBER(SEARCH('F-VTA'!$F$36,Tabla11[[#This Row],[Cuenta]],1))</f>
        <v>1</v>
      </c>
      <c r="AR299" t="b">
        <f>+ISNUMBER(SEARCH(#REF!,Tabla11[[#This Row],[Cuenta]],1))</f>
        <v>0</v>
      </c>
      <c r="AS299" t="b">
        <f>+ISNUMBER(SEARCH(#REF!,Tabla11[[#This Row],[Cuenta]],1))</f>
        <v>0</v>
      </c>
      <c r="AT299" t="b">
        <f>+ISNUMBER(SEARCH(#REF!,Tabla11[[#This Row],[Cuenta]],1))</f>
        <v>0</v>
      </c>
      <c r="AU299" t="b">
        <f>+ISNUMBER(SEARCH('Conc. Ban.1'!$I$9,Tabla11[[#This Row],[Cuenta]],1))</f>
        <v>0</v>
      </c>
      <c r="AV299" t="b">
        <f>+ISNUMBER(SEARCH(CompConta!$F$21,Tabla11[[#This Row],[Cuenta]],1))</f>
        <v>1</v>
      </c>
      <c r="AW299" t="b">
        <f>+ISNUMBER(SEARCH(CompConta!$F$22,Tabla11[[#This Row],[Cuenta]],1))</f>
        <v>1</v>
      </c>
      <c r="AX299" t="b">
        <f>+ISNUMBER(SEARCH(CompConta!$F$23,Tabla11[[#This Row],[Cuenta]],1))</f>
        <v>1</v>
      </c>
      <c r="AY299" t="b">
        <f>+ISNUMBER(SEARCH(CompConta!$F$24,Tabla11[[#This Row],[Cuenta]],1))</f>
        <v>1</v>
      </c>
      <c r="AZ299" t="b">
        <f>+ISNUMBER(SEARCH(CompConta!$F$25,Tabla11[[#This Row],[Cuenta]],1))</f>
        <v>1</v>
      </c>
      <c r="BA299" t="b">
        <f>+ISNUMBER(SEARCH(CompConta!$F$26,Tabla11[[#This Row],[Cuenta]],1))</f>
        <v>1</v>
      </c>
      <c r="BB299" t="b">
        <f>+ISNUMBER(SEARCH(CompConta!$F$27,Tabla11[[#This Row],[Cuenta]],1))</f>
        <v>1</v>
      </c>
      <c r="BC299" t="b">
        <f>+ISNUMBER(SEARCH(CompConta!$F$28,Tabla11[[#This Row],[Cuenta]],1))</f>
        <v>1</v>
      </c>
      <c r="BD299" t="b">
        <f>+ISNUMBER(SEARCH(CompConta!$F$29,Tabla11[[#This Row],[Cuenta]],1))</f>
        <v>1</v>
      </c>
      <c r="BE299" t="b">
        <f>+ISNUMBER(SEARCH(CompConta!$F$30,Tabla11[[#This Row],[Cuenta]],1))</f>
        <v>1</v>
      </c>
      <c r="BF299" t="b">
        <f>+ISNUMBER(SEARCH('PAGO Compras'!$E$11,Tabla11[[#This Row],[Cuenta]],1))</f>
        <v>1</v>
      </c>
      <c r="BG299" t="b">
        <f>+ISNUMBER(SEARCH(#REF!,Tabla11[[#This Row],[Cuenta]],1))</f>
        <v>0</v>
      </c>
      <c r="BH299" t="b">
        <f>+ISNUMBER(SEARCH(#REF!,Tabla11[[#This Row],[Cuenta]],1))</f>
        <v>0</v>
      </c>
      <c r="BI299" t="b">
        <f>+ISNUMBER(SEARCH(#REF!,Tabla11[[#This Row],[Cuenta]],1))</f>
        <v>0</v>
      </c>
      <c r="BJ299" t="b">
        <f>+ISNUMBER(SEARCH(#REF!,Tabla11[[#This Row],[Cuenta]],1))</f>
        <v>0</v>
      </c>
      <c r="BS299" t="str">
        <v>162535 En bienes recib en arrendto financ (leasing)</v>
      </c>
      <c r="BT299" t="str">
        <v>162535 En bienes recib en arrendto financ (leasing)</v>
      </c>
      <c r="BU299" t="str">
        <v>162535 En bienes recib en arrendto financ (leasing)</v>
      </c>
      <c r="BV299" t="str">
        <v>162535 En bienes recib en arrendto financ (leasing)</v>
      </c>
      <c r="BZ299" t="str">
        <v>162535 En bienes recib en arrendto financ (leasing)</v>
      </c>
      <c r="CA299" t="str">
        <v>162535 En bienes recib en arrendto financ (leasing)</v>
      </c>
      <c r="CB299" t="str">
        <v>162535 En bienes recib en arrendto financ (leasing)</v>
      </c>
      <c r="CC299" t="str">
        <v>162535 En bienes recib en arrendto financ (leasing)</v>
      </c>
      <c r="CD299" t="str">
        <v>162535 En bienes recib en arrendto financ (leasing)</v>
      </c>
      <c r="CE299" t="str">
        <v>162535 En bienes recib en arrendto financ (leasing)</v>
      </c>
      <c r="CS299" s="141" t="str">
        <v>162535 En bienes recib en arrendto financ (leasing)</v>
      </c>
      <c r="CT299" s="141" t="str">
        <v>162535 En bienes recib en arrendto financ (leasing)</v>
      </c>
      <c r="CU299" s="141" t="str">
        <v>162535 En bienes recib en arrendto financ (leasing)</v>
      </c>
      <c r="CV299" s="141" t="str">
        <v>162535 En bienes recib en arrendto financ (leasing)</v>
      </c>
      <c r="CW299" s="141" t="str">
        <v>162535 En bienes recib en arrendto financ (leasing)</v>
      </c>
      <c r="CX299" s="141" t="str">
        <v>162535 En bienes recib en arrendto financ (leasing)</v>
      </c>
      <c r="CY299" s="141" t="str">
        <v>162535 En bienes recib en arrendto financ (leasing)</v>
      </c>
      <c r="CZ299" s="141" t="str">
        <v>162535 En bienes recib en arrendto financ (leasing)</v>
      </c>
      <c r="DA299" s="141" t="str">
        <v>162535 En bienes recib en arrendto financ (leasing)</v>
      </c>
      <c r="DF299" t="str">
        <v>162535 En bienes recib en arrendto financ (leasing)</v>
      </c>
      <c r="DG299" t="str">
        <v>162535 En bienes recib en arrendto financ (leasing)</v>
      </c>
      <c r="DH299" t="str">
        <v>162535 En bienes recib en arrendto financ (leasing)</v>
      </c>
      <c r="DI299" t="str">
        <v>162535 En bienes recib en arrendto financ (leasing)</v>
      </c>
      <c r="DJ299" t="str">
        <v>162535 En bienes recib en arrendto financ (leasing)</v>
      </c>
      <c r="DK299" t="str">
        <v>162535 En bienes recib en arrendto financ (leasing)</v>
      </c>
      <c r="DL299" t="str">
        <v>162535 En bienes recib en arrendto financ (leasing)</v>
      </c>
      <c r="DM299" t="str">
        <v>162535 En bienes recib en arrendto financ (leasing)</v>
      </c>
      <c r="DN299" t="str">
        <v>162535 En bienes recib en arrendto financ (leasing)</v>
      </c>
      <c r="DO299" t="str">
        <v>162535 En bienes recib en arrendto financ (leasing)</v>
      </c>
      <c r="DP299" t="str">
        <v>162535 En bienes recib en arrendto financ (leasing)</v>
      </c>
    </row>
    <row r="300" spans="4:120" ht="12.75">
      <c r="D300" s="7">
        <v>162595</v>
      </c>
      <c r="E300" s="6" t="s">
        <v>45</v>
      </c>
      <c r="F300" s="5">
        <v>4</v>
      </c>
      <c r="G300" s="34" t="s">
        <v>822</v>
      </c>
      <c r="H300" s="8" t="s">
        <v>32</v>
      </c>
      <c r="I300" t="b">
        <f>+ISNUMBER(SEARCH('F-COMPRA'!$F$28,Tabla11[[#This Row],[Cuenta]],1))</f>
        <v>1</v>
      </c>
      <c r="J300" t="b">
        <f>+ISNUMBER(SEARCH('F-COMPRA'!$F$29,Tabla11[[#This Row],[Cuenta]],1))</f>
        <v>1</v>
      </c>
      <c r="K300" t="b">
        <f>+ISNUMBER(SEARCH('F-COMPRA'!$F$30,Tabla11[[#This Row],[Cuenta]],1))</f>
        <v>1</v>
      </c>
      <c r="L300" t="b">
        <f>+ISNUMBER(SEARCH('F-COMPRA'!$F$31,Tabla11[[#This Row],[Cuenta]],1))</f>
        <v>1</v>
      </c>
      <c r="M300" t="b">
        <f>+ISNUMBER(SEARCH('F-COMPRA'!$G$25,Tabla11[[#This Row],[Cuenta]],1))</f>
        <v>0</v>
      </c>
      <c r="N300" t="b">
        <f>+ISNUMBER(SEARCH(#REF!,Tabla11[[#This Row],[Cuenta]],1))</f>
        <v>0</v>
      </c>
      <c r="O300" t="b">
        <f>+ISNUMBER(SEARCH(#REF!,Tabla11[[#This Row],[Cuenta]],1))</f>
        <v>0</v>
      </c>
      <c r="P300" t="b">
        <f>+ISNUMBER(SEARCH('F-COMPRA'!$F$32,Tabla11[[#This Row],[Cuenta]],1))</f>
        <v>1</v>
      </c>
      <c r="Q300" t="b">
        <f>+ISNUMBER(SEARCH('F-COMPRA'!$F$33,Tabla11[[#This Row],[Cuenta]],1))</f>
        <v>1</v>
      </c>
      <c r="R300" t="b">
        <f>+ISNUMBER(SEARCH('F-COMPRA'!$F$34,Tabla11[[#This Row],[Cuenta]],1))</f>
        <v>1</v>
      </c>
      <c r="S300" t="b">
        <f>+ISNUMBER(SEARCH('F-COMPRA'!$F$35,Tabla11[[#This Row],[Cuenta]],1))</f>
        <v>1</v>
      </c>
      <c r="T300" t="b">
        <f>+ISNUMBER(SEARCH('F-COMPRA'!$F$36,Tabla11[[#This Row],[Cuenta]],1))</f>
        <v>1</v>
      </c>
      <c r="U300" t="b">
        <f>+ISNUMBER(SEARCH('F-COMPRA'!$F$37,Tabla11[[#This Row],[Cuenta]],1))</f>
        <v>1</v>
      </c>
      <c r="V300" t="b">
        <f>+ISNUMBER(SEARCH(#REF!,Tabla11[[#This Row],[Cuenta]],1))</f>
        <v>0</v>
      </c>
      <c r="W300" t="b">
        <f>+ISNUMBER(SEARCH('F-COMPRA'!#REF!,Tabla11[[#This Row],[Cuenta]],1))</f>
        <v>0</v>
      </c>
      <c r="X300" t="b">
        <f>+ISNUMBER(SEARCH('F-COMPRA'!#REF!,Tabla11[[#This Row],[Cuenta]],1))</f>
        <v>0</v>
      </c>
      <c r="Y300" t="b">
        <f>+ISNUMBER(SEARCH('F-COMPRA'!#REF!,Tabla11[[#This Row],[Cuenta]],1))</f>
        <v>0</v>
      </c>
      <c r="Z300" t="b">
        <f>+ISNUMBER(SEARCH('F-COMPRA'!#REF!,Tabla11[[#This Row],[Cuenta]],1))</f>
        <v>0</v>
      </c>
      <c r="AA300" t="b">
        <f>+ISNUMBER(SEARCH('F-COMPRA'!#REF!,Tabla11[[#This Row],[Cuenta]],1))</f>
        <v>0</v>
      </c>
      <c r="AB300" t="b">
        <f>+ISNUMBER(SEARCH('F-COMPRA'!#REF!,Tabla11[[#This Row],[Cuenta]],1))</f>
        <v>0</v>
      </c>
      <c r="AC300" t="b">
        <f>+ISNUMBER(SEARCH('F-COMPRA'!#REF!,Tabla11[[#This Row],[Cuenta]],1))</f>
        <v>0</v>
      </c>
      <c r="AD300" t="b">
        <f>+ISNUMBER(SEARCH('F-COMPRA'!#REF!,Tabla11[[#This Row],[Cuenta]],1))</f>
        <v>0</v>
      </c>
      <c r="AE300" t="b">
        <f>+ISNUMBER(SEARCH('F-COMPRA'!#REF!,Tabla11[[#This Row],[Cuenta]],1))</f>
        <v>0</v>
      </c>
      <c r="AF300" t="b">
        <f>+ISNUMBER(SEARCH('F-VTA'!$G$23,Tabla11[[#This Row],[Cuenta]],1))</f>
        <v>0</v>
      </c>
      <c r="AG300" t="b">
        <f>+ISNUMBER(SEARCH('F-VTA'!$G$24,Tabla11[[#This Row],[Cuenta]],1))</f>
        <v>0</v>
      </c>
      <c r="AH300" t="b">
        <f>+ISNUMBER(SEARCH('F-VTA'!$G$25,Tabla11[[#This Row],[Cuenta]],1))</f>
        <v>0</v>
      </c>
      <c r="AI300" t="b">
        <f>+ISNUMBER(SEARCH('F-VTA'!$F$28,Tabla11[[#This Row],[Cuenta]],1))</f>
        <v>1</v>
      </c>
      <c r="AJ300" t="b">
        <f>+ISNUMBER(SEARCH('F-VTA'!$F$29,Tabla11[[#This Row],[Cuenta]],1))</f>
        <v>1</v>
      </c>
      <c r="AK300" t="b">
        <f>+ISNUMBER(SEARCH('F-VTA'!$F$30,Tabla11[[#This Row],[Cuenta]],1))</f>
        <v>1</v>
      </c>
      <c r="AL300" t="b">
        <f>+ISNUMBER(SEARCH('F-VTA'!$F$31,Tabla11[[#This Row],[Cuenta]],1))</f>
        <v>1</v>
      </c>
      <c r="AM300" t="b">
        <f>+ISNUMBER(SEARCH('F-VTA'!$F$32,Tabla11[[#This Row],[Cuenta]],1))</f>
        <v>1</v>
      </c>
      <c r="AN300" t="b">
        <f>+ISNUMBER(SEARCH('F-VTA'!$F$33,Tabla11[[#This Row],[Cuenta]],1))</f>
        <v>1</v>
      </c>
      <c r="AO300" t="b">
        <f>+ISNUMBER(SEARCH('F-VTA'!$F$34,Tabla11[[#This Row],[Cuenta]],1))</f>
        <v>1</v>
      </c>
      <c r="AP300" t="b">
        <f>+ISNUMBER(SEARCH('F-VTA'!$F$35,Tabla11[[#This Row],[Cuenta]],1))</f>
        <v>1</v>
      </c>
      <c r="AQ300" t="b">
        <f>+ISNUMBER(SEARCH('F-VTA'!$F$36,Tabla11[[#This Row],[Cuenta]],1))</f>
        <v>1</v>
      </c>
      <c r="AR300" t="b">
        <f>+ISNUMBER(SEARCH(#REF!,Tabla11[[#This Row],[Cuenta]],1))</f>
        <v>0</v>
      </c>
      <c r="AS300" t="b">
        <f>+ISNUMBER(SEARCH(#REF!,Tabla11[[#This Row],[Cuenta]],1))</f>
        <v>0</v>
      </c>
      <c r="AT300" t="b">
        <f>+ISNUMBER(SEARCH(#REF!,Tabla11[[#This Row],[Cuenta]],1))</f>
        <v>0</v>
      </c>
      <c r="AU300" t="b">
        <f>+ISNUMBER(SEARCH('Conc. Ban.1'!$I$9,Tabla11[[#This Row],[Cuenta]],1))</f>
        <v>0</v>
      </c>
      <c r="AV300" t="b">
        <f>+ISNUMBER(SEARCH(CompConta!$F$21,Tabla11[[#This Row],[Cuenta]],1))</f>
        <v>1</v>
      </c>
      <c r="AW300" t="b">
        <f>+ISNUMBER(SEARCH(CompConta!$F$22,Tabla11[[#This Row],[Cuenta]],1))</f>
        <v>1</v>
      </c>
      <c r="AX300" t="b">
        <f>+ISNUMBER(SEARCH(CompConta!$F$23,Tabla11[[#This Row],[Cuenta]],1))</f>
        <v>1</v>
      </c>
      <c r="AY300" t="b">
        <f>+ISNUMBER(SEARCH(CompConta!$F$24,Tabla11[[#This Row],[Cuenta]],1))</f>
        <v>1</v>
      </c>
      <c r="AZ300" t="b">
        <f>+ISNUMBER(SEARCH(CompConta!$F$25,Tabla11[[#This Row],[Cuenta]],1))</f>
        <v>1</v>
      </c>
      <c r="BA300" t="b">
        <f>+ISNUMBER(SEARCH(CompConta!$F$26,Tabla11[[#This Row],[Cuenta]],1))</f>
        <v>1</v>
      </c>
      <c r="BB300" t="b">
        <f>+ISNUMBER(SEARCH(CompConta!$F$27,Tabla11[[#This Row],[Cuenta]],1))</f>
        <v>1</v>
      </c>
      <c r="BC300" t="b">
        <f>+ISNUMBER(SEARCH(CompConta!$F$28,Tabla11[[#This Row],[Cuenta]],1))</f>
        <v>1</v>
      </c>
      <c r="BD300" t="b">
        <f>+ISNUMBER(SEARCH(CompConta!$F$29,Tabla11[[#This Row],[Cuenta]],1))</f>
        <v>1</v>
      </c>
      <c r="BE300" t="b">
        <f>+ISNUMBER(SEARCH(CompConta!$F$30,Tabla11[[#This Row],[Cuenta]],1))</f>
        <v>1</v>
      </c>
      <c r="BF300" t="b">
        <f>+ISNUMBER(SEARCH('PAGO Compras'!$E$11,Tabla11[[#This Row],[Cuenta]],1))</f>
        <v>1</v>
      </c>
      <c r="BG300" t="b">
        <f>+ISNUMBER(SEARCH(#REF!,Tabla11[[#This Row],[Cuenta]],1))</f>
        <v>0</v>
      </c>
      <c r="BH300" t="b">
        <f>+ISNUMBER(SEARCH(#REF!,Tabla11[[#This Row],[Cuenta]],1))</f>
        <v>0</v>
      </c>
      <c r="BI300" t="b">
        <f>+ISNUMBER(SEARCH(#REF!,Tabla11[[#This Row],[Cuenta]],1))</f>
        <v>0</v>
      </c>
      <c r="BJ300" t="b">
        <f>+ISNUMBER(SEARCH(#REF!,Tabla11[[#This Row],[Cuenta]],1))</f>
        <v>0</v>
      </c>
      <c r="BS300" t="str">
        <v>162595 Otros</v>
      </c>
      <c r="BT300" t="str">
        <v>162595 Otros</v>
      </c>
      <c r="BU300" t="str">
        <v>162595 Otros</v>
      </c>
      <c r="BV300" t="str">
        <v>162595 Otros</v>
      </c>
      <c r="BZ300" t="str">
        <v>162595 Otros</v>
      </c>
      <c r="CA300" t="str">
        <v>162595 Otros</v>
      </c>
      <c r="CB300" t="str">
        <v>162595 Otros</v>
      </c>
      <c r="CC300" t="str">
        <v>162595 Otros</v>
      </c>
      <c r="CD300" t="str">
        <v>162595 Otros</v>
      </c>
      <c r="CE300" t="str">
        <v>162595 Otros</v>
      </c>
      <c r="CS300" s="141" t="str">
        <v>162595 Otros</v>
      </c>
      <c r="CT300" s="141" t="str">
        <v>162595 Otros</v>
      </c>
      <c r="CU300" s="141" t="str">
        <v>162595 Otros</v>
      </c>
      <c r="CV300" s="141" t="str">
        <v>162595 Otros</v>
      </c>
      <c r="CW300" s="141" t="str">
        <v>162595 Otros</v>
      </c>
      <c r="CX300" s="141" t="str">
        <v>162595 Otros</v>
      </c>
      <c r="CY300" s="141" t="str">
        <v>162595 Otros</v>
      </c>
      <c r="CZ300" s="141" t="str">
        <v>162595 Otros</v>
      </c>
      <c r="DA300" s="141" t="str">
        <v>162595 Otros</v>
      </c>
      <c r="DF300" t="str">
        <v>162595 Otros</v>
      </c>
      <c r="DG300" t="str">
        <v>162595 Otros</v>
      </c>
      <c r="DH300" t="str">
        <v>162595 Otros</v>
      </c>
      <c r="DI300" t="str">
        <v>162595 Otros</v>
      </c>
      <c r="DJ300" t="str">
        <v>162595 Otros</v>
      </c>
      <c r="DK300" t="str">
        <v>162595 Otros</v>
      </c>
      <c r="DL300" t="str">
        <v>162595 Otros</v>
      </c>
      <c r="DM300" t="str">
        <v>162595 Otros</v>
      </c>
      <c r="DN300" t="str">
        <v>162595 Otros</v>
      </c>
      <c r="DO300" t="str">
        <v>162595 Otros</v>
      </c>
      <c r="DP300" t="str">
        <v>162595 Otros</v>
      </c>
    </row>
    <row r="301" spans="4:120" ht="12.75">
      <c r="D301" s="7">
        <v>162599</v>
      </c>
      <c r="E301" s="6" t="s">
        <v>44</v>
      </c>
      <c r="F301" s="5">
        <v>4</v>
      </c>
      <c r="G301" s="34" t="s">
        <v>822</v>
      </c>
      <c r="H301" s="8" t="s">
        <v>32</v>
      </c>
      <c r="I301" t="b">
        <f>+ISNUMBER(SEARCH('F-COMPRA'!$F$28,Tabla11[[#This Row],[Cuenta]],1))</f>
        <v>1</v>
      </c>
      <c r="J301" t="b">
        <f>+ISNUMBER(SEARCH('F-COMPRA'!$F$29,Tabla11[[#This Row],[Cuenta]],1))</f>
        <v>1</v>
      </c>
      <c r="K301" t="b">
        <f>+ISNUMBER(SEARCH('F-COMPRA'!$F$30,Tabla11[[#This Row],[Cuenta]],1))</f>
        <v>1</v>
      </c>
      <c r="L301" t="b">
        <f>+ISNUMBER(SEARCH('F-COMPRA'!$F$31,Tabla11[[#This Row],[Cuenta]],1))</f>
        <v>1</v>
      </c>
      <c r="M301" t="b">
        <f>+ISNUMBER(SEARCH('F-COMPRA'!$G$25,Tabla11[[#This Row],[Cuenta]],1))</f>
        <v>0</v>
      </c>
      <c r="N301" t="b">
        <f>+ISNUMBER(SEARCH(#REF!,Tabla11[[#This Row],[Cuenta]],1))</f>
        <v>0</v>
      </c>
      <c r="O301" t="b">
        <f>+ISNUMBER(SEARCH(#REF!,Tabla11[[#This Row],[Cuenta]],1))</f>
        <v>0</v>
      </c>
      <c r="P301" t="b">
        <f>+ISNUMBER(SEARCH('F-COMPRA'!$F$32,Tabla11[[#This Row],[Cuenta]],1))</f>
        <v>1</v>
      </c>
      <c r="Q301" t="b">
        <f>+ISNUMBER(SEARCH('F-COMPRA'!$F$33,Tabla11[[#This Row],[Cuenta]],1))</f>
        <v>1</v>
      </c>
      <c r="R301" t="b">
        <f>+ISNUMBER(SEARCH('F-COMPRA'!$F$34,Tabla11[[#This Row],[Cuenta]],1))</f>
        <v>1</v>
      </c>
      <c r="S301" t="b">
        <f>+ISNUMBER(SEARCH('F-COMPRA'!$F$35,Tabla11[[#This Row],[Cuenta]],1))</f>
        <v>1</v>
      </c>
      <c r="T301" t="b">
        <f>+ISNUMBER(SEARCH('F-COMPRA'!$F$36,Tabla11[[#This Row],[Cuenta]],1))</f>
        <v>1</v>
      </c>
      <c r="U301" t="b">
        <f>+ISNUMBER(SEARCH('F-COMPRA'!$F$37,Tabla11[[#This Row],[Cuenta]],1))</f>
        <v>1</v>
      </c>
      <c r="V301" t="b">
        <f>+ISNUMBER(SEARCH(#REF!,Tabla11[[#This Row],[Cuenta]],1))</f>
        <v>0</v>
      </c>
      <c r="W301" t="b">
        <f>+ISNUMBER(SEARCH('F-COMPRA'!#REF!,Tabla11[[#This Row],[Cuenta]],1))</f>
        <v>0</v>
      </c>
      <c r="X301" t="b">
        <f>+ISNUMBER(SEARCH('F-COMPRA'!#REF!,Tabla11[[#This Row],[Cuenta]],1))</f>
        <v>0</v>
      </c>
      <c r="Y301" t="b">
        <f>+ISNUMBER(SEARCH('F-COMPRA'!#REF!,Tabla11[[#This Row],[Cuenta]],1))</f>
        <v>0</v>
      </c>
      <c r="Z301" t="b">
        <f>+ISNUMBER(SEARCH('F-COMPRA'!#REF!,Tabla11[[#This Row],[Cuenta]],1))</f>
        <v>0</v>
      </c>
      <c r="AA301" t="b">
        <f>+ISNUMBER(SEARCH('F-COMPRA'!#REF!,Tabla11[[#This Row],[Cuenta]],1))</f>
        <v>0</v>
      </c>
      <c r="AB301" t="b">
        <f>+ISNUMBER(SEARCH('F-COMPRA'!#REF!,Tabla11[[#This Row],[Cuenta]],1))</f>
        <v>0</v>
      </c>
      <c r="AC301" t="b">
        <f>+ISNUMBER(SEARCH('F-COMPRA'!#REF!,Tabla11[[#This Row],[Cuenta]],1))</f>
        <v>0</v>
      </c>
      <c r="AD301" t="b">
        <f>+ISNUMBER(SEARCH('F-COMPRA'!#REF!,Tabla11[[#This Row],[Cuenta]],1))</f>
        <v>0</v>
      </c>
      <c r="AE301" t="b">
        <f>+ISNUMBER(SEARCH('F-COMPRA'!#REF!,Tabla11[[#This Row],[Cuenta]],1))</f>
        <v>0</v>
      </c>
      <c r="AF301" t="b">
        <f>+ISNUMBER(SEARCH('F-VTA'!$G$23,Tabla11[[#This Row],[Cuenta]],1))</f>
        <v>0</v>
      </c>
      <c r="AG301" t="b">
        <f>+ISNUMBER(SEARCH('F-VTA'!$G$24,Tabla11[[#This Row],[Cuenta]],1))</f>
        <v>0</v>
      </c>
      <c r="AH301" t="b">
        <f>+ISNUMBER(SEARCH('F-VTA'!$G$25,Tabla11[[#This Row],[Cuenta]],1))</f>
        <v>0</v>
      </c>
      <c r="AI301" t="b">
        <f>+ISNUMBER(SEARCH('F-VTA'!$F$28,Tabla11[[#This Row],[Cuenta]],1))</f>
        <v>1</v>
      </c>
      <c r="AJ301" t="b">
        <f>+ISNUMBER(SEARCH('F-VTA'!$F$29,Tabla11[[#This Row],[Cuenta]],1))</f>
        <v>1</v>
      </c>
      <c r="AK301" t="b">
        <f>+ISNUMBER(SEARCH('F-VTA'!$F$30,Tabla11[[#This Row],[Cuenta]],1))</f>
        <v>1</v>
      </c>
      <c r="AL301" t="b">
        <f>+ISNUMBER(SEARCH('F-VTA'!$F$31,Tabla11[[#This Row],[Cuenta]],1))</f>
        <v>1</v>
      </c>
      <c r="AM301" t="b">
        <f>+ISNUMBER(SEARCH('F-VTA'!$F$32,Tabla11[[#This Row],[Cuenta]],1))</f>
        <v>1</v>
      </c>
      <c r="AN301" t="b">
        <f>+ISNUMBER(SEARCH('F-VTA'!$F$33,Tabla11[[#This Row],[Cuenta]],1))</f>
        <v>1</v>
      </c>
      <c r="AO301" t="b">
        <f>+ISNUMBER(SEARCH('F-VTA'!$F$34,Tabla11[[#This Row],[Cuenta]],1))</f>
        <v>1</v>
      </c>
      <c r="AP301" t="b">
        <f>+ISNUMBER(SEARCH('F-VTA'!$F$35,Tabla11[[#This Row],[Cuenta]],1))</f>
        <v>1</v>
      </c>
      <c r="AQ301" t="b">
        <f>+ISNUMBER(SEARCH('F-VTA'!$F$36,Tabla11[[#This Row],[Cuenta]],1))</f>
        <v>1</v>
      </c>
      <c r="AR301" t="b">
        <f>+ISNUMBER(SEARCH(#REF!,Tabla11[[#This Row],[Cuenta]],1))</f>
        <v>0</v>
      </c>
      <c r="AS301" t="b">
        <f>+ISNUMBER(SEARCH(#REF!,Tabla11[[#This Row],[Cuenta]],1))</f>
        <v>0</v>
      </c>
      <c r="AT301" t="b">
        <f>+ISNUMBER(SEARCH(#REF!,Tabla11[[#This Row],[Cuenta]],1))</f>
        <v>0</v>
      </c>
      <c r="AU301" t="b">
        <f>+ISNUMBER(SEARCH('Conc. Ban.1'!$I$9,Tabla11[[#This Row],[Cuenta]],1))</f>
        <v>0</v>
      </c>
      <c r="AV301" t="b">
        <f>+ISNUMBER(SEARCH(CompConta!$F$21,Tabla11[[#This Row],[Cuenta]],1))</f>
        <v>1</v>
      </c>
      <c r="AW301" t="b">
        <f>+ISNUMBER(SEARCH(CompConta!$F$22,Tabla11[[#This Row],[Cuenta]],1))</f>
        <v>1</v>
      </c>
      <c r="AX301" t="b">
        <f>+ISNUMBER(SEARCH(CompConta!$F$23,Tabla11[[#This Row],[Cuenta]],1))</f>
        <v>1</v>
      </c>
      <c r="AY301" t="b">
        <f>+ISNUMBER(SEARCH(CompConta!$F$24,Tabla11[[#This Row],[Cuenta]],1))</f>
        <v>1</v>
      </c>
      <c r="AZ301" t="b">
        <f>+ISNUMBER(SEARCH(CompConta!$F$25,Tabla11[[#This Row],[Cuenta]],1))</f>
        <v>1</v>
      </c>
      <c r="BA301" t="b">
        <f>+ISNUMBER(SEARCH(CompConta!$F$26,Tabla11[[#This Row],[Cuenta]],1))</f>
        <v>1</v>
      </c>
      <c r="BB301" t="b">
        <f>+ISNUMBER(SEARCH(CompConta!$F$27,Tabla11[[#This Row],[Cuenta]],1))</f>
        <v>1</v>
      </c>
      <c r="BC301" t="b">
        <f>+ISNUMBER(SEARCH(CompConta!$F$28,Tabla11[[#This Row],[Cuenta]],1))</f>
        <v>1</v>
      </c>
      <c r="BD301" t="b">
        <f>+ISNUMBER(SEARCH(CompConta!$F$29,Tabla11[[#This Row],[Cuenta]],1))</f>
        <v>1</v>
      </c>
      <c r="BE301" t="b">
        <f>+ISNUMBER(SEARCH(CompConta!$F$30,Tabla11[[#This Row],[Cuenta]],1))</f>
        <v>1</v>
      </c>
      <c r="BF301" t="b">
        <f>+ISNUMBER(SEARCH('PAGO Compras'!$E$11,Tabla11[[#This Row],[Cuenta]],1))</f>
        <v>1</v>
      </c>
      <c r="BG301" t="b">
        <f>+ISNUMBER(SEARCH(#REF!,Tabla11[[#This Row],[Cuenta]],1))</f>
        <v>0</v>
      </c>
      <c r="BH301" t="b">
        <f>+ISNUMBER(SEARCH(#REF!,Tabla11[[#This Row],[Cuenta]],1))</f>
        <v>0</v>
      </c>
      <c r="BI301" t="b">
        <f>+ISNUMBER(SEARCH(#REF!,Tabla11[[#This Row],[Cuenta]],1))</f>
        <v>0</v>
      </c>
      <c r="BJ301" t="b">
        <f>+ISNUMBER(SEARCH(#REF!,Tabla11[[#This Row],[Cuenta]],1))</f>
        <v>0</v>
      </c>
      <c r="BS301" t="str">
        <v>162599 Ajustes por inflación</v>
      </c>
      <c r="BT301" t="str">
        <v>162599 Ajustes por inflación</v>
      </c>
      <c r="BU301" t="str">
        <v>162599 Ajustes por inflación</v>
      </c>
      <c r="BV301" t="str">
        <v>162599 Ajustes por inflación</v>
      </c>
      <c r="BZ301" t="str">
        <v>162599 Ajustes por inflación</v>
      </c>
      <c r="CA301" t="str">
        <v>162599 Ajustes por inflación</v>
      </c>
      <c r="CB301" t="str">
        <v>162599 Ajustes por inflación</v>
      </c>
      <c r="CC301" t="str">
        <v>162599 Ajustes por inflación</v>
      </c>
      <c r="CD301" t="str">
        <v>162599 Ajustes por inflación</v>
      </c>
      <c r="CE301" t="str">
        <v>162599 Ajustes por inflación</v>
      </c>
      <c r="CS301" s="141" t="str">
        <v>162599 Ajustes por inflación</v>
      </c>
      <c r="CT301" s="141" t="str">
        <v>162599 Ajustes por inflación</v>
      </c>
      <c r="CU301" s="141" t="str">
        <v>162599 Ajustes por inflación</v>
      </c>
      <c r="CV301" s="141" t="str">
        <v>162599 Ajustes por inflación</v>
      </c>
      <c r="CW301" s="141" t="str">
        <v>162599 Ajustes por inflación</v>
      </c>
      <c r="CX301" s="141" t="str">
        <v>162599 Ajustes por inflación</v>
      </c>
      <c r="CY301" s="141" t="str">
        <v>162599 Ajustes por inflación</v>
      </c>
      <c r="CZ301" s="141" t="str">
        <v>162599 Ajustes por inflación</v>
      </c>
      <c r="DA301" s="141" t="str">
        <v>162599 Ajustes por inflación</v>
      </c>
      <c r="DF301" t="str">
        <v>162599 Ajustes por inflación</v>
      </c>
      <c r="DG301" t="str">
        <v>162599 Ajustes por inflación</v>
      </c>
      <c r="DH301" t="str">
        <v>162599 Ajustes por inflación</v>
      </c>
      <c r="DI301" t="str">
        <v>162599 Ajustes por inflación</v>
      </c>
      <c r="DJ301" t="str">
        <v>162599 Ajustes por inflación</v>
      </c>
      <c r="DK301" t="str">
        <v>162599 Ajustes por inflación</v>
      </c>
      <c r="DL301" t="str">
        <v>162599 Ajustes por inflación</v>
      </c>
      <c r="DM301" t="str">
        <v>162599 Ajustes por inflación</v>
      </c>
      <c r="DN301" t="str">
        <v>162599 Ajustes por inflación</v>
      </c>
      <c r="DO301" t="str">
        <v>162599 Ajustes por inflación</v>
      </c>
      <c r="DP301" t="str">
        <v>162599 Ajustes por inflación</v>
      </c>
    </row>
    <row r="302" spans="4:120" ht="12.75">
      <c r="D302" s="7">
        <v>1630</v>
      </c>
      <c r="E302" s="6" t="s">
        <v>247</v>
      </c>
      <c r="F302" s="5">
        <v>3</v>
      </c>
      <c r="G302" s="34" t="s">
        <v>822</v>
      </c>
      <c r="H302" s="8" t="s">
        <v>32</v>
      </c>
      <c r="I302" t="b">
        <f>+ISNUMBER(SEARCH('F-COMPRA'!$F$28,Tabla11[[#This Row],[Cuenta]],1))</f>
        <v>1</v>
      </c>
      <c r="J302" t="b">
        <f>+ISNUMBER(SEARCH('F-COMPRA'!$F$29,Tabla11[[#This Row],[Cuenta]],1))</f>
        <v>1</v>
      </c>
      <c r="K302" t="b">
        <f>+ISNUMBER(SEARCH('F-COMPRA'!$F$30,Tabla11[[#This Row],[Cuenta]],1))</f>
        <v>1</v>
      </c>
      <c r="L302" t="b">
        <f>+ISNUMBER(SEARCH('F-COMPRA'!$F$31,Tabla11[[#This Row],[Cuenta]],1))</f>
        <v>1</v>
      </c>
      <c r="M302" t="b">
        <f>+ISNUMBER(SEARCH('F-COMPRA'!$G$25,Tabla11[[#This Row],[Cuenta]],1))</f>
        <v>0</v>
      </c>
      <c r="N302" t="b">
        <f>+ISNUMBER(SEARCH(#REF!,Tabla11[[#This Row],[Cuenta]],1))</f>
        <v>0</v>
      </c>
      <c r="O302" t="b">
        <f>+ISNUMBER(SEARCH(#REF!,Tabla11[[#This Row],[Cuenta]],1))</f>
        <v>0</v>
      </c>
      <c r="P302" t="b">
        <f>+ISNUMBER(SEARCH('F-COMPRA'!$F$32,Tabla11[[#This Row],[Cuenta]],1))</f>
        <v>1</v>
      </c>
      <c r="Q302" t="b">
        <f>+ISNUMBER(SEARCH('F-COMPRA'!$F$33,Tabla11[[#This Row],[Cuenta]],1))</f>
        <v>1</v>
      </c>
      <c r="R302" t="b">
        <f>+ISNUMBER(SEARCH('F-COMPRA'!$F$34,Tabla11[[#This Row],[Cuenta]],1))</f>
        <v>1</v>
      </c>
      <c r="S302" t="b">
        <f>+ISNUMBER(SEARCH('F-COMPRA'!$F$35,Tabla11[[#This Row],[Cuenta]],1))</f>
        <v>1</v>
      </c>
      <c r="T302" t="b">
        <f>+ISNUMBER(SEARCH('F-COMPRA'!$F$36,Tabla11[[#This Row],[Cuenta]],1))</f>
        <v>1</v>
      </c>
      <c r="U302" t="b">
        <f>+ISNUMBER(SEARCH('F-COMPRA'!$F$37,Tabla11[[#This Row],[Cuenta]],1))</f>
        <v>1</v>
      </c>
      <c r="V302" t="b">
        <f>+ISNUMBER(SEARCH(#REF!,Tabla11[[#This Row],[Cuenta]],1))</f>
        <v>0</v>
      </c>
      <c r="W302" t="b">
        <f>+ISNUMBER(SEARCH('F-COMPRA'!#REF!,Tabla11[[#This Row],[Cuenta]],1))</f>
        <v>0</v>
      </c>
      <c r="X302" t="b">
        <f>+ISNUMBER(SEARCH('F-COMPRA'!#REF!,Tabla11[[#This Row],[Cuenta]],1))</f>
        <v>0</v>
      </c>
      <c r="Y302" t="b">
        <f>+ISNUMBER(SEARCH('F-COMPRA'!#REF!,Tabla11[[#This Row],[Cuenta]],1))</f>
        <v>0</v>
      </c>
      <c r="Z302" t="b">
        <f>+ISNUMBER(SEARCH('F-COMPRA'!#REF!,Tabla11[[#This Row],[Cuenta]],1))</f>
        <v>0</v>
      </c>
      <c r="AA302" t="b">
        <f>+ISNUMBER(SEARCH('F-COMPRA'!#REF!,Tabla11[[#This Row],[Cuenta]],1))</f>
        <v>0</v>
      </c>
      <c r="AB302" t="b">
        <f>+ISNUMBER(SEARCH('F-COMPRA'!#REF!,Tabla11[[#This Row],[Cuenta]],1))</f>
        <v>0</v>
      </c>
      <c r="AC302" t="b">
        <f>+ISNUMBER(SEARCH('F-COMPRA'!#REF!,Tabla11[[#This Row],[Cuenta]],1))</f>
        <v>0</v>
      </c>
      <c r="AD302" t="b">
        <f>+ISNUMBER(SEARCH('F-COMPRA'!#REF!,Tabla11[[#This Row],[Cuenta]],1))</f>
        <v>0</v>
      </c>
      <c r="AE302" t="b">
        <f>+ISNUMBER(SEARCH('F-COMPRA'!#REF!,Tabla11[[#This Row],[Cuenta]],1))</f>
        <v>0</v>
      </c>
      <c r="AF302" t="b">
        <f>+ISNUMBER(SEARCH('F-VTA'!$G$23,Tabla11[[#This Row],[Cuenta]],1))</f>
        <v>0</v>
      </c>
      <c r="AG302" t="b">
        <f>+ISNUMBER(SEARCH('F-VTA'!$G$24,Tabla11[[#This Row],[Cuenta]],1))</f>
        <v>0</v>
      </c>
      <c r="AH302" t="b">
        <f>+ISNUMBER(SEARCH('F-VTA'!$G$25,Tabla11[[#This Row],[Cuenta]],1))</f>
        <v>0</v>
      </c>
      <c r="AI302" t="b">
        <f>+ISNUMBER(SEARCH('F-VTA'!$F$28,Tabla11[[#This Row],[Cuenta]],1))</f>
        <v>1</v>
      </c>
      <c r="AJ302" t="b">
        <f>+ISNUMBER(SEARCH('F-VTA'!$F$29,Tabla11[[#This Row],[Cuenta]],1))</f>
        <v>1</v>
      </c>
      <c r="AK302" t="b">
        <f>+ISNUMBER(SEARCH('F-VTA'!$F$30,Tabla11[[#This Row],[Cuenta]],1))</f>
        <v>1</v>
      </c>
      <c r="AL302" t="b">
        <f>+ISNUMBER(SEARCH('F-VTA'!$F$31,Tabla11[[#This Row],[Cuenta]],1))</f>
        <v>1</v>
      </c>
      <c r="AM302" t="b">
        <f>+ISNUMBER(SEARCH('F-VTA'!$F$32,Tabla11[[#This Row],[Cuenta]],1))</f>
        <v>1</v>
      </c>
      <c r="AN302" t="b">
        <f>+ISNUMBER(SEARCH('F-VTA'!$F$33,Tabla11[[#This Row],[Cuenta]],1))</f>
        <v>1</v>
      </c>
      <c r="AO302" t="b">
        <f>+ISNUMBER(SEARCH('F-VTA'!$F$34,Tabla11[[#This Row],[Cuenta]],1))</f>
        <v>1</v>
      </c>
      <c r="AP302" t="b">
        <f>+ISNUMBER(SEARCH('F-VTA'!$F$35,Tabla11[[#This Row],[Cuenta]],1))</f>
        <v>1</v>
      </c>
      <c r="AQ302" t="b">
        <f>+ISNUMBER(SEARCH('F-VTA'!$F$36,Tabla11[[#This Row],[Cuenta]],1))</f>
        <v>1</v>
      </c>
      <c r="AR302" t="b">
        <f>+ISNUMBER(SEARCH(#REF!,Tabla11[[#This Row],[Cuenta]],1))</f>
        <v>0</v>
      </c>
      <c r="AS302" t="b">
        <f>+ISNUMBER(SEARCH(#REF!,Tabla11[[#This Row],[Cuenta]],1))</f>
        <v>0</v>
      </c>
      <c r="AT302" t="b">
        <f>+ISNUMBER(SEARCH(#REF!,Tabla11[[#This Row],[Cuenta]],1))</f>
        <v>0</v>
      </c>
      <c r="AU302" t="b">
        <f>+ISNUMBER(SEARCH('Conc. Ban.1'!$I$9,Tabla11[[#This Row],[Cuenta]],1))</f>
        <v>0</v>
      </c>
      <c r="AV302" t="b">
        <f>+ISNUMBER(SEARCH(CompConta!$F$21,Tabla11[[#This Row],[Cuenta]],1))</f>
        <v>1</v>
      </c>
      <c r="AW302" t="b">
        <f>+ISNUMBER(SEARCH(CompConta!$F$22,Tabla11[[#This Row],[Cuenta]],1))</f>
        <v>1</v>
      </c>
      <c r="AX302" t="b">
        <f>+ISNUMBER(SEARCH(CompConta!$F$23,Tabla11[[#This Row],[Cuenta]],1))</f>
        <v>1</v>
      </c>
      <c r="AY302" t="b">
        <f>+ISNUMBER(SEARCH(CompConta!$F$24,Tabla11[[#This Row],[Cuenta]],1))</f>
        <v>1</v>
      </c>
      <c r="AZ302" t="b">
        <f>+ISNUMBER(SEARCH(CompConta!$F$25,Tabla11[[#This Row],[Cuenta]],1))</f>
        <v>1</v>
      </c>
      <c r="BA302" t="b">
        <f>+ISNUMBER(SEARCH(CompConta!$F$26,Tabla11[[#This Row],[Cuenta]],1))</f>
        <v>1</v>
      </c>
      <c r="BB302" t="b">
        <f>+ISNUMBER(SEARCH(CompConta!$F$27,Tabla11[[#This Row],[Cuenta]],1))</f>
        <v>1</v>
      </c>
      <c r="BC302" t="b">
        <f>+ISNUMBER(SEARCH(CompConta!$F$28,Tabla11[[#This Row],[Cuenta]],1))</f>
        <v>1</v>
      </c>
      <c r="BD302" t="b">
        <f>+ISNUMBER(SEARCH(CompConta!$F$29,Tabla11[[#This Row],[Cuenta]],1))</f>
        <v>1</v>
      </c>
      <c r="BE302" t="b">
        <f>+ISNUMBER(SEARCH(CompConta!$F$30,Tabla11[[#This Row],[Cuenta]],1))</f>
        <v>1</v>
      </c>
      <c r="BF302" t="b">
        <f>+ISNUMBER(SEARCH('PAGO Compras'!$E$11,Tabla11[[#This Row],[Cuenta]],1))</f>
        <v>1</v>
      </c>
      <c r="BG302" t="b">
        <f>+ISNUMBER(SEARCH(#REF!,Tabla11[[#This Row],[Cuenta]],1))</f>
        <v>0</v>
      </c>
      <c r="BH302" t="b">
        <f>+ISNUMBER(SEARCH(#REF!,Tabla11[[#This Row],[Cuenta]],1))</f>
        <v>0</v>
      </c>
      <c r="BI302" t="b">
        <f>+ISNUMBER(SEARCH(#REF!,Tabla11[[#This Row],[Cuenta]],1))</f>
        <v>0</v>
      </c>
      <c r="BJ302" t="b">
        <f>+ISNUMBER(SEARCH(#REF!,Tabla11[[#This Row],[Cuenta]],1))</f>
        <v>0</v>
      </c>
      <c r="BS302" t="str">
        <v>1630 KNOW HOW</v>
      </c>
      <c r="BT302" t="str">
        <v>1630 KNOW HOW</v>
      </c>
      <c r="BU302" t="str">
        <v>1630 KNOW HOW</v>
      </c>
      <c r="BV302" t="str">
        <v>1630 KNOW HOW</v>
      </c>
      <c r="BZ302" t="str">
        <v>1630 KNOW HOW</v>
      </c>
      <c r="CA302" t="str">
        <v>1630 KNOW HOW</v>
      </c>
      <c r="CB302" t="str">
        <v>1630 KNOW HOW</v>
      </c>
      <c r="CC302" t="str">
        <v>1630 KNOW HOW</v>
      </c>
      <c r="CD302" t="str">
        <v>1630 KNOW HOW</v>
      </c>
      <c r="CE302" t="str">
        <v>1630 KNOW HOW</v>
      </c>
      <c r="CS302" s="141" t="str">
        <v>1630 KNOW HOW</v>
      </c>
      <c r="CT302" s="141" t="str">
        <v>1630 KNOW HOW</v>
      </c>
      <c r="CU302" s="141" t="str">
        <v>1630 KNOW HOW</v>
      </c>
      <c r="CV302" s="141" t="str">
        <v>1630 KNOW HOW</v>
      </c>
      <c r="CW302" s="141" t="str">
        <v>1630 KNOW HOW</v>
      </c>
      <c r="CX302" s="141" t="str">
        <v>1630 KNOW HOW</v>
      </c>
      <c r="CY302" s="141" t="str">
        <v>1630 KNOW HOW</v>
      </c>
      <c r="CZ302" s="141" t="str">
        <v>1630 KNOW HOW</v>
      </c>
      <c r="DA302" s="141" t="str">
        <v>1630 KNOW HOW</v>
      </c>
      <c r="DF302" t="str">
        <v>1630 KNOW HOW</v>
      </c>
      <c r="DG302" t="str">
        <v>1630 KNOW HOW</v>
      </c>
      <c r="DH302" t="str">
        <v>1630 KNOW HOW</v>
      </c>
      <c r="DI302" t="str">
        <v>1630 KNOW HOW</v>
      </c>
      <c r="DJ302" t="str">
        <v>1630 KNOW HOW</v>
      </c>
      <c r="DK302" t="str">
        <v>1630 KNOW HOW</v>
      </c>
      <c r="DL302" t="str">
        <v>1630 KNOW HOW</v>
      </c>
      <c r="DM302" t="str">
        <v>1630 KNOW HOW</v>
      </c>
      <c r="DN302" t="str">
        <v>1630 KNOW HOW</v>
      </c>
      <c r="DO302" t="str">
        <v>1630 KNOW HOW</v>
      </c>
      <c r="DP302" t="str">
        <v>1630 KNOW HOW</v>
      </c>
    </row>
    <row r="303" spans="4:120" ht="12.75">
      <c r="D303" s="7">
        <v>163099</v>
      </c>
      <c r="E303" s="6" t="s">
        <v>44</v>
      </c>
      <c r="F303" s="5">
        <v>4</v>
      </c>
      <c r="G303" s="34" t="s">
        <v>822</v>
      </c>
      <c r="H303" s="8" t="s">
        <v>32</v>
      </c>
      <c r="I303" t="b">
        <f>+ISNUMBER(SEARCH('F-COMPRA'!$F$28,Tabla11[[#This Row],[Cuenta]],1))</f>
        <v>1</v>
      </c>
      <c r="J303" t="b">
        <f>+ISNUMBER(SEARCH('F-COMPRA'!$F$29,Tabla11[[#This Row],[Cuenta]],1))</f>
        <v>1</v>
      </c>
      <c r="K303" t="b">
        <f>+ISNUMBER(SEARCH('F-COMPRA'!$F$30,Tabla11[[#This Row],[Cuenta]],1))</f>
        <v>1</v>
      </c>
      <c r="L303" t="b">
        <f>+ISNUMBER(SEARCH('F-COMPRA'!$F$31,Tabla11[[#This Row],[Cuenta]],1))</f>
        <v>1</v>
      </c>
      <c r="M303" t="b">
        <f>+ISNUMBER(SEARCH('F-COMPRA'!$G$25,Tabla11[[#This Row],[Cuenta]],1))</f>
        <v>0</v>
      </c>
      <c r="N303" t="b">
        <f>+ISNUMBER(SEARCH(#REF!,Tabla11[[#This Row],[Cuenta]],1))</f>
        <v>0</v>
      </c>
      <c r="O303" t="b">
        <f>+ISNUMBER(SEARCH(#REF!,Tabla11[[#This Row],[Cuenta]],1))</f>
        <v>0</v>
      </c>
      <c r="P303" t="b">
        <f>+ISNUMBER(SEARCH('F-COMPRA'!$F$32,Tabla11[[#This Row],[Cuenta]],1))</f>
        <v>1</v>
      </c>
      <c r="Q303" t="b">
        <f>+ISNUMBER(SEARCH('F-COMPRA'!$F$33,Tabla11[[#This Row],[Cuenta]],1))</f>
        <v>1</v>
      </c>
      <c r="R303" t="b">
        <f>+ISNUMBER(SEARCH('F-COMPRA'!$F$34,Tabla11[[#This Row],[Cuenta]],1))</f>
        <v>1</v>
      </c>
      <c r="S303" t="b">
        <f>+ISNUMBER(SEARCH('F-COMPRA'!$F$35,Tabla11[[#This Row],[Cuenta]],1))</f>
        <v>1</v>
      </c>
      <c r="T303" t="b">
        <f>+ISNUMBER(SEARCH('F-COMPRA'!$F$36,Tabla11[[#This Row],[Cuenta]],1))</f>
        <v>1</v>
      </c>
      <c r="U303" t="b">
        <f>+ISNUMBER(SEARCH('F-COMPRA'!$F$37,Tabla11[[#This Row],[Cuenta]],1))</f>
        <v>1</v>
      </c>
      <c r="V303" t="b">
        <f>+ISNUMBER(SEARCH(#REF!,Tabla11[[#This Row],[Cuenta]],1))</f>
        <v>0</v>
      </c>
      <c r="W303" t="b">
        <f>+ISNUMBER(SEARCH('F-COMPRA'!#REF!,Tabla11[[#This Row],[Cuenta]],1))</f>
        <v>0</v>
      </c>
      <c r="X303" t="b">
        <f>+ISNUMBER(SEARCH('F-COMPRA'!#REF!,Tabla11[[#This Row],[Cuenta]],1))</f>
        <v>0</v>
      </c>
      <c r="Y303" t="b">
        <f>+ISNUMBER(SEARCH('F-COMPRA'!#REF!,Tabla11[[#This Row],[Cuenta]],1))</f>
        <v>0</v>
      </c>
      <c r="Z303" t="b">
        <f>+ISNUMBER(SEARCH('F-COMPRA'!#REF!,Tabla11[[#This Row],[Cuenta]],1))</f>
        <v>0</v>
      </c>
      <c r="AA303" t="b">
        <f>+ISNUMBER(SEARCH('F-COMPRA'!#REF!,Tabla11[[#This Row],[Cuenta]],1))</f>
        <v>0</v>
      </c>
      <c r="AB303" t="b">
        <f>+ISNUMBER(SEARCH('F-COMPRA'!#REF!,Tabla11[[#This Row],[Cuenta]],1))</f>
        <v>0</v>
      </c>
      <c r="AC303" t="b">
        <f>+ISNUMBER(SEARCH('F-COMPRA'!#REF!,Tabla11[[#This Row],[Cuenta]],1))</f>
        <v>0</v>
      </c>
      <c r="AD303" t="b">
        <f>+ISNUMBER(SEARCH('F-COMPRA'!#REF!,Tabla11[[#This Row],[Cuenta]],1))</f>
        <v>0</v>
      </c>
      <c r="AE303" t="b">
        <f>+ISNUMBER(SEARCH('F-COMPRA'!#REF!,Tabla11[[#This Row],[Cuenta]],1))</f>
        <v>0</v>
      </c>
      <c r="AF303" t="b">
        <f>+ISNUMBER(SEARCH('F-VTA'!$G$23,Tabla11[[#This Row],[Cuenta]],1))</f>
        <v>0</v>
      </c>
      <c r="AG303" t="b">
        <f>+ISNUMBER(SEARCH('F-VTA'!$G$24,Tabla11[[#This Row],[Cuenta]],1))</f>
        <v>0</v>
      </c>
      <c r="AH303" t="b">
        <f>+ISNUMBER(SEARCH('F-VTA'!$G$25,Tabla11[[#This Row],[Cuenta]],1))</f>
        <v>0</v>
      </c>
      <c r="AI303" t="b">
        <f>+ISNUMBER(SEARCH('F-VTA'!$F$28,Tabla11[[#This Row],[Cuenta]],1))</f>
        <v>1</v>
      </c>
      <c r="AJ303" t="b">
        <f>+ISNUMBER(SEARCH('F-VTA'!$F$29,Tabla11[[#This Row],[Cuenta]],1))</f>
        <v>1</v>
      </c>
      <c r="AK303" t="b">
        <f>+ISNUMBER(SEARCH('F-VTA'!$F$30,Tabla11[[#This Row],[Cuenta]],1))</f>
        <v>1</v>
      </c>
      <c r="AL303" t="b">
        <f>+ISNUMBER(SEARCH('F-VTA'!$F$31,Tabla11[[#This Row],[Cuenta]],1))</f>
        <v>1</v>
      </c>
      <c r="AM303" t="b">
        <f>+ISNUMBER(SEARCH('F-VTA'!$F$32,Tabla11[[#This Row],[Cuenta]],1))</f>
        <v>1</v>
      </c>
      <c r="AN303" t="b">
        <f>+ISNUMBER(SEARCH('F-VTA'!$F$33,Tabla11[[#This Row],[Cuenta]],1))</f>
        <v>1</v>
      </c>
      <c r="AO303" t="b">
        <f>+ISNUMBER(SEARCH('F-VTA'!$F$34,Tabla11[[#This Row],[Cuenta]],1))</f>
        <v>1</v>
      </c>
      <c r="AP303" t="b">
        <f>+ISNUMBER(SEARCH('F-VTA'!$F$35,Tabla11[[#This Row],[Cuenta]],1))</f>
        <v>1</v>
      </c>
      <c r="AQ303" t="b">
        <f>+ISNUMBER(SEARCH('F-VTA'!$F$36,Tabla11[[#This Row],[Cuenta]],1))</f>
        <v>1</v>
      </c>
      <c r="AR303" t="b">
        <f>+ISNUMBER(SEARCH(#REF!,Tabla11[[#This Row],[Cuenta]],1))</f>
        <v>0</v>
      </c>
      <c r="AS303" t="b">
        <f>+ISNUMBER(SEARCH(#REF!,Tabla11[[#This Row],[Cuenta]],1))</f>
        <v>0</v>
      </c>
      <c r="AT303" t="b">
        <f>+ISNUMBER(SEARCH(#REF!,Tabla11[[#This Row],[Cuenta]],1))</f>
        <v>0</v>
      </c>
      <c r="AU303" t="b">
        <f>+ISNUMBER(SEARCH('Conc. Ban.1'!$I$9,Tabla11[[#This Row],[Cuenta]],1))</f>
        <v>0</v>
      </c>
      <c r="AV303" t="b">
        <f>+ISNUMBER(SEARCH(CompConta!$F$21,Tabla11[[#This Row],[Cuenta]],1))</f>
        <v>1</v>
      </c>
      <c r="AW303" t="b">
        <f>+ISNUMBER(SEARCH(CompConta!$F$22,Tabla11[[#This Row],[Cuenta]],1))</f>
        <v>1</v>
      </c>
      <c r="AX303" t="b">
        <f>+ISNUMBER(SEARCH(CompConta!$F$23,Tabla11[[#This Row],[Cuenta]],1))</f>
        <v>1</v>
      </c>
      <c r="AY303" t="b">
        <f>+ISNUMBER(SEARCH(CompConta!$F$24,Tabla11[[#This Row],[Cuenta]],1))</f>
        <v>1</v>
      </c>
      <c r="AZ303" t="b">
        <f>+ISNUMBER(SEARCH(CompConta!$F$25,Tabla11[[#This Row],[Cuenta]],1))</f>
        <v>1</v>
      </c>
      <c r="BA303" t="b">
        <f>+ISNUMBER(SEARCH(CompConta!$F$26,Tabla11[[#This Row],[Cuenta]],1))</f>
        <v>1</v>
      </c>
      <c r="BB303" t="b">
        <f>+ISNUMBER(SEARCH(CompConta!$F$27,Tabla11[[#This Row],[Cuenta]],1))</f>
        <v>1</v>
      </c>
      <c r="BC303" t="b">
        <f>+ISNUMBER(SEARCH(CompConta!$F$28,Tabla11[[#This Row],[Cuenta]],1))</f>
        <v>1</v>
      </c>
      <c r="BD303" t="b">
        <f>+ISNUMBER(SEARCH(CompConta!$F$29,Tabla11[[#This Row],[Cuenta]],1))</f>
        <v>1</v>
      </c>
      <c r="BE303" t="b">
        <f>+ISNUMBER(SEARCH(CompConta!$F$30,Tabla11[[#This Row],[Cuenta]],1))</f>
        <v>1</v>
      </c>
      <c r="BF303" t="b">
        <f>+ISNUMBER(SEARCH('PAGO Compras'!$E$11,Tabla11[[#This Row],[Cuenta]],1))</f>
        <v>1</v>
      </c>
      <c r="BG303" t="b">
        <f>+ISNUMBER(SEARCH(#REF!,Tabla11[[#This Row],[Cuenta]],1))</f>
        <v>0</v>
      </c>
      <c r="BH303" t="b">
        <f>+ISNUMBER(SEARCH(#REF!,Tabla11[[#This Row],[Cuenta]],1))</f>
        <v>0</v>
      </c>
      <c r="BI303" t="b">
        <f>+ISNUMBER(SEARCH(#REF!,Tabla11[[#This Row],[Cuenta]],1))</f>
        <v>0</v>
      </c>
      <c r="BJ303" t="b">
        <f>+ISNUMBER(SEARCH(#REF!,Tabla11[[#This Row],[Cuenta]],1))</f>
        <v>0</v>
      </c>
      <c r="BS303" t="str">
        <v>163099 Ajustes por inflación</v>
      </c>
      <c r="BT303" t="str">
        <v>163099 Ajustes por inflación</v>
      </c>
      <c r="BU303" t="str">
        <v>163099 Ajustes por inflación</v>
      </c>
      <c r="BV303" t="str">
        <v>163099 Ajustes por inflación</v>
      </c>
      <c r="BZ303" t="str">
        <v>163099 Ajustes por inflación</v>
      </c>
      <c r="CA303" t="str">
        <v>163099 Ajustes por inflación</v>
      </c>
      <c r="CB303" t="str">
        <v>163099 Ajustes por inflación</v>
      </c>
      <c r="CC303" t="str">
        <v>163099 Ajustes por inflación</v>
      </c>
      <c r="CD303" t="str">
        <v>163099 Ajustes por inflación</v>
      </c>
      <c r="CE303" t="str">
        <v>163099 Ajustes por inflación</v>
      </c>
      <c r="CS303" s="141" t="str">
        <v>163099 Ajustes por inflación</v>
      </c>
      <c r="CT303" s="141" t="str">
        <v>163099 Ajustes por inflación</v>
      </c>
      <c r="CU303" s="141" t="str">
        <v>163099 Ajustes por inflación</v>
      </c>
      <c r="CV303" s="141" t="str">
        <v>163099 Ajustes por inflación</v>
      </c>
      <c r="CW303" s="141" t="str">
        <v>163099 Ajustes por inflación</v>
      </c>
      <c r="CX303" s="141" t="str">
        <v>163099 Ajustes por inflación</v>
      </c>
      <c r="CY303" s="141" t="str">
        <v>163099 Ajustes por inflación</v>
      </c>
      <c r="CZ303" s="141" t="str">
        <v>163099 Ajustes por inflación</v>
      </c>
      <c r="DA303" s="141" t="str">
        <v>163099 Ajustes por inflación</v>
      </c>
      <c r="DF303" t="str">
        <v>163099 Ajustes por inflación</v>
      </c>
      <c r="DG303" t="str">
        <v>163099 Ajustes por inflación</v>
      </c>
      <c r="DH303" t="str">
        <v>163099 Ajustes por inflación</v>
      </c>
      <c r="DI303" t="str">
        <v>163099 Ajustes por inflación</v>
      </c>
      <c r="DJ303" t="str">
        <v>163099 Ajustes por inflación</v>
      </c>
      <c r="DK303" t="str">
        <v>163099 Ajustes por inflación</v>
      </c>
      <c r="DL303" t="str">
        <v>163099 Ajustes por inflación</v>
      </c>
      <c r="DM303" t="str">
        <v>163099 Ajustes por inflación</v>
      </c>
      <c r="DN303" t="str">
        <v>163099 Ajustes por inflación</v>
      </c>
      <c r="DO303" t="str">
        <v>163099 Ajustes por inflación</v>
      </c>
      <c r="DP303" t="str">
        <v>163099 Ajustes por inflación</v>
      </c>
    </row>
    <row r="304" spans="4:120" ht="12.75">
      <c r="D304" s="7">
        <v>1635</v>
      </c>
      <c r="E304" s="6" t="s">
        <v>248</v>
      </c>
      <c r="F304" s="5">
        <v>3</v>
      </c>
      <c r="G304" s="34" t="s">
        <v>822</v>
      </c>
      <c r="H304" s="8" t="s">
        <v>32</v>
      </c>
      <c r="I304" t="b">
        <f>+ISNUMBER(SEARCH('F-COMPRA'!$F$28,Tabla11[[#This Row],[Cuenta]],1))</f>
        <v>1</v>
      </c>
      <c r="J304" t="b">
        <f>+ISNUMBER(SEARCH('F-COMPRA'!$F$29,Tabla11[[#This Row],[Cuenta]],1))</f>
        <v>1</v>
      </c>
      <c r="K304" t="b">
        <f>+ISNUMBER(SEARCH('F-COMPRA'!$F$30,Tabla11[[#This Row],[Cuenta]],1))</f>
        <v>1</v>
      </c>
      <c r="L304" t="b">
        <f>+ISNUMBER(SEARCH('F-COMPRA'!$F$31,Tabla11[[#This Row],[Cuenta]],1))</f>
        <v>1</v>
      </c>
      <c r="M304" t="b">
        <f>+ISNUMBER(SEARCH('F-COMPRA'!$G$25,Tabla11[[#This Row],[Cuenta]],1))</f>
        <v>0</v>
      </c>
      <c r="N304" t="b">
        <f>+ISNUMBER(SEARCH(#REF!,Tabla11[[#This Row],[Cuenta]],1))</f>
        <v>0</v>
      </c>
      <c r="O304" t="b">
        <f>+ISNUMBER(SEARCH(#REF!,Tabla11[[#This Row],[Cuenta]],1))</f>
        <v>0</v>
      </c>
      <c r="P304" t="b">
        <f>+ISNUMBER(SEARCH('F-COMPRA'!$F$32,Tabla11[[#This Row],[Cuenta]],1))</f>
        <v>1</v>
      </c>
      <c r="Q304" t="b">
        <f>+ISNUMBER(SEARCH('F-COMPRA'!$F$33,Tabla11[[#This Row],[Cuenta]],1))</f>
        <v>1</v>
      </c>
      <c r="R304" t="b">
        <f>+ISNUMBER(SEARCH('F-COMPRA'!$F$34,Tabla11[[#This Row],[Cuenta]],1))</f>
        <v>1</v>
      </c>
      <c r="S304" t="b">
        <f>+ISNUMBER(SEARCH('F-COMPRA'!$F$35,Tabla11[[#This Row],[Cuenta]],1))</f>
        <v>1</v>
      </c>
      <c r="T304" t="b">
        <f>+ISNUMBER(SEARCH('F-COMPRA'!$F$36,Tabla11[[#This Row],[Cuenta]],1))</f>
        <v>1</v>
      </c>
      <c r="U304" t="b">
        <f>+ISNUMBER(SEARCH('F-COMPRA'!$F$37,Tabla11[[#This Row],[Cuenta]],1))</f>
        <v>1</v>
      </c>
      <c r="V304" t="b">
        <f>+ISNUMBER(SEARCH(#REF!,Tabla11[[#This Row],[Cuenta]],1))</f>
        <v>0</v>
      </c>
      <c r="W304" t="b">
        <f>+ISNUMBER(SEARCH('F-COMPRA'!#REF!,Tabla11[[#This Row],[Cuenta]],1))</f>
        <v>0</v>
      </c>
      <c r="X304" t="b">
        <f>+ISNUMBER(SEARCH('F-COMPRA'!#REF!,Tabla11[[#This Row],[Cuenta]],1))</f>
        <v>0</v>
      </c>
      <c r="Y304" t="b">
        <f>+ISNUMBER(SEARCH('F-COMPRA'!#REF!,Tabla11[[#This Row],[Cuenta]],1))</f>
        <v>0</v>
      </c>
      <c r="Z304" t="b">
        <f>+ISNUMBER(SEARCH('F-COMPRA'!#REF!,Tabla11[[#This Row],[Cuenta]],1))</f>
        <v>0</v>
      </c>
      <c r="AA304" t="b">
        <f>+ISNUMBER(SEARCH('F-COMPRA'!#REF!,Tabla11[[#This Row],[Cuenta]],1))</f>
        <v>0</v>
      </c>
      <c r="AB304" t="b">
        <f>+ISNUMBER(SEARCH('F-COMPRA'!#REF!,Tabla11[[#This Row],[Cuenta]],1))</f>
        <v>0</v>
      </c>
      <c r="AC304" t="b">
        <f>+ISNUMBER(SEARCH('F-COMPRA'!#REF!,Tabla11[[#This Row],[Cuenta]],1))</f>
        <v>0</v>
      </c>
      <c r="AD304" t="b">
        <f>+ISNUMBER(SEARCH('F-COMPRA'!#REF!,Tabla11[[#This Row],[Cuenta]],1))</f>
        <v>0</v>
      </c>
      <c r="AE304" t="b">
        <f>+ISNUMBER(SEARCH('F-COMPRA'!#REF!,Tabla11[[#This Row],[Cuenta]],1))</f>
        <v>0</v>
      </c>
      <c r="AF304" t="b">
        <f>+ISNUMBER(SEARCH('F-VTA'!$G$23,Tabla11[[#This Row],[Cuenta]],1))</f>
        <v>0</v>
      </c>
      <c r="AG304" t="b">
        <f>+ISNUMBER(SEARCH('F-VTA'!$G$24,Tabla11[[#This Row],[Cuenta]],1))</f>
        <v>0</v>
      </c>
      <c r="AH304" t="b">
        <f>+ISNUMBER(SEARCH('F-VTA'!$G$25,Tabla11[[#This Row],[Cuenta]],1))</f>
        <v>0</v>
      </c>
      <c r="AI304" t="b">
        <f>+ISNUMBER(SEARCH('F-VTA'!$F$28,Tabla11[[#This Row],[Cuenta]],1))</f>
        <v>1</v>
      </c>
      <c r="AJ304" t="b">
        <f>+ISNUMBER(SEARCH('F-VTA'!$F$29,Tabla11[[#This Row],[Cuenta]],1))</f>
        <v>1</v>
      </c>
      <c r="AK304" t="b">
        <f>+ISNUMBER(SEARCH('F-VTA'!$F$30,Tabla11[[#This Row],[Cuenta]],1))</f>
        <v>1</v>
      </c>
      <c r="AL304" t="b">
        <f>+ISNUMBER(SEARCH('F-VTA'!$F$31,Tabla11[[#This Row],[Cuenta]],1))</f>
        <v>1</v>
      </c>
      <c r="AM304" t="b">
        <f>+ISNUMBER(SEARCH('F-VTA'!$F$32,Tabla11[[#This Row],[Cuenta]],1))</f>
        <v>1</v>
      </c>
      <c r="AN304" t="b">
        <f>+ISNUMBER(SEARCH('F-VTA'!$F$33,Tabla11[[#This Row],[Cuenta]],1))</f>
        <v>1</v>
      </c>
      <c r="AO304" t="b">
        <f>+ISNUMBER(SEARCH('F-VTA'!$F$34,Tabla11[[#This Row],[Cuenta]],1))</f>
        <v>1</v>
      </c>
      <c r="AP304" t="b">
        <f>+ISNUMBER(SEARCH('F-VTA'!$F$35,Tabla11[[#This Row],[Cuenta]],1))</f>
        <v>1</v>
      </c>
      <c r="AQ304" t="b">
        <f>+ISNUMBER(SEARCH('F-VTA'!$F$36,Tabla11[[#This Row],[Cuenta]],1))</f>
        <v>1</v>
      </c>
      <c r="AR304" t="b">
        <f>+ISNUMBER(SEARCH(#REF!,Tabla11[[#This Row],[Cuenta]],1))</f>
        <v>0</v>
      </c>
      <c r="AS304" t="b">
        <f>+ISNUMBER(SEARCH(#REF!,Tabla11[[#This Row],[Cuenta]],1))</f>
        <v>0</v>
      </c>
      <c r="AT304" t="b">
        <f>+ISNUMBER(SEARCH(#REF!,Tabla11[[#This Row],[Cuenta]],1))</f>
        <v>0</v>
      </c>
      <c r="AU304" t="b">
        <f>+ISNUMBER(SEARCH('Conc. Ban.1'!$I$9,Tabla11[[#This Row],[Cuenta]],1))</f>
        <v>0</v>
      </c>
      <c r="AV304" t="b">
        <f>+ISNUMBER(SEARCH(CompConta!$F$21,Tabla11[[#This Row],[Cuenta]],1))</f>
        <v>1</v>
      </c>
      <c r="AW304" t="b">
        <f>+ISNUMBER(SEARCH(CompConta!$F$22,Tabla11[[#This Row],[Cuenta]],1))</f>
        <v>1</v>
      </c>
      <c r="AX304" t="b">
        <f>+ISNUMBER(SEARCH(CompConta!$F$23,Tabla11[[#This Row],[Cuenta]],1))</f>
        <v>1</v>
      </c>
      <c r="AY304" t="b">
        <f>+ISNUMBER(SEARCH(CompConta!$F$24,Tabla11[[#This Row],[Cuenta]],1))</f>
        <v>1</v>
      </c>
      <c r="AZ304" t="b">
        <f>+ISNUMBER(SEARCH(CompConta!$F$25,Tabla11[[#This Row],[Cuenta]],1))</f>
        <v>1</v>
      </c>
      <c r="BA304" t="b">
        <f>+ISNUMBER(SEARCH(CompConta!$F$26,Tabla11[[#This Row],[Cuenta]],1))</f>
        <v>1</v>
      </c>
      <c r="BB304" t="b">
        <f>+ISNUMBER(SEARCH(CompConta!$F$27,Tabla11[[#This Row],[Cuenta]],1))</f>
        <v>1</v>
      </c>
      <c r="BC304" t="b">
        <f>+ISNUMBER(SEARCH(CompConta!$F$28,Tabla11[[#This Row],[Cuenta]],1))</f>
        <v>1</v>
      </c>
      <c r="BD304" t="b">
        <f>+ISNUMBER(SEARCH(CompConta!$F$29,Tabla11[[#This Row],[Cuenta]],1))</f>
        <v>1</v>
      </c>
      <c r="BE304" t="b">
        <f>+ISNUMBER(SEARCH(CompConta!$F$30,Tabla11[[#This Row],[Cuenta]],1))</f>
        <v>1</v>
      </c>
      <c r="BF304" t="b">
        <f>+ISNUMBER(SEARCH('PAGO Compras'!$E$11,Tabla11[[#This Row],[Cuenta]],1))</f>
        <v>1</v>
      </c>
      <c r="BG304" t="b">
        <f>+ISNUMBER(SEARCH(#REF!,Tabla11[[#This Row],[Cuenta]],1))</f>
        <v>0</v>
      </c>
      <c r="BH304" t="b">
        <f>+ISNUMBER(SEARCH(#REF!,Tabla11[[#This Row],[Cuenta]],1))</f>
        <v>0</v>
      </c>
      <c r="BI304" t="b">
        <f>+ISNUMBER(SEARCH(#REF!,Tabla11[[#This Row],[Cuenta]],1))</f>
        <v>0</v>
      </c>
      <c r="BJ304" t="b">
        <f>+ISNUMBER(SEARCH(#REF!,Tabla11[[#This Row],[Cuenta]],1))</f>
        <v>0</v>
      </c>
      <c r="BS304" t="str">
        <v>1635 LICENCIAS</v>
      </c>
      <c r="BT304" t="str">
        <v>1635 LICENCIAS</v>
      </c>
      <c r="BU304" t="str">
        <v>1635 LICENCIAS</v>
      </c>
      <c r="BV304" t="str">
        <v>1635 LICENCIAS</v>
      </c>
      <c r="BZ304" t="str">
        <v>1635 LICENCIAS</v>
      </c>
      <c r="CA304" t="str">
        <v>1635 LICENCIAS</v>
      </c>
      <c r="CB304" t="str">
        <v>1635 LICENCIAS</v>
      </c>
      <c r="CC304" t="str">
        <v>1635 LICENCIAS</v>
      </c>
      <c r="CD304" t="str">
        <v>1635 LICENCIAS</v>
      </c>
      <c r="CE304" t="str">
        <v>1635 LICENCIAS</v>
      </c>
      <c r="CS304" s="141" t="str">
        <v>1635 LICENCIAS</v>
      </c>
      <c r="CT304" s="141" t="str">
        <v>1635 LICENCIAS</v>
      </c>
      <c r="CU304" s="141" t="str">
        <v>1635 LICENCIAS</v>
      </c>
      <c r="CV304" s="141" t="str">
        <v>1635 LICENCIAS</v>
      </c>
      <c r="CW304" s="141" t="str">
        <v>1635 LICENCIAS</v>
      </c>
      <c r="CX304" s="141" t="str">
        <v>1635 LICENCIAS</v>
      </c>
      <c r="CY304" s="141" t="str">
        <v>1635 LICENCIAS</v>
      </c>
      <c r="CZ304" s="141" t="str">
        <v>1635 LICENCIAS</v>
      </c>
      <c r="DA304" s="141" t="str">
        <v>1635 LICENCIAS</v>
      </c>
      <c r="DF304" t="str">
        <v>1635 LICENCIAS</v>
      </c>
      <c r="DG304" t="str">
        <v>1635 LICENCIAS</v>
      </c>
      <c r="DH304" t="str">
        <v>1635 LICENCIAS</v>
      </c>
      <c r="DI304" t="str">
        <v>1635 LICENCIAS</v>
      </c>
      <c r="DJ304" t="str">
        <v>1635 LICENCIAS</v>
      </c>
      <c r="DK304" t="str">
        <v>1635 LICENCIAS</v>
      </c>
      <c r="DL304" t="str">
        <v>1635 LICENCIAS</v>
      </c>
      <c r="DM304" t="str">
        <v>1635 LICENCIAS</v>
      </c>
      <c r="DN304" t="str">
        <v>1635 LICENCIAS</v>
      </c>
      <c r="DO304" t="str">
        <v>1635 LICENCIAS</v>
      </c>
      <c r="DP304" t="str">
        <v>1635 LICENCIAS</v>
      </c>
    </row>
    <row r="305" spans="4:120" ht="12.75">
      <c r="D305" s="7">
        <v>163599</v>
      </c>
      <c r="E305" s="6" t="s">
        <v>44</v>
      </c>
      <c r="F305" s="5">
        <v>4</v>
      </c>
      <c r="G305" s="34" t="s">
        <v>822</v>
      </c>
      <c r="H305" s="8" t="s">
        <v>32</v>
      </c>
      <c r="I305" t="b">
        <f>+ISNUMBER(SEARCH('F-COMPRA'!$F$28,Tabla11[[#This Row],[Cuenta]],1))</f>
        <v>1</v>
      </c>
      <c r="J305" t="b">
        <f>+ISNUMBER(SEARCH('F-COMPRA'!$F$29,Tabla11[[#This Row],[Cuenta]],1))</f>
        <v>1</v>
      </c>
      <c r="K305" t="b">
        <f>+ISNUMBER(SEARCH('F-COMPRA'!$F$30,Tabla11[[#This Row],[Cuenta]],1))</f>
        <v>1</v>
      </c>
      <c r="L305" t="b">
        <f>+ISNUMBER(SEARCH('F-COMPRA'!$F$31,Tabla11[[#This Row],[Cuenta]],1))</f>
        <v>1</v>
      </c>
      <c r="M305" t="b">
        <f>+ISNUMBER(SEARCH('F-COMPRA'!$G$25,Tabla11[[#This Row],[Cuenta]],1))</f>
        <v>0</v>
      </c>
      <c r="N305" t="b">
        <f>+ISNUMBER(SEARCH(#REF!,Tabla11[[#This Row],[Cuenta]],1))</f>
        <v>0</v>
      </c>
      <c r="O305" t="b">
        <f>+ISNUMBER(SEARCH(#REF!,Tabla11[[#This Row],[Cuenta]],1))</f>
        <v>0</v>
      </c>
      <c r="P305" t="b">
        <f>+ISNUMBER(SEARCH('F-COMPRA'!$F$32,Tabla11[[#This Row],[Cuenta]],1))</f>
        <v>1</v>
      </c>
      <c r="Q305" t="b">
        <f>+ISNUMBER(SEARCH('F-COMPRA'!$F$33,Tabla11[[#This Row],[Cuenta]],1))</f>
        <v>1</v>
      </c>
      <c r="R305" t="b">
        <f>+ISNUMBER(SEARCH('F-COMPRA'!$F$34,Tabla11[[#This Row],[Cuenta]],1))</f>
        <v>1</v>
      </c>
      <c r="S305" t="b">
        <f>+ISNUMBER(SEARCH('F-COMPRA'!$F$35,Tabla11[[#This Row],[Cuenta]],1))</f>
        <v>1</v>
      </c>
      <c r="T305" t="b">
        <f>+ISNUMBER(SEARCH('F-COMPRA'!$F$36,Tabla11[[#This Row],[Cuenta]],1))</f>
        <v>1</v>
      </c>
      <c r="U305" t="b">
        <f>+ISNUMBER(SEARCH('F-COMPRA'!$F$37,Tabla11[[#This Row],[Cuenta]],1))</f>
        <v>1</v>
      </c>
      <c r="V305" t="b">
        <f>+ISNUMBER(SEARCH(#REF!,Tabla11[[#This Row],[Cuenta]],1))</f>
        <v>0</v>
      </c>
      <c r="W305" t="b">
        <f>+ISNUMBER(SEARCH('F-COMPRA'!#REF!,Tabla11[[#This Row],[Cuenta]],1))</f>
        <v>0</v>
      </c>
      <c r="X305" t="b">
        <f>+ISNUMBER(SEARCH('F-COMPRA'!#REF!,Tabla11[[#This Row],[Cuenta]],1))</f>
        <v>0</v>
      </c>
      <c r="Y305" t="b">
        <f>+ISNUMBER(SEARCH('F-COMPRA'!#REF!,Tabla11[[#This Row],[Cuenta]],1))</f>
        <v>0</v>
      </c>
      <c r="Z305" t="b">
        <f>+ISNUMBER(SEARCH('F-COMPRA'!#REF!,Tabla11[[#This Row],[Cuenta]],1))</f>
        <v>0</v>
      </c>
      <c r="AA305" t="b">
        <f>+ISNUMBER(SEARCH('F-COMPRA'!#REF!,Tabla11[[#This Row],[Cuenta]],1))</f>
        <v>0</v>
      </c>
      <c r="AB305" t="b">
        <f>+ISNUMBER(SEARCH('F-COMPRA'!#REF!,Tabla11[[#This Row],[Cuenta]],1))</f>
        <v>0</v>
      </c>
      <c r="AC305" t="b">
        <f>+ISNUMBER(SEARCH('F-COMPRA'!#REF!,Tabla11[[#This Row],[Cuenta]],1))</f>
        <v>0</v>
      </c>
      <c r="AD305" t="b">
        <f>+ISNUMBER(SEARCH('F-COMPRA'!#REF!,Tabla11[[#This Row],[Cuenta]],1))</f>
        <v>0</v>
      </c>
      <c r="AE305" t="b">
        <f>+ISNUMBER(SEARCH('F-COMPRA'!#REF!,Tabla11[[#This Row],[Cuenta]],1))</f>
        <v>0</v>
      </c>
      <c r="AF305" t="b">
        <f>+ISNUMBER(SEARCH('F-VTA'!$G$23,Tabla11[[#This Row],[Cuenta]],1))</f>
        <v>0</v>
      </c>
      <c r="AG305" t="b">
        <f>+ISNUMBER(SEARCH('F-VTA'!$G$24,Tabla11[[#This Row],[Cuenta]],1))</f>
        <v>0</v>
      </c>
      <c r="AH305" t="b">
        <f>+ISNUMBER(SEARCH('F-VTA'!$G$25,Tabla11[[#This Row],[Cuenta]],1))</f>
        <v>0</v>
      </c>
      <c r="AI305" t="b">
        <f>+ISNUMBER(SEARCH('F-VTA'!$F$28,Tabla11[[#This Row],[Cuenta]],1))</f>
        <v>1</v>
      </c>
      <c r="AJ305" t="b">
        <f>+ISNUMBER(SEARCH('F-VTA'!$F$29,Tabla11[[#This Row],[Cuenta]],1))</f>
        <v>1</v>
      </c>
      <c r="AK305" t="b">
        <f>+ISNUMBER(SEARCH('F-VTA'!$F$30,Tabla11[[#This Row],[Cuenta]],1))</f>
        <v>1</v>
      </c>
      <c r="AL305" t="b">
        <f>+ISNUMBER(SEARCH('F-VTA'!$F$31,Tabla11[[#This Row],[Cuenta]],1))</f>
        <v>1</v>
      </c>
      <c r="AM305" t="b">
        <f>+ISNUMBER(SEARCH('F-VTA'!$F$32,Tabla11[[#This Row],[Cuenta]],1))</f>
        <v>1</v>
      </c>
      <c r="AN305" t="b">
        <f>+ISNUMBER(SEARCH('F-VTA'!$F$33,Tabla11[[#This Row],[Cuenta]],1))</f>
        <v>1</v>
      </c>
      <c r="AO305" t="b">
        <f>+ISNUMBER(SEARCH('F-VTA'!$F$34,Tabla11[[#This Row],[Cuenta]],1))</f>
        <v>1</v>
      </c>
      <c r="AP305" t="b">
        <f>+ISNUMBER(SEARCH('F-VTA'!$F$35,Tabla11[[#This Row],[Cuenta]],1))</f>
        <v>1</v>
      </c>
      <c r="AQ305" t="b">
        <f>+ISNUMBER(SEARCH('F-VTA'!$F$36,Tabla11[[#This Row],[Cuenta]],1))</f>
        <v>1</v>
      </c>
      <c r="AR305" t="b">
        <f>+ISNUMBER(SEARCH(#REF!,Tabla11[[#This Row],[Cuenta]],1))</f>
        <v>0</v>
      </c>
      <c r="AS305" t="b">
        <f>+ISNUMBER(SEARCH(#REF!,Tabla11[[#This Row],[Cuenta]],1))</f>
        <v>0</v>
      </c>
      <c r="AT305" t="b">
        <f>+ISNUMBER(SEARCH(#REF!,Tabla11[[#This Row],[Cuenta]],1))</f>
        <v>0</v>
      </c>
      <c r="AU305" t="b">
        <f>+ISNUMBER(SEARCH('Conc. Ban.1'!$I$9,Tabla11[[#This Row],[Cuenta]],1))</f>
        <v>0</v>
      </c>
      <c r="AV305" t="b">
        <f>+ISNUMBER(SEARCH(CompConta!$F$21,Tabla11[[#This Row],[Cuenta]],1))</f>
        <v>1</v>
      </c>
      <c r="AW305" t="b">
        <f>+ISNUMBER(SEARCH(CompConta!$F$22,Tabla11[[#This Row],[Cuenta]],1))</f>
        <v>1</v>
      </c>
      <c r="AX305" t="b">
        <f>+ISNUMBER(SEARCH(CompConta!$F$23,Tabla11[[#This Row],[Cuenta]],1))</f>
        <v>1</v>
      </c>
      <c r="AY305" t="b">
        <f>+ISNUMBER(SEARCH(CompConta!$F$24,Tabla11[[#This Row],[Cuenta]],1))</f>
        <v>1</v>
      </c>
      <c r="AZ305" t="b">
        <f>+ISNUMBER(SEARCH(CompConta!$F$25,Tabla11[[#This Row],[Cuenta]],1))</f>
        <v>1</v>
      </c>
      <c r="BA305" t="b">
        <f>+ISNUMBER(SEARCH(CompConta!$F$26,Tabla11[[#This Row],[Cuenta]],1))</f>
        <v>1</v>
      </c>
      <c r="BB305" t="b">
        <f>+ISNUMBER(SEARCH(CompConta!$F$27,Tabla11[[#This Row],[Cuenta]],1))</f>
        <v>1</v>
      </c>
      <c r="BC305" t="b">
        <f>+ISNUMBER(SEARCH(CompConta!$F$28,Tabla11[[#This Row],[Cuenta]],1))</f>
        <v>1</v>
      </c>
      <c r="BD305" t="b">
        <f>+ISNUMBER(SEARCH(CompConta!$F$29,Tabla11[[#This Row],[Cuenta]],1))</f>
        <v>1</v>
      </c>
      <c r="BE305" t="b">
        <f>+ISNUMBER(SEARCH(CompConta!$F$30,Tabla11[[#This Row],[Cuenta]],1))</f>
        <v>1</v>
      </c>
      <c r="BF305" t="b">
        <f>+ISNUMBER(SEARCH('PAGO Compras'!$E$11,Tabla11[[#This Row],[Cuenta]],1))</f>
        <v>1</v>
      </c>
      <c r="BG305" t="b">
        <f>+ISNUMBER(SEARCH(#REF!,Tabla11[[#This Row],[Cuenta]],1))</f>
        <v>0</v>
      </c>
      <c r="BH305" t="b">
        <f>+ISNUMBER(SEARCH(#REF!,Tabla11[[#This Row],[Cuenta]],1))</f>
        <v>0</v>
      </c>
      <c r="BI305" t="b">
        <f>+ISNUMBER(SEARCH(#REF!,Tabla11[[#This Row],[Cuenta]],1))</f>
        <v>0</v>
      </c>
      <c r="BJ305" t="b">
        <f>+ISNUMBER(SEARCH(#REF!,Tabla11[[#This Row],[Cuenta]],1))</f>
        <v>0</v>
      </c>
      <c r="BS305" t="str">
        <v>163599 Ajustes por inflación</v>
      </c>
      <c r="BT305" t="str">
        <v>163599 Ajustes por inflación</v>
      </c>
      <c r="BU305" t="str">
        <v>163599 Ajustes por inflación</v>
      </c>
      <c r="BV305" t="str">
        <v>163599 Ajustes por inflación</v>
      </c>
      <c r="BZ305" t="str">
        <v>163599 Ajustes por inflación</v>
      </c>
      <c r="CA305" t="str">
        <v>163599 Ajustes por inflación</v>
      </c>
      <c r="CB305" t="str">
        <v>163599 Ajustes por inflación</v>
      </c>
      <c r="CC305" t="str">
        <v>163599 Ajustes por inflación</v>
      </c>
      <c r="CD305" t="str">
        <v>163599 Ajustes por inflación</v>
      </c>
      <c r="CE305" t="str">
        <v>163599 Ajustes por inflación</v>
      </c>
      <c r="CS305" s="141" t="str">
        <v>163599 Ajustes por inflación</v>
      </c>
      <c r="CT305" s="141" t="str">
        <v>163599 Ajustes por inflación</v>
      </c>
      <c r="CU305" s="141" t="str">
        <v>163599 Ajustes por inflación</v>
      </c>
      <c r="CV305" s="141" t="str">
        <v>163599 Ajustes por inflación</v>
      </c>
      <c r="CW305" s="141" t="str">
        <v>163599 Ajustes por inflación</v>
      </c>
      <c r="CX305" s="141" t="str">
        <v>163599 Ajustes por inflación</v>
      </c>
      <c r="CY305" s="141" t="str">
        <v>163599 Ajustes por inflación</v>
      </c>
      <c r="CZ305" s="141" t="str">
        <v>163599 Ajustes por inflación</v>
      </c>
      <c r="DA305" s="141" t="str">
        <v>163599 Ajustes por inflación</v>
      </c>
      <c r="DF305" t="str">
        <v>163599 Ajustes por inflación</v>
      </c>
      <c r="DG305" t="str">
        <v>163599 Ajustes por inflación</v>
      </c>
      <c r="DH305" t="str">
        <v>163599 Ajustes por inflación</v>
      </c>
      <c r="DI305" t="str">
        <v>163599 Ajustes por inflación</v>
      </c>
      <c r="DJ305" t="str">
        <v>163599 Ajustes por inflación</v>
      </c>
      <c r="DK305" t="str">
        <v>163599 Ajustes por inflación</v>
      </c>
      <c r="DL305" t="str">
        <v>163599 Ajustes por inflación</v>
      </c>
      <c r="DM305" t="str">
        <v>163599 Ajustes por inflación</v>
      </c>
      <c r="DN305" t="str">
        <v>163599 Ajustes por inflación</v>
      </c>
      <c r="DO305" t="str">
        <v>163599 Ajustes por inflación</v>
      </c>
      <c r="DP305" t="str">
        <v>163599 Ajustes por inflación</v>
      </c>
    </row>
    <row r="306" spans="4:120" ht="12.75">
      <c r="D306" s="7">
        <v>1698</v>
      </c>
      <c r="E306" s="6" t="s">
        <v>249</v>
      </c>
      <c r="F306" s="5">
        <v>3</v>
      </c>
      <c r="G306" s="34" t="s">
        <v>822</v>
      </c>
      <c r="H306" s="8" t="s">
        <v>32</v>
      </c>
      <c r="I306" t="b">
        <f>+ISNUMBER(SEARCH('F-COMPRA'!$F$28,Tabla11[[#This Row],[Cuenta]],1))</f>
        <v>1</v>
      </c>
      <c r="J306" t="b">
        <f>+ISNUMBER(SEARCH('F-COMPRA'!$F$29,Tabla11[[#This Row],[Cuenta]],1))</f>
        <v>1</v>
      </c>
      <c r="K306" t="b">
        <f>+ISNUMBER(SEARCH('F-COMPRA'!$F$30,Tabla11[[#This Row],[Cuenta]],1))</f>
        <v>1</v>
      </c>
      <c r="L306" t="b">
        <f>+ISNUMBER(SEARCH('F-COMPRA'!$F$31,Tabla11[[#This Row],[Cuenta]],1))</f>
        <v>1</v>
      </c>
      <c r="M306" t="b">
        <f>+ISNUMBER(SEARCH('F-COMPRA'!$G$25,Tabla11[[#This Row],[Cuenta]],1))</f>
        <v>0</v>
      </c>
      <c r="N306" t="b">
        <f>+ISNUMBER(SEARCH(#REF!,Tabla11[[#This Row],[Cuenta]],1))</f>
        <v>0</v>
      </c>
      <c r="O306" t="b">
        <f>+ISNUMBER(SEARCH(#REF!,Tabla11[[#This Row],[Cuenta]],1))</f>
        <v>0</v>
      </c>
      <c r="P306" t="b">
        <f>+ISNUMBER(SEARCH('F-COMPRA'!$F$32,Tabla11[[#This Row],[Cuenta]],1))</f>
        <v>1</v>
      </c>
      <c r="Q306" t="b">
        <f>+ISNUMBER(SEARCH('F-COMPRA'!$F$33,Tabla11[[#This Row],[Cuenta]],1))</f>
        <v>1</v>
      </c>
      <c r="R306" t="b">
        <f>+ISNUMBER(SEARCH('F-COMPRA'!$F$34,Tabla11[[#This Row],[Cuenta]],1))</f>
        <v>1</v>
      </c>
      <c r="S306" t="b">
        <f>+ISNUMBER(SEARCH('F-COMPRA'!$F$35,Tabla11[[#This Row],[Cuenta]],1))</f>
        <v>1</v>
      </c>
      <c r="T306" t="b">
        <f>+ISNUMBER(SEARCH('F-COMPRA'!$F$36,Tabla11[[#This Row],[Cuenta]],1))</f>
        <v>1</v>
      </c>
      <c r="U306" t="b">
        <f>+ISNUMBER(SEARCH('F-COMPRA'!$F$37,Tabla11[[#This Row],[Cuenta]],1))</f>
        <v>1</v>
      </c>
      <c r="V306" t="b">
        <f>+ISNUMBER(SEARCH(#REF!,Tabla11[[#This Row],[Cuenta]],1))</f>
        <v>0</v>
      </c>
      <c r="W306" t="b">
        <f>+ISNUMBER(SEARCH('F-COMPRA'!#REF!,Tabla11[[#This Row],[Cuenta]],1))</f>
        <v>0</v>
      </c>
      <c r="X306" t="b">
        <f>+ISNUMBER(SEARCH('F-COMPRA'!#REF!,Tabla11[[#This Row],[Cuenta]],1))</f>
        <v>0</v>
      </c>
      <c r="Y306" t="b">
        <f>+ISNUMBER(SEARCH('F-COMPRA'!#REF!,Tabla11[[#This Row],[Cuenta]],1))</f>
        <v>0</v>
      </c>
      <c r="Z306" t="b">
        <f>+ISNUMBER(SEARCH('F-COMPRA'!#REF!,Tabla11[[#This Row],[Cuenta]],1))</f>
        <v>0</v>
      </c>
      <c r="AA306" t="b">
        <f>+ISNUMBER(SEARCH('F-COMPRA'!#REF!,Tabla11[[#This Row],[Cuenta]],1))</f>
        <v>0</v>
      </c>
      <c r="AB306" t="b">
        <f>+ISNUMBER(SEARCH('F-COMPRA'!#REF!,Tabla11[[#This Row],[Cuenta]],1))</f>
        <v>0</v>
      </c>
      <c r="AC306" t="b">
        <f>+ISNUMBER(SEARCH('F-COMPRA'!#REF!,Tabla11[[#This Row],[Cuenta]],1))</f>
        <v>0</v>
      </c>
      <c r="AD306" t="b">
        <f>+ISNUMBER(SEARCH('F-COMPRA'!#REF!,Tabla11[[#This Row],[Cuenta]],1))</f>
        <v>0</v>
      </c>
      <c r="AE306" t="b">
        <f>+ISNUMBER(SEARCH('F-COMPRA'!#REF!,Tabla11[[#This Row],[Cuenta]],1))</f>
        <v>0</v>
      </c>
      <c r="AF306" t="b">
        <f>+ISNUMBER(SEARCH('F-VTA'!$G$23,Tabla11[[#This Row],[Cuenta]],1))</f>
        <v>0</v>
      </c>
      <c r="AG306" t="b">
        <f>+ISNUMBER(SEARCH('F-VTA'!$G$24,Tabla11[[#This Row],[Cuenta]],1))</f>
        <v>0</v>
      </c>
      <c r="AH306" t="b">
        <f>+ISNUMBER(SEARCH('F-VTA'!$G$25,Tabla11[[#This Row],[Cuenta]],1))</f>
        <v>0</v>
      </c>
      <c r="AI306" t="b">
        <f>+ISNUMBER(SEARCH('F-VTA'!$F$28,Tabla11[[#This Row],[Cuenta]],1))</f>
        <v>1</v>
      </c>
      <c r="AJ306" t="b">
        <f>+ISNUMBER(SEARCH('F-VTA'!$F$29,Tabla11[[#This Row],[Cuenta]],1))</f>
        <v>1</v>
      </c>
      <c r="AK306" t="b">
        <f>+ISNUMBER(SEARCH('F-VTA'!$F$30,Tabla11[[#This Row],[Cuenta]],1))</f>
        <v>1</v>
      </c>
      <c r="AL306" t="b">
        <f>+ISNUMBER(SEARCH('F-VTA'!$F$31,Tabla11[[#This Row],[Cuenta]],1))</f>
        <v>1</v>
      </c>
      <c r="AM306" t="b">
        <f>+ISNUMBER(SEARCH('F-VTA'!$F$32,Tabla11[[#This Row],[Cuenta]],1))</f>
        <v>1</v>
      </c>
      <c r="AN306" t="b">
        <f>+ISNUMBER(SEARCH('F-VTA'!$F$33,Tabla11[[#This Row],[Cuenta]],1))</f>
        <v>1</v>
      </c>
      <c r="AO306" t="b">
        <f>+ISNUMBER(SEARCH('F-VTA'!$F$34,Tabla11[[#This Row],[Cuenta]],1))</f>
        <v>1</v>
      </c>
      <c r="AP306" t="b">
        <f>+ISNUMBER(SEARCH('F-VTA'!$F$35,Tabla11[[#This Row],[Cuenta]],1))</f>
        <v>1</v>
      </c>
      <c r="AQ306" t="b">
        <f>+ISNUMBER(SEARCH('F-VTA'!$F$36,Tabla11[[#This Row],[Cuenta]],1))</f>
        <v>1</v>
      </c>
      <c r="AR306" t="b">
        <f>+ISNUMBER(SEARCH(#REF!,Tabla11[[#This Row],[Cuenta]],1))</f>
        <v>0</v>
      </c>
      <c r="AS306" t="b">
        <f>+ISNUMBER(SEARCH(#REF!,Tabla11[[#This Row],[Cuenta]],1))</f>
        <v>0</v>
      </c>
      <c r="AT306" t="b">
        <f>+ISNUMBER(SEARCH(#REF!,Tabla11[[#This Row],[Cuenta]],1))</f>
        <v>0</v>
      </c>
      <c r="AU306" t="b">
        <f>+ISNUMBER(SEARCH('Conc. Ban.1'!$I$9,Tabla11[[#This Row],[Cuenta]],1))</f>
        <v>0</v>
      </c>
      <c r="AV306" t="b">
        <f>+ISNUMBER(SEARCH(CompConta!$F$21,Tabla11[[#This Row],[Cuenta]],1))</f>
        <v>1</v>
      </c>
      <c r="AW306" t="b">
        <f>+ISNUMBER(SEARCH(CompConta!$F$22,Tabla11[[#This Row],[Cuenta]],1))</f>
        <v>1</v>
      </c>
      <c r="AX306" t="b">
        <f>+ISNUMBER(SEARCH(CompConta!$F$23,Tabla11[[#This Row],[Cuenta]],1))</f>
        <v>1</v>
      </c>
      <c r="AY306" t="b">
        <f>+ISNUMBER(SEARCH(CompConta!$F$24,Tabla11[[#This Row],[Cuenta]],1))</f>
        <v>1</v>
      </c>
      <c r="AZ306" t="b">
        <f>+ISNUMBER(SEARCH(CompConta!$F$25,Tabla11[[#This Row],[Cuenta]],1))</f>
        <v>1</v>
      </c>
      <c r="BA306" t="b">
        <f>+ISNUMBER(SEARCH(CompConta!$F$26,Tabla11[[#This Row],[Cuenta]],1))</f>
        <v>1</v>
      </c>
      <c r="BB306" t="b">
        <f>+ISNUMBER(SEARCH(CompConta!$F$27,Tabla11[[#This Row],[Cuenta]],1))</f>
        <v>1</v>
      </c>
      <c r="BC306" t="b">
        <f>+ISNUMBER(SEARCH(CompConta!$F$28,Tabla11[[#This Row],[Cuenta]],1))</f>
        <v>1</v>
      </c>
      <c r="BD306" t="b">
        <f>+ISNUMBER(SEARCH(CompConta!$F$29,Tabla11[[#This Row],[Cuenta]],1))</f>
        <v>1</v>
      </c>
      <c r="BE306" t="b">
        <f>+ISNUMBER(SEARCH(CompConta!$F$30,Tabla11[[#This Row],[Cuenta]],1))</f>
        <v>1</v>
      </c>
      <c r="BF306" t="b">
        <f>+ISNUMBER(SEARCH('PAGO Compras'!$E$11,Tabla11[[#This Row],[Cuenta]],1))</f>
        <v>1</v>
      </c>
      <c r="BG306" t="b">
        <f>+ISNUMBER(SEARCH(#REF!,Tabla11[[#This Row],[Cuenta]],1))</f>
        <v>0</v>
      </c>
      <c r="BH306" t="b">
        <f>+ISNUMBER(SEARCH(#REF!,Tabla11[[#This Row],[Cuenta]],1))</f>
        <v>0</v>
      </c>
      <c r="BI306" t="b">
        <f>+ISNUMBER(SEARCH(#REF!,Tabla11[[#This Row],[Cuenta]],1))</f>
        <v>0</v>
      </c>
      <c r="BJ306" t="b">
        <f>+ISNUMBER(SEARCH(#REF!,Tabla11[[#This Row],[Cuenta]],1))</f>
        <v>0</v>
      </c>
      <c r="BS306" t="str">
        <v>1698 DEPRECIACIÓN Y/O AMORTIZACIÓN ACUMULADA</v>
      </c>
      <c r="BT306" t="str">
        <v>1698 DEPRECIACIÓN Y/O AMORTIZACIÓN ACUMULADA</v>
      </c>
      <c r="BU306" t="str">
        <v>1698 DEPRECIACIÓN Y/O AMORTIZACIÓN ACUMULADA</v>
      </c>
      <c r="BV306" t="str">
        <v>1698 DEPRECIACIÓN Y/O AMORTIZACIÓN ACUMULADA</v>
      </c>
      <c r="BZ306" t="str">
        <v>1698 DEPRECIACIÓN Y/O AMORTIZACIÓN ACUMULADA</v>
      </c>
      <c r="CA306" t="str">
        <v>1698 DEPRECIACIÓN Y/O AMORTIZACIÓN ACUMULADA</v>
      </c>
      <c r="CB306" t="str">
        <v>1698 DEPRECIACIÓN Y/O AMORTIZACIÓN ACUMULADA</v>
      </c>
      <c r="CC306" t="str">
        <v>1698 DEPRECIACIÓN Y/O AMORTIZACIÓN ACUMULADA</v>
      </c>
      <c r="CD306" t="str">
        <v>1698 DEPRECIACIÓN Y/O AMORTIZACIÓN ACUMULADA</v>
      </c>
      <c r="CE306" t="str">
        <v>1698 DEPRECIACIÓN Y/O AMORTIZACIÓN ACUMULADA</v>
      </c>
      <c r="CS306" s="141" t="str">
        <v>1698 DEPRECIACIÓN Y/O AMORTIZACIÓN ACUMULADA</v>
      </c>
      <c r="CT306" s="141" t="str">
        <v>1698 DEPRECIACIÓN Y/O AMORTIZACIÓN ACUMULADA</v>
      </c>
      <c r="CU306" s="141" t="str">
        <v>1698 DEPRECIACIÓN Y/O AMORTIZACIÓN ACUMULADA</v>
      </c>
      <c r="CV306" s="141" t="str">
        <v>1698 DEPRECIACIÓN Y/O AMORTIZACIÓN ACUMULADA</v>
      </c>
      <c r="CW306" s="141" t="str">
        <v>1698 DEPRECIACIÓN Y/O AMORTIZACIÓN ACUMULADA</v>
      </c>
      <c r="CX306" s="141" t="str">
        <v>1698 DEPRECIACIÓN Y/O AMORTIZACIÓN ACUMULADA</v>
      </c>
      <c r="CY306" s="141" t="str">
        <v>1698 DEPRECIACIÓN Y/O AMORTIZACIÓN ACUMULADA</v>
      </c>
      <c r="CZ306" s="141" t="str">
        <v>1698 DEPRECIACIÓN Y/O AMORTIZACIÓN ACUMULADA</v>
      </c>
      <c r="DA306" s="141" t="str">
        <v>1698 DEPRECIACIÓN Y/O AMORTIZACIÓN ACUMULADA</v>
      </c>
      <c r="DF306" t="str">
        <v>1698 DEPRECIACIÓN Y/O AMORTIZACIÓN ACUMULADA</v>
      </c>
      <c r="DG306" t="str">
        <v>1698 DEPRECIACIÓN Y/O AMORTIZACIÓN ACUMULADA</v>
      </c>
      <c r="DH306" t="str">
        <v>1698 DEPRECIACIÓN Y/O AMORTIZACIÓN ACUMULADA</v>
      </c>
      <c r="DI306" t="str">
        <v>1698 DEPRECIACIÓN Y/O AMORTIZACIÓN ACUMULADA</v>
      </c>
      <c r="DJ306" t="str">
        <v>1698 DEPRECIACIÓN Y/O AMORTIZACIÓN ACUMULADA</v>
      </c>
      <c r="DK306" t="str">
        <v>1698 DEPRECIACIÓN Y/O AMORTIZACIÓN ACUMULADA</v>
      </c>
      <c r="DL306" t="str">
        <v>1698 DEPRECIACIÓN Y/O AMORTIZACIÓN ACUMULADA</v>
      </c>
      <c r="DM306" t="str">
        <v>1698 DEPRECIACIÓN Y/O AMORTIZACIÓN ACUMULADA</v>
      </c>
      <c r="DN306" t="str">
        <v>1698 DEPRECIACIÓN Y/O AMORTIZACIÓN ACUMULADA</v>
      </c>
      <c r="DO306" t="str">
        <v>1698 DEPRECIACIÓN Y/O AMORTIZACIÓN ACUMULADA</v>
      </c>
      <c r="DP306" t="str">
        <v>1698 DEPRECIACIÓN Y/O AMORTIZACIÓN ACUMULADA</v>
      </c>
    </row>
    <row r="307" spans="4:120" ht="12.75">
      <c r="D307" s="7">
        <v>169805</v>
      </c>
      <c r="E307" s="6" t="s">
        <v>250</v>
      </c>
      <c r="F307" s="5">
        <v>4</v>
      </c>
      <c r="G307" s="34" t="s">
        <v>822</v>
      </c>
      <c r="H307" s="8" t="s">
        <v>32</v>
      </c>
      <c r="I307" t="b">
        <f>+ISNUMBER(SEARCH('F-COMPRA'!$F$28,Tabla11[[#This Row],[Cuenta]],1))</f>
        <v>1</v>
      </c>
      <c r="J307" t="b">
        <f>+ISNUMBER(SEARCH('F-COMPRA'!$F$29,Tabla11[[#This Row],[Cuenta]],1))</f>
        <v>1</v>
      </c>
      <c r="K307" t="b">
        <f>+ISNUMBER(SEARCH('F-COMPRA'!$F$30,Tabla11[[#This Row],[Cuenta]],1))</f>
        <v>1</v>
      </c>
      <c r="L307" t="b">
        <f>+ISNUMBER(SEARCH('F-COMPRA'!$F$31,Tabla11[[#This Row],[Cuenta]],1))</f>
        <v>1</v>
      </c>
      <c r="M307" t="b">
        <f>+ISNUMBER(SEARCH('F-COMPRA'!$G$25,Tabla11[[#This Row],[Cuenta]],1))</f>
        <v>0</v>
      </c>
      <c r="N307" t="b">
        <f>+ISNUMBER(SEARCH(#REF!,Tabla11[[#This Row],[Cuenta]],1))</f>
        <v>0</v>
      </c>
      <c r="O307" t="b">
        <f>+ISNUMBER(SEARCH(#REF!,Tabla11[[#This Row],[Cuenta]],1))</f>
        <v>0</v>
      </c>
      <c r="P307" t="b">
        <f>+ISNUMBER(SEARCH('F-COMPRA'!$F$32,Tabla11[[#This Row],[Cuenta]],1))</f>
        <v>1</v>
      </c>
      <c r="Q307" t="b">
        <f>+ISNUMBER(SEARCH('F-COMPRA'!$F$33,Tabla11[[#This Row],[Cuenta]],1))</f>
        <v>1</v>
      </c>
      <c r="R307" t="b">
        <f>+ISNUMBER(SEARCH('F-COMPRA'!$F$34,Tabla11[[#This Row],[Cuenta]],1))</f>
        <v>1</v>
      </c>
      <c r="S307" t="b">
        <f>+ISNUMBER(SEARCH('F-COMPRA'!$F$35,Tabla11[[#This Row],[Cuenta]],1))</f>
        <v>1</v>
      </c>
      <c r="T307" t="b">
        <f>+ISNUMBER(SEARCH('F-COMPRA'!$F$36,Tabla11[[#This Row],[Cuenta]],1))</f>
        <v>1</v>
      </c>
      <c r="U307" t="b">
        <f>+ISNUMBER(SEARCH('F-COMPRA'!$F$37,Tabla11[[#This Row],[Cuenta]],1))</f>
        <v>1</v>
      </c>
      <c r="V307" t="b">
        <f>+ISNUMBER(SEARCH(#REF!,Tabla11[[#This Row],[Cuenta]],1))</f>
        <v>0</v>
      </c>
      <c r="W307" t="b">
        <f>+ISNUMBER(SEARCH('F-COMPRA'!#REF!,Tabla11[[#This Row],[Cuenta]],1))</f>
        <v>0</v>
      </c>
      <c r="X307" t="b">
        <f>+ISNUMBER(SEARCH('F-COMPRA'!#REF!,Tabla11[[#This Row],[Cuenta]],1))</f>
        <v>0</v>
      </c>
      <c r="Y307" t="b">
        <f>+ISNUMBER(SEARCH('F-COMPRA'!#REF!,Tabla11[[#This Row],[Cuenta]],1))</f>
        <v>0</v>
      </c>
      <c r="Z307" t="b">
        <f>+ISNUMBER(SEARCH('F-COMPRA'!#REF!,Tabla11[[#This Row],[Cuenta]],1))</f>
        <v>0</v>
      </c>
      <c r="AA307" t="b">
        <f>+ISNUMBER(SEARCH('F-COMPRA'!#REF!,Tabla11[[#This Row],[Cuenta]],1))</f>
        <v>0</v>
      </c>
      <c r="AB307" t="b">
        <f>+ISNUMBER(SEARCH('F-COMPRA'!#REF!,Tabla11[[#This Row],[Cuenta]],1))</f>
        <v>0</v>
      </c>
      <c r="AC307" t="b">
        <f>+ISNUMBER(SEARCH('F-COMPRA'!#REF!,Tabla11[[#This Row],[Cuenta]],1))</f>
        <v>0</v>
      </c>
      <c r="AD307" t="b">
        <f>+ISNUMBER(SEARCH('F-COMPRA'!#REF!,Tabla11[[#This Row],[Cuenta]],1))</f>
        <v>0</v>
      </c>
      <c r="AE307" t="b">
        <f>+ISNUMBER(SEARCH('F-COMPRA'!#REF!,Tabla11[[#This Row],[Cuenta]],1))</f>
        <v>0</v>
      </c>
      <c r="AF307" t="b">
        <f>+ISNUMBER(SEARCH('F-VTA'!$G$23,Tabla11[[#This Row],[Cuenta]],1))</f>
        <v>0</v>
      </c>
      <c r="AG307" t="b">
        <f>+ISNUMBER(SEARCH('F-VTA'!$G$24,Tabla11[[#This Row],[Cuenta]],1))</f>
        <v>0</v>
      </c>
      <c r="AH307" t="b">
        <f>+ISNUMBER(SEARCH('F-VTA'!$G$25,Tabla11[[#This Row],[Cuenta]],1))</f>
        <v>0</v>
      </c>
      <c r="AI307" t="b">
        <f>+ISNUMBER(SEARCH('F-VTA'!$F$28,Tabla11[[#This Row],[Cuenta]],1))</f>
        <v>1</v>
      </c>
      <c r="AJ307" t="b">
        <f>+ISNUMBER(SEARCH('F-VTA'!$F$29,Tabla11[[#This Row],[Cuenta]],1))</f>
        <v>1</v>
      </c>
      <c r="AK307" t="b">
        <f>+ISNUMBER(SEARCH('F-VTA'!$F$30,Tabla11[[#This Row],[Cuenta]],1))</f>
        <v>1</v>
      </c>
      <c r="AL307" t="b">
        <f>+ISNUMBER(SEARCH('F-VTA'!$F$31,Tabla11[[#This Row],[Cuenta]],1))</f>
        <v>1</v>
      </c>
      <c r="AM307" t="b">
        <f>+ISNUMBER(SEARCH('F-VTA'!$F$32,Tabla11[[#This Row],[Cuenta]],1))</f>
        <v>1</v>
      </c>
      <c r="AN307" t="b">
        <f>+ISNUMBER(SEARCH('F-VTA'!$F$33,Tabla11[[#This Row],[Cuenta]],1))</f>
        <v>1</v>
      </c>
      <c r="AO307" t="b">
        <f>+ISNUMBER(SEARCH('F-VTA'!$F$34,Tabla11[[#This Row],[Cuenta]],1))</f>
        <v>1</v>
      </c>
      <c r="AP307" t="b">
        <f>+ISNUMBER(SEARCH('F-VTA'!$F$35,Tabla11[[#This Row],[Cuenta]],1))</f>
        <v>1</v>
      </c>
      <c r="AQ307" t="b">
        <f>+ISNUMBER(SEARCH('F-VTA'!$F$36,Tabla11[[#This Row],[Cuenta]],1))</f>
        <v>1</v>
      </c>
      <c r="AR307" t="b">
        <f>+ISNUMBER(SEARCH(#REF!,Tabla11[[#This Row],[Cuenta]],1))</f>
        <v>0</v>
      </c>
      <c r="AS307" t="b">
        <f>+ISNUMBER(SEARCH(#REF!,Tabla11[[#This Row],[Cuenta]],1))</f>
        <v>0</v>
      </c>
      <c r="AT307" t="b">
        <f>+ISNUMBER(SEARCH(#REF!,Tabla11[[#This Row],[Cuenta]],1))</f>
        <v>0</v>
      </c>
      <c r="AU307" t="b">
        <f>+ISNUMBER(SEARCH('Conc. Ban.1'!$I$9,Tabla11[[#This Row],[Cuenta]],1))</f>
        <v>0</v>
      </c>
      <c r="AV307" t="b">
        <f>+ISNUMBER(SEARCH(CompConta!$F$21,Tabla11[[#This Row],[Cuenta]],1))</f>
        <v>1</v>
      </c>
      <c r="AW307" t="b">
        <f>+ISNUMBER(SEARCH(CompConta!$F$22,Tabla11[[#This Row],[Cuenta]],1))</f>
        <v>1</v>
      </c>
      <c r="AX307" t="b">
        <f>+ISNUMBER(SEARCH(CompConta!$F$23,Tabla11[[#This Row],[Cuenta]],1))</f>
        <v>1</v>
      </c>
      <c r="AY307" t="b">
        <f>+ISNUMBER(SEARCH(CompConta!$F$24,Tabla11[[#This Row],[Cuenta]],1))</f>
        <v>1</v>
      </c>
      <c r="AZ307" t="b">
        <f>+ISNUMBER(SEARCH(CompConta!$F$25,Tabla11[[#This Row],[Cuenta]],1))</f>
        <v>1</v>
      </c>
      <c r="BA307" t="b">
        <f>+ISNUMBER(SEARCH(CompConta!$F$26,Tabla11[[#This Row],[Cuenta]],1))</f>
        <v>1</v>
      </c>
      <c r="BB307" t="b">
        <f>+ISNUMBER(SEARCH(CompConta!$F$27,Tabla11[[#This Row],[Cuenta]],1))</f>
        <v>1</v>
      </c>
      <c r="BC307" t="b">
        <f>+ISNUMBER(SEARCH(CompConta!$F$28,Tabla11[[#This Row],[Cuenta]],1))</f>
        <v>1</v>
      </c>
      <c r="BD307" t="b">
        <f>+ISNUMBER(SEARCH(CompConta!$F$29,Tabla11[[#This Row],[Cuenta]],1))</f>
        <v>1</v>
      </c>
      <c r="BE307" t="b">
        <f>+ISNUMBER(SEARCH(CompConta!$F$30,Tabla11[[#This Row],[Cuenta]],1))</f>
        <v>1</v>
      </c>
      <c r="BF307" t="b">
        <f>+ISNUMBER(SEARCH('PAGO Compras'!$E$11,Tabla11[[#This Row],[Cuenta]],1))</f>
        <v>1</v>
      </c>
      <c r="BG307" t="b">
        <f>+ISNUMBER(SEARCH(#REF!,Tabla11[[#This Row],[Cuenta]],1))</f>
        <v>0</v>
      </c>
      <c r="BH307" t="b">
        <f>+ISNUMBER(SEARCH(#REF!,Tabla11[[#This Row],[Cuenta]],1))</f>
        <v>0</v>
      </c>
      <c r="BI307" t="b">
        <f>+ISNUMBER(SEARCH(#REF!,Tabla11[[#This Row],[Cuenta]],1))</f>
        <v>0</v>
      </c>
      <c r="BJ307" t="b">
        <f>+ISNUMBER(SEARCH(#REF!,Tabla11[[#This Row],[Cuenta]],1))</f>
        <v>0</v>
      </c>
      <c r="BS307" t="str">
        <v>169805 Crédito mercantil</v>
      </c>
      <c r="BT307" t="str">
        <v>169805 Crédito mercantil</v>
      </c>
      <c r="BU307" t="str">
        <v>169805 Crédito mercantil</v>
      </c>
      <c r="BV307" t="str">
        <v>169805 Crédito mercantil</v>
      </c>
      <c r="BZ307" t="str">
        <v>169805 Crédito mercantil</v>
      </c>
      <c r="CA307" t="str">
        <v>169805 Crédito mercantil</v>
      </c>
      <c r="CB307" t="str">
        <v>169805 Crédito mercantil</v>
      </c>
      <c r="CC307" t="str">
        <v>169805 Crédito mercantil</v>
      </c>
      <c r="CD307" t="str">
        <v>169805 Crédito mercantil</v>
      </c>
      <c r="CE307" t="str">
        <v>169805 Crédito mercantil</v>
      </c>
      <c r="CS307" s="141" t="str">
        <v>169805 Crédito mercantil</v>
      </c>
      <c r="CT307" s="141" t="str">
        <v>169805 Crédito mercantil</v>
      </c>
      <c r="CU307" s="141" t="str">
        <v>169805 Crédito mercantil</v>
      </c>
      <c r="CV307" s="141" t="str">
        <v>169805 Crédito mercantil</v>
      </c>
      <c r="CW307" s="141" t="str">
        <v>169805 Crédito mercantil</v>
      </c>
      <c r="CX307" s="141" t="str">
        <v>169805 Crédito mercantil</v>
      </c>
      <c r="CY307" s="141" t="str">
        <v>169805 Crédito mercantil</v>
      </c>
      <c r="CZ307" s="141" t="str">
        <v>169805 Crédito mercantil</v>
      </c>
      <c r="DA307" s="141" t="str">
        <v>169805 Crédito mercantil</v>
      </c>
      <c r="DF307" t="str">
        <v>169805 Crédito mercantil</v>
      </c>
      <c r="DG307" t="str">
        <v>169805 Crédito mercantil</v>
      </c>
      <c r="DH307" t="str">
        <v>169805 Crédito mercantil</v>
      </c>
      <c r="DI307" t="str">
        <v>169805 Crédito mercantil</v>
      </c>
      <c r="DJ307" t="str">
        <v>169805 Crédito mercantil</v>
      </c>
      <c r="DK307" t="str">
        <v>169805 Crédito mercantil</v>
      </c>
      <c r="DL307" t="str">
        <v>169805 Crédito mercantil</v>
      </c>
      <c r="DM307" t="str">
        <v>169805 Crédito mercantil</v>
      </c>
      <c r="DN307" t="str">
        <v>169805 Crédito mercantil</v>
      </c>
      <c r="DO307" t="str">
        <v>169805 Crédito mercantil</v>
      </c>
      <c r="DP307" t="str">
        <v>169805 Crédito mercantil</v>
      </c>
    </row>
    <row r="308" spans="4:120" ht="12.75">
      <c r="D308" s="7">
        <v>169810</v>
      </c>
      <c r="E308" s="6" t="s">
        <v>251</v>
      </c>
      <c r="F308" s="5">
        <v>4</v>
      </c>
      <c r="G308" s="34" t="s">
        <v>822</v>
      </c>
      <c r="H308" s="8" t="s">
        <v>32</v>
      </c>
      <c r="I308" t="b">
        <f>+ISNUMBER(SEARCH('F-COMPRA'!$F$28,Tabla11[[#This Row],[Cuenta]],1))</f>
        <v>1</v>
      </c>
      <c r="J308" t="b">
        <f>+ISNUMBER(SEARCH('F-COMPRA'!$F$29,Tabla11[[#This Row],[Cuenta]],1))</f>
        <v>1</v>
      </c>
      <c r="K308" t="b">
        <f>+ISNUMBER(SEARCH('F-COMPRA'!$F$30,Tabla11[[#This Row],[Cuenta]],1))</f>
        <v>1</v>
      </c>
      <c r="L308" t="b">
        <f>+ISNUMBER(SEARCH('F-COMPRA'!$F$31,Tabla11[[#This Row],[Cuenta]],1))</f>
        <v>1</v>
      </c>
      <c r="M308" t="b">
        <f>+ISNUMBER(SEARCH('F-COMPRA'!$G$25,Tabla11[[#This Row],[Cuenta]],1))</f>
        <v>0</v>
      </c>
      <c r="N308" t="b">
        <f>+ISNUMBER(SEARCH(#REF!,Tabla11[[#This Row],[Cuenta]],1))</f>
        <v>0</v>
      </c>
      <c r="O308" t="b">
        <f>+ISNUMBER(SEARCH(#REF!,Tabla11[[#This Row],[Cuenta]],1))</f>
        <v>0</v>
      </c>
      <c r="P308" t="b">
        <f>+ISNUMBER(SEARCH('F-COMPRA'!$F$32,Tabla11[[#This Row],[Cuenta]],1))</f>
        <v>1</v>
      </c>
      <c r="Q308" t="b">
        <f>+ISNUMBER(SEARCH('F-COMPRA'!$F$33,Tabla11[[#This Row],[Cuenta]],1))</f>
        <v>1</v>
      </c>
      <c r="R308" t="b">
        <f>+ISNUMBER(SEARCH('F-COMPRA'!$F$34,Tabla11[[#This Row],[Cuenta]],1))</f>
        <v>1</v>
      </c>
      <c r="S308" t="b">
        <f>+ISNUMBER(SEARCH('F-COMPRA'!$F$35,Tabla11[[#This Row],[Cuenta]],1))</f>
        <v>1</v>
      </c>
      <c r="T308" t="b">
        <f>+ISNUMBER(SEARCH('F-COMPRA'!$F$36,Tabla11[[#This Row],[Cuenta]],1))</f>
        <v>1</v>
      </c>
      <c r="U308" t="b">
        <f>+ISNUMBER(SEARCH('F-COMPRA'!$F$37,Tabla11[[#This Row],[Cuenta]],1))</f>
        <v>1</v>
      </c>
      <c r="V308" t="b">
        <f>+ISNUMBER(SEARCH(#REF!,Tabla11[[#This Row],[Cuenta]],1))</f>
        <v>0</v>
      </c>
      <c r="W308" t="b">
        <f>+ISNUMBER(SEARCH('F-COMPRA'!#REF!,Tabla11[[#This Row],[Cuenta]],1))</f>
        <v>0</v>
      </c>
      <c r="X308" t="b">
        <f>+ISNUMBER(SEARCH('F-COMPRA'!#REF!,Tabla11[[#This Row],[Cuenta]],1))</f>
        <v>0</v>
      </c>
      <c r="Y308" t="b">
        <f>+ISNUMBER(SEARCH('F-COMPRA'!#REF!,Tabla11[[#This Row],[Cuenta]],1))</f>
        <v>0</v>
      </c>
      <c r="Z308" t="b">
        <f>+ISNUMBER(SEARCH('F-COMPRA'!#REF!,Tabla11[[#This Row],[Cuenta]],1))</f>
        <v>0</v>
      </c>
      <c r="AA308" t="b">
        <f>+ISNUMBER(SEARCH('F-COMPRA'!#REF!,Tabla11[[#This Row],[Cuenta]],1))</f>
        <v>0</v>
      </c>
      <c r="AB308" t="b">
        <f>+ISNUMBER(SEARCH('F-COMPRA'!#REF!,Tabla11[[#This Row],[Cuenta]],1))</f>
        <v>0</v>
      </c>
      <c r="AC308" t="b">
        <f>+ISNUMBER(SEARCH('F-COMPRA'!#REF!,Tabla11[[#This Row],[Cuenta]],1))</f>
        <v>0</v>
      </c>
      <c r="AD308" t="b">
        <f>+ISNUMBER(SEARCH('F-COMPRA'!#REF!,Tabla11[[#This Row],[Cuenta]],1))</f>
        <v>0</v>
      </c>
      <c r="AE308" t="b">
        <f>+ISNUMBER(SEARCH('F-COMPRA'!#REF!,Tabla11[[#This Row],[Cuenta]],1))</f>
        <v>0</v>
      </c>
      <c r="AF308" t="b">
        <f>+ISNUMBER(SEARCH('F-VTA'!$G$23,Tabla11[[#This Row],[Cuenta]],1))</f>
        <v>0</v>
      </c>
      <c r="AG308" t="b">
        <f>+ISNUMBER(SEARCH('F-VTA'!$G$24,Tabla11[[#This Row],[Cuenta]],1))</f>
        <v>0</v>
      </c>
      <c r="AH308" t="b">
        <f>+ISNUMBER(SEARCH('F-VTA'!$G$25,Tabla11[[#This Row],[Cuenta]],1))</f>
        <v>0</v>
      </c>
      <c r="AI308" t="b">
        <f>+ISNUMBER(SEARCH('F-VTA'!$F$28,Tabla11[[#This Row],[Cuenta]],1))</f>
        <v>1</v>
      </c>
      <c r="AJ308" t="b">
        <f>+ISNUMBER(SEARCH('F-VTA'!$F$29,Tabla11[[#This Row],[Cuenta]],1))</f>
        <v>1</v>
      </c>
      <c r="AK308" t="b">
        <f>+ISNUMBER(SEARCH('F-VTA'!$F$30,Tabla11[[#This Row],[Cuenta]],1))</f>
        <v>1</v>
      </c>
      <c r="AL308" t="b">
        <f>+ISNUMBER(SEARCH('F-VTA'!$F$31,Tabla11[[#This Row],[Cuenta]],1))</f>
        <v>1</v>
      </c>
      <c r="AM308" t="b">
        <f>+ISNUMBER(SEARCH('F-VTA'!$F$32,Tabla11[[#This Row],[Cuenta]],1))</f>
        <v>1</v>
      </c>
      <c r="AN308" t="b">
        <f>+ISNUMBER(SEARCH('F-VTA'!$F$33,Tabla11[[#This Row],[Cuenta]],1))</f>
        <v>1</v>
      </c>
      <c r="AO308" t="b">
        <f>+ISNUMBER(SEARCH('F-VTA'!$F$34,Tabla11[[#This Row],[Cuenta]],1))</f>
        <v>1</v>
      </c>
      <c r="AP308" t="b">
        <f>+ISNUMBER(SEARCH('F-VTA'!$F$35,Tabla11[[#This Row],[Cuenta]],1))</f>
        <v>1</v>
      </c>
      <c r="AQ308" t="b">
        <f>+ISNUMBER(SEARCH('F-VTA'!$F$36,Tabla11[[#This Row],[Cuenta]],1))</f>
        <v>1</v>
      </c>
      <c r="AR308" t="b">
        <f>+ISNUMBER(SEARCH(#REF!,Tabla11[[#This Row],[Cuenta]],1))</f>
        <v>0</v>
      </c>
      <c r="AS308" t="b">
        <f>+ISNUMBER(SEARCH(#REF!,Tabla11[[#This Row],[Cuenta]],1))</f>
        <v>0</v>
      </c>
      <c r="AT308" t="b">
        <f>+ISNUMBER(SEARCH(#REF!,Tabla11[[#This Row],[Cuenta]],1))</f>
        <v>0</v>
      </c>
      <c r="AU308" t="b">
        <f>+ISNUMBER(SEARCH('Conc. Ban.1'!$I$9,Tabla11[[#This Row],[Cuenta]],1))</f>
        <v>0</v>
      </c>
      <c r="AV308" t="b">
        <f>+ISNUMBER(SEARCH(CompConta!$F$21,Tabla11[[#This Row],[Cuenta]],1))</f>
        <v>1</v>
      </c>
      <c r="AW308" t="b">
        <f>+ISNUMBER(SEARCH(CompConta!$F$22,Tabla11[[#This Row],[Cuenta]],1))</f>
        <v>1</v>
      </c>
      <c r="AX308" t="b">
        <f>+ISNUMBER(SEARCH(CompConta!$F$23,Tabla11[[#This Row],[Cuenta]],1))</f>
        <v>1</v>
      </c>
      <c r="AY308" t="b">
        <f>+ISNUMBER(SEARCH(CompConta!$F$24,Tabla11[[#This Row],[Cuenta]],1))</f>
        <v>1</v>
      </c>
      <c r="AZ308" t="b">
        <f>+ISNUMBER(SEARCH(CompConta!$F$25,Tabla11[[#This Row],[Cuenta]],1))</f>
        <v>1</v>
      </c>
      <c r="BA308" t="b">
        <f>+ISNUMBER(SEARCH(CompConta!$F$26,Tabla11[[#This Row],[Cuenta]],1))</f>
        <v>1</v>
      </c>
      <c r="BB308" t="b">
        <f>+ISNUMBER(SEARCH(CompConta!$F$27,Tabla11[[#This Row],[Cuenta]],1))</f>
        <v>1</v>
      </c>
      <c r="BC308" t="b">
        <f>+ISNUMBER(SEARCH(CompConta!$F$28,Tabla11[[#This Row],[Cuenta]],1))</f>
        <v>1</v>
      </c>
      <c r="BD308" t="b">
        <f>+ISNUMBER(SEARCH(CompConta!$F$29,Tabla11[[#This Row],[Cuenta]],1))</f>
        <v>1</v>
      </c>
      <c r="BE308" t="b">
        <f>+ISNUMBER(SEARCH(CompConta!$F$30,Tabla11[[#This Row],[Cuenta]],1))</f>
        <v>1</v>
      </c>
      <c r="BF308" t="b">
        <f>+ISNUMBER(SEARCH('PAGO Compras'!$E$11,Tabla11[[#This Row],[Cuenta]],1))</f>
        <v>1</v>
      </c>
      <c r="BG308" t="b">
        <f>+ISNUMBER(SEARCH(#REF!,Tabla11[[#This Row],[Cuenta]],1))</f>
        <v>0</v>
      </c>
      <c r="BH308" t="b">
        <f>+ISNUMBER(SEARCH(#REF!,Tabla11[[#This Row],[Cuenta]],1))</f>
        <v>0</v>
      </c>
      <c r="BI308" t="b">
        <f>+ISNUMBER(SEARCH(#REF!,Tabla11[[#This Row],[Cuenta]],1))</f>
        <v>0</v>
      </c>
      <c r="BJ308" t="b">
        <f>+ISNUMBER(SEARCH(#REF!,Tabla11[[#This Row],[Cuenta]],1))</f>
        <v>0</v>
      </c>
      <c r="BS308" t="str">
        <v>169810 Marcas</v>
      </c>
      <c r="BT308" t="str">
        <v>169810 Marcas</v>
      </c>
      <c r="BU308" t="str">
        <v>169810 Marcas</v>
      </c>
      <c r="BV308" t="str">
        <v>169810 Marcas</v>
      </c>
      <c r="BZ308" t="str">
        <v>169810 Marcas</v>
      </c>
      <c r="CA308" t="str">
        <v>169810 Marcas</v>
      </c>
      <c r="CB308" t="str">
        <v>169810 Marcas</v>
      </c>
      <c r="CC308" t="str">
        <v>169810 Marcas</v>
      </c>
      <c r="CD308" t="str">
        <v>169810 Marcas</v>
      </c>
      <c r="CE308" t="str">
        <v>169810 Marcas</v>
      </c>
      <c r="CS308" s="141" t="str">
        <v>169810 Marcas</v>
      </c>
      <c r="CT308" s="141" t="str">
        <v>169810 Marcas</v>
      </c>
      <c r="CU308" s="141" t="str">
        <v>169810 Marcas</v>
      </c>
      <c r="CV308" s="141" t="str">
        <v>169810 Marcas</v>
      </c>
      <c r="CW308" s="141" t="str">
        <v>169810 Marcas</v>
      </c>
      <c r="CX308" s="141" t="str">
        <v>169810 Marcas</v>
      </c>
      <c r="CY308" s="141" t="str">
        <v>169810 Marcas</v>
      </c>
      <c r="CZ308" s="141" t="str">
        <v>169810 Marcas</v>
      </c>
      <c r="DA308" s="141" t="str">
        <v>169810 Marcas</v>
      </c>
      <c r="DF308" t="str">
        <v>169810 Marcas</v>
      </c>
      <c r="DG308" t="str">
        <v>169810 Marcas</v>
      </c>
      <c r="DH308" t="str">
        <v>169810 Marcas</v>
      </c>
      <c r="DI308" t="str">
        <v>169810 Marcas</v>
      </c>
      <c r="DJ308" t="str">
        <v>169810 Marcas</v>
      </c>
      <c r="DK308" t="str">
        <v>169810 Marcas</v>
      </c>
      <c r="DL308" t="str">
        <v>169810 Marcas</v>
      </c>
      <c r="DM308" t="str">
        <v>169810 Marcas</v>
      </c>
      <c r="DN308" t="str">
        <v>169810 Marcas</v>
      </c>
      <c r="DO308" t="str">
        <v>169810 Marcas</v>
      </c>
      <c r="DP308" t="str">
        <v>169810 Marcas</v>
      </c>
    </row>
    <row r="309" spans="4:120" ht="12.75">
      <c r="D309" s="7">
        <v>169815</v>
      </c>
      <c r="E309" s="6" t="s">
        <v>252</v>
      </c>
      <c r="F309" s="5">
        <v>4</v>
      </c>
      <c r="G309" s="34" t="s">
        <v>822</v>
      </c>
      <c r="H309" s="8" t="s">
        <v>32</v>
      </c>
      <c r="I309" t="b">
        <f>+ISNUMBER(SEARCH('F-COMPRA'!$F$28,Tabla11[[#This Row],[Cuenta]],1))</f>
        <v>1</v>
      </c>
      <c r="J309" t="b">
        <f>+ISNUMBER(SEARCH('F-COMPRA'!$F$29,Tabla11[[#This Row],[Cuenta]],1))</f>
        <v>1</v>
      </c>
      <c r="K309" t="b">
        <f>+ISNUMBER(SEARCH('F-COMPRA'!$F$30,Tabla11[[#This Row],[Cuenta]],1))</f>
        <v>1</v>
      </c>
      <c r="L309" t="b">
        <f>+ISNUMBER(SEARCH('F-COMPRA'!$F$31,Tabla11[[#This Row],[Cuenta]],1))</f>
        <v>1</v>
      </c>
      <c r="M309" t="b">
        <f>+ISNUMBER(SEARCH('F-COMPRA'!$G$25,Tabla11[[#This Row],[Cuenta]],1))</f>
        <v>0</v>
      </c>
      <c r="N309" t="b">
        <f>+ISNUMBER(SEARCH(#REF!,Tabla11[[#This Row],[Cuenta]],1))</f>
        <v>0</v>
      </c>
      <c r="O309" t="b">
        <f>+ISNUMBER(SEARCH(#REF!,Tabla11[[#This Row],[Cuenta]],1))</f>
        <v>0</v>
      </c>
      <c r="P309" t="b">
        <f>+ISNUMBER(SEARCH('F-COMPRA'!$F$32,Tabla11[[#This Row],[Cuenta]],1))</f>
        <v>1</v>
      </c>
      <c r="Q309" t="b">
        <f>+ISNUMBER(SEARCH('F-COMPRA'!$F$33,Tabla11[[#This Row],[Cuenta]],1))</f>
        <v>1</v>
      </c>
      <c r="R309" t="b">
        <f>+ISNUMBER(SEARCH('F-COMPRA'!$F$34,Tabla11[[#This Row],[Cuenta]],1))</f>
        <v>1</v>
      </c>
      <c r="S309" t="b">
        <f>+ISNUMBER(SEARCH('F-COMPRA'!$F$35,Tabla11[[#This Row],[Cuenta]],1))</f>
        <v>1</v>
      </c>
      <c r="T309" t="b">
        <f>+ISNUMBER(SEARCH('F-COMPRA'!$F$36,Tabla11[[#This Row],[Cuenta]],1))</f>
        <v>1</v>
      </c>
      <c r="U309" t="b">
        <f>+ISNUMBER(SEARCH('F-COMPRA'!$F$37,Tabla11[[#This Row],[Cuenta]],1))</f>
        <v>1</v>
      </c>
      <c r="V309" t="b">
        <f>+ISNUMBER(SEARCH(#REF!,Tabla11[[#This Row],[Cuenta]],1))</f>
        <v>0</v>
      </c>
      <c r="W309" t="b">
        <f>+ISNUMBER(SEARCH('F-COMPRA'!#REF!,Tabla11[[#This Row],[Cuenta]],1))</f>
        <v>0</v>
      </c>
      <c r="X309" t="b">
        <f>+ISNUMBER(SEARCH('F-COMPRA'!#REF!,Tabla11[[#This Row],[Cuenta]],1))</f>
        <v>0</v>
      </c>
      <c r="Y309" t="b">
        <f>+ISNUMBER(SEARCH('F-COMPRA'!#REF!,Tabla11[[#This Row],[Cuenta]],1))</f>
        <v>0</v>
      </c>
      <c r="Z309" t="b">
        <f>+ISNUMBER(SEARCH('F-COMPRA'!#REF!,Tabla11[[#This Row],[Cuenta]],1))</f>
        <v>0</v>
      </c>
      <c r="AA309" t="b">
        <f>+ISNUMBER(SEARCH('F-COMPRA'!#REF!,Tabla11[[#This Row],[Cuenta]],1))</f>
        <v>0</v>
      </c>
      <c r="AB309" t="b">
        <f>+ISNUMBER(SEARCH('F-COMPRA'!#REF!,Tabla11[[#This Row],[Cuenta]],1))</f>
        <v>0</v>
      </c>
      <c r="AC309" t="b">
        <f>+ISNUMBER(SEARCH('F-COMPRA'!#REF!,Tabla11[[#This Row],[Cuenta]],1))</f>
        <v>0</v>
      </c>
      <c r="AD309" t="b">
        <f>+ISNUMBER(SEARCH('F-COMPRA'!#REF!,Tabla11[[#This Row],[Cuenta]],1))</f>
        <v>0</v>
      </c>
      <c r="AE309" t="b">
        <f>+ISNUMBER(SEARCH('F-COMPRA'!#REF!,Tabla11[[#This Row],[Cuenta]],1))</f>
        <v>0</v>
      </c>
      <c r="AF309" t="b">
        <f>+ISNUMBER(SEARCH('F-VTA'!$G$23,Tabla11[[#This Row],[Cuenta]],1))</f>
        <v>0</v>
      </c>
      <c r="AG309" t="b">
        <f>+ISNUMBER(SEARCH('F-VTA'!$G$24,Tabla11[[#This Row],[Cuenta]],1))</f>
        <v>0</v>
      </c>
      <c r="AH309" t="b">
        <f>+ISNUMBER(SEARCH('F-VTA'!$G$25,Tabla11[[#This Row],[Cuenta]],1))</f>
        <v>0</v>
      </c>
      <c r="AI309" t="b">
        <f>+ISNUMBER(SEARCH('F-VTA'!$F$28,Tabla11[[#This Row],[Cuenta]],1))</f>
        <v>1</v>
      </c>
      <c r="AJ309" t="b">
        <f>+ISNUMBER(SEARCH('F-VTA'!$F$29,Tabla11[[#This Row],[Cuenta]],1))</f>
        <v>1</v>
      </c>
      <c r="AK309" t="b">
        <f>+ISNUMBER(SEARCH('F-VTA'!$F$30,Tabla11[[#This Row],[Cuenta]],1))</f>
        <v>1</v>
      </c>
      <c r="AL309" t="b">
        <f>+ISNUMBER(SEARCH('F-VTA'!$F$31,Tabla11[[#This Row],[Cuenta]],1))</f>
        <v>1</v>
      </c>
      <c r="AM309" t="b">
        <f>+ISNUMBER(SEARCH('F-VTA'!$F$32,Tabla11[[#This Row],[Cuenta]],1))</f>
        <v>1</v>
      </c>
      <c r="AN309" t="b">
        <f>+ISNUMBER(SEARCH('F-VTA'!$F$33,Tabla11[[#This Row],[Cuenta]],1))</f>
        <v>1</v>
      </c>
      <c r="AO309" t="b">
        <f>+ISNUMBER(SEARCH('F-VTA'!$F$34,Tabla11[[#This Row],[Cuenta]],1))</f>
        <v>1</v>
      </c>
      <c r="AP309" t="b">
        <f>+ISNUMBER(SEARCH('F-VTA'!$F$35,Tabla11[[#This Row],[Cuenta]],1))</f>
        <v>1</v>
      </c>
      <c r="AQ309" t="b">
        <f>+ISNUMBER(SEARCH('F-VTA'!$F$36,Tabla11[[#This Row],[Cuenta]],1))</f>
        <v>1</v>
      </c>
      <c r="AR309" t="b">
        <f>+ISNUMBER(SEARCH(#REF!,Tabla11[[#This Row],[Cuenta]],1))</f>
        <v>0</v>
      </c>
      <c r="AS309" t="b">
        <f>+ISNUMBER(SEARCH(#REF!,Tabla11[[#This Row],[Cuenta]],1))</f>
        <v>0</v>
      </c>
      <c r="AT309" t="b">
        <f>+ISNUMBER(SEARCH(#REF!,Tabla11[[#This Row],[Cuenta]],1))</f>
        <v>0</v>
      </c>
      <c r="AU309" t="b">
        <f>+ISNUMBER(SEARCH('Conc. Ban.1'!$I$9,Tabla11[[#This Row],[Cuenta]],1))</f>
        <v>0</v>
      </c>
      <c r="AV309" t="b">
        <f>+ISNUMBER(SEARCH(CompConta!$F$21,Tabla11[[#This Row],[Cuenta]],1))</f>
        <v>1</v>
      </c>
      <c r="AW309" t="b">
        <f>+ISNUMBER(SEARCH(CompConta!$F$22,Tabla11[[#This Row],[Cuenta]],1))</f>
        <v>1</v>
      </c>
      <c r="AX309" t="b">
        <f>+ISNUMBER(SEARCH(CompConta!$F$23,Tabla11[[#This Row],[Cuenta]],1))</f>
        <v>1</v>
      </c>
      <c r="AY309" t="b">
        <f>+ISNUMBER(SEARCH(CompConta!$F$24,Tabla11[[#This Row],[Cuenta]],1))</f>
        <v>1</v>
      </c>
      <c r="AZ309" t="b">
        <f>+ISNUMBER(SEARCH(CompConta!$F$25,Tabla11[[#This Row],[Cuenta]],1))</f>
        <v>1</v>
      </c>
      <c r="BA309" t="b">
        <f>+ISNUMBER(SEARCH(CompConta!$F$26,Tabla11[[#This Row],[Cuenta]],1))</f>
        <v>1</v>
      </c>
      <c r="BB309" t="b">
        <f>+ISNUMBER(SEARCH(CompConta!$F$27,Tabla11[[#This Row],[Cuenta]],1))</f>
        <v>1</v>
      </c>
      <c r="BC309" t="b">
        <f>+ISNUMBER(SEARCH(CompConta!$F$28,Tabla11[[#This Row],[Cuenta]],1))</f>
        <v>1</v>
      </c>
      <c r="BD309" t="b">
        <f>+ISNUMBER(SEARCH(CompConta!$F$29,Tabla11[[#This Row],[Cuenta]],1))</f>
        <v>1</v>
      </c>
      <c r="BE309" t="b">
        <f>+ISNUMBER(SEARCH(CompConta!$F$30,Tabla11[[#This Row],[Cuenta]],1))</f>
        <v>1</v>
      </c>
      <c r="BF309" t="b">
        <f>+ISNUMBER(SEARCH('PAGO Compras'!$E$11,Tabla11[[#This Row],[Cuenta]],1))</f>
        <v>1</v>
      </c>
      <c r="BG309" t="b">
        <f>+ISNUMBER(SEARCH(#REF!,Tabla11[[#This Row],[Cuenta]],1))</f>
        <v>0</v>
      </c>
      <c r="BH309" t="b">
        <f>+ISNUMBER(SEARCH(#REF!,Tabla11[[#This Row],[Cuenta]],1))</f>
        <v>0</v>
      </c>
      <c r="BI309" t="b">
        <f>+ISNUMBER(SEARCH(#REF!,Tabla11[[#This Row],[Cuenta]],1))</f>
        <v>0</v>
      </c>
      <c r="BJ309" t="b">
        <f>+ISNUMBER(SEARCH(#REF!,Tabla11[[#This Row],[Cuenta]],1))</f>
        <v>0</v>
      </c>
      <c r="BS309" t="str">
        <v>169815 Patentes</v>
      </c>
      <c r="BT309" t="str">
        <v>169815 Patentes</v>
      </c>
      <c r="BU309" t="str">
        <v>169815 Patentes</v>
      </c>
      <c r="BV309" t="str">
        <v>169815 Patentes</v>
      </c>
      <c r="BZ309" t="str">
        <v>169815 Patentes</v>
      </c>
      <c r="CA309" t="str">
        <v>169815 Patentes</v>
      </c>
      <c r="CB309" t="str">
        <v>169815 Patentes</v>
      </c>
      <c r="CC309" t="str">
        <v>169815 Patentes</v>
      </c>
      <c r="CD309" t="str">
        <v>169815 Patentes</v>
      </c>
      <c r="CE309" t="str">
        <v>169815 Patentes</v>
      </c>
      <c r="CS309" s="141" t="str">
        <v>169815 Patentes</v>
      </c>
      <c r="CT309" s="141" t="str">
        <v>169815 Patentes</v>
      </c>
      <c r="CU309" s="141" t="str">
        <v>169815 Patentes</v>
      </c>
      <c r="CV309" s="141" t="str">
        <v>169815 Patentes</v>
      </c>
      <c r="CW309" s="141" t="str">
        <v>169815 Patentes</v>
      </c>
      <c r="CX309" s="141" t="str">
        <v>169815 Patentes</v>
      </c>
      <c r="CY309" s="141" t="str">
        <v>169815 Patentes</v>
      </c>
      <c r="CZ309" s="141" t="str">
        <v>169815 Patentes</v>
      </c>
      <c r="DA309" s="141" t="str">
        <v>169815 Patentes</v>
      </c>
      <c r="DF309" t="str">
        <v>169815 Patentes</v>
      </c>
      <c r="DG309" t="str">
        <v>169815 Patentes</v>
      </c>
      <c r="DH309" t="str">
        <v>169815 Patentes</v>
      </c>
      <c r="DI309" t="str">
        <v>169815 Patentes</v>
      </c>
      <c r="DJ309" t="str">
        <v>169815 Patentes</v>
      </c>
      <c r="DK309" t="str">
        <v>169815 Patentes</v>
      </c>
      <c r="DL309" t="str">
        <v>169815 Patentes</v>
      </c>
      <c r="DM309" t="str">
        <v>169815 Patentes</v>
      </c>
      <c r="DN309" t="str">
        <v>169815 Patentes</v>
      </c>
      <c r="DO309" t="str">
        <v>169815 Patentes</v>
      </c>
      <c r="DP309" t="str">
        <v>169815 Patentes</v>
      </c>
    </row>
    <row r="310" spans="4:120" ht="12.75">
      <c r="D310" s="7">
        <v>169820</v>
      </c>
      <c r="E310" s="6" t="s">
        <v>253</v>
      </c>
      <c r="F310" s="5">
        <v>4</v>
      </c>
      <c r="G310" s="34" t="s">
        <v>822</v>
      </c>
      <c r="H310" s="8" t="s">
        <v>32</v>
      </c>
      <c r="I310" t="b">
        <f>+ISNUMBER(SEARCH('F-COMPRA'!$F$28,Tabla11[[#This Row],[Cuenta]],1))</f>
        <v>1</v>
      </c>
      <c r="J310" t="b">
        <f>+ISNUMBER(SEARCH('F-COMPRA'!$F$29,Tabla11[[#This Row],[Cuenta]],1))</f>
        <v>1</v>
      </c>
      <c r="K310" t="b">
        <f>+ISNUMBER(SEARCH('F-COMPRA'!$F$30,Tabla11[[#This Row],[Cuenta]],1))</f>
        <v>1</v>
      </c>
      <c r="L310" t="b">
        <f>+ISNUMBER(SEARCH('F-COMPRA'!$F$31,Tabla11[[#This Row],[Cuenta]],1))</f>
        <v>1</v>
      </c>
      <c r="M310" t="b">
        <f>+ISNUMBER(SEARCH('F-COMPRA'!$G$25,Tabla11[[#This Row],[Cuenta]],1))</f>
        <v>0</v>
      </c>
      <c r="N310" t="b">
        <f>+ISNUMBER(SEARCH(#REF!,Tabla11[[#This Row],[Cuenta]],1))</f>
        <v>0</v>
      </c>
      <c r="O310" t="b">
        <f>+ISNUMBER(SEARCH(#REF!,Tabla11[[#This Row],[Cuenta]],1))</f>
        <v>0</v>
      </c>
      <c r="P310" t="b">
        <f>+ISNUMBER(SEARCH('F-COMPRA'!$F$32,Tabla11[[#This Row],[Cuenta]],1))</f>
        <v>1</v>
      </c>
      <c r="Q310" t="b">
        <f>+ISNUMBER(SEARCH('F-COMPRA'!$F$33,Tabla11[[#This Row],[Cuenta]],1))</f>
        <v>1</v>
      </c>
      <c r="R310" t="b">
        <f>+ISNUMBER(SEARCH('F-COMPRA'!$F$34,Tabla11[[#This Row],[Cuenta]],1))</f>
        <v>1</v>
      </c>
      <c r="S310" t="b">
        <f>+ISNUMBER(SEARCH('F-COMPRA'!$F$35,Tabla11[[#This Row],[Cuenta]],1))</f>
        <v>1</v>
      </c>
      <c r="T310" t="b">
        <f>+ISNUMBER(SEARCH('F-COMPRA'!$F$36,Tabla11[[#This Row],[Cuenta]],1))</f>
        <v>1</v>
      </c>
      <c r="U310" t="b">
        <f>+ISNUMBER(SEARCH('F-COMPRA'!$F$37,Tabla11[[#This Row],[Cuenta]],1))</f>
        <v>1</v>
      </c>
      <c r="V310" t="b">
        <f>+ISNUMBER(SEARCH(#REF!,Tabla11[[#This Row],[Cuenta]],1))</f>
        <v>0</v>
      </c>
      <c r="W310" t="b">
        <f>+ISNUMBER(SEARCH('F-COMPRA'!#REF!,Tabla11[[#This Row],[Cuenta]],1))</f>
        <v>0</v>
      </c>
      <c r="X310" t="b">
        <f>+ISNUMBER(SEARCH('F-COMPRA'!#REF!,Tabla11[[#This Row],[Cuenta]],1))</f>
        <v>0</v>
      </c>
      <c r="Y310" t="b">
        <f>+ISNUMBER(SEARCH('F-COMPRA'!#REF!,Tabla11[[#This Row],[Cuenta]],1))</f>
        <v>0</v>
      </c>
      <c r="Z310" t="b">
        <f>+ISNUMBER(SEARCH('F-COMPRA'!#REF!,Tabla11[[#This Row],[Cuenta]],1))</f>
        <v>0</v>
      </c>
      <c r="AA310" t="b">
        <f>+ISNUMBER(SEARCH('F-COMPRA'!#REF!,Tabla11[[#This Row],[Cuenta]],1))</f>
        <v>0</v>
      </c>
      <c r="AB310" t="b">
        <f>+ISNUMBER(SEARCH('F-COMPRA'!#REF!,Tabla11[[#This Row],[Cuenta]],1))</f>
        <v>0</v>
      </c>
      <c r="AC310" t="b">
        <f>+ISNUMBER(SEARCH('F-COMPRA'!#REF!,Tabla11[[#This Row],[Cuenta]],1))</f>
        <v>0</v>
      </c>
      <c r="AD310" t="b">
        <f>+ISNUMBER(SEARCH('F-COMPRA'!#REF!,Tabla11[[#This Row],[Cuenta]],1))</f>
        <v>0</v>
      </c>
      <c r="AE310" t="b">
        <f>+ISNUMBER(SEARCH('F-COMPRA'!#REF!,Tabla11[[#This Row],[Cuenta]],1))</f>
        <v>0</v>
      </c>
      <c r="AF310" t="b">
        <f>+ISNUMBER(SEARCH('F-VTA'!$G$23,Tabla11[[#This Row],[Cuenta]],1))</f>
        <v>0</v>
      </c>
      <c r="AG310" t="b">
        <f>+ISNUMBER(SEARCH('F-VTA'!$G$24,Tabla11[[#This Row],[Cuenta]],1))</f>
        <v>0</v>
      </c>
      <c r="AH310" t="b">
        <f>+ISNUMBER(SEARCH('F-VTA'!$G$25,Tabla11[[#This Row],[Cuenta]],1))</f>
        <v>0</v>
      </c>
      <c r="AI310" t="b">
        <f>+ISNUMBER(SEARCH('F-VTA'!$F$28,Tabla11[[#This Row],[Cuenta]],1))</f>
        <v>1</v>
      </c>
      <c r="AJ310" t="b">
        <f>+ISNUMBER(SEARCH('F-VTA'!$F$29,Tabla11[[#This Row],[Cuenta]],1))</f>
        <v>1</v>
      </c>
      <c r="AK310" t="b">
        <f>+ISNUMBER(SEARCH('F-VTA'!$F$30,Tabla11[[#This Row],[Cuenta]],1))</f>
        <v>1</v>
      </c>
      <c r="AL310" t="b">
        <f>+ISNUMBER(SEARCH('F-VTA'!$F$31,Tabla11[[#This Row],[Cuenta]],1))</f>
        <v>1</v>
      </c>
      <c r="AM310" t="b">
        <f>+ISNUMBER(SEARCH('F-VTA'!$F$32,Tabla11[[#This Row],[Cuenta]],1))</f>
        <v>1</v>
      </c>
      <c r="AN310" t="b">
        <f>+ISNUMBER(SEARCH('F-VTA'!$F$33,Tabla11[[#This Row],[Cuenta]],1))</f>
        <v>1</v>
      </c>
      <c r="AO310" t="b">
        <f>+ISNUMBER(SEARCH('F-VTA'!$F$34,Tabla11[[#This Row],[Cuenta]],1))</f>
        <v>1</v>
      </c>
      <c r="AP310" t="b">
        <f>+ISNUMBER(SEARCH('F-VTA'!$F$35,Tabla11[[#This Row],[Cuenta]],1))</f>
        <v>1</v>
      </c>
      <c r="AQ310" t="b">
        <f>+ISNUMBER(SEARCH('F-VTA'!$F$36,Tabla11[[#This Row],[Cuenta]],1))</f>
        <v>1</v>
      </c>
      <c r="AR310" t="b">
        <f>+ISNUMBER(SEARCH(#REF!,Tabla11[[#This Row],[Cuenta]],1))</f>
        <v>0</v>
      </c>
      <c r="AS310" t="b">
        <f>+ISNUMBER(SEARCH(#REF!,Tabla11[[#This Row],[Cuenta]],1))</f>
        <v>0</v>
      </c>
      <c r="AT310" t="b">
        <f>+ISNUMBER(SEARCH(#REF!,Tabla11[[#This Row],[Cuenta]],1))</f>
        <v>0</v>
      </c>
      <c r="AU310" t="b">
        <f>+ISNUMBER(SEARCH('Conc. Ban.1'!$I$9,Tabla11[[#This Row],[Cuenta]],1))</f>
        <v>0</v>
      </c>
      <c r="AV310" t="b">
        <f>+ISNUMBER(SEARCH(CompConta!$F$21,Tabla11[[#This Row],[Cuenta]],1))</f>
        <v>1</v>
      </c>
      <c r="AW310" t="b">
        <f>+ISNUMBER(SEARCH(CompConta!$F$22,Tabla11[[#This Row],[Cuenta]],1))</f>
        <v>1</v>
      </c>
      <c r="AX310" t="b">
        <f>+ISNUMBER(SEARCH(CompConta!$F$23,Tabla11[[#This Row],[Cuenta]],1))</f>
        <v>1</v>
      </c>
      <c r="AY310" t="b">
        <f>+ISNUMBER(SEARCH(CompConta!$F$24,Tabla11[[#This Row],[Cuenta]],1))</f>
        <v>1</v>
      </c>
      <c r="AZ310" t="b">
        <f>+ISNUMBER(SEARCH(CompConta!$F$25,Tabla11[[#This Row],[Cuenta]],1))</f>
        <v>1</v>
      </c>
      <c r="BA310" t="b">
        <f>+ISNUMBER(SEARCH(CompConta!$F$26,Tabla11[[#This Row],[Cuenta]],1))</f>
        <v>1</v>
      </c>
      <c r="BB310" t="b">
        <f>+ISNUMBER(SEARCH(CompConta!$F$27,Tabla11[[#This Row],[Cuenta]],1))</f>
        <v>1</v>
      </c>
      <c r="BC310" t="b">
        <f>+ISNUMBER(SEARCH(CompConta!$F$28,Tabla11[[#This Row],[Cuenta]],1))</f>
        <v>1</v>
      </c>
      <c r="BD310" t="b">
        <f>+ISNUMBER(SEARCH(CompConta!$F$29,Tabla11[[#This Row],[Cuenta]],1))</f>
        <v>1</v>
      </c>
      <c r="BE310" t="b">
        <f>+ISNUMBER(SEARCH(CompConta!$F$30,Tabla11[[#This Row],[Cuenta]],1))</f>
        <v>1</v>
      </c>
      <c r="BF310" t="b">
        <f>+ISNUMBER(SEARCH('PAGO Compras'!$E$11,Tabla11[[#This Row],[Cuenta]],1))</f>
        <v>1</v>
      </c>
      <c r="BG310" t="b">
        <f>+ISNUMBER(SEARCH(#REF!,Tabla11[[#This Row],[Cuenta]],1))</f>
        <v>0</v>
      </c>
      <c r="BH310" t="b">
        <f>+ISNUMBER(SEARCH(#REF!,Tabla11[[#This Row],[Cuenta]],1))</f>
        <v>0</v>
      </c>
      <c r="BI310" t="b">
        <f>+ISNUMBER(SEARCH(#REF!,Tabla11[[#This Row],[Cuenta]],1))</f>
        <v>0</v>
      </c>
      <c r="BJ310" t="b">
        <f>+ISNUMBER(SEARCH(#REF!,Tabla11[[#This Row],[Cuenta]],1))</f>
        <v>0</v>
      </c>
      <c r="BS310" t="str">
        <v>169820 Concesiones y franquicias</v>
      </c>
      <c r="BT310" t="str">
        <v>169820 Concesiones y franquicias</v>
      </c>
      <c r="BU310" t="str">
        <v>169820 Concesiones y franquicias</v>
      </c>
      <c r="BV310" t="str">
        <v>169820 Concesiones y franquicias</v>
      </c>
      <c r="BZ310" t="str">
        <v>169820 Concesiones y franquicias</v>
      </c>
      <c r="CA310" t="str">
        <v>169820 Concesiones y franquicias</v>
      </c>
      <c r="CB310" t="str">
        <v>169820 Concesiones y franquicias</v>
      </c>
      <c r="CC310" t="str">
        <v>169820 Concesiones y franquicias</v>
      </c>
      <c r="CD310" t="str">
        <v>169820 Concesiones y franquicias</v>
      </c>
      <c r="CE310" t="str">
        <v>169820 Concesiones y franquicias</v>
      </c>
      <c r="CS310" s="141" t="str">
        <v>169820 Concesiones y franquicias</v>
      </c>
      <c r="CT310" s="141" t="str">
        <v>169820 Concesiones y franquicias</v>
      </c>
      <c r="CU310" s="141" t="str">
        <v>169820 Concesiones y franquicias</v>
      </c>
      <c r="CV310" s="141" t="str">
        <v>169820 Concesiones y franquicias</v>
      </c>
      <c r="CW310" s="141" t="str">
        <v>169820 Concesiones y franquicias</v>
      </c>
      <c r="CX310" s="141" t="str">
        <v>169820 Concesiones y franquicias</v>
      </c>
      <c r="CY310" s="141" t="str">
        <v>169820 Concesiones y franquicias</v>
      </c>
      <c r="CZ310" s="141" t="str">
        <v>169820 Concesiones y franquicias</v>
      </c>
      <c r="DA310" s="141" t="str">
        <v>169820 Concesiones y franquicias</v>
      </c>
      <c r="DF310" t="str">
        <v>169820 Concesiones y franquicias</v>
      </c>
      <c r="DG310" t="str">
        <v>169820 Concesiones y franquicias</v>
      </c>
      <c r="DH310" t="str">
        <v>169820 Concesiones y franquicias</v>
      </c>
      <c r="DI310" t="str">
        <v>169820 Concesiones y franquicias</v>
      </c>
      <c r="DJ310" t="str">
        <v>169820 Concesiones y franquicias</v>
      </c>
      <c r="DK310" t="str">
        <v>169820 Concesiones y franquicias</v>
      </c>
      <c r="DL310" t="str">
        <v>169820 Concesiones y franquicias</v>
      </c>
      <c r="DM310" t="str">
        <v>169820 Concesiones y franquicias</v>
      </c>
      <c r="DN310" t="str">
        <v>169820 Concesiones y franquicias</v>
      </c>
      <c r="DO310" t="str">
        <v>169820 Concesiones y franquicias</v>
      </c>
      <c r="DP310" t="str">
        <v>169820 Concesiones y franquicias</v>
      </c>
    </row>
    <row r="311" spans="4:120" ht="12.75">
      <c r="D311" s="7">
        <v>169830</v>
      </c>
      <c r="E311" s="6" t="s">
        <v>254</v>
      </c>
      <c r="F311" s="5">
        <v>4</v>
      </c>
      <c r="G311" s="34" t="s">
        <v>822</v>
      </c>
      <c r="H311" s="8" t="s">
        <v>32</v>
      </c>
      <c r="I311" t="b">
        <f>+ISNUMBER(SEARCH('F-COMPRA'!$F$28,Tabla11[[#This Row],[Cuenta]],1))</f>
        <v>1</v>
      </c>
      <c r="J311" t="b">
        <f>+ISNUMBER(SEARCH('F-COMPRA'!$F$29,Tabla11[[#This Row],[Cuenta]],1))</f>
        <v>1</v>
      </c>
      <c r="K311" t="b">
        <f>+ISNUMBER(SEARCH('F-COMPRA'!$F$30,Tabla11[[#This Row],[Cuenta]],1))</f>
        <v>1</v>
      </c>
      <c r="L311" t="b">
        <f>+ISNUMBER(SEARCH('F-COMPRA'!$F$31,Tabla11[[#This Row],[Cuenta]],1))</f>
        <v>1</v>
      </c>
      <c r="M311" t="b">
        <f>+ISNUMBER(SEARCH('F-COMPRA'!$G$25,Tabla11[[#This Row],[Cuenta]],1))</f>
        <v>0</v>
      </c>
      <c r="N311" t="b">
        <f>+ISNUMBER(SEARCH(#REF!,Tabla11[[#This Row],[Cuenta]],1))</f>
        <v>0</v>
      </c>
      <c r="O311" t="b">
        <f>+ISNUMBER(SEARCH(#REF!,Tabla11[[#This Row],[Cuenta]],1))</f>
        <v>0</v>
      </c>
      <c r="P311" t="b">
        <f>+ISNUMBER(SEARCH('F-COMPRA'!$F$32,Tabla11[[#This Row],[Cuenta]],1))</f>
        <v>1</v>
      </c>
      <c r="Q311" t="b">
        <f>+ISNUMBER(SEARCH('F-COMPRA'!$F$33,Tabla11[[#This Row],[Cuenta]],1))</f>
        <v>1</v>
      </c>
      <c r="R311" t="b">
        <f>+ISNUMBER(SEARCH('F-COMPRA'!$F$34,Tabla11[[#This Row],[Cuenta]],1))</f>
        <v>1</v>
      </c>
      <c r="S311" t="b">
        <f>+ISNUMBER(SEARCH('F-COMPRA'!$F$35,Tabla11[[#This Row],[Cuenta]],1))</f>
        <v>1</v>
      </c>
      <c r="T311" t="b">
        <f>+ISNUMBER(SEARCH('F-COMPRA'!$F$36,Tabla11[[#This Row],[Cuenta]],1))</f>
        <v>1</v>
      </c>
      <c r="U311" t="b">
        <f>+ISNUMBER(SEARCH('F-COMPRA'!$F$37,Tabla11[[#This Row],[Cuenta]],1))</f>
        <v>1</v>
      </c>
      <c r="V311" t="b">
        <f>+ISNUMBER(SEARCH(#REF!,Tabla11[[#This Row],[Cuenta]],1))</f>
        <v>0</v>
      </c>
      <c r="W311" t="b">
        <f>+ISNUMBER(SEARCH('F-COMPRA'!#REF!,Tabla11[[#This Row],[Cuenta]],1))</f>
        <v>0</v>
      </c>
      <c r="X311" t="b">
        <f>+ISNUMBER(SEARCH('F-COMPRA'!#REF!,Tabla11[[#This Row],[Cuenta]],1))</f>
        <v>0</v>
      </c>
      <c r="Y311" t="b">
        <f>+ISNUMBER(SEARCH('F-COMPRA'!#REF!,Tabla11[[#This Row],[Cuenta]],1))</f>
        <v>0</v>
      </c>
      <c r="Z311" t="b">
        <f>+ISNUMBER(SEARCH('F-COMPRA'!#REF!,Tabla11[[#This Row],[Cuenta]],1))</f>
        <v>0</v>
      </c>
      <c r="AA311" t="b">
        <f>+ISNUMBER(SEARCH('F-COMPRA'!#REF!,Tabla11[[#This Row],[Cuenta]],1))</f>
        <v>0</v>
      </c>
      <c r="AB311" t="b">
        <f>+ISNUMBER(SEARCH('F-COMPRA'!#REF!,Tabla11[[#This Row],[Cuenta]],1))</f>
        <v>0</v>
      </c>
      <c r="AC311" t="b">
        <f>+ISNUMBER(SEARCH('F-COMPRA'!#REF!,Tabla11[[#This Row],[Cuenta]],1))</f>
        <v>0</v>
      </c>
      <c r="AD311" t="b">
        <f>+ISNUMBER(SEARCH('F-COMPRA'!#REF!,Tabla11[[#This Row],[Cuenta]],1))</f>
        <v>0</v>
      </c>
      <c r="AE311" t="b">
        <f>+ISNUMBER(SEARCH('F-COMPRA'!#REF!,Tabla11[[#This Row],[Cuenta]],1))</f>
        <v>0</v>
      </c>
      <c r="AF311" t="b">
        <f>+ISNUMBER(SEARCH('F-VTA'!$G$23,Tabla11[[#This Row],[Cuenta]],1))</f>
        <v>0</v>
      </c>
      <c r="AG311" t="b">
        <f>+ISNUMBER(SEARCH('F-VTA'!$G$24,Tabla11[[#This Row],[Cuenta]],1))</f>
        <v>0</v>
      </c>
      <c r="AH311" t="b">
        <f>+ISNUMBER(SEARCH('F-VTA'!$G$25,Tabla11[[#This Row],[Cuenta]],1))</f>
        <v>0</v>
      </c>
      <c r="AI311" t="b">
        <f>+ISNUMBER(SEARCH('F-VTA'!$F$28,Tabla11[[#This Row],[Cuenta]],1))</f>
        <v>1</v>
      </c>
      <c r="AJ311" t="b">
        <f>+ISNUMBER(SEARCH('F-VTA'!$F$29,Tabla11[[#This Row],[Cuenta]],1))</f>
        <v>1</v>
      </c>
      <c r="AK311" t="b">
        <f>+ISNUMBER(SEARCH('F-VTA'!$F$30,Tabla11[[#This Row],[Cuenta]],1))</f>
        <v>1</v>
      </c>
      <c r="AL311" t="b">
        <f>+ISNUMBER(SEARCH('F-VTA'!$F$31,Tabla11[[#This Row],[Cuenta]],1))</f>
        <v>1</v>
      </c>
      <c r="AM311" t="b">
        <f>+ISNUMBER(SEARCH('F-VTA'!$F$32,Tabla11[[#This Row],[Cuenta]],1))</f>
        <v>1</v>
      </c>
      <c r="AN311" t="b">
        <f>+ISNUMBER(SEARCH('F-VTA'!$F$33,Tabla11[[#This Row],[Cuenta]],1))</f>
        <v>1</v>
      </c>
      <c r="AO311" t="b">
        <f>+ISNUMBER(SEARCH('F-VTA'!$F$34,Tabla11[[#This Row],[Cuenta]],1))</f>
        <v>1</v>
      </c>
      <c r="AP311" t="b">
        <f>+ISNUMBER(SEARCH('F-VTA'!$F$35,Tabla11[[#This Row],[Cuenta]],1))</f>
        <v>1</v>
      </c>
      <c r="AQ311" t="b">
        <f>+ISNUMBER(SEARCH('F-VTA'!$F$36,Tabla11[[#This Row],[Cuenta]],1))</f>
        <v>1</v>
      </c>
      <c r="AR311" t="b">
        <f>+ISNUMBER(SEARCH(#REF!,Tabla11[[#This Row],[Cuenta]],1))</f>
        <v>0</v>
      </c>
      <c r="AS311" t="b">
        <f>+ISNUMBER(SEARCH(#REF!,Tabla11[[#This Row],[Cuenta]],1))</f>
        <v>0</v>
      </c>
      <c r="AT311" t="b">
        <f>+ISNUMBER(SEARCH(#REF!,Tabla11[[#This Row],[Cuenta]],1))</f>
        <v>0</v>
      </c>
      <c r="AU311" t="b">
        <f>+ISNUMBER(SEARCH('Conc. Ban.1'!$I$9,Tabla11[[#This Row],[Cuenta]],1))</f>
        <v>0</v>
      </c>
      <c r="AV311" t="b">
        <f>+ISNUMBER(SEARCH(CompConta!$F$21,Tabla11[[#This Row],[Cuenta]],1))</f>
        <v>1</v>
      </c>
      <c r="AW311" t="b">
        <f>+ISNUMBER(SEARCH(CompConta!$F$22,Tabla11[[#This Row],[Cuenta]],1))</f>
        <v>1</v>
      </c>
      <c r="AX311" t="b">
        <f>+ISNUMBER(SEARCH(CompConta!$F$23,Tabla11[[#This Row],[Cuenta]],1))</f>
        <v>1</v>
      </c>
      <c r="AY311" t="b">
        <f>+ISNUMBER(SEARCH(CompConta!$F$24,Tabla11[[#This Row],[Cuenta]],1))</f>
        <v>1</v>
      </c>
      <c r="AZ311" t="b">
        <f>+ISNUMBER(SEARCH(CompConta!$F$25,Tabla11[[#This Row],[Cuenta]],1))</f>
        <v>1</v>
      </c>
      <c r="BA311" t="b">
        <f>+ISNUMBER(SEARCH(CompConta!$F$26,Tabla11[[#This Row],[Cuenta]],1))</f>
        <v>1</v>
      </c>
      <c r="BB311" t="b">
        <f>+ISNUMBER(SEARCH(CompConta!$F$27,Tabla11[[#This Row],[Cuenta]],1))</f>
        <v>1</v>
      </c>
      <c r="BC311" t="b">
        <f>+ISNUMBER(SEARCH(CompConta!$F$28,Tabla11[[#This Row],[Cuenta]],1))</f>
        <v>1</v>
      </c>
      <c r="BD311" t="b">
        <f>+ISNUMBER(SEARCH(CompConta!$F$29,Tabla11[[#This Row],[Cuenta]],1))</f>
        <v>1</v>
      </c>
      <c r="BE311" t="b">
        <f>+ISNUMBER(SEARCH(CompConta!$F$30,Tabla11[[#This Row],[Cuenta]],1))</f>
        <v>1</v>
      </c>
      <c r="BF311" t="b">
        <f>+ISNUMBER(SEARCH('PAGO Compras'!$E$11,Tabla11[[#This Row],[Cuenta]],1))</f>
        <v>1</v>
      </c>
      <c r="BG311" t="b">
        <f>+ISNUMBER(SEARCH(#REF!,Tabla11[[#This Row],[Cuenta]],1))</f>
        <v>0</v>
      </c>
      <c r="BH311" t="b">
        <f>+ISNUMBER(SEARCH(#REF!,Tabla11[[#This Row],[Cuenta]],1))</f>
        <v>0</v>
      </c>
      <c r="BI311" t="b">
        <f>+ISNUMBER(SEARCH(#REF!,Tabla11[[#This Row],[Cuenta]],1))</f>
        <v>0</v>
      </c>
      <c r="BJ311" t="b">
        <f>+ISNUMBER(SEARCH(#REF!,Tabla11[[#This Row],[Cuenta]],1))</f>
        <v>0</v>
      </c>
      <c r="BS311" t="str">
        <v>169830 Derechos</v>
      </c>
      <c r="BT311" t="str">
        <v>169830 Derechos</v>
      </c>
      <c r="BU311" t="str">
        <v>169830 Derechos</v>
      </c>
      <c r="BV311" t="str">
        <v>169830 Derechos</v>
      </c>
      <c r="BZ311" t="str">
        <v>169830 Derechos</v>
      </c>
      <c r="CA311" t="str">
        <v>169830 Derechos</v>
      </c>
      <c r="CB311" t="str">
        <v>169830 Derechos</v>
      </c>
      <c r="CC311" t="str">
        <v>169830 Derechos</v>
      </c>
      <c r="CD311" t="str">
        <v>169830 Derechos</v>
      </c>
      <c r="CE311" t="str">
        <v>169830 Derechos</v>
      </c>
      <c r="CS311" s="141" t="str">
        <v>169830 Derechos</v>
      </c>
      <c r="CT311" s="141" t="str">
        <v>169830 Derechos</v>
      </c>
      <c r="CU311" s="141" t="str">
        <v>169830 Derechos</v>
      </c>
      <c r="CV311" s="141" t="str">
        <v>169830 Derechos</v>
      </c>
      <c r="CW311" s="141" t="str">
        <v>169830 Derechos</v>
      </c>
      <c r="CX311" s="141" t="str">
        <v>169830 Derechos</v>
      </c>
      <c r="CY311" s="141" t="str">
        <v>169830 Derechos</v>
      </c>
      <c r="CZ311" s="141" t="str">
        <v>169830 Derechos</v>
      </c>
      <c r="DA311" s="141" t="str">
        <v>169830 Derechos</v>
      </c>
      <c r="DF311" t="str">
        <v>169830 Derechos</v>
      </c>
      <c r="DG311" t="str">
        <v>169830 Derechos</v>
      </c>
      <c r="DH311" t="str">
        <v>169830 Derechos</v>
      </c>
      <c r="DI311" t="str">
        <v>169830 Derechos</v>
      </c>
      <c r="DJ311" t="str">
        <v>169830 Derechos</v>
      </c>
      <c r="DK311" t="str">
        <v>169830 Derechos</v>
      </c>
      <c r="DL311" t="str">
        <v>169830 Derechos</v>
      </c>
      <c r="DM311" t="str">
        <v>169830 Derechos</v>
      </c>
      <c r="DN311" t="str">
        <v>169830 Derechos</v>
      </c>
      <c r="DO311" t="str">
        <v>169830 Derechos</v>
      </c>
      <c r="DP311" t="str">
        <v>169830 Derechos</v>
      </c>
    </row>
    <row r="312" spans="4:120" ht="12.75">
      <c r="D312" s="7">
        <v>169835</v>
      </c>
      <c r="E312" s="6" t="s">
        <v>255</v>
      </c>
      <c r="F312" s="5">
        <v>4</v>
      </c>
      <c r="G312" s="34" t="s">
        <v>822</v>
      </c>
      <c r="H312" s="8" t="s">
        <v>32</v>
      </c>
      <c r="I312" t="b">
        <f>+ISNUMBER(SEARCH('F-COMPRA'!$F$28,Tabla11[[#This Row],[Cuenta]],1))</f>
        <v>1</v>
      </c>
      <c r="J312" t="b">
        <f>+ISNUMBER(SEARCH('F-COMPRA'!$F$29,Tabla11[[#This Row],[Cuenta]],1))</f>
        <v>1</v>
      </c>
      <c r="K312" t="b">
        <f>+ISNUMBER(SEARCH('F-COMPRA'!$F$30,Tabla11[[#This Row],[Cuenta]],1))</f>
        <v>1</v>
      </c>
      <c r="L312" t="b">
        <f>+ISNUMBER(SEARCH('F-COMPRA'!$F$31,Tabla11[[#This Row],[Cuenta]],1))</f>
        <v>1</v>
      </c>
      <c r="M312" t="b">
        <f>+ISNUMBER(SEARCH('F-COMPRA'!$G$25,Tabla11[[#This Row],[Cuenta]],1))</f>
        <v>0</v>
      </c>
      <c r="N312" t="b">
        <f>+ISNUMBER(SEARCH(#REF!,Tabla11[[#This Row],[Cuenta]],1))</f>
        <v>0</v>
      </c>
      <c r="O312" t="b">
        <f>+ISNUMBER(SEARCH(#REF!,Tabla11[[#This Row],[Cuenta]],1))</f>
        <v>0</v>
      </c>
      <c r="P312" t="b">
        <f>+ISNUMBER(SEARCH('F-COMPRA'!$F$32,Tabla11[[#This Row],[Cuenta]],1))</f>
        <v>1</v>
      </c>
      <c r="Q312" t="b">
        <f>+ISNUMBER(SEARCH('F-COMPRA'!$F$33,Tabla11[[#This Row],[Cuenta]],1))</f>
        <v>1</v>
      </c>
      <c r="R312" t="b">
        <f>+ISNUMBER(SEARCH('F-COMPRA'!$F$34,Tabla11[[#This Row],[Cuenta]],1))</f>
        <v>1</v>
      </c>
      <c r="S312" t="b">
        <f>+ISNUMBER(SEARCH('F-COMPRA'!$F$35,Tabla11[[#This Row],[Cuenta]],1))</f>
        <v>1</v>
      </c>
      <c r="T312" t="b">
        <f>+ISNUMBER(SEARCH('F-COMPRA'!$F$36,Tabla11[[#This Row],[Cuenta]],1))</f>
        <v>1</v>
      </c>
      <c r="U312" t="b">
        <f>+ISNUMBER(SEARCH('F-COMPRA'!$F$37,Tabla11[[#This Row],[Cuenta]],1))</f>
        <v>1</v>
      </c>
      <c r="V312" t="b">
        <f>+ISNUMBER(SEARCH(#REF!,Tabla11[[#This Row],[Cuenta]],1))</f>
        <v>0</v>
      </c>
      <c r="W312" t="b">
        <f>+ISNUMBER(SEARCH('F-COMPRA'!#REF!,Tabla11[[#This Row],[Cuenta]],1))</f>
        <v>0</v>
      </c>
      <c r="X312" t="b">
        <f>+ISNUMBER(SEARCH('F-COMPRA'!#REF!,Tabla11[[#This Row],[Cuenta]],1))</f>
        <v>0</v>
      </c>
      <c r="Y312" t="b">
        <f>+ISNUMBER(SEARCH('F-COMPRA'!#REF!,Tabla11[[#This Row],[Cuenta]],1))</f>
        <v>0</v>
      </c>
      <c r="Z312" t="b">
        <f>+ISNUMBER(SEARCH('F-COMPRA'!#REF!,Tabla11[[#This Row],[Cuenta]],1))</f>
        <v>0</v>
      </c>
      <c r="AA312" t="b">
        <f>+ISNUMBER(SEARCH('F-COMPRA'!#REF!,Tabla11[[#This Row],[Cuenta]],1))</f>
        <v>0</v>
      </c>
      <c r="AB312" t="b">
        <f>+ISNUMBER(SEARCH('F-COMPRA'!#REF!,Tabla11[[#This Row],[Cuenta]],1))</f>
        <v>0</v>
      </c>
      <c r="AC312" t="b">
        <f>+ISNUMBER(SEARCH('F-COMPRA'!#REF!,Tabla11[[#This Row],[Cuenta]],1))</f>
        <v>0</v>
      </c>
      <c r="AD312" t="b">
        <f>+ISNUMBER(SEARCH('F-COMPRA'!#REF!,Tabla11[[#This Row],[Cuenta]],1))</f>
        <v>0</v>
      </c>
      <c r="AE312" t="b">
        <f>+ISNUMBER(SEARCH('F-COMPRA'!#REF!,Tabla11[[#This Row],[Cuenta]],1))</f>
        <v>0</v>
      </c>
      <c r="AF312" t="b">
        <f>+ISNUMBER(SEARCH('F-VTA'!$G$23,Tabla11[[#This Row],[Cuenta]],1))</f>
        <v>0</v>
      </c>
      <c r="AG312" t="b">
        <f>+ISNUMBER(SEARCH('F-VTA'!$G$24,Tabla11[[#This Row],[Cuenta]],1))</f>
        <v>0</v>
      </c>
      <c r="AH312" t="b">
        <f>+ISNUMBER(SEARCH('F-VTA'!$G$25,Tabla11[[#This Row],[Cuenta]],1))</f>
        <v>0</v>
      </c>
      <c r="AI312" t="b">
        <f>+ISNUMBER(SEARCH('F-VTA'!$F$28,Tabla11[[#This Row],[Cuenta]],1))</f>
        <v>1</v>
      </c>
      <c r="AJ312" t="b">
        <f>+ISNUMBER(SEARCH('F-VTA'!$F$29,Tabla11[[#This Row],[Cuenta]],1))</f>
        <v>1</v>
      </c>
      <c r="AK312" t="b">
        <f>+ISNUMBER(SEARCH('F-VTA'!$F$30,Tabla11[[#This Row],[Cuenta]],1))</f>
        <v>1</v>
      </c>
      <c r="AL312" t="b">
        <f>+ISNUMBER(SEARCH('F-VTA'!$F$31,Tabla11[[#This Row],[Cuenta]],1))</f>
        <v>1</v>
      </c>
      <c r="AM312" t="b">
        <f>+ISNUMBER(SEARCH('F-VTA'!$F$32,Tabla11[[#This Row],[Cuenta]],1))</f>
        <v>1</v>
      </c>
      <c r="AN312" t="b">
        <f>+ISNUMBER(SEARCH('F-VTA'!$F$33,Tabla11[[#This Row],[Cuenta]],1))</f>
        <v>1</v>
      </c>
      <c r="AO312" t="b">
        <f>+ISNUMBER(SEARCH('F-VTA'!$F$34,Tabla11[[#This Row],[Cuenta]],1))</f>
        <v>1</v>
      </c>
      <c r="AP312" t="b">
        <f>+ISNUMBER(SEARCH('F-VTA'!$F$35,Tabla11[[#This Row],[Cuenta]],1))</f>
        <v>1</v>
      </c>
      <c r="AQ312" t="b">
        <f>+ISNUMBER(SEARCH('F-VTA'!$F$36,Tabla11[[#This Row],[Cuenta]],1))</f>
        <v>1</v>
      </c>
      <c r="AR312" t="b">
        <f>+ISNUMBER(SEARCH(#REF!,Tabla11[[#This Row],[Cuenta]],1))</f>
        <v>0</v>
      </c>
      <c r="AS312" t="b">
        <f>+ISNUMBER(SEARCH(#REF!,Tabla11[[#This Row],[Cuenta]],1))</f>
        <v>0</v>
      </c>
      <c r="AT312" t="b">
        <f>+ISNUMBER(SEARCH(#REF!,Tabla11[[#This Row],[Cuenta]],1))</f>
        <v>0</v>
      </c>
      <c r="AU312" t="b">
        <f>+ISNUMBER(SEARCH('Conc. Ban.1'!$I$9,Tabla11[[#This Row],[Cuenta]],1))</f>
        <v>0</v>
      </c>
      <c r="AV312" t="b">
        <f>+ISNUMBER(SEARCH(CompConta!$F$21,Tabla11[[#This Row],[Cuenta]],1))</f>
        <v>1</v>
      </c>
      <c r="AW312" t="b">
        <f>+ISNUMBER(SEARCH(CompConta!$F$22,Tabla11[[#This Row],[Cuenta]],1))</f>
        <v>1</v>
      </c>
      <c r="AX312" t="b">
        <f>+ISNUMBER(SEARCH(CompConta!$F$23,Tabla11[[#This Row],[Cuenta]],1))</f>
        <v>1</v>
      </c>
      <c r="AY312" t="b">
        <f>+ISNUMBER(SEARCH(CompConta!$F$24,Tabla11[[#This Row],[Cuenta]],1))</f>
        <v>1</v>
      </c>
      <c r="AZ312" t="b">
        <f>+ISNUMBER(SEARCH(CompConta!$F$25,Tabla11[[#This Row],[Cuenta]],1))</f>
        <v>1</v>
      </c>
      <c r="BA312" t="b">
        <f>+ISNUMBER(SEARCH(CompConta!$F$26,Tabla11[[#This Row],[Cuenta]],1))</f>
        <v>1</v>
      </c>
      <c r="BB312" t="b">
        <f>+ISNUMBER(SEARCH(CompConta!$F$27,Tabla11[[#This Row],[Cuenta]],1))</f>
        <v>1</v>
      </c>
      <c r="BC312" t="b">
        <f>+ISNUMBER(SEARCH(CompConta!$F$28,Tabla11[[#This Row],[Cuenta]],1))</f>
        <v>1</v>
      </c>
      <c r="BD312" t="b">
        <f>+ISNUMBER(SEARCH(CompConta!$F$29,Tabla11[[#This Row],[Cuenta]],1))</f>
        <v>1</v>
      </c>
      <c r="BE312" t="b">
        <f>+ISNUMBER(SEARCH(CompConta!$F$30,Tabla11[[#This Row],[Cuenta]],1))</f>
        <v>1</v>
      </c>
      <c r="BF312" t="b">
        <f>+ISNUMBER(SEARCH('PAGO Compras'!$E$11,Tabla11[[#This Row],[Cuenta]],1))</f>
        <v>1</v>
      </c>
      <c r="BG312" t="b">
        <f>+ISNUMBER(SEARCH(#REF!,Tabla11[[#This Row],[Cuenta]],1))</f>
        <v>0</v>
      </c>
      <c r="BH312" t="b">
        <f>+ISNUMBER(SEARCH(#REF!,Tabla11[[#This Row],[Cuenta]],1))</f>
        <v>0</v>
      </c>
      <c r="BI312" t="b">
        <f>+ISNUMBER(SEARCH(#REF!,Tabla11[[#This Row],[Cuenta]],1))</f>
        <v>0</v>
      </c>
      <c r="BJ312" t="b">
        <f>+ISNUMBER(SEARCH(#REF!,Tabla11[[#This Row],[Cuenta]],1))</f>
        <v>0</v>
      </c>
      <c r="BS312" t="str">
        <v>169835 Know how</v>
      </c>
      <c r="BT312" t="str">
        <v>169835 Know how</v>
      </c>
      <c r="BU312" t="str">
        <v>169835 Know how</v>
      </c>
      <c r="BV312" t="str">
        <v>169835 Know how</v>
      </c>
      <c r="BZ312" t="str">
        <v>169835 Know how</v>
      </c>
      <c r="CA312" t="str">
        <v>169835 Know how</v>
      </c>
      <c r="CB312" t="str">
        <v>169835 Know how</v>
      </c>
      <c r="CC312" t="str">
        <v>169835 Know how</v>
      </c>
      <c r="CD312" t="str">
        <v>169835 Know how</v>
      </c>
      <c r="CE312" t="str">
        <v>169835 Know how</v>
      </c>
      <c r="CS312" s="141" t="str">
        <v>169835 Know how</v>
      </c>
      <c r="CT312" s="141" t="str">
        <v>169835 Know how</v>
      </c>
      <c r="CU312" s="141" t="str">
        <v>169835 Know how</v>
      </c>
      <c r="CV312" s="141" t="str">
        <v>169835 Know how</v>
      </c>
      <c r="CW312" s="141" t="str">
        <v>169835 Know how</v>
      </c>
      <c r="CX312" s="141" t="str">
        <v>169835 Know how</v>
      </c>
      <c r="CY312" s="141" t="str">
        <v>169835 Know how</v>
      </c>
      <c r="CZ312" s="141" t="str">
        <v>169835 Know how</v>
      </c>
      <c r="DA312" s="141" t="str">
        <v>169835 Know how</v>
      </c>
      <c r="DF312" t="str">
        <v>169835 Know how</v>
      </c>
      <c r="DG312" t="str">
        <v>169835 Know how</v>
      </c>
      <c r="DH312" t="str">
        <v>169835 Know how</v>
      </c>
      <c r="DI312" t="str">
        <v>169835 Know how</v>
      </c>
      <c r="DJ312" t="str">
        <v>169835 Know how</v>
      </c>
      <c r="DK312" t="str">
        <v>169835 Know how</v>
      </c>
      <c r="DL312" t="str">
        <v>169835 Know how</v>
      </c>
      <c r="DM312" t="str">
        <v>169835 Know how</v>
      </c>
      <c r="DN312" t="str">
        <v>169835 Know how</v>
      </c>
      <c r="DO312" t="str">
        <v>169835 Know how</v>
      </c>
      <c r="DP312" t="str">
        <v>169835 Know how</v>
      </c>
    </row>
    <row r="313" spans="4:120" ht="12.75">
      <c r="D313" s="7">
        <v>169840</v>
      </c>
      <c r="E313" s="6" t="s">
        <v>256</v>
      </c>
      <c r="F313" s="5">
        <v>4</v>
      </c>
      <c r="G313" s="34" t="s">
        <v>822</v>
      </c>
      <c r="H313" s="8" t="s">
        <v>32</v>
      </c>
      <c r="I313" t="b">
        <f>+ISNUMBER(SEARCH('F-COMPRA'!$F$28,Tabla11[[#This Row],[Cuenta]],1))</f>
        <v>1</v>
      </c>
      <c r="J313" t="b">
        <f>+ISNUMBER(SEARCH('F-COMPRA'!$F$29,Tabla11[[#This Row],[Cuenta]],1))</f>
        <v>1</v>
      </c>
      <c r="K313" t="b">
        <f>+ISNUMBER(SEARCH('F-COMPRA'!$F$30,Tabla11[[#This Row],[Cuenta]],1))</f>
        <v>1</v>
      </c>
      <c r="L313" t="b">
        <f>+ISNUMBER(SEARCH('F-COMPRA'!$F$31,Tabla11[[#This Row],[Cuenta]],1))</f>
        <v>1</v>
      </c>
      <c r="M313" t="b">
        <f>+ISNUMBER(SEARCH('F-COMPRA'!$G$25,Tabla11[[#This Row],[Cuenta]],1))</f>
        <v>0</v>
      </c>
      <c r="N313" t="b">
        <f>+ISNUMBER(SEARCH(#REF!,Tabla11[[#This Row],[Cuenta]],1))</f>
        <v>0</v>
      </c>
      <c r="O313" t="b">
        <f>+ISNUMBER(SEARCH(#REF!,Tabla11[[#This Row],[Cuenta]],1))</f>
        <v>0</v>
      </c>
      <c r="P313" t="b">
        <f>+ISNUMBER(SEARCH('F-COMPRA'!$F$32,Tabla11[[#This Row],[Cuenta]],1))</f>
        <v>1</v>
      </c>
      <c r="Q313" t="b">
        <f>+ISNUMBER(SEARCH('F-COMPRA'!$F$33,Tabla11[[#This Row],[Cuenta]],1))</f>
        <v>1</v>
      </c>
      <c r="R313" t="b">
        <f>+ISNUMBER(SEARCH('F-COMPRA'!$F$34,Tabla11[[#This Row],[Cuenta]],1))</f>
        <v>1</v>
      </c>
      <c r="S313" t="b">
        <f>+ISNUMBER(SEARCH('F-COMPRA'!$F$35,Tabla11[[#This Row],[Cuenta]],1))</f>
        <v>1</v>
      </c>
      <c r="T313" t="b">
        <f>+ISNUMBER(SEARCH('F-COMPRA'!$F$36,Tabla11[[#This Row],[Cuenta]],1))</f>
        <v>1</v>
      </c>
      <c r="U313" t="b">
        <f>+ISNUMBER(SEARCH('F-COMPRA'!$F$37,Tabla11[[#This Row],[Cuenta]],1))</f>
        <v>1</v>
      </c>
      <c r="V313" t="b">
        <f>+ISNUMBER(SEARCH(#REF!,Tabla11[[#This Row],[Cuenta]],1))</f>
        <v>0</v>
      </c>
      <c r="W313" t="b">
        <f>+ISNUMBER(SEARCH('F-COMPRA'!#REF!,Tabla11[[#This Row],[Cuenta]],1))</f>
        <v>0</v>
      </c>
      <c r="X313" t="b">
        <f>+ISNUMBER(SEARCH('F-COMPRA'!#REF!,Tabla11[[#This Row],[Cuenta]],1))</f>
        <v>0</v>
      </c>
      <c r="Y313" t="b">
        <f>+ISNUMBER(SEARCH('F-COMPRA'!#REF!,Tabla11[[#This Row],[Cuenta]],1))</f>
        <v>0</v>
      </c>
      <c r="Z313" t="b">
        <f>+ISNUMBER(SEARCH('F-COMPRA'!#REF!,Tabla11[[#This Row],[Cuenta]],1))</f>
        <v>0</v>
      </c>
      <c r="AA313" t="b">
        <f>+ISNUMBER(SEARCH('F-COMPRA'!#REF!,Tabla11[[#This Row],[Cuenta]],1))</f>
        <v>0</v>
      </c>
      <c r="AB313" t="b">
        <f>+ISNUMBER(SEARCH('F-COMPRA'!#REF!,Tabla11[[#This Row],[Cuenta]],1))</f>
        <v>0</v>
      </c>
      <c r="AC313" t="b">
        <f>+ISNUMBER(SEARCH('F-COMPRA'!#REF!,Tabla11[[#This Row],[Cuenta]],1))</f>
        <v>0</v>
      </c>
      <c r="AD313" t="b">
        <f>+ISNUMBER(SEARCH('F-COMPRA'!#REF!,Tabla11[[#This Row],[Cuenta]],1))</f>
        <v>0</v>
      </c>
      <c r="AE313" t="b">
        <f>+ISNUMBER(SEARCH('F-COMPRA'!#REF!,Tabla11[[#This Row],[Cuenta]],1))</f>
        <v>0</v>
      </c>
      <c r="AF313" t="b">
        <f>+ISNUMBER(SEARCH('F-VTA'!$G$23,Tabla11[[#This Row],[Cuenta]],1))</f>
        <v>0</v>
      </c>
      <c r="AG313" t="b">
        <f>+ISNUMBER(SEARCH('F-VTA'!$G$24,Tabla11[[#This Row],[Cuenta]],1))</f>
        <v>0</v>
      </c>
      <c r="AH313" t="b">
        <f>+ISNUMBER(SEARCH('F-VTA'!$G$25,Tabla11[[#This Row],[Cuenta]],1))</f>
        <v>0</v>
      </c>
      <c r="AI313" t="b">
        <f>+ISNUMBER(SEARCH('F-VTA'!$F$28,Tabla11[[#This Row],[Cuenta]],1))</f>
        <v>1</v>
      </c>
      <c r="AJ313" t="b">
        <f>+ISNUMBER(SEARCH('F-VTA'!$F$29,Tabla11[[#This Row],[Cuenta]],1))</f>
        <v>1</v>
      </c>
      <c r="AK313" t="b">
        <f>+ISNUMBER(SEARCH('F-VTA'!$F$30,Tabla11[[#This Row],[Cuenta]],1))</f>
        <v>1</v>
      </c>
      <c r="AL313" t="b">
        <f>+ISNUMBER(SEARCH('F-VTA'!$F$31,Tabla11[[#This Row],[Cuenta]],1))</f>
        <v>1</v>
      </c>
      <c r="AM313" t="b">
        <f>+ISNUMBER(SEARCH('F-VTA'!$F$32,Tabla11[[#This Row],[Cuenta]],1))</f>
        <v>1</v>
      </c>
      <c r="AN313" t="b">
        <f>+ISNUMBER(SEARCH('F-VTA'!$F$33,Tabla11[[#This Row],[Cuenta]],1))</f>
        <v>1</v>
      </c>
      <c r="AO313" t="b">
        <f>+ISNUMBER(SEARCH('F-VTA'!$F$34,Tabla11[[#This Row],[Cuenta]],1))</f>
        <v>1</v>
      </c>
      <c r="AP313" t="b">
        <f>+ISNUMBER(SEARCH('F-VTA'!$F$35,Tabla11[[#This Row],[Cuenta]],1))</f>
        <v>1</v>
      </c>
      <c r="AQ313" t="b">
        <f>+ISNUMBER(SEARCH('F-VTA'!$F$36,Tabla11[[#This Row],[Cuenta]],1))</f>
        <v>1</v>
      </c>
      <c r="AR313" t="b">
        <f>+ISNUMBER(SEARCH(#REF!,Tabla11[[#This Row],[Cuenta]],1))</f>
        <v>0</v>
      </c>
      <c r="AS313" t="b">
        <f>+ISNUMBER(SEARCH(#REF!,Tabla11[[#This Row],[Cuenta]],1))</f>
        <v>0</v>
      </c>
      <c r="AT313" t="b">
        <f>+ISNUMBER(SEARCH(#REF!,Tabla11[[#This Row],[Cuenta]],1))</f>
        <v>0</v>
      </c>
      <c r="AU313" t="b">
        <f>+ISNUMBER(SEARCH('Conc. Ban.1'!$I$9,Tabla11[[#This Row],[Cuenta]],1))</f>
        <v>0</v>
      </c>
      <c r="AV313" t="b">
        <f>+ISNUMBER(SEARCH(CompConta!$F$21,Tabla11[[#This Row],[Cuenta]],1))</f>
        <v>1</v>
      </c>
      <c r="AW313" t="b">
        <f>+ISNUMBER(SEARCH(CompConta!$F$22,Tabla11[[#This Row],[Cuenta]],1))</f>
        <v>1</v>
      </c>
      <c r="AX313" t="b">
        <f>+ISNUMBER(SEARCH(CompConta!$F$23,Tabla11[[#This Row],[Cuenta]],1))</f>
        <v>1</v>
      </c>
      <c r="AY313" t="b">
        <f>+ISNUMBER(SEARCH(CompConta!$F$24,Tabla11[[#This Row],[Cuenta]],1))</f>
        <v>1</v>
      </c>
      <c r="AZ313" t="b">
        <f>+ISNUMBER(SEARCH(CompConta!$F$25,Tabla11[[#This Row],[Cuenta]],1))</f>
        <v>1</v>
      </c>
      <c r="BA313" t="b">
        <f>+ISNUMBER(SEARCH(CompConta!$F$26,Tabla11[[#This Row],[Cuenta]],1))</f>
        <v>1</v>
      </c>
      <c r="BB313" t="b">
        <f>+ISNUMBER(SEARCH(CompConta!$F$27,Tabla11[[#This Row],[Cuenta]],1))</f>
        <v>1</v>
      </c>
      <c r="BC313" t="b">
        <f>+ISNUMBER(SEARCH(CompConta!$F$28,Tabla11[[#This Row],[Cuenta]],1))</f>
        <v>1</v>
      </c>
      <c r="BD313" t="b">
        <f>+ISNUMBER(SEARCH(CompConta!$F$29,Tabla11[[#This Row],[Cuenta]],1))</f>
        <v>1</v>
      </c>
      <c r="BE313" t="b">
        <f>+ISNUMBER(SEARCH(CompConta!$F$30,Tabla11[[#This Row],[Cuenta]],1))</f>
        <v>1</v>
      </c>
      <c r="BF313" t="b">
        <f>+ISNUMBER(SEARCH('PAGO Compras'!$E$11,Tabla11[[#This Row],[Cuenta]],1))</f>
        <v>1</v>
      </c>
      <c r="BG313" t="b">
        <f>+ISNUMBER(SEARCH(#REF!,Tabla11[[#This Row],[Cuenta]],1))</f>
        <v>0</v>
      </c>
      <c r="BH313" t="b">
        <f>+ISNUMBER(SEARCH(#REF!,Tabla11[[#This Row],[Cuenta]],1))</f>
        <v>0</v>
      </c>
      <c r="BI313" t="b">
        <f>+ISNUMBER(SEARCH(#REF!,Tabla11[[#This Row],[Cuenta]],1))</f>
        <v>0</v>
      </c>
      <c r="BJ313" t="b">
        <f>+ISNUMBER(SEARCH(#REF!,Tabla11[[#This Row],[Cuenta]],1))</f>
        <v>0</v>
      </c>
      <c r="BS313" t="str">
        <v>169840 Licencias</v>
      </c>
      <c r="BT313" t="str">
        <v>169840 Licencias</v>
      </c>
      <c r="BU313" t="str">
        <v>169840 Licencias</v>
      </c>
      <c r="BV313" t="str">
        <v>169840 Licencias</v>
      </c>
      <c r="BZ313" t="str">
        <v>169840 Licencias</v>
      </c>
      <c r="CA313" t="str">
        <v>169840 Licencias</v>
      </c>
      <c r="CB313" t="str">
        <v>169840 Licencias</v>
      </c>
      <c r="CC313" t="str">
        <v>169840 Licencias</v>
      </c>
      <c r="CD313" t="str">
        <v>169840 Licencias</v>
      </c>
      <c r="CE313" t="str">
        <v>169840 Licencias</v>
      </c>
      <c r="CS313" s="141" t="str">
        <v>169840 Licencias</v>
      </c>
      <c r="CT313" s="141" t="str">
        <v>169840 Licencias</v>
      </c>
      <c r="CU313" s="141" t="str">
        <v>169840 Licencias</v>
      </c>
      <c r="CV313" s="141" t="str">
        <v>169840 Licencias</v>
      </c>
      <c r="CW313" s="141" t="str">
        <v>169840 Licencias</v>
      </c>
      <c r="CX313" s="141" t="str">
        <v>169840 Licencias</v>
      </c>
      <c r="CY313" s="141" t="str">
        <v>169840 Licencias</v>
      </c>
      <c r="CZ313" s="141" t="str">
        <v>169840 Licencias</v>
      </c>
      <c r="DA313" s="141" t="str">
        <v>169840 Licencias</v>
      </c>
      <c r="DF313" t="str">
        <v>169840 Licencias</v>
      </c>
      <c r="DG313" t="str">
        <v>169840 Licencias</v>
      </c>
      <c r="DH313" t="str">
        <v>169840 Licencias</v>
      </c>
      <c r="DI313" t="str">
        <v>169840 Licencias</v>
      </c>
      <c r="DJ313" t="str">
        <v>169840 Licencias</v>
      </c>
      <c r="DK313" t="str">
        <v>169840 Licencias</v>
      </c>
      <c r="DL313" t="str">
        <v>169840 Licencias</v>
      </c>
      <c r="DM313" t="str">
        <v>169840 Licencias</v>
      </c>
      <c r="DN313" t="str">
        <v>169840 Licencias</v>
      </c>
      <c r="DO313" t="str">
        <v>169840 Licencias</v>
      </c>
      <c r="DP313" t="str">
        <v>169840 Licencias</v>
      </c>
    </row>
    <row r="314" spans="4:120" ht="12.75">
      <c r="D314" s="7">
        <v>169899</v>
      </c>
      <c r="E314" s="6" t="s">
        <v>44</v>
      </c>
      <c r="F314" s="5">
        <v>4</v>
      </c>
      <c r="G314" s="34" t="s">
        <v>822</v>
      </c>
      <c r="H314" s="8" t="s">
        <v>32</v>
      </c>
      <c r="I314" t="b">
        <f>+ISNUMBER(SEARCH('F-COMPRA'!$F$28,Tabla11[[#This Row],[Cuenta]],1))</f>
        <v>1</v>
      </c>
      <c r="J314" t="b">
        <f>+ISNUMBER(SEARCH('F-COMPRA'!$F$29,Tabla11[[#This Row],[Cuenta]],1))</f>
        <v>1</v>
      </c>
      <c r="K314" t="b">
        <f>+ISNUMBER(SEARCH('F-COMPRA'!$F$30,Tabla11[[#This Row],[Cuenta]],1))</f>
        <v>1</v>
      </c>
      <c r="L314" t="b">
        <f>+ISNUMBER(SEARCH('F-COMPRA'!$F$31,Tabla11[[#This Row],[Cuenta]],1))</f>
        <v>1</v>
      </c>
      <c r="M314" t="b">
        <f>+ISNUMBER(SEARCH('F-COMPRA'!$G$25,Tabla11[[#This Row],[Cuenta]],1))</f>
        <v>0</v>
      </c>
      <c r="N314" t="b">
        <f>+ISNUMBER(SEARCH(#REF!,Tabla11[[#This Row],[Cuenta]],1))</f>
        <v>0</v>
      </c>
      <c r="O314" t="b">
        <f>+ISNUMBER(SEARCH(#REF!,Tabla11[[#This Row],[Cuenta]],1))</f>
        <v>0</v>
      </c>
      <c r="P314" t="b">
        <f>+ISNUMBER(SEARCH('F-COMPRA'!$F$32,Tabla11[[#This Row],[Cuenta]],1))</f>
        <v>1</v>
      </c>
      <c r="Q314" t="b">
        <f>+ISNUMBER(SEARCH('F-COMPRA'!$F$33,Tabla11[[#This Row],[Cuenta]],1))</f>
        <v>1</v>
      </c>
      <c r="R314" t="b">
        <f>+ISNUMBER(SEARCH('F-COMPRA'!$F$34,Tabla11[[#This Row],[Cuenta]],1))</f>
        <v>1</v>
      </c>
      <c r="S314" t="b">
        <f>+ISNUMBER(SEARCH('F-COMPRA'!$F$35,Tabla11[[#This Row],[Cuenta]],1))</f>
        <v>1</v>
      </c>
      <c r="T314" t="b">
        <f>+ISNUMBER(SEARCH('F-COMPRA'!$F$36,Tabla11[[#This Row],[Cuenta]],1))</f>
        <v>1</v>
      </c>
      <c r="U314" t="b">
        <f>+ISNUMBER(SEARCH('F-COMPRA'!$F$37,Tabla11[[#This Row],[Cuenta]],1))</f>
        <v>1</v>
      </c>
      <c r="V314" t="b">
        <f>+ISNUMBER(SEARCH(#REF!,Tabla11[[#This Row],[Cuenta]],1))</f>
        <v>0</v>
      </c>
      <c r="W314" t="b">
        <f>+ISNUMBER(SEARCH('F-COMPRA'!#REF!,Tabla11[[#This Row],[Cuenta]],1))</f>
        <v>0</v>
      </c>
      <c r="X314" t="b">
        <f>+ISNUMBER(SEARCH('F-COMPRA'!#REF!,Tabla11[[#This Row],[Cuenta]],1))</f>
        <v>0</v>
      </c>
      <c r="Y314" t="b">
        <f>+ISNUMBER(SEARCH('F-COMPRA'!#REF!,Tabla11[[#This Row],[Cuenta]],1))</f>
        <v>0</v>
      </c>
      <c r="Z314" t="b">
        <f>+ISNUMBER(SEARCH('F-COMPRA'!#REF!,Tabla11[[#This Row],[Cuenta]],1))</f>
        <v>0</v>
      </c>
      <c r="AA314" t="b">
        <f>+ISNUMBER(SEARCH('F-COMPRA'!#REF!,Tabla11[[#This Row],[Cuenta]],1))</f>
        <v>0</v>
      </c>
      <c r="AB314" t="b">
        <f>+ISNUMBER(SEARCH('F-COMPRA'!#REF!,Tabla11[[#This Row],[Cuenta]],1))</f>
        <v>0</v>
      </c>
      <c r="AC314" t="b">
        <f>+ISNUMBER(SEARCH('F-COMPRA'!#REF!,Tabla11[[#This Row],[Cuenta]],1))</f>
        <v>0</v>
      </c>
      <c r="AD314" t="b">
        <f>+ISNUMBER(SEARCH('F-COMPRA'!#REF!,Tabla11[[#This Row],[Cuenta]],1))</f>
        <v>0</v>
      </c>
      <c r="AE314" t="b">
        <f>+ISNUMBER(SEARCH('F-COMPRA'!#REF!,Tabla11[[#This Row],[Cuenta]],1))</f>
        <v>0</v>
      </c>
      <c r="AF314" t="b">
        <f>+ISNUMBER(SEARCH('F-VTA'!$G$23,Tabla11[[#This Row],[Cuenta]],1))</f>
        <v>0</v>
      </c>
      <c r="AG314" t="b">
        <f>+ISNUMBER(SEARCH('F-VTA'!$G$24,Tabla11[[#This Row],[Cuenta]],1))</f>
        <v>0</v>
      </c>
      <c r="AH314" t="b">
        <f>+ISNUMBER(SEARCH('F-VTA'!$G$25,Tabla11[[#This Row],[Cuenta]],1))</f>
        <v>0</v>
      </c>
      <c r="AI314" t="b">
        <f>+ISNUMBER(SEARCH('F-VTA'!$F$28,Tabla11[[#This Row],[Cuenta]],1))</f>
        <v>1</v>
      </c>
      <c r="AJ314" t="b">
        <f>+ISNUMBER(SEARCH('F-VTA'!$F$29,Tabla11[[#This Row],[Cuenta]],1))</f>
        <v>1</v>
      </c>
      <c r="AK314" t="b">
        <f>+ISNUMBER(SEARCH('F-VTA'!$F$30,Tabla11[[#This Row],[Cuenta]],1))</f>
        <v>1</v>
      </c>
      <c r="AL314" t="b">
        <f>+ISNUMBER(SEARCH('F-VTA'!$F$31,Tabla11[[#This Row],[Cuenta]],1))</f>
        <v>1</v>
      </c>
      <c r="AM314" t="b">
        <f>+ISNUMBER(SEARCH('F-VTA'!$F$32,Tabla11[[#This Row],[Cuenta]],1))</f>
        <v>1</v>
      </c>
      <c r="AN314" t="b">
        <f>+ISNUMBER(SEARCH('F-VTA'!$F$33,Tabla11[[#This Row],[Cuenta]],1))</f>
        <v>1</v>
      </c>
      <c r="AO314" t="b">
        <f>+ISNUMBER(SEARCH('F-VTA'!$F$34,Tabla11[[#This Row],[Cuenta]],1))</f>
        <v>1</v>
      </c>
      <c r="AP314" t="b">
        <f>+ISNUMBER(SEARCH('F-VTA'!$F$35,Tabla11[[#This Row],[Cuenta]],1))</f>
        <v>1</v>
      </c>
      <c r="AQ314" t="b">
        <f>+ISNUMBER(SEARCH('F-VTA'!$F$36,Tabla11[[#This Row],[Cuenta]],1))</f>
        <v>1</v>
      </c>
      <c r="AR314" t="b">
        <f>+ISNUMBER(SEARCH(#REF!,Tabla11[[#This Row],[Cuenta]],1))</f>
        <v>0</v>
      </c>
      <c r="AS314" t="b">
        <f>+ISNUMBER(SEARCH(#REF!,Tabla11[[#This Row],[Cuenta]],1))</f>
        <v>0</v>
      </c>
      <c r="AT314" t="b">
        <f>+ISNUMBER(SEARCH(#REF!,Tabla11[[#This Row],[Cuenta]],1))</f>
        <v>0</v>
      </c>
      <c r="AU314" t="b">
        <f>+ISNUMBER(SEARCH('Conc. Ban.1'!$I$9,Tabla11[[#This Row],[Cuenta]],1))</f>
        <v>0</v>
      </c>
      <c r="AV314" t="b">
        <f>+ISNUMBER(SEARCH(CompConta!$F$21,Tabla11[[#This Row],[Cuenta]],1))</f>
        <v>1</v>
      </c>
      <c r="AW314" t="b">
        <f>+ISNUMBER(SEARCH(CompConta!$F$22,Tabla11[[#This Row],[Cuenta]],1))</f>
        <v>1</v>
      </c>
      <c r="AX314" t="b">
        <f>+ISNUMBER(SEARCH(CompConta!$F$23,Tabla11[[#This Row],[Cuenta]],1))</f>
        <v>1</v>
      </c>
      <c r="AY314" t="b">
        <f>+ISNUMBER(SEARCH(CompConta!$F$24,Tabla11[[#This Row],[Cuenta]],1))</f>
        <v>1</v>
      </c>
      <c r="AZ314" t="b">
        <f>+ISNUMBER(SEARCH(CompConta!$F$25,Tabla11[[#This Row],[Cuenta]],1))</f>
        <v>1</v>
      </c>
      <c r="BA314" t="b">
        <f>+ISNUMBER(SEARCH(CompConta!$F$26,Tabla11[[#This Row],[Cuenta]],1))</f>
        <v>1</v>
      </c>
      <c r="BB314" t="b">
        <f>+ISNUMBER(SEARCH(CompConta!$F$27,Tabla11[[#This Row],[Cuenta]],1))</f>
        <v>1</v>
      </c>
      <c r="BC314" t="b">
        <f>+ISNUMBER(SEARCH(CompConta!$F$28,Tabla11[[#This Row],[Cuenta]],1))</f>
        <v>1</v>
      </c>
      <c r="BD314" t="b">
        <f>+ISNUMBER(SEARCH(CompConta!$F$29,Tabla11[[#This Row],[Cuenta]],1))</f>
        <v>1</v>
      </c>
      <c r="BE314" t="b">
        <f>+ISNUMBER(SEARCH(CompConta!$F$30,Tabla11[[#This Row],[Cuenta]],1))</f>
        <v>1</v>
      </c>
      <c r="BF314" t="b">
        <f>+ISNUMBER(SEARCH('PAGO Compras'!$E$11,Tabla11[[#This Row],[Cuenta]],1))</f>
        <v>1</v>
      </c>
      <c r="BG314" t="b">
        <f>+ISNUMBER(SEARCH(#REF!,Tabla11[[#This Row],[Cuenta]],1))</f>
        <v>0</v>
      </c>
      <c r="BH314" t="b">
        <f>+ISNUMBER(SEARCH(#REF!,Tabla11[[#This Row],[Cuenta]],1))</f>
        <v>0</v>
      </c>
      <c r="BI314" t="b">
        <f>+ISNUMBER(SEARCH(#REF!,Tabla11[[#This Row],[Cuenta]],1))</f>
        <v>0</v>
      </c>
      <c r="BJ314" t="b">
        <f>+ISNUMBER(SEARCH(#REF!,Tabla11[[#This Row],[Cuenta]],1))</f>
        <v>0</v>
      </c>
      <c r="BS314" t="str">
        <v>169899 Ajustes por inflación</v>
      </c>
      <c r="BT314" t="str">
        <v>169899 Ajustes por inflación</v>
      </c>
      <c r="BU314" t="str">
        <v>169899 Ajustes por inflación</v>
      </c>
      <c r="BV314" t="str">
        <v>169899 Ajustes por inflación</v>
      </c>
      <c r="BZ314" t="str">
        <v>169899 Ajustes por inflación</v>
      </c>
      <c r="CA314" t="str">
        <v>169899 Ajustes por inflación</v>
      </c>
      <c r="CB314" t="str">
        <v>169899 Ajustes por inflación</v>
      </c>
      <c r="CC314" t="str">
        <v>169899 Ajustes por inflación</v>
      </c>
      <c r="CD314" t="str">
        <v>169899 Ajustes por inflación</v>
      </c>
      <c r="CE314" t="str">
        <v>169899 Ajustes por inflación</v>
      </c>
      <c r="CS314" s="141" t="str">
        <v>169899 Ajustes por inflación</v>
      </c>
      <c r="CT314" s="141" t="str">
        <v>169899 Ajustes por inflación</v>
      </c>
      <c r="CU314" s="141" t="str">
        <v>169899 Ajustes por inflación</v>
      </c>
      <c r="CV314" s="141" t="str">
        <v>169899 Ajustes por inflación</v>
      </c>
      <c r="CW314" s="141" t="str">
        <v>169899 Ajustes por inflación</v>
      </c>
      <c r="CX314" s="141" t="str">
        <v>169899 Ajustes por inflación</v>
      </c>
      <c r="CY314" s="141" t="str">
        <v>169899 Ajustes por inflación</v>
      </c>
      <c r="CZ314" s="141" t="str">
        <v>169899 Ajustes por inflación</v>
      </c>
      <c r="DA314" s="141" t="str">
        <v>169899 Ajustes por inflación</v>
      </c>
      <c r="DF314" t="str">
        <v>169899 Ajustes por inflación</v>
      </c>
      <c r="DG314" t="str">
        <v>169899 Ajustes por inflación</v>
      </c>
      <c r="DH314" t="str">
        <v>169899 Ajustes por inflación</v>
      </c>
      <c r="DI314" t="str">
        <v>169899 Ajustes por inflación</v>
      </c>
      <c r="DJ314" t="str">
        <v>169899 Ajustes por inflación</v>
      </c>
      <c r="DK314" t="str">
        <v>169899 Ajustes por inflación</v>
      </c>
      <c r="DL314" t="str">
        <v>169899 Ajustes por inflación</v>
      </c>
      <c r="DM314" t="str">
        <v>169899 Ajustes por inflación</v>
      </c>
      <c r="DN314" t="str">
        <v>169899 Ajustes por inflación</v>
      </c>
      <c r="DO314" t="str">
        <v>169899 Ajustes por inflación</v>
      </c>
      <c r="DP314" t="str">
        <v>169899 Ajustes por inflación</v>
      </c>
    </row>
    <row r="315" spans="4:120" ht="12.75">
      <c r="D315" s="7">
        <v>1699</v>
      </c>
      <c r="E315" s="6" t="s">
        <v>55</v>
      </c>
      <c r="F315" s="5">
        <v>3</v>
      </c>
      <c r="G315" s="34" t="s">
        <v>822</v>
      </c>
      <c r="H315" s="8" t="s">
        <v>56</v>
      </c>
      <c r="I315" t="b">
        <f>+ISNUMBER(SEARCH('F-COMPRA'!$F$28,Tabla11[[#This Row],[Cuenta]],1))</f>
        <v>1</v>
      </c>
      <c r="J315" t="b">
        <f>+ISNUMBER(SEARCH('F-COMPRA'!$F$29,Tabla11[[#This Row],[Cuenta]],1))</f>
        <v>1</v>
      </c>
      <c r="K315" t="b">
        <f>+ISNUMBER(SEARCH('F-COMPRA'!$F$30,Tabla11[[#This Row],[Cuenta]],1))</f>
        <v>1</v>
      </c>
      <c r="L315" t="b">
        <f>+ISNUMBER(SEARCH('F-COMPRA'!$F$31,Tabla11[[#This Row],[Cuenta]],1))</f>
        <v>1</v>
      </c>
      <c r="M315" t="b">
        <f>+ISNUMBER(SEARCH('F-COMPRA'!$G$25,Tabla11[[#This Row],[Cuenta]],1))</f>
        <v>0</v>
      </c>
      <c r="N315" t="b">
        <f>+ISNUMBER(SEARCH(#REF!,Tabla11[[#This Row],[Cuenta]],1))</f>
        <v>0</v>
      </c>
      <c r="O315" t="b">
        <f>+ISNUMBER(SEARCH(#REF!,Tabla11[[#This Row],[Cuenta]],1))</f>
        <v>0</v>
      </c>
      <c r="P315" t="b">
        <f>+ISNUMBER(SEARCH('F-COMPRA'!$F$32,Tabla11[[#This Row],[Cuenta]],1))</f>
        <v>1</v>
      </c>
      <c r="Q315" t="b">
        <f>+ISNUMBER(SEARCH('F-COMPRA'!$F$33,Tabla11[[#This Row],[Cuenta]],1))</f>
        <v>1</v>
      </c>
      <c r="R315" t="b">
        <f>+ISNUMBER(SEARCH('F-COMPRA'!$F$34,Tabla11[[#This Row],[Cuenta]],1))</f>
        <v>1</v>
      </c>
      <c r="S315" t="b">
        <f>+ISNUMBER(SEARCH('F-COMPRA'!$F$35,Tabla11[[#This Row],[Cuenta]],1))</f>
        <v>1</v>
      </c>
      <c r="T315" t="b">
        <f>+ISNUMBER(SEARCH('F-COMPRA'!$F$36,Tabla11[[#This Row],[Cuenta]],1))</f>
        <v>1</v>
      </c>
      <c r="U315" t="b">
        <f>+ISNUMBER(SEARCH('F-COMPRA'!$F$37,Tabla11[[#This Row],[Cuenta]],1))</f>
        <v>1</v>
      </c>
      <c r="V315" t="b">
        <f>+ISNUMBER(SEARCH(#REF!,Tabla11[[#This Row],[Cuenta]],1))</f>
        <v>0</v>
      </c>
      <c r="W315" t="b">
        <f>+ISNUMBER(SEARCH('F-COMPRA'!#REF!,Tabla11[[#This Row],[Cuenta]],1))</f>
        <v>0</v>
      </c>
      <c r="X315" t="b">
        <f>+ISNUMBER(SEARCH('F-COMPRA'!#REF!,Tabla11[[#This Row],[Cuenta]],1))</f>
        <v>0</v>
      </c>
      <c r="Y315" t="b">
        <f>+ISNUMBER(SEARCH('F-COMPRA'!#REF!,Tabla11[[#This Row],[Cuenta]],1))</f>
        <v>0</v>
      </c>
      <c r="Z315" t="b">
        <f>+ISNUMBER(SEARCH('F-COMPRA'!#REF!,Tabla11[[#This Row],[Cuenta]],1))</f>
        <v>0</v>
      </c>
      <c r="AA315" t="b">
        <f>+ISNUMBER(SEARCH('F-COMPRA'!#REF!,Tabla11[[#This Row],[Cuenta]],1))</f>
        <v>0</v>
      </c>
      <c r="AB315" t="b">
        <f>+ISNUMBER(SEARCH('F-COMPRA'!#REF!,Tabla11[[#This Row],[Cuenta]],1))</f>
        <v>0</v>
      </c>
      <c r="AC315" t="b">
        <f>+ISNUMBER(SEARCH('F-COMPRA'!#REF!,Tabla11[[#This Row],[Cuenta]],1))</f>
        <v>0</v>
      </c>
      <c r="AD315" t="b">
        <f>+ISNUMBER(SEARCH('F-COMPRA'!#REF!,Tabla11[[#This Row],[Cuenta]],1))</f>
        <v>0</v>
      </c>
      <c r="AE315" t="b">
        <f>+ISNUMBER(SEARCH('F-COMPRA'!#REF!,Tabla11[[#This Row],[Cuenta]],1))</f>
        <v>0</v>
      </c>
      <c r="AF315" t="b">
        <f>+ISNUMBER(SEARCH('F-VTA'!$G$23,Tabla11[[#This Row],[Cuenta]],1))</f>
        <v>0</v>
      </c>
      <c r="AG315" t="b">
        <f>+ISNUMBER(SEARCH('F-VTA'!$G$24,Tabla11[[#This Row],[Cuenta]],1))</f>
        <v>0</v>
      </c>
      <c r="AH315" t="b">
        <f>+ISNUMBER(SEARCH('F-VTA'!$G$25,Tabla11[[#This Row],[Cuenta]],1))</f>
        <v>0</v>
      </c>
      <c r="AI315" t="b">
        <f>+ISNUMBER(SEARCH('F-VTA'!$F$28,Tabla11[[#This Row],[Cuenta]],1))</f>
        <v>1</v>
      </c>
      <c r="AJ315" t="b">
        <f>+ISNUMBER(SEARCH('F-VTA'!$F$29,Tabla11[[#This Row],[Cuenta]],1))</f>
        <v>1</v>
      </c>
      <c r="AK315" t="b">
        <f>+ISNUMBER(SEARCH('F-VTA'!$F$30,Tabla11[[#This Row],[Cuenta]],1))</f>
        <v>1</v>
      </c>
      <c r="AL315" t="b">
        <f>+ISNUMBER(SEARCH('F-VTA'!$F$31,Tabla11[[#This Row],[Cuenta]],1))</f>
        <v>1</v>
      </c>
      <c r="AM315" t="b">
        <f>+ISNUMBER(SEARCH('F-VTA'!$F$32,Tabla11[[#This Row],[Cuenta]],1))</f>
        <v>1</v>
      </c>
      <c r="AN315" t="b">
        <f>+ISNUMBER(SEARCH('F-VTA'!$F$33,Tabla11[[#This Row],[Cuenta]],1))</f>
        <v>1</v>
      </c>
      <c r="AO315" t="b">
        <f>+ISNUMBER(SEARCH('F-VTA'!$F$34,Tabla11[[#This Row],[Cuenta]],1))</f>
        <v>1</v>
      </c>
      <c r="AP315" t="b">
        <f>+ISNUMBER(SEARCH('F-VTA'!$F$35,Tabla11[[#This Row],[Cuenta]],1))</f>
        <v>1</v>
      </c>
      <c r="AQ315" t="b">
        <f>+ISNUMBER(SEARCH('F-VTA'!$F$36,Tabla11[[#This Row],[Cuenta]],1))</f>
        <v>1</v>
      </c>
      <c r="AR315" t="b">
        <f>+ISNUMBER(SEARCH(#REF!,Tabla11[[#This Row],[Cuenta]],1))</f>
        <v>0</v>
      </c>
      <c r="AS315" t="b">
        <f>+ISNUMBER(SEARCH(#REF!,Tabla11[[#This Row],[Cuenta]],1))</f>
        <v>0</v>
      </c>
      <c r="AT315" t="b">
        <f>+ISNUMBER(SEARCH(#REF!,Tabla11[[#This Row],[Cuenta]],1))</f>
        <v>0</v>
      </c>
      <c r="AU315" t="b">
        <f>+ISNUMBER(SEARCH('Conc. Ban.1'!$I$9,Tabla11[[#This Row],[Cuenta]],1))</f>
        <v>0</v>
      </c>
      <c r="AV315" t="b">
        <f>+ISNUMBER(SEARCH(CompConta!$F$21,Tabla11[[#This Row],[Cuenta]],1))</f>
        <v>1</v>
      </c>
      <c r="AW315" t="b">
        <f>+ISNUMBER(SEARCH(CompConta!$F$22,Tabla11[[#This Row],[Cuenta]],1))</f>
        <v>1</v>
      </c>
      <c r="AX315" t="b">
        <f>+ISNUMBER(SEARCH(CompConta!$F$23,Tabla11[[#This Row],[Cuenta]],1))</f>
        <v>1</v>
      </c>
      <c r="AY315" t="b">
        <f>+ISNUMBER(SEARCH(CompConta!$F$24,Tabla11[[#This Row],[Cuenta]],1))</f>
        <v>1</v>
      </c>
      <c r="AZ315" t="b">
        <f>+ISNUMBER(SEARCH(CompConta!$F$25,Tabla11[[#This Row],[Cuenta]],1))</f>
        <v>1</v>
      </c>
      <c r="BA315" t="b">
        <f>+ISNUMBER(SEARCH(CompConta!$F$26,Tabla11[[#This Row],[Cuenta]],1))</f>
        <v>1</v>
      </c>
      <c r="BB315" t="b">
        <f>+ISNUMBER(SEARCH(CompConta!$F$27,Tabla11[[#This Row],[Cuenta]],1))</f>
        <v>1</v>
      </c>
      <c r="BC315" t="b">
        <f>+ISNUMBER(SEARCH(CompConta!$F$28,Tabla11[[#This Row],[Cuenta]],1))</f>
        <v>1</v>
      </c>
      <c r="BD315" t="b">
        <f>+ISNUMBER(SEARCH(CompConta!$F$29,Tabla11[[#This Row],[Cuenta]],1))</f>
        <v>1</v>
      </c>
      <c r="BE315" t="b">
        <f>+ISNUMBER(SEARCH(CompConta!$F$30,Tabla11[[#This Row],[Cuenta]],1))</f>
        <v>1</v>
      </c>
      <c r="BF315" t="b">
        <f>+ISNUMBER(SEARCH('PAGO Compras'!$E$11,Tabla11[[#This Row],[Cuenta]],1))</f>
        <v>1</v>
      </c>
      <c r="BG315" t="b">
        <f>+ISNUMBER(SEARCH(#REF!,Tabla11[[#This Row],[Cuenta]],1))</f>
        <v>0</v>
      </c>
      <c r="BH315" t="b">
        <f>+ISNUMBER(SEARCH(#REF!,Tabla11[[#This Row],[Cuenta]],1))</f>
        <v>0</v>
      </c>
      <c r="BI315" t="b">
        <f>+ISNUMBER(SEARCH(#REF!,Tabla11[[#This Row],[Cuenta]],1))</f>
        <v>0</v>
      </c>
      <c r="BJ315" t="b">
        <f>+ISNUMBER(SEARCH(#REF!,Tabla11[[#This Row],[Cuenta]],1))</f>
        <v>0</v>
      </c>
      <c r="BS315" t="str">
        <v>1699 PROVISIONES</v>
      </c>
      <c r="BT315" t="str">
        <v>1699 PROVISIONES</v>
      </c>
      <c r="BU315" t="str">
        <v>1699 PROVISIONES</v>
      </c>
      <c r="BV315" t="str">
        <v>1699 PROVISIONES</v>
      </c>
      <c r="BZ315" t="str">
        <v>1699 PROVISIONES</v>
      </c>
      <c r="CA315" t="str">
        <v>1699 PROVISIONES</v>
      </c>
      <c r="CB315" t="str">
        <v>1699 PROVISIONES</v>
      </c>
      <c r="CC315" t="str">
        <v>1699 PROVISIONES</v>
      </c>
      <c r="CD315" t="str">
        <v>1699 PROVISIONES</v>
      </c>
      <c r="CE315" t="str">
        <v>1699 PROVISIONES</v>
      </c>
      <c r="CS315" s="141" t="str">
        <v>1699 PROVISIONES</v>
      </c>
      <c r="CT315" s="141" t="str">
        <v>1699 PROVISIONES</v>
      </c>
      <c r="CU315" s="141" t="str">
        <v>1699 PROVISIONES</v>
      </c>
      <c r="CV315" s="141" t="str">
        <v>1699 PROVISIONES</v>
      </c>
      <c r="CW315" s="141" t="str">
        <v>1699 PROVISIONES</v>
      </c>
      <c r="CX315" s="141" t="str">
        <v>1699 PROVISIONES</v>
      </c>
      <c r="CY315" s="141" t="str">
        <v>1699 PROVISIONES</v>
      </c>
      <c r="CZ315" s="141" t="str">
        <v>1699 PROVISIONES</v>
      </c>
      <c r="DA315" s="141" t="str">
        <v>1699 PROVISIONES</v>
      </c>
      <c r="DF315" t="str">
        <v>1699 PROVISIONES</v>
      </c>
      <c r="DG315" t="str">
        <v>1699 PROVISIONES</v>
      </c>
      <c r="DH315" t="str">
        <v>1699 PROVISIONES</v>
      </c>
      <c r="DI315" t="str">
        <v>1699 PROVISIONES</v>
      </c>
      <c r="DJ315" t="str">
        <v>1699 PROVISIONES</v>
      </c>
      <c r="DK315" t="str">
        <v>1699 PROVISIONES</v>
      </c>
      <c r="DL315" t="str">
        <v>1699 PROVISIONES</v>
      </c>
      <c r="DM315" t="str">
        <v>1699 PROVISIONES</v>
      </c>
      <c r="DN315" t="str">
        <v>1699 PROVISIONES</v>
      </c>
      <c r="DO315" t="str">
        <v>1699 PROVISIONES</v>
      </c>
      <c r="DP315" t="str">
        <v>1699 PROVISIONES</v>
      </c>
    </row>
    <row r="316" spans="4:120" ht="12.75">
      <c r="D316" s="7">
        <v>17</v>
      </c>
      <c r="E316" s="6" t="s">
        <v>257</v>
      </c>
      <c r="F316" s="5">
        <v>2</v>
      </c>
      <c r="G316" s="34"/>
      <c r="H316" s="8" t="s">
        <v>32</v>
      </c>
      <c r="I316" t="b">
        <f>+ISNUMBER(SEARCH('F-COMPRA'!$F$28,Tabla11[[#This Row],[Cuenta]],1))</f>
        <v>1</v>
      </c>
      <c r="J316" t="b">
        <f>+ISNUMBER(SEARCH('F-COMPRA'!$F$29,Tabla11[[#This Row],[Cuenta]],1))</f>
        <v>1</v>
      </c>
      <c r="K316" t="b">
        <f>+ISNUMBER(SEARCH('F-COMPRA'!$F$30,Tabla11[[#This Row],[Cuenta]],1))</f>
        <v>1</v>
      </c>
      <c r="L316" t="b">
        <f>+ISNUMBER(SEARCH('F-COMPRA'!$F$31,Tabla11[[#This Row],[Cuenta]],1))</f>
        <v>1</v>
      </c>
      <c r="M316" t="b">
        <f>+ISNUMBER(SEARCH('F-COMPRA'!$G$25,Tabla11[[#This Row],[Cuenta]],1))</f>
        <v>0</v>
      </c>
      <c r="N316" t="b">
        <f>+ISNUMBER(SEARCH(#REF!,Tabla11[[#This Row],[Cuenta]],1))</f>
        <v>0</v>
      </c>
      <c r="O316" t="b">
        <f>+ISNUMBER(SEARCH(#REF!,Tabla11[[#This Row],[Cuenta]],1))</f>
        <v>0</v>
      </c>
      <c r="P316" t="b">
        <f>+ISNUMBER(SEARCH('F-COMPRA'!$F$32,Tabla11[[#This Row],[Cuenta]],1))</f>
        <v>1</v>
      </c>
      <c r="Q316" t="b">
        <f>+ISNUMBER(SEARCH('F-COMPRA'!$F$33,Tabla11[[#This Row],[Cuenta]],1))</f>
        <v>1</v>
      </c>
      <c r="R316" t="b">
        <f>+ISNUMBER(SEARCH('F-COMPRA'!$F$34,Tabla11[[#This Row],[Cuenta]],1))</f>
        <v>1</v>
      </c>
      <c r="S316" t="b">
        <f>+ISNUMBER(SEARCH('F-COMPRA'!$F$35,Tabla11[[#This Row],[Cuenta]],1))</f>
        <v>1</v>
      </c>
      <c r="T316" t="b">
        <f>+ISNUMBER(SEARCH('F-COMPRA'!$F$36,Tabla11[[#This Row],[Cuenta]],1))</f>
        <v>1</v>
      </c>
      <c r="U316" t="b">
        <f>+ISNUMBER(SEARCH('F-COMPRA'!$F$37,Tabla11[[#This Row],[Cuenta]],1))</f>
        <v>1</v>
      </c>
      <c r="V316" t="b">
        <f>+ISNUMBER(SEARCH(#REF!,Tabla11[[#This Row],[Cuenta]],1))</f>
        <v>0</v>
      </c>
      <c r="W316" t="b">
        <f>+ISNUMBER(SEARCH('F-COMPRA'!#REF!,Tabla11[[#This Row],[Cuenta]],1))</f>
        <v>0</v>
      </c>
      <c r="X316" t="b">
        <f>+ISNUMBER(SEARCH('F-COMPRA'!#REF!,Tabla11[[#This Row],[Cuenta]],1))</f>
        <v>0</v>
      </c>
      <c r="Y316" t="b">
        <f>+ISNUMBER(SEARCH('F-COMPRA'!#REF!,Tabla11[[#This Row],[Cuenta]],1))</f>
        <v>0</v>
      </c>
      <c r="Z316" t="b">
        <f>+ISNUMBER(SEARCH('F-COMPRA'!#REF!,Tabla11[[#This Row],[Cuenta]],1))</f>
        <v>0</v>
      </c>
      <c r="AA316" t="b">
        <f>+ISNUMBER(SEARCH('F-COMPRA'!#REF!,Tabla11[[#This Row],[Cuenta]],1))</f>
        <v>0</v>
      </c>
      <c r="AB316" t="b">
        <f>+ISNUMBER(SEARCH('F-COMPRA'!#REF!,Tabla11[[#This Row],[Cuenta]],1))</f>
        <v>0</v>
      </c>
      <c r="AC316" t="b">
        <f>+ISNUMBER(SEARCH('F-COMPRA'!#REF!,Tabla11[[#This Row],[Cuenta]],1))</f>
        <v>0</v>
      </c>
      <c r="AD316" t="b">
        <f>+ISNUMBER(SEARCH('F-COMPRA'!#REF!,Tabla11[[#This Row],[Cuenta]],1))</f>
        <v>0</v>
      </c>
      <c r="AE316" t="b">
        <f>+ISNUMBER(SEARCH('F-COMPRA'!#REF!,Tabla11[[#This Row],[Cuenta]],1))</f>
        <v>0</v>
      </c>
      <c r="AF316" t="b">
        <f>+ISNUMBER(SEARCH('F-VTA'!$G$23,Tabla11[[#This Row],[Cuenta]],1))</f>
        <v>0</v>
      </c>
      <c r="AG316" t="b">
        <f>+ISNUMBER(SEARCH('F-VTA'!$G$24,Tabla11[[#This Row],[Cuenta]],1))</f>
        <v>0</v>
      </c>
      <c r="AH316" t="b">
        <f>+ISNUMBER(SEARCH('F-VTA'!$G$25,Tabla11[[#This Row],[Cuenta]],1))</f>
        <v>0</v>
      </c>
      <c r="AI316" t="b">
        <f>+ISNUMBER(SEARCH('F-VTA'!$F$28,Tabla11[[#This Row],[Cuenta]],1))</f>
        <v>1</v>
      </c>
      <c r="AJ316" t="b">
        <f>+ISNUMBER(SEARCH('F-VTA'!$F$29,Tabla11[[#This Row],[Cuenta]],1))</f>
        <v>1</v>
      </c>
      <c r="AK316" t="b">
        <f>+ISNUMBER(SEARCH('F-VTA'!$F$30,Tabla11[[#This Row],[Cuenta]],1))</f>
        <v>1</v>
      </c>
      <c r="AL316" t="b">
        <f>+ISNUMBER(SEARCH('F-VTA'!$F$31,Tabla11[[#This Row],[Cuenta]],1))</f>
        <v>1</v>
      </c>
      <c r="AM316" t="b">
        <f>+ISNUMBER(SEARCH('F-VTA'!$F$32,Tabla11[[#This Row],[Cuenta]],1))</f>
        <v>1</v>
      </c>
      <c r="AN316" t="b">
        <f>+ISNUMBER(SEARCH('F-VTA'!$F$33,Tabla11[[#This Row],[Cuenta]],1))</f>
        <v>1</v>
      </c>
      <c r="AO316" t="b">
        <f>+ISNUMBER(SEARCH('F-VTA'!$F$34,Tabla11[[#This Row],[Cuenta]],1))</f>
        <v>1</v>
      </c>
      <c r="AP316" t="b">
        <f>+ISNUMBER(SEARCH('F-VTA'!$F$35,Tabla11[[#This Row],[Cuenta]],1))</f>
        <v>1</v>
      </c>
      <c r="AQ316" t="b">
        <f>+ISNUMBER(SEARCH('F-VTA'!$F$36,Tabla11[[#This Row],[Cuenta]],1))</f>
        <v>1</v>
      </c>
      <c r="AR316" t="b">
        <f>+ISNUMBER(SEARCH(#REF!,Tabla11[[#This Row],[Cuenta]],1))</f>
        <v>0</v>
      </c>
      <c r="AS316" t="b">
        <f>+ISNUMBER(SEARCH(#REF!,Tabla11[[#This Row],[Cuenta]],1))</f>
        <v>0</v>
      </c>
      <c r="AT316" t="b">
        <f>+ISNUMBER(SEARCH(#REF!,Tabla11[[#This Row],[Cuenta]],1))</f>
        <v>0</v>
      </c>
      <c r="AU316" t="b">
        <f>+ISNUMBER(SEARCH('Conc. Ban.1'!$I$9,Tabla11[[#This Row],[Cuenta]],1))</f>
        <v>0</v>
      </c>
      <c r="AV316" t="b">
        <f>+ISNUMBER(SEARCH(CompConta!$F$21,Tabla11[[#This Row],[Cuenta]],1))</f>
        <v>1</v>
      </c>
      <c r="AW316" t="b">
        <f>+ISNUMBER(SEARCH(CompConta!$F$22,Tabla11[[#This Row],[Cuenta]],1))</f>
        <v>1</v>
      </c>
      <c r="AX316" t="b">
        <f>+ISNUMBER(SEARCH(CompConta!$F$23,Tabla11[[#This Row],[Cuenta]],1))</f>
        <v>1</v>
      </c>
      <c r="AY316" t="b">
        <f>+ISNUMBER(SEARCH(CompConta!$F$24,Tabla11[[#This Row],[Cuenta]],1))</f>
        <v>1</v>
      </c>
      <c r="AZ316" t="b">
        <f>+ISNUMBER(SEARCH(CompConta!$F$25,Tabla11[[#This Row],[Cuenta]],1))</f>
        <v>1</v>
      </c>
      <c r="BA316" t="b">
        <f>+ISNUMBER(SEARCH(CompConta!$F$26,Tabla11[[#This Row],[Cuenta]],1))</f>
        <v>1</v>
      </c>
      <c r="BB316" t="b">
        <f>+ISNUMBER(SEARCH(CompConta!$F$27,Tabla11[[#This Row],[Cuenta]],1))</f>
        <v>1</v>
      </c>
      <c r="BC316" t="b">
        <f>+ISNUMBER(SEARCH(CompConta!$F$28,Tabla11[[#This Row],[Cuenta]],1))</f>
        <v>1</v>
      </c>
      <c r="BD316" t="b">
        <f>+ISNUMBER(SEARCH(CompConta!$F$29,Tabla11[[#This Row],[Cuenta]],1))</f>
        <v>1</v>
      </c>
      <c r="BE316" t="b">
        <f>+ISNUMBER(SEARCH(CompConta!$F$30,Tabla11[[#This Row],[Cuenta]],1))</f>
        <v>1</v>
      </c>
      <c r="BF316" t="b">
        <f>+ISNUMBER(SEARCH('PAGO Compras'!$E$11,Tabla11[[#This Row],[Cuenta]],1))</f>
        <v>1</v>
      </c>
      <c r="BG316" t="b">
        <f>+ISNUMBER(SEARCH(#REF!,Tabla11[[#This Row],[Cuenta]],1))</f>
        <v>0</v>
      </c>
      <c r="BH316" t="b">
        <f>+ISNUMBER(SEARCH(#REF!,Tabla11[[#This Row],[Cuenta]],1))</f>
        <v>0</v>
      </c>
      <c r="BI316" t="b">
        <f>+ISNUMBER(SEARCH(#REF!,Tabla11[[#This Row],[Cuenta]],1))</f>
        <v>0</v>
      </c>
      <c r="BJ316" t="b">
        <f>+ISNUMBER(SEARCH(#REF!,Tabla11[[#This Row],[Cuenta]],1))</f>
        <v>0</v>
      </c>
      <c r="BS316" t="str">
        <v>17 DIFERIDOS</v>
      </c>
      <c r="BT316" t="str">
        <v>17 DIFERIDOS</v>
      </c>
      <c r="BU316" t="str">
        <v>17 DIFERIDOS</v>
      </c>
      <c r="BV316" t="str">
        <v>17 DIFERIDOS</v>
      </c>
      <c r="BZ316" t="str">
        <v>17 DIFERIDOS</v>
      </c>
      <c r="CA316" t="str">
        <v>17 DIFERIDOS</v>
      </c>
      <c r="CB316" t="str">
        <v>17 DIFERIDOS</v>
      </c>
      <c r="CC316" t="str">
        <v>17 DIFERIDOS</v>
      </c>
      <c r="CD316" t="str">
        <v>17 DIFERIDOS</v>
      </c>
      <c r="CE316" t="str">
        <v>17 DIFERIDOS</v>
      </c>
      <c r="CS316" s="141" t="str">
        <v>17 DIFERIDOS</v>
      </c>
      <c r="CT316" s="141" t="str">
        <v>17 DIFERIDOS</v>
      </c>
      <c r="CU316" s="141" t="str">
        <v>17 DIFERIDOS</v>
      </c>
      <c r="CV316" s="141" t="str">
        <v>17 DIFERIDOS</v>
      </c>
      <c r="CW316" s="141" t="str">
        <v>17 DIFERIDOS</v>
      </c>
      <c r="CX316" s="141" t="str">
        <v>17 DIFERIDOS</v>
      </c>
      <c r="CY316" s="141" t="str">
        <v>17 DIFERIDOS</v>
      </c>
      <c r="CZ316" s="141" t="str">
        <v>17 DIFERIDOS</v>
      </c>
      <c r="DA316" s="141" t="str">
        <v>17 DIFERIDOS</v>
      </c>
      <c r="DF316" t="str">
        <v>17 DIFERIDOS</v>
      </c>
      <c r="DG316" t="str">
        <v>17 DIFERIDOS</v>
      </c>
      <c r="DH316" t="str">
        <v>17 DIFERIDOS</v>
      </c>
      <c r="DI316" t="str">
        <v>17 DIFERIDOS</v>
      </c>
      <c r="DJ316" t="str">
        <v>17 DIFERIDOS</v>
      </c>
      <c r="DK316" t="str">
        <v>17 DIFERIDOS</v>
      </c>
      <c r="DL316" t="str">
        <v>17 DIFERIDOS</v>
      </c>
      <c r="DM316" t="str">
        <v>17 DIFERIDOS</v>
      </c>
      <c r="DN316" t="str">
        <v>17 DIFERIDOS</v>
      </c>
      <c r="DO316" t="str">
        <v>17 DIFERIDOS</v>
      </c>
      <c r="DP316" t="str">
        <v>17 DIFERIDOS</v>
      </c>
    </row>
    <row r="317" spans="4:120" ht="12.75">
      <c r="D317" s="7">
        <v>1705</v>
      </c>
      <c r="E317" s="6" t="s">
        <v>258</v>
      </c>
      <c r="F317" s="5">
        <v>3</v>
      </c>
      <c r="G317" s="34" t="s">
        <v>822</v>
      </c>
      <c r="H317" s="8" t="s">
        <v>32</v>
      </c>
      <c r="I317" t="b">
        <f>+ISNUMBER(SEARCH('F-COMPRA'!$F$28,Tabla11[[#This Row],[Cuenta]],1))</f>
        <v>1</v>
      </c>
      <c r="J317" t="b">
        <f>+ISNUMBER(SEARCH('F-COMPRA'!$F$29,Tabla11[[#This Row],[Cuenta]],1))</f>
        <v>1</v>
      </c>
      <c r="K317" t="b">
        <f>+ISNUMBER(SEARCH('F-COMPRA'!$F$30,Tabla11[[#This Row],[Cuenta]],1))</f>
        <v>1</v>
      </c>
      <c r="L317" t="b">
        <f>+ISNUMBER(SEARCH('F-COMPRA'!$F$31,Tabla11[[#This Row],[Cuenta]],1))</f>
        <v>1</v>
      </c>
      <c r="M317" t="b">
        <f>+ISNUMBER(SEARCH('F-COMPRA'!$G$25,Tabla11[[#This Row],[Cuenta]],1))</f>
        <v>0</v>
      </c>
      <c r="N317" t="b">
        <f>+ISNUMBER(SEARCH(#REF!,Tabla11[[#This Row],[Cuenta]],1))</f>
        <v>0</v>
      </c>
      <c r="O317" t="b">
        <f>+ISNUMBER(SEARCH(#REF!,Tabla11[[#This Row],[Cuenta]],1))</f>
        <v>0</v>
      </c>
      <c r="P317" t="b">
        <f>+ISNUMBER(SEARCH('F-COMPRA'!$F$32,Tabla11[[#This Row],[Cuenta]],1))</f>
        <v>1</v>
      </c>
      <c r="Q317" t="b">
        <f>+ISNUMBER(SEARCH('F-COMPRA'!$F$33,Tabla11[[#This Row],[Cuenta]],1))</f>
        <v>1</v>
      </c>
      <c r="R317" t="b">
        <f>+ISNUMBER(SEARCH('F-COMPRA'!$F$34,Tabla11[[#This Row],[Cuenta]],1))</f>
        <v>1</v>
      </c>
      <c r="S317" t="b">
        <f>+ISNUMBER(SEARCH('F-COMPRA'!$F$35,Tabla11[[#This Row],[Cuenta]],1))</f>
        <v>1</v>
      </c>
      <c r="T317" t="b">
        <f>+ISNUMBER(SEARCH('F-COMPRA'!$F$36,Tabla11[[#This Row],[Cuenta]],1))</f>
        <v>1</v>
      </c>
      <c r="U317" t="b">
        <f>+ISNUMBER(SEARCH('F-COMPRA'!$F$37,Tabla11[[#This Row],[Cuenta]],1))</f>
        <v>1</v>
      </c>
      <c r="V317" t="b">
        <f>+ISNUMBER(SEARCH(#REF!,Tabla11[[#This Row],[Cuenta]],1))</f>
        <v>0</v>
      </c>
      <c r="W317" t="b">
        <f>+ISNUMBER(SEARCH('F-COMPRA'!#REF!,Tabla11[[#This Row],[Cuenta]],1))</f>
        <v>0</v>
      </c>
      <c r="X317" t="b">
        <f>+ISNUMBER(SEARCH('F-COMPRA'!#REF!,Tabla11[[#This Row],[Cuenta]],1))</f>
        <v>0</v>
      </c>
      <c r="Y317" t="b">
        <f>+ISNUMBER(SEARCH('F-COMPRA'!#REF!,Tabla11[[#This Row],[Cuenta]],1))</f>
        <v>0</v>
      </c>
      <c r="Z317" t="b">
        <f>+ISNUMBER(SEARCH('F-COMPRA'!#REF!,Tabla11[[#This Row],[Cuenta]],1))</f>
        <v>0</v>
      </c>
      <c r="AA317" t="b">
        <f>+ISNUMBER(SEARCH('F-COMPRA'!#REF!,Tabla11[[#This Row],[Cuenta]],1))</f>
        <v>0</v>
      </c>
      <c r="AB317" t="b">
        <f>+ISNUMBER(SEARCH('F-COMPRA'!#REF!,Tabla11[[#This Row],[Cuenta]],1))</f>
        <v>0</v>
      </c>
      <c r="AC317" t="b">
        <f>+ISNUMBER(SEARCH('F-COMPRA'!#REF!,Tabla11[[#This Row],[Cuenta]],1))</f>
        <v>0</v>
      </c>
      <c r="AD317" t="b">
        <f>+ISNUMBER(SEARCH('F-COMPRA'!#REF!,Tabla11[[#This Row],[Cuenta]],1))</f>
        <v>0</v>
      </c>
      <c r="AE317" t="b">
        <f>+ISNUMBER(SEARCH('F-COMPRA'!#REF!,Tabla11[[#This Row],[Cuenta]],1))</f>
        <v>0</v>
      </c>
      <c r="AF317" t="b">
        <f>+ISNUMBER(SEARCH('F-VTA'!$G$23,Tabla11[[#This Row],[Cuenta]],1))</f>
        <v>0</v>
      </c>
      <c r="AG317" t="b">
        <f>+ISNUMBER(SEARCH('F-VTA'!$G$24,Tabla11[[#This Row],[Cuenta]],1))</f>
        <v>0</v>
      </c>
      <c r="AH317" t="b">
        <f>+ISNUMBER(SEARCH('F-VTA'!$G$25,Tabla11[[#This Row],[Cuenta]],1))</f>
        <v>0</v>
      </c>
      <c r="AI317" t="b">
        <f>+ISNUMBER(SEARCH('F-VTA'!$F$28,Tabla11[[#This Row],[Cuenta]],1))</f>
        <v>1</v>
      </c>
      <c r="AJ317" t="b">
        <f>+ISNUMBER(SEARCH('F-VTA'!$F$29,Tabla11[[#This Row],[Cuenta]],1))</f>
        <v>1</v>
      </c>
      <c r="AK317" t="b">
        <f>+ISNUMBER(SEARCH('F-VTA'!$F$30,Tabla11[[#This Row],[Cuenta]],1))</f>
        <v>1</v>
      </c>
      <c r="AL317" t="b">
        <f>+ISNUMBER(SEARCH('F-VTA'!$F$31,Tabla11[[#This Row],[Cuenta]],1))</f>
        <v>1</v>
      </c>
      <c r="AM317" t="b">
        <f>+ISNUMBER(SEARCH('F-VTA'!$F$32,Tabla11[[#This Row],[Cuenta]],1))</f>
        <v>1</v>
      </c>
      <c r="AN317" t="b">
        <f>+ISNUMBER(SEARCH('F-VTA'!$F$33,Tabla11[[#This Row],[Cuenta]],1))</f>
        <v>1</v>
      </c>
      <c r="AO317" t="b">
        <f>+ISNUMBER(SEARCH('F-VTA'!$F$34,Tabla11[[#This Row],[Cuenta]],1))</f>
        <v>1</v>
      </c>
      <c r="AP317" t="b">
        <f>+ISNUMBER(SEARCH('F-VTA'!$F$35,Tabla11[[#This Row],[Cuenta]],1))</f>
        <v>1</v>
      </c>
      <c r="AQ317" t="b">
        <f>+ISNUMBER(SEARCH('F-VTA'!$F$36,Tabla11[[#This Row],[Cuenta]],1))</f>
        <v>1</v>
      </c>
      <c r="AR317" t="b">
        <f>+ISNUMBER(SEARCH(#REF!,Tabla11[[#This Row],[Cuenta]],1))</f>
        <v>0</v>
      </c>
      <c r="AS317" t="b">
        <f>+ISNUMBER(SEARCH(#REF!,Tabla11[[#This Row],[Cuenta]],1))</f>
        <v>0</v>
      </c>
      <c r="AT317" t="b">
        <f>+ISNUMBER(SEARCH(#REF!,Tabla11[[#This Row],[Cuenta]],1))</f>
        <v>0</v>
      </c>
      <c r="AU317" t="b">
        <f>+ISNUMBER(SEARCH('Conc. Ban.1'!$I$9,Tabla11[[#This Row],[Cuenta]],1))</f>
        <v>0</v>
      </c>
      <c r="AV317" t="b">
        <f>+ISNUMBER(SEARCH(CompConta!$F$21,Tabla11[[#This Row],[Cuenta]],1))</f>
        <v>1</v>
      </c>
      <c r="AW317" t="b">
        <f>+ISNUMBER(SEARCH(CompConta!$F$22,Tabla11[[#This Row],[Cuenta]],1))</f>
        <v>1</v>
      </c>
      <c r="AX317" t="b">
        <f>+ISNUMBER(SEARCH(CompConta!$F$23,Tabla11[[#This Row],[Cuenta]],1))</f>
        <v>1</v>
      </c>
      <c r="AY317" t="b">
        <f>+ISNUMBER(SEARCH(CompConta!$F$24,Tabla11[[#This Row],[Cuenta]],1))</f>
        <v>1</v>
      </c>
      <c r="AZ317" t="b">
        <f>+ISNUMBER(SEARCH(CompConta!$F$25,Tabla11[[#This Row],[Cuenta]],1))</f>
        <v>1</v>
      </c>
      <c r="BA317" t="b">
        <f>+ISNUMBER(SEARCH(CompConta!$F$26,Tabla11[[#This Row],[Cuenta]],1))</f>
        <v>1</v>
      </c>
      <c r="BB317" t="b">
        <f>+ISNUMBER(SEARCH(CompConta!$F$27,Tabla11[[#This Row],[Cuenta]],1))</f>
        <v>1</v>
      </c>
      <c r="BC317" t="b">
        <f>+ISNUMBER(SEARCH(CompConta!$F$28,Tabla11[[#This Row],[Cuenta]],1))</f>
        <v>1</v>
      </c>
      <c r="BD317" t="b">
        <f>+ISNUMBER(SEARCH(CompConta!$F$29,Tabla11[[#This Row],[Cuenta]],1))</f>
        <v>1</v>
      </c>
      <c r="BE317" t="b">
        <f>+ISNUMBER(SEARCH(CompConta!$F$30,Tabla11[[#This Row],[Cuenta]],1))</f>
        <v>1</v>
      </c>
      <c r="BF317" t="b">
        <f>+ISNUMBER(SEARCH('PAGO Compras'!$E$11,Tabla11[[#This Row],[Cuenta]],1))</f>
        <v>1</v>
      </c>
      <c r="BG317" t="b">
        <f>+ISNUMBER(SEARCH(#REF!,Tabla11[[#This Row],[Cuenta]],1))</f>
        <v>0</v>
      </c>
      <c r="BH317" t="b">
        <f>+ISNUMBER(SEARCH(#REF!,Tabla11[[#This Row],[Cuenta]],1))</f>
        <v>0</v>
      </c>
      <c r="BI317" t="b">
        <f>+ISNUMBER(SEARCH(#REF!,Tabla11[[#This Row],[Cuenta]],1))</f>
        <v>0</v>
      </c>
      <c r="BJ317" t="b">
        <f>+ISNUMBER(SEARCH(#REF!,Tabla11[[#This Row],[Cuenta]],1))</f>
        <v>0</v>
      </c>
      <c r="BS317" t="str">
        <v>1705 GASTOS PAGADOS POR ANTICIPADO</v>
      </c>
      <c r="BT317" t="str">
        <v>1705 GASTOS PAGADOS POR ANTICIPADO</v>
      </c>
      <c r="BU317" t="str">
        <v>1705 GASTOS PAGADOS POR ANTICIPADO</v>
      </c>
      <c r="BV317" t="str">
        <v>1705 GASTOS PAGADOS POR ANTICIPADO</v>
      </c>
      <c r="BZ317" t="str">
        <v>1705 GASTOS PAGADOS POR ANTICIPADO</v>
      </c>
      <c r="CA317" t="str">
        <v>1705 GASTOS PAGADOS POR ANTICIPADO</v>
      </c>
      <c r="CB317" t="str">
        <v>1705 GASTOS PAGADOS POR ANTICIPADO</v>
      </c>
      <c r="CC317" t="str">
        <v>1705 GASTOS PAGADOS POR ANTICIPADO</v>
      </c>
      <c r="CD317" t="str">
        <v>1705 GASTOS PAGADOS POR ANTICIPADO</v>
      </c>
      <c r="CE317" t="str">
        <v>1705 GASTOS PAGADOS POR ANTICIPADO</v>
      </c>
      <c r="CS317" s="141" t="str">
        <v>1705 GASTOS PAGADOS POR ANTICIPADO</v>
      </c>
      <c r="CT317" s="141" t="str">
        <v>1705 GASTOS PAGADOS POR ANTICIPADO</v>
      </c>
      <c r="CU317" s="141" t="str">
        <v>1705 GASTOS PAGADOS POR ANTICIPADO</v>
      </c>
      <c r="CV317" s="141" t="str">
        <v>1705 GASTOS PAGADOS POR ANTICIPADO</v>
      </c>
      <c r="CW317" s="141" t="str">
        <v>1705 GASTOS PAGADOS POR ANTICIPADO</v>
      </c>
      <c r="CX317" s="141" t="str">
        <v>1705 GASTOS PAGADOS POR ANTICIPADO</v>
      </c>
      <c r="CY317" s="141" t="str">
        <v>1705 GASTOS PAGADOS POR ANTICIPADO</v>
      </c>
      <c r="CZ317" s="141" t="str">
        <v>1705 GASTOS PAGADOS POR ANTICIPADO</v>
      </c>
      <c r="DA317" s="141" t="str">
        <v>1705 GASTOS PAGADOS POR ANTICIPADO</v>
      </c>
      <c r="DF317" t="str">
        <v>1705 GASTOS PAGADOS POR ANTICIPADO</v>
      </c>
      <c r="DG317" t="str">
        <v>1705 GASTOS PAGADOS POR ANTICIPADO</v>
      </c>
      <c r="DH317" t="str">
        <v>1705 GASTOS PAGADOS POR ANTICIPADO</v>
      </c>
      <c r="DI317" t="str">
        <v>1705 GASTOS PAGADOS POR ANTICIPADO</v>
      </c>
      <c r="DJ317" t="str">
        <v>1705 GASTOS PAGADOS POR ANTICIPADO</v>
      </c>
      <c r="DK317" t="str">
        <v>1705 GASTOS PAGADOS POR ANTICIPADO</v>
      </c>
      <c r="DL317" t="str">
        <v>1705 GASTOS PAGADOS POR ANTICIPADO</v>
      </c>
      <c r="DM317" t="str">
        <v>1705 GASTOS PAGADOS POR ANTICIPADO</v>
      </c>
      <c r="DN317" t="str">
        <v>1705 GASTOS PAGADOS POR ANTICIPADO</v>
      </c>
      <c r="DO317" t="str">
        <v>1705 GASTOS PAGADOS POR ANTICIPADO</v>
      </c>
      <c r="DP317" t="str">
        <v>1705 GASTOS PAGADOS POR ANTICIPADO</v>
      </c>
    </row>
    <row r="318" spans="4:120" ht="12.75">
      <c r="D318" s="7">
        <v>170505</v>
      </c>
      <c r="E318" s="6" t="s">
        <v>73</v>
      </c>
      <c r="F318" s="5">
        <v>4</v>
      </c>
      <c r="G318" s="34" t="s">
        <v>822</v>
      </c>
      <c r="H318" s="8" t="s">
        <v>32</v>
      </c>
      <c r="I318" t="b">
        <f>+ISNUMBER(SEARCH('F-COMPRA'!$F$28,Tabla11[[#This Row],[Cuenta]],1))</f>
        <v>1</v>
      </c>
      <c r="J318" t="b">
        <f>+ISNUMBER(SEARCH('F-COMPRA'!$F$29,Tabla11[[#This Row],[Cuenta]],1))</f>
        <v>1</v>
      </c>
      <c r="K318" t="b">
        <f>+ISNUMBER(SEARCH('F-COMPRA'!$F$30,Tabla11[[#This Row],[Cuenta]],1))</f>
        <v>1</v>
      </c>
      <c r="L318" t="b">
        <f>+ISNUMBER(SEARCH('F-COMPRA'!$F$31,Tabla11[[#This Row],[Cuenta]],1))</f>
        <v>1</v>
      </c>
      <c r="M318" t="b">
        <f>+ISNUMBER(SEARCH('F-COMPRA'!$G$25,Tabla11[[#This Row],[Cuenta]],1))</f>
        <v>0</v>
      </c>
      <c r="N318" t="b">
        <f>+ISNUMBER(SEARCH(#REF!,Tabla11[[#This Row],[Cuenta]],1))</f>
        <v>0</v>
      </c>
      <c r="O318" t="b">
        <f>+ISNUMBER(SEARCH(#REF!,Tabla11[[#This Row],[Cuenta]],1))</f>
        <v>0</v>
      </c>
      <c r="P318" t="b">
        <f>+ISNUMBER(SEARCH('F-COMPRA'!$F$32,Tabla11[[#This Row],[Cuenta]],1))</f>
        <v>1</v>
      </c>
      <c r="Q318" t="b">
        <f>+ISNUMBER(SEARCH('F-COMPRA'!$F$33,Tabla11[[#This Row],[Cuenta]],1))</f>
        <v>1</v>
      </c>
      <c r="R318" t="b">
        <f>+ISNUMBER(SEARCH('F-COMPRA'!$F$34,Tabla11[[#This Row],[Cuenta]],1))</f>
        <v>1</v>
      </c>
      <c r="S318" t="b">
        <f>+ISNUMBER(SEARCH('F-COMPRA'!$F$35,Tabla11[[#This Row],[Cuenta]],1))</f>
        <v>1</v>
      </c>
      <c r="T318" t="b">
        <f>+ISNUMBER(SEARCH('F-COMPRA'!$F$36,Tabla11[[#This Row],[Cuenta]],1))</f>
        <v>1</v>
      </c>
      <c r="U318" t="b">
        <f>+ISNUMBER(SEARCH('F-COMPRA'!$F$37,Tabla11[[#This Row],[Cuenta]],1))</f>
        <v>1</v>
      </c>
      <c r="V318" t="b">
        <f>+ISNUMBER(SEARCH(#REF!,Tabla11[[#This Row],[Cuenta]],1))</f>
        <v>0</v>
      </c>
      <c r="W318" t="b">
        <f>+ISNUMBER(SEARCH('F-COMPRA'!#REF!,Tabla11[[#This Row],[Cuenta]],1))</f>
        <v>0</v>
      </c>
      <c r="X318" t="b">
        <f>+ISNUMBER(SEARCH('F-COMPRA'!#REF!,Tabla11[[#This Row],[Cuenta]],1))</f>
        <v>0</v>
      </c>
      <c r="Y318" t="b">
        <f>+ISNUMBER(SEARCH('F-COMPRA'!#REF!,Tabla11[[#This Row],[Cuenta]],1))</f>
        <v>0</v>
      </c>
      <c r="Z318" t="b">
        <f>+ISNUMBER(SEARCH('F-COMPRA'!#REF!,Tabla11[[#This Row],[Cuenta]],1))</f>
        <v>0</v>
      </c>
      <c r="AA318" t="b">
        <f>+ISNUMBER(SEARCH('F-COMPRA'!#REF!,Tabla11[[#This Row],[Cuenta]],1))</f>
        <v>0</v>
      </c>
      <c r="AB318" t="b">
        <f>+ISNUMBER(SEARCH('F-COMPRA'!#REF!,Tabla11[[#This Row],[Cuenta]],1))</f>
        <v>0</v>
      </c>
      <c r="AC318" t="b">
        <f>+ISNUMBER(SEARCH('F-COMPRA'!#REF!,Tabla11[[#This Row],[Cuenta]],1))</f>
        <v>0</v>
      </c>
      <c r="AD318" t="b">
        <f>+ISNUMBER(SEARCH('F-COMPRA'!#REF!,Tabla11[[#This Row],[Cuenta]],1))</f>
        <v>0</v>
      </c>
      <c r="AE318" t="b">
        <f>+ISNUMBER(SEARCH('F-COMPRA'!#REF!,Tabla11[[#This Row],[Cuenta]],1))</f>
        <v>0</v>
      </c>
      <c r="AF318" t="b">
        <f>+ISNUMBER(SEARCH('F-VTA'!$G$23,Tabla11[[#This Row],[Cuenta]],1))</f>
        <v>0</v>
      </c>
      <c r="AG318" t="b">
        <f>+ISNUMBER(SEARCH('F-VTA'!$G$24,Tabla11[[#This Row],[Cuenta]],1))</f>
        <v>0</v>
      </c>
      <c r="AH318" t="b">
        <f>+ISNUMBER(SEARCH('F-VTA'!$G$25,Tabla11[[#This Row],[Cuenta]],1))</f>
        <v>0</v>
      </c>
      <c r="AI318" t="b">
        <f>+ISNUMBER(SEARCH('F-VTA'!$F$28,Tabla11[[#This Row],[Cuenta]],1))</f>
        <v>1</v>
      </c>
      <c r="AJ318" t="b">
        <f>+ISNUMBER(SEARCH('F-VTA'!$F$29,Tabla11[[#This Row],[Cuenta]],1))</f>
        <v>1</v>
      </c>
      <c r="AK318" t="b">
        <f>+ISNUMBER(SEARCH('F-VTA'!$F$30,Tabla11[[#This Row],[Cuenta]],1))</f>
        <v>1</v>
      </c>
      <c r="AL318" t="b">
        <f>+ISNUMBER(SEARCH('F-VTA'!$F$31,Tabla11[[#This Row],[Cuenta]],1))</f>
        <v>1</v>
      </c>
      <c r="AM318" t="b">
        <f>+ISNUMBER(SEARCH('F-VTA'!$F$32,Tabla11[[#This Row],[Cuenta]],1))</f>
        <v>1</v>
      </c>
      <c r="AN318" t="b">
        <f>+ISNUMBER(SEARCH('F-VTA'!$F$33,Tabla11[[#This Row],[Cuenta]],1))</f>
        <v>1</v>
      </c>
      <c r="AO318" t="b">
        <f>+ISNUMBER(SEARCH('F-VTA'!$F$34,Tabla11[[#This Row],[Cuenta]],1))</f>
        <v>1</v>
      </c>
      <c r="AP318" t="b">
        <f>+ISNUMBER(SEARCH('F-VTA'!$F$35,Tabla11[[#This Row],[Cuenta]],1))</f>
        <v>1</v>
      </c>
      <c r="AQ318" t="b">
        <f>+ISNUMBER(SEARCH('F-VTA'!$F$36,Tabla11[[#This Row],[Cuenta]],1))</f>
        <v>1</v>
      </c>
      <c r="AR318" t="b">
        <f>+ISNUMBER(SEARCH(#REF!,Tabla11[[#This Row],[Cuenta]],1))</f>
        <v>0</v>
      </c>
      <c r="AS318" t="b">
        <f>+ISNUMBER(SEARCH(#REF!,Tabla11[[#This Row],[Cuenta]],1))</f>
        <v>0</v>
      </c>
      <c r="AT318" t="b">
        <f>+ISNUMBER(SEARCH(#REF!,Tabla11[[#This Row],[Cuenta]],1))</f>
        <v>0</v>
      </c>
      <c r="AU318" t="b">
        <f>+ISNUMBER(SEARCH('Conc. Ban.1'!$I$9,Tabla11[[#This Row],[Cuenta]],1))</f>
        <v>0</v>
      </c>
      <c r="AV318" t="b">
        <f>+ISNUMBER(SEARCH(CompConta!$F$21,Tabla11[[#This Row],[Cuenta]],1))</f>
        <v>1</v>
      </c>
      <c r="AW318" t="b">
        <f>+ISNUMBER(SEARCH(CompConta!$F$22,Tabla11[[#This Row],[Cuenta]],1))</f>
        <v>1</v>
      </c>
      <c r="AX318" t="b">
        <f>+ISNUMBER(SEARCH(CompConta!$F$23,Tabla11[[#This Row],[Cuenta]],1))</f>
        <v>1</v>
      </c>
      <c r="AY318" t="b">
        <f>+ISNUMBER(SEARCH(CompConta!$F$24,Tabla11[[#This Row],[Cuenta]],1))</f>
        <v>1</v>
      </c>
      <c r="AZ318" t="b">
        <f>+ISNUMBER(SEARCH(CompConta!$F$25,Tabla11[[#This Row],[Cuenta]],1))</f>
        <v>1</v>
      </c>
      <c r="BA318" t="b">
        <f>+ISNUMBER(SEARCH(CompConta!$F$26,Tabla11[[#This Row],[Cuenta]],1))</f>
        <v>1</v>
      </c>
      <c r="BB318" t="b">
        <f>+ISNUMBER(SEARCH(CompConta!$F$27,Tabla11[[#This Row],[Cuenta]],1))</f>
        <v>1</v>
      </c>
      <c r="BC318" t="b">
        <f>+ISNUMBER(SEARCH(CompConta!$F$28,Tabla11[[#This Row],[Cuenta]],1))</f>
        <v>1</v>
      </c>
      <c r="BD318" t="b">
        <f>+ISNUMBER(SEARCH(CompConta!$F$29,Tabla11[[#This Row],[Cuenta]],1))</f>
        <v>1</v>
      </c>
      <c r="BE318" t="b">
        <f>+ISNUMBER(SEARCH(CompConta!$F$30,Tabla11[[#This Row],[Cuenta]],1))</f>
        <v>1</v>
      </c>
      <c r="BF318" t="b">
        <f>+ISNUMBER(SEARCH('PAGO Compras'!$E$11,Tabla11[[#This Row],[Cuenta]],1))</f>
        <v>1</v>
      </c>
      <c r="BG318" t="b">
        <f>+ISNUMBER(SEARCH(#REF!,Tabla11[[#This Row],[Cuenta]],1))</f>
        <v>0</v>
      </c>
      <c r="BH318" t="b">
        <f>+ISNUMBER(SEARCH(#REF!,Tabla11[[#This Row],[Cuenta]],1))</f>
        <v>0</v>
      </c>
      <c r="BI318" t="b">
        <f>+ISNUMBER(SEARCH(#REF!,Tabla11[[#This Row],[Cuenta]],1))</f>
        <v>0</v>
      </c>
      <c r="BJ318" t="b">
        <f>+ISNUMBER(SEARCH(#REF!,Tabla11[[#This Row],[Cuenta]],1))</f>
        <v>0</v>
      </c>
      <c r="BS318" t="str">
        <v>170505 Intereses</v>
      </c>
      <c r="BT318" t="str">
        <v>170505 Intereses</v>
      </c>
      <c r="BU318" t="str">
        <v>170505 Intereses</v>
      </c>
      <c r="BV318" t="str">
        <v>170505 Intereses</v>
      </c>
      <c r="BZ318" t="str">
        <v>170505 Intereses</v>
      </c>
      <c r="CA318" t="str">
        <v>170505 Intereses</v>
      </c>
      <c r="CB318" t="str">
        <v>170505 Intereses</v>
      </c>
      <c r="CC318" t="str">
        <v>170505 Intereses</v>
      </c>
      <c r="CD318" t="str">
        <v>170505 Intereses</v>
      </c>
      <c r="CE318" t="str">
        <v>170505 Intereses</v>
      </c>
      <c r="CS318" s="141" t="str">
        <v>170505 Intereses</v>
      </c>
      <c r="CT318" s="141" t="str">
        <v>170505 Intereses</v>
      </c>
      <c r="CU318" s="141" t="str">
        <v>170505 Intereses</v>
      </c>
      <c r="CV318" s="141" t="str">
        <v>170505 Intereses</v>
      </c>
      <c r="CW318" s="141" t="str">
        <v>170505 Intereses</v>
      </c>
      <c r="CX318" s="141" t="str">
        <v>170505 Intereses</v>
      </c>
      <c r="CY318" s="141" t="str">
        <v>170505 Intereses</v>
      </c>
      <c r="CZ318" s="141" t="str">
        <v>170505 Intereses</v>
      </c>
      <c r="DA318" s="141" t="str">
        <v>170505 Intereses</v>
      </c>
      <c r="DF318" t="str">
        <v>170505 Intereses</v>
      </c>
      <c r="DG318" t="str">
        <v>170505 Intereses</v>
      </c>
      <c r="DH318" t="str">
        <v>170505 Intereses</v>
      </c>
      <c r="DI318" t="str">
        <v>170505 Intereses</v>
      </c>
      <c r="DJ318" t="str">
        <v>170505 Intereses</v>
      </c>
      <c r="DK318" t="str">
        <v>170505 Intereses</v>
      </c>
      <c r="DL318" t="str">
        <v>170505 Intereses</v>
      </c>
      <c r="DM318" t="str">
        <v>170505 Intereses</v>
      </c>
      <c r="DN318" t="str">
        <v>170505 Intereses</v>
      </c>
      <c r="DO318" t="str">
        <v>170505 Intereses</v>
      </c>
      <c r="DP318" t="str">
        <v>170505 Intereses</v>
      </c>
    </row>
    <row r="319" spans="4:120" ht="12.75">
      <c r="D319" s="7">
        <v>170510</v>
      </c>
      <c r="E319" s="6" t="s">
        <v>75</v>
      </c>
      <c r="F319" s="5">
        <v>4</v>
      </c>
      <c r="G319" s="34" t="s">
        <v>822</v>
      </c>
      <c r="H319" s="8" t="s">
        <v>32</v>
      </c>
      <c r="I319" t="b">
        <f>+ISNUMBER(SEARCH('F-COMPRA'!$F$28,Tabla11[[#This Row],[Cuenta]],1))</f>
        <v>1</v>
      </c>
      <c r="J319" t="b">
        <f>+ISNUMBER(SEARCH('F-COMPRA'!$F$29,Tabla11[[#This Row],[Cuenta]],1))</f>
        <v>1</v>
      </c>
      <c r="K319" t="b">
        <f>+ISNUMBER(SEARCH('F-COMPRA'!$F$30,Tabla11[[#This Row],[Cuenta]],1))</f>
        <v>1</v>
      </c>
      <c r="L319" t="b">
        <f>+ISNUMBER(SEARCH('F-COMPRA'!$F$31,Tabla11[[#This Row],[Cuenta]],1))</f>
        <v>1</v>
      </c>
      <c r="M319" t="b">
        <f>+ISNUMBER(SEARCH('F-COMPRA'!$G$25,Tabla11[[#This Row],[Cuenta]],1))</f>
        <v>0</v>
      </c>
      <c r="N319" t="b">
        <f>+ISNUMBER(SEARCH(#REF!,Tabla11[[#This Row],[Cuenta]],1))</f>
        <v>0</v>
      </c>
      <c r="O319" t="b">
        <f>+ISNUMBER(SEARCH(#REF!,Tabla11[[#This Row],[Cuenta]],1))</f>
        <v>0</v>
      </c>
      <c r="P319" t="b">
        <f>+ISNUMBER(SEARCH('F-COMPRA'!$F$32,Tabla11[[#This Row],[Cuenta]],1))</f>
        <v>1</v>
      </c>
      <c r="Q319" t="b">
        <f>+ISNUMBER(SEARCH('F-COMPRA'!$F$33,Tabla11[[#This Row],[Cuenta]],1))</f>
        <v>1</v>
      </c>
      <c r="R319" t="b">
        <f>+ISNUMBER(SEARCH('F-COMPRA'!$F$34,Tabla11[[#This Row],[Cuenta]],1))</f>
        <v>1</v>
      </c>
      <c r="S319" t="b">
        <f>+ISNUMBER(SEARCH('F-COMPRA'!$F$35,Tabla11[[#This Row],[Cuenta]],1))</f>
        <v>1</v>
      </c>
      <c r="T319" t="b">
        <f>+ISNUMBER(SEARCH('F-COMPRA'!$F$36,Tabla11[[#This Row],[Cuenta]],1))</f>
        <v>1</v>
      </c>
      <c r="U319" t="b">
        <f>+ISNUMBER(SEARCH('F-COMPRA'!$F$37,Tabla11[[#This Row],[Cuenta]],1))</f>
        <v>1</v>
      </c>
      <c r="V319" t="b">
        <f>+ISNUMBER(SEARCH(#REF!,Tabla11[[#This Row],[Cuenta]],1))</f>
        <v>0</v>
      </c>
      <c r="W319" t="b">
        <f>+ISNUMBER(SEARCH('F-COMPRA'!#REF!,Tabla11[[#This Row],[Cuenta]],1))</f>
        <v>0</v>
      </c>
      <c r="X319" t="b">
        <f>+ISNUMBER(SEARCH('F-COMPRA'!#REF!,Tabla11[[#This Row],[Cuenta]],1))</f>
        <v>0</v>
      </c>
      <c r="Y319" t="b">
        <f>+ISNUMBER(SEARCH('F-COMPRA'!#REF!,Tabla11[[#This Row],[Cuenta]],1))</f>
        <v>0</v>
      </c>
      <c r="Z319" t="b">
        <f>+ISNUMBER(SEARCH('F-COMPRA'!#REF!,Tabla11[[#This Row],[Cuenta]],1))</f>
        <v>0</v>
      </c>
      <c r="AA319" t="b">
        <f>+ISNUMBER(SEARCH('F-COMPRA'!#REF!,Tabla11[[#This Row],[Cuenta]],1))</f>
        <v>0</v>
      </c>
      <c r="AB319" t="b">
        <f>+ISNUMBER(SEARCH('F-COMPRA'!#REF!,Tabla11[[#This Row],[Cuenta]],1))</f>
        <v>0</v>
      </c>
      <c r="AC319" t="b">
        <f>+ISNUMBER(SEARCH('F-COMPRA'!#REF!,Tabla11[[#This Row],[Cuenta]],1))</f>
        <v>0</v>
      </c>
      <c r="AD319" t="b">
        <f>+ISNUMBER(SEARCH('F-COMPRA'!#REF!,Tabla11[[#This Row],[Cuenta]],1))</f>
        <v>0</v>
      </c>
      <c r="AE319" t="b">
        <f>+ISNUMBER(SEARCH('F-COMPRA'!#REF!,Tabla11[[#This Row],[Cuenta]],1))</f>
        <v>0</v>
      </c>
      <c r="AF319" t="b">
        <f>+ISNUMBER(SEARCH('F-VTA'!$G$23,Tabla11[[#This Row],[Cuenta]],1))</f>
        <v>0</v>
      </c>
      <c r="AG319" t="b">
        <f>+ISNUMBER(SEARCH('F-VTA'!$G$24,Tabla11[[#This Row],[Cuenta]],1))</f>
        <v>0</v>
      </c>
      <c r="AH319" t="b">
        <f>+ISNUMBER(SEARCH('F-VTA'!$G$25,Tabla11[[#This Row],[Cuenta]],1))</f>
        <v>0</v>
      </c>
      <c r="AI319" t="b">
        <f>+ISNUMBER(SEARCH('F-VTA'!$F$28,Tabla11[[#This Row],[Cuenta]],1))</f>
        <v>1</v>
      </c>
      <c r="AJ319" t="b">
        <f>+ISNUMBER(SEARCH('F-VTA'!$F$29,Tabla11[[#This Row],[Cuenta]],1))</f>
        <v>1</v>
      </c>
      <c r="AK319" t="b">
        <f>+ISNUMBER(SEARCH('F-VTA'!$F$30,Tabla11[[#This Row],[Cuenta]],1))</f>
        <v>1</v>
      </c>
      <c r="AL319" t="b">
        <f>+ISNUMBER(SEARCH('F-VTA'!$F$31,Tabla11[[#This Row],[Cuenta]],1))</f>
        <v>1</v>
      </c>
      <c r="AM319" t="b">
        <f>+ISNUMBER(SEARCH('F-VTA'!$F$32,Tabla11[[#This Row],[Cuenta]],1))</f>
        <v>1</v>
      </c>
      <c r="AN319" t="b">
        <f>+ISNUMBER(SEARCH('F-VTA'!$F$33,Tabla11[[#This Row],[Cuenta]],1))</f>
        <v>1</v>
      </c>
      <c r="AO319" t="b">
        <f>+ISNUMBER(SEARCH('F-VTA'!$F$34,Tabla11[[#This Row],[Cuenta]],1))</f>
        <v>1</v>
      </c>
      <c r="AP319" t="b">
        <f>+ISNUMBER(SEARCH('F-VTA'!$F$35,Tabla11[[#This Row],[Cuenta]],1))</f>
        <v>1</v>
      </c>
      <c r="AQ319" t="b">
        <f>+ISNUMBER(SEARCH('F-VTA'!$F$36,Tabla11[[#This Row],[Cuenta]],1))</f>
        <v>1</v>
      </c>
      <c r="AR319" t="b">
        <f>+ISNUMBER(SEARCH(#REF!,Tabla11[[#This Row],[Cuenta]],1))</f>
        <v>0</v>
      </c>
      <c r="AS319" t="b">
        <f>+ISNUMBER(SEARCH(#REF!,Tabla11[[#This Row],[Cuenta]],1))</f>
        <v>0</v>
      </c>
      <c r="AT319" t="b">
        <f>+ISNUMBER(SEARCH(#REF!,Tabla11[[#This Row],[Cuenta]],1))</f>
        <v>0</v>
      </c>
      <c r="AU319" t="b">
        <f>+ISNUMBER(SEARCH('Conc. Ban.1'!$I$9,Tabla11[[#This Row],[Cuenta]],1))</f>
        <v>0</v>
      </c>
      <c r="AV319" t="b">
        <f>+ISNUMBER(SEARCH(CompConta!$F$21,Tabla11[[#This Row],[Cuenta]],1))</f>
        <v>1</v>
      </c>
      <c r="AW319" t="b">
        <f>+ISNUMBER(SEARCH(CompConta!$F$22,Tabla11[[#This Row],[Cuenta]],1))</f>
        <v>1</v>
      </c>
      <c r="AX319" t="b">
        <f>+ISNUMBER(SEARCH(CompConta!$F$23,Tabla11[[#This Row],[Cuenta]],1))</f>
        <v>1</v>
      </c>
      <c r="AY319" t="b">
        <f>+ISNUMBER(SEARCH(CompConta!$F$24,Tabla11[[#This Row],[Cuenta]],1))</f>
        <v>1</v>
      </c>
      <c r="AZ319" t="b">
        <f>+ISNUMBER(SEARCH(CompConta!$F$25,Tabla11[[#This Row],[Cuenta]],1))</f>
        <v>1</v>
      </c>
      <c r="BA319" t="b">
        <f>+ISNUMBER(SEARCH(CompConta!$F$26,Tabla11[[#This Row],[Cuenta]],1))</f>
        <v>1</v>
      </c>
      <c r="BB319" t="b">
        <f>+ISNUMBER(SEARCH(CompConta!$F$27,Tabla11[[#This Row],[Cuenta]],1))</f>
        <v>1</v>
      </c>
      <c r="BC319" t="b">
        <f>+ISNUMBER(SEARCH(CompConta!$F$28,Tabla11[[#This Row],[Cuenta]],1))</f>
        <v>1</v>
      </c>
      <c r="BD319" t="b">
        <f>+ISNUMBER(SEARCH(CompConta!$F$29,Tabla11[[#This Row],[Cuenta]],1))</f>
        <v>1</v>
      </c>
      <c r="BE319" t="b">
        <f>+ISNUMBER(SEARCH(CompConta!$F$30,Tabla11[[#This Row],[Cuenta]],1))</f>
        <v>1</v>
      </c>
      <c r="BF319" t="b">
        <f>+ISNUMBER(SEARCH('PAGO Compras'!$E$11,Tabla11[[#This Row],[Cuenta]],1))</f>
        <v>1</v>
      </c>
      <c r="BG319" t="b">
        <f>+ISNUMBER(SEARCH(#REF!,Tabla11[[#This Row],[Cuenta]],1))</f>
        <v>0</v>
      </c>
      <c r="BH319" t="b">
        <f>+ISNUMBER(SEARCH(#REF!,Tabla11[[#This Row],[Cuenta]],1))</f>
        <v>0</v>
      </c>
      <c r="BI319" t="b">
        <f>+ISNUMBER(SEARCH(#REF!,Tabla11[[#This Row],[Cuenta]],1))</f>
        <v>0</v>
      </c>
      <c r="BJ319" t="b">
        <f>+ISNUMBER(SEARCH(#REF!,Tabla11[[#This Row],[Cuenta]],1))</f>
        <v>0</v>
      </c>
      <c r="BS319" t="str">
        <v>170510 Honorarios</v>
      </c>
      <c r="BT319" t="str">
        <v>170510 Honorarios</v>
      </c>
      <c r="BU319" t="str">
        <v>170510 Honorarios</v>
      </c>
      <c r="BV319" t="str">
        <v>170510 Honorarios</v>
      </c>
      <c r="BZ319" t="str">
        <v>170510 Honorarios</v>
      </c>
      <c r="CA319" t="str">
        <v>170510 Honorarios</v>
      </c>
      <c r="CB319" t="str">
        <v>170510 Honorarios</v>
      </c>
      <c r="CC319" t="str">
        <v>170510 Honorarios</v>
      </c>
      <c r="CD319" t="str">
        <v>170510 Honorarios</v>
      </c>
      <c r="CE319" t="str">
        <v>170510 Honorarios</v>
      </c>
      <c r="CS319" s="141" t="str">
        <v>170510 Honorarios</v>
      </c>
      <c r="CT319" s="141" t="str">
        <v>170510 Honorarios</v>
      </c>
      <c r="CU319" s="141" t="str">
        <v>170510 Honorarios</v>
      </c>
      <c r="CV319" s="141" t="str">
        <v>170510 Honorarios</v>
      </c>
      <c r="CW319" s="141" t="str">
        <v>170510 Honorarios</v>
      </c>
      <c r="CX319" s="141" t="str">
        <v>170510 Honorarios</v>
      </c>
      <c r="CY319" s="141" t="str">
        <v>170510 Honorarios</v>
      </c>
      <c r="CZ319" s="141" t="str">
        <v>170510 Honorarios</v>
      </c>
      <c r="DA319" s="141" t="str">
        <v>170510 Honorarios</v>
      </c>
      <c r="DF319" t="str">
        <v>170510 Honorarios</v>
      </c>
      <c r="DG319" t="str">
        <v>170510 Honorarios</v>
      </c>
      <c r="DH319" t="str">
        <v>170510 Honorarios</v>
      </c>
      <c r="DI319" t="str">
        <v>170510 Honorarios</v>
      </c>
      <c r="DJ319" t="str">
        <v>170510 Honorarios</v>
      </c>
      <c r="DK319" t="str">
        <v>170510 Honorarios</v>
      </c>
      <c r="DL319" t="str">
        <v>170510 Honorarios</v>
      </c>
      <c r="DM319" t="str">
        <v>170510 Honorarios</v>
      </c>
      <c r="DN319" t="str">
        <v>170510 Honorarios</v>
      </c>
      <c r="DO319" t="str">
        <v>170510 Honorarios</v>
      </c>
      <c r="DP319" t="str">
        <v>170510 Honorarios</v>
      </c>
    </row>
    <row r="320" spans="4:120" ht="12.75">
      <c r="D320" s="7">
        <v>170515</v>
      </c>
      <c r="E320" s="6" t="s">
        <v>74</v>
      </c>
      <c r="F320" s="5">
        <v>4</v>
      </c>
      <c r="G320" s="34" t="s">
        <v>822</v>
      </c>
      <c r="H320" s="8" t="s">
        <v>32</v>
      </c>
      <c r="I320" t="b">
        <f>+ISNUMBER(SEARCH('F-COMPRA'!$F$28,Tabla11[[#This Row],[Cuenta]],1))</f>
        <v>1</v>
      </c>
      <c r="J320" t="b">
        <f>+ISNUMBER(SEARCH('F-COMPRA'!$F$29,Tabla11[[#This Row],[Cuenta]],1))</f>
        <v>1</v>
      </c>
      <c r="K320" t="b">
        <f>+ISNUMBER(SEARCH('F-COMPRA'!$F$30,Tabla11[[#This Row],[Cuenta]],1))</f>
        <v>1</v>
      </c>
      <c r="L320" t="b">
        <f>+ISNUMBER(SEARCH('F-COMPRA'!$F$31,Tabla11[[#This Row],[Cuenta]],1))</f>
        <v>1</v>
      </c>
      <c r="M320" t="b">
        <f>+ISNUMBER(SEARCH('F-COMPRA'!$G$25,Tabla11[[#This Row],[Cuenta]],1))</f>
        <v>0</v>
      </c>
      <c r="N320" t="b">
        <f>+ISNUMBER(SEARCH(#REF!,Tabla11[[#This Row],[Cuenta]],1))</f>
        <v>0</v>
      </c>
      <c r="O320" t="b">
        <f>+ISNUMBER(SEARCH(#REF!,Tabla11[[#This Row],[Cuenta]],1))</f>
        <v>0</v>
      </c>
      <c r="P320" t="b">
        <f>+ISNUMBER(SEARCH('F-COMPRA'!$F$32,Tabla11[[#This Row],[Cuenta]],1))</f>
        <v>1</v>
      </c>
      <c r="Q320" t="b">
        <f>+ISNUMBER(SEARCH('F-COMPRA'!$F$33,Tabla11[[#This Row],[Cuenta]],1))</f>
        <v>1</v>
      </c>
      <c r="R320" t="b">
        <f>+ISNUMBER(SEARCH('F-COMPRA'!$F$34,Tabla11[[#This Row],[Cuenta]],1))</f>
        <v>1</v>
      </c>
      <c r="S320" t="b">
        <f>+ISNUMBER(SEARCH('F-COMPRA'!$F$35,Tabla11[[#This Row],[Cuenta]],1))</f>
        <v>1</v>
      </c>
      <c r="T320" t="b">
        <f>+ISNUMBER(SEARCH('F-COMPRA'!$F$36,Tabla11[[#This Row],[Cuenta]],1))</f>
        <v>1</v>
      </c>
      <c r="U320" t="b">
        <f>+ISNUMBER(SEARCH('F-COMPRA'!$F$37,Tabla11[[#This Row],[Cuenta]],1))</f>
        <v>1</v>
      </c>
      <c r="V320" t="b">
        <f>+ISNUMBER(SEARCH(#REF!,Tabla11[[#This Row],[Cuenta]],1))</f>
        <v>0</v>
      </c>
      <c r="W320" t="b">
        <f>+ISNUMBER(SEARCH('F-COMPRA'!#REF!,Tabla11[[#This Row],[Cuenta]],1))</f>
        <v>0</v>
      </c>
      <c r="X320" t="b">
        <f>+ISNUMBER(SEARCH('F-COMPRA'!#REF!,Tabla11[[#This Row],[Cuenta]],1))</f>
        <v>0</v>
      </c>
      <c r="Y320" t="b">
        <f>+ISNUMBER(SEARCH('F-COMPRA'!#REF!,Tabla11[[#This Row],[Cuenta]],1))</f>
        <v>0</v>
      </c>
      <c r="Z320" t="b">
        <f>+ISNUMBER(SEARCH('F-COMPRA'!#REF!,Tabla11[[#This Row],[Cuenta]],1))</f>
        <v>0</v>
      </c>
      <c r="AA320" t="b">
        <f>+ISNUMBER(SEARCH('F-COMPRA'!#REF!,Tabla11[[#This Row],[Cuenta]],1))</f>
        <v>0</v>
      </c>
      <c r="AB320" t="b">
        <f>+ISNUMBER(SEARCH('F-COMPRA'!#REF!,Tabla11[[#This Row],[Cuenta]],1))</f>
        <v>0</v>
      </c>
      <c r="AC320" t="b">
        <f>+ISNUMBER(SEARCH('F-COMPRA'!#REF!,Tabla11[[#This Row],[Cuenta]],1))</f>
        <v>0</v>
      </c>
      <c r="AD320" t="b">
        <f>+ISNUMBER(SEARCH('F-COMPRA'!#REF!,Tabla11[[#This Row],[Cuenta]],1))</f>
        <v>0</v>
      </c>
      <c r="AE320" t="b">
        <f>+ISNUMBER(SEARCH('F-COMPRA'!#REF!,Tabla11[[#This Row],[Cuenta]],1))</f>
        <v>0</v>
      </c>
      <c r="AF320" t="b">
        <f>+ISNUMBER(SEARCH('F-VTA'!$G$23,Tabla11[[#This Row],[Cuenta]],1))</f>
        <v>0</v>
      </c>
      <c r="AG320" t="b">
        <f>+ISNUMBER(SEARCH('F-VTA'!$G$24,Tabla11[[#This Row],[Cuenta]],1))</f>
        <v>0</v>
      </c>
      <c r="AH320" t="b">
        <f>+ISNUMBER(SEARCH('F-VTA'!$G$25,Tabla11[[#This Row],[Cuenta]],1))</f>
        <v>0</v>
      </c>
      <c r="AI320" t="b">
        <f>+ISNUMBER(SEARCH('F-VTA'!$F$28,Tabla11[[#This Row],[Cuenta]],1))</f>
        <v>1</v>
      </c>
      <c r="AJ320" t="b">
        <f>+ISNUMBER(SEARCH('F-VTA'!$F$29,Tabla11[[#This Row],[Cuenta]],1))</f>
        <v>1</v>
      </c>
      <c r="AK320" t="b">
        <f>+ISNUMBER(SEARCH('F-VTA'!$F$30,Tabla11[[#This Row],[Cuenta]],1))</f>
        <v>1</v>
      </c>
      <c r="AL320" t="b">
        <f>+ISNUMBER(SEARCH('F-VTA'!$F$31,Tabla11[[#This Row],[Cuenta]],1))</f>
        <v>1</v>
      </c>
      <c r="AM320" t="b">
        <f>+ISNUMBER(SEARCH('F-VTA'!$F$32,Tabla11[[#This Row],[Cuenta]],1))</f>
        <v>1</v>
      </c>
      <c r="AN320" t="b">
        <f>+ISNUMBER(SEARCH('F-VTA'!$F$33,Tabla11[[#This Row],[Cuenta]],1))</f>
        <v>1</v>
      </c>
      <c r="AO320" t="b">
        <f>+ISNUMBER(SEARCH('F-VTA'!$F$34,Tabla11[[#This Row],[Cuenta]],1))</f>
        <v>1</v>
      </c>
      <c r="AP320" t="b">
        <f>+ISNUMBER(SEARCH('F-VTA'!$F$35,Tabla11[[#This Row],[Cuenta]],1))</f>
        <v>1</v>
      </c>
      <c r="AQ320" t="b">
        <f>+ISNUMBER(SEARCH('F-VTA'!$F$36,Tabla11[[#This Row],[Cuenta]],1))</f>
        <v>1</v>
      </c>
      <c r="AR320" t="b">
        <f>+ISNUMBER(SEARCH(#REF!,Tabla11[[#This Row],[Cuenta]],1))</f>
        <v>0</v>
      </c>
      <c r="AS320" t="b">
        <f>+ISNUMBER(SEARCH(#REF!,Tabla11[[#This Row],[Cuenta]],1))</f>
        <v>0</v>
      </c>
      <c r="AT320" t="b">
        <f>+ISNUMBER(SEARCH(#REF!,Tabla11[[#This Row],[Cuenta]],1))</f>
        <v>0</v>
      </c>
      <c r="AU320" t="b">
        <f>+ISNUMBER(SEARCH('Conc. Ban.1'!$I$9,Tabla11[[#This Row],[Cuenta]],1))</f>
        <v>0</v>
      </c>
      <c r="AV320" t="b">
        <f>+ISNUMBER(SEARCH(CompConta!$F$21,Tabla11[[#This Row],[Cuenta]],1))</f>
        <v>1</v>
      </c>
      <c r="AW320" t="b">
        <f>+ISNUMBER(SEARCH(CompConta!$F$22,Tabla11[[#This Row],[Cuenta]],1))</f>
        <v>1</v>
      </c>
      <c r="AX320" t="b">
        <f>+ISNUMBER(SEARCH(CompConta!$F$23,Tabla11[[#This Row],[Cuenta]],1))</f>
        <v>1</v>
      </c>
      <c r="AY320" t="b">
        <f>+ISNUMBER(SEARCH(CompConta!$F$24,Tabla11[[#This Row],[Cuenta]],1))</f>
        <v>1</v>
      </c>
      <c r="AZ320" t="b">
        <f>+ISNUMBER(SEARCH(CompConta!$F$25,Tabla11[[#This Row],[Cuenta]],1))</f>
        <v>1</v>
      </c>
      <c r="BA320" t="b">
        <f>+ISNUMBER(SEARCH(CompConta!$F$26,Tabla11[[#This Row],[Cuenta]],1))</f>
        <v>1</v>
      </c>
      <c r="BB320" t="b">
        <f>+ISNUMBER(SEARCH(CompConta!$F$27,Tabla11[[#This Row],[Cuenta]],1))</f>
        <v>1</v>
      </c>
      <c r="BC320" t="b">
        <f>+ISNUMBER(SEARCH(CompConta!$F$28,Tabla11[[#This Row],[Cuenta]],1))</f>
        <v>1</v>
      </c>
      <c r="BD320" t="b">
        <f>+ISNUMBER(SEARCH(CompConta!$F$29,Tabla11[[#This Row],[Cuenta]],1))</f>
        <v>1</v>
      </c>
      <c r="BE320" t="b">
        <f>+ISNUMBER(SEARCH(CompConta!$F$30,Tabla11[[#This Row],[Cuenta]],1))</f>
        <v>1</v>
      </c>
      <c r="BF320" t="b">
        <f>+ISNUMBER(SEARCH('PAGO Compras'!$E$11,Tabla11[[#This Row],[Cuenta]],1))</f>
        <v>1</v>
      </c>
      <c r="BG320" t="b">
        <f>+ISNUMBER(SEARCH(#REF!,Tabla11[[#This Row],[Cuenta]],1))</f>
        <v>0</v>
      </c>
      <c r="BH320" t="b">
        <f>+ISNUMBER(SEARCH(#REF!,Tabla11[[#This Row],[Cuenta]],1))</f>
        <v>0</v>
      </c>
      <c r="BI320" t="b">
        <f>+ISNUMBER(SEARCH(#REF!,Tabla11[[#This Row],[Cuenta]],1))</f>
        <v>0</v>
      </c>
      <c r="BJ320" t="b">
        <f>+ISNUMBER(SEARCH(#REF!,Tabla11[[#This Row],[Cuenta]],1))</f>
        <v>0</v>
      </c>
      <c r="BS320" t="str">
        <v>170515 Comisiones</v>
      </c>
      <c r="BT320" t="str">
        <v>170515 Comisiones</v>
      </c>
      <c r="BU320" t="str">
        <v>170515 Comisiones</v>
      </c>
      <c r="BV320" t="str">
        <v>170515 Comisiones</v>
      </c>
      <c r="BZ320" t="str">
        <v>170515 Comisiones</v>
      </c>
      <c r="CA320" t="str">
        <v>170515 Comisiones</v>
      </c>
      <c r="CB320" t="str">
        <v>170515 Comisiones</v>
      </c>
      <c r="CC320" t="str">
        <v>170515 Comisiones</v>
      </c>
      <c r="CD320" t="str">
        <v>170515 Comisiones</v>
      </c>
      <c r="CE320" t="str">
        <v>170515 Comisiones</v>
      </c>
      <c r="CS320" s="141" t="str">
        <v>170515 Comisiones</v>
      </c>
      <c r="CT320" s="141" t="str">
        <v>170515 Comisiones</v>
      </c>
      <c r="CU320" s="141" t="str">
        <v>170515 Comisiones</v>
      </c>
      <c r="CV320" s="141" t="str">
        <v>170515 Comisiones</v>
      </c>
      <c r="CW320" s="141" t="str">
        <v>170515 Comisiones</v>
      </c>
      <c r="CX320" s="141" t="str">
        <v>170515 Comisiones</v>
      </c>
      <c r="CY320" s="141" t="str">
        <v>170515 Comisiones</v>
      </c>
      <c r="CZ320" s="141" t="str">
        <v>170515 Comisiones</v>
      </c>
      <c r="DA320" s="141" t="str">
        <v>170515 Comisiones</v>
      </c>
      <c r="DF320" t="str">
        <v>170515 Comisiones</v>
      </c>
      <c r="DG320" t="str">
        <v>170515 Comisiones</v>
      </c>
      <c r="DH320" t="str">
        <v>170515 Comisiones</v>
      </c>
      <c r="DI320" t="str">
        <v>170515 Comisiones</v>
      </c>
      <c r="DJ320" t="str">
        <v>170515 Comisiones</v>
      </c>
      <c r="DK320" t="str">
        <v>170515 Comisiones</v>
      </c>
      <c r="DL320" t="str">
        <v>170515 Comisiones</v>
      </c>
      <c r="DM320" t="str">
        <v>170515 Comisiones</v>
      </c>
      <c r="DN320" t="str">
        <v>170515 Comisiones</v>
      </c>
      <c r="DO320" t="str">
        <v>170515 Comisiones</v>
      </c>
      <c r="DP320" t="str">
        <v>170515 Comisiones</v>
      </c>
    </row>
    <row r="321" spans="4:120" ht="12.75">
      <c r="D321" s="7">
        <v>170520</v>
      </c>
      <c r="E321" s="6" t="s">
        <v>259</v>
      </c>
      <c r="F321" s="5">
        <v>4</v>
      </c>
      <c r="G321" s="34" t="s">
        <v>822</v>
      </c>
      <c r="H321" s="8" t="s">
        <v>32</v>
      </c>
      <c r="I321" t="b">
        <f>+ISNUMBER(SEARCH('F-COMPRA'!$F$28,Tabla11[[#This Row],[Cuenta]],1))</f>
        <v>1</v>
      </c>
      <c r="J321" t="b">
        <f>+ISNUMBER(SEARCH('F-COMPRA'!$F$29,Tabla11[[#This Row],[Cuenta]],1))</f>
        <v>1</v>
      </c>
      <c r="K321" t="b">
        <f>+ISNUMBER(SEARCH('F-COMPRA'!$F$30,Tabla11[[#This Row],[Cuenta]],1))</f>
        <v>1</v>
      </c>
      <c r="L321" t="b">
        <f>+ISNUMBER(SEARCH('F-COMPRA'!$F$31,Tabla11[[#This Row],[Cuenta]],1))</f>
        <v>1</v>
      </c>
      <c r="M321" t="b">
        <f>+ISNUMBER(SEARCH('F-COMPRA'!$G$25,Tabla11[[#This Row],[Cuenta]],1))</f>
        <v>0</v>
      </c>
      <c r="N321" t="b">
        <f>+ISNUMBER(SEARCH(#REF!,Tabla11[[#This Row],[Cuenta]],1))</f>
        <v>0</v>
      </c>
      <c r="O321" t="b">
        <f>+ISNUMBER(SEARCH(#REF!,Tabla11[[#This Row],[Cuenta]],1))</f>
        <v>0</v>
      </c>
      <c r="P321" t="b">
        <f>+ISNUMBER(SEARCH('F-COMPRA'!$F$32,Tabla11[[#This Row],[Cuenta]],1))</f>
        <v>1</v>
      </c>
      <c r="Q321" t="b">
        <f>+ISNUMBER(SEARCH('F-COMPRA'!$F$33,Tabla11[[#This Row],[Cuenta]],1))</f>
        <v>1</v>
      </c>
      <c r="R321" t="b">
        <f>+ISNUMBER(SEARCH('F-COMPRA'!$F$34,Tabla11[[#This Row],[Cuenta]],1))</f>
        <v>1</v>
      </c>
      <c r="S321" t="b">
        <f>+ISNUMBER(SEARCH('F-COMPRA'!$F$35,Tabla11[[#This Row],[Cuenta]],1))</f>
        <v>1</v>
      </c>
      <c r="T321" t="b">
        <f>+ISNUMBER(SEARCH('F-COMPRA'!$F$36,Tabla11[[#This Row],[Cuenta]],1))</f>
        <v>1</v>
      </c>
      <c r="U321" t="b">
        <f>+ISNUMBER(SEARCH('F-COMPRA'!$F$37,Tabla11[[#This Row],[Cuenta]],1))</f>
        <v>1</v>
      </c>
      <c r="V321" t="b">
        <f>+ISNUMBER(SEARCH(#REF!,Tabla11[[#This Row],[Cuenta]],1))</f>
        <v>0</v>
      </c>
      <c r="W321" t="b">
        <f>+ISNUMBER(SEARCH('F-COMPRA'!#REF!,Tabla11[[#This Row],[Cuenta]],1))</f>
        <v>0</v>
      </c>
      <c r="X321" t="b">
        <f>+ISNUMBER(SEARCH('F-COMPRA'!#REF!,Tabla11[[#This Row],[Cuenta]],1))</f>
        <v>0</v>
      </c>
      <c r="Y321" t="b">
        <f>+ISNUMBER(SEARCH('F-COMPRA'!#REF!,Tabla11[[#This Row],[Cuenta]],1))</f>
        <v>0</v>
      </c>
      <c r="Z321" t="b">
        <f>+ISNUMBER(SEARCH('F-COMPRA'!#REF!,Tabla11[[#This Row],[Cuenta]],1))</f>
        <v>0</v>
      </c>
      <c r="AA321" t="b">
        <f>+ISNUMBER(SEARCH('F-COMPRA'!#REF!,Tabla11[[#This Row],[Cuenta]],1))</f>
        <v>0</v>
      </c>
      <c r="AB321" t="b">
        <f>+ISNUMBER(SEARCH('F-COMPRA'!#REF!,Tabla11[[#This Row],[Cuenta]],1))</f>
        <v>0</v>
      </c>
      <c r="AC321" t="b">
        <f>+ISNUMBER(SEARCH('F-COMPRA'!#REF!,Tabla11[[#This Row],[Cuenta]],1))</f>
        <v>0</v>
      </c>
      <c r="AD321" t="b">
        <f>+ISNUMBER(SEARCH('F-COMPRA'!#REF!,Tabla11[[#This Row],[Cuenta]],1))</f>
        <v>0</v>
      </c>
      <c r="AE321" t="b">
        <f>+ISNUMBER(SEARCH('F-COMPRA'!#REF!,Tabla11[[#This Row],[Cuenta]],1))</f>
        <v>0</v>
      </c>
      <c r="AF321" t="b">
        <f>+ISNUMBER(SEARCH('F-VTA'!$G$23,Tabla11[[#This Row],[Cuenta]],1))</f>
        <v>0</v>
      </c>
      <c r="AG321" t="b">
        <f>+ISNUMBER(SEARCH('F-VTA'!$G$24,Tabla11[[#This Row],[Cuenta]],1))</f>
        <v>0</v>
      </c>
      <c r="AH321" t="b">
        <f>+ISNUMBER(SEARCH('F-VTA'!$G$25,Tabla11[[#This Row],[Cuenta]],1))</f>
        <v>0</v>
      </c>
      <c r="AI321" t="b">
        <f>+ISNUMBER(SEARCH('F-VTA'!$F$28,Tabla11[[#This Row],[Cuenta]],1))</f>
        <v>1</v>
      </c>
      <c r="AJ321" t="b">
        <f>+ISNUMBER(SEARCH('F-VTA'!$F$29,Tabla11[[#This Row],[Cuenta]],1))</f>
        <v>1</v>
      </c>
      <c r="AK321" t="b">
        <f>+ISNUMBER(SEARCH('F-VTA'!$F$30,Tabla11[[#This Row],[Cuenta]],1))</f>
        <v>1</v>
      </c>
      <c r="AL321" t="b">
        <f>+ISNUMBER(SEARCH('F-VTA'!$F$31,Tabla11[[#This Row],[Cuenta]],1))</f>
        <v>1</v>
      </c>
      <c r="AM321" t="b">
        <f>+ISNUMBER(SEARCH('F-VTA'!$F$32,Tabla11[[#This Row],[Cuenta]],1))</f>
        <v>1</v>
      </c>
      <c r="AN321" t="b">
        <f>+ISNUMBER(SEARCH('F-VTA'!$F$33,Tabla11[[#This Row],[Cuenta]],1))</f>
        <v>1</v>
      </c>
      <c r="AO321" t="b">
        <f>+ISNUMBER(SEARCH('F-VTA'!$F$34,Tabla11[[#This Row],[Cuenta]],1))</f>
        <v>1</v>
      </c>
      <c r="AP321" t="b">
        <f>+ISNUMBER(SEARCH('F-VTA'!$F$35,Tabla11[[#This Row],[Cuenta]],1))</f>
        <v>1</v>
      </c>
      <c r="AQ321" t="b">
        <f>+ISNUMBER(SEARCH('F-VTA'!$F$36,Tabla11[[#This Row],[Cuenta]],1))</f>
        <v>1</v>
      </c>
      <c r="AR321" t="b">
        <f>+ISNUMBER(SEARCH(#REF!,Tabla11[[#This Row],[Cuenta]],1))</f>
        <v>0</v>
      </c>
      <c r="AS321" t="b">
        <f>+ISNUMBER(SEARCH(#REF!,Tabla11[[#This Row],[Cuenta]],1))</f>
        <v>0</v>
      </c>
      <c r="AT321" t="b">
        <f>+ISNUMBER(SEARCH(#REF!,Tabla11[[#This Row],[Cuenta]],1))</f>
        <v>0</v>
      </c>
      <c r="AU321" t="b">
        <f>+ISNUMBER(SEARCH('Conc. Ban.1'!$I$9,Tabla11[[#This Row],[Cuenta]],1))</f>
        <v>0</v>
      </c>
      <c r="AV321" t="b">
        <f>+ISNUMBER(SEARCH(CompConta!$F$21,Tabla11[[#This Row],[Cuenta]],1))</f>
        <v>1</v>
      </c>
      <c r="AW321" t="b">
        <f>+ISNUMBER(SEARCH(CompConta!$F$22,Tabla11[[#This Row],[Cuenta]],1))</f>
        <v>1</v>
      </c>
      <c r="AX321" t="b">
        <f>+ISNUMBER(SEARCH(CompConta!$F$23,Tabla11[[#This Row],[Cuenta]],1))</f>
        <v>1</v>
      </c>
      <c r="AY321" t="b">
        <f>+ISNUMBER(SEARCH(CompConta!$F$24,Tabla11[[#This Row],[Cuenta]],1))</f>
        <v>1</v>
      </c>
      <c r="AZ321" t="b">
        <f>+ISNUMBER(SEARCH(CompConta!$F$25,Tabla11[[#This Row],[Cuenta]],1))</f>
        <v>1</v>
      </c>
      <c r="BA321" t="b">
        <f>+ISNUMBER(SEARCH(CompConta!$F$26,Tabla11[[#This Row],[Cuenta]],1))</f>
        <v>1</v>
      </c>
      <c r="BB321" t="b">
        <f>+ISNUMBER(SEARCH(CompConta!$F$27,Tabla11[[#This Row],[Cuenta]],1))</f>
        <v>1</v>
      </c>
      <c r="BC321" t="b">
        <f>+ISNUMBER(SEARCH(CompConta!$F$28,Tabla11[[#This Row],[Cuenta]],1))</f>
        <v>1</v>
      </c>
      <c r="BD321" t="b">
        <f>+ISNUMBER(SEARCH(CompConta!$F$29,Tabla11[[#This Row],[Cuenta]],1))</f>
        <v>1</v>
      </c>
      <c r="BE321" t="b">
        <f>+ISNUMBER(SEARCH(CompConta!$F$30,Tabla11[[#This Row],[Cuenta]],1))</f>
        <v>1</v>
      </c>
      <c r="BF321" t="b">
        <f>+ISNUMBER(SEARCH('PAGO Compras'!$E$11,Tabla11[[#This Row],[Cuenta]],1))</f>
        <v>1</v>
      </c>
      <c r="BG321" t="b">
        <f>+ISNUMBER(SEARCH(#REF!,Tabla11[[#This Row],[Cuenta]],1))</f>
        <v>0</v>
      </c>
      <c r="BH321" t="b">
        <f>+ISNUMBER(SEARCH(#REF!,Tabla11[[#This Row],[Cuenta]],1))</f>
        <v>0</v>
      </c>
      <c r="BI321" t="b">
        <f>+ISNUMBER(SEARCH(#REF!,Tabla11[[#This Row],[Cuenta]],1))</f>
        <v>0</v>
      </c>
      <c r="BJ321" t="b">
        <f>+ISNUMBER(SEARCH(#REF!,Tabla11[[#This Row],[Cuenta]],1))</f>
        <v>0</v>
      </c>
      <c r="BS321" t="str">
        <v>170520 Seguros y fianzas</v>
      </c>
      <c r="BT321" t="str">
        <v>170520 Seguros y fianzas</v>
      </c>
      <c r="BU321" t="str">
        <v>170520 Seguros y fianzas</v>
      </c>
      <c r="BV321" t="str">
        <v>170520 Seguros y fianzas</v>
      </c>
      <c r="BZ321" t="str">
        <v>170520 Seguros y fianzas</v>
      </c>
      <c r="CA321" t="str">
        <v>170520 Seguros y fianzas</v>
      </c>
      <c r="CB321" t="str">
        <v>170520 Seguros y fianzas</v>
      </c>
      <c r="CC321" t="str">
        <v>170520 Seguros y fianzas</v>
      </c>
      <c r="CD321" t="str">
        <v>170520 Seguros y fianzas</v>
      </c>
      <c r="CE321" t="str">
        <v>170520 Seguros y fianzas</v>
      </c>
      <c r="CS321" s="141" t="str">
        <v>170520 Seguros y fianzas</v>
      </c>
      <c r="CT321" s="141" t="str">
        <v>170520 Seguros y fianzas</v>
      </c>
      <c r="CU321" s="141" t="str">
        <v>170520 Seguros y fianzas</v>
      </c>
      <c r="CV321" s="141" t="str">
        <v>170520 Seguros y fianzas</v>
      </c>
      <c r="CW321" s="141" t="str">
        <v>170520 Seguros y fianzas</v>
      </c>
      <c r="CX321" s="141" t="str">
        <v>170520 Seguros y fianzas</v>
      </c>
      <c r="CY321" s="141" t="str">
        <v>170520 Seguros y fianzas</v>
      </c>
      <c r="CZ321" s="141" t="str">
        <v>170520 Seguros y fianzas</v>
      </c>
      <c r="DA321" s="141" t="str">
        <v>170520 Seguros y fianzas</v>
      </c>
      <c r="DF321" t="str">
        <v>170520 Seguros y fianzas</v>
      </c>
      <c r="DG321" t="str">
        <v>170520 Seguros y fianzas</v>
      </c>
      <c r="DH321" t="str">
        <v>170520 Seguros y fianzas</v>
      </c>
      <c r="DI321" t="str">
        <v>170520 Seguros y fianzas</v>
      </c>
      <c r="DJ321" t="str">
        <v>170520 Seguros y fianzas</v>
      </c>
      <c r="DK321" t="str">
        <v>170520 Seguros y fianzas</v>
      </c>
      <c r="DL321" t="str">
        <v>170520 Seguros y fianzas</v>
      </c>
      <c r="DM321" t="str">
        <v>170520 Seguros y fianzas</v>
      </c>
      <c r="DN321" t="str">
        <v>170520 Seguros y fianzas</v>
      </c>
      <c r="DO321" t="str">
        <v>170520 Seguros y fianzas</v>
      </c>
      <c r="DP321" t="str">
        <v>170520 Seguros y fianzas</v>
      </c>
    </row>
    <row r="322" spans="4:120" ht="12.75">
      <c r="D322" s="7">
        <v>170525</v>
      </c>
      <c r="E322" s="6" t="s">
        <v>77</v>
      </c>
      <c r="F322" s="5">
        <v>4</v>
      </c>
      <c r="G322" s="34" t="s">
        <v>822</v>
      </c>
      <c r="H322" s="8" t="s">
        <v>32</v>
      </c>
      <c r="I322" t="b">
        <f>+ISNUMBER(SEARCH('F-COMPRA'!$F$28,Tabla11[[#This Row],[Cuenta]],1))</f>
        <v>1</v>
      </c>
      <c r="J322" t="b">
        <f>+ISNUMBER(SEARCH('F-COMPRA'!$F$29,Tabla11[[#This Row],[Cuenta]],1))</f>
        <v>1</v>
      </c>
      <c r="K322" t="b">
        <f>+ISNUMBER(SEARCH('F-COMPRA'!$F$30,Tabla11[[#This Row],[Cuenta]],1))</f>
        <v>1</v>
      </c>
      <c r="L322" t="b">
        <f>+ISNUMBER(SEARCH('F-COMPRA'!$F$31,Tabla11[[#This Row],[Cuenta]],1))</f>
        <v>1</v>
      </c>
      <c r="M322" t="b">
        <f>+ISNUMBER(SEARCH('F-COMPRA'!$G$25,Tabla11[[#This Row],[Cuenta]],1))</f>
        <v>0</v>
      </c>
      <c r="N322" t="b">
        <f>+ISNUMBER(SEARCH(#REF!,Tabla11[[#This Row],[Cuenta]],1))</f>
        <v>0</v>
      </c>
      <c r="O322" t="b">
        <f>+ISNUMBER(SEARCH(#REF!,Tabla11[[#This Row],[Cuenta]],1))</f>
        <v>0</v>
      </c>
      <c r="P322" t="b">
        <f>+ISNUMBER(SEARCH('F-COMPRA'!$F$32,Tabla11[[#This Row],[Cuenta]],1))</f>
        <v>1</v>
      </c>
      <c r="Q322" t="b">
        <f>+ISNUMBER(SEARCH('F-COMPRA'!$F$33,Tabla11[[#This Row],[Cuenta]],1))</f>
        <v>1</v>
      </c>
      <c r="R322" t="b">
        <f>+ISNUMBER(SEARCH('F-COMPRA'!$F$34,Tabla11[[#This Row],[Cuenta]],1))</f>
        <v>1</v>
      </c>
      <c r="S322" t="b">
        <f>+ISNUMBER(SEARCH('F-COMPRA'!$F$35,Tabla11[[#This Row],[Cuenta]],1))</f>
        <v>1</v>
      </c>
      <c r="T322" t="b">
        <f>+ISNUMBER(SEARCH('F-COMPRA'!$F$36,Tabla11[[#This Row],[Cuenta]],1))</f>
        <v>1</v>
      </c>
      <c r="U322" t="b">
        <f>+ISNUMBER(SEARCH('F-COMPRA'!$F$37,Tabla11[[#This Row],[Cuenta]],1))</f>
        <v>1</v>
      </c>
      <c r="V322" t="b">
        <f>+ISNUMBER(SEARCH(#REF!,Tabla11[[#This Row],[Cuenta]],1))</f>
        <v>0</v>
      </c>
      <c r="W322" t="b">
        <f>+ISNUMBER(SEARCH('F-COMPRA'!#REF!,Tabla11[[#This Row],[Cuenta]],1))</f>
        <v>0</v>
      </c>
      <c r="X322" t="b">
        <f>+ISNUMBER(SEARCH('F-COMPRA'!#REF!,Tabla11[[#This Row],[Cuenta]],1))</f>
        <v>0</v>
      </c>
      <c r="Y322" t="b">
        <f>+ISNUMBER(SEARCH('F-COMPRA'!#REF!,Tabla11[[#This Row],[Cuenta]],1))</f>
        <v>0</v>
      </c>
      <c r="Z322" t="b">
        <f>+ISNUMBER(SEARCH('F-COMPRA'!#REF!,Tabla11[[#This Row],[Cuenta]],1))</f>
        <v>0</v>
      </c>
      <c r="AA322" t="b">
        <f>+ISNUMBER(SEARCH('F-COMPRA'!#REF!,Tabla11[[#This Row],[Cuenta]],1))</f>
        <v>0</v>
      </c>
      <c r="AB322" t="b">
        <f>+ISNUMBER(SEARCH('F-COMPRA'!#REF!,Tabla11[[#This Row],[Cuenta]],1))</f>
        <v>0</v>
      </c>
      <c r="AC322" t="b">
        <f>+ISNUMBER(SEARCH('F-COMPRA'!#REF!,Tabla11[[#This Row],[Cuenta]],1))</f>
        <v>0</v>
      </c>
      <c r="AD322" t="b">
        <f>+ISNUMBER(SEARCH('F-COMPRA'!#REF!,Tabla11[[#This Row],[Cuenta]],1))</f>
        <v>0</v>
      </c>
      <c r="AE322" t="b">
        <f>+ISNUMBER(SEARCH('F-COMPRA'!#REF!,Tabla11[[#This Row],[Cuenta]],1))</f>
        <v>0</v>
      </c>
      <c r="AF322" t="b">
        <f>+ISNUMBER(SEARCH('F-VTA'!$G$23,Tabla11[[#This Row],[Cuenta]],1))</f>
        <v>0</v>
      </c>
      <c r="AG322" t="b">
        <f>+ISNUMBER(SEARCH('F-VTA'!$G$24,Tabla11[[#This Row],[Cuenta]],1))</f>
        <v>0</v>
      </c>
      <c r="AH322" t="b">
        <f>+ISNUMBER(SEARCH('F-VTA'!$G$25,Tabla11[[#This Row],[Cuenta]],1))</f>
        <v>0</v>
      </c>
      <c r="AI322" t="b">
        <f>+ISNUMBER(SEARCH('F-VTA'!$F$28,Tabla11[[#This Row],[Cuenta]],1))</f>
        <v>1</v>
      </c>
      <c r="AJ322" t="b">
        <f>+ISNUMBER(SEARCH('F-VTA'!$F$29,Tabla11[[#This Row],[Cuenta]],1))</f>
        <v>1</v>
      </c>
      <c r="AK322" t="b">
        <f>+ISNUMBER(SEARCH('F-VTA'!$F$30,Tabla11[[#This Row],[Cuenta]],1))</f>
        <v>1</v>
      </c>
      <c r="AL322" t="b">
        <f>+ISNUMBER(SEARCH('F-VTA'!$F$31,Tabla11[[#This Row],[Cuenta]],1))</f>
        <v>1</v>
      </c>
      <c r="AM322" t="b">
        <f>+ISNUMBER(SEARCH('F-VTA'!$F$32,Tabla11[[#This Row],[Cuenta]],1))</f>
        <v>1</v>
      </c>
      <c r="AN322" t="b">
        <f>+ISNUMBER(SEARCH('F-VTA'!$F$33,Tabla11[[#This Row],[Cuenta]],1))</f>
        <v>1</v>
      </c>
      <c r="AO322" t="b">
        <f>+ISNUMBER(SEARCH('F-VTA'!$F$34,Tabla11[[#This Row],[Cuenta]],1))</f>
        <v>1</v>
      </c>
      <c r="AP322" t="b">
        <f>+ISNUMBER(SEARCH('F-VTA'!$F$35,Tabla11[[#This Row],[Cuenta]],1))</f>
        <v>1</v>
      </c>
      <c r="AQ322" t="b">
        <f>+ISNUMBER(SEARCH('F-VTA'!$F$36,Tabla11[[#This Row],[Cuenta]],1))</f>
        <v>1</v>
      </c>
      <c r="AR322" t="b">
        <f>+ISNUMBER(SEARCH(#REF!,Tabla11[[#This Row],[Cuenta]],1))</f>
        <v>0</v>
      </c>
      <c r="AS322" t="b">
        <f>+ISNUMBER(SEARCH(#REF!,Tabla11[[#This Row],[Cuenta]],1))</f>
        <v>0</v>
      </c>
      <c r="AT322" t="b">
        <f>+ISNUMBER(SEARCH(#REF!,Tabla11[[#This Row],[Cuenta]],1))</f>
        <v>0</v>
      </c>
      <c r="AU322" t="b">
        <f>+ISNUMBER(SEARCH('Conc. Ban.1'!$I$9,Tabla11[[#This Row],[Cuenta]],1))</f>
        <v>0</v>
      </c>
      <c r="AV322" t="b">
        <f>+ISNUMBER(SEARCH(CompConta!$F$21,Tabla11[[#This Row],[Cuenta]],1))</f>
        <v>1</v>
      </c>
      <c r="AW322" t="b">
        <f>+ISNUMBER(SEARCH(CompConta!$F$22,Tabla11[[#This Row],[Cuenta]],1))</f>
        <v>1</v>
      </c>
      <c r="AX322" t="b">
        <f>+ISNUMBER(SEARCH(CompConta!$F$23,Tabla11[[#This Row],[Cuenta]],1))</f>
        <v>1</v>
      </c>
      <c r="AY322" t="b">
        <f>+ISNUMBER(SEARCH(CompConta!$F$24,Tabla11[[#This Row],[Cuenta]],1))</f>
        <v>1</v>
      </c>
      <c r="AZ322" t="b">
        <f>+ISNUMBER(SEARCH(CompConta!$F$25,Tabla11[[#This Row],[Cuenta]],1))</f>
        <v>1</v>
      </c>
      <c r="BA322" t="b">
        <f>+ISNUMBER(SEARCH(CompConta!$F$26,Tabla11[[#This Row],[Cuenta]],1))</f>
        <v>1</v>
      </c>
      <c r="BB322" t="b">
        <f>+ISNUMBER(SEARCH(CompConta!$F$27,Tabla11[[#This Row],[Cuenta]],1))</f>
        <v>1</v>
      </c>
      <c r="BC322" t="b">
        <f>+ISNUMBER(SEARCH(CompConta!$F$28,Tabla11[[#This Row],[Cuenta]],1))</f>
        <v>1</v>
      </c>
      <c r="BD322" t="b">
        <f>+ISNUMBER(SEARCH(CompConta!$F$29,Tabla11[[#This Row],[Cuenta]],1))</f>
        <v>1</v>
      </c>
      <c r="BE322" t="b">
        <f>+ISNUMBER(SEARCH(CompConta!$F$30,Tabla11[[#This Row],[Cuenta]],1))</f>
        <v>1</v>
      </c>
      <c r="BF322" t="b">
        <f>+ISNUMBER(SEARCH('PAGO Compras'!$E$11,Tabla11[[#This Row],[Cuenta]],1))</f>
        <v>1</v>
      </c>
      <c r="BG322" t="b">
        <f>+ISNUMBER(SEARCH(#REF!,Tabla11[[#This Row],[Cuenta]],1))</f>
        <v>0</v>
      </c>
      <c r="BH322" t="b">
        <f>+ISNUMBER(SEARCH(#REF!,Tabla11[[#This Row],[Cuenta]],1))</f>
        <v>0</v>
      </c>
      <c r="BI322" t="b">
        <f>+ISNUMBER(SEARCH(#REF!,Tabla11[[#This Row],[Cuenta]],1))</f>
        <v>0</v>
      </c>
      <c r="BJ322" t="b">
        <f>+ISNUMBER(SEARCH(#REF!,Tabla11[[#This Row],[Cuenta]],1))</f>
        <v>0</v>
      </c>
      <c r="BS322" t="str">
        <v>170525 Arrendamientos</v>
      </c>
      <c r="BT322" t="str">
        <v>170525 Arrendamientos</v>
      </c>
      <c r="BU322" t="str">
        <v>170525 Arrendamientos</v>
      </c>
      <c r="BV322" t="str">
        <v>170525 Arrendamientos</v>
      </c>
      <c r="BZ322" t="str">
        <v>170525 Arrendamientos</v>
      </c>
      <c r="CA322" t="str">
        <v>170525 Arrendamientos</v>
      </c>
      <c r="CB322" t="str">
        <v>170525 Arrendamientos</v>
      </c>
      <c r="CC322" t="str">
        <v>170525 Arrendamientos</v>
      </c>
      <c r="CD322" t="str">
        <v>170525 Arrendamientos</v>
      </c>
      <c r="CE322" t="str">
        <v>170525 Arrendamientos</v>
      </c>
      <c r="CS322" s="141" t="str">
        <v>170525 Arrendamientos</v>
      </c>
      <c r="CT322" s="141" t="str">
        <v>170525 Arrendamientos</v>
      </c>
      <c r="CU322" s="141" t="str">
        <v>170525 Arrendamientos</v>
      </c>
      <c r="CV322" s="141" t="str">
        <v>170525 Arrendamientos</v>
      </c>
      <c r="CW322" s="141" t="str">
        <v>170525 Arrendamientos</v>
      </c>
      <c r="CX322" s="141" t="str">
        <v>170525 Arrendamientos</v>
      </c>
      <c r="CY322" s="141" t="str">
        <v>170525 Arrendamientos</v>
      </c>
      <c r="CZ322" s="141" t="str">
        <v>170525 Arrendamientos</v>
      </c>
      <c r="DA322" s="141" t="str">
        <v>170525 Arrendamientos</v>
      </c>
      <c r="DF322" t="str">
        <v>170525 Arrendamientos</v>
      </c>
      <c r="DG322" t="str">
        <v>170525 Arrendamientos</v>
      </c>
      <c r="DH322" t="str">
        <v>170525 Arrendamientos</v>
      </c>
      <c r="DI322" t="str">
        <v>170525 Arrendamientos</v>
      </c>
      <c r="DJ322" t="str">
        <v>170525 Arrendamientos</v>
      </c>
      <c r="DK322" t="str">
        <v>170525 Arrendamientos</v>
      </c>
      <c r="DL322" t="str">
        <v>170525 Arrendamientos</v>
      </c>
      <c r="DM322" t="str">
        <v>170525 Arrendamientos</v>
      </c>
      <c r="DN322" t="str">
        <v>170525 Arrendamientos</v>
      </c>
      <c r="DO322" t="str">
        <v>170525 Arrendamientos</v>
      </c>
      <c r="DP322" t="str">
        <v>170525 Arrendamientos</v>
      </c>
    </row>
    <row r="323" spans="4:120" ht="12.75">
      <c r="D323" s="7">
        <v>170530</v>
      </c>
      <c r="E323" s="6" t="s">
        <v>260</v>
      </c>
      <c r="F323" s="5">
        <v>4</v>
      </c>
      <c r="G323" s="34" t="s">
        <v>822</v>
      </c>
      <c r="H323" s="8" t="s">
        <v>32</v>
      </c>
      <c r="I323" t="b">
        <f>+ISNUMBER(SEARCH('F-COMPRA'!$F$28,Tabla11[[#This Row],[Cuenta]],1))</f>
        <v>1</v>
      </c>
      <c r="J323" t="b">
        <f>+ISNUMBER(SEARCH('F-COMPRA'!$F$29,Tabla11[[#This Row],[Cuenta]],1))</f>
        <v>1</v>
      </c>
      <c r="K323" t="b">
        <f>+ISNUMBER(SEARCH('F-COMPRA'!$F$30,Tabla11[[#This Row],[Cuenta]],1))</f>
        <v>1</v>
      </c>
      <c r="L323" t="b">
        <f>+ISNUMBER(SEARCH('F-COMPRA'!$F$31,Tabla11[[#This Row],[Cuenta]],1))</f>
        <v>1</v>
      </c>
      <c r="M323" t="b">
        <f>+ISNUMBER(SEARCH('F-COMPRA'!$G$25,Tabla11[[#This Row],[Cuenta]],1))</f>
        <v>0</v>
      </c>
      <c r="N323" t="b">
        <f>+ISNUMBER(SEARCH(#REF!,Tabla11[[#This Row],[Cuenta]],1))</f>
        <v>0</v>
      </c>
      <c r="O323" t="b">
        <f>+ISNUMBER(SEARCH(#REF!,Tabla11[[#This Row],[Cuenta]],1))</f>
        <v>0</v>
      </c>
      <c r="P323" t="b">
        <f>+ISNUMBER(SEARCH('F-COMPRA'!$F$32,Tabla11[[#This Row],[Cuenta]],1))</f>
        <v>1</v>
      </c>
      <c r="Q323" t="b">
        <f>+ISNUMBER(SEARCH('F-COMPRA'!$F$33,Tabla11[[#This Row],[Cuenta]],1))</f>
        <v>1</v>
      </c>
      <c r="R323" t="b">
        <f>+ISNUMBER(SEARCH('F-COMPRA'!$F$34,Tabla11[[#This Row],[Cuenta]],1))</f>
        <v>1</v>
      </c>
      <c r="S323" t="b">
        <f>+ISNUMBER(SEARCH('F-COMPRA'!$F$35,Tabla11[[#This Row],[Cuenta]],1))</f>
        <v>1</v>
      </c>
      <c r="T323" t="b">
        <f>+ISNUMBER(SEARCH('F-COMPRA'!$F$36,Tabla11[[#This Row],[Cuenta]],1))</f>
        <v>1</v>
      </c>
      <c r="U323" t="b">
        <f>+ISNUMBER(SEARCH('F-COMPRA'!$F$37,Tabla11[[#This Row],[Cuenta]],1))</f>
        <v>1</v>
      </c>
      <c r="V323" t="b">
        <f>+ISNUMBER(SEARCH(#REF!,Tabla11[[#This Row],[Cuenta]],1))</f>
        <v>0</v>
      </c>
      <c r="W323" t="b">
        <f>+ISNUMBER(SEARCH('F-COMPRA'!#REF!,Tabla11[[#This Row],[Cuenta]],1))</f>
        <v>0</v>
      </c>
      <c r="X323" t="b">
        <f>+ISNUMBER(SEARCH('F-COMPRA'!#REF!,Tabla11[[#This Row],[Cuenta]],1))</f>
        <v>0</v>
      </c>
      <c r="Y323" t="b">
        <f>+ISNUMBER(SEARCH('F-COMPRA'!#REF!,Tabla11[[#This Row],[Cuenta]],1))</f>
        <v>0</v>
      </c>
      <c r="Z323" t="b">
        <f>+ISNUMBER(SEARCH('F-COMPRA'!#REF!,Tabla11[[#This Row],[Cuenta]],1))</f>
        <v>0</v>
      </c>
      <c r="AA323" t="b">
        <f>+ISNUMBER(SEARCH('F-COMPRA'!#REF!,Tabla11[[#This Row],[Cuenta]],1))</f>
        <v>0</v>
      </c>
      <c r="AB323" t="b">
        <f>+ISNUMBER(SEARCH('F-COMPRA'!#REF!,Tabla11[[#This Row],[Cuenta]],1))</f>
        <v>0</v>
      </c>
      <c r="AC323" t="b">
        <f>+ISNUMBER(SEARCH('F-COMPRA'!#REF!,Tabla11[[#This Row],[Cuenta]],1))</f>
        <v>0</v>
      </c>
      <c r="AD323" t="b">
        <f>+ISNUMBER(SEARCH('F-COMPRA'!#REF!,Tabla11[[#This Row],[Cuenta]],1))</f>
        <v>0</v>
      </c>
      <c r="AE323" t="b">
        <f>+ISNUMBER(SEARCH('F-COMPRA'!#REF!,Tabla11[[#This Row],[Cuenta]],1))</f>
        <v>0</v>
      </c>
      <c r="AF323" t="b">
        <f>+ISNUMBER(SEARCH('F-VTA'!$G$23,Tabla11[[#This Row],[Cuenta]],1))</f>
        <v>0</v>
      </c>
      <c r="AG323" t="b">
        <f>+ISNUMBER(SEARCH('F-VTA'!$G$24,Tabla11[[#This Row],[Cuenta]],1))</f>
        <v>0</v>
      </c>
      <c r="AH323" t="b">
        <f>+ISNUMBER(SEARCH('F-VTA'!$G$25,Tabla11[[#This Row],[Cuenta]],1))</f>
        <v>0</v>
      </c>
      <c r="AI323" t="b">
        <f>+ISNUMBER(SEARCH('F-VTA'!$F$28,Tabla11[[#This Row],[Cuenta]],1))</f>
        <v>1</v>
      </c>
      <c r="AJ323" t="b">
        <f>+ISNUMBER(SEARCH('F-VTA'!$F$29,Tabla11[[#This Row],[Cuenta]],1))</f>
        <v>1</v>
      </c>
      <c r="AK323" t="b">
        <f>+ISNUMBER(SEARCH('F-VTA'!$F$30,Tabla11[[#This Row],[Cuenta]],1))</f>
        <v>1</v>
      </c>
      <c r="AL323" t="b">
        <f>+ISNUMBER(SEARCH('F-VTA'!$F$31,Tabla11[[#This Row],[Cuenta]],1))</f>
        <v>1</v>
      </c>
      <c r="AM323" t="b">
        <f>+ISNUMBER(SEARCH('F-VTA'!$F$32,Tabla11[[#This Row],[Cuenta]],1))</f>
        <v>1</v>
      </c>
      <c r="AN323" t="b">
        <f>+ISNUMBER(SEARCH('F-VTA'!$F$33,Tabla11[[#This Row],[Cuenta]],1))</f>
        <v>1</v>
      </c>
      <c r="AO323" t="b">
        <f>+ISNUMBER(SEARCH('F-VTA'!$F$34,Tabla11[[#This Row],[Cuenta]],1))</f>
        <v>1</v>
      </c>
      <c r="AP323" t="b">
        <f>+ISNUMBER(SEARCH('F-VTA'!$F$35,Tabla11[[#This Row],[Cuenta]],1))</f>
        <v>1</v>
      </c>
      <c r="AQ323" t="b">
        <f>+ISNUMBER(SEARCH('F-VTA'!$F$36,Tabla11[[#This Row],[Cuenta]],1))</f>
        <v>1</v>
      </c>
      <c r="AR323" t="b">
        <f>+ISNUMBER(SEARCH(#REF!,Tabla11[[#This Row],[Cuenta]],1))</f>
        <v>0</v>
      </c>
      <c r="AS323" t="b">
        <f>+ISNUMBER(SEARCH(#REF!,Tabla11[[#This Row],[Cuenta]],1))</f>
        <v>0</v>
      </c>
      <c r="AT323" t="b">
        <f>+ISNUMBER(SEARCH(#REF!,Tabla11[[#This Row],[Cuenta]],1))</f>
        <v>0</v>
      </c>
      <c r="AU323" t="b">
        <f>+ISNUMBER(SEARCH('Conc. Ban.1'!$I$9,Tabla11[[#This Row],[Cuenta]],1))</f>
        <v>0</v>
      </c>
      <c r="AV323" t="b">
        <f>+ISNUMBER(SEARCH(CompConta!$F$21,Tabla11[[#This Row],[Cuenta]],1))</f>
        <v>1</v>
      </c>
      <c r="AW323" t="b">
        <f>+ISNUMBER(SEARCH(CompConta!$F$22,Tabla11[[#This Row],[Cuenta]],1))</f>
        <v>1</v>
      </c>
      <c r="AX323" t="b">
        <f>+ISNUMBER(SEARCH(CompConta!$F$23,Tabla11[[#This Row],[Cuenta]],1))</f>
        <v>1</v>
      </c>
      <c r="AY323" t="b">
        <f>+ISNUMBER(SEARCH(CompConta!$F$24,Tabla11[[#This Row],[Cuenta]],1))</f>
        <v>1</v>
      </c>
      <c r="AZ323" t="b">
        <f>+ISNUMBER(SEARCH(CompConta!$F$25,Tabla11[[#This Row],[Cuenta]],1))</f>
        <v>1</v>
      </c>
      <c r="BA323" t="b">
        <f>+ISNUMBER(SEARCH(CompConta!$F$26,Tabla11[[#This Row],[Cuenta]],1))</f>
        <v>1</v>
      </c>
      <c r="BB323" t="b">
        <f>+ISNUMBER(SEARCH(CompConta!$F$27,Tabla11[[#This Row],[Cuenta]],1))</f>
        <v>1</v>
      </c>
      <c r="BC323" t="b">
        <f>+ISNUMBER(SEARCH(CompConta!$F$28,Tabla11[[#This Row],[Cuenta]],1))</f>
        <v>1</v>
      </c>
      <c r="BD323" t="b">
        <f>+ISNUMBER(SEARCH(CompConta!$F$29,Tabla11[[#This Row],[Cuenta]],1))</f>
        <v>1</v>
      </c>
      <c r="BE323" t="b">
        <f>+ISNUMBER(SEARCH(CompConta!$F$30,Tabla11[[#This Row],[Cuenta]],1))</f>
        <v>1</v>
      </c>
      <c r="BF323" t="b">
        <f>+ISNUMBER(SEARCH('PAGO Compras'!$E$11,Tabla11[[#This Row],[Cuenta]],1))</f>
        <v>1</v>
      </c>
      <c r="BG323" t="b">
        <f>+ISNUMBER(SEARCH(#REF!,Tabla11[[#This Row],[Cuenta]],1))</f>
        <v>0</v>
      </c>
      <c r="BH323" t="b">
        <f>+ISNUMBER(SEARCH(#REF!,Tabla11[[#This Row],[Cuenta]],1))</f>
        <v>0</v>
      </c>
      <c r="BI323" t="b">
        <f>+ISNUMBER(SEARCH(#REF!,Tabla11[[#This Row],[Cuenta]],1))</f>
        <v>0</v>
      </c>
      <c r="BJ323" t="b">
        <f>+ISNUMBER(SEARCH(#REF!,Tabla11[[#This Row],[Cuenta]],1))</f>
        <v>0</v>
      </c>
      <c r="BS323" t="str">
        <v>170530 Bodegajes</v>
      </c>
      <c r="BT323" t="str">
        <v>170530 Bodegajes</v>
      </c>
      <c r="BU323" t="str">
        <v>170530 Bodegajes</v>
      </c>
      <c r="BV323" t="str">
        <v>170530 Bodegajes</v>
      </c>
      <c r="BZ323" t="str">
        <v>170530 Bodegajes</v>
      </c>
      <c r="CA323" t="str">
        <v>170530 Bodegajes</v>
      </c>
      <c r="CB323" t="str">
        <v>170530 Bodegajes</v>
      </c>
      <c r="CC323" t="str">
        <v>170530 Bodegajes</v>
      </c>
      <c r="CD323" t="str">
        <v>170530 Bodegajes</v>
      </c>
      <c r="CE323" t="str">
        <v>170530 Bodegajes</v>
      </c>
      <c r="CS323" s="141" t="str">
        <v>170530 Bodegajes</v>
      </c>
      <c r="CT323" s="141" t="str">
        <v>170530 Bodegajes</v>
      </c>
      <c r="CU323" s="141" t="str">
        <v>170530 Bodegajes</v>
      </c>
      <c r="CV323" s="141" t="str">
        <v>170530 Bodegajes</v>
      </c>
      <c r="CW323" s="141" t="str">
        <v>170530 Bodegajes</v>
      </c>
      <c r="CX323" s="141" t="str">
        <v>170530 Bodegajes</v>
      </c>
      <c r="CY323" s="141" t="str">
        <v>170530 Bodegajes</v>
      </c>
      <c r="CZ323" s="141" t="str">
        <v>170530 Bodegajes</v>
      </c>
      <c r="DA323" s="141" t="str">
        <v>170530 Bodegajes</v>
      </c>
      <c r="DF323" t="str">
        <v>170530 Bodegajes</v>
      </c>
      <c r="DG323" t="str">
        <v>170530 Bodegajes</v>
      </c>
      <c r="DH323" t="str">
        <v>170530 Bodegajes</v>
      </c>
      <c r="DI323" t="str">
        <v>170530 Bodegajes</v>
      </c>
      <c r="DJ323" t="str">
        <v>170530 Bodegajes</v>
      </c>
      <c r="DK323" t="str">
        <v>170530 Bodegajes</v>
      </c>
      <c r="DL323" t="str">
        <v>170530 Bodegajes</v>
      </c>
      <c r="DM323" t="str">
        <v>170530 Bodegajes</v>
      </c>
      <c r="DN323" t="str">
        <v>170530 Bodegajes</v>
      </c>
      <c r="DO323" t="str">
        <v>170530 Bodegajes</v>
      </c>
      <c r="DP323" t="str">
        <v>170530 Bodegajes</v>
      </c>
    </row>
    <row r="324" spans="4:120" ht="12.75">
      <c r="D324" s="7">
        <v>170535</v>
      </c>
      <c r="E324" s="6" t="s">
        <v>261</v>
      </c>
      <c r="F324" s="5">
        <v>4</v>
      </c>
      <c r="G324" s="34" t="s">
        <v>822</v>
      </c>
      <c r="H324" s="8" t="s">
        <v>32</v>
      </c>
      <c r="I324" t="b">
        <f>+ISNUMBER(SEARCH('F-COMPRA'!$F$28,Tabla11[[#This Row],[Cuenta]],1))</f>
        <v>1</v>
      </c>
      <c r="J324" t="b">
        <f>+ISNUMBER(SEARCH('F-COMPRA'!$F$29,Tabla11[[#This Row],[Cuenta]],1))</f>
        <v>1</v>
      </c>
      <c r="K324" t="b">
        <f>+ISNUMBER(SEARCH('F-COMPRA'!$F$30,Tabla11[[#This Row],[Cuenta]],1))</f>
        <v>1</v>
      </c>
      <c r="L324" t="b">
        <f>+ISNUMBER(SEARCH('F-COMPRA'!$F$31,Tabla11[[#This Row],[Cuenta]],1))</f>
        <v>1</v>
      </c>
      <c r="M324" t="b">
        <f>+ISNUMBER(SEARCH('F-COMPRA'!$G$25,Tabla11[[#This Row],[Cuenta]],1))</f>
        <v>0</v>
      </c>
      <c r="N324" t="b">
        <f>+ISNUMBER(SEARCH(#REF!,Tabla11[[#This Row],[Cuenta]],1))</f>
        <v>0</v>
      </c>
      <c r="O324" t="b">
        <f>+ISNUMBER(SEARCH(#REF!,Tabla11[[#This Row],[Cuenta]],1))</f>
        <v>0</v>
      </c>
      <c r="P324" t="b">
        <f>+ISNUMBER(SEARCH('F-COMPRA'!$F$32,Tabla11[[#This Row],[Cuenta]],1))</f>
        <v>1</v>
      </c>
      <c r="Q324" t="b">
        <f>+ISNUMBER(SEARCH('F-COMPRA'!$F$33,Tabla11[[#This Row],[Cuenta]],1))</f>
        <v>1</v>
      </c>
      <c r="R324" t="b">
        <f>+ISNUMBER(SEARCH('F-COMPRA'!$F$34,Tabla11[[#This Row],[Cuenta]],1))</f>
        <v>1</v>
      </c>
      <c r="S324" t="b">
        <f>+ISNUMBER(SEARCH('F-COMPRA'!$F$35,Tabla11[[#This Row],[Cuenta]],1))</f>
        <v>1</v>
      </c>
      <c r="T324" t="b">
        <f>+ISNUMBER(SEARCH('F-COMPRA'!$F$36,Tabla11[[#This Row],[Cuenta]],1))</f>
        <v>1</v>
      </c>
      <c r="U324" t="b">
        <f>+ISNUMBER(SEARCH('F-COMPRA'!$F$37,Tabla11[[#This Row],[Cuenta]],1))</f>
        <v>1</v>
      </c>
      <c r="V324" t="b">
        <f>+ISNUMBER(SEARCH(#REF!,Tabla11[[#This Row],[Cuenta]],1))</f>
        <v>0</v>
      </c>
      <c r="W324" t="b">
        <f>+ISNUMBER(SEARCH('F-COMPRA'!#REF!,Tabla11[[#This Row],[Cuenta]],1))</f>
        <v>0</v>
      </c>
      <c r="X324" t="b">
        <f>+ISNUMBER(SEARCH('F-COMPRA'!#REF!,Tabla11[[#This Row],[Cuenta]],1))</f>
        <v>0</v>
      </c>
      <c r="Y324" t="b">
        <f>+ISNUMBER(SEARCH('F-COMPRA'!#REF!,Tabla11[[#This Row],[Cuenta]],1))</f>
        <v>0</v>
      </c>
      <c r="Z324" t="b">
        <f>+ISNUMBER(SEARCH('F-COMPRA'!#REF!,Tabla11[[#This Row],[Cuenta]],1))</f>
        <v>0</v>
      </c>
      <c r="AA324" t="b">
        <f>+ISNUMBER(SEARCH('F-COMPRA'!#REF!,Tabla11[[#This Row],[Cuenta]],1))</f>
        <v>0</v>
      </c>
      <c r="AB324" t="b">
        <f>+ISNUMBER(SEARCH('F-COMPRA'!#REF!,Tabla11[[#This Row],[Cuenta]],1))</f>
        <v>0</v>
      </c>
      <c r="AC324" t="b">
        <f>+ISNUMBER(SEARCH('F-COMPRA'!#REF!,Tabla11[[#This Row],[Cuenta]],1))</f>
        <v>0</v>
      </c>
      <c r="AD324" t="b">
        <f>+ISNUMBER(SEARCH('F-COMPRA'!#REF!,Tabla11[[#This Row],[Cuenta]],1))</f>
        <v>0</v>
      </c>
      <c r="AE324" t="b">
        <f>+ISNUMBER(SEARCH('F-COMPRA'!#REF!,Tabla11[[#This Row],[Cuenta]],1))</f>
        <v>0</v>
      </c>
      <c r="AF324" t="b">
        <f>+ISNUMBER(SEARCH('F-VTA'!$G$23,Tabla11[[#This Row],[Cuenta]],1))</f>
        <v>0</v>
      </c>
      <c r="AG324" t="b">
        <f>+ISNUMBER(SEARCH('F-VTA'!$G$24,Tabla11[[#This Row],[Cuenta]],1))</f>
        <v>0</v>
      </c>
      <c r="AH324" t="b">
        <f>+ISNUMBER(SEARCH('F-VTA'!$G$25,Tabla11[[#This Row],[Cuenta]],1))</f>
        <v>0</v>
      </c>
      <c r="AI324" t="b">
        <f>+ISNUMBER(SEARCH('F-VTA'!$F$28,Tabla11[[#This Row],[Cuenta]],1))</f>
        <v>1</v>
      </c>
      <c r="AJ324" t="b">
        <f>+ISNUMBER(SEARCH('F-VTA'!$F$29,Tabla11[[#This Row],[Cuenta]],1))</f>
        <v>1</v>
      </c>
      <c r="AK324" t="b">
        <f>+ISNUMBER(SEARCH('F-VTA'!$F$30,Tabla11[[#This Row],[Cuenta]],1))</f>
        <v>1</v>
      </c>
      <c r="AL324" t="b">
        <f>+ISNUMBER(SEARCH('F-VTA'!$F$31,Tabla11[[#This Row],[Cuenta]],1))</f>
        <v>1</v>
      </c>
      <c r="AM324" t="b">
        <f>+ISNUMBER(SEARCH('F-VTA'!$F$32,Tabla11[[#This Row],[Cuenta]],1))</f>
        <v>1</v>
      </c>
      <c r="AN324" t="b">
        <f>+ISNUMBER(SEARCH('F-VTA'!$F$33,Tabla11[[#This Row],[Cuenta]],1))</f>
        <v>1</v>
      </c>
      <c r="AO324" t="b">
        <f>+ISNUMBER(SEARCH('F-VTA'!$F$34,Tabla11[[#This Row],[Cuenta]],1))</f>
        <v>1</v>
      </c>
      <c r="AP324" t="b">
        <f>+ISNUMBER(SEARCH('F-VTA'!$F$35,Tabla11[[#This Row],[Cuenta]],1))</f>
        <v>1</v>
      </c>
      <c r="AQ324" t="b">
        <f>+ISNUMBER(SEARCH('F-VTA'!$F$36,Tabla11[[#This Row],[Cuenta]],1))</f>
        <v>1</v>
      </c>
      <c r="AR324" t="b">
        <f>+ISNUMBER(SEARCH(#REF!,Tabla11[[#This Row],[Cuenta]],1))</f>
        <v>0</v>
      </c>
      <c r="AS324" t="b">
        <f>+ISNUMBER(SEARCH(#REF!,Tabla11[[#This Row],[Cuenta]],1))</f>
        <v>0</v>
      </c>
      <c r="AT324" t="b">
        <f>+ISNUMBER(SEARCH(#REF!,Tabla11[[#This Row],[Cuenta]],1))</f>
        <v>0</v>
      </c>
      <c r="AU324" t="b">
        <f>+ISNUMBER(SEARCH('Conc. Ban.1'!$I$9,Tabla11[[#This Row],[Cuenta]],1))</f>
        <v>0</v>
      </c>
      <c r="AV324" t="b">
        <f>+ISNUMBER(SEARCH(CompConta!$F$21,Tabla11[[#This Row],[Cuenta]],1))</f>
        <v>1</v>
      </c>
      <c r="AW324" t="b">
        <f>+ISNUMBER(SEARCH(CompConta!$F$22,Tabla11[[#This Row],[Cuenta]],1))</f>
        <v>1</v>
      </c>
      <c r="AX324" t="b">
        <f>+ISNUMBER(SEARCH(CompConta!$F$23,Tabla11[[#This Row],[Cuenta]],1))</f>
        <v>1</v>
      </c>
      <c r="AY324" t="b">
        <f>+ISNUMBER(SEARCH(CompConta!$F$24,Tabla11[[#This Row],[Cuenta]],1))</f>
        <v>1</v>
      </c>
      <c r="AZ324" t="b">
        <f>+ISNUMBER(SEARCH(CompConta!$F$25,Tabla11[[#This Row],[Cuenta]],1))</f>
        <v>1</v>
      </c>
      <c r="BA324" t="b">
        <f>+ISNUMBER(SEARCH(CompConta!$F$26,Tabla11[[#This Row],[Cuenta]],1))</f>
        <v>1</v>
      </c>
      <c r="BB324" t="b">
        <f>+ISNUMBER(SEARCH(CompConta!$F$27,Tabla11[[#This Row],[Cuenta]],1))</f>
        <v>1</v>
      </c>
      <c r="BC324" t="b">
        <f>+ISNUMBER(SEARCH(CompConta!$F$28,Tabla11[[#This Row],[Cuenta]],1))</f>
        <v>1</v>
      </c>
      <c r="BD324" t="b">
        <f>+ISNUMBER(SEARCH(CompConta!$F$29,Tabla11[[#This Row],[Cuenta]],1))</f>
        <v>1</v>
      </c>
      <c r="BE324" t="b">
        <f>+ISNUMBER(SEARCH(CompConta!$F$30,Tabla11[[#This Row],[Cuenta]],1))</f>
        <v>1</v>
      </c>
      <c r="BF324" t="b">
        <f>+ISNUMBER(SEARCH('PAGO Compras'!$E$11,Tabla11[[#This Row],[Cuenta]],1))</f>
        <v>1</v>
      </c>
      <c r="BG324" t="b">
        <f>+ISNUMBER(SEARCH(#REF!,Tabla11[[#This Row],[Cuenta]],1))</f>
        <v>0</v>
      </c>
      <c r="BH324" t="b">
        <f>+ISNUMBER(SEARCH(#REF!,Tabla11[[#This Row],[Cuenta]],1))</f>
        <v>0</v>
      </c>
      <c r="BI324" t="b">
        <f>+ISNUMBER(SEARCH(#REF!,Tabla11[[#This Row],[Cuenta]],1))</f>
        <v>0</v>
      </c>
      <c r="BJ324" t="b">
        <f>+ISNUMBER(SEARCH(#REF!,Tabla11[[#This Row],[Cuenta]],1))</f>
        <v>0</v>
      </c>
      <c r="BS324" t="str">
        <v>170535 Mantenimiento de equipo</v>
      </c>
      <c r="BT324" t="str">
        <v>170535 Mantenimiento de equipo</v>
      </c>
      <c r="BU324" t="str">
        <v>170535 Mantenimiento de equipo</v>
      </c>
      <c r="BV324" t="str">
        <v>170535 Mantenimiento de equipo</v>
      </c>
      <c r="BZ324" t="str">
        <v>170535 Mantenimiento de equipo</v>
      </c>
      <c r="CA324" t="str">
        <v>170535 Mantenimiento de equipo</v>
      </c>
      <c r="CB324" t="str">
        <v>170535 Mantenimiento de equipo</v>
      </c>
      <c r="CC324" t="str">
        <v>170535 Mantenimiento de equipo</v>
      </c>
      <c r="CD324" t="str">
        <v>170535 Mantenimiento de equipo</v>
      </c>
      <c r="CE324" t="str">
        <v>170535 Mantenimiento de equipo</v>
      </c>
      <c r="CS324" s="141" t="str">
        <v>170535 Mantenimiento de equipo</v>
      </c>
      <c r="CT324" s="141" t="str">
        <v>170535 Mantenimiento de equipo</v>
      </c>
      <c r="CU324" s="141" t="str">
        <v>170535 Mantenimiento de equipo</v>
      </c>
      <c r="CV324" s="141" t="str">
        <v>170535 Mantenimiento de equipo</v>
      </c>
      <c r="CW324" s="141" t="str">
        <v>170535 Mantenimiento de equipo</v>
      </c>
      <c r="CX324" s="141" t="str">
        <v>170535 Mantenimiento de equipo</v>
      </c>
      <c r="CY324" s="141" t="str">
        <v>170535 Mantenimiento de equipo</v>
      </c>
      <c r="CZ324" s="141" t="str">
        <v>170535 Mantenimiento de equipo</v>
      </c>
      <c r="DA324" s="141" t="str">
        <v>170535 Mantenimiento de equipo</v>
      </c>
      <c r="DF324" t="str">
        <v>170535 Mantenimiento de equipo</v>
      </c>
      <c r="DG324" t="str">
        <v>170535 Mantenimiento de equipo</v>
      </c>
      <c r="DH324" t="str">
        <v>170535 Mantenimiento de equipo</v>
      </c>
      <c r="DI324" t="str">
        <v>170535 Mantenimiento de equipo</v>
      </c>
      <c r="DJ324" t="str">
        <v>170535 Mantenimiento de equipo</v>
      </c>
      <c r="DK324" t="str">
        <v>170535 Mantenimiento de equipo</v>
      </c>
      <c r="DL324" t="str">
        <v>170535 Mantenimiento de equipo</v>
      </c>
      <c r="DM324" t="str">
        <v>170535 Mantenimiento de equipo</v>
      </c>
      <c r="DN324" t="str">
        <v>170535 Mantenimiento de equipo</v>
      </c>
      <c r="DO324" t="str">
        <v>170535 Mantenimiento de equipo</v>
      </c>
      <c r="DP324" t="str">
        <v>170535 Mantenimiento de equipo</v>
      </c>
    </row>
    <row r="325" spans="4:120" ht="12.75">
      <c r="D325" s="7">
        <v>170540</v>
      </c>
      <c r="E325" s="6" t="s">
        <v>76</v>
      </c>
      <c r="F325" s="5">
        <v>4</v>
      </c>
      <c r="G325" s="34" t="s">
        <v>822</v>
      </c>
      <c r="H325" s="8" t="s">
        <v>32</v>
      </c>
      <c r="I325" t="b">
        <f>+ISNUMBER(SEARCH('F-COMPRA'!$F$28,Tabla11[[#This Row],[Cuenta]],1))</f>
        <v>1</v>
      </c>
      <c r="J325" t="b">
        <f>+ISNUMBER(SEARCH('F-COMPRA'!$F$29,Tabla11[[#This Row],[Cuenta]],1))</f>
        <v>1</v>
      </c>
      <c r="K325" t="b">
        <f>+ISNUMBER(SEARCH('F-COMPRA'!$F$30,Tabla11[[#This Row],[Cuenta]],1))</f>
        <v>1</v>
      </c>
      <c r="L325" t="b">
        <f>+ISNUMBER(SEARCH('F-COMPRA'!$F$31,Tabla11[[#This Row],[Cuenta]],1))</f>
        <v>1</v>
      </c>
      <c r="M325" t="b">
        <f>+ISNUMBER(SEARCH('F-COMPRA'!$G$25,Tabla11[[#This Row],[Cuenta]],1))</f>
        <v>0</v>
      </c>
      <c r="N325" t="b">
        <f>+ISNUMBER(SEARCH(#REF!,Tabla11[[#This Row],[Cuenta]],1))</f>
        <v>0</v>
      </c>
      <c r="O325" t="b">
        <f>+ISNUMBER(SEARCH(#REF!,Tabla11[[#This Row],[Cuenta]],1))</f>
        <v>0</v>
      </c>
      <c r="P325" t="b">
        <f>+ISNUMBER(SEARCH('F-COMPRA'!$F$32,Tabla11[[#This Row],[Cuenta]],1))</f>
        <v>1</v>
      </c>
      <c r="Q325" t="b">
        <f>+ISNUMBER(SEARCH('F-COMPRA'!$F$33,Tabla11[[#This Row],[Cuenta]],1))</f>
        <v>1</v>
      </c>
      <c r="R325" t="b">
        <f>+ISNUMBER(SEARCH('F-COMPRA'!$F$34,Tabla11[[#This Row],[Cuenta]],1))</f>
        <v>1</v>
      </c>
      <c r="S325" t="b">
        <f>+ISNUMBER(SEARCH('F-COMPRA'!$F$35,Tabla11[[#This Row],[Cuenta]],1))</f>
        <v>1</v>
      </c>
      <c r="T325" t="b">
        <f>+ISNUMBER(SEARCH('F-COMPRA'!$F$36,Tabla11[[#This Row],[Cuenta]],1))</f>
        <v>1</v>
      </c>
      <c r="U325" t="b">
        <f>+ISNUMBER(SEARCH('F-COMPRA'!$F$37,Tabla11[[#This Row],[Cuenta]],1))</f>
        <v>1</v>
      </c>
      <c r="V325" t="b">
        <f>+ISNUMBER(SEARCH(#REF!,Tabla11[[#This Row],[Cuenta]],1))</f>
        <v>0</v>
      </c>
      <c r="W325" t="b">
        <f>+ISNUMBER(SEARCH('F-COMPRA'!#REF!,Tabla11[[#This Row],[Cuenta]],1))</f>
        <v>0</v>
      </c>
      <c r="X325" t="b">
        <f>+ISNUMBER(SEARCH('F-COMPRA'!#REF!,Tabla11[[#This Row],[Cuenta]],1))</f>
        <v>0</v>
      </c>
      <c r="Y325" t="b">
        <f>+ISNUMBER(SEARCH('F-COMPRA'!#REF!,Tabla11[[#This Row],[Cuenta]],1))</f>
        <v>0</v>
      </c>
      <c r="Z325" t="b">
        <f>+ISNUMBER(SEARCH('F-COMPRA'!#REF!,Tabla11[[#This Row],[Cuenta]],1))</f>
        <v>0</v>
      </c>
      <c r="AA325" t="b">
        <f>+ISNUMBER(SEARCH('F-COMPRA'!#REF!,Tabla11[[#This Row],[Cuenta]],1))</f>
        <v>0</v>
      </c>
      <c r="AB325" t="b">
        <f>+ISNUMBER(SEARCH('F-COMPRA'!#REF!,Tabla11[[#This Row],[Cuenta]],1))</f>
        <v>0</v>
      </c>
      <c r="AC325" t="b">
        <f>+ISNUMBER(SEARCH('F-COMPRA'!#REF!,Tabla11[[#This Row],[Cuenta]],1))</f>
        <v>0</v>
      </c>
      <c r="AD325" t="b">
        <f>+ISNUMBER(SEARCH('F-COMPRA'!#REF!,Tabla11[[#This Row],[Cuenta]],1))</f>
        <v>0</v>
      </c>
      <c r="AE325" t="b">
        <f>+ISNUMBER(SEARCH('F-COMPRA'!#REF!,Tabla11[[#This Row],[Cuenta]],1))</f>
        <v>0</v>
      </c>
      <c r="AF325" t="b">
        <f>+ISNUMBER(SEARCH('F-VTA'!$G$23,Tabla11[[#This Row],[Cuenta]],1))</f>
        <v>0</v>
      </c>
      <c r="AG325" t="b">
        <f>+ISNUMBER(SEARCH('F-VTA'!$G$24,Tabla11[[#This Row],[Cuenta]],1))</f>
        <v>0</v>
      </c>
      <c r="AH325" t="b">
        <f>+ISNUMBER(SEARCH('F-VTA'!$G$25,Tabla11[[#This Row],[Cuenta]],1))</f>
        <v>0</v>
      </c>
      <c r="AI325" t="b">
        <f>+ISNUMBER(SEARCH('F-VTA'!$F$28,Tabla11[[#This Row],[Cuenta]],1))</f>
        <v>1</v>
      </c>
      <c r="AJ325" t="b">
        <f>+ISNUMBER(SEARCH('F-VTA'!$F$29,Tabla11[[#This Row],[Cuenta]],1))</f>
        <v>1</v>
      </c>
      <c r="AK325" t="b">
        <f>+ISNUMBER(SEARCH('F-VTA'!$F$30,Tabla11[[#This Row],[Cuenta]],1))</f>
        <v>1</v>
      </c>
      <c r="AL325" t="b">
        <f>+ISNUMBER(SEARCH('F-VTA'!$F$31,Tabla11[[#This Row],[Cuenta]],1))</f>
        <v>1</v>
      </c>
      <c r="AM325" t="b">
        <f>+ISNUMBER(SEARCH('F-VTA'!$F$32,Tabla11[[#This Row],[Cuenta]],1))</f>
        <v>1</v>
      </c>
      <c r="AN325" t="b">
        <f>+ISNUMBER(SEARCH('F-VTA'!$F$33,Tabla11[[#This Row],[Cuenta]],1))</f>
        <v>1</v>
      </c>
      <c r="AO325" t="b">
        <f>+ISNUMBER(SEARCH('F-VTA'!$F$34,Tabla11[[#This Row],[Cuenta]],1))</f>
        <v>1</v>
      </c>
      <c r="AP325" t="b">
        <f>+ISNUMBER(SEARCH('F-VTA'!$F$35,Tabla11[[#This Row],[Cuenta]],1))</f>
        <v>1</v>
      </c>
      <c r="AQ325" t="b">
        <f>+ISNUMBER(SEARCH('F-VTA'!$F$36,Tabla11[[#This Row],[Cuenta]],1))</f>
        <v>1</v>
      </c>
      <c r="AR325" t="b">
        <f>+ISNUMBER(SEARCH(#REF!,Tabla11[[#This Row],[Cuenta]],1))</f>
        <v>0</v>
      </c>
      <c r="AS325" t="b">
        <f>+ISNUMBER(SEARCH(#REF!,Tabla11[[#This Row],[Cuenta]],1))</f>
        <v>0</v>
      </c>
      <c r="AT325" t="b">
        <f>+ISNUMBER(SEARCH(#REF!,Tabla11[[#This Row],[Cuenta]],1))</f>
        <v>0</v>
      </c>
      <c r="AU325" t="b">
        <f>+ISNUMBER(SEARCH('Conc. Ban.1'!$I$9,Tabla11[[#This Row],[Cuenta]],1))</f>
        <v>0</v>
      </c>
      <c r="AV325" t="b">
        <f>+ISNUMBER(SEARCH(CompConta!$F$21,Tabla11[[#This Row],[Cuenta]],1))</f>
        <v>1</v>
      </c>
      <c r="AW325" t="b">
        <f>+ISNUMBER(SEARCH(CompConta!$F$22,Tabla11[[#This Row],[Cuenta]],1))</f>
        <v>1</v>
      </c>
      <c r="AX325" t="b">
        <f>+ISNUMBER(SEARCH(CompConta!$F$23,Tabla11[[#This Row],[Cuenta]],1))</f>
        <v>1</v>
      </c>
      <c r="AY325" t="b">
        <f>+ISNUMBER(SEARCH(CompConta!$F$24,Tabla11[[#This Row],[Cuenta]],1))</f>
        <v>1</v>
      </c>
      <c r="AZ325" t="b">
        <f>+ISNUMBER(SEARCH(CompConta!$F$25,Tabla11[[#This Row],[Cuenta]],1))</f>
        <v>1</v>
      </c>
      <c r="BA325" t="b">
        <f>+ISNUMBER(SEARCH(CompConta!$F$26,Tabla11[[#This Row],[Cuenta]],1))</f>
        <v>1</v>
      </c>
      <c r="BB325" t="b">
        <f>+ISNUMBER(SEARCH(CompConta!$F$27,Tabla11[[#This Row],[Cuenta]],1))</f>
        <v>1</v>
      </c>
      <c r="BC325" t="b">
        <f>+ISNUMBER(SEARCH(CompConta!$F$28,Tabla11[[#This Row],[Cuenta]],1))</f>
        <v>1</v>
      </c>
      <c r="BD325" t="b">
        <f>+ISNUMBER(SEARCH(CompConta!$F$29,Tabla11[[#This Row],[Cuenta]],1))</f>
        <v>1</v>
      </c>
      <c r="BE325" t="b">
        <f>+ISNUMBER(SEARCH(CompConta!$F$30,Tabla11[[#This Row],[Cuenta]],1))</f>
        <v>1</v>
      </c>
      <c r="BF325" t="b">
        <f>+ISNUMBER(SEARCH('PAGO Compras'!$E$11,Tabla11[[#This Row],[Cuenta]],1))</f>
        <v>1</v>
      </c>
      <c r="BG325" t="b">
        <f>+ISNUMBER(SEARCH(#REF!,Tabla11[[#This Row],[Cuenta]],1))</f>
        <v>0</v>
      </c>
      <c r="BH325" t="b">
        <f>+ISNUMBER(SEARCH(#REF!,Tabla11[[#This Row],[Cuenta]],1))</f>
        <v>0</v>
      </c>
      <c r="BI325" t="b">
        <f>+ISNUMBER(SEARCH(#REF!,Tabla11[[#This Row],[Cuenta]],1))</f>
        <v>0</v>
      </c>
      <c r="BJ325" t="b">
        <f>+ISNUMBER(SEARCH(#REF!,Tabla11[[#This Row],[Cuenta]],1))</f>
        <v>0</v>
      </c>
      <c r="BS325" t="str">
        <v>170540 Servicios</v>
      </c>
      <c r="BT325" t="str">
        <v>170540 Servicios</v>
      </c>
      <c r="BU325" t="str">
        <v>170540 Servicios</v>
      </c>
      <c r="BV325" t="str">
        <v>170540 Servicios</v>
      </c>
      <c r="BZ325" t="str">
        <v>170540 Servicios</v>
      </c>
      <c r="CA325" t="str">
        <v>170540 Servicios</v>
      </c>
      <c r="CB325" t="str">
        <v>170540 Servicios</v>
      </c>
      <c r="CC325" t="str">
        <v>170540 Servicios</v>
      </c>
      <c r="CD325" t="str">
        <v>170540 Servicios</v>
      </c>
      <c r="CE325" t="str">
        <v>170540 Servicios</v>
      </c>
      <c r="CS325" s="141" t="str">
        <v>170540 Servicios</v>
      </c>
      <c r="CT325" s="141" t="str">
        <v>170540 Servicios</v>
      </c>
      <c r="CU325" s="141" t="str">
        <v>170540 Servicios</v>
      </c>
      <c r="CV325" s="141" t="str">
        <v>170540 Servicios</v>
      </c>
      <c r="CW325" s="141" t="str">
        <v>170540 Servicios</v>
      </c>
      <c r="CX325" s="141" t="str">
        <v>170540 Servicios</v>
      </c>
      <c r="CY325" s="141" t="str">
        <v>170540 Servicios</v>
      </c>
      <c r="CZ325" s="141" t="str">
        <v>170540 Servicios</v>
      </c>
      <c r="DA325" s="141" t="str">
        <v>170540 Servicios</v>
      </c>
      <c r="DF325" t="str">
        <v>170540 Servicios</v>
      </c>
      <c r="DG325" t="str">
        <v>170540 Servicios</v>
      </c>
      <c r="DH325" t="str">
        <v>170540 Servicios</v>
      </c>
      <c r="DI325" t="str">
        <v>170540 Servicios</v>
      </c>
      <c r="DJ325" t="str">
        <v>170540 Servicios</v>
      </c>
      <c r="DK325" t="str">
        <v>170540 Servicios</v>
      </c>
      <c r="DL325" t="str">
        <v>170540 Servicios</v>
      </c>
      <c r="DM325" t="str">
        <v>170540 Servicios</v>
      </c>
      <c r="DN325" t="str">
        <v>170540 Servicios</v>
      </c>
      <c r="DO325" t="str">
        <v>170540 Servicios</v>
      </c>
      <c r="DP325" t="str">
        <v>170540 Servicios</v>
      </c>
    </row>
    <row r="326" spans="4:120" ht="12.75">
      <c r="D326" s="7">
        <v>170545</v>
      </c>
      <c r="E326" s="6" t="s">
        <v>262</v>
      </c>
      <c r="F326" s="5">
        <v>4</v>
      </c>
      <c r="G326" s="34" t="s">
        <v>822</v>
      </c>
      <c r="H326" s="8" t="s">
        <v>32</v>
      </c>
      <c r="I326" t="b">
        <f>+ISNUMBER(SEARCH('F-COMPRA'!$F$28,Tabla11[[#This Row],[Cuenta]],1))</f>
        <v>1</v>
      </c>
      <c r="J326" t="b">
        <f>+ISNUMBER(SEARCH('F-COMPRA'!$F$29,Tabla11[[#This Row],[Cuenta]],1))</f>
        <v>1</v>
      </c>
      <c r="K326" t="b">
        <f>+ISNUMBER(SEARCH('F-COMPRA'!$F$30,Tabla11[[#This Row],[Cuenta]],1))</f>
        <v>1</v>
      </c>
      <c r="L326" t="b">
        <f>+ISNUMBER(SEARCH('F-COMPRA'!$F$31,Tabla11[[#This Row],[Cuenta]],1))</f>
        <v>1</v>
      </c>
      <c r="M326" t="b">
        <f>+ISNUMBER(SEARCH('F-COMPRA'!$G$25,Tabla11[[#This Row],[Cuenta]],1))</f>
        <v>0</v>
      </c>
      <c r="N326" t="b">
        <f>+ISNUMBER(SEARCH(#REF!,Tabla11[[#This Row],[Cuenta]],1))</f>
        <v>0</v>
      </c>
      <c r="O326" t="b">
        <f>+ISNUMBER(SEARCH(#REF!,Tabla11[[#This Row],[Cuenta]],1))</f>
        <v>0</v>
      </c>
      <c r="P326" t="b">
        <f>+ISNUMBER(SEARCH('F-COMPRA'!$F$32,Tabla11[[#This Row],[Cuenta]],1))</f>
        <v>1</v>
      </c>
      <c r="Q326" t="b">
        <f>+ISNUMBER(SEARCH('F-COMPRA'!$F$33,Tabla11[[#This Row],[Cuenta]],1))</f>
        <v>1</v>
      </c>
      <c r="R326" t="b">
        <f>+ISNUMBER(SEARCH('F-COMPRA'!$F$34,Tabla11[[#This Row],[Cuenta]],1))</f>
        <v>1</v>
      </c>
      <c r="S326" t="b">
        <f>+ISNUMBER(SEARCH('F-COMPRA'!$F$35,Tabla11[[#This Row],[Cuenta]],1))</f>
        <v>1</v>
      </c>
      <c r="T326" t="b">
        <f>+ISNUMBER(SEARCH('F-COMPRA'!$F$36,Tabla11[[#This Row],[Cuenta]],1))</f>
        <v>1</v>
      </c>
      <c r="U326" t="b">
        <f>+ISNUMBER(SEARCH('F-COMPRA'!$F$37,Tabla11[[#This Row],[Cuenta]],1))</f>
        <v>1</v>
      </c>
      <c r="V326" t="b">
        <f>+ISNUMBER(SEARCH(#REF!,Tabla11[[#This Row],[Cuenta]],1))</f>
        <v>0</v>
      </c>
      <c r="W326" t="b">
        <f>+ISNUMBER(SEARCH('F-COMPRA'!#REF!,Tabla11[[#This Row],[Cuenta]],1))</f>
        <v>0</v>
      </c>
      <c r="X326" t="b">
        <f>+ISNUMBER(SEARCH('F-COMPRA'!#REF!,Tabla11[[#This Row],[Cuenta]],1))</f>
        <v>0</v>
      </c>
      <c r="Y326" t="b">
        <f>+ISNUMBER(SEARCH('F-COMPRA'!#REF!,Tabla11[[#This Row],[Cuenta]],1))</f>
        <v>0</v>
      </c>
      <c r="Z326" t="b">
        <f>+ISNUMBER(SEARCH('F-COMPRA'!#REF!,Tabla11[[#This Row],[Cuenta]],1))</f>
        <v>0</v>
      </c>
      <c r="AA326" t="b">
        <f>+ISNUMBER(SEARCH('F-COMPRA'!#REF!,Tabla11[[#This Row],[Cuenta]],1))</f>
        <v>0</v>
      </c>
      <c r="AB326" t="b">
        <f>+ISNUMBER(SEARCH('F-COMPRA'!#REF!,Tabla11[[#This Row],[Cuenta]],1))</f>
        <v>0</v>
      </c>
      <c r="AC326" t="b">
        <f>+ISNUMBER(SEARCH('F-COMPRA'!#REF!,Tabla11[[#This Row],[Cuenta]],1))</f>
        <v>0</v>
      </c>
      <c r="AD326" t="b">
        <f>+ISNUMBER(SEARCH('F-COMPRA'!#REF!,Tabla11[[#This Row],[Cuenta]],1))</f>
        <v>0</v>
      </c>
      <c r="AE326" t="b">
        <f>+ISNUMBER(SEARCH('F-COMPRA'!#REF!,Tabla11[[#This Row],[Cuenta]],1))</f>
        <v>0</v>
      </c>
      <c r="AF326" t="b">
        <f>+ISNUMBER(SEARCH('F-VTA'!$G$23,Tabla11[[#This Row],[Cuenta]],1))</f>
        <v>0</v>
      </c>
      <c r="AG326" t="b">
        <f>+ISNUMBER(SEARCH('F-VTA'!$G$24,Tabla11[[#This Row],[Cuenta]],1))</f>
        <v>0</v>
      </c>
      <c r="AH326" t="b">
        <f>+ISNUMBER(SEARCH('F-VTA'!$G$25,Tabla11[[#This Row],[Cuenta]],1))</f>
        <v>0</v>
      </c>
      <c r="AI326" t="b">
        <f>+ISNUMBER(SEARCH('F-VTA'!$F$28,Tabla11[[#This Row],[Cuenta]],1))</f>
        <v>1</v>
      </c>
      <c r="AJ326" t="b">
        <f>+ISNUMBER(SEARCH('F-VTA'!$F$29,Tabla11[[#This Row],[Cuenta]],1))</f>
        <v>1</v>
      </c>
      <c r="AK326" t="b">
        <f>+ISNUMBER(SEARCH('F-VTA'!$F$30,Tabla11[[#This Row],[Cuenta]],1))</f>
        <v>1</v>
      </c>
      <c r="AL326" t="b">
        <f>+ISNUMBER(SEARCH('F-VTA'!$F$31,Tabla11[[#This Row],[Cuenta]],1))</f>
        <v>1</v>
      </c>
      <c r="AM326" t="b">
        <f>+ISNUMBER(SEARCH('F-VTA'!$F$32,Tabla11[[#This Row],[Cuenta]],1))</f>
        <v>1</v>
      </c>
      <c r="AN326" t="b">
        <f>+ISNUMBER(SEARCH('F-VTA'!$F$33,Tabla11[[#This Row],[Cuenta]],1))</f>
        <v>1</v>
      </c>
      <c r="AO326" t="b">
        <f>+ISNUMBER(SEARCH('F-VTA'!$F$34,Tabla11[[#This Row],[Cuenta]],1))</f>
        <v>1</v>
      </c>
      <c r="AP326" t="b">
        <f>+ISNUMBER(SEARCH('F-VTA'!$F$35,Tabla11[[#This Row],[Cuenta]],1))</f>
        <v>1</v>
      </c>
      <c r="AQ326" t="b">
        <f>+ISNUMBER(SEARCH('F-VTA'!$F$36,Tabla11[[#This Row],[Cuenta]],1))</f>
        <v>1</v>
      </c>
      <c r="AR326" t="b">
        <f>+ISNUMBER(SEARCH(#REF!,Tabla11[[#This Row],[Cuenta]],1))</f>
        <v>0</v>
      </c>
      <c r="AS326" t="b">
        <f>+ISNUMBER(SEARCH(#REF!,Tabla11[[#This Row],[Cuenta]],1))</f>
        <v>0</v>
      </c>
      <c r="AT326" t="b">
        <f>+ISNUMBER(SEARCH(#REF!,Tabla11[[#This Row],[Cuenta]],1))</f>
        <v>0</v>
      </c>
      <c r="AU326" t="b">
        <f>+ISNUMBER(SEARCH('Conc. Ban.1'!$I$9,Tabla11[[#This Row],[Cuenta]],1))</f>
        <v>0</v>
      </c>
      <c r="AV326" t="b">
        <f>+ISNUMBER(SEARCH(CompConta!$F$21,Tabla11[[#This Row],[Cuenta]],1))</f>
        <v>1</v>
      </c>
      <c r="AW326" t="b">
        <f>+ISNUMBER(SEARCH(CompConta!$F$22,Tabla11[[#This Row],[Cuenta]],1))</f>
        <v>1</v>
      </c>
      <c r="AX326" t="b">
        <f>+ISNUMBER(SEARCH(CompConta!$F$23,Tabla11[[#This Row],[Cuenta]],1))</f>
        <v>1</v>
      </c>
      <c r="AY326" t="b">
        <f>+ISNUMBER(SEARCH(CompConta!$F$24,Tabla11[[#This Row],[Cuenta]],1))</f>
        <v>1</v>
      </c>
      <c r="AZ326" t="b">
        <f>+ISNUMBER(SEARCH(CompConta!$F$25,Tabla11[[#This Row],[Cuenta]],1))</f>
        <v>1</v>
      </c>
      <c r="BA326" t="b">
        <f>+ISNUMBER(SEARCH(CompConta!$F$26,Tabla11[[#This Row],[Cuenta]],1))</f>
        <v>1</v>
      </c>
      <c r="BB326" t="b">
        <f>+ISNUMBER(SEARCH(CompConta!$F$27,Tabla11[[#This Row],[Cuenta]],1))</f>
        <v>1</v>
      </c>
      <c r="BC326" t="b">
        <f>+ISNUMBER(SEARCH(CompConta!$F$28,Tabla11[[#This Row],[Cuenta]],1))</f>
        <v>1</v>
      </c>
      <c r="BD326" t="b">
        <f>+ISNUMBER(SEARCH(CompConta!$F$29,Tabla11[[#This Row],[Cuenta]],1))</f>
        <v>1</v>
      </c>
      <c r="BE326" t="b">
        <f>+ISNUMBER(SEARCH(CompConta!$F$30,Tabla11[[#This Row],[Cuenta]],1))</f>
        <v>1</v>
      </c>
      <c r="BF326" t="b">
        <f>+ISNUMBER(SEARCH('PAGO Compras'!$E$11,Tabla11[[#This Row],[Cuenta]],1))</f>
        <v>1</v>
      </c>
      <c r="BG326" t="b">
        <f>+ISNUMBER(SEARCH(#REF!,Tabla11[[#This Row],[Cuenta]],1))</f>
        <v>0</v>
      </c>
      <c r="BH326" t="b">
        <f>+ISNUMBER(SEARCH(#REF!,Tabla11[[#This Row],[Cuenta]],1))</f>
        <v>0</v>
      </c>
      <c r="BI326" t="b">
        <f>+ISNUMBER(SEARCH(#REF!,Tabla11[[#This Row],[Cuenta]],1))</f>
        <v>0</v>
      </c>
      <c r="BJ326" t="b">
        <f>+ISNUMBER(SEARCH(#REF!,Tabla11[[#This Row],[Cuenta]],1))</f>
        <v>0</v>
      </c>
      <c r="BS326" t="str">
        <v>170545 Suscripciones</v>
      </c>
      <c r="BT326" t="str">
        <v>170545 Suscripciones</v>
      </c>
      <c r="BU326" t="str">
        <v>170545 Suscripciones</v>
      </c>
      <c r="BV326" t="str">
        <v>170545 Suscripciones</v>
      </c>
      <c r="BZ326" t="str">
        <v>170545 Suscripciones</v>
      </c>
      <c r="CA326" t="str">
        <v>170545 Suscripciones</v>
      </c>
      <c r="CB326" t="str">
        <v>170545 Suscripciones</v>
      </c>
      <c r="CC326" t="str">
        <v>170545 Suscripciones</v>
      </c>
      <c r="CD326" t="str">
        <v>170545 Suscripciones</v>
      </c>
      <c r="CE326" t="str">
        <v>170545 Suscripciones</v>
      </c>
      <c r="CS326" s="141" t="str">
        <v>170545 Suscripciones</v>
      </c>
      <c r="CT326" s="141" t="str">
        <v>170545 Suscripciones</v>
      </c>
      <c r="CU326" s="141" t="str">
        <v>170545 Suscripciones</v>
      </c>
      <c r="CV326" s="141" t="str">
        <v>170545 Suscripciones</v>
      </c>
      <c r="CW326" s="141" t="str">
        <v>170545 Suscripciones</v>
      </c>
      <c r="CX326" s="141" t="str">
        <v>170545 Suscripciones</v>
      </c>
      <c r="CY326" s="141" t="str">
        <v>170545 Suscripciones</v>
      </c>
      <c r="CZ326" s="141" t="str">
        <v>170545 Suscripciones</v>
      </c>
      <c r="DA326" s="141" t="str">
        <v>170545 Suscripciones</v>
      </c>
      <c r="DF326" t="str">
        <v>170545 Suscripciones</v>
      </c>
      <c r="DG326" t="str">
        <v>170545 Suscripciones</v>
      </c>
      <c r="DH326" t="str">
        <v>170545 Suscripciones</v>
      </c>
      <c r="DI326" t="str">
        <v>170545 Suscripciones</v>
      </c>
      <c r="DJ326" t="str">
        <v>170545 Suscripciones</v>
      </c>
      <c r="DK326" t="str">
        <v>170545 Suscripciones</v>
      </c>
      <c r="DL326" t="str">
        <v>170545 Suscripciones</v>
      </c>
      <c r="DM326" t="str">
        <v>170545 Suscripciones</v>
      </c>
      <c r="DN326" t="str">
        <v>170545 Suscripciones</v>
      </c>
      <c r="DO326" t="str">
        <v>170545 Suscripciones</v>
      </c>
      <c r="DP326" t="str">
        <v>170545 Suscripciones</v>
      </c>
    </row>
    <row r="327" spans="4:120" ht="12.75">
      <c r="D327" s="7">
        <v>170595</v>
      </c>
      <c r="E327" s="6" t="s">
        <v>45</v>
      </c>
      <c r="F327" s="5">
        <v>4</v>
      </c>
      <c r="G327" s="34" t="s">
        <v>822</v>
      </c>
      <c r="H327" s="8" t="s">
        <v>32</v>
      </c>
      <c r="I327" t="b">
        <f>+ISNUMBER(SEARCH('F-COMPRA'!$F$28,Tabla11[[#This Row],[Cuenta]],1))</f>
        <v>1</v>
      </c>
      <c r="J327" t="b">
        <f>+ISNUMBER(SEARCH('F-COMPRA'!$F$29,Tabla11[[#This Row],[Cuenta]],1))</f>
        <v>1</v>
      </c>
      <c r="K327" t="b">
        <f>+ISNUMBER(SEARCH('F-COMPRA'!$F$30,Tabla11[[#This Row],[Cuenta]],1))</f>
        <v>1</v>
      </c>
      <c r="L327" t="b">
        <f>+ISNUMBER(SEARCH('F-COMPRA'!$F$31,Tabla11[[#This Row],[Cuenta]],1))</f>
        <v>1</v>
      </c>
      <c r="M327" t="b">
        <f>+ISNUMBER(SEARCH('F-COMPRA'!$G$25,Tabla11[[#This Row],[Cuenta]],1))</f>
        <v>0</v>
      </c>
      <c r="N327" t="b">
        <f>+ISNUMBER(SEARCH(#REF!,Tabla11[[#This Row],[Cuenta]],1))</f>
        <v>0</v>
      </c>
      <c r="O327" t="b">
        <f>+ISNUMBER(SEARCH(#REF!,Tabla11[[#This Row],[Cuenta]],1))</f>
        <v>0</v>
      </c>
      <c r="P327" t="b">
        <f>+ISNUMBER(SEARCH('F-COMPRA'!$F$32,Tabla11[[#This Row],[Cuenta]],1))</f>
        <v>1</v>
      </c>
      <c r="Q327" t="b">
        <f>+ISNUMBER(SEARCH('F-COMPRA'!$F$33,Tabla11[[#This Row],[Cuenta]],1))</f>
        <v>1</v>
      </c>
      <c r="R327" t="b">
        <f>+ISNUMBER(SEARCH('F-COMPRA'!$F$34,Tabla11[[#This Row],[Cuenta]],1))</f>
        <v>1</v>
      </c>
      <c r="S327" t="b">
        <f>+ISNUMBER(SEARCH('F-COMPRA'!$F$35,Tabla11[[#This Row],[Cuenta]],1))</f>
        <v>1</v>
      </c>
      <c r="T327" t="b">
        <f>+ISNUMBER(SEARCH('F-COMPRA'!$F$36,Tabla11[[#This Row],[Cuenta]],1))</f>
        <v>1</v>
      </c>
      <c r="U327" t="b">
        <f>+ISNUMBER(SEARCH('F-COMPRA'!$F$37,Tabla11[[#This Row],[Cuenta]],1))</f>
        <v>1</v>
      </c>
      <c r="V327" t="b">
        <f>+ISNUMBER(SEARCH(#REF!,Tabla11[[#This Row],[Cuenta]],1))</f>
        <v>0</v>
      </c>
      <c r="W327" t="b">
        <f>+ISNUMBER(SEARCH('F-COMPRA'!#REF!,Tabla11[[#This Row],[Cuenta]],1))</f>
        <v>0</v>
      </c>
      <c r="X327" t="b">
        <f>+ISNUMBER(SEARCH('F-COMPRA'!#REF!,Tabla11[[#This Row],[Cuenta]],1))</f>
        <v>0</v>
      </c>
      <c r="Y327" t="b">
        <f>+ISNUMBER(SEARCH('F-COMPRA'!#REF!,Tabla11[[#This Row],[Cuenta]],1))</f>
        <v>0</v>
      </c>
      <c r="Z327" t="b">
        <f>+ISNUMBER(SEARCH('F-COMPRA'!#REF!,Tabla11[[#This Row],[Cuenta]],1))</f>
        <v>0</v>
      </c>
      <c r="AA327" t="b">
        <f>+ISNUMBER(SEARCH('F-COMPRA'!#REF!,Tabla11[[#This Row],[Cuenta]],1))</f>
        <v>0</v>
      </c>
      <c r="AB327" t="b">
        <f>+ISNUMBER(SEARCH('F-COMPRA'!#REF!,Tabla11[[#This Row],[Cuenta]],1))</f>
        <v>0</v>
      </c>
      <c r="AC327" t="b">
        <f>+ISNUMBER(SEARCH('F-COMPRA'!#REF!,Tabla11[[#This Row],[Cuenta]],1))</f>
        <v>0</v>
      </c>
      <c r="AD327" t="b">
        <f>+ISNUMBER(SEARCH('F-COMPRA'!#REF!,Tabla11[[#This Row],[Cuenta]],1))</f>
        <v>0</v>
      </c>
      <c r="AE327" t="b">
        <f>+ISNUMBER(SEARCH('F-COMPRA'!#REF!,Tabla11[[#This Row],[Cuenta]],1))</f>
        <v>0</v>
      </c>
      <c r="AF327" t="b">
        <f>+ISNUMBER(SEARCH('F-VTA'!$G$23,Tabla11[[#This Row],[Cuenta]],1))</f>
        <v>0</v>
      </c>
      <c r="AG327" t="b">
        <f>+ISNUMBER(SEARCH('F-VTA'!$G$24,Tabla11[[#This Row],[Cuenta]],1))</f>
        <v>0</v>
      </c>
      <c r="AH327" t="b">
        <f>+ISNUMBER(SEARCH('F-VTA'!$G$25,Tabla11[[#This Row],[Cuenta]],1))</f>
        <v>0</v>
      </c>
      <c r="AI327" t="b">
        <f>+ISNUMBER(SEARCH('F-VTA'!$F$28,Tabla11[[#This Row],[Cuenta]],1))</f>
        <v>1</v>
      </c>
      <c r="AJ327" t="b">
        <f>+ISNUMBER(SEARCH('F-VTA'!$F$29,Tabla11[[#This Row],[Cuenta]],1))</f>
        <v>1</v>
      </c>
      <c r="AK327" t="b">
        <f>+ISNUMBER(SEARCH('F-VTA'!$F$30,Tabla11[[#This Row],[Cuenta]],1))</f>
        <v>1</v>
      </c>
      <c r="AL327" t="b">
        <f>+ISNUMBER(SEARCH('F-VTA'!$F$31,Tabla11[[#This Row],[Cuenta]],1))</f>
        <v>1</v>
      </c>
      <c r="AM327" t="b">
        <f>+ISNUMBER(SEARCH('F-VTA'!$F$32,Tabla11[[#This Row],[Cuenta]],1))</f>
        <v>1</v>
      </c>
      <c r="AN327" t="b">
        <f>+ISNUMBER(SEARCH('F-VTA'!$F$33,Tabla11[[#This Row],[Cuenta]],1))</f>
        <v>1</v>
      </c>
      <c r="AO327" t="b">
        <f>+ISNUMBER(SEARCH('F-VTA'!$F$34,Tabla11[[#This Row],[Cuenta]],1))</f>
        <v>1</v>
      </c>
      <c r="AP327" t="b">
        <f>+ISNUMBER(SEARCH('F-VTA'!$F$35,Tabla11[[#This Row],[Cuenta]],1))</f>
        <v>1</v>
      </c>
      <c r="AQ327" t="b">
        <f>+ISNUMBER(SEARCH('F-VTA'!$F$36,Tabla11[[#This Row],[Cuenta]],1))</f>
        <v>1</v>
      </c>
      <c r="AR327" t="b">
        <f>+ISNUMBER(SEARCH(#REF!,Tabla11[[#This Row],[Cuenta]],1))</f>
        <v>0</v>
      </c>
      <c r="AS327" t="b">
        <f>+ISNUMBER(SEARCH(#REF!,Tabla11[[#This Row],[Cuenta]],1))</f>
        <v>0</v>
      </c>
      <c r="AT327" t="b">
        <f>+ISNUMBER(SEARCH(#REF!,Tabla11[[#This Row],[Cuenta]],1))</f>
        <v>0</v>
      </c>
      <c r="AU327" t="b">
        <f>+ISNUMBER(SEARCH('Conc. Ban.1'!$I$9,Tabla11[[#This Row],[Cuenta]],1))</f>
        <v>0</v>
      </c>
      <c r="AV327" t="b">
        <f>+ISNUMBER(SEARCH(CompConta!$F$21,Tabla11[[#This Row],[Cuenta]],1))</f>
        <v>1</v>
      </c>
      <c r="AW327" t="b">
        <f>+ISNUMBER(SEARCH(CompConta!$F$22,Tabla11[[#This Row],[Cuenta]],1))</f>
        <v>1</v>
      </c>
      <c r="AX327" t="b">
        <f>+ISNUMBER(SEARCH(CompConta!$F$23,Tabla11[[#This Row],[Cuenta]],1))</f>
        <v>1</v>
      </c>
      <c r="AY327" t="b">
        <f>+ISNUMBER(SEARCH(CompConta!$F$24,Tabla11[[#This Row],[Cuenta]],1))</f>
        <v>1</v>
      </c>
      <c r="AZ327" t="b">
        <f>+ISNUMBER(SEARCH(CompConta!$F$25,Tabla11[[#This Row],[Cuenta]],1))</f>
        <v>1</v>
      </c>
      <c r="BA327" t="b">
        <f>+ISNUMBER(SEARCH(CompConta!$F$26,Tabla11[[#This Row],[Cuenta]],1))</f>
        <v>1</v>
      </c>
      <c r="BB327" t="b">
        <f>+ISNUMBER(SEARCH(CompConta!$F$27,Tabla11[[#This Row],[Cuenta]],1))</f>
        <v>1</v>
      </c>
      <c r="BC327" t="b">
        <f>+ISNUMBER(SEARCH(CompConta!$F$28,Tabla11[[#This Row],[Cuenta]],1))</f>
        <v>1</v>
      </c>
      <c r="BD327" t="b">
        <f>+ISNUMBER(SEARCH(CompConta!$F$29,Tabla11[[#This Row],[Cuenta]],1))</f>
        <v>1</v>
      </c>
      <c r="BE327" t="b">
        <f>+ISNUMBER(SEARCH(CompConta!$F$30,Tabla11[[#This Row],[Cuenta]],1))</f>
        <v>1</v>
      </c>
      <c r="BF327" t="b">
        <f>+ISNUMBER(SEARCH('PAGO Compras'!$E$11,Tabla11[[#This Row],[Cuenta]],1))</f>
        <v>1</v>
      </c>
      <c r="BG327" t="b">
        <f>+ISNUMBER(SEARCH(#REF!,Tabla11[[#This Row],[Cuenta]],1))</f>
        <v>0</v>
      </c>
      <c r="BH327" t="b">
        <f>+ISNUMBER(SEARCH(#REF!,Tabla11[[#This Row],[Cuenta]],1))</f>
        <v>0</v>
      </c>
      <c r="BI327" t="b">
        <f>+ISNUMBER(SEARCH(#REF!,Tabla11[[#This Row],[Cuenta]],1))</f>
        <v>0</v>
      </c>
      <c r="BJ327" t="b">
        <f>+ISNUMBER(SEARCH(#REF!,Tabla11[[#This Row],[Cuenta]],1))</f>
        <v>0</v>
      </c>
      <c r="BS327" t="str">
        <v>170595 Otros</v>
      </c>
      <c r="BT327" t="str">
        <v>170595 Otros</v>
      </c>
      <c r="BU327" t="str">
        <v>170595 Otros</v>
      </c>
      <c r="BV327" t="str">
        <v>170595 Otros</v>
      </c>
      <c r="BZ327" t="str">
        <v>170595 Otros</v>
      </c>
      <c r="CA327" t="str">
        <v>170595 Otros</v>
      </c>
      <c r="CB327" t="str">
        <v>170595 Otros</v>
      </c>
      <c r="CC327" t="str">
        <v>170595 Otros</v>
      </c>
      <c r="CD327" t="str">
        <v>170595 Otros</v>
      </c>
      <c r="CE327" t="str">
        <v>170595 Otros</v>
      </c>
      <c r="CS327" s="141" t="str">
        <v>170595 Otros</v>
      </c>
      <c r="CT327" s="141" t="str">
        <v>170595 Otros</v>
      </c>
      <c r="CU327" s="141" t="str">
        <v>170595 Otros</v>
      </c>
      <c r="CV327" s="141" t="str">
        <v>170595 Otros</v>
      </c>
      <c r="CW327" s="141" t="str">
        <v>170595 Otros</v>
      </c>
      <c r="CX327" s="141" t="str">
        <v>170595 Otros</v>
      </c>
      <c r="CY327" s="141" t="str">
        <v>170595 Otros</v>
      </c>
      <c r="CZ327" s="141" t="str">
        <v>170595 Otros</v>
      </c>
      <c r="DA327" s="141" t="str">
        <v>170595 Otros</v>
      </c>
      <c r="DF327" t="str">
        <v>170595 Otros</v>
      </c>
      <c r="DG327" t="str">
        <v>170595 Otros</v>
      </c>
      <c r="DH327" t="str">
        <v>170595 Otros</v>
      </c>
      <c r="DI327" t="str">
        <v>170595 Otros</v>
      </c>
      <c r="DJ327" t="str">
        <v>170595 Otros</v>
      </c>
      <c r="DK327" t="str">
        <v>170595 Otros</v>
      </c>
      <c r="DL327" t="str">
        <v>170595 Otros</v>
      </c>
      <c r="DM327" t="str">
        <v>170595 Otros</v>
      </c>
      <c r="DN327" t="str">
        <v>170595 Otros</v>
      </c>
      <c r="DO327" t="str">
        <v>170595 Otros</v>
      </c>
      <c r="DP327" t="str">
        <v>170595 Otros</v>
      </c>
    </row>
    <row r="328" spans="4:120" ht="12.75">
      <c r="D328" s="7">
        <v>1710</v>
      </c>
      <c r="E328" s="6" t="s">
        <v>263</v>
      </c>
      <c r="F328" s="5">
        <v>3</v>
      </c>
      <c r="G328" s="34" t="s">
        <v>822</v>
      </c>
      <c r="H328" s="8" t="s">
        <v>32</v>
      </c>
      <c r="I328" t="b">
        <f>+ISNUMBER(SEARCH('F-COMPRA'!$F$28,Tabla11[[#This Row],[Cuenta]],1))</f>
        <v>1</v>
      </c>
      <c r="J328" t="b">
        <f>+ISNUMBER(SEARCH('F-COMPRA'!$F$29,Tabla11[[#This Row],[Cuenta]],1))</f>
        <v>1</v>
      </c>
      <c r="K328" t="b">
        <f>+ISNUMBER(SEARCH('F-COMPRA'!$F$30,Tabla11[[#This Row],[Cuenta]],1))</f>
        <v>1</v>
      </c>
      <c r="L328" t="b">
        <f>+ISNUMBER(SEARCH('F-COMPRA'!$F$31,Tabla11[[#This Row],[Cuenta]],1))</f>
        <v>1</v>
      </c>
      <c r="M328" t="b">
        <f>+ISNUMBER(SEARCH('F-COMPRA'!$G$25,Tabla11[[#This Row],[Cuenta]],1))</f>
        <v>0</v>
      </c>
      <c r="N328" t="b">
        <f>+ISNUMBER(SEARCH(#REF!,Tabla11[[#This Row],[Cuenta]],1))</f>
        <v>0</v>
      </c>
      <c r="O328" t="b">
        <f>+ISNUMBER(SEARCH(#REF!,Tabla11[[#This Row],[Cuenta]],1))</f>
        <v>0</v>
      </c>
      <c r="P328" t="b">
        <f>+ISNUMBER(SEARCH('F-COMPRA'!$F$32,Tabla11[[#This Row],[Cuenta]],1))</f>
        <v>1</v>
      </c>
      <c r="Q328" t="b">
        <f>+ISNUMBER(SEARCH('F-COMPRA'!$F$33,Tabla11[[#This Row],[Cuenta]],1))</f>
        <v>1</v>
      </c>
      <c r="R328" t="b">
        <f>+ISNUMBER(SEARCH('F-COMPRA'!$F$34,Tabla11[[#This Row],[Cuenta]],1))</f>
        <v>1</v>
      </c>
      <c r="S328" t="b">
        <f>+ISNUMBER(SEARCH('F-COMPRA'!$F$35,Tabla11[[#This Row],[Cuenta]],1))</f>
        <v>1</v>
      </c>
      <c r="T328" t="b">
        <f>+ISNUMBER(SEARCH('F-COMPRA'!$F$36,Tabla11[[#This Row],[Cuenta]],1))</f>
        <v>1</v>
      </c>
      <c r="U328" t="b">
        <f>+ISNUMBER(SEARCH('F-COMPRA'!$F$37,Tabla11[[#This Row],[Cuenta]],1))</f>
        <v>1</v>
      </c>
      <c r="V328" t="b">
        <f>+ISNUMBER(SEARCH(#REF!,Tabla11[[#This Row],[Cuenta]],1))</f>
        <v>0</v>
      </c>
      <c r="W328" t="b">
        <f>+ISNUMBER(SEARCH('F-COMPRA'!#REF!,Tabla11[[#This Row],[Cuenta]],1))</f>
        <v>0</v>
      </c>
      <c r="X328" t="b">
        <f>+ISNUMBER(SEARCH('F-COMPRA'!#REF!,Tabla11[[#This Row],[Cuenta]],1))</f>
        <v>0</v>
      </c>
      <c r="Y328" t="b">
        <f>+ISNUMBER(SEARCH('F-COMPRA'!#REF!,Tabla11[[#This Row],[Cuenta]],1))</f>
        <v>0</v>
      </c>
      <c r="Z328" t="b">
        <f>+ISNUMBER(SEARCH('F-COMPRA'!#REF!,Tabla11[[#This Row],[Cuenta]],1))</f>
        <v>0</v>
      </c>
      <c r="AA328" t="b">
        <f>+ISNUMBER(SEARCH('F-COMPRA'!#REF!,Tabla11[[#This Row],[Cuenta]],1))</f>
        <v>0</v>
      </c>
      <c r="AB328" t="b">
        <f>+ISNUMBER(SEARCH('F-COMPRA'!#REF!,Tabla11[[#This Row],[Cuenta]],1))</f>
        <v>0</v>
      </c>
      <c r="AC328" t="b">
        <f>+ISNUMBER(SEARCH('F-COMPRA'!#REF!,Tabla11[[#This Row],[Cuenta]],1))</f>
        <v>0</v>
      </c>
      <c r="AD328" t="b">
        <f>+ISNUMBER(SEARCH('F-COMPRA'!#REF!,Tabla11[[#This Row],[Cuenta]],1))</f>
        <v>0</v>
      </c>
      <c r="AE328" t="b">
        <f>+ISNUMBER(SEARCH('F-COMPRA'!#REF!,Tabla11[[#This Row],[Cuenta]],1))</f>
        <v>0</v>
      </c>
      <c r="AF328" t="b">
        <f>+ISNUMBER(SEARCH('F-VTA'!$G$23,Tabla11[[#This Row],[Cuenta]],1))</f>
        <v>0</v>
      </c>
      <c r="AG328" t="b">
        <f>+ISNUMBER(SEARCH('F-VTA'!$G$24,Tabla11[[#This Row],[Cuenta]],1))</f>
        <v>0</v>
      </c>
      <c r="AH328" t="b">
        <f>+ISNUMBER(SEARCH('F-VTA'!$G$25,Tabla11[[#This Row],[Cuenta]],1))</f>
        <v>0</v>
      </c>
      <c r="AI328" t="b">
        <f>+ISNUMBER(SEARCH('F-VTA'!$F$28,Tabla11[[#This Row],[Cuenta]],1))</f>
        <v>1</v>
      </c>
      <c r="AJ328" t="b">
        <f>+ISNUMBER(SEARCH('F-VTA'!$F$29,Tabla11[[#This Row],[Cuenta]],1))</f>
        <v>1</v>
      </c>
      <c r="AK328" t="b">
        <f>+ISNUMBER(SEARCH('F-VTA'!$F$30,Tabla11[[#This Row],[Cuenta]],1))</f>
        <v>1</v>
      </c>
      <c r="AL328" t="b">
        <f>+ISNUMBER(SEARCH('F-VTA'!$F$31,Tabla11[[#This Row],[Cuenta]],1))</f>
        <v>1</v>
      </c>
      <c r="AM328" t="b">
        <f>+ISNUMBER(SEARCH('F-VTA'!$F$32,Tabla11[[#This Row],[Cuenta]],1))</f>
        <v>1</v>
      </c>
      <c r="AN328" t="b">
        <f>+ISNUMBER(SEARCH('F-VTA'!$F$33,Tabla11[[#This Row],[Cuenta]],1))</f>
        <v>1</v>
      </c>
      <c r="AO328" t="b">
        <f>+ISNUMBER(SEARCH('F-VTA'!$F$34,Tabla11[[#This Row],[Cuenta]],1))</f>
        <v>1</v>
      </c>
      <c r="AP328" t="b">
        <f>+ISNUMBER(SEARCH('F-VTA'!$F$35,Tabla11[[#This Row],[Cuenta]],1))</f>
        <v>1</v>
      </c>
      <c r="AQ328" t="b">
        <f>+ISNUMBER(SEARCH('F-VTA'!$F$36,Tabla11[[#This Row],[Cuenta]],1))</f>
        <v>1</v>
      </c>
      <c r="AR328" t="b">
        <f>+ISNUMBER(SEARCH(#REF!,Tabla11[[#This Row],[Cuenta]],1))</f>
        <v>0</v>
      </c>
      <c r="AS328" t="b">
        <f>+ISNUMBER(SEARCH(#REF!,Tabla11[[#This Row],[Cuenta]],1))</f>
        <v>0</v>
      </c>
      <c r="AT328" t="b">
        <f>+ISNUMBER(SEARCH(#REF!,Tabla11[[#This Row],[Cuenta]],1))</f>
        <v>0</v>
      </c>
      <c r="AU328" t="b">
        <f>+ISNUMBER(SEARCH('Conc. Ban.1'!$I$9,Tabla11[[#This Row],[Cuenta]],1))</f>
        <v>0</v>
      </c>
      <c r="AV328" t="b">
        <f>+ISNUMBER(SEARCH(CompConta!$F$21,Tabla11[[#This Row],[Cuenta]],1))</f>
        <v>1</v>
      </c>
      <c r="AW328" t="b">
        <f>+ISNUMBER(SEARCH(CompConta!$F$22,Tabla11[[#This Row],[Cuenta]],1))</f>
        <v>1</v>
      </c>
      <c r="AX328" t="b">
        <f>+ISNUMBER(SEARCH(CompConta!$F$23,Tabla11[[#This Row],[Cuenta]],1))</f>
        <v>1</v>
      </c>
      <c r="AY328" t="b">
        <f>+ISNUMBER(SEARCH(CompConta!$F$24,Tabla11[[#This Row],[Cuenta]],1))</f>
        <v>1</v>
      </c>
      <c r="AZ328" t="b">
        <f>+ISNUMBER(SEARCH(CompConta!$F$25,Tabla11[[#This Row],[Cuenta]],1))</f>
        <v>1</v>
      </c>
      <c r="BA328" t="b">
        <f>+ISNUMBER(SEARCH(CompConta!$F$26,Tabla11[[#This Row],[Cuenta]],1))</f>
        <v>1</v>
      </c>
      <c r="BB328" t="b">
        <f>+ISNUMBER(SEARCH(CompConta!$F$27,Tabla11[[#This Row],[Cuenta]],1))</f>
        <v>1</v>
      </c>
      <c r="BC328" t="b">
        <f>+ISNUMBER(SEARCH(CompConta!$F$28,Tabla11[[#This Row],[Cuenta]],1))</f>
        <v>1</v>
      </c>
      <c r="BD328" t="b">
        <f>+ISNUMBER(SEARCH(CompConta!$F$29,Tabla11[[#This Row],[Cuenta]],1))</f>
        <v>1</v>
      </c>
      <c r="BE328" t="b">
        <f>+ISNUMBER(SEARCH(CompConta!$F$30,Tabla11[[#This Row],[Cuenta]],1))</f>
        <v>1</v>
      </c>
      <c r="BF328" t="b">
        <f>+ISNUMBER(SEARCH('PAGO Compras'!$E$11,Tabla11[[#This Row],[Cuenta]],1))</f>
        <v>1</v>
      </c>
      <c r="BG328" t="b">
        <f>+ISNUMBER(SEARCH(#REF!,Tabla11[[#This Row],[Cuenta]],1))</f>
        <v>0</v>
      </c>
      <c r="BH328" t="b">
        <f>+ISNUMBER(SEARCH(#REF!,Tabla11[[#This Row],[Cuenta]],1))</f>
        <v>0</v>
      </c>
      <c r="BI328" t="b">
        <f>+ISNUMBER(SEARCH(#REF!,Tabla11[[#This Row],[Cuenta]],1))</f>
        <v>0</v>
      </c>
      <c r="BJ328" t="b">
        <f>+ISNUMBER(SEARCH(#REF!,Tabla11[[#This Row],[Cuenta]],1))</f>
        <v>0</v>
      </c>
      <c r="BS328" t="str">
        <v>1710 CARGOS DIFERIDOS</v>
      </c>
      <c r="BT328" t="str">
        <v>1710 CARGOS DIFERIDOS</v>
      </c>
      <c r="BU328" t="str">
        <v>1710 CARGOS DIFERIDOS</v>
      </c>
      <c r="BV328" t="str">
        <v>1710 CARGOS DIFERIDOS</v>
      </c>
      <c r="BZ328" t="str">
        <v>1710 CARGOS DIFERIDOS</v>
      </c>
      <c r="CA328" t="str">
        <v>1710 CARGOS DIFERIDOS</v>
      </c>
      <c r="CB328" t="str">
        <v>1710 CARGOS DIFERIDOS</v>
      </c>
      <c r="CC328" t="str">
        <v>1710 CARGOS DIFERIDOS</v>
      </c>
      <c r="CD328" t="str">
        <v>1710 CARGOS DIFERIDOS</v>
      </c>
      <c r="CE328" t="str">
        <v>1710 CARGOS DIFERIDOS</v>
      </c>
      <c r="CS328" s="141" t="str">
        <v>1710 CARGOS DIFERIDOS</v>
      </c>
      <c r="CT328" s="141" t="str">
        <v>1710 CARGOS DIFERIDOS</v>
      </c>
      <c r="CU328" s="141" t="str">
        <v>1710 CARGOS DIFERIDOS</v>
      </c>
      <c r="CV328" s="141" t="str">
        <v>1710 CARGOS DIFERIDOS</v>
      </c>
      <c r="CW328" s="141" t="str">
        <v>1710 CARGOS DIFERIDOS</v>
      </c>
      <c r="CX328" s="141" t="str">
        <v>1710 CARGOS DIFERIDOS</v>
      </c>
      <c r="CY328" s="141" t="str">
        <v>1710 CARGOS DIFERIDOS</v>
      </c>
      <c r="CZ328" s="141" t="str">
        <v>1710 CARGOS DIFERIDOS</v>
      </c>
      <c r="DA328" s="141" t="str">
        <v>1710 CARGOS DIFERIDOS</v>
      </c>
      <c r="DF328" t="str">
        <v>1710 CARGOS DIFERIDOS</v>
      </c>
      <c r="DG328" t="str">
        <v>1710 CARGOS DIFERIDOS</v>
      </c>
      <c r="DH328" t="str">
        <v>1710 CARGOS DIFERIDOS</v>
      </c>
      <c r="DI328" t="str">
        <v>1710 CARGOS DIFERIDOS</v>
      </c>
      <c r="DJ328" t="str">
        <v>1710 CARGOS DIFERIDOS</v>
      </c>
      <c r="DK328" t="str">
        <v>1710 CARGOS DIFERIDOS</v>
      </c>
      <c r="DL328" t="str">
        <v>1710 CARGOS DIFERIDOS</v>
      </c>
      <c r="DM328" t="str">
        <v>1710 CARGOS DIFERIDOS</v>
      </c>
      <c r="DN328" t="str">
        <v>1710 CARGOS DIFERIDOS</v>
      </c>
      <c r="DO328" t="str">
        <v>1710 CARGOS DIFERIDOS</v>
      </c>
      <c r="DP328" t="str">
        <v>1710 CARGOS DIFERIDOS</v>
      </c>
    </row>
    <row r="329" spans="4:120" ht="12.75">
      <c r="D329" s="7">
        <v>171004</v>
      </c>
      <c r="E329" s="6" t="s">
        <v>264</v>
      </c>
      <c r="F329" s="5">
        <v>4</v>
      </c>
      <c r="G329" s="34" t="s">
        <v>822</v>
      </c>
      <c r="H329" s="8" t="s">
        <v>32</v>
      </c>
      <c r="I329" t="b">
        <f>+ISNUMBER(SEARCH('F-COMPRA'!$F$28,Tabla11[[#This Row],[Cuenta]],1))</f>
        <v>1</v>
      </c>
      <c r="J329" t="b">
        <f>+ISNUMBER(SEARCH('F-COMPRA'!$F$29,Tabla11[[#This Row],[Cuenta]],1))</f>
        <v>1</v>
      </c>
      <c r="K329" t="b">
        <f>+ISNUMBER(SEARCH('F-COMPRA'!$F$30,Tabla11[[#This Row],[Cuenta]],1))</f>
        <v>1</v>
      </c>
      <c r="L329" t="b">
        <f>+ISNUMBER(SEARCH('F-COMPRA'!$F$31,Tabla11[[#This Row],[Cuenta]],1))</f>
        <v>1</v>
      </c>
      <c r="M329" t="b">
        <f>+ISNUMBER(SEARCH('F-COMPRA'!$G$25,Tabla11[[#This Row],[Cuenta]],1))</f>
        <v>0</v>
      </c>
      <c r="N329" t="b">
        <f>+ISNUMBER(SEARCH(#REF!,Tabla11[[#This Row],[Cuenta]],1))</f>
        <v>0</v>
      </c>
      <c r="O329" t="b">
        <f>+ISNUMBER(SEARCH(#REF!,Tabla11[[#This Row],[Cuenta]],1))</f>
        <v>0</v>
      </c>
      <c r="P329" t="b">
        <f>+ISNUMBER(SEARCH('F-COMPRA'!$F$32,Tabla11[[#This Row],[Cuenta]],1))</f>
        <v>1</v>
      </c>
      <c r="Q329" t="b">
        <f>+ISNUMBER(SEARCH('F-COMPRA'!$F$33,Tabla11[[#This Row],[Cuenta]],1))</f>
        <v>1</v>
      </c>
      <c r="R329" t="b">
        <f>+ISNUMBER(SEARCH('F-COMPRA'!$F$34,Tabla11[[#This Row],[Cuenta]],1))</f>
        <v>1</v>
      </c>
      <c r="S329" t="b">
        <f>+ISNUMBER(SEARCH('F-COMPRA'!$F$35,Tabla11[[#This Row],[Cuenta]],1))</f>
        <v>1</v>
      </c>
      <c r="T329" t="b">
        <f>+ISNUMBER(SEARCH('F-COMPRA'!$F$36,Tabla11[[#This Row],[Cuenta]],1))</f>
        <v>1</v>
      </c>
      <c r="U329" t="b">
        <f>+ISNUMBER(SEARCH('F-COMPRA'!$F$37,Tabla11[[#This Row],[Cuenta]],1))</f>
        <v>1</v>
      </c>
      <c r="V329" t="b">
        <f>+ISNUMBER(SEARCH(#REF!,Tabla11[[#This Row],[Cuenta]],1))</f>
        <v>0</v>
      </c>
      <c r="W329" t="b">
        <f>+ISNUMBER(SEARCH('F-COMPRA'!#REF!,Tabla11[[#This Row],[Cuenta]],1))</f>
        <v>0</v>
      </c>
      <c r="X329" t="b">
        <f>+ISNUMBER(SEARCH('F-COMPRA'!#REF!,Tabla11[[#This Row],[Cuenta]],1))</f>
        <v>0</v>
      </c>
      <c r="Y329" t="b">
        <f>+ISNUMBER(SEARCH('F-COMPRA'!#REF!,Tabla11[[#This Row],[Cuenta]],1))</f>
        <v>0</v>
      </c>
      <c r="Z329" t="b">
        <f>+ISNUMBER(SEARCH('F-COMPRA'!#REF!,Tabla11[[#This Row],[Cuenta]],1))</f>
        <v>0</v>
      </c>
      <c r="AA329" t="b">
        <f>+ISNUMBER(SEARCH('F-COMPRA'!#REF!,Tabla11[[#This Row],[Cuenta]],1))</f>
        <v>0</v>
      </c>
      <c r="AB329" t="b">
        <f>+ISNUMBER(SEARCH('F-COMPRA'!#REF!,Tabla11[[#This Row],[Cuenta]],1))</f>
        <v>0</v>
      </c>
      <c r="AC329" t="b">
        <f>+ISNUMBER(SEARCH('F-COMPRA'!#REF!,Tabla11[[#This Row],[Cuenta]],1))</f>
        <v>0</v>
      </c>
      <c r="AD329" t="b">
        <f>+ISNUMBER(SEARCH('F-COMPRA'!#REF!,Tabla11[[#This Row],[Cuenta]],1))</f>
        <v>0</v>
      </c>
      <c r="AE329" t="b">
        <f>+ISNUMBER(SEARCH('F-COMPRA'!#REF!,Tabla11[[#This Row],[Cuenta]],1))</f>
        <v>0</v>
      </c>
      <c r="AF329" t="b">
        <f>+ISNUMBER(SEARCH('F-VTA'!$G$23,Tabla11[[#This Row],[Cuenta]],1))</f>
        <v>0</v>
      </c>
      <c r="AG329" t="b">
        <f>+ISNUMBER(SEARCH('F-VTA'!$G$24,Tabla11[[#This Row],[Cuenta]],1))</f>
        <v>0</v>
      </c>
      <c r="AH329" t="b">
        <f>+ISNUMBER(SEARCH('F-VTA'!$G$25,Tabla11[[#This Row],[Cuenta]],1))</f>
        <v>0</v>
      </c>
      <c r="AI329" t="b">
        <f>+ISNUMBER(SEARCH('F-VTA'!$F$28,Tabla11[[#This Row],[Cuenta]],1))</f>
        <v>1</v>
      </c>
      <c r="AJ329" t="b">
        <f>+ISNUMBER(SEARCH('F-VTA'!$F$29,Tabla11[[#This Row],[Cuenta]],1))</f>
        <v>1</v>
      </c>
      <c r="AK329" t="b">
        <f>+ISNUMBER(SEARCH('F-VTA'!$F$30,Tabla11[[#This Row],[Cuenta]],1))</f>
        <v>1</v>
      </c>
      <c r="AL329" t="b">
        <f>+ISNUMBER(SEARCH('F-VTA'!$F$31,Tabla11[[#This Row],[Cuenta]],1))</f>
        <v>1</v>
      </c>
      <c r="AM329" t="b">
        <f>+ISNUMBER(SEARCH('F-VTA'!$F$32,Tabla11[[#This Row],[Cuenta]],1))</f>
        <v>1</v>
      </c>
      <c r="AN329" t="b">
        <f>+ISNUMBER(SEARCH('F-VTA'!$F$33,Tabla11[[#This Row],[Cuenta]],1))</f>
        <v>1</v>
      </c>
      <c r="AO329" t="b">
        <f>+ISNUMBER(SEARCH('F-VTA'!$F$34,Tabla11[[#This Row],[Cuenta]],1))</f>
        <v>1</v>
      </c>
      <c r="AP329" t="b">
        <f>+ISNUMBER(SEARCH('F-VTA'!$F$35,Tabla11[[#This Row],[Cuenta]],1))</f>
        <v>1</v>
      </c>
      <c r="AQ329" t="b">
        <f>+ISNUMBER(SEARCH('F-VTA'!$F$36,Tabla11[[#This Row],[Cuenta]],1))</f>
        <v>1</v>
      </c>
      <c r="AR329" t="b">
        <f>+ISNUMBER(SEARCH(#REF!,Tabla11[[#This Row],[Cuenta]],1))</f>
        <v>0</v>
      </c>
      <c r="AS329" t="b">
        <f>+ISNUMBER(SEARCH(#REF!,Tabla11[[#This Row],[Cuenta]],1))</f>
        <v>0</v>
      </c>
      <c r="AT329" t="b">
        <f>+ISNUMBER(SEARCH(#REF!,Tabla11[[#This Row],[Cuenta]],1))</f>
        <v>0</v>
      </c>
      <c r="AU329" t="b">
        <f>+ISNUMBER(SEARCH('Conc. Ban.1'!$I$9,Tabla11[[#This Row],[Cuenta]],1))</f>
        <v>0</v>
      </c>
      <c r="AV329" t="b">
        <f>+ISNUMBER(SEARCH(CompConta!$F$21,Tabla11[[#This Row],[Cuenta]],1))</f>
        <v>1</v>
      </c>
      <c r="AW329" t="b">
        <f>+ISNUMBER(SEARCH(CompConta!$F$22,Tabla11[[#This Row],[Cuenta]],1))</f>
        <v>1</v>
      </c>
      <c r="AX329" t="b">
        <f>+ISNUMBER(SEARCH(CompConta!$F$23,Tabla11[[#This Row],[Cuenta]],1))</f>
        <v>1</v>
      </c>
      <c r="AY329" t="b">
        <f>+ISNUMBER(SEARCH(CompConta!$F$24,Tabla11[[#This Row],[Cuenta]],1))</f>
        <v>1</v>
      </c>
      <c r="AZ329" t="b">
        <f>+ISNUMBER(SEARCH(CompConta!$F$25,Tabla11[[#This Row],[Cuenta]],1))</f>
        <v>1</v>
      </c>
      <c r="BA329" t="b">
        <f>+ISNUMBER(SEARCH(CompConta!$F$26,Tabla11[[#This Row],[Cuenta]],1))</f>
        <v>1</v>
      </c>
      <c r="BB329" t="b">
        <f>+ISNUMBER(SEARCH(CompConta!$F$27,Tabla11[[#This Row],[Cuenta]],1))</f>
        <v>1</v>
      </c>
      <c r="BC329" t="b">
        <f>+ISNUMBER(SEARCH(CompConta!$F$28,Tabla11[[#This Row],[Cuenta]],1))</f>
        <v>1</v>
      </c>
      <c r="BD329" t="b">
        <f>+ISNUMBER(SEARCH(CompConta!$F$29,Tabla11[[#This Row],[Cuenta]],1))</f>
        <v>1</v>
      </c>
      <c r="BE329" t="b">
        <f>+ISNUMBER(SEARCH(CompConta!$F$30,Tabla11[[#This Row],[Cuenta]],1))</f>
        <v>1</v>
      </c>
      <c r="BF329" t="b">
        <f>+ISNUMBER(SEARCH('PAGO Compras'!$E$11,Tabla11[[#This Row],[Cuenta]],1))</f>
        <v>1</v>
      </c>
      <c r="BG329" t="b">
        <f>+ISNUMBER(SEARCH(#REF!,Tabla11[[#This Row],[Cuenta]],1))</f>
        <v>0</v>
      </c>
      <c r="BH329" t="b">
        <f>+ISNUMBER(SEARCH(#REF!,Tabla11[[#This Row],[Cuenta]],1))</f>
        <v>0</v>
      </c>
      <c r="BI329" t="b">
        <f>+ISNUMBER(SEARCH(#REF!,Tabla11[[#This Row],[Cuenta]],1))</f>
        <v>0</v>
      </c>
      <c r="BJ329" t="b">
        <f>+ISNUMBER(SEARCH(#REF!,Tabla11[[#This Row],[Cuenta]],1))</f>
        <v>0</v>
      </c>
      <c r="BS329" t="str">
        <v>171004 Organización y preoperativos</v>
      </c>
      <c r="BT329" t="str">
        <v>171004 Organización y preoperativos</v>
      </c>
      <c r="BU329" t="str">
        <v>171004 Organización y preoperativos</v>
      </c>
      <c r="BV329" t="str">
        <v>171004 Organización y preoperativos</v>
      </c>
      <c r="BZ329" t="str">
        <v>171004 Organización y preoperativos</v>
      </c>
      <c r="CA329" t="str">
        <v>171004 Organización y preoperativos</v>
      </c>
      <c r="CB329" t="str">
        <v>171004 Organización y preoperativos</v>
      </c>
      <c r="CC329" t="str">
        <v>171004 Organización y preoperativos</v>
      </c>
      <c r="CD329" t="str">
        <v>171004 Organización y preoperativos</v>
      </c>
      <c r="CE329" t="str">
        <v>171004 Organización y preoperativos</v>
      </c>
      <c r="CS329" s="141" t="str">
        <v>171004 Organización y preoperativos</v>
      </c>
      <c r="CT329" s="141" t="str">
        <v>171004 Organización y preoperativos</v>
      </c>
      <c r="CU329" s="141" t="str">
        <v>171004 Organización y preoperativos</v>
      </c>
      <c r="CV329" s="141" t="str">
        <v>171004 Organización y preoperativos</v>
      </c>
      <c r="CW329" s="141" t="str">
        <v>171004 Organización y preoperativos</v>
      </c>
      <c r="CX329" s="141" t="str">
        <v>171004 Organización y preoperativos</v>
      </c>
      <c r="CY329" s="141" t="str">
        <v>171004 Organización y preoperativos</v>
      </c>
      <c r="CZ329" s="141" t="str">
        <v>171004 Organización y preoperativos</v>
      </c>
      <c r="DA329" s="141" t="str">
        <v>171004 Organización y preoperativos</v>
      </c>
      <c r="DF329" t="str">
        <v>171004 Organización y preoperativos</v>
      </c>
      <c r="DG329" t="str">
        <v>171004 Organización y preoperativos</v>
      </c>
      <c r="DH329" t="str">
        <v>171004 Organización y preoperativos</v>
      </c>
      <c r="DI329" t="str">
        <v>171004 Organización y preoperativos</v>
      </c>
      <c r="DJ329" t="str">
        <v>171004 Organización y preoperativos</v>
      </c>
      <c r="DK329" t="str">
        <v>171004 Organización y preoperativos</v>
      </c>
      <c r="DL329" t="str">
        <v>171004 Organización y preoperativos</v>
      </c>
      <c r="DM329" t="str">
        <v>171004 Organización y preoperativos</v>
      </c>
      <c r="DN329" t="str">
        <v>171004 Organización y preoperativos</v>
      </c>
      <c r="DO329" t="str">
        <v>171004 Organización y preoperativos</v>
      </c>
      <c r="DP329" t="str">
        <v>171004 Organización y preoperativos</v>
      </c>
    </row>
    <row r="330" spans="4:120" ht="12.75">
      <c r="D330" s="7">
        <v>171008</v>
      </c>
      <c r="E330" s="6" t="s">
        <v>265</v>
      </c>
      <c r="F330" s="5">
        <v>4</v>
      </c>
      <c r="G330" s="34" t="s">
        <v>822</v>
      </c>
      <c r="H330" s="8" t="s">
        <v>32</v>
      </c>
      <c r="I330" t="b">
        <f>+ISNUMBER(SEARCH('F-COMPRA'!$F$28,Tabla11[[#This Row],[Cuenta]],1))</f>
        <v>1</v>
      </c>
      <c r="J330" t="b">
        <f>+ISNUMBER(SEARCH('F-COMPRA'!$F$29,Tabla11[[#This Row],[Cuenta]],1))</f>
        <v>1</v>
      </c>
      <c r="K330" t="b">
        <f>+ISNUMBER(SEARCH('F-COMPRA'!$F$30,Tabla11[[#This Row],[Cuenta]],1))</f>
        <v>1</v>
      </c>
      <c r="L330" t="b">
        <f>+ISNUMBER(SEARCH('F-COMPRA'!$F$31,Tabla11[[#This Row],[Cuenta]],1))</f>
        <v>1</v>
      </c>
      <c r="M330" t="b">
        <f>+ISNUMBER(SEARCH('F-COMPRA'!$G$25,Tabla11[[#This Row],[Cuenta]],1))</f>
        <v>0</v>
      </c>
      <c r="N330" t="b">
        <f>+ISNUMBER(SEARCH(#REF!,Tabla11[[#This Row],[Cuenta]],1))</f>
        <v>0</v>
      </c>
      <c r="O330" t="b">
        <f>+ISNUMBER(SEARCH(#REF!,Tabla11[[#This Row],[Cuenta]],1))</f>
        <v>0</v>
      </c>
      <c r="P330" t="b">
        <f>+ISNUMBER(SEARCH('F-COMPRA'!$F$32,Tabla11[[#This Row],[Cuenta]],1))</f>
        <v>1</v>
      </c>
      <c r="Q330" t="b">
        <f>+ISNUMBER(SEARCH('F-COMPRA'!$F$33,Tabla11[[#This Row],[Cuenta]],1))</f>
        <v>1</v>
      </c>
      <c r="R330" t="b">
        <f>+ISNUMBER(SEARCH('F-COMPRA'!$F$34,Tabla11[[#This Row],[Cuenta]],1))</f>
        <v>1</v>
      </c>
      <c r="S330" t="b">
        <f>+ISNUMBER(SEARCH('F-COMPRA'!$F$35,Tabla11[[#This Row],[Cuenta]],1))</f>
        <v>1</v>
      </c>
      <c r="T330" t="b">
        <f>+ISNUMBER(SEARCH('F-COMPRA'!$F$36,Tabla11[[#This Row],[Cuenta]],1))</f>
        <v>1</v>
      </c>
      <c r="U330" t="b">
        <f>+ISNUMBER(SEARCH('F-COMPRA'!$F$37,Tabla11[[#This Row],[Cuenta]],1))</f>
        <v>1</v>
      </c>
      <c r="V330" t="b">
        <f>+ISNUMBER(SEARCH(#REF!,Tabla11[[#This Row],[Cuenta]],1))</f>
        <v>0</v>
      </c>
      <c r="W330" t="b">
        <f>+ISNUMBER(SEARCH('F-COMPRA'!#REF!,Tabla11[[#This Row],[Cuenta]],1))</f>
        <v>0</v>
      </c>
      <c r="X330" t="b">
        <f>+ISNUMBER(SEARCH('F-COMPRA'!#REF!,Tabla11[[#This Row],[Cuenta]],1))</f>
        <v>0</v>
      </c>
      <c r="Y330" t="b">
        <f>+ISNUMBER(SEARCH('F-COMPRA'!#REF!,Tabla11[[#This Row],[Cuenta]],1))</f>
        <v>0</v>
      </c>
      <c r="Z330" t="b">
        <f>+ISNUMBER(SEARCH('F-COMPRA'!#REF!,Tabla11[[#This Row],[Cuenta]],1))</f>
        <v>0</v>
      </c>
      <c r="AA330" t="b">
        <f>+ISNUMBER(SEARCH('F-COMPRA'!#REF!,Tabla11[[#This Row],[Cuenta]],1))</f>
        <v>0</v>
      </c>
      <c r="AB330" t="b">
        <f>+ISNUMBER(SEARCH('F-COMPRA'!#REF!,Tabla11[[#This Row],[Cuenta]],1))</f>
        <v>0</v>
      </c>
      <c r="AC330" t="b">
        <f>+ISNUMBER(SEARCH('F-COMPRA'!#REF!,Tabla11[[#This Row],[Cuenta]],1))</f>
        <v>0</v>
      </c>
      <c r="AD330" t="b">
        <f>+ISNUMBER(SEARCH('F-COMPRA'!#REF!,Tabla11[[#This Row],[Cuenta]],1))</f>
        <v>0</v>
      </c>
      <c r="AE330" t="b">
        <f>+ISNUMBER(SEARCH('F-COMPRA'!#REF!,Tabla11[[#This Row],[Cuenta]],1))</f>
        <v>0</v>
      </c>
      <c r="AF330" t="b">
        <f>+ISNUMBER(SEARCH('F-VTA'!$G$23,Tabla11[[#This Row],[Cuenta]],1))</f>
        <v>0</v>
      </c>
      <c r="AG330" t="b">
        <f>+ISNUMBER(SEARCH('F-VTA'!$G$24,Tabla11[[#This Row],[Cuenta]],1))</f>
        <v>0</v>
      </c>
      <c r="AH330" t="b">
        <f>+ISNUMBER(SEARCH('F-VTA'!$G$25,Tabla11[[#This Row],[Cuenta]],1))</f>
        <v>0</v>
      </c>
      <c r="AI330" t="b">
        <f>+ISNUMBER(SEARCH('F-VTA'!$F$28,Tabla11[[#This Row],[Cuenta]],1))</f>
        <v>1</v>
      </c>
      <c r="AJ330" t="b">
        <f>+ISNUMBER(SEARCH('F-VTA'!$F$29,Tabla11[[#This Row],[Cuenta]],1))</f>
        <v>1</v>
      </c>
      <c r="AK330" t="b">
        <f>+ISNUMBER(SEARCH('F-VTA'!$F$30,Tabla11[[#This Row],[Cuenta]],1))</f>
        <v>1</v>
      </c>
      <c r="AL330" t="b">
        <f>+ISNUMBER(SEARCH('F-VTA'!$F$31,Tabla11[[#This Row],[Cuenta]],1))</f>
        <v>1</v>
      </c>
      <c r="AM330" t="b">
        <f>+ISNUMBER(SEARCH('F-VTA'!$F$32,Tabla11[[#This Row],[Cuenta]],1))</f>
        <v>1</v>
      </c>
      <c r="AN330" t="b">
        <f>+ISNUMBER(SEARCH('F-VTA'!$F$33,Tabla11[[#This Row],[Cuenta]],1))</f>
        <v>1</v>
      </c>
      <c r="AO330" t="b">
        <f>+ISNUMBER(SEARCH('F-VTA'!$F$34,Tabla11[[#This Row],[Cuenta]],1))</f>
        <v>1</v>
      </c>
      <c r="AP330" t="b">
        <f>+ISNUMBER(SEARCH('F-VTA'!$F$35,Tabla11[[#This Row],[Cuenta]],1))</f>
        <v>1</v>
      </c>
      <c r="AQ330" t="b">
        <f>+ISNUMBER(SEARCH('F-VTA'!$F$36,Tabla11[[#This Row],[Cuenta]],1))</f>
        <v>1</v>
      </c>
      <c r="AR330" t="b">
        <f>+ISNUMBER(SEARCH(#REF!,Tabla11[[#This Row],[Cuenta]],1))</f>
        <v>0</v>
      </c>
      <c r="AS330" t="b">
        <f>+ISNUMBER(SEARCH(#REF!,Tabla11[[#This Row],[Cuenta]],1))</f>
        <v>0</v>
      </c>
      <c r="AT330" t="b">
        <f>+ISNUMBER(SEARCH(#REF!,Tabla11[[#This Row],[Cuenta]],1))</f>
        <v>0</v>
      </c>
      <c r="AU330" t="b">
        <f>+ISNUMBER(SEARCH('Conc. Ban.1'!$I$9,Tabla11[[#This Row],[Cuenta]],1))</f>
        <v>0</v>
      </c>
      <c r="AV330" t="b">
        <f>+ISNUMBER(SEARCH(CompConta!$F$21,Tabla11[[#This Row],[Cuenta]],1))</f>
        <v>1</v>
      </c>
      <c r="AW330" t="b">
        <f>+ISNUMBER(SEARCH(CompConta!$F$22,Tabla11[[#This Row],[Cuenta]],1))</f>
        <v>1</v>
      </c>
      <c r="AX330" t="b">
        <f>+ISNUMBER(SEARCH(CompConta!$F$23,Tabla11[[#This Row],[Cuenta]],1))</f>
        <v>1</v>
      </c>
      <c r="AY330" t="b">
        <f>+ISNUMBER(SEARCH(CompConta!$F$24,Tabla11[[#This Row],[Cuenta]],1))</f>
        <v>1</v>
      </c>
      <c r="AZ330" t="b">
        <f>+ISNUMBER(SEARCH(CompConta!$F$25,Tabla11[[#This Row],[Cuenta]],1))</f>
        <v>1</v>
      </c>
      <c r="BA330" t="b">
        <f>+ISNUMBER(SEARCH(CompConta!$F$26,Tabla11[[#This Row],[Cuenta]],1))</f>
        <v>1</v>
      </c>
      <c r="BB330" t="b">
        <f>+ISNUMBER(SEARCH(CompConta!$F$27,Tabla11[[#This Row],[Cuenta]],1))</f>
        <v>1</v>
      </c>
      <c r="BC330" t="b">
        <f>+ISNUMBER(SEARCH(CompConta!$F$28,Tabla11[[#This Row],[Cuenta]],1))</f>
        <v>1</v>
      </c>
      <c r="BD330" t="b">
        <f>+ISNUMBER(SEARCH(CompConta!$F$29,Tabla11[[#This Row],[Cuenta]],1))</f>
        <v>1</v>
      </c>
      <c r="BE330" t="b">
        <f>+ISNUMBER(SEARCH(CompConta!$F$30,Tabla11[[#This Row],[Cuenta]],1))</f>
        <v>1</v>
      </c>
      <c r="BF330" t="b">
        <f>+ISNUMBER(SEARCH('PAGO Compras'!$E$11,Tabla11[[#This Row],[Cuenta]],1))</f>
        <v>1</v>
      </c>
      <c r="BG330" t="b">
        <f>+ISNUMBER(SEARCH(#REF!,Tabla11[[#This Row],[Cuenta]],1))</f>
        <v>0</v>
      </c>
      <c r="BH330" t="b">
        <f>+ISNUMBER(SEARCH(#REF!,Tabla11[[#This Row],[Cuenta]],1))</f>
        <v>0</v>
      </c>
      <c r="BI330" t="b">
        <f>+ISNUMBER(SEARCH(#REF!,Tabla11[[#This Row],[Cuenta]],1))</f>
        <v>0</v>
      </c>
      <c r="BJ330" t="b">
        <f>+ISNUMBER(SEARCH(#REF!,Tabla11[[#This Row],[Cuenta]],1))</f>
        <v>0</v>
      </c>
      <c r="BS330" t="str">
        <v>171008 Remodelaciones</v>
      </c>
      <c r="BT330" t="str">
        <v>171008 Remodelaciones</v>
      </c>
      <c r="BU330" t="str">
        <v>171008 Remodelaciones</v>
      </c>
      <c r="BV330" t="str">
        <v>171008 Remodelaciones</v>
      </c>
      <c r="BZ330" t="str">
        <v>171008 Remodelaciones</v>
      </c>
      <c r="CA330" t="str">
        <v>171008 Remodelaciones</v>
      </c>
      <c r="CB330" t="str">
        <v>171008 Remodelaciones</v>
      </c>
      <c r="CC330" t="str">
        <v>171008 Remodelaciones</v>
      </c>
      <c r="CD330" t="str">
        <v>171008 Remodelaciones</v>
      </c>
      <c r="CE330" t="str">
        <v>171008 Remodelaciones</v>
      </c>
      <c r="CS330" s="141" t="str">
        <v>171008 Remodelaciones</v>
      </c>
      <c r="CT330" s="141" t="str">
        <v>171008 Remodelaciones</v>
      </c>
      <c r="CU330" s="141" t="str">
        <v>171008 Remodelaciones</v>
      </c>
      <c r="CV330" s="141" t="str">
        <v>171008 Remodelaciones</v>
      </c>
      <c r="CW330" s="141" t="str">
        <v>171008 Remodelaciones</v>
      </c>
      <c r="CX330" s="141" t="str">
        <v>171008 Remodelaciones</v>
      </c>
      <c r="CY330" s="141" t="str">
        <v>171008 Remodelaciones</v>
      </c>
      <c r="CZ330" s="141" t="str">
        <v>171008 Remodelaciones</v>
      </c>
      <c r="DA330" s="141" t="str">
        <v>171008 Remodelaciones</v>
      </c>
      <c r="DF330" t="str">
        <v>171008 Remodelaciones</v>
      </c>
      <c r="DG330" t="str">
        <v>171008 Remodelaciones</v>
      </c>
      <c r="DH330" t="str">
        <v>171008 Remodelaciones</v>
      </c>
      <c r="DI330" t="str">
        <v>171008 Remodelaciones</v>
      </c>
      <c r="DJ330" t="str">
        <v>171008 Remodelaciones</v>
      </c>
      <c r="DK330" t="str">
        <v>171008 Remodelaciones</v>
      </c>
      <c r="DL330" t="str">
        <v>171008 Remodelaciones</v>
      </c>
      <c r="DM330" t="str">
        <v>171008 Remodelaciones</v>
      </c>
      <c r="DN330" t="str">
        <v>171008 Remodelaciones</v>
      </c>
      <c r="DO330" t="str">
        <v>171008 Remodelaciones</v>
      </c>
      <c r="DP330" t="str">
        <v>171008 Remodelaciones</v>
      </c>
    </row>
    <row r="331" spans="4:120" ht="12.75">
      <c r="D331" s="7">
        <v>171012</v>
      </c>
      <c r="E331" s="6" t="s">
        <v>266</v>
      </c>
      <c r="F331" s="5">
        <v>4</v>
      </c>
      <c r="G331" s="34" t="s">
        <v>822</v>
      </c>
      <c r="H331" s="8" t="s">
        <v>32</v>
      </c>
      <c r="I331" t="b">
        <f>+ISNUMBER(SEARCH('F-COMPRA'!$F$28,Tabla11[[#This Row],[Cuenta]],1))</f>
        <v>1</v>
      </c>
      <c r="J331" t="b">
        <f>+ISNUMBER(SEARCH('F-COMPRA'!$F$29,Tabla11[[#This Row],[Cuenta]],1))</f>
        <v>1</v>
      </c>
      <c r="K331" t="b">
        <f>+ISNUMBER(SEARCH('F-COMPRA'!$F$30,Tabla11[[#This Row],[Cuenta]],1))</f>
        <v>1</v>
      </c>
      <c r="L331" t="b">
        <f>+ISNUMBER(SEARCH('F-COMPRA'!$F$31,Tabla11[[#This Row],[Cuenta]],1))</f>
        <v>1</v>
      </c>
      <c r="M331" t="b">
        <f>+ISNUMBER(SEARCH('F-COMPRA'!$G$25,Tabla11[[#This Row],[Cuenta]],1))</f>
        <v>0</v>
      </c>
      <c r="N331" t="b">
        <f>+ISNUMBER(SEARCH(#REF!,Tabla11[[#This Row],[Cuenta]],1))</f>
        <v>0</v>
      </c>
      <c r="O331" t="b">
        <f>+ISNUMBER(SEARCH(#REF!,Tabla11[[#This Row],[Cuenta]],1))</f>
        <v>0</v>
      </c>
      <c r="P331" t="b">
        <f>+ISNUMBER(SEARCH('F-COMPRA'!$F$32,Tabla11[[#This Row],[Cuenta]],1))</f>
        <v>1</v>
      </c>
      <c r="Q331" t="b">
        <f>+ISNUMBER(SEARCH('F-COMPRA'!$F$33,Tabla11[[#This Row],[Cuenta]],1))</f>
        <v>1</v>
      </c>
      <c r="R331" t="b">
        <f>+ISNUMBER(SEARCH('F-COMPRA'!$F$34,Tabla11[[#This Row],[Cuenta]],1))</f>
        <v>1</v>
      </c>
      <c r="S331" t="b">
        <f>+ISNUMBER(SEARCH('F-COMPRA'!$F$35,Tabla11[[#This Row],[Cuenta]],1))</f>
        <v>1</v>
      </c>
      <c r="T331" t="b">
        <f>+ISNUMBER(SEARCH('F-COMPRA'!$F$36,Tabla11[[#This Row],[Cuenta]],1))</f>
        <v>1</v>
      </c>
      <c r="U331" t="b">
        <f>+ISNUMBER(SEARCH('F-COMPRA'!$F$37,Tabla11[[#This Row],[Cuenta]],1))</f>
        <v>1</v>
      </c>
      <c r="V331" t="b">
        <f>+ISNUMBER(SEARCH(#REF!,Tabla11[[#This Row],[Cuenta]],1))</f>
        <v>0</v>
      </c>
      <c r="W331" t="b">
        <f>+ISNUMBER(SEARCH('F-COMPRA'!#REF!,Tabla11[[#This Row],[Cuenta]],1))</f>
        <v>0</v>
      </c>
      <c r="X331" t="b">
        <f>+ISNUMBER(SEARCH('F-COMPRA'!#REF!,Tabla11[[#This Row],[Cuenta]],1))</f>
        <v>0</v>
      </c>
      <c r="Y331" t="b">
        <f>+ISNUMBER(SEARCH('F-COMPRA'!#REF!,Tabla11[[#This Row],[Cuenta]],1))</f>
        <v>0</v>
      </c>
      <c r="Z331" t="b">
        <f>+ISNUMBER(SEARCH('F-COMPRA'!#REF!,Tabla11[[#This Row],[Cuenta]],1))</f>
        <v>0</v>
      </c>
      <c r="AA331" t="b">
        <f>+ISNUMBER(SEARCH('F-COMPRA'!#REF!,Tabla11[[#This Row],[Cuenta]],1))</f>
        <v>0</v>
      </c>
      <c r="AB331" t="b">
        <f>+ISNUMBER(SEARCH('F-COMPRA'!#REF!,Tabla11[[#This Row],[Cuenta]],1))</f>
        <v>0</v>
      </c>
      <c r="AC331" t="b">
        <f>+ISNUMBER(SEARCH('F-COMPRA'!#REF!,Tabla11[[#This Row],[Cuenta]],1))</f>
        <v>0</v>
      </c>
      <c r="AD331" t="b">
        <f>+ISNUMBER(SEARCH('F-COMPRA'!#REF!,Tabla11[[#This Row],[Cuenta]],1))</f>
        <v>0</v>
      </c>
      <c r="AE331" t="b">
        <f>+ISNUMBER(SEARCH('F-COMPRA'!#REF!,Tabla11[[#This Row],[Cuenta]],1))</f>
        <v>0</v>
      </c>
      <c r="AF331" t="b">
        <f>+ISNUMBER(SEARCH('F-VTA'!$G$23,Tabla11[[#This Row],[Cuenta]],1))</f>
        <v>0</v>
      </c>
      <c r="AG331" t="b">
        <f>+ISNUMBER(SEARCH('F-VTA'!$G$24,Tabla11[[#This Row],[Cuenta]],1))</f>
        <v>0</v>
      </c>
      <c r="AH331" t="b">
        <f>+ISNUMBER(SEARCH('F-VTA'!$G$25,Tabla11[[#This Row],[Cuenta]],1))</f>
        <v>0</v>
      </c>
      <c r="AI331" t="b">
        <f>+ISNUMBER(SEARCH('F-VTA'!$F$28,Tabla11[[#This Row],[Cuenta]],1))</f>
        <v>1</v>
      </c>
      <c r="AJ331" t="b">
        <f>+ISNUMBER(SEARCH('F-VTA'!$F$29,Tabla11[[#This Row],[Cuenta]],1))</f>
        <v>1</v>
      </c>
      <c r="AK331" t="b">
        <f>+ISNUMBER(SEARCH('F-VTA'!$F$30,Tabla11[[#This Row],[Cuenta]],1))</f>
        <v>1</v>
      </c>
      <c r="AL331" t="b">
        <f>+ISNUMBER(SEARCH('F-VTA'!$F$31,Tabla11[[#This Row],[Cuenta]],1))</f>
        <v>1</v>
      </c>
      <c r="AM331" t="b">
        <f>+ISNUMBER(SEARCH('F-VTA'!$F$32,Tabla11[[#This Row],[Cuenta]],1))</f>
        <v>1</v>
      </c>
      <c r="AN331" t="b">
        <f>+ISNUMBER(SEARCH('F-VTA'!$F$33,Tabla11[[#This Row],[Cuenta]],1))</f>
        <v>1</v>
      </c>
      <c r="AO331" t="b">
        <f>+ISNUMBER(SEARCH('F-VTA'!$F$34,Tabla11[[#This Row],[Cuenta]],1))</f>
        <v>1</v>
      </c>
      <c r="AP331" t="b">
        <f>+ISNUMBER(SEARCH('F-VTA'!$F$35,Tabla11[[#This Row],[Cuenta]],1))</f>
        <v>1</v>
      </c>
      <c r="AQ331" t="b">
        <f>+ISNUMBER(SEARCH('F-VTA'!$F$36,Tabla11[[#This Row],[Cuenta]],1))</f>
        <v>1</v>
      </c>
      <c r="AR331" t="b">
        <f>+ISNUMBER(SEARCH(#REF!,Tabla11[[#This Row],[Cuenta]],1))</f>
        <v>0</v>
      </c>
      <c r="AS331" t="b">
        <f>+ISNUMBER(SEARCH(#REF!,Tabla11[[#This Row],[Cuenta]],1))</f>
        <v>0</v>
      </c>
      <c r="AT331" t="b">
        <f>+ISNUMBER(SEARCH(#REF!,Tabla11[[#This Row],[Cuenta]],1))</f>
        <v>0</v>
      </c>
      <c r="AU331" t="b">
        <f>+ISNUMBER(SEARCH('Conc. Ban.1'!$I$9,Tabla11[[#This Row],[Cuenta]],1))</f>
        <v>0</v>
      </c>
      <c r="AV331" t="b">
        <f>+ISNUMBER(SEARCH(CompConta!$F$21,Tabla11[[#This Row],[Cuenta]],1))</f>
        <v>1</v>
      </c>
      <c r="AW331" t="b">
        <f>+ISNUMBER(SEARCH(CompConta!$F$22,Tabla11[[#This Row],[Cuenta]],1))</f>
        <v>1</v>
      </c>
      <c r="AX331" t="b">
        <f>+ISNUMBER(SEARCH(CompConta!$F$23,Tabla11[[#This Row],[Cuenta]],1))</f>
        <v>1</v>
      </c>
      <c r="AY331" t="b">
        <f>+ISNUMBER(SEARCH(CompConta!$F$24,Tabla11[[#This Row],[Cuenta]],1))</f>
        <v>1</v>
      </c>
      <c r="AZ331" t="b">
        <f>+ISNUMBER(SEARCH(CompConta!$F$25,Tabla11[[#This Row],[Cuenta]],1))</f>
        <v>1</v>
      </c>
      <c r="BA331" t="b">
        <f>+ISNUMBER(SEARCH(CompConta!$F$26,Tabla11[[#This Row],[Cuenta]],1))</f>
        <v>1</v>
      </c>
      <c r="BB331" t="b">
        <f>+ISNUMBER(SEARCH(CompConta!$F$27,Tabla11[[#This Row],[Cuenta]],1))</f>
        <v>1</v>
      </c>
      <c r="BC331" t="b">
        <f>+ISNUMBER(SEARCH(CompConta!$F$28,Tabla11[[#This Row],[Cuenta]],1))</f>
        <v>1</v>
      </c>
      <c r="BD331" t="b">
        <f>+ISNUMBER(SEARCH(CompConta!$F$29,Tabla11[[#This Row],[Cuenta]],1))</f>
        <v>1</v>
      </c>
      <c r="BE331" t="b">
        <f>+ISNUMBER(SEARCH(CompConta!$F$30,Tabla11[[#This Row],[Cuenta]],1))</f>
        <v>1</v>
      </c>
      <c r="BF331" t="b">
        <f>+ISNUMBER(SEARCH('PAGO Compras'!$E$11,Tabla11[[#This Row],[Cuenta]],1))</f>
        <v>1</v>
      </c>
      <c r="BG331" t="b">
        <f>+ISNUMBER(SEARCH(#REF!,Tabla11[[#This Row],[Cuenta]],1))</f>
        <v>0</v>
      </c>
      <c r="BH331" t="b">
        <f>+ISNUMBER(SEARCH(#REF!,Tabla11[[#This Row],[Cuenta]],1))</f>
        <v>0</v>
      </c>
      <c r="BI331" t="b">
        <f>+ISNUMBER(SEARCH(#REF!,Tabla11[[#This Row],[Cuenta]],1))</f>
        <v>0</v>
      </c>
      <c r="BJ331" t="b">
        <f>+ISNUMBER(SEARCH(#REF!,Tabla11[[#This Row],[Cuenta]],1))</f>
        <v>0</v>
      </c>
      <c r="BS331" t="str">
        <v>171012 Estudios, investigaciones y proyectos</v>
      </c>
      <c r="BT331" t="str">
        <v>171012 Estudios, investigaciones y proyectos</v>
      </c>
      <c r="BU331" t="str">
        <v>171012 Estudios, investigaciones y proyectos</v>
      </c>
      <c r="BV331" t="str">
        <v>171012 Estudios, investigaciones y proyectos</v>
      </c>
      <c r="BZ331" t="str">
        <v>171012 Estudios, investigaciones y proyectos</v>
      </c>
      <c r="CA331" t="str">
        <v>171012 Estudios, investigaciones y proyectos</v>
      </c>
      <c r="CB331" t="str">
        <v>171012 Estudios, investigaciones y proyectos</v>
      </c>
      <c r="CC331" t="str">
        <v>171012 Estudios, investigaciones y proyectos</v>
      </c>
      <c r="CD331" t="str">
        <v>171012 Estudios, investigaciones y proyectos</v>
      </c>
      <c r="CE331" t="str">
        <v>171012 Estudios, investigaciones y proyectos</v>
      </c>
      <c r="CS331" s="141" t="str">
        <v>171012 Estudios, investigaciones y proyectos</v>
      </c>
      <c r="CT331" s="141" t="str">
        <v>171012 Estudios, investigaciones y proyectos</v>
      </c>
      <c r="CU331" s="141" t="str">
        <v>171012 Estudios, investigaciones y proyectos</v>
      </c>
      <c r="CV331" s="141" t="str">
        <v>171012 Estudios, investigaciones y proyectos</v>
      </c>
      <c r="CW331" s="141" t="str">
        <v>171012 Estudios, investigaciones y proyectos</v>
      </c>
      <c r="CX331" s="141" t="str">
        <v>171012 Estudios, investigaciones y proyectos</v>
      </c>
      <c r="CY331" s="141" t="str">
        <v>171012 Estudios, investigaciones y proyectos</v>
      </c>
      <c r="CZ331" s="141" t="str">
        <v>171012 Estudios, investigaciones y proyectos</v>
      </c>
      <c r="DA331" s="141" t="str">
        <v>171012 Estudios, investigaciones y proyectos</v>
      </c>
      <c r="DF331" t="str">
        <v>171012 Estudios, investigaciones y proyectos</v>
      </c>
      <c r="DG331" t="str">
        <v>171012 Estudios, investigaciones y proyectos</v>
      </c>
      <c r="DH331" t="str">
        <v>171012 Estudios, investigaciones y proyectos</v>
      </c>
      <c r="DI331" t="str">
        <v>171012 Estudios, investigaciones y proyectos</v>
      </c>
      <c r="DJ331" t="str">
        <v>171012 Estudios, investigaciones y proyectos</v>
      </c>
      <c r="DK331" t="str">
        <v>171012 Estudios, investigaciones y proyectos</v>
      </c>
      <c r="DL331" t="str">
        <v>171012 Estudios, investigaciones y proyectos</v>
      </c>
      <c r="DM331" t="str">
        <v>171012 Estudios, investigaciones y proyectos</v>
      </c>
      <c r="DN331" t="str">
        <v>171012 Estudios, investigaciones y proyectos</v>
      </c>
      <c r="DO331" t="str">
        <v>171012 Estudios, investigaciones y proyectos</v>
      </c>
      <c r="DP331" t="str">
        <v>171012 Estudios, investigaciones y proyectos</v>
      </c>
    </row>
    <row r="332" spans="4:120" ht="12.75">
      <c r="D332" s="7">
        <v>171016</v>
      </c>
      <c r="E332" s="6" t="s">
        <v>267</v>
      </c>
      <c r="F332" s="5">
        <v>4</v>
      </c>
      <c r="G332" s="34" t="s">
        <v>822</v>
      </c>
      <c r="H332" s="8" t="s">
        <v>32</v>
      </c>
      <c r="I332" t="b">
        <f>+ISNUMBER(SEARCH('F-COMPRA'!$F$28,Tabla11[[#This Row],[Cuenta]],1))</f>
        <v>1</v>
      </c>
      <c r="J332" t="b">
        <f>+ISNUMBER(SEARCH('F-COMPRA'!$F$29,Tabla11[[#This Row],[Cuenta]],1))</f>
        <v>1</v>
      </c>
      <c r="K332" t="b">
        <f>+ISNUMBER(SEARCH('F-COMPRA'!$F$30,Tabla11[[#This Row],[Cuenta]],1))</f>
        <v>1</v>
      </c>
      <c r="L332" t="b">
        <f>+ISNUMBER(SEARCH('F-COMPRA'!$F$31,Tabla11[[#This Row],[Cuenta]],1))</f>
        <v>1</v>
      </c>
      <c r="M332" t="b">
        <f>+ISNUMBER(SEARCH('F-COMPRA'!$G$25,Tabla11[[#This Row],[Cuenta]],1))</f>
        <v>0</v>
      </c>
      <c r="N332" t="b">
        <f>+ISNUMBER(SEARCH(#REF!,Tabla11[[#This Row],[Cuenta]],1))</f>
        <v>0</v>
      </c>
      <c r="O332" t="b">
        <f>+ISNUMBER(SEARCH(#REF!,Tabla11[[#This Row],[Cuenta]],1))</f>
        <v>0</v>
      </c>
      <c r="P332" t="b">
        <f>+ISNUMBER(SEARCH('F-COMPRA'!$F$32,Tabla11[[#This Row],[Cuenta]],1))</f>
        <v>1</v>
      </c>
      <c r="Q332" t="b">
        <f>+ISNUMBER(SEARCH('F-COMPRA'!$F$33,Tabla11[[#This Row],[Cuenta]],1))</f>
        <v>1</v>
      </c>
      <c r="R332" t="b">
        <f>+ISNUMBER(SEARCH('F-COMPRA'!$F$34,Tabla11[[#This Row],[Cuenta]],1))</f>
        <v>1</v>
      </c>
      <c r="S332" t="b">
        <f>+ISNUMBER(SEARCH('F-COMPRA'!$F$35,Tabla11[[#This Row],[Cuenta]],1))</f>
        <v>1</v>
      </c>
      <c r="T332" t="b">
        <f>+ISNUMBER(SEARCH('F-COMPRA'!$F$36,Tabla11[[#This Row],[Cuenta]],1))</f>
        <v>1</v>
      </c>
      <c r="U332" t="b">
        <f>+ISNUMBER(SEARCH('F-COMPRA'!$F$37,Tabla11[[#This Row],[Cuenta]],1))</f>
        <v>1</v>
      </c>
      <c r="V332" t="b">
        <f>+ISNUMBER(SEARCH(#REF!,Tabla11[[#This Row],[Cuenta]],1))</f>
        <v>0</v>
      </c>
      <c r="W332" t="b">
        <f>+ISNUMBER(SEARCH('F-COMPRA'!#REF!,Tabla11[[#This Row],[Cuenta]],1))</f>
        <v>0</v>
      </c>
      <c r="X332" t="b">
        <f>+ISNUMBER(SEARCH('F-COMPRA'!#REF!,Tabla11[[#This Row],[Cuenta]],1))</f>
        <v>0</v>
      </c>
      <c r="Y332" t="b">
        <f>+ISNUMBER(SEARCH('F-COMPRA'!#REF!,Tabla11[[#This Row],[Cuenta]],1))</f>
        <v>0</v>
      </c>
      <c r="Z332" t="b">
        <f>+ISNUMBER(SEARCH('F-COMPRA'!#REF!,Tabla11[[#This Row],[Cuenta]],1))</f>
        <v>0</v>
      </c>
      <c r="AA332" t="b">
        <f>+ISNUMBER(SEARCH('F-COMPRA'!#REF!,Tabla11[[#This Row],[Cuenta]],1))</f>
        <v>0</v>
      </c>
      <c r="AB332" t="b">
        <f>+ISNUMBER(SEARCH('F-COMPRA'!#REF!,Tabla11[[#This Row],[Cuenta]],1))</f>
        <v>0</v>
      </c>
      <c r="AC332" t="b">
        <f>+ISNUMBER(SEARCH('F-COMPRA'!#REF!,Tabla11[[#This Row],[Cuenta]],1))</f>
        <v>0</v>
      </c>
      <c r="AD332" t="b">
        <f>+ISNUMBER(SEARCH('F-COMPRA'!#REF!,Tabla11[[#This Row],[Cuenta]],1))</f>
        <v>0</v>
      </c>
      <c r="AE332" t="b">
        <f>+ISNUMBER(SEARCH('F-COMPRA'!#REF!,Tabla11[[#This Row],[Cuenta]],1))</f>
        <v>0</v>
      </c>
      <c r="AF332" t="b">
        <f>+ISNUMBER(SEARCH('F-VTA'!$G$23,Tabla11[[#This Row],[Cuenta]],1))</f>
        <v>0</v>
      </c>
      <c r="AG332" t="b">
        <f>+ISNUMBER(SEARCH('F-VTA'!$G$24,Tabla11[[#This Row],[Cuenta]],1))</f>
        <v>0</v>
      </c>
      <c r="AH332" t="b">
        <f>+ISNUMBER(SEARCH('F-VTA'!$G$25,Tabla11[[#This Row],[Cuenta]],1))</f>
        <v>0</v>
      </c>
      <c r="AI332" t="b">
        <f>+ISNUMBER(SEARCH('F-VTA'!$F$28,Tabla11[[#This Row],[Cuenta]],1))</f>
        <v>1</v>
      </c>
      <c r="AJ332" t="b">
        <f>+ISNUMBER(SEARCH('F-VTA'!$F$29,Tabla11[[#This Row],[Cuenta]],1))</f>
        <v>1</v>
      </c>
      <c r="AK332" t="b">
        <f>+ISNUMBER(SEARCH('F-VTA'!$F$30,Tabla11[[#This Row],[Cuenta]],1))</f>
        <v>1</v>
      </c>
      <c r="AL332" t="b">
        <f>+ISNUMBER(SEARCH('F-VTA'!$F$31,Tabla11[[#This Row],[Cuenta]],1))</f>
        <v>1</v>
      </c>
      <c r="AM332" t="b">
        <f>+ISNUMBER(SEARCH('F-VTA'!$F$32,Tabla11[[#This Row],[Cuenta]],1))</f>
        <v>1</v>
      </c>
      <c r="AN332" t="b">
        <f>+ISNUMBER(SEARCH('F-VTA'!$F$33,Tabla11[[#This Row],[Cuenta]],1))</f>
        <v>1</v>
      </c>
      <c r="AO332" t="b">
        <f>+ISNUMBER(SEARCH('F-VTA'!$F$34,Tabla11[[#This Row],[Cuenta]],1))</f>
        <v>1</v>
      </c>
      <c r="AP332" t="b">
        <f>+ISNUMBER(SEARCH('F-VTA'!$F$35,Tabla11[[#This Row],[Cuenta]],1))</f>
        <v>1</v>
      </c>
      <c r="AQ332" t="b">
        <f>+ISNUMBER(SEARCH('F-VTA'!$F$36,Tabla11[[#This Row],[Cuenta]],1))</f>
        <v>1</v>
      </c>
      <c r="AR332" t="b">
        <f>+ISNUMBER(SEARCH(#REF!,Tabla11[[#This Row],[Cuenta]],1))</f>
        <v>0</v>
      </c>
      <c r="AS332" t="b">
        <f>+ISNUMBER(SEARCH(#REF!,Tabla11[[#This Row],[Cuenta]],1))</f>
        <v>0</v>
      </c>
      <c r="AT332" t="b">
        <f>+ISNUMBER(SEARCH(#REF!,Tabla11[[#This Row],[Cuenta]],1))</f>
        <v>0</v>
      </c>
      <c r="AU332" t="b">
        <f>+ISNUMBER(SEARCH('Conc. Ban.1'!$I$9,Tabla11[[#This Row],[Cuenta]],1))</f>
        <v>0</v>
      </c>
      <c r="AV332" t="b">
        <f>+ISNUMBER(SEARCH(CompConta!$F$21,Tabla11[[#This Row],[Cuenta]],1))</f>
        <v>1</v>
      </c>
      <c r="AW332" t="b">
        <f>+ISNUMBER(SEARCH(CompConta!$F$22,Tabla11[[#This Row],[Cuenta]],1))</f>
        <v>1</v>
      </c>
      <c r="AX332" t="b">
        <f>+ISNUMBER(SEARCH(CompConta!$F$23,Tabla11[[#This Row],[Cuenta]],1))</f>
        <v>1</v>
      </c>
      <c r="AY332" t="b">
        <f>+ISNUMBER(SEARCH(CompConta!$F$24,Tabla11[[#This Row],[Cuenta]],1))</f>
        <v>1</v>
      </c>
      <c r="AZ332" t="b">
        <f>+ISNUMBER(SEARCH(CompConta!$F$25,Tabla11[[#This Row],[Cuenta]],1))</f>
        <v>1</v>
      </c>
      <c r="BA332" t="b">
        <f>+ISNUMBER(SEARCH(CompConta!$F$26,Tabla11[[#This Row],[Cuenta]],1))</f>
        <v>1</v>
      </c>
      <c r="BB332" t="b">
        <f>+ISNUMBER(SEARCH(CompConta!$F$27,Tabla11[[#This Row],[Cuenta]],1))</f>
        <v>1</v>
      </c>
      <c r="BC332" t="b">
        <f>+ISNUMBER(SEARCH(CompConta!$F$28,Tabla11[[#This Row],[Cuenta]],1))</f>
        <v>1</v>
      </c>
      <c r="BD332" t="b">
        <f>+ISNUMBER(SEARCH(CompConta!$F$29,Tabla11[[#This Row],[Cuenta]],1))</f>
        <v>1</v>
      </c>
      <c r="BE332" t="b">
        <f>+ISNUMBER(SEARCH(CompConta!$F$30,Tabla11[[#This Row],[Cuenta]],1))</f>
        <v>1</v>
      </c>
      <c r="BF332" t="b">
        <f>+ISNUMBER(SEARCH('PAGO Compras'!$E$11,Tabla11[[#This Row],[Cuenta]],1))</f>
        <v>1</v>
      </c>
      <c r="BG332" t="b">
        <f>+ISNUMBER(SEARCH(#REF!,Tabla11[[#This Row],[Cuenta]],1))</f>
        <v>0</v>
      </c>
      <c r="BH332" t="b">
        <f>+ISNUMBER(SEARCH(#REF!,Tabla11[[#This Row],[Cuenta]],1))</f>
        <v>0</v>
      </c>
      <c r="BI332" t="b">
        <f>+ISNUMBER(SEARCH(#REF!,Tabla11[[#This Row],[Cuenta]],1))</f>
        <v>0</v>
      </c>
      <c r="BJ332" t="b">
        <f>+ISNUMBER(SEARCH(#REF!,Tabla11[[#This Row],[Cuenta]],1))</f>
        <v>0</v>
      </c>
      <c r="BS332" t="str">
        <v>171016 Programas para computador (software)</v>
      </c>
      <c r="BT332" t="str">
        <v>171016 Programas para computador (software)</v>
      </c>
      <c r="BU332" t="str">
        <v>171016 Programas para computador (software)</v>
      </c>
      <c r="BV332" t="str">
        <v>171016 Programas para computador (software)</v>
      </c>
      <c r="BZ332" t="str">
        <v>171016 Programas para computador (software)</v>
      </c>
      <c r="CA332" t="str">
        <v>171016 Programas para computador (software)</v>
      </c>
      <c r="CB332" t="str">
        <v>171016 Programas para computador (software)</v>
      </c>
      <c r="CC332" t="str">
        <v>171016 Programas para computador (software)</v>
      </c>
      <c r="CD332" t="str">
        <v>171016 Programas para computador (software)</v>
      </c>
      <c r="CE332" t="str">
        <v>171016 Programas para computador (software)</v>
      </c>
      <c r="CS332" s="141" t="str">
        <v>171016 Programas para computador (software)</v>
      </c>
      <c r="CT332" s="141" t="str">
        <v>171016 Programas para computador (software)</v>
      </c>
      <c r="CU332" s="141" t="str">
        <v>171016 Programas para computador (software)</v>
      </c>
      <c r="CV332" s="141" t="str">
        <v>171016 Programas para computador (software)</v>
      </c>
      <c r="CW332" s="141" t="str">
        <v>171016 Programas para computador (software)</v>
      </c>
      <c r="CX332" s="141" t="str">
        <v>171016 Programas para computador (software)</v>
      </c>
      <c r="CY332" s="141" t="str">
        <v>171016 Programas para computador (software)</v>
      </c>
      <c r="CZ332" s="141" t="str">
        <v>171016 Programas para computador (software)</v>
      </c>
      <c r="DA332" s="141" t="str">
        <v>171016 Programas para computador (software)</v>
      </c>
      <c r="DF332" t="str">
        <v>171016 Programas para computador (software)</v>
      </c>
      <c r="DG332" t="str">
        <v>171016 Programas para computador (software)</v>
      </c>
      <c r="DH332" t="str">
        <v>171016 Programas para computador (software)</v>
      </c>
      <c r="DI332" t="str">
        <v>171016 Programas para computador (software)</v>
      </c>
      <c r="DJ332" t="str">
        <v>171016 Programas para computador (software)</v>
      </c>
      <c r="DK332" t="str">
        <v>171016 Programas para computador (software)</v>
      </c>
      <c r="DL332" t="str">
        <v>171016 Programas para computador (software)</v>
      </c>
      <c r="DM332" t="str">
        <v>171016 Programas para computador (software)</v>
      </c>
      <c r="DN332" t="str">
        <v>171016 Programas para computador (software)</v>
      </c>
      <c r="DO332" t="str">
        <v>171016 Programas para computador (software)</v>
      </c>
      <c r="DP332" t="str">
        <v>171016 Programas para computador (software)</v>
      </c>
    </row>
    <row r="333" spans="4:120" ht="12.75">
      <c r="D333" s="7">
        <v>171020</v>
      </c>
      <c r="E333" s="6" t="s">
        <v>268</v>
      </c>
      <c r="F333" s="5">
        <v>4</v>
      </c>
      <c r="G333" s="34" t="s">
        <v>822</v>
      </c>
      <c r="H333" s="8" t="s">
        <v>32</v>
      </c>
      <c r="I333" t="b">
        <f>+ISNUMBER(SEARCH('F-COMPRA'!$F$28,Tabla11[[#This Row],[Cuenta]],1))</f>
        <v>1</v>
      </c>
      <c r="J333" t="b">
        <f>+ISNUMBER(SEARCH('F-COMPRA'!$F$29,Tabla11[[#This Row],[Cuenta]],1))</f>
        <v>1</v>
      </c>
      <c r="K333" t="b">
        <f>+ISNUMBER(SEARCH('F-COMPRA'!$F$30,Tabla11[[#This Row],[Cuenta]],1))</f>
        <v>1</v>
      </c>
      <c r="L333" t="b">
        <f>+ISNUMBER(SEARCH('F-COMPRA'!$F$31,Tabla11[[#This Row],[Cuenta]],1))</f>
        <v>1</v>
      </c>
      <c r="M333" t="b">
        <f>+ISNUMBER(SEARCH('F-COMPRA'!$G$25,Tabla11[[#This Row],[Cuenta]],1))</f>
        <v>0</v>
      </c>
      <c r="N333" t="b">
        <f>+ISNUMBER(SEARCH(#REF!,Tabla11[[#This Row],[Cuenta]],1))</f>
        <v>0</v>
      </c>
      <c r="O333" t="b">
        <f>+ISNUMBER(SEARCH(#REF!,Tabla11[[#This Row],[Cuenta]],1))</f>
        <v>0</v>
      </c>
      <c r="P333" t="b">
        <f>+ISNUMBER(SEARCH('F-COMPRA'!$F$32,Tabla11[[#This Row],[Cuenta]],1))</f>
        <v>1</v>
      </c>
      <c r="Q333" t="b">
        <f>+ISNUMBER(SEARCH('F-COMPRA'!$F$33,Tabla11[[#This Row],[Cuenta]],1))</f>
        <v>1</v>
      </c>
      <c r="R333" t="b">
        <f>+ISNUMBER(SEARCH('F-COMPRA'!$F$34,Tabla11[[#This Row],[Cuenta]],1))</f>
        <v>1</v>
      </c>
      <c r="S333" t="b">
        <f>+ISNUMBER(SEARCH('F-COMPRA'!$F$35,Tabla11[[#This Row],[Cuenta]],1))</f>
        <v>1</v>
      </c>
      <c r="T333" t="b">
        <f>+ISNUMBER(SEARCH('F-COMPRA'!$F$36,Tabla11[[#This Row],[Cuenta]],1))</f>
        <v>1</v>
      </c>
      <c r="U333" t="b">
        <f>+ISNUMBER(SEARCH('F-COMPRA'!$F$37,Tabla11[[#This Row],[Cuenta]],1))</f>
        <v>1</v>
      </c>
      <c r="V333" t="b">
        <f>+ISNUMBER(SEARCH(#REF!,Tabla11[[#This Row],[Cuenta]],1))</f>
        <v>0</v>
      </c>
      <c r="W333" t="b">
        <f>+ISNUMBER(SEARCH('F-COMPRA'!#REF!,Tabla11[[#This Row],[Cuenta]],1))</f>
        <v>0</v>
      </c>
      <c r="X333" t="b">
        <f>+ISNUMBER(SEARCH('F-COMPRA'!#REF!,Tabla11[[#This Row],[Cuenta]],1))</f>
        <v>0</v>
      </c>
      <c r="Y333" t="b">
        <f>+ISNUMBER(SEARCH('F-COMPRA'!#REF!,Tabla11[[#This Row],[Cuenta]],1))</f>
        <v>0</v>
      </c>
      <c r="Z333" t="b">
        <f>+ISNUMBER(SEARCH('F-COMPRA'!#REF!,Tabla11[[#This Row],[Cuenta]],1))</f>
        <v>0</v>
      </c>
      <c r="AA333" t="b">
        <f>+ISNUMBER(SEARCH('F-COMPRA'!#REF!,Tabla11[[#This Row],[Cuenta]],1))</f>
        <v>0</v>
      </c>
      <c r="AB333" t="b">
        <f>+ISNUMBER(SEARCH('F-COMPRA'!#REF!,Tabla11[[#This Row],[Cuenta]],1))</f>
        <v>0</v>
      </c>
      <c r="AC333" t="b">
        <f>+ISNUMBER(SEARCH('F-COMPRA'!#REF!,Tabla11[[#This Row],[Cuenta]],1))</f>
        <v>0</v>
      </c>
      <c r="AD333" t="b">
        <f>+ISNUMBER(SEARCH('F-COMPRA'!#REF!,Tabla11[[#This Row],[Cuenta]],1))</f>
        <v>0</v>
      </c>
      <c r="AE333" t="b">
        <f>+ISNUMBER(SEARCH('F-COMPRA'!#REF!,Tabla11[[#This Row],[Cuenta]],1))</f>
        <v>0</v>
      </c>
      <c r="AF333" t="b">
        <f>+ISNUMBER(SEARCH('F-VTA'!$G$23,Tabla11[[#This Row],[Cuenta]],1))</f>
        <v>0</v>
      </c>
      <c r="AG333" t="b">
        <f>+ISNUMBER(SEARCH('F-VTA'!$G$24,Tabla11[[#This Row],[Cuenta]],1))</f>
        <v>0</v>
      </c>
      <c r="AH333" t="b">
        <f>+ISNUMBER(SEARCH('F-VTA'!$G$25,Tabla11[[#This Row],[Cuenta]],1))</f>
        <v>0</v>
      </c>
      <c r="AI333" t="b">
        <f>+ISNUMBER(SEARCH('F-VTA'!$F$28,Tabla11[[#This Row],[Cuenta]],1))</f>
        <v>1</v>
      </c>
      <c r="AJ333" t="b">
        <f>+ISNUMBER(SEARCH('F-VTA'!$F$29,Tabla11[[#This Row],[Cuenta]],1))</f>
        <v>1</v>
      </c>
      <c r="AK333" t="b">
        <f>+ISNUMBER(SEARCH('F-VTA'!$F$30,Tabla11[[#This Row],[Cuenta]],1))</f>
        <v>1</v>
      </c>
      <c r="AL333" t="b">
        <f>+ISNUMBER(SEARCH('F-VTA'!$F$31,Tabla11[[#This Row],[Cuenta]],1))</f>
        <v>1</v>
      </c>
      <c r="AM333" t="b">
        <f>+ISNUMBER(SEARCH('F-VTA'!$F$32,Tabla11[[#This Row],[Cuenta]],1))</f>
        <v>1</v>
      </c>
      <c r="AN333" t="b">
        <f>+ISNUMBER(SEARCH('F-VTA'!$F$33,Tabla11[[#This Row],[Cuenta]],1))</f>
        <v>1</v>
      </c>
      <c r="AO333" t="b">
        <f>+ISNUMBER(SEARCH('F-VTA'!$F$34,Tabla11[[#This Row],[Cuenta]],1))</f>
        <v>1</v>
      </c>
      <c r="AP333" t="b">
        <f>+ISNUMBER(SEARCH('F-VTA'!$F$35,Tabla11[[#This Row],[Cuenta]],1))</f>
        <v>1</v>
      </c>
      <c r="AQ333" t="b">
        <f>+ISNUMBER(SEARCH('F-VTA'!$F$36,Tabla11[[#This Row],[Cuenta]],1))</f>
        <v>1</v>
      </c>
      <c r="AR333" t="b">
        <f>+ISNUMBER(SEARCH(#REF!,Tabla11[[#This Row],[Cuenta]],1))</f>
        <v>0</v>
      </c>
      <c r="AS333" t="b">
        <f>+ISNUMBER(SEARCH(#REF!,Tabla11[[#This Row],[Cuenta]],1))</f>
        <v>0</v>
      </c>
      <c r="AT333" t="b">
        <f>+ISNUMBER(SEARCH(#REF!,Tabla11[[#This Row],[Cuenta]],1))</f>
        <v>0</v>
      </c>
      <c r="AU333" t="b">
        <f>+ISNUMBER(SEARCH('Conc. Ban.1'!$I$9,Tabla11[[#This Row],[Cuenta]],1))</f>
        <v>0</v>
      </c>
      <c r="AV333" t="b">
        <f>+ISNUMBER(SEARCH(CompConta!$F$21,Tabla11[[#This Row],[Cuenta]],1))</f>
        <v>1</v>
      </c>
      <c r="AW333" t="b">
        <f>+ISNUMBER(SEARCH(CompConta!$F$22,Tabla11[[#This Row],[Cuenta]],1))</f>
        <v>1</v>
      </c>
      <c r="AX333" t="b">
        <f>+ISNUMBER(SEARCH(CompConta!$F$23,Tabla11[[#This Row],[Cuenta]],1))</f>
        <v>1</v>
      </c>
      <c r="AY333" t="b">
        <f>+ISNUMBER(SEARCH(CompConta!$F$24,Tabla11[[#This Row],[Cuenta]],1))</f>
        <v>1</v>
      </c>
      <c r="AZ333" t="b">
        <f>+ISNUMBER(SEARCH(CompConta!$F$25,Tabla11[[#This Row],[Cuenta]],1))</f>
        <v>1</v>
      </c>
      <c r="BA333" t="b">
        <f>+ISNUMBER(SEARCH(CompConta!$F$26,Tabla11[[#This Row],[Cuenta]],1))</f>
        <v>1</v>
      </c>
      <c r="BB333" t="b">
        <f>+ISNUMBER(SEARCH(CompConta!$F$27,Tabla11[[#This Row],[Cuenta]],1))</f>
        <v>1</v>
      </c>
      <c r="BC333" t="b">
        <f>+ISNUMBER(SEARCH(CompConta!$F$28,Tabla11[[#This Row],[Cuenta]],1))</f>
        <v>1</v>
      </c>
      <c r="BD333" t="b">
        <f>+ISNUMBER(SEARCH(CompConta!$F$29,Tabla11[[#This Row],[Cuenta]],1))</f>
        <v>1</v>
      </c>
      <c r="BE333" t="b">
        <f>+ISNUMBER(SEARCH(CompConta!$F$30,Tabla11[[#This Row],[Cuenta]],1))</f>
        <v>1</v>
      </c>
      <c r="BF333" t="b">
        <f>+ISNUMBER(SEARCH('PAGO Compras'!$E$11,Tabla11[[#This Row],[Cuenta]],1))</f>
        <v>1</v>
      </c>
      <c r="BG333" t="b">
        <f>+ISNUMBER(SEARCH(#REF!,Tabla11[[#This Row],[Cuenta]],1))</f>
        <v>0</v>
      </c>
      <c r="BH333" t="b">
        <f>+ISNUMBER(SEARCH(#REF!,Tabla11[[#This Row],[Cuenta]],1))</f>
        <v>0</v>
      </c>
      <c r="BI333" t="b">
        <f>+ISNUMBER(SEARCH(#REF!,Tabla11[[#This Row],[Cuenta]],1))</f>
        <v>0</v>
      </c>
      <c r="BJ333" t="b">
        <f>+ISNUMBER(SEARCH(#REF!,Tabla11[[#This Row],[Cuenta]],1))</f>
        <v>0</v>
      </c>
      <c r="BS333" t="str">
        <v>171020 Útiles y papelería</v>
      </c>
      <c r="BT333" t="str">
        <v>171020 Útiles y papelería</v>
      </c>
      <c r="BU333" t="str">
        <v>171020 Útiles y papelería</v>
      </c>
      <c r="BV333" t="str">
        <v>171020 Útiles y papelería</v>
      </c>
      <c r="BZ333" t="str">
        <v>171020 Útiles y papelería</v>
      </c>
      <c r="CA333" t="str">
        <v>171020 Útiles y papelería</v>
      </c>
      <c r="CB333" t="str">
        <v>171020 Útiles y papelería</v>
      </c>
      <c r="CC333" t="str">
        <v>171020 Útiles y papelería</v>
      </c>
      <c r="CD333" t="str">
        <v>171020 Útiles y papelería</v>
      </c>
      <c r="CE333" t="str">
        <v>171020 Útiles y papelería</v>
      </c>
      <c r="CS333" s="141" t="str">
        <v>171020 Útiles y papelería</v>
      </c>
      <c r="CT333" s="141" t="str">
        <v>171020 Útiles y papelería</v>
      </c>
      <c r="CU333" s="141" t="str">
        <v>171020 Útiles y papelería</v>
      </c>
      <c r="CV333" s="141" t="str">
        <v>171020 Útiles y papelería</v>
      </c>
      <c r="CW333" s="141" t="str">
        <v>171020 Útiles y papelería</v>
      </c>
      <c r="CX333" s="141" t="str">
        <v>171020 Útiles y papelería</v>
      </c>
      <c r="CY333" s="141" t="str">
        <v>171020 Útiles y papelería</v>
      </c>
      <c r="CZ333" s="141" t="str">
        <v>171020 Útiles y papelería</v>
      </c>
      <c r="DA333" s="141" t="str">
        <v>171020 Útiles y papelería</v>
      </c>
      <c r="DF333" t="str">
        <v>171020 Útiles y papelería</v>
      </c>
      <c r="DG333" t="str">
        <v>171020 Útiles y papelería</v>
      </c>
      <c r="DH333" t="str">
        <v>171020 Útiles y papelería</v>
      </c>
      <c r="DI333" t="str">
        <v>171020 Útiles y papelería</v>
      </c>
      <c r="DJ333" t="str">
        <v>171020 Útiles y papelería</v>
      </c>
      <c r="DK333" t="str">
        <v>171020 Útiles y papelería</v>
      </c>
      <c r="DL333" t="str">
        <v>171020 Útiles y papelería</v>
      </c>
      <c r="DM333" t="str">
        <v>171020 Útiles y papelería</v>
      </c>
      <c r="DN333" t="str">
        <v>171020 Útiles y papelería</v>
      </c>
      <c r="DO333" t="str">
        <v>171020 Útiles y papelería</v>
      </c>
      <c r="DP333" t="str">
        <v>171020 Útiles y papelería</v>
      </c>
    </row>
    <row r="334" spans="4:120" ht="12.75">
      <c r="D334" s="7">
        <v>171024</v>
      </c>
      <c r="E334" s="6" t="s">
        <v>269</v>
      </c>
      <c r="F334" s="5">
        <v>4</v>
      </c>
      <c r="G334" s="34" t="s">
        <v>822</v>
      </c>
      <c r="H334" s="8" t="s">
        <v>32</v>
      </c>
      <c r="I334" t="b">
        <f>+ISNUMBER(SEARCH('F-COMPRA'!$F$28,Tabla11[[#This Row],[Cuenta]],1))</f>
        <v>1</v>
      </c>
      <c r="J334" t="b">
        <f>+ISNUMBER(SEARCH('F-COMPRA'!$F$29,Tabla11[[#This Row],[Cuenta]],1))</f>
        <v>1</v>
      </c>
      <c r="K334" t="b">
        <f>+ISNUMBER(SEARCH('F-COMPRA'!$F$30,Tabla11[[#This Row],[Cuenta]],1))</f>
        <v>1</v>
      </c>
      <c r="L334" t="b">
        <f>+ISNUMBER(SEARCH('F-COMPRA'!$F$31,Tabla11[[#This Row],[Cuenta]],1))</f>
        <v>1</v>
      </c>
      <c r="M334" t="b">
        <f>+ISNUMBER(SEARCH('F-COMPRA'!$G$25,Tabla11[[#This Row],[Cuenta]],1))</f>
        <v>0</v>
      </c>
      <c r="N334" t="b">
        <f>+ISNUMBER(SEARCH(#REF!,Tabla11[[#This Row],[Cuenta]],1))</f>
        <v>0</v>
      </c>
      <c r="O334" t="b">
        <f>+ISNUMBER(SEARCH(#REF!,Tabla11[[#This Row],[Cuenta]],1))</f>
        <v>0</v>
      </c>
      <c r="P334" t="b">
        <f>+ISNUMBER(SEARCH('F-COMPRA'!$F$32,Tabla11[[#This Row],[Cuenta]],1))</f>
        <v>1</v>
      </c>
      <c r="Q334" t="b">
        <f>+ISNUMBER(SEARCH('F-COMPRA'!$F$33,Tabla11[[#This Row],[Cuenta]],1))</f>
        <v>1</v>
      </c>
      <c r="R334" t="b">
        <f>+ISNUMBER(SEARCH('F-COMPRA'!$F$34,Tabla11[[#This Row],[Cuenta]],1))</f>
        <v>1</v>
      </c>
      <c r="S334" t="b">
        <f>+ISNUMBER(SEARCH('F-COMPRA'!$F$35,Tabla11[[#This Row],[Cuenta]],1))</f>
        <v>1</v>
      </c>
      <c r="T334" t="b">
        <f>+ISNUMBER(SEARCH('F-COMPRA'!$F$36,Tabla11[[#This Row],[Cuenta]],1))</f>
        <v>1</v>
      </c>
      <c r="U334" t="b">
        <f>+ISNUMBER(SEARCH('F-COMPRA'!$F$37,Tabla11[[#This Row],[Cuenta]],1))</f>
        <v>1</v>
      </c>
      <c r="V334" t="b">
        <f>+ISNUMBER(SEARCH(#REF!,Tabla11[[#This Row],[Cuenta]],1))</f>
        <v>0</v>
      </c>
      <c r="W334" t="b">
        <f>+ISNUMBER(SEARCH('F-COMPRA'!#REF!,Tabla11[[#This Row],[Cuenta]],1))</f>
        <v>0</v>
      </c>
      <c r="X334" t="b">
        <f>+ISNUMBER(SEARCH('F-COMPRA'!#REF!,Tabla11[[#This Row],[Cuenta]],1))</f>
        <v>0</v>
      </c>
      <c r="Y334" t="b">
        <f>+ISNUMBER(SEARCH('F-COMPRA'!#REF!,Tabla11[[#This Row],[Cuenta]],1))</f>
        <v>0</v>
      </c>
      <c r="Z334" t="b">
        <f>+ISNUMBER(SEARCH('F-COMPRA'!#REF!,Tabla11[[#This Row],[Cuenta]],1))</f>
        <v>0</v>
      </c>
      <c r="AA334" t="b">
        <f>+ISNUMBER(SEARCH('F-COMPRA'!#REF!,Tabla11[[#This Row],[Cuenta]],1))</f>
        <v>0</v>
      </c>
      <c r="AB334" t="b">
        <f>+ISNUMBER(SEARCH('F-COMPRA'!#REF!,Tabla11[[#This Row],[Cuenta]],1))</f>
        <v>0</v>
      </c>
      <c r="AC334" t="b">
        <f>+ISNUMBER(SEARCH('F-COMPRA'!#REF!,Tabla11[[#This Row],[Cuenta]],1))</f>
        <v>0</v>
      </c>
      <c r="AD334" t="b">
        <f>+ISNUMBER(SEARCH('F-COMPRA'!#REF!,Tabla11[[#This Row],[Cuenta]],1))</f>
        <v>0</v>
      </c>
      <c r="AE334" t="b">
        <f>+ISNUMBER(SEARCH('F-COMPRA'!#REF!,Tabla11[[#This Row],[Cuenta]],1))</f>
        <v>0</v>
      </c>
      <c r="AF334" t="b">
        <f>+ISNUMBER(SEARCH('F-VTA'!$G$23,Tabla11[[#This Row],[Cuenta]],1))</f>
        <v>0</v>
      </c>
      <c r="AG334" t="b">
        <f>+ISNUMBER(SEARCH('F-VTA'!$G$24,Tabla11[[#This Row],[Cuenta]],1))</f>
        <v>0</v>
      </c>
      <c r="AH334" t="b">
        <f>+ISNUMBER(SEARCH('F-VTA'!$G$25,Tabla11[[#This Row],[Cuenta]],1))</f>
        <v>0</v>
      </c>
      <c r="AI334" t="b">
        <f>+ISNUMBER(SEARCH('F-VTA'!$F$28,Tabla11[[#This Row],[Cuenta]],1))</f>
        <v>1</v>
      </c>
      <c r="AJ334" t="b">
        <f>+ISNUMBER(SEARCH('F-VTA'!$F$29,Tabla11[[#This Row],[Cuenta]],1))</f>
        <v>1</v>
      </c>
      <c r="AK334" t="b">
        <f>+ISNUMBER(SEARCH('F-VTA'!$F$30,Tabla11[[#This Row],[Cuenta]],1))</f>
        <v>1</v>
      </c>
      <c r="AL334" t="b">
        <f>+ISNUMBER(SEARCH('F-VTA'!$F$31,Tabla11[[#This Row],[Cuenta]],1))</f>
        <v>1</v>
      </c>
      <c r="AM334" t="b">
        <f>+ISNUMBER(SEARCH('F-VTA'!$F$32,Tabla11[[#This Row],[Cuenta]],1))</f>
        <v>1</v>
      </c>
      <c r="AN334" t="b">
        <f>+ISNUMBER(SEARCH('F-VTA'!$F$33,Tabla11[[#This Row],[Cuenta]],1))</f>
        <v>1</v>
      </c>
      <c r="AO334" t="b">
        <f>+ISNUMBER(SEARCH('F-VTA'!$F$34,Tabla11[[#This Row],[Cuenta]],1))</f>
        <v>1</v>
      </c>
      <c r="AP334" t="b">
        <f>+ISNUMBER(SEARCH('F-VTA'!$F$35,Tabla11[[#This Row],[Cuenta]],1))</f>
        <v>1</v>
      </c>
      <c r="AQ334" t="b">
        <f>+ISNUMBER(SEARCH('F-VTA'!$F$36,Tabla11[[#This Row],[Cuenta]],1))</f>
        <v>1</v>
      </c>
      <c r="AR334" t="b">
        <f>+ISNUMBER(SEARCH(#REF!,Tabla11[[#This Row],[Cuenta]],1))</f>
        <v>0</v>
      </c>
      <c r="AS334" t="b">
        <f>+ISNUMBER(SEARCH(#REF!,Tabla11[[#This Row],[Cuenta]],1))</f>
        <v>0</v>
      </c>
      <c r="AT334" t="b">
        <f>+ISNUMBER(SEARCH(#REF!,Tabla11[[#This Row],[Cuenta]],1))</f>
        <v>0</v>
      </c>
      <c r="AU334" t="b">
        <f>+ISNUMBER(SEARCH('Conc. Ban.1'!$I$9,Tabla11[[#This Row],[Cuenta]],1))</f>
        <v>0</v>
      </c>
      <c r="AV334" t="b">
        <f>+ISNUMBER(SEARCH(CompConta!$F$21,Tabla11[[#This Row],[Cuenta]],1))</f>
        <v>1</v>
      </c>
      <c r="AW334" t="b">
        <f>+ISNUMBER(SEARCH(CompConta!$F$22,Tabla11[[#This Row],[Cuenta]],1))</f>
        <v>1</v>
      </c>
      <c r="AX334" t="b">
        <f>+ISNUMBER(SEARCH(CompConta!$F$23,Tabla11[[#This Row],[Cuenta]],1))</f>
        <v>1</v>
      </c>
      <c r="AY334" t="b">
        <f>+ISNUMBER(SEARCH(CompConta!$F$24,Tabla11[[#This Row],[Cuenta]],1))</f>
        <v>1</v>
      </c>
      <c r="AZ334" t="b">
        <f>+ISNUMBER(SEARCH(CompConta!$F$25,Tabla11[[#This Row],[Cuenta]],1))</f>
        <v>1</v>
      </c>
      <c r="BA334" t="b">
        <f>+ISNUMBER(SEARCH(CompConta!$F$26,Tabla11[[#This Row],[Cuenta]],1))</f>
        <v>1</v>
      </c>
      <c r="BB334" t="b">
        <f>+ISNUMBER(SEARCH(CompConta!$F$27,Tabla11[[#This Row],[Cuenta]],1))</f>
        <v>1</v>
      </c>
      <c r="BC334" t="b">
        <f>+ISNUMBER(SEARCH(CompConta!$F$28,Tabla11[[#This Row],[Cuenta]],1))</f>
        <v>1</v>
      </c>
      <c r="BD334" t="b">
        <f>+ISNUMBER(SEARCH(CompConta!$F$29,Tabla11[[#This Row],[Cuenta]],1))</f>
        <v>1</v>
      </c>
      <c r="BE334" t="b">
        <f>+ISNUMBER(SEARCH(CompConta!$F$30,Tabla11[[#This Row],[Cuenta]],1))</f>
        <v>1</v>
      </c>
      <c r="BF334" t="b">
        <f>+ISNUMBER(SEARCH('PAGO Compras'!$E$11,Tabla11[[#This Row],[Cuenta]],1))</f>
        <v>1</v>
      </c>
      <c r="BG334" t="b">
        <f>+ISNUMBER(SEARCH(#REF!,Tabla11[[#This Row],[Cuenta]],1))</f>
        <v>0</v>
      </c>
      <c r="BH334" t="b">
        <f>+ISNUMBER(SEARCH(#REF!,Tabla11[[#This Row],[Cuenta]],1))</f>
        <v>0</v>
      </c>
      <c r="BI334" t="b">
        <f>+ISNUMBER(SEARCH(#REF!,Tabla11[[#This Row],[Cuenta]],1))</f>
        <v>0</v>
      </c>
      <c r="BJ334" t="b">
        <f>+ISNUMBER(SEARCH(#REF!,Tabla11[[#This Row],[Cuenta]],1))</f>
        <v>0</v>
      </c>
      <c r="BS334" t="str">
        <v>171024 Mejoras a propiedades ajenas</v>
      </c>
      <c r="BT334" t="str">
        <v>171024 Mejoras a propiedades ajenas</v>
      </c>
      <c r="BU334" t="str">
        <v>171024 Mejoras a propiedades ajenas</v>
      </c>
      <c r="BV334" t="str">
        <v>171024 Mejoras a propiedades ajenas</v>
      </c>
      <c r="BZ334" t="str">
        <v>171024 Mejoras a propiedades ajenas</v>
      </c>
      <c r="CA334" t="str">
        <v>171024 Mejoras a propiedades ajenas</v>
      </c>
      <c r="CB334" t="str">
        <v>171024 Mejoras a propiedades ajenas</v>
      </c>
      <c r="CC334" t="str">
        <v>171024 Mejoras a propiedades ajenas</v>
      </c>
      <c r="CD334" t="str">
        <v>171024 Mejoras a propiedades ajenas</v>
      </c>
      <c r="CE334" t="str">
        <v>171024 Mejoras a propiedades ajenas</v>
      </c>
      <c r="CS334" s="141" t="str">
        <v>171024 Mejoras a propiedades ajenas</v>
      </c>
      <c r="CT334" s="141" t="str">
        <v>171024 Mejoras a propiedades ajenas</v>
      </c>
      <c r="CU334" s="141" t="str">
        <v>171024 Mejoras a propiedades ajenas</v>
      </c>
      <c r="CV334" s="141" t="str">
        <v>171024 Mejoras a propiedades ajenas</v>
      </c>
      <c r="CW334" s="141" t="str">
        <v>171024 Mejoras a propiedades ajenas</v>
      </c>
      <c r="CX334" s="141" t="str">
        <v>171024 Mejoras a propiedades ajenas</v>
      </c>
      <c r="CY334" s="141" t="str">
        <v>171024 Mejoras a propiedades ajenas</v>
      </c>
      <c r="CZ334" s="141" t="str">
        <v>171024 Mejoras a propiedades ajenas</v>
      </c>
      <c r="DA334" s="141" t="str">
        <v>171024 Mejoras a propiedades ajenas</v>
      </c>
      <c r="DF334" t="str">
        <v>171024 Mejoras a propiedades ajenas</v>
      </c>
      <c r="DG334" t="str">
        <v>171024 Mejoras a propiedades ajenas</v>
      </c>
      <c r="DH334" t="str">
        <v>171024 Mejoras a propiedades ajenas</v>
      </c>
      <c r="DI334" t="str">
        <v>171024 Mejoras a propiedades ajenas</v>
      </c>
      <c r="DJ334" t="str">
        <v>171024 Mejoras a propiedades ajenas</v>
      </c>
      <c r="DK334" t="str">
        <v>171024 Mejoras a propiedades ajenas</v>
      </c>
      <c r="DL334" t="str">
        <v>171024 Mejoras a propiedades ajenas</v>
      </c>
      <c r="DM334" t="str">
        <v>171024 Mejoras a propiedades ajenas</v>
      </c>
      <c r="DN334" t="str">
        <v>171024 Mejoras a propiedades ajenas</v>
      </c>
      <c r="DO334" t="str">
        <v>171024 Mejoras a propiedades ajenas</v>
      </c>
      <c r="DP334" t="str">
        <v>171024 Mejoras a propiedades ajenas</v>
      </c>
    </row>
    <row r="335" spans="4:120" ht="12.75">
      <c r="D335" s="7">
        <v>171028</v>
      </c>
      <c r="E335" s="6" t="s">
        <v>270</v>
      </c>
      <c r="F335" s="5">
        <v>4</v>
      </c>
      <c r="G335" s="34" t="s">
        <v>822</v>
      </c>
      <c r="H335" s="8" t="s">
        <v>32</v>
      </c>
      <c r="I335" t="b">
        <f>+ISNUMBER(SEARCH('F-COMPRA'!$F$28,Tabla11[[#This Row],[Cuenta]],1))</f>
        <v>1</v>
      </c>
      <c r="J335" t="b">
        <f>+ISNUMBER(SEARCH('F-COMPRA'!$F$29,Tabla11[[#This Row],[Cuenta]],1))</f>
        <v>1</v>
      </c>
      <c r="K335" t="b">
        <f>+ISNUMBER(SEARCH('F-COMPRA'!$F$30,Tabla11[[#This Row],[Cuenta]],1))</f>
        <v>1</v>
      </c>
      <c r="L335" t="b">
        <f>+ISNUMBER(SEARCH('F-COMPRA'!$F$31,Tabla11[[#This Row],[Cuenta]],1))</f>
        <v>1</v>
      </c>
      <c r="M335" t="b">
        <f>+ISNUMBER(SEARCH('F-COMPRA'!$G$25,Tabla11[[#This Row],[Cuenta]],1))</f>
        <v>0</v>
      </c>
      <c r="N335" t="b">
        <f>+ISNUMBER(SEARCH(#REF!,Tabla11[[#This Row],[Cuenta]],1))</f>
        <v>0</v>
      </c>
      <c r="O335" t="b">
        <f>+ISNUMBER(SEARCH(#REF!,Tabla11[[#This Row],[Cuenta]],1))</f>
        <v>0</v>
      </c>
      <c r="P335" t="b">
        <f>+ISNUMBER(SEARCH('F-COMPRA'!$F$32,Tabla11[[#This Row],[Cuenta]],1))</f>
        <v>1</v>
      </c>
      <c r="Q335" t="b">
        <f>+ISNUMBER(SEARCH('F-COMPRA'!$F$33,Tabla11[[#This Row],[Cuenta]],1))</f>
        <v>1</v>
      </c>
      <c r="R335" t="b">
        <f>+ISNUMBER(SEARCH('F-COMPRA'!$F$34,Tabla11[[#This Row],[Cuenta]],1))</f>
        <v>1</v>
      </c>
      <c r="S335" t="b">
        <f>+ISNUMBER(SEARCH('F-COMPRA'!$F$35,Tabla11[[#This Row],[Cuenta]],1))</f>
        <v>1</v>
      </c>
      <c r="T335" t="b">
        <f>+ISNUMBER(SEARCH('F-COMPRA'!$F$36,Tabla11[[#This Row],[Cuenta]],1))</f>
        <v>1</v>
      </c>
      <c r="U335" t="b">
        <f>+ISNUMBER(SEARCH('F-COMPRA'!$F$37,Tabla11[[#This Row],[Cuenta]],1))</f>
        <v>1</v>
      </c>
      <c r="V335" t="b">
        <f>+ISNUMBER(SEARCH(#REF!,Tabla11[[#This Row],[Cuenta]],1))</f>
        <v>0</v>
      </c>
      <c r="W335" t="b">
        <f>+ISNUMBER(SEARCH('F-COMPRA'!#REF!,Tabla11[[#This Row],[Cuenta]],1))</f>
        <v>0</v>
      </c>
      <c r="X335" t="b">
        <f>+ISNUMBER(SEARCH('F-COMPRA'!#REF!,Tabla11[[#This Row],[Cuenta]],1))</f>
        <v>0</v>
      </c>
      <c r="Y335" t="b">
        <f>+ISNUMBER(SEARCH('F-COMPRA'!#REF!,Tabla11[[#This Row],[Cuenta]],1))</f>
        <v>0</v>
      </c>
      <c r="Z335" t="b">
        <f>+ISNUMBER(SEARCH('F-COMPRA'!#REF!,Tabla11[[#This Row],[Cuenta]],1))</f>
        <v>0</v>
      </c>
      <c r="AA335" t="b">
        <f>+ISNUMBER(SEARCH('F-COMPRA'!#REF!,Tabla11[[#This Row],[Cuenta]],1))</f>
        <v>0</v>
      </c>
      <c r="AB335" t="b">
        <f>+ISNUMBER(SEARCH('F-COMPRA'!#REF!,Tabla11[[#This Row],[Cuenta]],1))</f>
        <v>0</v>
      </c>
      <c r="AC335" t="b">
        <f>+ISNUMBER(SEARCH('F-COMPRA'!#REF!,Tabla11[[#This Row],[Cuenta]],1))</f>
        <v>0</v>
      </c>
      <c r="AD335" t="b">
        <f>+ISNUMBER(SEARCH('F-COMPRA'!#REF!,Tabla11[[#This Row],[Cuenta]],1))</f>
        <v>0</v>
      </c>
      <c r="AE335" t="b">
        <f>+ISNUMBER(SEARCH('F-COMPRA'!#REF!,Tabla11[[#This Row],[Cuenta]],1))</f>
        <v>0</v>
      </c>
      <c r="AF335" t="b">
        <f>+ISNUMBER(SEARCH('F-VTA'!$G$23,Tabla11[[#This Row],[Cuenta]],1))</f>
        <v>0</v>
      </c>
      <c r="AG335" t="b">
        <f>+ISNUMBER(SEARCH('F-VTA'!$G$24,Tabla11[[#This Row],[Cuenta]],1))</f>
        <v>0</v>
      </c>
      <c r="AH335" t="b">
        <f>+ISNUMBER(SEARCH('F-VTA'!$G$25,Tabla11[[#This Row],[Cuenta]],1))</f>
        <v>0</v>
      </c>
      <c r="AI335" t="b">
        <f>+ISNUMBER(SEARCH('F-VTA'!$F$28,Tabla11[[#This Row],[Cuenta]],1))</f>
        <v>1</v>
      </c>
      <c r="AJ335" t="b">
        <f>+ISNUMBER(SEARCH('F-VTA'!$F$29,Tabla11[[#This Row],[Cuenta]],1))</f>
        <v>1</v>
      </c>
      <c r="AK335" t="b">
        <f>+ISNUMBER(SEARCH('F-VTA'!$F$30,Tabla11[[#This Row],[Cuenta]],1))</f>
        <v>1</v>
      </c>
      <c r="AL335" t="b">
        <f>+ISNUMBER(SEARCH('F-VTA'!$F$31,Tabla11[[#This Row],[Cuenta]],1))</f>
        <v>1</v>
      </c>
      <c r="AM335" t="b">
        <f>+ISNUMBER(SEARCH('F-VTA'!$F$32,Tabla11[[#This Row],[Cuenta]],1))</f>
        <v>1</v>
      </c>
      <c r="AN335" t="b">
        <f>+ISNUMBER(SEARCH('F-VTA'!$F$33,Tabla11[[#This Row],[Cuenta]],1))</f>
        <v>1</v>
      </c>
      <c r="AO335" t="b">
        <f>+ISNUMBER(SEARCH('F-VTA'!$F$34,Tabla11[[#This Row],[Cuenta]],1))</f>
        <v>1</v>
      </c>
      <c r="AP335" t="b">
        <f>+ISNUMBER(SEARCH('F-VTA'!$F$35,Tabla11[[#This Row],[Cuenta]],1))</f>
        <v>1</v>
      </c>
      <c r="AQ335" t="b">
        <f>+ISNUMBER(SEARCH('F-VTA'!$F$36,Tabla11[[#This Row],[Cuenta]],1))</f>
        <v>1</v>
      </c>
      <c r="AR335" t="b">
        <f>+ISNUMBER(SEARCH(#REF!,Tabla11[[#This Row],[Cuenta]],1))</f>
        <v>0</v>
      </c>
      <c r="AS335" t="b">
        <f>+ISNUMBER(SEARCH(#REF!,Tabla11[[#This Row],[Cuenta]],1))</f>
        <v>0</v>
      </c>
      <c r="AT335" t="b">
        <f>+ISNUMBER(SEARCH(#REF!,Tabla11[[#This Row],[Cuenta]],1))</f>
        <v>0</v>
      </c>
      <c r="AU335" t="b">
        <f>+ISNUMBER(SEARCH('Conc. Ban.1'!$I$9,Tabla11[[#This Row],[Cuenta]],1))</f>
        <v>0</v>
      </c>
      <c r="AV335" t="b">
        <f>+ISNUMBER(SEARCH(CompConta!$F$21,Tabla11[[#This Row],[Cuenta]],1))</f>
        <v>1</v>
      </c>
      <c r="AW335" t="b">
        <f>+ISNUMBER(SEARCH(CompConta!$F$22,Tabla11[[#This Row],[Cuenta]],1))</f>
        <v>1</v>
      </c>
      <c r="AX335" t="b">
        <f>+ISNUMBER(SEARCH(CompConta!$F$23,Tabla11[[#This Row],[Cuenta]],1))</f>
        <v>1</v>
      </c>
      <c r="AY335" t="b">
        <f>+ISNUMBER(SEARCH(CompConta!$F$24,Tabla11[[#This Row],[Cuenta]],1))</f>
        <v>1</v>
      </c>
      <c r="AZ335" t="b">
        <f>+ISNUMBER(SEARCH(CompConta!$F$25,Tabla11[[#This Row],[Cuenta]],1))</f>
        <v>1</v>
      </c>
      <c r="BA335" t="b">
        <f>+ISNUMBER(SEARCH(CompConta!$F$26,Tabla11[[#This Row],[Cuenta]],1))</f>
        <v>1</v>
      </c>
      <c r="BB335" t="b">
        <f>+ISNUMBER(SEARCH(CompConta!$F$27,Tabla11[[#This Row],[Cuenta]],1))</f>
        <v>1</v>
      </c>
      <c r="BC335" t="b">
        <f>+ISNUMBER(SEARCH(CompConta!$F$28,Tabla11[[#This Row],[Cuenta]],1))</f>
        <v>1</v>
      </c>
      <c r="BD335" t="b">
        <f>+ISNUMBER(SEARCH(CompConta!$F$29,Tabla11[[#This Row],[Cuenta]],1))</f>
        <v>1</v>
      </c>
      <c r="BE335" t="b">
        <f>+ISNUMBER(SEARCH(CompConta!$F$30,Tabla11[[#This Row],[Cuenta]],1))</f>
        <v>1</v>
      </c>
      <c r="BF335" t="b">
        <f>+ISNUMBER(SEARCH('PAGO Compras'!$E$11,Tabla11[[#This Row],[Cuenta]],1))</f>
        <v>1</v>
      </c>
      <c r="BG335" t="b">
        <f>+ISNUMBER(SEARCH(#REF!,Tabla11[[#This Row],[Cuenta]],1))</f>
        <v>0</v>
      </c>
      <c r="BH335" t="b">
        <f>+ISNUMBER(SEARCH(#REF!,Tabla11[[#This Row],[Cuenta]],1))</f>
        <v>0</v>
      </c>
      <c r="BI335" t="b">
        <f>+ISNUMBER(SEARCH(#REF!,Tabla11[[#This Row],[Cuenta]],1))</f>
        <v>0</v>
      </c>
      <c r="BJ335" t="b">
        <f>+ISNUMBER(SEARCH(#REF!,Tabla11[[#This Row],[Cuenta]],1))</f>
        <v>0</v>
      </c>
      <c r="BS335" t="str">
        <v>171028 Contribuciones y afiliaciones</v>
      </c>
      <c r="BT335" t="str">
        <v>171028 Contribuciones y afiliaciones</v>
      </c>
      <c r="BU335" t="str">
        <v>171028 Contribuciones y afiliaciones</v>
      </c>
      <c r="BV335" t="str">
        <v>171028 Contribuciones y afiliaciones</v>
      </c>
      <c r="BZ335" t="str">
        <v>171028 Contribuciones y afiliaciones</v>
      </c>
      <c r="CA335" t="str">
        <v>171028 Contribuciones y afiliaciones</v>
      </c>
      <c r="CB335" t="str">
        <v>171028 Contribuciones y afiliaciones</v>
      </c>
      <c r="CC335" t="str">
        <v>171028 Contribuciones y afiliaciones</v>
      </c>
      <c r="CD335" t="str">
        <v>171028 Contribuciones y afiliaciones</v>
      </c>
      <c r="CE335" t="str">
        <v>171028 Contribuciones y afiliaciones</v>
      </c>
      <c r="CS335" s="141" t="str">
        <v>171028 Contribuciones y afiliaciones</v>
      </c>
      <c r="CT335" s="141" t="str">
        <v>171028 Contribuciones y afiliaciones</v>
      </c>
      <c r="CU335" s="141" t="str">
        <v>171028 Contribuciones y afiliaciones</v>
      </c>
      <c r="CV335" s="141" t="str">
        <v>171028 Contribuciones y afiliaciones</v>
      </c>
      <c r="CW335" s="141" t="str">
        <v>171028 Contribuciones y afiliaciones</v>
      </c>
      <c r="CX335" s="141" t="str">
        <v>171028 Contribuciones y afiliaciones</v>
      </c>
      <c r="CY335" s="141" t="str">
        <v>171028 Contribuciones y afiliaciones</v>
      </c>
      <c r="CZ335" s="141" t="str">
        <v>171028 Contribuciones y afiliaciones</v>
      </c>
      <c r="DA335" s="141" t="str">
        <v>171028 Contribuciones y afiliaciones</v>
      </c>
      <c r="DF335" t="str">
        <v>171028 Contribuciones y afiliaciones</v>
      </c>
      <c r="DG335" t="str">
        <v>171028 Contribuciones y afiliaciones</v>
      </c>
      <c r="DH335" t="str">
        <v>171028 Contribuciones y afiliaciones</v>
      </c>
      <c r="DI335" t="str">
        <v>171028 Contribuciones y afiliaciones</v>
      </c>
      <c r="DJ335" t="str">
        <v>171028 Contribuciones y afiliaciones</v>
      </c>
      <c r="DK335" t="str">
        <v>171028 Contribuciones y afiliaciones</v>
      </c>
      <c r="DL335" t="str">
        <v>171028 Contribuciones y afiliaciones</v>
      </c>
      <c r="DM335" t="str">
        <v>171028 Contribuciones y afiliaciones</v>
      </c>
      <c r="DN335" t="str">
        <v>171028 Contribuciones y afiliaciones</v>
      </c>
      <c r="DO335" t="str">
        <v>171028 Contribuciones y afiliaciones</v>
      </c>
      <c r="DP335" t="str">
        <v>171028 Contribuciones y afiliaciones</v>
      </c>
    </row>
    <row r="336" spans="4:120" ht="12.75">
      <c r="D336" s="7">
        <v>171032</v>
      </c>
      <c r="E336" s="6" t="s">
        <v>271</v>
      </c>
      <c r="F336" s="5">
        <v>4</v>
      </c>
      <c r="G336" s="34" t="s">
        <v>822</v>
      </c>
      <c r="H336" s="8" t="s">
        <v>32</v>
      </c>
      <c r="I336" t="b">
        <f>+ISNUMBER(SEARCH('F-COMPRA'!$F$28,Tabla11[[#This Row],[Cuenta]],1))</f>
        <v>1</v>
      </c>
      <c r="J336" t="b">
        <f>+ISNUMBER(SEARCH('F-COMPRA'!$F$29,Tabla11[[#This Row],[Cuenta]],1))</f>
        <v>1</v>
      </c>
      <c r="K336" t="b">
        <f>+ISNUMBER(SEARCH('F-COMPRA'!$F$30,Tabla11[[#This Row],[Cuenta]],1))</f>
        <v>1</v>
      </c>
      <c r="L336" t="b">
        <f>+ISNUMBER(SEARCH('F-COMPRA'!$F$31,Tabla11[[#This Row],[Cuenta]],1))</f>
        <v>1</v>
      </c>
      <c r="M336" t="b">
        <f>+ISNUMBER(SEARCH('F-COMPRA'!$G$25,Tabla11[[#This Row],[Cuenta]],1))</f>
        <v>0</v>
      </c>
      <c r="N336" t="b">
        <f>+ISNUMBER(SEARCH(#REF!,Tabla11[[#This Row],[Cuenta]],1))</f>
        <v>0</v>
      </c>
      <c r="O336" t="b">
        <f>+ISNUMBER(SEARCH(#REF!,Tabla11[[#This Row],[Cuenta]],1))</f>
        <v>0</v>
      </c>
      <c r="P336" t="b">
        <f>+ISNUMBER(SEARCH('F-COMPRA'!$F$32,Tabla11[[#This Row],[Cuenta]],1))</f>
        <v>1</v>
      </c>
      <c r="Q336" t="b">
        <f>+ISNUMBER(SEARCH('F-COMPRA'!$F$33,Tabla11[[#This Row],[Cuenta]],1))</f>
        <v>1</v>
      </c>
      <c r="R336" t="b">
        <f>+ISNUMBER(SEARCH('F-COMPRA'!$F$34,Tabla11[[#This Row],[Cuenta]],1))</f>
        <v>1</v>
      </c>
      <c r="S336" t="b">
        <f>+ISNUMBER(SEARCH('F-COMPRA'!$F$35,Tabla11[[#This Row],[Cuenta]],1))</f>
        <v>1</v>
      </c>
      <c r="T336" t="b">
        <f>+ISNUMBER(SEARCH('F-COMPRA'!$F$36,Tabla11[[#This Row],[Cuenta]],1))</f>
        <v>1</v>
      </c>
      <c r="U336" t="b">
        <f>+ISNUMBER(SEARCH('F-COMPRA'!$F$37,Tabla11[[#This Row],[Cuenta]],1))</f>
        <v>1</v>
      </c>
      <c r="V336" t="b">
        <f>+ISNUMBER(SEARCH(#REF!,Tabla11[[#This Row],[Cuenta]],1))</f>
        <v>0</v>
      </c>
      <c r="W336" t="b">
        <f>+ISNUMBER(SEARCH('F-COMPRA'!#REF!,Tabla11[[#This Row],[Cuenta]],1))</f>
        <v>0</v>
      </c>
      <c r="X336" t="b">
        <f>+ISNUMBER(SEARCH('F-COMPRA'!#REF!,Tabla11[[#This Row],[Cuenta]],1))</f>
        <v>0</v>
      </c>
      <c r="Y336" t="b">
        <f>+ISNUMBER(SEARCH('F-COMPRA'!#REF!,Tabla11[[#This Row],[Cuenta]],1))</f>
        <v>0</v>
      </c>
      <c r="Z336" t="b">
        <f>+ISNUMBER(SEARCH('F-COMPRA'!#REF!,Tabla11[[#This Row],[Cuenta]],1))</f>
        <v>0</v>
      </c>
      <c r="AA336" t="b">
        <f>+ISNUMBER(SEARCH('F-COMPRA'!#REF!,Tabla11[[#This Row],[Cuenta]],1))</f>
        <v>0</v>
      </c>
      <c r="AB336" t="b">
        <f>+ISNUMBER(SEARCH('F-COMPRA'!#REF!,Tabla11[[#This Row],[Cuenta]],1))</f>
        <v>0</v>
      </c>
      <c r="AC336" t="b">
        <f>+ISNUMBER(SEARCH('F-COMPRA'!#REF!,Tabla11[[#This Row],[Cuenta]],1))</f>
        <v>0</v>
      </c>
      <c r="AD336" t="b">
        <f>+ISNUMBER(SEARCH('F-COMPRA'!#REF!,Tabla11[[#This Row],[Cuenta]],1))</f>
        <v>0</v>
      </c>
      <c r="AE336" t="b">
        <f>+ISNUMBER(SEARCH('F-COMPRA'!#REF!,Tabla11[[#This Row],[Cuenta]],1))</f>
        <v>0</v>
      </c>
      <c r="AF336" t="b">
        <f>+ISNUMBER(SEARCH('F-VTA'!$G$23,Tabla11[[#This Row],[Cuenta]],1))</f>
        <v>0</v>
      </c>
      <c r="AG336" t="b">
        <f>+ISNUMBER(SEARCH('F-VTA'!$G$24,Tabla11[[#This Row],[Cuenta]],1))</f>
        <v>0</v>
      </c>
      <c r="AH336" t="b">
        <f>+ISNUMBER(SEARCH('F-VTA'!$G$25,Tabla11[[#This Row],[Cuenta]],1))</f>
        <v>0</v>
      </c>
      <c r="AI336" t="b">
        <f>+ISNUMBER(SEARCH('F-VTA'!$F$28,Tabla11[[#This Row],[Cuenta]],1))</f>
        <v>1</v>
      </c>
      <c r="AJ336" t="b">
        <f>+ISNUMBER(SEARCH('F-VTA'!$F$29,Tabla11[[#This Row],[Cuenta]],1))</f>
        <v>1</v>
      </c>
      <c r="AK336" t="b">
        <f>+ISNUMBER(SEARCH('F-VTA'!$F$30,Tabla11[[#This Row],[Cuenta]],1))</f>
        <v>1</v>
      </c>
      <c r="AL336" t="b">
        <f>+ISNUMBER(SEARCH('F-VTA'!$F$31,Tabla11[[#This Row],[Cuenta]],1))</f>
        <v>1</v>
      </c>
      <c r="AM336" t="b">
        <f>+ISNUMBER(SEARCH('F-VTA'!$F$32,Tabla11[[#This Row],[Cuenta]],1))</f>
        <v>1</v>
      </c>
      <c r="AN336" t="b">
        <f>+ISNUMBER(SEARCH('F-VTA'!$F$33,Tabla11[[#This Row],[Cuenta]],1))</f>
        <v>1</v>
      </c>
      <c r="AO336" t="b">
        <f>+ISNUMBER(SEARCH('F-VTA'!$F$34,Tabla11[[#This Row],[Cuenta]],1))</f>
        <v>1</v>
      </c>
      <c r="AP336" t="b">
        <f>+ISNUMBER(SEARCH('F-VTA'!$F$35,Tabla11[[#This Row],[Cuenta]],1))</f>
        <v>1</v>
      </c>
      <c r="AQ336" t="b">
        <f>+ISNUMBER(SEARCH('F-VTA'!$F$36,Tabla11[[#This Row],[Cuenta]],1))</f>
        <v>1</v>
      </c>
      <c r="AR336" t="b">
        <f>+ISNUMBER(SEARCH(#REF!,Tabla11[[#This Row],[Cuenta]],1))</f>
        <v>0</v>
      </c>
      <c r="AS336" t="b">
        <f>+ISNUMBER(SEARCH(#REF!,Tabla11[[#This Row],[Cuenta]],1))</f>
        <v>0</v>
      </c>
      <c r="AT336" t="b">
        <f>+ISNUMBER(SEARCH(#REF!,Tabla11[[#This Row],[Cuenta]],1))</f>
        <v>0</v>
      </c>
      <c r="AU336" t="b">
        <f>+ISNUMBER(SEARCH('Conc. Ban.1'!$I$9,Tabla11[[#This Row],[Cuenta]],1))</f>
        <v>0</v>
      </c>
      <c r="AV336" t="b">
        <f>+ISNUMBER(SEARCH(CompConta!$F$21,Tabla11[[#This Row],[Cuenta]],1))</f>
        <v>1</v>
      </c>
      <c r="AW336" t="b">
        <f>+ISNUMBER(SEARCH(CompConta!$F$22,Tabla11[[#This Row],[Cuenta]],1))</f>
        <v>1</v>
      </c>
      <c r="AX336" t="b">
        <f>+ISNUMBER(SEARCH(CompConta!$F$23,Tabla11[[#This Row],[Cuenta]],1))</f>
        <v>1</v>
      </c>
      <c r="AY336" t="b">
        <f>+ISNUMBER(SEARCH(CompConta!$F$24,Tabla11[[#This Row],[Cuenta]],1))</f>
        <v>1</v>
      </c>
      <c r="AZ336" t="b">
        <f>+ISNUMBER(SEARCH(CompConta!$F$25,Tabla11[[#This Row],[Cuenta]],1))</f>
        <v>1</v>
      </c>
      <c r="BA336" t="b">
        <f>+ISNUMBER(SEARCH(CompConta!$F$26,Tabla11[[#This Row],[Cuenta]],1))</f>
        <v>1</v>
      </c>
      <c r="BB336" t="b">
        <f>+ISNUMBER(SEARCH(CompConta!$F$27,Tabla11[[#This Row],[Cuenta]],1))</f>
        <v>1</v>
      </c>
      <c r="BC336" t="b">
        <f>+ISNUMBER(SEARCH(CompConta!$F$28,Tabla11[[#This Row],[Cuenta]],1))</f>
        <v>1</v>
      </c>
      <c r="BD336" t="b">
        <f>+ISNUMBER(SEARCH(CompConta!$F$29,Tabla11[[#This Row],[Cuenta]],1))</f>
        <v>1</v>
      </c>
      <c r="BE336" t="b">
        <f>+ISNUMBER(SEARCH(CompConta!$F$30,Tabla11[[#This Row],[Cuenta]],1))</f>
        <v>1</v>
      </c>
      <c r="BF336" t="b">
        <f>+ISNUMBER(SEARCH('PAGO Compras'!$E$11,Tabla11[[#This Row],[Cuenta]],1))</f>
        <v>1</v>
      </c>
      <c r="BG336" t="b">
        <f>+ISNUMBER(SEARCH(#REF!,Tabla11[[#This Row],[Cuenta]],1))</f>
        <v>0</v>
      </c>
      <c r="BH336" t="b">
        <f>+ISNUMBER(SEARCH(#REF!,Tabla11[[#This Row],[Cuenta]],1))</f>
        <v>0</v>
      </c>
      <c r="BI336" t="b">
        <f>+ISNUMBER(SEARCH(#REF!,Tabla11[[#This Row],[Cuenta]],1))</f>
        <v>0</v>
      </c>
      <c r="BJ336" t="b">
        <f>+ISNUMBER(SEARCH(#REF!,Tabla11[[#This Row],[Cuenta]],1))</f>
        <v>0</v>
      </c>
      <c r="BS336" t="str">
        <v>171032 Entrenamiento de personal</v>
      </c>
      <c r="BT336" t="str">
        <v>171032 Entrenamiento de personal</v>
      </c>
      <c r="BU336" t="str">
        <v>171032 Entrenamiento de personal</v>
      </c>
      <c r="BV336" t="str">
        <v>171032 Entrenamiento de personal</v>
      </c>
      <c r="BZ336" t="str">
        <v>171032 Entrenamiento de personal</v>
      </c>
      <c r="CA336" t="str">
        <v>171032 Entrenamiento de personal</v>
      </c>
      <c r="CB336" t="str">
        <v>171032 Entrenamiento de personal</v>
      </c>
      <c r="CC336" t="str">
        <v>171032 Entrenamiento de personal</v>
      </c>
      <c r="CD336" t="str">
        <v>171032 Entrenamiento de personal</v>
      </c>
      <c r="CE336" t="str">
        <v>171032 Entrenamiento de personal</v>
      </c>
      <c r="CS336" s="141" t="str">
        <v>171032 Entrenamiento de personal</v>
      </c>
      <c r="CT336" s="141" t="str">
        <v>171032 Entrenamiento de personal</v>
      </c>
      <c r="CU336" s="141" t="str">
        <v>171032 Entrenamiento de personal</v>
      </c>
      <c r="CV336" s="141" t="str">
        <v>171032 Entrenamiento de personal</v>
      </c>
      <c r="CW336" s="141" t="str">
        <v>171032 Entrenamiento de personal</v>
      </c>
      <c r="CX336" s="141" t="str">
        <v>171032 Entrenamiento de personal</v>
      </c>
      <c r="CY336" s="141" t="str">
        <v>171032 Entrenamiento de personal</v>
      </c>
      <c r="CZ336" s="141" t="str">
        <v>171032 Entrenamiento de personal</v>
      </c>
      <c r="DA336" s="141" t="str">
        <v>171032 Entrenamiento de personal</v>
      </c>
      <c r="DF336" t="str">
        <v>171032 Entrenamiento de personal</v>
      </c>
      <c r="DG336" t="str">
        <v>171032 Entrenamiento de personal</v>
      </c>
      <c r="DH336" t="str">
        <v>171032 Entrenamiento de personal</v>
      </c>
      <c r="DI336" t="str">
        <v>171032 Entrenamiento de personal</v>
      </c>
      <c r="DJ336" t="str">
        <v>171032 Entrenamiento de personal</v>
      </c>
      <c r="DK336" t="str">
        <v>171032 Entrenamiento de personal</v>
      </c>
      <c r="DL336" t="str">
        <v>171032 Entrenamiento de personal</v>
      </c>
      <c r="DM336" t="str">
        <v>171032 Entrenamiento de personal</v>
      </c>
      <c r="DN336" t="str">
        <v>171032 Entrenamiento de personal</v>
      </c>
      <c r="DO336" t="str">
        <v>171032 Entrenamiento de personal</v>
      </c>
      <c r="DP336" t="str">
        <v>171032 Entrenamiento de personal</v>
      </c>
    </row>
    <row r="337" spans="4:120" ht="12.75">
      <c r="D337" s="7">
        <v>171036</v>
      </c>
      <c r="E337" s="6" t="s">
        <v>272</v>
      </c>
      <c r="F337" s="5">
        <v>4</v>
      </c>
      <c r="G337" s="34" t="s">
        <v>822</v>
      </c>
      <c r="H337" s="8" t="s">
        <v>32</v>
      </c>
      <c r="I337" t="b">
        <f>+ISNUMBER(SEARCH('F-COMPRA'!$F$28,Tabla11[[#This Row],[Cuenta]],1))</f>
        <v>1</v>
      </c>
      <c r="J337" t="b">
        <f>+ISNUMBER(SEARCH('F-COMPRA'!$F$29,Tabla11[[#This Row],[Cuenta]],1))</f>
        <v>1</v>
      </c>
      <c r="K337" t="b">
        <f>+ISNUMBER(SEARCH('F-COMPRA'!$F$30,Tabla11[[#This Row],[Cuenta]],1))</f>
        <v>1</v>
      </c>
      <c r="L337" t="b">
        <f>+ISNUMBER(SEARCH('F-COMPRA'!$F$31,Tabla11[[#This Row],[Cuenta]],1))</f>
        <v>1</v>
      </c>
      <c r="M337" t="b">
        <f>+ISNUMBER(SEARCH('F-COMPRA'!$G$25,Tabla11[[#This Row],[Cuenta]],1))</f>
        <v>0</v>
      </c>
      <c r="N337" t="b">
        <f>+ISNUMBER(SEARCH(#REF!,Tabla11[[#This Row],[Cuenta]],1))</f>
        <v>0</v>
      </c>
      <c r="O337" t="b">
        <f>+ISNUMBER(SEARCH(#REF!,Tabla11[[#This Row],[Cuenta]],1))</f>
        <v>0</v>
      </c>
      <c r="P337" t="b">
        <f>+ISNUMBER(SEARCH('F-COMPRA'!$F$32,Tabla11[[#This Row],[Cuenta]],1))</f>
        <v>1</v>
      </c>
      <c r="Q337" t="b">
        <f>+ISNUMBER(SEARCH('F-COMPRA'!$F$33,Tabla11[[#This Row],[Cuenta]],1))</f>
        <v>1</v>
      </c>
      <c r="R337" t="b">
        <f>+ISNUMBER(SEARCH('F-COMPRA'!$F$34,Tabla11[[#This Row],[Cuenta]],1))</f>
        <v>1</v>
      </c>
      <c r="S337" t="b">
        <f>+ISNUMBER(SEARCH('F-COMPRA'!$F$35,Tabla11[[#This Row],[Cuenta]],1))</f>
        <v>1</v>
      </c>
      <c r="T337" t="b">
        <f>+ISNUMBER(SEARCH('F-COMPRA'!$F$36,Tabla11[[#This Row],[Cuenta]],1))</f>
        <v>1</v>
      </c>
      <c r="U337" t="b">
        <f>+ISNUMBER(SEARCH('F-COMPRA'!$F$37,Tabla11[[#This Row],[Cuenta]],1))</f>
        <v>1</v>
      </c>
      <c r="V337" t="b">
        <f>+ISNUMBER(SEARCH(#REF!,Tabla11[[#This Row],[Cuenta]],1))</f>
        <v>0</v>
      </c>
      <c r="W337" t="b">
        <f>+ISNUMBER(SEARCH('F-COMPRA'!#REF!,Tabla11[[#This Row],[Cuenta]],1))</f>
        <v>0</v>
      </c>
      <c r="X337" t="b">
        <f>+ISNUMBER(SEARCH('F-COMPRA'!#REF!,Tabla11[[#This Row],[Cuenta]],1))</f>
        <v>0</v>
      </c>
      <c r="Y337" t="b">
        <f>+ISNUMBER(SEARCH('F-COMPRA'!#REF!,Tabla11[[#This Row],[Cuenta]],1))</f>
        <v>0</v>
      </c>
      <c r="Z337" t="b">
        <f>+ISNUMBER(SEARCH('F-COMPRA'!#REF!,Tabla11[[#This Row],[Cuenta]],1))</f>
        <v>0</v>
      </c>
      <c r="AA337" t="b">
        <f>+ISNUMBER(SEARCH('F-COMPRA'!#REF!,Tabla11[[#This Row],[Cuenta]],1))</f>
        <v>0</v>
      </c>
      <c r="AB337" t="b">
        <f>+ISNUMBER(SEARCH('F-COMPRA'!#REF!,Tabla11[[#This Row],[Cuenta]],1))</f>
        <v>0</v>
      </c>
      <c r="AC337" t="b">
        <f>+ISNUMBER(SEARCH('F-COMPRA'!#REF!,Tabla11[[#This Row],[Cuenta]],1))</f>
        <v>0</v>
      </c>
      <c r="AD337" t="b">
        <f>+ISNUMBER(SEARCH('F-COMPRA'!#REF!,Tabla11[[#This Row],[Cuenta]],1))</f>
        <v>0</v>
      </c>
      <c r="AE337" t="b">
        <f>+ISNUMBER(SEARCH('F-COMPRA'!#REF!,Tabla11[[#This Row],[Cuenta]],1))</f>
        <v>0</v>
      </c>
      <c r="AF337" t="b">
        <f>+ISNUMBER(SEARCH('F-VTA'!$G$23,Tabla11[[#This Row],[Cuenta]],1))</f>
        <v>0</v>
      </c>
      <c r="AG337" t="b">
        <f>+ISNUMBER(SEARCH('F-VTA'!$G$24,Tabla11[[#This Row],[Cuenta]],1))</f>
        <v>0</v>
      </c>
      <c r="AH337" t="b">
        <f>+ISNUMBER(SEARCH('F-VTA'!$G$25,Tabla11[[#This Row],[Cuenta]],1))</f>
        <v>0</v>
      </c>
      <c r="AI337" t="b">
        <f>+ISNUMBER(SEARCH('F-VTA'!$F$28,Tabla11[[#This Row],[Cuenta]],1))</f>
        <v>1</v>
      </c>
      <c r="AJ337" t="b">
        <f>+ISNUMBER(SEARCH('F-VTA'!$F$29,Tabla11[[#This Row],[Cuenta]],1))</f>
        <v>1</v>
      </c>
      <c r="AK337" t="b">
        <f>+ISNUMBER(SEARCH('F-VTA'!$F$30,Tabla11[[#This Row],[Cuenta]],1))</f>
        <v>1</v>
      </c>
      <c r="AL337" t="b">
        <f>+ISNUMBER(SEARCH('F-VTA'!$F$31,Tabla11[[#This Row],[Cuenta]],1))</f>
        <v>1</v>
      </c>
      <c r="AM337" t="b">
        <f>+ISNUMBER(SEARCH('F-VTA'!$F$32,Tabla11[[#This Row],[Cuenta]],1))</f>
        <v>1</v>
      </c>
      <c r="AN337" t="b">
        <f>+ISNUMBER(SEARCH('F-VTA'!$F$33,Tabla11[[#This Row],[Cuenta]],1))</f>
        <v>1</v>
      </c>
      <c r="AO337" t="b">
        <f>+ISNUMBER(SEARCH('F-VTA'!$F$34,Tabla11[[#This Row],[Cuenta]],1))</f>
        <v>1</v>
      </c>
      <c r="AP337" t="b">
        <f>+ISNUMBER(SEARCH('F-VTA'!$F$35,Tabla11[[#This Row],[Cuenta]],1))</f>
        <v>1</v>
      </c>
      <c r="AQ337" t="b">
        <f>+ISNUMBER(SEARCH('F-VTA'!$F$36,Tabla11[[#This Row],[Cuenta]],1))</f>
        <v>1</v>
      </c>
      <c r="AR337" t="b">
        <f>+ISNUMBER(SEARCH(#REF!,Tabla11[[#This Row],[Cuenta]],1))</f>
        <v>0</v>
      </c>
      <c r="AS337" t="b">
        <f>+ISNUMBER(SEARCH(#REF!,Tabla11[[#This Row],[Cuenta]],1))</f>
        <v>0</v>
      </c>
      <c r="AT337" t="b">
        <f>+ISNUMBER(SEARCH(#REF!,Tabla11[[#This Row],[Cuenta]],1))</f>
        <v>0</v>
      </c>
      <c r="AU337" t="b">
        <f>+ISNUMBER(SEARCH('Conc. Ban.1'!$I$9,Tabla11[[#This Row],[Cuenta]],1))</f>
        <v>0</v>
      </c>
      <c r="AV337" t="b">
        <f>+ISNUMBER(SEARCH(CompConta!$F$21,Tabla11[[#This Row],[Cuenta]],1))</f>
        <v>1</v>
      </c>
      <c r="AW337" t="b">
        <f>+ISNUMBER(SEARCH(CompConta!$F$22,Tabla11[[#This Row],[Cuenta]],1))</f>
        <v>1</v>
      </c>
      <c r="AX337" t="b">
        <f>+ISNUMBER(SEARCH(CompConta!$F$23,Tabla11[[#This Row],[Cuenta]],1))</f>
        <v>1</v>
      </c>
      <c r="AY337" t="b">
        <f>+ISNUMBER(SEARCH(CompConta!$F$24,Tabla11[[#This Row],[Cuenta]],1))</f>
        <v>1</v>
      </c>
      <c r="AZ337" t="b">
        <f>+ISNUMBER(SEARCH(CompConta!$F$25,Tabla11[[#This Row],[Cuenta]],1))</f>
        <v>1</v>
      </c>
      <c r="BA337" t="b">
        <f>+ISNUMBER(SEARCH(CompConta!$F$26,Tabla11[[#This Row],[Cuenta]],1))</f>
        <v>1</v>
      </c>
      <c r="BB337" t="b">
        <f>+ISNUMBER(SEARCH(CompConta!$F$27,Tabla11[[#This Row],[Cuenta]],1))</f>
        <v>1</v>
      </c>
      <c r="BC337" t="b">
        <f>+ISNUMBER(SEARCH(CompConta!$F$28,Tabla11[[#This Row],[Cuenta]],1))</f>
        <v>1</v>
      </c>
      <c r="BD337" t="b">
        <f>+ISNUMBER(SEARCH(CompConta!$F$29,Tabla11[[#This Row],[Cuenta]],1))</f>
        <v>1</v>
      </c>
      <c r="BE337" t="b">
        <f>+ISNUMBER(SEARCH(CompConta!$F$30,Tabla11[[#This Row],[Cuenta]],1))</f>
        <v>1</v>
      </c>
      <c r="BF337" t="b">
        <f>+ISNUMBER(SEARCH('PAGO Compras'!$E$11,Tabla11[[#This Row],[Cuenta]],1))</f>
        <v>1</v>
      </c>
      <c r="BG337" t="b">
        <f>+ISNUMBER(SEARCH(#REF!,Tabla11[[#This Row],[Cuenta]],1))</f>
        <v>0</v>
      </c>
      <c r="BH337" t="b">
        <f>+ISNUMBER(SEARCH(#REF!,Tabla11[[#This Row],[Cuenta]],1))</f>
        <v>0</v>
      </c>
      <c r="BI337" t="b">
        <f>+ISNUMBER(SEARCH(#REF!,Tabla11[[#This Row],[Cuenta]],1))</f>
        <v>0</v>
      </c>
      <c r="BJ337" t="b">
        <f>+ISNUMBER(SEARCH(#REF!,Tabla11[[#This Row],[Cuenta]],1))</f>
        <v>0</v>
      </c>
      <c r="BS337" t="str">
        <v>171036 Ferias y exposiciones</v>
      </c>
      <c r="BT337" t="str">
        <v>171036 Ferias y exposiciones</v>
      </c>
      <c r="BU337" t="str">
        <v>171036 Ferias y exposiciones</v>
      </c>
      <c r="BV337" t="str">
        <v>171036 Ferias y exposiciones</v>
      </c>
      <c r="BZ337" t="str">
        <v>171036 Ferias y exposiciones</v>
      </c>
      <c r="CA337" t="str">
        <v>171036 Ferias y exposiciones</v>
      </c>
      <c r="CB337" t="str">
        <v>171036 Ferias y exposiciones</v>
      </c>
      <c r="CC337" t="str">
        <v>171036 Ferias y exposiciones</v>
      </c>
      <c r="CD337" t="str">
        <v>171036 Ferias y exposiciones</v>
      </c>
      <c r="CE337" t="str">
        <v>171036 Ferias y exposiciones</v>
      </c>
      <c r="CS337" s="141" t="str">
        <v>171036 Ferias y exposiciones</v>
      </c>
      <c r="CT337" s="141" t="str">
        <v>171036 Ferias y exposiciones</v>
      </c>
      <c r="CU337" s="141" t="str">
        <v>171036 Ferias y exposiciones</v>
      </c>
      <c r="CV337" s="141" t="str">
        <v>171036 Ferias y exposiciones</v>
      </c>
      <c r="CW337" s="141" t="str">
        <v>171036 Ferias y exposiciones</v>
      </c>
      <c r="CX337" s="141" t="str">
        <v>171036 Ferias y exposiciones</v>
      </c>
      <c r="CY337" s="141" t="str">
        <v>171036 Ferias y exposiciones</v>
      </c>
      <c r="CZ337" s="141" t="str">
        <v>171036 Ferias y exposiciones</v>
      </c>
      <c r="DA337" s="141" t="str">
        <v>171036 Ferias y exposiciones</v>
      </c>
      <c r="DF337" t="str">
        <v>171036 Ferias y exposiciones</v>
      </c>
      <c r="DG337" t="str">
        <v>171036 Ferias y exposiciones</v>
      </c>
      <c r="DH337" t="str">
        <v>171036 Ferias y exposiciones</v>
      </c>
      <c r="DI337" t="str">
        <v>171036 Ferias y exposiciones</v>
      </c>
      <c r="DJ337" t="str">
        <v>171036 Ferias y exposiciones</v>
      </c>
      <c r="DK337" t="str">
        <v>171036 Ferias y exposiciones</v>
      </c>
      <c r="DL337" t="str">
        <v>171036 Ferias y exposiciones</v>
      </c>
      <c r="DM337" t="str">
        <v>171036 Ferias y exposiciones</v>
      </c>
      <c r="DN337" t="str">
        <v>171036 Ferias y exposiciones</v>
      </c>
      <c r="DO337" t="str">
        <v>171036 Ferias y exposiciones</v>
      </c>
      <c r="DP337" t="str">
        <v>171036 Ferias y exposiciones</v>
      </c>
    </row>
    <row r="338" spans="4:120" ht="12.75">
      <c r="D338" s="7">
        <v>171040</v>
      </c>
      <c r="E338" s="6" t="s">
        <v>256</v>
      </c>
      <c r="F338" s="5">
        <v>4</v>
      </c>
      <c r="G338" s="34" t="s">
        <v>822</v>
      </c>
      <c r="H338" s="8" t="s">
        <v>32</v>
      </c>
      <c r="I338" t="b">
        <f>+ISNUMBER(SEARCH('F-COMPRA'!$F$28,Tabla11[[#This Row],[Cuenta]],1))</f>
        <v>1</v>
      </c>
      <c r="J338" t="b">
        <f>+ISNUMBER(SEARCH('F-COMPRA'!$F$29,Tabla11[[#This Row],[Cuenta]],1))</f>
        <v>1</v>
      </c>
      <c r="K338" t="b">
        <f>+ISNUMBER(SEARCH('F-COMPRA'!$F$30,Tabla11[[#This Row],[Cuenta]],1))</f>
        <v>1</v>
      </c>
      <c r="L338" t="b">
        <f>+ISNUMBER(SEARCH('F-COMPRA'!$F$31,Tabla11[[#This Row],[Cuenta]],1))</f>
        <v>1</v>
      </c>
      <c r="M338" t="b">
        <f>+ISNUMBER(SEARCH('F-COMPRA'!$G$25,Tabla11[[#This Row],[Cuenta]],1))</f>
        <v>0</v>
      </c>
      <c r="N338" t="b">
        <f>+ISNUMBER(SEARCH(#REF!,Tabla11[[#This Row],[Cuenta]],1))</f>
        <v>0</v>
      </c>
      <c r="O338" t="b">
        <f>+ISNUMBER(SEARCH(#REF!,Tabla11[[#This Row],[Cuenta]],1))</f>
        <v>0</v>
      </c>
      <c r="P338" t="b">
        <f>+ISNUMBER(SEARCH('F-COMPRA'!$F$32,Tabla11[[#This Row],[Cuenta]],1))</f>
        <v>1</v>
      </c>
      <c r="Q338" t="b">
        <f>+ISNUMBER(SEARCH('F-COMPRA'!$F$33,Tabla11[[#This Row],[Cuenta]],1))</f>
        <v>1</v>
      </c>
      <c r="R338" t="b">
        <f>+ISNUMBER(SEARCH('F-COMPRA'!$F$34,Tabla11[[#This Row],[Cuenta]],1))</f>
        <v>1</v>
      </c>
      <c r="S338" t="b">
        <f>+ISNUMBER(SEARCH('F-COMPRA'!$F$35,Tabla11[[#This Row],[Cuenta]],1))</f>
        <v>1</v>
      </c>
      <c r="T338" t="b">
        <f>+ISNUMBER(SEARCH('F-COMPRA'!$F$36,Tabla11[[#This Row],[Cuenta]],1))</f>
        <v>1</v>
      </c>
      <c r="U338" t="b">
        <f>+ISNUMBER(SEARCH('F-COMPRA'!$F$37,Tabla11[[#This Row],[Cuenta]],1))</f>
        <v>1</v>
      </c>
      <c r="V338" t="b">
        <f>+ISNUMBER(SEARCH(#REF!,Tabla11[[#This Row],[Cuenta]],1))</f>
        <v>0</v>
      </c>
      <c r="W338" t="b">
        <f>+ISNUMBER(SEARCH('F-COMPRA'!#REF!,Tabla11[[#This Row],[Cuenta]],1))</f>
        <v>0</v>
      </c>
      <c r="X338" t="b">
        <f>+ISNUMBER(SEARCH('F-COMPRA'!#REF!,Tabla11[[#This Row],[Cuenta]],1))</f>
        <v>0</v>
      </c>
      <c r="Y338" t="b">
        <f>+ISNUMBER(SEARCH('F-COMPRA'!#REF!,Tabla11[[#This Row],[Cuenta]],1))</f>
        <v>0</v>
      </c>
      <c r="Z338" t="b">
        <f>+ISNUMBER(SEARCH('F-COMPRA'!#REF!,Tabla11[[#This Row],[Cuenta]],1))</f>
        <v>0</v>
      </c>
      <c r="AA338" t="b">
        <f>+ISNUMBER(SEARCH('F-COMPRA'!#REF!,Tabla11[[#This Row],[Cuenta]],1))</f>
        <v>0</v>
      </c>
      <c r="AB338" t="b">
        <f>+ISNUMBER(SEARCH('F-COMPRA'!#REF!,Tabla11[[#This Row],[Cuenta]],1))</f>
        <v>0</v>
      </c>
      <c r="AC338" t="b">
        <f>+ISNUMBER(SEARCH('F-COMPRA'!#REF!,Tabla11[[#This Row],[Cuenta]],1))</f>
        <v>0</v>
      </c>
      <c r="AD338" t="b">
        <f>+ISNUMBER(SEARCH('F-COMPRA'!#REF!,Tabla11[[#This Row],[Cuenta]],1))</f>
        <v>0</v>
      </c>
      <c r="AE338" t="b">
        <f>+ISNUMBER(SEARCH('F-COMPRA'!#REF!,Tabla11[[#This Row],[Cuenta]],1))</f>
        <v>0</v>
      </c>
      <c r="AF338" t="b">
        <f>+ISNUMBER(SEARCH('F-VTA'!$G$23,Tabla11[[#This Row],[Cuenta]],1))</f>
        <v>0</v>
      </c>
      <c r="AG338" t="b">
        <f>+ISNUMBER(SEARCH('F-VTA'!$G$24,Tabla11[[#This Row],[Cuenta]],1))</f>
        <v>0</v>
      </c>
      <c r="AH338" t="b">
        <f>+ISNUMBER(SEARCH('F-VTA'!$G$25,Tabla11[[#This Row],[Cuenta]],1))</f>
        <v>0</v>
      </c>
      <c r="AI338" t="b">
        <f>+ISNUMBER(SEARCH('F-VTA'!$F$28,Tabla11[[#This Row],[Cuenta]],1))</f>
        <v>1</v>
      </c>
      <c r="AJ338" t="b">
        <f>+ISNUMBER(SEARCH('F-VTA'!$F$29,Tabla11[[#This Row],[Cuenta]],1))</f>
        <v>1</v>
      </c>
      <c r="AK338" t="b">
        <f>+ISNUMBER(SEARCH('F-VTA'!$F$30,Tabla11[[#This Row],[Cuenta]],1))</f>
        <v>1</v>
      </c>
      <c r="AL338" t="b">
        <f>+ISNUMBER(SEARCH('F-VTA'!$F$31,Tabla11[[#This Row],[Cuenta]],1))</f>
        <v>1</v>
      </c>
      <c r="AM338" t="b">
        <f>+ISNUMBER(SEARCH('F-VTA'!$F$32,Tabla11[[#This Row],[Cuenta]],1))</f>
        <v>1</v>
      </c>
      <c r="AN338" t="b">
        <f>+ISNUMBER(SEARCH('F-VTA'!$F$33,Tabla11[[#This Row],[Cuenta]],1))</f>
        <v>1</v>
      </c>
      <c r="AO338" t="b">
        <f>+ISNUMBER(SEARCH('F-VTA'!$F$34,Tabla11[[#This Row],[Cuenta]],1))</f>
        <v>1</v>
      </c>
      <c r="AP338" t="b">
        <f>+ISNUMBER(SEARCH('F-VTA'!$F$35,Tabla11[[#This Row],[Cuenta]],1))</f>
        <v>1</v>
      </c>
      <c r="AQ338" t="b">
        <f>+ISNUMBER(SEARCH('F-VTA'!$F$36,Tabla11[[#This Row],[Cuenta]],1))</f>
        <v>1</v>
      </c>
      <c r="AR338" t="b">
        <f>+ISNUMBER(SEARCH(#REF!,Tabla11[[#This Row],[Cuenta]],1))</f>
        <v>0</v>
      </c>
      <c r="AS338" t="b">
        <f>+ISNUMBER(SEARCH(#REF!,Tabla11[[#This Row],[Cuenta]],1))</f>
        <v>0</v>
      </c>
      <c r="AT338" t="b">
        <f>+ISNUMBER(SEARCH(#REF!,Tabla11[[#This Row],[Cuenta]],1))</f>
        <v>0</v>
      </c>
      <c r="AU338" t="b">
        <f>+ISNUMBER(SEARCH('Conc. Ban.1'!$I$9,Tabla11[[#This Row],[Cuenta]],1))</f>
        <v>0</v>
      </c>
      <c r="AV338" t="b">
        <f>+ISNUMBER(SEARCH(CompConta!$F$21,Tabla11[[#This Row],[Cuenta]],1))</f>
        <v>1</v>
      </c>
      <c r="AW338" t="b">
        <f>+ISNUMBER(SEARCH(CompConta!$F$22,Tabla11[[#This Row],[Cuenta]],1))</f>
        <v>1</v>
      </c>
      <c r="AX338" t="b">
        <f>+ISNUMBER(SEARCH(CompConta!$F$23,Tabla11[[#This Row],[Cuenta]],1))</f>
        <v>1</v>
      </c>
      <c r="AY338" t="b">
        <f>+ISNUMBER(SEARCH(CompConta!$F$24,Tabla11[[#This Row],[Cuenta]],1))</f>
        <v>1</v>
      </c>
      <c r="AZ338" t="b">
        <f>+ISNUMBER(SEARCH(CompConta!$F$25,Tabla11[[#This Row],[Cuenta]],1))</f>
        <v>1</v>
      </c>
      <c r="BA338" t="b">
        <f>+ISNUMBER(SEARCH(CompConta!$F$26,Tabla11[[#This Row],[Cuenta]],1))</f>
        <v>1</v>
      </c>
      <c r="BB338" t="b">
        <f>+ISNUMBER(SEARCH(CompConta!$F$27,Tabla11[[#This Row],[Cuenta]],1))</f>
        <v>1</v>
      </c>
      <c r="BC338" t="b">
        <f>+ISNUMBER(SEARCH(CompConta!$F$28,Tabla11[[#This Row],[Cuenta]],1))</f>
        <v>1</v>
      </c>
      <c r="BD338" t="b">
        <f>+ISNUMBER(SEARCH(CompConta!$F$29,Tabla11[[#This Row],[Cuenta]],1))</f>
        <v>1</v>
      </c>
      <c r="BE338" t="b">
        <f>+ISNUMBER(SEARCH(CompConta!$F$30,Tabla11[[#This Row],[Cuenta]],1))</f>
        <v>1</v>
      </c>
      <c r="BF338" t="b">
        <f>+ISNUMBER(SEARCH('PAGO Compras'!$E$11,Tabla11[[#This Row],[Cuenta]],1))</f>
        <v>1</v>
      </c>
      <c r="BG338" t="b">
        <f>+ISNUMBER(SEARCH(#REF!,Tabla11[[#This Row],[Cuenta]],1))</f>
        <v>0</v>
      </c>
      <c r="BH338" t="b">
        <f>+ISNUMBER(SEARCH(#REF!,Tabla11[[#This Row],[Cuenta]],1))</f>
        <v>0</v>
      </c>
      <c r="BI338" t="b">
        <f>+ISNUMBER(SEARCH(#REF!,Tabla11[[#This Row],[Cuenta]],1))</f>
        <v>0</v>
      </c>
      <c r="BJ338" t="b">
        <f>+ISNUMBER(SEARCH(#REF!,Tabla11[[#This Row],[Cuenta]],1))</f>
        <v>0</v>
      </c>
      <c r="BS338" t="str">
        <v>171040 Licencias</v>
      </c>
      <c r="BT338" t="str">
        <v>171040 Licencias</v>
      </c>
      <c r="BU338" t="str">
        <v>171040 Licencias</v>
      </c>
      <c r="BV338" t="str">
        <v>171040 Licencias</v>
      </c>
      <c r="BZ338" t="str">
        <v>171040 Licencias</v>
      </c>
      <c r="CA338" t="str">
        <v>171040 Licencias</v>
      </c>
      <c r="CB338" t="str">
        <v>171040 Licencias</v>
      </c>
      <c r="CC338" t="str">
        <v>171040 Licencias</v>
      </c>
      <c r="CD338" t="str">
        <v>171040 Licencias</v>
      </c>
      <c r="CE338" t="str">
        <v>171040 Licencias</v>
      </c>
      <c r="CS338" s="141" t="str">
        <v>171040 Licencias</v>
      </c>
      <c r="CT338" s="141" t="str">
        <v>171040 Licencias</v>
      </c>
      <c r="CU338" s="141" t="str">
        <v>171040 Licencias</v>
      </c>
      <c r="CV338" s="141" t="str">
        <v>171040 Licencias</v>
      </c>
      <c r="CW338" s="141" t="str">
        <v>171040 Licencias</v>
      </c>
      <c r="CX338" s="141" t="str">
        <v>171040 Licencias</v>
      </c>
      <c r="CY338" s="141" t="str">
        <v>171040 Licencias</v>
      </c>
      <c r="CZ338" s="141" t="str">
        <v>171040 Licencias</v>
      </c>
      <c r="DA338" s="141" t="str">
        <v>171040 Licencias</v>
      </c>
      <c r="DF338" t="str">
        <v>171040 Licencias</v>
      </c>
      <c r="DG338" t="str">
        <v>171040 Licencias</v>
      </c>
      <c r="DH338" t="str">
        <v>171040 Licencias</v>
      </c>
      <c r="DI338" t="str">
        <v>171040 Licencias</v>
      </c>
      <c r="DJ338" t="str">
        <v>171040 Licencias</v>
      </c>
      <c r="DK338" t="str">
        <v>171040 Licencias</v>
      </c>
      <c r="DL338" t="str">
        <v>171040 Licencias</v>
      </c>
      <c r="DM338" t="str">
        <v>171040 Licencias</v>
      </c>
      <c r="DN338" t="str">
        <v>171040 Licencias</v>
      </c>
      <c r="DO338" t="str">
        <v>171040 Licencias</v>
      </c>
      <c r="DP338" t="str">
        <v>171040 Licencias</v>
      </c>
    </row>
    <row r="339" spans="4:120" ht="12.75">
      <c r="D339" s="7">
        <v>171044</v>
      </c>
      <c r="E339" s="6" t="s">
        <v>273</v>
      </c>
      <c r="F339" s="5">
        <v>4</v>
      </c>
      <c r="G339" s="34" t="s">
        <v>822</v>
      </c>
      <c r="H339" s="8" t="s">
        <v>32</v>
      </c>
      <c r="I339" t="b">
        <f>+ISNUMBER(SEARCH('F-COMPRA'!$F$28,Tabla11[[#This Row],[Cuenta]],1))</f>
        <v>1</v>
      </c>
      <c r="J339" t="b">
        <f>+ISNUMBER(SEARCH('F-COMPRA'!$F$29,Tabla11[[#This Row],[Cuenta]],1))</f>
        <v>1</v>
      </c>
      <c r="K339" t="b">
        <f>+ISNUMBER(SEARCH('F-COMPRA'!$F$30,Tabla11[[#This Row],[Cuenta]],1))</f>
        <v>1</v>
      </c>
      <c r="L339" t="b">
        <f>+ISNUMBER(SEARCH('F-COMPRA'!$F$31,Tabla11[[#This Row],[Cuenta]],1))</f>
        <v>1</v>
      </c>
      <c r="M339" t="b">
        <f>+ISNUMBER(SEARCH('F-COMPRA'!$G$25,Tabla11[[#This Row],[Cuenta]],1))</f>
        <v>0</v>
      </c>
      <c r="N339" t="b">
        <f>+ISNUMBER(SEARCH(#REF!,Tabla11[[#This Row],[Cuenta]],1))</f>
        <v>0</v>
      </c>
      <c r="O339" t="b">
        <f>+ISNUMBER(SEARCH(#REF!,Tabla11[[#This Row],[Cuenta]],1))</f>
        <v>0</v>
      </c>
      <c r="P339" t="b">
        <f>+ISNUMBER(SEARCH('F-COMPRA'!$F$32,Tabla11[[#This Row],[Cuenta]],1))</f>
        <v>1</v>
      </c>
      <c r="Q339" t="b">
        <f>+ISNUMBER(SEARCH('F-COMPRA'!$F$33,Tabla11[[#This Row],[Cuenta]],1))</f>
        <v>1</v>
      </c>
      <c r="R339" t="b">
        <f>+ISNUMBER(SEARCH('F-COMPRA'!$F$34,Tabla11[[#This Row],[Cuenta]],1))</f>
        <v>1</v>
      </c>
      <c r="S339" t="b">
        <f>+ISNUMBER(SEARCH('F-COMPRA'!$F$35,Tabla11[[#This Row],[Cuenta]],1))</f>
        <v>1</v>
      </c>
      <c r="T339" t="b">
        <f>+ISNUMBER(SEARCH('F-COMPRA'!$F$36,Tabla11[[#This Row],[Cuenta]],1))</f>
        <v>1</v>
      </c>
      <c r="U339" t="b">
        <f>+ISNUMBER(SEARCH('F-COMPRA'!$F$37,Tabla11[[#This Row],[Cuenta]],1))</f>
        <v>1</v>
      </c>
      <c r="V339" t="b">
        <f>+ISNUMBER(SEARCH(#REF!,Tabla11[[#This Row],[Cuenta]],1))</f>
        <v>0</v>
      </c>
      <c r="W339" t="b">
        <f>+ISNUMBER(SEARCH('F-COMPRA'!#REF!,Tabla11[[#This Row],[Cuenta]],1))</f>
        <v>0</v>
      </c>
      <c r="X339" t="b">
        <f>+ISNUMBER(SEARCH('F-COMPRA'!#REF!,Tabla11[[#This Row],[Cuenta]],1))</f>
        <v>0</v>
      </c>
      <c r="Y339" t="b">
        <f>+ISNUMBER(SEARCH('F-COMPRA'!#REF!,Tabla11[[#This Row],[Cuenta]],1))</f>
        <v>0</v>
      </c>
      <c r="Z339" t="b">
        <f>+ISNUMBER(SEARCH('F-COMPRA'!#REF!,Tabla11[[#This Row],[Cuenta]],1))</f>
        <v>0</v>
      </c>
      <c r="AA339" t="b">
        <f>+ISNUMBER(SEARCH('F-COMPRA'!#REF!,Tabla11[[#This Row],[Cuenta]],1))</f>
        <v>0</v>
      </c>
      <c r="AB339" t="b">
        <f>+ISNUMBER(SEARCH('F-COMPRA'!#REF!,Tabla11[[#This Row],[Cuenta]],1))</f>
        <v>0</v>
      </c>
      <c r="AC339" t="b">
        <f>+ISNUMBER(SEARCH('F-COMPRA'!#REF!,Tabla11[[#This Row],[Cuenta]],1))</f>
        <v>0</v>
      </c>
      <c r="AD339" t="b">
        <f>+ISNUMBER(SEARCH('F-COMPRA'!#REF!,Tabla11[[#This Row],[Cuenta]],1))</f>
        <v>0</v>
      </c>
      <c r="AE339" t="b">
        <f>+ISNUMBER(SEARCH('F-COMPRA'!#REF!,Tabla11[[#This Row],[Cuenta]],1))</f>
        <v>0</v>
      </c>
      <c r="AF339" t="b">
        <f>+ISNUMBER(SEARCH('F-VTA'!$G$23,Tabla11[[#This Row],[Cuenta]],1))</f>
        <v>0</v>
      </c>
      <c r="AG339" t="b">
        <f>+ISNUMBER(SEARCH('F-VTA'!$G$24,Tabla11[[#This Row],[Cuenta]],1))</f>
        <v>0</v>
      </c>
      <c r="AH339" t="b">
        <f>+ISNUMBER(SEARCH('F-VTA'!$G$25,Tabla11[[#This Row],[Cuenta]],1))</f>
        <v>0</v>
      </c>
      <c r="AI339" t="b">
        <f>+ISNUMBER(SEARCH('F-VTA'!$F$28,Tabla11[[#This Row],[Cuenta]],1))</f>
        <v>1</v>
      </c>
      <c r="AJ339" t="b">
        <f>+ISNUMBER(SEARCH('F-VTA'!$F$29,Tabla11[[#This Row],[Cuenta]],1))</f>
        <v>1</v>
      </c>
      <c r="AK339" t="b">
        <f>+ISNUMBER(SEARCH('F-VTA'!$F$30,Tabla11[[#This Row],[Cuenta]],1))</f>
        <v>1</v>
      </c>
      <c r="AL339" t="b">
        <f>+ISNUMBER(SEARCH('F-VTA'!$F$31,Tabla11[[#This Row],[Cuenta]],1))</f>
        <v>1</v>
      </c>
      <c r="AM339" t="b">
        <f>+ISNUMBER(SEARCH('F-VTA'!$F$32,Tabla11[[#This Row],[Cuenta]],1))</f>
        <v>1</v>
      </c>
      <c r="AN339" t="b">
        <f>+ISNUMBER(SEARCH('F-VTA'!$F$33,Tabla11[[#This Row],[Cuenta]],1))</f>
        <v>1</v>
      </c>
      <c r="AO339" t="b">
        <f>+ISNUMBER(SEARCH('F-VTA'!$F$34,Tabla11[[#This Row],[Cuenta]],1))</f>
        <v>1</v>
      </c>
      <c r="AP339" t="b">
        <f>+ISNUMBER(SEARCH('F-VTA'!$F$35,Tabla11[[#This Row],[Cuenta]],1))</f>
        <v>1</v>
      </c>
      <c r="AQ339" t="b">
        <f>+ISNUMBER(SEARCH('F-VTA'!$F$36,Tabla11[[#This Row],[Cuenta]],1))</f>
        <v>1</v>
      </c>
      <c r="AR339" t="b">
        <f>+ISNUMBER(SEARCH(#REF!,Tabla11[[#This Row],[Cuenta]],1))</f>
        <v>0</v>
      </c>
      <c r="AS339" t="b">
        <f>+ISNUMBER(SEARCH(#REF!,Tabla11[[#This Row],[Cuenta]],1))</f>
        <v>0</v>
      </c>
      <c r="AT339" t="b">
        <f>+ISNUMBER(SEARCH(#REF!,Tabla11[[#This Row],[Cuenta]],1))</f>
        <v>0</v>
      </c>
      <c r="AU339" t="b">
        <f>+ISNUMBER(SEARCH('Conc. Ban.1'!$I$9,Tabla11[[#This Row],[Cuenta]],1))</f>
        <v>0</v>
      </c>
      <c r="AV339" t="b">
        <f>+ISNUMBER(SEARCH(CompConta!$F$21,Tabla11[[#This Row],[Cuenta]],1))</f>
        <v>1</v>
      </c>
      <c r="AW339" t="b">
        <f>+ISNUMBER(SEARCH(CompConta!$F$22,Tabla11[[#This Row],[Cuenta]],1))</f>
        <v>1</v>
      </c>
      <c r="AX339" t="b">
        <f>+ISNUMBER(SEARCH(CompConta!$F$23,Tabla11[[#This Row],[Cuenta]],1))</f>
        <v>1</v>
      </c>
      <c r="AY339" t="b">
        <f>+ISNUMBER(SEARCH(CompConta!$F$24,Tabla11[[#This Row],[Cuenta]],1))</f>
        <v>1</v>
      </c>
      <c r="AZ339" t="b">
        <f>+ISNUMBER(SEARCH(CompConta!$F$25,Tabla11[[#This Row],[Cuenta]],1))</f>
        <v>1</v>
      </c>
      <c r="BA339" t="b">
        <f>+ISNUMBER(SEARCH(CompConta!$F$26,Tabla11[[#This Row],[Cuenta]],1))</f>
        <v>1</v>
      </c>
      <c r="BB339" t="b">
        <f>+ISNUMBER(SEARCH(CompConta!$F$27,Tabla11[[#This Row],[Cuenta]],1))</f>
        <v>1</v>
      </c>
      <c r="BC339" t="b">
        <f>+ISNUMBER(SEARCH(CompConta!$F$28,Tabla11[[#This Row],[Cuenta]],1))</f>
        <v>1</v>
      </c>
      <c r="BD339" t="b">
        <f>+ISNUMBER(SEARCH(CompConta!$F$29,Tabla11[[#This Row],[Cuenta]],1))</f>
        <v>1</v>
      </c>
      <c r="BE339" t="b">
        <f>+ISNUMBER(SEARCH(CompConta!$F$30,Tabla11[[#This Row],[Cuenta]],1))</f>
        <v>1</v>
      </c>
      <c r="BF339" t="b">
        <f>+ISNUMBER(SEARCH('PAGO Compras'!$E$11,Tabla11[[#This Row],[Cuenta]],1))</f>
        <v>1</v>
      </c>
      <c r="BG339" t="b">
        <f>+ISNUMBER(SEARCH(#REF!,Tabla11[[#This Row],[Cuenta]],1))</f>
        <v>0</v>
      </c>
      <c r="BH339" t="b">
        <f>+ISNUMBER(SEARCH(#REF!,Tabla11[[#This Row],[Cuenta]],1))</f>
        <v>0</v>
      </c>
      <c r="BI339" t="b">
        <f>+ISNUMBER(SEARCH(#REF!,Tabla11[[#This Row],[Cuenta]],1))</f>
        <v>0</v>
      </c>
      <c r="BJ339" t="b">
        <f>+ISNUMBER(SEARCH(#REF!,Tabla11[[#This Row],[Cuenta]],1))</f>
        <v>0</v>
      </c>
      <c r="BS339" t="str">
        <v>171044 Publicidad, propaganda y avisos</v>
      </c>
      <c r="BT339" t="str">
        <v>171044 Publicidad, propaganda y avisos</v>
      </c>
      <c r="BU339" t="str">
        <v>171044 Publicidad, propaganda y avisos</v>
      </c>
      <c r="BV339" t="str">
        <v>171044 Publicidad, propaganda y avisos</v>
      </c>
      <c r="BZ339" t="str">
        <v>171044 Publicidad, propaganda y avisos</v>
      </c>
      <c r="CA339" t="str">
        <v>171044 Publicidad, propaganda y avisos</v>
      </c>
      <c r="CB339" t="str">
        <v>171044 Publicidad, propaganda y avisos</v>
      </c>
      <c r="CC339" t="str">
        <v>171044 Publicidad, propaganda y avisos</v>
      </c>
      <c r="CD339" t="str">
        <v>171044 Publicidad, propaganda y avisos</v>
      </c>
      <c r="CE339" t="str">
        <v>171044 Publicidad, propaganda y avisos</v>
      </c>
      <c r="CS339" s="141" t="str">
        <v>171044 Publicidad, propaganda y avisos</v>
      </c>
      <c r="CT339" s="141" t="str">
        <v>171044 Publicidad, propaganda y avisos</v>
      </c>
      <c r="CU339" s="141" t="str">
        <v>171044 Publicidad, propaganda y avisos</v>
      </c>
      <c r="CV339" s="141" t="str">
        <v>171044 Publicidad, propaganda y avisos</v>
      </c>
      <c r="CW339" s="141" t="str">
        <v>171044 Publicidad, propaganda y avisos</v>
      </c>
      <c r="CX339" s="141" t="str">
        <v>171044 Publicidad, propaganda y avisos</v>
      </c>
      <c r="CY339" s="141" t="str">
        <v>171044 Publicidad, propaganda y avisos</v>
      </c>
      <c r="CZ339" s="141" t="str">
        <v>171044 Publicidad, propaganda y avisos</v>
      </c>
      <c r="DA339" s="141" t="str">
        <v>171044 Publicidad, propaganda y avisos</v>
      </c>
      <c r="DF339" t="str">
        <v>171044 Publicidad, propaganda y avisos</v>
      </c>
      <c r="DG339" t="str">
        <v>171044 Publicidad, propaganda y avisos</v>
      </c>
      <c r="DH339" t="str">
        <v>171044 Publicidad, propaganda y avisos</v>
      </c>
      <c r="DI339" t="str">
        <v>171044 Publicidad, propaganda y avisos</v>
      </c>
      <c r="DJ339" t="str">
        <v>171044 Publicidad, propaganda y avisos</v>
      </c>
      <c r="DK339" t="str">
        <v>171044 Publicidad, propaganda y avisos</v>
      </c>
      <c r="DL339" t="str">
        <v>171044 Publicidad, propaganda y avisos</v>
      </c>
      <c r="DM339" t="str">
        <v>171044 Publicidad, propaganda y avisos</v>
      </c>
      <c r="DN339" t="str">
        <v>171044 Publicidad, propaganda y avisos</v>
      </c>
      <c r="DO339" t="str">
        <v>171044 Publicidad, propaganda y avisos</v>
      </c>
      <c r="DP339" t="str">
        <v>171044 Publicidad, propaganda y avisos</v>
      </c>
    </row>
    <row r="340" spans="4:120" ht="12.75">
      <c r="D340" s="7">
        <v>171048</v>
      </c>
      <c r="E340" s="6" t="s">
        <v>274</v>
      </c>
      <c r="F340" s="5">
        <v>4</v>
      </c>
      <c r="G340" s="34" t="s">
        <v>822</v>
      </c>
      <c r="H340" s="8" t="s">
        <v>32</v>
      </c>
      <c r="I340" t="b">
        <f>+ISNUMBER(SEARCH('F-COMPRA'!$F$28,Tabla11[[#This Row],[Cuenta]],1))</f>
        <v>1</v>
      </c>
      <c r="J340" t="b">
        <f>+ISNUMBER(SEARCH('F-COMPRA'!$F$29,Tabla11[[#This Row],[Cuenta]],1))</f>
        <v>1</v>
      </c>
      <c r="K340" t="b">
        <f>+ISNUMBER(SEARCH('F-COMPRA'!$F$30,Tabla11[[#This Row],[Cuenta]],1))</f>
        <v>1</v>
      </c>
      <c r="L340" t="b">
        <f>+ISNUMBER(SEARCH('F-COMPRA'!$F$31,Tabla11[[#This Row],[Cuenta]],1))</f>
        <v>1</v>
      </c>
      <c r="M340" t="b">
        <f>+ISNUMBER(SEARCH('F-COMPRA'!$G$25,Tabla11[[#This Row],[Cuenta]],1))</f>
        <v>0</v>
      </c>
      <c r="N340" t="b">
        <f>+ISNUMBER(SEARCH(#REF!,Tabla11[[#This Row],[Cuenta]],1))</f>
        <v>0</v>
      </c>
      <c r="O340" t="b">
        <f>+ISNUMBER(SEARCH(#REF!,Tabla11[[#This Row],[Cuenta]],1))</f>
        <v>0</v>
      </c>
      <c r="P340" t="b">
        <f>+ISNUMBER(SEARCH('F-COMPRA'!$F$32,Tabla11[[#This Row],[Cuenta]],1))</f>
        <v>1</v>
      </c>
      <c r="Q340" t="b">
        <f>+ISNUMBER(SEARCH('F-COMPRA'!$F$33,Tabla11[[#This Row],[Cuenta]],1))</f>
        <v>1</v>
      </c>
      <c r="R340" t="b">
        <f>+ISNUMBER(SEARCH('F-COMPRA'!$F$34,Tabla11[[#This Row],[Cuenta]],1))</f>
        <v>1</v>
      </c>
      <c r="S340" t="b">
        <f>+ISNUMBER(SEARCH('F-COMPRA'!$F$35,Tabla11[[#This Row],[Cuenta]],1))</f>
        <v>1</v>
      </c>
      <c r="T340" t="b">
        <f>+ISNUMBER(SEARCH('F-COMPRA'!$F$36,Tabla11[[#This Row],[Cuenta]],1))</f>
        <v>1</v>
      </c>
      <c r="U340" t="b">
        <f>+ISNUMBER(SEARCH('F-COMPRA'!$F$37,Tabla11[[#This Row],[Cuenta]],1))</f>
        <v>1</v>
      </c>
      <c r="V340" t="b">
        <f>+ISNUMBER(SEARCH(#REF!,Tabla11[[#This Row],[Cuenta]],1))</f>
        <v>0</v>
      </c>
      <c r="W340" t="b">
        <f>+ISNUMBER(SEARCH('F-COMPRA'!#REF!,Tabla11[[#This Row],[Cuenta]],1))</f>
        <v>0</v>
      </c>
      <c r="X340" t="b">
        <f>+ISNUMBER(SEARCH('F-COMPRA'!#REF!,Tabla11[[#This Row],[Cuenta]],1))</f>
        <v>0</v>
      </c>
      <c r="Y340" t="b">
        <f>+ISNUMBER(SEARCH('F-COMPRA'!#REF!,Tabla11[[#This Row],[Cuenta]],1))</f>
        <v>0</v>
      </c>
      <c r="Z340" t="b">
        <f>+ISNUMBER(SEARCH('F-COMPRA'!#REF!,Tabla11[[#This Row],[Cuenta]],1))</f>
        <v>0</v>
      </c>
      <c r="AA340" t="b">
        <f>+ISNUMBER(SEARCH('F-COMPRA'!#REF!,Tabla11[[#This Row],[Cuenta]],1))</f>
        <v>0</v>
      </c>
      <c r="AB340" t="b">
        <f>+ISNUMBER(SEARCH('F-COMPRA'!#REF!,Tabla11[[#This Row],[Cuenta]],1))</f>
        <v>0</v>
      </c>
      <c r="AC340" t="b">
        <f>+ISNUMBER(SEARCH('F-COMPRA'!#REF!,Tabla11[[#This Row],[Cuenta]],1))</f>
        <v>0</v>
      </c>
      <c r="AD340" t="b">
        <f>+ISNUMBER(SEARCH('F-COMPRA'!#REF!,Tabla11[[#This Row],[Cuenta]],1))</f>
        <v>0</v>
      </c>
      <c r="AE340" t="b">
        <f>+ISNUMBER(SEARCH('F-COMPRA'!#REF!,Tabla11[[#This Row],[Cuenta]],1))</f>
        <v>0</v>
      </c>
      <c r="AF340" t="b">
        <f>+ISNUMBER(SEARCH('F-VTA'!$G$23,Tabla11[[#This Row],[Cuenta]],1))</f>
        <v>0</v>
      </c>
      <c r="AG340" t="b">
        <f>+ISNUMBER(SEARCH('F-VTA'!$G$24,Tabla11[[#This Row],[Cuenta]],1))</f>
        <v>0</v>
      </c>
      <c r="AH340" t="b">
        <f>+ISNUMBER(SEARCH('F-VTA'!$G$25,Tabla11[[#This Row],[Cuenta]],1))</f>
        <v>0</v>
      </c>
      <c r="AI340" t="b">
        <f>+ISNUMBER(SEARCH('F-VTA'!$F$28,Tabla11[[#This Row],[Cuenta]],1))</f>
        <v>1</v>
      </c>
      <c r="AJ340" t="b">
        <f>+ISNUMBER(SEARCH('F-VTA'!$F$29,Tabla11[[#This Row],[Cuenta]],1))</f>
        <v>1</v>
      </c>
      <c r="AK340" t="b">
        <f>+ISNUMBER(SEARCH('F-VTA'!$F$30,Tabla11[[#This Row],[Cuenta]],1))</f>
        <v>1</v>
      </c>
      <c r="AL340" t="b">
        <f>+ISNUMBER(SEARCH('F-VTA'!$F$31,Tabla11[[#This Row],[Cuenta]],1))</f>
        <v>1</v>
      </c>
      <c r="AM340" t="b">
        <f>+ISNUMBER(SEARCH('F-VTA'!$F$32,Tabla11[[#This Row],[Cuenta]],1))</f>
        <v>1</v>
      </c>
      <c r="AN340" t="b">
        <f>+ISNUMBER(SEARCH('F-VTA'!$F$33,Tabla11[[#This Row],[Cuenta]],1))</f>
        <v>1</v>
      </c>
      <c r="AO340" t="b">
        <f>+ISNUMBER(SEARCH('F-VTA'!$F$34,Tabla11[[#This Row],[Cuenta]],1))</f>
        <v>1</v>
      </c>
      <c r="AP340" t="b">
        <f>+ISNUMBER(SEARCH('F-VTA'!$F$35,Tabla11[[#This Row],[Cuenta]],1))</f>
        <v>1</v>
      </c>
      <c r="AQ340" t="b">
        <f>+ISNUMBER(SEARCH('F-VTA'!$F$36,Tabla11[[#This Row],[Cuenta]],1))</f>
        <v>1</v>
      </c>
      <c r="AR340" t="b">
        <f>+ISNUMBER(SEARCH(#REF!,Tabla11[[#This Row],[Cuenta]],1))</f>
        <v>0</v>
      </c>
      <c r="AS340" t="b">
        <f>+ISNUMBER(SEARCH(#REF!,Tabla11[[#This Row],[Cuenta]],1))</f>
        <v>0</v>
      </c>
      <c r="AT340" t="b">
        <f>+ISNUMBER(SEARCH(#REF!,Tabla11[[#This Row],[Cuenta]],1))</f>
        <v>0</v>
      </c>
      <c r="AU340" t="b">
        <f>+ISNUMBER(SEARCH('Conc. Ban.1'!$I$9,Tabla11[[#This Row],[Cuenta]],1))</f>
        <v>0</v>
      </c>
      <c r="AV340" t="b">
        <f>+ISNUMBER(SEARCH(CompConta!$F$21,Tabla11[[#This Row],[Cuenta]],1))</f>
        <v>1</v>
      </c>
      <c r="AW340" t="b">
        <f>+ISNUMBER(SEARCH(CompConta!$F$22,Tabla11[[#This Row],[Cuenta]],1))</f>
        <v>1</v>
      </c>
      <c r="AX340" t="b">
        <f>+ISNUMBER(SEARCH(CompConta!$F$23,Tabla11[[#This Row],[Cuenta]],1))</f>
        <v>1</v>
      </c>
      <c r="AY340" t="b">
        <f>+ISNUMBER(SEARCH(CompConta!$F$24,Tabla11[[#This Row],[Cuenta]],1))</f>
        <v>1</v>
      </c>
      <c r="AZ340" t="b">
        <f>+ISNUMBER(SEARCH(CompConta!$F$25,Tabla11[[#This Row],[Cuenta]],1))</f>
        <v>1</v>
      </c>
      <c r="BA340" t="b">
        <f>+ISNUMBER(SEARCH(CompConta!$F$26,Tabla11[[#This Row],[Cuenta]],1))</f>
        <v>1</v>
      </c>
      <c r="BB340" t="b">
        <f>+ISNUMBER(SEARCH(CompConta!$F$27,Tabla11[[#This Row],[Cuenta]],1))</f>
        <v>1</v>
      </c>
      <c r="BC340" t="b">
        <f>+ISNUMBER(SEARCH(CompConta!$F$28,Tabla11[[#This Row],[Cuenta]],1))</f>
        <v>1</v>
      </c>
      <c r="BD340" t="b">
        <f>+ISNUMBER(SEARCH(CompConta!$F$29,Tabla11[[#This Row],[Cuenta]],1))</f>
        <v>1</v>
      </c>
      <c r="BE340" t="b">
        <f>+ISNUMBER(SEARCH(CompConta!$F$30,Tabla11[[#This Row],[Cuenta]],1))</f>
        <v>1</v>
      </c>
      <c r="BF340" t="b">
        <f>+ISNUMBER(SEARCH('PAGO Compras'!$E$11,Tabla11[[#This Row],[Cuenta]],1))</f>
        <v>1</v>
      </c>
      <c r="BG340" t="b">
        <f>+ISNUMBER(SEARCH(#REF!,Tabla11[[#This Row],[Cuenta]],1))</f>
        <v>0</v>
      </c>
      <c r="BH340" t="b">
        <f>+ISNUMBER(SEARCH(#REF!,Tabla11[[#This Row],[Cuenta]],1))</f>
        <v>0</v>
      </c>
      <c r="BI340" t="b">
        <f>+ISNUMBER(SEARCH(#REF!,Tabla11[[#This Row],[Cuenta]],1))</f>
        <v>0</v>
      </c>
      <c r="BJ340" t="b">
        <f>+ISNUMBER(SEARCH(#REF!,Tabla11[[#This Row],[Cuenta]],1))</f>
        <v>0</v>
      </c>
      <c r="BS340" t="str">
        <v>171048 Elementos de aseo y cafetería</v>
      </c>
      <c r="BT340" t="str">
        <v>171048 Elementos de aseo y cafetería</v>
      </c>
      <c r="BU340" t="str">
        <v>171048 Elementos de aseo y cafetería</v>
      </c>
      <c r="BV340" t="str">
        <v>171048 Elementos de aseo y cafetería</v>
      </c>
      <c r="BZ340" t="str">
        <v>171048 Elementos de aseo y cafetería</v>
      </c>
      <c r="CA340" t="str">
        <v>171048 Elementos de aseo y cafetería</v>
      </c>
      <c r="CB340" t="str">
        <v>171048 Elementos de aseo y cafetería</v>
      </c>
      <c r="CC340" t="str">
        <v>171048 Elementos de aseo y cafetería</v>
      </c>
      <c r="CD340" t="str">
        <v>171048 Elementos de aseo y cafetería</v>
      </c>
      <c r="CE340" t="str">
        <v>171048 Elementos de aseo y cafetería</v>
      </c>
      <c r="CS340" s="141" t="str">
        <v>171048 Elementos de aseo y cafetería</v>
      </c>
      <c r="CT340" s="141" t="str">
        <v>171048 Elementos de aseo y cafetería</v>
      </c>
      <c r="CU340" s="141" t="str">
        <v>171048 Elementos de aseo y cafetería</v>
      </c>
      <c r="CV340" s="141" t="str">
        <v>171048 Elementos de aseo y cafetería</v>
      </c>
      <c r="CW340" s="141" t="str">
        <v>171048 Elementos de aseo y cafetería</v>
      </c>
      <c r="CX340" s="141" t="str">
        <v>171048 Elementos de aseo y cafetería</v>
      </c>
      <c r="CY340" s="141" t="str">
        <v>171048 Elementos de aseo y cafetería</v>
      </c>
      <c r="CZ340" s="141" t="str">
        <v>171048 Elementos de aseo y cafetería</v>
      </c>
      <c r="DA340" s="141" t="str">
        <v>171048 Elementos de aseo y cafetería</v>
      </c>
      <c r="DF340" t="str">
        <v>171048 Elementos de aseo y cafetería</v>
      </c>
      <c r="DG340" t="str">
        <v>171048 Elementos de aseo y cafetería</v>
      </c>
      <c r="DH340" t="str">
        <v>171048 Elementos de aseo y cafetería</v>
      </c>
      <c r="DI340" t="str">
        <v>171048 Elementos de aseo y cafetería</v>
      </c>
      <c r="DJ340" t="str">
        <v>171048 Elementos de aseo y cafetería</v>
      </c>
      <c r="DK340" t="str">
        <v>171048 Elementos de aseo y cafetería</v>
      </c>
      <c r="DL340" t="str">
        <v>171048 Elementos de aseo y cafetería</v>
      </c>
      <c r="DM340" t="str">
        <v>171048 Elementos de aseo y cafetería</v>
      </c>
      <c r="DN340" t="str">
        <v>171048 Elementos de aseo y cafetería</v>
      </c>
      <c r="DO340" t="str">
        <v>171048 Elementos de aseo y cafetería</v>
      </c>
      <c r="DP340" t="str">
        <v>171048 Elementos de aseo y cafetería</v>
      </c>
    </row>
    <row r="341" spans="4:120" ht="12.75">
      <c r="D341" s="7">
        <v>171052</v>
      </c>
      <c r="E341" s="6" t="s">
        <v>275</v>
      </c>
      <c r="F341" s="5">
        <v>4</v>
      </c>
      <c r="G341" s="34" t="s">
        <v>822</v>
      </c>
      <c r="H341" s="8" t="s">
        <v>32</v>
      </c>
      <c r="I341" t="b">
        <f>+ISNUMBER(SEARCH('F-COMPRA'!$F$28,Tabla11[[#This Row],[Cuenta]],1))</f>
        <v>1</v>
      </c>
      <c r="J341" t="b">
        <f>+ISNUMBER(SEARCH('F-COMPRA'!$F$29,Tabla11[[#This Row],[Cuenta]],1))</f>
        <v>1</v>
      </c>
      <c r="K341" t="b">
        <f>+ISNUMBER(SEARCH('F-COMPRA'!$F$30,Tabla11[[#This Row],[Cuenta]],1))</f>
        <v>1</v>
      </c>
      <c r="L341" t="b">
        <f>+ISNUMBER(SEARCH('F-COMPRA'!$F$31,Tabla11[[#This Row],[Cuenta]],1))</f>
        <v>1</v>
      </c>
      <c r="M341" t="b">
        <f>+ISNUMBER(SEARCH('F-COMPRA'!$G$25,Tabla11[[#This Row],[Cuenta]],1))</f>
        <v>0</v>
      </c>
      <c r="N341" t="b">
        <f>+ISNUMBER(SEARCH(#REF!,Tabla11[[#This Row],[Cuenta]],1))</f>
        <v>0</v>
      </c>
      <c r="O341" t="b">
        <f>+ISNUMBER(SEARCH(#REF!,Tabla11[[#This Row],[Cuenta]],1))</f>
        <v>0</v>
      </c>
      <c r="P341" t="b">
        <f>+ISNUMBER(SEARCH('F-COMPRA'!$F$32,Tabla11[[#This Row],[Cuenta]],1))</f>
        <v>1</v>
      </c>
      <c r="Q341" t="b">
        <f>+ISNUMBER(SEARCH('F-COMPRA'!$F$33,Tabla11[[#This Row],[Cuenta]],1))</f>
        <v>1</v>
      </c>
      <c r="R341" t="b">
        <f>+ISNUMBER(SEARCH('F-COMPRA'!$F$34,Tabla11[[#This Row],[Cuenta]],1))</f>
        <v>1</v>
      </c>
      <c r="S341" t="b">
        <f>+ISNUMBER(SEARCH('F-COMPRA'!$F$35,Tabla11[[#This Row],[Cuenta]],1))</f>
        <v>1</v>
      </c>
      <c r="T341" t="b">
        <f>+ISNUMBER(SEARCH('F-COMPRA'!$F$36,Tabla11[[#This Row],[Cuenta]],1))</f>
        <v>1</v>
      </c>
      <c r="U341" t="b">
        <f>+ISNUMBER(SEARCH('F-COMPRA'!$F$37,Tabla11[[#This Row],[Cuenta]],1))</f>
        <v>1</v>
      </c>
      <c r="V341" t="b">
        <f>+ISNUMBER(SEARCH(#REF!,Tabla11[[#This Row],[Cuenta]],1))</f>
        <v>0</v>
      </c>
      <c r="W341" t="b">
        <f>+ISNUMBER(SEARCH('F-COMPRA'!#REF!,Tabla11[[#This Row],[Cuenta]],1))</f>
        <v>0</v>
      </c>
      <c r="X341" t="b">
        <f>+ISNUMBER(SEARCH('F-COMPRA'!#REF!,Tabla11[[#This Row],[Cuenta]],1))</f>
        <v>0</v>
      </c>
      <c r="Y341" t="b">
        <f>+ISNUMBER(SEARCH('F-COMPRA'!#REF!,Tabla11[[#This Row],[Cuenta]],1))</f>
        <v>0</v>
      </c>
      <c r="Z341" t="b">
        <f>+ISNUMBER(SEARCH('F-COMPRA'!#REF!,Tabla11[[#This Row],[Cuenta]],1))</f>
        <v>0</v>
      </c>
      <c r="AA341" t="b">
        <f>+ISNUMBER(SEARCH('F-COMPRA'!#REF!,Tabla11[[#This Row],[Cuenta]],1))</f>
        <v>0</v>
      </c>
      <c r="AB341" t="b">
        <f>+ISNUMBER(SEARCH('F-COMPRA'!#REF!,Tabla11[[#This Row],[Cuenta]],1))</f>
        <v>0</v>
      </c>
      <c r="AC341" t="b">
        <f>+ISNUMBER(SEARCH('F-COMPRA'!#REF!,Tabla11[[#This Row],[Cuenta]],1))</f>
        <v>0</v>
      </c>
      <c r="AD341" t="b">
        <f>+ISNUMBER(SEARCH('F-COMPRA'!#REF!,Tabla11[[#This Row],[Cuenta]],1))</f>
        <v>0</v>
      </c>
      <c r="AE341" t="b">
        <f>+ISNUMBER(SEARCH('F-COMPRA'!#REF!,Tabla11[[#This Row],[Cuenta]],1))</f>
        <v>0</v>
      </c>
      <c r="AF341" t="b">
        <f>+ISNUMBER(SEARCH('F-VTA'!$G$23,Tabla11[[#This Row],[Cuenta]],1))</f>
        <v>0</v>
      </c>
      <c r="AG341" t="b">
        <f>+ISNUMBER(SEARCH('F-VTA'!$G$24,Tabla11[[#This Row],[Cuenta]],1))</f>
        <v>0</v>
      </c>
      <c r="AH341" t="b">
        <f>+ISNUMBER(SEARCH('F-VTA'!$G$25,Tabla11[[#This Row],[Cuenta]],1))</f>
        <v>0</v>
      </c>
      <c r="AI341" t="b">
        <f>+ISNUMBER(SEARCH('F-VTA'!$F$28,Tabla11[[#This Row],[Cuenta]],1))</f>
        <v>1</v>
      </c>
      <c r="AJ341" t="b">
        <f>+ISNUMBER(SEARCH('F-VTA'!$F$29,Tabla11[[#This Row],[Cuenta]],1))</f>
        <v>1</v>
      </c>
      <c r="AK341" t="b">
        <f>+ISNUMBER(SEARCH('F-VTA'!$F$30,Tabla11[[#This Row],[Cuenta]],1))</f>
        <v>1</v>
      </c>
      <c r="AL341" t="b">
        <f>+ISNUMBER(SEARCH('F-VTA'!$F$31,Tabla11[[#This Row],[Cuenta]],1))</f>
        <v>1</v>
      </c>
      <c r="AM341" t="b">
        <f>+ISNUMBER(SEARCH('F-VTA'!$F$32,Tabla11[[#This Row],[Cuenta]],1))</f>
        <v>1</v>
      </c>
      <c r="AN341" t="b">
        <f>+ISNUMBER(SEARCH('F-VTA'!$F$33,Tabla11[[#This Row],[Cuenta]],1))</f>
        <v>1</v>
      </c>
      <c r="AO341" t="b">
        <f>+ISNUMBER(SEARCH('F-VTA'!$F$34,Tabla11[[#This Row],[Cuenta]],1))</f>
        <v>1</v>
      </c>
      <c r="AP341" t="b">
        <f>+ISNUMBER(SEARCH('F-VTA'!$F$35,Tabla11[[#This Row],[Cuenta]],1))</f>
        <v>1</v>
      </c>
      <c r="AQ341" t="b">
        <f>+ISNUMBER(SEARCH('F-VTA'!$F$36,Tabla11[[#This Row],[Cuenta]],1))</f>
        <v>1</v>
      </c>
      <c r="AR341" t="b">
        <f>+ISNUMBER(SEARCH(#REF!,Tabla11[[#This Row],[Cuenta]],1))</f>
        <v>0</v>
      </c>
      <c r="AS341" t="b">
        <f>+ISNUMBER(SEARCH(#REF!,Tabla11[[#This Row],[Cuenta]],1))</f>
        <v>0</v>
      </c>
      <c r="AT341" t="b">
        <f>+ISNUMBER(SEARCH(#REF!,Tabla11[[#This Row],[Cuenta]],1))</f>
        <v>0</v>
      </c>
      <c r="AU341" t="b">
        <f>+ISNUMBER(SEARCH('Conc. Ban.1'!$I$9,Tabla11[[#This Row],[Cuenta]],1))</f>
        <v>0</v>
      </c>
      <c r="AV341" t="b">
        <f>+ISNUMBER(SEARCH(CompConta!$F$21,Tabla11[[#This Row],[Cuenta]],1))</f>
        <v>1</v>
      </c>
      <c r="AW341" t="b">
        <f>+ISNUMBER(SEARCH(CompConta!$F$22,Tabla11[[#This Row],[Cuenta]],1))</f>
        <v>1</v>
      </c>
      <c r="AX341" t="b">
        <f>+ISNUMBER(SEARCH(CompConta!$F$23,Tabla11[[#This Row],[Cuenta]],1))</f>
        <v>1</v>
      </c>
      <c r="AY341" t="b">
        <f>+ISNUMBER(SEARCH(CompConta!$F$24,Tabla11[[#This Row],[Cuenta]],1))</f>
        <v>1</v>
      </c>
      <c r="AZ341" t="b">
        <f>+ISNUMBER(SEARCH(CompConta!$F$25,Tabla11[[#This Row],[Cuenta]],1))</f>
        <v>1</v>
      </c>
      <c r="BA341" t="b">
        <f>+ISNUMBER(SEARCH(CompConta!$F$26,Tabla11[[#This Row],[Cuenta]],1))</f>
        <v>1</v>
      </c>
      <c r="BB341" t="b">
        <f>+ISNUMBER(SEARCH(CompConta!$F$27,Tabla11[[#This Row],[Cuenta]],1))</f>
        <v>1</v>
      </c>
      <c r="BC341" t="b">
        <f>+ISNUMBER(SEARCH(CompConta!$F$28,Tabla11[[#This Row],[Cuenta]],1))</f>
        <v>1</v>
      </c>
      <c r="BD341" t="b">
        <f>+ISNUMBER(SEARCH(CompConta!$F$29,Tabla11[[#This Row],[Cuenta]],1))</f>
        <v>1</v>
      </c>
      <c r="BE341" t="b">
        <f>+ISNUMBER(SEARCH(CompConta!$F$30,Tabla11[[#This Row],[Cuenta]],1))</f>
        <v>1</v>
      </c>
      <c r="BF341" t="b">
        <f>+ISNUMBER(SEARCH('PAGO Compras'!$E$11,Tabla11[[#This Row],[Cuenta]],1))</f>
        <v>1</v>
      </c>
      <c r="BG341" t="b">
        <f>+ISNUMBER(SEARCH(#REF!,Tabla11[[#This Row],[Cuenta]],1))</f>
        <v>0</v>
      </c>
      <c r="BH341" t="b">
        <f>+ISNUMBER(SEARCH(#REF!,Tabla11[[#This Row],[Cuenta]],1))</f>
        <v>0</v>
      </c>
      <c r="BI341" t="b">
        <f>+ISNUMBER(SEARCH(#REF!,Tabla11[[#This Row],[Cuenta]],1))</f>
        <v>0</v>
      </c>
      <c r="BJ341" t="b">
        <f>+ISNUMBER(SEARCH(#REF!,Tabla11[[#This Row],[Cuenta]],1))</f>
        <v>0</v>
      </c>
      <c r="BS341" t="str">
        <v>171052 Moldes y troqueles</v>
      </c>
      <c r="BT341" t="str">
        <v>171052 Moldes y troqueles</v>
      </c>
      <c r="BU341" t="str">
        <v>171052 Moldes y troqueles</v>
      </c>
      <c r="BV341" t="str">
        <v>171052 Moldes y troqueles</v>
      </c>
      <c r="BZ341" t="str">
        <v>171052 Moldes y troqueles</v>
      </c>
      <c r="CA341" t="str">
        <v>171052 Moldes y troqueles</v>
      </c>
      <c r="CB341" t="str">
        <v>171052 Moldes y troqueles</v>
      </c>
      <c r="CC341" t="str">
        <v>171052 Moldes y troqueles</v>
      </c>
      <c r="CD341" t="str">
        <v>171052 Moldes y troqueles</v>
      </c>
      <c r="CE341" t="str">
        <v>171052 Moldes y troqueles</v>
      </c>
      <c r="CS341" s="141" t="str">
        <v>171052 Moldes y troqueles</v>
      </c>
      <c r="CT341" s="141" t="str">
        <v>171052 Moldes y troqueles</v>
      </c>
      <c r="CU341" s="141" t="str">
        <v>171052 Moldes y troqueles</v>
      </c>
      <c r="CV341" s="141" t="str">
        <v>171052 Moldes y troqueles</v>
      </c>
      <c r="CW341" s="141" t="str">
        <v>171052 Moldes y troqueles</v>
      </c>
      <c r="CX341" s="141" t="str">
        <v>171052 Moldes y troqueles</v>
      </c>
      <c r="CY341" s="141" t="str">
        <v>171052 Moldes y troqueles</v>
      </c>
      <c r="CZ341" s="141" t="str">
        <v>171052 Moldes y troqueles</v>
      </c>
      <c r="DA341" s="141" t="str">
        <v>171052 Moldes y troqueles</v>
      </c>
      <c r="DF341" t="str">
        <v>171052 Moldes y troqueles</v>
      </c>
      <c r="DG341" t="str">
        <v>171052 Moldes y troqueles</v>
      </c>
      <c r="DH341" t="str">
        <v>171052 Moldes y troqueles</v>
      </c>
      <c r="DI341" t="str">
        <v>171052 Moldes y troqueles</v>
      </c>
      <c r="DJ341" t="str">
        <v>171052 Moldes y troqueles</v>
      </c>
      <c r="DK341" t="str">
        <v>171052 Moldes y troqueles</v>
      </c>
      <c r="DL341" t="str">
        <v>171052 Moldes y troqueles</v>
      </c>
      <c r="DM341" t="str">
        <v>171052 Moldes y troqueles</v>
      </c>
      <c r="DN341" t="str">
        <v>171052 Moldes y troqueles</v>
      </c>
      <c r="DO341" t="str">
        <v>171052 Moldes y troqueles</v>
      </c>
      <c r="DP341" t="str">
        <v>171052 Moldes y troqueles</v>
      </c>
    </row>
    <row r="342" spans="4:120" ht="12.75">
      <c r="D342" s="7">
        <v>171060</v>
      </c>
      <c r="E342" s="6" t="s">
        <v>276</v>
      </c>
      <c r="F342" s="5">
        <v>4</v>
      </c>
      <c r="G342" s="34" t="s">
        <v>822</v>
      </c>
      <c r="H342" s="8" t="s">
        <v>32</v>
      </c>
      <c r="I342" t="b">
        <f>+ISNUMBER(SEARCH('F-COMPRA'!$F$28,Tabla11[[#This Row],[Cuenta]],1))</f>
        <v>1</v>
      </c>
      <c r="J342" t="b">
        <f>+ISNUMBER(SEARCH('F-COMPRA'!$F$29,Tabla11[[#This Row],[Cuenta]],1))</f>
        <v>1</v>
      </c>
      <c r="K342" t="b">
        <f>+ISNUMBER(SEARCH('F-COMPRA'!$F$30,Tabla11[[#This Row],[Cuenta]],1))</f>
        <v>1</v>
      </c>
      <c r="L342" t="b">
        <f>+ISNUMBER(SEARCH('F-COMPRA'!$F$31,Tabla11[[#This Row],[Cuenta]],1))</f>
        <v>1</v>
      </c>
      <c r="M342" t="b">
        <f>+ISNUMBER(SEARCH('F-COMPRA'!$G$25,Tabla11[[#This Row],[Cuenta]],1))</f>
        <v>0</v>
      </c>
      <c r="N342" t="b">
        <f>+ISNUMBER(SEARCH(#REF!,Tabla11[[#This Row],[Cuenta]],1))</f>
        <v>0</v>
      </c>
      <c r="O342" t="b">
        <f>+ISNUMBER(SEARCH(#REF!,Tabla11[[#This Row],[Cuenta]],1))</f>
        <v>0</v>
      </c>
      <c r="P342" t="b">
        <f>+ISNUMBER(SEARCH('F-COMPRA'!$F$32,Tabla11[[#This Row],[Cuenta]],1))</f>
        <v>1</v>
      </c>
      <c r="Q342" t="b">
        <f>+ISNUMBER(SEARCH('F-COMPRA'!$F$33,Tabla11[[#This Row],[Cuenta]],1))</f>
        <v>1</v>
      </c>
      <c r="R342" t="b">
        <f>+ISNUMBER(SEARCH('F-COMPRA'!$F$34,Tabla11[[#This Row],[Cuenta]],1))</f>
        <v>1</v>
      </c>
      <c r="S342" t="b">
        <f>+ISNUMBER(SEARCH('F-COMPRA'!$F$35,Tabla11[[#This Row],[Cuenta]],1))</f>
        <v>1</v>
      </c>
      <c r="T342" t="b">
        <f>+ISNUMBER(SEARCH('F-COMPRA'!$F$36,Tabla11[[#This Row],[Cuenta]],1))</f>
        <v>1</v>
      </c>
      <c r="U342" t="b">
        <f>+ISNUMBER(SEARCH('F-COMPRA'!$F$37,Tabla11[[#This Row],[Cuenta]],1))</f>
        <v>1</v>
      </c>
      <c r="V342" t="b">
        <f>+ISNUMBER(SEARCH(#REF!,Tabla11[[#This Row],[Cuenta]],1))</f>
        <v>0</v>
      </c>
      <c r="W342" t="b">
        <f>+ISNUMBER(SEARCH('F-COMPRA'!#REF!,Tabla11[[#This Row],[Cuenta]],1))</f>
        <v>0</v>
      </c>
      <c r="X342" t="b">
        <f>+ISNUMBER(SEARCH('F-COMPRA'!#REF!,Tabla11[[#This Row],[Cuenta]],1))</f>
        <v>0</v>
      </c>
      <c r="Y342" t="b">
        <f>+ISNUMBER(SEARCH('F-COMPRA'!#REF!,Tabla11[[#This Row],[Cuenta]],1))</f>
        <v>0</v>
      </c>
      <c r="Z342" t="b">
        <f>+ISNUMBER(SEARCH('F-COMPRA'!#REF!,Tabla11[[#This Row],[Cuenta]],1))</f>
        <v>0</v>
      </c>
      <c r="AA342" t="b">
        <f>+ISNUMBER(SEARCH('F-COMPRA'!#REF!,Tabla11[[#This Row],[Cuenta]],1))</f>
        <v>0</v>
      </c>
      <c r="AB342" t="b">
        <f>+ISNUMBER(SEARCH('F-COMPRA'!#REF!,Tabla11[[#This Row],[Cuenta]],1))</f>
        <v>0</v>
      </c>
      <c r="AC342" t="b">
        <f>+ISNUMBER(SEARCH('F-COMPRA'!#REF!,Tabla11[[#This Row],[Cuenta]],1))</f>
        <v>0</v>
      </c>
      <c r="AD342" t="b">
        <f>+ISNUMBER(SEARCH('F-COMPRA'!#REF!,Tabla11[[#This Row],[Cuenta]],1))</f>
        <v>0</v>
      </c>
      <c r="AE342" t="b">
        <f>+ISNUMBER(SEARCH('F-COMPRA'!#REF!,Tabla11[[#This Row],[Cuenta]],1))</f>
        <v>0</v>
      </c>
      <c r="AF342" t="b">
        <f>+ISNUMBER(SEARCH('F-VTA'!$G$23,Tabla11[[#This Row],[Cuenta]],1))</f>
        <v>0</v>
      </c>
      <c r="AG342" t="b">
        <f>+ISNUMBER(SEARCH('F-VTA'!$G$24,Tabla11[[#This Row],[Cuenta]],1))</f>
        <v>0</v>
      </c>
      <c r="AH342" t="b">
        <f>+ISNUMBER(SEARCH('F-VTA'!$G$25,Tabla11[[#This Row],[Cuenta]],1))</f>
        <v>0</v>
      </c>
      <c r="AI342" t="b">
        <f>+ISNUMBER(SEARCH('F-VTA'!$F$28,Tabla11[[#This Row],[Cuenta]],1))</f>
        <v>1</v>
      </c>
      <c r="AJ342" t="b">
        <f>+ISNUMBER(SEARCH('F-VTA'!$F$29,Tabla11[[#This Row],[Cuenta]],1))</f>
        <v>1</v>
      </c>
      <c r="AK342" t="b">
        <f>+ISNUMBER(SEARCH('F-VTA'!$F$30,Tabla11[[#This Row],[Cuenta]],1))</f>
        <v>1</v>
      </c>
      <c r="AL342" t="b">
        <f>+ISNUMBER(SEARCH('F-VTA'!$F$31,Tabla11[[#This Row],[Cuenta]],1))</f>
        <v>1</v>
      </c>
      <c r="AM342" t="b">
        <f>+ISNUMBER(SEARCH('F-VTA'!$F$32,Tabla11[[#This Row],[Cuenta]],1))</f>
        <v>1</v>
      </c>
      <c r="AN342" t="b">
        <f>+ISNUMBER(SEARCH('F-VTA'!$F$33,Tabla11[[#This Row],[Cuenta]],1))</f>
        <v>1</v>
      </c>
      <c r="AO342" t="b">
        <f>+ISNUMBER(SEARCH('F-VTA'!$F$34,Tabla11[[#This Row],[Cuenta]],1))</f>
        <v>1</v>
      </c>
      <c r="AP342" t="b">
        <f>+ISNUMBER(SEARCH('F-VTA'!$F$35,Tabla11[[#This Row],[Cuenta]],1))</f>
        <v>1</v>
      </c>
      <c r="AQ342" t="b">
        <f>+ISNUMBER(SEARCH('F-VTA'!$F$36,Tabla11[[#This Row],[Cuenta]],1))</f>
        <v>1</v>
      </c>
      <c r="AR342" t="b">
        <f>+ISNUMBER(SEARCH(#REF!,Tabla11[[#This Row],[Cuenta]],1))</f>
        <v>0</v>
      </c>
      <c r="AS342" t="b">
        <f>+ISNUMBER(SEARCH(#REF!,Tabla11[[#This Row],[Cuenta]],1))</f>
        <v>0</v>
      </c>
      <c r="AT342" t="b">
        <f>+ISNUMBER(SEARCH(#REF!,Tabla11[[#This Row],[Cuenta]],1))</f>
        <v>0</v>
      </c>
      <c r="AU342" t="b">
        <f>+ISNUMBER(SEARCH('Conc. Ban.1'!$I$9,Tabla11[[#This Row],[Cuenta]],1))</f>
        <v>0</v>
      </c>
      <c r="AV342" t="b">
        <f>+ISNUMBER(SEARCH(CompConta!$F$21,Tabla11[[#This Row],[Cuenta]],1))</f>
        <v>1</v>
      </c>
      <c r="AW342" t="b">
        <f>+ISNUMBER(SEARCH(CompConta!$F$22,Tabla11[[#This Row],[Cuenta]],1))</f>
        <v>1</v>
      </c>
      <c r="AX342" t="b">
        <f>+ISNUMBER(SEARCH(CompConta!$F$23,Tabla11[[#This Row],[Cuenta]],1))</f>
        <v>1</v>
      </c>
      <c r="AY342" t="b">
        <f>+ISNUMBER(SEARCH(CompConta!$F$24,Tabla11[[#This Row],[Cuenta]],1))</f>
        <v>1</v>
      </c>
      <c r="AZ342" t="b">
        <f>+ISNUMBER(SEARCH(CompConta!$F$25,Tabla11[[#This Row],[Cuenta]],1))</f>
        <v>1</v>
      </c>
      <c r="BA342" t="b">
        <f>+ISNUMBER(SEARCH(CompConta!$F$26,Tabla11[[#This Row],[Cuenta]],1))</f>
        <v>1</v>
      </c>
      <c r="BB342" t="b">
        <f>+ISNUMBER(SEARCH(CompConta!$F$27,Tabla11[[#This Row],[Cuenta]],1))</f>
        <v>1</v>
      </c>
      <c r="BC342" t="b">
        <f>+ISNUMBER(SEARCH(CompConta!$F$28,Tabla11[[#This Row],[Cuenta]],1))</f>
        <v>1</v>
      </c>
      <c r="BD342" t="b">
        <f>+ISNUMBER(SEARCH(CompConta!$F$29,Tabla11[[#This Row],[Cuenta]],1))</f>
        <v>1</v>
      </c>
      <c r="BE342" t="b">
        <f>+ISNUMBER(SEARCH(CompConta!$F$30,Tabla11[[#This Row],[Cuenta]],1))</f>
        <v>1</v>
      </c>
      <c r="BF342" t="b">
        <f>+ISNUMBER(SEARCH('PAGO Compras'!$E$11,Tabla11[[#This Row],[Cuenta]],1))</f>
        <v>1</v>
      </c>
      <c r="BG342" t="b">
        <f>+ISNUMBER(SEARCH(#REF!,Tabla11[[#This Row],[Cuenta]],1))</f>
        <v>0</v>
      </c>
      <c r="BH342" t="b">
        <f>+ISNUMBER(SEARCH(#REF!,Tabla11[[#This Row],[Cuenta]],1))</f>
        <v>0</v>
      </c>
      <c r="BI342" t="b">
        <f>+ISNUMBER(SEARCH(#REF!,Tabla11[[#This Row],[Cuenta]],1))</f>
        <v>0</v>
      </c>
      <c r="BJ342" t="b">
        <f>+ISNUMBER(SEARCH(#REF!,Tabla11[[#This Row],[Cuenta]],1))</f>
        <v>0</v>
      </c>
      <c r="BS342" t="str">
        <v>171060 Dotación y suministro a trabajadores</v>
      </c>
      <c r="BT342" t="str">
        <v>171060 Dotación y suministro a trabajadores</v>
      </c>
      <c r="BU342" t="str">
        <v>171060 Dotación y suministro a trabajadores</v>
      </c>
      <c r="BV342" t="str">
        <v>171060 Dotación y suministro a trabajadores</v>
      </c>
      <c r="BZ342" t="str">
        <v>171060 Dotación y suministro a trabajadores</v>
      </c>
      <c r="CA342" t="str">
        <v>171060 Dotación y suministro a trabajadores</v>
      </c>
      <c r="CB342" t="str">
        <v>171060 Dotación y suministro a trabajadores</v>
      </c>
      <c r="CC342" t="str">
        <v>171060 Dotación y suministro a trabajadores</v>
      </c>
      <c r="CD342" t="str">
        <v>171060 Dotación y suministro a trabajadores</v>
      </c>
      <c r="CE342" t="str">
        <v>171060 Dotación y suministro a trabajadores</v>
      </c>
      <c r="CS342" s="141" t="str">
        <v>171060 Dotación y suministro a trabajadores</v>
      </c>
      <c r="CT342" s="141" t="str">
        <v>171060 Dotación y suministro a trabajadores</v>
      </c>
      <c r="CU342" s="141" t="str">
        <v>171060 Dotación y suministro a trabajadores</v>
      </c>
      <c r="CV342" s="141" t="str">
        <v>171060 Dotación y suministro a trabajadores</v>
      </c>
      <c r="CW342" s="141" t="str">
        <v>171060 Dotación y suministro a trabajadores</v>
      </c>
      <c r="CX342" s="141" t="str">
        <v>171060 Dotación y suministro a trabajadores</v>
      </c>
      <c r="CY342" s="141" t="str">
        <v>171060 Dotación y suministro a trabajadores</v>
      </c>
      <c r="CZ342" s="141" t="str">
        <v>171060 Dotación y suministro a trabajadores</v>
      </c>
      <c r="DA342" s="141" t="str">
        <v>171060 Dotación y suministro a trabajadores</v>
      </c>
      <c r="DF342" t="str">
        <v>171060 Dotación y suministro a trabajadores</v>
      </c>
      <c r="DG342" t="str">
        <v>171060 Dotación y suministro a trabajadores</v>
      </c>
      <c r="DH342" t="str">
        <v>171060 Dotación y suministro a trabajadores</v>
      </c>
      <c r="DI342" t="str">
        <v>171060 Dotación y suministro a trabajadores</v>
      </c>
      <c r="DJ342" t="str">
        <v>171060 Dotación y suministro a trabajadores</v>
      </c>
      <c r="DK342" t="str">
        <v>171060 Dotación y suministro a trabajadores</v>
      </c>
      <c r="DL342" t="str">
        <v>171060 Dotación y suministro a trabajadores</v>
      </c>
      <c r="DM342" t="str">
        <v>171060 Dotación y suministro a trabajadores</v>
      </c>
      <c r="DN342" t="str">
        <v>171060 Dotación y suministro a trabajadores</v>
      </c>
      <c r="DO342" t="str">
        <v>171060 Dotación y suministro a trabajadores</v>
      </c>
      <c r="DP342" t="str">
        <v>171060 Dotación y suministro a trabajadores</v>
      </c>
    </row>
    <row r="343" spans="4:120" ht="12.75">
      <c r="D343" s="7">
        <v>171064</v>
      </c>
      <c r="E343" s="6" t="s">
        <v>277</v>
      </c>
      <c r="F343" s="5">
        <v>4</v>
      </c>
      <c r="G343" s="34" t="s">
        <v>822</v>
      </c>
      <c r="H343" s="8" t="s">
        <v>32</v>
      </c>
      <c r="I343" t="b">
        <f>+ISNUMBER(SEARCH('F-COMPRA'!$F$28,Tabla11[[#This Row],[Cuenta]],1))</f>
        <v>1</v>
      </c>
      <c r="J343" t="b">
        <f>+ISNUMBER(SEARCH('F-COMPRA'!$F$29,Tabla11[[#This Row],[Cuenta]],1))</f>
        <v>1</v>
      </c>
      <c r="K343" t="b">
        <f>+ISNUMBER(SEARCH('F-COMPRA'!$F$30,Tabla11[[#This Row],[Cuenta]],1))</f>
        <v>1</v>
      </c>
      <c r="L343" t="b">
        <f>+ISNUMBER(SEARCH('F-COMPRA'!$F$31,Tabla11[[#This Row],[Cuenta]],1))</f>
        <v>1</v>
      </c>
      <c r="M343" t="b">
        <f>+ISNUMBER(SEARCH('F-COMPRA'!$G$25,Tabla11[[#This Row],[Cuenta]],1))</f>
        <v>0</v>
      </c>
      <c r="N343" t="b">
        <f>+ISNUMBER(SEARCH(#REF!,Tabla11[[#This Row],[Cuenta]],1))</f>
        <v>0</v>
      </c>
      <c r="O343" t="b">
        <f>+ISNUMBER(SEARCH(#REF!,Tabla11[[#This Row],[Cuenta]],1))</f>
        <v>0</v>
      </c>
      <c r="P343" t="b">
        <f>+ISNUMBER(SEARCH('F-COMPRA'!$F$32,Tabla11[[#This Row],[Cuenta]],1))</f>
        <v>1</v>
      </c>
      <c r="Q343" t="b">
        <f>+ISNUMBER(SEARCH('F-COMPRA'!$F$33,Tabla11[[#This Row],[Cuenta]],1))</f>
        <v>1</v>
      </c>
      <c r="R343" t="b">
        <f>+ISNUMBER(SEARCH('F-COMPRA'!$F$34,Tabla11[[#This Row],[Cuenta]],1))</f>
        <v>1</v>
      </c>
      <c r="S343" t="b">
        <f>+ISNUMBER(SEARCH('F-COMPRA'!$F$35,Tabla11[[#This Row],[Cuenta]],1))</f>
        <v>1</v>
      </c>
      <c r="T343" t="b">
        <f>+ISNUMBER(SEARCH('F-COMPRA'!$F$36,Tabla11[[#This Row],[Cuenta]],1))</f>
        <v>1</v>
      </c>
      <c r="U343" t="b">
        <f>+ISNUMBER(SEARCH('F-COMPRA'!$F$37,Tabla11[[#This Row],[Cuenta]],1))</f>
        <v>1</v>
      </c>
      <c r="V343" t="b">
        <f>+ISNUMBER(SEARCH(#REF!,Tabla11[[#This Row],[Cuenta]],1))</f>
        <v>0</v>
      </c>
      <c r="W343" t="b">
        <f>+ISNUMBER(SEARCH('F-COMPRA'!#REF!,Tabla11[[#This Row],[Cuenta]],1))</f>
        <v>0</v>
      </c>
      <c r="X343" t="b">
        <f>+ISNUMBER(SEARCH('F-COMPRA'!#REF!,Tabla11[[#This Row],[Cuenta]],1))</f>
        <v>0</v>
      </c>
      <c r="Y343" t="b">
        <f>+ISNUMBER(SEARCH('F-COMPRA'!#REF!,Tabla11[[#This Row],[Cuenta]],1))</f>
        <v>0</v>
      </c>
      <c r="Z343" t="b">
        <f>+ISNUMBER(SEARCH('F-COMPRA'!#REF!,Tabla11[[#This Row],[Cuenta]],1))</f>
        <v>0</v>
      </c>
      <c r="AA343" t="b">
        <f>+ISNUMBER(SEARCH('F-COMPRA'!#REF!,Tabla11[[#This Row],[Cuenta]],1))</f>
        <v>0</v>
      </c>
      <c r="AB343" t="b">
        <f>+ISNUMBER(SEARCH('F-COMPRA'!#REF!,Tabla11[[#This Row],[Cuenta]],1))</f>
        <v>0</v>
      </c>
      <c r="AC343" t="b">
        <f>+ISNUMBER(SEARCH('F-COMPRA'!#REF!,Tabla11[[#This Row],[Cuenta]],1))</f>
        <v>0</v>
      </c>
      <c r="AD343" t="b">
        <f>+ISNUMBER(SEARCH('F-COMPRA'!#REF!,Tabla11[[#This Row],[Cuenta]],1))</f>
        <v>0</v>
      </c>
      <c r="AE343" t="b">
        <f>+ISNUMBER(SEARCH('F-COMPRA'!#REF!,Tabla11[[#This Row],[Cuenta]],1))</f>
        <v>0</v>
      </c>
      <c r="AF343" t="b">
        <f>+ISNUMBER(SEARCH('F-VTA'!$G$23,Tabla11[[#This Row],[Cuenta]],1))</f>
        <v>0</v>
      </c>
      <c r="AG343" t="b">
        <f>+ISNUMBER(SEARCH('F-VTA'!$G$24,Tabla11[[#This Row],[Cuenta]],1))</f>
        <v>0</v>
      </c>
      <c r="AH343" t="b">
        <f>+ISNUMBER(SEARCH('F-VTA'!$G$25,Tabla11[[#This Row],[Cuenta]],1))</f>
        <v>0</v>
      </c>
      <c r="AI343" t="b">
        <f>+ISNUMBER(SEARCH('F-VTA'!$F$28,Tabla11[[#This Row],[Cuenta]],1))</f>
        <v>1</v>
      </c>
      <c r="AJ343" t="b">
        <f>+ISNUMBER(SEARCH('F-VTA'!$F$29,Tabla11[[#This Row],[Cuenta]],1))</f>
        <v>1</v>
      </c>
      <c r="AK343" t="b">
        <f>+ISNUMBER(SEARCH('F-VTA'!$F$30,Tabla11[[#This Row],[Cuenta]],1))</f>
        <v>1</v>
      </c>
      <c r="AL343" t="b">
        <f>+ISNUMBER(SEARCH('F-VTA'!$F$31,Tabla11[[#This Row],[Cuenta]],1))</f>
        <v>1</v>
      </c>
      <c r="AM343" t="b">
        <f>+ISNUMBER(SEARCH('F-VTA'!$F$32,Tabla11[[#This Row],[Cuenta]],1))</f>
        <v>1</v>
      </c>
      <c r="AN343" t="b">
        <f>+ISNUMBER(SEARCH('F-VTA'!$F$33,Tabla11[[#This Row],[Cuenta]],1))</f>
        <v>1</v>
      </c>
      <c r="AO343" t="b">
        <f>+ISNUMBER(SEARCH('F-VTA'!$F$34,Tabla11[[#This Row],[Cuenta]],1))</f>
        <v>1</v>
      </c>
      <c r="AP343" t="b">
        <f>+ISNUMBER(SEARCH('F-VTA'!$F$35,Tabla11[[#This Row],[Cuenta]],1))</f>
        <v>1</v>
      </c>
      <c r="AQ343" t="b">
        <f>+ISNUMBER(SEARCH('F-VTA'!$F$36,Tabla11[[#This Row],[Cuenta]],1))</f>
        <v>1</v>
      </c>
      <c r="AR343" t="b">
        <f>+ISNUMBER(SEARCH(#REF!,Tabla11[[#This Row],[Cuenta]],1))</f>
        <v>0</v>
      </c>
      <c r="AS343" t="b">
        <f>+ISNUMBER(SEARCH(#REF!,Tabla11[[#This Row],[Cuenta]],1))</f>
        <v>0</v>
      </c>
      <c r="AT343" t="b">
        <f>+ISNUMBER(SEARCH(#REF!,Tabla11[[#This Row],[Cuenta]],1))</f>
        <v>0</v>
      </c>
      <c r="AU343" t="b">
        <f>+ISNUMBER(SEARCH('Conc. Ban.1'!$I$9,Tabla11[[#This Row],[Cuenta]],1))</f>
        <v>0</v>
      </c>
      <c r="AV343" t="b">
        <f>+ISNUMBER(SEARCH(CompConta!$F$21,Tabla11[[#This Row],[Cuenta]],1))</f>
        <v>1</v>
      </c>
      <c r="AW343" t="b">
        <f>+ISNUMBER(SEARCH(CompConta!$F$22,Tabla11[[#This Row],[Cuenta]],1))</f>
        <v>1</v>
      </c>
      <c r="AX343" t="b">
        <f>+ISNUMBER(SEARCH(CompConta!$F$23,Tabla11[[#This Row],[Cuenta]],1))</f>
        <v>1</v>
      </c>
      <c r="AY343" t="b">
        <f>+ISNUMBER(SEARCH(CompConta!$F$24,Tabla11[[#This Row],[Cuenta]],1))</f>
        <v>1</v>
      </c>
      <c r="AZ343" t="b">
        <f>+ISNUMBER(SEARCH(CompConta!$F$25,Tabla11[[#This Row],[Cuenta]],1))</f>
        <v>1</v>
      </c>
      <c r="BA343" t="b">
        <f>+ISNUMBER(SEARCH(CompConta!$F$26,Tabla11[[#This Row],[Cuenta]],1))</f>
        <v>1</v>
      </c>
      <c r="BB343" t="b">
        <f>+ISNUMBER(SEARCH(CompConta!$F$27,Tabla11[[#This Row],[Cuenta]],1))</f>
        <v>1</v>
      </c>
      <c r="BC343" t="b">
        <f>+ISNUMBER(SEARCH(CompConta!$F$28,Tabla11[[#This Row],[Cuenta]],1))</f>
        <v>1</v>
      </c>
      <c r="BD343" t="b">
        <f>+ISNUMBER(SEARCH(CompConta!$F$29,Tabla11[[#This Row],[Cuenta]],1))</f>
        <v>1</v>
      </c>
      <c r="BE343" t="b">
        <f>+ISNUMBER(SEARCH(CompConta!$F$30,Tabla11[[#This Row],[Cuenta]],1))</f>
        <v>1</v>
      </c>
      <c r="BF343" t="b">
        <f>+ISNUMBER(SEARCH('PAGO Compras'!$E$11,Tabla11[[#This Row],[Cuenta]],1))</f>
        <v>1</v>
      </c>
      <c r="BG343" t="b">
        <f>+ISNUMBER(SEARCH(#REF!,Tabla11[[#This Row],[Cuenta]],1))</f>
        <v>0</v>
      </c>
      <c r="BH343" t="b">
        <f>+ISNUMBER(SEARCH(#REF!,Tabla11[[#This Row],[Cuenta]],1))</f>
        <v>0</v>
      </c>
      <c r="BI343" t="b">
        <f>+ISNUMBER(SEARCH(#REF!,Tabla11[[#This Row],[Cuenta]],1))</f>
        <v>0</v>
      </c>
      <c r="BJ343" t="b">
        <f>+ISNUMBER(SEARCH(#REF!,Tabla11[[#This Row],[Cuenta]],1))</f>
        <v>0</v>
      </c>
      <c r="BS343" t="str">
        <v>171064 Elementos de ropería y lencería</v>
      </c>
      <c r="BT343" t="str">
        <v>171064 Elementos de ropería y lencería</v>
      </c>
      <c r="BU343" t="str">
        <v>171064 Elementos de ropería y lencería</v>
      </c>
      <c r="BV343" t="str">
        <v>171064 Elementos de ropería y lencería</v>
      </c>
      <c r="BZ343" t="str">
        <v>171064 Elementos de ropería y lencería</v>
      </c>
      <c r="CA343" t="str">
        <v>171064 Elementos de ropería y lencería</v>
      </c>
      <c r="CB343" t="str">
        <v>171064 Elementos de ropería y lencería</v>
      </c>
      <c r="CC343" t="str">
        <v>171064 Elementos de ropería y lencería</v>
      </c>
      <c r="CD343" t="str">
        <v>171064 Elementos de ropería y lencería</v>
      </c>
      <c r="CE343" t="str">
        <v>171064 Elementos de ropería y lencería</v>
      </c>
      <c r="CS343" s="141" t="str">
        <v>171064 Elementos de ropería y lencería</v>
      </c>
      <c r="CT343" s="141" t="str">
        <v>171064 Elementos de ropería y lencería</v>
      </c>
      <c r="CU343" s="141" t="str">
        <v>171064 Elementos de ropería y lencería</v>
      </c>
      <c r="CV343" s="141" t="str">
        <v>171064 Elementos de ropería y lencería</v>
      </c>
      <c r="CW343" s="141" t="str">
        <v>171064 Elementos de ropería y lencería</v>
      </c>
      <c r="CX343" s="141" t="str">
        <v>171064 Elementos de ropería y lencería</v>
      </c>
      <c r="CY343" s="141" t="str">
        <v>171064 Elementos de ropería y lencería</v>
      </c>
      <c r="CZ343" s="141" t="str">
        <v>171064 Elementos de ropería y lencería</v>
      </c>
      <c r="DA343" s="141" t="str">
        <v>171064 Elementos de ropería y lencería</v>
      </c>
      <c r="DF343" t="str">
        <v>171064 Elementos de ropería y lencería</v>
      </c>
      <c r="DG343" t="str">
        <v>171064 Elementos de ropería y lencería</v>
      </c>
      <c r="DH343" t="str">
        <v>171064 Elementos de ropería y lencería</v>
      </c>
      <c r="DI343" t="str">
        <v>171064 Elementos de ropería y lencería</v>
      </c>
      <c r="DJ343" t="str">
        <v>171064 Elementos de ropería y lencería</v>
      </c>
      <c r="DK343" t="str">
        <v>171064 Elementos de ropería y lencería</v>
      </c>
      <c r="DL343" t="str">
        <v>171064 Elementos de ropería y lencería</v>
      </c>
      <c r="DM343" t="str">
        <v>171064 Elementos de ropería y lencería</v>
      </c>
      <c r="DN343" t="str">
        <v>171064 Elementos de ropería y lencería</v>
      </c>
      <c r="DO343" t="str">
        <v>171064 Elementos de ropería y lencería</v>
      </c>
      <c r="DP343" t="str">
        <v>171064 Elementos de ropería y lencería</v>
      </c>
    </row>
    <row r="344" spans="4:120" ht="12.75">
      <c r="D344" s="7">
        <v>171068</v>
      </c>
      <c r="E344" s="6" t="s">
        <v>278</v>
      </c>
      <c r="F344" s="5">
        <v>4</v>
      </c>
      <c r="G344" s="34" t="s">
        <v>822</v>
      </c>
      <c r="H344" s="8" t="s">
        <v>32</v>
      </c>
      <c r="I344" t="b">
        <f>+ISNUMBER(SEARCH('F-COMPRA'!$F$28,Tabla11[[#This Row],[Cuenta]],1))</f>
        <v>1</v>
      </c>
      <c r="J344" t="b">
        <f>+ISNUMBER(SEARCH('F-COMPRA'!$F$29,Tabla11[[#This Row],[Cuenta]],1))</f>
        <v>1</v>
      </c>
      <c r="K344" t="b">
        <f>+ISNUMBER(SEARCH('F-COMPRA'!$F$30,Tabla11[[#This Row],[Cuenta]],1))</f>
        <v>1</v>
      </c>
      <c r="L344" t="b">
        <f>+ISNUMBER(SEARCH('F-COMPRA'!$F$31,Tabla11[[#This Row],[Cuenta]],1))</f>
        <v>1</v>
      </c>
      <c r="M344" t="b">
        <f>+ISNUMBER(SEARCH('F-COMPRA'!$G$25,Tabla11[[#This Row],[Cuenta]],1))</f>
        <v>0</v>
      </c>
      <c r="N344" t="b">
        <f>+ISNUMBER(SEARCH(#REF!,Tabla11[[#This Row],[Cuenta]],1))</f>
        <v>0</v>
      </c>
      <c r="O344" t="b">
        <f>+ISNUMBER(SEARCH(#REF!,Tabla11[[#This Row],[Cuenta]],1))</f>
        <v>0</v>
      </c>
      <c r="P344" t="b">
        <f>+ISNUMBER(SEARCH('F-COMPRA'!$F$32,Tabla11[[#This Row],[Cuenta]],1))</f>
        <v>1</v>
      </c>
      <c r="Q344" t="b">
        <f>+ISNUMBER(SEARCH('F-COMPRA'!$F$33,Tabla11[[#This Row],[Cuenta]],1))</f>
        <v>1</v>
      </c>
      <c r="R344" t="b">
        <f>+ISNUMBER(SEARCH('F-COMPRA'!$F$34,Tabla11[[#This Row],[Cuenta]],1))</f>
        <v>1</v>
      </c>
      <c r="S344" t="b">
        <f>+ISNUMBER(SEARCH('F-COMPRA'!$F$35,Tabla11[[#This Row],[Cuenta]],1))</f>
        <v>1</v>
      </c>
      <c r="T344" t="b">
        <f>+ISNUMBER(SEARCH('F-COMPRA'!$F$36,Tabla11[[#This Row],[Cuenta]],1))</f>
        <v>1</v>
      </c>
      <c r="U344" t="b">
        <f>+ISNUMBER(SEARCH('F-COMPRA'!$F$37,Tabla11[[#This Row],[Cuenta]],1))</f>
        <v>1</v>
      </c>
      <c r="V344" t="b">
        <f>+ISNUMBER(SEARCH(#REF!,Tabla11[[#This Row],[Cuenta]],1))</f>
        <v>0</v>
      </c>
      <c r="W344" t="b">
        <f>+ISNUMBER(SEARCH('F-COMPRA'!#REF!,Tabla11[[#This Row],[Cuenta]],1))</f>
        <v>0</v>
      </c>
      <c r="X344" t="b">
        <f>+ISNUMBER(SEARCH('F-COMPRA'!#REF!,Tabla11[[#This Row],[Cuenta]],1))</f>
        <v>0</v>
      </c>
      <c r="Y344" t="b">
        <f>+ISNUMBER(SEARCH('F-COMPRA'!#REF!,Tabla11[[#This Row],[Cuenta]],1))</f>
        <v>0</v>
      </c>
      <c r="Z344" t="b">
        <f>+ISNUMBER(SEARCH('F-COMPRA'!#REF!,Tabla11[[#This Row],[Cuenta]],1))</f>
        <v>0</v>
      </c>
      <c r="AA344" t="b">
        <f>+ISNUMBER(SEARCH('F-COMPRA'!#REF!,Tabla11[[#This Row],[Cuenta]],1))</f>
        <v>0</v>
      </c>
      <c r="AB344" t="b">
        <f>+ISNUMBER(SEARCH('F-COMPRA'!#REF!,Tabla11[[#This Row],[Cuenta]],1))</f>
        <v>0</v>
      </c>
      <c r="AC344" t="b">
        <f>+ISNUMBER(SEARCH('F-COMPRA'!#REF!,Tabla11[[#This Row],[Cuenta]],1))</f>
        <v>0</v>
      </c>
      <c r="AD344" t="b">
        <f>+ISNUMBER(SEARCH('F-COMPRA'!#REF!,Tabla11[[#This Row],[Cuenta]],1))</f>
        <v>0</v>
      </c>
      <c r="AE344" t="b">
        <f>+ISNUMBER(SEARCH('F-COMPRA'!#REF!,Tabla11[[#This Row],[Cuenta]],1))</f>
        <v>0</v>
      </c>
      <c r="AF344" t="b">
        <f>+ISNUMBER(SEARCH('F-VTA'!$G$23,Tabla11[[#This Row],[Cuenta]],1))</f>
        <v>0</v>
      </c>
      <c r="AG344" t="b">
        <f>+ISNUMBER(SEARCH('F-VTA'!$G$24,Tabla11[[#This Row],[Cuenta]],1))</f>
        <v>0</v>
      </c>
      <c r="AH344" t="b">
        <f>+ISNUMBER(SEARCH('F-VTA'!$G$25,Tabla11[[#This Row],[Cuenta]],1))</f>
        <v>0</v>
      </c>
      <c r="AI344" t="b">
        <f>+ISNUMBER(SEARCH('F-VTA'!$F$28,Tabla11[[#This Row],[Cuenta]],1))</f>
        <v>1</v>
      </c>
      <c r="AJ344" t="b">
        <f>+ISNUMBER(SEARCH('F-VTA'!$F$29,Tabla11[[#This Row],[Cuenta]],1))</f>
        <v>1</v>
      </c>
      <c r="AK344" t="b">
        <f>+ISNUMBER(SEARCH('F-VTA'!$F$30,Tabla11[[#This Row],[Cuenta]],1))</f>
        <v>1</v>
      </c>
      <c r="AL344" t="b">
        <f>+ISNUMBER(SEARCH('F-VTA'!$F$31,Tabla11[[#This Row],[Cuenta]],1))</f>
        <v>1</v>
      </c>
      <c r="AM344" t="b">
        <f>+ISNUMBER(SEARCH('F-VTA'!$F$32,Tabla11[[#This Row],[Cuenta]],1))</f>
        <v>1</v>
      </c>
      <c r="AN344" t="b">
        <f>+ISNUMBER(SEARCH('F-VTA'!$F$33,Tabla11[[#This Row],[Cuenta]],1))</f>
        <v>1</v>
      </c>
      <c r="AO344" t="b">
        <f>+ISNUMBER(SEARCH('F-VTA'!$F$34,Tabla11[[#This Row],[Cuenta]],1))</f>
        <v>1</v>
      </c>
      <c r="AP344" t="b">
        <f>+ISNUMBER(SEARCH('F-VTA'!$F$35,Tabla11[[#This Row],[Cuenta]],1))</f>
        <v>1</v>
      </c>
      <c r="AQ344" t="b">
        <f>+ISNUMBER(SEARCH('F-VTA'!$F$36,Tabla11[[#This Row],[Cuenta]],1))</f>
        <v>1</v>
      </c>
      <c r="AR344" t="b">
        <f>+ISNUMBER(SEARCH(#REF!,Tabla11[[#This Row],[Cuenta]],1))</f>
        <v>0</v>
      </c>
      <c r="AS344" t="b">
        <f>+ISNUMBER(SEARCH(#REF!,Tabla11[[#This Row],[Cuenta]],1))</f>
        <v>0</v>
      </c>
      <c r="AT344" t="b">
        <f>+ISNUMBER(SEARCH(#REF!,Tabla11[[#This Row],[Cuenta]],1))</f>
        <v>0</v>
      </c>
      <c r="AU344" t="b">
        <f>+ISNUMBER(SEARCH('Conc. Ban.1'!$I$9,Tabla11[[#This Row],[Cuenta]],1))</f>
        <v>0</v>
      </c>
      <c r="AV344" t="b">
        <f>+ISNUMBER(SEARCH(CompConta!$F$21,Tabla11[[#This Row],[Cuenta]],1))</f>
        <v>1</v>
      </c>
      <c r="AW344" t="b">
        <f>+ISNUMBER(SEARCH(CompConta!$F$22,Tabla11[[#This Row],[Cuenta]],1))</f>
        <v>1</v>
      </c>
      <c r="AX344" t="b">
        <f>+ISNUMBER(SEARCH(CompConta!$F$23,Tabla11[[#This Row],[Cuenta]],1))</f>
        <v>1</v>
      </c>
      <c r="AY344" t="b">
        <f>+ISNUMBER(SEARCH(CompConta!$F$24,Tabla11[[#This Row],[Cuenta]],1))</f>
        <v>1</v>
      </c>
      <c r="AZ344" t="b">
        <f>+ISNUMBER(SEARCH(CompConta!$F$25,Tabla11[[#This Row],[Cuenta]],1))</f>
        <v>1</v>
      </c>
      <c r="BA344" t="b">
        <f>+ISNUMBER(SEARCH(CompConta!$F$26,Tabla11[[#This Row],[Cuenta]],1))</f>
        <v>1</v>
      </c>
      <c r="BB344" t="b">
        <f>+ISNUMBER(SEARCH(CompConta!$F$27,Tabla11[[#This Row],[Cuenta]],1))</f>
        <v>1</v>
      </c>
      <c r="BC344" t="b">
        <f>+ISNUMBER(SEARCH(CompConta!$F$28,Tabla11[[#This Row],[Cuenta]],1))</f>
        <v>1</v>
      </c>
      <c r="BD344" t="b">
        <f>+ISNUMBER(SEARCH(CompConta!$F$29,Tabla11[[#This Row],[Cuenta]],1))</f>
        <v>1</v>
      </c>
      <c r="BE344" t="b">
        <f>+ISNUMBER(SEARCH(CompConta!$F$30,Tabla11[[#This Row],[Cuenta]],1))</f>
        <v>1</v>
      </c>
      <c r="BF344" t="b">
        <f>+ISNUMBER(SEARCH('PAGO Compras'!$E$11,Tabla11[[#This Row],[Cuenta]],1))</f>
        <v>1</v>
      </c>
      <c r="BG344" t="b">
        <f>+ISNUMBER(SEARCH(#REF!,Tabla11[[#This Row],[Cuenta]],1))</f>
        <v>0</v>
      </c>
      <c r="BH344" t="b">
        <f>+ISNUMBER(SEARCH(#REF!,Tabla11[[#This Row],[Cuenta]],1))</f>
        <v>0</v>
      </c>
      <c r="BI344" t="b">
        <f>+ISNUMBER(SEARCH(#REF!,Tabla11[[#This Row],[Cuenta]],1))</f>
        <v>0</v>
      </c>
      <c r="BJ344" t="b">
        <f>+ISNUMBER(SEARCH(#REF!,Tabla11[[#This Row],[Cuenta]],1))</f>
        <v>0</v>
      </c>
      <c r="BS344" t="str">
        <v>171068 Loza y cristalería</v>
      </c>
      <c r="BT344" t="str">
        <v>171068 Loza y cristalería</v>
      </c>
      <c r="BU344" t="str">
        <v>171068 Loza y cristalería</v>
      </c>
      <c r="BV344" t="str">
        <v>171068 Loza y cristalería</v>
      </c>
      <c r="BZ344" t="str">
        <v>171068 Loza y cristalería</v>
      </c>
      <c r="CA344" t="str">
        <v>171068 Loza y cristalería</v>
      </c>
      <c r="CB344" t="str">
        <v>171068 Loza y cristalería</v>
      </c>
      <c r="CC344" t="str">
        <v>171068 Loza y cristalería</v>
      </c>
      <c r="CD344" t="str">
        <v>171068 Loza y cristalería</v>
      </c>
      <c r="CE344" t="str">
        <v>171068 Loza y cristalería</v>
      </c>
      <c r="CS344" s="141" t="str">
        <v>171068 Loza y cristalería</v>
      </c>
      <c r="CT344" s="141" t="str">
        <v>171068 Loza y cristalería</v>
      </c>
      <c r="CU344" s="141" t="str">
        <v>171068 Loza y cristalería</v>
      </c>
      <c r="CV344" s="141" t="str">
        <v>171068 Loza y cristalería</v>
      </c>
      <c r="CW344" s="141" t="str">
        <v>171068 Loza y cristalería</v>
      </c>
      <c r="CX344" s="141" t="str">
        <v>171068 Loza y cristalería</v>
      </c>
      <c r="CY344" s="141" t="str">
        <v>171068 Loza y cristalería</v>
      </c>
      <c r="CZ344" s="141" t="str">
        <v>171068 Loza y cristalería</v>
      </c>
      <c r="DA344" s="141" t="str">
        <v>171068 Loza y cristalería</v>
      </c>
      <c r="DF344" t="str">
        <v>171068 Loza y cristalería</v>
      </c>
      <c r="DG344" t="str">
        <v>171068 Loza y cristalería</v>
      </c>
      <c r="DH344" t="str">
        <v>171068 Loza y cristalería</v>
      </c>
      <c r="DI344" t="str">
        <v>171068 Loza y cristalería</v>
      </c>
      <c r="DJ344" t="str">
        <v>171068 Loza y cristalería</v>
      </c>
      <c r="DK344" t="str">
        <v>171068 Loza y cristalería</v>
      </c>
      <c r="DL344" t="str">
        <v>171068 Loza y cristalería</v>
      </c>
      <c r="DM344" t="str">
        <v>171068 Loza y cristalería</v>
      </c>
      <c r="DN344" t="str">
        <v>171068 Loza y cristalería</v>
      </c>
      <c r="DO344" t="str">
        <v>171068 Loza y cristalería</v>
      </c>
      <c r="DP344" t="str">
        <v>171068 Loza y cristalería</v>
      </c>
    </row>
    <row r="345" spans="4:120" ht="12.75">
      <c r="D345" s="7">
        <v>171069</v>
      </c>
      <c r="E345" s="6" t="s">
        <v>279</v>
      </c>
      <c r="F345" s="5">
        <v>4</v>
      </c>
      <c r="G345" s="34" t="s">
        <v>822</v>
      </c>
      <c r="H345" s="8" t="s">
        <v>32</v>
      </c>
      <c r="I345" t="b">
        <f>+ISNUMBER(SEARCH('F-COMPRA'!$F$28,Tabla11[[#This Row],[Cuenta]],1))</f>
        <v>1</v>
      </c>
      <c r="J345" t="b">
        <f>+ISNUMBER(SEARCH('F-COMPRA'!$F$29,Tabla11[[#This Row],[Cuenta]],1))</f>
        <v>1</v>
      </c>
      <c r="K345" t="b">
        <f>+ISNUMBER(SEARCH('F-COMPRA'!$F$30,Tabla11[[#This Row],[Cuenta]],1))</f>
        <v>1</v>
      </c>
      <c r="L345" t="b">
        <f>+ISNUMBER(SEARCH('F-COMPRA'!$F$31,Tabla11[[#This Row],[Cuenta]],1))</f>
        <v>1</v>
      </c>
      <c r="M345" t="b">
        <f>+ISNUMBER(SEARCH('F-COMPRA'!$G$25,Tabla11[[#This Row],[Cuenta]],1))</f>
        <v>0</v>
      </c>
      <c r="N345" t="b">
        <f>+ISNUMBER(SEARCH(#REF!,Tabla11[[#This Row],[Cuenta]],1))</f>
        <v>0</v>
      </c>
      <c r="O345" t="b">
        <f>+ISNUMBER(SEARCH(#REF!,Tabla11[[#This Row],[Cuenta]],1))</f>
        <v>0</v>
      </c>
      <c r="P345" t="b">
        <f>+ISNUMBER(SEARCH('F-COMPRA'!$F$32,Tabla11[[#This Row],[Cuenta]],1))</f>
        <v>1</v>
      </c>
      <c r="Q345" t="b">
        <f>+ISNUMBER(SEARCH('F-COMPRA'!$F$33,Tabla11[[#This Row],[Cuenta]],1))</f>
        <v>1</v>
      </c>
      <c r="R345" t="b">
        <f>+ISNUMBER(SEARCH('F-COMPRA'!$F$34,Tabla11[[#This Row],[Cuenta]],1))</f>
        <v>1</v>
      </c>
      <c r="S345" t="b">
        <f>+ISNUMBER(SEARCH('F-COMPRA'!$F$35,Tabla11[[#This Row],[Cuenta]],1))</f>
        <v>1</v>
      </c>
      <c r="T345" t="b">
        <f>+ISNUMBER(SEARCH('F-COMPRA'!$F$36,Tabla11[[#This Row],[Cuenta]],1))</f>
        <v>1</v>
      </c>
      <c r="U345" t="b">
        <f>+ISNUMBER(SEARCH('F-COMPRA'!$F$37,Tabla11[[#This Row],[Cuenta]],1))</f>
        <v>1</v>
      </c>
      <c r="V345" t="b">
        <f>+ISNUMBER(SEARCH(#REF!,Tabla11[[#This Row],[Cuenta]],1))</f>
        <v>0</v>
      </c>
      <c r="W345" t="b">
        <f>+ISNUMBER(SEARCH('F-COMPRA'!#REF!,Tabla11[[#This Row],[Cuenta]],1))</f>
        <v>0</v>
      </c>
      <c r="X345" t="b">
        <f>+ISNUMBER(SEARCH('F-COMPRA'!#REF!,Tabla11[[#This Row],[Cuenta]],1))</f>
        <v>0</v>
      </c>
      <c r="Y345" t="b">
        <f>+ISNUMBER(SEARCH('F-COMPRA'!#REF!,Tabla11[[#This Row],[Cuenta]],1))</f>
        <v>0</v>
      </c>
      <c r="Z345" t="b">
        <f>+ISNUMBER(SEARCH('F-COMPRA'!#REF!,Tabla11[[#This Row],[Cuenta]],1))</f>
        <v>0</v>
      </c>
      <c r="AA345" t="b">
        <f>+ISNUMBER(SEARCH('F-COMPRA'!#REF!,Tabla11[[#This Row],[Cuenta]],1))</f>
        <v>0</v>
      </c>
      <c r="AB345" t="b">
        <f>+ISNUMBER(SEARCH('F-COMPRA'!#REF!,Tabla11[[#This Row],[Cuenta]],1))</f>
        <v>0</v>
      </c>
      <c r="AC345" t="b">
        <f>+ISNUMBER(SEARCH('F-COMPRA'!#REF!,Tabla11[[#This Row],[Cuenta]],1))</f>
        <v>0</v>
      </c>
      <c r="AD345" t="b">
        <f>+ISNUMBER(SEARCH('F-COMPRA'!#REF!,Tabla11[[#This Row],[Cuenta]],1))</f>
        <v>0</v>
      </c>
      <c r="AE345" t="b">
        <f>+ISNUMBER(SEARCH('F-COMPRA'!#REF!,Tabla11[[#This Row],[Cuenta]],1))</f>
        <v>0</v>
      </c>
      <c r="AF345" t="b">
        <f>+ISNUMBER(SEARCH('F-VTA'!$G$23,Tabla11[[#This Row],[Cuenta]],1))</f>
        <v>0</v>
      </c>
      <c r="AG345" t="b">
        <f>+ISNUMBER(SEARCH('F-VTA'!$G$24,Tabla11[[#This Row],[Cuenta]],1))</f>
        <v>0</v>
      </c>
      <c r="AH345" t="b">
        <f>+ISNUMBER(SEARCH('F-VTA'!$G$25,Tabla11[[#This Row],[Cuenta]],1))</f>
        <v>0</v>
      </c>
      <c r="AI345" t="b">
        <f>+ISNUMBER(SEARCH('F-VTA'!$F$28,Tabla11[[#This Row],[Cuenta]],1))</f>
        <v>1</v>
      </c>
      <c r="AJ345" t="b">
        <f>+ISNUMBER(SEARCH('F-VTA'!$F$29,Tabla11[[#This Row],[Cuenta]],1))</f>
        <v>1</v>
      </c>
      <c r="AK345" t="b">
        <f>+ISNUMBER(SEARCH('F-VTA'!$F$30,Tabla11[[#This Row],[Cuenta]],1))</f>
        <v>1</v>
      </c>
      <c r="AL345" t="b">
        <f>+ISNUMBER(SEARCH('F-VTA'!$F$31,Tabla11[[#This Row],[Cuenta]],1))</f>
        <v>1</v>
      </c>
      <c r="AM345" t="b">
        <f>+ISNUMBER(SEARCH('F-VTA'!$F$32,Tabla11[[#This Row],[Cuenta]],1))</f>
        <v>1</v>
      </c>
      <c r="AN345" t="b">
        <f>+ISNUMBER(SEARCH('F-VTA'!$F$33,Tabla11[[#This Row],[Cuenta]],1))</f>
        <v>1</v>
      </c>
      <c r="AO345" t="b">
        <f>+ISNUMBER(SEARCH('F-VTA'!$F$34,Tabla11[[#This Row],[Cuenta]],1))</f>
        <v>1</v>
      </c>
      <c r="AP345" t="b">
        <f>+ISNUMBER(SEARCH('F-VTA'!$F$35,Tabla11[[#This Row],[Cuenta]],1))</f>
        <v>1</v>
      </c>
      <c r="AQ345" t="b">
        <f>+ISNUMBER(SEARCH('F-VTA'!$F$36,Tabla11[[#This Row],[Cuenta]],1))</f>
        <v>1</v>
      </c>
      <c r="AR345" t="b">
        <f>+ISNUMBER(SEARCH(#REF!,Tabla11[[#This Row],[Cuenta]],1))</f>
        <v>0</v>
      </c>
      <c r="AS345" t="b">
        <f>+ISNUMBER(SEARCH(#REF!,Tabla11[[#This Row],[Cuenta]],1))</f>
        <v>0</v>
      </c>
      <c r="AT345" t="b">
        <f>+ISNUMBER(SEARCH(#REF!,Tabla11[[#This Row],[Cuenta]],1))</f>
        <v>0</v>
      </c>
      <c r="AU345" t="b">
        <f>+ISNUMBER(SEARCH('Conc. Ban.1'!$I$9,Tabla11[[#This Row],[Cuenta]],1))</f>
        <v>0</v>
      </c>
      <c r="AV345" t="b">
        <f>+ISNUMBER(SEARCH(CompConta!$F$21,Tabla11[[#This Row],[Cuenta]],1))</f>
        <v>1</v>
      </c>
      <c r="AW345" t="b">
        <f>+ISNUMBER(SEARCH(CompConta!$F$22,Tabla11[[#This Row],[Cuenta]],1))</f>
        <v>1</v>
      </c>
      <c r="AX345" t="b">
        <f>+ISNUMBER(SEARCH(CompConta!$F$23,Tabla11[[#This Row],[Cuenta]],1))</f>
        <v>1</v>
      </c>
      <c r="AY345" t="b">
        <f>+ISNUMBER(SEARCH(CompConta!$F$24,Tabla11[[#This Row],[Cuenta]],1))</f>
        <v>1</v>
      </c>
      <c r="AZ345" t="b">
        <f>+ISNUMBER(SEARCH(CompConta!$F$25,Tabla11[[#This Row],[Cuenta]],1))</f>
        <v>1</v>
      </c>
      <c r="BA345" t="b">
        <f>+ISNUMBER(SEARCH(CompConta!$F$26,Tabla11[[#This Row],[Cuenta]],1))</f>
        <v>1</v>
      </c>
      <c r="BB345" t="b">
        <f>+ISNUMBER(SEARCH(CompConta!$F$27,Tabla11[[#This Row],[Cuenta]],1))</f>
        <v>1</v>
      </c>
      <c r="BC345" t="b">
        <f>+ISNUMBER(SEARCH(CompConta!$F$28,Tabla11[[#This Row],[Cuenta]],1))</f>
        <v>1</v>
      </c>
      <c r="BD345" t="b">
        <f>+ISNUMBER(SEARCH(CompConta!$F$29,Tabla11[[#This Row],[Cuenta]],1))</f>
        <v>1</v>
      </c>
      <c r="BE345" t="b">
        <f>+ISNUMBER(SEARCH(CompConta!$F$30,Tabla11[[#This Row],[Cuenta]],1))</f>
        <v>1</v>
      </c>
      <c r="BF345" t="b">
        <f>+ISNUMBER(SEARCH('PAGO Compras'!$E$11,Tabla11[[#This Row],[Cuenta]],1))</f>
        <v>1</v>
      </c>
      <c r="BG345" t="b">
        <f>+ISNUMBER(SEARCH(#REF!,Tabla11[[#This Row],[Cuenta]],1))</f>
        <v>0</v>
      </c>
      <c r="BH345" t="b">
        <f>+ISNUMBER(SEARCH(#REF!,Tabla11[[#This Row],[Cuenta]],1))</f>
        <v>0</v>
      </c>
      <c r="BI345" t="b">
        <f>+ISNUMBER(SEARCH(#REF!,Tabla11[[#This Row],[Cuenta]],1))</f>
        <v>0</v>
      </c>
      <c r="BJ345" t="b">
        <f>+ISNUMBER(SEARCH(#REF!,Tabla11[[#This Row],[Cuenta]],1))</f>
        <v>0</v>
      </c>
      <c r="BS345" t="str">
        <v>171069 Platería</v>
      </c>
      <c r="BT345" t="str">
        <v>171069 Platería</v>
      </c>
      <c r="BU345" t="str">
        <v>171069 Platería</v>
      </c>
      <c r="BV345" t="str">
        <v>171069 Platería</v>
      </c>
      <c r="BZ345" t="str">
        <v>171069 Platería</v>
      </c>
      <c r="CA345" t="str">
        <v>171069 Platería</v>
      </c>
      <c r="CB345" t="str">
        <v>171069 Platería</v>
      </c>
      <c r="CC345" t="str">
        <v>171069 Platería</v>
      </c>
      <c r="CD345" t="str">
        <v>171069 Platería</v>
      </c>
      <c r="CE345" t="str">
        <v>171069 Platería</v>
      </c>
      <c r="CS345" s="141" t="str">
        <v>171069 Platería</v>
      </c>
      <c r="CT345" s="141" t="str">
        <v>171069 Platería</v>
      </c>
      <c r="CU345" s="141" t="str">
        <v>171069 Platería</v>
      </c>
      <c r="CV345" s="141" t="str">
        <v>171069 Platería</v>
      </c>
      <c r="CW345" s="141" t="str">
        <v>171069 Platería</v>
      </c>
      <c r="CX345" s="141" t="str">
        <v>171069 Platería</v>
      </c>
      <c r="CY345" s="141" t="str">
        <v>171069 Platería</v>
      </c>
      <c r="CZ345" s="141" t="str">
        <v>171069 Platería</v>
      </c>
      <c r="DA345" s="141" t="str">
        <v>171069 Platería</v>
      </c>
      <c r="DF345" t="str">
        <v>171069 Platería</v>
      </c>
      <c r="DG345" t="str">
        <v>171069 Platería</v>
      </c>
      <c r="DH345" t="str">
        <v>171069 Platería</v>
      </c>
      <c r="DI345" t="str">
        <v>171069 Platería</v>
      </c>
      <c r="DJ345" t="str">
        <v>171069 Platería</v>
      </c>
      <c r="DK345" t="str">
        <v>171069 Platería</v>
      </c>
      <c r="DL345" t="str">
        <v>171069 Platería</v>
      </c>
      <c r="DM345" t="str">
        <v>171069 Platería</v>
      </c>
      <c r="DN345" t="str">
        <v>171069 Platería</v>
      </c>
      <c r="DO345" t="str">
        <v>171069 Platería</v>
      </c>
      <c r="DP345" t="str">
        <v>171069 Platería</v>
      </c>
    </row>
    <row r="346" spans="4:120" ht="12.75">
      <c r="D346" s="7">
        <v>171070</v>
      </c>
      <c r="E346" s="6" t="s">
        <v>280</v>
      </c>
      <c r="F346" s="5">
        <v>4</v>
      </c>
      <c r="G346" s="34" t="s">
        <v>822</v>
      </c>
      <c r="H346" s="8" t="s">
        <v>32</v>
      </c>
      <c r="I346" t="b">
        <f>+ISNUMBER(SEARCH('F-COMPRA'!$F$28,Tabla11[[#This Row],[Cuenta]],1))</f>
        <v>1</v>
      </c>
      <c r="J346" t="b">
        <f>+ISNUMBER(SEARCH('F-COMPRA'!$F$29,Tabla11[[#This Row],[Cuenta]],1))</f>
        <v>1</v>
      </c>
      <c r="K346" t="b">
        <f>+ISNUMBER(SEARCH('F-COMPRA'!$F$30,Tabla11[[#This Row],[Cuenta]],1))</f>
        <v>1</v>
      </c>
      <c r="L346" t="b">
        <f>+ISNUMBER(SEARCH('F-COMPRA'!$F$31,Tabla11[[#This Row],[Cuenta]],1))</f>
        <v>1</v>
      </c>
      <c r="M346" t="b">
        <f>+ISNUMBER(SEARCH('F-COMPRA'!$G$25,Tabla11[[#This Row],[Cuenta]],1))</f>
        <v>0</v>
      </c>
      <c r="N346" t="b">
        <f>+ISNUMBER(SEARCH(#REF!,Tabla11[[#This Row],[Cuenta]],1))</f>
        <v>0</v>
      </c>
      <c r="O346" t="b">
        <f>+ISNUMBER(SEARCH(#REF!,Tabla11[[#This Row],[Cuenta]],1))</f>
        <v>0</v>
      </c>
      <c r="P346" t="b">
        <f>+ISNUMBER(SEARCH('F-COMPRA'!$F$32,Tabla11[[#This Row],[Cuenta]],1))</f>
        <v>1</v>
      </c>
      <c r="Q346" t="b">
        <f>+ISNUMBER(SEARCH('F-COMPRA'!$F$33,Tabla11[[#This Row],[Cuenta]],1))</f>
        <v>1</v>
      </c>
      <c r="R346" t="b">
        <f>+ISNUMBER(SEARCH('F-COMPRA'!$F$34,Tabla11[[#This Row],[Cuenta]],1))</f>
        <v>1</v>
      </c>
      <c r="S346" t="b">
        <f>+ISNUMBER(SEARCH('F-COMPRA'!$F$35,Tabla11[[#This Row],[Cuenta]],1))</f>
        <v>1</v>
      </c>
      <c r="T346" t="b">
        <f>+ISNUMBER(SEARCH('F-COMPRA'!$F$36,Tabla11[[#This Row],[Cuenta]],1))</f>
        <v>1</v>
      </c>
      <c r="U346" t="b">
        <f>+ISNUMBER(SEARCH('F-COMPRA'!$F$37,Tabla11[[#This Row],[Cuenta]],1))</f>
        <v>1</v>
      </c>
      <c r="V346" t="b">
        <f>+ISNUMBER(SEARCH(#REF!,Tabla11[[#This Row],[Cuenta]],1))</f>
        <v>0</v>
      </c>
      <c r="W346" t="b">
        <f>+ISNUMBER(SEARCH('F-COMPRA'!#REF!,Tabla11[[#This Row],[Cuenta]],1))</f>
        <v>0</v>
      </c>
      <c r="X346" t="b">
        <f>+ISNUMBER(SEARCH('F-COMPRA'!#REF!,Tabla11[[#This Row],[Cuenta]],1))</f>
        <v>0</v>
      </c>
      <c r="Y346" t="b">
        <f>+ISNUMBER(SEARCH('F-COMPRA'!#REF!,Tabla11[[#This Row],[Cuenta]],1))</f>
        <v>0</v>
      </c>
      <c r="Z346" t="b">
        <f>+ISNUMBER(SEARCH('F-COMPRA'!#REF!,Tabla11[[#This Row],[Cuenta]],1))</f>
        <v>0</v>
      </c>
      <c r="AA346" t="b">
        <f>+ISNUMBER(SEARCH('F-COMPRA'!#REF!,Tabla11[[#This Row],[Cuenta]],1))</f>
        <v>0</v>
      </c>
      <c r="AB346" t="b">
        <f>+ISNUMBER(SEARCH('F-COMPRA'!#REF!,Tabla11[[#This Row],[Cuenta]],1))</f>
        <v>0</v>
      </c>
      <c r="AC346" t="b">
        <f>+ISNUMBER(SEARCH('F-COMPRA'!#REF!,Tabla11[[#This Row],[Cuenta]],1))</f>
        <v>0</v>
      </c>
      <c r="AD346" t="b">
        <f>+ISNUMBER(SEARCH('F-COMPRA'!#REF!,Tabla11[[#This Row],[Cuenta]],1))</f>
        <v>0</v>
      </c>
      <c r="AE346" t="b">
        <f>+ISNUMBER(SEARCH('F-COMPRA'!#REF!,Tabla11[[#This Row],[Cuenta]],1))</f>
        <v>0</v>
      </c>
      <c r="AF346" t="b">
        <f>+ISNUMBER(SEARCH('F-VTA'!$G$23,Tabla11[[#This Row],[Cuenta]],1))</f>
        <v>0</v>
      </c>
      <c r="AG346" t="b">
        <f>+ISNUMBER(SEARCH('F-VTA'!$G$24,Tabla11[[#This Row],[Cuenta]],1))</f>
        <v>0</v>
      </c>
      <c r="AH346" t="b">
        <f>+ISNUMBER(SEARCH('F-VTA'!$G$25,Tabla11[[#This Row],[Cuenta]],1))</f>
        <v>0</v>
      </c>
      <c r="AI346" t="b">
        <f>+ISNUMBER(SEARCH('F-VTA'!$F$28,Tabla11[[#This Row],[Cuenta]],1))</f>
        <v>1</v>
      </c>
      <c r="AJ346" t="b">
        <f>+ISNUMBER(SEARCH('F-VTA'!$F$29,Tabla11[[#This Row],[Cuenta]],1))</f>
        <v>1</v>
      </c>
      <c r="AK346" t="b">
        <f>+ISNUMBER(SEARCH('F-VTA'!$F$30,Tabla11[[#This Row],[Cuenta]],1))</f>
        <v>1</v>
      </c>
      <c r="AL346" t="b">
        <f>+ISNUMBER(SEARCH('F-VTA'!$F$31,Tabla11[[#This Row],[Cuenta]],1))</f>
        <v>1</v>
      </c>
      <c r="AM346" t="b">
        <f>+ISNUMBER(SEARCH('F-VTA'!$F$32,Tabla11[[#This Row],[Cuenta]],1))</f>
        <v>1</v>
      </c>
      <c r="AN346" t="b">
        <f>+ISNUMBER(SEARCH('F-VTA'!$F$33,Tabla11[[#This Row],[Cuenta]],1))</f>
        <v>1</v>
      </c>
      <c r="AO346" t="b">
        <f>+ISNUMBER(SEARCH('F-VTA'!$F$34,Tabla11[[#This Row],[Cuenta]],1))</f>
        <v>1</v>
      </c>
      <c r="AP346" t="b">
        <f>+ISNUMBER(SEARCH('F-VTA'!$F$35,Tabla11[[#This Row],[Cuenta]],1))</f>
        <v>1</v>
      </c>
      <c r="AQ346" t="b">
        <f>+ISNUMBER(SEARCH('F-VTA'!$F$36,Tabla11[[#This Row],[Cuenta]],1))</f>
        <v>1</v>
      </c>
      <c r="AR346" t="b">
        <f>+ISNUMBER(SEARCH(#REF!,Tabla11[[#This Row],[Cuenta]],1))</f>
        <v>0</v>
      </c>
      <c r="AS346" t="b">
        <f>+ISNUMBER(SEARCH(#REF!,Tabla11[[#This Row],[Cuenta]],1))</f>
        <v>0</v>
      </c>
      <c r="AT346" t="b">
        <f>+ISNUMBER(SEARCH(#REF!,Tabla11[[#This Row],[Cuenta]],1))</f>
        <v>0</v>
      </c>
      <c r="AU346" t="b">
        <f>+ISNUMBER(SEARCH('Conc. Ban.1'!$I$9,Tabla11[[#This Row],[Cuenta]],1))</f>
        <v>0</v>
      </c>
      <c r="AV346" t="b">
        <f>+ISNUMBER(SEARCH(CompConta!$F$21,Tabla11[[#This Row],[Cuenta]],1))</f>
        <v>1</v>
      </c>
      <c r="AW346" t="b">
        <f>+ISNUMBER(SEARCH(CompConta!$F$22,Tabla11[[#This Row],[Cuenta]],1))</f>
        <v>1</v>
      </c>
      <c r="AX346" t="b">
        <f>+ISNUMBER(SEARCH(CompConta!$F$23,Tabla11[[#This Row],[Cuenta]],1))</f>
        <v>1</v>
      </c>
      <c r="AY346" t="b">
        <f>+ISNUMBER(SEARCH(CompConta!$F$24,Tabla11[[#This Row],[Cuenta]],1))</f>
        <v>1</v>
      </c>
      <c r="AZ346" t="b">
        <f>+ISNUMBER(SEARCH(CompConta!$F$25,Tabla11[[#This Row],[Cuenta]],1))</f>
        <v>1</v>
      </c>
      <c r="BA346" t="b">
        <f>+ISNUMBER(SEARCH(CompConta!$F$26,Tabla11[[#This Row],[Cuenta]],1))</f>
        <v>1</v>
      </c>
      <c r="BB346" t="b">
        <f>+ISNUMBER(SEARCH(CompConta!$F$27,Tabla11[[#This Row],[Cuenta]],1))</f>
        <v>1</v>
      </c>
      <c r="BC346" t="b">
        <f>+ISNUMBER(SEARCH(CompConta!$F$28,Tabla11[[#This Row],[Cuenta]],1))</f>
        <v>1</v>
      </c>
      <c r="BD346" t="b">
        <f>+ISNUMBER(SEARCH(CompConta!$F$29,Tabla11[[#This Row],[Cuenta]],1))</f>
        <v>1</v>
      </c>
      <c r="BE346" t="b">
        <f>+ISNUMBER(SEARCH(CompConta!$F$30,Tabla11[[#This Row],[Cuenta]],1))</f>
        <v>1</v>
      </c>
      <c r="BF346" t="b">
        <f>+ISNUMBER(SEARCH('PAGO Compras'!$E$11,Tabla11[[#This Row],[Cuenta]],1))</f>
        <v>1</v>
      </c>
      <c r="BG346" t="b">
        <f>+ISNUMBER(SEARCH(#REF!,Tabla11[[#This Row],[Cuenta]],1))</f>
        <v>0</v>
      </c>
      <c r="BH346" t="b">
        <f>+ISNUMBER(SEARCH(#REF!,Tabla11[[#This Row],[Cuenta]],1))</f>
        <v>0</v>
      </c>
      <c r="BI346" t="b">
        <f>+ISNUMBER(SEARCH(#REF!,Tabla11[[#This Row],[Cuenta]],1))</f>
        <v>0</v>
      </c>
      <c r="BJ346" t="b">
        <f>+ISNUMBER(SEARCH(#REF!,Tabla11[[#This Row],[Cuenta]],1))</f>
        <v>0</v>
      </c>
      <c r="BS346" t="str">
        <v>171070 Cubiertería</v>
      </c>
      <c r="BT346" t="str">
        <v>171070 Cubiertería</v>
      </c>
      <c r="BU346" t="str">
        <v>171070 Cubiertería</v>
      </c>
      <c r="BV346" t="str">
        <v>171070 Cubiertería</v>
      </c>
      <c r="BZ346" t="str">
        <v>171070 Cubiertería</v>
      </c>
      <c r="CA346" t="str">
        <v>171070 Cubiertería</v>
      </c>
      <c r="CB346" t="str">
        <v>171070 Cubiertería</v>
      </c>
      <c r="CC346" t="str">
        <v>171070 Cubiertería</v>
      </c>
      <c r="CD346" t="str">
        <v>171070 Cubiertería</v>
      </c>
      <c r="CE346" t="str">
        <v>171070 Cubiertería</v>
      </c>
      <c r="CS346" s="141" t="str">
        <v>171070 Cubiertería</v>
      </c>
      <c r="CT346" s="141" t="str">
        <v>171070 Cubiertería</v>
      </c>
      <c r="CU346" s="141" t="str">
        <v>171070 Cubiertería</v>
      </c>
      <c r="CV346" s="141" t="str">
        <v>171070 Cubiertería</v>
      </c>
      <c r="CW346" s="141" t="str">
        <v>171070 Cubiertería</v>
      </c>
      <c r="CX346" s="141" t="str">
        <v>171070 Cubiertería</v>
      </c>
      <c r="CY346" s="141" t="str">
        <v>171070 Cubiertería</v>
      </c>
      <c r="CZ346" s="141" t="str">
        <v>171070 Cubiertería</v>
      </c>
      <c r="DA346" s="141" t="str">
        <v>171070 Cubiertería</v>
      </c>
      <c r="DF346" t="str">
        <v>171070 Cubiertería</v>
      </c>
      <c r="DG346" t="str">
        <v>171070 Cubiertería</v>
      </c>
      <c r="DH346" t="str">
        <v>171070 Cubiertería</v>
      </c>
      <c r="DI346" t="str">
        <v>171070 Cubiertería</v>
      </c>
      <c r="DJ346" t="str">
        <v>171070 Cubiertería</v>
      </c>
      <c r="DK346" t="str">
        <v>171070 Cubiertería</v>
      </c>
      <c r="DL346" t="str">
        <v>171070 Cubiertería</v>
      </c>
      <c r="DM346" t="str">
        <v>171070 Cubiertería</v>
      </c>
      <c r="DN346" t="str">
        <v>171070 Cubiertería</v>
      </c>
      <c r="DO346" t="str">
        <v>171070 Cubiertería</v>
      </c>
      <c r="DP346" t="str">
        <v>171070 Cubiertería</v>
      </c>
    </row>
    <row r="347" spans="4:120" ht="12.75">
      <c r="D347" s="7">
        <v>171076</v>
      </c>
      <c r="E347" s="6" t="s">
        <v>281</v>
      </c>
      <c r="F347" s="5">
        <v>4</v>
      </c>
      <c r="G347" s="34" t="s">
        <v>822</v>
      </c>
      <c r="H347" s="8" t="s">
        <v>32</v>
      </c>
      <c r="I347" t="b">
        <f>+ISNUMBER(SEARCH('F-COMPRA'!$F$28,Tabla11[[#This Row],[Cuenta]],1))</f>
        <v>1</v>
      </c>
      <c r="J347" t="b">
        <f>+ISNUMBER(SEARCH('F-COMPRA'!$F$29,Tabla11[[#This Row],[Cuenta]],1))</f>
        <v>1</v>
      </c>
      <c r="K347" t="b">
        <f>+ISNUMBER(SEARCH('F-COMPRA'!$F$30,Tabla11[[#This Row],[Cuenta]],1))</f>
        <v>1</v>
      </c>
      <c r="L347" t="b">
        <f>+ISNUMBER(SEARCH('F-COMPRA'!$F$31,Tabla11[[#This Row],[Cuenta]],1))</f>
        <v>1</v>
      </c>
      <c r="M347" t="b">
        <f>+ISNUMBER(SEARCH('F-COMPRA'!$G$25,Tabla11[[#This Row],[Cuenta]],1))</f>
        <v>0</v>
      </c>
      <c r="N347" t="b">
        <f>+ISNUMBER(SEARCH(#REF!,Tabla11[[#This Row],[Cuenta]],1))</f>
        <v>0</v>
      </c>
      <c r="O347" t="b">
        <f>+ISNUMBER(SEARCH(#REF!,Tabla11[[#This Row],[Cuenta]],1))</f>
        <v>0</v>
      </c>
      <c r="P347" t="b">
        <f>+ISNUMBER(SEARCH('F-COMPRA'!$F$32,Tabla11[[#This Row],[Cuenta]],1))</f>
        <v>1</v>
      </c>
      <c r="Q347" t="b">
        <f>+ISNUMBER(SEARCH('F-COMPRA'!$F$33,Tabla11[[#This Row],[Cuenta]],1))</f>
        <v>1</v>
      </c>
      <c r="R347" t="b">
        <f>+ISNUMBER(SEARCH('F-COMPRA'!$F$34,Tabla11[[#This Row],[Cuenta]],1))</f>
        <v>1</v>
      </c>
      <c r="S347" t="b">
        <f>+ISNUMBER(SEARCH('F-COMPRA'!$F$35,Tabla11[[#This Row],[Cuenta]],1))</f>
        <v>1</v>
      </c>
      <c r="T347" t="b">
        <f>+ISNUMBER(SEARCH('F-COMPRA'!$F$36,Tabla11[[#This Row],[Cuenta]],1))</f>
        <v>1</v>
      </c>
      <c r="U347" t="b">
        <f>+ISNUMBER(SEARCH('F-COMPRA'!$F$37,Tabla11[[#This Row],[Cuenta]],1))</f>
        <v>1</v>
      </c>
      <c r="V347" t="b">
        <f>+ISNUMBER(SEARCH(#REF!,Tabla11[[#This Row],[Cuenta]],1))</f>
        <v>0</v>
      </c>
      <c r="W347" t="b">
        <f>+ISNUMBER(SEARCH('F-COMPRA'!#REF!,Tabla11[[#This Row],[Cuenta]],1))</f>
        <v>0</v>
      </c>
      <c r="X347" t="b">
        <f>+ISNUMBER(SEARCH('F-COMPRA'!#REF!,Tabla11[[#This Row],[Cuenta]],1))</f>
        <v>0</v>
      </c>
      <c r="Y347" t="b">
        <f>+ISNUMBER(SEARCH('F-COMPRA'!#REF!,Tabla11[[#This Row],[Cuenta]],1))</f>
        <v>0</v>
      </c>
      <c r="Z347" t="b">
        <f>+ISNUMBER(SEARCH('F-COMPRA'!#REF!,Tabla11[[#This Row],[Cuenta]],1))</f>
        <v>0</v>
      </c>
      <c r="AA347" t="b">
        <f>+ISNUMBER(SEARCH('F-COMPRA'!#REF!,Tabla11[[#This Row],[Cuenta]],1))</f>
        <v>0</v>
      </c>
      <c r="AB347" t="b">
        <f>+ISNUMBER(SEARCH('F-COMPRA'!#REF!,Tabla11[[#This Row],[Cuenta]],1))</f>
        <v>0</v>
      </c>
      <c r="AC347" t="b">
        <f>+ISNUMBER(SEARCH('F-COMPRA'!#REF!,Tabla11[[#This Row],[Cuenta]],1))</f>
        <v>0</v>
      </c>
      <c r="AD347" t="b">
        <f>+ISNUMBER(SEARCH('F-COMPRA'!#REF!,Tabla11[[#This Row],[Cuenta]],1))</f>
        <v>0</v>
      </c>
      <c r="AE347" t="b">
        <f>+ISNUMBER(SEARCH('F-COMPRA'!#REF!,Tabla11[[#This Row],[Cuenta]],1))</f>
        <v>0</v>
      </c>
      <c r="AF347" t="b">
        <f>+ISNUMBER(SEARCH('F-VTA'!$G$23,Tabla11[[#This Row],[Cuenta]],1))</f>
        <v>0</v>
      </c>
      <c r="AG347" t="b">
        <f>+ISNUMBER(SEARCH('F-VTA'!$G$24,Tabla11[[#This Row],[Cuenta]],1))</f>
        <v>0</v>
      </c>
      <c r="AH347" t="b">
        <f>+ISNUMBER(SEARCH('F-VTA'!$G$25,Tabla11[[#This Row],[Cuenta]],1))</f>
        <v>0</v>
      </c>
      <c r="AI347" t="b">
        <f>+ISNUMBER(SEARCH('F-VTA'!$F$28,Tabla11[[#This Row],[Cuenta]],1))</f>
        <v>1</v>
      </c>
      <c r="AJ347" t="b">
        <f>+ISNUMBER(SEARCH('F-VTA'!$F$29,Tabla11[[#This Row],[Cuenta]],1))</f>
        <v>1</v>
      </c>
      <c r="AK347" t="b">
        <f>+ISNUMBER(SEARCH('F-VTA'!$F$30,Tabla11[[#This Row],[Cuenta]],1))</f>
        <v>1</v>
      </c>
      <c r="AL347" t="b">
        <f>+ISNUMBER(SEARCH('F-VTA'!$F$31,Tabla11[[#This Row],[Cuenta]],1))</f>
        <v>1</v>
      </c>
      <c r="AM347" t="b">
        <f>+ISNUMBER(SEARCH('F-VTA'!$F$32,Tabla11[[#This Row],[Cuenta]],1))</f>
        <v>1</v>
      </c>
      <c r="AN347" t="b">
        <f>+ISNUMBER(SEARCH('F-VTA'!$F$33,Tabla11[[#This Row],[Cuenta]],1))</f>
        <v>1</v>
      </c>
      <c r="AO347" t="b">
        <f>+ISNUMBER(SEARCH('F-VTA'!$F$34,Tabla11[[#This Row],[Cuenta]],1))</f>
        <v>1</v>
      </c>
      <c r="AP347" t="b">
        <f>+ISNUMBER(SEARCH('F-VTA'!$F$35,Tabla11[[#This Row],[Cuenta]],1))</f>
        <v>1</v>
      </c>
      <c r="AQ347" t="b">
        <f>+ISNUMBER(SEARCH('F-VTA'!$F$36,Tabla11[[#This Row],[Cuenta]],1))</f>
        <v>1</v>
      </c>
      <c r="AR347" t="b">
        <f>+ISNUMBER(SEARCH(#REF!,Tabla11[[#This Row],[Cuenta]],1))</f>
        <v>0</v>
      </c>
      <c r="AS347" t="b">
        <f>+ISNUMBER(SEARCH(#REF!,Tabla11[[#This Row],[Cuenta]],1))</f>
        <v>0</v>
      </c>
      <c r="AT347" t="b">
        <f>+ISNUMBER(SEARCH(#REF!,Tabla11[[#This Row],[Cuenta]],1))</f>
        <v>0</v>
      </c>
      <c r="AU347" t="b">
        <f>+ISNUMBER(SEARCH('Conc. Ban.1'!$I$9,Tabla11[[#This Row],[Cuenta]],1))</f>
        <v>0</v>
      </c>
      <c r="AV347" t="b">
        <f>+ISNUMBER(SEARCH(CompConta!$F$21,Tabla11[[#This Row],[Cuenta]],1))</f>
        <v>1</v>
      </c>
      <c r="AW347" t="b">
        <f>+ISNUMBER(SEARCH(CompConta!$F$22,Tabla11[[#This Row],[Cuenta]],1))</f>
        <v>1</v>
      </c>
      <c r="AX347" t="b">
        <f>+ISNUMBER(SEARCH(CompConta!$F$23,Tabla11[[#This Row],[Cuenta]],1))</f>
        <v>1</v>
      </c>
      <c r="AY347" t="b">
        <f>+ISNUMBER(SEARCH(CompConta!$F$24,Tabla11[[#This Row],[Cuenta]],1))</f>
        <v>1</v>
      </c>
      <c r="AZ347" t="b">
        <f>+ISNUMBER(SEARCH(CompConta!$F$25,Tabla11[[#This Row],[Cuenta]],1))</f>
        <v>1</v>
      </c>
      <c r="BA347" t="b">
        <f>+ISNUMBER(SEARCH(CompConta!$F$26,Tabla11[[#This Row],[Cuenta]],1))</f>
        <v>1</v>
      </c>
      <c r="BB347" t="b">
        <f>+ISNUMBER(SEARCH(CompConta!$F$27,Tabla11[[#This Row],[Cuenta]],1))</f>
        <v>1</v>
      </c>
      <c r="BC347" t="b">
        <f>+ISNUMBER(SEARCH(CompConta!$F$28,Tabla11[[#This Row],[Cuenta]],1))</f>
        <v>1</v>
      </c>
      <c r="BD347" t="b">
        <f>+ISNUMBER(SEARCH(CompConta!$F$29,Tabla11[[#This Row],[Cuenta]],1))</f>
        <v>1</v>
      </c>
      <c r="BE347" t="b">
        <f>+ISNUMBER(SEARCH(CompConta!$F$30,Tabla11[[#This Row],[Cuenta]],1))</f>
        <v>1</v>
      </c>
      <c r="BF347" t="b">
        <f>+ISNUMBER(SEARCH('PAGO Compras'!$E$11,Tabla11[[#This Row],[Cuenta]],1))</f>
        <v>1</v>
      </c>
      <c r="BG347" t="b">
        <f>+ISNUMBER(SEARCH(#REF!,Tabla11[[#This Row],[Cuenta]],1))</f>
        <v>0</v>
      </c>
      <c r="BH347" t="b">
        <f>+ISNUMBER(SEARCH(#REF!,Tabla11[[#This Row],[Cuenta]],1))</f>
        <v>0</v>
      </c>
      <c r="BI347" t="b">
        <f>+ISNUMBER(SEARCH(#REF!,Tabla11[[#This Row],[Cuenta]],1))</f>
        <v>0</v>
      </c>
      <c r="BJ347" t="b">
        <f>+ISNUMBER(SEARCH(#REF!,Tabla11[[#This Row],[Cuenta]],1))</f>
        <v>0</v>
      </c>
      <c r="BS347" t="str">
        <v>171076 Impto de renta dif ''deb'' por dif temporales</v>
      </c>
      <c r="BT347" t="str">
        <v>171076 Impto de renta dif ''deb'' por dif temporales</v>
      </c>
      <c r="BU347" t="str">
        <v>171076 Impto de renta dif ''deb'' por dif temporales</v>
      </c>
      <c r="BV347" t="str">
        <v>171076 Impto de renta dif ''deb'' por dif temporales</v>
      </c>
      <c r="BZ347" t="str">
        <v>171076 Impto de renta dif ''deb'' por dif temporales</v>
      </c>
      <c r="CA347" t="str">
        <v>171076 Impto de renta dif ''deb'' por dif temporales</v>
      </c>
      <c r="CB347" t="str">
        <v>171076 Impto de renta dif ''deb'' por dif temporales</v>
      </c>
      <c r="CC347" t="str">
        <v>171076 Impto de renta dif ''deb'' por dif temporales</v>
      </c>
      <c r="CD347" t="str">
        <v>171076 Impto de renta dif ''deb'' por dif temporales</v>
      </c>
      <c r="CE347" t="str">
        <v>171076 Impto de renta dif ''deb'' por dif temporales</v>
      </c>
      <c r="CS347" s="141" t="str">
        <v>171076 Impto de renta dif ''deb'' por dif temporales</v>
      </c>
      <c r="CT347" s="141" t="str">
        <v>171076 Impto de renta dif ''deb'' por dif temporales</v>
      </c>
      <c r="CU347" s="141" t="str">
        <v>171076 Impto de renta dif ''deb'' por dif temporales</v>
      </c>
      <c r="CV347" s="141" t="str">
        <v>171076 Impto de renta dif ''deb'' por dif temporales</v>
      </c>
      <c r="CW347" s="141" t="str">
        <v>171076 Impto de renta dif ''deb'' por dif temporales</v>
      </c>
      <c r="CX347" s="141" t="str">
        <v>171076 Impto de renta dif ''deb'' por dif temporales</v>
      </c>
      <c r="CY347" s="141" t="str">
        <v>171076 Impto de renta dif ''deb'' por dif temporales</v>
      </c>
      <c r="CZ347" s="141" t="str">
        <v>171076 Impto de renta dif ''deb'' por dif temporales</v>
      </c>
      <c r="DA347" s="141" t="str">
        <v>171076 Impto de renta dif ''deb'' por dif temporales</v>
      </c>
      <c r="DF347" t="str">
        <v>171076 Impto de renta dif ''deb'' por dif temporales</v>
      </c>
      <c r="DG347" t="str">
        <v>171076 Impto de renta dif ''deb'' por dif temporales</v>
      </c>
      <c r="DH347" t="str">
        <v>171076 Impto de renta dif ''deb'' por dif temporales</v>
      </c>
      <c r="DI347" t="str">
        <v>171076 Impto de renta dif ''deb'' por dif temporales</v>
      </c>
      <c r="DJ347" t="str">
        <v>171076 Impto de renta dif ''deb'' por dif temporales</v>
      </c>
      <c r="DK347" t="str">
        <v>171076 Impto de renta dif ''deb'' por dif temporales</v>
      </c>
      <c r="DL347" t="str">
        <v>171076 Impto de renta dif ''deb'' por dif temporales</v>
      </c>
      <c r="DM347" t="str">
        <v>171076 Impto de renta dif ''deb'' por dif temporales</v>
      </c>
      <c r="DN347" t="str">
        <v>171076 Impto de renta dif ''deb'' por dif temporales</v>
      </c>
      <c r="DO347" t="str">
        <v>171076 Impto de renta dif ''deb'' por dif temporales</v>
      </c>
      <c r="DP347" t="str">
        <v>171076 Impto de renta dif ''deb'' por dif temporales</v>
      </c>
    </row>
    <row r="348" spans="4:120" ht="12.75">
      <c r="D348" s="7">
        <v>171095</v>
      </c>
      <c r="E348" s="6" t="s">
        <v>45</v>
      </c>
      <c r="F348" s="5">
        <v>4</v>
      </c>
      <c r="G348" s="34" t="s">
        <v>822</v>
      </c>
      <c r="H348" s="8" t="s">
        <v>32</v>
      </c>
      <c r="I348" t="b">
        <f>+ISNUMBER(SEARCH('F-COMPRA'!$F$28,Tabla11[[#This Row],[Cuenta]],1))</f>
        <v>1</v>
      </c>
      <c r="J348" t="b">
        <f>+ISNUMBER(SEARCH('F-COMPRA'!$F$29,Tabla11[[#This Row],[Cuenta]],1))</f>
        <v>1</v>
      </c>
      <c r="K348" t="b">
        <f>+ISNUMBER(SEARCH('F-COMPRA'!$F$30,Tabla11[[#This Row],[Cuenta]],1))</f>
        <v>1</v>
      </c>
      <c r="L348" t="b">
        <f>+ISNUMBER(SEARCH('F-COMPRA'!$F$31,Tabla11[[#This Row],[Cuenta]],1))</f>
        <v>1</v>
      </c>
      <c r="M348" t="b">
        <f>+ISNUMBER(SEARCH('F-COMPRA'!$G$25,Tabla11[[#This Row],[Cuenta]],1))</f>
        <v>0</v>
      </c>
      <c r="N348" t="b">
        <f>+ISNUMBER(SEARCH(#REF!,Tabla11[[#This Row],[Cuenta]],1))</f>
        <v>0</v>
      </c>
      <c r="O348" t="b">
        <f>+ISNUMBER(SEARCH(#REF!,Tabla11[[#This Row],[Cuenta]],1))</f>
        <v>0</v>
      </c>
      <c r="P348" t="b">
        <f>+ISNUMBER(SEARCH('F-COMPRA'!$F$32,Tabla11[[#This Row],[Cuenta]],1))</f>
        <v>1</v>
      </c>
      <c r="Q348" t="b">
        <f>+ISNUMBER(SEARCH('F-COMPRA'!$F$33,Tabla11[[#This Row],[Cuenta]],1))</f>
        <v>1</v>
      </c>
      <c r="R348" t="b">
        <f>+ISNUMBER(SEARCH('F-COMPRA'!$F$34,Tabla11[[#This Row],[Cuenta]],1))</f>
        <v>1</v>
      </c>
      <c r="S348" t="b">
        <f>+ISNUMBER(SEARCH('F-COMPRA'!$F$35,Tabla11[[#This Row],[Cuenta]],1))</f>
        <v>1</v>
      </c>
      <c r="T348" t="b">
        <f>+ISNUMBER(SEARCH('F-COMPRA'!$F$36,Tabla11[[#This Row],[Cuenta]],1))</f>
        <v>1</v>
      </c>
      <c r="U348" t="b">
        <f>+ISNUMBER(SEARCH('F-COMPRA'!$F$37,Tabla11[[#This Row],[Cuenta]],1))</f>
        <v>1</v>
      </c>
      <c r="V348" t="b">
        <f>+ISNUMBER(SEARCH(#REF!,Tabla11[[#This Row],[Cuenta]],1))</f>
        <v>0</v>
      </c>
      <c r="W348" t="b">
        <f>+ISNUMBER(SEARCH('F-COMPRA'!#REF!,Tabla11[[#This Row],[Cuenta]],1))</f>
        <v>0</v>
      </c>
      <c r="X348" t="b">
        <f>+ISNUMBER(SEARCH('F-COMPRA'!#REF!,Tabla11[[#This Row],[Cuenta]],1))</f>
        <v>0</v>
      </c>
      <c r="Y348" t="b">
        <f>+ISNUMBER(SEARCH('F-COMPRA'!#REF!,Tabla11[[#This Row],[Cuenta]],1))</f>
        <v>0</v>
      </c>
      <c r="Z348" t="b">
        <f>+ISNUMBER(SEARCH('F-COMPRA'!#REF!,Tabla11[[#This Row],[Cuenta]],1))</f>
        <v>0</v>
      </c>
      <c r="AA348" t="b">
        <f>+ISNUMBER(SEARCH('F-COMPRA'!#REF!,Tabla11[[#This Row],[Cuenta]],1))</f>
        <v>0</v>
      </c>
      <c r="AB348" t="b">
        <f>+ISNUMBER(SEARCH('F-COMPRA'!#REF!,Tabla11[[#This Row],[Cuenta]],1))</f>
        <v>0</v>
      </c>
      <c r="AC348" t="b">
        <f>+ISNUMBER(SEARCH('F-COMPRA'!#REF!,Tabla11[[#This Row],[Cuenta]],1))</f>
        <v>0</v>
      </c>
      <c r="AD348" t="b">
        <f>+ISNUMBER(SEARCH('F-COMPRA'!#REF!,Tabla11[[#This Row],[Cuenta]],1))</f>
        <v>0</v>
      </c>
      <c r="AE348" t="b">
        <f>+ISNUMBER(SEARCH('F-COMPRA'!#REF!,Tabla11[[#This Row],[Cuenta]],1))</f>
        <v>0</v>
      </c>
      <c r="AF348" t="b">
        <f>+ISNUMBER(SEARCH('F-VTA'!$G$23,Tabla11[[#This Row],[Cuenta]],1))</f>
        <v>0</v>
      </c>
      <c r="AG348" t="b">
        <f>+ISNUMBER(SEARCH('F-VTA'!$G$24,Tabla11[[#This Row],[Cuenta]],1))</f>
        <v>0</v>
      </c>
      <c r="AH348" t="b">
        <f>+ISNUMBER(SEARCH('F-VTA'!$G$25,Tabla11[[#This Row],[Cuenta]],1))</f>
        <v>0</v>
      </c>
      <c r="AI348" t="b">
        <f>+ISNUMBER(SEARCH('F-VTA'!$F$28,Tabla11[[#This Row],[Cuenta]],1))</f>
        <v>1</v>
      </c>
      <c r="AJ348" t="b">
        <f>+ISNUMBER(SEARCH('F-VTA'!$F$29,Tabla11[[#This Row],[Cuenta]],1))</f>
        <v>1</v>
      </c>
      <c r="AK348" t="b">
        <f>+ISNUMBER(SEARCH('F-VTA'!$F$30,Tabla11[[#This Row],[Cuenta]],1))</f>
        <v>1</v>
      </c>
      <c r="AL348" t="b">
        <f>+ISNUMBER(SEARCH('F-VTA'!$F$31,Tabla11[[#This Row],[Cuenta]],1))</f>
        <v>1</v>
      </c>
      <c r="AM348" t="b">
        <f>+ISNUMBER(SEARCH('F-VTA'!$F$32,Tabla11[[#This Row],[Cuenta]],1))</f>
        <v>1</v>
      </c>
      <c r="AN348" t="b">
        <f>+ISNUMBER(SEARCH('F-VTA'!$F$33,Tabla11[[#This Row],[Cuenta]],1))</f>
        <v>1</v>
      </c>
      <c r="AO348" t="b">
        <f>+ISNUMBER(SEARCH('F-VTA'!$F$34,Tabla11[[#This Row],[Cuenta]],1))</f>
        <v>1</v>
      </c>
      <c r="AP348" t="b">
        <f>+ISNUMBER(SEARCH('F-VTA'!$F$35,Tabla11[[#This Row],[Cuenta]],1))</f>
        <v>1</v>
      </c>
      <c r="AQ348" t="b">
        <f>+ISNUMBER(SEARCH('F-VTA'!$F$36,Tabla11[[#This Row],[Cuenta]],1))</f>
        <v>1</v>
      </c>
      <c r="AR348" t="b">
        <f>+ISNUMBER(SEARCH(#REF!,Tabla11[[#This Row],[Cuenta]],1))</f>
        <v>0</v>
      </c>
      <c r="AS348" t="b">
        <f>+ISNUMBER(SEARCH(#REF!,Tabla11[[#This Row],[Cuenta]],1))</f>
        <v>0</v>
      </c>
      <c r="AT348" t="b">
        <f>+ISNUMBER(SEARCH(#REF!,Tabla11[[#This Row],[Cuenta]],1))</f>
        <v>0</v>
      </c>
      <c r="AU348" t="b">
        <f>+ISNUMBER(SEARCH('Conc. Ban.1'!$I$9,Tabla11[[#This Row],[Cuenta]],1))</f>
        <v>0</v>
      </c>
      <c r="AV348" t="b">
        <f>+ISNUMBER(SEARCH(CompConta!$F$21,Tabla11[[#This Row],[Cuenta]],1))</f>
        <v>1</v>
      </c>
      <c r="AW348" t="b">
        <f>+ISNUMBER(SEARCH(CompConta!$F$22,Tabla11[[#This Row],[Cuenta]],1))</f>
        <v>1</v>
      </c>
      <c r="AX348" t="b">
        <f>+ISNUMBER(SEARCH(CompConta!$F$23,Tabla11[[#This Row],[Cuenta]],1))</f>
        <v>1</v>
      </c>
      <c r="AY348" t="b">
        <f>+ISNUMBER(SEARCH(CompConta!$F$24,Tabla11[[#This Row],[Cuenta]],1))</f>
        <v>1</v>
      </c>
      <c r="AZ348" t="b">
        <f>+ISNUMBER(SEARCH(CompConta!$F$25,Tabla11[[#This Row],[Cuenta]],1))</f>
        <v>1</v>
      </c>
      <c r="BA348" t="b">
        <f>+ISNUMBER(SEARCH(CompConta!$F$26,Tabla11[[#This Row],[Cuenta]],1))</f>
        <v>1</v>
      </c>
      <c r="BB348" t="b">
        <f>+ISNUMBER(SEARCH(CompConta!$F$27,Tabla11[[#This Row],[Cuenta]],1))</f>
        <v>1</v>
      </c>
      <c r="BC348" t="b">
        <f>+ISNUMBER(SEARCH(CompConta!$F$28,Tabla11[[#This Row],[Cuenta]],1))</f>
        <v>1</v>
      </c>
      <c r="BD348" t="b">
        <f>+ISNUMBER(SEARCH(CompConta!$F$29,Tabla11[[#This Row],[Cuenta]],1))</f>
        <v>1</v>
      </c>
      <c r="BE348" t="b">
        <f>+ISNUMBER(SEARCH(CompConta!$F$30,Tabla11[[#This Row],[Cuenta]],1))</f>
        <v>1</v>
      </c>
      <c r="BF348" t="b">
        <f>+ISNUMBER(SEARCH('PAGO Compras'!$E$11,Tabla11[[#This Row],[Cuenta]],1))</f>
        <v>1</v>
      </c>
      <c r="BG348" t="b">
        <f>+ISNUMBER(SEARCH(#REF!,Tabla11[[#This Row],[Cuenta]],1))</f>
        <v>0</v>
      </c>
      <c r="BH348" t="b">
        <f>+ISNUMBER(SEARCH(#REF!,Tabla11[[#This Row],[Cuenta]],1))</f>
        <v>0</v>
      </c>
      <c r="BI348" t="b">
        <f>+ISNUMBER(SEARCH(#REF!,Tabla11[[#This Row],[Cuenta]],1))</f>
        <v>0</v>
      </c>
      <c r="BJ348" t="b">
        <f>+ISNUMBER(SEARCH(#REF!,Tabla11[[#This Row],[Cuenta]],1))</f>
        <v>0</v>
      </c>
      <c r="BS348" t="str">
        <v>171095 Otros</v>
      </c>
      <c r="BT348" t="str">
        <v>171095 Otros</v>
      </c>
      <c r="BU348" t="str">
        <v>171095 Otros</v>
      </c>
      <c r="BV348" t="str">
        <v>171095 Otros</v>
      </c>
      <c r="BZ348" t="str">
        <v>171095 Otros</v>
      </c>
      <c r="CA348" t="str">
        <v>171095 Otros</v>
      </c>
      <c r="CB348" t="str">
        <v>171095 Otros</v>
      </c>
      <c r="CC348" t="str">
        <v>171095 Otros</v>
      </c>
      <c r="CD348" t="str">
        <v>171095 Otros</v>
      </c>
      <c r="CE348" t="str">
        <v>171095 Otros</v>
      </c>
      <c r="CS348" s="141" t="str">
        <v>171095 Otros</v>
      </c>
      <c r="CT348" s="141" t="str">
        <v>171095 Otros</v>
      </c>
      <c r="CU348" s="141" t="str">
        <v>171095 Otros</v>
      </c>
      <c r="CV348" s="141" t="str">
        <v>171095 Otros</v>
      </c>
      <c r="CW348" s="141" t="str">
        <v>171095 Otros</v>
      </c>
      <c r="CX348" s="141" t="str">
        <v>171095 Otros</v>
      </c>
      <c r="CY348" s="141" t="str">
        <v>171095 Otros</v>
      </c>
      <c r="CZ348" s="141" t="str">
        <v>171095 Otros</v>
      </c>
      <c r="DA348" s="141" t="str">
        <v>171095 Otros</v>
      </c>
      <c r="DF348" t="str">
        <v>171095 Otros</v>
      </c>
      <c r="DG348" t="str">
        <v>171095 Otros</v>
      </c>
      <c r="DH348" t="str">
        <v>171095 Otros</v>
      </c>
      <c r="DI348" t="str">
        <v>171095 Otros</v>
      </c>
      <c r="DJ348" t="str">
        <v>171095 Otros</v>
      </c>
      <c r="DK348" t="str">
        <v>171095 Otros</v>
      </c>
      <c r="DL348" t="str">
        <v>171095 Otros</v>
      </c>
      <c r="DM348" t="str">
        <v>171095 Otros</v>
      </c>
      <c r="DN348" t="str">
        <v>171095 Otros</v>
      </c>
      <c r="DO348" t="str">
        <v>171095 Otros</v>
      </c>
      <c r="DP348" t="str">
        <v>171095 Otros</v>
      </c>
    </row>
    <row r="349" spans="4:120" ht="12.75">
      <c r="D349" s="7">
        <v>171099</v>
      </c>
      <c r="E349" s="6" t="s">
        <v>44</v>
      </c>
      <c r="F349" s="5">
        <v>4</v>
      </c>
      <c r="G349" s="34" t="s">
        <v>822</v>
      </c>
      <c r="H349" s="8" t="s">
        <v>32</v>
      </c>
      <c r="I349" t="b">
        <f>+ISNUMBER(SEARCH('F-COMPRA'!$F$28,Tabla11[[#This Row],[Cuenta]],1))</f>
        <v>1</v>
      </c>
      <c r="J349" t="b">
        <f>+ISNUMBER(SEARCH('F-COMPRA'!$F$29,Tabla11[[#This Row],[Cuenta]],1))</f>
        <v>1</v>
      </c>
      <c r="K349" t="b">
        <f>+ISNUMBER(SEARCH('F-COMPRA'!$F$30,Tabla11[[#This Row],[Cuenta]],1))</f>
        <v>1</v>
      </c>
      <c r="L349" t="b">
        <f>+ISNUMBER(SEARCH('F-COMPRA'!$F$31,Tabla11[[#This Row],[Cuenta]],1))</f>
        <v>1</v>
      </c>
      <c r="M349" t="b">
        <f>+ISNUMBER(SEARCH('F-COMPRA'!$G$25,Tabla11[[#This Row],[Cuenta]],1))</f>
        <v>0</v>
      </c>
      <c r="N349" t="b">
        <f>+ISNUMBER(SEARCH(#REF!,Tabla11[[#This Row],[Cuenta]],1))</f>
        <v>0</v>
      </c>
      <c r="O349" t="b">
        <f>+ISNUMBER(SEARCH(#REF!,Tabla11[[#This Row],[Cuenta]],1))</f>
        <v>0</v>
      </c>
      <c r="P349" t="b">
        <f>+ISNUMBER(SEARCH('F-COMPRA'!$F$32,Tabla11[[#This Row],[Cuenta]],1))</f>
        <v>1</v>
      </c>
      <c r="Q349" t="b">
        <f>+ISNUMBER(SEARCH('F-COMPRA'!$F$33,Tabla11[[#This Row],[Cuenta]],1))</f>
        <v>1</v>
      </c>
      <c r="R349" t="b">
        <f>+ISNUMBER(SEARCH('F-COMPRA'!$F$34,Tabla11[[#This Row],[Cuenta]],1))</f>
        <v>1</v>
      </c>
      <c r="S349" t="b">
        <f>+ISNUMBER(SEARCH('F-COMPRA'!$F$35,Tabla11[[#This Row],[Cuenta]],1))</f>
        <v>1</v>
      </c>
      <c r="T349" t="b">
        <f>+ISNUMBER(SEARCH('F-COMPRA'!$F$36,Tabla11[[#This Row],[Cuenta]],1))</f>
        <v>1</v>
      </c>
      <c r="U349" t="b">
        <f>+ISNUMBER(SEARCH('F-COMPRA'!$F$37,Tabla11[[#This Row],[Cuenta]],1))</f>
        <v>1</v>
      </c>
      <c r="V349" t="b">
        <f>+ISNUMBER(SEARCH(#REF!,Tabla11[[#This Row],[Cuenta]],1))</f>
        <v>0</v>
      </c>
      <c r="W349" t="b">
        <f>+ISNUMBER(SEARCH('F-COMPRA'!#REF!,Tabla11[[#This Row],[Cuenta]],1))</f>
        <v>0</v>
      </c>
      <c r="X349" t="b">
        <f>+ISNUMBER(SEARCH('F-COMPRA'!#REF!,Tabla11[[#This Row],[Cuenta]],1))</f>
        <v>0</v>
      </c>
      <c r="Y349" t="b">
        <f>+ISNUMBER(SEARCH('F-COMPRA'!#REF!,Tabla11[[#This Row],[Cuenta]],1))</f>
        <v>0</v>
      </c>
      <c r="Z349" t="b">
        <f>+ISNUMBER(SEARCH('F-COMPRA'!#REF!,Tabla11[[#This Row],[Cuenta]],1))</f>
        <v>0</v>
      </c>
      <c r="AA349" t="b">
        <f>+ISNUMBER(SEARCH('F-COMPRA'!#REF!,Tabla11[[#This Row],[Cuenta]],1))</f>
        <v>0</v>
      </c>
      <c r="AB349" t="b">
        <f>+ISNUMBER(SEARCH('F-COMPRA'!#REF!,Tabla11[[#This Row],[Cuenta]],1))</f>
        <v>0</v>
      </c>
      <c r="AC349" t="b">
        <f>+ISNUMBER(SEARCH('F-COMPRA'!#REF!,Tabla11[[#This Row],[Cuenta]],1))</f>
        <v>0</v>
      </c>
      <c r="AD349" t="b">
        <f>+ISNUMBER(SEARCH('F-COMPRA'!#REF!,Tabla11[[#This Row],[Cuenta]],1))</f>
        <v>0</v>
      </c>
      <c r="AE349" t="b">
        <f>+ISNUMBER(SEARCH('F-COMPRA'!#REF!,Tabla11[[#This Row],[Cuenta]],1))</f>
        <v>0</v>
      </c>
      <c r="AF349" t="b">
        <f>+ISNUMBER(SEARCH('F-VTA'!$G$23,Tabla11[[#This Row],[Cuenta]],1))</f>
        <v>0</v>
      </c>
      <c r="AG349" t="b">
        <f>+ISNUMBER(SEARCH('F-VTA'!$G$24,Tabla11[[#This Row],[Cuenta]],1))</f>
        <v>0</v>
      </c>
      <c r="AH349" t="b">
        <f>+ISNUMBER(SEARCH('F-VTA'!$G$25,Tabla11[[#This Row],[Cuenta]],1))</f>
        <v>0</v>
      </c>
      <c r="AI349" t="b">
        <f>+ISNUMBER(SEARCH('F-VTA'!$F$28,Tabla11[[#This Row],[Cuenta]],1))</f>
        <v>1</v>
      </c>
      <c r="AJ349" t="b">
        <f>+ISNUMBER(SEARCH('F-VTA'!$F$29,Tabla11[[#This Row],[Cuenta]],1))</f>
        <v>1</v>
      </c>
      <c r="AK349" t="b">
        <f>+ISNUMBER(SEARCH('F-VTA'!$F$30,Tabla11[[#This Row],[Cuenta]],1))</f>
        <v>1</v>
      </c>
      <c r="AL349" t="b">
        <f>+ISNUMBER(SEARCH('F-VTA'!$F$31,Tabla11[[#This Row],[Cuenta]],1))</f>
        <v>1</v>
      </c>
      <c r="AM349" t="b">
        <f>+ISNUMBER(SEARCH('F-VTA'!$F$32,Tabla11[[#This Row],[Cuenta]],1))</f>
        <v>1</v>
      </c>
      <c r="AN349" t="b">
        <f>+ISNUMBER(SEARCH('F-VTA'!$F$33,Tabla11[[#This Row],[Cuenta]],1))</f>
        <v>1</v>
      </c>
      <c r="AO349" t="b">
        <f>+ISNUMBER(SEARCH('F-VTA'!$F$34,Tabla11[[#This Row],[Cuenta]],1))</f>
        <v>1</v>
      </c>
      <c r="AP349" t="b">
        <f>+ISNUMBER(SEARCH('F-VTA'!$F$35,Tabla11[[#This Row],[Cuenta]],1))</f>
        <v>1</v>
      </c>
      <c r="AQ349" t="b">
        <f>+ISNUMBER(SEARCH('F-VTA'!$F$36,Tabla11[[#This Row],[Cuenta]],1))</f>
        <v>1</v>
      </c>
      <c r="AR349" t="b">
        <f>+ISNUMBER(SEARCH(#REF!,Tabla11[[#This Row],[Cuenta]],1))</f>
        <v>0</v>
      </c>
      <c r="AS349" t="b">
        <f>+ISNUMBER(SEARCH(#REF!,Tabla11[[#This Row],[Cuenta]],1))</f>
        <v>0</v>
      </c>
      <c r="AT349" t="b">
        <f>+ISNUMBER(SEARCH(#REF!,Tabla11[[#This Row],[Cuenta]],1))</f>
        <v>0</v>
      </c>
      <c r="AU349" t="b">
        <f>+ISNUMBER(SEARCH('Conc. Ban.1'!$I$9,Tabla11[[#This Row],[Cuenta]],1))</f>
        <v>0</v>
      </c>
      <c r="AV349" t="b">
        <f>+ISNUMBER(SEARCH(CompConta!$F$21,Tabla11[[#This Row],[Cuenta]],1))</f>
        <v>1</v>
      </c>
      <c r="AW349" t="b">
        <f>+ISNUMBER(SEARCH(CompConta!$F$22,Tabla11[[#This Row],[Cuenta]],1))</f>
        <v>1</v>
      </c>
      <c r="AX349" t="b">
        <f>+ISNUMBER(SEARCH(CompConta!$F$23,Tabla11[[#This Row],[Cuenta]],1))</f>
        <v>1</v>
      </c>
      <c r="AY349" t="b">
        <f>+ISNUMBER(SEARCH(CompConta!$F$24,Tabla11[[#This Row],[Cuenta]],1))</f>
        <v>1</v>
      </c>
      <c r="AZ349" t="b">
        <f>+ISNUMBER(SEARCH(CompConta!$F$25,Tabla11[[#This Row],[Cuenta]],1))</f>
        <v>1</v>
      </c>
      <c r="BA349" t="b">
        <f>+ISNUMBER(SEARCH(CompConta!$F$26,Tabla11[[#This Row],[Cuenta]],1))</f>
        <v>1</v>
      </c>
      <c r="BB349" t="b">
        <f>+ISNUMBER(SEARCH(CompConta!$F$27,Tabla11[[#This Row],[Cuenta]],1))</f>
        <v>1</v>
      </c>
      <c r="BC349" t="b">
        <f>+ISNUMBER(SEARCH(CompConta!$F$28,Tabla11[[#This Row],[Cuenta]],1))</f>
        <v>1</v>
      </c>
      <c r="BD349" t="b">
        <f>+ISNUMBER(SEARCH(CompConta!$F$29,Tabla11[[#This Row],[Cuenta]],1))</f>
        <v>1</v>
      </c>
      <c r="BE349" t="b">
        <f>+ISNUMBER(SEARCH(CompConta!$F$30,Tabla11[[#This Row],[Cuenta]],1))</f>
        <v>1</v>
      </c>
      <c r="BF349" t="b">
        <f>+ISNUMBER(SEARCH('PAGO Compras'!$E$11,Tabla11[[#This Row],[Cuenta]],1))</f>
        <v>1</v>
      </c>
      <c r="BG349" t="b">
        <f>+ISNUMBER(SEARCH(#REF!,Tabla11[[#This Row],[Cuenta]],1))</f>
        <v>0</v>
      </c>
      <c r="BH349" t="b">
        <f>+ISNUMBER(SEARCH(#REF!,Tabla11[[#This Row],[Cuenta]],1))</f>
        <v>0</v>
      </c>
      <c r="BI349" t="b">
        <f>+ISNUMBER(SEARCH(#REF!,Tabla11[[#This Row],[Cuenta]],1))</f>
        <v>0</v>
      </c>
      <c r="BJ349" t="b">
        <f>+ISNUMBER(SEARCH(#REF!,Tabla11[[#This Row],[Cuenta]],1))</f>
        <v>0</v>
      </c>
      <c r="BS349" t="str">
        <v>171099 Ajustes por inflación</v>
      </c>
      <c r="BT349" t="str">
        <v>171099 Ajustes por inflación</v>
      </c>
      <c r="BU349" t="str">
        <v>171099 Ajustes por inflación</v>
      </c>
      <c r="BV349" t="str">
        <v>171099 Ajustes por inflación</v>
      </c>
      <c r="BZ349" t="str">
        <v>171099 Ajustes por inflación</v>
      </c>
      <c r="CA349" t="str">
        <v>171099 Ajustes por inflación</v>
      </c>
      <c r="CB349" t="str">
        <v>171099 Ajustes por inflación</v>
      </c>
      <c r="CC349" t="str">
        <v>171099 Ajustes por inflación</v>
      </c>
      <c r="CD349" t="str">
        <v>171099 Ajustes por inflación</v>
      </c>
      <c r="CE349" t="str">
        <v>171099 Ajustes por inflación</v>
      </c>
      <c r="CS349" s="141" t="str">
        <v>171099 Ajustes por inflación</v>
      </c>
      <c r="CT349" s="141" t="str">
        <v>171099 Ajustes por inflación</v>
      </c>
      <c r="CU349" s="141" t="str">
        <v>171099 Ajustes por inflación</v>
      </c>
      <c r="CV349" s="141" t="str">
        <v>171099 Ajustes por inflación</v>
      </c>
      <c r="CW349" s="141" t="str">
        <v>171099 Ajustes por inflación</v>
      </c>
      <c r="CX349" s="141" t="str">
        <v>171099 Ajustes por inflación</v>
      </c>
      <c r="CY349" s="141" t="str">
        <v>171099 Ajustes por inflación</v>
      </c>
      <c r="CZ349" s="141" t="str">
        <v>171099 Ajustes por inflación</v>
      </c>
      <c r="DA349" s="141" t="str">
        <v>171099 Ajustes por inflación</v>
      </c>
      <c r="DF349" t="str">
        <v>171099 Ajustes por inflación</v>
      </c>
      <c r="DG349" t="str">
        <v>171099 Ajustes por inflación</v>
      </c>
      <c r="DH349" t="str">
        <v>171099 Ajustes por inflación</v>
      </c>
      <c r="DI349" t="str">
        <v>171099 Ajustes por inflación</v>
      </c>
      <c r="DJ349" t="str">
        <v>171099 Ajustes por inflación</v>
      </c>
      <c r="DK349" t="str">
        <v>171099 Ajustes por inflación</v>
      </c>
      <c r="DL349" t="str">
        <v>171099 Ajustes por inflación</v>
      </c>
      <c r="DM349" t="str">
        <v>171099 Ajustes por inflación</v>
      </c>
      <c r="DN349" t="str">
        <v>171099 Ajustes por inflación</v>
      </c>
      <c r="DO349" t="str">
        <v>171099 Ajustes por inflación</v>
      </c>
      <c r="DP349" t="str">
        <v>171099 Ajustes por inflación</v>
      </c>
    </row>
    <row r="350" spans="4:120" ht="12.75">
      <c r="D350" s="7">
        <v>19</v>
      </c>
      <c r="E350" s="6" t="s">
        <v>288</v>
      </c>
      <c r="F350" s="5">
        <v>2</v>
      </c>
      <c r="G350" s="34"/>
      <c r="H350" s="8" t="s">
        <v>32</v>
      </c>
      <c r="I350" t="b">
        <f>+ISNUMBER(SEARCH('F-COMPRA'!$F$28,Tabla11[[#This Row],[Cuenta]],1))</f>
        <v>1</v>
      </c>
      <c r="J350" t="b">
        <f>+ISNUMBER(SEARCH('F-COMPRA'!$F$29,Tabla11[[#This Row],[Cuenta]],1))</f>
        <v>1</v>
      </c>
      <c r="K350" t="b">
        <f>+ISNUMBER(SEARCH('F-COMPRA'!$F$30,Tabla11[[#This Row],[Cuenta]],1))</f>
        <v>1</v>
      </c>
      <c r="L350" t="b">
        <f>+ISNUMBER(SEARCH('F-COMPRA'!$F$31,Tabla11[[#This Row],[Cuenta]],1))</f>
        <v>1</v>
      </c>
      <c r="M350" t="b">
        <f>+ISNUMBER(SEARCH('F-COMPRA'!$G$25,Tabla11[[#This Row],[Cuenta]],1))</f>
        <v>0</v>
      </c>
      <c r="N350" t="b">
        <f>+ISNUMBER(SEARCH(#REF!,Tabla11[[#This Row],[Cuenta]],1))</f>
        <v>0</v>
      </c>
      <c r="O350" t="b">
        <f>+ISNUMBER(SEARCH(#REF!,Tabla11[[#This Row],[Cuenta]],1))</f>
        <v>0</v>
      </c>
      <c r="P350" t="b">
        <f>+ISNUMBER(SEARCH('F-COMPRA'!$F$32,Tabla11[[#This Row],[Cuenta]],1))</f>
        <v>1</v>
      </c>
      <c r="Q350" t="b">
        <f>+ISNUMBER(SEARCH('F-COMPRA'!$F$33,Tabla11[[#This Row],[Cuenta]],1))</f>
        <v>1</v>
      </c>
      <c r="R350" t="b">
        <f>+ISNUMBER(SEARCH('F-COMPRA'!$F$34,Tabla11[[#This Row],[Cuenta]],1))</f>
        <v>1</v>
      </c>
      <c r="S350" t="b">
        <f>+ISNUMBER(SEARCH('F-COMPRA'!$F$35,Tabla11[[#This Row],[Cuenta]],1))</f>
        <v>1</v>
      </c>
      <c r="T350" t="b">
        <f>+ISNUMBER(SEARCH('F-COMPRA'!$F$36,Tabla11[[#This Row],[Cuenta]],1))</f>
        <v>1</v>
      </c>
      <c r="U350" t="b">
        <f>+ISNUMBER(SEARCH('F-COMPRA'!$F$37,Tabla11[[#This Row],[Cuenta]],1))</f>
        <v>1</v>
      </c>
      <c r="V350" t="b">
        <f>+ISNUMBER(SEARCH(#REF!,Tabla11[[#This Row],[Cuenta]],1))</f>
        <v>0</v>
      </c>
      <c r="W350" t="b">
        <f>+ISNUMBER(SEARCH('F-COMPRA'!#REF!,Tabla11[[#This Row],[Cuenta]],1))</f>
        <v>0</v>
      </c>
      <c r="X350" t="b">
        <f>+ISNUMBER(SEARCH('F-COMPRA'!#REF!,Tabla11[[#This Row],[Cuenta]],1))</f>
        <v>0</v>
      </c>
      <c r="Y350" t="b">
        <f>+ISNUMBER(SEARCH('F-COMPRA'!#REF!,Tabla11[[#This Row],[Cuenta]],1))</f>
        <v>0</v>
      </c>
      <c r="Z350" t="b">
        <f>+ISNUMBER(SEARCH('F-COMPRA'!#REF!,Tabla11[[#This Row],[Cuenta]],1))</f>
        <v>0</v>
      </c>
      <c r="AA350" t="b">
        <f>+ISNUMBER(SEARCH('F-COMPRA'!#REF!,Tabla11[[#This Row],[Cuenta]],1))</f>
        <v>0</v>
      </c>
      <c r="AB350" t="b">
        <f>+ISNUMBER(SEARCH('F-COMPRA'!#REF!,Tabla11[[#This Row],[Cuenta]],1))</f>
        <v>0</v>
      </c>
      <c r="AC350" t="b">
        <f>+ISNUMBER(SEARCH('F-COMPRA'!#REF!,Tabla11[[#This Row],[Cuenta]],1))</f>
        <v>0</v>
      </c>
      <c r="AD350" t="b">
        <f>+ISNUMBER(SEARCH('F-COMPRA'!#REF!,Tabla11[[#This Row],[Cuenta]],1))</f>
        <v>0</v>
      </c>
      <c r="AE350" t="b">
        <f>+ISNUMBER(SEARCH('F-COMPRA'!#REF!,Tabla11[[#This Row],[Cuenta]],1))</f>
        <v>0</v>
      </c>
      <c r="AF350" t="b">
        <f>+ISNUMBER(SEARCH('F-VTA'!$G$23,Tabla11[[#This Row],[Cuenta]],1))</f>
        <v>0</v>
      </c>
      <c r="AG350" t="b">
        <f>+ISNUMBER(SEARCH('F-VTA'!$G$24,Tabla11[[#This Row],[Cuenta]],1))</f>
        <v>0</v>
      </c>
      <c r="AH350" t="b">
        <f>+ISNUMBER(SEARCH('F-VTA'!$G$25,Tabla11[[#This Row],[Cuenta]],1))</f>
        <v>0</v>
      </c>
      <c r="AI350" t="b">
        <f>+ISNUMBER(SEARCH('F-VTA'!$F$28,Tabla11[[#This Row],[Cuenta]],1))</f>
        <v>1</v>
      </c>
      <c r="AJ350" t="b">
        <f>+ISNUMBER(SEARCH('F-VTA'!$F$29,Tabla11[[#This Row],[Cuenta]],1))</f>
        <v>1</v>
      </c>
      <c r="AK350" t="b">
        <f>+ISNUMBER(SEARCH('F-VTA'!$F$30,Tabla11[[#This Row],[Cuenta]],1))</f>
        <v>1</v>
      </c>
      <c r="AL350" t="b">
        <f>+ISNUMBER(SEARCH('F-VTA'!$F$31,Tabla11[[#This Row],[Cuenta]],1))</f>
        <v>1</v>
      </c>
      <c r="AM350" t="b">
        <f>+ISNUMBER(SEARCH('F-VTA'!$F$32,Tabla11[[#This Row],[Cuenta]],1))</f>
        <v>1</v>
      </c>
      <c r="AN350" t="b">
        <f>+ISNUMBER(SEARCH('F-VTA'!$F$33,Tabla11[[#This Row],[Cuenta]],1))</f>
        <v>1</v>
      </c>
      <c r="AO350" t="b">
        <f>+ISNUMBER(SEARCH('F-VTA'!$F$34,Tabla11[[#This Row],[Cuenta]],1))</f>
        <v>1</v>
      </c>
      <c r="AP350" t="b">
        <f>+ISNUMBER(SEARCH('F-VTA'!$F$35,Tabla11[[#This Row],[Cuenta]],1))</f>
        <v>1</v>
      </c>
      <c r="AQ350" t="b">
        <f>+ISNUMBER(SEARCH('F-VTA'!$F$36,Tabla11[[#This Row],[Cuenta]],1))</f>
        <v>1</v>
      </c>
      <c r="AR350" t="b">
        <f>+ISNUMBER(SEARCH(#REF!,Tabla11[[#This Row],[Cuenta]],1))</f>
        <v>0</v>
      </c>
      <c r="AS350" t="b">
        <f>+ISNUMBER(SEARCH(#REF!,Tabla11[[#This Row],[Cuenta]],1))</f>
        <v>0</v>
      </c>
      <c r="AT350" t="b">
        <f>+ISNUMBER(SEARCH(#REF!,Tabla11[[#This Row],[Cuenta]],1))</f>
        <v>0</v>
      </c>
      <c r="AU350" t="b">
        <f>+ISNUMBER(SEARCH('Conc. Ban.1'!$I$9,Tabla11[[#This Row],[Cuenta]],1))</f>
        <v>0</v>
      </c>
      <c r="AV350" t="b">
        <f>+ISNUMBER(SEARCH(CompConta!$F$21,Tabla11[[#This Row],[Cuenta]],1))</f>
        <v>1</v>
      </c>
      <c r="AW350" t="b">
        <f>+ISNUMBER(SEARCH(CompConta!$F$22,Tabla11[[#This Row],[Cuenta]],1))</f>
        <v>1</v>
      </c>
      <c r="AX350" t="b">
        <f>+ISNUMBER(SEARCH(CompConta!$F$23,Tabla11[[#This Row],[Cuenta]],1))</f>
        <v>1</v>
      </c>
      <c r="AY350" t="b">
        <f>+ISNUMBER(SEARCH(CompConta!$F$24,Tabla11[[#This Row],[Cuenta]],1))</f>
        <v>1</v>
      </c>
      <c r="AZ350" t="b">
        <f>+ISNUMBER(SEARCH(CompConta!$F$25,Tabla11[[#This Row],[Cuenta]],1))</f>
        <v>1</v>
      </c>
      <c r="BA350" t="b">
        <f>+ISNUMBER(SEARCH(CompConta!$F$26,Tabla11[[#This Row],[Cuenta]],1))</f>
        <v>1</v>
      </c>
      <c r="BB350" t="b">
        <f>+ISNUMBER(SEARCH(CompConta!$F$27,Tabla11[[#This Row],[Cuenta]],1))</f>
        <v>1</v>
      </c>
      <c r="BC350" t="b">
        <f>+ISNUMBER(SEARCH(CompConta!$F$28,Tabla11[[#This Row],[Cuenta]],1))</f>
        <v>1</v>
      </c>
      <c r="BD350" t="b">
        <f>+ISNUMBER(SEARCH(CompConta!$F$29,Tabla11[[#This Row],[Cuenta]],1))</f>
        <v>1</v>
      </c>
      <c r="BE350" t="b">
        <f>+ISNUMBER(SEARCH(CompConta!$F$30,Tabla11[[#This Row],[Cuenta]],1))</f>
        <v>1</v>
      </c>
      <c r="BF350" t="b">
        <f>+ISNUMBER(SEARCH('PAGO Compras'!$E$11,Tabla11[[#This Row],[Cuenta]],1))</f>
        <v>1</v>
      </c>
      <c r="BG350" t="b">
        <f>+ISNUMBER(SEARCH(#REF!,Tabla11[[#This Row],[Cuenta]],1))</f>
        <v>0</v>
      </c>
      <c r="BH350" t="b">
        <f>+ISNUMBER(SEARCH(#REF!,Tabla11[[#This Row],[Cuenta]],1))</f>
        <v>0</v>
      </c>
      <c r="BI350" t="b">
        <f>+ISNUMBER(SEARCH(#REF!,Tabla11[[#This Row],[Cuenta]],1))</f>
        <v>0</v>
      </c>
      <c r="BJ350" t="b">
        <f>+ISNUMBER(SEARCH(#REF!,Tabla11[[#This Row],[Cuenta]],1))</f>
        <v>0</v>
      </c>
      <c r="BS350" t="str">
        <v>19 VALORIZACIONES</v>
      </c>
      <c r="BT350" t="str">
        <v>19 VALORIZACIONES</v>
      </c>
      <c r="BU350" t="str">
        <v>19 VALORIZACIONES</v>
      </c>
      <c r="BV350" t="str">
        <v>19 VALORIZACIONES</v>
      </c>
      <c r="BZ350" t="str">
        <v>19 VALORIZACIONES</v>
      </c>
      <c r="CA350" t="str">
        <v>19 VALORIZACIONES</v>
      </c>
      <c r="CB350" t="str">
        <v>19 VALORIZACIONES</v>
      </c>
      <c r="CC350" t="str">
        <v>19 VALORIZACIONES</v>
      </c>
      <c r="CD350" t="str">
        <v>19 VALORIZACIONES</v>
      </c>
      <c r="CE350" t="str">
        <v>19 VALORIZACIONES</v>
      </c>
      <c r="CS350" s="141" t="str">
        <v>19 VALORIZACIONES</v>
      </c>
      <c r="CT350" s="141" t="str">
        <v>19 VALORIZACIONES</v>
      </c>
      <c r="CU350" s="141" t="str">
        <v>19 VALORIZACIONES</v>
      </c>
      <c r="CV350" s="141" t="str">
        <v>19 VALORIZACIONES</v>
      </c>
      <c r="CW350" s="141" t="str">
        <v>19 VALORIZACIONES</v>
      </c>
      <c r="CX350" s="141" t="str">
        <v>19 VALORIZACIONES</v>
      </c>
      <c r="CY350" s="141" t="str">
        <v>19 VALORIZACIONES</v>
      </c>
      <c r="CZ350" s="141" t="str">
        <v>19 VALORIZACIONES</v>
      </c>
      <c r="DA350" s="141" t="str">
        <v>19 VALORIZACIONES</v>
      </c>
      <c r="DF350" t="str">
        <v>19 VALORIZACIONES</v>
      </c>
      <c r="DG350" t="str">
        <v>19 VALORIZACIONES</v>
      </c>
      <c r="DH350" t="str">
        <v>19 VALORIZACIONES</v>
      </c>
      <c r="DI350" t="str">
        <v>19 VALORIZACIONES</v>
      </c>
      <c r="DJ350" t="str">
        <v>19 VALORIZACIONES</v>
      </c>
      <c r="DK350" t="str">
        <v>19 VALORIZACIONES</v>
      </c>
      <c r="DL350" t="str">
        <v>19 VALORIZACIONES</v>
      </c>
      <c r="DM350" t="str">
        <v>19 VALORIZACIONES</v>
      </c>
      <c r="DN350" t="str">
        <v>19 VALORIZACIONES</v>
      </c>
      <c r="DO350" t="str">
        <v>19 VALORIZACIONES</v>
      </c>
      <c r="DP350" t="str">
        <v>19 VALORIZACIONES</v>
      </c>
    </row>
    <row r="351" spans="4:120" ht="12.75">
      <c r="D351" s="7">
        <v>1905</v>
      </c>
      <c r="E351" s="6" t="s">
        <v>289</v>
      </c>
      <c r="F351" s="5">
        <v>3</v>
      </c>
      <c r="G351" s="34" t="s">
        <v>822</v>
      </c>
      <c r="H351" s="8" t="s">
        <v>32</v>
      </c>
      <c r="I351" t="b">
        <f>+ISNUMBER(SEARCH('F-COMPRA'!$F$28,Tabla11[[#This Row],[Cuenta]],1))</f>
        <v>1</v>
      </c>
      <c r="J351" t="b">
        <f>+ISNUMBER(SEARCH('F-COMPRA'!$F$29,Tabla11[[#This Row],[Cuenta]],1))</f>
        <v>1</v>
      </c>
      <c r="K351" t="b">
        <f>+ISNUMBER(SEARCH('F-COMPRA'!$F$30,Tabla11[[#This Row],[Cuenta]],1))</f>
        <v>1</v>
      </c>
      <c r="L351" t="b">
        <f>+ISNUMBER(SEARCH('F-COMPRA'!$F$31,Tabla11[[#This Row],[Cuenta]],1))</f>
        <v>1</v>
      </c>
      <c r="M351" t="b">
        <f>+ISNUMBER(SEARCH('F-COMPRA'!$G$25,Tabla11[[#This Row],[Cuenta]],1))</f>
        <v>0</v>
      </c>
      <c r="N351" t="b">
        <f>+ISNUMBER(SEARCH(#REF!,Tabla11[[#This Row],[Cuenta]],1))</f>
        <v>0</v>
      </c>
      <c r="O351" t="b">
        <f>+ISNUMBER(SEARCH(#REF!,Tabla11[[#This Row],[Cuenta]],1))</f>
        <v>0</v>
      </c>
      <c r="P351" t="b">
        <f>+ISNUMBER(SEARCH('F-COMPRA'!$F$32,Tabla11[[#This Row],[Cuenta]],1))</f>
        <v>1</v>
      </c>
      <c r="Q351" t="b">
        <f>+ISNUMBER(SEARCH('F-COMPRA'!$F$33,Tabla11[[#This Row],[Cuenta]],1))</f>
        <v>1</v>
      </c>
      <c r="R351" t="b">
        <f>+ISNUMBER(SEARCH('F-COMPRA'!$F$34,Tabla11[[#This Row],[Cuenta]],1))</f>
        <v>1</v>
      </c>
      <c r="S351" t="b">
        <f>+ISNUMBER(SEARCH('F-COMPRA'!$F$35,Tabla11[[#This Row],[Cuenta]],1))</f>
        <v>1</v>
      </c>
      <c r="T351" t="b">
        <f>+ISNUMBER(SEARCH('F-COMPRA'!$F$36,Tabla11[[#This Row],[Cuenta]],1))</f>
        <v>1</v>
      </c>
      <c r="U351" t="b">
        <f>+ISNUMBER(SEARCH('F-COMPRA'!$F$37,Tabla11[[#This Row],[Cuenta]],1))</f>
        <v>1</v>
      </c>
      <c r="V351" t="b">
        <f>+ISNUMBER(SEARCH(#REF!,Tabla11[[#This Row],[Cuenta]],1))</f>
        <v>0</v>
      </c>
      <c r="W351" t="b">
        <f>+ISNUMBER(SEARCH('F-COMPRA'!#REF!,Tabla11[[#This Row],[Cuenta]],1))</f>
        <v>0</v>
      </c>
      <c r="X351" t="b">
        <f>+ISNUMBER(SEARCH('F-COMPRA'!#REF!,Tabla11[[#This Row],[Cuenta]],1))</f>
        <v>0</v>
      </c>
      <c r="Y351" t="b">
        <f>+ISNUMBER(SEARCH('F-COMPRA'!#REF!,Tabla11[[#This Row],[Cuenta]],1))</f>
        <v>0</v>
      </c>
      <c r="Z351" t="b">
        <f>+ISNUMBER(SEARCH('F-COMPRA'!#REF!,Tabla11[[#This Row],[Cuenta]],1))</f>
        <v>0</v>
      </c>
      <c r="AA351" t="b">
        <f>+ISNUMBER(SEARCH('F-COMPRA'!#REF!,Tabla11[[#This Row],[Cuenta]],1))</f>
        <v>0</v>
      </c>
      <c r="AB351" t="b">
        <f>+ISNUMBER(SEARCH('F-COMPRA'!#REF!,Tabla11[[#This Row],[Cuenta]],1))</f>
        <v>0</v>
      </c>
      <c r="AC351" t="b">
        <f>+ISNUMBER(SEARCH('F-COMPRA'!#REF!,Tabla11[[#This Row],[Cuenta]],1))</f>
        <v>0</v>
      </c>
      <c r="AD351" t="b">
        <f>+ISNUMBER(SEARCH('F-COMPRA'!#REF!,Tabla11[[#This Row],[Cuenta]],1))</f>
        <v>0</v>
      </c>
      <c r="AE351" t="b">
        <f>+ISNUMBER(SEARCH('F-COMPRA'!#REF!,Tabla11[[#This Row],[Cuenta]],1))</f>
        <v>0</v>
      </c>
      <c r="AF351" t="b">
        <f>+ISNUMBER(SEARCH('F-VTA'!$G$23,Tabla11[[#This Row],[Cuenta]],1))</f>
        <v>0</v>
      </c>
      <c r="AG351" t="b">
        <f>+ISNUMBER(SEARCH('F-VTA'!$G$24,Tabla11[[#This Row],[Cuenta]],1))</f>
        <v>0</v>
      </c>
      <c r="AH351" t="b">
        <f>+ISNUMBER(SEARCH('F-VTA'!$G$25,Tabla11[[#This Row],[Cuenta]],1))</f>
        <v>0</v>
      </c>
      <c r="AI351" t="b">
        <f>+ISNUMBER(SEARCH('F-VTA'!$F$28,Tabla11[[#This Row],[Cuenta]],1))</f>
        <v>1</v>
      </c>
      <c r="AJ351" t="b">
        <f>+ISNUMBER(SEARCH('F-VTA'!$F$29,Tabla11[[#This Row],[Cuenta]],1))</f>
        <v>1</v>
      </c>
      <c r="AK351" t="b">
        <f>+ISNUMBER(SEARCH('F-VTA'!$F$30,Tabla11[[#This Row],[Cuenta]],1))</f>
        <v>1</v>
      </c>
      <c r="AL351" t="b">
        <f>+ISNUMBER(SEARCH('F-VTA'!$F$31,Tabla11[[#This Row],[Cuenta]],1))</f>
        <v>1</v>
      </c>
      <c r="AM351" t="b">
        <f>+ISNUMBER(SEARCH('F-VTA'!$F$32,Tabla11[[#This Row],[Cuenta]],1))</f>
        <v>1</v>
      </c>
      <c r="AN351" t="b">
        <f>+ISNUMBER(SEARCH('F-VTA'!$F$33,Tabla11[[#This Row],[Cuenta]],1))</f>
        <v>1</v>
      </c>
      <c r="AO351" t="b">
        <f>+ISNUMBER(SEARCH('F-VTA'!$F$34,Tabla11[[#This Row],[Cuenta]],1))</f>
        <v>1</v>
      </c>
      <c r="AP351" t="b">
        <f>+ISNUMBER(SEARCH('F-VTA'!$F$35,Tabla11[[#This Row],[Cuenta]],1))</f>
        <v>1</v>
      </c>
      <c r="AQ351" t="b">
        <f>+ISNUMBER(SEARCH('F-VTA'!$F$36,Tabla11[[#This Row],[Cuenta]],1))</f>
        <v>1</v>
      </c>
      <c r="AR351" t="b">
        <f>+ISNUMBER(SEARCH(#REF!,Tabla11[[#This Row],[Cuenta]],1))</f>
        <v>0</v>
      </c>
      <c r="AS351" t="b">
        <f>+ISNUMBER(SEARCH(#REF!,Tabla11[[#This Row],[Cuenta]],1))</f>
        <v>0</v>
      </c>
      <c r="AT351" t="b">
        <f>+ISNUMBER(SEARCH(#REF!,Tabla11[[#This Row],[Cuenta]],1))</f>
        <v>0</v>
      </c>
      <c r="AU351" t="b">
        <f>+ISNUMBER(SEARCH('Conc. Ban.1'!$I$9,Tabla11[[#This Row],[Cuenta]],1))</f>
        <v>0</v>
      </c>
      <c r="AV351" t="b">
        <f>+ISNUMBER(SEARCH(CompConta!$F$21,Tabla11[[#This Row],[Cuenta]],1))</f>
        <v>1</v>
      </c>
      <c r="AW351" t="b">
        <f>+ISNUMBER(SEARCH(CompConta!$F$22,Tabla11[[#This Row],[Cuenta]],1))</f>
        <v>1</v>
      </c>
      <c r="AX351" t="b">
        <f>+ISNUMBER(SEARCH(CompConta!$F$23,Tabla11[[#This Row],[Cuenta]],1))</f>
        <v>1</v>
      </c>
      <c r="AY351" t="b">
        <f>+ISNUMBER(SEARCH(CompConta!$F$24,Tabla11[[#This Row],[Cuenta]],1))</f>
        <v>1</v>
      </c>
      <c r="AZ351" t="b">
        <f>+ISNUMBER(SEARCH(CompConta!$F$25,Tabla11[[#This Row],[Cuenta]],1))</f>
        <v>1</v>
      </c>
      <c r="BA351" t="b">
        <f>+ISNUMBER(SEARCH(CompConta!$F$26,Tabla11[[#This Row],[Cuenta]],1))</f>
        <v>1</v>
      </c>
      <c r="BB351" t="b">
        <f>+ISNUMBER(SEARCH(CompConta!$F$27,Tabla11[[#This Row],[Cuenta]],1))</f>
        <v>1</v>
      </c>
      <c r="BC351" t="b">
        <f>+ISNUMBER(SEARCH(CompConta!$F$28,Tabla11[[#This Row],[Cuenta]],1))</f>
        <v>1</v>
      </c>
      <c r="BD351" t="b">
        <f>+ISNUMBER(SEARCH(CompConta!$F$29,Tabla11[[#This Row],[Cuenta]],1))</f>
        <v>1</v>
      </c>
      <c r="BE351" t="b">
        <f>+ISNUMBER(SEARCH(CompConta!$F$30,Tabla11[[#This Row],[Cuenta]],1))</f>
        <v>1</v>
      </c>
      <c r="BF351" t="b">
        <f>+ISNUMBER(SEARCH('PAGO Compras'!$E$11,Tabla11[[#This Row],[Cuenta]],1))</f>
        <v>1</v>
      </c>
      <c r="BG351" t="b">
        <f>+ISNUMBER(SEARCH(#REF!,Tabla11[[#This Row],[Cuenta]],1))</f>
        <v>0</v>
      </c>
      <c r="BH351" t="b">
        <f>+ISNUMBER(SEARCH(#REF!,Tabla11[[#This Row],[Cuenta]],1))</f>
        <v>0</v>
      </c>
      <c r="BI351" t="b">
        <f>+ISNUMBER(SEARCH(#REF!,Tabla11[[#This Row],[Cuenta]],1))</f>
        <v>0</v>
      </c>
      <c r="BJ351" t="b">
        <f>+ISNUMBER(SEARCH(#REF!,Tabla11[[#This Row],[Cuenta]],1))</f>
        <v>0</v>
      </c>
      <c r="BS351" t="str">
        <v>1905 DE INVERSIONES</v>
      </c>
      <c r="BT351" t="str">
        <v>1905 DE INVERSIONES</v>
      </c>
      <c r="BU351" t="str">
        <v>1905 DE INVERSIONES</v>
      </c>
      <c r="BV351" t="str">
        <v>1905 DE INVERSIONES</v>
      </c>
      <c r="BZ351" t="str">
        <v>1905 DE INVERSIONES</v>
      </c>
      <c r="CA351" t="str">
        <v>1905 DE INVERSIONES</v>
      </c>
      <c r="CB351" t="str">
        <v>1905 DE INVERSIONES</v>
      </c>
      <c r="CC351" t="str">
        <v>1905 DE INVERSIONES</v>
      </c>
      <c r="CD351" t="str">
        <v>1905 DE INVERSIONES</v>
      </c>
      <c r="CE351" t="str">
        <v>1905 DE INVERSIONES</v>
      </c>
      <c r="CS351" s="141" t="str">
        <v>1905 DE INVERSIONES</v>
      </c>
      <c r="CT351" s="141" t="str">
        <v>1905 DE INVERSIONES</v>
      </c>
      <c r="CU351" s="141" t="str">
        <v>1905 DE INVERSIONES</v>
      </c>
      <c r="CV351" s="141" t="str">
        <v>1905 DE INVERSIONES</v>
      </c>
      <c r="CW351" s="141" t="str">
        <v>1905 DE INVERSIONES</v>
      </c>
      <c r="CX351" s="141" t="str">
        <v>1905 DE INVERSIONES</v>
      </c>
      <c r="CY351" s="141" t="str">
        <v>1905 DE INVERSIONES</v>
      </c>
      <c r="CZ351" s="141" t="str">
        <v>1905 DE INVERSIONES</v>
      </c>
      <c r="DA351" s="141" t="str">
        <v>1905 DE INVERSIONES</v>
      </c>
      <c r="DF351" t="str">
        <v>1905 DE INVERSIONES</v>
      </c>
      <c r="DG351" t="str">
        <v>1905 DE INVERSIONES</v>
      </c>
      <c r="DH351" t="str">
        <v>1905 DE INVERSIONES</v>
      </c>
      <c r="DI351" t="str">
        <v>1905 DE INVERSIONES</v>
      </c>
      <c r="DJ351" t="str">
        <v>1905 DE INVERSIONES</v>
      </c>
      <c r="DK351" t="str">
        <v>1905 DE INVERSIONES</v>
      </c>
      <c r="DL351" t="str">
        <v>1905 DE INVERSIONES</v>
      </c>
      <c r="DM351" t="str">
        <v>1905 DE INVERSIONES</v>
      </c>
      <c r="DN351" t="str">
        <v>1905 DE INVERSIONES</v>
      </c>
      <c r="DO351" t="str">
        <v>1905 DE INVERSIONES</v>
      </c>
      <c r="DP351" t="str">
        <v>1905 DE INVERSIONES</v>
      </c>
    </row>
    <row r="352" spans="4:120" ht="12.75">
      <c r="D352" s="7">
        <v>190505</v>
      </c>
      <c r="E352" s="6" t="s">
        <v>47</v>
      </c>
      <c r="F352" s="5">
        <v>4</v>
      </c>
      <c r="G352" s="34" t="s">
        <v>822</v>
      </c>
      <c r="H352" s="8" t="s">
        <v>32</v>
      </c>
      <c r="I352" t="b">
        <f>+ISNUMBER(SEARCH('F-COMPRA'!$F$28,Tabla11[[#This Row],[Cuenta]],1))</f>
        <v>1</v>
      </c>
      <c r="J352" t="b">
        <f>+ISNUMBER(SEARCH('F-COMPRA'!$F$29,Tabla11[[#This Row],[Cuenta]],1))</f>
        <v>1</v>
      </c>
      <c r="K352" t="b">
        <f>+ISNUMBER(SEARCH('F-COMPRA'!$F$30,Tabla11[[#This Row],[Cuenta]],1))</f>
        <v>1</v>
      </c>
      <c r="L352" t="b">
        <f>+ISNUMBER(SEARCH('F-COMPRA'!$F$31,Tabla11[[#This Row],[Cuenta]],1))</f>
        <v>1</v>
      </c>
      <c r="M352" t="b">
        <f>+ISNUMBER(SEARCH('F-COMPRA'!$G$25,Tabla11[[#This Row],[Cuenta]],1))</f>
        <v>0</v>
      </c>
      <c r="N352" t="b">
        <f>+ISNUMBER(SEARCH(#REF!,Tabla11[[#This Row],[Cuenta]],1))</f>
        <v>0</v>
      </c>
      <c r="O352" t="b">
        <f>+ISNUMBER(SEARCH(#REF!,Tabla11[[#This Row],[Cuenta]],1))</f>
        <v>0</v>
      </c>
      <c r="P352" t="b">
        <f>+ISNUMBER(SEARCH('F-COMPRA'!$F$32,Tabla11[[#This Row],[Cuenta]],1))</f>
        <v>1</v>
      </c>
      <c r="Q352" t="b">
        <f>+ISNUMBER(SEARCH('F-COMPRA'!$F$33,Tabla11[[#This Row],[Cuenta]],1))</f>
        <v>1</v>
      </c>
      <c r="R352" t="b">
        <f>+ISNUMBER(SEARCH('F-COMPRA'!$F$34,Tabla11[[#This Row],[Cuenta]],1))</f>
        <v>1</v>
      </c>
      <c r="S352" t="b">
        <f>+ISNUMBER(SEARCH('F-COMPRA'!$F$35,Tabla11[[#This Row],[Cuenta]],1))</f>
        <v>1</v>
      </c>
      <c r="T352" t="b">
        <f>+ISNUMBER(SEARCH('F-COMPRA'!$F$36,Tabla11[[#This Row],[Cuenta]],1))</f>
        <v>1</v>
      </c>
      <c r="U352" t="b">
        <f>+ISNUMBER(SEARCH('F-COMPRA'!$F$37,Tabla11[[#This Row],[Cuenta]],1))</f>
        <v>1</v>
      </c>
      <c r="V352" t="b">
        <f>+ISNUMBER(SEARCH(#REF!,Tabla11[[#This Row],[Cuenta]],1))</f>
        <v>0</v>
      </c>
      <c r="W352" t="b">
        <f>+ISNUMBER(SEARCH('F-COMPRA'!#REF!,Tabla11[[#This Row],[Cuenta]],1))</f>
        <v>0</v>
      </c>
      <c r="X352" t="b">
        <f>+ISNUMBER(SEARCH('F-COMPRA'!#REF!,Tabla11[[#This Row],[Cuenta]],1))</f>
        <v>0</v>
      </c>
      <c r="Y352" t="b">
        <f>+ISNUMBER(SEARCH('F-COMPRA'!#REF!,Tabla11[[#This Row],[Cuenta]],1))</f>
        <v>0</v>
      </c>
      <c r="Z352" t="b">
        <f>+ISNUMBER(SEARCH('F-COMPRA'!#REF!,Tabla11[[#This Row],[Cuenta]],1))</f>
        <v>0</v>
      </c>
      <c r="AA352" t="b">
        <f>+ISNUMBER(SEARCH('F-COMPRA'!#REF!,Tabla11[[#This Row],[Cuenta]],1))</f>
        <v>0</v>
      </c>
      <c r="AB352" t="b">
        <f>+ISNUMBER(SEARCH('F-COMPRA'!#REF!,Tabla11[[#This Row],[Cuenta]],1))</f>
        <v>0</v>
      </c>
      <c r="AC352" t="b">
        <f>+ISNUMBER(SEARCH('F-COMPRA'!#REF!,Tabla11[[#This Row],[Cuenta]],1))</f>
        <v>0</v>
      </c>
      <c r="AD352" t="b">
        <f>+ISNUMBER(SEARCH('F-COMPRA'!#REF!,Tabla11[[#This Row],[Cuenta]],1))</f>
        <v>0</v>
      </c>
      <c r="AE352" t="b">
        <f>+ISNUMBER(SEARCH('F-COMPRA'!#REF!,Tabla11[[#This Row],[Cuenta]],1))</f>
        <v>0</v>
      </c>
      <c r="AF352" t="b">
        <f>+ISNUMBER(SEARCH('F-VTA'!$G$23,Tabla11[[#This Row],[Cuenta]],1))</f>
        <v>0</v>
      </c>
      <c r="AG352" t="b">
        <f>+ISNUMBER(SEARCH('F-VTA'!$G$24,Tabla11[[#This Row],[Cuenta]],1))</f>
        <v>0</v>
      </c>
      <c r="AH352" t="b">
        <f>+ISNUMBER(SEARCH('F-VTA'!$G$25,Tabla11[[#This Row],[Cuenta]],1))</f>
        <v>0</v>
      </c>
      <c r="AI352" t="b">
        <f>+ISNUMBER(SEARCH('F-VTA'!$F$28,Tabla11[[#This Row],[Cuenta]],1))</f>
        <v>1</v>
      </c>
      <c r="AJ352" t="b">
        <f>+ISNUMBER(SEARCH('F-VTA'!$F$29,Tabla11[[#This Row],[Cuenta]],1))</f>
        <v>1</v>
      </c>
      <c r="AK352" t="b">
        <f>+ISNUMBER(SEARCH('F-VTA'!$F$30,Tabla11[[#This Row],[Cuenta]],1))</f>
        <v>1</v>
      </c>
      <c r="AL352" t="b">
        <f>+ISNUMBER(SEARCH('F-VTA'!$F$31,Tabla11[[#This Row],[Cuenta]],1))</f>
        <v>1</v>
      </c>
      <c r="AM352" t="b">
        <f>+ISNUMBER(SEARCH('F-VTA'!$F$32,Tabla11[[#This Row],[Cuenta]],1))</f>
        <v>1</v>
      </c>
      <c r="AN352" t="b">
        <f>+ISNUMBER(SEARCH('F-VTA'!$F$33,Tabla11[[#This Row],[Cuenta]],1))</f>
        <v>1</v>
      </c>
      <c r="AO352" t="b">
        <f>+ISNUMBER(SEARCH('F-VTA'!$F$34,Tabla11[[#This Row],[Cuenta]],1))</f>
        <v>1</v>
      </c>
      <c r="AP352" t="b">
        <f>+ISNUMBER(SEARCH('F-VTA'!$F$35,Tabla11[[#This Row],[Cuenta]],1))</f>
        <v>1</v>
      </c>
      <c r="AQ352" t="b">
        <f>+ISNUMBER(SEARCH('F-VTA'!$F$36,Tabla11[[#This Row],[Cuenta]],1))</f>
        <v>1</v>
      </c>
      <c r="AR352" t="b">
        <f>+ISNUMBER(SEARCH(#REF!,Tabla11[[#This Row],[Cuenta]],1))</f>
        <v>0</v>
      </c>
      <c r="AS352" t="b">
        <f>+ISNUMBER(SEARCH(#REF!,Tabla11[[#This Row],[Cuenta]],1))</f>
        <v>0</v>
      </c>
      <c r="AT352" t="b">
        <f>+ISNUMBER(SEARCH(#REF!,Tabla11[[#This Row],[Cuenta]],1))</f>
        <v>0</v>
      </c>
      <c r="AU352" t="b">
        <f>+ISNUMBER(SEARCH('Conc. Ban.1'!$I$9,Tabla11[[#This Row],[Cuenta]],1))</f>
        <v>0</v>
      </c>
      <c r="AV352" t="b">
        <f>+ISNUMBER(SEARCH(CompConta!$F$21,Tabla11[[#This Row],[Cuenta]],1))</f>
        <v>1</v>
      </c>
      <c r="AW352" t="b">
        <f>+ISNUMBER(SEARCH(CompConta!$F$22,Tabla11[[#This Row],[Cuenta]],1))</f>
        <v>1</v>
      </c>
      <c r="AX352" t="b">
        <f>+ISNUMBER(SEARCH(CompConta!$F$23,Tabla11[[#This Row],[Cuenta]],1))</f>
        <v>1</v>
      </c>
      <c r="AY352" t="b">
        <f>+ISNUMBER(SEARCH(CompConta!$F$24,Tabla11[[#This Row],[Cuenta]],1))</f>
        <v>1</v>
      </c>
      <c r="AZ352" t="b">
        <f>+ISNUMBER(SEARCH(CompConta!$F$25,Tabla11[[#This Row],[Cuenta]],1))</f>
        <v>1</v>
      </c>
      <c r="BA352" t="b">
        <f>+ISNUMBER(SEARCH(CompConta!$F$26,Tabla11[[#This Row],[Cuenta]],1))</f>
        <v>1</v>
      </c>
      <c r="BB352" t="b">
        <f>+ISNUMBER(SEARCH(CompConta!$F$27,Tabla11[[#This Row],[Cuenta]],1))</f>
        <v>1</v>
      </c>
      <c r="BC352" t="b">
        <f>+ISNUMBER(SEARCH(CompConta!$F$28,Tabla11[[#This Row],[Cuenta]],1))</f>
        <v>1</v>
      </c>
      <c r="BD352" t="b">
        <f>+ISNUMBER(SEARCH(CompConta!$F$29,Tabla11[[#This Row],[Cuenta]],1))</f>
        <v>1</v>
      </c>
      <c r="BE352" t="b">
        <f>+ISNUMBER(SEARCH(CompConta!$F$30,Tabla11[[#This Row],[Cuenta]],1))</f>
        <v>1</v>
      </c>
      <c r="BF352" t="b">
        <f>+ISNUMBER(SEARCH('PAGO Compras'!$E$11,Tabla11[[#This Row],[Cuenta]],1))</f>
        <v>1</v>
      </c>
      <c r="BG352" t="b">
        <f>+ISNUMBER(SEARCH(#REF!,Tabla11[[#This Row],[Cuenta]],1))</f>
        <v>0</v>
      </c>
      <c r="BH352" t="b">
        <f>+ISNUMBER(SEARCH(#REF!,Tabla11[[#This Row],[Cuenta]],1))</f>
        <v>0</v>
      </c>
      <c r="BI352" t="b">
        <f>+ISNUMBER(SEARCH(#REF!,Tabla11[[#This Row],[Cuenta]],1))</f>
        <v>0</v>
      </c>
      <c r="BJ352" t="b">
        <f>+ISNUMBER(SEARCH(#REF!,Tabla11[[#This Row],[Cuenta]],1))</f>
        <v>0</v>
      </c>
      <c r="BS352" t="str">
        <v>190505 Acciones</v>
      </c>
      <c r="BT352" t="str">
        <v>190505 Acciones</v>
      </c>
      <c r="BU352" t="str">
        <v>190505 Acciones</v>
      </c>
      <c r="BV352" t="str">
        <v>190505 Acciones</v>
      </c>
      <c r="BZ352" t="str">
        <v>190505 Acciones</v>
      </c>
      <c r="CA352" t="str">
        <v>190505 Acciones</v>
      </c>
      <c r="CB352" t="str">
        <v>190505 Acciones</v>
      </c>
      <c r="CC352" t="str">
        <v>190505 Acciones</v>
      </c>
      <c r="CD352" t="str">
        <v>190505 Acciones</v>
      </c>
      <c r="CE352" t="str">
        <v>190505 Acciones</v>
      </c>
      <c r="CS352" s="141" t="str">
        <v>190505 Acciones</v>
      </c>
      <c r="CT352" s="141" t="str">
        <v>190505 Acciones</v>
      </c>
      <c r="CU352" s="141" t="str">
        <v>190505 Acciones</v>
      </c>
      <c r="CV352" s="141" t="str">
        <v>190505 Acciones</v>
      </c>
      <c r="CW352" s="141" t="str">
        <v>190505 Acciones</v>
      </c>
      <c r="CX352" s="141" t="str">
        <v>190505 Acciones</v>
      </c>
      <c r="CY352" s="141" t="str">
        <v>190505 Acciones</v>
      </c>
      <c r="CZ352" s="141" t="str">
        <v>190505 Acciones</v>
      </c>
      <c r="DA352" s="141" t="str">
        <v>190505 Acciones</v>
      </c>
      <c r="DF352" t="str">
        <v>190505 Acciones</v>
      </c>
      <c r="DG352" t="str">
        <v>190505 Acciones</v>
      </c>
      <c r="DH352" t="str">
        <v>190505 Acciones</v>
      </c>
      <c r="DI352" t="str">
        <v>190505 Acciones</v>
      </c>
      <c r="DJ352" t="str">
        <v>190505 Acciones</v>
      </c>
      <c r="DK352" t="str">
        <v>190505 Acciones</v>
      </c>
      <c r="DL352" t="str">
        <v>190505 Acciones</v>
      </c>
      <c r="DM352" t="str">
        <v>190505 Acciones</v>
      </c>
      <c r="DN352" t="str">
        <v>190505 Acciones</v>
      </c>
      <c r="DO352" t="str">
        <v>190505 Acciones</v>
      </c>
      <c r="DP352" t="str">
        <v>190505 Acciones</v>
      </c>
    </row>
    <row r="353" spans="4:120" ht="12.75">
      <c r="D353" s="7">
        <v>190510</v>
      </c>
      <c r="E353" s="6" t="s">
        <v>48</v>
      </c>
      <c r="F353" s="5">
        <v>4</v>
      </c>
      <c r="G353" s="34" t="s">
        <v>822</v>
      </c>
      <c r="H353" s="8" t="s">
        <v>32</v>
      </c>
      <c r="I353" t="b">
        <f>+ISNUMBER(SEARCH('F-COMPRA'!$F$28,Tabla11[[#This Row],[Cuenta]],1))</f>
        <v>1</v>
      </c>
      <c r="J353" t="b">
        <f>+ISNUMBER(SEARCH('F-COMPRA'!$F$29,Tabla11[[#This Row],[Cuenta]],1))</f>
        <v>1</v>
      </c>
      <c r="K353" t="b">
        <f>+ISNUMBER(SEARCH('F-COMPRA'!$F$30,Tabla11[[#This Row],[Cuenta]],1))</f>
        <v>1</v>
      </c>
      <c r="L353" t="b">
        <f>+ISNUMBER(SEARCH('F-COMPRA'!$F$31,Tabla11[[#This Row],[Cuenta]],1))</f>
        <v>1</v>
      </c>
      <c r="M353" t="b">
        <f>+ISNUMBER(SEARCH('F-COMPRA'!$G$25,Tabla11[[#This Row],[Cuenta]],1))</f>
        <v>0</v>
      </c>
      <c r="N353" t="b">
        <f>+ISNUMBER(SEARCH(#REF!,Tabla11[[#This Row],[Cuenta]],1))</f>
        <v>0</v>
      </c>
      <c r="O353" t="b">
        <f>+ISNUMBER(SEARCH(#REF!,Tabla11[[#This Row],[Cuenta]],1))</f>
        <v>0</v>
      </c>
      <c r="P353" t="b">
        <f>+ISNUMBER(SEARCH('F-COMPRA'!$F$32,Tabla11[[#This Row],[Cuenta]],1))</f>
        <v>1</v>
      </c>
      <c r="Q353" t="b">
        <f>+ISNUMBER(SEARCH('F-COMPRA'!$F$33,Tabla11[[#This Row],[Cuenta]],1))</f>
        <v>1</v>
      </c>
      <c r="R353" t="b">
        <f>+ISNUMBER(SEARCH('F-COMPRA'!$F$34,Tabla11[[#This Row],[Cuenta]],1))</f>
        <v>1</v>
      </c>
      <c r="S353" t="b">
        <f>+ISNUMBER(SEARCH('F-COMPRA'!$F$35,Tabla11[[#This Row],[Cuenta]],1))</f>
        <v>1</v>
      </c>
      <c r="T353" t="b">
        <f>+ISNUMBER(SEARCH('F-COMPRA'!$F$36,Tabla11[[#This Row],[Cuenta]],1))</f>
        <v>1</v>
      </c>
      <c r="U353" t="b">
        <f>+ISNUMBER(SEARCH('F-COMPRA'!$F$37,Tabla11[[#This Row],[Cuenta]],1))</f>
        <v>1</v>
      </c>
      <c r="V353" t="b">
        <f>+ISNUMBER(SEARCH(#REF!,Tabla11[[#This Row],[Cuenta]],1))</f>
        <v>0</v>
      </c>
      <c r="W353" t="b">
        <f>+ISNUMBER(SEARCH('F-COMPRA'!#REF!,Tabla11[[#This Row],[Cuenta]],1))</f>
        <v>0</v>
      </c>
      <c r="X353" t="b">
        <f>+ISNUMBER(SEARCH('F-COMPRA'!#REF!,Tabla11[[#This Row],[Cuenta]],1))</f>
        <v>0</v>
      </c>
      <c r="Y353" t="b">
        <f>+ISNUMBER(SEARCH('F-COMPRA'!#REF!,Tabla11[[#This Row],[Cuenta]],1))</f>
        <v>0</v>
      </c>
      <c r="Z353" t="b">
        <f>+ISNUMBER(SEARCH('F-COMPRA'!#REF!,Tabla11[[#This Row],[Cuenta]],1))</f>
        <v>0</v>
      </c>
      <c r="AA353" t="b">
        <f>+ISNUMBER(SEARCH('F-COMPRA'!#REF!,Tabla11[[#This Row],[Cuenta]],1))</f>
        <v>0</v>
      </c>
      <c r="AB353" t="b">
        <f>+ISNUMBER(SEARCH('F-COMPRA'!#REF!,Tabla11[[#This Row],[Cuenta]],1))</f>
        <v>0</v>
      </c>
      <c r="AC353" t="b">
        <f>+ISNUMBER(SEARCH('F-COMPRA'!#REF!,Tabla11[[#This Row],[Cuenta]],1))</f>
        <v>0</v>
      </c>
      <c r="AD353" t="b">
        <f>+ISNUMBER(SEARCH('F-COMPRA'!#REF!,Tabla11[[#This Row],[Cuenta]],1))</f>
        <v>0</v>
      </c>
      <c r="AE353" t="b">
        <f>+ISNUMBER(SEARCH('F-COMPRA'!#REF!,Tabla11[[#This Row],[Cuenta]],1))</f>
        <v>0</v>
      </c>
      <c r="AF353" t="b">
        <f>+ISNUMBER(SEARCH('F-VTA'!$G$23,Tabla11[[#This Row],[Cuenta]],1))</f>
        <v>0</v>
      </c>
      <c r="AG353" t="b">
        <f>+ISNUMBER(SEARCH('F-VTA'!$G$24,Tabla11[[#This Row],[Cuenta]],1))</f>
        <v>0</v>
      </c>
      <c r="AH353" t="b">
        <f>+ISNUMBER(SEARCH('F-VTA'!$G$25,Tabla11[[#This Row],[Cuenta]],1))</f>
        <v>0</v>
      </c>
      <c r="AI353" t="b">
        <f>+ISNUMBER(SEARCH('F-VTA'!$F$28,Tabla11[[#This Row],[Cuenta]],1))</f>
        <v>1</v>
      </c>
      <c r="AJ353" t="b">
        <f>+ISNUMBER(SEARCH('F-VTA'!$F$29,Tabla11[[#This Row],[Cuenta]],1))</f>
        <v>1</v>
      </c>
      <c r="AK353" t="b">
        <f>+ISNUMBER(SEARCH('F-VTA'!$F$30,Tabla11[[#This Row],[Cuenta]],1))</f>
        <v>1</v>
      </c>
      <c r="AL353" t="b">
        <f>+ISNUMBER(SEARCH('F-VTA'!$F$31,Tabla11[[#This Row],[Cuenta]],1))</f>
        <v>1</v>
      </c>
      <c r="AM353" t="b">
        <f>+ISNUMBER(SEARCH('F-VTA'!$F$32,Tabla11[[#This Row],[Cuenta]],1))</f>
        <v>1</v>
      </c>
      <c r="AN353" t="b">
        <f>+ISNUMBER(SEARCH('F-VTA'!$F$33,Tabla11[[#This Row],[Cuenta]],1))</f>
        <v>1</v>
      </c>
      <c r="AO353" t="b">
        <f>+ISNUMBER(SEARCH('F-VTA'!$F$34,Tabla11[[#This Row],[Cuenta]],1))</f>
        <v>1</v>
      </c>
      <c r="AP353" t="b">
        <f>+ISNUMBER(SEARCH('F-VTA'!$F$35,Tabla11[[#This Row],[Cuenta]],1))</f>
        <v>1</v>
      </c>
      <c r="AQ353" t="b">
        <f>+ISNUMBER(SEARCH('F-VTA'!$F$36,Tabla11[[#This Row],[Cuenta]],1))</f>
        <v>1</v>
      </c>
      <c r="AR353" t="b">
        <f>+ISNUMBER(SEARCH(#REF!,Tabla11[[#This Row],[Cuenta]],1))</f>
        <v>0</v>
      </c>
      <c r="AS353" t="b">
        <f>+ISNUMBER(SEARCH(#REF!,Tabla11[[#This Row],[Cuenta]],1))</f>
        <v>0</v>
      </c>
      <c r="AT353" t="b">
        <f>+ISNUMBER(SEARCH(#REF!,Tabla11[[#This Row],[Cuenta]],1))</f>
        <v>0</v>
      </c>
      <c r="AU353" t="b">
        <f>+ISNUMBER(SEARCH('Conc. Ban.1'!$I$9,Tabla11[[#This Row],[Cuenta]],1))</f>
        <v>0</v>
      </c>
      <c r="AV353" t="b">
        <f>+ISNUMBER(SEARCH(CompConta!$F$21,Tabla11[[#This Row],[Cuenta]],1))</f>
        <v>1</v>
      </c>
      <c r="AW353" t="b">
        <f>+ISNUMBER(SEARCH(CompConta!$F$22,Tabla11[[#This Row],[Cuenta]],1))</f>
        <v>1</v>
      </c>
      <c r="AX353" t="b">
        <f>+ISNUMBER(SEARCH(CompConta!$F$23,Tabla11[[#This Row],[Cuenta]],1))</f>
        <v>1</v>
      </c>
      <c r="AY353" t="b">
        <f>+ISNUMBER(SEARCH(CompConta!$F$24,Tabla11[[#This Row],[Cuenta]],1))</f>
        <v>1</v>
      </c>
      <c r="AZ353" t="b">
        <f>+ISNUMBER(SEARCH(CompConta!$F$25,Tabla11[[#This Row],[Cuenta]],1))</f>
        <v>1</v>
      </c>
      <c r="BA353" t="b">
        <f>+ISNUMBER(SEARCH(CompConta!$F$26,Tabla11[[#This Row],[Cuenta]],1))</f>
        <v>1</v>
      </c>
      <c r="BB353" t="b">
        <f>+ISNUMBER(SEARCH(CompConta!$F$27,Tabla11[[#This Row],[Cuenta]],1))</f>
        <v>1</v>
      </c>
      <c r="BC353" t="b">
        <f>+ISNUMBER(SEARCH(CompConta!$F$28,Tabla11[[#This Row],[Cuenta]],1))</f>
        <v>1</v>
      </c>
      <c r="BD353" t="b">
        <f>+ISNUMBER(SEARCH(CompConta!$F$29,Tabla11[[#This Row],[Cuenta]],1))</f>
        <v>1</v>
      </c>
      <c r="BE353" t="b">
        <f>+ISNUMBER(SEARCH(CompConta!$F$30,Tabla11[[#This Row],[Cuenta]],1))</f>
        <v>1</v>
      </c>
      <c r="BF353" t="b">
        <f>+ISNUMBER(SEARCH('PAGO Compras'!$E$11,Tabla11[[#This Row],[Cuenta]],1))</f>
        <v>1</v>
      </c>
      <c r="BG353" t="b">
        <f>+ISNUMBER(SEARCH(#REF!,Tabla11[[#This Row],[Cuenta]],1))</f>
        <v>0</v>
      </c>
      <c r="BH353" t="b">
        <f>+ISNUMBER(SEARCH(#REF!,Tabla11[[#This Row],[Cuenta]],1))</f>
        <v>0</v>
      </c>
      <c r="BI353" t="b">
        <f>+ISNUMBER(SEARCH(#REF!,Tabla11[[#This Row],[Cuenta]],1))</f>
        <v>0</v>
      </c>
      <c r="BJ353" t="b">
        <f>+ISNUMBER(SEARCH(#REF!,Tabla11[[#This Row],[Cuenta]],1))</f>
        <v>0</v>
      </c>
      <c r="BS353" t="str">
        <v>190510 Cuotas o partes de interés social</v>
      </c>
      <c r="BT353" t="str">
        <v>190510 Cuotas o partes de interés social</v>
      </c>
      <c r="BU353" t="str">
        <v>190510 Cuotas o partes de interés social</v>
      </c>
      <c r="BV353" t="str">
        <v>190510 Cuotas o partes de interés social</v>
      </c>
      <c r="BZ353" t="str">
        <v>190510 Cuotas o partes de interés social</v>
      </c>
      <c r="CA353" t="str">
        <v>190510 Cuotas o partes de interés social</v>
      </c>
      <c r="CB353" t="str">
        <v>190510 Cuotas o partes de interés social</v>
      </c>
      <c r="CC353" t="str">
        <v>190510 Cuotas o partes de interés social</v>
      </c>
      <c r="CD353" t="str">
        <v>190510 Cuotas o partes de interés social</v>
      </c>
      <c r="CE353" t="str">
        <v>190510 Cuotas o partes de interés social</v>
      </c>
      <c r="CS353" s="141" t="str">
        <v>190510 Cuotas o partes de interés social</v>
      </c>
      <c r="CT353" s="141" t="str">
        <v>190510 Cuotas o partes de interés social</v>
      </c>
      <c r="CU353" s="141" t="str">
        <v>190510 Cuotas o partes de interés social</v>
      </c>
      <c r="CV353" s="141" t="str">
        <v>190510 Cuotas o partes de interés social</v>
      </c>
      <c r="CW353" s="141" t="str">
        <v>190510 Cuotas o partes de interés social</v>
      </c>
      <c r="CX353" s="141" t="str">
        <v>190510 Cuotas o partes de interés social</v>
      </c>
      <c r="CY353" s="141" t="str">
        <v>190510 Cuotas o partes de interés social</v>
      </c>
      <c r="CZ353" s="141" t="str">
        <v>190510 Cuotas o partes de interés social</v>
      </c>
      <c r="DA353" s="141" t="str">
        <v>190510 Cuotas o partes de interés social</v>
      </c>
      <c r="DF353" t="str">
        <v>190510 Cuotas o partes de interés social</v>
      </c>
      <c r="DG353" t="str">
        <v>190510 Cuotas o partes de interés social</v>
      </c>
      <c r="DH353" t="str">
        <v>190510 Cuotas o partes de interés social</v>
      </c>
      <c r="DI353" t="str">
        <v>190510 Cuotas o partes de interés social</v>
      </c>
      <c r="DJ353" t="str">
        <v>190510 Cuotas o partes de interés social</v>
      </c>
      <c r="DK353" t="str">
        <v>190510 Cuotas o partes de interés social</v>
      </c>
      <c r="DL353" t="str">
        <v>190510 Cuotas o partes de interés social</v>
      </c>
      <c r="DM353" t="str">
        <v>190510 Cuotas o partes de interés social</v>
      </c>
      <c r="DN353" t="str">
        <v>190510 Cuotas o partes de interés social</v>
      </c>
      <c r="DO353" t="str">
        <v>190510 Cuotas o partes de interés social</v>
      </c>
      <c r="DP353" t="str">
        <v>190510 Cuotas o partes de interés social</v>
      </c>
    </row>
    <row r="354" spans="4:120" ht="12.75">
      <c r="D354" s="7">
        <v>190515</v>
      </c>
      <c r="E354" s="6" t="s">
        <v>57</v>
      </c>
      <c r="F354" s="5">
        <v>4</v>
      </c>
      <c r="G354" s="34" t="s">
        <v>822</v>
      </c>
      <c r="H354" s="8" t="s">
        <v>32</v>
      </c>
      <c r="I354" t="b">
        <f>+ISNUMBER(SEARCH('F-COMPRA'!$F$28,Tabla11[[#This Row],[Cuenta]],1))</f>
        <v>1</v>
      </c>
      <c r="J354" t="b">
        <f>+ISNUMBER(SEARCH('F-COMPRA'!$F$29,Tabla11[[#This Row],[Cuenta]],1))</f>
        <v>1</v>
      </c>
      <c r="K354" t="b">
        <f>+ISNUMBER(SEARCH('F-COMPRA'!$F$30,Tabla11[[#This Row],[Cuenta]],1))</f>
        <v>1</v>
      </c>
      <c r="L354" t="b">
        <f>+ISNUMBER(SEARCH('F-COMPRA'!$F$31,Tabla11[[#This Row],[Cuenta]],1))</f>
        <v>1</v>
      </c>
      <c r="M354" t="b">
        <f>+ISNUMBER(SEARCH('F-COMPRA'!$G$25,Tabla11[[#This Row],[Cuenta]],1))</f>
        <v>0</v>
      </c>
      <c r="N354" t="b">
        <f>+ISNUMBER(SEARCH(#REF!,Tabla11[[#This Row],[Cuenta]],1))</f>
        <v>0</v>
      </c>
      <c r="O354" t="b">
        <f>+ISNUMBER(SEARCH(#REF!,Tabla11[[#This Row],[Cuenta]],1))</f>
        <v>0</v>
      </c>
      <c r="P354" t="b">
        <f>+ISNUMBER(SEARCH('F-COMPRA'!$F$32,Tabla11[[#This Row],[Cuenta]],1))</f>
        <v>1</v>
      </c>
      <c r="Q354" t="b">
        <f>+ISNUMBER(SEARCH('F-COMPRA'!$F$33,Tabla11[[#This Row],[Cuenta]],1))</f>
        <v>1</v>
      </c>
      <c r="R354" t="b">
        <f>+ISNUMBER(SEARCH('F-COMPRA'!$F$34,Tabla11[[#This Row],[Cuenta]],1))</f>
        <v>1</v>
      </c>
      <c r="S354" t="b">
        <f>+ISNUMBER(SEARCH('F-COMPRA'!$F$35,Tabla11[[#This Row],[Cuenta]],1))</f>
        <v>1</v>
      </c>
      <c r="T354" t="b">
        <f>+ISNUMBER(SEARCH('F-COMPRA'!$F$36,Tabla11[[#This Row],[Cuenta]],1))</f>
        <v>1</v>
      </c>
      <c r="U354" t="b">
        <f>+ISNUMBER(SEARCH('F-COMPRA'!$F$37,Tabla11[[#This Row],[Cuenta]],1))</f>
        <v>1</v>
      </c>
      <c r="V354" t="b">
        <f>+ISNUMBER(SEARCH(#REF!,Tabla11[[#This Row],[Cuenta]],1))</f>
        <v>0</v>
      </c>
      <c r="W354" t="b">
        <f>+ISNUMBER(SEARCH('F-COMPRA'!#REF!,Tabla11[[#This Row],[Cuenta]],1))</f>
        <v>0</v>
      </c>
      <c r="X354" t="b">
        <f>+ISNUMBER(SEARCH('F-COMPRA'!#REF!,Tabla11[[#This Row],[Cuenta]],1))</f>
        <v>0</v>
      </c>
      <c r="Y354" t="b">
        <f>+ISNUMBER(SEARCH('F-COMPRA'!#REF!,Tabla11[[#This Row],[Cuenta]],1))</f>
        <v>0</v>
      </c>
      <c r="Z354" t="b">
        <f>+ISNUMBER(SEARCH('F-COMPRA'!#REF!,Tabla11[[#This Row],[Cuenta]],1))</f>
        <v>0</v>
      </c>
      <c r="AA354" t="b">
        <f>+ISNUMBER(SEARCH('F-COMPRA'!#REF!,Tabla11[[#This Row],[Cuenta]],1))</f>
        <v>0</v>
      </c>
      <c r="AB354" t="b">
        <f>+ISNUMBER(SEARCH('F-COMPRA'!#REF!,Tabla11[[#This Row],[Cuenta]],1))</f>
        <v>0</v>
      </c>
      <c r="AC354" t="b">
        <f>+ISNUMBER(SEARCH('F-COMPRA'!#REF!,Tabla11[[#This Row],[Cuenta]],1))</f>
        <v>0</v>
      </c>
      <c r="AD354" t="b">
        <f>+ISNUMBER(SEARCH('F-COMPRA'!#REF!,Tabla11[[#This Row],[Cuenta]],1))</f>
        <v>0</v>
      </c>
      <c r="AE354" t="b">
        <f>+ISNUMBER(SEARCH('F-COMPRA'!#REF!,Tabla11[[#This Row],[Cuenta]],1))</f>
        <v>0</v>
      </c>
      <c r="AF354" t="b">
        <f>+ISNUMBER(SEARCH('F-VTA'!$G$23,Tabla11[[#This Row],[Cuenta]],1))</f>
        <v>0</v>
      </c>
      <c r="AG354" t="b">
        <f>+ISNUMBER(SEARCH('F-VTA'!$G$24,Tabla11[[#This Row],[Cuenta]],1))</f>
        <v>0</v>
      </c>
      <c r="AH354" t="b">
        <f>+ISNUMBER(SEARCH('F-VTA'!$G$25,Tabla11[[#This Row],[Cuenta]],1))</f>
        <v>0</v>
      </c>
      <c r="AI354" t="b">
        <f>+ISNUMBER(SEARCH('F-VTA'!$F$28,Tabla11[[#This Row],[Cuenta]],1))</f>
        <v>1</v>
      </c>
      <c r="AJ354" t="b">
        <f>+ISNUMBER(SEARCH('F-VTA'!$F$29,Tabla11[[#This Row],[Cuenta]],1))</f>
        <v>1</v>
      </c>
      <c r="AK354" t="b">
        <f>+ISNUMBER(SEARCH('F-VTA'!$F$30,Tabla11[[#This Row],[Cuenta]],1))</f>
        <v>1</v>
      </c>
      <c r="AL354" t="b">
        <f>+ISNUMBER(SEARCH('F-VTA'!$F$31,Tabla11[[#This Row],[Cuenta]],1))</f>
        <v>1</v>
      </c>
      <c r="AM354" t="b">
        <f>+ISNUMBER(SEARCH('F-VTA'!$F$32,Tabla11[[#This Row],[Cuenta]],1))</f>
        <v>1</v>
      </c>
      <c r="AN354" t="b">
        <f>+ISNUMBER(SEARCH('F-VTA'!$F$33,Tabla11[[#This Row],[Cuenta]],1))</f>
        <v>1</v>
      </c>
      <c r="AO354" t="b">
        <f>+ISNUMBER(SEARCH('F-VTA'!$F$34,Tabla11[[#This Row],[Cuenta]],1))</f>
        <v>1</v>
      </c>
      <c r="AP354" t="b">
        <f>+ISNUMBER(SEARCH('F-VTA'!$F$35,Tabla11[[#This Row],[Cuenta]],1))</f>
        <v>1</v>
      </c>
      <c r="AQ354" t="b">
        <f>+ISNUMBER(SEARCH('F-VTA'!$F$36,Tabla11[[#This Row],[Cuenta]],1))</f>
        <v>1</v>
      </c>
      <c r="AR354" t="b">
        <f>+ISNUMBER(SEARCH(#REF!,Tabla11[[#This Row],[Cuenta]],1))</f>
        <v>0</v>
      </c>
      <c r="AS354" t="b">
        <f>+ISNUMBER(SEARCH(#REF!,Tabla11[[#This Row],[Cuenta]],1))</f>
        <v>0</v>
      </c>
      <c r="AT354" t="b">
        <f>+ISNUMBER(SEARCH(#REF!,Tabla11[[#This Row],[Cuenta]],1))</f>
        <v>0</v>
      </c>
      <c r="AU354" t="b">
        <f>+ISNUMBER(SEARCH('Conc. Ban.1'!$I$9,Tabla11[[#This Row],[Cuenta]],1))</f>
        <v>0</v>
      </c>
      <c r="AV354" t="b">
        <f>+ISNUMBER(SEARCH(CompConta!$F$21,Tabla11[[#This Row],[Cuenta]],1))</f>
        <v>1</v>
      </c>
      <c r="AW354" t="b">
        <f>+ISNUMBER(SEARCH(CompConta!$F$22,Tabla11[[#This Row],[Cuenta]],1))</f>
        <v>1</v>
      </c>
      <c r="AX354" t="b">
        <f>+ISNUMBER(SEARCH(CompConta!$F$23,Tabla11[[#This Row],[Cuenta]],1))</f>
        <v>1</v>
      </c>
      <c r="AY354" t="b">
        <f>+ISNUMBER(SEARCH(CompConta!$F$24,Tabla11[[#This Row],[Cuenta]],1))</f>
        <v>1</v>
      </c>
      <c r="AZ354" t="b">
        <f>+ISNUMBER(SEARCH(CompConta!$F$25,Tabla11[[#This Row],[Cuenta]],1))</f>
        <v>1</v>
      </c>
      <c r="BA354" t="b">
        <f>+ISNUMBER(SEARCH(CompConta!$F$26,Tabla11[[#This Row],[Cuenta]],1))</f>
        <v>1</v>
      </c>
      <c r="BB354" t="b">
        <f>+ISNUMBER(SEARCH(CompConta!$F$27,Tabla11[[#This Row],[Cuenta]],1))</f>
        <v>1</v>
      </c>
      <c r="BC354" t="b">
        <f>+ISNUMBER(SEARCH(CompConta!$F$28,Tabla11[[#This Row],[Cuenta]],1))</f>
        <v>1</v>
      </c>
      <c r="BD354" t="b">
        <f>+ISNUMBER(SEARCH(CompConta!$F$29,Tabla11[[#This Row],[Cuenta]],1))</f>
        <v>1</v>
      </c>
      <c r="BE354" t="b">
        <f>+ISNUMBER(SEARCH(CompConta!$F$30,Tabla11[[#This Row],[Cuenta]],1))</f>
        <v>1</v>
      </c>
      <c r="BF354" t="b">
        <f>+ISNUMBER(SEARCH('PAGO Compras'!$E$11,Tabla11[[#This Row],[Cuenta]],1))</f>
        <v>1</v>
      </c>
      <c r="BG354" t="b">
        <f>+ISNUMBER(SEARCH(#REF!,Tabla11[[#This Row],[Cuenta]],1))</f>
        <v>0</v>
      </c>
      <c r="BH354" t="b">
        <f>+ISNUMBER(SEARCH(#REF!,Tabla11[[#This Row],[Cuenta]],1))</f>
        <v>0</v>
      </c>
      <c r="BI354" t="b">
        <f>+ISNUMBER(SEARCH(#REF!,Tabla11[[#This Row],[Cuenta]],1))</f>
        <v>0</v>
      </c>
      <c r="BJ354" t="b">
        <f>+ISNUMBER(SEARCH(#REF!,Tabla11[[#This Row],[Cuenta]],1))</f>
        <v>0</v>
      </c>
      <c r="BS354" t="str">
        <v>190515 Derechos fiduciarios</v>
      </c>
      <c r="BT354" t="str">
        <v>190515 Derechos fiduciarios</v>
      </c>
      <c r="BU354" t="str">
        <v>190515 Derechos fiduciarios</v>
      </c>
      <c r="BV354" t="str">
        <v>190515 Derechos fiduciarios</v>
      </c>
      <c r="BZ354" t="str">
        <v>190515 Derechos fiduciarios</v>
      </c>
      <c r="CA354" t="str">
        <v>190515 Derechos fiduciarios</v>
      </c>
      <c r="CB354" t="str">
        <v>190515 Derechos fiduciarios</v>
      </c>
      <c r="CC354" t="str">
        <v>190515 Derechos fiduciarios</v>
      </c>
      <c r="CD354" t="str">
        <v>190515 Derechos fiduciarios</v>
      </c>
      <c r="CE354" t="str">
        <v>190515 Derechos fiduciarios</v>
      </c>
      <c r="CS354" s="141" t="str">
        <v>190515 Derechos fiduciarios</v>
      </c>
      <c r="CT354" s="141" t="str">
        <v>190515 Derechos fiduciarios</v>
      </c>
      <c r="CU354" s="141" t="str">
        <v>190515 Derechos fiduciarios</v>
      </c>
      <c r="CV354" s="141" t="str">
        <v>190515 Derechos fiduciarios</v>
      </c>
      <c r="CW354" s="141" t="str">
        <v>190515 Derechos fiduciarios</v>
      </c>
      <c r="CX354" s="141" t="str">
        <v>190515 Derechos fiduciarios</v>
      </c>
      <c r="CY354" s="141" t="str">
        <v>190515 Derechos fiduciarios</v>
      </c>
      <c r="CZ354" s="141" t="str">
        <v>190515 Derechos fiduciarios</v>
      </c>
      <c r="DA354" s="141" t="str">
        <v>190515 Derechos fiduciarios</v>
      </c>
      <c r="DF354" t="str">
        <v>190515 Derechos fiduciarios</v>
      </c>
      <c r="DG354" t="str">
        <v>190515 Derechos fiduciarios</v>
      </c>
      <c r="DH354" t="str">
        <v>190515 Derechos fiduciarios</v>
      </c>
      <c r="DI354" t="str">
        <v>190515 Derechos fiduciarios</v>
      </c>
      <c r="DJ354" t="str">
        <v>190515 Derechos fiduciarios</v>
      </c>
      <c r="DK354" t="str">
        <v>190515 Derechos fiduciarios</v>
      </c>
      <c r="DL354" t="str">
        <v>190515 Derechos fiduciarios</v>
      </c>
      <c r="DM354" t="str">
        <v>190515 Derechos fiduciarios</v>
      </c>
      <c r="DN354" t="str">
        <v>190515 Derechos fiduciarios</v>
      </c>
      <c r="DO354" t="str">
        <v>190515 Derechos fiduciarios</v>
      </c>
      <c r="DP354" t="str">
        <v>190515 Derechos fiduciarios</v>
      </c>
    </row>
    <row r="355" spans="4:120" ht="12.75">
      <c r="D355" s="7">
        <v>1910</v>
      </c>
      <c r="E355" s="6" t="s">
        <v>290</v>
      </c>
      <c r="F355" s="5">
        <v>3</v>
      </c>
      <c r="G355" s="34" t="s">
        <v>822</v>
      </c>
      <c r="H355" s="8" t="s">
        <v>32</v>
      </c>
      <c r="I355" t="b">
        <f>+ISNUMBER(SEARCH('F-COMPRA'!$F$28,Tabla11[[#This Row],[Cuenta]],1))</f>
        <v>1</v>
      </c>
      <c r="J355" t="b">
        <f>+ISNUMBER(SEARCH('F-COMPRA'!$F$29,Tabla11[[#This Row],[Cuenta]],1))</f>
        <v>1</v>
      </c>
      <c r="K355" t="b">
        <f>+ISNUMBER(SEARCH('F-COMPRA'!$F$30,Tabla11[[#This Row],[Cuenta]],1))</f>
        <v>1</v>
      </c>
      <c r="L355" t="b">
        <f>+ISNUMBER(SEARCH('F-COMPRA'!$F$31,Tabla11[[#This Row],[Cuenta]],1))</f>
        <v>1</v>
      </c>
      <c r="M355" t="b">
        <f>+ISNUMBER(SEARCH('F-COMPRA'!$G$25,Tabla11[[#This Row],[Cuenta]],1))</f>
        <v>0</v>
      </c>
      <c r="N355" t="b">
        <f>+ISNUMBER(SEARCH(#REF!,Tabla11[[#This Row],[Cuenta]],1))</f>
        <v>0</v>
      </c>
      <c r="O355" t="b">
        <f>+ISNUMBER(SEARCH(#REF!,Tabla11[[#This Row],[Cuenta]],1))</f>
        <v>0</v>
      </c>
      <c r="P355" t="b">
        <f>+ISNUMBER(SEARCH('F-COMPRA'!$F$32,Tabla11[[#This Row],[Cuenta]],1))</f>
        <v>1</v>
      </c>
      <c r="Q355" t="b">
        <f>+ISNUMBER(SEARCH('F-COMPRA'!$F$33,Tabla11[[#This Row],[Cuenta]],1))</f>
        <v>1</v>
      </c>
      <c r="R355" t="b">
        <f>+ISNUMBER(SEARCH('F-COMPRA'!$F$34,Tabla11[[#This Row],[Cuenta]],1))</f>
        <v>1</v>
      </c>
      <c r="S355" t="b">
        <f>+ISNUMBER(SEARCH('F-COMPRA'!$F$35,Tabla11[[#This Row],[Cuenta]],1))</f>
        <v>1</v>
      </c>
      <c r="T355" t="b">
        <f>+ISNUMBER(SEARCH('F-COMPRA'!$F$36,Tabla11[[#This Row],[Cuenta]],1))</f>
        <v>1</v>
      </c>
      <c r="U355" t="b">
        <f>+ISNUMBER(SEARCH('F-COMPRA'!$F$37,Tabla11[[#This Row],[Cuenta]],1))</f>
        <v>1</v>
      </c>
      <c r="V355" t="b">
        <f>+ISNUMBER(SEARCH(#REF!,Tabla11[[#This Row],[Cuenta]],1))</f>
        <v>0</v>
      </c>
      <c r="W355" t="b">
        <f>+ISNUMBER(SEARCH('F-COMPRA'!#REF!,Tabla11[[#This Row],[Cuenta]],1))</f>
        <v>0</v>
      </c>
      <c r="X355" t="b">
        <f>+ISNUMBER(SEARCH('F-COMPRA'!#REF!,Tabla11[[#This Row],[Cuenta]],1))</f>
        <v>0</v>
      </c>
      <c r="Y355" t="b">
        <f>+ISNUMBER(SEARCH('F-COMPRA'!#REF!,Tabla11[[#This Row],[Cuenta]],1))</f>
        <v>0</v>
      </c>
      <c r="Z355" t="b">
        <f>+ISNUMBER(SEARCH('F-COMPRA'!#REF!,Tabla11[[#This Row],[Cuenta]],1))</f>
        <v>0</v>
      </c>
      <c r="AA355" t="b">
        <f>+ISNUMBER(SEARCH('F-COMPRA'!#REF!,Tabla11[[#This Row],[Cuenta]],1))</f>
        <v>0</v>
      </c>
      <c r="AB355" t="b">
        <f>+ISNUMBER(SEARCH('F-COMPRA'!#REF!,Tabla11[[#This Row],[Cuenta]],1))</f>
        <v>0</v>
      </c>
      <c r="AC355" t="b">
        <f>+ISNUMBER(SEARCH('F-COMPRA'!#REF!,Tabla11[[#This Row],[Cuenta]],1))</f>
        <v>0</v>
      </c>
      <c r="AD355" t="b">
        <f>+ISNUMBER(SEARCH('F-COMPRA'!#REF!,Tabla11[[#This Row],[Cuenta]],1))</f>
        <v>0</v>
      </c>
      <c r="AE355" t="b">
        <f>+ISNUMBER(SEARCH('F-COMPRA'!#REF!,Tabla11[[#This Row],[Cuenta]],1))</f>
        <v>0</v>
      </c>
      <c r="AF355" t="b">
        <f>+ISNUMBER(SEARCH('F-VTA'!$G$23,Tabla11[[#This Row],[Cuenta]],1))</f>
        <v>0</v>
      </c>
      <c r="AG355" t="b">
        <f>+ISNUMBER(SEARCH('F-VTA'!$G$24,Tabla11[[#This Row],[Cuenta]],1))</f>
        <v>0</v>
      </c>
      <c r="AH355" t="b">
        <f>+ISNUMBER(SEARCH('F-VTA'!$G$25,Tabla11[[#This Row],[Cuenta]],1))</f>
        <v>0</v>
      </c>
      <c r="AI355" t="b">
        <f>+ISNUMBER(SEARCH('F-VTA'!$F$28,Tabla11[[#This Row],[Cuenta]],1))</f>
        <v>1</v>
      </c>
      <c r="AJ355" t="b">
        <f>+ISNUMBER(SEARCH('F-VTA'!$F$29,Tabla11[[#This Row],[Cuenta]],1))</f>
        <v>1</v>
      </c>
      <c r="AK355" t="b">
        <f>+ISNUMBER(SEARCH('F-VTA'!$F$30,Tabla11[[#This Row],[Cuenta]],1))</f>
        <v>1</v>
      </c>
      <c r="AL355" t="b">
        <f>+ISNUMBER(SEARCH('F-VTA'!$F$31,Tabla11[[#This Row],[Cuenta]],1))</f>
        <v>1</v>
      </c>
      <c r="AM355" t="b">
        <f>+ISNUMBER(SEARCH('F-VTA'!$F$32,Tabla11[[#This Row],[Cuenta]],1))</f>
        <v>1</v>
      </c>
      <c r="AN355" t="b">
        <f>+ISNUMBER(SEARCH('F-VTA'!$F$33,Tabla11[[#This Row],[Cuenta]],1))</f>
        <v>1</v>
      </c>
      <c r="AO355" t="b">
        <f>+ISNUMBER(SEARCH('F-VTA'!$F$34,Tabla11[[#This Row],[Cuenta]],1))</f>
        <v>1</v>
      </c>
      <c r="AP355" t="b">
        <f>+ISNUMBER(SEARCH('F-VTA'!$F$35,Tabla11[[#This Row],[Cuenta]],1))</f>
        <v>1</v>
      </c>
      <c r="AQ355" t="b">
        <f>+ISNUMBER(SEARCH('F-VTA'!$F$36,Tabla11[[#This Row],[Cuenta]],1))</f>
        <v>1</v>
      </c>
      <c r="AR355" t="b">
        <f>+ISNUMBER(SEARCH(#REF!,Tabla11[[#This Row],[Cuenta]],1))</f>
        <v>0</v>
      </c>
      <c r="AS355" t="b">
        <f>+ISNUMBER(SEARCH(#REF!,Tabla11[[#This Row],[Cuenta]],1))</f>
        <v>0</v>
      </c>
      <c r="AT355" t="b">
        <f>+ISNUMBER(SEARCH(#REF!,Tabla11[[#This Row],[Cuenta]],1))</f>
        <v>0</v>
      </c>
      <c r="AU355" t="b">
        <f>+ISNUMBER(SEARCH('Conc. Ban.1'!$I$9,Tabla11[[#This Row],[Cuenta]],1))</f>
        <v>0</v>
      </c>
      <c r="AV355" t="b">
        <f>+ISNUMBER(SEARCH(CompConta!$F$21,Tabla11[[#This Row],[Cuenta]],1))</f>
        <v>1</v>
      </c>
      <c r="AW355" t="b">
        <f>+ISNUMBER(SEARCH(CompConta!$F$22,Tabla11[[#This Row],[Cuenta]],1))</f>
        <v>1</v>
      </c>
      <c r="AX355" t="b">
        <f>+ISNUMBER(SEARCH(CompConta!$F$23,Tabla11[[#This Row],[Cuenta]],1))</f>
        <v>1</v>
      </c>
      <c r="AY355" t="b">
        <f>+ISNUMBER(SEARCH(CompConta!$F$24,Tabla11[[#This Row],[Cuenta]],1))</f>
        <v>1</v>
      </c>
      <c r="AZ355" t="b">
        <f>+ISNUMBER(SEARCH(CompConta!$F$25,Tabla11[[#This Row],[Cuenta]],1))</f>
        <v>1</v>
      </c>
      <c r="BA355" t="b">
        <f>+ISNUMBER(SEARCH(CompConta!$F$26,Tabla11[[#This Row],[Cuenta]],1))</f>
        <v>1</v>
      </c>
      <c r="BB355" t="b">
        <f>+ISNUMBER(SEARCH(CompConta!$F$27,Tabla11[[#This Row],[Cuenta]],1))</f>
        <v>1</v>
      </c>
      <c r="BC355" t="b">
        <f>+ISNUMBER(SEARCH(CompConta!$F$28,Tabla11[[#This Row],[Cuenta]],1))</f>
        <v>1</v>
      </c>
      <c r="BD355" t="b">
        <f>+ISNUMBER(SEARCH(CompConta!$F$29,Tabla11[[#This Row],[Cuenta]],1))</f>
        <v>1</v>
      </c>
      <c r="BE355" t="b">
        <f>+ISNUMBER(SEARCH(CompConta!$F$30,Tabla11[[#This Row],[Cuenta]],1))</f>
        <v>1</v>
      </c>
      <c r="BF355" t="b">
        <f>+ISNUMBER(SEARCH('PAGO Compras'!$E$11,Tabla11[[#This Row],[Cuenta]],1))</f>
        <v>1</v>
      </c>
      <c r="BG355" t="b">
        <f>+ISNUMBER(SEARCH(#REF!,Tabla11[[#This Row],[Cuenta]],1))</f>
        <v>0</v>
      </c>
      <c r="BH355" t="b">
        <f>+ISNUMBER(SEARCH(#REF!,Tabla11[[#This Row],[Cuenta]],1))</f>
        <v>0</v>
      </c>
      <c r="BI355" t="b">
        <f>+ISNUMBER(SEARCH(#REF!,Tabla11[[#This Row],[Cuenta]],1))</f>
        <v>0</v>
      </c>
      <c r="BJ355" t="b">
        <f>+ISNUMBER(SEARCH(#REF!,Tabla11[[#This Row],[Cuenta]],1))</f>
        <v>0</v>
      </c>
      <c r="BS355" t="str">
        <v>1910 DE PROPIEDADES, PLANTA Y EQUIPO</v>
      </c>
      <c r="BT355" t="str">
        <v>1910 DE PROPIEDADES, PLANTA Y EQUIPO</v>
      </c>
      <c r="BU355" t="str">
        <v>1910 DE PROPIEDADES, PLANTA Y EQUIPO</v>
      </c>
      <c r="BV355" t="str">
        <v>1910 DE PROPIEDADES, PLANTA Y EQUIPO</v>
      </c>
      <c r="BZ355" t="str">
        <v>1910 DE PROPIEDADES, PLANTA Y EQUIPO</v>
      </c>
      <c r="CA355" t="str">
        <v>1910 DE PROPIEDADES, PLANTA Y EQUIPO</v>
      </c>
      <c r="CB355" t="str">
        <v>1910 DE PROPIEDADES, PLANTA Y EQUIPO</v>
      </c>
      <c r="CC355" t="str">
        <v>1910 DE PROPIEDADES, PLANTA Y EQUIPO</v>
      </c>
      <c r="CD355" t="str">
        <v>1910 DE PROPIEDADES, PLANTA Y EQUIPO</v>
      </c>
      <c r="CE355" t="str">
        <v>1910 DE PROPIEDADES, PLANTA Y EQUIPO</v>
      </c>
      <c r="CS355" s="141" t="str">
        <v>1910 DE PROPIEDADES, PLANTA Y EQUIPO</v>
      </c>
      <c r="CT355" s="141" t="str">
        <v>1910 DE PROPIEDADES, PLANTA Y EQUIPO</v>
      </c>
      <c r="CU355" s="141" t="str">
        <v>1910 DE PROPIEDADES, PLANTA Y EQUIPO</v>
      </c>
      <c r="CV355" s="141" t="str">
        <v>1910 DE PROPIEDADES, PLANTA Y EQUIPO</v>
      </c>
      <c r="CW355" s="141" t="str">
        <v>1910 DE PROPIEDADES, PLANTA Y EQUIPO</v>
      </c>
      <c r="CX355" s="141" t="str">
        <v>1910 DE PROPIEDADES, PLANTA Y EQUIPO</v>
      </c>
      <c r="CY355" s="141" t="str">
        <v>1910 DE PROPIEDADES, PLANTA Y EQUIPO</v>
      </c>
      <c r="CZ355" s="141" t="str">
        <v>1910 DE PROPIEDADES, PLANTA Y EQUIPO</v>
      </c>
      <c r="DA355" s="141" t="str">
        <v>1910 DE PROPIEDADES, PLANTA Y EQUIPO</v>
      </c>
      <c r="DF355" t="str">
        <v>1910 DE PROPIEDADES, PLANTA Y EQUIPO</v>
      </c>
      <c r="DG355" t="str">
        <v>1910 DE PROPIEDADES, PLANTA Y EQUIPO</v>
      </c>
      <c r="DH355" t="str">
        <v>1910 DE PROPIEDADES, PLANTA Y EQUIPO</v>
      </c>
      <c r="DI355" t="str">
        <v>1910 DE PROPIEDADES, PLANTA Y EQUIPO</v>
      </c>
      <c r="DJ355" t="str">
        <v>1910 DE PROPIEDADES, PLANTA Y EQUIPO</v>
      </c>
      <c r="DK355" t="str">
        <v>1910 DE PROPIEDADES, PLANTA Y EQUIPO</v>
      </c>
      <c r="DL355" t="str">
        <v>1910 DE PROPIEDADES, PLANTA Y EQUIPO</v>
      </c>
      <c r="DM355" t="str">
        <v>1910 DE PROPIEDADES, PLANTA Y EQUIPO</v>
      </c>
      <c r="DN355" t="str">
        <v>1910 DE PROPIEDADES, PLANTA Y EQUIPO</v>
      </c>
      <c r="DO355" t="str">
        <v>1910 DE PROPIEDADES, PLANTA Y EQUIPO</v>
      </c>
      <c r="DP355" t="str">
        <v>1910 DE PROPIEDADES, PLANTA Y EQUIPO</v>
      </c>
    </row>
    <row r="356" spans="4:120" ht="12.75">
      <c r="D356" s="7">
        <v>191004</v>
      </c>
      <c r="E356" s="6" t="s">
        <v>223</v>
      </c>
      <c r="F356" s="5">
        <v>4</v>
      </c>
      <c r="G356" s="34" t="s">
        <v>822</v>
      </c>
      <c r="H356" s="8" t="s">
        <v>32</v>
      </c>
      <c r="I356" t="b">
        <f>+ISNUMBER(SEARCH('F-COMPRA'!$F$28,Tabla11[[#This Row],[Cuenta]],1))</f>
        <v>1</v>
      </c>
      <c r="J356" t="b">
        <f>+ISNUMBER(SEARCH('F-COMPRA'!$F$29,Tabla11[[#This Row],[Cuenta]],1))</f>
        <v>1</v>
      </c>
      <c r="K356" t="b">
        <f>+ISNUMBER(SEARCH('F-COMPRA'!$F$30,Tabla11[[#This Row],[Cuenta]],1))</f>
        <v>1</v>
      </c>
      <c r="L356" t="b">
        <f>+ISNUMBER(SEARCH('F-COMPRA'!$F$31,Tabla11[[#This Row],[Cuenta]],1))</f>
        <v>1</v>
      </c>
      <c r="M356" t="b">
        <f>+ISNUMBER(SEARCH('F-COMPRA'!$G$25,Tabla11[[#This Row],[Cuenta]],1))</f>
        <v>0</v>
      </c>
      <c r="N356" t="b">
        <f>+ISNUMBER(SEARCH(#REF!,Tabla11[[#This Row],[Cuenta]],1))</f>
        <v>0</v>
      </c>
      <c r="O356" t="b">
        <f>+ISNUMBER(SEARCH(#REF!,Tabla11[[#This Row],[Cuenta]],1))</f>
        <v>0</v>
      </c>
      <c r="P356" t="b">
        <f>+ISNUMBER(SEARCH('F-COMPRA'!$F$32,Tabla11[[#This Row],[Cuenta]],1))</f>
        <v>1</v>
      </c>
      <c r="Q356" t="b">
        <f>+ISNUMBER(SEARCH('F-COMPRA'!$F$33,Tabla11[[#This Row],[Cuenta]],1))</f>
        <v>1</v>
      </c>
      <c r="R356" t="b">
        <f>+ISNUMBER(SEARCH('F-COMPRA'!$F$34,Tabla11[[#This Row],[Cuenta]],1))</f>
        <v>1</v>
      </c>
      <c r="S356" t="b">
        <f>+ISNUMBER(SEARCH('F-COMPRA'!$F$35,Tabla11[[#This Row],[Cuenta]],1))</f>
        <v>1</v>
      </c>
      <c r="T356" t="b">
        <f>+ISNUMBER(SEARCH('F-COMPRA'!$F$36,Tabla11[[#This Row],[Cuenta]],1))</f>
        <v>1</v>
      </c>
      <c r="U356" t="b">
        <f>+ISNUMBER(SEARCH('F-COMPRA'!$F$37,Tabla11[[#This Row],[Cuenta]],1))</f>
        <v>1</v>
      </c>
      <c r="V356" t="b">
        <f>+ISNUMBER(SEARCH(#REF!,Tabla11[[#This Row],[Cuenta]],1))</f>
        <v>0</v>
      </c>
      <c r="W356" t="b">
        <f>+ISNUMBER(SEARCH('F-COMPRA'!#REF!,Tabla11[[#This Row],[Cuenta]],1))</f>
        <v>0</v>
      </c>
      <c r="X356" t="b">
        <f>+ISNUMBER(SEARCH('F-COMPRA'!#REF!,Tabla11[[#This Row],[Cuenta]],1))</f>
        <v>0</v>
      </c>
      <c r="Y356" t="b">
        <f>+ISNUMBER(SEARCH('F-COMPRA'!#REF!,Tabla11[[#This Row],[Cuenta]],1))</f>
        <v>0</v>
      </c>
      <c r="Z356" t="b">
        <f>+ISNUMBER(SEARCH('F-COMPRA'!#REF!,Tabla11[[#This Row],[Cuenta]],1))</f>
        <v>0</v>
      </c>
      <c r="AA356" t="b">
        <f>+ISNUMBER(SEARCH('F-COMPRA'!#REF!,Tabla11[[#This Row],[Cuenta]],1))</f>
        <v>0</v>
      </c>
      <c r="AB356" t="b">
        <f>+ISNUMBER(SEARCH('F-COMPRA'!#REF!,Tabla11[[#This Row],[Cuenta]],1))</f>
        <v>0</v>
      </c>
      <c r="AC356" t="b">
        <f>+ISNUMBER(SEARCH('F-COMPRA'!#REF!,Tabla11[[#This Row],[Cuenta]],1))</f>
        <v>0</v>
      </c>
      <c r="AD356" t="b">
        <f>+ISNUMBER(SEARCH('F-COMPRA'!#REF!,Tabla11[[#This Row],[Cuenta]],1))</f>
        <v>0</v>
      </c>
      <c r="AE356" t="b">
        <f>+ISNUMBER(SEARCH('F-COMPRA'!#REF!,Tabla11[[#This Row],[Cuenta]],1))</f>
        <v>0</v>
      </c>
      <c r="AF356" t="b">
        <f>+ISNUMBER(SEARCH('F-VTA'!$G$23,Tabla11[[#This Row],[Cuenta]],1))</f>
        <v>0</v>
      </c>
      <c r="AG356" t="b">
        <f>+ISNUMBER(SEARCH('F-VTA'!$G$24,Tabla11[[#This Row],[Cuenta]],1))</f>
        <v>0</v>
      </c>
      <c r="AH356" t="b">
        <f>+ISNUMBER(SEARCH('F-VTA'!$G$25,Tabla11[[#This Row],[Cuenta]],1))</f>
        <v>0</v>
      </c>
      <c r="AI356" t="b">
        <f>+ISNUMBER(SEARCH('F-VTA'!$F$28,Tabla11[[#This Row],[Cuenta]],1))</f>
        <v>1</v>
      </c>
      <c r="AJ356" t="b">
        <f>+ISNUMBER(SEARCH('F-VTA'!$F$29,Tabla11[[#This Row],[Cuenta]],1))</f>
        <v>1</v>
      </c>
      <c r="AK356" t="b">
        <f>+ISNUMBER(SEARCH('F-VTA'!$F$30,Tabla11[[#This Row],[Cuenta]],1))</f>
        <v>1</v>
      </c>
      <c r="AL356" t="b">
        <f>+ISNUMBER(SEARCH('F-VTA'!$F$31,Tabla11[[#This Row],[Cuenta]],1))</f>
        <v>1</v>
      </c>
      <c r="AM356" t="b">
        <f>+ISNUMBER(SEARCH('F-VTA'!$F$32,Tabla11[[#This Row],[Cuenta]],1))</f>
        <v>1</v>
      </c>
      <c r="AN356" t="b">
        <f>+ISNUMBER(SEARCH('F-VTA'!$F$33,Tabla11[[#This Row],[Cuenta]],1))</f>
        <v>1</v>
      </c>
      <c r="AO356" t="b">
        <f>+ISNUMBER(SEARCH('F-VTA'!$F$34,Tabla11[[#This Row],[Cuenta]],1))</f>
        <v>1</v>
      </c>
      <c r="AP356" t="b">
        <f>+ISNUMBER(SEARCH('F-VTA'!$F$35,Tabla11[[#This Row],[Cuenta]],1))</f>
        <v>1</v>
      </c>
      <c r="AQ356" t="b">
        <f>+ISNUMBER(SEARCH('F-VTA'!$F$36,Tabla11[[#This Row],[Cuenta]],1))</f>
        <v>1</v>
      </c>
      <c r="AR356" t="b">
        <f>+ISNUMBER(SEARCH(#REF!,Tabla11[[#This Row],[Cuenta]],1))</f>
        <v>0</v>
      </c>
      <c r="AS356" t="b">
        <f>+ISNUMBER(SEARCH(#REF!,Tabla11[[#This Row],[Cuenta]],1))</f>
        <v>0</v>
      </c>
      <c r="AT356" t="b">
        <f>+ISNUMBER(SEARCH(#REF!,Tabla11[[#This Row],[Cuenta]],1))</f>
        <v>0</v>
      </c>
      <c r="AU356" t="b">
        <f>+ISNUMBER(SEARCH('Conc. Ban.1'!$I$9,Tabla11[[#This Row],[Cuenta]],1))</f>
        <v>0</v>
      </c>
      <c r="AV356" t="b">
        <f>+ISNUMBER(SEARCH(CompConta!$F$21,Tabla11[[#This Row],[Cuenta]],1))</f>
        <v>1</v>
      </c>
      <c r="AW356" t="b">
        <f>+ISNUMBER(SEARCH(CompConta!$F$22,Tabla11[[#This Row],[Cuenta]],1))</f>
        <v>1</v>
      </c>
      <c r="AX356" t="b">
        <f>+ISNUMBER(SEARCH(CompConta!$F$23,Tabla11[[#This Row],[Cuenta]],1))</f>
        <v>1</v>
      </c>
      <c r="AY356" t="b">
        <f>+ISNUMBER(SEARCH(CompConta!$F$24,Tabla11[[#This Row],[Cuenta]],1))</f>
        <v>1</v>
      </c>
      <c r="AZ356" t="b">
        <f>+ISNUMBER(SEARCH(CompConta!$F$25,Tabla11[[#This Row],[Cuenta]],1))</f>
        <v>1</v>
      </c>
      <c r="BA356" t="b">
        <f>+ISNUMBER(SEARCH(CompConta!$F$26,Tabla11[[#This Row],[Cuenta]],1))</f>
        <v>1</v>
      </c>
      <c r="BB356" t="b">
        <f>+ISNUMBER(SEARCH(CompConta!$F$27,Tabla11[[#This Row],[Cuenta]],1))</f>
        <v>1</v>
      </c>
      <c r="BC356" t="b">
        <f>+ISNUMBER(SEARCH(CompConta!$F$28,Tabla11[[#This Row],[Cuenta]],1))</f>
        <v>1</v>
      </c>
      <c r="BD356" t="b">
        <f>+ISNUMBER(SEARCH(CompConta!$F$29,Tabla11[[#This Row],[Cuenta]],1))</f>
        <v>1</v>
      </c>
      <c r="BE356" t="b">
        <f>+ISNUMBER(SEARCH(CompConta!$F$30,Tabla11[[#This Row],[Cuenta]],1))</f>
        <v>1</v>
      </c>
      <c r="BF356" t="b">
        <f>+ISNUMBER(SEARCH('PAGO Compras'!$E$11,Tabla11[[#This Row],[Cuenta]],1))</f>
        <v>1</v>
      </c>
      <c r="BG356" t="b">
        <f>+ISNUMBER(SEARCH(#REF!,Tabla11[[#This Row],[Cuenta]],1))</f>
        <v>0</v>
      </c>
      <c r="BH356" t="b">
        <f>+ISNUMBER(SEARCH(#REF!,Tabla11[[#This Row],[Cuenta]],1))</f>
        <v>0</v>
      </c>
      <c r="BI356" t="b">
        <f>+ISNUMBER(SEARCH(#REF!,Tabla11[[#This Row],[Cuenta]],1))</f>
        <v>0</v>
      </c>
      <c r="BJ356" t="b">
        <f>+ISNUMBER(SEARCH(#REF!,Tabla11[[#This Row],[Cuenta]],1))</f>
        <v>0</v>
      </c>
      <c r="BS356" t="str">
        <v>191004 Terrenos</v>
      </c>
      <c r="BT356" t="str">
        <v>191004 Terrenos</v>
      </c>
      <c r="BU356" t="str">
        <v>191004 Terrenos</v>
      </c>
      <c r="BV356" t="str">
        <v>191004 Terrenos</v>
      </c>
      <c r="BZ356" t="str">
        <v>191004 Terrenos</v>
      </c>
      <c r="CA356" t="str">
        <v>191004 Terrenos</v>
      </c>
      <c r="CB356" t="str">
        <v>191004 Terrenos</v>
      </c>
      <c r="CC356" t="str">
        <v>191004 Terrenos</v>
      </c>
      <c r="CD356" t="str">
        <v>191004 Terrenos</v>
      </c>
      <c r="CE356" t="str">
        <v>191004 Terrenos</v>
      </c>
      <c r="CS356" s="141" t="str">
        <v>191004 Terrenos</v>
      </c>
      <c r="CT356" s="141" t="str">
        <v>191004 Terrenos</v>
      </c>
      <c r="CU356" s="141" t="str">
        <v>191004 Terrenos</v>
      </c>
      <c r="CV356" s="141" t="str">
        <v>191004 Terrenos</v>
      </c>
      <c r="CW356" s="141" t="str">
        <v>191004 Terrenos</v>
      </c>
      <c r="CX356" s="141" t="str">
        <v>191004 Terrenos</v>
      </c>
      <c r="CY356" s="141" t="str">
        <v>191004 Terrenos</v>
      </c>
      <c r="CZ356" s="141" t="str">
        <v>191004 Terrenos</v>
      </c>
      <c r="DA356" s="141" t="str">
        <v>191004 Terrenos</v>
      </c>
      <c r="DF356" t="str">
        <v>191004 Terrenos</v>
      </c>
      <c r="DG356" t="str">
        <v>191004 Terrenos</v>
      </c>
      <c r="DH356" t="str">
        <v>191004 Terrenos</v>
      </c>
      <c r="DI356" t="str">
        <v>191004 Terrenos</v>
      </c>
      <c r="DJ356" t="str">
        <v>191004 Terrenos</v>
      </c>
      <c r="DK356" t="str">
        <v>191004 Terrenos</v>
      </c>
      <c r="DL356" t="str">
        <v>191004 Terrenos</v>
      </c>
      <c r="DM356" t="str">
        <v>191004 Terrenos</v>
      </c>
      <c r="DN356" t="str">
        <v>191004 Terrenos</v>
      </c>
      <c r="DO356" t="str">
        <v>191004 Terrenos</v>
      </c>
      <c r="DP356" t="str">
        <v>191004 Terrenos</v>
      </c>
    </row>
    <row r="357" spans="4:120" ht="12.75">
      <c r="D357" s="7">
        <v>191006</v>
      </c>
      <c r="E357" s="6" t="s">
        <v>224</v>
      </c>
      <c r="F357" s="5">
        <v>4</v>
      </c>
      <c r="G357" s="34" t="s">
        <v>822</v>
      </c>
      <c r="H357" s="8" t="s">
        <v>32</v>
      </c>
      <c r="I357" t="b">
        <f>+ISNUMBER(SEARCH('F-COMPRA'!$F$28,Tabla11[[#This Row],[Cuenta]],1))</f>
        <v>1</v>
      </c>
      <c r="J357" t="b">
        <f>+ISNUMBER(SEARCH('F-COMPRA'!$F$29,Tabla11[[#This Row],[Cuenta]],1))</f>
        <v>1</v>
      </c>
      <c r="K357" t="b">
        <f>+ISNUMBER(SEARCH('F-COMPRA'!$F$30,Tabla11[[#This Row],[Cuenta]],1))</f>
        <v>1</v>
      </c>
      <c r="L357" t="b">
        <f>+ISNUMBER(SEARCH('F-COMPRA'!$F$31,Tabla11[[#This Row],[Cuenta]],1))</f>
        <v>1</v>
      </c>
      <c r="M357" t="b">
        <f>+ISNUMBER(SEARCH('F-COMPRA'!$G$25,Tabla11[[#This Row],[Cuenta]],1))</f>
        <v>0</v>
      </c>
      <c r="N357" t="b">
        <f>+ISNUMBER(SEARCH(#REF!,Tabla11[[#This Row],[Cuenta]],1))</f>
        <v>0</v>
      </c>
      <c r="O357" t="b">
        <f>+ISNUMBER(SEARCH(#REF!,Tabla11[[#This Row],[Cuenta]],1))</f>
        <v>0</v>
      </c>
      <c r="P357" t="b">
        <f>+ISNUMBER(SEARCH('F-COMPRA'!$F$32,Tabla11[[#This Row],[Cuenta]],1))</f>
        <v>1</v>
      </c>
      <c r="Q357" t="b">
        <f>+ISNUMBER(SEARCH('F-COMPRA'!$F$33,Tabla11[[#This Row],[Cuenta]],1))</f>
        <v>1</v>
      </c>
      <c r="R357" t="b">
        <f>+ISNUMBER(SEARCH('F-COMPRA'!$F$34,Tabla11[[#This Row],[Cuenta]],1))</f>
        <v>1</v>
      </c>
      <c r="S357" t="b">
        <f>+ISNUMBER(SEARCH('F-COMPRA'!$F$35,Tabla11[[#This Row],[Cuenta]],1))</f>
        <v>1</v>
      </c>
      <c r="T357" t="b">
        <f>+ISNUMBER(SEARCH('F-COMPRA'!$F$36,Tabla11[[#This Row],[Cuenta]],1))</f>
        <v>1</v>
      </c>
      <c r="U357" t="b">
        <f>+ISNUMBER(SEARCH('F-COMPRA'!$F$37,Tabla11[[#This Row],[Cuenta]],1))</f>
        <v>1</v>
      </c>
      <c r="V357" t="b">
        <f>+ISNUMBER(SEARCH(#REF!,Tabla11[[#This Row],[Cuenta]],1))</f>
        <v>0</v>
      </c>
      <c r="W357" t="b">
        <f>+ISNUMBER(SEARCH('F-COMPRA'!#REF!,Tabla11[[#This Row],[Cuenta]],1))</f>
        <v>0</v>
      </c>
      <c r="X357" t="b">
        <f>+ISNUMBER(SEARCH('F-COMPRA'!#REF!,Tabla11[[#This Row],[Cuenta]],1))</f>
        <v>0</v>
      </c>
      <c r="Y357" t="b">
        <f>+ISNUMBER(SEARCH('F-COMPRA'!#REF!,Tabla11[[#This Row],[Cuenta]],1))</f>
        <v>0</v>
      </c>
      <c r="Z357" t="b">
        <f>+ISNUMBER(SEARCH('F-COMPRA'!#REF!,Tabla11[[#This Row],[Cuenta]],1))</f>
        <v>0</v>
      </c>
      <c r="AA357" t="b">
        <f>+ISNUMBER(SEARCH('F-COMPRA'!#REF!,Tabla11[[#This Row],[Cuenta]],1))</f>
        <v>0</v>
      </c>
      <c r="AB357" t="b">
        <f>+ISNUMBER(SEARCH('F-COMPRA'!#REF!,Tabla11[[#This Row],[Cuenta]],1))</f>
        <v>0</v>
      </c>
      <c r="AC357" t="b">
        <f>+ISNUMBER(SEARCH('F-COMPRA'!#REF!,Tabla11[[#This Row],[Cuenta]],1))</f>
        <v>0</v>
      </c>
      <c r="AD357" t="b">
        <f>+ISNUMBER(SEARCH('F-COMPRA'!#REF!,Tabla11[[#This Row],[Cuenta]],1))</f>
        <v>0</v>
      </c>
      <c r="AE357" t="b">
        <f>+ISNUMBER(SEARCH('F-COMPRA'!#REF!,Tabla11[[#This Row],[Cuenta]],1))</f>
        <v>0</v>
      </c>
      <c r="AF357" t="b">
        <f>+ISNUMBER(SEARCH('F-VTA'!$G$23,Tabla11[[#This Row],[Cuenta]],1))</f>
        <v>0</v>
      </c>
      <c r="AG357" t="b">
        <f>+ISNUMBER(SEARCH('F-VTA'!$G$24,Tabla11[[#This Row],[Cuenta]],1))</f>
        <v>0</v>
      </c>
      <c r="AH357" t="b">
        <f>+ISNUMBER(SEARCH('F-VTA'!$G$25,Tabla11[[#This Row],[Cuenta]],1))</f>
        <v>0</v>
      </c>
      <c r="AI357" t="b">
        <f>+ISNUMBER(SEARCH('F-VTA'!$F$28,Tabla11[[#This Row],[Cuenta]],1))</f>
        <v>1</v>
      </c>
      <c r="AJ357" t="b">
        <f>+ISNUMBER(SEARCH('F-VTA'!$F$29,Tabla11[[#This Row],[Cuenta]],1))</f>
        <v>1</v>
      </c>
      <c r="AK357" t="b">
        <f>+ISNUMBER(SEARCH('F-VTA'!$F$30,Tabla11[[#This Row],[Cuenta]],1))</f>
        <v>1</v>
      </c>
      <c r="AL357" t="b">
        <f>+ISNUMBER(SEARCH('F-VTA'!$F$31,Tabla11[[#This Row],[Cuenta]],1))</f>
        <v>1</v>
      </c>
      <c r="AM357" t="b">
        <f>+ISNUMBER(SEARCH('F-VTA'!$F$32,Tabla11[[#This Row],[Cuenta]],1))</f>
        <v>1</v>
      </c>
      <c r="AN357" t="b">
        <f>+ISNUMBER(SEARCH('F-VTA'!$F$33,Tabla11[[#This Row],[Cuenta]],1))</f>
        <v>1</v>
      </c>
      <c r="AO357" t="b">
        <f>+ISNUMBER(SEARCH('F-VTA'!$F$34,Tabla11[[#This Row],[Cuenta]],1))</f>
        <v>1</v>
      </c>
      <c r="AP357" t="b">
        <f>+ISNUMBER(SEARCH('F-VTA'!$F$35,Tabla11[[#This Row],[Cuenta]],1))</f>
        <v>1</v>
      </c>
      <c r="AQ357" t="b">
        <f>+ISNUMBER(SEARCH('F-VTA'!$F$36,Tabla11[[#This Row],[Cuenta]],1))</f>
        <v>1</v>
      </c>
      <c r="AR357" t="b">
        <f>+ISNUMBER(SEARCH(#REF!,Tabla11[[#This Row],[Cuenta]],1))</f>
        <v>0</v>
      </c>
      <c r="AS357" t="b">
        <f>+ISNUMBER(SEARCH(#REF!,Tabla11[[#This Row],[Cuenta]],1))</f>
        <v>0</v>
      </c>
      <c r="AT357" t="b">
        <f>+ISNUMBER(SEARCH(#REF!,Tabla11[[#This Row],[Cuenta]],1))</f>
        <v>0</v>
      </c>
      <c r="AU357" t="b">
        <f>+ISNUMBER(SEARCH('Conc. Ban.1'!$I$9,Tabla11[[#This Row],[Cuenta]],1))</f>
        <v>0</v>
      </c>
      <c r="AV357" t="b">
        <f>+ISNUMBER(SEARCH(CompConta!$F$21,Tabla11[[#This Row],[Cuenta]],1))</f>
        <v>1</v>
      </c>
      <c r="AW357" t="b">
        <f>+ISNUMBER(SEARCH(CompConta!$F$22,Tabla11[[#This Row],[Cuenta]],1))</f>
        <v>1</v>
      </c>
      <c r="AX357" t="b">
        <f>+ISNUMBER(SEARCH(CompConta!$F$23,Tabla11[[#This Row],[Cuenta]],1))</f>
        <v>1</v>
      </c>
      <c r="AY357" t="b">
        <f>+ISNUMBER(SEARCH(CompConta!$F$24,Tabla11[[#This Row],[Cuenta]],1))</f>
        <v>1</v>
      </c>
      <c r="AZ357" t="b">
        <f>+ISNUMBER(SEARCH(CompConta!$F$25,Tabla11[[#This Row],[Cuenta]],1))</f>
        <v>1</v>
      </c>
      <c r="BA357" t="b">
        <f>+ISNUMBER(SEARCH(CompConta!$F$26,Tabla11[[#This Row],[Cuenta]],1))</f>
        <v>1</v>
      </c>
      <c r="BB357" t="b">
        <f>+ISNUMBER(SEARCH(CompConta!$F$27,Tabla11[[#This Row],[Cuenta]],1))</f>
        <v>1</v>
      </c>
      <c r="BC357" t="b">
        <f>+ISNUMBER(SEARCH(CompConta!$F$28,Tabla11[[#This Row],[Cuenta]],1))</f>
        <v>1</v>
      </c>
      <c r="BD357" t="b">
        <f>+ISNUMBER(SEARCH(CompConta!$F$29,Tabla11[[#This Row],[Cuenta]],1))</f>
        <v>1</v>
      </c>
      <c r="BE357" t="b">
        <f>+ISNUMBER(SEARCH(CompConta!$F$30,Tabla11[[#This Row],[Cuenta]],1))</f>
        <v>1</v>
      </c>
      <c r="BF357" t="b">
        <f>+ISNUMBER(SEARCH('PAGO Compras'!$E$11,Tabla11[[#This Row],[Cuenta]],1))</f>
        <v>1</v>
      </c>
      <c r="BG357" t="b">
        <f>+ISNUMBER(SEARCH(#REF!,Tabla11[[#This Row],[Cuenta]],1))</f>
        <v>0</v>
      </c>
      <c r="BH357" t="b">
        <f>+ISNUMBER(SEARCH(#REF!,Tabla11[[#This Row],[Cuenta]],1))</f>
        <v>0</v>
      </c>
      <c r="BI357" t="b">
        <f>+ISNUMBER(SEARCH(#REF!,Tabla11[[#This Row],[Cuenta]],1))</f>
        <v>0</v>
      </c>
      <c r="BJ357" t="b">
        <f>+ISNUMBER(SEARCH(#REF!,Tabla11[[#This Row],[Cuenta]],1))</f>
        <v>0</v>
      </c>
      <c r="BS357" t="str">
        <v>191006 Materiales proyectos petroleros</v>
      </c>
      <c r="BT357" t="str">
        <v>191006 Materiales proyectos petroleros</v>
      </c>
      <c r="BU357" t="str">
        <v>191006 Materiales proyectos petroleros</v>
      </c>
      <c r="BV357" t="str">
        <v>191006 Materiales proyectos petroleros</v>
      </c>
      <c r="BZ357" t="str">
        <v>191006 Materiales proyectos petroleros</v>
      </c>
      <c r="CA357" t="str">
        <v>191006 Materiales proyectos petroleros</v>
      </c>
      <c r="CB357" t="str">
        <v>191006 Materiales proyectos petroleros</v>
      </c>
      <c r="CC357" t="str">
        <v>191006 Materiales proyectos petroleros</v>
      </c>
      <c r="CD357" t="str">
        <v>191006 Materiales proyectos petroleros</v>
      </c>
      <c r="CE357" t="str">
        <v>191006 Materiales proyectos petroleros</v>
      </c>
      <c r="CS357" s="141" t="str">
        <v>191006 Materiales proyectos petroleros</v>
      </c>
      <c r="CT357" s="141" t="str">
        <v>191006 Materiales proyectos petroleros</v>
      </c>
      <c r="CU357" s="141" t="str">
        <v>191006 Materiales proyectos petroleros</v>
      </c>
      <c r="CV357" s="141" t="str">
        <v>191006 Materiales proyectos petroleros</v>
      </c>
      <c r="CW357" s="141" t="str">
        <v>191006 Materiales proyectos petroleros</v>
      </c>
      <c r="CX357" s="141" t="str">
        <v>191006 Materiales proyectos petroleros</v>
      </c>
      <c r="CY357" s="141" t="str">
        <v>191006 Materiales proyectos petroleros</v>
      </c>
      <c r="CZ357" s="141" t="str">
        <v>191006 Materiales proyectos petroleros</v>
      </c>
      <c r="DA357" s="141" t="str">
        <v>191006 Materiales proyectos petroleros</v>
      </c>
      <c r="DF357" t="str">
        <v>191006 Materiales proyectos petroleros</v>
      </c>
      <c r="DG357" t="str">
        <v>191006 Materiales proyectos petroleros</v>
      </c>
      <c r="DH357" t="str">
        <v>191006 Materiales proyectos petroleros</v>
      </c>
      <c r="DI357" t="str">
        <v>191006 Materiales proyectos petroleros</v>
      </c>
      <c r="DJ357" t="str">
        <v>191006 Materiales proyectos petroleros</v>
      </c>
      <c r="DK357" t="str">
        <v>191006 Materiales proyectos petroleros</v>
      </c>
      <c r="DL357" t="str">
        <v>191006 Materiales proyectos petroleros</v>
      </c>
      <c r="DM357" t="str">
        <v>191006 Materiales proyectos petroleros</v>
      </c>
      <c r="DN357" t="str">
        <v>191006 Materiales proyectos petroleros</v>
      </c>
      <c r="DO357" t="str">
        <v>191006 Materiales proyectos petroleros</v>
      </c>
      <c r="DP357" t="str">
        <v>191006 Materiales proyectos petroleros</v>
      </c>
    </row>
    <row r="358" spans="4:120" ht="12.75">
      <c r="D358" s="7">
        <v>191008</v>
      </c>
      <c r="E358" s="6" t="s">
        <v>121</v>
      </c>
      <c r="F358" s="5">
        <v>4</v>
      </c>
      <c r="G358" s="34" t="s">
        <v>822</v>
      </c>
      <c r="H358" s="8" t="s">
        <v>32</v>
      </c>
      <c r="I358" t="b">
        <f>+ISNUMBER(SEARCH('F-COMPRA'!$F$28,Tabla11[[#This Row],[Cuenta]],1))</f>
        <v>1</v>
      </c>
      <c r="J358" t="b">
        <f>+ISNUMBER(SEARCH('F-COMPRA'!$F$29,Tabla11[[#This Row],[Cuenta]],1))</f>
        <v>1</v>
      </c>
      <c r="K358" t="b">
        <f>+ISNUMBER(SEARCH('F-COMPRA'!$F$30,Tabla11[[#This Row],[Cuenta]],1))</f>
        <v>1</v>
      </c>
      <c r="L358" t="b">
        <f>+ISNUMBER(SEARCH('F-COMPRA'!$F$31,Tabla11[[#This Row],[Cuenta]],1))</f>
        <v>1</v>
      </c>
      <c r="M358" t="b">
        <f>+ISNUMBER(SEARCH('F-COMPRA'!$G$25,Tabla11[[#This Row],[Cuenta]],1))</f>
        <v>0</v>
      </c>
      <c r="N358" t="b">
        <f>+ISNUMBER(SEARCH(#REF!,Tabla11[[#This Row],[Cuenta]],1))</f>
        <v>0</v>
      </c>
      <c r="O358" t="b">
        <f>+ISNUMBER(SEARCH(#REF!,Tabla11[[#This Row],[Cuenta]],1))</f>
        <v>0</v>
      </c>
      <c r="P358" t="b">
        <f>+ISNUMBER(SEARCH('F-COMPRA'!$F$32,Tabla11[[#This Row],[Cuenta]],1))</f>
        <v>1</v>
      </c>
      <c r="Q358" t="b">
        <f>+ISNUMBER(SEARCH('F-COMPRA'!$F$33,Tabla11[[#This Row],[Cuenta]],1))</f>
        <v>1</v>
      </c>
      <c r="R358" t="b">
        <f>+ISNUMBER(SEARCH('F-COMPRA'!$F$34,Tabla11[[#This Row],[Cuenta]],1))</f>
        <v>1</v>
      </c>
      <c r="S358" t="b">
        <f>+ISNUMBER(SEARCH('F-COMPRA'!$F$35,Tabla11[[#This Row],[Cuenta]],1))</f>
        <v>1</v>
      </c>
      <c r="T358" t="b">
        <f>+ISNUMBER(SEARCH('F-COMPRA'!$F$36,Tabla11[[#This Row],[Cuenta]],1))</f>
        <v>1</v>
      </c>
      <c r="U358" t="b">
        <f>+ISNUMBER(SEARCH('F-COMPRA'!$F$37,Tabla11[[#This Row],[Cuenta]],1))</f>
        <v>1</v>
      </c>
      <c r="V358" t="b">
        <f>+ISNUMBER(SEARCH(#REF!,Tabla11[[#This Row],[Cuenta]],1))</f>
        <v>0</v>
      </c>
      <c r="W358" t="b">
        <f>+ISNUMBER(SEARCH('F-COMPRA'!#REF!,Tabla11[[#This Row],[Cuenta]],1))</f>
        <v>0</v>
      </c>
      <c r="X358" t="b">
        <f>+ISNUMBER(SEARCH('F-COMPRA'!#REF!,Tabla11[[#This Row],[Cuenta]],1))</f>
        <v>0</v>
      </c>
      <c r="Y358" t="b">
        <f>+ISNUMBER(SEARCH('F-COMPRA'!#REF!,Tabla11[[#This Row],[Cuenta]],1))</f>
        <v>0</v>
      </c>
      <c r="Z358" t="b">
        <f>+ISNUMBER(SEARCH('F-COMPRA'!#REF!,Tabla11[[#This Row],[Cuenta]],1))</f>
        <v>0</v>
      </c>
      <c r="AA358" t="b">
        <f>+ISNUMBER(SEARCH('F-COMPRA'!#REF!,Tabla11[[#This Row],[Cuenta]],1))</f>
        <v>0</v>
      </c>
      <c r="AB358" t="b">
        <f>+ISNUMBER(SEARCH('F-COMPRA'!#REF!,Tabla11[[#This Row],[Cuenta]],1))</f>
        <v>0</v>
      </c>
      <c r="AC358" t="b">
        <f>+ISNUMBER(SEARCH('F-COMPRA'!#REF!,Tabla11[[#This Row],[Cuenta]],1))</f>
        <v>0</v>
      </c>
      <c r="AD358" t="b">
        <f>+ISNUMBER(SEARCH('F-COMPRA'!#REF!,Tabla11[[#This Row],[Cuenta]],1))</f>
        <v>0</v>
      </c>
      <c r="AE358" t="b">
        <f>+ISNUMBER(SEARCH('F-COMPRA'!#REF!,Tabla11[[#This Row],[Cuenta]],1))</f>
        <v>0</v>
      </c>
      <c r="AF358" t="b">
        <f>+ISNUMBER(SEARCH('F-VTA'!$G$23,Tabla11[[#This Row],[Cuenta]],1))</f>
        <v>0</v>
      </c>
      <c r="AG358" t="b">
        <f>+ISNUMBER(SEARCH('F-VTA'!$G$24,Tabla11[[#This Row],[Cuenta]],1))</f>
        <v>0</v>
      </c>
      <c r="AH358" t="b">
        <f>+ISNUMBER(SEARCH('F-VTA'!$G$25,Tabla11[[#This Row],[Cuenta]],1))</f>
        <v>0</v>
      </c>
      <c r="AI358" t="b">
        <f>+ISNUMBER(SEARCH('F-VTA'!$F$28,Tabla11[[#This Row],[Cuenta]],1))</f>
        <v>1</v>
      </c>
      <c r="AJ358" t="b">
        <f>+ISNUMBER(SEARCH('F-VTA'!$F$29,Tabla11[[#This Row],[Cuenta]],1))</f>
        <v>1</v>
      </c>
      <c r="AK358" t="b">
        <f>+ISNUMBER(SEARCH('F-VTA'!$F$30,Tabla11[[#This Row],[Cuenta]],1))</f>
        <v>1</v>
      </c>
      <c r="AL358" t="b">
        <f>+ISNUMBER(SEARCH('F-VTA'!$F$31,Tabla11[[#This Row],[Cuenta]],1))</f>
        <v>1</v>
      </c>
      <c r="AM358" t="b">
        <f>+ISNUMBER(SEARCH('F-VTA'!$F$32,Tabla11[[#This Row],[Cuenta]],1))</f>
        <v>1</v>
      </c>
      <c r="AN358" t="b">
        <f>+ISNUMBER(SEARCH('F-VTA'!$F$33,Tabla11[[#This Row],[Cuenta]],1))</f>
        <v>1</v>
      </c>
      <c r="AO358" t="b">
        <f>+ISNUMBER(SEARCH('F-VTA'!$F$34,Tabla11[[#This Row],[Cuenta]],1))</f>
        <v>1</v>
      </c>
      <c r="AP358" t="b">
        <f>+ISNUMBER(SEARCH('F-VTA'!$F$35,Tabla11[[#This Row],[Cuenta]],1))</f>
        <v>1</v>
      </c>
      <c r="AQ358" t="b">
        <f>+ISNUMBER(SEARCH('F-VTA'!$F$36,Tabla11[[#This Row],[Cuenta]],1))</f>
        <v>1</v>
      </c>
      <c r="AR358" t="b">
        <f>+ISNUMBER(SEARCH(#REF!,Tabla11[[#This Row],[Cuenta]],1))</f>
        <v>0</v>
      </c>
      <c r="AS358" t="b">
        <f>+ISNUMBER(SEARCH(#REF!,Tabla11[[#This Row],[Cuenta]],1))</f>
        <v>0</v>
      </c>
      <c r="AT358" t="b">
        <f>+ISNUMBER(SEARCH(#REF!,Tabla11[[#This Row],[Cuenta]],1))</f>
        <v>0</v>
      </c>
      <c r="AU358" t="b">
        <f>+ISNUMBER(SEARCH('Conc. Ban.1'!$I$9,Tabla11[[#This Row],[Cuenta]],1))</f>
        <v>0</v>
      </c>
      <c r="AV358" t="b">
        <f>+ISNUMBER(SEARCH(CompConta!$F$21,Tabla11[[#This Row],[Cuenta]],1))</f>
        <v>1</v>
      </c>
      <c r="AW358" t="b">
        <f>+ISNUMBER(SEARCH(CompConta!$F$22,Tabla11[[#This Row],[Cuenta]],1))</f>
        <v>1</v>
      </c>
      <c r="AX358" t="b">
        <f>+ISNUMBER(SEARCH(CompConta!$F$23,Tabla11[[#This Row],[Cuenta]],1))</f>
        <v>1</v>
      </c>
      <c r="AY358" t="b">
        <f>+ISNUMBER(SEARCH(CompConta!$F$24,Tabla11[[#This Row],[Cuenta]],1))</f>
        <v>1</v>
      </c>
      <c r="AZ358" t="b">
        <f>+ISNUMBER(SEARCH(CompConta!$F$25,Tabla11[[#This Row],[Cuenta]],1))</f>
        <v>1</v>
      </c>
      <c r="BA358" t="b">
        <f>+ISNUMBER(SEARCH(CompConta!$F$26,Tabla11[[#This Row],[Cuenta]],1))</f>
        <v>1</v>
      </c>
      <c r="BB358" t="b">
        <f>+ISNUMBER(SEARCH(CompConta!$F$27,Tabla11[[#This Row],[Cuenta]],1))</f>
        <v>1</v>
      </c>
      <c r="BC358" t="b">
        <f>+ISNUMBER(SEARCH(CompConta!$F$28,Tabla11[[#This Row],[Cuenta]],1))</f>
        <v>1</v>
      </c>
      <c r="BD358" t="b">
        <f>+ISNUMBER(SEARCH(CompConta!$F$29,Tabla11[[#This Row],[Cuenta]],1))</f>
        <v>1</v>
      </c>
      <c r="BE358" t="b">
        <f>+ISNUMBER(SEARCH(CompConta!$F$30,Tabla11[[#This Row],[Cuenta]],1))</f>
        <v>1</v>
      </c>
      <c r="BF358" t="b">
        <f>+ISNUMBER(SEARCH('PAGO Compras'!$E$11,Tabla11[[#This Row],[Cuenta]],1))</f>
        <v>1</v>
      </c>
      <c r="BG358" t="b">
        <f>+ISNUMBER(SEARCH(#REF!,Tabla11[[#This Row],[Cuenta]],1))</f>
        <v>0</v>
      </c>
      <c r="BH358" t="b">
        <f>+ISNUMBER(SEARCH(#REF!,Tabla11[[#This Row],[Cuenta]],1))</f>
        <v>0</v>
      </c>
      <c r="BI358" t="b">
        <f>+ISNUMBER(SEARCH(#REF!,Tabla11[[#This Row],[Cuenta]],1))</f>
        <v>0</v>
      </c>
      <c r="BJ358" t="b">
        <f>+ISNUMBER(SEARCH(#REF!,Tabla11[[#This Row],[Cuenta]],1))</f>
        <v>0</v>
      </c>
      <c r="BS358" t="str">
        <v>191008 Construcciones y edificaciones</v>
      </c>
      <c r="BT358" t="str">
        <v>191008 Construcciones y edificaciones</v>
      </c>
      <c r="BU358" t="str">
        <v>191008 Construcciones y edificaciones</v>
      </c>
      <c r="BV358" t="str">
        <v>191008 Construcciones y edificaciones</v>
      </c>
      <c r="BZ358" t="str">
        <v>191008 Construcciones y edificaciones</v>
      </c>
      <c r="CA358" t="str">
        <v>191008 Construcciones y edificaciones</v>
      </c>
      <c r="CB358" t="str">
        <v>191008 Construcciones y edificaciones</v>
      </c>
      <c r="CC358" t="str">
        <v>191008 Construcciones y edificaciones</v>
      </c>
      <c r="CD358" t="str">
        <v>191008 Construcciones y edificaciones</v>
      </c>
      <c r="CE358" t="str">
        <v>191008 Construcciones y edificaciones</v>
      </c>
      <c r="CS358" s="141" t="str">
        <v>191008 Construcciones y edificaciones</v>
      </c>
      <c r="CT358" s="141" t="str">
        <v>191008 Construcciones y edificaciones</v>
      </c>
      <c r="CU358" s="141" t="str">
        <v>191008 Construcciones y edificaciones</v>
      </c>
      <c r="CV358" s="141" t="str">
        <v>191008 Construcciones y edificaciones</v>
      </c>
      <c r="CW358" s="141" t="str">
        <v>191008 Construcciones y edificaciones</v>
      </c>
      <c r="CX358" s="141" t="str">
        <v>191008 Construcciones y edificaciones</v>
      </c>
      <c r="CY358" s="141" t="str">
        <v>191008 Construcciones y edificaciones</v>
      </c>
      <c r="CZ358" s="141" t="str">
        <v>191008 Construcciones y edificaciones</v>
      </c>
      <c r="DA358" s="141" t="str">
        <v>191008 Construcciones y edificaciones</v>
      </c>
      <c r="DF358" t="str">
        <v>191008 Construcciones y edificaciones</v>
      </c>
      <c r="DG358" t="str">
        <v>191008 Construcciones y edificaciones</v>
      </c>
      <c r="DH358" t="str">
        <v>191008 Construcciones y edificaciones</v>
      </c>
      <c r="DI358" t="str">
        <v>191008 Construcciones y edificaciones</v>
      </c>
      <c r="DJ358" t="str">
        <v>191008 Construcciones y edificaciones</v>
      </c>
      <c r="DK358" t="str">
        <v>191008 Construcciones y edificaciones</v>
      </c>
      <c r="DL358" t="str">
        <v>191008 Construcciones y edificaciones</v>
      </c>
      <c r="DM358" t="str">
        <v>191008 Construcciones y edificaciones</v>
      </c>
      <c r="DN358" t="str">
        <v>191008 Construcciones y edificaciones</v>
      </c>
      <c r="DO358" t="str">
        <v>191008 Construcciones y edificaciones</v>
      </c>
      <c r="DP358" t="str">
        <v>191008 Construcciones y edificaciones</v>
      </c>
    </row>
    <row r="359" spans="4:120" ht="12.75">
      <c r="D359" s="7">
        <v>191012</v>
      </c>
      <c r="E359" s="6" t="s">
        <v>128</v>
      </c>
      <c r="F359" s="5">
        <v>4</v>
      </c>
      <c r="G359" s="34" t="s">
        <v>822</v>
      </c>
      <c r="H359" s="8" t="s">
        <v>32</v>
      </c>
      <c r="I359" t="b">
        <f>+ISNUMBER(SEARCH('F-COMPRA'!$F$28,Tabla11[[#This Row],[Cuenta]],1))</f>
        <v>1</v>
      </c>
      <c r="J359" t="b">
        <f>+ISNUMBER(SEARCH('F-COMPRA'!$F$29,Tabla11[[#This Row],[Cuenta]],1))</f>
        <v>1</v>
      </c>
      <c r="K359" t="b">
        <f>+ISNUMBER(SEARCH('F-COMPRA'!$F$30,Tabla11[[#This Row],[Cuenta]],1))</f>
        <v>1</v>
      </c>
      <c r="L359" t="b">
        <f>+ISNUMBER(SEARCH('F-COMPRA'!$F$31,Tabla11[[#This Row],[Cuenta]],1))</f>
        <v>1</v>
      </c>
      <c r="M359" t="b">
        <f>+ISNUMBER(SEARCH('F-COMPRA'!$G$25,Tabla11[[#This Row],[Cuenta]],1))</f>
        <v>0</v>
      </c>
      <c r="N359" t="b">
        <f>+ISNUMBER(SEARCH(#REF!,Tabla11[[#This Row],[Cuenta]],1))</f>
        <v>0</v>
      </c>
      <c r="O359" t="b">
        <f>+ISNUMBER(SEARCH(#REF!,Tabla11[[#This Row],[Cuenta]],1))</f>
        <v>0</v>
      </c>
      <c r="P359" t="b">
        <f>+ISNUMBER(SEARCH('F-COMPRA'!$F$32,Tabla11[[#This Row],[Cuenta]],1))</f>
        <v>1</v>
      </c>
      <c r="Q359" t="b">
        <f>+ISNUMBER(SEARCH('F-COMPRA'!$F$33,Tabla11[[#This Row],[Cuenta]],1))</f>
        <v>1</v>
      </c>
      <c r="R359" t="b">
        <f>+ISNUMBER(SEARCH('F-COMPRA'!$F$34,Tabla11[[#This Row],[Cuenta]],1))</f>
        <v>1</v>
      </c>
      <c r="S359" t="b">
        <f>+ISNUMBER(SEARCH('F-COMPRA'!$F$35,Tabla11[[#This Row],[Cuenta]],1))</f>
        <v>1</v>
      </c>
      <c r="T359" t="b">
        <f>+ISNUMBER(SEARCH('F-COMPRA'!$F$36,Tabla11[[#This Row],[Cuenta]],1))</f>
        <v>1</v>
      </c>
      <c r="U359" t="b">
        <f>+ISNUMBER(SEARCH('F-COMPRA'!$F$37,Tabla11[[#This Row],[Cuenta]],1))</f>
        <v>1</v>
      </c>
      <c r="V359" t="b">
        <f>+ISNUMBER(SEARCH(#REF!,Tabla11[[#This Row],[Cuenta]],1))</f>
        <v>0</v>
      </c>
      <c r="W359" t="b">
        <f>+ISNUMBER(SEARCH('F-COMPRA'!#REF!,Tabla11[[#This Row],[Cuenta]],1))</f>
        <v>0</v>
      </c>
      <c r="X359" t="b">
        <f>+ISNUMBER(SEARCH('F-COMPRA'!#REF!,Tabla11[[#This Row],[Cuenta]],1))</f>
        <v>0</v>
      </c>
      <c r="Y359" t="b">
        <f>+ISNUMBER(SEARCH('F-COMPRA'!#REF!,Tabla11[[#This Row],[Cuenta]],1))</f>
        <v>0</v>
      </c>
      <c r="Z359" t="b">
        <f>+ISNUMBER(SEARCH('F-COMPRA'!#REF!,Tabla11[[#This Row],[Cuenta]],1))</f>
        <v>0</v>
      </c>
      <c r="AA359" t="b">
        <f>+ISNUMBER(SEARCH('F-COMPRA'!#REF!,Tabla11[[#This Row],[Cuenta]],1))</f>
        <v>0</v>
      </c>
      <c r="AB359" t="b">
        <f>+ISNUMBER(SEARCH('F-COMPRA'!#REF!,Tabla11[[#This Row],[Cuenta]],1))</f>
        <v>0</v>
      </c>
      <c r="AC359" t="b">
        <f>+ISNUMBER(SEARCH('F-COMPRA'!#REF!,Tabla11[[#This Row],[Cuenta]],1))</f>
        <v>0</v>
      </c>
      <c r="AD359" t="b">
        <f>+ISNUMBER(SEARCH('F-COMPRA'!#REF!,Tabla11[[#This Row],[Cuenta]],1))</f>
        <v>0</v>
      </c>
      <c r="AE359" t="b">
        <f>+ISNUMBER(SEARCH('F-COMPRA'!#REF!,Tabla11[[#This Row],[Cuenta]],1))</f>
        <v>0</v>
      </c>
      <c r="AF359" t="b">
        <f>+ISNUMBER(SEARCH('F-VTA'!$G$23,Tabla11[[#This Row],[Cuenta]],1))</f>
        <v>0</v>
      </c>
      <c r="AG359" t="b">
        <f>+ISNUMBER(SEARCH('F-VTA'!$G$24,Tabla11[[#This Row],[Cuenta]],1))</f>
        <v>0</v>
      </c>
      <c r="AH359" t="b">
        <f>+ISNUMBER(SEARCH('F-VTA'!$G$25,Tabla11[[#This Row],[Cuenta]],1))</f>
        <v>0</v>
      </c>
      <c r="AI359" t="b">
        <f>+ISNUMBER(SEARCH('F-VTA'!$F$28,Tabla11[[#This Row],[Cuenta]],1))</f>
        <v>1</v>
      </c>
      <c r="AJ359" t="b">
        <f>+ISNUMBER(SEARCH('F-VTA'!$F$29,Tabla11[[#This Row],[Cuenta]],1))</f>
        <v>1</v>
      </c>
      <c r="AK359" t="b">
        <f>+ISNUMBER(SEARCH('F-VTA'!$F$30,Tabla11[[#This Row],[Cuenta]],1))</f>
        <v>1</v>
      </c>
      <c r="AL359" t="b">
        <f>+ISNUMBER(SEARCH('F-VTA'!$F$31,Tabla11[[#This Row],[Cuenta]],1))</f>
        <v>1</v>
      </c>
      <c r="AM359" t="b">
        <f>+ISNUMBER(SEARCH('F-VTA'!$F$32,Tabla11[[#This Row],[Cuenta]],1))</f>
        <v>1</v>
      </c>
      <c r="AN359" t="b">
        <f>+ISNUMBER(SEARCH('F-VTA'!$F$33,Tabla11[[#This Row],[Cuenta]],1))</f>
        <v>1</v>
      </c>
      <c r="AO359" t="b">
        <f>+ISNUMBER(SEARCH('F-VTA'!$F$34,Tabla11[[#This Row],[Cuenta]],1))</f>
        <v>1</v>
      </c>
      <c r="AP359" t="b">
        <f>+ISNUMBER(SEARCH('F-VTA'!$F$35,Tabla11[[#This Row],[Cuenta]],1))</f>
        <v>1</v>
      </c>
      <c r="AQ359" t="b">
        <f>+ISNUMBER(SEARCH('F-VTA'!$F$36,Tabla11[[#This Row],[Cuenta]],1))</f>
        <v>1</v>
      </c>
      <c r="AR359" t="b">
        <f>+ISNUMBER(SEARCH(#REF!,Tabla11[[#This Row],[Cuenta]],1))</f>
        <v>0</v>
      </c>
      <c r="AS359" t="b">
        <f>+ISNUMBER(SEARCH(#REF!,Tabla11[[#This Row],[Cuenta]],1))</f>
        <v>0</v>
      </c>
      <c r="AT359" t="b">
        <f>+ISNUMBER(SEARCH(#REF!,Tabla11[[#This Row],[Cuenta]],1))</f>
        <v>0</v>
      </c>
      <c r="AU359" t="b">
        <f>+ISNUMBER(SEARCH('Conc. Ban.1'!$I$9,Tabla11[[#This Row],[Cuenta]],1))</f>
        <v>0</v>
      </c>
      <c r="AV359" t="b">
        <f>+ISNUMBER(SEARCH(CompConta!$F$21,Tabla11[[#This Row],[Cuenta]],1))</f>
        <v>1</v>
      </c>
      <c r="AW359" t="b">
        <f>+ISNUMBER(SEARCH(CompConta!$F$22,Tabla11[[#This Row],[Cuenta]],1))</f>
        <v>1</v>
      </c>
      <c r="AX359" t="b">
        <f>+ISNUMBER(SEARCH(CompConta!$F$23,Tabla11[[#This Row],[Cuenta]],1))</f>
        <v>1</v>
      </c>
      <c r="AY359" t="b">
        <f>+ISNUMBER(SEARCH(CompConta!$F$24,Tabla11[[#This Row],[Cuenta]],1))</f>
        <v>1</v>
      </c>
      <c r="AZ359" t="b">
        <f>+ISNUMBER(SEARCH(CompConta!$F$25,Tabla11[[#This Row],[Cuenta]],1))</f>
        <v>1</v>
      </c>
      <c r="BA359" t="b">
        <f>+ISNUMBER(SEARCH(CompConta!$F$26,Tabla11[[#This Row],[Cuenta]],1))</f>
        <v>1</v>
      </c>
      <c r="BB359" t="b">
        <f>+ISNUMBER(SEARCH(CompConta!$F$27,Tabla11[[#This Row],[Cuenta]],1))</f>
        <v>1</v>
      </c>
      <c r="BC359" t="b">
        <f>+ISNUMBER(SEARCH(CompConta!$F$28,Tabla11[[#This Row],[Cuenta]],1))</f>
        <v>1</v>
      </c>
      <c r="BD359" t="b">
        <f>+ISNUMBER(SEARCH(CompConta!$F$29,Tabla11[[#This Row],[Cuenta]],1))</f>
        <v>1</v>
      </c>
      <c r="BE359" t="b">
        <f>+ISNUMBER(SEARCH(CompConta!$F$30,Tabla11[[#This Row],[Cuenta]],1))</f>
        <v>1</v>
      </c>
      <c r="BF359" t="b">
        <f>+ISNUMBER(SEARCH('PAGO Compras'!$E$11,Tabla11[[#This Row],[Cuenta]],1))</f>
        <v>1</v>
      </c>
      <c r="BG359" t="b">
        <f>+ISNUMBER(SEARCH(#REF!,Tabla11[[#This Row],[Cuenta]],1))</f>
        <v>0</v>
      </c>
      <c r="BH359" t="b">
        <f>+ISNUMBER(SEARCH(#REF!,Tabla11[[#This Row],[Cuenta]],1))</f>
        <v>0</v>
      </c>
      <c r="BI359" t="b">
        <f>+ISNUMBER(SEARCH(#REF!,Tabla11[[#This Row],[Cuenta]],1))</f>
        <v>0</v>
      </c>
      <c r="BJ359" t="b">
        <f>+ISNUMBER(SEARCH(#REF!,Tabla11[[#This Row],[Cuenta]],1))</f>
        <v>0</v>
      </c>
      <c r="BS359" t="str">
        <v>191012 Maquinaria y equipo</v>
      </c>
      <c r="BT359" t="str">
        <v>191012 Maquinaria y equipo</v>
      </c>
      <c r="BU359" t="str">
        <v>191012 Maquinaria y equipo</v>
      </c>
      <c r="BV359" t="str">
        <v>191012 Maquinaria y equipo</v>
      </c>
      <c r="BZ359" t="str">
        <v>191012 Maquinaria y equipo</v>
      </c>
      <c r="CA359" t="str">
        <v>191012 Maquinaria y equipo</v>
      </c>
      <c r="CB359" t="str">
        <v>191012 Maquinaria y equipo</v>
      </c>
      <c r="CC359" t="str">
        <v>191012 Maquinaria y equipo</v>
      </c>
      <c r="CD359" t="str">
        <v>191012 Maquinaria y equipo</v>
      </c>
      <c r="CE359" t="str">
        <v>191012 Maquinaria y equipo</v>
      </c>
      <c r="CS359" s="141" t="str">
        <v>191012 Maquinaria y equipo</v>
      </c>
      <c r="CT359" s="141" t="str">
        <v>191012 Maquinaria y equipo</v>
      </c>
      <c r="CU359" s="141" t="str">
        <v>191012 Maquinaria y equipo</v>
      </c>
      <c r="CV359" s="141" t="str">
        <v>191012 Maquinaria y equipo</v>
      </c>
      <c r="CW359" s="141" t="str">
        <v>191012 Maquinaria y equipo</v>
      </c>
      <c r="CX359" s="141" t="str">
        <v>191012 Maquinaria y equipo</v>
      </c>
      <c r="CY359" s="141" t="str">
        <v>191012 Maquinaria y equipo</v>
      </c>
      <c r="CZ359" s="141" t="str">
        <v>191012 Maquinaria y equipo</v>
      </c>
      <c r="DA359" s="141" t="str">
        <v>191012 Maquinaria y equipo</v>
      </c>
      <c r="DF359" t="str">
        <v>191012 Maquinaria y equipo</v>
      </c>
      <c r="DG359" t="str">
        <v>191012 Maquinaria y equipo</v>
      </c>
      <c r="DH359" t="str">
        <v>191012 Maquinaria y equipo</v>
      </c>
      <c r="DI359" t="str">
        <v>191012 Maquinaria y equipo</v>
      </c>
      <c r="DJ359" t="str">
        <v>191012 Maquinaria y equipo</v>
      </c>
      <c r="DK359" t="str">
        <v>191012 Maquinaria y equipo</v>
      </c>
      <c r="DL359" t="str">
        <v>191012 Maquinaria y equipo</v>
      </c>
      <c r="DM359" t="str">
        <v>191012 Maquinaria y equipo</v>
      </c>
      <c r="DN359" t="str">
        <v>191012 Maquinaria y equipo</v>
      </c>
      <c r="DO359" t="str">
        <v>191012 Maquinaria y equipo</v>
      </c>
      <c r="DP359" t="str">
        <v>191012 Maquinaria y equipo</v>
      </c>
    </row>
    <row r="360" spans="4:120" ht="12.75">
      <c r="D360" s="7">
        <v>191016</v>
      </c>
      <c r="E360" s="6" t="s">
        <v>129</v>
      </c>
      <c r="F360" s="5">
        <v>4</v>
      </c>
      <c r="G360" s="34" t="s">
        <v>822</v>
      </c>
      <c r="H360" s="8" t="s">
        <v>32</v>
      </c>
      <c r="I360" t="b">
        <f>+ISNUMBER(SEARCH('F-COMPRA'!$F$28,Tabla11[[#This Row],[Cuenta]],1))</f>
        <v>1</v>
      </c>
      <c r="J360" t="b">
        <f>+ISNUMBER(SEARCH('F-COMPRA'!$F$29,Tabla11[[#This Row],[Cuenta]],1))</f>
        <v>1</v>
      </c>
      <c r="K360" t="b">
        <f>+ISNUMBER(SEARCH('F-COMPRA'!$F$30,Tabla11[[#This Row],[Cuenta]],1))</f>
        <v>1</v>
      </c>
      <c r="L360" t="b">
        <f>+ISNUMBER(SEARCH('F-COMPRA'!$F$31,Tabla11[[#This Row],[Cuenta]],1))</f>
        <v>1</v>
      </c>
      <c r="M360" t="b">
        <f>+ISNUMBER(SEARCH('F-COMPRA'!$G$25,Tabla11[[#This Row],[Cuenta]],1))</f>
        <v>0</v>
      </c>
      <c r="N360" t="b">
        <f>+ISNUMBER(SEARCH(#REF!,Tabla11[[#This Row],[Cuenta]],1))</f>
        <v>0</v>
      </c>
      <c r="O360" t="b">
        <f>+ISNUMBER(SEARCH(#REF!,Tabla11[[#This Row],[Cuenta]],1))</f>
        <v>0</v>
      </c>
      <c r="P360" t="b">
        <f>+ISNUMBER(SEARCH('F-COMPRA'!$F$32,Tabla11[[#This Row],[Cuenta]],1))</f>
        <v>1</v>
      </c>
      <c r="Q360" t="b">
        <f>+ISNUMBER(SEARCH('F-COMPRA'!$F$33,Tabla11[[#This Row],[Cuenta]],1))</f>
        <v>1</v>
      </c>
      <c r="R360" t="b">
        <f>+ISNUMBER(SEARCH('F-COMPRA'!$F$34,Tabla11[[#This Row],[Cuenta]],1))</f>
        <v>1</v>
      </c>
      <c r="S360" t="b">
        <f>+ISNUMBER(SEARCH('F-COMPRA'!$F$35,Tabla11[[#This Row],[Cuenta]],1))</f>
        <v>1</v>
      </c>
      <c r="T360" t="b">
        <f>+ISNUMBER(SEARCH('F-COMPRA'!$F$36,Tabla11[[#This Row],[Cuenta]],1))</f>
        <v>1</v>
      </c>
      <c r="U360" t="b">
        <f>+ISNUMBER(SEARCH('F-COMPRA'!$F$37,Tabla11[[#This Row],[Cuenta]],1))</f>
        <v>1</v>
      </c>
      <c r="V360" t="b">
        <f>+ISNUMBER(SEARCH(#REF!,Tabla11[[#This Row],[Cuenta]],1))</f>
        <v>0</v>
      </c>
      <c r="W360" t="b">
        <f>+ISNUMBER(SEARCH('F-COMPRA'!#REF!,Tabla11[[#This Row],[Cuenta]],1))</f>
        <v>0</v>
      </c>
      <c r="X360" t="b">
        <f>+ISNUMBER(SEARCH('F-COMPRA'!#REF!,Tabla11[[#This Row],[Cuenta]],1))</f>
        <v>0</v>
      </c>
      <c r="Y360" t="b">
        <f>+ISNUMBER(SEARCH('F-COMPRA'!#REF!,Tabla11[[#This Row],[Cuenta]],1))</f>
        <v>0</v>
      </c>
      <c r="Z360" t="b">
        <f>+ISNUMBER(SEARCH('F-COMPRA'!#REF!,Tabla11[[#This Row],[Cuenta]],1))</f>
        <v>0</v>
      </c>
      <c r="AA360" t="b">
        <f>+ISNUMBER(SEARCH('F-COMPRA'!#REF!,Tabla11[[#This Row],[Cuenta]],1))</f>
        <v>0</v>
      </c>
      <c r="AB360" t="b">
        <f>+ISNUMBER(SEARCH('F-COMPRA'!#REF!,Tabla11[[#This Row],[Cuenta]],1))</f>
        <v>0</v>
      </c>
      <c r="AC360" t="b">
        <f>+ISNUMBER(SEARCH('F-COMPRA'!#REF!,Tabla11[[#This Row],[Cuenta]],1))</f>
        <v>0</v>
      </c>
      <c r="AD360" t="b">
        <f>+ISNUMBER(SEARCH('F-COMPRA'!#REF!,Tabla11[[#This Row],[Cuenta]],1))</f>
        <v>0</v>
      </c>
      <c r="AE360" t="b">
        <f>+ISNUMBER(SEARCH('F-COMPRA'!#REF!,Tabla11[[#This Row],[Cuenta]],1))</f>
        <v>0</v>
      </c>
      <c r="AF360" t="b">
        <f>+ISNUMBER(SEARCH('F-VTA'!$G$23,Tabla11[[#This Row],[Cuenta]],1))</f>
        <v>0</v>
      </c>
      <c r="AG360" t="b">
        <f>+ISNUMBER(SEARCH('F-VTA'!$G$24,Tabla11[[#This Row],[Cuenta]],1))</f>
        <v>0</v>
      </c>
      <c r="AH360" t="b">
        <f>+ISNUMBER(SEARCH('F-VTA'!$G$25,Tabla11[[#This Row],[Cuenta]],1))</f>
        <v>0</v>
      </c>
      <c r="AI360" t="b">
        <f>+ISNUMBER(SEARCH('F-VTA'!$F$28,Tabla11[[#This Row],[Cuenta]],1))</f>
        <v>1</v>
      </c>
      <c r="AJ360" t="b">
        <f>+ISNUMBER(SEARCH('F-VTA'!$F$29,Tabla11[[#This Row],[Cuenta]],1))</f>
        <v>1</v>
      </c>
      <c r="AK360" t="b">
        <f>+ISNUMBER(SEARCH('F-VTA'!$F$30,Tabla11[[#This Row],[Cuenta]],1))</f>
        <v>1</v>
      </c>
      <c r="AL360" t="b">
        <f>+ISNUMBER(SEARCH('F-VTA'!$F$31,Tabla11[[#This Row],[Cuenta]],1))</f>
        <v>1</v>
      </c>
      <c r="AM360" t="b">
        <f>+ISNUMBER(SEARCH('F-VTA'!$F$32,Tabla11[[#This Row],[Cuenta]],1))</f>
        <v>1</v>
      </c>
      <c r="AN360" t="b">
        <f>+ISNUMBER(SEARCH('F-VTA'!$F$33,Tabla11[[#This Row],[Cuenta]],1))</f>
        <v>1</v>
      </c>
      <c r="AO360" t="b">
        <f>+ISNUMBER(SEARCH('F-VTA'!$F$34,Tabla11[[#This Row],[Cuenta]],1))</f>
        <v>1</v>
      </c>
      <c r="AP360" t="b">
        <f>+ISNUMBER(SEARCH('F-VTA'!$F$35,Tabla11[[#This Row],[Cuenta]],1))</f>
        <v>1</v>
      </c>
      <c r="AQ360" t="b">
        <f>+ISNUMBER(SEARCH('F-VTA'!$F$36,Tabla11[[#This Row],[Cuenta]],1))</f>
        <v>1</v>
      </c>
      <c r="AR360" t="b">
        <f>+ISNUMBER(SEARCH(#REF!,Tabla11[[#This Row],[Cuenta]],1))</f>
        <v>0</v>
      </c>
      <c r="AS360" t="b">
        <f>+ISNUMBER(SEARCH(#REF!,Tabla11[[#This Row],[Cuenta]],1))</f>
        <v>0</v>
      </c>
      <c r="AT360" t="b">
        <f>+ISNUMBER(SEARCH(#REF!,Tabla11[[#This Row],[Cuenta]],1))</f>
        <v>0</v>
      </c>
      <c r="AU360" t="b">
        <f>+ISNUMBER(SEARCH('Conc. Ban.1'!$I$9,Tabla11[[#This Row],[Cuenta]],1))</f>
        <v>0</v>
      </c>
      <c r="AV360" t="b">
        <f>+ISNUMBER(SEARCH(CompConta!$F$21,Tabla11[[#This Row],[Cuenta]],1))</f>
        <v>1</v>
      </c>
      <c r="AW360" t="b">
        <f>+ISNUMBER(SEARCH(CompConta!$F$22,Tabla11[[#This Row],[Cuenta]],1))</f>
        <v>1</v>
      </c>
      <c r="AX360" t="b">
        <f>+ISNUMBER(SEARCH(CompConta!$F$23,Tabla11[[#This Row],[Cuenta]],1))</f>
        <v>1</v>
      </c>
      <c r="AY360" t="b">
        <f>+ISNUMBER(SEARCH(CompConta!$F$24,Tabla11[[#This Row],[Cuenta]],1))</f>
        <v>1</v>
      </c>
      <c r="AZ360" t="b">
        <f>+ISNUMBER(SEARCH(CompConta!$F$25,Tabla11[[#This Row],[Cuenta]],1))</f>
        <v>1</v>
      </c>
      <c r="BA360" t="b">
        <f>+ISNUMBER(SEARCH(CompConta!$F$26,Tabla11[[#This Row],[Cuenta]],1))</f>
        <v>1</v>
      </c>
      <c r="BB360" t="b">
        <f>+ISNUMBER(SEARCH(CompConta!$F$27,Tabla11[[#This Row],[Cuenta]],1))</f>
        <v>1</v>
      </c>
      <c r="BC360" t="b">
        <f>+ISNUMBER(SEARCH(CompConta!$F$28,Tabla11[[#This Row],[Cuenta]],1))</f>
        <v>1</v>
      </c>
      <c r="BD360" t="b">
        <f>+ISNUMBER(SEARCH(CompConta!$F$29,Tabla11[[#This Row],[Cuenta]],1))</f>
        <v>1</v>
      </c>
      <c r="BE360" t="b">
        <f>+ISNUMBER(SEARCH(CompConta!$F$30,Tabla11[[#This Row],[Cuenta]],1))</f>
        <v>1</v>
      </c>
      <c r="BF360" t="b">
        <f>+ISNUMBER(SEARCH('PAGO Compras'!$E$11,Tabla11[[#This Row],[Cuenta]],1))</f>
        <v>1</v>
      </c>
      <c r="BG360" t="b">
        <f>+ISNUMBER(SEARCH(#REF!,Tabla11[[#This Row],[Cuenta]],1))</f>
        <v>0</v>
      </c>
      <c r="BH360" t="b">
        <f>+ISNUMBER(SEARCH(#REF!,Tabla11[[#This Row],[Cuenta]],1))</f>
        <v>0</v>
      </c>
      <c r="BI360" t="b">
        <f>+ISNUMBER(SEARCH(#REF!,Tabla11[[#This Row],[Cuenta]],1))</f>
        <v>0</v>
      </c>
      <c r="BJ360" t="b">
        <f>+ISNUMBER(SEARCH(#REF!,Tabla11[[#This Row],[Cuenta]],1))</f>
        <v>0</v>
      </c>
      <c r="BS360" t="str">
        <v>191016 Equipo de oficina</v>
      </c>
      <c r="BT360" t="str">
        <v>191016 Equipo de oficina</v>
      </c>
      <c r="BU360" t="str">
        <v>191016 Equipo de oficina</v>
      </c>
      <c r="BV360" t="str">
        <v>191016 Equipo de oficina</v>
      </c>
      <c r="BZ360" t="str">
        <v>191016 Equipo de oficina</v>
      </c>
      <c r="CA360" t="str">
        <v>191016 Equipo de oficina</v>
      </c>
      <c r="CB360" t="str">
        <v>191016 Equipo de oficina</v>
      </c>
      <c r="CC360" t="str">
        <v>191016 Equipo de oficina</v>
      </c>
      <c r="CD360" t="str">
        <v>191016 Equipo de oficina</v>
      </c>
      <c r="CE360" t="str">
        <v>191016 Equipo de oficina</v>
      </c>
      <c r="CS360" s="141" t="str">
        <v>191016 Equipo de oficina</v>
      </c>
      <c r="CT360" s="141" t="str">
        <v>191016 Equipo de oficina</v>
      </c>
      <c r="CU360" s="141" t="str">
        <v>191016 Equipo de oficina</v>
      </c>
      <c r="CV360" s="141" t="str">
        <v>191016 Equipo de oficina</v>
      </c>
      <c r="CW360" s="141" t="str">
        <v>191016 Equipo de oficina</v>
      </c>
      <c r="CX360" s="141" t="str">
        <v>191016 Equipo de oficina</v>
      </c>
      <c r="CY360" s="141" t="str">
        <v>191016 Equipo de oficina</v>
      </c>
      <c r="CZ360" s="141" t="str">
        <v>191016 Equipo de oficina</v>
      </c>
      <c r="DA360" s="141" t="str">
        <v>191016 Equipo de oficina</v>
      </c>
      <c r="DF360" t="str">
        <v>191016 Equipo de oficina</v>
      </c>
      <c r="DG360" t="str">
        <v>191016 Equipo de oficina</v>
      </c>
      <c r="DH360" t="str">
        <v>191016 Equipo de oficina</v>
      </c>
      <c r="DI360" t="str">
        <v>191016 Equipo de oficina</v>
      </c>
      <c r="DJ360" t="str">
        <v>191016 Equipo de oficina</v>
      </c>
      <c r="DK360" t="str">
        <v>191016 Equipo de oficina</v>
      </c>
      <c r="DL360" t="str">
        <v>191016 Equipo de oficina</v>
      </c>
      <c r="DM360" t="str">
        <v>191016 Equipo de oficina</v>
      </c>
      <c r="DN360" t="str">
        <v>191016 Equipo de oficina</v>
      </c>
      <c r="DO360" t="str">
        <v>191016 Equipo de oficina</v>
      </c>
      <c r="DP360" t="str">
        <v>191016 Equipo de oficina</v>
      </c>
    </row>
    <row r="361" spans="4:120" ht="12.75">
      <c r="D361" s="7">
        <v>191020</v>
      </c>
      <c r="E361" s="6" t="s">
        <v>130</v>
      </c>
      <c r="F361" s="5">
        <v>4</v>
      </c>
      <c r="G361" s="34" t="s">
        <v>822</v>
      </c>
      <c r="H361" s="8" t="s">
        <v>32</v>
      </c>
      <c r="I361" t="b">
        <f>+ISNUMBER(SEARCH('F-COMPRA'!$F$28,Tabla11[[#This Row],[Cuenta]],1))</f>
        <v>1</v>
      </c>
      <c r="J361" t="b">
        <f>+ISNUMBER(SEARCH('F-COMPRA'!$F$29,Tabla11[[#This Row],[Cuenta]],1))</f>
        <v>1</v>
      </c>
      <c r="K361" t="b">
        <f>+ISNUMBER(SEARCH('F-COMPRA'!$F$30,Tabla11[[#This Row],[Cuenta]],1))</f>
        <v>1</v>
      </c>
      <c r="L361" t="b">
        <f>+ISNUMBER(SEARCH('F-COMPRA'!$F$31,Tabla11[[#This Row],[Cuenta]],1))</f>
        <v>1</v>
      </c>
      <c r="M361" t="b">
        <f>+ISNUMBER(SEARCH('F-COMPRA'!$G$25,Tabla11[[#This Row],[Cuenta]],1))</f>
        <v>0</v>
      </c>
      <c r="N361" t="b">
        <f>+ISNUMBER(SEARCH(#REF!,Tabla11[[#This Row],[Cuenta]],1))</f>
        <v>0</v>
      </c>
      <c r="O361" t="b">
        <f>+ISNUMBER(SEARCH(#REF!,Tabla11[[#This Row],[Cuenta]],1))</f>
        <v>0</v>
      </c>
      <c r="P361" t="b">
        <f>+ISNUMBER(SEARCH('F-COMPRA'!$F$32,Tabla11[[#This Row],[Cuenta]],1))</f>
        <v>1</v>
      </c>
      <c r="Q361" t="b">
        <f>+ISNUMBER(SEARCH('F-COMPRA'!$F$33,Tabla11[[#This Row],[Cuenta]],1))</f>
        <v>1</v>
      </c>
      <c r="R361" t="b">
        <f>+ISNUMBER(SEARCH('F-COMPRA'!$F$34,Tabla11[[#This Row],[Cuenta]],1))</f>
        <v>1</v>
      </c>
      <c r="S361" t="b">
        <f>+ISNUMBER(SEARCH('F-COMPRA'!$F$35,Tabla11[[#This Row],[Cuenta]],1))</f>
        <v>1</v>
      </c>
      <c r="T361" t="b">
        <f>+ISNUMBER(SEARCH('F-COMPRA'!$F$36,Tabla11[[#This Row],[Cuenta]],1))</f>
        <v>1</v>
      </c>
      <c r="U361" t="b">
        <f>+ISNUMBER(SEARCH('F-COMPRA'!$F$37,Tabla11[[#This Row],[Cuenta]],1))</f>
        <v>1</v>
      </c>
      <c r="V361" t="b">
        <f>+ISNUMBER(SEARCH(#REF!,Tabla11[[#This Row],[Cuenta]],1))</f>
        <v>0</v>
      </c>
      <c r="W361" t="b">
        <f>+ISNUMBER(SEARCH('F-COMPRA'!#REF!,Tabla11[[#This Row],[Cuenta]],1))</f>
        <v>0</v>
      </c>
      <c r="X361" t="b">
        <f>+ISNUMBER(SEARCH('F-COMPRA'!#REF!,Tabla11[[#This Row],[Cuenta]],1))</f>
        <v>0</v>
      </c>
      <c r="Y361" t="b">
        <f>+ISNUMBER(SEARCH('F-COMPRA'!#REF!,Tabla11[[#This Row],[Cuenta]],1))</f>
        <v>0</v>
      </c>
      <c r="Z361" t="b">
        <f>+ISNUMBER(SEARCH('F-COMPRA'!#REF!,Tabla11[[#This Row],[Cuenta]],1))</f>
        <v>0</v>
      </c>
      <c r="AA361" t="b">
        <f>+ISNUMBER(SEARCH('F-COMPRA'!#REF!,Tabla11[[#This Row],[Cuenta]],1))</f>
        <v>0</v>
      </c>
      <c r="AB361" t="b">
        <f>+ISNUMBER(SEARCH('F-COMPRA'!#REF!,Tabla11[[#This Row],[Cuenta]],1))</f>
        <v>0</v>
      </c>
      <c r="AC361" t="b">
        <f>+ISNUMBER(SEARCH('F-COMPRA'!#REF!,Tabla11[[#This Row],[Cuenta]],1))</f>
        <v>0</v>
      </c>
      <c r="AD361" t="b">
        <f>+ISNUMBER(SEARCH('F-COMPRA'!#REF!,Tabla11[[#This Row],[Cuenta]],1))</f>
        <v>0</v>
      </c>
      <c r="AE361" t="b">
        <f>+ISNUMBER(SEARCH('F-COMPRA'!#REF!,Tabla11[[#This Row],[Cuenta]],1))</f>
        <v>0</v>
      </c>
      <c r="AF361" t="b">
        <f>+ISNUMBER(SEARCH('F-VTA'!$G$23,Tabla11[[#This Row],[Cuenta]],1))</f>
        <v>0</v>
      </c>
      <c r="AG361" t="b">
        <f>+ISNUMBER(SEARCH('F-VTA'!$G$24,Tabla11[[#This Row],[Cuenta]],1))</f>
        <v>0</v>
      </c>
      <c r="AH361" t="b">
        <f>+ISNUMBER(SEARCH('F-VTA'!$G$25,Tabla11[[#This Row],[Cuenta]],1))</f>
        <v>0</v>
      </c>
      <c r="AI361" t="b">
        <f>+ISNUMBER(SEARCH('F-VTA'!$F$28,Tabla11[[#This Row],[Cuenta]],1))</f>
        <v>1</v>
      </c>
      <c r="AJ361" t="b">
        <f>+ISNUMBER(SEARCH('F-VTA'!$F$29,Tabla11[[#This Row],[Cuenta]],1))</f>
        <v>1</v>
      </c>
      <c r="AK361" t="b">
        <f>+ISNUMBER(SEARCH('F-VTA'!$F$30,Tabla11[[#This Row],[Cuenta]],1))</f>
        <v>1</v>
      </c>
      <c r="AL361" t="b">
        <f>+ISNUMBER(SEARCH('F-VTA'!$F$31,Tabla11[[#This Row],[Cuenta]],1))</f>
        <v>1</v>
      </c>
      <c r="AM361" t="b">
        <f>+ISNUMBER(SEARCH('F-VTA'!$F$32,Tabla11[[#This Row],[Cuenta]],1))</f>
        <v>1</v>
      </c>
      <c r="AN361" t="b">
        <f>+ISNUMBER(SEARCH('F-VTA'!$F$33,Tabla11[[#This Row],[Cuenta]],1))</f>
        <v>1</v>
      </c>
      <c r="AO361" t="b">
        <f>+ISNUMBER(SEARCH('F-VTA'!$F$34,Tabla11[[#This Row],[Cuenta]],1))</f>
        <v>1</v>
      </c>
      <c r="AP361" t="b">
        <f>+ISNUMBER(SEARCH('F-VTA'!$F$35,Tabla11[[#This Row],[Cuenta]],1))</f>
        <v>1</v>
      </c>
      <c r="AQ361" t="b">
        <f>+ISNUMBER(SEARCH('F-VTA'!$F$36,Tabla11[[#This Row],[Cuenta]],1))</f>
        <v>1</v>
      </c>
      <c r="AR361" t="b">
        <f>+ISNUMBER(SEARCH(#REF!,Tabla11[[#This Row],[Cuenta]],1))</f>
        <v>0</v>
      </c>
      <c r="AS361" t="b">
        <f>+ISNUMBER(SEARCH(#REF!,Tabla11[[#This Row],[Cuenta]],1))</f>
        <v>0</v>
      </c>
      <c r="AT361" t="b">
        <f>+ISNUMBER(SEARCH(#REF!,Tabla11[[#This Row],[Cuenta]],1))</f>
        <v>0</v>
      </c>
      <c r="AU361" t="b">
        <f>+ISNUMBER(SEARCH('Conc. Ban.1'!$I$9,Tabla11[[#This Row],[Cuenta]],1))</f>
        <v>0</v>
      </c>
      <c r="AV361" t="b">
        <f>+ISNUMBER(SEARCH(CompConta!$F$21,Tabla11[[#This Row],[Cuenta]],1))</f>
        <v>1</v>
      </c>
      <c r="AW361" t="b">
        <f>+ISNUMBER(SEARCH(CompConta!$F$22,Tabla11[[#This Row],[Cuenta]],1))</f>
        <v>1</v>
      </c>
      <c r="AX361" t="b">
        <f>+ISNUMBER(SEARCH(CompConta!$F$23,Tabla11[[#This Row],[Cuenta]],1))</f>
        <v>1</v>
      </c>
      <c r="AY361" t="b">
        <f>+ISNUMBER(SEARCH(CompConta!$F$24,Tabla11[[#This Row],[Cuenta]],1))</f>
        <v>1</v>
      </c>
      <c r="AZ361" t="b">
        <f>+ISNUMBER(SEARCH(CompConta!$F$25,Tabla11[[#This Row],[Cuenta]],1))</f>
        <v>1</v>
      </c>
      <c r="BA361" t="b">
        <f>+ISNUMBER(SEARCH(CompConta!$F$26,Tabla11[[#This Row],[Cuenta]],1))</f>
        <v>1</v>
      </c>
      <c r="BB361" t="b">
        <f>+ISNUMBER(SEARCH(CompConta!$F$27,Tabla11[[#This Row],[Cuenta]],1))</f>
        <v>1</v>
      </c>
      <c r="BC361" t="b">
        <f>+ISNUMBER(SEARCH(CompConta!$F$28,Tabla11[[#This Row],[Cuenta]],1))</f>
        <v>1</v>
      </c>
      <c r="BD361" t="b">
        <f>+ISNUMBER(SEARCH(CompConta!$F$29,Tabla11[[#This Row],[Cuenta]],1))</f>
        <v>1</v>
      </c>
      <c r="BE361" t="b">
        <f>+ISNUMBER(SEARCH(CompConta!$F$30,Tabla11[[#This Row],[Cuenta]],1))</f>
        <v>1</v>
      </c>
      <c r="BF361" t="b">
        <f>+ISNUMBER(SEARCH('PAGO Compras'!$E$11,Tabla11[[#This Row],[Cuenta]],1))</f>
        <v>1</v>
      </c>
      <c r="BG361" t="b">
        <f>+ISNUMBER(SEARCH(#REF!,Tabla11[[#This Row],[Cuenta]],1))</f>
        <v>0</v>
      </c>
      <c r="BH361" t="b">
        <f>+ISNUMBER(SEARCH(#REF!,Tabla11[[#This Row],[Cuenta]],1))</f>
        <v>0</v>
      </c>
      <c r="BI361" t="b">
        <f>+ISNUMBER(SEARCH(#REF!,Tabla11[[#This Row],[Cuenta]],1))</f>
        <v>0</v>
      </c>
      <c r="BJ361" t="b">
        <f>+ISNUMBER(SEARCH(#REF!,Tabla11[[#This Row],[Cuenta]],1))</f>
        <v>0</v>
      </c>
      <c r="BS361" t="str">
        <v>191020 Equipo de computación y comunicación</v>
      </c>
      <c r="BT361" t="str">
        <v>191020 Equipo de computación y comunicación</v>
      </c>
      <c r="BU361" t="str">
        <v>191020 Equipo de computación y comunicación</v>
      </c>
      <c r="BV361" t="str">
        <v>191020 Equipo de computación y comunicación</v>
      </c>
      <c r="BZ361" t="str">
        <v>191020 Equipo de computación y comunicación</v>
      </c>
      <c r="CA361" t="str">
        <v>191020 Equipo de computación y comunicación</v>
      </c>
      <c r="CB361" t="str">
        <v>191020 Equipo de computación y comunicación</v>
      </c>
      <c r="CC361" t="str">
        <v>191020 Equipo de computación y comunicación</v>
      </c>
      <c r="CD361" t="str">
        <v>191020 Equipo de computación y comunicación</v>
      </c>
      <c r="CE361" t="str">
        <v>191020 Equipo de computación y comunicación</v>
      </c>
      <c r="CS361" s="141" t="str">
        <v>191020 Equipo de computación y comunicación</v>
      </c>
      <c r="CT361" s="141" t="str">
        <v>191020 Equipo de computación y comunicación</v>
      </c>
      <c r="CU361" s="141" t="str">
        <v>191020 Equipo de computación y comunicación</v>
      </c>
      <c r="CV361" s="141" t="str">
        <v>191020 Equipo de computación y comunicación</v>
      </c>
      <c r="CW361" s="141" t="str">
        <v>191020 Equipo de computación y comunicación</v>
      </c>
      <c r="CX361" s="141" t="str">
        <v>191020 Equipo de computación y comunicación</v>
      </c>
      <c r="CY361" s="141" t="str">
        <v>191020 Equipo de computación y comunicación</v>
      </c>
      <c r="CZ361" s="141" t="str">
        <v>191020 Equipo de computación y comunicación</v>
      </c>
      <c r="DA361" s="141" t="str">
        <v>191020 Equipo de computación y comunicación</v>
      </c>
      <c r="DF361" t="str">
        <v>191020 Equipo de computación y comunicación</v>
      </c>
      <c r="DG361" t="str">
        <v>191020 Equipo de computación y comunicación</v>
      </c>
      <c r="DH361" t="str">
        <v>191020 Equipo de computación y comunicación</v>
      </c>
      <c r="DI361" t="str">
        <v>191020 Equipo de computación y comunicación</v>
      </c>
      <c r="DJ361" t="str">
        <v>191020 Equipo de computación y comunicación</v>
      </c>
      <c r="DK361" t="str">
        <v>191020 Equipo de computación y comunicación</v>
      </c>
      <c r="DL361" t="str">
        <v>191020 Equipo de computación y comunicación</v>
      </c>
      <c r="DM361" t="str">
        <v>191020 Equipo de computación y comunicación</v>
      </c>
      <c r="DN361" t="str">
        <v>191020 Equipo de computación y comunicación</v>
      </c>
      <c r="DO361" t="str">
        <v>191020 Equipo de computación y comunicación</v>
      </c>
      <c r="DP361" t="str">
        <v>191020 Equipo de computación y comunicación</v>
      </c>
    </row>
    <row r="362" spans="4:120" ht="12.75">
      <c r="D362" s="7">
        <v>191028</v>
      </c>
      <c r="E362" s="6" t="s">
        <v>132</v>
      </c>
      <c r="F362" s="5">
        <v>4</v>
      </c>
      <c r="G362" s="34" t="s">
        <v>822</v>
      </c>
      <c r="H362" s="8" t="s">
        <v>32</v>
      </c>
      <c r="I362" t="b">
        <f>+ISNUMBER(SEARCH('F-COMPRA'!$F$28,Tabla11[[#This Row],[Cuenta]],1))</f>
        <v>1</v>
      </c>
      <c r="J362" t="b">
        <f>+ISNUMBER(SEARCH('F-COMPRA'!$F$29,Tabla11[[#This Row],[Cuenta]],1))</f>
        <v>1</v>
      </c>
      <c r="K362" t="b">
        <f>+ISNUMBER(SEARCH('F-COMPRA'!$F$30,Tabla11[[#This Row],[Cuenta]],1))</f>
        <v>1</v>
      </c>
      <c r="L362" t="b">
        <f>+ISNUMBER(SEARCH('F-COMPRA'!$F$31,Tabla11[[#This Row],[Cuenta]],1))</f>
        <v>1</v>
      </c>
      <c r="M362" t="b">
        <f>+ISNUMBER(SEARCH('F-COMPRA'!$G$25,Tabla11[[#This Row],[Cuenta]],1))</f>
        <v>0</v>
      </c>
      <c r="N362" t="b">
        <f>+ISNUMBER(SEARCH(#REF!,Tabla11[[#This Row],[Cuenta]],1))</f>
        <v>0</v>
      </c>
      <c r="O362" t="b">
        <f>+ISNUMBER(SEARCH(#REF!,Tabla11[[#This Row],[Cuenta]],1))</f>
        <v>0</v>
      </c>
      <c r="P362" t="b">
        <f>+ISNUMBER(SEARCH('F-COMPRA'!$F$32,Tabla11[[#This Row],[Cuenta]],1))</f>
        <v>1</v>
      </c>
      <c r="Q362" t="b">
        <f>+ISNUMBER(SEARCH('F-COMPRA'!$F$33,Tabla11[[#This Row],[Cuenta]],1))</f>
        <v>1</v>
      </c>
      <c r="R362" t="b">
        <f>+ISNUMBER(SEARCH('F-COMPRA'!$F$34,Tabla11[[#This Row],[Cuenta]],1))</f>
        <v>1</v>
      </c>
      <c r="S362" t="b">
        <f>+ISNUMBER(SEARCH('F-COMPRA'!$F$35,Tabla11[[#This Row],[Cuenta]],1))</f>
        <v>1</v>
      </c>
      <c r="T362" t="b">
        <f>+ISNUMBER(SEARCH('F-COMPRA'!$F$36,Tabla11[[#This Row],[Cuenta]],1))</f>
        <v>1</v>
      </c>
      <c r="U362" t="b">
        <f>+ISNUMBER(SEARCH('F-COMPRA'!$F$37,Tabla11[[#This Row],[Cuenta]],1))</f>
        <v>1</v>
      </c>
      <c r="V362" t="b">
        <f>+ISNUMBER(SEARCH(#REF!,Tabla11[[#This Row],[Cuenta]],1))</f>
        <v>0</v>
      </c>
      <c r="W362" t="b">
        <f>+ISNUMBER(SEARCH('F-COMPRA'!#REF!,Tabla11[[#This Row],[Cuenta]],1))</f>
        <v>0</v>
      </c>
      <c r="X362" t="b">
        <f>+ISNUMBER(SEARCH('F-COMPRA'!#REF!,Tabla11[[#This Row],[Cuenta]],1))</f>
        <v>0</v>
      </c>
      <c r="Y362" t="b">
        <f>+ISNUMBER(SEARCH('F-COMPRA'!#REF!,Tabla11[[#This Row],[Cuenta]],1))</f>
        <v>0</v>
      </c>
      <c r="Z362" t="b">
        <f>+ISNUMBER(SEARCH('F-COMPRA'!#REF!,Tabla11[[#This Row],[Cuenta]],1))</f>
        <v>0</v>
      </c>
      <c r="AA362" t="b">
        <f>+ISNUMBER(SEARCH('F-COMPRA'!#REF!,Tabla11[[#This Row],[Cuenta]],1))</f>
        <v>0</v>
      </c>
      <c r="AB362" t="b">
        <f>+ISNUMBER(SEARCH('F-COMPRA'!#REF!,Tabla11[[#This Row],[Cuenta]],1))</f>
        <v>0</v>
      </c>
      <c r="AC362" t="b">
        <f>+ISNUMBER(SEARCH('F-COMPRA'!#REF!,Tabla11[[#This Row],[Cuenta]],1))</f>
        <v>0</v>
      </c>
      <c r="AD362" t="b">
        <f>+ISNUMBER(SEARCH('F-COMPRA'!#REF!,Tabla11[[#This Row],[Cuenta]],1))</f>
        <v>0</v>
      </c>
      <c r="AE362" t="b">
        <f>+ISNUMBER(SEARCH('F-COMPRA'!#REF!,Tabla11[[#This Row],[Cuenta]],1))</f>
        <v>0</v>
      </c>
      <c r="AF362" t="b">
        <f>+ISNUMBER(SEARCH('F-VTA'!$G$23,Tabla11[[#This Row],[Cuenta]],1))</f>
        <v>0</v>
      </c>
      <c r="AG362" t="b">
        <f>+ISNUMBER(SEARCH('F-VTA'!$G$24,Tabla11[[#This Row],[Cuenta]],1))</f>
        <v>0</v>
      </c>
      <c r="AH362" t="b">
        <f>+ISNUMBER(SEARCH('F-VTA'!$G$25,Tabla11[[#This Row],[Cuenta]],1))</f>
        <v>0</v>
      </c>
      <c r="AI362" t="b">
        <f>+ISNUMBER(SEARCH('F-VTA'!$F$28,Tabla11[[#This Row],[Cuenta]],1))</f>
        <v>1</v>
      </c>
      <c r="AJ362" t="b">
        <f>+ISNUMBER(SEARCH('F-VTA'!$F$29,Tabla11[[#This Row],[Cuenta]],1))</f>
        <v>1</v>
      </c>
      <c r="AK362" t="b">
        <f>+ISNUMBER(SEARCH('F-VTA'!$F$30,Tabla11[[#This Row],[Cuenta]],1))</f>
        <v>1</v>
      </c>
      <c r="AL362" t="b">
        <f>+ISNUMBER(SEARCH('F-VTA'!$F$31,Tabla11[[#This Row],[Cuenta]],1))</f>
        <v>1</v>
      </c>
      <c r="AM362" t="b">
        <f>+ISNUMBER(SEARCH('F-VTA'!$F$32,Tabla11[[#This Row],[Cuenta]],1))</f>
        <v>1</v>
      </c>
      <c r="AN362" t="b">
        <f>+ISNUMBER(SEARCH('F-VTA'!$F$33,Tabla11[[#This Row],[Cuenta]],1))</f>
        <v>1</v>
      </c>
      <c r="AO362" t="b">
        <f>+ISNUMBER(SEARCH('F-VTA'!$F$34,Tabla11[[#This Row],[Cuenta]],1))</f>
        <v>1</v>
      </c>
      <c r="AP362" t="b">
        <f>+ISNUMBER(SEARCH('F-VTA'!$F$35,Tabla11[[#This Row],[Cuenta]],1))</f>
        <v>1</v>
      </c>
      <c r="AQ362" t="b">
        <f>+ISNUMBER(SEARCH('F-VTA'!$F$36,Tabla11[[#This Row],[Cuenta]],1))</f>
        <v>1</v>
      </c>
      <c r="AR362" t="b">
        <f>+ISNUMBER(SEARCH(#REF!,Tabla11[[#This Row],[Cuenta]],1))</f>
        <v>0</v>
      </c>
      <c r="AS362" t="b">
        <f>+ISNUMBER(SEARCH(#REF!,Tabla11[[#This Row],[Cuenta]],1))</f>
        <v>0</v>
      </c>
      <c r="AT362" t="b">
        <f>+ISNUMBER(SEARCH(#REF!,Tabla11[[#This Row],[Cuenta]],1))</f>
        <v>0</v>
      </c>
      <c r="AU362" t="b">
        <f>+ISNUMBER(SEARCH('Conc. Ban.1'!$I$9,Tabla11[[#This Row],[Cuenta]],1))</f>
        <v>0</v>
      </c>
      <c r="AV362" t="b">
        <f>+ISNUMBER(SEARCH(CompConta!$F$21,Tabla11[[#This Row],[Cuenta]],1))</f>
        <v>1</v>
      </c>
      <c r="AW362" t="b">
        <f>+ISNUMBER(SEARCH(CompConta!$F$22,Tabla11[[#This Row],[Cuenta]],1))</f>
        <v>1</v>
      </c>
      <c r="AX362" t="b">
        <f>+ISNUMBER(SEARCH(CompConta!$F$23,Tabla11[[#This Row],[Cuenta]],1))</f>
        <v>1</v>
      </c>
      <c r="AY362" t="b">
        <f>+ISNUMBER(SEARCH(CompConta!$F$24,Tabla11[[#This Row],[Cuenta]],1))</f>
        <v>1</v>
      </c>
      <c r="AZ362" t="b">
        <f>+ISNUMBER(SEARCH(CompConta!$F$25,Tabla11[[#This Row],[Cuenta]],1))</f>
        <v>1</v>
      </c>
      <c r="BA362" t="b">
        <f>+ISNUMBER(SEARCH(CompConta!$F$26,Tabla11[[#This Row],[Cuenta]],1))</f>
        <v>1</v>
      </c>
      <c r="BB362" t="b">
        <f>+ISNUMBER(SEARCH(CompConta!$F$27,Tabla11[[#This Row],[Cuenta]],1))</f>
        <v>1</v>
      </c>
      <c r="BC362" t="b">
        <f>+ISNUMBER(SEARCH(CompConta!$F$28,Tabla11[[#This Row],[Cuenta]],1))</f>
        <v>1</v>
      </c>
      <c r="BD362" t="b">
        <f>+ISNUMBER(SEARCH(CompConta!$F$29,Tabla11[[#This Row],[Cuenta]],1))</f>
        <v>1</v>
      </c>
      <c r="BE362" t="b">
        <f>+ISNUMBER(SEARCH(CompConta!$F$30,Tabla11[[#This Row],[Cuenta]],1))</f>
        <v>1</v>
      </c>
      <c r="BF362" t="b">
        <f>+ISNUMBER(SEARCH('PAGO Compras'!$E$11,Tabla11[[#This Row],[Cuenta]],1))</f>
        <v>1</v>
      </c>
      <c r="BG362" t="b">
        <f>+ISNUMBER(SEARCH(#REF!,Tabla11[[#This Row],[Cuenta]],1))</f>
        <v>0</v>
      </c>
      <c r="BH362" t="b">
        <f>+ISNUMBER(SEARCH(#REF!,Tabla11[[#This Row],[Cuenta]],1))</f>
        <v>0</v>
      </c>
      <c r="BI362" t="b">
        <f>+ISNUMBER(SEARCH(#REF!,Tabla11[[#This Row],[Cuenta]],1))</f>
        <v>0</v>
      </c>
      <c r="BJ362" t="b">
        <f>+ISNUMBER(SEARCH(#REF!,Tabla11[[#This Row],[Cuenta]],1))</f>
        <v>0</v>
      </c>
      <c r="BS362" t="str">
        <v>191028 Equipo de hoteles y restaurantes</v>
      </c>
      <c r="BT362" t="str">
        <v>191028 Equipo de hoteles y restaurantes</v>
      </c>
      <c r="BU362" t="str">
        <v>191028 Equipo de hoteles y restaurantes</v>
      </c>
      <c r="BV362" t="str">
        <v>191028 Equipo de hoteles y restaurantes</v>
      </c>
      <c r="BZ362" t="str">
        <v>191028 Equipo de hoteles y restaurantes</v>
      </c>
      <c r="CA362" t="str">
        <v>191028 Equipo de hoteles y restaurantes</v>
      </c>
      <c r="CB362" t="str">
        <v>191028 Equipo de hoteles y restaurantes</v>
      </c>
      <c r="CC362" t="str">
        <v>191028 Equipo de hoteles y restaurantes</v>
      </c>
      <c r="CD362" t="str">
        <v>191028 Equipo de hoteles y restaurantes</v>
      </c>
      <c r="CE362" t="str">
        <v>191028 Equipo de hoteles y restaurantes</v>
      </c>
      <c r="CS362" s="141" t="str">
        <v>191028 Equipo de hoteles y restaurantes</v>
      </c>
      <c r="CT362" s="141" t="str">
        <v>191028 Equipo de hoteles y restaurantes</v>
      </c>
      <c r="CU362" s="141" t="str">
        <v>191028 Equipo de hoteles y restaurantes</v>
      </c>
      <c r="CV362" s="141" t="str">
        <v>191028 Equipo de hoteles y restaurantes</v>
      </c>
      <c r="CW362" s="141" t="str">
        <v>191028 Equipo de hoteles y restaurantes</v>
      </c>
      <c r="CX362" s="141" t="str">
        <v>191028 Equipo de hoteles y restaurantes</v>
      </c>
      <c r="CY362" s="141" t="str">
        <v>191028 Equipo de hoteles y restaurantes</v>
      </c>
      <c r="CZ362" s="141" t="str">
        <v>191028 Equipo de hoteles y restaurantes</v>
      </c>
      <c r="DA362" s="141" t="str">
        <v>191028 Equipo de hoteles y restaurantes</v>
      </c>
      <c r="DF362" t="str">
        <v>191028 Equipo de hoteles y restaurantes</v>
      </c>
      <c r="DG362" t="str">
        <v>191028 Equipo de hoteles y restaurantes</v>
      </c>
      <c r="DH362" t="str">
        <v>191028 Equipo de hoteles y restaurantes</v>
      </c>
      <c r="DI362" t="str">
        <v>191028 Equipo de hoteles y restaurantes</v>
      </c>
      <c r="DJ362" t="str">
        <v>191028 Equipo de hoteles y restaurantes</v>
      </c>
      <c r="DK362" t="str">
        <v>191028 Equipo de hoteles y restaurantes</v>
      </c>
      <c r="DL362" t="str">
        <v>191028 Equipo de hoteles y restaurantes</v>
      </c>
      <c r="DM362" t="str">
        <v>191028 Equipo de hoteles y restaurantes</v>
      </c>
      <c r="DN362" t="str">
        <v>191028 Equipo de hoteles y restaurantes</v>
      </c>
      <c r="DO362" t="str">
        <v>191028 Equipo de hoteles y restaurantes</v>
      </c>
      <c r="DP362" t="str">
        <v>191028 Equipo de hoteles y restaurantes</v>
      </c>
    </row>
    <row r="363" spans="4:120" ht="12.75">
      <c r="D363" s="7">
        <v>191032</v>
      </c>
      <c r="E363" s="6" t="s">
        <v>133</v>
      </c>
      <c r="F363" s="5">
        <v>4</v>
      </c>
      <c r="G363" s="34" t="s">
        <v>822</v>
      </c>
      <c r="H363" s="8" t="s">
        <v>32</v>
      </c>
      <c r="I363" t="b">
        <f>+ISNUMBER(SEARCH('F-COMPRA'!$F$28,Tabla11[[#This Row],[Cuenta]],1))</f>
        <v>1</v>
      </c>
      <c r="J363" t="b">
        <f>+ISNUMBER(SEARCH('F-COMPRA'!$F$29,Tabla11[[#This Row],[Cuenta]],1))</f>
        <v>1</v>
      </c>
      <c r="K363" t="b">
        <f>+ISNUMBER(SEARCH('F-COMPRA'!$F$30,Tabla11[[#This Row],[Cuenta]],1))</f>
        <v>1</v>
      </c>
      <c r="L363" t="b">
        <f>+ISNUMBER(SEARCH('F-COMPRA'!$F$31,Tabla11[[#This Row],[Cuenta]],1))</f>
        <v>1</v>
      </c>
      <c r="M363" t="b">
        <f>+ISNUMBER(SEARCH('F-COMPRA'!$G$25,Tabla11[[#This Row],[Cuenta]],1))</f>
        <v>0</v>
      </c>
      <c r="N363" t="b">
        <f>+ISNUMBER(SEARCH(#REF!,Tabla11[[#This Row],[Cuenta]],1))</f>
        <v>0</v>
      </c>
      <c r="O363" t="b">
        <f>+ISNUMBER(SEARCH(#REF!,Tabla11[[#This Row],[Cuenta]],1))</f>
        <v>0</v>
      </c>
      <c r="P363" t="b">
        <f>+ISNUMBER(SEARCH('F-COMPRA'!$F$32,Tabla11[[#This Row],[Cuenta]],1))</f>
        <v>1</v>
      </c>
      <c r="Q363" t="b">
        <f>+ISNUMBER(SEARCH('F-COMPRA'!$F$33,Tabla11[[#This Row],[Cuenta]],1))</f>
        <v>1</v>
      </c>
      <c r="R363" t="b">
        <f>+ISNUMBER(SEARCH('F-COMPRA'!$F$34,Tabla11[[#This Row],[Cuenta]],1))</f>
        <v>1</v>
      </c>
      <c r="S363" t="b">
        <f>+ISNUMBER(SEARCH('F-COMPRA'!$F$35,Tabla11[[#This Row],[Cuenta]],1))</f>
        <v>1</v>
      </c>
      <c r="T363" t="b">
        <f>+ISNUMBER(SEARCH('F-COMPRA'!$F$36,Tabla11[[#This Row],[Cuenta]],1))</f>
        <v>1</v>
      </c>
      <c r="U363" t="b">
        <f>+ISNUMBER(SEARCH('F-COMPRA'!$F$37,Tabla11[[#This Row],[Cuenta]],1))</f>
        <v>1</v>
      </c>
      <c r="V363" t="b">
        <f>+ISNUMBER(SEARCH(#REF!,Tabla11[[#This Row],[Cuenta]],1))</f>
        <v>0</v>
      </c>
      <c r="W363" t="b">
        <f>+ISNUMBER(SEARCH('F-COMPRA'!#REF!,Tabla11[[#This Row],[Cuenta]],1))</f>
        <v>0</v>
      </c>
      <c r="X363" t="b">
        <f>+ISNUMBER(SEARCH('F-COMPRA'!#REF!,Tabla11[[#This Row],[Cuenta]],1))</f>
        <v>0</v>
      </c>
      <c r="Y363" t="b">
        <f>+ISNUMBER(SEARCH('F-COMPRA'!#REF!,Tabla11[[#This Row],[Cuenta]],1))</f>
        <v>0</v>
      </c>
      <c r="Z363" t="b">
        <f>+ISNUMBER(SEARCH('F-COMPRA'!#REF!,Tabla11[[#This Row],[Cuenta]],1))</f>
        <v>0</v>
      </c>
      <c r="AA363" t="b">
        <f>+ISNUMBER(SEARCH('F-COMPRA'!#REF!,Tabla11[[#This Row],[Cuenta]],1))</f>
        <v>0</v>
      </c>
      <c r="AB363" t="b">
        <f>+ISNUMBER(SEARCH('F-COMPRA'!#REF!,Tabla11[[#This Row],[Cuenta]],1))</f>
        <v>0</v>
      </c>
      <c r="AC363" t="b">
        <f>+ISNUMBER(SEARCH('F-COMPRA'!#REF!,Tabla11[[#This Row],[Cuenta]],1))</f>
        <v>0</v>
      </c>
      <c r="AD363" t="b">
        <f>+ISNUMBER(SEARCH('F-COMPRA'!#REF!,Tabla11[[#This Row],[Cuenta]],1))</f>
        <v>0</v>
      </c>
      <c r="AE363" t="b">
        <f>+ISNUMBER(SEARCH('F-COMPRA'!#REF!,Tabla11[[#This Row],[Cuenta]],1))</f>
        <v>0</v>
      </c>
      <c r="AF363" t="b">
        <f>+ISNUMBER(SEARCH('F-VTA'!$G$23,Tabla11[[#This Row],[Cuenta]],1))</f>
        <v>0</v>
      </c>
      <c r="AG363" t="b">
        <f>+ISNUMBER(SEARCH('F-VTA'!$G$24,Tabla11[[#This Row],[Cuenta]],1))</f>
        <v>0</v>
      </c>
      <c r="AH363" t="b">
        <f>+ISNUMBER(SEARCH('F-VTA'!$G$25,Tabla11[[#This Row],[Cuenta]],1))</f>
        <v>0</v>
      </c>
      <c r="AI363" t="b">
        <f>+ISNUMBER(SEARCH('F-VTA'!$F$28,Tabla11[[#This Row],[Cuenta]],1))</f>
        <v>1</v>
      </c>
      <c r="AJ363" t="b">
        <f>+ISNUMBER(SEARCH('F-VTA'!$F$29,Tabla11[[#This Row],[Cuenta]],1))</f>
        <v>1</v>
      </c>
      <c r="AK363" t="b">
        <f>+ISNUMBER(SEARCH('F-VTA'!$F$30,Tabla11[[#This Row],[Cuenta]],1))</f>
        <v>1</v>
      </c>
      <c r="AL363" t="b">
        <f>+ISNUMBER(SEARCH('F-VTA'!$F$31,Tabla11[[#This Row],[Cuenta]],1))</f>
        <v>1</v>
      </c>
      <c r="AM363" t="b">
        <f>+ISNUMBER(SEARCH('F-VTA'!$F$32,Tabla11[[#This Row],[Cuenta]],1))</f>
        <v>1</v>
      </c>
      <c r="AN363" t="b">
        <f>+ISNUMBER(SEARCH('F-VTA'!$F$33,Tabla11[[#This Row],[Cuenta]],1))</f>
        <v>1</v>
      </c>
      <c r="AO363" t="b">
        <f>+ISNUMBER(SEARCH('F-VTA'!$F$34,Tabla11[[#This Row],[Cuenta]],1))</f>
        <v>1</v>
      </c>
      <c r="AP363" t="b">
        <f>+ISNUMBER(SEARCH('F-VTA'!$F$35,Tabla11[[#This Row],[Cuenta]],1))</f>
        <v>1</v>
      </c>
      <c r="AQ363" t="b">
        <f>+ISNUMBER(SEARCH('F-VTA'!$F$36,Tabla11[[#This Row],[Cuenta]],1))</f>
        <v>1</v>
      </c>
      <c r="AR363" t="b">
        <f>+ISNUMBER(SEARCH(#REF!,Tabla11[[#This Row],[Cuenta]],1))</f>
        <v>0</v>
      </c>
      <c r="AS363" t="b">
        <f>+ISNUMBER(SEARCH(#REF!,Tabla11[[#This Row],[Cuenta]],1))</f>
        <v>0</v>
      </c>
      <c r="AT363" t="b">
        <f>+ISNUMBER(SEARCH(#REF!,Tabla11[[#This Row],[Cuenta]],1))</f>
        <v>0</v>
      </c>
      <c r="AU363" t="b">
        <f>+ISNUMBER(SEARCH('Conc. Ban.1'!$I$9,Tabla11[[#This Row],[Cuenta]],1))</f>
        <v>0</v>
      </c>
      <c r="AV363" t="b">
        <f>+ISNUMBER(SEARCH(CompConta!$F$21,Tabla11[[#This Row],[Cuenta]],1))</f>
        <v>1</v>
      </c>
      <c r="AW363" t="b">
        <f>+ISNUMBER(SEARCH(CompConta!$F$22,Tabla11[[#This Row],[Cuenta]],1))</f>
        <v>1</v>
      </c>
      <c r="AX363" t="b">
        <f>+ISNUMBER(SEARCH(CompConta!$F$23,Tabla11[[#This Row],[Cuenta]],1))</f>
        <v>1</v>
      </c>
      <c r="AY363" t="b">
        <f>+ISNUMBER(SEARCH(CompConta!$F$24,Tabla11[[#This Row],[Cuenta]],1))</f>
        <v>1</v>
      </c>
      <c r="AZ363" t="b">
        <f>+ISNUMBER(SEARCH(CompConta!$F$25,Tabla11[[#This Row],[Cuenta]],1))</f>
        <v>1</v>
      </c>
      <c r="BA363" t="b">
        <f>+ISNUMBER(SEARCH(CompConta!$F$26,Tabla11[[#This Row],[Cuenta]],1))</f>
        <v>1</v>
      </c>
      <c r="BB363" t="b">
        <f>+ISNUMBER(SEARCH(CompConta!$F$27,Tabla11[[#This Row],[Cuenta]],1))</f>
        <v>1</v>
      </c>
      <c r="BC363" t="b">
        <f>+ISNUMBER(SEARCH(CompConta!$F$28,Tabla11[[#This Row],[Cuenta]],1))</f>
        <v>1</v>
      </c>
      <c r="BD363" t="b">
        <f>+ISNUMBER(SEARCH(CompConta!$F$29,Tabla11[[#This Row],[Cuenta]],1))</f>
        <v>1</v>
      </c>
      <c r="BE363" t="b">
        <f>+ISNUMBER(SEARCH(CompConta!$F$30,Tabla11[[#This Row],[Cuenta]],1))</f>
        <v>1</v>
      </c>
      <c r="BF363" t="b">
        <f>+ISNUMBER(SEARCH('PAGO Compras'!$E$11,Tabla11[[#This Row],[Cuenta]],1))</f>
        <v>1</v>
      </c>
      <c r="BG363" t="b">
        <f>+ISNUMBER(SEARCH(#REF!,Tabla11[[#This Row],[Cuenta]],1))</f>
        <v>0</v>
      </c>
      <c r="BH363" t="b">
        <f>+ISNUMBER(SEARCH(#REF!,Tabla11[[#This Row],[Cuenta]],1))</f>
        <v>0</v>
      </c>
      <c r="BI363" t="b">
        <f>+ISNUMBER(SEARCH(#REF!,Tabla11[[#This Row],[Cuenta]],1))</f>
        <v>0</v>
      </c>
      <c r="BJ363" t="b">
        <f>+ISNUMBER(SEARCH(#REF!,Tabla11[[#This Row],[Cuenta]],1))</f>
        <v>0</v>
      </c>
      <c r="BS363" t="str">
        <v>191032 Flota y equipo de transporte</v>
      </c>
      <c r="BT363" t="str">
        <v>191032 Flota y equipo de transporte</v>
      </c>
      <c r="BU363" t="str">
        <v>191032 Flota y equipo de transporte</v>
      </c>
      <c r="BV363" t="str">
        <v>191032 Flota y equipo de transporte</v>
      </c>
      <c r="BZ363" t="str">
        <v>191032 Flota y equipo de transporte</v>
      </c>
      <c r="CA363" t="str">
        <v>191032 Flota y equipo de transporte</v>
      </c>
      <c r="CB363" t="str">
        <v>191032 Flota y equipo de transporte</v>
      </c>
      <c r="CC363" t="str">
        <v>191032 Flota y equipo de transporte</v>
      </c>
      <c r="CD363" t="str">
        <v>191032 Flota y equipo de transporte</v>
      </c>
      <c r="CE363" t="str">
        <v>191032 Flota y equipo de transporte</v>
      </c>
      <c r="CS363" s="141" t="str">
        <v>191032 Flota y equipo de transporte</v>
      </c>
      <c r="CT363" s="141" t="str">
        <v>191032 Flota y equipo de transporte</v>
      </c>
      <c r="CU363" s="141" t="str">
        <v>191032 Flota y equipo de transporte</v>
      </c>
      <c r="CV363" s="141" t="str">
        <v>191032 Flota y equipo de transporte</v>
      </c>
      <c r="CW363" s="141" t="str">
        <v>191032 Flota y equipo de transporte</v>
      </c>
      <c r="CX363" s="141" t="str">
        <v>191032 Flota y equipo de transporte</v>
      </c>
      <c r="CY363" s="141" t="str">
        <v>191032 Flota y equipo de transporte</v>
      </c>
      <c r="CZ363" s="141" t="str">
        <v>191032 Flota y equipo de transporte</v>
      </c>
      <c r="DA363" s="141" t="str">
        <v>191032 Flota y equipo de transporte</v>
      </c>
      <c r="DF363" t="str">
        <v>191032 Flota y equipo de transporte</v>
      </c>
      <c r="DG363" t="str">
        <v>191032 Flota y equipo de transporte</v>
      </c>
      <c r="DH363" t="str">
        <v>191032 Flota y equipo de transporte</v>
      </c>
      <c r="DI363" t="str">
        <v>191032 Flota y equipo de transporte</v>
      </c>
      <c r="DJ363" t="str">
        <v>191032 Flota y equipo de transporte</v>
      </c>
      <c r="DK363" t="str">
        <v>191032 Flota y equipo de transporte</v>
      </c>
      <c r="DL363" t="str">
        <v>191032 Flota y equipo de transporte</v>
      </c>
      <c r="DM363" t="str">
        <v>191032 Flota y equipo de transporte</v>
      </c>
      <c r="DN363" t="str">
        <v>191032 Flota y equipo de transporte</v>
      </c>
      <c r="DO363" t="str">
        <v>191032 Flota y equipo de transporte</v>
      </c>
      <c r="DP363" t="str">
        <v>191032 Flota y equipo de transporte</v>
      </c>
    </row>
    <row r="364" spans="4:120" ht="12.75">
      <c r="D364" s="7">
        <v>191048</v>
      </c>
      <c r="E364" s="6" t="s">
        <v>122</v>
      </c>
      <c r="F364" s="5">
        <v>4</v>
      </c>
      <c r="G364" s="34" t="s">
        <v>822</v>
      </c>
      <c r="H364" s="8" t="s">
        <v>32</v>
      </c>
      <c r="I364" t="b">
        <f>+ISNUMBER(SEARCH('F-COMPRA'!$F$28,Tabla11[[#This Row],[Cuenta]],1))</f>
        <v>1</v>
      </c>
      <c r="J364" t="b">
        <f>+ISNUMBER(SEARCH('F-COMPRA'!$F$29,Tabla11[[#This Row],[Cuenta]],1))</f>
        <v>1</v>
      </c>
      <c r="K364" t="b">
        <f>+ISNUMBER(SEARCH('F-COMPRA'!$F$30,Tabla11[[#This Row],[Cuenta]],1))</f>
        <v>1</v>
      </c>
      <c r="L364" t="b">
        <f>+ISNUMBER(SEARCH('F-COMPRA'!$F$31,Tabla11[[#This Row],[Cuenta]],1))</f>
        <v>1</v>
      </c>
      <c r="M364" t="b">
        <f>+ISNUMBER(SEARCH('F-COMPRA'!$G$25,Tabla11[[#This Row],[Cuenta]],1))</f>
        <v>0</v>
      </c>
      <c r="N364" t="b">
        <f>+ISNUMBER(SEARCH(#REF!,Tabla11[[#This Row],[Cuenta]],1))</f>
        <v>0</v>
      </c>
      <c r="O364" t="b">
        <f>+ISNUMBER(SEARCH(#REF!,Tabla11[[#This Row],[Cuenta]],1))</f>
        <v>0</v>
      </c>
      <c r="P364" t="b">
        <f>+ISNUMBER(SEARCH('F-COMPRA'!$F$32,Tabla11[[#This Row],[Cuenta]],1))</f>
        <v>1</v>
      </c>
      <c r="Q364" t="b">
        <f>+ISNUMBER(SEARCH('F-COMPRA'!$F$33,Tabla11[[#This Row],[Cuenta]],1))</f>
        <v>1</v>
      </c>
      <c r="R364" t="b">
        <f>+ISNUMBER(SEARCH('F-COMPRA'!$F$34,Tabla11[[#This Row],[Cuenta]],1))</f>
        <v>1</v>
      </c>
      <c r="S364" t="b">
        <f>+ISNUMBER(SEARCH('F-COMPRA'!$F$35,Tabla11[[#This Row],[Cuenta]],1))</f>
        <v>1</v>
      </c>
      <c r="T364" t="b">
        <f>+ISNUMBER(SEARCH('F-COMPRA'!$F$36,Tabla11[[#This Row],[Cuenta]],1))</f>
        <v>1</v>
      </c>
      <c r="U364" t="b">
        <f>+ISNUMBER(SEARCH('F-COMPRA'!$F$37,Tabla11[[#This Row],[Cuenta]],1))</f>
        <v>1</v>
      </c>
      <c r="V364" t="b">
        <f>+ISNUMBER(SEARCH(#REF!,Tabla11[[#This Row],[Cuenta]],1))</f>
        <v>0</v>
      </c>
      <c r="W364" t="b">
        <f>+ISNUMBER(SEARCH('F-COMPRA'!#REF!,Tabla11[[#This Row],[Cuenta]],1))</f>
        <v>0</v>
      </c>
      <c r="X364" t="b">
        <f>+ISNUMBER(SEARCH('F-COMPRA'!#REF!,Tabla11[[#This Row],[Cuenta]],1))</f>
        <v>0</v>
      </c>
      <c r="Y364" t="b">
        <f>+ISNUMBER(SEARCH('F-COMPRA'!#REF!,Tabla11[[#This Row],[Cuenta]],1))</f>
        <v>0</v>
      </c>
      <c r="Z364" t="b">
        <f>+ISNUMBER(SEARCH('F-COMPRA'!#REF!,Tabla11[[#This Row],[Cuenta]],1))</f>
        <v>0</v>
      </c>
      <c r="AA364" t="b">
        <f>+ISNUMBER(SEARCH('F-COMPRA'!#REF!,Tabla11[[#This Row],[Cuenta]],1))</f>
        <v>0</v>
      </c>
      <c r="AB364" t="b">
        <f>+ISNUMBER(SEARCH('F-COMPRA'!#REF!,Tabla11[[#This Row],[Cuenta]],1))</f>
        <v>0</v>
      </c>
      <c r="AC364" t="b">
        <f>+ISNUMBER(SEARCH('F-COMPRA'!#REF!,Tabla11[[#This Row],[Cuenta]],1))</f>
        <v>0</v>
      </c>
      <c r="AD364" t="b">
        <f>+ISNUMBER(SEARCH('F-COMPRA'!#REF!,Tabla11[[#This Row],[Cuenta]],1))</f>
        <v>0</v>
      </c>
      <c r="AE364" t="b">
        <f>+ISNUMBER(SEARCH('F-COMPRA'!#REF!,Tabla11[[#This Row],[Cuenta]],1))</f>
        <v>0</v>
      </c>
      <c r="AF364" t="b">
        <f>+ISNUMBER(SEARCH('F-VTA'!$G$23,Tabla11[[#This Row],[Cuenta]],1))</f>
        <v>0</v>
      </c>
      <c r="AG364" t="b">
        <f>+ISNUMBER(SEARCH('F-VTA'!$G$24,Tabla11[[#This Row],[Cuenta]],1))</f>
        <v>0</v>
      </c>
      <c r="AH364" t="b">
        <f>+ISNUMBER(SEARCH('F-VTA'!$G$25,Tabla11[[#This Row],[Cuenta]],1))</f>
        <v>0</v>
      </c>
      <c r="AI364" t="b">
        <f>+ISNUMBER(SEARCH('F-VTA'!$F$28,Tabla11[[#This Row],[Cuenta]],1))</f>
        <v>1</v>
      </c>
      <c r="AJ364" t="b">
        <f>+ISNUMBER(SEARCH('F-VTA'!$F$29,Tabla11[[#This Row],[Cuenta]],1))</f>
        <v>1</v>
      </c>
      <c r="AK364" t="b">
        <f>+ISNUMBER(SEARCH('F-VTA'!$F$30,Tabla11[[#This Row],[Cuenta]],1))</f>
        <v>1</v>
      </c>
      <c r="AL364" t="b">
        <f>+ISNUMBER(SEARCH('F-VTA'!$F$31,Tabla11[[#This Row],[Cuenta]],1))</f>
        <v>1</v>
      </c>
      <c r="AM364" t="b">
        <f>+ISNUMBER(SEARCH('F-VTA'!$F$32,Tabla11[[#This Row],[Cuenta]],1))</f>
        <v>1</v>
      </c>
      <c r="AN364" t="b">
        <f>+ISNUMBER(SEARCH('F-VTA'!$F$33,Tabla11[[#This Row],[Cuenta]],1))</f>
        <v>1</v>
      </c>
      <c r="AO364" t="b">
        <f>+ISNUMBER(SEARCH('F-VTA'!$F$34,Tabla11[[#This Row],[Cuenta]],1))</f>
        <v>1</v>
      </c>
      <c r="AP364" t="b">
        <f>+ISNUMBER(SEARCH('F-VTA'!$F$35,Tabla11[[#This Row],[Cuenta]],1))</f>
        <v>1</v>
      </c>
      <c r="AQ364" t="b">
        <f>+ISNUMBER(SEARCH('F-VTA'!$F$36,Tabla11[[#This Row],[Cuenta]],1))</f>
        <v>1</v>
      </c>
      <c r="AR364" t="b">
        <f>+ISNUMBER(SEARCH(#REF!,Tabla11[[#This Row],[Cuenta]],1))</f>
        <v>0</v>
      </c>
      <c r="AS364" t="b">
        <f>+ISNUMBER(SEARCH(#REF!,Tabla11[[#This Row],[Cuenta]],1))</f>
        <v>0</v>
      </c>
      <c r="AT364" t="b">
        <f>+ISNUMBER(SEARCH(#REF!,Tabla11[[#This Row],[Cuenta]],1))</f>
        <v>0</v>
      </c>
      <c r="AU364" t="b">
        <f>+ISNUMBER(SEARCH('Conc. Ban.1'!$I$9,Tabla11[[#This Row],[Cuenta]],1))</f>
        <v>0</v>
      </c>
      <c r="AV364" t="b">
        <f>+ISNUMBER(SEARCH(CompConta!$F$21,Tabla11[[#This Row],[Cuenta]],1))</f>
        <v>1</v>
      </c>
      <c r="AW364" t="b">
        <f>+ISNUMBER(SEARCH(CompConta!$F$22,Tabla11[[#This Row],[Cuenta]],1))</f>
        <v>1</v>
      </c>
      <c r="AX364" t="b">
        <f>+ISNUMBER(SEARCH(CompConta!$F$23,Tabla11[[#This Row],[Cuenta]],1))</f>
        <v>1</v>
      </c>
      <c r="AY364" t="b">
        <f>+ISNUMBER(SEARCH(CompConta!$F$24,Tabla11[[#This Row],[Cuenta]],1))</f>
        <v>1</v>
      </c>
      <c r="AZ364" t="b">
        <f>+ISNUMBER(SEARCH(CompConta!$F$25,Tabla11[[#This Row],[Cuenta]],1))</f>
        <v>1</v>
      </c>
      <c r="BA364" t="b">
        <f>+ISNUMBER(SEARCH(CompConta!$F$26,Tabla11[[#This Row],[Cuenta]],1))</f>
        <v>1</v>
      </c>
      <c r="BB364" t="b">
        <f>+ISNUMBER(SEARCH(CompConta!$F$27,Tabla11[[#This Row],[Cuenta]],1))</f>
        <v>1</v>
      </c>
      <c r="BC364" t="b">
        <f>+ISNUMBER(SEARCH(CompConta!$F$28,Tabla11[[#This Row],[Cuenta]],1))</f>
        <v>1</v>
      </c>
      <c r="BD364" t="b">
        <f>+ISNUMBER(SEARCH(CompConta!$F$29,Tabla11[[#This Row],[Cuenta]],1))</f>
        <v>1</v>
      </c>
      <c r="BE364" t="b">
        <f>+ISNUMBER(SEARCH(CompConta!$F$30,Tabla11[[#This Row],[Cuenta]],1))</f>
        <v>1</v>
      </c>
      <c r="BF364" t="b">
        <f>+ISNUMBER(SEARCH('PAGO Compras'!$E$11,Tabla11[[#This Row],[Cuenta]],1))</f>
        <v>1</v>
      </c>
      <c r="BG364" t="b">
        <f>+ISNUMBER(SEARCH(#REF!,Tabla11[[#This Row],[Cuenta]],1))</f>
        <v>0</v>
      </c>
      <c r="BH364" t="b">
        <f>+ISNUMBER(SEARCH(#REF!,Tabla11[[#This Row],[Cuenta]],1))</f>
        <v>0</v>
      </c>
      <c r="BI364" t="b">
        <f>+ISNUMBER(SEARCH(#REF!,Tabla11[[#This Row],[Cuenta]],1))</f>
        <v>0</v>
      </c>
      <c r="BJ364" t="b">
        <f>+ISNUMBER(SEARCH(#REF!,Tabla11[[#This Row],[Cuenta]],1))</f>
        <v>0</v>
      </c>
      <c r="BS364" t="str">
        <v>191048 Acueductos, plantas y redes</v>
      </c>
      <c r="BT364" t="str">
        <v>191048 Acueductos, plantas y redes</v>
      </c>
      <c r="BU364" t="str">
        <v>191048 Acueductos, plantas y redes</v>
      </c>
      <c r="BV364" t="str">
        <v>191048 Acueductos, plantas y redes</v>
      </c>
      <c r="BZ364" t="str">
        <v>191048 Acueductos, plantas y redes</v>
      </c>
      <c r="CA364" t="str">
        <v>191048 Acueductos, plantas y redes</v>
      </c>
      <c r="CB364" t="str">
        <v>191048 Acueductos, plantas y redes</v>
      </c>
      <c r="CC364" t="str">
        <v>191048 Acueductos, plantas y redes</v>
      </c>
      <c r="CD364" t="str">
        <v>191048 Acueductos, plantas y redes</v>
      </c>
      <c r="CE364" t="str">
        <v>191048 Acueductos, plantas y redes</v>
      </c>
      <c r="CS364" s="141" t="str">
        <v>191048 Acueductos, plantas y redes</v>
      </c>
      <c r="CT364" s="141" t="str">
        <v>191048 Acueductos, plantas y redes</v>
      </c>
      <c r="CU364" s="141" t="str">
        <v>191048 Acueductos, plantas y redes</v>
      </c>
      <c r="CV364" s="141" t="str">
        <v>191048 Acueductos, plantas y redes</v>
      </c>
      <c r="CW364" s="141" t="str">
        <v>191048 Acueductos, plantas y redes</v>
      </c>
      <c r="CX364" s="141" t="str">
        <v>191048 Acueductos, plantas y redes</v>
      </c>
      <c r="CY364" s="141" t="str">
        <v>191048 Acueductos, plantas y redes</v>
      </c>
      <c r="CZ364" s="141" t="str">
        <v>191048 Acueductos, plantas y redes</v>
      </c>
      <c r="DA364" s="141" t="str">
        <v>191048 Acueductos, plantas y redes</v>
      </c>
      <c r="DF364" t="str">
        <v>191048 Acueductos, plantas y redes</v>
      </c>
      <c r="DG364" t="str">
        <v>191048 Acueductos, plantas y redes</v>
      </c>
      <c r="DH364" t="str">
        <v>191048 Acueductos, plantas y redes</v>
      </c>
      <c r="DI364" t="str">
        <v>191048 Acueductos, plantas y redes</v>
      </c>
      <c r="DJ364" t="str">
        <v>191048 Acueductos, plantas y redes</v>
      </c>
      <c r="DK364" t="str">
        <v>191048 Acueductos, plantas y redes</v>
      </c>
      <c r="DL364" t="str">
        <v>191048 Acueductos, plantas y redes</v>
      </c>
      <c r="DM364" t="str">
        <v>191048 Acueductos, plantas y redes</v>
      </c>
      <c r="DN364" t="str">
        <v>191048 Acueductos, plantas y redes</v>
      </c>
      <c r="DO364" t="str">
        <v>191048 Acueductos, plantas y redes</v>
      </c>
      <c r="DP364" t="str">
        <v>191048 Acueductos, plantas y redes</v>
      </c>
    </row>
    <row r="365" spans="4:120" ht="12.75">
      <c r="D365" s="7">
        <v>191052</v>
      </c>
      <c r="E365" s="6" t="s">
        <v>211</v>
      </c>
      <c r="F365" s="5">
        <v>4</v>
      </c>
      <c r="G365" s="34" t="s">
        <v>822</v>
      </c>
      <c r="H365" s="8" t="s">
        <v>32</v>
      </c>
      <c r="I365" t="b">
        <f>+ISNUMBER(SEARCH('F-COMPRA'!$F$28,Tabla11[[#This Row],[Cuenta]],1))</f>
        <v>1</v>
      </c>
      <c r="J365" t="b">
        <f>+ISNUMBER(SEARCH('F-COMPRA'!$F$29,Tabla11[[#This Row],[Cuenta]],1))</f>
        <v>1</v>
      </c>
      <c r="K365" t="b">
        <f>+ISNUMBER(SEARCH('F-COMPRA'!$F$30,Tabla11[[#This Row],[Cuenta]],1))</f>
        <v>1</v>
      </c>
      <c r="L365" t="b">
        <f>+ISNUMBER(SEARCH('F-COMPRA'!$F$31,Tabla11[[#This Row],[Cuenta]],1))</f>
        <v>1</v>
      </c>
      <c r="M365" t="b">
        <f>+ISNUMBER(SEARCH('F-COMPRA'!$G$25,Tabla11[[#This Row],[Cuenta]],1))</f>
        <v>0</v>
      </c>
      <c r="N365" t="b">
        <f>+ISNUMBER(SEARCH(#REF!,Tabla11[[#This Row],[Cuenta]],1))</f>
        <v>0</v>
      </c>
      <c r="O365" t="b">
        <f>+ISNUMBER(SEARCH(#REF!,Tabla11[[#This Row],[Cuenta]],1))</f>
        <v>0</v>
      </c>
      <c r="P365" t="b">
        <f>+ISNUMBER(SEARCH('F-COMPRA'!$F$32,Tabla11[[#This Row],[Cuenta]],1))</f>
        <v>1</v>
      </c>
      <c r="Q365" t="b">
        <f>+ISNUMBER(SEARCH('F-COMPRA'!$F$33,Tabla11[[#This Row],[Cuenta]],1))</f>
        <v>1</v>
      </c>
      <c r="R365" t="b">
        <f>+ISNUMBER(SEARCH('F-COMPRA'!$F$34,Tabla11[[#This Row],[Cuenta]],1))</f>
        <v>1</v>
      </c>
      <c r="S365" t="b">
        <f>+ISNUMBER(SEARCH('F-COMPRA'!$F$35,Tabla11[[#This Row],[Cuenta]],1))</f>
        <v>1</v>
      </c>
      <c r="T365" t="b">
        <f>+ISNUMBER(SEARCH('F-COMPRA'!$F$36,Tabla11[[#This Row],[Cuenta]],1))</f>
        <v>1</v>
      </c>
      <c r="U365" t="b">
        <f>+ISNUMBER(SEARCH('F-COMPRA'!$F$37,Tabla11[[#This Row],[Cuenta]],1))</f>
        <v>1</v>
      </c>
      <c r="V365" t="b">
        <f>+ISNUMBER(SEARCH(#REF!,Tabla11[[#This Row],[Cuenta]],1))</f>
        <v>0</v>
      </c>
      <c r="W365" t="b">
        <f>+ISNUMBER(SEARCH('F-COMPRA'!#REF!,Tabla11[[#This Row],[Cuenta]],1))</f>
        <v>0</v>
      </c>
      <c r="X365" t="b">
        <f>+ISNUMBER(SEARCH('F-COMPRA'!#REF!,Tabla11[[#This Row],[Cuenta]],1))</f>
        <v>0</v>
      </c>
      <c r="Y365" t="b">
        <f>+ISNUMBER(SEARCH('F-COMPRA'!#REF!,Tabla11[[#This Row],[Cuenta]],1))</f>
        <v>0</v>
      </c>
      <c r="Z365" t="b">
        <f>+ISNUMBER(SEARCH('F-COMPRA'!#REF!,Tabla11[[#This Row],[Cuenta]],1))</f>
        <v>0</v>
      </c>
      <c r="AA365" t="b">
        <f>+ISNUMBER(SEARCH('F-COMPRA'!#REF!,Tabla11[[#This Row],[Cuenta]],1))</f>
        <v>0</v>
      </c>
      <c r="AB365" t="b">
        <f>+ISNUMBER(SEARCH('F-COMPRA'!#REF!,Tabla11[[#This Row],[Cuenta]],1))</f>
        <v>0</v>
      </c>
      <c r="AC365" t="b">
        <f>+ISNUMBER(SEARCH('F-COMPRA'!#REF!,Tabla11[[#This Row],[Cuenta]],1))</f>
        <v>0</v>
      </c>
      <c r="AD365" t="b">
        <f>+ISNUMBER(SEARCH('F-COMPRA'!#REF!,Tabla11[[#This Row],[Cuenta]],1))</f>
        <v>0</v>
      </c>
      <c r="AE365" t="b">
        <f>+ISNUMBER(SEARCH('F-COMPRA'!#REF!,Tabla11[[#This Row],[Cuenta]],1))</f>
        <v>0</v>
      </c>
      <c r="AF365" t="b">
        <f>+ISNUMBER(SEARCH('F-VTA'!$G$23,Tabla11[[#This Row],[Cuenta]],1))</f>
        <v>0</v>
      </c>
      <c r="AG365" t="b">
        <f>+ISNUMBER(SEARCH('F-VTA'!$G$24,Tabla11[[#This Row],[Cuenta]],1))</f>
        <v>0</v>
      </c>
      <c r="AH365" t="b">
        <f>+ISNUMBER(SEARCH('F-VTA'!$G$25,Tabla11[[#This Row],[Cuenta]],1))</f>
        <v>0</v>
      </c>
      <c r="AI365" t="b">
        <f>+ISNUMBER(SEARCH('F-VTA'!$F$28,Tabla11[[#This Row],[Cuenta]],1))</f>
        <v>1</v>
      </c>
      <c r="AJ365" t="b">
        <f>+ISNUMBER(SEARCH('F-VTA'!$F$29,Tabla11[[#This Row],[Cuenta]],1))</f>
        <v>1</v>
      </c>
      <c r="AK365" t="b">
        <f>+ISNUMBER(SEARCH('F-VTA'!$F$30,Tabla11[[#This Row],[Cuenta]],1))</f>
        <v>1</v>
      </c>
      <c r="AL365" t="b">
        <f>+ISNUMBER(SEARCH('F-VTA'!$F$31,Tabla11[[#This Row],[Cuenta]],1))</f>
        <v>1</v>
      </c>
      <c r="AM365" t="b">
        <f>+ISNUMBER(SEARCH('F-VTA'!$F$32,Tabla11[[#This Row],[Cuenta]],1))</f>
        <v>1</v>
      </c>
      <c r="AN365" t="b">
        <f>+ISNUMBER(SEARCH('F-VTA'!$F$33,Tabla11[[#This Row],[Cuenta]],1))</f>
        <v>1</v>
      </c>
      <c r="AO365" t="b">
        <f>+ISNUMBER(SEARCH('F-VTA'!$F$34,Tabla11[[#This Row],[Cuenta]],1))</f>
        <v>1</v>
      </c>
      <c r="AP365" t="b">
        <f>+ISNUMBER(SEARCH('F-VTA'!$F$35,Tabla11[[#This Row],[Cuenta]],1))</f>
        <v>1</v>
      </c>
      <c r="AQ365" t="b">
        <f>+ISNUMBER(SEARCH('F-VTA'!$F$36,Tabla11[[#This Row],[Cuenta]],1))</f>
        <v>1</v>
      </c>
      <c r="AR365" t="b">
        <f>+ISNUMBER(SEARCH(#REF!,Tabla11[[#This Row],[Cuenta]],1))</f>
        <v>0</v>
      </c>
      <c r="AS365" t="b">
        <f>+ISNUMBER(SEARCH(#REF!,Tabla11[[#This Row],[Cuenta]],1))</f>
        <v>0</v>
      </c>
      <c r="AT365" t="b">
        <f>+ISNUMBER(SEARCH(#REF!,Tabla11[[#This Row],[Cuenta]],1))</f>
        <v>0</v>
      </c>
      <c r="AU365" t="b">
        <f>+ISNUMBER(SEARCH('Conc. Ban.1'!$I$9,Tabla11[[#This Row],[Cuenta]],1))</f>
        <v>0</v>
      </c>
      <c r="AV365" t="b">
        <f>+ISNUMBER(SEARCH(CompConta!$F$21,Tabla11[[#This Row],[Cuenta]],1))</f>
        <v>1</v>
      </c>
      <c r="AW365" t="b">
        <f>+ISNUMBER(SEARCH(CompConta!$F$22,Tabla11[[#This Row],[Cuenta]],1))</f>
        <v>1</v>
      </c>
      <c r="AX365" t="b">
        <f>+ISNUMBER(SEARCH(CompConta!$F$23,Tabla11[[#This Row],[Cuenta]],1))</f>
        <v>1</v>
      </c>
      <c r="AY365" t="b">
        <f>+ISNUMBER(SEARCH(CompConta!$F$24,Tabla11[[#This Row],[Cuenta]],1))</f>
        <v>1</v>
      </c>
      <c r="AZ365" t="b">
        <f>+ISNUMBER(SEARCH(CompConta!$F$25,Tabla11[[#This Row],[Cuenta]],1))</f>
        <v>1</v>
      </c>
      <c r="BA365" t="b">
        <f>+ISNUMBER(SEARCH(CompConta!$F$26,Tabla11[[#This Row],[Cuenta]],1))</f>
        <v>1</v>
      </c>
      <c r="BB365" t="b">
        <f>+ISNUMBER(SEARCH(CompConta!$F$27,Tabla11[[#This Row],[Cuenta]],1))</f>
        <v>1</v>
      </c>
      <c r="BC365" t="b">
        <f>+ISNUMBER(SEARCH(CompConta!$F$28,Tabla11[[#This Row],[Cuenta]],1))</f>
        <v>1</v>
      </c>
      <c r="BD365" t="b">
        <f>+ISNUMBER(SEARCH(CompConta!$F$29,Tabla11[[#This Row],[Cuenta]],1))</f>
        <v>1</v>
      </c>
      <c r="BE365" t="b">
        <f>+ISNUMBER(SEARCH(CompConta!$F$30,Tabla11[[#This Row],[Cuenta]],1))</f>
        <v>1</v>
      </c>
      <c r="BF365" t="b">
        <f>+ISNUMBER(SEARCH('PAGO Compras'!$E$11,Tabla11[[#This Row],[Cuenta]],1))</f>
        <v>1</v>
      </c>
      <c r="BG365" t="b">
        <f>+ISNUMBER(SEARCH(#REF!,Tabla11[[#This Row],[Cuenta]],1))</f>
        <v>0</v>
      </c>
      <c r="BH365" t="b">
        <f>+ISNUMBER(SEARCH(#REF!,Tabla11[[#This Row],[Cuenta]],1))</f>
        <v>0</v>
      </c>
      <c r="BI365" t="b">
        <f>+ISNUMBER(SEARCH(#REF!,Tabla11[[#This Row],[Cuenta]],1))</f>
        <v>0</v>
      </c>
      <c r="BJ365" t="b">
        <f>+ISNUMBER(SEARCH(#REF!,Tabla11[[#This Row],[Cuenta]],1))</f>
        <v>0</v>
      </c>
      <c r="BS365" t="str">
        <v>191052 Armamento de vigilancia</v>
      </c>
      <c r="BT365" t="str">
        <v>191052 Armamento de vigilancia</v>
      </c>
      <c r="BU365" t="str">
        <v>191052 Armamento de vigilancia</v>
      </c>
      <c r="BV365" t="str">
        <v>191052 Armamento de vigilancia</v>
      </c>
      <c r="BZ365" t="str">
        <v>191052 Armamento de vigilancia</v>
      </c>
      <c r="CA365" t="str">
        <v>191052 Armamento de vigilancia</v>
      </c>
      <c r="CB365" t="str">
        <v>191052 Armamento de vigilancia</v>
      </c>
      <c r="CC365" t="str">
        <v>191052 Armamento de vigilancia</v>
      </c>
      <c r="CD365" t="str">
        <v>191052 Armamento de vigilancia</v>
      </c>
      <c r="CE365" t="str">
        <v>191052 Armamento de vigilancia</v>
      </c>
      <c r="CS365" s="141" t="str">
        <v>191052 Armamento de vigilancia</v>
      </c>
      <c r="CT365" s="141" t="str">
        <v>191052 Armamento de vigilancia</v>
      </c>
      <c r="CU365" s="141" t="str">
        <v>191052 Armamento de vigilancia</v>
      </c>
      <c r="CV365" s="141" t="str">
        <v>191052 Armamento de vigilancia</v>
      </c>
      <c r="CW365" s="141" t="str">
        <v>191052 Armamento de vigilancia</v>
      </c>
      <c r="CX365" s="141" t="str">
        <v>191052 Armamento de vigilancia</v>
      </c>
      <c r="CY365" s="141" t="str">
        <v>191052 Armamento de vigilancia</v>
      </c>
      <c r="CZ365" s="141" t="str">
        <v>191052 Armamento de vigilancia</v>
      </c>
      <c r="DA365" s="141" t="str">
        <v>191052 Armamento de vigilancia</v>
      </c>
      <c r="DF365" t="str">
        <v>191052 Armamento de vigilancia</v>
      </c>
      <c r="DG365" t="str">
        <v>191052 Armamento de vigilancia</v>
      </c>
      <c r="DH365" t="str">
        <v>191052 Armamento de vigilancia</v>
      </c>
      <c r="DI365" t="str">
        <v>191052 Armamento de vigilancia</v>
      </c>
      <c r="DJ365" t="str">
        <v>191052 Armamento de vigilancia</v>
      </c>
      <c r="DK365" t="str">
        <v>191052 Armamento de vigilancia</v>
      </c>
      <c r="DL365" t="str">
        <v>191052 Armamento de vigilancia</v>
      </c>
      <c r="DM365" t="str">
        <v>191052 Armamento de vigilancia</v>
      </c>
      <c r="DN365" t="str">
        <v>191052 Armamento de vigilancia</v>
      </c>
      <c r="DO365" t="str">
        <v>191052 Armamento de vigilancia</v>
      </c>
      <c r="DP365" t="str">
        <v>191052 Armamento de vigilancia</v>
      </c>
    </row>
    <row r="366" spans="4:120" ht="12.75">
      <c r="D366" s="7">
        <v>191056</v>
      </c>
      <c r="E366" s="6" t="s">
        <v>213</v>
      </c>
      <c r="F366" s="5">
        <v>4</v>
      </c>
      <c r="G366" s="34" t="s">
        <v>822</v>
      </c>
      <c r="H366" s="8" t="s">
        <v>32</v>
      </c>
      <c r="I366" t="b">
        <f>+ISNUMBER(SEARCH('F-COMPRA'!$F$28,Tabla11[[#This Row],[Cuenta]],1))</f>
        <v>1</v>
      </c>
      <c r="J366" t="b">
        <f>+ISNUMBER(SEARCH('F-COMPRA'!$F$29,Tabla11[[#This Row],[Cuenta]],1))</f>
        <v>1</v>
      </c>
      <c r="K366" t="b">
        <f>+ISNUMBER(SEARCH('F-COMPRA'!$F$30,Tabla11[[#This Row],[Cuenta]],1))</f>
        <v>1</v>
      </c>
      <c r="L366" t="b">
        <f>+ISNUMBER(SEARCH('F-COMPRA'!$F$31,Tabla11[[#This Row],[Cuenta]],1))</f>
        <v>1</v>
      </c>
      <c r="M366" t="b">
        <f>+ISNUMBER(SEARCH('F-COMPRA'!$G$25,Tabla11[[#This Row],[Cuenta]],1))</f>
        <v>0</v>
      </c>
      <c r="N366" t="b">
        <f>+ISNUMBER(SEARCH(#REF!,Tabla11[[#This Row],[Cuenta]],1))</f>
        <v>0</v>
      </c>
      <c r="O366" t="b">
        <f>+ISNUMBER(SEARCH(#REF!,Tabla11[[#This Row],[Cuenta]],1))</f>
        <v>0</v>
      </c>
      <c r="P366" t="b">
        <f>+ISNUMBER(SEARCH('F-COMPRA'!$F$32,Tabla11[[#This Row],[Cuenta]],1))</f>
        <v>1</v>
      </c>
      <c r="Q366" t="b">
        <f>+ISNUMBER(SEARCH('F-COMPRA'!$F$33,Tabla11[[#This Row],[Cuenta]],1))</f>
        <v>1</v>
      </c>
      <c r="R366" t="b">
        <f>+ISNUMBER(SEARCH('F-COMPRA'!$F$34,Tabla11[[#This Row],[Cuenta]],1))</f>
        <v>1</v>
      </c>
      <c r="S366" t="b">
        <f>+ISNUMBER(SEARCH('F-COMPRA'!$F$35,Tabla11[[#This Row],[Cuenta]],1))</f>
        <v>1</v>
      </c>
      <c r="T366" t="b">
        <f>+ISNUMBER(SEARCH('F-COMPRA'!$F$36,Tabla11[[#This Row],[Cuenta]],1))</f>
        <v>1</v>
      </c>
      <c r="U366" t="b">
        <f>+ISNUMBER(SEARCH('F-COMPRA'!$F$37,Tabla11[[#This Row],[Cuenta]],1))</f>
        <v>1</v>
      </c>
      <c r="V366" t="b">
        <f>+ISNUMBER(SEARCH(#REF!,Tabla11[[#This Row],[Cuenta]],1))</f>
        <v>0</v>
      </c>
      <c r="W366" t="b">
        <f>+ISNUMBER(SEARCH('F-COMPRA'!#REF!,Tabla11[[#This Row],[Cuenta]],1))</f>
        <v>0</v>
      </c>
      <c r="X366" t="b">
        <f>+ISNUMBER(SEARCH('F-COMPRA'!#REF!,Tabla11[[#This Row],[Cuenta]],1))</f>
        <v>0</v>
      </c>
      <c r="Y366" t="b">
        <f>+ISNUMBER(SEARCH('F-COMPRA'!#REF!,Tabla11[[#This Row],[Cuenta]],1))</f>
        <v>0</v>
      </c>
      <c r="Z366" t="b">
        <f>+ISNUMBER(SEARCH('F-COMPRA'!#REF!,Tabla11[[#This Row],[Cuenta]],1))</f>
        <v>0</v>
      </c>
      <c r="AA366" t="b">
        <f>+ISNUMBER(SEARCH('F-COMPRA'!#REF!,Tabla11[[#This Row],[Cuenta]],1))</f>
        <v>0</v>
      </c>
      <c r="AB366" t="b">
        <f>+ISNUMBER(SEARCH('F-COMPRA'!#REF!,Tabla11[[#This Row],[Cuenta]],1))</f>
        <v>0</v>
      </c>
      <c r="AC366" t="b">
        <f>+ISNUMBER(SEARCH('F-COMPRA'!#REF!,Tabla11[[#This Row],[Cuenta]],1))</f>
        <v>0</v>
      </c>
      <c r="AD366" t="b">
        <f>+ISNUMBER(SEARCH('F-COMPRA'!#REF!,Tabla11[[#This Row],[Cuenta]],1))</f>
        <v>0</v>
      </c>
      <c r="AE366" t="b">
        <f>+ISNUMBER(SEARCH('F-COMPRA'!#REF!,Tabla11[[#This Row],[Cuenta]],1))</f>
        <v>0</v>
      </c>
      <c r="AF366" t="b">
        <f>+ISNUMBER(SEARCH('F-VTA'!$G$23,Tabla11[[#This Row],[Cuenta]],1))</f>
        <v>0</v>
      </c>
      <c r="AG366" t="b">
        <f>+ISNUMBER(SEARCH('F-VTA'!$G$24,Tabla11[[#This Row],[Cuenta]],1))</f>
        <v>0</v>
      </c>
      <c r="AH366" t="b">
        <f>+ISNUMBER(SEARCH('F-VTA'!$G$25,Tabla11[[#This Row],[Cuenta]],1))</f>
        <v>0</v>
      </c>
      <c r="AI366" t="b">
        <f>+ISNUMBER(SEARCH('F-VTA'!$F$28,Tabla11[[#This Row],[Cuenta]],1))</f>
        <v>1</v>
      </c>
      <c r="AJ366" t="b">
        <f>+ISNUMBER(SEARCH('F-VTA'!$F$29,Tabla11[[#This Row],[Cuenta]],1))</f>
        <v>1</v>
      </c>
      <c r="AK366" t="b">
        <f>+ISNUMBER(SEARCH('F-VTA'!$F$30,Tabla11[[#This Row],[Cuenta]],1))</f>
        <v>1</v>
      </c>
      <c r="AL366" t="b">
        <f>+ISNUMBER(SEARCH('F-VTA'!$F$31,Tabla11[[#This Row],[Cuenta]],1))</f>
        <v>1</v>
      </c>
      <c r="AM366" t="b">
        <f>+ISNUMBER(SEARCH('F-VTA'!$F$32,Tabla11[[#This Row],[Cuenta]],1))</f>
        <v>1</v>
      </c>
      <c r="AN366" t="b">
        <f>+ISNUMBER(SEARCH('F-VTA'!$F$33,Tabla11[[#This Row],[Cuenta]],1))</f>
        <v>1</v>
      </c>
      <c r="AO366" t="b">
        <f>+ISNUMBER(SEARCH('F-VTA'!$F$34,Tabla11[[#This Row],[Cuenta]],1))</f>
        <v>1</v>
      </c>
      <c r="AP366" t="b">
        <f>+ISNUMBER(SEARCH('F-VTA'!$F$35,Tabla11[[#This Row],[Cuenta]],1))</f>
        <v>1</v>
      </c>
      <c r="AQ366" t="b">
        <f>+ISNUMBER(SEARCH('F-VTA'!$F$36,Tabla11[[#This Row],[Cuenta]],1))</f>
        <v>1</v>
      </c>
      <c r="AR366" t="b">
        <f>+ISNUMBER(SEARCH(#REF!,Tabla11[[#This Row],[Cuenta]],1))</f>
        <v>0</v>
      </c>
      <c r="AS366" t="b">
        <f>+ISNUMBER(SEARCH(#REF!,Tabla11[[#This Row],[Cuenta]],1))</f>
        <v>0</v>
      </c>
      <c r="AT366" t="b">
        <f>+ISNUMBER(SEARCH(#REF!,Tabla11[[#This Row],[Cuenta]],1))</f>
        <v>0</v>
      </c>
      <c r="AU366" t="b">
        <f>+ISNUMBER(SEARCH('Conc. Ban.1'!$I$9,Tabla11[[#This Row],[Cuenta]],1))</f>
        <v>0</v>
      </c>
      <c r="AV366" t="b">
        <f>+ISNUMBER(SEARCH(CompConta!$F$21,Tabla11[[#This Row],[Cuenta]],1))</f>
        <v>1</v>
      </c>
      <c r="AW366" t="b">
        <f>+ISNUMBER(SEARCH(CompConta!$F$22,Tabla11[[#This Row],[Cuenta]],1))</f>
        <v>1</v>
      </c>
      <c r="AX366" t="b">
        <f>+ISNUMBER(SEARCH(CompConta!$F$23,Tabla11[[#This Row],[Cuenta]],1))</f>
        <v>1</v>
      </c>
      <c r="AY366" t="b">
        <f>+ISNUMBER(SEARCH(CompConta!$F$24,Tabla11[[#This Row],[Cuenta]],1))</f>
        <v>1</v>
      </c>
      <c r="AZ366" t="b">
        <f>+ISNUMBER(SEARCH(CompConta!$F$25,Tabla11[[#This Row],[Cuenta]],1))</f>
        <v>1</v>
      </c>
      <c r="BA366" t="b">
        <f>+ISNUMBER(SEARCH(CompConta!$F$26,Tabla11[[#This Row],[Cuenta]],1))</f>
        <v>1</v>
      </c>
      <c r="BB366" t="b">
        <f>+ISNUMBER(SEARCH(CompConta!$F$27,Tabla11[[#This Row],[Cuenta]],1))</f>
        <v>1</v>
      </c>
      <c r="BC366" t="b">
        <f>+ISNUMBER(SEARCH(CompConta!$F$28,Tabla11[[#This Row],[Cuenta]],1))</f>
        <v>1</v>
      </c>
      <c r="BD366" t="b">
        <f>+ISNUMBER(SEARCH(CompConta!$F$29,Tabla11[[#This Row],[Cuenta]],1))</f>
        <v>1</v>
      </c>
      <c r="BE366" t="b">
        <f>+ISNUMBER(SEARCH(CompConta!$F$30,Tabla11[[#This Row],[Cuenta]],1))</f>
        <v>1</v>
      </c>
      <c r="BF366" t="b">
        <f>+ISNUMBER(SEARCH('PAGO Compras'!$E$11,Tabla11[[#This Row],[Cuenta]],1))</f>
        <v>1</v>
      </c>
      <c r="BG366" t="b">
        <f>+ISNUMBER(SEARCH(#REF!,Tabla11[[#This Row],[Cuenta]],1))</f>
        <v>0</v>
      </c>
      <c r="BH366" t="b">
        <f>+ISNUMBER(SEARCH(#REF!,Tabla11[[#This Row],[Cuenta]],1))</f>
        <v>0</v>
      </c>
      <c r="BI366" t="b">
        <f>+ISNUMBER(SEARCH(#REF!,Tabla11[[#This Row],[Cuenta]],1))</f>
        <v>0</v>
      </c>
      <c r="BJ366" t="b">
        <f>+ISNUMBER(SEARCH(#REF!,Tabla11[[#This Row],[Cuenta]],1))</f>
        <v>0</v>
      </c>
      <c r="BS366" t="str">
        <v>191056 Envases y empaques</v>
      </c>
      <c r="BT366" t="str">
        <v>191056 Envases y empaques</v>
      </c>
      <c r="BU366" t="str">
        <v>191056 Envases y empaques</v>
      </c>
      <c r="BV366" t="str">
        <v>191056 Envases y empaques</v>
      </c>
      <c r="BZ366" t="str">
        <v>191056 Envases y empaques</v>
      </c>
      <c r="CA366" t="str">
        <v>191056 Envases y empaques</v>
      </c>
      <c r="CB366" t="str">
        <v>191056 Envases y empaques</v>
      </c>
      <c r="CC366" t="str">
        <v>191056 Envases y empaques</v>
      </c>
      <c r="CD366" t="str">
        <v>191056 Envases y empaques</v>
      </c>
      <c r="CE366" t="str">
        <v>191056 Envases y empaques</v>
      </c>
      <c r="CS366" s="141" t="str">
        <v>191056 Envases y empaques</v>
      </c>
      <c r="CT366" s="141" t="str">
        <v>191056 Envases y empaques</v>
      </c>
      <c r="CU366" s="141" t="str">
        <v>191056 Envases y empaques</v>
      </c>
      <c r="CV366" s="141" t="str">
        <v>191056 Envases y empaques</v>
      </c>
      <c r="CW366" s="141" t="str">
        <v>191056 Envases y empaques</v>
      </c>
      <c r="CX366" s="141" t="str">
        <v>191056 Envases y empaques</v>
      </c>
      <c r="CY366" s="141" t="str">
        <v>191056 Envases y empaques</v>
      </c>
      <c r="CZ366" s="141" t="str">
        <v>191056 Envases y empaques</v>
      </c>
      <c r="DA366" s="141" t="str">
        <v>191056 Envases y empaques</v>
      </c>
      <c r="DF366" t="str">
        <v>191056 Envases y empaques</v>
      </c>
      <c r="DG366" t="str">
        <v>191056 Envases y empaques</v>
      </c>
      <c r="DH366" t="str">
        <v>191056 Envases y empaques</v>
      </c>
      <c r="DI366" t="str">
        <v>191056 Envases y empaques</v>
      </c>
      <c r="DJ366" t="str">
        <v>191056 Envases y empaques</v>
      </c>
      <c r="DK366" t="str">
        <v>191056 Envases y empaques</v>
      </c>
      <c r="DL366" t="str">
        <v>191056 Envases y empaques</v>
      </c>
      <c r="DM366" t="str">
        <v>191056 Envases y empaques</v>
      </c>
      <c r="DN366" t="str">
        <v>191056 Envases y empaques</v>
      </c>
      <c r="DO366" t="str">
        <v>191056 Envases y empaques</v>
      </c>
      <c r="DP366" t="str">
        <v>191056 Envases y empaques</v>
      </c>
    </row>
    <row r="367" spans="4:120" ht="12.75">
      <c r="D367" s="7">
        <v>191060</v>
      </c>
      <c r="E367" s="6" t="s">
        <v>219</v>
      </c>
      <c r="F367" s="5">
        <v>4</v>
      </c>
      <c r="G367" s="34" t="s">
        <v>822</v>
      </c>
      <c r="H367" s="8" t="s">
        <v>32</v>
      </c>
      <c r="I367" t="b">
        <f>+ISNUMBER(SEARCH('F-COMPRA'!$F$28,Tabla11[[#This Row],[Cuenta]],1))</f>
        <v>1</v>
      </c>
      <c r="J367" t="b">
        <f>+ISNUMBER(SEARCH('F-COMPRA'!$F$29,Tabla11[[#This Row],[Cuenta]],1))</f>
        <v>1</v>
      </c>
      <c r="K367" t="b">
        <f>+ISNUMBER(SEARCH('F-COMPRA'!$F$30,Tabla11[[#This Row],[Cuenta]],1))</f>
        <v>1</v>
      </c>
      <c r="L367" t="b">
        <f>+ISNUMBER(SEARCH('F-COMPRA'!$F$31,Tabla11[[#This Row],[Cuenta]],1))</f>
        <v>1</v>
      </c>
      <c r="M367" t="b">
        <f>+ISNUMBER(SEARCH('F-COMPRA'!$G$25,Tabla11[[#This Row],[Cuenta]],1))</f>
        <v>0</v>
      </c>
      <c r="N367" t="b">
        <f>+ISNUMBER(SEARCH(#REF!,Tabla11[[#This Row],[Cuenta]],1))</f>
        <v>0</v>
      </c>
      <c r="O367" t="b">
        <f>+ISNUMBER(SEARCH(#REF!,Tabla11[[#This Row],[Cuenta]],1))</f>
        <v>0</v>
      </c>
      <c r="P367" t="b">
        <f>+ISNUMBER(SEARCH('F-COMPRA'!$F$32,Tabla11[[#This Row],[Cuenta]],1))</f>
        <v>1</v>
      </c>
      <c r="Q367" t="b">
        <f>+ISNUMBER(SEARCH('F-COMPRA'!$F$33,Tabla11[[#This Row],[Cuenta]],1))</f>
        <v>1</v>
      </c>
      <c r="R367" t="b">
        <f>+ISNUMBER(SEARCH('F-COMPRA'!$F$34,Tabla11[[#This Row],[Cuenta]],1))</f>
        <v>1</v>
      </c>
      <c r="S367" t="b">
        <f>+ISNUMBER(SEARCH('F-COMPRA'!$F$35,Tabla11[[#This Row],[Cuenta]],1))</f>
        <v>1</v>
      </c>
      <c r="T367" t="b">
        <f>+ISNUMBER(SEARCH('F-COMPRA'!$F$36,Tabla11[[#This Row],[Cuenta]],1))</f>
        <v>1</v>
      </c>
      <c r="U367" t="b">
        <f>+ISNUMBER(SEARCH('F-COMPRA'!$F$37,Tabla11[[#This Row],[Cuenta]],1))</f>
        <v>1</v>
      </c>
      <c r="V367" t="b">
        <f>+ISNUMBER(SEARCH(#REF!,Tabla11[[#This Row],[Cuenta]],1))</f>
        <v>0</v>
      </c>
      <c r="W367" t="b">
        <f>+ISNUMBER(SEARCH('F-COMPRA'!#REF!,Tabla11[[#This Row],[Cuenta]],1))</f>
        <v>0</v>
      </c>
      <c r="X367" t="b">
        <f>+ISNUMBER(SEARCH('F-COMPRA'!#REF!,Tabla11[[#This Row],[Cuenta]],1))</f>
        <v>0</v>
      </c>
      <c r="Y367" t="b">
        <f>+ISNUMBER(SEARCH('F-COMPRA'!#REF!,Tabla11[[#This Row],[Cuenta]],1))</f>
        <v>0</v>
      </c>
      <c r="Z367" t="b">
        <f>+ISNUMBER(SEARCH('F-COMPRA'!#REF!,Tabla11[[#This Row],[Cuenta]],1))</f>
        <v>0</v>
      </c>
      <c r="AA367" t="b">
        <f>+ISNUMBER(SEARCH('F-COMPRA'!#REF!,Tabla11[[#This Row],[Cuenta]],1))</f>
        <v>0</v>
      </c>
      <c r="AB367" t="b">
        <f>+ISNUMBER(SEARCH('F-COMPRA'!#REF!,Tabla11[[#This Row],[Cuenta]],1))</f>
        <v>0</v>
      </c>
      <c r="AC367" t="b">
        <f>+ISNUMBER(SEARCH('F-COMPRA'!#REF!,Tabla11[[#This Row],[Cuenta]],1))</f>
        <v>0</v>
      </c>
      <c r="AD367" t="b">
        <f>+ISNUMBER(SEARCH('F-COMPRA'!#REF!,Tabla11[[#This Row],[Cuenta]],1))</f>
        <v>0</v>
      </c>
      <c r="AE367" t="b">
        <f>+ISNUMBER(SEARCH('F-COMPRA'!#REF!,Tabla11[[#This Row],[Cuenta]],1))</f>
        <v>0</v>
      </c>
      <c r="AF367" t="b">
        <f>+ISNUMBER(SEARCH('F-VTA'!$G$23,Tabla11[[#This Row],[Cuenta]],1))</f>
        <v>0</v>
      </c>
      <c r="AG367" t="b">
        <f>+ISNUMBER(SEARCH('F-VTA'!$G$24,Tabla11[[#This Row],[Cuenta]],1))</f>
        <v>0</v>
      </c>
      <c r="AH367" t="b">
        <f>+ISNUMBER(SEARCH('F-VTA'!$G$25,Tabla11[[#This Row],[Cuenta]],1))</f>
        <v>0</v>
      </c>
      <c r="AI367" t="b">
        <f>+ISNUMBER(SEARCH('F-VTA'!$F$28,Tabla11[[#This Row],[Cuenta]],1))</f>
        <v>1</v>
      </c>
      <c r="AJ367" t="b">
        <f>+ISNUMBER(SEARCH('F-VTA'!$F$29,Tabla11[[#This Row],[Cuenta]],1))</f>
        <v>1</v>
      </c>
      <c r="AK367" t="b">
        <f>+ISNUMBER(SEARCH('F-VTA'!$F$30,Tabla11[[#This Row],[Cuenta]],1))</f>
        <v>1</v>
      </c>
      <c r="AL367" t="b">
        <f>+ISNUMBER(SEARCH('F-VTA'!$F$31,Tabla11[[#This Row],[Cuenta]],1))</f>
        <v>1</v>
      </c>
      <c r="AM367" t="b">
        <f>+ISNUMBER(SEARCH('F-VTA'!$F$32,Tabla11[[#This Row],[Cuenta]],1))</f>
        <v>1</v>
      </c>
      <c r="AN367" t="b">
        <f>+ISNUMBER(SEARCH('F-VTA'!$F$33,Tabla11[[#This Row],[Cuenta]],1))</f>
        <v>1</v>
      </c>
      <c r="AO367" t="b">
        <f>+ISNUMBER(SEARCH('F-VTA'!$F$34,Tabla11[[#This Row],[Cuenta]],1))</f>
        <v>1</v>
      </c>
      <c r="AP367" t="b">
        <f>+ISNUMBER(SEARCH('F-VTA'!$F$35,Tabla11[[#This Row],[Cuenta]],1))</f>
        <v>1</v>
      </c>
      <c r="AQ367" t="b">
        <f>+ISNUMBER(SEARCH('F-VTA'!$F$36,Tabla11[[#This Row],[Cuenta]],1))</f>
        <v>1</v>
      </c>
      <c r="AR367" t="b">
        <f>+ISNUMBER(SEARCH(#REF!,Tabla11[[#This Row],[Cuenta]],1))</f>
        <v>0</v>
      </c>
      <c r="AS367" t="b">
        <f>+ISNUMBER(SEARCH(#REF!,Tabla11[[#This Row],[Cuenta]],1))</f>
        <v>0</v>
      </c>
      <c r="AT367" t="b">
        <f>+ISNUMBER(SEARCH(#REF!,Tabla11[[#This Row],[Cuenta]],1))</f>
        <v>0</v>
      </c>
      <c r="AU367" t="b">
        <f>+ISNUMBER(SEARCH('Conc. Ban.1'!$I$9,Tabla11[[#This Row],[Cuenta]],1))</f>
        <v>0</v>
      </c>
      <c r="AV367" t="b">
        <f>+ISNUMBER(SEARCH(CompConta!$F$21,Tabla11[[#This Row],[Cuenta]],1))</f>
        <v>1</v>
      </c>
      <c r="AW367" t="b">
        <f>+ISNUMBER(SEARCH(CompConta!$F$22,Tabla11[[#This Row],[Cuenta]],1))</f>
        <v>1</v>
      </c>
      <c r="AX367" t="b">
        <f>+ISNUMBER(SEARCH(CompConta!$F$23,Tabla11[[#This Row],[Cuenta]],1))</f>
        <v>1</v>
      </c>
      <c r="AY367" t="b">
        <f>+ISNUMBER(SEARCH(CompConta!$F$24,Tabla11[[#This Row],[Cuenta]],1))</f>
        <v>1</v>
      </c>
      <c r="AZ367" t="b">
        <f>+ISNUMBER(SEARCH(CompConta!$F$25,Tabla11[[#This Row],[Cuenta]],1))</f>
        <v>1</v>
      </c>
      <c r="BA367" t="b">
        <f>+ISNUMBER(SEARCH(CompConta!$F$26,Tabla11[[#This Row],[Cuenta]],1))</f>
        <v>1</v>
      </c>
      <c r="BB367" t="b">
        <f>+ISNUMBER(SEARCH(CompConta!$F$27,Tabla11[[#This Row],[Cuenta]],1))</f>
        <v>1</v>
      </c>
      <c r="BC367" t="b">
        <f>+ISNUMBER(SEARCH(CompConta!$F$28,Tabla11[[#This Row],[Cuenta]],1))</f>
        <v>1</v>
      </c>
      <c r="BD367" t="b">
        <f>+ISNUMBER(SEARCH(CompConta!$F$29,Tabla11[[#This Row],[Cuenta]],1))</f>
        <v>1</v>
      </c>
      <c r="BE367" t="b">
        <f>+ISNUMBER(SEARCH(CompConta!$F$30,Tabla11[[#This Row],[Cuenta]],1))</f>
        <v>1</v>
      </c>
      <c r="BF367" t="b">
        <f>+ISNUMBER(SEARCH('PAGO Compras'!$E$11,Tabla11[[#This Row],[Cuenta]],1))</f>
        <v>1</v>
      </c>
      <c r="BG367" t="b">
        <f>+ISNUMBER(SEARCH(#REF!,Tabla11[[#This Row],[Cuenta]],1))</f>
        <v>0</v>
      </c>
      <c r="BH367" t="b">
        <f>+ISNUMBER(SEARCH(#REF!,Tabla11[[#This Row],[Cuenta]],1))</f>
        <v>0</v>
      </c>
      <c r="BI367" t="b">
        <f>+ISNUMBER(SEARCH(#REF!,Tabla11[[#This Row],[Cuenta]],1))</f>
        <v>0</v>
      </c>
      <c r="BJ367" t="b">
        <f>+ISNUMBER(SEARCH(#REF!,Tabla11[[#This Row],[Cuenta]],1))</f>
        <v>0</v>
      </c>
      <c r="BS367" t="str">
        <v>191060 Plantaciones agrícolas y forestales</v>
      </c>
      <c r="BT367" t="str">
        <v>191060 Plantaciones agrícolas y forestales</v>
      </c>
      <c r="BU367" t="str">
        <v>191060 Plantaciones agrícolas y forestales</v>
      </c>
      <c r="BV367" t="str">
        <v>191060 Plantaciones agrícolas y forestales</v>
      </c>
      <c r="BZ367" t="str">
        <v>191060 Plantaciones agrícolas y forestales</v>
      </c>
      <c r="CA367" t="str">
        <v>191060 Plantaciones agrícolas y forestales</v>
      </c>
      <c r="CB367" t="str">
        <v>191060 Plantaciones agrícolas y forestales</v>
      </c>
      <c r="CC367" t="str">
        <v>191060 Plantaciones agrícolas y forestales</v>
      </c>
      <c r="CD367" t="str">
        <v>191060 Plantaciones agrícolas y forestales</v>
      </c>
      <c r="CE367" t="str">
        <v>191060 Plantaciones agrícolas y forestales</v>
      </c>
      <c r="CS367" s="141" t="str">
        <v>191060 Plantaciones agrícolas y forestales</v>
      </c>
      <c r="CT367" s="141" t="str">
        <v>191060 Plantaciones agrícolas y forestales</v>
      </c>
      <c r="CU367" s="141" t="str">
        <v>191060 Plantaciones agrícolas y forestales</v>
      </c>
      <c r="CV367" s="141" t="str">
        <v>191060 Plantaciones agrícolas y forestales</v>
      </c>
      <c r="CW367" s="141" t="str">
        <v>191060 Plantaciones agrícolas y forestales</v>
      </c>
      <c r="CX367" s="141" t="str">
        <v>191060 Plantaciones agrícolas y forestales</v>
      </c>
      <c r="CY367" s="141" t="str">
        <v>191060 Plantaciones agrícolas y forestales</v>
      </c>
      <c r="CZ367" s="141" t="str">
        <v>191060 Plantaciones agrícolas y forestales</v>
      </c>
      <c r="DA367" s="141" t="str">
        <v>191060 Plantaciones agrícolas y forestales</v>
      </c>
      <c r="DF367" t="str">
        <v>191060 Plantaciones agrícolas y forestales</v>
      </c>
      <c r="DG367" t="str">
        <v>191060 Plantaciones agrícolas y forestales</v>
      </c>
      <c r="DH367" t="str">
        <v>191060 Plantaciones agrícolas y forestales</v>
      </c>
      <c r="DI367" t="str">
        <v>191060 Plantaciones agrícolas y forestales</v>
      </c>
      <c r="DJ367" t="str">
        <v>191060 Plantaciones agrícolas y forestales</v>
      </c>
      <c r="DK367" t="str">
        <v>191060 Plantaciones agrícolas y forestales</v>
      </c>
      <c r="DL367" t="str">
        <v>191060 Plantaciones agrícolas y forestales</v>
      </c>
      <c r="DM367" t="str">
        <v>191060 Plantaciones agrícolas y forestales</v>
      </c>
      <c r="DN367" t="str">
        <v>191060 Plantaciones agrícolas y forestales</v>
      </c>
      <c r="DO367" t="str">
        <v>191060 Plantaciones agrícolas y forestales</v>
      </c>
      <c r="DP367" t="str">
        <v>191060 Plantaciones agrícolas y forestales</v>
      </c>
    </row>
    <row r="368" spans="4:120" ht="12.75">
      <c r="D368" s="7">
        <v>191064</v>
      </c>
      <c r="E368" s="6" t="s">
        <v>123</v>
      </c>
      <c r="F368" s="5">
        <v>4</v>
      </c>
      <c r="G368" s="34" t="s">
        <v>822</v>
      </c>
      <c r="H368" s="8" t="s">
        <v>32</v>
      </c>
      <c r="I368" t="b">
        <f>+ISNUMBER(SEARCH('F-COMPRA'!$F$28,Tabla11[[#This Row],[Cuenta]],1))</f>
        <v>1</v>
      </c>
      <c r="J368" t="b">
        <f>+ISNUMBER(SEARCH('F-COMPRA'!$F$29,Tabla11[[#This Row],[Cuenta]],1))</f>
        <v>1</v>
      </c>
      <c r="K368" t="b">
        <f>+ISNUMBER(SEARCH('F-COMPRA'!$F$30,Tabla11[[#This Row],[Cuenta]],1))</f>
        <v>1</v>
      </c>
      <c r="L368" t="b">
        <f>+ISNUMBER(SEARCH('F-COMPRA'!$F$31,Tabla11[[#This Row],[Cuenta]],1))</f>
        <v>1</v>
      </c>
      <c r="M368" t="b">
        <f>+ISNUMBER(SEARCH('F-COMPRA'!$G$25,Tabla11[[#This Row],[Cuenta]],1))</f>
        <v>0</v>
      </c>
      <c r="N368" t="b">
        <f>+ISNUMBER(SEARCH(#REF!,Tabla11[[#This Row],[Cuenta]],1))</f>
        <v>0</v>
      </c>
      <c r="O368" t="b">
        <f>+ISNUMBER(SEARCH(#REF!,Tabla11[[#This Row],[Cuenta]],1))</f>
        <v>0</v>
      </c>
      <c r="P368" t="b">
        <f>+ISNUMBER(SEARCH('F-COMPRA'!$F$32,Tabla11[[#This Row],[Cuenta]],1))</f>
        <v>1</v>
      </c>
      <c r="Q368" t="b">
        <f>+ISNUMBER(SEARCH('F-COMPRA'!$F$33,Tabla11[[#This Row],[Cuenta]],1))</f>
        <v>1</v>
      </c>
      <c r="R368" t="b">
        <f>+ISNUMBER(SEARCH('F-COMPRA'!$F$34,Tabla11[[#This Row],[Cuenta]],1))</f>
        <v>1</v>
      </c>
      <c r="S368" t="b">
        <f>+ISNUMBER(SEARCH('F-COMPRA'!$F$35,Tabla11[[#This Row],[Cuenta]],1))</f>
        <v>1</v>
      </c>
      <c r="T368" t="b">
        <f>+ISNUMBER(SEARCH('F-COMPRA'!$F$36,Tabla11[[#This Row],[Cuenta]],1))</f>
        <v>1</v>
      </c>
      <c r="U368" t="b">
        <f>+ISNUMBER(SEARCH('F-COMPRA'!$F$37,Tabla11[[#This Row],[Cuenta]],1))</f>
        <v>1</v>
      </c>
      <c r="V368" t="b">
        <f>+ISNUMBER(SEARCH(#REF!,Tabla11[[#This Row],[Cuenta]],1))</f>
        <v>0</v>
      </c>
      <c r="W368" t="b">
        <f>+ISNUMBER(SEARCH('F-COMPRA'!#REF!,Tabla11[[#This Row],[Cuenta]],1))</f>
        <v>0</v>
      </c>
      <c r="X368" t="b">
        <f>+ISNUMBER(SEARCH('F-COMPRA'!#REF!,Tabla11[[#This Row],[Cuenta]],1))</f>
        <v>0</v>
      </c>
      <c r="Y368" t="b">
        <f>+ISNUMBER(SEARCH('F-COMPRA'!#REF!,Tabla11[[#This Row],[Cuenta]],1))</f>
        <v>0</v>
      </c>
      <c r="Z368" t="b">
        <f>+ISNUMBER(SEARCH('F-COMPRA'!#REF!,Tabla11[[#This Row],[Cuenta]],1))</f>
        <v>0</v>
      </c>
      <c r="AA368" t="b">
        <f>+ISNUMBER(SEARCH('F-COMPRA'!#REF!,Tabla11[[#This Row],[Cuenta]],1))</f>
        <v>0</v>
      </c>
      <c r="AB368" t="b">
        <f>+ISNUMBER(SEARCH('F-COMPRA'!#REF!,Tabla11[[#This Row],[Cuenta]],1))</f>
        <v>0</v>
      </c>
      <c r="AC368" t="b">
        <f>+ISNUMBER(SEARCH('F-COMPRA'!#REF!,Tabla11[[#This Row],[Cuenta]],1))</f>
        <v>0</v>
      </c>
      <c r="AD368" t="b">
        <f>+ISNUMBER(SEARCH('F-COMPRA'!#REF!,Tabla11[[#This Row],[Cuenta]],1))</f>
        <v>0</v>
      </c>
      <c r="AE368" t="b">
        <f>+ISNUMBER(SEARCH('F-COMPRA'!#REF!,Tabla11[[#This Row],[Cuenta]],1))</f>
        <v>0</v>
      </c>
      <c r="AF368" t="b">
        <f>+ISNUMBER(SEARCH('F-VTA'!$G$23,Tabla11[[#This Row],[Cuenta]],1))</f>
        <v>0</v>
      </c>
      <c r="AG368" t="b">
        <f>+ISNUMBER(SEARCH('F-VTA'!$G$24,Tabla11[[#This Row],[Cuenta]],1))</f>
        <v>0</v>
      </c>
      <c r="AH368" t="b">
        <f>+ISNUMBER(SEARCH('F-VTA'!$G$25,Tabla11[[#This Row],[Cuenta]],1))</f>
        <v>0</v>
      </c>
      <c r="AI368" t="b">
        <f>+ISNUMBER(SEARCH('F-VTA'!$F$28,Tabla11[[#This Row],[Cuenta]],1))</f>
        <v>1</v>
      </c>
      <c r="AJ368" t="b">
        <f>+ISNUMBER(SEARCH('F-VTA'!$F$29,Tabla11[[#This Row],[Cuenta]],1))</f>
        <v>1</v>
      </c>
      <c r="AK368" t="b">
        <f>+ISNUMBER(SEARCH('F-VTA'!$F$30,Tabla11[[#This Row],[Cuenta]],1))</f>
        <v>1</v>
      </c>
      <c r="AL368" t="b">
        <f>+ISNUMBER(SEARCH('F-VTA'!$F$31,Tabla11[[#This Row],[Cuenta]],1))</f>
        <v>1</v>
      </c>
      <c r="AM368" t="b">
        <f>+ISNUMBER(SEARCH('F-VTA'!$F$32,Tabla11[[#This Row],[Cuenta]],1))</f>
        <v>1</v>
      </c>
      <c r="AN368" t="b">
        <f>+ISNUMBER(SEARCH('F-VTA'!$F$33,Tabla11[[#This Row],[Cuenta]],1))</f>
        <v>1</v>
      </c>
      <c r="AO368" t="b">
        <f>+ISNUMBER(SEARCH('F-VTA'!$F$34,Tabla11[[#This Row],[Cuenta]],1))</f>
        <v>1</v>
      </c>
      <c r="AP368" t="b">
        <f>+ISNUMBER(SEARCH('F-VTA'!$F$35,Tabla11[[#This Row],[Cuenta]],1))</f>
        <v>1</v>
      </c>
      <c r="AQ368" t="b">
        <f>+ISNUMBER(SEARCH('F-VTA'!$F$36,Tabla11[[#This Row],[Cuenta]],1))</f>
        <v>1</v>
      </c>
      <c r="AR368" t="b">
        <f>+ISNUMBER(SEARCH(#REF!,Tabla11[[#This Row],[Cuenta]],1))</f>
        <v>0</v>
      </c>
      <c r="AS368" t="b">
        <f>+ISNUMBER(SEARCH(#REF!,Tabla11[[#This Row],[Cuenta]],1))</f>
        <v>0</v>
      </c>
      <c r="AT368" t="b">
        <f>+ISNUMBER(SEARCH(#REF!,Tabla11[[#This Row],[Cuenta]],1))</f>
        <v>0</v>
      </c>
      <c r="AU368" t="b">
        <f>+ISNUMBER(SEARCH('Conc. Ban.1'!$I$9,Tabla11[[#This Row],[Cuenta]],1))</f>
        <v>0</v>
      </c>
      <c r="AV368" t="b">
        <f>+ISNUMBER(SEARCH(CompConta!$F$21,Tabla11[[#This Row],[Cuenta]],1))</f>
        <v>1</v>
      </c>
      <c r="AW368" t="b">
        <f>+ISNUMBER(SEARCH(CompConta!$F$22,Tabla11[[#This Row],[Cuenta]],1))</f>
        <v>1</v>
      </c>
      <c r="AX368" t="b">
        <f>+ISNUMBER(SEARCH(CompConta!$F$23,Tabla11[[#This Row],[Cuenta]],1))</f>
        <v>1</v>
      </c>
      <c r="AY368" t="b">
        <f>+ISNUMBER(SEARCH(CompConta!$F$24,Tabla11[[#This Row],[Cuenta]],1))</f>
        <v>1</v>
      </c>
      <c r="AZ368" t="b">
        <f>+ISNUMBER(SEARCH(CompConta!$F$25,Tabla11[[#This Row],[Cuenta]],1))</f>
        <v>1</v>
      </c>
      <c r="BA368" t="b">
        <f>+ISNUMBER(SEARCH(CompConta!$F$26,Tabla11[[#This Row],[Cuenta]],1))</f>
        <v>1</v>
      </c>
      <c r="BB368" t="b">
        <f>+ISNUMBER(SEARCH(CompConta!$F$27,Tabla11[[#This Row],[Cuenta]],1))</f>
        <v>1</v>
      </c>
      <c r="BC368" t="b">
        <f>+ISNUMBER(SEARCH(CompConta!$F$28,Tabla11[[#This Row],[Cuenta]],1))</f>
        <v>1</v>
      </c>
      <c r="BD368" t="b">
        <f>+ISNUMBER(SEARCH(CompConta!$F$29,Tabla11[[#This Row],[Cuenta]],1))</f>
        <v>1</v>
      </c>
      <c r="BE368" t="b">
        <f>+ISNUMBER(SEARCH(CompConta!$F$30,Tabla11[[#This Row],[Cuenta]],1))</f>
        <v>1</v>
      </c>
      <c r="BF368" t="b">
        <f>+ISNUMBER(SEARCH('PAGO Compras'!$E$11,Tabla11[[#This Row],[Cuenta]],1))</f>
        <v>1</v>
      </c>
      <c r="BG368" t="b">
        <f>+ISNUMBER(SEARCH(#REF!,Tabla11[[#This Row],[Cuenta]],1))</f>
        <v>0</v>
      </c>
      <c r="BH368" t="b">
        <f>+ISNUMBER(SEARCH(#REF!,Tabla11[[#This Row],[Cuenta]],1))</f>
        <v>0</v>
      </c>
      <c r="BI368" t="b">
        <f>+ISNUMBER(SEARCH(#REF!,Tabla11[[#This Row],[Cuenta]],1))</f>
        <v>0</v>
      </c>
      <c r="BJ368" t="b">
        <f>+ISNUMBER(SEARCH(#REF!,Tabla11[[#This Row],[Cuenta]],1))</f>
        <v>0</v>
      </c>
      <c r="BS368" t="str">
        <v>191064 Vías de comunicación</v>
      </c>
      <c r="BT368" t="str">
        <v>191064 Vías de comunicación</v>
      </c>
      <c r="BU368" t="str">
        <v>191064 Vías de comunicación</v>
      </c>
      <c r="BV368" t="str">
        <v>191064 Vías de comunicación</v>
      </c>
      <c r="BZ368" t="str">
        <v>191064 Vías de comunicación</v>
      </c>
      <c r="CA368" t="str">
        <v>191064 Vías de comunicación</v>
      </c>
      <c r="CB368" t="str">
        <v>191064 Vías de comunicación</v>
      </c>
      <c r="CC368" t="str">
        <v>191064 Vías de comunicación</v>
      </c>
      <c r="CD368" t="str">
        <v>191064 Vías de comunicación</v>
      </c>
      <c r="CE368" t="str">
        <v>191064 Vías de comunicación</v>
      </c>
      <c r="CS368" s="141" t="str">
        <v>191064 Vías de comunicación</v>
      </c>
      <c r="CT368" s="141" t="str">
        <v>191064 Vías de comunicación</v>
      </c>
      <c r="CU368" s="141" t="str">
        <v>191064 Vías de comunicación</v>
      </c>
      <c r="CV368" s="141" t="str">
        <v>191064 Vías de comunicación</v>
      </c>
      <c r="CW368" s="141" t="str">
        <v>191064 Vías de comunicación</v>
      </c>
      <c r="CX368" s="141" t="str">
        <v>191064 Vías de comunicación</v>
      </c>
      <c r="CY368" s="141" t="str">
        <v>191064 Vías de comunicación</v>
      </c>
      <c r="CZ368" s="141" t="str">
        <v>191064 Vías de comunicación</v>
      </c>
      <c r="DA368" s="141" t="str">
        <v>191064 Vías de comunicación</v>
      </c>
      <c r="DF368" t="str">
        <v>191064 Vías de comunicación</v>
      </c>
      <c r="DG368" t="str">
        <v>191064 Vías de comunicación</v>
      </c>
      <c r="DH368" t="str">
        <v>191064 Vías de comunicación</v>
      </c>
      <c r="DI368" t="str">
        <v>191064 Vías de comunicación</v>
      </c>
      <c r="DJ368" t="str">
        <v>191064 Vías de comunicación</v>
      </c>
      <c r="DK368" t="str">
        <v>191064 Vías de comunicación</v>
      </c>
      <c r="DL368" t="str">
        <v>191064 Vías de comunicación</v>
      </c>
      <c r="DM368" t="str">
        <v>191064 Vías de comunicación</v>
      </c>
      <c r="DN368" t="str">
        <v>191064 Vías de comunicación</v>
      </c>
      <c r="DO368" t="str">
        <v>191064 Vías de comunicación</v>
      </c>
      <c r="DP368" t="str">
        <v>191064 Vías de comunicación</v>
      </c>
    </row>
    <row r="369" spans="4:120" ht="12.75">
      <c r="D369" s="7">
        <v>2</v>
      </c>
      <c r="E369" s="6" t="s">
        <v>293</v>
      </c>
      <c r="F369" s="5">
        <v>1</v>
      </c>
      <c r="G369" s="34"/>
      <c r="H369" s="26" t="s">
        <v>765</v>
      </c>
      <c r="I369" t="b">
        <f>+ISNUMBER(SEARCH('F-COMPRA'!$F$28,Tabla11[[#This Row],[Cuenta]],1))</f>
        <v>1</v>
      </c>
      <c r="J369" t="b">
        <f>+ISNUMBER(SEARCH('F-COMPRA'!$F$29,Tabla11[[#This Row],[Cuenta]],1))</f>
        <v>1</v>
      </c>
      <c r="K369" t="b">
        <f>+ISNUMBER(SEARCH('F-COMPRA'!$F$30,Tabla11[[#This Row],[Cuenta]],1))</f>
        <v>1</v>
      </c>
      <c r="L369" t="b">
        <f>+ISNUMBER(SEARCH('F-COMPRA'!$F$31,Tabla11[[#This Row],[Cuenta]],1))</f>
        <v>1</v>
      </c>
      <c r="M369" t="b">
        <f>+ISNUMBER(SEARCH('F-COMPRA'!$G$25,Tabla11[[#This Row],[Cuenta]],1))</f>
        <v>0</v>
      </c>
      <c r="N369" t="b">
        <f>+ISNUMBER(SEARCH(#REF!,Tabla11[[#This Row],[Cuenta]],1))</f>
        <v>0</v>
      </c>
      <c r="O369" t="b">
        <f>+ISNUMBER(SEARCH(#REF!,Tabla11[[#This Row],[Cuenta]],1))</f>
        <v>0</v>
      </c>
      <c r="P369" t="b">
        <f>+ISNUMBER(SEARCH('F-COMPRA'!$F$32,Tabla11[[#This Row],[Cuenta]],1))</f>
        <v>1</v>
      </c>
      <c r="Q369" t="b">
        <f>+ISNUMBER(SEARCH('F-COMPRA'!$F$33,Tabla11[[#This Row],[Cuenta]],1))</f>
        <v>1</v>
      </c>
      <c r="R369" t="b">
        <f>+ISNUMBER(SEARCH('F-COMPRA'!$F$34,Tabla11[[#This Row],[Cuenta]],1))</f>
        <v>1</v>
      </c>
      <c r="S369" t="b">
        <f>+ISNUMBER(SEARCH('F-COMPRA'!$F$35,Tabla11[[#This Row],[Cuenta]],1))</f>
        <v>1</v>
      </c>
      <c r="T369" t="b">
        <f>+ISNUMBER(SEARCH('F-COMPRA'!$F$36,Tabla11[[#This Row],[Cuenta]],1))</f>
        <v>1</v>
      </c>
      <c r="U369" t="b">
        <f>+ISNUMBER(SEARCH('F-COMPRA'!$F$37,Tabla11[[#This Row],[Cuenta]],1))</f>
        <v>1</v>
      </c>
      <c r="V369" t="b">
        <f>+ISNUMBER(SEARCH(#REF!,Tabla11[[#This Row],[Cuenta]],1))</f>
        <v>0</v>
      </c>
      <c r="W369" t="b">
        <f>+ISNUMBER(SEARCH('F-COMPRA'!#REF!,Tabla11[[#This Row],[Cuenta]],1))</f>
        <v>0</v>
      </c>
      <c r="X369" t="b">
        <f>+ISNUMBER(SEARCH('F-COMPRA'!#REF!,Tabla11[[#This Row],[Cuenta]],1))</f>
        <v>0</v>
      </c>
      <c r="Y369" t="b">
        <f>+ISNUMBER(SEARCH('F-COMPRA'!#REF!,Tabla11[[#This Row],[Cuenta]],1))</f>
        <v>0</v>
      </c>
      <c r="Z369" t="b">
        <f>+ISNUMBER(SEARCH('F-COMPRA'!#REF!,Tabla11[[#This Row],[Cuenta]],1))</f>
        <v>0</v>
      </c>
      <c r="AA369" t="b">
        <f>+ISNUMBER(SEARCH('F-COMPRA'!#REF!,Tabla11[[#This Row],[Cuenta]],1))</f>
        <v>0</v>
      </c>
      <c r="AB369" t="b">
        <f>+ISNUMBER(SEARCH('F-COMPRA'!#REF!,Tabla11[[#This Row],[Cuenta]],1))</f>
        <v>0</v>
      </c>
      <c r="AC369" t="b">
        <f>+ISNUMBER(SEARCH('F-COMPRA'!#REF!,Tabla11[[#This Row],[Cuenta]],1))</f>
        <v>0</v>
      </c>
      <c r="AD369" t="b">
        <f>+ISNUMBER(SEARCH('F-COMPRA'!#REF!,Tabla11[[#This Row],[Cuenta]],1))</f>
        <v>0</v>
      </c>
      <c r="AE369" t="b">
        <f>+ISNUMBER(SEARCH('F-COMPRA'!#REF!,Tabla11[[#This Row],[Cuenta]],1))</f>
        <v>0</v>
      </c>
      <c r="AF369" t="b">
        <f>+ISNUMBER(SEARCH('F-VTA'!$G$23,Tabla11[[#This Row],[Cuenta]],1))</f>
        <v>0</v>
      </c>
      <c r="AG369" t="b">
        <f>+ISNUMBER(SEARCH('F-VTA'!$G$24,Tabla11[[#This Row],[Cuenta]],1))</f>
        <v>0</v>
      </c>
      <c r="AH369" t="b">
        <f>+ISNUMBER(SEARCH('F-VTA'!$G$25,Tabla11[[#This Row],[Cuenta]],1))</f>
        <v>0</v>
      </c>
      <c r="AI369" t="b">
        <f>+ISNUMBER(SEARCH('F-VTA'!$F$28,Tabla11[[#This Row],[Cuenta]],1))</f>
        <v>1</v>
      </c>
      <c r="AJ369" t="b">
        <f>+ISNUMBER(SEARCH('F-VTA'!$F$29,Tabla11[[#This Row],[Cuenta]],1))</f>
        <v>1</v>
      </c>
      <c r="AK369" t="b">
        <f>+ISNUMBER(SEARCH('F-VTA'!$F$30,Tabla11[[#This Row],[Cuenta]],1))</f>
        <v>1</v>
      </c>
      <c r="AL369" t="b">
        <f>+ISNUMBER(SEARCH('F-VTA'!$F$31,Tabla11[[#This Row],[Cuenta]],1))</f>
        <v>1</v>
      </c>
      <c r="AM369" t="b">
        <f>+ISNUMBER(SEARCH('F-VTA'!$F$32,Tabla11[[#This Row],[Cuenta]],1))</f>
        <v>1</v>
      </c>
      <c r="AN369" t="b">
        <f>+ISNUMBER(SEARCH('F-VTA'!$F$33,Tabla11[[#This Row],[Cuenta]],1))</f>
        <v>1</v>
      </c>
      <c r="AO369" t="b">
        <f>+ISNUMBER(SEARCH('F-VTA'!$F$34,Tabla11[[#This Row],[Cuenta]],1))</f>
        <v>1</v>
      </c>
      <c r="AP369" t="b">
        <f>+ISNUMBER(SEARCH('F-VTA'!$F$35,Tabla11[[#This Row],[Cuenta]],1))</f>
        <v>1</v>
      </c>
      <c r="AQ369" t="b">
        <f>+ISNUMBER(SEARCH('F-VTA'!$F$36,Tabla11[[#This Row],[Cuenta]],1))</f>
        <v>1</v>
      </c>
      <c r="AR369" t="b">
        <f>+ISNUMBER(SEARCH(#REF!,Tabla11[[#This Row],[Cuenta]],1))</f>
        <v>0</v>
      </c>
      <c r="AS369" t="b">
        <f>+ISNUMBER(SEARCH(#REF!,Tabla11[[#This Row],[Cuenta]],1))</f>
        <v>0</v>
      </c>
      <c r="AT369" t="b">
        <f>+ISNUMBER(SEARCH(#REF!,Tabla11[[#This Row],[Cuenta]],1))</f>
        <v>0</v>
      </c>
      <c r="AU369" t="b">
        <f>+ISNUMBER(SEARCH('Conc. Ban.1'!$I$9,Tabla11[[#This Row],[Cuenta]],1))</f>
        <v>0</v>
      </c>
      <c r="AV369" t="b">
        <f>+ISNUMBER(SEARCH(CompConta!$F$21,Tabla11[[#This Row],[Cuenta]],1))</f>
        <v>1</v>
      </c>
      <c r="AW369" t="b">
        <f>+ISNUMBER(SEARCH(CompConta!$F$22,Tabla11[[#This Row],[Cuenta]],1))</f>
        <v>1</v>
      </c>
      <c r="AX369" t="b">
        <f>+ISNUMBER(SEARCH(CompConta!$F$23,Tabla11[[#This Row],[Cuenta]],1))</f>
        <v>1</v>
      </c>
      <c r="AY369" t="b">
        <f>+ISNUMBER(SEARCH(CompConta!$F$24,Tabla11[[#This Row],[Cuenta]],1))</f>
        <v>1</v>
      </c>
      <c r="AZ369" t="b">
        <f>+ISNUMBER(SEARCH(CompConta!$F$25,Tabla11[[#This Row],[Cuenta]],1))</f>
        <v>1</v>
      </c>
      <c r="BA369" t="b">
        <f>+ISNUMBER(SEARCH(CompConta!$F$26,Tabla11[[#This Row],[Cuenta]],1))</f>
        <v>1</v>
      </c>
      <c r="BB369" t="b">
        <f>+ISNUMBER(SEARCH(CompConta!$F$27,Tabla11[[#This Row],[Cuenta]],1))</f>
        <v>1</v>
      </c>
      <c r="BC369" t="b">
        <f>+ISNUMBER(SEARCH(CompConta!$F$28,Tabla11[[#This Row],[Cuenta]],1))</f>
        <v>1</v>
      </c>
      <c r="BD369" t="b">
        <f>+ISNUMBER(SEARCH(CompConta!$F$29,Tabla11[[#This Row],[Cuenta]],1))</f>
        <v>1</v>
      </c>
      <c r="BE369" t="b">
        <f>+ISNUMBER(SEARCH(CompConta!$F$30,Tabla11[[#This Row],[Cuenta]],1))</f>
        <v>1</v>
      </c>
      <c r="BF369" t="b">
        <f>+ISNUMBER(SEARCH('PAGO Compras'!$E$11,Tabla11[[#This Row],[Cuenta]],1))</f>
        <v>1</v>
      </c>
      <c r="BG369" t="b">
        <f>+ISNUMBER(SEARCH(#REF!,Tabla11[[#This Row],[Cuenta]],1))</f>
        <v>0</v>
      </c>
      <c r="BH369" t="b">
        <f>+ISNUMBER(SEARCH(#REF!,Tabla11[[#This Row],[Cuenta]],1))</f>
        <v>0</v>
      </c>
      <c r="BI369" t="b">
        <f>+ISNUMBER(SEARCH(#REF!,Tabla11[[#This Row],[Cuenta]],1))</f>
        <v>0</v>
      </c>
      <c r="BJ369" t="b">
        <f>+ISNUMBER(SEARCH(#REF!,Tabla11[[#This Row],[Cuenta]],1))</f>
        <v>0</v>
      </c>
      <c r="BS369" t="str">
        <v>2 PASIVO</v>
      </c>
      <c r="BT369" t="str">
        <v>2 PASIVO</v>
      </c>
      <c r="BU369" t="str">
        <v>2 PASIVO</v>
      </c>
      <c r="BV369" t="str">
        <v>2 PASIVO</v>
      </c>
      <c r="BZ369" t="str">
        <v>2 PASIVO</v>
      </c>
      <c r="CA369" t="str">
        <v>2 PASIVO</v>
      </c>
      <c r="CB369" t="str">
        <v>2 PASIVO</v>
      </c>
      <c r="CC369" t="str">
        <v>2 PASIVO</v>
      </c>
      <c r="CD369" t="str">
        <v>2 PASIVO</v>
      </c>
      <c r="CE369" t="str">
        <v>2 PASIVO</v>
      </c>
      <c r="CS369" s="141" t="str">
        <v>2 PASIVO</v>
      </c>
      <c r="CT369" s="141" t="str">
        <v>2 PASIVO</v>
      </c>
      <c r="CU369" s="141" t="str">
        <v>2 PASIVO</v>
      </c>
      <c r="CV369" s="141" t="str">
        <v>2 PASIVO</v>
      </c>
      <c r="CW369" s="141" t="str">
        <v>2 PASIVO</v>
      </c>
      <c r="CX369" s="141" t="str">
        <v>2 PASIVO</v>
      </c>
      <c r="CY369" s="141" t="str">
        <v>2 PASIVO</v>
      </c>
      <c r="CZ369" s="141" t="str">
        <v>2 PASIVO</v>
      </c>
      <c r="DA369" s="141" t="str">
        <v>2 PASIVO</v>
      </c>
      <c r="DF369" t="str">
        <v>2 PASIVO</v>
      </c>
      <c r="DG369" t="str">
        <v>2 PASIVO</v>
      </c>
      <c r="DH369" t="str">
        <v>2 PASIVO</v>
      </c>
      <c r="DI369" t="str">
        <v>2 PASIVO</v>
      </c>
      <c r="DJ369" t="str">
        <v>2 PASIVO</v>
      </c>
      <c r="DK369" t="str">
        <v>2 PASIVO</v>
      </c>
      <c r="DL369" t="str">
        <v>2 PASIVO</v>
      </c>
      <c r="DM369" t="str">
        <v>2 PASIVO</v>
      </c>
      <c r="DN369" t="str">
        <v>2 PASIVO</v>
      </c>
      <c r="DO369" t="str">
        <v>2 PASIVO</v>
      </c>
      <c r="DP369" t="str">
        <v>2 PASIVO</v>
      </c>
    </row>
    <row r="370" spans="4:120" ht="12.75">
      <c r="D370" s="7">
        <v>21</v>
      </c>
      <c r="E370" s="6" t="s">
        <v>294</v>
      </c>
      <c r="F370" s="5">
        <v>2</v>
      </c>
      <c r="G370" s="34"/>
      <c r="H370" s="26" t="s">
        <v>765</v>
      </c>
      <c r="I370" t="b">
        <f>+ISNUMBER(SEARCH('F-COMPRA'!$F$28,Tabla11[[#This Row],[Cuenta]],1))</f>
        <v>1</v>
      </c>
      <c r="J370" t="b">
        <f>+ISNUMBER(SEARCH('F-COMPRA'!$F$29,Tabla11[[#This Row],[Cuenta]],1))</f>
        <v>1</v>
      </c>
      <c r="K370" t="b">
        <f>+ISNUMBER(SEARCH('F-COMPRA'!$F$30,Tabla11[[#This Row],[Cuenta]],1))</f>
        <v>1</v>
      </c>
      <c r="L370" t="b">
        <f>+ISNUMBER(SEARCH('F-COMPRA'!$F$31,Tabla11[[#This Row],[Cuenta]],1))</f>
        <v>1</v>
      </c>
      <c r="M370" t="b">
        <f>+ISNUMBER(SEARCH('F-COMPRA'!$G$25,Tabla11[[#This Row],[Cuenta]],1))</f>
        <v>0</v>
      </c>
      <c r="N370" t="b">
        <f>+ISNUMBER(SEARCH(#REF!,Tabla11[[#This Row],[Cuenta]],1))</f>
        <v>0</v>
      </c>
      <c r="O370" t="b">
        <f>+ISNUMBER(SEARCH(#REF!,Tabla11[[#This Row],[Cuenta]],1))</f>
        <v>0</v>
      </c>
      <c r="P370" t="b">
        <f>+ISNUMBER(SEARCH('F-COMPRA'!$F$32,Tabla11[[#This Row],[Cuenta]],1))</f>
        <v>1</v>
      </c>
      <c r="Q370" t="b">
        <f>+ISNUMBER(SEARCH('F-COMPRA'!$F$33,Tabla11[[#This Row],[Cuenta]],1))</f>
        <v>1</v>
      </c>
      <c r="R370" t="b">
        <f>+ISNUMBER(SEARCH('F-COMPRA'!$F$34,Tabla11[[#This Row],[Cuenta]],1))</f>
        <v>1</v>
      </c>
      <c r="S370" t="b">
        <f>+ISNUMBER(SEARCH('F-COMPRA'!$F$35,Tabla11[[#This Row],[Cuenta]],1))</f>
        <v>1</v>
      </c>
      <c r="T370" t="b">
        <f>+ISNUMBER(SEARCH('F-COMPRA'!$F$36,Tabla11[[#This Row],[Cuenta]],1))</f>
        <v>1</v>
      </c>
      <c r="U370" t="b">
        <f>+ISNUMBER(SEARCH('F-COMPRA'!$F$37,Tabla11[[#This Row],[Cuenta]],1))</f>
        <v>1</v>
      </c>
      <c r="V370" t="b">
        <f>+ISNUMBER(SEARCH(#REF!,Tabla11[[#This Row],[Cuenta]],1))</f>
        <v>0</v>
      </c>
      <c r="W370" t="b">
        <f>+ISNUMBER(SEARCH('F-COMPRA'!#REF!,Tabla11[[#This Row],[Cuenta]],1))</f>
        <v>0</v>
      </c>
      <c r="X370" t="b">
        <f>+ISNUMBER(SEARCH('F-COMPRA'!#REF!,Tabla11[[#This Row],[Cuenta]],1))</f>
        <v>0</v>
      </c>
      <c r="Y370" t="b">
        <f>+ISNUMBER(SEARCH('F-COMPRA'!#REF!,Tabla11[[#This Row],[Cuenta]],1))</f>
        <v>0</v>
      </c>
      <c r="Z370" t="b">
        <f>+ISNUMBER(SEARCH('F-COMPRA'!#REF!,Tabla11[[#This Row],[Cuenta]],1))</f>
        <v>0</v>
      </c>
      <c r="AA370" t="b">
        <f>+ISNUMBER(SEARCH('F-COMPRA'!#REF!,Tabla11[[#This Row],[Cuenta]],1))</f>
        <v>0</v>
      </c>
      <c r="AB370" t="b">
        <f>+ISNUMBER(SEARCH('F-COMPRA'!#REF!,Tabla11[[#This Row],[Cuenta]],1))</f>
        <v>0</v>
      </c>
      <c r="AC370" t="b">
        <f>+ISNUMBER(SEARCH('F-COMPRA'!#REF!,Tabla11[[#This Row],[Cuenta]],1))</f>
        <v>0</v>
      </c>
      <c r="AD370" t="b">
        <f>+ISNUMBER(SEARCH('F-COMPRA'!#REF!,Tabla11[[#This Row],[Cuenta]],1))</f>
        <v>0</v>
      </c>
      <c r="AE370" t="b">
        <f>+ISNUMBER(SEARCH('F-COMPRA'!#REF!,Tabla11[[#This Row],[Cuenta]],1))</f>
        <v>0</v>
      </c>
      <c r="AF370" t="b">
        <f>+ISNUMBER(SEARCH('F-VTA'!$G$23,Tabla11[[#This Row],[Cuenta]],1))</f>
        <v>0</v>
      </c>
      <c r="AG370" t="b">
        <f>+ISNUMBER(SEARCH('F-VTA'!$G$24,Tabla11[[#This Row],[Cuenta]],1))</f>
        <v>0</v>
      </c>
      <c r="AH370" t="b">
        <f>+ISNUMBER(SEARCH('F-VTA'!$G$25,Tabla11[[#This Row],[Cuenta]],1))</f>
        <v>0</v>
      </c>
      <c r="AI370" t="b">
        <f>+ISNUMBER(SEARCH('F-VTA'!$F$28,Tabla11[[#This Row],[Cuenta]],1))</f>
        <v>1</v>
      </c>
      <c r="AJ370" t="b">
        <f>+ISNUMBER(SEARCH('F-VTA'!$F$29,Tabla11[[#This Row],[Cuenta]],1))</f>
        <v>1</v>
      </c>
      <c r="AK370" t="b">
        <f>+ISNUMBER(SEARCH('F-VTA'!$F$30,Tabla11[[#This Row],[Cuenta]],1))</f>
        <v>1</v>
      </c>
      <c r="AL370" t="b">
        <f>+ISNUMBER(SEARCH('F-VTA'!$F$31,Tabla11[[#This Row],[Cuenta]],1))</f>
        <v>1</v>
      </c>
      <c r="AM370" t="b">
        <f>+ISNUMBER(SEARCH('F-VTA'!$F$32,Tabla11[[#This Row],[Cuenta]],1))</f>
        <v>1</v>
      </c>
      <c r="AN370" t="b">
        <f>+ISNUMBER(SEARCH('F-VTA'!$F$33,Tabla11[[#This Row],[Cuenta]],1))</f>
        <v>1</v>
      </c>
      <c r="AO370" t="b">
        <f>+ISNUMBER(SEARCH('F-VTA'!$F$34,Tabla11[[#This Row],[Cuenta]],1))</f>
        <v>1</v>
      </c>
      <c r="AP370" t="b">
        <f>+ISNUMBER(SEARCH('F-VTA'!$F$35,Tabla11[[#This Row],[Cuenta]],1))</f>
        <v>1</v>
      </c>
      <c r="AQ370" t="b">
        <f>+ISNUMBER(SEARCH('F-VTA'!$F$36,Tabla11[[#This Row],[Cuenta]],1))</f>
        <v>1</v>
      </c>
      <c r="AR370" t="b">
        <f>+ISNUMBER(SEARCH(#REF!,Tabla11[[#This Row],[Cuenta]],1))</f>
        <v>0</v>
      </c>
      <c r="AS370" t="b">
        <f>+ISNUMBER(SEARCH(#REF!,Tabla11[[#This Row],[Cuenta]],1))</f>
        <v>0</v>
      </c>
      <c r="AT370" t="b">
        <f>+ISNUMBER(SEARCH(#REF!,Tabla11[[#This Row],[Cuenta]],1))</f>
        <v>0</v>
      </c>
      <c r="AU370" t="b">
        <f>+ISNUMBER(SEARCH('Conc. Ban.1'!$I$9,Tabla11[[#This Row],[Cuenta]],1))</f>
        <v>0</v>
      </c>
      <c r="AV370" t="b">
        <f>+ISNUMBER(SEARCH(CompConta!$F$21,Tabla11[[#This Row],[Cuenta]],1))</f>
        <v>1</v>
      </c>
      <c r="AW370" t="b">
        <f>+ISNUMBER(SEARCH(CompConta!$F$22,Tabla11[[#This Row],[Cuenta]],1))</f>
        <v>1</v>
      </c>
      <c r="AX370" t="b">
        <f>+ISNUMBER(SEARCH(CompConta!$F$23,Tabla11[[#This Row],[Cuenta]],1))</f>
        <v>1</v>
      </c>
      <c r="AY370" t="b">
        <f>+ISNUMBER(SEARCH(CompConta!$F$24,Tabla11[[#This Row],[Cuenta]],1))</f>
        <v>1</v>
      </c>
      <c r="AZ370" t="b">
        <f>+ISNUMBER(SEARCH(CompConta!$F$25,Tabla11[[#This Row],[Cuenta]],1))</f>
        <v>1</v>
      </c>
      <c r="BA370" t="b">
        <f>+ISNUMBER(SEARCH(CompConta!$F$26,Tabla11[[#This Row],[Cuenta]],1))</f>
        <v>1</v>
      </c>
      <c r="BB370" t="b">
        <f>+ISNUMBER(SEARCH(CompConta!$F$27,Tabla11[[#This Row],[Cuenta]],1))</f>
        <v>1</v>
      </c>
      <c r="BC370" t="b">
        <f>+ISNUMBER(SEARCH(CompConta!$F$28,Tabla11[[#This Row],[Cuenta]],1))</f>
        <v>1</v>
      </c>
      <c r="BD370" t="b">
        <f>+ISNUMBER(SEARCH(CompConta!$F$29,Tabla11[[#This Row],[Cuenta]],1))</f>
        <v>1</v>
      </c>
      <c r="BE370" t="b">
        <f>+ISNUMBER(SEARCH(CompConta!$F$30,Tabla11[[#This Row],[Cuenta]],1))</f>
        <v>1</v>
      </c>
      <c r="BF370" t="b">
        <f>+ISNUMBER(SEARCH('PAGO Compras'!$E$11,Tabla11[[#This Row],[Cuenta]],1))</f>
        <v>1</v>
      </c>
      <c r="BG370" t="b">
        <f>+ISNUMBER(SEARCH(#REF!,Tabla11[[#This Row],[Cuenta]],1))</f>
        <v>0</v>
      </c>
      <c r="BH370" t="b">
        <f>+ISNUMBER(SEARCH(#REF!,Tabla11[[#This Row],[Cuenta]],1))</f>
        <v>0</v>
      </c>
      <c r="BI370" t="b">
        <f>+ISNUMBER(SEARCH(#REF!,Tabla11[[#This Row],[Cuenta]],1))</f>
        <v>0</v>
      </c>
      <c r="BJ370" t="b">
        <f>+ISNUMBER(SEARCH(#REF!,Tabla11[[#This Row],[Cuenta]],1))</f>
        <v>0</v>
      </c>
      <c r="BS370" t="str">
        <v>21 OBLIGACIONES FINANCIERAS</v>
      </c>
      <c r="BT370" t="str">
        <v>21 OBLIGACIONES FINANCIERAS</v>
      </c>
      <c r="BU370" t="str">
        <v>21 OBLIGACIONES FINANCIERAS</v>
      </c>
      <c r="BV370" t="str">
        <v>21 OBLIGACIONES FINANCIERAS</v>
      </c>
      <c r="BZ370" t="str">
        <v>21 OBLIGACIONES FINANCIERAS</v>
      </c>
      <c r="CA370" t="str">
        <v>21 OBLIGACIONES FINANCIERAS</v>
      </c>
      <c r="CB370" t="str">
        <v>21 OBLIGACIONES FINANCIERAS</v>
      </c>
      <c r="CC370" t="str">
        <v>21 OBLIGACIONES FINANCIERAS</v>
      </c>
      <c r="CD370" t="str">
        <v>21 OBLIGACIONES FINANCIERAS</v>
      </c>
      <c r="CE370" t="str">
        <v>21 OBLIGACIONES FINANCIERAS</v>
      </c>
      <c r="CS370" s="141" t="str">
        <v>21 OBLIGACIONES FINANCIERAS</v>
      </c>
      <c r="CT370" s="141" t="str">
        <v>21 OBLIGACIONES FINANCIERAS</v>
      </c>
      <c r="CU370" s="141" t="str">
        <v>21 OBLIGACIONES FINANCIERAS</v>
      </c>
      <c r="CV370" s="141" t="str">
        <v>21 OBLIGACIONES FINANCIERAS</v>
      </c>
      <c r="CW370" s="141" t="str">
        <v>21 OBLIGACIONES FINANCIERAS</v>
      </c>
      <c r="CX370" s="141" t="str">
        <v>21 OBLIGACIONES FINANCIERAS</v>
      </c>
      <c r="CY370" s="141" t="str">
        <v>21 OBLIGACIONES FINANCIERAS</v>
      </c>
      <c r="CZ370" s="141" t="str">
        <v>21 OBLIGACIONES FINANCIERAS</v>
      </c>
      <c r="DA370" s="141" t="str">
        <v>21 OBLIGACIONES FINANCIERAS</v>
      </c>
      <c r="DF370" t="str">
        <v>21 OBLIGACIONES FINANCIERAS</v>
      </c>
      <c r="DG370" t="str">
        <v>21 OBLIGACIONES FINANCIERAS</v>
      </c>
      <c r="DH370" t="str">
        <v>21 OBLIGACIONES FINANCIERAS</v>
      </c>
      <c r="DI370" t="str">
        <v>21 OBLIGACIONES FINANCIERAS</v>
      </c>
      <c r="DJ370" t="str">
        <v>21 OBLIGACIONES FINANCIERAS</v>
      </c>
      <c r="DK370" t="str">
        <v>21 OBLIGACIONES FINANCIERAS</v>
      </c>
      <c r="DL370" t="str">
        <v>21 OBLIGACIONES FINANCIERAS</v>
      </c>
      <c r="DM370" t="str">
        <v>21 OBLIGACIONES FINANCIERAS</v>
      </c>
      <c r="DN370" t="str">
        <v>21 OBLIGACIONES FINANCIERAS</v>
      </c>
      <c r="DO370" t="str">
        <v>21 OBLIGACIONES FINANCIERAS</v>
      </c>
      <c r="DP370" t="str">
        <v>21 OBLIGACIONES FINANCIERAS</v>
      </c>
    </row>
    <row r="371" spans="4:120" ht="12.75">
      <c r="D371" s="7">
        <v>2105</v>
      </c>
      <c r="E371" s="6" t="s">
        <v>295</v>
      </c>
      <c r="F371" s="5">
        <v>3</v>
      </c>
      <c r="G371" s="34" t="s">
        <v>823</v>
      </c>
      <c r="H371" s="26" t="s">
        <v>765</v>
      </c>
      <c r="I371" t="b">
        <f>+ISNUMBER(SEARCH('F-COMPRA'!$F$28,Tabla11[[#This Row],[Cuenta]],1))</f>
        <v>1</v>
      </c>
      <c r="J371" t="b">
        <f>+ISNUMBER(SEARCH('F-COMPRA'!$F$29,Tabla11[[#This Row],[Cuenta]],1))</f>
        <v>1</v>
      </c>
      <c r="K371" t="b">
        <f>+ISNUMBER(SEARCH('F-COMPRA'!$F$30,Tabla11[[#This Row],[Cuenta]],1))</f>
        <v>1</v>
      </c>
      <c r="L371" t="b">
        <f>+ISNUMBER(SEARCH('F-COMPRA'!$F$31,Tabla11[[#This Row],[Cuenta]],1))</f>
        <v>1</v>
      </c>
      <c r="M371" t="b">
        <f>+ISNUMBER(SEARCH('F-COMPRA'!$G$25,Tabla11[[#This Row],[Cuenta]],1))</f>
        <v>0</v>
      </c>
      <c r="N371" t="b">
        <f>+ISNUMBER(SEARCH(#REF!,Tabla11[[#This Row],[Cuenta]],1))</f>
        <v>0</v>
      </c>
      <c r="O371" t="b">
        <f>+ISNUMBER(SEARCH(#REF!,Tabla11[[#This Row],[Cuenta]],1))</f>
        <v>0</v>
      </c>
      <c r="P371" t="b">
        <f>+ISNUMBER(SEARCH('F-COMPRA'!$F$32,Tabla11[[#This Row],[Cuenta]],1))</f>
        <v>1</v>
      </c>
      <c r="Q371" t="b">
        <f>+ISNUMBER(SEARCH('F-COMPRA'!$F$33,Tabla11[[#This Row],[Cuenta]],1))</f>
        <v>1</v>
      </c>
      <c r="R371" t="b">
        <f>+ISNUMBER(SEARCH('F-COMPRA'!$F$34,Tabla11[[#This Row],[Cuenta]],1))</f>
        <v>1</v>
      </c>
      <c r="S371" t="b">
        <f>+ISNUMBER(SEARCH('F-COMPRA'!$F$35,Tabla11[[#This Row],[Cuenta]],1))</f>
        <v>1</v>
      </c>
      <c r="T371" t="b">
        <f>+ISNUMBER(SEARCH('F-COMPRA'!$F$36,Tabla11[[#This Row],[Cuenta]],1))</f>
        <v>1</v>
      </c>
      <c r="U371" t="b">
        <f>+ISNUMBER(SEARCH('F-COMPRA'!$F$37,Tabla11[[#This Row],[Cuenta]],1))</f>
        <v>1</v>
      </c>
      <c r="V371" t="b">
        <f>+ISNUMBER(SEARCH(#REF!,Tabla11[[#This Row],[Cuenta]],1))</f>
        <v>0</v>
      </c>
      <c r="W371" t="b">
        <f>+ISNUMBER(SEARCH('F-COMPRA'!#REF!,Tabla11[[#This Row],[Cuenta]],1))</f>
        <v>0</v>
      </c>
      <c r="X371" t="b">
        <f>+ISNUMBER(SEARCH('F-COMPRA'!#REF!,Tabla11[[#This Row],[Cuenta]],1))</f>
        <v>0</v>
      </c>
      <c r="Y371" t="b">
        <f>+ISNUMBER(SEARCH('F-COMPRA'!#REF!,Tabla11[[#This Row],[Cuenta]],1))</f>
        <v>0</v>
      </c>
      <c r="Z371" t="b">
        <f>+ISNUMBER(SEARCH('F-COMPRA'!#REF!,Tabla11[[#This Row],[Cuenta]],1))</f>
        <v>0</v>
      </c>
      <c r="AA371" t="b">
        <f>+ISNUMBER(SEARCH('F-COMPRA'!#REF!,Tabla11[[#This Row],[Cuenta]],1))</f>
        <v>0</v>
      </c>
      <c r="AB371" t="b">
        <f>+ISNUMBER(SEARCH('F-COMPRA'!#REF!,Tabla11[[#This Row],[Cuenta]],1))</f>
        <v>0</v>
      </c>
      <c r="AC371" t="b">
        <f>+ISNUMBER(SEARCH('F-COMPRA'!#REF!,Tabla11[[#This Row],[Cuenta]],1))</f>
        <v>0</v>
      </c>
      <c r="AD371" t="b">
        <f>+ISNUMBER(SEARCH('F-COMPRA'!#REF!,Tabla11[[#This Row],[Cuenta]],1))</f>
        <v>0</v>
      </c>
      <c r="AE371" t="b">
        <f>+ISNUMBER(SEARCH('F-COMPRA'!#REF!,Tabla11[[#This Row],[Cuenta]],1))</f>
        <v>0</v>
      </c>
      <c r="AF371" t="b">
        <f>+ISNUMBER(SEARCH('F-VTA'!$G$23,Tabla11[[#This Row],[Cuenta]],1))</f>
        <v>0</v>
      </c>
      <c r="AG371" t="b">
        <f>+ISNUMBER(SEARCH('F-VTA'!$G$24,Tabla11[[#This Row],[Cuenta]],1))</f>
        <v>0</v>
      </c>
      <c r="AH371" t="b">
        <f>+ISNUMBER(SEARCH('F-VTA'!$G$25,Tabla11[[#This Row],[Cuenta]],1))</f>
        <v>0</v>
      </c>
      <c r="AI371" t="b">
        <f>+ISNUMBER(SEARCH('F-VTA'!$F$28,Tabla11[[#This Row],[Cuenta]],1))</f>
        <v>1</v>
      </c>
      <c r="AJ371" t="b">
        <f>+ISNUMBER(SEARCH('F-VTA'!$F$29,Tabla11[[#This Row],[Cuenta]],1))</f>
        <v>1</v>
      </c>
      <c r="AK371" t="b">
        <f>+ISNUMBER(SEARCH('F-VTA'!$F$30,Tabla11[[#This Row],[Cuenta]],1))</f>
        <v>1</v>
      </c>
      <c r="AL371" t="b">
        <f>+ISNUMBER(SEARCH('F-VTA'!$F$31,Tabla11[[#This Row],[Cuenta]],1))</f>
        <v>1</v>
      </c>
      <c r="AM371" t="b">
        <f>+ISNUMBER(SEARCH('F-VTA'!$F$32,Tabla11[[#This Row],[Cuenta]],1))</f>
        <v>1</v>
      </c>
      <c r="AN371" t="b">
        <f>+ISNUMBER(SEARCH('F-VTA'!$F$33,Tabla11[[#This Row],[Cuenta]],1))</f>
        <v>1</v>
      </c>
      <c r="AO371" t="b">
        <f>+ISNUMBER(SEARCH('F-VTA'!$F$34,Tabla11[[#This Row],[Cuenta]],1))</f>
        <v>1</v>
      </c>
      <c r="AP371" t="b">
        <f>+ISNUMBER(SEARCH('F-VTA'!$F$35,Tabla11[[#This Row],[Cuenta]],1))</f>
        <v>1</v>
      </c>
      <c r="AQ371" t="b">
        <f>+ISNUMBER(SEARCH('F-VTA'!$F$36,Tabla11[[#This Row],[Cuenta]],1))</f>
        <v>1</v>
      </c>
      <c r="AR371" t="b">
        <f>+ISNUMBER(SEARCH(#REF!,Tabla11[[#This Row],[Cuenta]],1))</f>
        <v>0</v>
      </c>
      <c r="AS371" t="b">
        <f>+ISNUMBER(SEARCH(#REF!,Tabla11[[#This Row],[Cuenta]],1))</f>
        <v>0</v>
      </c>
      <c r="AT371" t="b">
        <f>+ISNUMBER(SEARCH(#REF!,Tabla11[[#This Row],[Cuenta]],1))</f>
        <v>0</v>
      </c>
      <c r="AU371" t="b">
        <f>+ISNUMBER(SEARCH('Conc. Ban.1'!$I$9,Tabla11[[#This Row],[Cuenta]],1))</f>
        <v>0</v>
      </c>
      <c r="AV371" t="b">
        <f>+ISNUMBER(SEARCH(CompConta!$F$21,Tabla11[[#This Row],[Cuenta]],1))</f>
        <v>1</v>
      </c>
      <c r="AW371" t="b">
        <f>+ISNUMBER(SEARCH(CompConta!$F$22,Tabla11[[#This Row],[Cuenta]],1))</f>
        <v>1</v>
      </c>
      <c r="AX371" t="b">
        <f>+ISNUMBER(SEARCH(CompConta!$F$23,Tabla11[[#This Row],[Cuenta]],1))</f>
        <v>1</v>
      </c>
      <c r="AY371" t="b">
        <f>+ISNUMBER(SEARCH(CompConta!$F$24,Tabla11[[#This Row],[Cuenta]],1))</f>
        <v>1</v>
      </c>
      <c r="AZ371" t="b">
        <f>+ISNUMBER(SEARCH(CompConta!$F$25,Tabla11[[#This Row],[Cuenta]],1))</f>
        <v>1</v>
      </c>
      <c r="BA371" t="b">
        <f>+ISNUMBER(SEARCH(CompConta!$F$26,Tabla11[[#This Row],[Cuenta]],1))</f>
        <v>1</v>
      </c>
      <c r="BB371" t="b">
        <f>+ISNUMBER(SEARCH(CompConta!$F$27,Tabla11[[#This Row],[Cuenta]],1))</f>
        <v>1</v>
      </c>
      <c r="BC371" t="b">
        <f>+ISNUMBER(SEARCH(CompConta!$F$28,Tabla11[[#This Row],[Cuenta]],1))</f>
        <v>1</v>
      </c>
      <c r="BD371" t="b">
        <f>+ISNUMBER(SEARCH(CompConta!$F$29,Tabla11[[#This Row],[Cuenta]],1))</f>
        <v>1</v>
      </c>
      <c r="BE371" t="b">
        <f>+ISNUMBER(SEARCH(CompConta!$F$30,Tabla11[[#This Row],[Cuenta]],1))</f>
        <v>1</v>
      </c>
      <c r="BF371" t="b">
        <f>+ISNUMBER(SEARCH('PAGO Compras'!$E$11,Tabla11[[#This Row],[Cuenta]],1))</f>
        <v>1</v>
      </c>
      <c r="BG371" t="b">
        <f>+ISNUMBER(SEARCH(#REF!,Tabla11[[#This Row],[Cuenta]],1))</f>
        <v>0</v>
      </c>
      <c r="BH371" t="b">
        <f>+ISNUMBER(SEARCH(#REF!,Tabla11[[#This Row],[Cuenta]],1))</f>
        <v>0</v>
      </c>
      <c r="BI371" t="b">
        <f>+ISNUMBER(SEARCH(#REF!,Tabla11[[#This Row],[Cuenta]],1))</f>
        <v>0</v>
      </c>
      <c r="BJ371" t="b">
        <f>+ISNUMBER(SEARCH(#REF!,Tabla11[[#This Row],[Cuenta]],1))</f>
        <v>0</v>
      </c>
      <c r="BS371" t="str">
        <v>2105 BANCOS NACIONALES</v>
      </c>
      <c r="BT371" t="str">
        <v>2105 BANCOS NACIONALES</v>
      </c>
      <c r="BU371" t="str">
        <v>2105 BANCOS NACIONALES</v>
      </c>
      <c r="BV371" t="str">
        <v>2105 BANCOS NACIONALES</v>
      </c>
      <c r="BZ371" t="str">
        <v>2105 BANCOS NACIONALES</v>
      </c>
      <c r="CA371" t="str">
        <v>2105 BANCOS NACIONALES</v>
      </c>
      <c r="CB371" t="str">
        <v>2105 BANCOS NACIONALES</v>
      </c>
      <c r="CC371" t="str">
        <v>2105 BANCOS NACIONALES</v>
      </c>
      <c r="CD371" t="str">
        <v>2105 BANCOS NACIONALES</v>
      </c>
      <c r="CE371" t="str">
        <v>2105 BANCOS NACIONALES</v>
      </c>
      <c r="CS371" s="141" t="str">
        <v>2105 BANCOS NACIONALES</v>
      </c>
      <c r="CT371" s="141" t="str">
        <v>2105 BANCOS NACIONALES</v>
      </c>
      <c r="CU371" s="141" t="str">
        <v>2105 BANCOS NACIONALES</v>
      </c>
      <c r="CV371" s="141" t="str">
        <v>2105 BANCOS NACIONALES</v>
      </c>
      <c r="CW371" s="141" t="str">
        <v>2105 BANCOS NACIONALES</v>
      </c>
      <c r="CX371" s="141" t="str">
        <v>2105 BANCOS NACIONALES</v>
      </c>
      <c r="CY371" s="141" t="str">
        <v>2105 BANCOS NACIONALES</v>
      </c>
      <c r="CZ371" s="141" t="str">
        <v>2105 BANCOS NACIONALES</v>
      </c>
      <c r="DA371" s="141" t="str">
        <v>2105 BANCOS NACIONALES</v>
      </c>
      <c r="DF371" t="str">
        <v>2105 BANCOS NACIONALES</v>
      </c>
      <c r="DG371" t="str">
        <v>2105 BANCOS NACIONALES</v>
      </c>
      <c r="DH371" t="str">
        <v>2105 BANCOS NACIONALES</v>
      </c>
      <c r="DI371" t="str">
        <v>2105 BANCOS NACIONALES</v>
      </c>
      <c r="DJ371" t="str">
        <v>2105 BANCOS NACIONALES</v>
      </c>
      <c r="DK371" t="str">
        <v>2105 BANCOS NACIONALES</v>
      </c>
      <c r="DL371" t="str">
        <v>2105 BANCOS NACIONALES</v>
      </c>
      <c r="DM371" t="str">
        <v>2105 BANCOS NACIONALES</v>
      </c>
      <c r="DN371" t="str">
        <v>2105 BANCOS NACIONALES</v>
      </c>
      <c r="DO371" t="str">
        <v>2105 BANCOS NACIONALES</v>
      </c>
      <c r="DP371" t="str">
        <v>2105 BANCOS NACIONALES</v>
      </c>
    </row>
    <row r="372" spans="4:120" ht="12.75">
      <c r="D372" s="7">
        <v>210505</v>
      </c>
      <c r="E372" s="6" t="s">
        <v>296</v>
      </c>
      <c r="F372" s="5">
        <v>4</v>
      </c>
      <c r="G372" s="34" t="s">
        <v>823</v>
      </c>
      <c r="H372" s="26" t="s">
        <v>765</v>
      </c>
      <c r="I372" t="b">
        <f>+ISNUMBER(SEARCH('F-COMPRA'!$F$28,Tabla11[[#This Row],[Cuenta]],1))</f>
        <v>1</v>
      </c>
      <c r="J372" t="b">
        <f>+ISNUMBER(SEARCH('F-COMPRA'!$F$29,Tabla11[[#This Row],[Cuenta]],1))</f>
        <v>1</v>
      </c>
      <c r="K372" t="b">
        <f>+ISNUMBER(SEARCH('F-COMPRA'!$F$30,Tabla11[[#This Row],[Cuenta]],1))</f>
        <v>1</v>
      </c>
      <c r="L372" t="b">
        <f>+ISNUMBER(SEARCH('F-COMPRA'!$F$31,Tabla11[[#This Row],[Cuenta]],1))</f>
        <v>1</v>
      </c>
      <c r="M372" t="b">
        <f>+ISNUMBER(SEARCH('F-COMPRA'!$G$25,Tabla11[[#This Row],[Cuenta]],1))</f>
        <v>0</v>
      </c>
      <c r="N372" t="b">
        <f>+ISNUMBER(SEARCH(#REF!,Tabla11[[#This Row],[Cuenta]],1))</f>
        <v>0</v>
      </c>
      <c r="O372" t="b">
        <f>+ISNUMBER(SEARCH(#REF!,Tabla11[[#This Row],[Cuenta]],1))</f>
        <v>0</v>
      </c>
      <c r="P372" t="b">
        <f>+ISNUMBER(SEARCH('F-COMPRA'!$F$32,Tabla11[[#This Row],[Cuenta]],1))</f>
        <v>1</v>
      </c>
      <c r="Q372" t="b">
        <f>+ISNUMBER(SEARCH('F-COMPRA'!$F$33,Tabla11[[#This Row],[Cuenta]],1))</f>
        <v>1</v>
      </c>
      <c r="R372" t="b">
        <f>+ISNUMBER(SEARCH('F-COMPRA'!$F$34,Tabla11[[#This Row],[Cuenta]],1))</f>
        <v>1</v>
      </c>
      <c r="S372" t="b">
        <f>+ISNUMBER(SEARCH('F-COMPRA'!$F$35,Tabla11[[#This Row],[Cuenta]],1))</f>
        <v>1</v>
      </c>
      <c r="T372" t="b">
        <f>+ISNUMBER(SEARCH('F-COMPRA'!$F$36,Tabla11[[#This Row],[Cuenta]],1))</f>
        <v>1</v>
      </c>
      <c r="U372" t="b">
        <f>+ISNUMBER(SEARCH('F-COMPRA'!$F$37,Tabla11[[#This Row],[Cuenta]],1))</f>
        <v>1</v>
      </c>
      <c r="V372" t="b">
        <f>+ISNUMBER(SEARCH(#REF!,Tabla11[[#This Row],[Cuenta]],1))</f>
        <v>0</v>
      </c>
      <c r="W372" t="b">
        <f>+ISNUMBER(SEARCH('F-COMPRA'!#REF!,Tabla11[[#This Row],[Cuenta]],1))</f>
        <v>0</v>
      </c>
      <c r="X372" t="b">
        <f>+ISNUMBER(SEARCH('F-COMPRA'!#REF!,Tabla11[[#This Row],[Cuenta]],1))</f>
        <v>0</v>
      </c>
      <c r="Y372" t="b">
        <f>+ISNUMBER(SEARCH('F-COMPRA'!#REF!,Tabla11[[#This Row],[Cuenta]],1))</f>
        <v>0</v>
      </c>
      <c r="Z372" t="b">
        <f>+ISNUMBER(SEARCH('F-COMPRA'!#REF!,Tabla11[[#This Row],[Cuenta]],1))</f>
        <v>0</v>
      </c>
      <c r="AA372" t="b">
        <f>+ISNUMBER(SEARCH('F-COMPRA'!#REF!,Tabla11[[#This Row],[Cuenta]],1))</f>
        <v>0</v>
      </c>
      <c r="AB372" t="b">
        <f>+ISNUMBER(SEARCH('F-COMPRA'!#REF!,Tabla11[[#This Row],[Cuenta]],1))</f>
        <v>0</v>
      </c>
      <c r="AC372" t="b">
        <f>+ISNUMBER(SEARCH('F-COMPRA'!#REF!,Tabla11[[#This Row],[Cuenta]],1))</f>
        <v>0</v>
      </c>
      <c r="AD372" t="b">
        <f>+ISNUMBER(SEARCH('F-COMPRA'!#REF!,Tabla11[[#This Row],[Cuenta]],1))</f>
        <v>0</v>
      </c>
      <c r="AE372" t="b">
        <f>+ISNUMBER(SEARCH('F-COMPRA'!#REF!,Tabla11[[#This Row],[Cuenta]],1))</f>
        <v>0</v>
      </c>
      <c r="AF372" t="b">
        <f>+ISNUMBER(SEARCH('F-VTA'!$G$23,Tabla11[[#This Row],[Cuenta]],1))</f>
        <v>0</v>
      </c>
      <c r="AG372" t="b">
        <f>+ISNUMBER(SEARCH('F-VTA'!$G$24,Tabla11[[#This Row],[Cuenta]],1))</f>
        <v>0</v>
      </c>
      <c r="AH372" t="b">
        <f>+ISNUMBER(SEARCH('F-VTA'!$G$25,Tabla11[[#This Row],[Cuenta]],1))</f>
        <v>0</v>
      </c>
      <c r="AI372" t="b">
        <f>+ISNUMBER(SEARCH('F-VTA'!$F$28,Tabla11[[#This Row],[Cuenta]],1))</f>
        <v>1</v>
      </c>
      <c r="AJ372" t="b">
        <f>+ISNUMBER(SEARCH('F-VTA'!$F$29,Tabla11[[#This Row],[Cuenta]],1))</f>
        <v>1</v>
      </c>
      <c r="AK372" t="b">
        <f>+ISNUMBER(SEARCH('F-VTA'!$F$30,Tabla11[[#This Row],[Cuenta]],1))</f>
        <v>1</v>
      </c>
      <c r="AL372" t="b">
        <f>+ISNUMBER(SEARCH('F-VTA'!$F$31,Tabla11[[#This Row],[Cuenta]],1))</f>
        <v>1</v>
      </c>
      <c r="AM372" t="b">
        <f>+ISNUMBER(SEARCH('F-VTA'!$F$32,Tabla11[[#This Row],[Cuenta]],1))</f>
        <v>1</v>
      </c>
      <c r="AN372" t="b">
        <f>+ISNUMBER(SEARCH('F-VTA'!$F$33,Tabla11[[#This Row],[Cuenta]],1))</f>
        <v>1</v>
      </c>
      <c r="AO372" t="b">
        <f>+ISNUMBER(SEARCH('F-VTA'!$F$34,Tabla11[[#This Row],[Cuenta]],1))</f>
        <v>1</v>
      </c>
      <c r="AP372" t="b">
        <f>+ISNUMBER(SEARCH('F-VTA'!$F$35,Tabla11[[#This Row],[Cuenta]],1))</f>
        <v>1</v>
      </c>
      <c r="AQ372" t="b">
        <f>+ISNUMBER(SEARCH('F-VTA'!$F$36,Tabla11[[#This Row],[Cuenta]],1))</f>
        <v>1</v>
      </c>
      <c r="AR372" t="b">
        <f>+ISNUMBER(SEARCH(#REF!,Tabla11[[#This Row],[Cuenta]],1))</f>
        <v>0</v>
      </c>
      <c r="AS372" t="b">
        <f>+ISNUMBER(SEARCH(#REF!,Tabla11[[#This Row],[Cuenta]],1))</f>
        <v>0</v>
      </c>
      <c r="AT372" t="b">
        <f>+ISNUMBER(SEARCH(#REF!,Tabla11[[#This Row],[Cuenta]],1))</f>
        <v>0</v>
      </c>
      <c r="AU372" t="b">
        <f>+ISNUMBER(SEARCH('Conc. Ban.1'!$I$9,Tabla11[[#This Row],[Cuenta]],1))</f>
        <v>0</v>
      </c>
      <c r="AV372" t="b">
        <f>+ISNUMBER(SEARCH(CompConta!$F$21,Tabla11[[#This Row],[Cuenta]],1))</f>
        <v>1</v>
      </c>
      <c r="AW372" t="b">
        <f>+ISNUMBER(SEARCH(CompConta!$F$22,Tabla11[[#This Row],[Cuenta]],1))</f>
        <v>1</v>
      </c>
      <c r="AX372" t="b">
        <f>+ISNUMBER(SEARCH(CompConta!$F$23,Tabla11[[#This Row],[Cuenta]],1))</f>
        <v>1</v>
      </c>
      <c r="AY372" t="b">
        <f>+ISNUMBER(SEARCH(CompConta!$F$24,Tabla11[[#This Row],[Cuenta]],1))</f>
        <v>1</v>
      </c>
      <c r="AZ372" t="b">
        <f>+ISNUMBER(SEARCH(CompConta!$F$25,Tabla11[[#This Row],[Cuenta]],1))</f>
        <v>1</v>
      </c>
      <c r="BA372" t="b">
        <f>+ISNUMBER(SEARCH(CompConta!$F$26,Tabla11[[#This Row],[Cuenta]],1))</f>
        <v>1</v>
      </c>
      <c r="BB372" t="b">
        <f>+ISNUMBER(SEARCH(CompConta!$F$27,Tabla11[[#This Row],[Cuenta]],1))</f>
        <v>1</v>
      </c>
      <c r="BC372" t="b">
        <f>+ISNUMBER(SEARCH(CompConta!$F$28,Tabla11[[#This Row],[Cuenta]],1))</f>
        <v>1</v>
      </c>
      <c r="BD372" t="b">
        <f>+ISNUMBER(SEARCH(CompConta!$F$29,Tabla11[[#This Row],[Cuenta]],1))</f>
        <v>1</v>
      </c>
      <c r="BE372" t="b">
        <f>+ISNUMBER(SEARCH(CompConta!$F$30,Tabla11[[#This Row],[Cuenta]],1))</f>
        <v>1</v>
      </c>
      <c r="BF372" t="b">
        <f>+ISNUMBER(SEARCH('PAGO Compras'!$E$11,Tabla11[[#This Row],[Cuenta]],1))</f>
        <v>1</v>
      </c>
      <c r="BG372" t="b">
        <f>+ISNUMBER(SEARCH(#REF!,Tabla11[[#This Row],[Cuenta]],1))</f>
        <v>0</v>
      </c>
      <c r="BH372" t="b">
        <f>+ISNUMBER(SEARCH(#REF!,Tabla11[[#This Row],[Cuenta]],1))</f>
        <v>0</v>
      </c>
      <c r="BI372" t="b">
        <f>+ISNUMBER(SEARCH(#REF!,Tabla11[[#This Row],[Cuenta]],1))</f>
        <v>0</v>
      </c>
      <c r="BJ372" t="b">
        <f>+ISNUMBER(SEARCH(#REF!,Tabla11[[#This Row],[Cuenta]],1))</f>
        <v>0</v>
      </c>
      <c r="BS372" t="str">
        <v>210505 Sobregiros</v>
      </c>
      <c r="BT372" t="str">
        <v>210505 Sobregiros</v>
      </c>
      <c r="BU372" t="str">
        <v>210505 Sobregiros</v>
      </c>
      <c r="BV372" t="str">
        <v>210505 Sobregiros</v>
      </c>
      <c r="BZ372" t="str">
        <v>210505 Sobregiros</v>
      </c>
      <c r="CA372" t="str">
        <v>210505 Sobregiros</v>
      </c>
      <c r="CB372" t="str">
        <v>210505 Sobregiros</v>
      </c>
      <c r="CC372" t="str">
        <v>210505 Sobregiros</v>
      </c>
      <c r="CD372" t="str">
        <v>210505 Sobregiros</v>
      </c>
      <c r="CE372" t="str">
        <v>210505 Sobregiros</v>
      </c>
      <c r="CS372" s="141" t="str">
        <v>210505 Sobregiros</v>
      </c>
      <c r="CT372" s="141" t="str">
        <v>210505 Sobregiros</v>
      </c>
      <c r="CU372" s="141" t="str">
        <v>210505 Sobregiros</v>
      </c>
      <c r="CV372" s="141" t="str">
        <v>210505 Sobregiros</v>
      </c>
      <c r="CW372" s="141" t="str">
        <v>210505 Sobregiros</v>
      </c>
      <c r="CX372" s="141" t="str">
        <v>210505 Sobregiros</v>
      </c>
      <c r="CY372" s="141" t="str">
        <v>210505 Sobregiros</v>
      </c>
      <c r="CZ372" s="141" t="str">
        <v>210505 Sobregiros</v>
      </c>
      <c r="DA372" s="141" t="str">
        <v>210505 Sobregiros</v>
      </c>
      <c r="DF372" t="str">
        <v>210505 Sobregiros</v>
      </c>
      <c r="DG372" t="str">
        <v>210505 Sobregiros</v>
      </c>
      <c r="DH372" t="str">
        <v>210505 Sobregiros</v>
      </c>
      <c r="DI372" t="str">
        <v>210505 Sobregiros</v>
      </c>
      <c r="DJ372" t="str">
        <v>210505 Sobregiros</v>
      </c>
      <c r="DK372" t="str">
        <v>210505 Sobregiros</v>
      </c>
      <c r="DL372" t="str">
        <v>210505 Sobregiros</v>
      </c>
      <c r="DM372" t="str">
        <v>210505 Sobregiros</v>
      </c>
      <c r="DN372" t="str">
        <v>210505 Sobregiros</v>
      </c>
      <c r="DO372" t="str">
        <v>210505 Sobregiros</v>
      </c>
      <c r="DP372" t="str">
        <v>210505 Sobregiros</v>
      </c>
    </row>
    <row r="373" spans="4:120" ht="12.75">
      <c r="D373" s="7">
        <v>210510</v>
      </c>
      <c r="E373" s="6" t="s">
        <v>297</v>
      </c>
      <c r="F373" s="5">
        <v>4</v>
      </c>
      <c r="G373" s="34" t="s">
        <v>823</v>
      </c>
      <c r="H373" s="26" t="s">
        <v>765</v>
      </c>
      <c r="I373" t="b">
        <f>+ISNUMBER(SEARCH('F-COMPRA'!$F$28,Tabla11[[#This Row],[Cuenta]],1))</f>
        <v>1</v>
      </c>
      <c r="J373" t="b">
        <f>+ISNUMBER(SEARCH('F-COMPRA'!$F$29,Tabla11[[#This Row],[Cuenta]],1))</f>
        <v>1</v>
      </c>
      <c r="K373" t="b">
        <f>+ISNUMBER(SEARCH('F-COMPRA'!$F$30,Tabla11[[#This Row],[Cuenta]],1))</f>
        <v>1</v>
      </c>
      <c r="L373" t="b">
        <f>+ISNUMBER(SEARCH('F-COMPRA'!$F$31,Tabla11[[#This Row],[Cuenta]],1))</f>
        <v>1</v>
      </c>
      <c r="M373" t="b">
        <f>+ISNUMBER(SEARCH('F-COMPRA'!$G$25,Tabla11[[#This Row],[Cuenta]],1))</f>
        <v>0</v>
      </c>
      <c r="N373" t="b">
        <f>+ISNUMBER(SEARCH(#REF!,Tabla11[[#This Row],[Cuenta]],1))</f>
        <v>0</v>
      </c>
      <c r="O373" t="b">
        <f>+ISNUMBER(SEARCH(#REF!,Tabla11[[#This Row],[Cuenta]],1))</f>
        <v>0</v>
      </c>
      <c r="P373" t="b">
        <f>+ISNUMBER(SEARCH('F-COMPRA'!$F$32,Tabla11[[#This Row],[Cuenta]],1))</f>
        <v>1</v>
      </c>
      <c r="Q373" t="b">
        <f>+ISNUMBER(SEARCH('F-COMPRA'!$F$33,Tabla11[[#This Row],[Cuenta]],1))</f>
        <v>1</v>
      </c>
      <c r="R373" t="b">
        <f>+ISNUMBER(SEARCH('F-COMPRA'!$F$34,Tabla11[[#This Row],[Cuenta]],1))</f>
        <v>1</v>
      </c>
      <c r="S373" t="b">
        <f>+ISNUMBER(SEARCH('F-COMPRA'!$F$35,Tabla11[[#This Row],[Cuenta]],1))</f>
        <v>1</v>
      </c>
      <c r="T373" t="b">
        <f>+ISNUMBER(SEARCH('F-COMPRA'!$F$36,Tabla11[[#This Row],[Cuenta]],1))</f>
        <v>1</v>
      </c>
      <c r="U373" t="b">
        <f>+ISNUMBER(SEARCH('F-COMPRA'!$F$37,Tabla11[[#This Row],[Cuenta]],1))</f>
        <v>1</v>
      </c>
      <c r="V373" t="b">
        <f>+ISNUMBER(SEARCH(#REF!,Tabla11[[#This Row],[Cuenta]],1))</f>
        <v>0</v>
      </c>
      <c r="W373" t="b">
        <f>+ISNUMBER(SEARCH('F-COMPRA'!#REF!,Tabla11[[#This Row],[Cuenta]],1))</f>
        <v>0</v>
      </c>
      <c r="X373" t="b">
        <f>+ISNUMBER(SEARCH('F-COMPRA'!#REF!,Tabla11[[#This Row],[Cuenta]],1))</f>
        <v>0</v>
      </c>
      <c r="Y373" t="b">
        <f>+ISNUMBER(SEARCH('F-COMPRA'!#REF!,Tabla11[[#This Row],[Cuenta]],1))</f>
        <v>0</v>
      </c>
      <c r="Z373" t="b">
        <f>+ISNUMBER(SEARCH('F-COMPRA'!#REF!,Tabla11[[#This Row],[Cuenta]],1))</f>
        <v>0</v>
      </c>
      <c r="AA373" t="b">
        <f>+ISNUMBER(SEARCH('F-COMPRA'!#REF!,Tabla11[[#This Row],[Cuenta]],1))</f>
        <v>0</v>
      </c>
      <c r="AB373" t="b">
        <f>+ISNUMBER(SEARCH('F-COMPRA'!#REF!,Tabla11[[#This Row],[Cuenta]],1))</f>
        <v>0</v>
      </c>
      <c r="AC373" t="b">
        <f>+ISNUMBER(SEARCH('F-COMPRA'!#REF!,Tabla11[[#This Row],[Cuenta]],1))</f>
        <v>0</v>
      </c>
      <c r="AD373" t="b">
        <f>+ISNUMBER(SEARCH('F-COMPRA'!#REF!,Tabla11[[#This Row],[Cuenta]],1))</f>
        <v>0</v>
      </c>
      <c r="AE373" t="b">
        <f>+ISNUMBER(SEARCH('F-COMPRA'!#REF!,Tabla11[[#This Row],[Cuenta]],1))</f>
        <v>0</v>
      </c>
      <c r="AF373" t="b">
        <f>+ISNUMBER(SEARCH('F-VTA'!$G$23,Tabla11[[#This Row],[Cuenta]],1))</f>
        <v>0</v>
      </c>
      <c r="AG373" t="b">
        <f>+ISNUMBER(SEARCH('F-VTA'!$G$24,Tabla11[[#This Row],[Cuenta]],1))</f>
        <v>0</v>
      </c>
      <c r="AH373" t="b">
        <f>+ISNUMBER(SEARCH('F-VTA'!$G$25,Tabla11[[#This Row],[Cuenta]],1))</f>
        <v>0</v>
      </c>
      <c r="AI373" t="b">
        <f>+ISNUMBER(SEARCH('F-VTA'!$F$28,Tabla11[[#This Row],[Cuenta]],1))</f>
        <v>1</v>
      </c>
      <c r="AJ373" t="b">
        <f>+ISNUMBER(SEARCH('F-VTA'!$F$29,Tabla11[[#This Row],[Cuenta]],1))</f>
        <v>1</v>
      </c>
      <c r="AK373" t="b">
        <f>+ISNUMBER(SEARCH('F-VTA'!$F$30,Tabla11[[#This Row],[Cuenta]],1))</f>
        <v>1</v>
      </c>
      <c r="AL373" t="b">
        <f>+ISNUMBER(SEARCH('F-VTA'!$F$31,Tabla11[[#This Row],[Cuenta]],1))</f>
        <v>1</v>
      </c>
      <c r="AM373" t="b">
        <f>+ISNUMBER(SEARCH('F-VTA'!$F$32,Tabla11[[#This Row],[Cuenta]],1))</f>
        <v>1</v>
      </c>
      <c r="AN373" t="b">
        <f>+ISNUMBER(SEARCH('F-VTA'!$F$33,Tabla11[[#This Row],[Cuenta]],1))</f>
        <v>1</v>
      </c>
      <c r="AO373" t="b">
        <f>+ISNUMBER(SEARCH('F-VTA'!$F$34,Tabla11[[#This Row],[Cuenta]],1))</f>
        <v>1</v>
      </c>
      <c r="AP373" t="b">
        <f>+ISNUMBER(SEARCH('F-VTA'!$F$35,Tabla11[[#This Row],[Cuenta]],1))</f>
        <v>1</v>
      </c>
      <c r="AQ373" t="b">
        <f>+ISNUMBER(SEARCH('F-VTA'!$F$36,Tabla11[[#This Row],[Cuenta]],1))</f>
        <v>1</v>
      </c>
      <c r="AR373" t="b">
        <f>+ISNUMBER(SEARCH(#REF!,Tabla11[[#This Row],[Cuenta]],1))</f>
        <v>0</v>
      </c>
      <c r="AS373" t="b">
        <f>+ISNUMBER(SEARCH(#REF!,Tabla11[[#This Row],[Cuenta]],1))</f>
        <v>0</v>
      </c>
      <c r="AT373" t="b">
        <f>+ISNUMBER(SEARCH(#REF!,Tabla11[[#This Row],[Cuenta]],1))</f>
        <v>0</v>
      </c>
      <c r="AU373" t="b">
        <f>+ISNUMBER(SEARCH('Conc. Ban.1'!$I$9,Tabla11[[#This Row],[Cuenta]],1))</f>
        <v>0</v>
      </c>
      <c r="AV373" t="b">
        <f>+ISNUMBER(SEARCH(CompConta!$F$21,Tabla11[[#This Row],[Cuenta]],1))</f>
        <v>1</v>
      </c>
      <c r="AW373" t="b">
        <f>+ISNUMBER(SEARCH(CompConta!$F$22,Tabla11[[#This Row],[Cuenta]],1))</f>
        <v>1</v>
      </c>
      <c r="AX373" t="b">
        <f>+ISNUMBER(SEARCH(CompConta!$F$23,Tabla11[[#This Row],[Cuenta]],1))</f>
        <v>1</v>
      </c>
      <c r="AY373" t="b">
        <f>+ISNUMBER(SEARCH(CompConta!$F$24,Tabla11[[#This Row],[Cuenta]],1))</f>
        <v>1</v>
      </c>
      <c r="AZ373" t="b">
        <f>+ISNUMBER(SEARCH(CompConta!$F$25,Tabla11[[#This Row],[Cuenta]],1))</f>
        <v>1</v>
      </c>
      <c r="BA373" t="b">
        <f>+ISNUMBER(SEARCH(CompConta!$F$26,Tabla11[[#This Row],[Cuenta]],1))</f>
        <v>1</v>
      </c>
      <c r="BB373" t="b">
        <f>+ISNUMBER(SEARCH(CompConta!$F$27,Tabla11[[#This Row],[Cuenta]],1))</f>
        <v>1</v>
      </c>
      <c r="BC373" t="b">
        <f>+ISNUMBER(SEARCH(CompConta!$F$28,Tabla11[[#This Row],[Cuenta]],1))</f>
        <v>1</v>
      </c>
      <c r="BD373" t="b">
        <f>+ISNUMBER(SEARCH(CompConta!$F$29,Tabla11[[#This Row],[Cuenta]],1))</f>
        <v>1</v>
      </c>
      <c r="BE373" t="b">
        <f>+ISNUMBER(SEARCH(CompConta!$F$30,Tabla11[[#This Row],[Cuenta]],1))</f>
        <v>1</v>
      </c>
      <c r="BF373" t="b">
        <f>+ISNUMBER(SEARCH('PAGO Compras'!$E$11,Tabla11[[#This Row],[Cuenta]],1))</f>
        <v>1</v>
      </c>
      <c r="BG373" t="b">
        <f>+ISNUMBER(SEARCH(#REF!,Tabla11[[#This Row],[Cuenta]],1))</f>
        <v>0</v>
      </c>
      <c r="BH373" t="b">
        <f>+ISNUMBER(SEARCH(#REF!,Tabla11[[#This Row],[Cuenta]],1))</f>
        <v>0</v>
      </c>
      <c r="BI373" t="b">
        <f>+ISNUMBER(SEARCH(#REF!,Tabla11[[#This Row],[Cuenta]],1))</f>
        <v>0</v>
      </c>
      <c r="BJ373" t="b">
        <f>+ISNUMBER(SEARCH(#REF!,Tabla11[[#This Row],[Cuenta]],1))</f>
        <v>0</v>
      </c>
      <c r="BS373" t="str">
        <v>210510 Pagarés</v>
      </c>
      <c r="BT373" t="str">
        <v>210510 Pagarés</v>
      </c>
      <c r="BU373" t="str">
        <v>210510 Pagarés</v>
      </c>
      <c r="BV373" t="str">
        <v>210510 Pagarés</v>
      </c>
      <c r="BZ373" t="str">
        <v>210510 Pagarés</v>
      </c>
      <c r="CA373" t="str">
        <v>210510 Pagarés</v>
      </c>
      <c r="CB373" t="str">
        <v>210510 Pagarés</v>
      </c>
      <c r="CC373" t="str">
        <v>210510 Pagarés</v>
      </c>
      <c r="CD373" t="str">
        <v>210510 Pagarés</v>
      </c>
      <c r="CE373" t="str">
        <v>210510 Pagarés</v>
      </c>
      <c r="CS373" s="141" t="str">
        <v>210510 Pagarés</v>
      </c>
      <c r="CT373" s="141" t="str">
        <v>210510 Pagarés</v>
      </c>
      <c r="CU373" s="141" t="str">
        <v>210510 Pagarés</v>
      </c>
      <c r="CV373" s="141" t="str">
        <v>210510 Pagarés</v>
      </c>
      <c r="CW373" s="141" t="str">
        <v>210510 Pagarés</v>
      </c>
      <c r="CX373" s="141" t="str">
        <v>210510 Pagarés</v>
      </c>
      <c r="CY373" s="141" t="str">
        <v>210510 Pagarés</v>
      </c>
      <c r="CZ373" s="141" t="str">
        <v>210510 Pagarés</v>
      </c>
      <c r="DA373" s="141" t="str">
        <v>210510 Pagarés</v>
      </c>
      <c r="DF373" t="str">
        <v>210510 Pagarés</v>
      </c>
      <c r="DG373" t="str">
        <v>210510 Pagarés</v>
      </c>
      <c r="DH373" t="str">
        <v>210510 Pagarés</v>
      </c>
      <c r="DI373" t="str">
        <v>210510 Pagarés</v>
      </c>
      <c r="DJ373" t="str">
        <v>210510 Pagarés</v>
      </c>
      <c r="DK373" t="str">
        <v>210510 Pagarés</v>
      </c>
      <c r="DL373" t="str">
        <v>210510 Pagarés</v>
      </c>
      <c r="DM373" t="str">
        <v>210510 Pagarés</v>
      </c>
      <c r="DN373" t="str">
        <v>210510 Pagarés</v>
      </c>
      <c r="DO373" t="str">
        <v>210510 Pagarés</v>
      </c>
      <c r="DP373" t="str">
        <v>210510 Pagarés</v>
      </c>
    </row>
    <row r="374" spans="4:120" ht="12.75">
      <c r="D374" s="7">
        <v>2110</v>
      </c>
      <c r="E374" s="6" t="s">
        <v>300</v>
      </c>
      <c r="F374" s="5">
        <v>3</v>
      </c>
      <c r="G374" s="34" t="s">
        <v>823</v>
      </c>
      <c r="H374" s="26" t="s">
        <v>765</v>
      </c>
      <c r="I374" t="b">
        <f>+ISNUMBER(SEARCH('F-COMPRA'!$F$28,Tabla11[[#This Row],[Cuenta]],1))</f>
        <v>1</v>
      </c>
      <c r="J374" t="b">
        <f>+ISNUMBER(SEARCH('F-COMPRA'!$F$29,Tabla11[[#This Row],[Cuenta]],1))</f>
        <v>1</v>
      </c>
      <c r="K374" t="b">
        <f>+ISNUMBER(SEARCH('F-COMPRA'!$F$30,Tabla11[[#This Row],[Cuenta]],1))</f>
        <v>1</v>
      </c>
      <c r="L374" t="b">
        <f>+ISNUMBER(SEARCH('F-COMPRA'!$F$31,Tabla11[[#This Row],[Cuenta]],1))</f>
        <v>1</v>
      </c>
      <c r="M374" t="b">
        <f>+ISNUMBER(SEARCH('F-COMPRA'!$G$25,Tabla11[[#This Row],[Cuenta]],1))</f>
        <v>0</v>
      </c>
      <c r="N374" t="b">
        <f>+ISNUMBER(SEARCH(#REF!,Tabla11[[#This Row],[Cuenta]],1))</f>
        <v>0</v>
      </c>
      <c r="O374" t="b">
        <f>+ISNUMBER(SEARCH(#REF!,Tabla11[[#This Row],[Cuenta]],1))</f>
        <v>0</v>
      </c>
      <c r="P374" t="b">
        <f>+ISNUMBER(SEARCH('F-COMPRA'!$F$32,Tabla11[[#This Row],[Cuenta]],1))</f>
        <v>1</v>
      </c>
      <c r="Q374" t="b">
        <f>+ISNUMBER(SEARCH('F-COMPRA'!$F$33,Tabla11[[#This Row],[Cuenta]],1))</f>
        <v>1</v>
      </c>
      <c r="R374" t="b">
        <f>+ISNUMBER(SEARCH('F-COMPRA'!$F$34,Tabla11[[#This Row],[Cuenta]],1))</f>
        <v>1</v>
      </c>
      <c r="S374" t="b">
        <f>+ISNUMBER(SEARCH('F-COMPRA'!$F$35,Tabla11[[#This Row],[Cuenta]],1))</f>
        <v>1</v>
      </c>
      <c r="T374" t="b">
        <f>+ISNUMBER(SEARCH('F-COMPRA'!$F$36,Tabla11[[#This Row],[Cuenta]],1))</f>
        <v>1</v>
      </c>
      <c r="U374" t="b">
        <f>+ISNUMBER(SEARCH('F-COMPRA'!$F$37,Tabla11[[#This Row],[Cuenta]],1))</f>
        <v>1</v>
      </c>
      <c r="V374" t="b">
        <f>+ISNUMBER(SEARCH(#REF!,Tabla11[[#This Row],[Cuenta]],1))</f>
        <v>0</v>
      </c>
      <c r="W374" t="b">
        <f>+ISNUMBER(SEARCH('F-COMPRA'!#REF!,Tabla11[[#This Row],[Cuenta]],1))</f>
        <v>0</v>
      </c>
      <c r="X374" t="b">
        <f>+ISNUMBER(SEARCH('F-COMPRA'!#REF!,Tabla11[[#This Row],[Cuenta]],1))</f>
        <v>0</v>
      </c>
      <c r="Y374" t="b">
        <f>+ISNUMBER(SEARCH('F-COMPRA'!#REF!,Tabla11[[#This Row],[Cuenta]],1))</f>
        <v>0</v>
      </c>
      <c r="Z374" t="b">
        <f>+ISNUMBER(SEARCH('F-COMPRA'!#REF!,Tabla11[[#This Row],[Cuenta]],1))</f>
        <v>0</v>
      </c>
      <c r="AA374" t="b">
        <f>+ISNUMBER(SEARCH('F-COMPRA'!#REF!,Tabla11[[#This Row],[Cuenta]],1))</f>
        <v>0</v>
      </c>
      <c r="AB374" t="b">
        <f>+ISNUMBER(SEARCH('F-COMPRA'!#REF!,Tabla11[[#This Row],[Cuenta]],1))</f>
        <v>0</v>
      </c>
      <c r="AC374" t="b">
        <f>+ISNUMBER(SEARCH('F-COMPRA'!#REF!,Tabla11[[#This Row],[Cuenta]],1))</f>
        <v>0</v>
      </c>
      <c r="AD374" t="b">
        <f>+ISNUMBER(SEARCH('F-COMPRA'!#REF!,Tabla11[[#This Row],[Cuenta]],1))</f>
        <v>0</v>
      </c>
      <c r="AE374" t="b">
        <f>+ISNUMBER(SEARCH('F-COMPRA'!#REF!,Tabla11[[#This Row],[Cuenta]],1))</f>
        <v>0</v>
      </c>
      <c r="AF374" t="b">
        <f>+ISNUMBER(SEARCH('F-VTA'!$G$23,Tabla11[[#This Row],[Cuenta]],1))</f>
        <v>0</v>
      </c>
      <c r="AG374" t="b">
        <f>+ISNUMBER(SEARCH('F-VTA'!$G$24,Tabla11[[#This Row],[Cuenta]],1))</f>
        <v>0</v>
      </c>
      <c r="AH374" t="b">
        <f>+ISNUMBER(SEARCH('F-VTA'!$G$25,Tabla11[[#This Row],[Cuenta]],1))</f>
        <v>0</v>
      </c>
      <c r="AI374" t="b">
        <f>+ISNUMBER(SEARCH('F-VTA'!$F$28,Tabla11[[#This Row],[Cuenta]],1))</f>
        <v>1</v>
      </c>
      <c r="AJ374" t="b">
        <f>+ISNUMBER(SEARCH('F-VTA'!$F$29,Tabla11[[#This Row],[Cuenta]],1))</f>
        <v>1</v>
      </c>
      <c r="AK374" t="b">
        <f>+ISNUMBER(SEARCH('F-VTA'!$F$30,Tabla11[[#This Row],[Cuenta]],1))</f>
        <v>1</v>
      </c>
      <c r="AL374" t="b">
        <f>+ISNUMBER(SEARCH('F-VTA'!$F$31,Tabla11[[#This Row],[Cuenta]],1))</f>
        <v>1</v>
      </c>
      <c r="AM374" t="b">
        <f>+ISNUMBER(SEARCH('F-VTA'!$F$32,Tabla11[[#This Row],[Cuenta]],1))</f>
        <v>1</v>
      </c>
      <c r="AN374" t="b">
        <f>+ISNUMBER(SEARCH('F-VTA'!$F$33,Tabla11[[#This Row],[Cuenta]],1))</f>
        <v>1</v>
      </c>
      <c r="AO374" t="b">
        <f>+ISNUMBER(SEARCH('F-VTA'!$F$34,Tabla11[[#This Row],[Cuenta]],1))</f>
        <v>1</v>
      </c>
      <c r="AP374" t="b">
        <f>+ISNUMBER(SEARCH('F-VTA'!$F$35,Tabla11[[#This Row],[Cuenta]],1))</f>
        <v>1</v>
      </c>
      <c r="AQ374" t="b">
        <f>+ISNUMBER(SEARCH('F-VTA'!$F$36,Tabla11[[#This Row],[Cuenta]],1))</f>
        <v>1</v>
      </c>
      <c r="AR374" t="b">
        <f>+ISNUMBER(SEARCH(#REF!,Tabla11[[#This Row],[Cuenta]],1))</f>
        <v>0</v>
      </c>
      <c r="AS374" t="b">
        <f>+ISNUMBER(SEARCH(#REF!,Tabla11[[#This Row],[Cuenta]],1))</f>
        <v>0</v>
      </c>
      <c r="AT374" t="b">
        <f>+ISNUMBER(SEARCH(#REF!,Tabla11[[#This Row],[Cuenta]],1))</f>
        <v>0</v>
      </c>
      <c r="AU374" t="b">
        <f>+ISNUMBER(SEARCH('Conc. Ban.1'!$I$9,Tabla11[[#This Row],[Cuenta]],1))</f>
        <v>0</v>
      </c>
      <c r="AV374" t="b">
        <f>+ISNUMBER(SEARCH(CompConta!$F$21,Tabla11[[#This Row],[Cuenta]],1))</f>
        <v>1</v>
      </c>
      <c r="AW374" t="b">
        <f>+ISNUMBER(SEARCH(CompConta!$F$22,Tabla11[[#This Row],[Cuenta]],1))</f>
        <v>1</v>
      </c>
      <c r="AX374" t="b">
        <f>+ISNUMBER(SEARCH(CompConta!$F$23,Tabla11[[#This Row],[Cuenta]],1))</f>
        <v>1</v>
      </c>
      <c r="AY374" t="b">
        <f>+ISNUMBER(SEARCH(CompConta!$F$24,Tabla11[[#This Row],[Cuenta]],1))</f>
        <v>1</v>
      </c>
      <c r="AZ374" t="b">
        <f>+ISNUMBER(SEARCH(CompConta!$F$25,Tabla11[[#This Row],[Cuenta]],1))</f>
        <v>1</v>
      </c>
      <c r="BA374" t="b">
        <f>+ISNUMBER(SEARCH(CompConta!$F$26,Tabla11[[#This Row],[Cuenta]],1))</f>
        <v>1</v>
      </c>
      <c r="BB374" t="b">
        <f>+ISNUMBER(SEARCH(CompConta!$F$27,Tabla11[[#This Row],[Cuenta]],1))</f>
        <v>1</v>
      </c>
      <c r="BC374" t="b">
        <f>+ISNUMBER(SEARCH(CompConta!$F$28,Tabla11[[#This Row],[Cuenta]],1))</f>
        <v>1</v>
      </c>
      <c r="BD374" t="b">
        <f>+ISNUMBER(SEARCH(CompConta!$F$29,Tabla11[[#This Row],[Cuenta]],1))</f>
        <v>1</v>
      </c>
      <c r="BE374" t="b">
        <f>+ISNUMBER(SEARCH(CompConta!$F$30,Tabla11[[#This Row],[Cuenta]],1))</f>
        <v>1</v>
      </c>
      <c r="BF374" t="b">
        <f>+ISNUMBER(SEARCH('PAGO Compras'!$E$11,Tabla11[[#This Row],[Cuenta]],1))</f>
        <v>1</v>
      </c>
      <c r="BG374" t="b">
        <f>+ISNUMBER(SEARCH(#REF!,Tabla11[[#This Row],[Cuenta]],1))</f>
        <v>0</v>
      </c>
      <c r="BH374" t="b">
        <f>+ISNUMBER(SEARCH(#REF!,Tabla11[[#This Row],[Cuenta]],1))</f>
        <v>0</v>
      </c>
      <c r="BI374" t="b">
        <f>+ISNUMBER(SEARCH(#REF!,Tabla11[[#This Row],[Cuenta]],1))</f>
        <v>0</v>
      </c>
      <c r="BJ374" t="b">
        <f>+ISNUMBER(SEARCH(#REF!,Tabla11[[#This Row],[Cuenta]],1))</f>
        <v>0</v>
      </c>
      <c r="BS374" t="str">
        <v>2110 BANCOS DEL EXTERIOR</v>
      </c>
      <c r="BT374" t="str">
        <v>2110 BANCOS DEL EXTERIOR</v>
      </c>
      <c r="BU374" t="str">
        <v>2110 BANCOS DEL EXTERIOR</v>
      </c>
      <c r="BV374" t="str">
        <v>2110 BANCOS DEL EXTERIOR</v>
      </c>
      <c r="BZ374" t="str">
        <v>2110 BANCOS DEL EXTERIOR</v>
      </c>
      <c r="CA374" t="str">
        <v>2110 BANCOS DEL EXTERIOR</v>
      </c>
      <c r="CB374" t="str">
        <v>2110 BANCOS DEL EXTERIOR</v>
      </c>
      <c r="CC374" t="str">
        <v>2110 BANCOS DEL EXTERIOR</v>
      </c>
      <c r="CD374" t="str">
        <v>2110 BANCOS DEL EXTERIOR</v>
      </c>
      <c r="CE374" t="str">
        <v>2110 BANCOS DEL EXTERIOR</v>
      </c>
      <c r="CS374" s="141" t="str">
        <v>2110 BANCOS DEL EXTERIOR</v>
      </c>
      <c r="CT374" s="141" t="str">
        <v>2110 BANCOS DEL EXTERIOR</v>
      </c>
      <c r="CU374" s="141" t="str">
        <v>2110 BANCOS DEL EXTERIOR</v>
      </c>
      <c r="CV374" s="141" t="str">
        <v>2110 BANCOS DEL EXTERIOR</v>
      </c>
      <c r="CW374" s="141" t="str">
        <v>2110 BANCOS DEL EXTERIOR</v>
      </c>
      <c r="CX374" s="141" t="str">
        <v>2110 BANCOS DEL EXTERIOR</v>
      </c>
      <c r="CY374" s="141" t="str">
        <v>2110 BANCOS DEL EXTERIOR</v>
      </c>
      <c r="CZ374" s="141" t="str">
        <v>2110 BANCOS DEL EXTERIOR</v>
      </c>
      <c r="DA374" s="141" t="str">
        <v>2110 BANCOS DEL EXTERIOR</v>
      </c>
      <c r="DF374" t="str">
        <v>2110 BANCOS DEL EXTERIOR</v>
      </c>
      <c r="DG374" t="str">
        <v>2110 BANCOS DEL EXTERIOR</v>
      </c>
      <c r="DH374" t="str">
        <v>2110 BANCOS DEL EXTERIOR</v>
      </c>
      <c r="DI374" t="str">
        <v>2110 BANCOS DEL EXTERIOR</v>
      </c>
      <c r="DJ374" t="str">
        <v>2110 BANCOS DEL EXTERIOR</v>
      </c>
      <c r="DK374" t="str">
        <v>2110 BANCOS DEL EXTERIOR</v>
      </c>
      <c r="DL374" t="str">
        <v>2110 BANCOS DEL EXTERIOR</v>
      </c>
      <c r="DM374" t="str">
        <v>2110 BANCOS DEL EXTERIOR</v>
      </c>
      <c r="DN374" t="str">
        <v>2110 BANCOS DEL EXTERIOR</v>
      </c>
      <c r="DO374" t="str">
        <v>2110 BANCOS DEL EXTERIOR</v>
      </c>
      <c r="DP374" t="str">
        <v>2110 BANCOS DEL EXTERIOR</v>
      </c>
    </row>
    <row r="375" spans="4:120" ht="12.75">
      <c r="D375" s="7">
        <v>211005</v>
      </c>
      <c r="E375" s="6" t="s">
        <v>296</v>
      </c>
      <c r="F375" s="5">
        <v>4</v>
      </c>
      <c r="G375" s="34" t="s">
        <v>823</v>
      </c>
      <c r="H375" s="26" t="s">
        <v>765</v>
      </c>
      <c r="I375" t="b">
        <f>+ISNUMBER(SEARCH('F-COMPRA'!$F$28,Tabla11[[#This Row],[Cuenta]],1))</f>
        <v>1</v>
      </c>
      <c r="J375" t="b">
        <f>+ISNUMBER(SEARCH('F-COMPRA'!$F$29,Tabla11[[#This Row],[Cuenta]],1))</f>
        <v>1</v>
      </c>
      <c r="K375" t="b">
        <f>+ISNUMBER(SEARCH('F-COMPRA'!$F$30,Tabla11[[#This Row],[Cuenta]],1))</f>
        <v>1</v>
      </c>
      <c r="L375" t="b">
        <f>+ISNUMBER(SEARCH('F-COMPRA'!$F$31,Tabla11[[#This Row],[Cuenta]],1))</f>
        <v>1</v>
      </c>
      <c r="M375" t="b">
        <f>+ISNUMBER(SEARCH('F-COMPRA'!$G$25,Tabla11[[#This Row],[Cuenta]],1))</f>
        <v>0</v>
      </c>
      <c r="N375" t="b">
        <f>+ISNUMBER(SEARCH(#REF!,Tabla11[[#This Row],[Cuenta]],1))</f>
        <v>0</v>
      </c>
      <c r="O375" t="b">
        <f>+ISNUMBER(SEARCH(#REF!,Tabla11[[#This Row],[Cuenta]],1))</f>
        <v>0</v>
      </c>
      <c r="P375" t="b">
        <f>+ISNUMBER(SEARCH('F-COMPRA'!$F$32,Tabla11[[#This Row],[Cuenta]],1))</f>
        <v>1</v>
      </c>
      <c r="Q375" t="b">
        <f>+ISNUMBER(SEARCH('F-COMPRA'!$F$33,Tabla11[[#This Row],[Cuenta]],1))</f>
        <v>1</v>
      </c>
      <c r="R375" t="b">
        <f>+ISNUMBER(SEARCH('F-COMPRA'!$F$34,Tabla11[[#This Row],[Cuenta]],1))</f>
        <v>1</v>
      </c>
      <c r="S375" t="b">
        <f>+ISNUMBER(SEARCH('F-COMPRA'!$F$35,Tabla11[[#This Row],[Cuenta]],1))</f>
        <v>1</v>
      </c>
      <c r="T375" t="b">
        <f>+ISNUMBER(SEARCH('F-COMPRA'!$F$36,Tabla11[[#This Row],[Cuenta]],1))</f>
        <v>1</v>
      </c>
      <c r="U375" t="b">
        <f>+ISNUMBER(SEARCH('F-COMPRA'!$F$37,Tabla11[[#This Row],[Cuenta]],1))</f>
        <v>1</v>
      </c>
      <c r="V375" t="b">
        <f>+ISNUMBER(SEARCH(#REF!,Tabla11[[#This Row],[Cuenta]],1))</f>
        <v>0</v>
      </c>
      <c r="W375" t="b">
        <f>+ISNUMBER(SEARCH('F-COMPRA'!#REF!,Tabla11[[#This Row],[Cuenta]],1))</f>
        <v>0</v>
      </c>
      <c r="X375" t="b">
        <f>+ISNUMBER(SEARCH('F-COMPRA'!#REF!,Tabla11[[#This Row],[Cuenta]],1))</f>
        <v>0</v>
      </c>
      <c r="Y375" t="b">
        <f>+ISNUMBER(SEARCH('F-COMPRA'!#REF!,Tabla11[[#This Row],[Cuenta]],1))</f>
        <v>0</v>
      </c>
      <c r="Z375" t="b">
        <f>+ISNUMBER(SEARCH('F-COMPRA'!#REF!,Tabla11[[#This Row],[Cuenta]],1))</f>
        <v>0</v>
      </c>
      <c r="AA375" t="b">
        <f>+ISNUMBER(SEARCH('F-COMPRA'!#REF!,Tabla11[[#This Row],[Cuenta]],1))</f>
        <v>0</v>
      </c>
      <c r="AB375" t="b">
        <f>+ISNUMBER(SEARCH('F-COMPRA'!#REF!,Tabla11[[#This Row],[Cuenta]],1))</f>
        <v>0</v>
      </c>
      <c r="AC375" t="b">
        <f>+ISNUMBER(SEARCH('F-COMPRA'!#REF!,Tabla11[[#This Row],[Cuenta]],1))</f>
        <v>0</v>
      </c>
      <c r="AD375" t="b">
        <f>+ISNUMBER(SEARCH('F-COMPRA'!#REF!,Tabla11[[#This Row],[Cuenta]],1))</f>
        <v>0</v>
      </c>
      <c r="AE375" t="b">
        <f>+ISNUMBER(SEARCH('F-COMPRA'!#REF!,Tabla11[[#This Row],[Cuenta]],1))</f>
        <v>0</v>
      </c>
      <c r="AF375" t="b">
        <f>+ISNUMBER(SEARCH('F-VTA'!$G$23,Tabla11[[#This Row],[Cuenta]],1))</f>
        <v>0</v>
      </c>
      <c r="AG375" t="b">
        <f>+ISNUMBER(SEARCH('F-VTA'!$G$24,Tabla11[[#This Row],[Cuenta]],1))</f>
        <v>0</v>
      </c>
      <c r="AH375" t="b">
        <f>+ISNUMBER(SEARCH('F-VTA'!$G$25,Tabla11[[#This Row],[Cuenta]],1))</f>
        <v>0</v>
      </c>
      <c r="AI375" t="b">
        <f>+ISNUMBER(SEARCH('F-VTA'!$F$28,Tabla11[[#This Row],[Cuenta]],1))</f>
        <v>1</v>
      </c>
      <c r="AJ375" t="b">
        <f>+ISNUMBER(SEARCH('F-VTA'!$F$29,Tabla11[[#This Row],[Cuenta]],1))</f>
        <v>1</v>
      </c>
      <c r="AK375" t="b">
        <f>+ISNUMBER(SEARCH('F-VTA'!$F$30,Tabla11[[#This Row],[Cuenta]],1))</f>
        <v>1</v>
      </c>
      <c r="AL375" t="b">
        <f>+ISNUMBER(SEARCH('F-VTA'!$F$31,Tabla11[[#This Row],[Cuenta]],1))</f>
        <v>1</v>
      </c>
      <c r="AM375" t="b">
        <f>+ISNUMBER(SEARCH('F-VTA'!$F$32,Tabla11[[#This Row],[Cuenta]],1))</f>
        <v>1</v>
      </c>
      <c r="AN375" t="b">
        <f>+ISNUMBER(SEARCH('F-VTA'!$F$33,Tabla11[[#This Row],[Cuenta]],1))</f>
        <v>1</v>
      </c>
      <c r="AO375" t="b">
        <f>+ISNUMBER(SEARCH('F-VTA'!$F$34,Tabla11[[#This Row],[Cuenta]],1))</f>
        <v>1</v>
      </c>
      <c r="AP375" t="b">
        <f>+ISNUMBER(SEARCH('F-VTA'!$F$35,Tabla11[[#This Row],[Cuenta]],1))</f>
        <v>1</v>
      </c>
      <c r="AQ375" t="b">
        <f>+ISNUMBER(SEARCH('F-VTA'!$F$36,Tabla11[[#This Row],[Cuenta]],1))</f>
        <v>1</v>
      </c>
      <c r="AR375" t="b">
        <f>+ISNUMBER(SEARCH(#REF!,Tabla11[[#This Row],[Cuenta]],1))</f>
        <v>0</v>
      </c>
      <c r="AS375" t="b">
        <f>+ISNUMBER(SEARCH(#REF!,Tabla11[[#This Row],[Cuenta]],1))</f>
        <v>0</v>
      </c>
      <c r="AT375" t="b">
        <f>+ISNUMBER(SEARCH(#REF!,Tabla11[[#This Row],[Cuenta]],1))</f>
        <v>0</v>
      </c>
      <c r="AU375" t="b">
        <f>+ISNUMBER(SEARCH('Conc. Ban.1'!$I$9,Tabla11[[#This Row],[Cuenta]],1))</f>
        <v>0</v>
      </c>
      <c r="AV375" t="b">
        <f>+ISNUMBER(SEARCH(CompConta!$F$21,Tabla11[[#This Row],[Cuenta]],1))</f>
        <v>1</v>
      </c>
      <c r="AW375" t="b">
        <f>+ISNUMBER(SEARCH(CompConta!$F$22,Tabla11[[#This Row],[Cuenta]],1))</f>
        <v>1</v>
      </c>
      <c r="AX375" t="b">
        <f>+ISNUMBER(SEARCH(CompConta!$F$23,Tabla11[[#This Row],[Cuenta]],1))</f>
        <v>1</v>
      </c>
      <c r="AY375" t="b">
        <f>+ISNUMBER(SEARCH(CompConta!$F$24,Tabla11[[#This Row],[Cuenta]],1))</f>
        <v>1</v>
      </c>
      <c r="AZ375" t="b">
        <f>+ISNUMBER(SEARCH(CompConta!$F$25,Tabla11[[#This Row],[Cuenta]],1))</f>
        <v>1</v>
      </c>
      <c r="BA375" t="b">
        <f>+ISNUMBER(SEARCH(CompConta!$F$26,Tabla11[[#This Row],[Cuenta]],1))</f>
        <v>1</v>
      </c>
      <c r="BB375" t="b">
        <f>+ISNUMBER(SEARCH(CompConta!$F$27,Tabla11[[#This Row],[Cuenta]],1))</f>
        <v>1</v>
      </c>
      <c r="BC375" t="b">
        <f>+ISNUMBER(SEARCH(CompConta!$F$28,Tabla11[[#This Row],[Cuenta]],1))</f>
        <v>1</v>
      </c>
      <c r="BD375" t="b">
        <f>+ISNUMBER(SEARCH(CompConta!$F$29,Tabla11[[#This Row],[Cuenta]],1))</f>
        <v>1</v>
      </c>
      <c r="BE375" t="b">
        <f>+ISNUMBER(SEARCH(CompConta!$F$30,Tabla11[[#This Row],[Cuenta]],1))</f>
        <v>1</v>
      </c>
      <c r="BF375" t="b">
        <f>+ISNUMBER(SEARCH('PAGO Compras'!$E$11,Tabla11[[#This Row],[Cuenta]],1))</f>
        <v>1</v>
      </c>
      <c r="BG375" t="b">
        <f>+ISNUMBER(SEARCH(#REF!,Tabla11[[#This Row],[Cuenta]],1))</f>
        <v>0</v>
      </c>
      <c r="BH375" t="b">
        <f>+ISNUMBER(SEARCH(#REF!,Tabla11[[#This Row],[Cuenta]],1))</f>
        <v>0</v>
      </c>
      <c r="BI375" t="b">
        <f>+ISNUMBER(SEARCH(#REF!,Tabla11[[#This Row],[Cuenta]],1))</f>
        <v>0</v>
      </c>
      <c r="BJ375" t="b">
        <f>+ISNUMBER(SEARCH(#REF!,Tabla11[[#This Row],[Cuenta]],1))</f>
        <v>0</v>
      </c>
      <c r="BS375" t="str">
        <v>211005 Sobregiros</v>
      </c>
      <c r="BT375" t="str">
        <v>211005 Sobregiros</v>
      </c>
      <c r="BU375" t="str">
        <v>211005 Sobregiros</v>
      </c>
      <c r="BV375" t="str">
        <v>211005 Sobregiros</v>
      </c>
      <c r="BZ375" t="str">
        <v>211005 Sobregiros</v>
      </c>
      <c r="CA375" t="str">
        <v>211005 Sobregiros</v>
      </c>
      <c r="CB375" t="str">
        <v>211005 Sobregiros</v>
      </c>
      <c r="CC375" t="str">
        <v>211005 Sobregiros</v>
      </c>
      <c r="CD375" t="str">
        <v>211005 Sobregiros</v>
      </c>
      <c r="CE375" t="str">
        <v>211005 Sobregiros</v>
      </c>
      <c r="CS375" s="141" t="str">
        <v>211005 Sobregiros</v>
      </c>
      <c r="CT375" s="141" t="str">
        <v>211005 Sobregiros</v>
      </c>
      <c r="CU375" s="141" t="str">
        <v>211005 Sobregiros</v>
      </c>
      <c r="CV375" s="141" t="str">
        <v>211005 Sobregiros</v>
      </c>
      <c r="CW375" s="141" t="str">
        <v>211005 Sobregiros</v>
      </c>
      <c r="CX375" s="141" t="str">
        <v>211005 Sobregiros</v>
      </c>
      <c r="CY375" s="141" t="str">
        <v>211005 Sobregiros</v>
      </c>
      <c r="CZ375" s="141" t="str">
        <v>211005 Sobregiros</v>
      </c>
      <c r="DA375" s="141" t="str">
        <v>211005 Sobregiros</v>
      </c>
      <c r="DF375" t="str">
        <v>211005 Sobregiros</v>
      </c>
      <c r="DG375" t="str">
        <v>211005 Sobregiros</v>
      </c>
      <c r="DH375" t="str">
        <v>211005 Sobregiros</v>
      </c>
      <c r="DI375" t="str">
        <v>211005 Sobregiros</v>
      </c>
      <c r="DJ375" t="str">
        <v>211005 Sobregiros</v>
      </c>
      <c r="DK375" t="str">
        <v>211005 Sobregiros</v>
      </c>
      <c r="DL375" t="str">
        <v>211005 Sobregiros</v>
      </c>
      <c r="DM375" t="str">
        <v>211005 Sobregiros</v>
      </c>
      <c r="DN375" t="str">
        <v>211005 Sobregiros</v>
      </c>
      <c r="DO375" t="str">
        <v>211005 Sobregiros</v>
      </c>
      <c r="DP375" t="str">
        <v>211005 Sobregiros</v>
      </c>
    </row>
    <row r="376" spans="4:120" ht="12.75">
      <c r="D376" s="7">
        <v>211010</v>
      </c>
      <c r="E376" s="6" t="s">
        <v>297</v>
      </c>
      <c r="F376" s="5">
        <v>4</v>
      </c>
      <c r="G376" s="34" t="s">
        <v>823</v>
      </c>
      <c r="H376" s="26" t="s">
        <v>765</v>
      </c>
      <c r="I376" t="b">
        <f>+ISNUMBER(SEARCH('F-COMPRA'!$F$28,Tabla11[[#This Row],[Cuenta]],1))</f>
        <v>1</v>
      </c>
      <c r="J376" t="b">
        <f>+ISNUMBER(SEARCH('F-COMPRA'!$F$29,Tabla11[[#This Row],[Cuenta]],1))</f>
        <v>1</v>
      </c>
      <c r="K376" t="b">
        <f>+ISNUMBER(SEARCH('F-COMPRA'!$F$30,Tabla11[[#This Row],[Cuenta]],1))</f>
        <v>1</v>
      </c>
      <c r="L376" t="b">
        <f>+ISNUMBER(SEARCH('F-COMPRA'!$F$31,Tabla11[[#This Row],[Cuenta]],1))</f>
        <v>1</v>
      </c>
      <c r="M376" t="b">
        <f>+ISNUMBER(SEARCH('F-COMPRA'!$G$25,Tabla11[[#This Row],[Cuenta]],1))</f>
        <v>0</v>
      </c>
      <c r="N376" t="b">
        <f>+ISNUMBER(SEARCH(#REF!,Tabla11[[#This Row],[Cuenta]],1))</f>
        <v>0</v>
      </c>
      <c r="O376" t="b">
        <f>+ISNUMBER(SEARCH(#REF!,Tabla11[[#This Row],[Cuenta]],1))</f>
        <v>0</v>
      </c>
      <c r="P376" t="b">
        <f>+ISNUMBER(SEARCH('F-COMPRA'!$F$32,Tabla11[[#This Row],[Cuenta]],1))</f>
        <v>1</v>
      </c>
      <c r="Q376" t="b">
        <f>+ISNUMBER(SEARCH('F-COMPRA'!$F$33,Tabla11[[#This Row],[Cuenta]],1))</f>
        <v>1</v>
      </c>
      <c r="R376" t="b">
        <f>+ISNUMBER(SEARCH('F-COMPRA'!$F$34,Tabla11[[#This Row],[Cuenta]],1))</f>
        <v>1</v>
      </c>
      <c r="S376" t="b">
        <f>+ISNUMBER(SEARCH('F-COMPRA'!$F$35,Tabla11[[#This Row],[Cuenta]],1))</f>
        <v>1</v>
      </c>
      <c r="T376" t="b">
        <f>+ISNUMBER(SEARCH('F-COMPRA'!$F$36,Tabla11[[#This Row],[Cuenta]],1))</f>
        <v>1</v>
      </c>
      <c r="U376" t="b">
        <f>+ISNUMBER(SEARCH('F-COMPRA'!$F$37,Tabla11[[#This Row],[Cuenta]],1))</f>
        <v>1</v>
      </c>
      <c r="V376" t="b">
        <f>+ISNUMBER(SEARCH(#REF!,Tabla11[[#This Row],[Cuenta]],1))</f>
        <v>0</v>
      </c>
      <c r="W376" t="b">
        <f>+ISNUMBER(SEARCH('F-COMPRA'!#REF!,Tabla11[[#This Row],[Cuenta]],1))</f>
        <v>0</v>
      </c>
      <c r="X376" t="b">
        <f>+ISNUMBER(SEARCH('F-COMPRA'!#REF!,Tabla11[[#This Row],[Cuenta]],1))</f>
        <v>0</v>
      </c>
      <c r="Y376" t="b">
        <f>+ISNUMBER(SEARCH('F-COMPRA'!#REF!,Tabla11[[#This Row],[Cuenta]],1))</f>
        <v>0</v>
      </c>
      <c r="Z376" t="b">
        <f>+ISNUMBER(SEARCH('F-COMPRA'!#REF!,Tabla11[[#This Row],[Cuenta]],1))</f>
        <v>0</v>
      </c>
      <c r="AA376" t="b">
        <f>+ISNUMBER(SEARCH('F-COMPRA'!#REF!,Tabla11[[#This Row],[Cuenta]],1))</f>
        <v>0</v>
      </c>
      <c r="AB376" t="b">
        <f>+ISNUMBER(SEARCH('F-COMPRA'!#REF!,Tabla11[[#This Row],[Cuenta]],1))</f>
        <v>0</v>
      </c>
      <c r="AC376" t="b">
        <f>+ISNUMBER(SEARCH('F-COMPRA'!#REF!,Tabla11[[#This Row],[Cuenta]],1))</f>
        <v>0</v>
      </c>
      <c r="AD376" t="b">
        <f>+ISNUMBER(SEARCH('F-COMPRA'!#REF!,Tabla11[[#This Row],[Cuenta]],1))</f>
        <v>0</v>
      </c>
      <c r="AE376" t="b">
        <f>+ISNUMBER(SEARCH('F-COMPRA'!#REF!,Tabla11[[#This Row],[Cuenta]],1))</f>
        <v>0</v>
      </c>
      <c r="AF376" t="b">
        <f>+ISNUMBER(SEARCH('F-VTA'!$G$23,Tabla11[[#This Row],[Cuenta]],1))</f>
        <v>0</v>
      </c>
      <c r="AG376" t="b">
        <f>+ISNUMBER(SEARCH('F-VTA'!$G$24,Tabla11[[#This Row],[Cuenta]],1))</f>
        <v>0</v>
      </c>
      <c r="AH376" t="b">
        <f>+ISNUMBER(SEARCH('F-VTA'!$G$25,Tabla11[[#This Row],[Cuenta]],1))</f>
        <v>0</v>
      </c>
      <c r="AI376" t="b">
        <f>+ISNUMBER(SEARCH('F-VTA'!$F$28,Tabla11[[#This Row],[Cuenta]],1))</f>
        <v>1</v>
      </c>
      <c r="AJ376" t="b">
        <f>+ISNUMBER(SEARCH('F-VTA'!$F$29,Tabla11[[#This Row],[Cuenta]],1))</f>
        <v>1</v>
      </c>
      <c r="AK376" t="b">
        <f>+ISNUMBER(SEARCH('F-VTA'!$F$30,Tabla11[[#This Row],[Cuenta]],1))</f>
        <v>1</v>
      </c>
      <c r="AL376" t="b">
        <f>+ISNUMBER(SEARCH('F-VTA'!$F$31,Tabla11[[#This Row],[Cuenta]],1))</f>
        <v>1</v>
      </c>
      <c r="AM376" t="b">
        <f>+ISNUMBER(SEARCH('F-VTA'!$F$32,Tabla11[[#This Row],[Cuenta]],1))</f>
        <v>1</v>
      </c>
      <c r="AN376" t="b">
        <f>+ISNUMBER(SEARCH('F-VTA'!$F$33,Tabla11[[#This Row],[Cuenta]],1))</f>
        <v>1</v>
      </c>
      <c r="AO376" t="b">
        <f>+ISNUMBER(SEARCH('F-VTA'!$F$34,Tabla11[[#This Row],[Cuenta]],1))</f>
        <v>1</v>
      </c>
      <c r="AP376" t="b">
        <f>+ISNUMBER(SEARCH('F-VTA'!$F$35,Tabla11[[#This Row],[Cuenta]],1))</f>
        <v>1</v>
      </c>
      <c r="AQ376" t="b">
        <f>+ISNUMBER(SEARCH('F-VTA'!$F$36,Tabla11[[#This Row],[Cuenta]],1))</f>
        <v>1</v>
      </c>
      <c r="AR376" t="b">
        <f>+ISNUMBER(SEARCH(#REF!,Tabla11[[#This Row],[Cuenta]],1))</f>
        <v>0</v>
      </c>
      <c r="AS376" t="b">
        <f>+ISNUMBER(SEARCH(#REF!,Tabla11[[#This Row],[Cuenta]],1))</f>
        <v>0</v>
      </c>
      <c r="AT376" t="b">
        <f>+ISNUMBER(SEARCH(#REF!,Tabla11[[#This Row],[Cuenta]],1))</f>
        <v>0</v>
      </c>
      <c r="AU376" t="b">
        <f>+ISNUMBER(SEARCH('Conc. Ban.1'!$I$9,Tabla11[[#This Row],[Cuenta]],1))</f>
        <v>0</v>
      </c>
      <c r="AV376" t="b">
        <f>+ISNUMBER(SEARCH(CompConta!$F$21,Tabla11[[#This Row],[Cuenta]],1))</f>
        <v>1</v>
      </c>
      <c r="AW376" t="b">
        <f>+ISNUMBER(SEARCH(CompConta!$F$22,Tabla11[[#This Row],[Cuenta]],1))</f>
        <v>1</v>
      </c>
      <c r="AX376" t="b">
        <f>+ISNUMBER(SEARCH(CompConta!$F$23,Tabla11[[#This Row],[Cuenta]],1))</f>
        <v>1</v>
      </c>
      <c r="AY376" t="b">
        <f>+ISNUMBER(SEARCH(CompConta!$F$24,Tabla11[[#This Row],[Cuenta]],1))</f>
        <v>1</v>
      </c>
      <c r="AZ376" t="b">
        <f>+ISNUMBER(SEARCH(CompConta!$F$25,Tabla11[[#This Row],[Cuenta]],1))</f>
        <v>1</v>
      </c>
      <c r="BA376" t="b">
        <f>+ISNUMBER(SEARCH(CompConta!$F$26,Tabla11[[#This Row],[Cuenta]],1))</f>
        <v>1</v>
      </c>
      <c r="BB376" t="b">
        <f>+ISNUMBER(SEARCH(CompConta!$F$27,Tabla11[[#This Row],[Cuenta]],1))</f>
        <v>1</v>
      </c>
      <c r="BC376" t="b">
        <f>+ISNUMBER(SEARCH(CompConta!$F$28,Tabla11[[#This Row],[Cuenta]],1))</f>
        <v>1</v>
      </c>
      <c r="BD376" t="b">
        <f>+ISNUMBER(SEARCH(CompConta!$F$29,Tabla11[[#This Row],[Cuenta]],1))</f>
        <v>1</v>
      </c>
      <c r="BE376" t="b">
        <f>+ISNUMBER(SEARCH(CompConta!$F$30,Tabla11[[#This Row],[Cuenta]],1))</f>
        <v>1</v>
      </c>
      <c r="BF376" t="b">
        <f>+ISNUMBER(SEARCH('PAGO Compras'!$E$11,Tabla11[[#This Row],[Cuenta]],1))</f>
        <v>1</v>
      </c>
      <c r="BG376" t="b">
        <f>+ISNUMBER(SEARCH(#REF!,Tabla11[[#This Row],[Cuenta]],1))</f>
        <v>0</v>
      </c>
      <c r="BH376" t="b">
        <f>+ISNUMBER(SEARCH(#REF!,Tabla11[[#This Row],[Cuenta]],1))</f>
        <v>0</v>
      </c>
      <c r="BI376" t="b">
        <f>+ISNUMBER(SEARCH(#REF!,Tabla11[[#This Row],[Cuenta]],1))</f>
        <v>0</v>
      </c>
      <c r="BJ376" t="b">
        <f>+ISNUMBER(SEARCH(#REF!,Tabla11[[#This Row],[Cuenta]],1))</f>
        <v>0</v>
      </c>
      <c r="BS376" t="str">
        <v>211010 Pagarés</v>
      </c>
      <c r="BT376" t="str">
        <v>211010 Pagarés</v>
      </c>
      <c r="BU376" t="str">
        <v>211010 Pagarés</v>
      </c>
      <c r="BV376" t="str">
        <v>211010 Pagarés</v>
      </c>
      <c r="BZ376" t="str">
        <v>211010 Pagarés</v>
      </c>
      <c r="CA376" t="str">
        <v>211010 Pagarés</v>
      </c>
      <c r="CB376" t="str">
        <v>211010 Pagarés</v>
      </c>
      <c r="CC376" t="str">
        <v>211010 Pagarés</v>
      </c>
      <c r="CD376" t="str">
        <v>211010 Pagarés</v>
      </c>
      <c r="CE376" t="str">
        <v>211010 Pagarés</v>
      </c>
      <c r="CS376" s="141" t="str">
        <v>211010 Pagarés</v>
      </c>
      <c r="CT376" s="141" t="str">
        <v>211010 Pagarés</v>
      </c>
      <c r="CU376" s="141" t="str">
        <v>211010 Pagarés</v>
      </c>
      <c r="CV376" s="141" t="str">
        <v>211010 Pagarés</v>
      </c>
      <c r="CW376" s="141" t="str">
        <v>211010 Pagarés</v>
      </c>
      <c r="CX376" s="141" t="str">
        <v>211010 Pagarés</v>
      </c>
      <c r="CY376" s="141" t="str">
        <v>211010 Pagarés</v>
      </c>
      <c r="CZ376" s="141" t="str">
        <v>211010 Pagarés</v>
      </c>
      <c r="DA376" s="141" t="str">
        <v>211010 Pagarés</v>
      </c>
      <c r="DF376" t="str">
        <v>211010 Pagarés</v>
      </c>
      <c r="DG376" t="str">
        <v>211010 Pagarés</v>
      </c>
      <c r="DH376" t="str">
        <v>211010 Pagarés</v>
      </c>
      <c r="DI376" t="str">
        <v>211010 Pagarés</v>
      </c>
      <c r="DJ376" t="str">
        <v>211010 Pagarés</v>
      </c>
      <c r="DK376" t="str">
        <v>211010 Pagarés</v>
      </c>
      <c r="DL376" t="str">
        <v>211010 Pagarés</v>
      </c>
      <c r="DM376" t="str">
        <v>211010 Pagarés</v>
      </c>
      <c r="DN376" t="str">
        <v>211010 Pagarés</v>
      </c>
      <c r="DO376" t="str">
        <v>211010 Pagarés</v>
      </c>
      <c r="DP376" t="str">
        <v>211010 Pagarés</v>
      </c>
    </row>
    <row r="377" spans="4:120" ht="12.75">
      <c r="D377" s="7">
        <v>2115</v>
      </c>
      <c r="E377" s="6" t="s">
        <v>301</v>
      </c>
      <c r="F377" s="5">
        <v>3</v>
      </c>
      <c r="G377" s="34" t="s">
        <v>823</v>
      </c>
      <c r="H377" s="26" t="s">
        <v>765</v>
      </c>
      <c r="I377" t="b">
        <f>+ISNUMBER(SEARCH('F-COMPRA'!$F$28,Tabla11[[#This Row],[Cuenta]],1))</f>
        <v>1</v>
      </c>
      <c r="J377" t="b">
        <f>+ISNUMBER(SEARCH('F-COMPRA'!$F$29,Tabla11[[#This Row],[Cuenta]],1))</f>
        <v>1</v>
      </c>
      <c r="K377" t="b">
        <f>+ISNUMBER(SEARCH('F-COMPRA'!$F$30,Tabla11[[#This Row],[Cuenta]],1))</f>
        <v>1</v>
      </c>
      <c r="L377" t="b">
        <f>+ISNUMBER(SEARCH('F-COMPRA'!$F$31,Tabla11[[#This Row],[Cuenta]],1))</f>
        <v>1</v>
      </c>
      <c r="M377" t="b">
        <f>+ISNUMBER(SEARCH('F-COMPRA'!$G$25,Tabla11[[#This Row],[Cuenta]],1))</f>
        <v>0</v>
      </c>
      <c r="N377" t="b">
        <f>+ISNUMBER(SEARCH(#REF!,Tabla11[[#This Row],[Cuenta]],1))</f>
        <v>0</v>
      </c>
      <c r="O377" t="b">
        <f>+ISNUMBER(SEARCH(#REF!,Tabla11[[#This Row],[Cuenta]],1))</f>
        <v>0</v>
      </c>
      <c r="P377" t="b">
        <f>+ISNUMBER(SEARCH('F-COMPRA'!$F$32,Tabla11[[#This Row],[Cuenta]],1))</f>
        <v>1</v>
      </c>
      <c r="Q377" t="b">
        <f>+ISNUMBER(SEARCH('F-COMPRA'!$F$33,Tabla11[[#This Row],[Cuenta]],1))</f>
        <v>1</v>
      </c>
      <c r="R377" t="b">
        <f>+ISNUMBER(SEARCH('F-COMPRA'!$F$34,Tabla11[[#This Row],[Cuenta]],1))</f>
        <v>1</v>
      </c>
      <c r="S377" t="b">
        <f>+ISNUMBER(SEARCH('F-COMPRA'!$F$35,Tabla11[[#This Row],[Cuenta]],1))</f>
        <v>1</v>
      </c>
      <c r="T377" t="b">
        <f>+ISNUMBER(SEARCH('F-COMPRA'!$F$36,Tabla11[[#This Row],[Cuenta]],1))</f>
        <v>1</v>
      </c>
      <c r="U377" t="b">
        <f>+ISNUMBER(SEARCH('F-COMPRA'!$F$37,Tabla11[[#This Row],[Cuenta]],1))</f>
        <v>1</v>
      </c>
      <c r="V377" t="b">
        <f>+ISNUMBER(SEARCH(#REF!,Tabla11[[#This Row],[Cuenta]],1))</f>
        <v>0</v>
      </c>
      <c r="W377" t="b">
        <f>+ISNUMBER(SEARCH('F-COMPRA'!#REF!,Tabla11[[#This Row],[Cuenta]],1))</f>
        <v>0</v>
      </c>
      <c r="X377" t="b">
        <f>+ISNUMBER(SEARCH('F-COMPRA'!#REF!,Tabla11[[#This Row],[Cuenta]],1))</f>
        <v>0</v>
      </c>
      <c r="Y377" t="b">
        <f>+ISNUMBER(SEARCH('F-COMPRA'!#REF!,Tabla11[[#This Row],[Cuenta]],1))</f>
        <v>0</v>
      </c>
      <c r="Z377" t="b">
        <f>+ISNUMBER(SEARCH('F-COMPRA'!#REF!,Tabla11[[#This Row],[Cuenta]],1))</f>
        <v>0</v>
      </c>
      <c r="AA377" t="b">
        <f>+ISNUMBER(SEARCH('F-COMPRA'!#REF!,Tabla11[[#This Row],[Cuenta]],1))</f>
        <v>0</v>
      </c>
      <c r="AB377" t="b">
        <f>+ISNUMBER(SEARCH('F-COMPRA'!#REF!,Tabla11[[#This Row],[Cuenta]],1))</f>
        <v>0</v>
      </c>
      <c r="AC377" t="b">
        <f>+ISNUMBER(SEARCH('F-COMPRA'!#REF!,Tabla11[[#This Row],[Cuenta]],1))</f>
        <v>0</v>
      </c>
      <c r="AD377" t="b">
        <f>+ISNUMBER(SEARCH('F-COMPRA'!#REF!,Tabla11[[#This Row],[Cuenta]],1))</f>
        <v>0</v>
      </c>
      <c r="AE377" t="b">
        <f>+ISNUMBER(SEARCH('F-COMPRA'!#REF!,Tabla11[[#This Row],[Cuenta]],1))</f>
        <v>0</v>
      </c>
      <c r="AF377" t="b">
        <f>+ISNUMBER(SEARCH('F-VTA'!$G$23,Tabla11[[#This Row],[Cuenta]],1))</f>
        <v>0</v>
      </c>
      <c r="AG377" t="b">
        <f>+ISNUMBER(SEARCH('F-VTA'!$G$24,Tabla11[[#This Row],[Cuenta]],1))</f>
        <v>0</v>
      </c>
      <c r="AH377" t="b">
        <f>+ISNUMBER(SEARCH('F-VTA'!$G$25,Tabla11[[#This Row],[Cuenta]],1))</f>
        <v>0</v>
      </c>
      <c r="AI377" t="b">
        <f>+ISNUMBER(SEARCH('F-VTA'!$F$28,Tabla11[[#This Row],[Cuenta]],1))</f>
        <v>1</v>
      </c>
      <c r="AJ377" t="b">
        <f>+ISNUMBER(SEARCH('F-VTA'!$F$29,Tabla11[[#This Row],[Cuenta]],1))</f>
        <v>1</v>
      </c>
      <c r="AK377" t="b">
        <f>+ISNUMBER(SEARCH('F-VTA'!$F$30,Tabla11[[#This Row],[Cuenta]],1))</f>
        <v>1</v>
      </c>
      <c r="AL377" t="b">
        <f>+ISNUMBER(SEARCH('F-VTA'!$F$31,Tabla11[[#This Row],[Cuenta]],1))</f>
        <v>1</v>
      </c>
      <c r="AM377" t="b">
        <f>+ISNUMBER(SEARCH('F-VTA'!$F$32,Tabla11[[#This Row],[Cuenta]],1))</f>
        <v>1</v>
      </c>
      <c r="AN377" t="b">
        <f>+ISNUMBER(SEARCH('F-VTA'!$F$33,Tabla11[[#This Row],[Cuenta]],1))</f>
        <v>1</v>
      </c>
      <c r="AO377" t="b">
        <f>+ISNUMBER(SEARCH('F-VTA'!$F$34,Tabla11[[#This Row],[Cuenta]],1))</f>
        <v>1</v>
      </c>
      <c r="AP377" t="b">
        <f>+ISNUMBER(SEARCH('F-VTA'!$F$35,Tabla11[[#This Row],[Cuenta]],1))</f>
        <v>1</v>
      </c>
      <c r="AQ377" t="b">
        <f>+ISNUMBER(SEARCH('F-VTA'!$F$36,Tabla11[[#This Row],[Cuenta]],1))</f>
        <v>1</v>
      </c>
      <c r="AR377" t="b">
        <f>+ISNUMBER(SEARCH(#REF!,Tabla11[[#This Row],[Cuenta]],1))</f>
        <v>0</v>
      </c>
      <c r="AS377" t="b">
        <f>+ISNUMBER(SEARCH(#REF!,Tabla11[[#This Row],[Cuenta]],1))</f>
        <v>0</v>
      </c>
      <c r="AT377" t="b">
        <f>+ISNUMBER(SEARCH(#REF!,Tabla11[[#This Row],[Cuenta]],1))</f>
        <v>0</v>
      </c>
      <c r="AU377" t="b">
        <f>+ISNUMBER(SEARCH('Conc. Ban.1'!$I$9,Tabla11[[#This Row],[Cuenta]],1))</f>
        <v>0</v>
      </c>
      <c r="AV377" t="b">
        <f>+ISNUMBER(SEARCH(CompConta!$F$21,Tabla11[[#This Row],[Cuenta]],1))</f>
        <v>1</v>
      </c>
      <c r="AW377" t="b">
        <f>+ISNUMBER(SEARCH(CompConta!$F$22,Tabla11[[#This Row],[Cuenta]],1))</f>
        <v>1</v>
      </c>
      <c r="AX377" t="b">
        <f>+ISNUMBER(SEARCH(CompConta!$F$23,Tabla11[[#This Row],[Cuenta]],1))</f>
        <v>1</v>
      </c>
      <c r="AY377" t="b">
        <f>+ISNUMBER(SEARCH(CompConta!$F$24,Tabla11[[#This Row],[Cuenta]],1))</f>
        <v>1</v>
      </c>
      <c r="AZ377" t="b">
        <f>+ISNUMBER(SEARCH(CompConta!$F$25,Tabla11[[#This Row],[Cuenta]],1))</f>
        <v>1</v>
      </c>
      <c r="BA377" t="b">
        <f>+ISNUMBER(SEARCH(CompConta!$F$26,Tabla11[[#This Row],[Cuenta]],1))</f>
        <v>1</v>
      </c>
      <c r="BB377" t="b">
        <f>+ISNUMBER(SEARCH(CompConta!$F$27,Tabla11[[#This Row],[Cuenta]],1))</f>
        <v>1</v>
      </c>
      <c r="BC377" t="b">
        <f>+ISNUMBER(SEARCH(CompConta!$F$28,Tabla11[[#This Row],[Cuenta]],1))</f>
        <v>1</v>
      </c>
      <c r="BD377" t="b">
        <f>+ISNUMBER(SEARCH(CompConta!$F$29,Tabla11[[#This Row],[Cuenta]],1))</f>
        <v>1</v>
      </c>
      <c r="BE377" t="b">
        <f>+ISNUMBER(SEARCH(CompConta!$F$30,Tabla11[[#This Row],[Cuenta]],1))</f>
        <v>1</v>
      </c>
      <c r="BF377" t="b">
        <f>+ISNUMBER(SEARCH('PAGO Compras'!$E$11,Tabla11[[#This Row],[Cuenta]],1))</f>
        <v>1</v>
      </c>
      <c r="BG377" t="b">
        <f>+ISNUMBER(SEARCH(#REF!,Tabla11[[#This Row],[Cuenta]],1))</f>
        <v>0</v>
      </c>
      <c r="BH377" t="b">
        <f>+ISNUMBER(SEARCH(#REF!,Tabla11[[#This Row],[Cuenta]],1))</f>
        <v>0</v>
      </c>
      <c r="BI377" t="b">
        <f>+ISNUMBER(SEARCH(#REF!,Tabla11[[#This Row],[Cuenta]],1))</f>
        <v>0</v>
      </c>
      <c r="BJ377" t="b">
        <f>+ISNUMBER(SEARCH(#REF!,Tabla11[[#This Row],[Cuenta]],1))</f>
        <v>0</v>
      </c>
      <c r="BS377" t="str">
        <v>2115 CORPORACIONES FINANCIERAS</v>
      </c>
      <c r="BT377" t="str">
        <v>2115 CORPORACIONES FINANCIERAS</v>
      </c>
      <c r="BU377" t="str">
        <v>2115 CORPORACIONES FINANCIERAS</v>
      </c>
      <c r="BV377" t="str">
        <v>2115 CORPORACIONES FINANCIERAS</v>
      </c>
      <c r="BZ377" t="str">
        <v>2115 CORPORACIONES FINANCIERAS</v>
      </c>
      <c r="CA377" t="str">
        <v>2115 CORPORACIONES FINANCIERAS</v>
      </c>
      <c r="CB377" t="str">
        <v>2115 CORPORACIONES FINANCIERAS</v>
      </c>
      <c r="CC377" t="str">
        <v>2115 CORPORACIONES FINANCIERAS</v>
      </c>
      <c r="CD377" t="str">
        <v>2115 CORPORACIONES FINANCIERAS</v>
      </c>
      <c r="CE377" t="str">
        <v>2115 CORPORACIONES FINANCIERAS</v>
      </c>
      <c r="CS377" s="141" t="str">
        <v>2115 CORPORACIONES FINANCIERAS</v>
      </c>
      <c r="CT377" s="141" t="str">
        <v>2115 CORPORACIONES FINANCIERAS</v>
      </c>
      <c r="CU377" s="141" t="str">
        <v>2115 CORPORACIONES FINANCIERAS</v>
      </c>
      <c r="CV377" s="141" t="str">
        <v>2115 CORPORACIONES FINANCIERAS</v>
      </c>
      <c r="CW377" s="141" t="str">
        <v>2115 CORPORACIONES FINANCIERAS</v>
      </c>
      <c r="CX377" s="141" t="str">
        <v>2115 CORPORACIONES FINANCIERAS</v>
      </c>
      <c r="CY377" s="141" t="str">
        <v>2115 CORPORACIONES FINANCIERAS</v>
      </c>
      <c r="CZ377" s="141" t="str">
        <v>2115 CORPORACIONES FINANCIERAS</v>
      </c>
      <c r="DA377" s="141" t="str">
        <v>2115 CORPORACIONES FINANCIERAS</v>
      </c>
      <c r="DF377" t="str">
        <v>2115 CORPORACIONES FINANCIERAS</v>
      </c>
      <c r="DG377" t="str">
        <v>2115 CORPORACIONES FINANCIERAS</v>
      </c>
      <c r="DH377" t="str">
        <v>2115 CORPORACIONES FINANCIERAS</v>
      </c>
      <c r="DI377" t="str">
        <v>2115 CORPORACIONES FINANCIERAS</v>
      </c>
      <c r="DJ377" t="str">
        <v>2115 CORPORACIONES FINANCIERAS</v>
      </c>
      <c r="DK377" t="str">
        <v>2115 CORPORACIONES FINANCIERAS</v>
      </c>
      <c r="DL377" t="str">
        <v>2115 CORPORACIONES FINANCIERAS</v>
      </c>
      <c r="DM377" t="str">
        <v>2115 CORPORACIONES FINANCIERAS</v>
      </c>
      <c r="DN377" t="str">
        <v>2115 CORPORACIONES FINANCIERAS</v>
      </c>
      <c r="DO377" t="str">
        <v>2115 CORPORACIONES FINANCIERAS</v>
      </c>
      <c r="DP377" t="str">
        <v>2115 CORPORACIONES FINANCIERAS</v>
      </c>
    </row>
    <row r="378" spans="4:120" ht="12.75">
      <c r="D378" s="7">
        <v>211505</v>
      </c>
      <c r="E378" s="6" t="s">
        <v>297</v>
      </c>
      <c r="F378" s="5">
        <v>4</v>
      </c>
      <c r="G378" s="34" t="s">
        <v>823</v>
      </c>
      <c r="H378" s="26" t="s">
        <v>765</v>
      </c>
      <c r="I378" t="b">
        <f>+ISNUMBER(SEARCH('F-COMPRA'!$F$28,Tabla11[[#This Row],[Cuenta]],1))</f>
        <v>1</v>
      </c>
      <c r="J378" t="b">
        <f>+ISNUMBER(SEARCH('F-COMPRA'!$F$29,Tabla11[[#This Row],[Cuenta]],1))</f>
        <v>1</v>
      </c>
      <c r="K378" t="b">
        <f>+ISNUMBER(SEARCH('F-COMPRA'!$F$30,Tabla11[[#This Row],[Cuenta]],1))</f>
        <v>1</v>
      </c>
      <c r="L378" t="b">
        <f>+ISNUMBER(SEARCH('F-COMPRA'!$F$31,Tabla11[[#This Row],[Cuenta]],1))</f>
        <v>1</v>
      </c>
      <c r="M378" t="b">
        <f>+ISNUMBER(SEARCH('F-COMPRA'!$G$25,Tabla11[[#This Row],[Cuenta]],1))</f>
        <v>0</v>
      </c>
      <c r="N378" t="b">
        <f>+ISNUMBER(SEARCH(#REF!,Tabla11[[#This Row],[Cuenta]],1))</f>
        <v>0</v>
      </c>
      <c r="O378" t="b">
        <f>+ISNUMBER(SEARCH(#REF!,Tabla11[[#This Row],[Cuenta]],1))</f>
        <v>0</v>
      </c>
      <c r="P378" t="b">
        <f>+ISNUMBER(SEARCH('F-COMPRA'!$F$32,Tabla11[[#This Row],[Cuenta]],1))</f>
        <v>1</v>
      </c>
      <c r="Q378" t="b">
        <f>+ISNUMBER(SEARCH('F-COMPRA'!$F$33,Tabla11[[#This Row],[Cuenta]],1))</f>
        <v>1</v>
      </c>
      <c r="R378" t="b">
        <f>+ISNUMBER(SEARCH('F-COMPRA'!$F$34,Tabla11[[#This Row],[Cuenta]],1))</f>
        <v>1</v>
      </c>
      <c r="S378" t="b">
        <f>+ISNUMBER(SEARCH('F-COMPRA'!$F$35,Tabla11[[#This Row],[Cuenta]],1))</f>
        <v>1</v>
      </c>
      <c r="T378" t="b">
        <f>+ISNUMBER(SEARCH('F-COMPRA'!$F$36,Tabla11[[#This Row],[Cuenta]],1))</f>
        <v>1</v>
      </c>
      <c r="U378" t="b">
        <f>+ISNUMBER(SEARCH('F-COMPRA'!$F$37,Tabla11[[#This Row],[Cuenta]],1))</f>
        <v>1</v>
      </c>
      <c r="V378" t="b">
        <f>+ISNUMBER(SEARCH(#REF!,Tabla11[[#This Row],[Cuenta]],1))</f>
        <v>0</v>
      </c>
      <c r="W378" t="b">
        <f>+ISNUMBER(SEARCH('F-COMPRA'!#REF!,Tabla11[[#This Row],[Cuenta]],1))</f>
        <v>0</v>
      </c>
      <c r="X378" t="b">
        <f>+ISNUMBER(SEARCH('F-COMPRA'!#REF!,Tabla11[[#This Row],[Cuenta]],1))</f>
        <v>0</v>
      </c>
      <c r="Y378" t="b">
        <f>+ISNUMBER(SEARCH('F-COMPRA'!#REF!,Tabla11[[#This Row],[Cuenta]],1))</f>
        <v>0</v>
      </c>
      <c r="Z378" t="b">
        <f>+ISNUMBER(SEARCH('F-COMPRA'!#REF!,Tabla11[[#This Row],[Cuenta]],1))</f>
        <v>0</v>
      </c>
      <c r="AA378" t="b">
        <f>+ISNUMBER(SEARCH('F-COMPRA'!#REF!,Tabla11[[#This Row],[Cuenta]],1))</f>
        <v>0</v>
      </c>
      <c r="AB378" t="b">
        <f>+ISNUMBER(SEARCH('F-COMPRA'!#REF!,Tabla11[[#This Row],[Cuenta]],1))</f>
        <v>0</v>
      </c>
      <c r="AC378" t="b">
        <f>+ISNUMBER(SEARCH('F-COMPRA'!#REF!,Tabla11[[#This Row],[Cuenta]],1))</f>
        <v>0</v>
      </c>
      <c r="AD378" t="b">
        <f>+ISNUMBER(SEARCH('F-COMPRA'!#REF!,Tabla11[[#This Row],[Cuenta]],1))</f>
        <v>0</v>
      </c>
      <c r="AE378" t="b">
        <f>+ISNUMBER(SEARCH('F-COMPRA'!#REF!,Tabla11[[#This Row],[Cuenta]],1))</f>
        <v>0</v>
      </c>
      <c r="AF378" t="b">
        <f>+ISNUMBER(SEARCH('F-VTA'!$G$23,Tabla11[[#This Row],[Cuenta]],1))</f>
        <v>0</v>
      </c>
      <c r="AG378" t="b">
        <f>+ISNUMBER(SEARCH('F-VTA'!$G$24,Tabla11[[#This Row],[Cuenta]],1))</f>
        <v>0</v>
      </c>
      <c r="AH378" t="b">
        <f>+ISNUMBER(SEARCH('F-VTA'!$G$25,Tabla11[[#This Row],[Cuenta]],1))</f>
        <v>0</v>
      </c>
      <c r="AI378" t="b">
        <f>+ISNUMBER(SEARCH('F-VTA'!$F$28,Tabla11[[#This Row],[Cuenta]],1))</f>
        <v>1</v>
      </c>
      <c r="AJ378" t="b">
        <f>+ISNUMBER(SEARCH('F-VTA'!$F$29,Tabla11[[#This Row],[Cuenta]],1))</f>
        <v>1</v>
      </c>
      <c r="AK378" t="b">
        <f>+ISNUMBER(SEARCH('F-VTA'!$F$30,Tabla11[[#This Row],[Cuenta]],1))</f>
        <v>1</v>
      </c>
      <c r="AL378" t="b">
        <f>+ISNUMBER(SEARCH('F-VTA'!$F$31,Tabla11[[#This Row],[Cuenta]],1))</f>
        <v>1</v>
      </c>
      <c r="AM378" t="b">
        <f>+ISNUMBER(SEARCH('F-VTA'!$F$32,Tabla11[[#This Row],[Cuenta]],1))</f>
        <v>1</v>
      </c>
      <c r="AN378" t="b">
        <f>+ISNUMBER(SEARCH('F-VTA'!$F$33,Tabla11[[#This Row],[Cuenta]],1))</f>
        <v>1</v>
      </c>
      <c r="AO378" t="b">
        <f>+ISNUMBER(SEARCH('F-VTA'!$F$34,Tabla11[[#This Row],[Cuenta]],1))</f>
        <v>1</v>
      </c>
      <c r="AP378" t="b">
        <f>+ISNUMBER(SEARCH('F-VTA'!$F$35,Tabla11[[#This Row],[Cuenta]],1))</f>
        <v>1</v>
      </c>
      <c r="AQ378" t="b">
        <f>+ISNUMBER(SEARCH('F-VTA'!$F$36,Tabla11[[#This Row],[Cuenta]],1))</f>
        <v>1</v>
      </c>
      <c r="AR378" t="b">
        <f>+ISNUMBER(SEARCH(#REF!,Tabla11[[#This Row],[Cuenta]],1))</f>
        <v>0</v>
      </c>
      <c r="AS378" t="b">
        <f>+ISNUMBER(SEARCH(#REF!,Tabla11[[#This Row],[Cuenta]],1))</f>
        <v>0</v>
      </c>
      <c r="AT378" t="b">
        <f>+ISNUMBER(SEARCH(#REF!,Tabla11[[#This Row],[Cuenta]],1))</f>
        <v>0</v>
      </c>
      <c r="AU378" t="b">
        <f>+ISNUMBER(SEARCH('Conc. Ban.1'!$I$9,Tabla11[[#This Row],[Cuenta]],1))</f>
        <v>0</v>
      </c>
      <c r="AV378" t="b">
        <f>+ISNUMBER(SEARCH(CompConta!$F$21,Tabla11[[#This Row],[Cuenta]],1))</f>
        <v>1</v>
      </c>
      <c r="AW378" t="b">
        <f>+ISNUMBER(SEARCH(CompConta!$F$22,Tabla11[[#This Row],[Cuenta]],1))</f>
        <v>1</v>
      </c>
      <c r="AX378" t="b">
        <f>+ISNUMBER(SEARCH(CompConta!$F$23,Tabla11[[#This Row],[Cuenta]],1))</f>
        <v>1</v>
      </c>
      <c r="AY378" t="b">
        <f>+ISNUMBER(SEARCH(CompConta!$F$24,Tabla11[[#This Row],[Cuenta]],1))</f>
        <v>1</v>
      </c>
      <c r="AZ378" t="b">
        <f>+ISNUMBER(SEARCH(CompConta!$F$25,Tabla11[[#This Row],[Cuenta]],1))</f>
        <v>1</v>
      </c>
      <c r="BA378" t="b">
        <f>+ISNUMBER(SEARCH(CompConta!$F$26,Tabla11[[#This Row],[Cuenta]],1))</f>
        <v>1</v>
      </c>
      <c r="BB378" t="b">
        <f>+ISNUMBER(SEARCH(CompConta!$F$27,Tabla11[[#This Row],[Cuenta]],1))</f>
        <v>1</v>
      </c>
      <c r="BC378" t="b">
        <f>+ISNUMBER(SEARCH(CompConta!$F$28,Tabla11[[#This Row],[Cuenta]],1))</f>
        <v>1</v>
      </c>
      <c r="BD378" t="b">
        <f>+ISNUMBER(SEARCH(CompConta!$F$29,Tabla11[[#This Row],[Cuenta]],1))</f>
        <v>1</v>
      </c>
      <c r="BE378" t="b">
        <f>+ISNUMBER(SEARCH(CompConta!$F$30,Tabla11[[#This Row],[Cuenta]],1))</f>
        <v>1</v>
      </c>
      <c r="BF378" t="b">
        <f>+ISNUMBER(SEARCH('PAGO Compras'!$E$11,Tabla11[[#This Row],[Cuenta]],1))</f>
        <v>1</v>
      </c>
      <c r="BG378" t="b">
        <f>+ISNUMBER(SEARCH(#REF!,Tabla11[[#This Row],[Cuenta]],1))</f>
        <v>0</v>
      </c>
      <c r="BH378" t="b">
        <f>+ISNUMBER(SEARCH(#REF!,Tabla11[[#This Row],[Cuenta]],1))</f>
        <v>0</v>
      </c>
      <c r="BI378" t="b">
        <f>+ISNUMBER(SEARCH(#REF!,Tabla11[[#This Row],[Cuenta]],1))</f>
        <v>0</v>
      </c>
      <c r="BJ378" t="b">
        <f>+ISNUMBER(SEARCH(#REF!,Tabla11[[#This Row],[Cuenta]],1))</f>
        <v>0</v>
      </c>
      <c r="BS378" t="str">
        <v>211505 Pagarés</v>
      </c>
      <c r="BT378" t="str">
        <v>211505 Pagarés</v>
      </c>
      <c r="BU378" t="str">
        <v>211505 Pagarés</v>
      </c>
      <c r="BV378" t="str">
        <v>211505 Pagarés</v>
      </c>
      <c r="BZ378" t="str">
        <v>211505 Pagarés</v>
      </c>
      <c r="CA378" t="str">
        <v>211505 Pagarés</v>
      </c>
      <c r="CB378" t="str">
        <v>211505 Pagarés</v>
      </c>
      <c r="CC378" t="str">
        <v>211505 Pagarés</v>
      </c>
      <c r="CD378" t="str">
        <v>211505 Pagarés</v>
      </c>
      <c r="CE378" t="str">
        <v>211505 Pagarés</v>
      </c>
      <c r="CS378" s="141" t="str">
        <v>211505 Pagarés</v>
      </c>
      <c r="CT378" s="141" t="str">
        <v>211505 Pagarés</v>
      </c>
      <c r="CU378" s="141" t="str">
        <v>211505 Pagarés</v>
      </c>
      <c r="CV378" s="141" t="str">
        <v>211505 Pagarés</v>
      </c>
      <c r="CW378" s="141" t="str">
        <v>211505 Pagarés</v>
      </c>
      <c r="CX378" s="141" t="str">
        <v>211505 Pagarés</v>
      </c>
      <c r="CY378" s="141" t="str">
        <v>211505 Pagarés</v>
      </c>
      <c r="CZ378" s="141" t="str">
        <v>211505 Pagarés</v>
      </c>
      <c r="DA378" s="141" t="str">
        <v>211505 Pagarés</v>
      </c>
      <c r="DF378" t="str">
        <v>211505 Pagarés</v>
      </c>
      <c r="DG378" t="str">
        <v>211505 Pagarés</v>
      </c>
      <c r="DH378" t="str">
        <v>211505 Pagarés</v>
      </c>
      <c r="DI378" t="str">
        <v>211505 Pagarés</v>
      </c>
      <c r="DJ378" t="str">
        <v>211505 Pagarés</v>
      </c>
      <c r="DK378" t="str">
        <v>211505 Pagarés</v>
      </c>
      <c r="DL378" t="str">
        <v>211505 Pagarés</v>
      </c>
      <c r="DM378" t="str">
        <v>211505 Pagarés</v>
      </c>
      <c r="DN378" t="str">
        <v>211505 Pagarés</v>
      </c>
      <c r="DO378" t="str">
        <v>211505 Pagarés</v>
      </c>
      <c r="DP378" t="str">
        <v>211505 Pagarés</v>
      </c>
    </row>
    <row r="379" spans="4:120" ht="12.75">
      <c r="D379" s="7">
        <v>211510</v>
      </c>
      <c r="E379" s="6" t="s">
        <v>302</v>
      </c>
      <c r="F379" s="5">
        <v>4</v>
      </c>
      <c r="G379" s="34" t="s">
        <v>823</v>
      </c>
      <c r="H379" s="26" t="s">
        <v>765</v>
      </c>
      <c r="I379" t="b">
        <f>+ISNUMBER(SEARCH('F-COMPRA'!$F$28,Tabla11[[#This Row],[Cuenta]],1))</f>
        <v>1</v>
      </c>
      <c r="J379" t="b">
        <f>+ISNUMBER(SEARCH('F-COMPRA'!$F$29,Tabla11[[#This Row],[Cuenta]],1))</f>
        <v>1</v>
      </c>
      <c r="K379" t="b">
        <f>+ISNUMBER(SEARCH('F-COMPRA'!$F$30,Tabla11[[#This Row],[Cuenta]],1))</f>
        <v>1</v>
      </c>
      <c r="L379" t="b">
        <f>+ISNUMBER(SEARCH('F-COMPRA'!$F$31,Tabla11[[#This Row],[Cuenta]],1))</f>
        <v>1</v>
      </c>
      <c r="M379" t="b">
        <f>+ISNUMBER(SEARCH('F-COMPRA'!$G$25,Tabla11[[#This Row],[Cuenta]],1))</f>
        <v>0</v>
      </c>
      <c r="N379" t="b">
        <f>+ISNUMBER(SEARCH(#REF!,Tabla11[[#This Row],[Cuenta]],1))</f>
        <v>0</v>
      </c>
      <c r="O379" t="b">
        <f>+ISNUMBER(SEARCH(#REF!,Tabla11[[#This Row],[Cuenta]],1))</f>
        <v>0</v>
      </c>
      <c r="P379" t="b">
        <f>+ISNUMBER(SEARCH('F-COMPRA'!$F$32,Tabla11[[#This Row],[Cuenta]],1))</f>
        <v>1</v>
      </c>
      <c r="Q379" t="b">
        <f>+ISNUMBER(SEARCH('F-COMPRA'!$F$33,Tabla11[[#This Row],[Cuenta]],1))</f>
        <v>1</v>
      </c>
      <c r="R379" t="b">
        <f>+ISNUMBER(SEARCH('F-COMPRA'!$F$34,Tabla11[[#This Row],[Cuenta]],1))</f>
        <v>1</v>
      </c>
      <c r="S379" t="b">
        <f>+ISNUMBER(SEARCH('F-COMPRA'!$F$35,Tabla11[[#This Row],[Cuenta]],1))</f>
        <v>1</v>
      </c>
      <c r="T379" t="b">
        <f>+ISNUMBER(SEARCH('F-COMPRA'!$F$36,Tabla11[[#This Row],[Cuenta]],1))</f>
        <v>1</v>
      </c>
      <c r="U379" t="b">
        <f>+ISNUMBER(SEARCH('F-COMPRA'!$F$37,Tabla11[[#This Row],[Cuenta]],1))</f>
        <v>1</v>
      </c>
      <c r="V379" t="b">
        <f>+ISNUMBER(SEARCH(#REF!,Tabla11[[#This Row],[Cuenta]],1))</f>
        <v>0</v>
      </c>
      <c r="W379" t="b">
        <f>+ISNUMBER(SEARCH('F-COMPRA'!#REF!,Tabla11[[#This Row],[Cuenta]],1))</f>
        <v>0</v>
      </c>
      <c r="X379" t="b">
        <f>+ISNUMBER(SEARCH('F-COMPRA'!#REF!,Tabla11[[#This Row],[Cuenta]],1))</f>
        <v>0</v>
      </c>
      <c r="Y379" t="b">
        <f>+ISNUMBER(SEARCH('F-COMPRA'!#REF!,Tabla11[[#This Row],[Cuenta]],1))</f>
        <v>0</v>
      </c>
      <c r="Z379" t="b">
        <f>+ISNUMBER(SEARCH('F-COMPRA'!#REF!,Tabla11[[#This Row],[Cuenta]],1))</f>
        <v>0</v>
      </c>
      <c r="AA379" t="b">
        <f>+ISNUMBER(SEARCH('F-COMPRA'!#REF!,Tabla11[[#This Row],[Cuenta]],1))</f>
        <v>0</v>
      </c>
      <c r="AB379" t="b">
        <f>+ISNUMBER(SEARCH('F-COMPRA'!#REF!,Tabla11[[#This Row],[Cuenta]],1))</f>
        <v>0</v>
      </c>
      <c r="AC379" t="b">
        <f>+ISNUMBER(SEARCH('F-COMPRA'!#REF!,Tabla11[[#This Row],[Cuenta]],1))</f>
        <v>0</v>
      </c>
      <c r="AD379" t="b">
        <f>+ISNUMBER(SEARCH('F-COMPRA'!#REF!,Tabla11[[#This Row],[Cuenta]],1))</f>
        <v>0</v>
      </c>
      <c r="AE379" t="b">
        <f>+ISNUMBER(SEARCH('F-COMPRA'!#REF!,Tabla11[[#This Row],[Cuenta]],1))</f>
        <v>0</v>
      </c>
      <c r="AF379" t="b">
        <f>+ISNUMBER(SEARCH('F-VTA'!$G$23,Tabla11[[#This Row],[Cuenta]],1))</f>
        <v>0</v>
      </c>
      <c r="AG379" t="b">
        <f>+ISNUMBER(SEARCH('F-VTA'!$G$24,Tabla11[[#This Row],[Cuenta]],1))</f>
        <v>0</v>
      </c>
      <c r="AH379" t="b">
        <f>+ISNUMBER(SEARCH('F-VTA'!$G$25,Tabla11[[#This Row],[Cuenta]],1))</f>
        <v>0</v>
      </c>
      <c r="AI379" t="b">
        <f>+ISNUMBER(SEARCH('F-VTA'!$F$28,Tabla11[[#This Row],[Cuenta]],1))</f>
        <v>1</v>
      </c>
      <c r="AJ379" t="b">
        <f>+ISNUMBER(SEARCH('F-VTA'!$F$29,Tabla11[[#This Row],[Cuenta]],1))</f>
        <v>1</v>
      </c>
      <c r="AK379" t="b">
        <f>+ISNUMBER(SEARCH('F-VTA'!$F$30,Tabla11[[#This Row],[Cuenta]],1))</f>
        <v>1</v>
      </c>
      <c r="AL379" t="b">
        <f>+ISNUMBER(SEARCH('F-VTA'!$F$31,Tabla11[[#This Row],[Cuenta]],1))</f>
        <v>1</v>
      </c>
      <c r="AM379" t="b">
        <f>+ISNUMBER(SEARCH('F-VTA'!$F$32,Tabla11[[#This Row],[Cuenta]],1))</f>
        <v>1</v>
      </c>
      <c r="AN379" t="b">
        <f>+ISNUMBER(SEARCH('F-VTA'!$F$33,Tabla11[[#This Row],[Cuenta]],1))</f>
        <v>1</v>
      </c>
      <c r="AO379" t="b">
        <f>+ISNUMBER(SEARCH('F-VTA'!$F$34,Tabla11[[#This Row],[Cuenta]],1))</f>
        <v>1</v>
      </c>
      <c r="AP379" t="b">
        <f>+ISNUMBER(SEARCH('F-VTA'!$F$35,Tabla11[[#This Row],[Cuenta]],1))</f>
        <v>1</v>
      </c>
      <c r="AQ379" t="b">
        <f>+ISNUMBER(SEARCH('F-VTA'!$F$36,Tabla11[[#This Row],[Cuenta]],1))</f>
        <v>1</v>
      </c>
      <c r="AR379" t="b">
        <f>+ISNUMBER(SEARCH(#REF!,Tabla11[[#This Row],[Cuenta]],1))</f>
        <v>0</v>
      </c>
      <c r="AS379" t="b">
        <f>+ISNUMBER(SEARCH(#REF!,Tabla11[[#This Row],[Cuenta]],1))</f>
        <v>0</v>
      </c>
      <c r="AT379" t="b">
        <f>+ISNUMBER(SEARCH(#REF!,Tabla11[[#This Row],[Cuenta]],1))</f>
        <v>0</v>
      </c>
      <c r="AU379" t="b">
        <f>+ISNUMBER(SEARCH('Conc. Ban.1'!$I$9,Tabla11[[#This Row],[Cuenta]],1))</f>
        <v>0</v>
      </c>
      <c r="AV379" t="b">
        <f>+ISNUMBER(SEARCH(CompConta!$F$21,Tabla11[[#This Row],[Cuenta]],1))</f>
        <v>1</v>
      </c>
      <c r="AW379" t="b">
        <f>+ISNUMBER(SEARCH(CompConta!$F$22,Tabla11[[#This Row],[Cuenta]],1))</f>
        <v>1</v>
      </c>
      <c r="AX379" t="b">
        <f>+ISNUMBER(SEARCH(CompConta!$F$23,Tabla11[[#This Row],[Cuenta]],1))</f>
        <v>1</v>
      </c>
      <c r="AY379" t="b">
        <f>+ISNUMBER(SEARCH(CompConta!$F$24,Tabla11[[#This Row],[Cuenta]],1))</f>
        <v>1</v>
      </c>
      <c r="AZ379" t="b">
        <f>+ISNUMBER(SEARCH(CompConta!$F$25,Tabla11[[#This Row],[Cuenta]],1))</f>
        <v>1</v>
      </c>
      <c r="BA379" t="b">
        <f>+ISNUMBER(SEARCH(CompConta!$F$26,Tabla11[[#This Row],[Cuenta]],1))</f>
        <v>1</v>
      </c>
      <c r="BB379" t="b">
        <f>+ISNUMBER(SEARCH(CompConta!$F$27,Tabla11[[#This Row],[Cuenta]],1))</f>
        <v>1</v>
      </c>
      <c r="BC379" t="b">
        <f>+ISNUMBER(SEARCH(CompConta!$F$28,Tabla11[[#This Row],[Cuenta]],1))</f>
        <v>1</v>
      </c>
      <c r="BD379" t="b">
        <f>+ISNUMBER(SEARCH(CompConta!$F$29,Tabla11[[#This Row],[Cuenta]],1))</f>
        <v>1</v>
      </c>
      <c r="BE379" t="b">
        <f>+ISNUMBER(SEARCH(CompConta!$F$30,Tabla11[[#This Row],[Cuenta]],1))</f>
        <v>1</v>
      </c>
      <c r="BF379" t="b">
        <f>+ISNUMBER(SEARCH('PAGO Compras'!$E$11,Tabla11[[#This Row],[Cuenta]],1))</f>
        <v>1</v>
      </c>
      <c r="BG379" t="b">
        <f>+ISNUMBER(SEARCH(#REF!,Tabla11[[#This Row],[Cuenta]],1))</f>
        <v>0</v>
      </c>
      <c r="BH379" t="b">
        <f>+ISNUMBER(SEARCH(#REF!,Tabla11[[#This Row],[Cuenta]],1))</f>
        <v>0</v>
      </c>
      <c r="BI379" t="b">
        <f>+ISNUMBER(SEARCH(#REF!,Tabla11[[#This Row],[Cuenta]],1))</f>
        <v>0</v>
      </c>
      <c r="BJ379" t="b">
        <f>+ISNUMBER(SEARCH(#REF!,Tabla11[[#This Row],[Cuenta]],1))</f>
        <v>0</v>
      </c>
      <c r="BS379" t="str">
        <v>211510 Aceptaciones financieras</v>
      </c>
      <c r="BT379" t="str">
        <v>211510 Aceptaciones financieras</v>
      </c>
      <c r="BU379" t="str">
        <v>211510 Aceptaciones financieras</v>
      </c>
      <c r="BV379" t="str">
        <v>211510 Aceptaciones financieras</v>
      </c>
      <c r="BZ379" t="str">
        <v>211510 Aceptaciones financieras</v>
      </c>
      <c r="CA379" t="str">
        <v>211510 Aceptaciones financieras</v>
      </c>
      <c r="CB379" t="str">
        <v>211510 Aceptaciones financieras</v>
      </c>
      <c r="CC379" t="str">
        <v>211510 Aceptaciones financieras</v>
      </c>
      <c r="CD379" t="str">
        <v>211510 Aceptaciones financieras</v>
      </c>
      <c r="CE379" t="str">
        <v>211510 Aceptaciones financieras</v>
      </c>
      <c r="CS379" s="141" t="str">
        <v>211510 Aceptaciones financieras</v>
      </c>
      <c r="CT379" s="141" t="str">
        <v>211510 Aceptaciones financieras</v>
      </c>
      <c r="CU379" s="141" t="str">
        <v>211510 Aceptaciones financieras</v>
      </c>
      <c r="CV379" s="141" t="str">
        <v>211510 Aceptaciones financieras</v>
      </c>
      <c r="CW379" s="141" t="str">
        <v>211510 Aceptaciones financieras</v>
      </c>
      <c r="CX379" s="141" t="str">
        <v>211510 Aceptaciones financieras</v>
      </c>
      <c r="CY379" s="141" t="str">
        <v>211510 Aceptaciones financieras</v>
      </c>
      <c r="CZ379" s="141" t="str">
        <v>211510 Aceptaciones financieras</v>
      </c>
      <c r="DA379" s="141" t="str">
        <v>211510 Aceptaciones financieras</v>
      </c>
      <c r="DF379" t="str">
        <v>211510 Aceptaciones financieras</v>
      </c>
      <c r="DG379" t="str">
        <v>211510 Aceptaciones financieras</v>
      </c>
      <c r="DH379" t="str">
        <v>211510 Aceptaciones financieras</v>
      </c>
      <c r="DI379" t="str">
        <v>211510 Aceptaciones financieras</v>
      </c>
      <c r="DJ379" t="str">
        <v>211510 Aceptaciones financieras</v>
      </c>
      <c r="DK379" t="str">
        <v>211510 Aceptaciones financieras</v>
      </c>
      <c r="DL379" t="str">
        <v>211510 Aceptaciones financieras</v>
      </c>
      <c r="DM379" t="str">
        <v>211510 Aceptaciones financieras</v>
      </c>
      <c r="DN379" t="str">
        <v>211510 Aceptaciones financieras</v>
      </c>
      <c r="DO379" t="str">
        <v>211510 Aceptaciones financieras</v>
      </c>
      <c r="DP379" t="str">
        <v>211510 Aceptaciones financieras</v>
      </c>
    </row>
    <row r="380" spans="4:120" ht="12.75">
      <c r="D380" s="7">
        <v>211515</v>
      </c>
      <c r="E380" s="6" t="s">
        <v>298</v>
      </c>
      <c r="F380" s="5">
        <v>4</v>
      </c>
      <c r="G380" s="34" t="s">
        <v>823</v>
      </c>
      <c r="H380" s="26" t="s">
        <v>765</v>
      </c>
      <c r="I380" t="b">
        <f>+ISNUMBER(SEARCH('F-COMPRA'!$F$28,Tabla11[[#This Row],[Cuenta]],1))</f>
        <v>1</v>
      </c>
      <c r="J380" t="b">
        <f>+ISNUMBER(SEARCH('F-COMPRA'!$F$29,Tabla11[[#This Row],[Cuenta]],1))</f>
        <v>1</v>
      </c>
      <c r="K380" t="b">
        <f>+ISNUMBER(SEARCH('F-COMPRA'!$F$30,Tabla11[[#This Row],[Cuenta]],1))</f>
        <v>1</v>
      </c>
      <c r="L380" t="b">
        <f>+ISNUMBER(SEARCH('F-COMPRA'!$F$31,Tabla11[[#This Row],[Cuenta]],1))</f>
        <v>1</v>
      </c>
      <c r="M380" t="b">
        <f>+ISNUMBER(SEARCH('F-COMPRA'!$G$25,Tabla11[[#This Row],[Cuenta]],1))</f>
        <v>0</v>
      </c>
      <c r="N380" t="b">
        <f>+ISNUMBER(SEARCH(#REF!,Tabla11[[#This Row],[Cuenta]],1))</f>
        <v>0</v>
      </c>
      <c r="O380" t="b">
        <f>+ISNUMBER(SEARCH(#REF!,Tabla11[[#This Row],[Cuenta]],1))</f>
        <v>0</v>
      </c>
      <c r="P380" t="b">
        <f>+ISNUMBER(SEARCH('F-COMPRA'!$F$32,Tabla11[[#This Row],[Cuenta]],1))</f>
        <v>1</v>
      </c>
      <c r="Q380" t="b">
        <f>+ISNUMBER(SEARCH('F-COMPRA'!$F$33,Tabla11[[#This Row],[Cuenta]],1))</f>
        <v>1</v>
      </c>
      <c r="R380" t="b">
        <f>+ISNUMBER(SEARCH('F-COMPRA'!$F$34,Tabla11[[#This Row],[Cuenta]],1))</f>
        <v>1</v>
      </c>
      <c r="S380" t="b">
        <f>+ISNUMBER(SEARCH('F-COMPRA'!$F$35,Tabla11[[#This Row],[Cuenta]],1))</f>
        <v>1</v>
      </c>
      <c r="T380" t="b">
        <f>+ISNUMBER(SEARCH('F-COMPRA'!$F$36,Tabla11[[#This Row],[Cuenta]],1))</f>
        <v>1</v>
      </c>
      <c r="U380" t="b">
        <f>+ISNUMBER(SEARCH('F-COMPRA'!$F$37,Tabla11[[#This Row],[Cuenta]],1))</f>
        <v>1</v>
      </c>
      <c r="V380" t="b">
        <f>+ISNUMBER(SEARCH(#REF!,Tabla11[[#This Row],[Cuenta]],1))</f>
        <v>0</v>
      </c>
      <c r="W380" t="b">
        <f>+ISNUMBER(SEARCH('F-COMPRA'!#REF!,Tabla11[[#This Row],[Cuenta]],1))</f>
        <v>0</v>
      </c>
      <c r="X380" t="b">
        <f>+ISNUMBER(SEARCH('F-COMPRA'!#REF!,Tabla11[[#This Row],[Cuenta]],1))</f>
        <v>0</v>
      </c>
      <c r="Y380" t="b">
        <f>+ISNUMBER(SEARCH('F-COMPRA'!#REF!,Tabla11[[#This Row],[Cuenta]],1))</f>
        <v>0</v>
      </c>
      <c r="Z380" t="b">
        <f>+ISNUMBER(SEARCH('F-COMPRA'!#REF!,Tabla11[[#This Row],[Cuenta]],1))</f>
        <v>0</v>
      </c>
      <c r="AA380" t="b">
        <f>+ISNUMBER(SEARCH('F-COMPRA'!#REF!,Tabla11[[#This Row],[Cuenta]],1))</f>
        <v>0</v>
      </c>
      <c r="AB380" t="b">
        <f>+ISNUMBER(SEARCH('F-COMPRA'!#REF!,Tabla11[[#This Row],[Cuenta]],1))</f>
        <v>0</v>
      </c>
      <c r="AC380" t="b">
        <f>+ISNUMBER(SEARCH('F-COMPRA'!#REF!,Tabla11[[#This Row],[Cuenta]],1))</f>
        <v>0</v>
      </c>
      <c r="AD380" t="b">
        <f>+ISNUMBER(SEARCH('F-COMPRA'!#REF!,Tabla11[[#This Row],[Cuenta]],1))</f>
        <v>0</v>
      </c>
      <c r="AE380" t="b">
        <f>+ISNUMBER(SEARCH('F-COMPRA'!#REF!,Tabla11[[#This Row],[Cuenta]],1))</f>
        <v>0</v>
      </c>
      <c r="AF380" t="b">
        <f>+ISNUMBER(SEARCH('F-VTA'!$G$23,Tabla11[[#This Row],[Cuenta]],1))</f>
        <v>0</v>
      </c>
      <c r="AG380" t="b">
        <f>+ISNUMBER(SEARCH('F-VTA'!$G$24,Tabla11[[#This Row],[Cuenta]],1))</f>
        <v>0</v>
      </c>
      <c r="AH380" t="b">
        <f>+ISNUMBER(SEARCH('F-VTA'!$G$25,Tabla11[[#This Row],[Cuenta]],1))</f>
        <v>0</v>
      </c>
      <c r="AI380" t="b">
        <f>+ISNUMBER(SEARCH('F-VTA'!$F$28,Tabla11[[#This Row],[Cuenta]],1))</f>
        <v>1</v>
      </c>
      <c r="AJ380" t="b">
        <f>+ISNUMBER(SEARCH('F-VTA'!$F$29,Tabla11[[#This Row],[Cuenta]],1))</f>
        <v>1</v>
      </c>
      <c r="AK380" t="b">
        <f>+ISNUMBER(SEARCH('F-VTA'!$F$30,Tabla11[[#This Row],[Cuenta]],1))</f>
        <v>1</v>
      </c>
      <c r="AL380" t="b">
        <f>+ISNUMBER(SEARCH('F-VTA'!$F$31,Tabla11[[#This Row],[Cuenta]],1))</f>
        <v>1</v>
      </c>
      <c r="AM380" t="b">
        <f>+ISNUMBER(SEARCH('F-VTA'!$F$32,Tabla11[[#This Row],[Cuenta]],1))</f>
        <v>1</v>
      </c>
      <c r="AN380" t="b">
        <f>+ISNUMBER(SEARCH('F-VTA'!$F$33,Tabla11[[#This Row],[Cuenta]],1))</f>
        <v>1</v>
      </c>
      <c r="AO380" t="b">
        <f>+ISNUMBER(SEARCH('F-VTA'!$F$34,Tabla11[[#This Row],[Cuenta]],1))</f>
        <v>1</v>
      </c>
      <c r="AP380" t="b">
        <f>+ISNUMBER(SEARCH('F-VTA'!$F$35,Tabla11[[#This Row],[Cuenta]],1))</f>
        <v>1</v>
      </c>
      <c r="AQ380" t="b">
        <f>+ISNUMBER(SEARCH('F-VTA'!$F$36,Tabla11[[#This Row],[Cuenta]],1))</f>
        <v>1</v>
      </c>
      <c r="AR380" t="b">
        <f>+ISNUMBER(SEARCH(#REF!,Tabla11[[#This Row],[Cuenta]],1))</f>
        <v>0</v>
      </c>
      <c r="AS380" t="b">
        <f>+ISNUMBER(SEARCH(#REF!,Tabla11[[#This Row],[Cuenta]],1))</f>
        <v>0</v>
      </c>
      <c r="AT380" t="b">
        <f>+ISNUMBER(SEARCH(#REF!,Tabla11[[#This Row],[Cuenta]],1))</f>
        <v>0</v>
      </c>
      <c r="AU380" t="b">
        <f>+ISNUMBER(SEARCH('Conc. Ban.1'!$I$9,Tabla11[[#This Row],[Cuenta]],1))</f>
        <v>0</v>
      </c>
      <c r="AV380" t="b">
        <f>+ISNUMBER(SEARCH(CompConta!$F$21,Tabla11[[#This Row],[Cuenta]],1))</f>
        <v>1</v>
      </c>
      <c r="AW380" t="b">
        <f>+ISNUMBER(SEARCH(CompConta!$F$22,Tabla11[[#This Row],[Cuenta]],1))</f>
        <v>1</v>
      </c>
      <c r="AX380" t="b">
        <f>+ISNUMBER(SEARCH(CompConta!$F$23,Tabla11[[#This Row],[Cuenta]],1))</f>
        <v>1</v>
      </c>
      <c r="AY380" t="b">
        <f>+ISNUMBER(SEARCH(CompConta!$F$24,Tabla11[[#This Row],[Cuenta]],1))</f>
        <v>1</v>
      </c>
      <c r="AZ380" t="b">
        <f>+ISNUMBER(SEARCH(CompConta!$F$25,Tabla11[[#This Row],[Cuenta]],1))</f>
        <v>1</v>
      </c>
      <c r="BA380" t="b">
        <f>+ISNUMBER(SEARCH(CompConta!$F$26,Tabla11[[#This Row],[Cuenta]],1))</f>
        <v>1</v>
      </c>
      <c r="BB380" t="b">
        <f>+ISNUMBER(SEARCH(CompConta!$F$27,Tabla11[[#This Row],[Cuenta]],1))</f>
        <v>1</v>
      </c>
      <c r="BC380" t="b">
        <f>+ISNUMBER(SEARCH(CompConta!$F$28,Tabla11[[#This Row],[Cuenta]],1))</f>
        <v>1</v>
      </c>
      <c r="BD380" t="b">
        <f>+ISNUMBER(SEARCH(CompConta!$F$29,Tabla11[[#This Row],[Cuenta]],1))</f>
        <v>1</v>
      </c>
      <c r="BE380" t="b">
        <f>+ISNUMBER(SEARCH(CompConta!$F$30,Tabla11[[#This Row],[Cuenta]],1))</f>
        <v>1</v>
      </c>
      <c r="BF380" t="b">
        <f>+ISNUMBER(SEARCH('PAGO Compras'!$E$11,Tabla11[[#This Row],[Cuenta]],1))</f>
        <v>1</v>
      </c>
      <c r="BG380" t="b">
        <f>+ISNUMBER(SEARCH(#REF!,Tabla11[[#This Row],[Cuenta]],1))</f>
        <v>0</v>
      </c>
      <c r="BH380" t="b">
        <f>+ISNUMBER(SEARCH(#REF!,Tabla11[[#This Row],[Cuenta]],1))</f>
        <v>0</v>
      </c>
      <c r="BI380" t="b">
        <f>+ISNUMBER(SEARCH(#REF!,Tabla11[[#This Row],[Cuenta]],1))</f>
        <v>0</v>
      </c>
      <c r="BJ380" t="b">
        <f>+ISNUMBER(SEARCH(#REF!,Tabla11[[#This Row],[Cuenta]],1))</f>
        <v>0</v>
      </c>
      <c r="BS380" t="str">
        <v>211515 Cartas de crédito</v>
      </c>
      <c r="BT380" t="str">
        <v>211515 Cartas de crédito</v>
      </c>
      <c r="BU380" t="str">
        <v>211515 Cartas de crédito</v>
      </c>
      <c r="BV380" t="str">
        <v>211515 Cartas de crédito</v>
      </c>
      <c r="BZ380" t="str">
        <v>211515 Cartas de crédito</v>
      </c>
      <c r="CA380" t="str">
        <v>211515 Cartas de crédito</v>
      </c>
      <c r="CB380" t="str">
        <v>211515 Cartas de crédito</v>
      </c>
      <c r="CC380" t="str">
        <v>211515 Cartas de crédito</v>
      </c>
      <c r="CD380" t="str">
        <v>211515 Cartas de crédito</v>
      </c>
      <c r="CE380" t="str">
        <v>211515 Cartas de crédito</v>
      </c>
      <c r="CS380" s="141" t="str">
        <v>211515 Cartas de crédito</v>
      </c>
      <c r="CT380" s="141" t="str">
        <v>211515 Cartas de crédito</v>
      </c>
      <c r="CU380" s="141" t="str">
        <v>211515 Cartas de crédito</v>
      </c>
      <c r="CV380" s="141" t="str">
        <v>211515 Cartas de crédito</v>
      </c>
      <c r="CW380" s="141" t="str">
        <v>211515 Cartas de crédito</v>
      </c>
      <c r="CX380" s="141" t="str">
        <v>211515 Cartas de crédito</v>
      </c>
      <c r="CY380" s="141" t="str">
        <v>211515 Cartas de crédito</v>
      </c>
      <c r="CZ380" s="141" t="str">
        <v>211515 Cartas de crédito</v>
      </c>
      <c r="DA380" s="141" t="str">
        <v>211515 Cartas de crédito</v>
      </c>
      <c r="DF380" t="str">
        <v>211515 Cartas de crédito</v>
      </c>
      <c r="DG380" t="str">
        <v>211515 Cartas de crédito</v>
      </c>
      <c r="DH380" t="str">
        <v>211515 Cartas de crédito</v>
      </c>
      <c r="DI380" t="str">
        <v>211515 Cartas de crédito</v>
      </c>
      <c r="DJ380" t="str">
        <v>211515 Cartas de crédito</v>
      </c>
      <c r="DK380" t="str">
        <v>211515 Cartas de crédito</v>
      </c>
      <c r="DL380" t="str">
        <v>211515 Cartas de crédito</v>
      </c>
      <c r="DM380" t="str">
        <v>211515 Cartas de crédito</v>
      </c>
      <c r="DN380" t="str">
        <v>211515 Cartas de crédito</v>
      </c>
      <c r="DO380" t="str">
        <v>211515 Cartas de crédito</v>
      </c>
      <c r="DP380" t="str">
        <v>211515 Cartas de crédito</v>
      </c>
    </row>
    <row r="381" spans="4:120" ht="12.75">
      <c r="D381" s="7">
        <v>211520</v>
      </c>
      <c r="E381" s="6" t="s">
        <v>303</v>
      </c>
      <c r="F381" s="5">
        <v>4</v>
      </c>
      <c r="G381" s="34" t="s">
        <v>823</v>
      </c>
      <c r="H381" s="26" t="s">
        <v>765</v>
      </c>
      <c r="I381" t="b">
        <f>+ISNUMBER(SEARCH('F-COMPRA'!$F$28,Tabla11[[#This Row],[Cuenta]],1))</f>
        <v>1</v>
      </c>
      <c r="J381" t="b">
        <f>+ISNUMBER(SEARCH('F-COMPRA'!$F$29,Tabla11[[#This Row],[Cuenta]],1))</f>
        <v>1</v>
      </c>
      <c r="K381" t="b">
        <f>+ISNUMBER(SEARCH('F-COMPRA'!$F$30,Tabla11[[#This Row],[Cuenta]],1))</f>
        <v>1</v>
      </c>
      <c r="L381" t="b">
        <f>+ISNUMBER(SEARCH('F-COMPRA'!$F$31,Tabla11[[#This Row],[Cuenta]],1))</f>
        <v>1</v>
      </c>
      <c r="M381" t="b">
        <f>+ISNUMBER(SEARCH('F-COMPRA'!$G$25,Tabla11[[#This Row],[Cuenta]],1))</f>
        <v>0</v>
      </c>
      <c r="N381" t="b">
        <f>+ISNUMBER(SEARCH(#REF!,Tabla11[[#This Row],[Cuenta]],1))</f>
        <v>0</v>
      </c>
      <c r="O381" t="b">
        <f>+ISNUMBER(SEARCH(#REF!,Tabla11[[#This Row],[Cuenta]],1))</f>
        <v>0</v>
      </c>
      <c r="P381" t="b">
        <f>+ISNUMBER(SEARCH('F-COMPRA'!$F$32,Tabla11[[#This Row],[Cuenta]],1))</f>
        <v>1</v>
      </c>
      <c r="Q381" t="b">
        <f>+ISNUMBER(SEARCH('F-COMPRA'!$F$33,Tabla11[[#This Row],[Cuenta]],1))</f>
        <v>1</v>
      </c>
      <c r="R381" t="b">
        <f>+ISNUMBER(SEARCH('F-COMPRA'!$F$34,Tabla11[[#This Row],[Cuenta]],1))</f>
        <v>1</v>
      </c>
      <c r="S381" t="b">
        <f>+ISNUMBER(SEARCH('F-COMPRA'!$F$35,Tabla11[[#This Row],[Cuenta]],1))</f>
        <v>1</v>
      </c>
      <c r="T381" t="b">
        <f>+ISNUMBER(SEARCH('F-COMPRA'!$F$36,Tabla11[[#This Row],[Cuenta]],1))</f>
        <v>1</v>
      </c>
      <c r="U381" t="b">
        <f>+ISNUMBER(SEARCH('F-COMPRA'!$F$37,Tabla11[[#This Row],[Cuenta]],1))</f>
        <v>1</v>
      </c>
      <c r="V381" t="b">
        <f>+ISNUMBER(SEARCH(#REF!,Tabla11[[#This Row],[Cuenta]],1))</f>
        <v>0</v>
      </c>
      <c r="W381" t="b">
        <f>+ISNUMBER(SEARCH('F-COMPRA'!#REF!,Tabla11[[#This Row],[Cuenta]],1))</f>
        <v>0</v>
      </c>
      <c r="X381" t="b">
        <f>+ISNUMBER(SEARCH('F-COMPRA'!#REF!,Tabla11[[#This Row],[Cuenta]],1))</f>
        <v>0</v>
      </c>
      <c r="Y381" t="b">
        <f>+ISNUMBER(SEARCH('F-COMPRA'!#REF!,Tabla11[[#This Row],[Cuenta]],1))</f>
        <v>0</v>
      </c>
      <c r="Z381" t="b">
        <f>+ISNUMBER(SEARCH('F-COMPRA'!#REF!,Tabla11[[#This Row],[Cuenta]],1))</f>
        <v>0</v>
      </c>
      <c r="AA381" t="b">
        <f>+ISNUMBER(SEARCH('F-COMPRA'!#REF!,Tabla11[[#This Row],[Cuenta]],1))</f>
        <v>0</v>
      </c>
      <c r="AB381" t="b">
        <f>+ISNUMBER(SEARCH('F-COMPRA'!#REF!,Tabla11[[#This Row],[Cuenta]],1))</f>
        <v>0</v>
      </c>
      <c r="AC381" t="b">
        <f>+ISNUMBER(SEARCH('F-COMPRA'!#REF!,Tabla11[[#This Row],[Cuenta]],1))</f>
        <v>0</v>
      </c>
      <c r="AD381" t="b">
        <f>+ISNUMBER(SEARCH('F-COMPRA'!#REF!,Tabla11[[#This Row],[Cuenta]],1))</f>
        <v>0</v>
      </c>
      <c r="AE381" t="b">
        <f>+ISNUMBER(SEARCH('F-COMPRA'!#REF!,Tabla11[[#This Row],[Cuenta]],1))</f>
        <v>0</v>
      </c>
      <c r="AF381" t="b">
        <f>+ISNUMBER(SEARCH('F-VTA'!$G$23,Tabla11[[#This Row],[Cuenta]],1))</f>
        <v>0</v>
      </c>
      <c r="AG381" t="b">
        <f>+ISNUMBER(SEARCH('F-VTA'!$G$24,Tabla11[[#This Row],[Cuenta]],1))</f>
        <v>0</v>
      </c>
      <c r="AH381" t="b">
        <f>+ISNUMBER(SEARCH('F-VTA'!$G$25,Tabla11[[#This Row],[Cuenta]],1))</f>
        <v>0</v>
      </c>
      <c r="AI381" t="b">
        <f>+ISNUMBER(SEARCH('F-VTA'!$F$28,Tabla11[[#This Row],[Cuenta]],1))</f>
        <v>1</v>
      </c>
      <c r="AJ381" t="b">
        <f>+ISNUMBER(SEARCH('F-VTA'!$F$29,Tabla11[[#This Row],[Cuenta]],1))</f>
        <v>1</v>
      </c>
      <c r="AK381" t="b">
        <f>+ISNUMBER(SEARCH('F-VTA'!$F$30,Tabla11[[#This Row],[Cuenta]],1))</f>
        <v>1</v>
      </c>
      <c r="AL381" t="b">
        <f>+ISNUMBER(SEARCH('F-VTA'!$F$31,Tabla11[[#This Row],[Cuenta]],1))</f>
        <v>1</v>
      </c>
      <c r="AM381" t="b">
        <f>+ISNUMBER(SEARCH('F-VTA'!$F$32,Tabla11[[#This Row],[Cuenta]],1))</f>
        <v>1</v>
      </c>
      <c r="AN381" t="b">
        <f>+ISNUMBER(SEARCH('F-VTA'!$F$33,Tabla11[[#This Row],[Cuenta]],1))</f>
        <v>1</v>
      </c>
      <c r="AO381" t="b">
        <f>+ISNUMBER(SEARCH('F-VTA'!$F$34,Tabla11[[#This Row],[Cuenta]],1))</f>
        <v>1</v>
      </c>
      <c r="AP381" t="b">
        <f>+ISNUMBER(SEARCH('F-VTA'!$F$35,Tabla11[[#This Row],[Cuenta]],1))</f>
        <v>1</v>
      </c>
      <c r="AQ381" t="b">
        <f>+ISNUMBER(SEARCH('F-VTA'!$F$36,Tabla11[[#This Row],[Cuenta]],1))</f>
        <v>1</v>
      </c>
      <c r="AR381" t="b">
        <f>+ISNUMBER(SEARCH(#REF!,Tabla11[[#This Row],[Cuenta]],1))</f>
        <v>0</v>
      </c>
      <c r="AS381" t="b">
        <f>+ISNUMBER(SEARCH(#REF!,Tabla11[[#This Row],[Cuenta]],1))</f>
        <v>0</v>
      </c>
      <c r="AT381" t="b">
        <f>+ISNUMBER(SEARCH(#REF!,Tabla11[[#This Row],[Cuenta]],1))</f>
        <v>0</v>
      </c>
      <c r="AU381" t="b">
        <f>+ISNUMBER(SEARCH('Conc. Ban.1'!$I$9,Tabla11[[#This Row],[Cuenta]],1))</f>
        <v>0</v>
      </c>
      <c r="AV381" t="b">
        <f>+ISNUMBER(SEARCH(CompConta!$F$21,Tabla11[[#This Row],[Cuenta]],1))</f>
        <v>1</v>
      </c>
      <c r="AW381" t="b">
        <f>+ISNUMBER(SEARCH(CompConta!$F$22,Tabla11[[#This Row],[Cuenta]],1))</f>
        <v>1</v>
      </c>
      <c r="AX381" t="b">
        <f>+ISNUMBER(SEARCH(CompConta!$F$23,Tabla11[[#This Row],[Cuenta]],1))</f>
        <v>1</v>
      </c>
      <c r="AY381" t="b">
        <f>+ISNUMBER(SEARCH(CompConta!$F$24,Tabla11[[#This Row],[Cuenta]],1))</f>
        <v>1</v>
      </c>
      <c r="AZ381" t="b">
        <f>+ISNUMBER(SEARCH(CompConta!$F$25,Tabla11[[#This Row],[Cuenta]],1))</f>
        <v>1</v>
      </c>
      <c r="BA381" t="b">
        <f>+ISNUMBER(SEARCH(CompConta!$F$26,Tabla11[[#This Row],[Cuenta]],1))</f>
        <v>1</v>
      </c>
      <c r="BB381" t="b">
        <f>+ISNUMBER(SEARCH(CompConta!$F$27,Tabla11[[#This Row],[Cuenta]],1))</f>
        <v>1</v>
      </c>
      <c r="BC381" t="b">
        <f>+ISNUMBER(SEARCH(CompConta!$F$28,Tabla11[[#This Row],[Cuenta]],1))</f>
        <v>1</v>
      </c>
      <c r="BD381" t="b">
        <f>+ISNUMBER(SEARCH(CompConta!$F$29,Tabla11[[#This Row],[Cuenta]],1))</f>
        <v>1</v>
      </c>
      <c r="BE381" t="b">
        <f>+ISNUMBER(SEARCH(CompConta!$F$30,Tabla11[[#This Row],[Cuenta]],1))</f>
        <v>1</v>
      </c>
      <c r="BF381" t="b">
        <f>+ISNUMBER(SEARCH('PAGO Compras'!$E$11,Tabla11[[#This Row],[Cuenta]],1))</f>
        <v>1</v>
      </c>
      <c r="BG381" t="b">
        <f>+ISNUMBER(SEARCH(#REF!,Tabla11[[#This Row],[Cuenta]],1))</f>
        <v>0</v>
      </c>
      <c r="BH381" t="b">
        <f>+ISNUMBER(SEARCH(#REF!,Tabla11[[#This Row],[Cuenta]],1))</f>
        <v>0</v>
      </c>
      <c r="BI381" t="b">
        <f>+ISNUMBER(SEARCH(#REF!,Tabla11[[#This Row],[Cuenta]],1))</f>
        <v>0</v>
      </c>
      <c r="BJ381" t="b">
        <f>+ISNUMBER(SEARCH(#REF!,Tabla11[[#This Row],[Cuenta]],1))</f>
        <v>0</v>
      </c>
      <c r="BS381" t="str">
        <v>211520 Contratos de arrendam/to financiero (leasing)</v>
      </c>
      <c r="BT381" t="str">
        <v>211520 Contratos de arrendam/to financiero (leasing)</v>
      </c>
      <c r="BU381" t="str">
        <v>211520 Contratos de arrendam/to financiero (leasing)</v>
      </c>
      <c r="BV381" t="str">
        <v>211520 Contratos de arrendam/to financiero (leasing)</v>
      </c>
      <c r="BZ381" t="str">
        <v>211520 Contratos de arrendam/to financiero (leasing)</v>
      </c>
      <c r="CA381" t="str">
        <v>211520 Contratos de arrendam/to financiero (leasing)</v>
      </c>
      <c r="CB381" t="str">
        <v>211520 Contratos de arrendam/to financiero (leasing)</v>
      </c>
      <c r="CC381" t="str">
        <v>211520 Contratos de arrendam/to financiero (leasing)</v>
      </c>
      <c r="CD381" t="str">
        <v>211520 Contratos de arrendam/to financiero (leasing)</v>
      </c>
      <c r="CE381" t="str">
        <v>211520 Contratos de arrendam/to financiero (leasing)</v>
      </c>
      <c r="CS381" s="141" t="str">
        <v>211520 Contratos de arrendam/to financiero (leasing)</v>
      </c>
      <c r="CT381" s="141" t="str">
        <v>211520 Contratos de arrendam/to financiero (leasing)</v>
      </c>
      <c r="CU381" s="141" t="str">
        <v>211520 Contratos de arrendam/to financiero (leasing)</v>
      </c>
      <c r="CV381" s="141" t="str">
        <v>211520 Contratos de arrendam/to financiero (leasing)</v>
      </c>
      <c r="CW381" s="141" t="str">
        <v>211520 Contratos de arrendam/to financiero (leasing)</v>
      </c>
      <c r="CX381" s="141" t="str">
        <v>211520 Contratos de arrendam/to financiero (leasing)</v>
      </c>
      <c r="CY381" s="141" t="str">
        <v>211520 Contratos de arrendam/to financiero (leasing)</v>
      </c>
      <c r="CZ381" s="141" t="str">
        <v>211520 Contratos de arrendam/to financiero (leasing)</v>
      </c>
      <c r="DA381" s="141" t="str">
        <v>211520 Contratos de arrendam/to financiero (leasing)</v>
      </c>
      <c r="DF381" t="str">
        <v>211520 Contratos de arrendam/to financiero (leasing)</v>
      </c>
      <c r="DG381" t="str">
        <v>211520 Contratos de arrendam/to financiero (leasing)</v>
      </c>
      <c r="DH381" t="str">
        <v>211520 Contratos de arrendam/to financiero (leasing)</v>
      </c>
      <c r="DI381" t="str">
        <v>211520 Contratos de arrendam/to financiero (leasing)</v>
      </c>
      <c r="DJ381" t="str">
        <v>211520 Contratos de arrendam/to financiero (leasing)</v>
      </c>
      <c r="DK381" t="str">
        <v>211520 Contratos de arrendam/to financiero (leasing)</v>
      </c>
      <c r="DL381" t="str">
        <v>211520 Contratos de arrendam/to financiero (leasing)</v>
      </c>
      <c r="DM381" t="str">
        <v>211520 Contratos de arrendam/to financiero (leasing)</v>
      </c>
      <c r="DN381" t="str">
        <v>211520 Contratos de arrendam/to financiero (leasing)</v>
      </c>
      <c r="DO381" t="str">
        <v>211520 Contratos de arrendam/to financiero (leasing)</v>
      </c>
      <c r="DP381" t="str">
        <v>211520 Contratos de arrendam/to financiero (leasing)</v>
      </c>
    </row>
    <row r="382" spans="4:120" ht="12.75">
      <c r="D382" s="7">
        <v>2120</v>
      </c>
      <c r="E382" s="6" t="s">
        <v>304</v>
      </c>
      <c r="F382" s="5">
        <v>3</v>
      </c>
      <c r="G382" s="34" t="s">
        <v>823</v>
      </c>
      <c r="H382" s="26" t="s">
        <v>765</v>
      </c>
      <c r="I382" t="b">
        <f>+ISNUMBER(SEARCH('F-COMPRA'!$F$28,Tabla11[[#This Row],[Cuenta]],1))</f>
        <v>1</v>
      </c>
      <c r="J382" t="b">
        <f>+ISNUMBER(SEARCH('F-COMPRA'!$F$29,Tabla11[[#This Row],[Cuenta]],1))</f>
        <v>1</v>
      </c>
      <c r="K382" t="b">
        <f>+ISNUMBER(SEARCH('F-COMPRA'!$F$30,Tabla11[[#This Row],[Cuenta]],1))</f>
        <v>1</v>
      </c>
      <c r="L382" t="b">
        <f>+ISNUMBER(SEARCH('F-COMPRA'!$F$31,Tabla11[[#This Row],[Cuenta]],1))</f>
        <v>1</v>
      </c>
      <c r="M382" t="b">
        <f>+ISNUMBER(SEARCH('F-COMPRA'!$G$25,Tabla11[[#This Row],[Cuenta]],1))</f>
        <v>0</v>
      </c>
      <c r="N382" t="b">
        <f>+ISNUMBER(SEARCH(#REF!,Tabla11[[#This Row],[Cuenta]],1))</f>
        <v>0</v>
      </c>
      <c r="O382" t="b">
        <f>+ISNUMBER(SEARCH(#REF!,Tabla11[[#This Row],[Cuenta]],1))</f>
        <v>0</v>
      </c>
      <c r="P382" t="b">
        <f>+ISNUMBER(SEARCH('F-COMPRA'!$F$32,Tabla11[[#This Row],[Cuenta]],1))</f>
        <v>1</v>
      </c>
      <c r="Q382" t="b">
        <f>+ISNUMBER(SEARCH('F-COMPRA'!$F$33,Tabla11[[#This Row],[Cuenta]],1))</f>
        <v>1</v>
      </c>
      <c r="R382" t="b">
        <f>+ISNUMBER(SEARCH('F-COMPRA'!$F$34,Tabla11[[#This Row],[Cuenta]],1))</f>
        <v>1</v>
      </c>
      <c r="S382" t="b">
        <f>+ISNUMBER(SEARCH('F-COMPRA'!$F$35,Tabla11[[#This Row],[Cuenta]],1))</f>
        <v>1</v>
      </c>
      <c r="T382" t="b">
        <f>+ISNUMBER(SEARCH('F-COMPRA'!$F$36,Tabla11[[#This Row],[Cuenta]],1))</f>
        <v>1</v>
      </c>
      <c r="U382" t="b">
        <f>+ISNUMBER(SEARCH('F-COMPRA'!$F$37,Tabla11[[#This Row],[Cuenta]],1))</f>
        <v>1</v>
      </c>
      <c r="V382" t="b">
        <f>+ISNUMBER(SEARCH(#REF!,Tabla11[[#This Row],[Cuenta]],1))</f>
        <v>0</v>
      </c>
      <c r="W382" t="b">
        <f>+ISNUMBER(SEARCH('F-COMPRA'!#REF!,Tabla11[[#This Row],[Cuenta]],1))</f>
        <v>0</v>
      </c>
      <c r="X382" t="b">
        <f>+ISNUMBER(SEARCH('F-COMPRA'!#REF!,Tabla11[[#This Row],[Cuenta]],1))</f>
        <v>0</v>
      </c>
      <c r="Y382" t="b">
        <f>+ISNUMBER(SEARCH('F-COMPRA'!#REF!,Tabla11[[#This Row],[Cuenta]],1))</f>
        <v>0</v>
      </c>
      <c r="Z382" t="b">
        <f>+ISNUMBER(SEARCH('F-COMPRA'!#REF!,Tabla11[[#This Row],[Cuenta]],1))</f>
        <v>0</v>
      </c>
      <c r="AA382" t="b">
        <f>+ISNUMBER(SEARCH('F-COMPRA'!#REF!,Tabla11[[#This Row],[Cuenta]],1))</f>
        <v>0</v>
      </c>
      <c r="AB382" t="b">
        <f>+ISNUMBER(SEARCH('F-COMPRA'!#REF!,Tabla11[[#This Row],[Cuenta]],1))</f>
        <v>0</v>
      </c>
      <c r="AC382" t="b">
        <f>+ISNUMBER(SEARCH('F-COMPRA'!#REF!,Tabla11[[#This Row],[Cuenta]],1))</f>
        <v>0</v>
      </c>
      <c r="AD382" t="b">
        <f>+ISNUMBER(SEARCH('F-COMPRA'!#REF!,Tabla11[[#This Row],[Cuenta]],1))</f>
        <v>0</v>
      </c>
      <c r="AE382" t="b">
        <f>+ISNUMBER(SEARCH('F-COMPRA'!#REF!,Tabla11[[#This Row],[Cuenta]],1))</f>
        <v>0</v>
      </c>
      <c r="AF382" t="b">
        <f>+ISNUMBER(SEARCH('F-VTA'!$G$23,Tabla11[[#This Row],[Cuenta]],1))</f>
        <v>0</v>
      </c>
      <c r="AG382" t="b">
        <f>+ISNUMBER(SEARCH('F-VTA'!$G$24,Tabla11[[#This Row],[Cuenta]],1))</f>
        <v>0</v>
      </c>
      <c r="AH382" t="b">
        <f>+ISNUMBER(SEARCH('F-VTA'!$G$25,Tabla11[[#This Row],[Cuenta]],1))</f>
        <v>0</v>
      </c>
      <c r="AI382" t="b">
        <f>+ISNUMBER(SEARCH('F-VTA'!$F$28,Tabla11[[#This Row],[Cuenta]],1))</f>
        <v>1</v>
      </c>
      <c r="AJ382" t="b">
        <f>+ISNUMBER(SEARCH('F-VTA'!$F$29,Tabla11[[#This Row],[Cuenta]],1))</f>
        <v>1</v>
      </c>
      <c r="AK382" t="b">
        <f>+ISNUMBER(SEARCH('F-VTA'!$F$30,Tabla11[[#This Row],[Cuenta]],1))</f>
        <v>1</v>
      </c>
      <c r="AL382" t="b">
        <f>+ISNUMBER(SEARCH('F-VTA'!$F$31,Tabla11[[#This Row],[Cuenta]],1))</f>
        <v>1</v>
      </c>
      <c r="AM382" t="b">
        <f>+ISNUMBER(SEARCH('F-VTA'!$F$32,Tabla11[[#This Row],[Cuenta]],1))</f>
        <v>1</v>
      </c>
      <c r="AN382" t="b">
        <f>+ISNUMBER(SEARCH('F-VTA'!$F$33,Tabla11[[#This Row],[Cuenta]],1))</f>
        <v>1</v>
      </c>
      <c r="AO382" t="b">
        <f>+ISNUMBER(SEARCH('F-VTA'!$F$34,Tabla11[[#This Row],[Cuenta]],1))</f>
        <v>1</v>
      </c>
      <c r="AP382" t="b">
        <f>+ISNUMBER(SEARCH('F-VTA'!$F$35,Tabla11[[#This Row],[Cuenta]],1))</f>
        <v>1</v>
      </c>
      <c r="AQ382" t="b">
        <f>+ISNUMBER(SEARCH('F-VTA'!$F$36,Tabla11[[#This Row],[Cuenta]],1))</f>
        <v>1</v>
      </c>
      <c r="AR382" t="b">
        <f>+ISNUMBER(SEARCH(#REF!,Tabla11[[#This Row],[Cuenta]],1))</f>
        <v>0</v>
      </c>
      <c r="AS382" t="b">
        <f>+ISNUMBER(SEARCH(#REF!,Tabla11[[#This Row],[Cuenta]],1))</f>
        <v>0</v>
      </c>
      <c r="AT382" t="b">
        <f>+ISNUMBER(SEARCH(#REF!,Tabla11[[#This Row],[Cuenta]],1))</f>
        <v>0</v>
      </c>
      <c r="AU382" t="b">
        <f>+ISNUMBER(SEARCH('Conc. Ban.1'!$I$9,Tabla11[[#This Row],[Cuenta]],1))</f>
        <v>0</v>
      </c>
      <c r="AV382" t="b">
        <f>+ISNUMBER(SEARCH(CompConta!$F$21,Tabla11[[#This Row],[Cuenta]],1))</f>
        <v>1</v>
      </c>
      <c r="AW382" t="b">
        <f>+ISNUMBER(SEARCH(CompConta!$F$22,Tabla11[[#This Row],[Cuenta]],1))</f>
        <v>1</v>
      </c>
      <c r="AX382" t="b">
        <f>+ISNUMBER(SEARCH(CompConta!$F$23,Tabla11[[#This Row],[Cuenta]],1))</f>
        <v>1</v>
      </c>
      <c r="AY382" t="b">
        <f>+ISNUMBER(SEARCH(CompConta!$F$24,Tabla11[[#This Row],[Cuenta]],1))</f>
        <v>1</v>
      </c>
      <c r="AZ382" t="b">
        <f>+ISNUMBER(SEARCH(CompConta!$F$25,Tabla11[[#This Row],[Cuenta]],1))</f>
        <v>1</v>
      </c>
      <c r="BA382" t="b">
        <f>+ISNUMBER(SEARCH(CompConta!$F$26,Tabla11[[#This Row],[Cuenta]],1))</f>
        <v>1</v>
      </c>
      <c r="BB382" t="b">
        <f>+ISNUMBER(SEARCH(CompConta!$F$27,Tabla11[[#This Row],[Cuenta]],1))</f>
        <v>1</v>
      </c>
      <c r="BC382" t="b">
        <f>+ISNUMBER(SEARCH(CompConta!$F$28,Tabla11[[#This Row],[Cuenta]],1))</f>
        <v>1</v>
      </c>
      <c r="BD382" t="b">
        <f>+ISNUMBER(SEARCH(CompConta!$F$29,Tabla11[[#This Row],[Cuenta]],1))</f>
        <v>1</v>
      </c>
      <c r="BE382" t="b">
        <f>+ISNUMBER(SEARCH(CompConta!$F$30,Tabla11[[#This Row],[Cuenta]],1))</f>
        <v>1</v>
      </c>
      <c r="BF382" t="b">
        <f>+ISNUMBER(SEARCH('PAGO Compras'!$E$11,Tabla11[[#This Row],[Cuenta]],1))</f>
        <v>1</v>
      </c>
      <c r="BG382" t="b">
        <f>+ISNUMBER(SEARCH(#REF!,Tabla11[[#This Row],[Cuenta]],1))</f>
        <v>0</v>
      </c>
      <c r="BH382" t="b">
        <f>+ISNUMBER(SEARCH(#REF!,Tabla11[[#This Row],[Cuenta]],1))</f>
        <v>0</v>
      </c>
      <c r="BI382" t="b">
        <f>+ISNUMBER(SEARCH(#REF!,Tabla11[[#This Row],[Cuenta]],1))</f>
        <v>0</v>
      </c>
      <c r="BJ382" t="b">
        <f>+ISNUMBER(SEARCH(#REF!,Tabla11[[#This Row],[Cuenta]],1))</f>
        <v>0</v>
      </c>
      <c r="BS382" t="str">
        <v>2120 COMPAÑÍAS DE FINANCIAMIENTO COMERCIAL</v>
      </c>
      <c r="BT382" t="str">
        <v>2120 COMPAÑÍAS DE FINANCIAMIENTO COMERCIAL</v>
      </c>
      <c r="BU382" t="str">
        <v>2120 COMPAÑÍAS DE FINANCIAMIENTO COMERCIAL</v>
      </c>
      <c r="BV382" t="str">
        <v>2120 COMPAÑÍAS DE FINANCIAMIENTO COMERCIAL</v>
      </c>
      <c r="BZ382" t="str">
        <v>2120 COMPAÑÍAS DE FINANCIAMIENTO COMERCIAL</v>
      </c>
      <c r="CA382" t="str">
        <v>2120 COMPAÑÍAS DE FINANCIAMIENTO COMERCIAL</v>
      </c>
      <c r="CB382" t="str">
        <v>2120 COMPAÑÍAS DE FINANCIAMIENTO COMERCIAL</v>
      </c>
      <c r="CC382" t="str">
        <v>2120 COMPAÑÍAS DE FINANCIAMIENTO COMERCIAL</v>
      </c>
      <c r="CD382" t="str">
        <v>2120 COMPAÑÍAS DE FINANCIAMIENTO COMERCIAL</v>
      </c>
      <c r="CE382" t="str">
        <v>2120 COMPAÑÍAS DE FINANCIAMIENTO COMERCIAL</v>
      </c>
      <c r="CS382" s="141" t="str">
        <v>2120 COMPAÑÍAS DE FINANCIAMIENTO COMERCIAL</v>
      </c>
      <c r="CT382" s="141" t="str">
        <v>2120 COMPAÑÍAS DE FINANCIAMIENTO COMERCIAL</v>
      </c>
      <c r="CU382" s="141" t="str">
        <v>2120 COMPAÑÍAS DE FINANCIAMIENTO COMERCIAL</v>
      </c>
      <c r="CV382" s="141" t="str">
        <v>2120 COMPAÑÍAS DE FINANCIAMIENTO COMERCIAL</v>
      </c>
      <c r="CW382" s="141" t="str">
        <v>2120 COMPAÑÍAS DE FINANCIAMIENTO COMERCIAL</v>
      </c>
      <c r="CX382" s="141" t="str">
        <v>2120 COMPAÑÍAS DE FINANCIAMIENTO COMERCIAL</v>
      </c>
      <c r="CY382" s="141" t="str">
        <v>2120 COMPAÑÍAS DE FINANCIAMIENTO COMERCIAL</v>
      </c>
      <c r="CZ382" s="141" t="str">
        <v>2120 COMPAÑÍAS DE FINANCIAMIENTO COMERCIAL</v>
      </c>
      <c r="DA382" s="141" t="str">
        <v>2120 COMPAÑÍAS DE FINANCIAMIENTO COMERCIAL</v>
      </c>
      <c r="DF382" t="str">
        <v>2120 COMPAÑÍAS DE FINANCIAMIENTO COMERCIAL</v>
      </c>
      <c r="DG382" t="str">
        <v>2120 COMPAÑÍAS DE FINANCIAMIENTO COMERCIAL</v>
      </c>
      <c r="DH382" t="str">
        <v>2120 COMPAÑÍAS DE FINANCIAMIENTO COMERCIAL</v>
      </c>
      <c r="DI382" t="str">
        <v>2120 COMPAÑÍAS DE FINANCIAMIENTO COMERCIAL</v>
      </c>
      <c r="DJ382" t="str">
        <v>2120 COMPAÑÍAS DE FINANCIAMIENTO COMERCIAL</v>
      </c>
      <c r="DK382" t="str">
        <v>2120 COMPAÑÍAS DE FINANCIAMIENTO COMERCIAL</v>
      </c>
      <c r="DL382" t="str">
        <v>2120 COMPAÑÍAS DE FINANCIAMIENTO COMERCIAL</v>
      </c>
      <c r="DM382" t="str">
        <v>2120 COMPAÑÍAS DE FINANCIAMIENTO COMERCIAL</v>
      </c>
      <c r="DN382" t="str">
        <v>2120 COMPAÑÍAS DE FINANCIAMIENTO COMERCIAL</v>
      </c>
      <c r="DO382" t="str">
        <v>2120 COMPAÑÍAS DE FINANCIAMIENTO COMERCIAL</v>
      </c>
      <c r="DP382" t="str">
        <v>2120 COMPAÑÍAS DE FINANCIAMIENTO COMERCIAL</v>
      </c>
    </row>
    <row r="383" spans="4:120" ht="12.75">
      <c r="D383" s="7">
        <v>212005</v>
      </c>
      <c r="E383" s="6" t="s">
        <v>297</v>
      </c>
      <c r="F383" s="5">
        <v>4</v>
      </c>
      <c r="G383" s="34" t="s">
        <v>823</v>
      </c>
      <c r="H383" s="26" t="s">
        <v>765</v>
      </c>
      <c r="I383" t="b">
        <f>+ISNUMBER(SEARCH('F-COMPRA'!$F$28,Tabla11[[#This Row],[Cuenta]],1))</f>
        <v>1</v>
      </c>
      <c r="J383" t="b">
        <f>+ISNUMBER(SEARCH('F-COMPRA'!$F$29,Tabla11[[#This Row],[Cuenta]],1))</f>
        <v>1</v>
      </c>
      <c r="K383" t="b">
        <f>+ISNUMBER(SEARCH('F-COMPRA'!$F$30,Tabla11[[#This Row],[Cuenta]],1))</f>
        <v>1</v>
      </c>
      <c r="L383" t="b">
        <f>+ISNUMBER(SEARCH('F-COMPRA'!$F$31,Tabla11[[#This Row],[Cuenta]],1))</f>
        <v>1</v>
      </c>
      <c r="M383" t="b">
        <f>+ISNUMBER(SEARCH('F-COMPRA'!$G$25,Tabla11[[#This Row],[Cuenta]],1))</f>
        <v>0</v>
      </c>
      <c r="N383" t="b">
        <f>+ISNUMBER(SEARCH(#REF!,Tabla11[[#This Row],[Cuenta]],1))</f>
        <v>0</v>
      </c>
      <c r="O383" t="b">
        <f>+ISNUMBER(SEARCH(#REF!,Tabla11[[#This Row],[Cuenta]],1))</f>
        <v>0</v>
      </c>
      <c r="P383" t="b">
        <f>+ISNUMBER(SEARCH('F-COMPRA'!$F$32,Tabla11[[#This Row],[Cuenta]],1))</f>
        <v>1</v>
      </c>
      <c r="Q383" t="b">
        <f>+ISNUMBER(SEARCH('F-COMPRA'!$F$33,Tabla11[[#This Row],[Cuenta]],1))</f>
        <v>1</v>
      </c>
      <c r="R383" t="b">
        <f>+ISNUMBER(SEARCH('F-COMPRA'!$F$34,Tabla11[[#This Row],[Cuenta]],1))</f>
        <v>1</v>
      </c>
      <c r="S383" t="b">
        <f>+ISNUMBER(SEARCH('F-COMPRA'!$F$35,Tabla11[[#This Row],[Cuenta]],1))</f>
        <v>1</v>
      </c>
      <c r="T383" t="b">
        <f>+ISNUMBER(SEARCH('F-COMPRA'!$F$36,Tabla11[[#This Row],[Cuenta]],1))</f>
        <v>1</v>
      </c>
      <c r="U383" t="b">
        <f>+ISNUMBER(SEARCH('F-COMPRA'!$F$37,Tabla11[[#This Row],[Cuenta]],1))</f>
        <v>1</v>
      </c>
      <c r="V383" t="b">
        <f>+ISNUMBER(SEARCH(#REF!,Tabla11[[#This Row],[Cuenta]],1))</f>
        <v>0</v>
      </c>
      <c r="W383" t="b">
        <f>+ISNUMBER(SEARCH('F-COMPRA'!#REF!,Tabla11[[#This Row],[Cuenta]],1))</f>
        <v>0</v>
      </c>
      <c r="X383" t="b">
        <f>+ISNUMBER(SEARCH('F-COMPRA'!#REF!,Tabla11[[#This Row],[Cuenta]],1))</f>
        <v>0</v>
      </c>
      <c r="Y383" t="b">
        <f>+ISNUMBER(SEARCH('F-COMPRA'!#REF!,Tabla11[[#This Row],[Cuenta]],1))</f>
        <v>0</v>
      </c>
      <c r="Z383" t="b">
        <f>+ISNUMBER(SEARCH('F-COMPRA'!#REF!,Tabla11[[#This Row],[Cuenta]],1))</f>
        <v>0</v>
      </c>
      <c r="AA383" t="b">
        <f>+ISNUMBER(SEARCH('F-COMPRA'!#REF!,Tabla11[[#This Row],[Cuenta]],1))</f>
        <v>0</v>
      </c>
      <c r="AB383" t="b">
        <f>+ISNUMBER(SEARCH('F-COMPRA'!#REF!,Tabla11[[#This Row],[Cuenta]],1))</f>
        <v>0</v>
      </c>
      <c r="AC383" t="b">
        <f>+ISNUMBER(SEARCH('F-COMPRA'!#REF!,Tabla11[[#This Row],[Cuenta]],1))</f>
        <v>0</v>
      </c>
      <c r="AD383" t="b">
        <f>+ISNUMBER(SEARCH('F-COMPRA'!#REF!,Tabla11[[#This Row],[Cuenta]],1))</f>
        <v>0</v>
      </c>
      <c r="AE383" t="b">
        <f>+ISNUMBER(SEARCH('F-COMPRA'!#REF!,Tabla11[[#This Row],[Cuenta]],1))</f>
        <v>0</v>
      </c>
      <c r="AF383" t="b">
        <f>+ISNUMBER(SEARCH('F-VTA'!$G$23,Tabla11[[#This Row],[Cuenta]],1))</f>
        <v>0</v>
      </c>
      <c r="AG383" t="b">
        <f>+ISNUMBER(SEARCH('F-VTA'!$G$24,Tabla11[[#This Row],[Cuenta]],1))</f>
        <v>0</v>
      </c>
      <c r="AH383" t="b">
        <f>+ISNUMBER(SEARCH('F-VTA'!$G$25,Tabla11[[#This Row],[Cuenta]],1))</f>
        <v>0</v>
      </c>
      <c r="AI383" t="b">
        <f>+ISNUMBER(SEARCH('F-VTA'!$F$28,Tabla11[[#This Row],[Cuenta]],1))</f>
        <v>1</v>
      </c>
      <c r="AJ383" t="b">
        <f>+ISNUMBER(SEARCH('F-VTA'!$F$29,Tabla11[[#This Row],[Cuenta]],1))</f>
        <v>1</v>
      </c>
      <c r="AK383" t="b">
        <f>+ISNUMBER(SEARCH('F-VTA'!$F$30,Tabla11[[#This Row],[Cuenta]],1))</f>
        <v>1</v>
      </c>
      <c r="AL383" t="b">
        <f>+ISNUMBER(SEARCH('F-VTA'!$F$31,Tabla11[[#This Row],[Cuenta]],1))</f>
        <v>1</v>
      </c>
      <c r="AM383" t="b">
        <f>+ISNUMBER(SEARCH('F-VTA'!$F$32,Tabla11[[#This Row],[Cuenta]],1))</f>
        <v>1</v>
      </c>
      <c r="AN383" t="b">
        <f>+ISNUMBER(SEARCH('F-VTA'!$F$33,Tabla11[[#This Row],[Cuenta]],1))</f>
        <v>1</v>
      </c>
      <c r="AO383" t="b">
        <f>+ISNUMBER(SEARCH('F-VTA'!$F$34,Tabla11[[#This Row],[Cuenta]],1))</f>
        <v>1</v>
      </c>
      <c r="AP383" t="b">
        <f>+ISNUMBER(SEARCH('F-VTA'!$F$35,Tabla11[[#This Row],[Cuenta]],1))</f>
        <v>1</v>
      </c>
      <c r="AQ383" t="b">
        <f>+ISNUMBER(SEARCH('F-VTA'!$F$36,Tabla11[[#This Row],[Cuenta]],1))</f>
        <v>1</v>
      </c>
      <c r="AR383" t="b">
        <f>+ISNUMBER(SEARCH(#REF!,Tabla11[[#This Row],[Cuenta]],1))</f>
        <v>0</v>
      </c>
      <c r="AS383" t="b">
        <f>+ISNUMBER(SEARCH(#REF!,Tabla11[[#This Row],[Cuenta]],1))</f>
        <v>0</v>
      </c>
      <c r="AT383" t="b">
        <f>+ISNUMBER(SEARCH(#REF!,Tabla11[[#This Row],[Cuenta]],1))</f>
        <v>0</v>
      </c>
      <c r="AU383" t="b">
        <f>+ISNUMBER(SEARCH('Conc. Ban.1'!$I$9,Tabla11[[#This Row],[Cuenta]],1))</f>
        <v>0</v>
      </c>
      <c r="AV383" t="b">
        <f>+ISNUMBER(SEARCH(CompConta!$F$21,Tabla11[[#This Row],[Cuenta]],1))</f>
        <v>1</v>
      </c>
      <c r="AW383" t="b">
        <f>+ISNUMBER(SEARCH(CompConta!$F$22,Tabla11[[#This Row],[Cuenta]],1))</f>
        <v>1</v>
      </c>
      <c r="AX383" t="b">
        <f>+ISNUMBER(SEARCH(CompConta!$F$23,Tabla11[[#This Row],[Cuenta]],1))</f>
        <v>1</v>
      </c>
      <c r="AY383" t="b">
        <f>+ISNUMBER(SEARCH(CompConta!$F$24,Tabla11[[#This Row],[Cuenta]],1))</f>
        <v>1</v>
      </c>
      <c r="AZ383" t="b">
        <f>+ISNUMBER(SEARCH(CompConta!$F$25,Tabla11[[#This Row],[Cuenta]],1))</f>
        <v>1</v>
      </c>
      <c r="BA383" t="b">
        <f>+ISNUMBER(SEARCH(CompConta!$F$26,Tabla11[[#This Row],[Cuenta]],1))</f>
        <v>1</v>
      </c>
      <c r="BB383" t="b">
        <f>+ISNUMBER(SEARCH(CompConta!$F$27,Tabla11[[#This Row],[Cuenta]],1))</f>
        <v>1</v>
      </c>
      <c r="BC383" t="b">
        <f>+ISNUMBER(SEARCH(CompConta!$F$28,Tabla11[[#This Row],[Cuenta]],1))</f>
        <v>1</v>
      </c>
      <c r="BD383" t="b">
        <f>+ISNUMBER(SEARCH(CompConta!$F$29,Tabla11[[#This Row],[Cuenta]],1))</f>
        <v>1</v>
      </c>
      <c r="BE383" t="b">
        <f>+ISNUMBER(SEARCH(CompConta!$F$30,Tabla11[[#This Row],[Cuenta]],1))</f>
        <v>1</v>
      </c>
      <c r="BF383" t="b">
        <f>+ISNUMBER(SEARCH('PAGO Compras'!$E$11,Tabla11[[#This Row],[Cuenta]],1))</f>
        <v>1</v>
      </c>
      <c r="BG383" t="b">
        <f>+ISNUMBER(SEARCH(#REF!,Tabla11[[#This Row],[Cuenta]],1))</f>
        <v>0</v>
      </c>
      <c r="BH383" t="b">
        <f>+ISNUMBER(SEARCH(#REF!,Tabla11[[#This Row],[Cuenta]],1))</f>
        <v>0</v>
      </c>
      <c r="BI383" t="b">
        <f>+ISNUMBER(SEARCH(#REF!,Tabla11[[#This Row],[Cuenta]],1))</f>
        <v>0</v>
      </c>
      <c r="BJ383" t="b">
        <f>+ISNUMBER(SEARCH(#REF!,Tabla11[[#This Row],[Cuenta]],1))</f>
        <v>0</v>
      </c>
      <c r="BS383" t="str">
        <v>212005 Pagarés</v>
      </c>
      <c r="BT383" t="str">
        <v>212005 Pagarés</v>
      </c>
      <c r="BU383" t="str">
        <v>212005 Pagarés</v>
      </c>
      <c r="BV383" t="str">
        <v>212005 Pagarés</v>
      </c>
      <c r="BZ383" t="str">
        <v>212005 Pagarés</v>
      </c>
      <c r="CA383" t="str">
        <v>212005 Pagarés</v>
      </c>
      <c r="CB383" t="str">
        <v>212005 Pagarés</v>
      </c>
      <c r="CC383" t="str">
        <v>212005 Pagarés</v>
      </c>
      <c r="CD383" t="str">
        <v>212005 Pagarés</v>
      </c>
      <c r="CE383" t="str">
        <v>212005 Pagarés</v>
      </c>
      <c r="CS383" s="141" t="str">
        <v>212005 Pagarés</v>
      </c>
      <c r="CT383" s="141" t="str">
        <v>212005 Pagarés</v>
      </c>
      <c r="CU383" s="141" t="str">
        <v>212005 Pagarés</v>
      </c>
      <c r="CV383" s="141" t="str">
        <v>212005 Pagarés</v>
      </c>
      <c r="CW383" s="141" t="str">
        <v>212005 Pagarés</v>
      </c>
      <c r="CX383" s="141" t="str">
        <v>212005 Pagarés</v>
      </c>
      <c r="CY383" s="141" t="str">
        <v>212005 Pagarés</v>
      </c>
      <c r="CZ383" s="141" t="str">
        <v>212005 Pagarés</v>
      </c>
      <c r="DA383" s="141" t="str">
        <v>212005 Pagarés</v>
      </c>
      <c r="DF383" t="str">
        <v>212005 Pagarés</v>
      </c>
      <c r="DG383" t="str">
        <v>212005 Pagarés</v>
      </c>
      <c r="DH383" t="str">
        <v>212005 Pagarés</v>
      </c>
      <c r="DI383" t="str">
        <v>212005 Pagarés</v>
      </c>
      <c r="DJ383" t="str">
        <v>212005 Pagarés</v>
      </c>
      <c r="DK383" t="str">
        <v>212005 Pagarés</v>
      </c>
      <c r="DL383" t="str">
        <v>212005 Pagarés</v>
      </c>
      <c r="DM383" t="str">
        <v>212005 Pagarés</v>
      </c>
      <c r="DN383" t="str">
        <v>212005 Pagarés</v>
      </c>
      <c r="DO383" t="str">
        <v>212005 Pagarés</v>
      </c>
      <c r="DP383" t="str">
        <v>212005 Pagarés</v>
      </c>
    </row>
    <row r="384" spans="4:120" ht="12.75">
      <c r="D384" s="7">
        <v>212010</v>
      </c>
      <c r="E384" s="6" t="s">
        <v>302</v>
      </c>
      <c r="F384" s="5">
        <v>4</v>
      </c>
      <c r="G384" s="34" t="s">
        <v>823</v>
      </c>
      <c r="H384" s="26" t="s">
        <v>765</v>
      </c>
      <c r="I384" t="b">
        <f>+ISNUMBER(SEARCH('F-COMPRA'!$F$28,Tabla11[[#This Row],[Cuenta]],1))</f>
        <v>1</v>
      </c>
      <c r="J384" t="b">
        <f>+ISNUMBER(SEARCH('F-COMPRA'!$F$29,Tabla11[[#This Row],[Cuenta]],1))</f>
        <v>1</v>
      </c>
      <c r="K384" t="b">
        <f>+ISNUMBER(SEARCH('F-COMPRA'!$F$30,Tabla11[[#This Row],[Cuenta]],1))</f>
        <v>1</v>
      </c>
      <c r="L384" t="b">
        <f>+ISNUMBER(SEARCH('F-COMPRA'!$F$31,Tabla11[[#This Row],[Cuenta]],1))</f>
        <v>1</v>
      </c>
      <c r="M384" t="b">
        <f>+ISNUMBER(SEARCH('F-COMPRA'!$G$25,Tabla11[[#This Row],[Cuenta]],1))</f>
        <v>0</v>
      </c>
      <c r="N384" t="b">
        <f>+ISNUMBER(SEARCH(#REF!,Tabla11[[#This Row],[Cuenta]],1))</f>
        <v>0</v>
      </c>
      <c r="O384" t="b">
        <f>+ISNUMBER(SEARCH(#REF!,Tabla11[[#This Row],[Cuenta]],1))</f>
        <v>0</v>
      </c>
      <c r="P384" t="b">
        <f>+ISNUMBER(SEARCH('F-COMPRA'!$F$32,Tabla11[[#This Row],[Cuenta]],1))</f>
        <v>1</v>
      </c>
      <c r="Q384" t="b">
        <f>+ISNUMBER(SEARCH('F-COMPRA'!$F$33,Tabla11[[#This Row],[Cuenta]],1))</f>
        <v>1</v>
      </c>
      <c r="R384" t="b">
        <f>+ISNUMBER(SEARCH('F-COMPRA'!$F$34,Tabla11[[#This Row],[Cuenta]],1))</f>
        <v>1</v>
      </c>
      <c r="S384" t="b">
        <f>+ISNUMBER(SEARCH('F-COMPRA'!$F$35,Tabla11[[#This Row],[Cuenta]],1))</f>
        <v>1</v>
      </c>
      <c r="T384" t="b">
        <f>+ISNUMBER(SEARCH('F-COMPRA'!$F$36,Tabla11[[#This Row],[Cuenta]],1))</f>
        <v>1</v>
      </c>
      <c r="U384" t="b">
        <f>+ISNUMBER(SEARCH('F-COMPRA'!$F$37,Tabla11[[#This Row],[Cuenta]],1))</f>
        <v>1</v>
      </c>
      <c r="V384" t="b">
        <f>+ISNUMBER(SEARCH(#REF!,Tabla11[[#This Row],[Cuenta]],1))</f>
        <v>0</v>
      </c>
      <c r="W384" t="b">
        <f>+ISNUMBER(SEARCH('F-COMPRA'!#REF!,Tabla11[[#This Row],[Cuenta]],1))</f>
        <v>0</v>
      </c>
      <c r="X384" t="b">
        <f>+ISNUMBER(SEARCH('F-COMPRA'!#REF!,Tabla11[[#This Row],[Cuenta]],1))</f>
        <v>0</v>
      </c>
      <c r="Y384" t="b">
        <f>+ISNUMBER(SEARCH('F-COMPRA'!#REF!,Tabla11[[#This Row],[Cuenta]],1))</f>
        <v>0</v>
      </c>
      <c r="Z384" t="b">
        <f>+ISNUMBER(SEARCH('F-COMPRA'!#REF!,Tabla11[[#This Row],[Cuenta]],1))</f>
        <v>0</v>
      </c>
      <c r="AA384" t="b">
        <f>+ISNUMBER(SEARCH('F-COMPRA'!#REF!,Tabla11[[#This Row],[Cuenta]],1))</f>
        <v>0</v>
      </c>
      <c r="AB384" t="b">
        <f>+ISNUMBER(SEARCH('F-COMPRA'!#REF!,Tabla11[[#This Row],[Cuenta]],1))</f>
        <v>0</v>
      </c>
      <c r="AC384" t="b">
        <f>+ISNUMBER(SEARCH('F-COMPRA'!#REF!,Tabla11[[#This Row],[Cuenta]],1))</f>
        <v>0</v>
      </c>
      <c r="AD384" t="b">
        <f>+ISNUMBER(SEARCH('F-COMPRA'!#REF!,Tabla11[[#This Row],[Cuenta]],1))</f>
        <v>0</v>
      </c>
      <c r="AE384" t="b">
        <f>+ISNUMBER(SEARCH('F-COMPRA'!#REF!,Tabla11[[#This Row],[Cuenta]],1))</f>
        <v>0</v>
      </c>
      <c r="AF384" t="b">
        <f>+ISNUMBER(SEARCH('F-VTA'!$G$23,Tabla11[[#This Row],[Cuenta]],1))</f>
        <v>0</v>
      </c>
      <c r="AG384" t="b">
        <f>+ISNUMBER(SEARCH('F-VTA'!$G$24,Tabla11[[#This Row],[Cuenta]],1))</f>
        <v>0</v>
      </c>
      <c r="AH384" t="b">
        <f>+ISNUMBER(SEARCH('F-VTA'!$G$25,Tabla11[[#This Row],[Cuenta]],1))</f>
        <v>0</v>
      </c>
      <c r="AI384" t="b">
        <f>+ISNUMBER(SEARCH('F-VTA'!$F$28,Tabla11[[#This Row],[Cuenta]],1))</f>
        <v>1</v>
      </c>
      <c r="AJ384" t="b">
        <f>+ISNUMBER(SEARCH('F-VTA'!$F$29,Tabla11[[#This Row],[Cuenta]],1))</f>
        <v>1</v>
      </c>
      <c r="AK384" t="b">
        <f>+ISNUMBER(SEARCH('F-VTA'!$F$30,Tabla11[[#This Row],[Cuenta]],1))</f>
        <v>1</v>
      </c>
      <c r="AL384" t="b">
        <f>+ISNUMBER(SEARCH('F-VTA'!$F$31,Tabla11[[#This Row],[Cuenta]],1))</f>
        <v>1</v>
      </c>
      <c r="AM384" t="b">
        <f>+ISNUMBER(SEARCH('F-VTA'!$F$32,Tabla11[[#This Row],[Cuenta]],1))</f>
        <v>1</v>
      </c>
      <c r="AN384" t="b">
        <f>+ISNUMBER(SEARCH('F-VTA'!$F$33,Tabla11[[#This Row],[Cuenta]],1))</f>
        <v>1</v>
      </c>
      <c r="AO384" t="b">
        <f>+ISNUMBER(SEARCH('F-VTA'!$F$34,Tabla11[[#This Row],[Cuenta]],1))</f>
        <v>1</v>
      </c>
      <c r="AP384" t="b">
        <f>+ISNUMBER(SEARCH('F-VTA'!$F$35,Tabla11[[#This Row],[Cuenta]],1))</f>
        <v>1</v>
      </c>
      <c r="AQ384" t="b">
        <f>+ISNUMBER(SEARCH('F-VTA'!$F$36,Tabla11[[#This Row],[Cuenta]],1))</f>
        <v>1</v>
      </c>
      <c r="AR384" t="b">
        <f>+ISNUMBER(SEARCH(#REF!,Tabla11[[#This Row],[Cuenta]],1))</f>
        <v>0</v>
      </c>
      <c r="AS384" t="b">
        <f>+ISNUMBER(SEARCH(#REF!,Tabla11[[#This Row],[Cuenta]],1))</f>
        <v>0</v>
      </c>
      <c r="AT384" t="b">
        <f>+ISNUMBER(SEARCH(#REF!,Tabla11[[#This Row],[Cuenta]],1))</f>
        <v>0</v>
      </c>
      <c r="AU384" t="b">
        <f>+ISNUMBER(SEARCH('Conc. Ban.1'!$I$9,Tabla11[[#This Row],[Cuenta]],1))</f>
        <v>0</v>
      </c>
      <c r="AV384" t="b">
        <f>+ISNUMBER(SEARCH(CompConta!$F$21,Tabla11[[#This Row],[Cuenta]],1))</f>
        <v>1</v>
      </c>
      <c r="AW384" t="b">
        <f>+ISNUMBER(SEARCH(CompConta!$F$22,Tabla11[[#This Row],[Cuenta]],1))</f>
        <v>1</v>
      </c>
      <c r="AX384" t="b">
        <f>+ISNUMBER(SEARCH(CompConta!$F$23,Tabla11[[#This Row],[Cuenta]],1))</f>
        <v>1</v>
      </c>
      <c r="AY384" t="b">
        <f>+ISNUMBER(SEARCH(CompConta!$F$24,Tabla11[[#This Row],[Cuenta]],1))</f>
        <v>1</v>
      </c>
      <c r="AZ384" t="b">
        <f>+ISNUMBER(SEARCH(CompConta!$F$25,Tabla11[[#This Row],[Cuenta]],1))</f>
        <v>1</v>
      </c>
      <c r="BA384" t="b">
        <f>+ISNUMBER(SEARCH(CompConta!$F$26,Tabla11[[#This Row],[Cuenta]],1))</f>
        <v>1</v>
      </c>
      <c r="BB384" t="b">
        <f>+ISNUMBER(SEARCH(CompConta!$F$27,Tabla11[[#This Row],[Cuenta]],1))</f>
        <v>1</v>
      </c>
      <c r="BC384" t="b">
        <f>+ISNUMBER(SEARCH(CompConta!$F$28,Tabla11[[#This Row],[Cuenta]],1))</f>
        <v>1</v>
      </c>
      <c r="BD384" t="b">
        <f>+ISNUMBER(SEARCH(CompConta!$F$29,Tabla11[[#This Row],[Cuenta]],1))</f>
        <v>1</v>
      </c>
      <c r="BE384" t="b">
        <f>+ISNUMBER(SEARCH(CompConta!$F$30,Tabla11[[#This Row],[Cuenta]],1))</f>
        <v>1</v>
      </c>
      <c r="BF384" t="b">
        <f>+ISNUMBER(SEARCH('PAGO Compras'!$E$11,Tabla11[[#This Row],[Cuenta]],1))</f>
        <v>1</v>
      </c>
      <c r="BG384" t="b">
        <f>+ISNUMBER(SEARCH(#REF!,Tabla11[[#This Row],[Cuenta]],1))</f>
        <v>0</v>
      </c>
      <c r="BH384" t="b">
        <f>+ISNUMBER(SEARCH(#REF!,Tabla11[[#This Row],[Cuenta]],1))</f>
        <v>0</v>
      </c>
      <c r="BI384" t="b">
        <f>+ISNUMBER(SEARCH(#REF!,Tabla11[[#This Row],[Cuenta]],1))</f>
        <v>0</v>
      </c>
      <c r="BJ384" t="b">
        <f>+ISNUMBER(SEARCH(#REF!,Tabla11[[#This Row],[Cuenta]],1))</f>
        <v>0</v>
      </c>
      <c r="BS384" t="str">
        <v>212010 Aceptaciones financieras</v>
      </c>
      <c r="BT384" t="str">
        <v>212010 Aceptaciones financieras</v>
      </c>
      <c r="BU384" t="str">
        <v>212010 Aceptaciones financieras</v>
      </c>
      <c r="BV384" t="str">
        <v>212010 Aceptaciones financieras</v>
      </c>
      <c r="BZ384" t="str">
        <v>212010 Aceptaciones financieras</v>
      </c>
      <c r="CA384" t="str">
        <v>212010 Aceptaciones financieras</v>
      </c>
      <c r="CB384" t="str">
        <v>212010 Aceptaciones financieras</v>
      </c>
      <c r="CC384" t="str">
        <v>212010 Aceptaciones financieras</v>
      </c>
      <c r="CD384" t="str">
        <v>212010 Aceptaciones financieras</v>
      </c>
      <c r="CE384" t="str">
        <v>212010 Aceptaciones financieras</v>
      </c>
      <c r="CS384" s="141" t="str">
        <v>212010 Aceptaciones financieras</v>
      </c>
      <c r="CT384" s="141" t="str">
        <v>212010 Aceptaciones financieras</v>
      </c>
      <c r="CU384" s="141" t="str">
        <v>212010 Aceptaciones financieras</v>
      </c>
      <c r="CV384" s="141" t="str">
        <v>212010 Aceptaciones financieras</v>
      </c>
      <c r="CW384" s="141" t="str">
        <v>212010 Aceptaciones financieras</v>
      </c>
      <c r="CX384" s="141" t="str">
        <v>212010 Aceptaciones financieras</v>
      </c>
      <c r="CY384" s="141" t="str">
        <v>212010 Aceptaciones financieras</v>
      </c>
      <c r="CZ384" s="141" t="str">
        <v>212010 Aceptaciones financieras</v>
      </c>
      <c r="DA384" s="141" t="str">
        <v>212010 Aceptaciones financieras</v>
      </c>
      <c r="DF384" t="str">
        <v>212010 Aceptaciones financieras</v>
      </c>
      <c r="DG384" t="str">
        <v>212010 Aceptaciones financieras</v>
      </c>
      <c r="DH384" t="str">
        <v>212010 Aceptaciones financieras</v>
      </c>
      <c r="DI384" t="str">
        <v>212010 Aceptaciones financieras</v>
      </c>
      <c r="DJ384" t="str">
        <v>212010 Aceptaciones financieras</v>
      </c>
      <c r="DK384" t="str">
        <v>212010 Aceptaciones financieras</v>
      </c>
      <c r="DL384" t="str">
        <v>212010 Aceptaciones financieras</v>
      </c>
      <c r="DM384" t="str">
        <v>212010 Aceptaciones financieras</v>
      </c>
      <c r="DN384" t="str">
        <v>212010 Aceptaciones financieras</v>
      </c>
      <c r="DO384" t="str">
        <v>212010 Aceptaciones financieras</v>
      </c>
      <c r="DP384" t="str">
        <v>212010 Aceptaciones financieras</v>
      </c>
    </row>
    <row r="385" spans="4:120" ht="12.75">
      <c r="D385" s="7">
        <v>212020</v>
      </c>
      <c r="E385" s="6" t="s">
        <v>303</v>
      </c>
      <c r="F385" s="5">
        <v>4</v>
      </c>
      <c r="G385" s="34" t="s">
        <v>823</v>
      </c>
      <c r="H385" s="26" t="s">
        <v>765</v>
      </c>
      <c r="I385" t="b">
        <f>+ISNUMBER(SEARCH('F-COMPRA'!$F$28,Tabla11[[#This Row],[Cuenta]],1))</f>
        <v>1</v>
      </c>
      <c r="J385" t="b">
        <f>+ISNUMBER(SEARCH('F-COMPRA'!$F$29,Tabla11[[#This Row],[Cuenta]],1))</f>
        <v>1</v>
      </c>
      <c r="K385" t="b">
        <f>+ISNUMBER(SEARCH('F-COMPRA'!$F$30,Tabla11[[#This Row],[Cuenta]],1))</f>
        <v>1</v>
      </c>
      <c r="L385" t="b">
        <f>+ISNUMBER(SEARCH('F-COMPRA'!$F$31,Tabla11[[#This Row],[Cuenta]],1))</f>
        <v>1</v>
      </c>
      <c r="M385" t="b">
        <f>+ISNUMBER(SEARCH('F-COMPRA'!$G$25,Tabla11[[#This Row],[Cuenta]],1))</f>
        <v>0</v>
      </c>
      <c r="N385" t="b">
        <f>+ISNUMBER(SEARCH(#REF!,Tabla11[[#This Row],[Cuenta]],1))</f>
        <v>0</v>
      </c>
      <c r="O385" t="b">
        <f>+ISNUMBER(SEARCH(#REF!,Tabla11[[#This Row],[Cuenta]],1))</f>
        <v>0</v>
      </c>
      <c r="P385" t="b">
        <f>+ISNUMBER(SEARCH('F-COMPRA'!$F$32,Tabla11[[#This Row],[Cuenta]],1))</f>
        <v>1</v>
      </c>
      <c r="Q385" t="b">
        <f>+ISNUMBER(SEARCH('F-COMPRA'!$F$33,Tabla11[[#This Row],[Cuenta]],1))</f>
        <v>1</v>
      </c>
      <c r="R385" t="b">
        <f>+ISNUMBER(SEARCH('F-COMPRA'!$F$34,Tabla11[[#This Row],[Cuenta]],1))</f>
        <v>1</v>
      </c>
      <c r="S385" t="b">
        <f>+ISNUMBER(SEARCH('F-COMPRA'!$F$35,Tabla11[[#This Row],[Cuenta]],1))</f>
        <v>1</v>
      </c>
      <c r="T385" t="b">
        <f>+ISNUMBER(SEARCH('F-COMPRA'!$F$36,Tabla11[[#This Row],[Cuenta]],1))</f>
        <v>1</v>
      </c>
      <c r="U385" t="b">
        <f>+ISNUMBER(SEARCH('F-COMPRA'!$F$37,Tabla11[[#This Row],[Cuenta]],1))</f>
        <v>1</v>
      </c>
      <c r="V385" t="b">
        <f>+ISNUMBER(SEARCH(#REF!,Tabla11[[#This Row],[Cuenta]],1))</f>
        <v>0</v>
      </c>
      <c r="W385" t="b">
        <f>+ISNUMBER(SEARCH('F-COMPRA'!#REF!,Tabla11[[#This Row],[Cuenta]],1))</f>
        <v>0</v>
      </c>
      <c r="X385" t="b">
        <f>+ISNUMBER(SEARCH('F-COMPRA'!#REF!,Tabla11[[#This Row],[Cuenta]],1))</f>
        <v>0</v>
      </c>
      <c r="Y385" t="b">
        <f>+ISNUMBER(SEARCH('F-COMPRA'!#REF!,Tabla11[[#This Row],[Cuenta]],1))</f>
        <v>0</v>
      </c>
      <c r="Z385" t="b">
        <f>+ISNUMBER(SEARCH('F-COMPRA'!#REF!,Tabla11[[#This Row],[Cuenta]],1))</f>
        <v>0</v>
      </c>
      <c r="AA385" t="b">
        <f>+ISNUMBER(SEARCH('F-COMPRA'!#REF!,Tabla11[[#This Row],[Cuenta]],1))</f>
        <v>0</v>
      </c>
      <c r="AB385" t="b">
        <f>+ISNUMBER(SEARCH('F-COMPRA'!#REF!,Tabla11[[#This Row],[Cuenta]],1))</f>
        <v>0</v>
      </c>
      <c r="AC385" t="b">
        <f>+ISNUMBER(SEARCH('F-COMPRA'!#REF!,Tabla11[[#This Row],[Cuenta]],1))</f>
        <v>0</v>
      </c>
      <c r="AD385" t="b">
        <f>+ISNUMBER(SEARCH('F-COMPRA'!#REF!,Tabla11[[#This Row],[Cuenta]],1))</f>
        <v>0</v>
      </c>
      <c r="AE385" t="b">
        <f>+ISNUMBER(SEARCH('F-COMPRA'!#REF!,Tabla11[[#This Row],[Cuenta]],1))</f>
        <v>0</v>
      </c>
      <c r="AF385" t="b">
        <f>+ISNUMBER(SEARCH('F-VTA'!$G$23,Tabla11[[#This Row],[Cuenta]],1))</f>
        <v>0</v>
      </c>
      <c r="AG385" t="b">
        <f>+ISNUMBER(SEARCH('F-VTA'!$G$24,Tabla11[[#This Row],[Cuenta]],1))</f>
        <v>0</v>
      </c>
      <c r="AH385" t="b">
        <f>+ISNUMBER(SEARCH('F-VTA'!$G$25,Tabla11[[#This Row],[Cuenta]],1))</f>
        <v>0</v>
      </c>
      <c r="AI385" t="b">
        <f>+ISNUMBER(SEARCH('F-VTA'!$F$28,Tabla11[[#This Row],[Cuenta]],1))</f>
        <v>1</v>
      </c>
      <c r="AJ385" t="b">
        <f>+ISNUMBER(SEARCH('F-VTA'!$F$29,Tabla11[[#This Row],[Cuenta]],1))</f>
        <v>1</v>
      </c>
      <c r="AK385" t="b">
        <f>+ISNUMBER(SEARCH('F-VTA'!$F$30,Tabla11[[#This Row],[Cuenta]],1))</f>
        <v>1</v>
      </c>
      <c r="AL385" t="b">
        <f>+ISNUMBER(SEARCH('F-VTA'!$F$31,Tabla11[[#This Row],[Cuenta]],1))</f>
        <v>1</v>
      </c>
      <c r="AM385" t="b">
        <f>+ISNUMBER(SEARCH('F-VTA'!$F$32,Tabla11[[#This Row],[Cuenta]],1))</f>
        <v>1</v>
      </c>
      <c r="AN385" t="b">
        <f>+ISNUMBER(SEARCH('F-VTA'!$F$33,Tabla11[[#This Row],[Cuenta]],1))</f>
        <v>1</v>
      </c>
      <c r="AO385" t="b">
        <f>+ISNUMBER(SEARCH('F-VTA'!$F$34,Tabla11[[#This Row],[Cuenta]],1))</f>
        <v>1</v>
      </c>
      <c r="AP385" t="b">
        <f>+ISNUMBER(SEARCH('F-VTA'!$F$35,Tabla11[[#This Row],[Cuenta]],1))</f>
        <v>1</v>
      </c>
      <c r="AQ385" t="b">
        <f>+ISNUMBER(SEARCH('F-VTA'!$F$36,Tabla11[[#This Row],[Cuenta]],1))</f>
        <v>1</v>
      </c>
      <c r="AR385" t="b">
        <f>+ISNUMBER(SEARCH(#REF!,Tabla11[[#This Row],[Cuenta]],1))</f>
        <v>0</v>
      </c>
      <c r="AS385" t="b">
        <f>+ISNUMBER(SEARCH(#REF!,Tabla11[[#This Row],[Cuenta]],1))</f>
        <v>0</v>
      </c>
      <c r="AT385" t="b">
        <f>+ISNUMBER(SEARCH(#REF!,Tabla11[[#This Row],[Cuenta]],1))</f>
        <v>0</v>
      </c>
      <c r="AU385" t="b">
        <f>+ISNUMBER(SEARCH('Conc. Ban.1'!$I$9,Tabla11[[#This Row],[Cuenta]],1))</f>
        <v>0</v>
      </c>
      <c r="AV385" t="b">
        <f>+ISNUMBER(SEARCH(CompConta!$F$21,Tabla11[[#This Row],[Cuenta]],1))</f>
        <v>1</v>
      </c>
      <c r="AW385" t="b">
        <f>+ISNUMBER(SEARCH(CompConta!$F$22,Tabla11[[#This Row],[Cuenta]],1))</f>
        <v>1</v>
      </c>
      <c r="AX385" t="b">
        <f>+ISNUMBER(SEARCH(CompConta!$F$23,Tabla11[[#This Row],[Cuenta]],1))</f>
        <v>1</v>
      </c>
      <c r="AY385" t="b">
        <f>+ISNUMBER(SEARCH(CompConta!$F$24,Tabla11[[#This Row],[Cuenta]],1))</f>
        <v>1</v>
      </c>
      <c r="AZ385" t="b">
        <f>+ISNUMBER(SEARCH(CompConta!$F$25,Tabla11[[#This Row],[Cuenta]],1))</f>
        <v>1</v>
      </c>
      <c r="BA385" t="b">
        <f>+ISNUMBER(SEARCH(CompConta!$F$26,Tabla11[[#This Row],[Cuenta]],1))</f>
        <v>1</v>
      </c>
      <c r="BB385" t="b">
        <f>+ISNUMBER(SEARCH(CompConta!$F$27,Tabla11[[#This Row],[Cuenta]],1))</f>
        <v>1</v>
      </c>
      <c r="BC385" t="b">
        <f>+ISNUMBER(SEARCH(CompConta!$F$28,Tabla11[[#This Row],[Cuenta]],1))</f>
        <v>1</v>
      </c>
      <c r="BD385" t="b">
        <f>+ISNUMBER(SEARCH(CompConta!$F$29,Tabla11[[#This Row],[Cuenta]],1))</f>
        <v>1</v>
      </c>
      <c r="BE385" t="b">
        <f>+ISNUMBER(SEARCH(CompConta!$F$30,Tabla11[[#This Row],[Cuenta]],1))</f>
        <v>1</v>
      </c>
      <c r="BF385" t="b">
        <f>+ISNUMBER(SEARCH('PAGO Compras'!$E$11,Tabla11[[#This Row],[Cuenta]],1))</f>
        <v>1</v>
      </c>
      <c r="BG385" t="b">
        <f>+ISNUMBER(SEARCH(#REF!,Tabla11[[#This Row],[Cuenta]],1))</f>
        <v>0</v>
      </c>
      <c r="BH385" t="b">
        <f>+ISNUMBER(SEARCH(#REF!,Tabla11[[#This Row],[Cuenta]],1))</f>
        <v>0</v>
      </c>
      <c r="BI385" t="b">
        <f>+ISNUMBER(SEARCH(#REF!,Tabla11[[#This Row],[Cuenta]],1))</f>
        <v>0</v>
      </c>
      <c r="BJ385" t="b">
        <f>+ISNUMBER(SEARCH(#REF!,Tabla11[[#This Row],[Cuenta]],1))</f>
        <v>0</v>
      </c>
      <c r="BS385" t="str">
        <v>212020 Contratos de arrendam/to financiero (leasing)</v>
      </c>
      <c r="BT385" t="str">
        <v>212020 Contratos de arrendam/to financiero (leasing)</v>
      </c>
      <c r="BU385" t="str">
        <v>212020 Contratos de arrendam/to financiero (leasing)</v>
      </c>
      <c r="BV385" t="str">
        <v>212020 Contratos de arrendam/to financiero (leasing)</v>
      </c>
      <c r="BZ385" t="str">
        <v>212020 Contratos de arrendam/to financiero (leasing)</v>
      </c>
      <c r="CA385" t="str">
        <v>212020 Contratos de arrendam/to financiero (leasing)</v>
      </c>
      <c r="CB385" t="str">
        <v>212020 Contratos de arrendam/to financiero (leasing)</v>
      </c>
      <c r="CC385" t="str">
        <v>212020 Contratos de arrendam/to financiero (leasing)</v>
      </c>
      <c r="CD385" t="str">
        <v>212020 Contratos de arrendam/to financiero (leasing)</v>
      </c>
      <c r="CE385" t="str">
        <v>212020 Contratos de arrendam/to financiero (leasing)</v>
      </c>
      <c r="CS385" s="141" t="str">
        <v>212020 Contratos de arrendam/to financiero (leasing)</v>
      </c>
      <c r="CT385" s="141" t="str">
        <v>212020 Contratos de arrendam/to financiero (leasing)</v>
      </c>
      <c r="CU385" s="141" t="str">
        <v>212020 Contratos de arrendam/to financiero (leasing)</v>
      </c>
      <c r="CV385" s="141" t="str">
        <v>212020 Contratos de arrendam/to financiero (leasing)</v>
      </c>
      <c r="CW385" s="141" t="str">
        <v>212020 Contratos de arrendam/to financiero (leasing)</v>
      </c>
      <c r="CX385" s="141" t="str">
        <v>212020 Contratos de arrendam/to financiero (leasing)</v>
      </c>
      <c r="CY385" s="141" t="str">
        <v>212020 Contratos de arrendam/to financiero (leasing)</v>
      </c>
      <c r="CZ385" s="141" t="str">
        <v>212020 Contratos de arrendam/to financiero (leasing)</v>
      </c>
      <c r="DA385" s="141" t="str">
        <v>212020 Contratos de arrendam/to financiero (leasing)</v>
      </c>
      <c r="DF385" t="str">
        <v>212020 Contratos de arrendam/to financiero (leasing)</v>
      </c>
      <c r="DG385" t="str">
        <v>212020 Contratos de arrendam/to financiero (leasing)</v>
      </c>
      <c r="DH385" t="str">
        <v>212020 Contratos de arrendam/to financiero (leasing)</v>
      </c>
      <c r="DI385" t="str">
        <v>212020 Contratos de arrendam/to financiero (leasing)</v>
      </c>
      <c r="DJ385" t="str">
        <v>212020 Contratos de arrendam/to financiero (leasing)</v>
      </c>
      <c r="DK385" t="str">
        <v>212020 Contratos de arrendam/to financiero (leasing)</v>
      </c>
      <c r="DL385" t="str">
        <v>212020 Contratos de arrendam/to financiero (leasing)</v>
      </c>
      <c r="DM385" t="str">
        <v>212020 Contratos de arrendam/to financiero (leasing)</v>
      </c>
      <c r="DN385" t="str">
        <v>212020 Contratos de arrendam/to financiero (leasing)</v>
      </c>
      <c r="DO385" t="str">
        <v>212020 Contratos de arrendam/to financiero (leasing)</v>
      </c>
      <c r="DP385" t="str">
        <v>212020 Contratos de arrendam/to financiero (leasing)</v>
      </c>
    </row>
    <row r="386" spans="4:120" ht="12.75">
      <c r="D386" s="7">
        <v>2125</v>
      </c>
      <c r="E386" s="6" t="s">
        <v>305</v>
      </c>
      <c r="F386" s="5">
        <v>3</v>
      </c>
      <c r="G386" s="34" t="s">
        <v>823</v>
      </c>
      <c r="H386" s="26" t="s">
        <v>765</v>
      </c>
      <c r="I386" t="b">
        <f>+ISNUMBER(SEARCH('F-COMPRA'!$F$28,Tabla11[[#This Row],[Cuenta]],1))</f>
        <v>1</v>
      </c>
      <c r="J386" t="b">
        <f>+ISNUMBER(SEARCH('F-COMPRA'!$F$29,Tabla11[[#This Row],[Cuenta]],1))</f>
        <v>1</v>
      </c>
      <c r="K386" t="b">
        <f>+ISNUMBER(SEARCH('F-COMPRA'!$F$30,Tabla11[[#This Row],[Cuenta]],1))</f>
        <v>1</v>
      </c>
      <c r="L386" t="b">
        <f>+ISNUMBER(SEARCH('F-COMPRA'!$F$31,Tabla11[[#This Row],[Cuenta]],1))</f>
        <v>1</v>
      </c>
      <c r="M386" t="b">
        <f>+ISNUMBER(SEARCH('F-COMPRA'!$G$25,Tabla11[[#This Row],[Cuenta]],1))</f>
        <v>0</v>
      </c>
      <c r="N386" t="b">
        <f>+ISNUMBER(SEARCH(#REF!,Tabla11[[#This Row],[Cuenta]],1))</f>
        <v>0</v>
      </c>
      <c r="O386" t="b">
        <f>+ISNUMBER(SEARCH(#REF!,Tabla11[[#This Row],[Cuenta]],1))</f>
        <v>0</v>
      </c>
      <c r="P386" t="b">
        <f>+ISNUMBER(SEARCH('F-COMPRA'!$F$32,Tabla11[[#This Row],[Cuenta]],1))</f>
        <v>1</v>
      </c>
      <c r="Q386" t="b">
        <f>+ISNUMBER(SEARCH('F-COMPRA'!$F$33,Tabla11[[#This Row],[Cuenta]],1))</f>
        <v>1</v>
      </c>
      <c r="R386" t="b">
        <f>+ISNUMBER(SEARCH('F-COMPRA'!$F$34,Tabla11[[#This Row],[Cuenta]],1))</f>
        <v>1</v>
      </c>
      <c r="S386" t="b">
        <f>+ISNUMBER(SEARCH('F-COMPRA'!$F$35,Tabla11[[#This Row],[Cuenta]],1))</f>
        <v>1</v>
      </c>
      <c r="T386" t="b">
        <f>+ISNUMBER(SEARCH('F-COMPRA'!$F$36,Tabla11[[#This Row],[Cuenta]],1))</f>
        <v>1</v>
      </c>
      <c r="U386" t="b">
        <f>+ISNUMBER(SEARCH('F-COMPRA'!$F$37,Tabla11[[#This Row],[Cuenta]],1))</f>
        <v>1</v>
      </c>
      <c r="V386" t="b">
        <f>+ISNUMBER(SEARCH(#REF!,Tabla11[[#This Row],[Cuenta]],1))</f>
        <v>0</v>
      </c>
      <c r="W386" t="b">
        <f>+ISNUMBER(SEARCH('F-COMPRA'!#REF!,Tabla11[[#This Row],[Cuenta]],1))</f>
        <v>0</v>
      </c>
      <c r="X386" t="b">
        <f>+ISNUMBER(SEARCH('F-COMPRA'!#REF!,Tabla11[[#This Row],[Cuenta]],1))</f>
        <v>0</v>
      </c>
      <c r="Y386" t="b">
        <f>+ISNUMBER(SEARCH('F-COMPRA'!#REF!,Tabla11[[#This Row],[Cuenta]],1))</f>
        <v>0</v>
      </c>
      <c r="Z386" t="b">
        <f>+ISNUMBER(SEARCH('F-COMPRA'!#REF!,Tabla11[[#This Row],[Cuenta]],1))</f>
        <v>0</v>
      </c>
      <c r="AA386" t="b">
        <f>+ISNUMBER(SEARCH('F-COMPRA'!#REF!,Tabla11[[#This Row],[Cuenta]],1))</f>
        <v>0</v>
      </c>
      <c r="AB386" t="b">
        <f>+ISNUMBER(SEARCH('F-COMPRA'!#REF!,Tabla11[[#This Row],[Cuenta]],1))</f>
        <v>0</v>
      </c>
      <c r="AC386" t="b">
        <f>+ISNUMBER(SEARCH('F-COMPRA'!#REF!,Tabla11[[#This Row],[Cuenta]],1))</f>
        <v>0</v>
      </c>
      <c r="AD386" t="b">
        <f>+ISNUMBER(SEARCH('F-COMPRA'!#REF!,Tabla11[[#This Row],[Cuenta]],1))</f>
        <v>0</v>
      </c>
      <c r="AE386" t="b">
        <f>+ISNUMBER(SEARCH('F-COMPRA'!#REF!,Tabla11[[#This Row],[Cuenta]],1))</f>
        <v>0</v>
      </c>
      <c r="AF386" t="b">
        <f>+ISNUMBER(SEARCH('F-VTA'!$G$23,Tabla11[[#This Row],[Cuenta]],1))</f>
        <v>0</v>
      </c>
      <c r="AG386" t="b">
        <f>+ISNUMBER(SEARCH('F-VTA'!$G$24,Tabla11[[#This Row],[Cuenta]],1))</f>
        <v>0</v>
      </c>
      <c r="AH386" t="b">
        <f>+ISNUMBER(SEARCH('F-VTA'!$G$25,Tabla11[[#This Row],[Cuenta]],1))</f>
        <v>0</v>
      </c>
      <c r="AI386" t="b">
        <f>+ISNUMBER(SEARCH('F-VTA'!$F$28,Tabla11[[#This Row],[Cuenta]],1))</f>
        <v>1</v>
      </c>
      <c r="AJ386" t="b">
        <f>+ISNUMBER(SEARCH('F-VTA'!$F$29,Tabla11[[#This Row],[Cuenta]],1))</f>
        <v>1</v>
      </c>
      <c r="AK386" t="b">
        <f>+ISNUMBER(SEARCH('F-VTA'!$F$30,Tabla11[[#This Row],[Cuenta]],1))</f>
        <v>1</v>
      </c>
      <c r="AL386" t="b">
        <f>+ISNUMBER(SEARCH('F-VTA'!$F$31,Tabla11[[#This Row],[Cuenta]],1))</f>
        <v>1</v>
      </c>
      <c r="AM386" t="b">
        <f>+ISNUMBER(SEARCH('F-VTA'!$F$32,Tabla11[[#This Row],[Cuenta]],1))</f>
        <v>1</v>
      </c>
      <c r="AN386" t="b">
        <f>+ISNUMBER(SEARCH('F-VTA'!$F$33,Tabla11[[#This Row],[Cuenta]],1))</f>
        <v>1</v>
      </c>
      <c r="AO386" t="b">
        <f>+ISNUMBER(SEARCH('F-VTA'!$F$34,Tabla11[[#This Row],[Cuenta]],1))</f>
        <v>1</v>
      </c>
      <c r="AP386" t="b">
        <f>+ISNUMBER(SEARCH('F-VTA'!$F$35,Tabla11[[#This Row],[Cuenta]],1))</f>
        <v>1</v>
      </c>
      <c r="AQ386" t="b">
        <f>+ISNUMBER(SEARCH('F-VTA'!$F$36,Tabla11[[#This Row],[Cuenta]],1))</f>
        <v>1</v>
      </c>
      <c r="AR386" t="b">
        <f>+ISNUMBER(SEARCH(#REF!,Tabla11[[#This Row],[Cuenta]],1))</f>
        <v>0</v>
      </c>
      <c r="AS386" t="b">
        <f>+ISNUMBER(SEARCH(#REF!,Tabla11[[#This Row],[Cuenta]],1))</f>
        <v>0</v>
      </c>
      <c r="AT386" t="b">
        <f>+ISNUMBER(SEARCH(#REF!,Tabla11[[#This Row],[Cuenta]],1))</f>
        <v>0</v>
      </c>
      <c r="AU386" t="b">
        <f>+ISNUMBER(SEARCH('Conc. Ban.1'!$I$9,Tabla11[[#This Row],[Cuenta]],1))</f>
        <v>0</v>
      </c>
      <c r="AV386" t="b">
        <f>+ISNUMBER(SEARCH(CompConta!$F$21,Tabla11[[#This Row],[Cuenta]],1))</f>
        <v>1</v>
      </c>
      <c r="AW386" t="b">
        <f>+ISNUMBER(SEARCH(CompConta!$F$22,Tabla11[[#This Row],[Cuenta]],1))</f>
        <v>1</v>
      </c>
      <c r="AX386" t="b">
        <f>+ISNUMBER(SEARCH(CompConta!$F$23,Tabla11[[#This Row],[Cuenta]],1))</f>
        <v>1</v>
      </c>
      <c r="AY386" t="b">
        <f>+ISNUMBER(SEARCH(CompConta!$F$24,Tabla11[[#This Row],[Cuenta]],1))</f>
        <v>1</v>
      </c>
      <c r="AZ386" t="b">
        <f>+ISNUMBER(SEARCH(CompConta!$F$25,Tabla11[[#This Row],[Cuenta]],1))</f>
        <v>1</v>
      </c>
      <c r="BA386" t="b">
        <f>+ISNUMBER(SEARCH(CompConta!$F$26,Tabla11[[#This Row],[Cuenta]],1))</f>
        <v>1</v>
      </c>
      <c r="BB386" t="b">
        <f>+ISNUMBER(SEARCH(CompConta!$F$27,Tabla11[[#This Row],[Cuenta]],1))</f>
        <v>1</v>
      </c>
      <c r="BC386" t="b">
        <f>+ISNUMBER(SEARCH(CompConta!$F$28,Tabla11[[#This Row],[Cuenta]],1))</f>
        <v>1</v>
      </c>
      <c r="BD386" t="b">
        <f>+ISNUMBER(SEARCH(CompConta!$F$29,Tabla11[[#This Row],[Cuenta]],1))</f>
        <v>1</v>
      </c>
      <c r="BE386" t="b">
        <f>+ISNUMBER(SEARCH(CompConta!$F$30,Tabla11[[#This Row],[Cuenta]],1))</f>
        <v>1</v>
      </c>
      <c r="BF386" t="b">
        <f>+ISNUMBER(SEARCH('PAGO Compras'!$E$11,Tabla11[[#This Row],[Cuenta]],1))</f>
        <v>1</v>
      </c>
      <c r="BG386" t="b">
        <f>+ISNUMBER(SEARCH(#REF!,Tabla11[[#This Row],[Cuenta]],1))</f>
        <v>0</v>
      </c>
      <c r="BH386" t="b">
        <f>+ISNUMBER(SEARCH(#REF!,Tabla11[[#This Row],[Cuenta]],1))</f>
        <v>0</v>
      </c>
      <c r="BI386" t="b">
        <f>+ISNUMBER(SEARCH(#REF!,Tabla11[[#This Row],[Cuenta]],1))</f>
        <v>0</v>
      </c>
      <c r="BJ386" t="b">
        <f>+ISNUMBER(SEARCH(#REF!,Tabla11[[#This Row],[Cuenta]],1))</f>
        <v>0</v>
      </c>
      <c r="BS386" t="str">
        <v>2125 CORPORACIONES DE AHORRO Y VIVIENDA</v>
      </c>
      <c r="BT386" t="str">
        <v>2125 CORPORACIONES DE AHORRO Y VIVIENDA</v>
      </c>
      <c r="BU386" t="str">
        <v>2125 CORPORACIONES DE AHORRO Y VIVIENDA</v>
      </c>
      <c r="BV386" t="str">
        <v>2125 CORPORACIONES DE AHORRO Y VIVIENDA</v>
      </c>
      <c r="BZ386" t="str">
        <v>2125 CORPORACIONES DE AHORRO Y VIVIENDA</v>
      </c>
      <c r="CA386" t="str">
        <v>2125 CORPORACIONES DE AHORRO Y VIVIENDA</v>
      </c>
      <c r="CB386" t="str">
        <v>2125 CORPORACIONES DE AHORRO Y VIVIENDA</v>
      </c>
      <c r="CC386" t="str">
        <v>2125 CORPORACIONES DE AHORRO Y VIVIENDA</v>
      </c>
      <c r="CD386" t="str">
        <v>2125 CORPORACIONES DE AHORRO Y VIVIENDA</v>
      </c>
      <c r="CE386" t="str">
        <v>2125 CORPORACIONES DE AHORRO Y VIVIENDA</v>
      </c>
      <c r="CS386" s="141" t="str">
        <v>2125 CORPORACIONES DE AHORRO Y VIVIENDA</v>
      </c>
      <c r="CT386" s="141" t="str">
        <v>2125 CORPORACIONES DE AHORRO Y VIVIENDA</v>
      </c>
      <c r="CU386" s="141" t="str">
        <v>2125 CORPORACIONES DE AHORRO Y VIVIENDA</v>
      </c>
      <c r="CV386" s="141" t="str">
        <v>2125 CORPORACIONES DE AHORRO Y VIVIENDA</v>
      </c>
      <c r="CW386" s="141" t="str">
        <v>2125 CORPORACIONES DE AHORRO Y VIVIENDA</v>
      </c>
      <c r="CX386" s="141" t="str">
        <v>2125 CORPORACIONES DE AHORRO Y VIVIENDA</v>
      </c>
      <c r="CY386" s="141" t="str">
        <v>2125 CORPORACIONES DE AHORRO Y VIVIENDA</v>
      </c>
      <c r="CZ386" s="141" t="str">
        <v>2125 CORPORACIONES DE AHORRO Y VIVIENDA</v>
      </c>
      <c r="DA386" s="141" t="str">
        <v>2125 CORPORACIONES DE AHORRO Y VIVIENDA</v>
      </c>
      <c r="DF386" t="str">
        <v>2125 CORPORACIONES DE AHORRO Y VIVIENDA</v>
      </c>
      <c r="DG386" t="str">
        <v>2125 CORPORACIONES DE AHORRO Y VIVIENDA</v>
      </c>
      <c r="DH386" t="str">
        <v>2125 CORPORACIONES DE AHORRO Y VIVIENDA</v>
      </c>
      <c r="DI386" t="str">
        <v>2125 CORPORACIONES DE AHORRO Y VIVIENDA</v>
      </c>
      <c r="DJ386" t="str">
        <v>2125 CORPORACIONES DE AHORRO Y VIVIENDA</v>
      </c>
      <c r="DK386" t="str">
        <v>2125 CORPORACIONES DE AHORRO Y VIVIENDA</v>
      </c>
      <c r="DL386" t="str">
        <v>2125 CORPORACIONES DE AHORRO Y VIVIENDA</v>
      </c>
      <c r="DM386" t="str">
        <v>2125 CORPORACIONES DE AHORRO Y VIVIENDA</v>
      </c>
      <c r="DN386" t="str">
        <v>2125 CORPORACIONES DE AHORRO Y VIVIENDA</v>
      </c>
      <c r="DO386" t="str">
        <v>2125 CORPORACIONES DE AHORRO Y VIVIENDA</v>
      </c>
      <c r="DP386" t="str">
        <v>2125 CORPORACIONES DE AHORRO Y VIVIENDA</v>
      </c>
    </row>
    <row r="387" spans="4:120" ht="12.75">
      <c r="D387" s="7">
        <v>212505</v>
      </c>
      <c r="E387" s="6" t="s">
        <v>296</v>
      </c>
      <c r="F387" s="5">
        <v>4</v>
      </c>
      <c r="G387" s="34" t="s">
        <v>823</v>
      </c>
      <c r="H387" s="26" t="s">
        <v>765</v>
      </c>
      <c r="I387" t="b">
        <f>+ISNUMBER(SEARCH('F-COMPRA'!$F$28,Tabla11[[#This Row],[Cuenta]],1))</f>
        <v>1</v>
      </c>
      <c r="J387" t="b">
        <f>+ISNUMBER(SEARCH('F-COMPRA'!$F$29,Tabla11[[#This Row],[Cuenta]],1))</f>
        <v>1</v>
      </c>
      <c r="K387" t="b">
        <f>+ISNUMBER(SEARCH('F-COMPRA'!$F$30,Tabla11[[#This Row],[Cuenta]],1))</f>
        <v>1</v>
      </c>
      <c r="L387" t="b">
        <f>+ISNUMBER(SEARCH('F-COMPRA'!$F$31,Tabla11[[#This Row],[Cuenta]],1))</f>
        <v>1</v>
      </c>
      <c r="M387" t="b">
        <f>+ISNUMBER(SEARCH('F-COMPRA'!$G$25,Tabla11[[#This Row],[Cuenta]],1))</f>
        <v>0</v>
      </c>
      <c r="N387" t="b">
        <f>+ISNUMBER(SEARCH(#REF!,Tabla11[[#This Row],[Cuenta]],1))</f>
        <v>0</v>
      </c>
      <c r="O387" t="b">
        <f>+ISNUMBER(SEARCH(#REF!,Tabla11[[#This Row],[Cuenta]],1))</f>
        <v>0</v>
      </c>
      <c r="P387" t="b">
        <f>+ISNUMBER(SEARCH('F-COMPRA'!$F$32,Tabla11[[#This Row],[Cuenta]],1))</f>
        <v>1</v>
      </c>
      <c r="Q387" t="b">
        <f>+ISNUMBER(SEARCH('F-COMPRA'!$F$33,Tabla11[[#This Row],[Cuenta]],1))</f>
        <v>1</v>
      </c>
      <c r="R387" t="b">
        <f>+ISNUMBER(SEARCH('F-COMPRA'!$F$34,Tabla11[[#This Row],[Cuenta]],1))</f>
        <v>1</v>
      </c>
      <c r="S387" t="b">
        <f>+ISNUMBER(SEARCH('F-COMPRA'!$F$35,Tabla11[[#This Row],[Cuenta]],1))</f>
        <v>1</v>
      </c>
      <c r="T387" t="b">
        <f>+ISNUMBER(SEARCH('F-COMPRA'!$F$36,Tabla11[[#This Row],[Cuenta]],1))</f>
        <v>1</v>
      </c>
      <c r="U387" t="b">
        <f>+ISNUMBER(SEARCH('F-COMPRA'!$F$37,Tabla11[[#This Row],[Cuenta]],1))</f>
        <v>1</v>
      </c>
      <c r="V387" t="b">
        <f>+ISNUMBER(SEARCH(#REF!,Tabla11[[#This Row],[Cuenta]],1))</f>
        <v>0</v>
      </c>
      <c r="W387" t="b">
        <f>+ISNUMBER(SEARCH('F-COMPRA'!#REF!,Tabla11[[#This Row],[Cuenta]],1))</f>
        <v>0</v>
      </c>
      <c r="X387" t="b">
        <f>+ISNUMBER(SEARCH('F-COMPRA'!#REF!,Tabla11[[#This Row],[Cuenta]],1))</f>
        <v>0</v>
      </c>
      <c r="Y387" t="b">
        <f>+ISNUMBER(SEARCH('F-COMPRA'!#REF!,Tabla11[[#This Row],[Cuenta]],1))</f>
        <v>0</v>
      </c>
      <c r="Z387" t="b">
        <f>+ISNUMBER(SEARCH('F-COMPRA'!#REF!,Tabla11[[#This Row],[Cuenta]],1))</f>
        <v>0</v>
      </c>
      <c r="AA387" t="b">
        <f>+ISNUMBER(SEARCH('F-COMPRA'!#REF!,Tabla11[[#This Row],[Cuenta]],1))</f>
        <v>0</v>
      </c>
      <c r="AB387" t="b">
        <f>+ISNUMBER(SEARCH('F-COMPRA'!#REF!,Tabla11[[#This Row],[Cuenta]],1))</f>
        <v>0</v>
      </c>
      <c r="AC387" t="b">
        <f>+ISNUMBER(SEARCH('F-COMPRA'!#REF!,Tabla11[[#This Row],[Cuenta]],1))</f>
        <v>0</v>
      </c>
      <c r="AD387" t="b">
        <f>+ISNUMBER(SEARCH('F-COMPRA'!#REF!,Tabla11[[#This Row],[Cuenta]],1))</f>
        <v>0</v>
      </c>
      <c r="AE387" t="b">
        <f>+ISNUMBER(SEARCH('F-COMPRA'!#REF!,Tabla11[[#This Row],[Cuenta]],1))</f>
        <v>0</v>
      </c>
      <c r="AF387" t="b">
        <f>+ISNUMBER(SEARCH('F-VTA'!$G$23,Tabla11[[#This Row],[Cuenta]],1))</f>
        <v>0</v>
      </c>
      <c r="AG387" t="b">
        <f>+ISNUMBER(SEARCH('F-VTA'!$G$24,Tabla11[[#This Row],[Cuenta]],1))</f>
        <v>0</v>
      </c>
      <c r="AH387" t="b">
        <f>+ISNUMBER(SEARCH('F-VTA'!$G$25,Tabla11[[#This Row],[Cuenta]],1))</f>
        <v>0</v>
      </c>
      <c r="AI387" t="b">
        <f>+ISNUMBER(SEARCH('F-VTA'!$F$28,Tabla11[[#This Row],[Cuenta]],1))</f>
        <v>1</v>
      </c>
      <c r="AJ387" t="b">
        <f>+ISNUMBER(SEARCH('F-VTA'!$F$29,Tabla11[[#This Row],[Cuenta]],1))</f>
        <v>1</v>
      </c>
      <c r="AK387" t="b">
        <f>+ISNUMBER(SEARCH('F-VTA'!$F$30,Tabla11[[#This Row],[Cuenta]],1))</f>
        <v>1</v>
      </c>
      <c r="AL387" t="b">
        <f>+ISNUMBER(SEARCH('F-VTA'!$F$31,Tabla11[[#This Row],[Cuenta]],1))</f>
        <v>1</v>
      </c>
      <c r="AM387" t="b">
        <f>+ISNUMBER(SEARCH('F-VTA'!$F$32,Tabla11[[#This Row],[Cuenta]],1))</f>
        <v>1</v>
      </c>
      <c r="AN387" t="b">
        <f>+ISNUMBER(SEARCH('F-VTA'!$F$33,Tabla11[[#This Row],[Cuenta]],1))</f>
        <v>1</v>
      </c>
      <c r="AO387" t="b">
        <f>+ISNUMBER(SEARCH('F-VTA'!$F$34,Tabla11[[#This Row],[Cuenta]],1))</f>
        <v>1</v>
      </c>
      <c r="AP387" t="b">
        <f>+ISNUMBER(SEARCH('F-VTA'!$F$35,Tabla11[[#This Row],[Cuenta]],1))</f>
        <v>1</v>
      </c>
      <c r="AQ387" t="b">
        <f>+ISNUMBER(SEARCH('F-VTA'!$F$36,Tabla11[[#This Row],[Cuenta]],1))</f>
        <v>1</v>
      </c>
      <c r="AR387" t="b">
        <f>+ISNUMBER(SEARCH(#REF!,Tabla11[[#This Row],[Cuenta]],1))</f>
        <v>0</v>
      </c>
      <c r="AS387" t="b">
        <f>+ISNUMBER(SEARCH(#REF!,Tabla11[[#This Row],[Cuenta]],1))</f>
        <v>0</v>
      </c>
      <c r="AT387" t="b">
        <f>+ISNUMBER(SEARCH(#REF!,Tabla11[[#This Row],[Cuenta]],1))</f>
        <v>0</v>
      </c>
      <c r="AU387" t="b">
        <f>+ISNUMBER(SEARCH('Conc. Ban.1'!$I$9,Tabla11[[#This Row],[Cuenta]],1))</f>
        <v>0</v>
      </c>
      <c r="AV387" t="b">
        <f>+ISNUMBER(SEARCH(CompConta!$F$21,Tabla11[[#This Row],[Cuenta]],1))</f>
        <v>1</v>
      </c>
      <c r="AW387" t="b">
        <f>+ISNUMBER(SEARCH(CompConta!$F$22,Tabla11[[#This Row],[Cuenta]],1))</f>
        <v>1</v>
      </c>
      <c r="AX387" t="b">
        <f>+ISNUMBER(SEARCH(CompConta!$F$23,Tabla11[[#This Row],[Cuenta]],1))</f>
        <v>1</v>
      </c>
      <c r="AY387" t="b">
        <f>+ISNUMBER(SEARCH(CompConta!$F$24,Tabla11[[#This Row],[Cuenta]],1))</f>
        <v>1</v>
      </c>
      <c r="AZ387" t="b">
        <f>+ISNUMBER(SEARCH(CompConta!$F$25,Tabla11[[#This Row],[Cuenta]],1))</f>
        <v>1</v>
      </c>
      <c r="BA387" t="b">
        <f>+ISNUMBER(SEARCH(CompConta!$F$26,Tabla11[[#This Row],[Cuenta]],1))</f>
        <v>1</v>
      </c>
      <c r="BB387" t="b">
        <f>+ISNUMBER(SEARCH(CompConta!$F$27,Tabla11[[#This Row],[Cuenta]],1))</f>
        <v>1</v>
      </c>
      <c r="BC387" t="b">
        <f>+ISNUMBER(SEARCH(CompConta!$F$28,Tabla11[[#This Row],[Cuenta]],1))</f>
        <v>1</v>
      </c>
      <c r="BD387" t="b">
        <f>+ISNUMBER(SEARCH(CompConta!$F$29,Tabla11[[#This Row],[Cuenta]],1))</f>
        <v>1</v>
      </c>
      <c r="BE387" t="b">
        <f>+ISNUMBER(SEARCH(CompConta!$F$30,Tabla11[[#This Row],[Cuenta]],1))</f>
        <v>1</v>
      </c>
      <c r="BF387" t="b">
        <f>+ISNUMBER(SEARCH('PAGO Compras'!$E$11,Tabla11[[#This Row],[Cuenta]],1))</f>
        <v>1</v>
      </c>
      <c r="BG387" t="b">
        <f>+ISNUMBER(SEARCH(#REF!,Tabla11[[#This Row],[Cuenta]],1))</f>
        <v>0</v>
      </c>
      <c r="BH387" t="b">
        <f>+ISNUMBER(SEARCH(#REF!,Tabla11[[#This Row],[Cuenta]],1))</f>
        <v>0</v>
      </c>
      <c r="BI387" t="b">
        <f>+ISNUMBER(SEARCH(#REF!,Tabla11[[#This Row],[Cuenta]],1))</f>
        <v>0</v>
      </c>
      <c r="BJ387" t="b">
        <f>+ISNUMBER(SEARCH(#REF!,Tabla11[[#This Row],[Cuenta]],1))</f>
        <v>0</v>
      </c>
      <c r="BS387" t="str">
        <v>212505 Sobregiros</v>
      </c>
      <c r="BT387" t="str">
        <v>212505 Sobregiros</v>
      </c>
      <c r="BU387" t="str">
        <v>212505 Sobregiros</v>
      </c>
      <c r="BV387" t="str">
        <v>212505 Sobregiros</v>
      </c>
      <c r="BZ387" t="str">
        <v>212505 Sobregiros</v>
      </c>
      <c r="CA387" t="str">
        <v>212505 Sobregiros</v>
      </c>
      <c r="CB387" t="str">
        <v>212505 Sobregiros</v>
      </c>
      <c r="CC387" t="str">
        <v>212505 Sobregiros</v>
      </c>
      <c r="CD387" t="str">
        <v>212505 Sobregiros</v>
      </c>
      <c r="CE387" t="str">
        <v>212505 Sobregiros</v>
      </c>
      <c r="CS387" s="141" t="str">
        <v>212505 Sobregiros</v>
      </c>
      <c r="CT387" s="141" t="str">
        <v>212505 Sobregiros</v>
      </c>
      <c r="CU387" s="141" t="str">
        <v>212505 Sobregiros</v>
      </c>
      <c r="CV387" s="141" t="str">
        <v>212505 Sobregiros</v>
      </c>
      <c r="CW387" s="141" t="str">
        <v>212505 Sobregiros</v>
      </c>
      <c r="CX387" s="141" t="str">
        <v>212505 Sobregiros</v>
      </c>
      <c r="CY387" s="141" t="str">
        <v>212505 Sobregiros</v>
      </c>
      <c r="CZ387" s="141" t="str">
        <v>212505 Sobregiros</v>
      </c>
      <c r="DA387" s="141" t="str">
        <v>212505 Sobregiros</v>
      </c>
      <c r="DF387" t="str">
        <v>212505 Sobregiros</v>
      </c>
      <c r="DG387" t="str">
        <v>212505 Sobregiros</v>
      </c>
      <c r="DH387" t="str">
        <v>212505 Sobregiros</v>
      </c>
      <c r="DI387" t="str">
        <v>212505 Sobregiros</v>
      </c>
      <c r="DJ387" t="str">
        <v>212505 Sobregiros</v>
      </c>
      <c r="DK387" t="str">
        <v>212505 Sobregiros</v>
      </c>
      <c r="DL387" t="str">
        <v>212505 Sobregiros</v>
      </c>
      <c r="DM387" t="str">
        <v>212505 Sobregiros</v>
      </c>
      <c r="DN387" t="str">
        <v>212505 Sobregiros</v>
      </c>
      <c r="DO387" t="str">
        <v>212505 Sobregiros</v>
      </c>
      <c r="DP387" t="str">
        <v>212505 Sobregiros</v>
      </c>
    </row>
    <row r="388" spans="4:120" ht="12.75">
      <c r="D388" s="7">
        <v>212510</v>
      </c>
      <c r="E388" s="6" t="s">
        <v>297</v>
      </c>
      <c r="F388" s="5">
        <v>4</v>
      </c>
      <c r="G388" s="34" t="s">
        <v>823</v>
      </c>
      <c r="H388" s="26" t="s">
        <v>765</v>
      </c>
      <c r="I388" t="b">
        <f>+ISNUMBER(SEARCH('F-COMPRA'!$F$28,Tabla11[[#This Row],[Cuenta]],1))</f>
        <v>1</v>
      </c>
      <c r="J388" t="b">
        <f>+ISNUMBER(SEARCH('F-COMPRA'!$F$29,Tabla11[[#This Row],[Cuenta]],1))</f>
        <v>1</v>
      </c>
      <c r="K388" t="b">
        <f>+ISNUMBER(SEARCH('F-COMPRA'!$F$30,Tabla11[[#This Row],[Cuenta]],1))</f>
        <v>1</v>
      </c>
      <c r="L388" t="b">
        <f>+ISNUMBER(SEARCH('F-COMPRA'!$F$31,Tabla11[[#This Row],[Cuenta]],1))</f>
        <v>1</v>
      </c>
      <c r="M388" t="b">
        <f>+ISNUMBER(SEARCH('F-COMPRA'!$G$25,Tabla11[[#This Row],[Cuenta]],1))</f>
        <v>0</v>
      </c>
      <c r="N388" t="b">
        <f>+ISNUMBER(SEARCH(#REF!,Tabla11[[#This Row],[Cuenta]],1))</f>
        <v>0</v>
      </c>
      <c r="O388" t="b">
        <f>+ISNUMBER(SEARCH(#REF!,Tabla11[[#This Row],[Cuenta]],1))</f>
        <v>0</v>
      </c>
      <c r="P388" t="b">
        <f>+ISNUMBER(SEARCH('F-COMPRA'!$F$32,Tabla11[[#This Row],[Cuenta]],1))</f>
        <v>1</v>
      </c>
      <c r="Q388" t="b">
        <f>+ISNUMBER(SEARCH('F-COMPRA'!$F$33,Tabla11[[#This Row],[Cuenta]],1))</f>
        <v>1</v>
      </c>
      <c r="R388" t="b">
        <f>+ISNUMBER(SEARCH('F-COMPRA'!$F$34,Tabla11[[#This Row],[Cuenta]],1))</f>
        <v>1</v>
      </c>
      <c r="S388" t="b">
        <f>+ISNUMBER(SEARCH('F-COMPRA'!$F$35,Tabla11[[#This Row],[Cuenta]],1))</f>
        <v>1</v>
      </c>
      <c r="T388" t="b">
        <f>+ISNUMBER(SEARCH('F-COMPRA'!$F$36,Tabla11[[#This Row],[Cuenta]],1))</f>
        <v>1</v>
      </c>
      <c r="U388" t="b">
        <f>+ISNUMBER(SEARCH('F-COMPRA'!$F$37,Tabla11[[#This Row],[Cuenta]],1))</f>
        <v>1</v>
      </c>
      <c r="V388" t="b">
        <f>+ISNUMBER(SEARCH(#REF!,Tabla11[[#This Row],[Cuenta]],1))</f>
        <v>0</v>
      </c>
      <c r="W388" t="b">
        <f>+ISNUMBER(SEARCH('F-COMPRA'!#REF!,Tabla11[[#This Row],[Cuenta]],1))</f>
        <v>0</v>
      </c>
      <c r="X388" t="b">
        <f>+ISNUMBER(SEARCH('F-COMPRA'!#REF!,Tabla11[[#This Row],[Cuenta]],1))</f>
        <v>0</v>
      </c>
      <c r="Y388" t="b">
        <f>+ISNUMBER(SEARCH('F-COMPRA'!#REF!,Tabla11[[#This Row],[Cuenta]],1))</f>
        <v>0</v>
      </c>
      <c r="Z388" t="b">
        <f>+ISNUMBER(SEARCH('F-COMPRA'!#REF!,Tabla11[[#This Row],[Cuenta]],1))</f>
        <v>0</v>
      </c>
      <c r="AA388" t="b">
        <f>+ISNUMBER(SEARCH('F-COMPRA'!#REF!,Tabla11[[#This Row],[Cuenta]],1))</f>
        <v>0</v>
      </c>
      <c r="AB388" t="b">
        <f>+ISNUMBER(SEARCH('F-COMPRA'!#REF!,Tabla11[[#This Row],[Cuenta]],1))</f>
        <v>0</v>
      </c>
      <c r="AC388" t="b">
        <f>+ISNUMBER(SEARCH('F-COMPRA'!#REF!,Tabla11[[#This Row],[Cuenta]],1))</f>
        <v>0</v>
      </c>
      <c r="AD388" t="b">
        <f>+ISNUMBER(SEARCH('F-COMPRA'!#REF!,Tabla11[[#This Row],[Cuenta]],1))</f>
        <v>0</v>
      </c>
      <c r="AE388" t="b">
        <f>+ISNUMBER(SEARCH('F-COMPRA'!#REF!,Tabla11[[#This Row],[Cuenta]],1))</f>
        <v>0</v>
      </c>
      <c r="AF388" t="b">
        <f>+ISNUMBER(SEARCH('F-VTA'!$G$23,Tabla11[[#This Row],[Cuenta]],1))</f>
        <v>0</v>
      </c>
      <c r="AG388" t="b">
        <f>+ISNUMBER(SEARCH('F-VTA'!$G$24,Tabla11[[#This Row],[Cuenta]],1))</f>
        <v>0</v>
      </c>
      <c r="AH388" t="b">
        <f>+ISNUMBER(SEARCH('F-VTA'!$G$25,Tabla11[[#This Row],[Cuenta]],1))</f>
        <v>0</v>
      </c>
      <c r="AI388" t="b">
        <f>+ISNUMBER(SEARCH('F-VTA'!$F$28,Tabla11[[#This Row],[Cuenta]],1))</f>
        <v>1</v>
      </c>
      <c r="AJ388" t="b">
        <f>+ISNUMBER(SEARCH('F-VTA'!$F$29,Tabla11[[#This Row],[Cuenta]],1))</f>
        <v>1</v>
      </c>
      <c r="AK388" t="b">
        <f>+ISNUMBER(SEARCH('F-VTA'!$F$30,Tabla11[[#This Row],[Cuenta]],1))</f>
        <v>1</v>
      </c>
      <c r="AL388" t="b">
        <f>+ISNUMBER(SEARCH('F-VTA'!$F$31,Tabla11[[#This Row],[Cuenta]],1))</f>
        <v>1</v>
      </c>
      <c r="AM388" t="b">
        <f>+ISNUMBER(SEARCH('F-VTA'!$F$32,Tabla11[[#This Row],[Cuenta]],1))</f>
        <v>1</v>
      </c>
      <c r="AN388" t="b">
        <f>+ISNUMBER(SEARCH('F-VTA'!$F$33,Tabla11[[#This Row],[Cuenta]],1))</f>
        <v>1</v>
      </c>
      <c r="AO388" t="b">
        <f>+ISNUMBER(SEARCH('F-VTA'!$F$34,Tabla11[[#This Row],[Cuenta]],1))</f>
        <v>1</v>
      </c>
      <c r="AP388" t="b">
        <f>+ISNUMBER(SEARCH('F-VTA'!$F$35,Tabla11[[#This Row],[Cuenta]],1))</f>
        <v>1</v>
      </c>
      <c r="AQ388" t="b">
        <f>+ISNUMBER(SEARCH('F-VTA'!$F$36,Tabla11[[#This Row],[Cuenta]],1))</f>
        <v>1</v>
      </c>
      <c r="AR388" t="b">
        <f>+ISNUMBER(SEARCH(#REF!,Tabla11[[#This Row],[Cuenta]],1))</f>
        <v>0</v>
      </c>
      <c r="AS388" t="b">
        <f>+ISNUMBER(SEARCH(#REF!,Tabla11[[#This Row],[Cuenta]],1))</f>
        <v>0</v>
      </c>
      <c r="AT388" t="b">
        <f>+ISNUMBER(SEARCH(#REF!,Tabla11[[#This Row],[Cuenta]],1))</f>
        <v>0</v>
      </c>
      <c r="AU388" t="b">
        <f>+ISNUMBER(SEARCH('Conc. Ban.1'!$I$9,Tabla11[[#This Row],[Cuenta]],1))</f>
        <v>0</v>
      </c>
      <c r="AV388" t="b">
        <f>+ISNUMBER(SEARCH(CompConta!$F$21,Tabla11[[#This Row],[Cuenta]],1))</f>
        <v>1</v>
      </c>
      <c r="AW388" t="b">
        <f>+ISNUMBER(SEARCH(CompConta!$F$22,Tabla11[[#This Row],[Cuenta]],1))</f>
        <v>1</v>
      </c>
      <c r="AX388" t="b">
        <f>+ISNUMBER(SEARCH(CompConta!$F$23,Tabla11[[#This Row],[Cuenta]],1))</f>
        <v>1</v>
      </c>
      <c r="AY388" t="b">
        <f>+ISNUMBER(SEARCH(CompConta!$F$24,Tabla11[[#This Row],[Cuenta]],1))</f>
        <v>1</v>
      </c>
      <c r="AZ388" t="b">
        <f>+ISNUMBER(SEARCH(CompConta!$F$25,Tabla11[[#This Row],[Cuenta]],1))</f>
        <v>1</v>
      </c>
      <c r="BA388" t="b">
        <f>+ISNUMBER(SEARCH(CompConta!$F$26,Tabla11[[#This Row],[Cuenta]],1))</f>
        <v>1</v>
      </c>
      <c r="BB388" t="b">
        <f>+ISNUMBER(SEARCH(CompConta!$F$27,Tabla11[[#This Row],[Cuenta]],1))</f>
        <v>1</v>
      </c>
      <c r="BC388" t="b">
        <f>+ISNUMBER(SEARCH(CompConta!$F$28,Tabla11[[#This Row],[Cuenta]],1))</f>
        <v>1</v>
      </c>
      <c r="BD388" t="b">
        <f>+ISNUMBER(SEARCH(CompConta!$F$29,Tabla11[[#This Row],[Cuenta]],1))</f>
        <v>1</v>
      </c>
      <c r="BE388" t="b">
        <f>+ISNUMBER(SEARCH(CompConta!$F$30,Tabla11[[#This Row],[Cuenta]],1))</f>
        <v>1</v>
      </c>
      <c r="BF388" t="b">
        <f>+ISNUMBER(SEARCH('PAGO Compras'!$E$11,Tabla11[[#This Row],[Cuenta]],1))</f>
        <v>1</v>
      </c>
      <c r="BG388" t="b">
        <f>+ISNUMBER(SEARCH(#REF!,Tabla11[[#This Row],[Cuenta]],1))</f>
        <v>0</v>
      </c>
      <c r="BH388" t="b">
        <f>+ISNUMBER(SEARCH(#REF!,Tabla11[[#This Row],[Cuenta]],1))</f>
        <v>0</v>
      </c>
      <c r="BI388" t="b">
        <f>+ISNUMBER(SEARCH(#REF!,Tabla11[[#This Row],[Cuenta]],1))</f>
        <v>0</v>
      </c>
      <c r="BJ388" t="b">
        <f>+ISNUMBER(SEARCH(#REF!,Tabla11[[#This Row],[Cuenta]],1))</f>
        <v>0</v>
      </c>
      <c r="BS388" t="str">
        <v>212510 Pagarés</v>
      </c>
      <c r="BT388" t="str">
        <v>212510 Pagarés</v>
      </c>
      <c r="BU388" t="str">
        <v>212510 Pagarés</v>
      </c>
      <c r="BV388" t="str">
        <v>212510 Pagarés</v>
      </c>
      <c r="BZ388" t="str">
        <v>212510 Pagarés</v>
      </c>
      <c r="CA388" t="str">
        <v>212510 Pagarés</v>
      </c>
      <c r="CB388" t="str">
        <v>212510 Pagarés</v>
      </c>
      <c r="CC388" t="str">
        <v>212510 Pagarés</v>
      </c>
      <c r="CD388" t="str">
        <v>212510 Pagarés</v>
      </c>
      <c r="CE388" t="str">
        <v>212510 Pagarés</v>
      </c>
      <c r="CS388" s="141" t="str">
        <v>212510 Pagarés</v>
      </c>
      <c r="CT388" s="141" t="str">
        <v>212510 Pagarés</v>
      </c>
      <c r="CU388" s="141" t="str">
        <v>212510 Pagarés</v>
      </c>
      <c r="CV388" s="141" t="str">
        <v>212510 Pagarés</v>
      </c>
      <c r="CW388" s="141" t="str">
        <v>212510 Pagarés</v>
      </c>
      <c r="CX388" s="141" t="str">
        <v>212510 Pagarés</v>
      </c>
      <c r="CY388" s="141" t="str">
        <v>212510 Pagarés</v>
      </c>
      <c r="CZ388" s="141" t="str">
        <v>212510 Pagarés</v>
      </c>
      <c r="DA388" s="141" t="str">
        <v>212510 Pagarés</v>
      </c>
      <c r="DF388" t="str">
        <v>212510 Pagarés</v>
      </c>
      <c r="DG388" t="str">
        <v>212510 Pagarés</v>
      </c>
      <c r="DH388" t="str">
        <v>212510 Pagarés</v>
      </c>
      <c r="DI388" t="str">
        <v>212510 Pagarés</v>
      </c>
      <c r="DJ388" t="str">
        <v>212510 Pagarés</v>
      </c>
      <c r="DK388" t="str">
        <v>212510 Pagarés</v>
      </c>
      <c r="DL388" t="str">
        <v>212510 Pagarés</v>
      </c>
      <c r="DM388" t="str">
        <v>212510 Pagarés</v>
      </c>
      <c r="DN388" t="str">
        <v>212510 Pagarés</v>
      </c>
      <c r="DO388" t="str">
        <v>212510 Pagarés</v>
      </c>
      <c r="DP388" t="str">
        <v>212510 Pagarés</v>
      </c>
    </row>
    <row r="389" spans="4:120" ht="12.75">
      <c r="D389" s="7">
        <v>212515</v>
      </c>
      <c r="E389" s="6" t="s">
        <v>306</v>
      </c>
      <c r="F389" s="5">
        <v>4</v>
      </c>
      <c r="G389" s="34" t="s">
        <v>823</v>
      </c>
      <c r="H389" s="26" t="s">
        <v>765</v>
      </c>
      <c r="I389" t="b">
        <f>+ISNUMBER(SEARCH('F-COMPRA'!$F$28,Tabla11[[#This Row],[Cuenta]],1))</f>
        <v>1</v>
      </c>
      <c r="J389" t="b">
        <f>+ISNUMBER(SEARCH('F-COMPRA'!$F$29,Tabla11[[#This Row],[Cuenta]],1))</f>
        <v>1</v>
      </c>
      <c r="K389" t="b">
        <f>+ISNUMBER(SEARCH('F-COMPRA'!$F$30,Tabla11[[#This Row],[Cuenta]],1))</f>
        <v>1</v>
      </c>
      <c r="L389" t="b">
        <f>+ISNUMBER(SEARCH('F-COMPRA'!$F$31,Tabla11[[#This Row],[Cuenta]],1))</f>
        <v>1</v>
      </c>
      <c r="M389" t="b">
        <f>+ISNUMBER(SEARCH('F-COMPRA'!$G$25,Tabla11[[#This Row],[Cuenta]],1))</f>
        <v>0</v>
      </c>
      <c r="N389" t="b">
        <f>+ISNUMBER(SEARCH(#REF!,Tabla11[[#This Row],[Cuenta]],1))</f>
        <v>0</v>
      </c>
      <c r="O389" t="b">
        <f>+ISNUMBER(SEARCH(#REF!,Tabla11[[#This Row],[Cuenta]],1))</f>
        <v>0</v>
      </c>
      <c r="P389" t="b">
        <f>+ISNUMBER(SEARCH('F-COMPRA'!$F$32,Tabla11[[#This Row],[Cuenta]],1))</f>
        <v>1</v>
      </c>
      <c r="Q389" t="b">
        <f>+ISNUMBER(SEARCH('F-COMPRA'!$F$33,Tabla11[[#This Row],[Cuenta]],1))</f>
        <v>1</v>
      </c>
      <c r="R389" t="b">
        <f>+ISNUMBER(SEARCH('F-COMPRA'!$F$34,Tabla11[[#This Row],[Cuenta]],1))</f>
        <v>1</v>
      </c>
      <c r="S389" t="b">
        <f>+ISNUMBER(SEARCH('F-COMPRA'!$F$35,Tabla11[[#This Row],[Cuenta]],1))</f>
        <v>1</v>
      </c>
      <c r="T389" t="b">
        <f>+ISNUMBER(SEARCH('F-COMPRA'!$F$36,Tabla11[[#This Row],[Cuenta]],1))</f>
        <v>1</v>
      </c>
      <c r="U389" t="b">
        <f>+ISNUMBER(SEARCH('F-COMPRA'!$F$37,Tabla11[[#This Row],[Cuenta]],1))</f>
        <v>1</v>
      </c>
      <c r="V389" t="b">
        <f>+ISNUMBER(SEARCH(#REF!,Tabla11[[#This Row],[Cuenta]],1))</f>
        <v>0</v>
      </c>
      <c r="W389" t="b">
        <f>+ISNUMBER(SEARCH('F-COMPRA'!#REF!,Tabla11[[#This Row],[Cuenta]],1))</f>
        <v>0</v>
      </c>
      <c r="X389" t="b">
        <f>+ISNUMBER(SEARCH('F-COMPRA'!#REF!,Tabla11[[#This Row],[Cuenta]],1))</f>
        <v>0</v>
      </c>
      <c r="Y389" t="b">
        <f>+ISNUMBER(SEARCH('F-COMPRA'!#REF!,Tabla11[[#This Row],[Cuenta]],1))</f>
        <v>0</v>
      </c>
      <c r="Z389" t="b">
        <f>+ISNUMBER(SEARCH('F-COMPRA'!#REF!,Tabla11[[#This Row],[Cuenta]],1))</f>
        <v>0</v>
      </c>
      <c r="AA389" t="b">
        <f>+ISNUMBER(SEARCH('F-COMPRA'!#REF!,Tabla11[[#This Row],[Cuenta]],1))</f>
        <v>0</v>
      </c>
      <c r="AB389" t="b">
        <f>+ISNUMBER(SEARCH('F-COMPRA'!#REF!,Tabla11[[#This Row],[Cuenta]],1))</f>
        <v>0</v>
      </c>
      <c r="AC389" t="b">
        <f>+ISNUMBER(SEARCH('F-COMPRA'!#REF!,Tabla11[[#This Row],[Cuenta]],1))</f>
        <v>0</v>
      </c>
      <c r="AD389" t="b">
        <f>+ISNUMBER(SEARCH('F-COMPRA'!#REF!,Tabla11[[#This Row],[Cuenta]],1))</f>
        <v>0</v>
      </c>
      <c r="AE389" t="b">
        <f>+ISNUMBER(SEARCH('F-COMPRA'!#REF!,Tabla11[[#This Row],[Cuenta]],1))</f>
        <v>0</v>
      </c>
      <c r="AF389" t="b">
        <f>+ISNUMBER(SEARCH('F-VTA'!$G$23,Tabla11[[#This Row],[Cuenta]],1))</f>
        <v>0</v>
      </c>
      <c r="AG389" t="b">
        <f>+ISNUMBER(SEARCH('F-VTA'!$G$24,Tabla11[[#This Row],[Cuenta]],1))</f>
        <v>0</v>
      </c>
      <c r="AH389" t="b">
        <f>+ISNUMBER(SEARCH('F-VTA'!$G$25,Tabla11[[#This Row],[Cuenta]],1))</f>
        <v>0</v>
      </c>
      <c r="AI389" t="b">
        <f>+ISNUMBER(SEARCH('F-VTA'!$F$28,Tabla11[[#This Row],[Cuenta]],1))</f>
        <v>1</v>
      </c>
      <c r="AJ389" t="b">
        <f>+ISNUMBER(SEARCH('F-VTA'!$F$29,Tabla11[[#This Row],[Cuenta]],1))</f>
        <v>1</v>
      </c>
      <c r="AK389" t="b">
        <f>+ISNUMBER(SEARCH('F-VTA'!$F$30,Tabla11[[#This Row],[Cuenta]],1))</f>
        <v>1</v>
      </c>
      <c r="AL389" t="b">
        <f>+ISNUMBER(SEARCH('F-VTA'!$F$31,Tabla11[[#This Row],[Cuenta]],1))</f>
        <v>1</v>
      </c>
      <c r="AM389" t="b">
        <f>+ISNUMBER(SEARCH('F-VTA'!$F$32,Tabla11[[#This Row],[Cuenta]],1))</f>
        <v>1</v>
      </c>
      <c r="AN389" t="b">
        <f>+ISNUMBER(SEARCH('F-VTA'!$F$33,Tabla11[[#This Row],[Cuenta]],1))</f>
        <v>1</v>
      </c>
      <c r="AO389" t="b">
        <f>+ISNUMBER(SEARCH('F-VTA'!$F$34,Tabla11[[#This Row],[Cuenta]],1))</f>
        <v>1</v>
      </c>
      <c r="AP389" t="b">
        <f>+ISNUMBER(SEARCH('F-VTA'!$F$35,Tabla11[[#This Row],[Cuenta]],1))</f>
        <v>1</v>
      </c>
      <c r="AQ389" t="b">
        <f>+ISNUMBER(SEARCH('F-VTA'!$F$36,Tabla11[[#This Row],[Cuenta]],1))</f>
        <v>1</v>
      </c>
      <c r="AR389" t="b">
        <f>+ISNUMBER(SEARCH(#REF!,Tabla11[[#This Row],[Cuenta]],1))</f>
        <v>0</v>
      </c>
      <c r="AS389" t="b">
        <f>+ISNUMBER(SEARCH(#REF!,Tabla11[[#This Row],[Cuenta]],1))</f>
        <v>0</v>
      </c>
      <c r="AT389" t="b">
        <f>+ISNUMBER(SEARCH(#REF!,Tabla11[[#This Row],[Cuenta]],1))</f>
        <v>0</v>
      </c>
      <c r="AU389" t="b">
        <f>+ISNUMBER(SEARCH('Conc. Ban.1'!$I$9,Tabla11[[#This Row],[Cuenta]],1))</f>
        <v>0</v>
      </c>
      <c r="AV389" t="b">
        <f>+ISNUMBER(SEARCH(CompConta!$F$21,Tabla11[[#This Row],[Cuenta]],1))</f>
        <v>1</v>
      </c>
      <c r="AW389" t="b">
        <f>+ISNUMBER(SEARCH(CompConta!$F$22,Tabla11[[#This Row],[Cuenta]],1))</f>
        <v>1</v>
      </c>
      <c r="AX389" t="b">
        <f>+ISNUMBER(SEARCH(CompConta!$F$23,Tabla11[[#This Row],[Cuenta]],1))</f>
        <v>1</v>
      </c>
      <c r="AY389" t="b">
        <f>+ISNUMBER(SEARCH(CompConta!$F$24,Tabla11[[#This Row],[Cuenta]],1))</f>
        <v>1</v>
      </c>
      <c r="AZ389" t="b">
        <f>+ISNUMBER(SEARCH(CompConta!$F$25,Tabla11[[#This Row],[Cuenta]],1))</f>
        <v>1</v>
      </c>
      <c r="BA389" t="b">
        <f>+ISNUMBER(SEARCH(CompConta!$F$26,Tabla11[[#This Row],[Cuenta]],1))</f>
        <v>1</v>
      </c>
      <c r="BB389" t="b">
        <f>+ISNUMBER(SEARCH(CompConta!$F$27,Tabla11[[#This Row],[Cuenta]],1))</f>
        <v>1</v>
      </c>
      <c r="BC389" t="b">
        <f>+ISNUMBER(SEARCH(CompConta!$F$28,Tabla11[[#This Row],[Cuenta]],1))</f>
        <v>1</v>
      </c>
      <c r="BD389" t="b">
        <f>+ISNUMBER(SEARCH(CompConta!$F$29,Tabla11[[#This Row],[Cuenta]],1))</f>
        <v>1</v>
      </c>
      <c r="BE389" t="b">
        <f>+ISNUMBER(SEARCH(CompConta!$F$30,Tabla11[[#This Row],[Cuenta]],1))</f>
        <v>1</v>
      </c>
      <c r="BF389" t="b">
        <f>+ISNUMBER(SEARCH('PAGO Compras'!$E$11,Tabla11[[#This Row],[Cuenta]],1))</f>
        <v>1</v>
      </c>
      <c r="BG389" t="b">
        <f>+ISNUMBER(SEARCH(#REF!,Tabla11[[#This Row],[Cuenta]],1))</f>
        <v>0</v>
      </c>
      <c r="BH389" t="b">
        <f>+ISNUMBER(SEARCH(#REF!,Tabla11[[#This Row],[Cuenta]],1))</f>
        <v>0</v>
      </c>
      <c r="BI389" t="b">
        <f>+ISNUMBER(SEARCH(#REF!,Tabla11[[#This Row],[Cuenta]],1))</f>
        <v>0</v>
      </c>
      <c r="BJ389" t="b">
        <f>+ISNUMBER(SEARCH(#REF!,Tabla11[[#This Row],[Cuenta]],1))</f>
        <v>0</v>
      </c>
      <c r="BS389" t="str">
        <v>212515 Hipotecarias</v>
      </c>
      <c r="BT389" t="str">
        <v>212515 Hipotecarias</v>
      </c>
      <c r="BU389" t="str">
        <v>212515 Hipotecarias</v>
      </c>
      <c r="BV389" t="str">
        <v>212515 Hipotecarias</v>
      </c>
      <c r="BZ389" t="str">
        <v>212515 Hipotecarias</v>
      </c>
      <c r="CA389" t="str">
        <v>212515 Hipotecarias</v>
      </c>
      <c r="CB389" t="str">
        <v>212515 Hipotecarias</v>
      </c>
      <c r="CC389" t="str">
        <v>212515 Hipotecarias</v>
      </c>
      <c r="CD389" t="str">
        <v>212515 Hipotecarias</v>
      </c>
      <c r="CE389" t="str">
        <v>212515 Hipotecarias</v>
      </c>
      <c r="CS389" s="141" t="str">
        <v>212515 Hipotecarias</v>
      </c>
      <c r="CT389" s="141" t="str">
        <v>212515 Hipotecarias</v>
      </c>
      <c r="CU389" s="141" t="str">
        <v>212515 Hipotecarias</v>
      </c>
      <c r="CV389" s="141" t="str">
        <v>212515 Hipotecarias</v>
      </c>
      <c r="CW389" s="141" t="str">
        <v>212515 Hipotecarias</v>
      </c>
      <c r="CX389" s="141" t="str">
        <v>212515 Hipotecarias</v>
      </c>
      <c r="CY389" s="141" t="str">
        <v>212515 Hipotecarias</v>
      </c>
      <c r="CZ389" s="141" t="str">
        <v>212515 Hipotecarias</v>
      </c>
      <c r="DA389" s="141" t="str">
        <v>212515 Hipotecarias</v>
      </c>
      <c r="DF389" t="str">
        <v>212515 Hipotecarias</v>
      </c>
      <c r="DG389" t="str">
        <v>212515 Hipotecarias</v>
      </c>
      <c r="DH389" t="str">
        <v>212515 Hipotecarias</v>
      </c>
      <c r="DI389" t="str">
        <v>212515 Hipotecarias</v>
      </c>
      <c r="DJ389" t="str">
        <v>212515 Hipotecarias</v>
      </c>
      <c r="DK389" t="str">
        <v>212515 Hipotecarias</v>
      </c>
      <c r="DL389" t="str">
        <v>212515 Hipotecarias</v>
      </c>
      <c r="DM389" t="str">
        <v>212515 Hipotecarias</v>
      </c>
      <c r="DN389" t="str">
        <v>212515 Hipotecarias</v>
      </c>
      <c r="DO389" t="str">
        <v>212515 Hipotecarias</v>
      </c>
      <c r="DP389" t="str">
        <v>212515 Hipotecarias</v>
      </c>
    </row>
    <row r="390" spans="4:120" ht="12.75">
      <c r="D390" s="7">
        <v>2130</v>
      </c>
      <c r="E390" s="6" t="s">
        <v>307</v>
      </c>
      <c r="F390" s="5">
        <v>3</v>
      </c>
      <c r="G390" s="34" t="s">
        <v>823</v>
      </c>
      <c r="H390" s="26" t="s">
        <v>765</v>
      </c>
      <c r="I390" t="b">
        <f>+ISNUMBER(SEARCH('F-COMPRA'!$F$28,Tabla11[[#This Row],[Cuenta]],1))</f>
        <v>1</v>
      </c>
      <c r="J390" t="b">
        <f>+ISNUMBER(SEARCH('F-COMPRA'!$F$29,Tabla11[[#This Row],[Cuenta]],1))</f>
        <v>1</v>
      </c>
      <c r="K390" t="b">
        <f>+ISNUMBER(SEARCH('F-COMPRA'!$F$30,Tabla11[[#This Row],[Cuenta]],1))</f>
        <v>1</v>
      </c>
      <c r="L390" t="b">
        <f>+ISNUMBER(SEARCH('F-COMPRA'!$F$31,Tabla11[[#This Row],[Cuenta]],1))</f>
        <v>1</v>
      </c>
      <c r="M390" t="b">
        <f>+ISNUMBER(SEARCH('F-COMPRA'!$G$25,Tabla11[[#This Row],[Cuenta]],1))</f>
        <v>0</v>
      </c>
      <c r="N390" t="b">
        <f>+ISNUMBER(SEARCH(#REF!,Tabla11[[#This Row],[Cuenta]],1))</f>
        <v>0</v>
      </c>
      <c r="O390" t="b">
        <f>+ISNUMBER(SEARCH(#REF!,Tabla11[[#This Row],[Cuenta]],1))</f>
        <v>0</v>
      </c>
      <c r="P390" t="b">
        <f>+ISNUMBER(SEARCH('F-COMPRA'!$F$32,Tabla11[[#This Row],[Cuenta]],1))</f>
        <v>1</v>
      </c>
      <c r="Q390" t="b">
        <f>+ISNUMBER(SEARCH('F-COMPRA'!$F$33,Tabla11[[#This Row],[Cuenta]],1))</f>
        <v>1</v>
      </c>
      <c r="R390" t="b">
        <f>+ISNUMBER(SEARCH('F-COMPRA'!$F$34,Tabla11[[#This Row],[Cuenta]],1))</f>
        <v>1</v>
      </c>
      <c r="S390" t="b">
        <f>+ISNUMBER(SEARCH('F-COMPRA'!$F$35,Tabla11[[#This Row],[Cuenta]],1))</f>
        <v>1</v>
      </c>
      <c r="T390" t="b">
        <f>+ISNUMBER(SEARCH('F-COMPRA'!$F$36,Tabla11[[#This Row],[Cuenta]],1))</f>
        <v>1</v>
      </c>
      <c r="U390" t="b">
        <f>+ISNUMBER(SEARCH('F-COMPRA'!$F$37,Tabla11[[#This Row],[Cuenta]],1))</f>
        <v>1</v>
      </c>
      <c r="V390" t="b">
        <f>+ISNUMBER(SEARCH(#REF!,Tabla11[[#This Row],[Cuenta]],1))</f>
        <v>0</v>
      </c>
      <c r="W390" t="b">
        <f>+ISNUMBER(SEARCH('F-COMPRA'!#REF!,Tabla11[[#This Row],[Cuenta]],1))</f>
        <v>0</v>
      </c>
      <c r="X390" t="b">
        <f>+ISNUMBER(SEARCH('F-COMPRA'!#REF!,Tabla11[[#This Row],[Cuenta]],1))</f>
        <v>0</v>
      </c>
      <c r="Y390" t="b">
        <f>+ISNUMBER(SEARCH('F-COMPRA'!#REF!,Tabla11[[#This Row],[Cuenta]],1))</f>
        <v>0</v>
      </c>
      <c r="Z390" t="b">
        <f>+ISNUMBER(SEARCH('F-COMPRA'!#REF!,Tabla11[[#This Row],[Cuenta]],1))</f>
        <v>0</v>
      </c>
      <c r="AA390" t="b">
        <f>+ISNUMBER(SEARCH('F-COMPRA'!#REF!,Tabla11[[#This Row],[Cuenta]],1))</f>
        <v>0</v>
      </c>
      <c r="AB390" t="b">
        <f>+ISNUMBER(SEARCH('F-COMPRA'!#REF!,Tabla11[[#This Row],[Cuenta]],1))</f>
        <v>0</v>
      </c>
      <c r="AC390" t="b">
        <f>+ISNUMBER(SEARCH('F-COMPRA'!#REF!,Tabla11[[#This Row],[Cuenta]],1))</f>
        <v>0</v>
      </c>
      <c r="AD390" t="b">
        <f>+ISNUMBER(SEARCH('F-COMPRA'!#REF!,Tabla11[[#This Row],[Cuenta]],1))</f>
        <v>0</v>
      </c>
      <c r="AE390" t="b">
        <f>+ISNUMBER(SEARCH('F-COMPRA'!#REF!,Tabla11[[#This Row],[Cuenta]],1))</f>
        <v>0</v>
      </c>
      <c r="AF390" t="b">
        <f>+ISNUMBER(SEARCH('F-VTA'!$G$23,Tabla11[[#This Row],[Cuenta]],1))</f>
        <v>0</v>
      </c>
      <c r="AG390" t="b">
        <f>+ISNUMBER(SEARCH('F-VTA'!$G$24,Tabla11[[#This Row],[Cuenta]],1))</f>
        <v>0</v>
      </c>
      <c r="AH390" t="b">
        <f>+ISNUMBER(SEARCH('F-VTA'!$G$25,Tabla11[[#This Row],[Cuenta]],1))</f>
        <v>0</v>
      </c>
      <c r="AI390" t="b">
        <f>+ISNUMBER(SEARCH('F-VTA'!$F$28,Tabla11[[#This Row],[Cuenta]],1))</f>
        <v>1</v>
      </c>
      <c r="AJ390" t="b">
        <f>+ISNUMBER(SEARCH('F-VTA'!$F$29,Tabla11[[#This Row],[Cuenta]],1))</f>
        <v>1</v>
      </c>
      <c r="AK390" t="b">
        <f>+ISNUMBER(SEARCH('F-VTA'!$F$30,Tabla11[[#This Row],[Cuenta]],1))</f>
        <v>1</v>
      </c>
      <c r="AL390" t="b">
        <f>+ISNUMBER(SEARCH('F-VTA'!$F$31,Tabla11[[#This Row],[Cuenta]],1))</f>
        <v>1</v>
      </c>
      <c r="AM390" t="b">
        <f>+ISNUMBER(SEARCH('F-VTA'!$F$32,Tabla11[[#This Row],[Cuenta]],1))</f>
        <v>1</v>
      </c>
      <c r="AN390" t="b">
        <f>+ISNUMBER(SEARCH('F-VTA'!$F$33,Tabla11[[#This Row],[Cuenta]],1))</f>
        <v>1</v>
      </c>
      <c r="AO390" t="b">
        <f>+ISNUMBER(SEARCH('F-VTA'!$F$34,Tabla11[[#This Row],[Cuenta]],1))</f>
        <v>1</v>
      </c>
      <c r="AP390" t="b">
        <f>+ISNUMBER(SEARCH('F-VTA'!$F$35,Tabla11[[#This Row],[Cuenta]],1))</f>
        <v>1</v>
      </c>
      <c r="AQ390" t="b">
        <f>+ISNUMBER(SEARCH('F-VTA'!$F$36,Tabla11[[#This Row],[Cuenta]],1))</f>
        <v>1</v>
      </c>
      <c r="AR390" t="b">
        <f>+ISNUMBER(SEARCH(#REF!,Tabla11[[#This Row],[Cuenta]],1))</f>
        <v>0</v>
      </c>
      <c r="AS390" t="b">
        <f>+ISNUMBER(SEARCH(#REF!,Tabla11[[#This Row],[Cuenta]],1))</f>
        <v>0</v>
      </c>
      <c r="AT390" t="b">
        <f>+ISNUMBER(SEARCH(#REF!,Tabla11[[#This Row],[Cuenta]],1))</f>
        <v>0</v>
      </c>
      <c r="AU390" t="b">
        <f>+ISNUMBER(SEARCH('Conc. Ban.1'!$I$9,Tabla11[[#This Row],[Cuenta]],1))</f>
        <v>0</v>
      </c>
      <c r="AV390" t="b">
        <f>+ISNUMBER(SEARCH(CompConta!$F$21,Tabla11[[#This Row],[Cuenta]],1))</f>
        <v>1</v>
      </c>
      <c r="AW390" t="b">
        <f>+ISNUMBER(SEARCH(CompConta!$F$22,Tabla11[[#This Row],[Cuenta]],1))</f>
        <v>1</v>
      </c>
      <c r="AX390" t="b">
        <f>+ISNUMBER(SEARCH(CompConta!$F$23,Tabla11[[#This Row],[Cuenta]],1))</f>
        <v>1</v>
      </c>
      <c r="AY390" t="b">
        <f>+ISNUMBER(SEARCH(CompConta!$F$24,Tabla11[[#This Row],[Cuenta]],1))</f>
        <v>1</v>
      </c>
      <c r="AZ390" t="b">
        <f>+ISNUMBER(SEARCH(CompConta!$F$25,Tabla11[[#This Row],[Cuenta]],1))</f>
        <v>1</v>
      </c>
      <c r="BA390" t="b">
        <f>+ISNUMBER(SEARCH(CompConta!$F$26,Tabla11[[#This Row],[Cuenta]],1))</f>
        <v>1</v>
      </c>
      <c r="BB390" t="b">
        <f>+ISNUMBER(SEARCH(CompConta!$F$27,Tabla11[[#This Row],[Cuenta]],1))</f>
        <v>1</v>
      </c>
      <c r="BC390" t="b">
        <f>+ISNUMBER(SEARCH(CompConta!$F$28,Tabla11[[#This Row],[Cuenta]],1))</f>
        <v>1</v>
      </c>
      <c r="BD390" t="b">
        <f>+ISNUMBER(SEARCH(CompConta!$F$29,Tabla11[[#This Row],[Cuenta]],1))</f>
        <v>1</v>
      </c>
      <c r="BE390" t="b">
        <f>+ISNUMBER(SEARCH(CompConta!$F$30,Tabla11[[#This Row],[Cuenta]],1))</f>
        <v>1</v>
      </c>
      <c r="BF390" t="b">
        <f>+ISNUMBER(SEARCH('PAGO Compras'!$E$11,Tabla11[[#This Row],[Cuenta]],1))</f>
        <v>1</v>
      </c>
      <c r="BG390" t="b">
        <f>+ISNUMBER(SEARCH(#REF!,Tabla11[[#This Row],[Cuenta]],1))</f>
        <v>0</v>
      </c>
      <c r="BH390" t="b">
        <f>+ISNUMBER(SEARCH(#REF!,Tabla11[[#This Row],[Cuenta]],1))</f>
        <v>0</v>
      </c>
      <c r="BI390" t="b">
        <f>+ISNUMBER(SEARCH(#REF!,Tabla11[[#This Row],[Cuenta]],1))</f>
        <v>0</v>
      </c>
      <c r="BJ390" t="b">
        <f>+ISNUMBER(SEARCH(#REF!,Tabla11[[#This Row],[Cuenta]],1))</f>
        <v>0</v>
      </c>
      <c r="BS390" t="str">
        <v>2130 ENTIDADES FINANCIERAS DEL EXTERIOR</v>
      </c>
      <c r="BT390" t="str">
        <v>2130 ENTIDADES FINANCIERAS DEL EXTERIOR</v>
      </c>
      <c r="BU390" t="str">
        <v>2130 ENTIDADES FINANCIERAS DEL EXTERIOR</v>
      </c>
      <c r="BV390" t="str">
        <v>2130 ENTIDADES FINANCIERAS DEL EXTERIOR</v>
      </c>
      <c r="BZ390" t="str">
        <v>2130 ENTIDADES FINANCIERAS DEL EXTERIOR</v>
      </c>
      <c r="CA390" t="str">
        <v>2130 ENTIDADES FINANCIERAS DEL EXTERIOR</v>
      </c>
      <c r="CB390" t="str">
        <v>2130 ENTIDADES FINANCIERAS DEL EXTERIOR</v>
      </c>
      <c r="CC390" t="str">
        <v>2130 ENTIDADES FINANCIERAS DEL EXTERIOR</v>
      </c>
      <c r="CD390" t="str">
        <v>2130 ENTIDADES FINANCIERAS DEL EXTERIOR</v>
      </c>
      <c r="CE390" t="str">
        <v>2130 ENTIDADES FINANCIERAS DEL EXTERIOR</v>
      </c>
      <c r="CS390" s="141" t="str">
        <v>2130 ENTIDADES FINANCIERAS DEL EXTERIOR</v>
      </c>
      <c r="CT390" s="141" t="str">
        <v>2130 ENTIDADES FINANCIERAS DEL EXTERIOR</v>
      </c>
      <c r="CU390" s="141" t="str">
        <v>2130 ENTIDADES FINANCIERAS DEL EXTERIOR</v>
      </c>
      <c r="CV390" s="141" t="str">
        <v>2130 ENTIDADES FINANCIERAS DEL EXTERIOR</v>
      </c>
      <c r="CW390" s="141" t="str">
        <v>2130 ENTIDADES FINANCIERAS DEL EXTERIOR</v>
      </c>
      <c r="CX390" s="141" t="str">
        <v>2130 ENTIDADES FINANCIERAS DEL EXTERIOR</v>
      </c>
      <c r="CY390" s="141" t="str">
        <v>2130 ENTIDADES FINANCIERAS DEL EXTERIOR</v>
      </c>
      <c r="CZ390" s="141" t="str">
        <v>2130 ENTIDADES FINANCIERAS DEL EXTERIOR</v>
      </c>
      <c r="DA390" s="141" t="str">
        <v>2130 ENTIDADES FINANCIERAS DEL EXTERIOR</v>
      </c>
      <c r="DF390" t="str">
        <v>2130 ENTIDADES FINANCIERAS DEL EXTERIOR</v>
      </c>
      <c r="DG390" t="str">
        <v>2130 ENTIDADES FINANCIERAS DEL EXTERIOR</v>
      </c>
      <c r="DH390" t="str">
        <v>2130 ENTIDADES FINANCIERAS DEL EXTERIOR</v>
      </c>
      <c r="DI390" t="str">
        <v>2130 ENTIDADES FINANCIERAS DEL EXTERIOR</v>
      </c>
      <c r="DJ390" t="str">
        <v>2130 ENTIDADES FINANCIERAS DEL EXTERIOR</v>
      </c>
      <c r="DK390" t="str">
        <v>2130 ENTIDADES FINANCIERAS DEL EXTERIOR</v>
      </c>
      <c r="DL390" t="str">
        <v>2130 ENTIDADES FINANCIERAS DEL EXTERIOR</v>
      </c>
      <c r="DM390" t="str">
        <v>2130 ENTIDADES FINANCIERAS DEL EXTERIOR</v>
      </c>
      <c r="DN390" t="str">
        <v>2130 ENTIDADES FINANCIERAS DEL EXTERIOR</v>
      </c>
      <c r="DO390" t="str">
        <v>2130 ENTIDADES FINANCIERAS DEL EXTERIOR</v>
      </c>
      <c r="DP390" t="str">
        <v>2130 ENTIDADES FINANCIERAS DEL EXTERIOR</v>
      </c>
    </row>
    <row r="391" spans="4:120" ht="12.75">
      <c r="D391" s="7">
        <v>2135</v>
      </c>
      <c r="E391" s="6" t="s">
        <v>308</v>
      </c>
      <c r="F391" s="5">
        <v>3</v>
      </c>
      <c r="G391" s="34" t="s">
        <v>823</v>
      </c>
      <c r="H391" s="26" t="s">
        <v>765</v>
      </c>
      <c r="I391" t="b">
        <f>+ISNUMBER(SEARCH('F-COMPRA'!$F$28,Tabla11[[#This Row],[Cuenta]],1))</f>
        <v>1</v>
      </c>
      <c r="J391" t="b">
        <f>+ISNUMBER(SEARCH('F-COMPRA'!$F$29,Tabla11[[#This Row],[Cuenta]],1))</f>
        <v>1</v>
      </c>
      <c r="K391" t="b">
        <f>+ISNUMBER(SEARCH('F-COMPRA'!$F$30,Tabla11[[#This Row],[Cuenta]],1))</f>
        <v>1</v>
      </c>
      <c r="L391" t="b">
        <f>+ISNUMBER(SEARCH('F-COMPRA'!$F$31,Tabla11[[#This Row],[Cuenta]],1))</f>
        <v>1</v>
      </c>
      <c r="M391" t="b">
        <f>+ISNUMBER(SEARCH('F-COMPRA'!$G$25,Tabla11[[#This Row],[Cuenta]],1))</f>
        <v>0</v>
      </c>
      <c r="N391" t="b">
        <f>+ISNUMBER(SEARCH(#REF!,Tabla11[[#This Row],[Cuenta]],1))</f>
        <v>0</v>
      </c>
      <c r="O391" t="b">
        <f>+ISNUMBER(SEARCH(#REF!,Tabla11[[#This Row],[Cuenta]],1))</f>
        <v>0</v>
      </c>
      <c r="P391" t="b">
        <f>+ISNUMBER(SEARCH('F-COMPRA'!$F$32,Tabla11[[#This Row],[Cuenta]],1))</f>
        <v>1</v>
      </c>
      <c r="Q391" t="b">
        <f>+ISNUMBER(SEARCH('F-COMPRA'!$F$33,Tabla11[[#This Row],[Cuenta]],1))</f>
        <v>1</v>
      </c>
      <c r="R391" t="b">
        <f>+ISNUMBER(SEARCH('F-COMPRA'!$F$34,Tabla11[[#This Row],[Cuenta]],1))</f>
        <v>1</v>
      </c>
      <c r="S391" t="b">
        <f>+ISNUMBER(SEARCH('F-COMPRA'!$F$35,Tabla11[[#This Row],[Cuenta]],1))</f>
        <v>1</v>
      </c>
      <c r="T391" t="b">
        <f>+ISNUMBER(SEARCH('F-COMPRA'!$F$36,Tabla11[[#This Row],[Cuenta]],1))</f>
        <v>1</v>
      </c>
      <c r="U391" t="b">
        <f>+ISNUMBER(SEARCH('F-COMPRA'!$F$37,Tabla11[[#This Row],[Cuenta]],1))</f>
        <v>1</v>
      </c>
      <c r="V391" t="b">
        <f>+ISNUMBER(SEARCH(#REF!,Tabla11[[#This Row],[Cuenta]],1))</f>
        <v>0</v>
      </c>
      <c r="W391" t="b">
        <f>+ISNUMBER(SEARCH('F-COMPRA'!#REF!,Tabla11[[#This Row],[Cuenta]],1))</f>
        <v>0</v>
      </c>
      <c r="X391" t="b">
        <f>+ISNUMBER(SEARCH('F-COMPRA'!#REF!,Tabla11[[#This Row],[Cuenta]],1))</f>
        <v>0</v>
      </c>
      <c r="Y391" t="b">
        <f>+ISNUMBER(SEARCH('F-COMPRA'!#REF!,Tabla11[[#This Row],[Cuenta]],1))</f>
        <v>0</v>
      </c>
      <c r="Z391" t="b">
        <f>+ISNUMBER(SEARCH('F-COMPRA'!#REF!,Tabla11[[#This Row],[Cuenta]],1))</f>
        <v>0</v>
      </c>
      <c r="AA391" t="b">
        <f>+ISNUMBER(SEARCH('F-COMPRA'!#REF!,Tabla11[[#This Row],[Cuenta]],1))</f>
        <v>0</v>
      </c>
      <c r="AB391" t="b">
        <f>+ISNUMBER(SEARCH('F-COMPRA'!#REF!,Tabla11[[#This Row],[Cuenta]],1))</f>
        <v>0</v>
      </c>
      <c r="AC391" t="b">
        <f>+ISNUMBER(SEARCH('F-COMPRA'!#REF!,Tabla11[[#This Row],[Cuenta]],1))</f>
        <v>0</v>
      </c>
      <c r="AD391" t="b">
        <f>+ISNUMBER(SEARCH('F-COMPRA'!#REF!,Tabla11[[#This Row],[Cuenta]],1))</f>
        <v>0</v>
      </c>
      <c r="AE391" t="b">
        <f>+ISNUMBER(SEARCH('F-COMPRA'!#REF!,Tabla11[[#This Row],[Cuenta]],1))</f>
        <v>0</v>
      </c>
      <c r="AF391" t="b">
        <f>+ISNUMBER(SEARCH('F-VTA'!$G$23,Tabla11[[#This Row],[Cuenta]],1))</f>
        <v>0</v>
      </c>
      <c r="AG391" t="b">
        <f>+ISNUMBER(SEARCH('F-VTA'!$G$24,Tabla11[[#This Row],[Cuenta]],1))</f>
        <v>0</v>
      </c>
      <c r="AH391" t="b">
        <f>+ISNUMBER(SEARCH('F-VTA'!$G$25,Tabla11[[#This Row],[Cuenta]],1))</f>
        <v>0</v>
      </c>
      <c r="AI391" t="b">
        <f>+ISNUMBER(SEARCH('F-VTA'!$F$28,Tabla11[[#This Row],[Cuenta]],1))</f>
        <v>1</v>
      </c>
      <c r="AJ391" t="b">
        <f>+ISNUMBER(SEARCH('F-VTA'!$F$29,Tabla11[[#This Row],[Cuenta]],1))</f>
        <v>1</v>
      </c>
      <c r="AK391" t="b">
        <f>+ISNUMBER(SEARCH('F-VTA'!$F$30,Tabla11[[#This Row],[Cuenta]],1))</f>
        <v>1</v>
      </c>
      <c r="AL391" t="b">
        <f>+ISNUMBER(SEARCH('F-VTA'!$F$31,Tabla11[[#This Row],[Cuenta]],1))</f>
        <v>1</v>
      </c>
      <c r="AM391" t="b">
        <f>+ISNUMBER(SEARCH('F-VTA'!$F$32,Tabla11[[#This Row],[Cuenta]],1))</f>
        <v>1</v>
      </c>
      <c r="AN391" t="b">
        <f>+ISNUMBER(SEARCH('F-VTA'!$F$33,Tabla11[[#This Row],[Cuenta]],1))</f>
        <v>1</v>
      </c>
      <c r="AO391" t="b">
        <f>+ISNUMBER(SEARCH('F-VTA'!$F$34,Tabla11[[#This Row],[Cuenta]],1))</f>
        <v>1</v>
      </c>
      <c r="AP391" t="b">
        <f>+ISNUMBER(SEARCH('F-VTA'!$F$35,Tabla11[[#This Row],[Cuenta]],1))</f>
        <v>1</v>
      </c>
      <c r="AQ391" t="b">
        <f>+ISNUMBER(SEARCH('F-VTA'!$F$36,Tabla11[[#This Row],[Cuenta]],1))</f>
        <v>1</v>
      </c>
      <c r="AR391" t="b">
        <f>+ISNUMBER(SEARCH(#REF!,Tabla11[[#This Row],[Cuenta]],1))</f>
        <v>0</v>
      </c>
      <c r="AS391" t="b">
        <f>+ISNUMBER(SEARCH(#REF!,Tabla11[[#This Row],[Cuenta]],1))</f>
        <v>0</v>
      </c>
      <c r="AT391" t="b">
        <f>+ISNUMBER(SEARCH(#REF!,Tabla11[[#This Row],[Cuenta]],1))</f>
        <v>0</v>
      </c>
      <c r="AU391" t="b">
        <f>+ISNUMBER(SEARCH('Conc. Ban.1'!$I$9,Tabla11[[#This Row],[Cuenta]],1))</f>
        <v>0</v>
      </c>
      <c r="AV391" t="b">
        <f>+ISNUMBER(SEARCH(CompConta!$F$21,Tabla11[[#This Row],[Cuenta]],1))</f>
        <v>1</v>
      </c>
      <c r="AW391" t="b">
        <f>+ISNUMBER(SEARCH(CompConta!$F$22,Tabla11[[#This Row],[Cuenta]],1))</f>
        <v>1</v>
      </c>
      <c r="AX391" t="b">
        <f>+ISNUMBER(SEARCH(CompConta!$F$23,Tabla11[[#This Row],[Cuenta]],1))</f>
        <v>1</v>
      </c>
      <c r="AY391" t="b">
        <f>+ISNUMBER(SEARCH(CompConta!$F$24,Tabla11[[#This Row],[Cuenta]],1))</f>
        <v>1</v>
      </c>
      <c r="AZ391" t="b">
        <f>+ISNUMBER(SEARCH(CompConta!$F$25,Tabla11[[#This Row],[Cuenta]],1))</f>
        <v>1</v>
      </c>
      <c r="BA391" t="b">
        <f>+ISNUMBER(SEARCH(CompConta!$F$26,Tabla11[[#This Row],[Cuenta]],1))</f>
        <v>1</v>
      </c>
      <c r="BB391" t="b">
        <f>+ISNUMBER(SEARCH(CompConta!$F$27,Tabla11[[#This Row],[Cuenta]],1))</f>
        <v>1</v>
      </c>
      <c r="BC391" t="b">
        <f>+ISNUMBER(SEARCH(CompConta!$F$28,Tabla11[[#This Row],[Cuenta]],1))</f>
        <v>1</v>
      </c>
      <c r="BD391" t="b">
        <f>+ISNUMBER(SEARCH(CompConta!$F$29,Tabla11[[#This Row],[Cuenta]],1))</f>
        <v>1</v>
      </c>
      <c r="BE391" t="b">
        <f>+ISNUMBER(SEARCH(CompConta!$F$30,Tabla11[[#This Row],[Cuenta]],1))</f>
        <v>1</v>
      </c>
      <c r="BF391" t="b">
        <f>+ISNUMBER(SEARCH('PAGO Compras'!$E$11,Tabla11[[#This Row],[Cuenta]],1))</f>
        <v>1</v>
      </c>
      <c r="BG391" t="b">
        <f>+ISNUMBER(SEARCH(#REF!,Tabla11[[#This Row],[Cuenta]],1))</f>
        <v>0</v>
      </c>
      <c r="BH391" t="b">
        <f>+ISNUMBER(SEARCH(#REF!,Tabla11[[#This Row],[Cuenta]],1))</f>
        <v>0</v>
      </c>
      <c r="BI391" t="b">
        <f>+ISNUMBER(SEARCH(#REF!,Tabla11[[#This Row],[Cuenta]],1))</f>
        <v>0</v>
      </c>
      <c r="BJ391" t="b">
        <f>+ISNUMBER(SEARCH(#REF!,Tabla11[[#This Row],[Cuenta]],1))</f>
        <v>0</v>
      </c>
      <c r="BS391" t="str">
        <v>2135 COMPROMISOS DE RECOMPRA DE INVERS NEG</v>
      </c>
      <c r="BT391" t="str">
        <v>2135 COMPROMISOS DE RECOMPRA DE INVERS NEG</v>
      </c>
      <c r="BU391" t="str">
        <v>2135 COMPROMISOS DE RECOMPRA DE INVERS NEG</v>
      </c>
      <c r="BV391" t="str">
        <v>2135 COMPROMISOS DE RECOMPRA DE INVERS NEG</v>
      </c>
      <c r="BZ391" t="str">
        <v>2135 COMPROMISOS DE RECOMPRA DE INVERS NEG</v>
      </c>
      <c r="CA391" t="str">
        <v>2135 COMPROMISOS DE RECOMPRA DE INVERS NEG</v>
      </c>
      <c r="CB391" t="str">
        <v>2135 COMPROMISOS DE RECOMPRA DE INVERS NEG</v>
      </c>
      <c r="CC391" t="str">
        <v>2135 COMPROMISOS DE RECOMPRA DE INVERS NEG</v>
      </c>
      <c r="CD391" t="str">
        <v>2135 COMPROMISOS DE RECOMPRA DE INVERS NEG</v>
      </c>
      <c r="CE391" t="str">
        <v>2135 COMPROMISOS DE RECOMPRA DE INVERS NEG</v>
      </c>
      <c r="CS391" s="141" t="str">
        <v>2135 COMPROMISOS DE RECOMPRA DE INVERS NEG</v>
      </c>
      <c r="CT391" s="141" t="str">
        <v>2135 COMPROMISOS DE RECOMPRA DE INVERS NEG</v>
      </c>
      <c r="CU391" s="141" t="str">
        <v>2135 COMPROMISOS DE RECOMPRA DE INVERS NEG</v>
      </c>
      <c r="CV391" s="141" t="str">
        <v>2135 COMPROMISOS DE RECOMPRA DE INVERS NEG</v>
      </c>
      <c r="CW391" s="141" t="str">
        <v>2135 COMPROMISOS DE RECOMPRA DE INVERS NEG</v>
      </c>
      <c r="CX391" s="141" t="str">
        <v>2135 COMPROMISOS DE RECOMPRA DE INVERS NEG</v>
      </c>
      <c r="CY391" s="141" t="str">
        <v>2135 COMPROMISOS DE RECOMPRA DE INVERS NEG</v>
      </c>
      <c r="CZ391" s="141" t="str">
        <v>2135 COMPROMISOS DE RECOMPRA DE INVERS NEG</v>
      </c>
      <c r="DA391" s="141" t="str">
        <v>2135 COMPROMISOS DE RECOMPRA DE INVERS NEG</v>
      </c>
      <c r="DF391" t="str">
        <v>2135 COMPROMISOS DE RECOMPRA DE INVERS NEG</v>
      </c>
      <c r="DG391" t="str">
        <v>2135 COMPROMISOS DE RECOMPRA DE INVERS NEG</v>
      </c>
      <c r="DH391" t="str">
        <v>2135 COMPROMISOS DE RECOMPRA DE INVERS NEG</v>
      </c>
      <c r="DI391" t="str">
        <v>2135 COMPROMISOS DE RECOMPRA DE INVERS NEG</v>
      </c>
      <c r="DJ391" t="str">
        <v>2135 COMPROMISOS DE RECOMPRA DE INVERS NEG</v>
      </c>
      <c r="DK391" t="str">
        <v>2135 COMPROMISOS DE RECOMPRA DE INVERS NEG</v>
      </c>
      <c r="DL391" t="str">
        <v>2135 COMPROMISOS DE RECOMPRA DE INVERS NEG</v>
      </c>
      <c r="DM391" t="str">
        <v>2135 COMPROMISOS DE RECOMPRA DE INVERS NEG</v>
      </c>
      <c r="DN391" t="str">
        <v>2135 COMPROMISOS DE RECOMPRA DE INVERS NEG</v>
      </c>
      <c r="DO391" t="str">
        <v>2135 COMPROMISOS DE RECOMPRA DE INVERS NEG</v>
      </c>
      <c r="DP391" t="str">
        <v>2135 COMPROMISOS DE RECOMPRA DE INVERS NEG</v>
      </c>
    </row>
    <row r="392" spans="4:120" ht="12.75">
      <c r="D392" s="7">
        <v>213505</v>
      </c>
      <c r="E392" s="6" t="s">
        <v>47</v>
      </c>
      <c r="F392" s="5">
        <v>4</v>
      </c>
      <c r="G392" s="34" t="s">
        <v>823</v>
      </c>
      <c r="H392" s="26" t="s">
        <v>765</v>
      </c>
      <c r="I392" t="b">
        <f>+ISNUMBER(SEARCH('F-COMPRA'!$F$28,Tabla11[[#This Row],[Cuenta]],1))</f>
        <v>1</v>
      </c>
      <c r="J392" t="b">
        <f>+ISNUMBER(SEARCH('F-COMPRA'!$F$29,Tabla11[[#This Row],[Cuenta]],1))</f>
        <v>1</v>
      </c>
      <c r="K392" t="b">
        <f>+ISNUMBER(SEARCH('F-COMPRA'!$F$30,Tabla11[[#This Row],[Cuenta]],1))</f>
        <v>1</v>
      </c>
      <c r="L392" t="b">
        <f>+ISNUMBER(SEARCH('F-COMPRA'!$F$31,Tabla11[[#This Row],[Cuenta]],1))</f>
        <v>1</v>
      </c>
      <c r="M392" t="b">
        <f>+ISNUMBER(SEARCH('F-COMPRA'!$G$25,Tabla11[[#This Row],[Cuenta]],1))</f>
        <v>0</v>
      </c>
      <c r="N392" t="b">
        <f>+ISNUMBER(SEARCH(#REF!,Tabla11[[#This Row],[Cuenta]],1))</f>
        <v>0</v>
      </c>
      <c r="O392" t="b">
        <f>+ISNUMBER(SEARCH(#REF!,Tabla11[[#This Row],[Cuenta]],1))</f>
        <v>0</v>
      </c>
      <c r="P392" t="b">
        <f>+ISNUMBER(SEARCH('F-COMPRA'!$F$32,Tabla11[[#This Row],[Cuenta]],1))</f>
        <v>1</v>
      </c>
      <c r="Q392" t="b">
        <f>+ISNUMBER(SEARCH('F-COMPRA'!$F$33,Tabla11[[#This Row],[Cuenta]],1))</f>
        <v>1</v>
      </c>
      <c r="R392" t="b">
        <f>+ISNUMBER(SEARCH('F-COMPRA'!$F$34,Tabla11[[#This Row],[Cuenta]],1))</f>
        <v>1</v>
      </c>
      <c r="S392" t="b">
        <f>+ISNUMBER(SEARCH('F-COMPRA'!$F$35,Tabla11[[#This Row],[Cuenta]],1))</f>
        <v>1</v>
      </c>
      <c r="T392" t="b">
        <f>+ISNUMBER(SEARCH('F-COMPRA'!$F$36,Tabla11[[#This Row],[Cuenta]],1))</f>
        <v>1</v>
      </c>
      <c r="U392" t="b">
        <f>+ISNUMBER(SEARCH('F-COMPRA'!$F$37,Tabla11[[#This Row],[Cuenta]],1))</f>
        <v>1</v>
      </c>
      <c r="V392" t="b">
        <f>+ISNUMBER(SEARCH(#REF!,Tabla11[[#This Row],[Cuenta]],1))</f>
        <v>0</v>
      </c>
      <c r="W392" t="b">
        <f>+ISNUMBER(SEARCH('F-COMPRA'!#REF!,Tabla11[[#This Row],[Cuenta]],1))</f>
        <v>0</v>
      </c>
      <c r="X392" t="b">
        <f>+ISNUMBER(SEARCH('F-COMPRA'!#REF!,Tabla11[[#This Row],[Cuenta]],1))</f>
        <v>0</v>
      </c>
      <c r="Y392" t="b">
        <f>+ISNUMBER(SEARCH('F-COMPRA'!#REF!,Tabla11[[#This Row],[Cuenta]],1))</f>
        <v>0</v>
      </c>
      <c r="Z392" t="b">
        <f>+ISNUMBER(SEARCH('F-COMPRA'!#REF!,Tabla11[[#This Row],[Cuenta]],1))</f>
        <v>0</v>
      </c>
      <c r="AA392" t="b">
        <f>+ISNUMBER(SEARCH('F-COMPRA'!#REF!,Tabla11[[#This Row],[Cuenta]],1))</f>
        <v>0</v>
      </c>
      <c r="AB392" t="b">
        <f>+ISNUMBER(SEARCH('F-COMPRA'!#REF!,Tabla11[[#This Row],[Cuenta]],1))</f>
        <v>0</v>
      </c>
      <c r="AC392" t="b">
        <f>+ISNUMBER(SEARCH('F-COMPRA'!#REF!,Tabla11[[#This Row],[Cuenta]],1))</f>
        <v>0</v>
      </c>
      <c r="AD392" t="b">
        <f>+ISNUMBER(SEARCH('F-COMPRA'!#REF!,Tabla11[[#This Row],[Cuenta]],1))</f>
        <v>0</v>
      </c>
      <c r="AE392" t="b">
        <f>+ISNUMBER(SEARCH('F-COMPRA'!#REF!,Tabla11[[#This Row],[Cuenta]],1))</f>
        <v>0</v>
      </c>
      <c r="AF392" t="b">
        <f>+ISNUMBER(SEARCH('F-VTA'!$G$23,Tabla11[[#This Row],[Cuenta]],1))</f>
        <v>0</v>
      </c>
      <c r="AG392" t="b">
        <f>+ISNUMBER(SEARCH('F-VTA'!$G$24,Tabla11[[#This Row],[Cuenta]],1))</f>
        <v>0</v>
      </c>
      <c r="AH392" t="b">
        <f>+ISNUMBER(SEARCH('F-VTA'!$G$25,Tabla11[[#This Row],[Cuenta]],1))</f>
        <v>0</v>
      </c>
      <c r="AI392" t="b">
        <f>+ISNUMBER(SEARCH('F-VTA'!$F$28,Tabla11[[#This Row],[Cuenta]],1))</f>
        <v>1</v>
      </c>
      <c r="AJ392" t="b">
        <f>+ISNUMBER(SEARCH('F-VTA'!$F$29,Tabla11[[#This Row],[Cuenta]],1))</f>
        <v>1</v>
      </c>
      <c r="AK392" t="b">
        <f>+ISNUMBER(SEARCH('F-VTA'!$F$30,Tabla11[[#This Row],[Cuenta]],1))</f>
        <v>1</v>
      </c>
      <c r="AL392" t="b">
        <f>+ISNUMBER(SEARCH('F-VTA'!$F$31,Tabla11[[#This Row],[Cuenta]],1))</f>
        <v>1</v>
      </c>
      <c r="AM392" t="b">
        <f>+ISNUMBER(SEARCH('F-VTA'!$F$32,Tabla11[[#This Row],[Cuenta]],1))</f>
        <v>1</v>
      </c>
      <c r="AN392" t="b">
        <f>+ISNUMBER(SEARCH('F-VTA'!$F$33,Tabla11[[#This Row],[Cuenta]],1))</f>
        <v>1</v>
      </c>
      <c r="AO392" t="b">
        <f>+ISNUMBER(SEARCH('F-VTA'!$F$34,Tabla11[[#This Row],[Cuenta]],1))</f>
        <v>1</v>
      </c>
      <c r="AP392" t="b">
        <f>+ISNUMBER(SEARCH('F-VTA'!$F$35,Tabla11[[#This Row],[Cuenta]],1))</f>
        <v>1</v>
      </c>
      <c r="AQ392" t="b">
        <f>+ISNUMBER(SEARCH('F-VTA'!$F$36,Tabla11[[#This Row],[Cuenta]],1))</f>
        <v>1</v>
      </c>
      <c r="AR392" t="b">
        <f>+ISNUMBER(SEARCH(#REF!,Tabla11[[#This Row],[Cuenta]],1))</f>
        <v>0</v>
      </c>
      <c r="AS392" t="b">
        <f>+ISNUMBER(SEARCH(#REF!,Tabla11[[#This Row],[Cuenta]],1))</f>
        <v>0</v>
      </c>
      <c r="AT392" t="b">
        <f>+ISNUMBER(SEARCH(#REF!,Tabla11[[#This Row],[Cuenta]],1))</f>
        <v>0</v>
      </c>
      <c r="AU392" t="b">
        <f>+ISNUMBER(SEARCH('Conc. Ban.1'!$I$9,Tabla11[[#This Row],[Cuenta]],1))</f>
        <v>0</v>
      </c>
      <c r="AV392" t="b">
        <f>+ISNUMBER(SEARCH(CompConta!$F$21,Tabla11[[#This Row],[Cuenta]],1))</f>
        <v>1</v>
      </c>
      <c r="AW392" t="b">
        <f>+ISNUMBER(SEARCH(CompConta!$F$22,Tabla11[[#This Row],[Cuenta]],1))</f>
        <v>1</v>
      </c>
      <c r="AX392" t="b">
        <f>+ISNUMBER(SEARCH(CompConta!$F$23,Tabla11[[#This Row],[Cuenta]],1))</f>
        <v>1</v>
      </c>
      <c r="AY392" t="b">
        <f>+ISNUMBER(SEARCH(CompConta!$F$24,Tabla11[[#This Row],[Cuenta]],1))</f>
        <v>1</v>
      </c>
      <c r="AZ392" t="b">
        <f>+ISNUMBER(SEARCH(CompConta!$F$25,Tabla11[[#This Row],[Cuenta]],1))</f>
        <v>1</v>
      </c>
      <c r="BA392" t="b">
        <f>+ISNUMBER(SEARCH(CompConta!$F$26,Tabla11[[#This Row],[Cuenta]],1))</f>
        <v>1</v>
      </c>
      <c r="BB392" t="b">
        <f>+ISNUMBER(SEARCH(CompConta!$F$27,Tabla11[[#This Row],[Cuenta]],1))</f>
        <v>1</v>
      </c>
      <c r="BC392" t="b">
        <f>+ISNUMBER(SEARCH(CompConta!$F$28,Tabla11[[#This Row],[Cuenta]],1))</f>
        <v>1</v>
      </c>
      <c r="BD392" t="b">
        <f>+ISNUMBER(SEARCH(CompConta!$F$29,Tabla11[[#This Row],[Cuenta]],1))</f>
        <v>1</v>
      </c>
      <c r="BE392" t="b">
        <f>+ISNUMBER(SEARCH(CompConta!$F$30,Tabla11[[#This Row],[Cuenta]],1))</f>
        <v>1</v>
      </c>
      <c r="BF392" t="b">
        <f>+ISNUMBER(SEARCH('PAGO Compras'!$E$11,Tabla11[[#This Row],[Cuenta]],1))</f>
        <v>1</v>
      </c>
      <c r="BG392" t="b">
        <f>+ISNUMBER(SEARCH(#REF!,Tabla11[[#This Row],[Cuenta]],1))</f>
        <v>0</v>
      </c>
      <c r="BH392" t="b">
        <f>+ISNUMBER(SEARCH(#REF!,Tabla11[[#This Row],[Cuenta]],1))</f>
        <v>0</v>
      </c>
      <c r="BI392" t="b">
        <f>+ISNUMBER(SEARCH(#REF!,Tabla11[[#This Row],[Cuenta]],1))</f>
        <v>0</v>
      </c>
      <c r="BJ392" t="b">
        <f>+ISNUMBER(SEARCH(#REF!,Tabla11[[#This Row],[Cuenta]],1))</f>
        <v>0</v>
      </c>
      <c r="BS392" t="str">
        <v>213505 Acciones</v>
      </c>
      <c r="BT392" t="str">
        <v>213505 Acciones</v>
      </c>
      <c r="BU392" t="str">
        <v>213505 Acciones</v>
      </c>
      <c r="BV392" t="str">
        <v>213505 Acciones</v>
      </c>
      <c r="BZ392" t="str">
        <v>213505 Acciones</v>
      </c>
      <c r="CA392" t="str">
        <v>213505 Acciones</v>
      </c>
      <c r="CB392" t="str">
        <v>213505 Acciones</v>
      </c>
      <c r="CC392" t="str">
        <v>213505 Acciones</v>
      </c>
      <c r="CD392" t="str">
        <v>213505 Acciones</v>
      </c>
      <c r="CE392" t="str">
        <v>213505 Acciones</v>
      </c>
      <c r="CS392" s="141" t="str">
        <v>213505 Acciones</v>
      </c>
      <c r="CT392" s="141" t="str">
        <v>213505 Acciones</v>
      </c>
      <c r="CU392" s="141" t="str">
        <v>213505 Acciones</v>
      </c>
      <c r="CV392" s="141" t="str">
        <v>213505 Acciones</v>
      </c>
      <c r="CW392" s="141" t="str">
        <v>213505 Acciones</v>
      </c>
      <c r="CX392" s="141" t="str">
        <v>213505 Acciones</v>
      </c>
      <c r="CY392" s="141" t="str">
        <v>213505 Acciones</v>
      </c>
      <c r="CZ392" s="141" t="str">
        <v>213505 Acciones</v>
      </c>
      <c r="DA392" s="141" t="str">
        <v>213505 Acciones</v>
      </c>
      <c r="DF392" t="str">
        <v>213505 Acciones</v>
      </c>
      <c r="DG392" t="str">
        <v>213505 Acciones</v>
      </c>
      <c r="DH392" t="str">
        <v>213505 Acciones</v>
      </c>
      <c r="DI392" t="str">
        <v>213505 Acciones</v>
      </c>
      <c r="DJ392" t="str">
        <v>213505 Acciones</v>
      </c>
      <c r="DK392" t="str">
        <v>213505 Acciones</v>
      </c>
      <c r="DL392" t="str">
        <v>213505 Acciones</v>
      </c>
      <c r="DM392" t="str">
        <v>213505 Acciones</v>
      </c>
      <c r="DN392" t="str">
        <v>213505 Acciones</v>
      </c>
      <c r="DO392" t="str">
        <v>213505 Acciones</v>
      </c>
      <c r="DP392" t="str">
        <v>213505 Acciones</v>
      </c>
    </row>
    <row r="393" spans="4:120" ht="12.75">
      <c r="D393" s="7">
        <v>213510</v>
      </c>
      <c r="E393" s="6" t="s">
        <v>48</v>
      </c>
      <c r="F393" s="5">
        <v>4</v>
      </c>
      <c r="G393" s="34" t="s">
        <v>823</v>
      </c>
      <c r="H393" s="26" t="s">
        <v>765</v>
      </c>
      <c r="I393" t="b">
        <f>+ISNUMBER(SEARCH('F-COMPRA'!$F$28,Tabla11[[#This Row],[Cuenta]],1))</f>
        <v>1</v>
      </c>
      <c r="J393" t="b">
        <f>+ISNUMBER(SEARCH('F-COMPRA'!$F$29,Tabla11[[#This Row],[Cuenta]],1))</f>
        <v>1</v>
      </c>
      <c r="K393" t="b">
        <f>+ISNUMBER(SEARCH('F-COMPRA'!$F$30,Tabla11[[#This Row],[Cuenta]],1))</f>
        <v>1</v>
      </c>
      <c r="L393" t="b">
        <f>+ISNUMBER(SEARCH('F-COMPRA'!$F$31,Tabla11[[#This Row],[Cuenta]],1))</f>
        <v>1</v>
      </c>
      <c r="M393" t="b">
        <f>+ISNUMBER(SEARCH('F-COMPRA'!$G$25,Tabla11[[#This Row],[Cuenta]],1))</f>
        <v>0</v>
      </c>
      <c r="N393" t="b">
        <f>+ISNUMBER(SEARCH(#REF!,Tabla11[[#This Row],[Cuenta]],1))</f>
        <v>0</v>
      </c>
      <c r="O393" t="b">
        <f>+ISNUMBER(SEARCH(#REF!,Tabla11[[#This Row],[Cuenta]],1))</f>
        <v>0</v>
      </c>
      <c r="P393" t="b">
        <f>+ISNUMBER(SEARCH('F-COMPRA'!$F$32,Tabla11[[#This Row],[Cuenta]],1))</f>
        <v>1</v>
      </c>
      <c r="Q393" t="b">
        <f>+ISNUMBER(SEARCH('F-COMPRA'!$F$33,Tabla11[[#This Row],[Cuenta]],1))</f>
        <v>1</v>
      </c>
      <c r="R393" t="b">
        <f>+ISNUMBER(SEARCH('F-COMPRA'!$F$34,Tabla11[[#This Row],[Cuenta]],1))</f>
        <v>1</v>
      </c>
      <c r="S393" t="b">
        <f>+ISNUMBER(SEARCH('F-COMPRA'!$F$35,Tabla11[[#This Row],[Cuenta]],1))</f>
        <v>1</v>
      </c>
      <c r="T393" t="b">
        <f>+ISNUMBER(SEARCH('F-COMPRA'!$F$36,Tabla11[[#This Row],[Cuenta]],1))</f>
        <v>1</v>
      </c>
      <c r="U393" t="b">
        <f>+ISNUMBER(SEARCH('F-COMPRA'!$F$37,Tabla11[[#This Row],[Cuenta]],1))</f>
        <v>1</v>
      </c>
      <c r="V393" t="b">
        <f>+ISNUMBER(SEARCH(#REF!,Tabla11[[#This Row],[Cuenta]],1))</f>
        <v>0</v>
      </c>
      <c r="W393" t="b">
        <f>+ISNUMBER(SEARCH('F-COMPRA'!#REF!,Tabla11[[#This Row],[Cuenta]],1))</f>
        <v>0</v>
      </c>
      <c r="X393" t="b">
        <f>+ISNUMBER(SEARCH('F-COMPRA'!#REF!,Tabla11[[#This Row],[Cuenta]],1))</f>
        <v>0</v>
      </c>
      <c r="Y393" t="b">
        <f>+ISNUMBER(SEARCH('F-COMPRA'!#REF!,Tabla11[[#This Row],[Cuenta]],1))</f>
        <v>0</v>
      </c>
      <c r="Z393" t="b">
        <f>+ISNUMBER(SEARCH('F-COMPRA'!#REF!,Tabla11[[#This Row],[Cuenta]],1))</f>
        <v>0</v>
      </c>
      <c r="AA393" t="b">
        <f>+ISNUMBER(SEARCH('F-COMPRA'!#REF!,Tabla11[[#This Row],[Cuenta]],1))</f>
        <v>0</v>
      </c>
      <c r="AB393" t="b">
        <f>+ISNUMBER(SEARCH('F-COMPRA'!#REF!,Tabla11[[#This Row],[Cuenta]],1))</f>
        <v>0</v>
      </c>
      <c r="AC393" t="b">
        <f>+ISNUMBER(SEARCH('F-COMPRA'!#REF!,Tabla11[[#This Row],[Cuenta]],1))</f>
        <v>0</v>
      </c>
      <c r="AD393" t="b">
        <f>+ISNUMBER(SEARCH('F-COMPRA'!#REF!,Tabla11[[#This Row],[Cuenta]],1))</f>
        <v>0</v>
      </c>
      <c r="AE393" t="b">
        <f>+ISNUMBER(SEARCH('F-COMPRA'!#REF!,Tabla11[[#This Row],[Cuenta]],1))</f>
        <v>0</v>
      </c>
      <c r="AF393" t="b">
        <f>+ISNUMBER(SEARCH('F-VTA'!$G$23,Tabla11[[#This Row],[Cuenta]],1))</f>
        <v>0</v>
      </c>
      <c r="AG393" t="b">
        <f>+ISNUMBER(SEARCH('F-VTA'!$G$24,Tabla11[[#This Row],[Cuenta]],1))</f>
        <v>0</v>
      </c>
      <c r="AH393" t="b">
        <f>+ISNUMBER(SEARCH('F-VTA'!$G$25,Tabla11[[#This Row],[Cuenta]],1))</f>
        <v>0</v>
      </c>
      <c r="AI393" t="b">
        <f>+ISNUMBER(SEARCH('F-VTA'!$F$28,Tabla11[[#This Row],[Cuenta]],1))</f>
        <v>1</v>
      </c>
      <c r="AJ393" t="b">
        <f>+ISNUMBER(SEARCH('F-VTA'!$F$29,Tabla11[[#This Row],[Cuenta]],1))</f>
        <v>1</v>
      </c>
      <c r="AK393" t="b">
        <f>+ISNUMBER(SEARCH('F-VTA'!$F$30,Tabla11[[#This Row],[Cuenta]],1))</f>
        <v>1</v>
      </c>
      <c r="AL393" t="b">
        <f>+ISNUMBER(SEARCH('F-VTA'!$F$31,Tabla11[[#This Row],[Cuenta]],1))</f>
        <v>1</v>
      </c>
      <c r="AM393" t="b">
        <f>+ISNUMBER(SEARCH('F-VTA'!$F$32,Tabla11[[#This Row],[Cuenta]],1))</f>
        <v>1</v>
      </c>
      <c r="AN393" t="b">
        <f>+ISNUMBER(SEARCH('F-VTA'!$F$33,Tabla11[[#This Row],[Cuenta]],1))</f>
        <v>1</v>
      </c>
      <c r="AO393" t="b">
        <f>+ISNUMBER(SEARCH('F-VTA'!$F$34,Tabla11[[#This Row],[Cuenta]],1))</f>
        <v>1</v>
      </c>
      <c r="AP393" t="b">
        <f>+ISNUMBER(SEARCH('F-VTA'!$F$35,Tabla11[[#This Row],[Cuenta]],1))</f>
        <v>1</v>
      </c>
      <c r="AQ393" t="b">
        <f>+ISNUMBER(SEARCH('F-VTA'!$F$36,Tabla11[[#This Row],[Cuenta]],1))</f>
        <v>1</v>
      </c>
      <c r="AR393" t="b">
        <f>+ISNUMBER(SEARCH(#REF!,Tabla11[[#This Row],[Cuenta]],1))</f>
        <v>0</v>
      </c>
      <c r="AS393" t="b">
        <f>+ISNUMBER(SEARCH(#REF!,Tabla11[[#This Row],[Cuenta]],1))</f>
        <v>0</v>
      </c>
      <c r="AT393" t="b">
        <f>+ISNUMBER(SEARCH(#REF!,Tabla11[[#This Row],[Cuenta]],1))</f>
        <v>0</v>
      </c>
      <c r="AU393" t="b">
        <f>+ISNUMBER(SEARCH('Conc. Ban.1'!$I$9,Tabla11[[#This Row],[Cuenta]],1))</f>
        <v>0</v>
      </c>
      <c r="AV393" t="b">
        <f>+ISNUMBER(SEARCH(CompConta!$F$21,Tabla11[[#This Row],[Cuenta]],1))</f>
        <v>1</v>
      </c>
      <c r="AW393" t="b">
        <f>+ISNUMBER(SEARCH(CompConta!$F$22,Tabla11[[#This Row],[Cuenta]],1))</f>
        <v>1</v>
      </c>
      <c r="AX393" t="b">
        <f>+ISNUMBER(SEARCH(CompConta!$F$23,Tabla11[[#This Row],[Cuenta]],1))</f>
        <v>1</v>
      </c>
      <c r="AY393" t="b">
        <f>+ISNUMBER(SEARCH(CompConta!$F$24,Tabla11[[#This Row],[Cuenta]],1))</f>
        <v>1</v>
      </c>
      <c r="AZ393" t="b">
        <f>+ISNUMBER(SEARCH(CompConta!$F$25,Tabla11[[#This Row],[Cuenta]],1))</f>
        <v>1</v>
      </c>
      <c r="BA393" t="b">
        <f>+ISNUMBER(SEARCH(CompConta!$F$26,Tabla11[[#This Row],[Cuenta]],1))</f>
        <v>1</v>
      </c>
      <c r="BB393" t="b">
        <f>+ISNUMBER(SEARCH(CompConta!$F$27,Tabla11[[#This Row],[Cuenta]],1))</f>
        <v>1</v>
      </c>
      <c r="BC393" t="b">
        <f>+ISNUMBER(SEARCH(CompConta!$F$28,Tabla11[[#This Row],[Cuenta]],1))</f>
        <v>1</v>
      </c>
      <c r="BD393" t="b">
        <f>+ISNUMBER(SEARCH(CompConta!$F$29,Tabla11[[#This Row],[Cuenta]],1))</f>
        <v>1</v>
      </c>
      <c r="BE393" t="b">
        <f>+ISNUMBER(SEARCH(CompConta!$F$30,Tabla11[[#This Row],[Cuenta]],1))</f>
        <v>1</v>
      </c>
      <c r="BF393" t="b">
        <f>+ISNUMBER(SEARCH('PAGO Compras'!$E$11,Tabla11[[#This Row],[Cuenta]],1))</f>
        <v>1</v>
      </c>
      <c r="BG393" t="b">
        <f>+ISNUMBER(SEARCH(#REF!,Tabla11[[#This Row],[Cuenta]],1))</f>
        <v>0</v>
      </c>
      <c r="BH393" t="b">
        <f>+ISNUMBER(SEARCH(#REF!,Tabla11[[#This Row],[Cuenta]],1))</f>
        <v>0</v>
      </c>
      <c r="BI393" t="b">
        <f>+ISNUMBER(SEARCH(#REF!,Tabla11[[#This Row],[Cuenta]],1))</f>
        <v>0</v>
      </c>
      <c r="BJ393" t="b">
        <f>+ISNUMBER(SEARCH(#REF!,Tabla11[[#This Row],[Cuenta]],1))</f>
        <v>0</v>
      </c>
      <c r="BS393" t="str">
        <v>213510 Cuotas o partes de interés social</v>
      </c>
      <c r="BT393" t="str">
        <v>213510 Cuotas o partes de interés social</v>
      </c>
      <c r="BU393" t="str">
        <v>213510 Cuotas o partes de interés social</v>
      </c>
      <c r="BV393" t="str">
        <v>213510 Cuotas o partes de interés social</v>
      </c>
      <c r="BZ393" t="str">
        <v>213510 Cuotas o partes de interés social</v>
      </c>
      <c r="CA393" t="str">
        <v>213510 Cuotas o partes de interés social</v>
      </c>
      <c r="CB393" t="str">
        <v>213510 Cuotas o partes de interés social</v>
      </c>
      <c r="CC393" t="str">
        <v>213510 Cuotas o partes de interés social</v>
      </c>
      <c r="CD393" t="str">
        <v>213510 Cuotas o partes de interés social</v>
      </c>
      <c r="CE393" t="str">
        <v>213510 Cuotas o partes de interés social</v>
      </c>
      <c r="CS393" s="141" t="str">
        <v>213510 Cuotas o partes de interés social</v>
      </c>
      <c r="CT393" s="141" t="str">
        <v>213510 Cuotas o partes de interés social</v>
      </c>
      <c r="CU393" s="141" t="str">
        <v>213510 Cuotas o partes de interés social</v>
      </c>
      <c r="CV393" s="141" t="str">
        <v>213510 Cuotas o partes de interés social</v>
      </c>
      <c r="CW393" s="141" t="str">
        <v>213510 Cuotas o partes de interés social</v>
      </c>
      <c r="CX393" s="141" t="str">
        <v>213510 Cuotas o partes de interés social</v>
      </c>
      <c r="CY393" s="141" t="str">
        <v>213510 Cuotas o partes de interés social</v>
      </c>
      <c r="CZ393" s="141" t="str">
        <v>213510 Cuotas o partes de interés social</v>
      </c>
      <c r="DA393" s="141" t="str">
        <v>213510 Cuotas o partes de interés social</v>
      </c>
      <c r="DF393" t="str">
        <v>213510 Cuotas o partes de interés social</v>
      </c>
      <c r="DG393" t="str">
        <v>213510 Cuotas o partes de interés social</v>
      </c>
      <c r="DH393" t="str">
        <v>213510 Cuotas o partes de interés social</v>
      </c>
      <c r="DI393" t="str">
        <v>213510 Cuotas o partes de interés social</v>
      </c>
      <c r="DJ393" t="str">
        <v>213510 Cuotas o partes de interés social</v>
      </c>
      <c r="DK393" t="str">
        <v>213510 Cuotas o partes de interés social</v>
      </c>
      <c r="DL393" t="str">
        <v>213510 Cuotas o partes de interés social</v>
      </c>
      <c r="DM393" t="str">
        <v>213510 Cuotas o partes de interés social</v>
      </c>
      <c r="DN393" t="str">
        <v>213510 Cuotas o partes de interés social</v>
      </c>
      <c r="DO393" t="str">
        <v>213510 Cuotas o partes de interés social</v>
      </c>
      <c r="DP393" t="str">
        <v>213510 Cuotas o partes de interés social</v>
      </c>
    </row>
    <row r="394" spans="4:120" ht="12.75">
      <c r="D394" s="7">
        <v>213515</v>
      </c>
      <c r="E394" s="6" t="s">
        <v>49</v>
      </c>
      <c r="F394" s="5">
        <v>4</v>
      </c>
      <c r="G394" s="34" t="s">
        <v>823</v>
      </c>
      <c r="H394" s="26" t="s">
        <v>765</v>
      </c>
      <c r="I394" t="b">
        <f>+ISNUMBER(SEARCH('F-COMPRA'!$F$28,Tabla11[[#This Row],[Cuenta]],1))</f>
        <v>1</v>
      </c>
      <c r="J394" t="b">
        <f>+ISNUMBER(SEARCH('F-COMPRA'!$F$29,Tabla11[[#This Row],[Cuenta]],1))</f>
        <v>1</v>
      </c>
      <c r="K394" t="b">
        <f>+ISNUMBER(SEARCH('F-COMPRA'!$F$30,Tabla11[[#This Row],[Cuenta]],1))</f>
        <v>1</v>
      </c>
      <c r="L394" t="b">
        <f>+ISNUMBER(SEARCH('F-COMPRA'!$F$31,Tabla11[[#This Row],[Cuenta]],1))</f>
        <v>1</v>
      </c>
      <c r="M394" t="b">
        <f>+ISNUMBER(SEARCH('F-COMPRA'!$G$25,Tabla11[[#This Row],[Cuenta]],1))</f>
        <v>0</v>
      </c>
      <c r="N394" t="b">
        <f>+ISNUMBER(SEARCH(#REF!,Tabla11[[#This Row],[Cuenta]],1))</f>
        <v>0</v>
      </c>
      <c r="O394" t="b">
        <f>+ISNUMBER(SEARCH(#REF!,Tabla11[[#This Row],[Cuenta]],1))</f>
        <v>0</v>
      </c>
      <c r="P394" t="b">
        <f>+ISNUMBER(SEARCH('F-COMPRA'!$F$32,Tabla11[[#This Row],[Cuenta]],1))</f>
        <v>1</v>
      </c>
      <c r="Q394" t="b">
        <f>+ISNUMBER(SEARCH('F-COMPRA'!$F$33,Tabla11[[#This Row],[Cuenta]],1))</f>
        <v>1</v>
      </c>
      <c r="R394" t="b">
        <f>+ISNUMBER(SEARCH('F-COMPRA'!$F$34,Tabla11[[#This Row],[Cuenta]],1))</f>
        <v>1</v>
      </c>
      <c r="S394" t="b">
        <f>+ISNUMBER(SEARCH('F-COMPRA'!$F$35,Tabla11[[#This Row],[Cuenta]],1))</f>
        <v>1</v>
      </c>
      <c r="T394" t="b">
        <f>+ISNUMBER(SEARCH('F-COMPRA'!$F$36,Tabla11[[#This Row],[Cuenta]],1))</f>
        <v>1</v>
      </c>
      <c r="U394" t="b">
        <f>+ISNUMBER(SEARCH('F-COMPRA'!$F$37,Tabla11[[#This Row],[Cuenta]],1))</f>
        <v>1</v>
      </c>
      <c r="V394" t="b">
        <f>+ISNUMBER(SEARCH(#REF!,Tabla11[[#This Row],[Cuenta]],1))</f>
        <v>0</v>
      </c>
      <c r="W394" t="b">
        <f>+ISNUMBER(SEARCH('F-COMPRA'!#REF!,Tabla11[[#This Row],[Cuenta]],1))</f>
        <v>0</v>
      </c>
      <c r="X394" t="b">
        <f>+ISNUMBER(SEARCH('F-COMPRA'!#REF!,Tabla11[[#This Row],[Cuenta]],1))</f>
        <v>0</v>
      </c>
      <c r="Y394" t="b">
        <f>+ISNUMBER(SEARCH('F-COMPRA'!#REF!,Tabla11[[#This Row],[Cuenta]],1))</f>
        <v>0</v>
      </c>
      <c r="Z394" t="b">
        <f>+ISNUMBER(SEARCH('F-COMPRA'!#REF!,Tabla11[[#This Row],[Cuenta]],1))</f>
        <v>0</v>
      </c>
      <c r="AA394" t="b">
        <f>+ISNUMBER(SEARCH('F-COMPRA'!#REF!,Tabla11[[#This Row],[Cuenta]],1))</f>
        <v>0</v>
      </c>
      <c r="AB394" t="b">
        <f>+ISNUMBER(SEARCH('F-COMPRA'!#REF!,Tabla11[[#This Row],[Cuenta]],1))</f>
        <v>0</v>
      </c>
      <c r="AC394" t="b">
        <f>+ISNUMBER(SEARCH('F-COMPRA'!#REF!,Tabla11[[#This Row],[Cuenta]],1))</f>
        <v>0</v>
      </c>
      <c r="AD394" t="b">
        <f>+ISNUMBER(SEARCH('F-COMPRA'!#REF!,Tabla11[[#This Row],[Cuenta]],1))</f>
        <v>0</v>
      </c>
      <c r="AE394" t="b">
        <f>+ISNUMBER(SEARCH('F-COMPRA'!#REF!,Tabla11[[#This Row],[Cuenta]],1))</f>
        <v>0</v>
      </c>
      <c r="AF394" t="b">
        <f>+ISNUMBER(SEARCH('F-VTA'!$G$23,Tabla11[[#This Row],[Cuenta]],1))</f>
        <v>0</v>
      </c>
      <c r="AG394" t="b">
        <f>+ISNUMBER(SEARCH('F-VTA'!$G$24,Tabla11[[#This Row],[Cuenta]],1))</f>
        <v>0</v>
      </c>
      <c r="AH394" t="b">
        <f>+ISNUMBER(SEARCH('F-VTA'!$G$25,Tabla11[[#This Row],[Cuenta]],1))</f>
        <v>0</v>
      </c>
      <c r="AI394" t="b">
        <f>+ISNUMBER(SEARCH('F-VTA'!$F$28,Tabla11[[#This Row],[Cuenta]],1))</f>
        <v>1</v>
      </c>
      <c r="AJ394" t="b">
        <f>+ISNUMBER(SEARCH('F-VTA'!$F$29,Tabla11[[#This Row],[Cuenta]],1))</f>
        <v>1</v>
      </c>
      <c r="AK394" t="b">
        <f>+ISNUMBER(SEARCH('F-VTA'!$F$30,Tabla11[[#This Row],[Cuenta]],1))</f>
        <v>1</v>
      </c>
      <c r="AL394" t="b">
        <f>+ISNUMBER(SEARCH('F-VTA'!$F$31,Tabla11[[#This Row],[Cuenta]],1))</f>
        <v>1</v>
      </c>
      <c r="AM394" t="b">
        <f>+ISNUMBER(SEARCH('F-VTA'!$F$32,Tabla11[[#This Row],[Cuenta]],1))</f>
        <v>1</v>
      </c>
      <c r="AN394" t="b">
        <f>+ISNUMBER(SEARCH('F-VTA'!$F$33,Tabla11[[#This Row],[Cuenta]],1))</f>
        <v>1</v>
      </c>
      <c r="AO394" t="b">
        <f>+ISNUMBER(SEARCH('F-VTA'!$F$34,Tabla11[[#This Row],[Cuenta]],1))</f>
        <v>1</v>
      </c>
      <c r="AP394" t="b">
        <f>+ISNUMBER(SEARCH('F-VTA'!$F$35,Tabla11[[#This Row],[Cuenta]],1))</f>
        <v>1</v>
      </c>
      <c r="AQ394" t="b">
        <f>+ISNUMBER(SEARCH('F-VTA'!$F$36,Tabla11[[#This Row],[Cuenta]],1))</f>
        <v>1</v>
      </c>
      <c r="AR394" t="b">
        <f>+ISNUMBER(SEARCH(#REF!,Tabla11[[#This Row],[Cuenta]],1))</f>
        <v>0</v>
      </c>
      <c r="AS394" t="b">
        <f>+ISNUMBER(SEARCH(#REF!,Tabla11[[#This Row],[Cuenta]],1))</f>
        <v>0</v>
      </c>
      <c r="AT394" t="b">
        <f>+ISNUMBER(SEARCH(#REF!,Tabla11[[#This Row],[Cuenta]],1))</f>
        <v>0</v>
      </c>
      <c r="AU394" t="b">
        <f>+ISNUMBER(SEARCH('Conc. Ban.1'!$I$9,Tabla11[[#This Row],[Cuenta]],1))</f>
        <v>0</v>
      </c>
      <c r="AV394" t="b">
        <f>+ISNUMBER(SEARCH(CompConta!$F$21,Tabla11[[#This Row],[Cuenta]],1))</f>
        <v>1</v>
      </c>
      <c r="AW394" t="b">
        <f>+ISNUMBER(SEARCH(CompConta!$F$22,Tabla11[[#This Row],[Cuenta]],1))</f>
        <v>1</v>
      </c>
      <c r="AX394" t="b">
        <f>+ISNUMBER(SEARCH(CompConta!$F$23,Tabla11[[#This Row],[Cuenta]],1))</f>
        <v>1</v>
      </c>
      <c r="AY394" t="b">
        <f>+ISNUMBER(SEARCH(CompConta!$F$24,Tabla11[[#This Row],[Cuenta]],1))</f>
        <v>1</v>
      </c>
      <c r="AZ394" t="b">
        <f>+ISNUMBER(SEARCH(CompConta!$F$25,Tabla11[[#This Row],[Cuenta]],1))</f>
        <v>1</v>
      </c>
      <c r="BA394" t="b">
        <f>+ISNUMBER(SEARCH(CompConta!$F$26,Tabla11[[#This Row],[Cuenta]],1))</f>
        <v>1</v>
      </c>
      <c r="BB394" t="b">
        <f>+ISNUMBER(SEARCH(CompConta!$F$27,Tabla11[[#This Row],[Cuenta]],1))</f>
        <v>1</v>
      </c>
      <c r="BC394" t="b">
        <f>+ISNUMBER(SEARCH(CompConta!$F$28,Tabla11[[#This Row],[Cuenta]],1))</f>
        <v>1</v>
      </c>
      <c r="BD394" t="b">
        <f>+ISNUMBER(SEARCH(CompConta!$F$29,Tabla11[[#This Row],[Cuenta]],1))</f>
        <v>1</v>
      </c>
      <c r="BE394" t="b">
        <f>+ISNUMBER(SEARCH(CompConta!$F$30,Tabla11[[#This Row],[Cuenta]],1))</f>
        <v>1</v>
      </c>
      <c r="BF394" t="b">
        <f>+ISNUMBER(SEARCH('PAGO Compras'!$E$11,Tabla11[[#This Row],[Cuenta]],1))</f>
        <v>1</v>
      </c>
      <c r="BG394" t="b">
        <f>+ISNUMBER(SEARCH(#REF!,Tabla11[[#This Row],[Cuenta]],1))</f>
        <v>0</v>
      </c>
      <c r="BH394" t="b">
        <f>+ISNUMBER(SEARCH(#REF!,Tabla11[[#This Row],[Cuenta]],1))</f>
        <v>0</v>
      </c>
      <c r="BI394" t="b">
        <f>+ISNUMBER(SEARCH(#REF!,Tabla11[[#This Row],[Cuenta]],1))</f>
        <v>0</v>
      </c>
      <c r="BJ394" t="b">
        <f>+ISNUMBER(SEARCH(#REF!,Tabla11[[#This Row],[Cuenta]],1))</f>
        <v>0</v>
      </c>
      <c r="BS394" t="str">
        <v>213515 Bonos</v>
      </c>
      <c r="BT394" t="str">
        <v>213515 Bonos</v>
      </c>
      <c r="BU394" t="str">
        <v>213515 Bonos</v>
      </c>
      <c r="BV394" t="str">
        <v>213515 Bonos</v>
      </c>
      <c r="BZ394" t="str">
        <v>213515 Bonos</v>
      </c>
      <c r="CA394" t="str">
        <v>213515 Bonos</v>
      </c>
      <c r="CB394" t="str">
        <v>213515 Bonos</v>
      </c>
      <c r="CC394" t="str">
        <v>213515 Bonos</v>
      </c>
      <c r="CD394" t="str">
        <v>213515 Bonos</v>
      </c>
      <c r="CE394" t="str">
        <v>213515 Bonos</v>
      </c>
      <c r="CS394" s="141" t="str">
        <v>213515 Bonos</v>
      </c>
      <c r="CT394" s="141" t="str">
        <v>213515 Bonos</v>
      </c>
      <c r="CU394" s="141" t="str">
        <v>213515 Bonos</v>
      </c>
      <c r="CV394" s="141" t="str">
        <v>213515 Bonos</v>
      </c>
      <c r="CW394" s="141" t="str">
        <v>213515 Bonos</v>
      </c>
      <c r="CX394" s="141" t="str">
        <v>213515 Bonos</v>
      </c>
      <c r="CY394" s="141" t="str">
        <v>213515 Bonos</v>
      </c>
      <c r="CZ394" s="141" t="str">
        <v>213515 Bonos</v>
      </c>
      <c r="DA394" s="141" t="str">
        <v>213515 Bonos</v>
      </c>
      <c r="DF394" t="str">
        <v>213515 Bonos</v>
      </c>
      <c r="DG394" t="str">
        <v>213515 Bonos</v>
      </c>
      <c r="DH394" t="str">
        <v>213515 Bonos</v>
      </c>
      <c r="DI394" t="str">
        <v>213515 Bonos</v>
      </c>
      <c r="DJ394" t="str">
        <v>213515 Bonos</v>
      </c>
      <c r="DK394" t="str">
        <v>213515 Bonos</v>
      </c>
      <c r="DL394" t="str">
        <v>213515 Bonos</v>
      </c>
      <c r="DM394" t="str">
        <v>213515 Bonos</v>
      </c>
      <c r="DN394" t="str">
        <v>213515 Bonos</v>
      </c>
      <c r="DO394" t="str">
        <v>213515 Bonos</v>
      </c>
      <c r="DP394" t="str">
        <v>213515 Bonos</v>
      </c>
    </row>
    <row r="395" spans="4:120" ht="12.75">
      <c r="D395" s="7">
        <v>213520</v>
      </c>
      <c r="E395" s="6" t="s">
        <v>50</v>
      </c>
      <c r="F395" s="5">
        <v>4</v>
      </c>
      <c r="G395" s="34" t="s">
        <v>823</v>
      </c>
      <c r="H395" s="26" t="s">
        <v>765</v>
      </c>
      <c r="I395" t="b">
        <f>+ISNUMBER(SEARCH('F-COMPRA'!$F$28,Tabla11[[#This Row],[Cuenta]],1))</f>
        <v>1</v>
      </c>
      <c r="J395" t="b">
        <f>+ISNUMBER(SEARCH('F-COMPRA'!$F$29,Tabla11[[#This Row],[Cuenta]],1))</f>
        <v>1</v>
      </c>
      <c r="K395" t="b">
        <f>+ISNUMBER(SEARCH('F-COMPRA'!$F$30,Tabla11[[#This Row],[Cuenta]],1))</f>
        <v>1</v>
      </c>
      <c r="L395" t="b">
        <f>+ISNUMBER(SEARCH('F-COMPRA'!$F$31,Tabla11[[#This Row],[Cuenta]],1))</f>
        <v>1</v>
      </c>
      <c r="M395" t="b">
        <f>+ISNUMBER(SEARCH('F-COMPRA'!$G$25,Tabla11[[#This Row],[Cuenta]],1))</f>
        <v>0</v>
      </c>
      <c r="N395" t="b">
        <f>+ISNUMBER(SEARCH(#REF!,Tabla11[[#This Row],[Cuenta]],1))</f>
        <v>0</v>
      </c>
      <c r="O395" t="b">
        <f>+ISNUMBER(SEARCH(#REF!,Tabla11[[#This Row],[Cuenta]],1))</f>
        <v>0</v>
      </c>
      <c r="P395" t="b">
        <f>+ISNUMBER(SEARCH('F-COMPRA'!$F$32,Tabla11[[#This Row],[Cuenta]],1))</f>
        <v>1</v>
      </c>
      <c r="Q395" t="b">
        <f>+ISNUMBER(SEARCH('F-COMPRA'!$F$33,Tabla11[[#This Row],[Cuenta]],1))</f>
        <v>1</v>
      </c>
      <c r="R395" t="b">
        <f>+ISNUMBER(SEARCH('F-COMPRA'!$F$34,Tabla11[[#This Row],[Cuenta]],1))</f>
        <v>1</v>
      </c>
      <c r="S395" t="b">
        <f>+ISNUMBER(SEARCH('F-COMPRA'!$F$35,Tabla11[[#This Row],[Cuenta]],1))</f>
        <v>1</v>
      </c>
      <c r="T395" t="b">
        <f>+ISNUMBER(SEARCH('F-COMPRA'!$F$36,Tabla11[[#This Row],[Cuenta]],1))</f>
        <v>1</v>
      </c>
      <c r="U395" t="b">
        <f>+ISNUMBER(SEARCH('F-COMPRA'!$F$37,Tabla11[[#This Row],[Cuenta]],1))</f>
        <v>1</v>
      </c>
      <c r="V395" t="b">
        <f>+ISNUMBER(SEARCH(#REF!,Tabla11[[#This Row],[Cuenta]],1))</f>
        <v>0</v>
      </c>
      <c r="W395" t="b">
        <f>+ISNUMBER(SEARCH('F-COMPRA'!#REF!,Tabla11[[#This Row],[Cuenta]],1))</f>
        <v>0</v>
      </c>
      <c r="X395" t="b">
        <f>+ISNUMBER(SEARCH('F-COMPRA'!#REF!,Tabla11[[#This Row],[Cuenta]],1))</f>
        <v>0</v>
      </c>
      <c r="Y395" t="b">
        <f>+ISNUMBER(SEARCH('F-COMPRA'!#REF!,Tabla11[[#This Row],[Cuenta]],1))</f>
        <v>0</v>
      </c>
      <c r="Z395" t="b">
        <f>+ISNUMBER(SEARCH('F-COMPRA'!#REF!,Tabla11[[#This Row],[Cuenta]],1))</f>
        <v>0</v>
      </c>
      <c r="AA395" t="b">
        <f>+ISNUMBER(SEARCH('F-COMPRA'!#REF!,Tabla11[[#This Row],[Cuenta]],1))</f>
        <v>0</v>
      </c>
      <c r="AB395" t="b">
        <f>+ISNUMBER(SEARCH('F-COMPRA'!#REF!,Tabla11[[#This Row],[Cuenta]],1))</f>
        <v>0</v>
      </c>
      <c r="AC395" t="b">
        <f>+ISNUMBER(SEARCH('F-COMPRA'!#REF!,Tabla11[[#This Row],[Cuenta]],1))</f>
        <v>0</v>
      </c>
      <c r="AD395" t="b">
        <f>+ISNUMBER(SEARCH('F-COMPRA'!#REF!,Tabla11[[#This Row],[Cuenta]],1))</f>
        <v>0</v>
      </c>
      <c r="AE395" t="b">
        <f>+ISNUMBER(SEARCH('F-COMPRA'!#REF!,Tabla11[[#This Row],[Cuenta]],1))</f>
        <v>0</v>
      </c>
      <c r="AF395" t="b">
        <f>+ISNUMBER(SEARCH('F-VTA'!$G$23,Tabla11[[#This Row],[Cuenta]],1))</f>
        <v>0</v>
      </c>
      <c r="AG395" t="b">
        <f>+ISNUMBER(SEARCH('F-VTA'!$G$24,Tabla11[[#This Row],[Cuenta]],1))</f>
        <v>0</v>
      </c>
      <c r="AH395" t="b">
        <f>+ISNUMBER(SEARCH('F-VTA'!$G$25,Tabla11[[#This Row],[Cuenta]],1))</f>
        <v>0</v>
      </c>
      <c r="AI395" t="b">
        <f>+ISNUMBER(SEARCH('F-VTA'!$F$28,Tabla11[[#This Row],[Cuenta]],1))</f>
        <v>1</v>
      </c>
      <c r="AJ395" t="b">
        <f>+ISNUMBER(SEARCH('F-VTA'!$F$29,Tabla11[[#This Row],[Cuenta]],1))</f>
        <v>1</v>
      </c>
      <c r="AK395" t="b">
        <f>+ISNUMBER(SEARCH('F-VTA'!$F$30,Tabla11[[#This Row],[Cuenta]],1))</f>
        <v>1</v>
      </c>
      <c r="AL395" t="b">
        <f>+ISNUMBER(SEARCH('F-VTA'!$F$31,Tabla11[[#This Row],[Cuenta]],1))</f>
        <v>1</v>
      </c>
      <c r="AM395" t="b">
        <f>+ISNUMBER(SEARCH('F-VTA'!$F$32,Tabla11[[#This Row],[Cuenta]],1))</f>
        <v>1</v>
      </c>
      <c r="AN395" t="b">
        <f>+ISNUMBER(SEARCH('F-VTA'!$F$33,Tabla11[[#This Row],[Cuenta]],1))</f>
        <v>1</v>
      </c>
      <c r="AO395" t="b">
        <f>+ISNUMBER(SEARCH('F-VTA'!$F$34,Tabla11[[#This Row],[Cuenta]],1))</f>
        <v>1</v>
      </c>
      <c r="AP395" t="b">
        <f>+ISNUMBER(SEARCH('F-VTA'!$F$35,Tabla11[[#This Row],[Cuenta]],1))</f>
        <v>1</v>
      </c>
      <c r="AQ395" t="b">
        <f>+ISNUMBER(SEARCH('F-VTA'!$F$36,Tabla11[[#This Row],[Cuenta]],1))</f>
        <v>1</v>
      </c>
      <c r="AR395" t="b">
        <f>+ISNUMBER(SEARCH(#REF!,Tabla11[[#This Row],[Cuenta]],1))</f>
        <v>0</v>
      </c>
      <c r="AS395" t="b">
        <f>+ISNUMBER(SEARCH(#REF!,Tabla11[[#This Row],[Cuenta]],1))</f>
        <v>0</v>
      </c>
      <c r="AT395" t="b">
        <f>+ISNUMBER(SEARCH(#REF!,Tabla11[[#This Row],[Cuenta]],1))</f>
        <v>0</v>
      </c>
      <c r="AU395" t="b">
        <f>+ISNUMBER(SEARCH('Conc. Ban.1'!$I$9,Tabla11[[#This Row],[Cuenta]],1))</f>
        <v>0</v>
      </c>
      <c r="AV395" t="b">
        <f>+ISNUMBER(SEARCH(CompConta!$F$21,Tabla11[[#This Row],[Cuenta]],1))</f>
        <v>1</v>
      </c>
      <c r="AW395" t="b">
        <f>+ISNUMBER(SEARCH(CompConta!$F$22,Tabla11[[#This Row],[Cuenta]],1))</f>
        <v>1</v>
      </c>
      <c r="AX395" t="b">
        <f>+ISNUMBER(SEARCH(CompConta!$F$23,Tabla11[[#This Row],[Cuenta]],1))</f>
        <v>1</v>
      </c>
      <c r="AY395" t="b">
        <f>+ISNUMBER(SEARCH(CompConta!$F$24,Tabla11[[#This Row],[Cuenta]],1))</f>
        <v>1</v>
      </c>
      <c r="AZ395" t="b">
        <f>+ISNUMBER(SEARCH(CompConta!$F$25,Tabla11[[#This Row],[Cuenta]],1))</f>
        <v>1</v>
      </c>
      <c r="BA395" t="b">
        <f>+ISNUMBER(SEARCH(CompConta!$F$26,Tabla11[[#This Row],[Cuenta]],1))</f>
        <v>1</v>
      </c>
      <c r="BB395" t="b">
        <f>+ISNUMBER(SEARCH(CompConta!$F$27,Tabla11[[#This Row],[Cuenta]],1))</f>
        <v>1</v>
      </c>
      <c r="BC395" t="b">
        <f>+ISNUMBER(SEARCH(CompConta!$F$28,Tabla11[[#This Row],[Cuenta]],1))</f>
        <v>1</v>
      </c>
      <c r="BD395" t="b">
        <f>+ISNUMBER(SEARCH(CompConta!$F$29,Tabla11[[#This Row],[Cuenta]],1))</f>
        <v>1</v>
      </c>
      <c r="BE395" t="b">
        <f>+ISNUMBER(SEARCH(CompConta!$F$30,Tabla11[[#This Row],[Cuenta]],1))</f>
        <v>1</v>
      </c>
      <c r="BF395" t="b">
        <f>+ISNUMBER(SEARCH('PAGO Compras'!$E$11,Tabla11[[#This Row],[Cuenta]],1))</f>
        <v>1</v>
      </c>
      <c r="BG395" t="b">
        <f>+ISNUMBER(SEARCH(#REF!,Tabla11[[#This Row],[Cuenta]],1))</f>
        <v>0</v>
      </c>
      <c r="BH395" t="b">
        <f>+ISNUMBER(SEARCH(#REF!,Tabla11[[#This Row],[Cuenta]],1))</f>
        <v>0</v>
      </c>
      <c r="BI395" t="b">
        <f>+ISNUMBER(SEARCH(#REF!,Tabla11[[#This Row],[Cuenta]],1))</f>
        <v>0</v>
      </c>
      <c r="BJ395" t="b">
        <f>+ISNUMBER(SEARCH(#REF!,Tabla11[[#This Row],[Cuenta]],1))</f>
        <v>0</v>
      </c>
      <c r="BS395" t="str">
        <v>213520 Cédulas</v>
      </c>
      <c r="BT395" t="str">
        <v>213520 Cédulas</v>
      </c>
      <c r="BU395" t="str">
        <v>213520 Cédulas</v>
      </c>
      <c r="BV395" t="str">
        <v>213520 Cédulas</v>
      </c>
      <c r="BZ395" t="str">
        <v>213520 Cédulas</v>
      </c>
      <c r="CA395" t="str">
        <v>213520 Cédulas</v>
      </c>
      <c r="CB395" t="str">
        <v>213520 Cédulas</v>
      </c>
      <c r="CC395" t="str">
        <v>213520 Cédulas</v>
      </c>
      <c r="CD395" t="str">
        <v>213520 Cédulas</v>
      </c>
      <c r="CE395" t="str">
        <v>213520 Cédulas</v>
      </c>
      <c r="CS395" s="141" t="str">
        <v>213520 Cédulas</v>
      </c>
      <c r="CT395" s="141" t="str">
        <v>213520 Cédulas</v>
      </c>
      <c r="CU395" s="141" t="str">
        <v>213520 Cédulas</v>
      </c>
      <c r="CV395" s="141" t="str">
        <v>213520 Cédulas</v>
      </c>
      <c r="CW395" s="141" t="str">
        <v>213520 Cédulas</v>
      </c>
      <c r="CX395" s="141" t="str">
        <v>213520 Cédulas</v>
      </c>
      <c r="CY395" s="141" t="str">
        <v>213520 Cédulas</v>
      </c>
      <c r="CZ395" s="141" t="str">
        <v>213520 Cédulas</v>
      </c>
      <c r="DA395" s="141" t="str">
        <v>213520 Cédulas</v>
      </c>
      <c r="DF395" t="str">
        <v>213520 Cédulas</v>
      </c>
      <c r="DG395" t="str">
        <v>213520 Cédulas</v>
      </c>
      <c r="DH395" t="str">
        <v>213520 Cédulas</v>
      </c>
      <c r="DI395" t="str">
        <v>213520 Cédulas</v>
      </c>
      <c r="DJ395" t="str">
        <v>213520 Cédulas</v>
      </c>
      <c r="DK395" t="str">
        <v>213520 Cédulas</v>
      </c>
      <c r="DL395" t="str">
        <v>213520 Cédulas</v>
      </c>
      <c r="DM395" t="str">
        <v>213520 Cédulas</v>
      </c>
      <c r="DN395" t="str">
        <v>213520 Cédulas</v>
      </c>
      <c r="DO395" t="str">
        <v>213520 Cédulas</v>
      </c>
      <c r="DP395" t="str">
        <v>213520 Cédulas</v>
      </c>
    </row>
    <row r="396" spans="4:120" ht="12.75">
      <c r="D396" s="7">
        <v>213525</v>
      </c>
      <c r="E396" s="6" t="s">
        <v>51</v>
      </c>
      <c r="F396" s="5">
        <v>4</v>
      </c>
      <c r="G396" s="34" t="s">
        <v>823</v>
      </c>
      <c r="H396" s="26" t="s">
        <v>765</v>
      </c>
      <c r="I396" t="b">
        <f>+ISNUMBER(SEARCH('F-COMPRA'!$F$28,Tabla11[[#This Row],[Cuenta]],1))</f>
        <v>1</v>
      </c>
      <c r="J396" t="b">
        <f>+ISNUMBER(SEARCH('F-COMPRA'!$F$29,Tabla11[[#This Row],[Cuenta]],1))</f>
        <v>1</v>
      </c>
      <c r="K396" t="b">
        <f>+ISNUMBER(SEARCH('F-COMPRA'!$F$30,Tabla11[[#This Row],[Cuenta]],1))</f>
        <v>1</v>
      </c>
      <c r="L396" t="b">
        <f>+ISNUMBER(SEARCH('F-COMPRA'!$F$31,Tabla11[[#This Row],[Cuenta]],1))</f>
        <v>1</v>
      </c>
      <c r="M396" t="b">
        <f>+ISNUMBER(SEARCH('F-COMPRA'!$G$25,Tabla11[[#This Row],[Cuenta]],1))</f>
        <v>0</v>
      </c>
      <c r="N396" t="b">
        <f>+ISNUMBER(SEARCH(#REF!,Tabla11[[#This Row],[Cuenta]],1))</f>
        <v>0</v>
      </c>
      <c r="O396" t="b">
        <f>+ISNUMBER(SEARCH(#REF!,Tabla11[[#This Row],[Cuenta]],1))</f>
        <v>0</v>
      </c>
      <c r="P396" t="b">
        <f>+ISNUMBER(SEARCH('F-COMPRA'!$F$32,Tabla11[[#This Row],[Cuenta]],1))</f>
        <v>1</v>
      </c>
      <c r="Q396" t="b">
        <f>+ISNUMBER(SEARCH('F-COMPRA'!$F$33,Tabla11[[#This Row],[Cuenta]],1))</f>
        <v>1</v>
      </c>
      <c r="R396" t="b">
        <f>+ISNUMBER(SEARCH('F-COMPRA'!$F$34,Tabla11[[#This Row],[Cuenta]],1))</f>
        <v>1</v>
      </c>
      <c r="S396" t="b">
        <f>+ISNUMBER(SEARCH('F-COMPRA'!$F$35,Tabla11[[#This Row],[Cuenta]],1))</f>
        <v>1</v>
      </c>
      <c r="T396" t="b">
        <f>+ISNUMBER(SEARCH('F-COMPRA'!$F$36,Tabla11[[#This Row],[Cuenta]],1))</f>
        <v>1</v>
      </c>
      <c r="U396" t="b">
        <f>+ISNUMBER(SEARCH('F-COMPRA'!$F$37,Tabla11[[#This Row],[Cuenta]],1))</f>
        <v>1</v>
      </c>
      <c r="V396" t="b">
        <f>+ISNUMBER(SEARCH(#REF!,Tabla11[[#This Row],[Cuenta]],1))</f>
        <v>0</v>
      </c>
      <c r="W396" t="b">
        <f>+ISNUMBER(SEARCH('F-COMPRA'!#REF!,Tabla11[[#This Row],[Cuenta]],1))</f>
        <v>0</v>
      </c>
      <c r="X396" t="b">
        <f>+ISNUMBER(SEARCH('F-COMPRA'!#REF!,Tabla11[[#This Row],[Cuenta]],1))</f>
        <v>0</v>
      </c>
      <c r="Y396" t="b">
        <f>+ISNUMBER(SEARCH('F-COMPRA'!#REF!,Tabla11[[#This Row],[Cuenta]],1))</f>
        <v>0</v>
      </c>
      <c r="Z396" t="b">
        <f>+ISNUMBER(SEARCH('F-COMPRA'!#REF!,Tabla11[[#This Row],[Cuenta]],1))</f>
        <v>0</v>
      </c>
      <c r="AA396" t="b">
        <f>+ISNUMBER(SEARCH('F-COMPRA'!#REF!,Tabla11[[#This Row],[Cuenta]],1))</f>
        <v>0</v>
      </c>
      <c r="AB396" t="b">
        <f>+ISNUMBER(SEARCH('F-COMPRA'!#REF!,Tabla11[[#This Row],[Cuenta]],1))</f>
        <v>0</v>
      </c>
      <c r="AC396" t="b">
        <f>+ISNUMBER(SEARCH('F-COMPRA'!#REF!,Tabla11[[#This Row],[Cuenta]],1))</f>
        <v>0</v>
      </c>
      <c r="AD396" t="b">
        <f>+ISNUMBER(SEARCH('F-COMPRA'!#REF!,Tabla11[[#This Row],[Cuenta]],1))</f>
        <v>0</v>
      </c>
      <c r="AE396" t="b">
        <f>+ISNUMBER(SEARCH('F-COMPRA'!#REF!,Tabla11[[#This Row],[Cuenta]],1))</f>
        <v>0</v>
      </c>
      <c r="AF396" t="b">
        <f>+ISNUMBER(SEARCH('F-VTA'!$G$23,Tabla11[[#This Row],[Cuenta]],1))</f>
        <v>0</v>
      </c>
      <c r="AG396" t="b">
        <f>+ISNUMBER(SEARCH('F-VTA'!$G$24,Tabla11[[#This Row],[Cuenta]],1))</f>
        <v>0</v>
      </c>
      <c r="AH396" t="b">
        <f>+ISNUMBER(SEARCH('F-VTA'!$G$25,Tabla11[[#This Row],[Cuenta]],1))</f>
        <v>0</v>
      </c>
      <c r="AI396" t="b">
        <f>+ISNUMBER(SEARCH('F-VTA'!$F$28,Tabla11[[#This Row],[Cuenta]],1))</f>
        <v>1</v>
      </c>
      <c r="AJ396" t="b">
        <f>+ISNUMBER(SEARCH('F-VTA'!$F$29,Tabla11[[#This Row],[Cuenta]],1))</f>
        <v>1</v>
      </c>
      <c r="AK396" t="b">
        <f>+ISNUMBER(SEARCH('F-VTA'!$F$30,Tabla11[[#This Row],[Cuenta]],1))</f>
        <v>1</v>
      </c>
      <c r="AL396" t="b">
        <f>+ISNUMBER(SEARCH('F-VTA'!$F$31,Tabla11[[#This Row],[Cuenta]],1))</f>
        <v>1</v>
      </c>
      <c r="AM396" t="b">
        <f>+ISNUMBER(SEARCH('F-VTA'!$F$32,Tabla11[[#This Row],[Cuenta]],1))</f>
        <v>1</v>
      </c>
      <c r="AN396" t="b">
        <f>+ISNUMBER(SEARCH('F-VTA'!$F$33,Tabla11[[#This Row],[Cuenta]],1))</f>
        <v>1</v>
      </c>
      <c r="AO396" t="b">
        <f>+ISNUMBER(SEARCH('F-VTA'!$F$34,Tabla11[[#This Row],[Cuenta]],1))</f>
        <v>1</v>
      </c>
      <c r="AP396" t="b">
        <f>+ISNUMBER(SEARCH('F-VTA'!$F$35,Tabla11[[#This Row],[Cuenta]],1))</f>
        <v>1</v>
      </c>
      <c r="AQ396" t="b">
        <f>+ISNUMBER(SEARCH('F-VTA'!$F$36,Tabla11[[#This Row],[Cuenta]],1))</f>
        <v>1</v>
      </c>
      <c r="AR396" t="b">
        <f>+ISNUMBER(SEARCH(#REF!,Tabla11[[#This Row],[Cuenta]],1))</f>
        <v>0</v>
      </c>
      <c r="AS396" t="b">
        <f>+ISNUMBER(SEARCH(#REF!,Tabla11[[#This Row],[Cuenta]],1))</f>
        <v>0</v>
      </c>
      <c r="AT396" t="b">
        <f>+ISNUMBER(SEARCH(#REF!,Tabla11[[#This Row],[Cuenta]],1))</f>
        <v>0</v>
      </c>
      <c r="AU396" t="b">
        <f>+ISNUMBER(SEARCH('Conc. Ban.1'!$I$9,Tabla11[[#This Row],[Cuenta]],1))</f>
        <v>0</v>
      </c>
      <c r="AV396" t="b">
        <f>+ISNUMBER(SEARCH(CompConta!$F$21,Tabla11[[#This Row],[Cuenta]],1))</f>
        <v>1</v>
      </c>
      <c r="AW396" t="b">
        <f>+ISNUMBER(SEARCH(CompConta!$F$22,Tabla11[[#This Row],[Cuenta]],1))</f>
        <v>1</v>
      </c>
      <c r="AX396" t="b">
        <f>+ISNUMBER(SEARCH(CompConta!$F$23,Tabla11[[#This Row],[Cuenta]],1))</f>
        <v>1</v>
      </c>
      <c r="AY396" t="b">
        <f>+ISNUMBER(SEARCH(CompConta!$F$24,Tabla11[[#This Row],[Cuenta]],1))</f>
        <v>1</v>
      </c>
      <c r="AZ396" t="b">
        <f>+ISNUMBER(SEARCH(CompConta!$F$25,Tabla11[[#This Row],[Cuenta]],1))</f>
        <v>1</v>
      </c>
      <c r="BA396" t="b">
        <f>+ISNUMBER(SEARCH(CompConta!$F$26,Tabla11[[#This Row],[Cuenta]],1))</f>
        <v>1</v>
      </c>
      <c r="BB396" t="b">
        <f>+ISNUMBER(SEARCH(CompConta!$F$27,Tabla11[[#This Row],[Cuenta]],1))</f>
        <v>1</v>
      </c>
      <c r="BC396" t="b">
        <f>+ISNUMBER(SEARCH(CompConta!$F$28,Tabla11[[#This Row],[Cuenta]],1))</f>
        <v>1</v>
      </c>
      <c r="BD396" t="b">
        <f>+ISNUMBER(SEARCH(CompConta!$F$29,Tabla11[[#This Row],[Cuenta]],1))</f>
        <v>1</v>
      </c>
      <c r="BE396" t="b">
        <f>+ISNUMBER(SEARCH(CompConta!$F$30,Tabla11[[#This Row],[Cuenta]],1))</f>
        <v>1</v>
      </c>
      <c r="BF396" t="b">
        <f>+ISNUMBER(SEARCH('PAGO Compras'!$E$11,Tabla11[[#This Row],[Cuenta]],1))</f>
        <v>1</v>
      </c>
      <c r="BG396" t="b">
        <f>+ISNUMBER(SEARCH(#REF!,Tabla11[[#This Row],[Cuenta]],1))</f>
        <v>0</v>
      </c>
      <c r="BH396" t="b">
        <f>+ISNUMBER(SEARCH(#REF!,Tabla11[[#This Row],[Cuenta]],1))</f>
        <v>0</v>
      </c>
      <c r="BI396" t="b">
        <f>+ISNUMBER(SEARCH(#REF!,Tabla11[[#This Row],[Cuenta]],1))</f>
        <v>0</v>
      </c>
      <c r="BJ396" t="b">
        <f>+ISNUMBER(SEARCH(#REF!,Tabla11[[#This Row],[Cuenta]],1))</f>
        <v>0</v>
      </c>
      <c r="BS396" t="str">
        <v>213525 Certificados</v>
      </c>
      <c r="BT396" t="str">
        <v>213525 Certificados</v>
      </c>
      <c r="BU396" t="str">
        <v>213525 Certificados</v>
      </c>
      <c r="BV396" t="str">
        <v>213525 Certificados</v>
      </c>
      <c r="BZ396" t="str">
        <v>213525 Certificados</v>
      </c>
      <c r="CA396" t="str">
        <v>213525 Certificados</v>
      </c>
      <c r="CB396" t="str">
        <v>213525 Certificados</v>
      </c>
      <c r="CC396" t="str">
        <v>213525 Certificados</v>
      </c>
      <c r="CD396" t="str">
        <v>213525 Certificados</v>
      </c>
      <c r="CE396" t="str">
        <v>213525 Certificados</v>
      </c>
      <c r="CS396" s="141" t="str">
        <v>213525 Certificados</v>
      </c>
      <c r="CT396" s="141" t="str">
        <v>213525 Certificados</v>
      </c>
      <c r="CU396" s="141" t="str">
        <v>213525 Certificados</v>
      </c>
      <c r="CV396" s="141" t="str">
        <v>213525 Certificados</v>
      </c>
      <c r="CW396" s="141" t="str">
        <v>213525 Certificados</v>
      </c>
      <c r="CX396" s="141" t="str">
        <v>213525 Certificados</v>
      </c>
      <c r="CY396" s="141" t="str">
        <v>213525 Certificados</v>
      </c>
      <c r="CZ396" s="141" t="str">
        <v>213525 Certificados</v>
      </c>
      <c r="DA396" s="141" t="str">
        <v>213525 Certificados</v>
      </c>
      <c r="DF396" t="str">
        <v>213525 Certificados</v>
      </c>
      <c r="DG396" t="str">
        <v>213525 Certificados</v>
      </c>
      <c r="DH396" t="str">
        <v>213525 Certificados</v>
      </c>
      <c r="DI396" t="str">
        <v>213525 Certificados</v>
      </c>
      <c r="DJ396" t="str">
        <v>213525 Certificados</v>
      </c>
      <c r="DK396" t="str">
        <v>213525 Certificados</v>
      </c>
      <c r="DL396" t="str">
        <v>213525 Certificados</v>
      </c>
      <c r="DM396" t="str">
        <v>213525 Certificados</v>
      </c>
      <c r="DN396" t="str">
        <v>213525 Certificados</v>
      </c>
      <c r="DO396" t="str">
        <v>213525 Certificados</v>
      </c>
      <c r="DP396" t="str">
        <v>213525 Certificados</v>
      </c>
    </row>
    <row r="397" spans="4:120" ht="12.75">
      <c r="D397" s="7">
        <v>213530</v>
      </c>
      <c r="E397" s="6" t="s">
        <v>52</v>
      </c>
      <c r="F397" s="5">
        <v>4</v>
      </c>
      <c r="G397" s="34" t="s">
        <v>823</v>
      </c>
      <c r="H397" s="26" t="s">
        <v>765</v>
      </c>
      <c r="I397" t="b">
        <f>+ISNUMBER(SEARCH('F-COMPRA'!$F$28,Tabla11[[#This Row],[Cuenta]],1))</f>
        <v>1</v>
      </c>
      <c r="J397" t="b">
        <f>+ISNUMBER(SEARCH('F-COMPRA'!$F$29,Tabla11[[#This Row],[Cuenta]],1))</f>
        <v>1</v>
      </c>
      <c r="K397" t="b">
        <f>+ISNUMBER(SEARCH('F-COMPRA'!$F$30,Tabla11[[#This Row],[Cuenta]],1))</f>
        <v>1</v>
      </c>
      <c r="L397" t="b">
        <f>+ISNUMBER(SEARCH('F-COMPRA'!$F$31,Tabla11[[#This Row],[Cuenta]],1))</f>
        <v>1</v>
      </c>
      <c r="M397" t="b">
        <f>+ISNUMBER(SEARCH('F-COMPRA'!$G$25,Tabla11[[#This Row],[Cuenta]],1))</f>
        <v>0</v>
      </c>
      <c r="N397" t="b">
        <f>+ISNUMBER(SEARCH(#REF!,Tabla11[[#This Row],[Cuenta]],1))</f>
        <v>0</v>
      </c>
      <c r="O397" t="b">
        <f>+ISNUMBER(SEARCH(#REF!,Tabla11[[#This Row],[Cuenta]],1))</f>
        <v>0</v>
      </c>
      <c r="P397" t="b">
        <f>+ISNUMBER(SEARCH('F-COMPRA'!$F$32,Tabla11[[#This Row],[Cuenta]],1))</f>
        <v>1</v>
      </c>
      <c r="Q397" t="b">
        <f>+ISNUMBER(SEARCH('F-COMPRA'!$F$33,Tabla11[[#This Row],[Cuenta]],1))</f>
        <v>1</v>
      </c>
      <c r="R397" t="b">
        <f>+ISNUMBER(SEARCH('F-COMPRA'!$F$34,Tabla11[[#This Row],[Cuenta]],1))</f>
        <v>1</v>
      </c>
      <c r="S397" t="b">
        <f>+ISNUMBER(SEARCH('F-COMPRA'!$F$35,Tabla11[[#This Row],[Cuenta]],1))</f>
        <v>1</v>
      </c>
      <c r="T397" t="b">
        <f>+ISNUMBER(SEARCH('F-COMPRA'!$F$36,Tabla11[[#This Row],[Cuenta]],1))</f>
        <v>1</v>
      </c>
      <c r="U397" t="b">
        <f>+ISNUMBER(SEARCH('F-COMPRA'!$F$37,Tabla11[[#This Row],[Cuenta]],1))</f>
        <v>1</v>
      </c>
      <c r="V397" t="b">
        <f>+ISNUMBER(SEARCH(#REF!,Tabla11[[#This Row],[Cuenta]],1))</f>
        <v>0</v>
      </c>
      <c r="W397" t="b">
        <f>+ISNUMBER(SEARCH('F-COMPRA'!#REF!,Tabla11[[#This Row],[Cuenta]],1))</f>
        <v>0</v>
      </c>
      <c r="X397" t="b">
        <f>+ISNUMBER(SEARCH('F-COMPRA'!#REF!,Tabla11[[#This Row],[Cuenta]],1))</f>
        <v>0</v>
      </c>
      <c r="Y397" t="b">
        <f>+ISNUMBER(SEARCH('F-COMPRA'!#REF!,Tabla11[[#This Row],[Cuenta]],1))</f>
        <v>0</v>
      </c>
      <c r="Z397" t="b">
        <f>+ISNUMBER(SEARCH('F-COMPRA'!#REF!,Tabla11[[#This Row],[Cuenta]],1))</f>
        <v>0</v>
      </c>
      <c r="AA397" t="b">
        <f>+ISNUMBER(SEARCH('F-COMPRA'!#REF!,Tabla11[[#This Row],[Cuenta]],1))</f>
        <v>0</v>
      </c>
      <c r="AB397" t="b">
        <f>+ISNUMBER(SEARCH('F-COMPRA'!#REF!,Tabla11[[#This Row],[Cuenta]],1))</f>
        <v>0</v>
      </c>
      <c r="AC397" t="b">
        <f>+ISNUMBER(SEARCH('F-COMPRA'!#REF!,Tabla11[[#This Row],[Cuenta]],1))</f>
        <v>0</v>
      </c>
      <c r="AD397" t="b">
        <f>+ISNUMBER(SEARCH('F-COMPRA'!#REF!,Tabla11[[#This Row],[Cuenta]],1))</f>
        <v>0</v>
      </c>
      <c r="AE397" t="b">
        <f>+ISNUMBER(SEARCH('F-COMPRA'!#REF!,Tabla11[[#This Row],[Cuenta]],1))</f>
        <v>0</v>
      </c>
      <c r="AF397" t="b">
        <f>+ISNUMBER(SEARCH('F-VTA'!$G$23,Tabla11[[#This Row],[Cuenta]],1))</f>
        <v>0</v>
      </c>
      <c r="AG397" t="b">
        <f>+ISNUMBER(SEARCH('F-VTA'!$G$24,Tabla11[[#This Row],[Cuenta]],1))</f>
        <v>0</v>
      </c>
      <c r="AH397" t="b">
        <f>+ISNUMBER(SEARCH('F-VTA'!$G$25,Tabla11[[#This Row],[Cuenta]],1))</f>
        <v>0</v>
      </c>
      <c r="AI397" t="b">
        <f>+ISNUMBER(SEARCH('F-VTA'!$F$28,Tabla11[[#This Row],[Cuenta]],1))</f>
        <v>1</v>
      </c>
      <c r="AJ397" t="b">
        <f>+ISNUMBER(SEARCH('F-VTA'!$F$29,Tabla11[[#This Row],[Cuenta]],1))</f>
        <v>1</v>
      </c>
      <c r="AK397" t="b">
        <f>+ISNUMBER(SEARCH('F-VTA'!$F$30,Tabla11[[#This Row],[Cuenta]],1))</f>
        <v>1</v>
      </c>
      <c r="AL397" t="b">
        <f>+ISNUMBER(SEARCH('F-VTA'!$F$31,Tabla11[[#This Row],[Cuenta]],1))</f>
        <v>1</v>
      </c>
      <c r="AM397" t="b">
        <f>+ISNUMBER(SEARCH('F-VTA'!$F$32,Tabla11[[#This Row],[Cuenta]],1))</f>
        <v>1</v>
      </c>
      <c r="AN397" t="b">
        <f>+ISNUMBER(SEARCH('F-VTA'!$F$33,Tabla11[[#This Row],[Cuenta]],1))</f>
        <v>1</v>
      </c>
      <c r="AO397" t="b">
        <f>+ISNUMBER(SEARCH('F-VTA'!$F$34,Tabla11[[#This Row],[Cuenta]],1))</f>
        <v>1</v>
      </c>
      <c r="AP397" t="b">
        <f>+ISNUMBER(SEARCH('F-VTA'!$F$35,Tabla11[[#This Row],[Cuenta]],1))</f>
        <v>1</v>
      </c>
      <c r="AQ397" t="b">
        <f>+ISNUMBER(SEARCH('F-VTA'!$F$36,Tabla11[[#This Row],[Cuenta]],1))</f>
        <v>1</v>
      </c>
      <c r="AR397" t="b">
        <f>+ISNUMBER(SEARCH(#REF!,Tabla11[[#This Row],[Cuenta]],1))</f>
        <v>0</v>
      </c>
      <c r="AS397" t="b">
        <f>+ISNUMBER(SEARCH(#REF!,Tabla11[[#This Row],[Cuenta]],1))</f>
        <v>0</v>
      </c>
      <c r="AT397" t="b">
        <f>+ISNUMBER(SEARCH(#REF!,Tabla11[[#This Row],[Cuenta]],1))</f>
        <v>0</v>
      </c>
      <c r="AU397" t="b">
        <f>+ISNUMBER(SEARCH('Conc. Ban.1'!$I$9,Tabla11[[#This Row],[Cuenta]],1))</f>
        <v>0</v>
      </c>
      <c r="AV397" t="b">
        <f>+ISNUMBER(SEARCH(CompConta!$F$21,Tabla11[[#This Row],[Cuenta]],1))</f>
        <v>1</v>
      </c>
      <c r="AW397" t="b">
        <f>+ISNUMBER(SEARCH(CompConta!$F$22,Tabla11[[#This Row],[Cuenta]],1))</f>
        <v>1</v>
      </c>
      <c r="AX397" t="b">
        <f>+ISNUMBER(SEARCH(CompConta!$F$23,Tabla11[[#This Row],[Cuenta]],1))</f>
        <v>1</v>
      </c>
      <c r="AY397" t="b">
        <f>+ISNUMBER(SEARCH(CompConta!$F$24,Tabla11[[#This Row],[Cuenta]],1))</f>
        <v>1</v>
      </c>
      <c r="AZ397" t="b">
        <f>+ISNUMBER(SEARCH(CompConta!$F$25,Tabla11[[#This Row],[Cuenta]],1))</f>
        <v>1</v>
      </c>
      <c r="BA397" t="b">
        <f>+ISNUMBER(SEARCH(CompConta!$F$26,Tabla11[[#This Row],[Cuenta]],1))</f>
        <v>1</v>
      </c>
      <c r="BB397" t="b">
        <f>+ISNUMBER(SEARCH(CompConta!$F$27,Tabla11[[#This Row],[Cuenta]],1))</f>
        <v>1</v>
      </c>
      <c r="BC397" t="b">
        <f>+ISNUMBER(SEARCH(CompConta!$F$28,Tabla11[[#This Row],[Cuenta]],1))</f>
        <v>1</v>
      </c>
      <c r="BD397" t="b">
        <f>+ISNUMBER(SEARCH(CompConta!$F$29,Tabla11[[#This Row],[Cuenta]],1))</f>
        <v>1</v>
      </c>
      <c r="BE397" t="b">
        <f>+ISNUMBER(SEARCH(CompConta!$F$30,Tabla11[[#This Row],[Cuenta]],1))</f>
        <v>1</v>
      </c>
      <c r="BF397" t="b">
        <f>+ISNUMBER(SEARCH('PAGO Compras'!$E$11,Tabla11[[#This Row],[Cuenta]],1))</f>
        <v>1</v>
      </c>
      <c r="BG397" t="b">
        <f>+ISNUMBER(SEARCH(#REF!,Tabla11[[#This Row],[Cuenta]],1))</f>
        <v>0</v>
      </c>
      <c r="BH397" t="b">
        <f>+ISNUMBER(SEARCH(#REF!,Tabla11[[#This Row],[Cuenta]],1))</f>
        <v>0</v>
      </c>
      <c r="BI397" t="b">
        <f>+ISNUMBER(SEARCH(#REF!,Tabla11[[#This Row],[Cuenta]],1))</f>
        <v>0</v>
      </c>
      <c r="BJ397" t="b">
        <f>+ISNUMBER(SEARCH(#REF!,Tabla11[[#This Row],[Cuenta]],1))</f>
        <v>0</v>
      </c>
      <c r="BS397" t="str">
        <v>213530 Papeles comerciales</v>
      </c>
      <c r="BT397" t="str">
        <v>213530 Papeles comerciales</v>
      </c>
      <c r="BU397" t="str">
        <v>213530 Papeles comerciales</v>
      </c>
      <c r="BV397" t="str">
        <v>213530 Papeles comerciales</v>
      </c>
      <c r="BZ397" t="str">
        <v>213530 Papeles comerciales</v>
      </c>
      <c r="CA397" t="str">
        <v>213530 Papeles comerciales</v>
      </c>
      <c r="CB397" t="str">
        <v>213530 Papeles comerciales</v>
      </c>
      <c r="CC397" t="str">
        <v>213530 Papeles comerciales</v>
      </c>
      <c r="CD397" t="str">
        <v>213530 Papeles comerciales</v>
      </c>
      <c r="CE397" t="str">
        <v>213530 Papeles comerciales</v>
      </c>
      <c r="CS397" s="141" t="str">
        <v>213530 Papeles comerciales</v>
      </c>
      <c r="CT397" s="141" t="str">
        <v>213530 Papeles comerciales</v>
      </c>
      <c r="CU397" s="141" t="str">
        <v>213530 Papeles comerciales</v>
      </c>
      <c r="CV397" s="141" t="str">
        <v>213530 Papeles comerciales</v>
      </c>
      <c r="CW397" s="141" t="str">
        <v>213530 Papeles comerciales</v>
      </c>
      <c r="CX397" s="141" t="str">
        <v>213530 Papeles comerciales</v>
      </c>
      <c r="CY397" s="141" t="str">
        <v>213530 Papeles comerciales</v>
      </c>
      <c r="CZ397" s="141" t="str">
        <v>213530 Papeles comerciales</v>
      </c>
      <c r="DA397" s="141" t="str">
        <v>213530 Papeles comerciales</v>
      </c>
      <c r="DF397" t="str">
        <v>213530 Papeles comerciales</v>
      </c>
      <c r="DG397" t="str">
        <v>213530 Papeles comerciales</v>
      </c>
      <c r="DH397" t="str">
        <v>213530 Papeles comerciales</v>
      </c>
      <c r="DI397" t="str">
        <v>213530 Papeles comerciales</v>
      </c>
      <c r="DJ397" t="str">
        <v>213530 Papeles comerciales</v>
      </c>
      <c r="DK397" t="str">
        <v>213530 Papeles comerciales</v>
      </c>
      <c r="DL397" t="str">
        <v>213530 Papeles comerciales</v>
      </c>
      <c r="DM397" t="str">
        <v>213530 Papeles comerciales</v>
      </c>
      <c r="DN397" t="str">
        <v>213530 Papeles comerciales</v>
      </c>
      <c r="DO397" t="str">
        <v>213530 Papeles comerciales</v>
      </c>
      <c r="DP397" t="str">
        <v>213530 Papeles comerciales</v>
      </c>
    </row>
    <row r="398" spans="4:120" ht="12.75">
      <c r="D398" s="7">
        <v>213535</v>
      </c>
      <c r="E398" s="6" t="s">
        <v>53</v>
      </c>
      <c r="F398" s="5">
        <v>4</v>
      </c>
      <c r="G398" s="34" t="s">
        <v>823</v>
      </c>
      <c r="H398" s="26" t="s">
        <v>765</v>
      </c>
      <c r="I398" t="b">
        <f>+ISNUMBER(SEARCH('F-COMPRA'!$F$28,Tabla11[[#This Row],[Cuenta]],1))</f>
        <v>1</v>
      </c>
      <c r="J398" t="b">
        <f>+ISNUMBER(SEARCH('F-COMPRA'!$F$29,Tabla11[[#This Row],[Cuenta]],1))</f>
        <v>1</v>
      </c>
      <c r="K398" t="b">
        <f>+ISNUMBER(SEARCH('F-COMPRA'!$F$30,Tabla11[[#This Row],[Cuenta]],1))</f>
        <v>1</v>
      </c>
      <c r="L398" t="b">
        <f>+ISNUMBER(SEARCH('F-COMPRA'!$F$31,Tabla11[[#This Row],[Cuenta]],1))</f>
        <v>1</v>
      </c>
      <c r="M398" t="b">
        <f>+ISNUMBER(SEARCH('F-COMPRA'!$G$25,Tabla11[[#This Row],[Cuenta]],1))</f>
        <v>0</v>
      </c>
      <c r="N398" t="b">
        <f>+ISNUMBER(SEARCH(#REF!,Tabla11[[#This Row],[Cuenta]],1))</f>
        <v>0</v>
      </c>
      <c r="O398" t="b">
        <f>+ISNUMBER(SEARCH(#REF!,Tabla11[[#This Row],[Cuenta]],1))</f>
        <v>0</v>
      </c>
      <c r="P398" t="b">
        <f>+ISNUMBER(SEARCH('F-COMPRA'!$F$32,Tabla11[[#This Row],[Cuenta]],1))</f>
        <v>1</v>
      </c>
      <c r="Q398" t="b">
        <f>+ISNUMBER(SEARCH('F-COMPRA'!$F$33,Tabla11[[#This Row],[Cuenta]],1))</f>
        <v>1</v>
      </c>
      <c r="R398" t="b">
        <f>+ISNUMBER(SEARCH('F-COMPRA'!$F$34,Tabla11[[#This Row],[Cuenta]],1))</f>
        <v>1</v>
      </c>
      <c r="S398" t="b">
        <f>+ISNUMBER(SEARCH('F-COMPRA'!$F$35,Tabla11[[#This Row],[Cuenta]],1))</f>
        <v>1</v>
      </c>
      <c r="T398" t="b">
        <f>+ISNUMBER(SEARCH('F-COMPRA'!$F$36,Tabla11[[#This Row],[Cuenta]],1))</f>
        <v>1</v>
      </c>
      <c r="U398" t="b">
        <f>+ISNUMBER(SEARCH('F-COMPRA'!$F$37,Tabla11[[#This Row],[Cuenta]],1))</f>
        <v>1</v>
      </c>
      <c r="V398" t="b">
        <f>+ISNUMBER(SEARCH(#REF!,Tabla11[[#This Row],[Cuenta]],1))</f>
        <v>0</v>
      </c>
      <c r="W398" t="b">
        <f>+ISNUMBER(SEARCH('F-COMPRA'!#REF!,Tabla11[[#This Row],[Cuenta]],1))</f>
        <v>0</v>
      </c>
      <c r="X398" t="b">
        <f>+ISNUMBER(SEARCH('F-COMPRA'!#REF!,Tabla11[[#This Row],[Cuenta]],1))</f>
        <v>0</v>
      </c>
      <c r="Y398" t="b">
        <f>+ISNUMBER(SEARCH('F-COMPRA'!#REF!,Tabla11[[#This Row],[Cuenta]],1))</f>
        <v>0</v>
      </c>
      <c r="Z398" t="b">
        <f>+ISNUMBER(SEARCH('F-COMPRA'!#REF!,Tabla11[[#This Row],[Cuenta]],1))</f>
        <v>0</v>
      </c>
      <c r="AA398" t="b">
        <f>+ISNUMBER(SEARCH('F-COMPRA'!#REF!,Tabla11[[#This Row],[Cuenta]],1))</f>
        <v>0</v>
      </c>
      <c r="AB398" t="b">
        <f>+ISNUMBER(SEARCH('F-COMPRA'!#REF!,Tabla11[[#This Row],[Cuenta]],1))</f>
        <v>0</v>
      </c>
      <c r="AC398" t="b">
        <f>+ISNUMBER(SEARCH('F-COMPRA'!#REF!,Tabla11[[#This Row],[Cuenta]],1))</f>
        <v>0</v>
      </c>
      <c r="AD398" t="b">
        <f>+ISNUMBER(SEARCH('F-COMPRA'!#REF!,Tabla11[[#This Row],[Cuenta]],1))</f>
        <v>0</v>
      </c>
      <c r="AE398" t="b">
        <f>+ISNUMBER(SEARCH('F-COMPRA'!#REF!,Tabla11[[#This Row],[Cuenta]],1))</f>
        <v>0</v>
      </c>
      <c r="AF398" t="b">
        <f>+ISNUMBER(SEARCH('F-VTA'!$G$23,Tabla11[[#This Row],[Cuenta]],1))</f>
        <v>0</v>
      </c>
      <c r="AG398" t="b">
        <f>+ISNUMBER(SEARCH('F-VTA'!$G$24,Tabla11[[#This Row],[Cuenta]],1))</f>
        <v>0</v>
      </c>
      <c r="AH398" t="b">
        <f>+ISNUMBER(SEARCH('F-VTA'!$G$25,Tabla11[[#This Row],[Cuenta]],1))</f>
        <v>0</v>
      </c>
      <c r="AI398" t="b">
        <f>+ISNUMBER(SEARCH('F-VTA'!$F$28,Tabla11[[#This Row],[Cuenta]],1))</f>
        <v>1</v>
      </c>
      <c r="AJ398" t="b">
        <f>+ISNUMBER(SEARCH('F-VTA'!$F$29,Tabla11[[#This Row],[Cuenta]],1))</f>
        <v>1</v>
      </c>
      <c r="AK398" t="b">
        <f>+ISNUMBER(SEARCH('F-VTA'!$F$30,Tabla11[[#This Row],[Cuenta]],1))</f>
        <v>1</v>
      </c>
      <c r="AL398" t="b">
        <f>+ISNUMBER(SEARCH('F-VTA'!$F$31,Tabla11[[#This Row],[Cuenta]],1))</f>
        <v>1</v>
      </c>
      <c r="AM398" t="b">
        <f>+ISNUMBER(SEARCH('F-VTA'!$F$32,Tabla11[[#This Row],[Cuenta]],1))</f>
        <v>1</v>
      </c>
      <c r="AN398" t="b">
        <f>+ISNUMBER(SEARCH('F-VTA'!$F$33,Tabla11[[#This Row],[Cuenta]],1))</f>
        <v>1</v>
      </c>
      <c r="AO398" t="b">
        <f>+ISNUMBER(SEARCH('F-VTA'!$F$34,Tabla11[[#This Row],[Cuenta]],1))</f>
        <v>1</v>
      </c>
      <c r="AP398" t="b">
        <f>+ISNUMBER(SEARCH('F-VTA'!$F$35,Tabla11[[#This Row],[Cuenta]],1))</f>
        <v>1</v>
      </c>
      <c r="AQ398" t="b">
        <f>+ISNUMBER(SEARCH('F-VTA'!$F$36,Tabla11[[#This Row],[Cuenta]],1))</f>
        <v>1</v>
      </c>
      <c r="AR398" t="b">
        <f>+ISNUMBER(SEARCH(#REF!,Tabla11[[#This Row],[Cuenta]],1))</f>
        <v>0</v>
      </c>
      <c r="AS398" t="b">
        <f>+ISNUMBER(SEARCH(#REF!,Tabla11[[#This Row],[Cuenta]],1))</f>
        <v>0</v>
      </c>
      <c r="AT398" t="b">
        <f>+ISNUMBER(SEARCH(#REF!,Tabla11[[#This Row],[Cuenta]],1))</f>
        <v>0</v>
      </c>
      <c r="AU398" t="b">
        <f>+ISNUMBER(SEARCH('Conc. Ban.1'!$I$9,Tabla11[[#This Row],[Cuenta]],1))</f>
        <v>0</v>
      </c>
      <c r="AV398" t="b">
        <f>+ISNUMBER(SEARCH(CompConta!$F$21,Tabla11[[#This Row],[Cuenta]],1))</f>
        <v>1</v>
      </c>
      <c r="AW398" t="b">
        <f>+ISNUMBER(SEARCH(CompConta!$F$22,Tabla11[[#This Row],[Cuenta]],1))</f>
        <v>1</v>
      </c>
      <c r="AX398" t="b">
        <f>+ISNUMBER(SEARCH(CompConta!$F$23,Tabla11[[#This Row],[Cuenta]],1))</f>
        <v>1</v>
      </c>
      <c r="AY398" t="b">
        <f>+ISNUMBER(SEARCH(CompConta!$F$24,Tabla11[[#This Row],[Cuenta]],1))</f>
        <v>1</v>
      </c>
      <c r="AZ398" t="b">
        <f>+ISNUMBER(SEARCH(CompConta!$F$25,Tabla11[[#This Row],[Cuenta]],1))</f>
        <v>1</v>
      </c>
      <c r="BA398" t="b">
        <f>+ISNUMBER(SEARCH(CompConta!$F$26,Tabla11[[#This Row],[Cuenta]],1))</f>
        <v>1</v>
      </c>
      <c r="BB398" t="b">
        <f>+ISNUMBER(SEARCH(CompConta!$F$27,Tabla11[[#This Row],[Cuenta]],1))</f>
        <v>1</v>
      </c>
      <c r="BC398" t="b">
        <f>+ISNUMBER(SEARCH(CompConta!$F$28,Tabla11[[#This Row],[Cuenta]],1))</f>
        <v>1</v>
      </c>
      <c r="BD398" t="b">
        <f>+ISNUMBER(SEARCH(CompConta!$F$29,Tabla11[[#This Row],[Cuenta]],1))</f>
        <v>1</v>
      </c>
      <c r="BE398" t="b">
        <f>+ISNUMBER(SEARCH(CompConta!$F$30,Tabla11[[#This Row],[Cuenta]],1))</f>
        <v>1</v>
      </c>
      <c r="BF398" t="b">
        <f>+ISNUMBER(SEARCH('PAGO Compras'!$E$11,Tabla11[[#This Row],[Cuenta]],1))</f>
        <v>1</v>
      </c>
      <c r="BG398" t="b">
        <f>+ISNUMBER(SEARCH(#REF!,Tabla11[[#This Row],[Cuenta]],1))</f>
        <v>0</v>
      </c>
      <c r="BH398" t="b">
        <f>+ISNUMBER(SEARCH(#REF!,Tabla11[[#This Row],[Cuenta]],1))</f>
        <v>0</v>
      </c>
      <c r="BI398" t="b">
        <f>+ISNUMBER(SEARCH(#REF!,Tabla11[[#This Row],[Cuenta]],1))</f>
        <v>0</v>
      </c>
      <c r="BJ398" t="b">
        <f>+ISNUMBER(SEARCH(#REF!,Tabla11[[#This Row],[Cuenta]],1))</f>
        <v>0</v>
      </c>
      <c r="BS398" t="str">
        <v>213535 Títulos</v>
      </c>
      <c r="BT398" t="str">
        <v>213535 Títulos</v>
      </c>
      <c r="BU398" t="str">
        <v>213535 Títulos</v>
      </c>
      <c r="BV398" t="str">
        <v>213535 Títulos</v>
      </c>
      <c r="BZ398" t="str">
        <v>213535 Títulos</v>
      </c>
      <c r="CA398" t="str">
        <v>213535 Títulos</v>
      </c>
      <c r="CB398" t="str">
        <v>213535 Títulos</v>
      </c>
      <c r="CC398" t="str">
        <v>213535 Títulos</v>
      </c>
      <c r="CD398" t="str">
        <v>213535 Títulos</v>
      </c>
      <c r="CE398" t="str">
        <v>213535 Títulos</v>
      </c>
      <c r="CS398" s="141" t="str">
        <v>213535 Títulos</v>
      </c>
      <c r="CT398" s="141" t="str">
        <v>213535 Títulos</v>
      </c>
      <c r="CU398" s="141" t="str">
        <v>213535 Títulos</v>
      </c>
      <c r="CV398" s="141" t="str">
        <v>213535 Títulos</v>
      </c>
      <c r="CW398" s="141" t="str">
        <v>213535 Títulos</v>
      </c>
      <c r="CX398" s="141" t="str">
        <v>213535 Títulos</v>
      </c>
      <c r="CY398" s="141" t="str">
        <v>213535 Títulos</v>
      </c>
      <c r="CZ398" s="141" t="str">
        <v>213535 Títulos</v>
      </c>
      <c r="DA398" s="141" t="str">
        <v>213535 Títulos</v>
      </c>
      <c r="DF398" t="str">
        <v>213535 Títulos</v>
      </c>
      <c r="DG398" t="str">
        <v>213535 Títulos</v>
      </c>
      <c r="DH398" t="str">
        <v>213535 Títulos</v>
      </c>
      <c r="DI398" t="str">
        <v>213535 Títulos</v>
      </c>
      <c r="DJ398" t="str">
        <v>213535 Títulos</v>
      </c>
      <c r="DK398" t="str">
        <v>213535 Títulos</v>
      </c>
      <c r="DL398" t="str">
        <v>213535 Títulos</v>
      </c>
      <c r="DM398" t="str">
        <v>213535 Títulos</v>
      </c>
      <c r="DN398" t="str">
        <v>213535 Títulos</v>
      </c>
      <c r="DO398" t="str">
        <v>213535 Títulos</v>
      </c>
      <c r="DP398" t="str">
        <v>213535 Títulos</v>
      </c>
    </row>
    <row r="399" spans="4:120" ht="12.75">
      <c r="D399" s="7">
        <v>213540</v>
      </c>
      <c r="E399" s="6" t="s">
        <v>54</v>
      </c>
      <c r="F399" s="5">
        <v>4</v>
      </c>
      <c r="G399" s="34" t="s">
        <v>823</v>
      </c>
      <c r="H399" s="26" t="s">
        <v>765</v>
      </c>
      <c r="I399" t="b">
        <f>+ISNUMBER(SEARCH('F-COMPRA'!$F$28,Tabla11[[#This Row],[Cuenta]],1))</f>
        <v>1</v>
      </c>
      <c r="J399" t="b">
        <f>+ISNUMBER(SEARCH('F-COMPRA'!$F$29,Tabla11[[#This Row],[Cuenta]],1))</f>
        <v>1</v>
      </c>
      <c r="K399" t="b">
        <f>+ISNUMBER(SEARCH('F-COMPRA'!$F$30,Tabla11[[#This Row],[Cuenta]],1))</f>
        <v>1</v>
      </c>
      <c r="L399" t="b">
        <f>+ISNUMBER(SEARCH('F-COMPRA'!$F$31,Tabla11[[#This Row],[Cuenta]],1))</f>
        <v>1</v>
      </c>
      <c r="M399" t="b">
        <f>+ISNUMBER(SEARCH('F-COMPRA'!$G$25,Tabla11[[#This Row],[Cuenta]],1))</f>
        <v>0</v>
      </c>
      <c r="N399" t="b">
        <f>+ISNUMBER(SEARCH(#REF!,Tabla11[[#This Row],[Cuenta]],1))</f>
        <v>0</v>
      </c>
      <c r="O399" t="b">
        <f>+ISNUMBER(SEARCH(#REF!,Tabla11[[#This Row],[Cuenta]],1))</f>
        <v>0</v>
      </c>
      <c r="P399" t="b">
        <f>+ISNUMBER(SEARCH('F-COMPRA'!$F$32,Tabla11[[#This Row],[Cuenta]],1))</f>
        <v>1</v>
      </c>
      <c r="Q399" t="b">
        <f>+ISNUMBER(SEARCH('F-COMPRA'!$F$33,Tabla11[[#This Row],[Cuenta]],1))</f>
        <v>1</v>
      </c>
      <c r="R399" t="b">
        <f>+ISNUMBER(SEARCH('F-COMPRA'!$F$34,Tabla11[[#This Row],[Cuenta]],1))</f>
        <v>1</v>
      </c>
      <c r="S399" t="b">
        <f>+ISNUMBER(SEARCH('F-COMPRA'!$F$35,Tabla11[[#This Row],[Cuenta]],1))</f>
        <v>1</v>
      </c>
      <c r="T399" t="b">
        <f>+ISNUMBER(SEARCH('F-COMPRA'!$F$36,Tabla11[[#This Row],[Cuenta]],1))</f>
        <v>1</v>
      </c>
      <c r="U399" t="b">
        <f>+ISNUMBER(SEARCH('F-COMPRA'!$F$37,Tabla11[[#This Row],[Cuenta]],1))</f>
        <v>1</v>
      </c>
      <c r="V399" t="b">
        <f>+ISNUMBER(SEARCH(#REF!,Tabla11[[#This Row],[Cuenta]],1))</f>
        <v>0</v>
      </c>
      <c r="W399" t="b">
        <f>+ISNUMBER(SEARCH('F-COMPRA'!#REF!,Tabla11[[#This Row],[Cuenta]],1))</f>
        <v>0</v>
      </c>
      <c r="X399" t="b">
        <f>+ISNUMBER(SEARCH('F-COMPRA'!#REF!,Tabla11[[#This Row],[Cuenta]],1))</f>
        <v>0</v>
      </c>
      <c r="Y399" t="b">
        <f>+ISNUMBER(SEARCH('F-COMPRA'!#REF!,Tabla11[[#This Row],[Cuenta]],1))</f>
        <v>0</v>
      </c>
      <c r="Z399" t="b">
        <f>+ISNUMBER(SEARCH('F-COMPRA'!#REF!,Tabla11[[#This Row],[Cuenta]],1))</f>
        <v>0</v>
      </c>
      <c r="AA399" t="b">
        <f>+ISNUMBER(SEARCH('F-COMPRA'!#REF!,Tabla11[[#This Row],[Cuenta]],1))</f>
        <v>0</v>
      </c>
      <c r="AB399" t="b">
        <f>+ISNUMBER(SEARCH('F-COMPRA'!#REF!,Tabla11[[#This Row],[Cuenta]],1))</f>
        <v>0</v>
      </c>
      <c r="AC399" t="b">
        <f>+ISNUMBER(SEARCH('F-COMPRA'!#REF!,Tabla11[[#This Row],[Cuenta]],1))</f>
        <v>0</v>
      </c>
      <c r="AD399" t="b">
        <f>+ISNUMBER(SEARCH('F-COMPRA'!#REF!,Tabla11[[#This Row],[Cuenta]],1))</f>
        <v>0</v>
      </c>
      <c r="AE399" t="b">
        <f>+ISNUMBER(SEARCH('F-COMPRA'!#REF!,Tabla11[[#This Row],[Cuenta]],1))</f>
        <v>0</v>
      </c>
      <c r="AF399" t="b">
        <f>+ISNUMBER(SEARCH('F-VTA'!$G$23,Tabla11[[#This Row],[Cuenta]],1))</f>
        <v>0</v>
      </c>
      <c r="AG399" t="b">
        <f>+ISNUMBER(SEARCH('F-VTA'!$G$24,Tabla11[[#This Row],[Cuenta]],1))</f>
        <v>0</v>
      </c>
      <c r="AH399" t="b">
        <f>+ISNUMBER(SEARCH('F-VTA'!$G$25,Tabla11[[#This Row],[Cuenta]],1))</f>
        <v>0</v>
      </c>
      <c r="AI399" t="b">
        <f>+ISNUMBER(SEARCH('F-VTA'!$F$28,Tabla11[[#This Row],[Cuenta]],1))</f>
        <v>1</v>
      </c>
      <c r="AJ399" t="b">
        <f>+ISNUMBER(SEARCH('F-VTA'!$F$29,Tabla11[[#This Row],[Cuenta]],1))</f>
        <v>1</v>
      </c>
      <c r="AK399" t="b">
        <f>+ISNUMBER(SEARCH('F-VTA'!$F$30,Tabla11[[#This Row],[Cuenta]],1))</f>
        <v>1</v>
      </c>
      <c r="AL399" t="b">
        <f>+ISNUMBER(SEARCH('F-VTA'!$F$31,Tabla11[[#This Row],[Cuenta]],1))</f>
        <v>1</v>
      </c>
      <c r="AM399" t="b">
        <f>+ISNUMBER(SEARCH('F-VTA'!$F$32,Tabla11[[#This Row],[Cuenta]],1))</f>
        <v>1</v>
      </c>
      <c r="AN399" t="b">
        <f>+ISNUMBER(SEARCH('F-VTA'!$F$33,Tabla11[[#This Row],[Cuenta]],1))</f>
        <v>1</v>
      </c>
      <c r="AO399" t="b">
        <f>+ISNUMBER(SEARCH('F-VTA'!$F$34,Tabla11[[#This Row],[Cuenta]],1))</f>
        <v>1</v>
      </c>
      <c r="AP399" t="b">
        <f>+ISNUMBER(SEARCH('F-VTA'!$F$35,Tabla11[[#This Row],[Cuenta]],1))</f>
        <v>1</v>
      </c>
      <c r="AQ399" t="b">
        <f>+ISNUMBER(SEARCH('F-VTA'!$F$36,Tabla11[[#This Row],[Cuenta]],1))</f>
        <v>1</v>
      </c>
      <c r="AR399" t="b">
        <f>+ISNUMBER(SEARCH(#REF!,Tabla11[[#This Row],[Cuenta]],1))</f>
        <v>0</v>
      </c>
      <c r="AS399" t="b">
        <f>+ISNUMBER(SEARCH(#REF!,Tabla11[[#This Row],[Cuenta]],1))</f>
        <v>0</v>
      </c>
      <c r="AT399" t="b">
        <f>+ISNUMBER(SEARCH(#REF!,Tabla11[[#This Row],[Cuenta]],1))</f>
        <v>0</v>
      </c>
      <c r="AU399" t="b">
        <f>+ISNUMBER(SEARCH('Conc. Ban.1'!$I$9,Tabla11[[#This Row],[Cuenta]],1))</f>
        <v>0</v>
      </c>
      <c r="AV399" t="b">
        <f>+ISNUMBER(SEARCH(CompConta!$F$21,Tabla11[[#This Row],[Cuenta]],1))</f>
        <v>1</v>
      </c>
      <c r="AW399" t="b">
        <f>+ISNUMBER(SEARCH(CompConta!$F$22,Tabla11[[#This Row],[Cuenta]],1))</f>
        <v>1</v>
      </c>
      <c r="AX399" t="b">
        <f>+ISNUMBER(SEARCH(CompConta!$F$23,Tabla11[[#This Row],[Cuenta]],1))</f>
        <v>1</v>
      </c>
      <c r="AY399" t="b">
        <f>+ISNUMBER(SEARCH(CompConta!$F$24,Tabla11[[#This Row],[Cuenta]],1))</f>
        <v>1</v>
      </c>
      <c r="AZ399" t="b">
        <f>+ISNUMBER(SEARCH(CompConta!$F$25,Tabla11[[#This Row],[Cuenta]],1))</f>
        <v>1</v>
      </c>
      <c r="BA399" t="b">
        <f>+ISNUMBER(SEARCH(CompConta!$F$26,Tabla11[[#This Row],[Cuenta]],1))</f>
        <v>1</v>
      </c>
      <c r="BB399" t="b">
        <f>+ISNUMBER(SEARCH(CompConta!$F$27,Tabla11[[#This Row],[Cuenta]],1))</f>
        <v>1</v>
      </c>
      <c r="BC399" t="b">
        <f>+ISNUMBER(SEARCH(CompConta!$F$28,Tabla11[[#This Row],[Cuenta]],1))</f>
        <v>1</v>
      </c>
      <c r="BD399" t="b">
        <f>+ISNUMBER(SEARCH(CompConta!$F$29,Tabla11[[#This Row],[Cuenta]],1))</f>
        <v>1</v>
      </c>
      <c r="BE399" t="b">
        <f>+ISNUMBER(SEARCH(CompConta!$F$30,Tabla11[[#This Row],[Cuenta]],1))</f>
        <v>1</v>
      </c>
      <c r="BF399" t="b">
        <f>+ISNUMBER(SEARCH('PAGO Compras'!$E$11,Tabla11[[#This Row],[Cuenta]],1))</f>
        <v>1</v>
      </c>
      <c r="BG399" t="b">
        <f>+ISNUMBER(SEARCH(#REF!,Tabla11[[#This Row],[Cuenta]],1))</f>
        <v>0</v>
      </c>
      <c r="BH399" t="b">
        <f>+ISNUMBER(SEARCH(#REF!,Tabla11[[#This Row],[Cuenta]],1))</f>
        <v>0</v>
      </c>
      <c r="BI399" t="b">
        <f>+ISNUMBER(SEARCH(#REF!,Tabla11[[#This Row],[Cuenta]],1))</f>
        <v>0</v>
      </c>
      <c r="BJ399" t="b">
        <f>+ISNUMBER(SEARCH(#REF!,Tabla11[[#This Row],[Cuenta]],1))</f>
        <v>0</v>
      </c>
      <c r="BS399" t="str">
        <v>213540 Aceptaciones bancarias o financieras</v>
      </c>
      <c r="BT399" t="str">
        <v>213540 Aceptaciones bancarias o financieras</v>
      </c>
      <c r="BU399" t="str">
        <v>213540 Aceptaciones bancarias o financieras</v>
      </c>
      <c r="BV399" t="str">
        <v>213540 Aceptaciones bancarias o financieras</v>
      </c>
      <c r="BZ399" t="str">
        <v>213540 Aceptaciones bancarias o financieras</v>
      </c>
      <c r="CA399" t="str">
        <v>213540 Aceptaciones bancarias o financieras</v>
      </c>
      <c r="CB399" t="str">
        <v>213540 Aceptaciones bancarias o financieras</v>
      </c>
      <c r="CC399" t="str">
        <v>213540 Aceptaciones bancarias o financieras</v>
      </c>
      <c r="CD399" t="str">
        <v>213540 Aceptaciones bancarias o financieras</v>
      </c>
      <c r="CE399" t="str">
        <v>213540 Aceptaciones bancarias o financieras</v>
      </c>
      <c r="CS399" s="141" t="str">
        <v>213540 Aceptaciones bancarias o financieras</v>
      </c>
      <c r="CT399" s="141" t="str">
        <v>213540 Aceptaciones bancarias o financieras</v>
      </c>
      <c r="CU399" s="141" t="str">
        <v>213540 Aceptaciones bancarias o financieras</v>
      </c>
      <c r="CV399" s="141" t="str">
        <v>213540 Aceptaciones bancarias o financieras</v>
      </c>
      <c r="CW399" s="141" t="str">
        <v>213540 Aceptaciones bancarias o financieras</v>
      </c>
      <c r="CX399" s="141" t="str">
        <v>213540 Aceptaciones bancarias o financieras</v>
      </c>
      <c r="CY399" s="141" t="str">
        <v>213540 Aceptaciones bancarias o financieras</v>
      </c>
      <c r="CZ399" s="141" t="str">
        <v>213540 Aceptaciones bancarias o financieras</v>
      </c>
      <c r="DA399" s="141" t="str">
        <v>213540 Aceptaciones bancarias o financieras</v>
      </c>
      <c r="DF399" t="str">
        <v>213540 Aceptaciones bancarias o financieras</v>
      </c>
      <c r="DG399" t="str">
        <v>213540 Aceptaciones bancarias o financieras</v>
      </c>
      <c r="DH399" t="str">
        <v>213540 Aceptaciones bancarias o financieras</v>
      </c>
      <c r="DI399" t="str">
        <v>213540 Aceptaciones bancarias o financieras</v>
      </c>
      <c r="DJ399" t="str">
        <v>213540 Aceptaciones bancarias o financieras</v>
      </c>
      <c r="DK399" t="str">
        <v>213540 Aceptaciones bancarias o financieras</v>
      </c>
      <c r="DL399" t="str">
        <v>213540 Aceptaciones bancarias o financieras</v>
      </c>
      <c r="DM399" t="str">
        <v>213540 Aceptaciones bancarias o financieras</v>
      </c>
      <c r="DN399" t="str">
        <v>213540 Aceptaciones bancarias o financieras</v>
      </c>
      <c r="DO399" t="str">
        <v>213540 Aceptaciones bancarias o financieras</v>
      </c>
      <c r="DP399" t="str">
        <v>213540 Aceptaciones bancarias o financieras</v>
      </c>
    </row>
    <row r="400" spans="4:120" ht="12.75">
      <c r="D400" s="7">
        <v>213595</v>
      </c>
      <c r="E400" s="6" t="s">
        <v>45</v>
      </c>
      <c r="F400" s="5">
        <v>4</v>
      </c>
      <c r="G400" s="34" t="s">
        <v>823</v>
      </c>
      <c r="H400" s="26" t="s">
        <v>765</v>
      </c>
      <c r="I400" t="b">
        <f>+ISNUMBER(SEARCH('F-COMPRA'!$F$28,Tabla11[[#This Row],[Cuenta]],1))</f>
        <v>1</v>
      </c>
      <c r="J400" t="b">
        <f>+ISNUMBER(SEARCH('F-COMPRA'!$F$29,Tabla11[[#This Row],[Cuenta]],1))</f>
        <v>1</v>
      </c>
      <c r="K400" t="b">
        <f>+ISNUMBER(SEARCH('F-COMPRA'!$F$30,Tabla11[[#This Row],[Cuenta]],1))</f>
        <v>1</v>
      </c>
      <c r="L400" t="b">
        <f>+ISNUMBER(SEARCH('F-COMPRA'!$F$31,Tabla11[[#This Row],[Cuenta]],1))</f>
        <v>1</v>
      </c>
      <c r="M400" t="b">
        <f>+ISNUMBER(SEARCH('F-COMPRA'!$G$25,Tabla11[[#This Row],[Cuenta]],1))</f>
        <v>0</v>
      </c>
      <c r="N400" t="b">
        <f>+ISNUMBER(SEARCH(#REF!,Tabla11[[#This Row],[Cuenta]],1))</f>
        <v>0</v>
      </c>
      <c r="O400" t="b">
        <f>+ISNUMBER(SEARCH(#REF!,Tabla11[[#This Row],[Cuenta]],1))</f>
        <v>0</v>
      </c>
      <c r="P400" t="b">
        <f>+ISNUMBER(SEARCH('F-COMPRA'!$F$32,Tabla11[[#This Row],[Cuenta]],1))</f>
        <v>1</v>
      </c>
      <c r="Q400" t="b">
        <f>+ISNUMBER(SEARCH('F-COMPRA'!$F$33,Tabla11[[#This Row],[Cuenta]],1))</f>
        <v>1</v>
      </c>
      <c r="R400" t="b">
        <f>+ISNUMBER(SEARCH('F-COMPRA'!$F$34,Tabla11[[#This Row],[Cuenta]],1))</f>
        <v>1</v>
      </c>
      <c r="S400" t="b">
        <f>+ISNUMBER(SEARCH('F-COMPRA'!$F$35,Tabla11[[#This Row],[Cuenta]],1))</f>
        <v>1</v>
      </c>
      <c r="T400" t="b">
        <f>+ISNUMBER(SEARCH('F-COMPRA'!$F$36,Tabla11[[#This Row],[Cuenta]],1))</f>
        <v>1</v>
      </c>
      <c r="U400" t="b">
        <f>+ISNUMBER(SEARCH('F-COMPRA'!$F$37,Tabla11[[#This Row],[Cuenta]],1))</f>
        <v>1</v>
      </c>
      <c r="V400" t="b">
        <f>+ISNUMBER(SEARCH(#REF!,Tabla11[[#This Row],[Cuenta]],1))</f>
        <v>0</v>
      </c>
      <c r="W400" t="b">
        <f>+ISNUMBER(SEARCH('F-COMPRA'!#REF!,Tabla11[[#This Row],[Cuenta]],1))</f>
        <v>0</v>
      </c>
      <c r="X400" t="b">
        <f>+ISNUMBER(SEARCH('F-COMPRA'!#REF!,Tabla11[[#This Row],[Cuenta]],1))</f>
        <v>0</v>
      </c>
      <c r="Y400" t="b">
        <f>+ISNUMBER(SEARCH('F-COMPRA'!#REF!,Tabla11[[#This Row],[Cuenta]],1))</f>
        <v>0</v>
      </c>
      <c r="Z400" t="b">
        <f>+ISNUMBER(SEARCH('F-COMPRA'!#REF!,Tabla11[[#This Row],[Cuenta]],1))</f>
        <v>0</v>
      </c>
      <c r="AA400" t="b">
        <f>+ISNUMBER(SEARCH('F-COMPRA'!#REF!,Tabla11[[#This Row],[Cuenta]],1))</f>
        <v>0</v>
      </c>
      <c r="AB400" t="b">
        <f>+ISNUMBER(SEARCH('F-COMPRA'!#REF!,Tabla11[[#This Row],[Cuenta]],1))</f>
        <v>0</v>
      </c>
      <c r="AC400" t="b">
        <f>+ISNUMBER(SEARCH('F-COMPRA'!#REF!,Tabla11[[#This Row],[Cuenta]],1))</f>
        <v>0</v>
      </c>
      <c r="AD400" t="b">
        <f>+ISNUMBER(SEARCH('F-COMPRA'!#REF!,Tabla11[[#This Row],[Cuenta]],1))</f>
        <v>0</v>
      </c>
      <c r="AE400" t="b">
        <f>+ISNUMBER(SEARCH('F-COMPRA'!#REF!,Tabla11[[#This Row],[Cuenta]],1))</f>
        <v>0</v>
      </c>
      <c r="AF400" t="b">
        <f>+ISNUMBER(SEARCH('F-VTA'!$G$23,Tabla11[[#This Row],[Cuenta]],1))</f>
        <v>0</v>
      </c>
      <c r="AG400" t="b">
        <f>+ISNUMBER(SEARCH('F-VTA'!$G$24,Tabla11[[#This Row],[Cuenta]],1))</f>
        <v>0</v>
      </c>
      <c r="AH400" t="b">
        <f>+ISNUMBER(SEARCH('F-VTA'!$G$25,Tabla11[[#This Row],[Cuenta]],1))</f>
        <v>0</v>
      </c>
      <c r="AI400" t="b">
        <f>+ISNUMBER(SEARCH('F-VTA'!$F$28,Tabla11[[#This Row],[Cuenta]],1))</f>
        <v>1</v>
      </c>
      <c r="AJ400" t="b">
        <f>+ISNUMBER(SEARCH('F-VTA'!$F$29,Tabla11[[#This Row],[Cuenta]],1))</f>
        <v>1</v>
      </c>
      <c r="AK400" t="b">
        <f>+ISNUMBER(SEARCH('F-VTA'!$F$30,Tabla11[[#This Row],[Cuenta]],1))</f>
        <v>1</v>
      </c>
      <c r="AL400" t="b">
        <f>+ISNUMBER(SEARCH('F-VTA'!$F$31,Tabla11[[#This Row],[Cuenta]],1))</f>
        <v>1</v>
      </c>
      <c r="AM400" t="b">
        <f>+ISNUMBER(SEARCH('F-VTA'!$F$32,Tabla11[[#This Row],[Cuenta]],1))</f>
        <v>1</v>
      </c>
      <c r="AN400" t="b">
        <f>+ISNUMBER(SEARCH('F-VTA'!$F$33,Tabla11[[#This Row],[Cuenta]],1))</f>
        <v>1</v>
      </c>
      <c r="AO400" t="b">
        <f>+ISNUMBER(SEARCH('F-VTA'!$F$34,Tabla11[[#This Row],[Cuenta]],1))</f>
        <v>1</v>
      </c>
      <c r="AP400" t="b">
        <f>+ISNUMBER(SEARCH('F-VTA'!$F$35,Tabla11[[#This Row],[Cuenta]],1))</f>
        <v>1</v>
      </c>
      <c r="AQ400" t="b">
        <f>+ISNUMBER(SEARCH('F-VTA'!$F$36,Tabla11[[#This Row],[Cuenta]],1))</f>
        <v>1</v>
      </c>
      <c r="AR400" t="b">
        <f>+ISNUMBER(SEARCH(#REF!,Tabla11[[#This Row],[Cuenta]],1))</f>
        <v>0</v>
      </c>
      <c r="AS400" t="b">
        <f>+ISNUMBER(SEARCH(#REF!,Tabla11[[#This Row],[Cuenta]],1))</f>
        <v>0</v>
      </c>
      <c r="AT400" t="b">
        <f>+ISNUMBER(SEARCH(#REF!,Tabla11[[#This Row],[Cuenta]],1))</f>
        <v>0</v>
      </c>
      <c r="AU400" t="b">
        <f>+ISNUMBER(SEARCH('Conc. Ban.1'!$I$9,Tabla11[[#This Row],[Cuenta]],1))</f>
        <v>0</v>
      </c>
      <c r="AV400" t="b">
        <f>+ISNUMBER(SEARCH(CompConta!$F$21,Tabla11[[#This Row],[Cuenta]],1))</f>
        <v>1</v>
      </c>
      <c r="AW400" t="b">
        <f>+ISNUMBER(SEARCH(CompConta!$F$22,Tabla11[[#This Row],[Cuenta]],1))</f>
        <v>1</v>
      </c>
      <c r="AX400" t="b">
        <f>+ISNUMBER(SEARCH(CompConta!$F$23,Tabla11[[#This Row],[Cuenta]],1))</f>
        <v>1</v>
      </c>
      <c r="AY400" t="b">
        <f>+ISNUMBER(SEARCH(CompConta!$F$24,Tabla11[[#This Row],[Cuenta]],1))</f>
        <v>1</v>
      </c>
      <c r="AZ400" t="b">
        <f>+ISNUMBER(SEARCH(CompConta!$F$25,Tabla11[[#This Row],[Cuenta]],1))</f>
        <v>1</v>
      </c>
      <c r="BA400" t="b">
        <f>+ISNUMBER(SEARCH(CompConta!$F$26,Tabla11[[#This Row],[Cuenta]],1))</f>
        <v>1</v>
      </c>
      <c r="BB400" t="b">
        <f>+ISNUMBER(SEARCH(CompConta!$F$27,Tabla11[[#This Row],[Cuenta]],1))</f>
        <v>1</v>
      </c>
      <c r="BC400" t="b">
        <f>+ISNUMBER(SEARCH(CompConta!$F$28,Tabla11[[#This Row],[Cuenta]],1))</f>
        <v>1</v>
      </c>
      <c r="BD400" t="b">
        <f>+ISNUMBER(SEARCH(CompConta!$F$29,Tabla11[[#This Row],[Cuenta]],1))</f>
        <v>1</v>
      </c>
      <c r="BE400" t="b">
        <f>+ISNUMBER(SEARCH(CompConta!$F$30,Tabla11[[#This Row],[Cuenta]],1))</f>
        <v>1</v>
      </c>
      <c r="BF400" t="b">
        <f>+ISNUMBER(SEARCH('PAGO Compras'!$E$11,Tabla11[[#This Row],[Cuenta]],1))</f>
        <v>1</v>
      </c>
      <c r="BG400" t="b">
        <f>+ISNUMBER(SEARCH(#REF!,Tabla11[[#This Row],[Cuenta]],1))</f>
        <v>0</v>
      </c>
      <c r="BH400" t="b">
        <f>+ISNUMBER(SEARCH(#REF!,Tabla11[[#This Row],[Cuenta]],1))</f>
        <v>0</v>
      </c>
      <c r="BI400" t="b">
        <f>+ISNUMBER(SEARCH(#REF!,Tabla11[[#This Row],[Cuenta]],1))</f>
        <v>0</v>
      </c>
      <c r="BJ400" t="b">
        <f>+ISNUMBER(SEARCH(#REF!,Tabla11[[#This Row],[Cuenta]],1))</f>
        <v>0</v>
      </c>
      <c r="BS400" t="str">
        <v>213595 Otros</v>
      </c>
      <c r="BT400" t="str">
        <v>213595 Otros</v>
      </c>
      <c r="BU400" t="str">
        <v>213595 Otros</v>
      </c>
      <c r="BV400" t="str">
        <v>213595 Otros</v>
      </c>
      <c r="BZ400" t="str">
        <v>213595 Otros</v>
      </c>
      <c r="CA400" t="str">
        <v>213595 Otros</v>
      </c>
      <c r="CB400" t="str">
        <v>213595 Otros</v>
      </c>
      <c r="CC400" t="str">
        <v>213595 Otros</v>
      </c>
      <c r="CD400" t="str">
        <v>213595 Otros</v>
      </c>
      <c r="CE400" t="str">
        <v>213595 Otros</v>
      </c>
      <c r="CS400" s="141" t="str">
        <v>213595 Otros</v>
      </c>
      <c r="CT400" s="141" t="str">
        <v>213595 Otros</v>
      </c>
      <c r="CU400" s="141" t="str">
        <v>213595 Otros</v>
      </c>
      <c r="CV400" s="141" t="str">
        <v>213595 Otros</v>
      </c>
      <c r="CW400" s="141" t="str">
        <v>213595 Otros</v>
      </c>
      <c r="CX400" s="141" t="str">
        <v>213595 Otros</v>
      </c>
      <c r="CY400" s="141" t="str">
        <v>213595 Otros</v>
      </c>
      <c r="CZ400" s="141" t="str">
        <v>213595 Otros</v>
      </c>
      <c r="DA400" s="141" t="str">
        <v>213595 Otros</v>
      </c>
      <c r="DF400" t="str">
        <v>213595 Otros</v>
      </c>
      <c r="DG400" t="str">
        <v>213595 Otros</v>
      </c>
      <c r="DH400" t="str">
        <v>213595 Otros</v>
      </c>
      <c r="DI400" t="str">
        <v>213595 Otros</v>
      </c>
      <c r="DJ400" t="str">
        <v>213595 Otros</v>
      </c>
      <c r="DK400" t="str">
        <v>213595 Otros</v>
      </c>
      <c r="DL400" t="str">
        <v>213595 Otros</v>
      </c>
      <c r="DM400" t="str">
        <v>213595 Otros</v>
      </c>
      <c r="DN400" t="str">
        <v>213595 Otros</v>
      </c>
      <c r="DO400" t="str">
        <v>213595 Otros</v>
      </c>
      <c r="DP400" t="str">
        <v>213595 Otros</v>
      </c>
    </row>
    <row r="401" spans="4:120" ht="12.75">
      <c r="D401" s="7">
        <v>22</v>
      </c>
      <c r="E401" s="6" t="s">
        <v>309</v>
      </c>
      <c r="F401" s="5">
        <v>2</v>
      </c>
      <c r="G401" s="34"/>
      <c r="H401" s="26" t="s">
        <v>765</v>
      </c>
      <c r="I401" t="b">
        <f>+ISNUMBER(SEARCH('F-COMPRA'!$F$28,Tabla11[[#This Row],[Cuenta]],1))</f>
        <v>1</v>
      </c>
      <c r="J401" t="b">
        <f>+ISNUMBER(SEARCH('F-COMPRA'!$F$29,Tabla11[[#This Row],[Cuenta]],1))</f>
        <v>1</v>
      </c>
      <c r="K401" t="b">
        <f>+ISNUMBER(SEARCH('F-COMPRA'!$F$30,Tabla11[[#This Row],[Cuenta]],1))</f>
        <v>1</v>
      </c>
      <c r="L401" t="b">
        <f>+ISNUMBER(SEARCH('F-COMPRA'!$F$31,Tabla11[[#This Row],[Cuenta]],1))</f>
        <v>1</v>
      </c>
      <c r="M401" t="b">
        <f>+ISNUMBER(SEARCH('F-COMPRA'!$G$25,Tabla11[[#This Row],[Cuenta]],1))</f>
        <v>0</v>
      </c>
      <c r="N401" t="b">
        <f>+ISNUMBER(SEARCH(#REF!,Tabla11[[#This Row],[Cuenta]],1))</f>
        <v>0</v>
      </c>
      <c r="O401" t="b">
        <f>+ISNUMBER(SEARCH(#REF!,Tabla11[[#This Row],[Cuenta]],1))</f>
        <v>0</v>
      </c>
      <c r="P401" t="b">
        <f>+ISNUMBER(SEARCH('F-COMPRA'!$F$32,Tabla11[[#This Row],[Cuenta]],1))</f>
        <v>1</v>
      </c>
      <c r="Q401" t="b">
        <f>+ISNUMBER(SEARCH('F-COMPRA'!$F$33,Tabla11[[#This Row],[Cuenta]],1))</f>
        <v>1</v>
      </c>
      <c r="R401" t="b">
        <f>+ISNUMBER(SEARCH('F-COMPRA'!$F$34,Tabla11[[#This Row],[Cuenta]],1))</f>
        <v>1</v>
      </c>
      <c r="S401" t="b">
        <f>+ISNUMBER(SEARCH('F-COMPRA'!$F$35,Tabla11[[#This Row],[Cuenta]],1))</f>
        <v>1</v>
      </c>
      <c r="T401" t="b">
        <f>+ISNUMBER(SEARCH('F-COMPRA'!$F$36,Tabla11[[#This Row],[Cuenta]],1))</f>
        <v>1</v>
      </c>
      <c r="U401" t="b">
        <f>+ISNUMBER(SEARCH('F-COMPRA'!$F$37,Tabla11[[#This Row],[Cuenta]],1))</f>
        <v>1</v>
      </c>
      <c r="V401" t="b">
        <f>+ISNUMBER(SEARCH(#REF!,Tabla11[[#This Row],[Cuenta]],1))</f>
        <v>0</v>
      </c>
      <c r="W401" t="b">
        <f>+ISNUMBER(SEARCH('F-COMPRA'!#REF!,Tabla11[[#This Row],[Cuenta]],1))</f>
        <v>0</v>
      </c>
      <c r="X401" t="b">
        <f>+ISNUMBER(SEARCH('F-COMPRA'!#REF!,Tabla11[[#This Row],[Cuenta]],1))</f>
        <v>0</v>
      </c>
      <c r="Y401" t="b">
        <f>+ISNUMBER(SEARCH('F-COMPRA'!#REF!,Tabla11[[#This Row],[Cuenta]],1))</f>
        <v>0</v>
      </c>
      <c r="Z401" t="b">
        <f>+ISNUMBER(SEARCH('F-COMPRA'!#REF!,Tabla11[[#This Row],[Cuenta]],1))</f>
        <v>0</v>
      </c>
      <c r="AA401" t="b">
        <f>+ISNUMBER(SEARCH('F-COMPRA'!#REF!,Tabla11[[#This Row],[Cuenta]],1))</f>
        <v>0</v>
      </c>
      <c r="AB401" t="b">
        <f>+ISNUMBER(SEARCH('F-COMPRA'!#REF!,Tabla11[[#This Row],[Cuenta]],1))</f>
        <v>0</v>
      </c>
      <c r="AC401" t="b">
        <f>+ISNUMBER(SEARCH('F-COMPRA'!#REF!,Tabla11[[#This Row],[Cuenta]],1))</f>
        <v>0</v>
      </c>
      <c r="AD401" t="b">
        <f>+ISNUMBER(SEARCH('F-COMPRA'!#REF!,Tabla11[[#This Row],[Cuenta]],1))</f>
        <v>0</v>
      </c>
      <c r="AE401" t="b">
        <f>+ISNUMBER(SEARCH('F-COMPRA'!#REF!,Tabla11[[#This Row],[Cuenta]],1))</f>
        <v>0</v>
      </c>
      <c r="AF401" t="b">
        <f>+ISNUMBER(SEARCH('F-VTA'!$G$23,Tabla11[[#This Row],[Cuenta]],1))</f>
        <v>0</v>
      </c>
      <c r="AG401" t="b">
        <f>+ISNUMBER(SEARCH('F-VTA'!$G$24,Tabla11[[#This Row],[Cuenta]],1))</f>
        <v>0</v>
      </c>
      <c r="AH401" t="b">
        <f>+ISNUMBER(SEARCH('F-VTA'!$G$25,Tabla11[[#This Row],[Cuenta]],1))</f>
        <v>0</v>
      </c>
      <c r="AI401" t="b">
        <f>+ISNUMBER(SEARCH('F-VTA'!$F$28,Tabla11[[#This Row],[Cuenta]],1))</f>
        <v>1</v>
      </c>
      <c r="AJ401" t="b">
        <f>+ISNUMBER(SEARCH('F-VTA'!$F$29,Tabla11[[#This Row],[Cuenta]],1))</f>
        <v>1</v>
      </c>
      <c r="AK401" t="b">
        <f>+ISNUMBER(SEARCH('F-VTA'!$F$30,Tabla11[[#This Row],[Cuenta]],1))</f>
        <v>1</v>
      </c>
      <c r="AL401" t="b">
        <f>+ISNUMBER(SEARCH('F-VTA'!$F$31,Tabla11[[#This Row],[Cuenta]],1))</f>
        <v>1</v>
      </c>
      <c r="AM401" t="b">
        <f>+ISNUMBER(SEARCH('F-VTA'!$F$32,Tabla11[[#This Row],[Cuenta]],1))</f>
        <v>1</v>
      </c>
      <c r="AN401" t="b">
        <f>+ISNUMBER(SEARCH('F-VTA'!$F$33,Tabla11[[#This Row],[Cuenta]],1))</f>
        <v>1</v>
      </c>
      <c r="AO401" t="b">
        <f>+ISNUMBER(SEARCH('F-VTA'!$F$34,Tabla11[[#This Row],[Cuenta]],1))</f>
        <v>1</v>
      </c>
      <c r="AP401" t="b">
        <f>+ISNUMBER(SEARCH('F-VTA'!$F$35,Tabla11[[#This Row],[Cuenta]],1))</f>
        <v>1</v>
      </c>
      <c r="AQ401" t="b">
        <f>+ISNUMBER(SEARCH('F-VTA'!$F$36,Tabla11[[#This Row],[Cuenta]],1))</f>
        <v>1</v>
      </c>
      <c r="AR401" t="b">
        <f>+ISNUMBER(SEARCH(#REF!,Tabla11[[#This Row],[Cuenta]],1))</f>
        <v>0</v>
      </c>
      <c r="AS401" t="b">
        <f>+ISNUMBER(SEARCH(#REF!,Tabla11[[#This Row],[Cuenta]],1))</f>
        <v>0</v>
      </c>
      <c r="AT401" t="b">
        <f>+ISNUMBER(SEARCH(#REF!,Tabla11[[#This Row],[Cuenta]],1))</f>
        <v>0</v>
      </c>
      <c r="AU401" t="b">
        <f>+ISNUMBER(SEARCH('Conc. Ban.1'!$I$9,Tabla11[[#This Row],[Cuenta]],1))</f>
        <v>0</v>
      </c>
      <c r="AV401" t="b">
        <f>+ISNUMBER(SEARCH(CompConta!$F$21,Tabla11[[#This Row],[Cuenta]],1))</f>
        <v>1</v>
      </c>
      <c r="AW401" t="b">
        <f>+ISNUMBER(SEARCH(CompConta!$F$22,Tabla11[[#This Row],[Cuenta]],1))</f>
        <v>1</v>
      </c>
      <c r="AX401" t="b">
        <f>+ISNUMBER(SEARCH(CompConta!$F$23,Tabla11[[#This Row],[Cuenta]],1))</f>
        <v>1</v>
      </c>
      <c r="AY401" t="b">
        <f>+ISNUMBER(SEARCH(CompConta!$F$24,Tabla11[[#This Row],[Cuenta]],1))</f>
        <v>1</v>
      </c>
      <c r="AZ401" t="b">
        <f>+ISNUMBER(SEARCH(CompConta!$F$25,Tabla11[[#This Row],[Cuenta]],1))</f>
        <v>1</v>
      </c>
      <c r="BA401" t="b">
        <f>+ISNUMBER(SEARCH(CompConta!$F$26,Tabla11[[#This Row],[Cuenta]],1))</f>
        <v>1</v>
      </c>
      <c r="BB401" t="b">
        <f>+ISNUMBER(SEARCH(CompConta!$F$27,Tabla11[[#This Row],[Cuenta]],1))</f>
        <v>1</v>
      </c>
      <c r="BC401" t="b">
        <f>+ISNUMBER(SEARCH(CompConta!$F$28,Tabla11[[#This Row],[Cuenta]],1))</f>
        <v>1</v>
      </c>
      <c r="BD401" t="b">
        <f>+ISNUMBER(SEARCH(CompConta!$F$29,Tabla11[[#This Row],[Cuenta]],1))</f>
        <v>1</v>
      </c>
      <c r="BE401" t="b">
        <f>+ISNUMBER(SEARCH(CompConta!$F$30,Tabla11[[#This Row],[Cuenta]],1))</f>
        <v>1</v>
      </c>
      <c r="BF401" t="b">
        <f>+ISNUMBER(SEARCH('PAGO Compras'!$E$11,Tabla11[[#This Row],[Cuenta]],1))</f>
        <v>1</v>
      </c>
      <c r="BG401" t="b">
        <f>+ISNUMBER(SEARCH(#REF!,Tabla11[[#This Row],[Cuenta]],1))</f>
        <v>0</v>
      </c>
      <c r="BH401" t="b">
        <f>+ISNUMBER(SEARCH(#REF!,Tabla11[[#This Row],[Cuenta]],1))</f>
        <v>0</v>
      </c>
      <c r="BI401" t="b">
        <f>+ISNUMBER(SEARCH(#REF!,Tabla11[[#This Row],[Cuenta]],1))</f>
        <v>0</v>
      </c>
      <c r="BJ401" t="b">
        <f>+ISNUMBER(SEARCH(#REF!,Tabla11[[#This Row],[Cuenta]],1))</f>
        <v>0</v>
      </c>
      <c r="BS401" t="str">
        <v>22 PROVEEDORES</v>
      </c>
      <c r="BT401" t="str">
        <v>22 PROVEEDORES</v>
      </c>
      <c r="BU401" t="str">
        <v>22 PROVEEDORES</v>
      </c>
      <c r="BV401" t="str">
        <v>22 PROVEEDORES</v>
      </c>
      <c r="BZ401" t="str">
        <v>22 PROVEEDORES</v>
      </c>
      <c r="CA401" t="str">
        <v>22 PROVEEDORES</v>
      </c>
      <c r="CB401" t="str">
        <v>22 PROVEEDORES</v>
      </c>
      <c r="CC401" t="str">
        <v>22 PROVEEDORES</v>
      </c>
      <c r="CD401" t="str">
        <v>22 PROVEEDORES</v>
      </c>
      <c r="CE401" t="str">
        <v>22 PROVEEDORES</v>
      </c>
      <c r="CS401" s="141" t="str">
        <v>22 PROVEEDORES</v>
      </c>
      <c r="CT401" s="141" t="str">
        <v>22 PROVEEDORES</v>
      </c>
      <c r="CU401" s="141" t="str">
        <v>22 PROVEEDORES</v>
      </c>
      <c r="CV401" s="141" t="str">
        <v>22 PROVEEDORES</v>
      </c>
      <c r="CW401" s="141" t="str">
        <v>22 PROVEEDORES</v>
      </c>
      <c r="CX401" s="141" t="str">
        <v>22 PROVEEDORES</v>
      </c>
      <c r="CY401" s="141" t="str">
        <v>22 PROVEEDORES</v>
      </c>
      <c r="CZ401" s="141" t="str">
        <v>22 PROVEEDORES</v>
      </c>
      <c r="DA401" s="141" t="str">
        <v>22 PROVEEDORES</v>
      </c>
      <c r="DF401" t="str">
        <v>22 PROVEEDORES</v>
      </c>
      <c r="DG401" t="str">
        <v>22 PROVEEDORES</v>
      </c>
      <c r="DH401" t="str">
        <v>22 PROVEEDORES</v>
      </c>
      <c r="DI401" t="str">
        <v>22 PROVEEDORES</v>
      </c>
      <c r="DJ401" t="str">
        <v>22 PROVEEDORES</v>
      </c>
      <c r="DK401" t="str">
        <v>22 PROVEEDORES</v>
      </c>
      <c r="DL401" t="str">
        <v>22 PROVEEDORES</v>
      </c>
      <c r="DM401" t="str">
        <v>22 PROVEEDORES</v>
      </c>
      <c r="DN401" t="str">
        <v>22 PROVEEDORES</v>
      </c>
      <c r="DO401" t="str">
        <v>22 PROVEEDORES</v>
      </c>
      <c r="DP401" t="str">
        <v>22 PROVEEDORES</v>
      </c>
    </row>
    <row r="402" spans="4:120" ht="12.75">
      <c r="D402" s="7">
        <v>2205</v>
      </c>
      <c r="E402" s="6" t="s">
        <v>310</v>
      </c>
      <c r="F402" s="5">
        <v>3</v>
      </c>
      <c r="G402" s="34" t="s">
        <v>823</v>
      </c>
      <c r="H402" s="26" t="s">
        <v>765</v>
      </c>
      <c r="I402" t="b">
        <f>+ISNUMBER(SEARCH('F-COMPRA'!$F$28,Tabla11[[#This Row],[Cuenta]],1))</f>
        <v>1</v>
      </c>
      <c r="J402" t="b">
        <f>+ISNUMBER(SEARCH('F-COMPRA'!$F$29,Tabla11[[#This Row],[Cuenta]],1))</f>
        <v>1</v>
      </c>
      <c r="K402" t="b">
        <f>+ISNUMBER(SEARCH('F-COMPRA'!$F$30,Tabla11[[#This Row],[Cuenta]],1))</f>
        <v>1</v>
      </c>
      <c r="L402" t="b">
        <f>+ISNUMBER(SEARCH('F-COMPRA'!$F$31,Tabla11[[#This Row],[Cuenta]],1))</f>
        <v>1</v>
      </c>
      <c r="M402" t="b">
        <f>+ISNUMBER(SEARCH('F-COMPRA'!$G$25,Tabla11[[#This Row],[Cuenta]],1))</f>
        <v>0</v>
      </c>
      <c r="N402" t="b">
        <f>+ISNUMBER(SEARCH(#REF!,Tabla11[[#This Row],[Cuenta]],1))</f>
        <v>0</v>
      </c>
      <c r="O402" t="b">
        <f>+ISNUMBER(SEARCH(#REF!,Tabla11[[#This Row],[Cuenta]],1))</f>
        <v>0</v>
      </c>
      <c r="P402" t="b">
        <f>+ISNUMBER(SEARCH('F-COMPRA'!$F$32,Tabla11[[#This Row],[Cuenta]],1))</f>
        <v>1</v>
      </c>
      <c r="Q402" t="b">
        <f>+ISNUMBER(SEARCH('F-COMPRA'!$F$33,Tabla11[[#This Row],[Cuenta]],1))</f>
        <v>1</v>
      </c>
      <c r="R402" t="b">
        <f>+ISNUMBER(SEARCH('F-COMPRA'!$F$34,Tabla11[[#This Row],[Cuenta]],1))</f>
        <v>1</v>
      </c>
      <c r="S402" t="b">
        <f>+ISNUMBER(SEARCH('F-COMPRA'!$F$35,Tabla11[[#This Row],[Cuenta]],1))</f>
        <v>1</v>
      </c>
      <c r="T402" t="b">
        <f>+ISNUMBER(SEARCH('F-COMPRA'!$F$36,Tabla11[[#This Row],[Cuenta]],1))</f>
        <v>1</v>
      </c>
      <c r="U402" t="b">
        <f>+ISNUMBER(SEARCH('F-COMPRA'!$F$37,Tabla11[[#This Row],[Cuenta]],1))</f>
        <v>1</v>
      </c>
      <c r="V402" t="b">
        <f>+ISNUMBER(SEARCH(#REF!,Tabla11[[#This Row],[Cuenta]],1))</f>
        <v>0</v>
      </c>
      <c r="W402" t="b">
        <f>+ISNUMBER(SEARCH('F-COMPRA'!#REF!,Tabla11[[#This Row],[Cuenta]],1))</f>
        <v>0</v>
      </c>
      <c r="X402" t="b">
        <f>+ISNUMBER(SEARCH('F-COMPRA'!#REF!,Tabla11[[#This Row],[Cuenta]],1))</f>
        <v>0</v>
      </c>
      <c r="Y402" t="b">
        <f>+ISNUMBER(SEARCH('F-COMPRA'!#REF!,Tabla11[[#This Row],[Cuenta]],1))</f>
        <v>0</v>
      </c>
      <c r="Z402" t="b">
        <f>+ISNUMBER(SEARCH('F-COMPRA'!#REF!,Tabla11[[#This Row],[Cuenta]],1))</f>
        <v>0</v>
      </c>
      <c r="AA402" t="b">
        <f>+ISNUMBER(SEARCH('F-COMPRA'!#REF!,Tabla11[[#This Row],[Cuenta]],1))</f>
        <v>0</v>
      </c>
      <c r="AB402" t="b">
        <f>+ISNUMBER(SEARCH('F-COMPRA'!#REF!,Tabla11[[#This Row],[Cuenta]],1))</f>
        <v>0</v>
      </c>
      <c r="AC402" t="b">
        <f>+ISNUMBER(SEARCH('F-COMPRA'!#REF!,Tabla11[[#This Row],[Cuenta]],1))</f>
        <v>0</v>
      </c>
      <c r="AD402" t="b">
        <f>+ISNUMBER(SEARCH('F-COMPRA'!#REF!,Tabla11[[#This Row],[Cuenta]],1))</f>
        <v>0</v>
      </c>
      <c r="AE402" t="b">
        <f>+ISNUMBER(SEARCH('F-COMPRA'!#REF!,Tabla11[[#This Row],[Cuenta]],1))</f>
        <v>0</v>
      </c>
      <c r="AF402" t="b">
        <f>+ISNUMBER(SEARCH('F-VTA'!$G$23,Tabla11[[#This Row],[Cuenta]],1))</f>
        <v>0</v>
      </c>
      <c r="AG402" t="b">
        <f>+ISNUMBER(SEARCH('F-VTA'!$G$24,Tabla11[[#This Row],[Cuenta]],1))</f>
        <v>0</v>
      </c>
      <c r="AH402" t="b">
        <f>+ISNUMBER(SEARCH('F-VTA'!$G$25,Tabla11[[#This Row],[Cuenta]],1))</f>
        <v>0</v>
      </c>
      <c r="AI402" t="b">
        <f>+ISNUMBER(SEARCH('F-VTA'!$F$28,Tabla11[[#This Row],[Cuenta]],1))</f>
        <v>1</v>
      </c>
      <c r="AJ402" t="b">
        <f>+ISNUMBER(SEARCH('F-VTA'!$F$29,Tabla11[[#This Row],[Cuenta]],1))</f>
        <v>1</v>
      </c>
      <c r="AK402" t="b">
        <f>+ISNUMBER(SEARCH('F-VTA'!$F$30,Tabla11[[#This Row],[Cuenta]],1))</f>
        <v>1</v>
      </c>
      <c r="AL402" t="b">
        <f>+ISNUMBER(SEARCH('F-VTA'!$F$31,Tabla11[[#This Row],[Cuenta]],1))</f>
        <v>1</v>
      </c>
      <c r="AM402" t="b">
        <f>+ISNUMBER(SEARCH('F-VTA'!$F$32,Tabla11[[#This Row],[Cuenta]],1))</f>
        <v>1</v>
      </c>
      <c r="AN402" t="b">
        <f>+ISNUMBER(SEARCH('F-VTA'!$F$33,Tabla11[[#This Row],[Cuenta]],1))</f>
        <v>1</v>
      </c>
      <c r="AO402" t="b">
        <f>+ISNUMBER(SEARCH('F-VTA'!$F$34,Tabla11[[#This Row],[Cuenta]],1))</f>
        <v>1</v>
      </c>
      <c r="AP402" t="b">
        <f>+ISNUMBER(SEARCH('F-VTA'!$F$35,Tabla11[[#This Row],[Cuenta]],1))</f>
        <v>1</v>
      </c>
      <c r="AQ402" t="b">
        <f>+ISNUMBER(SEARCH('F-VTA'!$F$36,Tabla11[[#This Row],[Cuenta]],1))</f>
        <v>1</v>
      </c>
      <c r="AR402" t="b">
        <f>+ISNUMBER(SEARCH(#REF!,Tabla11[[#This Row],[Cuenta]],1))</f>
        <v>0</v>
      </c>
      <c r="AS402" t="b">
        <f>+ISNUMBER(SEARCH(#REF!,Tabla11[[#This Row],[Cuenta]],1))</f>
        <v>0</v>
      </c>
      <c r="AT402" t="b">
        <f>+ISNUMBER(SEARCH(#REF!,Tabla11[[#This Row],[Cuenta]],1))</f>
        <v>0</v>
      </c>
      <c r="AU402" t="b">
        <f>+ISNUMBER(SEARCH('Conc. Ban.1'!$I$9,Tabla11[[#This Row],[Cuenta]],1))</f>
        <v>0</v>
      </c>
      <c r="AV402" t="b">
        <f>+ISNUMBER(SEARCH(CompConta!$F$21,Tabla11[[#This Row],[Cuenta]],1))</f>
        <v>1</v>
      </c>
      <c r="AW402" t="b">
        <f>+ISNUMBER(SEARCH(CompConta!$F$22,Tabla11[[#This Row],[Cuenta]],1))</f>
        <v>1</v>
      </c>
      <c r="AX402" t="b">
        <f>+ISNUMBER(SEARCH(CompConta!$F$23,Tabla11[[#This Row],[Cuenta]],1))</f>
        <v>1</v>
      </c>
      <c r="AY402" t="b">
        <f>+ISNUMBER(SEARCH(CompConta!$F$24,Tabla11[[#This Row],[Cuenta]],1))</f>
        <v>1</v>
      </c>
      <c r="AZ402" t="b">
        <f>+ISNUMBER(SEARCH(CompConta!$F$25,Tabla11[[#This Row],[Cuenta]],1))</f>
        <v>1</v>
      </c>
      <c r="BA402" t="b">
        <f>+ISNUMBER(SEARCH(CompConta!$F$26,Tabla11[[#This Row],[Cuenta]],1))</f>
        <v>1</v>
      </c>
      <c r="BB402" t="b">
        <f>+ISNUMBER(SEARCH(CompConta!$F$27,Tabla11[[#This Row],[Cuenta]],1))</f>
        <v>1</v>
      </c>
      <c r="BC402" t="b">
        <f>+ISNUMBER(SEARCH(CompConta!$F$28,Tabla11[[#This Row],[Cuenta]],1))</f>
        <v>1</v>
      </c>
      <c r="BD402" t="b">
        <f>+ISNUMBER(SEARCH(CompConta!$F$29,Tabla11[[#This Row],[Cuenta]],1))</f>
        <v>1</v>
      </c>
      <c r="BE402" t="b">
        <f>+ISNUMBER(SEARCH(CompConta!$F$30,Tabla11[[#This Row],[Cuenta]],1))</f>
        <v>1</v>
      </c>
      <c r="BF402" t="b">
        <f>+ISNUMBER(SEARCH('PAGO Compras'!$E$11,Tabla11[[#This Row],[Cuenta]],1))</f>
        <v>1</v>
      </c>
      <c r="BG402" t="b">
        <f>+ISNUMBER(SEARCH(#REF!,Tabla11[[#This Row],[Cuenta]],1))</f>
        <v>0</v>
      </c>
      <c r="BH402" t="b">
        <f>+ISNUMBER(SEARCH(#REF!,Tabla11[[#This Row],[Cuenta]],1))</f>
        <v>0</v>
      </c>
      <c r="BI402" t="b">
        <f>+ISNUMBER(SEARCH(#REF!,Tabla11[[#This Row],[Cuenta]],1))</f>
        <v>0</v>
      </c>
      <c r="BJ402" t="b">
        <f>+ISNUMBER(SEARCH(#REF!,Tabla11[[#This Row],[Cuenta]],1))</f>
        <v>0</v>
      </c>
      <c r="BS402" t="str">
        <v>2205 NACIONALES</v>
      </c>
      <c r="BT402" t="str">
        <v>2205 NACIONALES</v>
      </c>
      <c r="BU402" t="str">
        <v>2205 NACIONALES</v>
      </c>
      <c r="BV402" t="str">
        <v>2205 NACIONALES</v>
      </c>
      <c r="BZ402" t="str">
        <v>2205 NACIONALES</v>
      </c>
      <c r="CA402" t="str">
        <v>2205 NACIONALES</v>
      </c>
      <c r="CB402" t="str">
        <v>2205 NACIONALES</v>
      </c>
      <c r="CC402" t="str">
        <v>2205 NACIONALES</v>
      </c>
      <c r="CD402" t="str">
        <v>2205 NACIONALES</v>
      </c>
      <c r="CE402" t="str">
        <v>2205 NACIONALES</v>
      </c>
      <c r="CS402" s="141" t="str">
        <v>2205 NACIONALES</v>
      </c>
      <c r="CT402" s="141" t="str">
        <v>2205 NACIONALES</v>
      </c>
      <c r="CU402" s="141" t="str">
        <v>2205 NACIONALES</v>
      </c>
      <c r="CV402" s="141" t="str">
        <v>2205 NACIONALES</v>
      </c>
      <c r="CW402" s="141" t="str">
        <v>2205 NACIONALES</v>
      </c>
      <c r="CX402" s="141" t="str">
        <v>2205 NACIONALES</v>
      </c>
      <c r="CY402" s="141" t="str">
        <v>2205 NACIONALES</v>
      </c>
      <c r="CZ402" s="141" t="str">
        <v>2205 NACIONALES</v>
      </c>
      <c r="DA402" s="141" t="str">
        <v>2205 NACIONALES</v>
      </c>
      <c r="DF402" t="str">
        <v>2205 NACIONALES</v>
      </c>
      <c r="DG402" t="str">
        <v>2205 NACIONALES</v>
      </c>
      <c r="DH402" t="str">
        <v>2205 NACIONALES</v>
      </c>
      <c r="DI402" t="str">
        <v>2205 NACIONALES</v>
      </c>
      <c r="DJ402" t="str">
        <v>2205 NACIONALES</v>
      </c>
      <c r="DK402" t="str">
        <v>2205 NACIONALES</v>
      </c>
      <c r="DL402" t="str">
        <v>2205 NACIONALES</v>
      </c>
      <c r="DM402" t="str">
        <v>2205 NACIONALES</v>
      </c>
      <c r="DN402" t="str">
        <v>2205 NACIONALES</v>
      </c>
      <c r="DO402" t="str">
        <v>2205 NACIONALES</v>
      </c>
      <c r="DP402" t="str">
        <v>2205 NACIONALES</v>
      </c>
    </row>
    <row r="403" spans="4:120" ht="12.75">
      <c r="D403" s="7">
        <v>220505</v>
      </c>
      <c r="E403" s="6" t="s">
        <v>785</v>
      </c>
      <c r="F403" s="5">
        <v>4</v>
      </c>
      <c r="G403" s="34" t="s">
        <v>823</v>
      </c>
      <c r="H403" s="26" t="s">
        <v>765</v>
      </c>
      <c r="I403" t="b">
        <f>+ISNUMBER(SEARCH('F-COMPRA'!$F$28,Tabla11[[#This Row],[Cuenta]],1))</f>
        <v>1</v>
      </c>
      <c r="J403" t="b">
        <f>+ISNUMBER(SEARCH('F-COMPRA'!$F$29,Tabla11[[#This Row],[Cuenta]],1))</f>
        <v>1</v>
      </c>
      <c r="K403" t="b">
        <f>+ISNUMBER(SEARCH('F-COMPRA'!$F$30,Tabla11[[#This Row],[Cuenta]],1))</f>
        <v>1</v>
      </c>
      <c r="L403" t="b">
        <f>+ISNUMBER(SEARCH('F-COMPRA'!$F$31,Tabla11[[#This Row],[Cuenta]],1))</f>
        <v>1</v>
      </c>
      <c r="M403" t="b">
        <f>+ISNUMBER(SEARCH('F-COMPRA'!$G$25,Tabla11[[#This Row],[Cuenta]],1))</f>
        <v>1</v>
      </c>
      <c r="N403" t="b">
        <f>+ISNUMBER(SEARCH(#REF!,Tabla11[[#This Row],[Cuenta]],1))</f>
        <v>0</v>
      </c>
      <c r="O403" t="b">
        <f>+ISNUMBER(SEARCH(#REF!,Tabla11[[#This Row],[Cuenta]],1))</f>
        <v>0</v>
      </c>
      <c r="P403" t="b">
        <f>+ISNUMBER(SEARCH('F-COMPRA'!$F$32,Tabla11[[#This Row],[Cuenta]],1))</f>
        <v>1</v>
      </c>
      <c r="Q403" t="b">
        <f>+ISNUMBER(SEARCH('F-COMPRA'!$F$33,Tabla11[[#This Row],[Cuenta]],1))</f>
        <v>1</v>
      </c>
      <c r="R403" t="b">
        <f>+ISNUMBER(SEARCH('F-COMPRA'!$F$34,Tabla11[[#This Row],[Cuenta]],1))</f>
        <v>1</v>
      </c>
      <c r="S403" t="b">
        <f>+ISNUMBER(SEARCH('F-COMPRA'!$F$35,Tabla11[[#This Row],[Cuenta]],1))</f>
        <v>1</v>
      </c>
      <c r="T403" t="b">
        <f>+ISNUMBER(SEARCH('F-COMPRA'!$F$36,Tabla11[[#This Row],[Cuenta]],1))</f>
        <v>1</v>
      </c>
      <c r="U403" t="b">
        <f>+ISNUMBER(SEARCH('F-COMPRA'!$F$37,Tabla11[[#This Row],[Cuenta]],1))</f>
        <v>1</v>
      </c>
      <c r="V403" t="b">
        <f>+ISNUMBER(SEARCH(#REF!,Tabla11[[#This Row],[Cuenta]],1))</f>
        <v>0</v>
      </c>
      <c r="W403" t="b">
        <f>+ISNUMBER(SEARCH('F-COMPRA'!#REF!,Tabla11[[#This Row],[Cuenta]],1))</f>
        <v>0</v>
      </c>
      <c r="X403" t="b">
        <f>+ISNUMBER(SEARCH('F-COMPRA'!#REF!,Tabla11[[#This Row],[Cuenta]],1))</f>
        <v>0</v>
      </c>
      <c r="Y403" t="b">
        <f>+ISNUMBER(SEARCH('F-COMPRA'!#REF!,Tabla11[[#This Row],[Cuenta]],1))</f>
        <v>0</v>
      </c>
      <c r="Z403" t="b">
        <f>+ISNUMBER(SEARCH('F-COMPRA'!#REF!,Tabla11[[#This Row],[Cuenta]],1))</f>
        <v>0</v>
      </c>
      <c r="AA403" t="b">
        <f>+ISNUMBER(SEARCH('F-COMPRA'!#REF!,Tabla11[[#This Row],[Cuenta]],1))</f>
        <v>0</v>
      </c>
      <c r="AB403" t="b">
        <f>+ISNUMBER(SEARCH('F-COMPRA'!#REF!,Tabla11[[#This Row],[Cuenta]],1))</f>
        <v>0</v>
      </c>
      <c r="AC403" t="b">
        <f>+ISNUMBER(SEARCH('F-COMPRA'!#REF!,Tabla11[[#This Row],[Cuenta]],1))</f>
        <v>0</v>
      </c>
      <c r="AD403" t="b">
        <f>+ISNUMBER(SEARCH('F-COMPRA'!#REF!,Tabla11[[#This Row],[Cuenta]],1))</f>
        <v>0</v>
      </c>
      <c r="AE403" t="b">
        <f>+ISNUMBER(SEARCH('F-COMPRA'!#REF!,Tabla11[[#This Row],[Cuenta]],1))</f>
        <v>0</v>
      </c>
      <c r="AF403" t="b">
        <f>+ISNUMBER(SEARCH('F-VTA'!$G$23,Tabla11[[#This Row],[Cuenta]],1))</f>
        <v>0</v>
      </c>
      <c r="AG403" t="b">
        <f>+ISNUMBER(SEARCH('F-VTA'!$G$24,Tabla11[[#This Row],[Cuenta]],1))</f>
        <v>0</v>
      </c>
      <c r="AH403" t="b">
        <f>+ISNUMBER(SEARCH('F-VTA'!$G$25,Tabla11[[#This Row],[Cuenta]],1))</f>
        <v>0</v>
      </c>
      <c r="AI403" t="b">
        <f>+ISNUMBER(SEARCH('F-VTA'!$F$28,Tabla11[[#This Row],[Cuenta]],1))</f>
        <v>1</v>
      </c>
      <c r="AJ403" t="b">
        <f>+ISNUMBER(SEARCH('F-VTA'!$F$29,Tabla11[[#This Row],[Cuenta]],1))</f>
        <v>1</v>
      </c>
      <c r="AK403" t="b">
        <f>+ISNUMBER(SEARCH('F-VTA'!$F$30,Tabla11[[#This Row],[Cuenta]],1))</f>
        <v>1</v>
      </c>
      <c r="AL403" t="b">
        <f>+ISNUMBER(SEARCH('F-VTA'!$F$31,Tabla11[[#This Row],[Cuenta]],1))</f>
        <v>1</v>
      </c>
      <c r="AM403" t="b">
        <f>+ISNUMBER(SEARCH('F-VTA'!$F$32,Tabla11[[#This Row],[Cuenta]],1))</f>
        <v>1</v>
      </c>
      <c r="AN403" t="b">
        <f>+ISNUMBER(SEARCH('F-VTA'!$F$33,Tabla11[[#This Row],[Cuenta]],1))</f>
        <v>1</v>
      </c>
      <c r="AO403" t="b">
        <f>+ISNUMBER(SEARCH('F-VTA'!$F$34,Tabla11[[#This Row],[Cuenta]],1))</f>
        <v>1</v>
      </c>
      <c r="AP403" t="b">
        <f>+ISNUMBER(SEARCH('F-VTA'!$F$35,Tabla11[[#This Row],[Cuenta]],1))</f>
        <v>1</v>
      </c>
      <c r="AQ403" t="b">
        <f>+ISNUMBER(SEARCH('F-VTA'!$F$36,Tabla11[[#This Row],[Cuenta]],1))</f>
        <v>1</v>
      </c>
      <c r="AR403" t="b">
        <f>+ISNUMBER(SEARCH(#REF!,Tabla11[[#This Row],[Cuenta]],1))</f>
        <v>0</v>
      </c>
      <c r="AS403" t="b">
        <f>+ISNUMBER(SEARCH(#REF!,Tabla11[[#This Row],[Cuenta]],1))</f>
        <v>0</v>
      </c>
      <c r="AT403" t="b">
        <f>+ISNUMBER(SEARCH(#REF!,Tabla11[[#This Row],[Cuenta]],1))</f>
        <v>0</v>
      </c>
      <c r="AU403" t="b">
        <f>+ISNUMBER(SEARCH('Conc. Ban.1'!$I$9,Tabla11[[#This Row],[Cuenta]],1))</f>
        <v>0</v>
      </c>
      <c r="AV403" t="b">
        <f>+ISNUMBER(SEARCH(CompConta!$F$21,Tabla11[[#This Row],[Cuenta]],1))</f>
        <v>1</v>
      </c>
      <c r="AW403" t="b">
        <f>+ISNUMBER(SEARCH(CompConta!$F$22,Tabla11[[#This Row],[Cuenta]],1))</f>
        <v>1</v>
      </c>
      <c r="AX403" t="b">
        <f>+ISNUMBER(SEARCH(CompConta!$F$23,Tabla11[[#This Row],[Cuenta]],1))</f>
        <v>1</v>
      </c>
      <c r="AY403" t="b">
        <f>+ISNUMBER(SEARCH(CompConta!$F$24,Tabla11[[#This Row],[Cuenta]],1))</f>
        <v>1</v>
      </c>
      <c r="AZ403" t="b">
        <f>+ISNUMBER(SEARCH(CompConta!$F$25,Tabla11[[#This Row],[Cuenta]],1))</f>
        <v>1</v>
      </c>
      <c r="BA403" t="b">
        <f>+ISNUMBER(SEARCH(CompConta!$F$26,Tabla11[[#This Row],[Cuenta]],1))</f>
        <v>1</v>
      </c>
      <c r="BB403" t="b">
        <f>+ISNUMBER(SEARCH(CompConta!$F$27,Tabla11[[#This Row],[Cuenta]],1))</f>
        <v>1</v>
      </c>
      <c r="BC403" t="b">
        <f>+ISNUMBER(SEARCH(CompConta!$F$28,Tabla11[[#This Row],[Cuenta]],1))</f>
        <v>1</v>
      </c>
      <c r="BD403" t="b">
        <f>+ISNUMBER(SEARCH(CompConta!$F$29,Tabla11[[#This Row],[Cuenta]],1))</f>
        <v>1</v>
      </c>
      <c r="BE403" t="b">
        <f>+ISNUMBER(SEARCH(CompConta!$F$30,Tabla11[[#This Row],[Cuenta]],1))</f>
        <v>1</v>
      </c>
      <c r="BF403" t="b">
        <f>+ISNUMBER(SEARCH('PAGO Compras'!$E$11,Tabla11[[#This Row],[Cuenta]],1))</f>
        <v>1</v>
      </c>
      <c r="BG403" t="b">
        <f>+ISNUMBER(SEARCH(#REF!,Tabla11[[#This Row],[Cuenta]],1))</f>
        <v>0</v>
      </c>
      <c r="BH403" t="b">
        <f>+ISNUMBER(SEARCH(#REF!,Tabla11[[#This Row],[Cuenta]],1))</f>
        <v>0</v>
      </c>
      <c r="BI403" t="b">
        <f>+ISNUMBER(SEARCH(#REF!,Tabla11[[#This Row],[Cuenta]],1))</f>
        <v>0</v>
      </c>
      <c r="BJ403" t="b">
        <f>+ISNUMBER(SEARCH(#REF!,Tabla11[[#This Row],[Cuenta]],1))</f>
        <v>0</v>
      </c>
      <c r="BS403" t="str">
        <v>220505 Proveedores Nacionales</v>
      </c>
      <c r="BT403" t="str">
        <v>220505 Proveedores Nacionales</v>
      </c>
      <c r="BU403" t="str">
        <v>220505 Proveedores Nacionales</v>
      </c>
      <c r="BV403" t="str">
        <v>220505 Proveedores Nacionales</v>
      </c>
      <c r="BZ403" t="str">
        <v>220505 Proveedores Nacionales</v>
      </c>
      <c r="CA403" t="str">
        <v>220505 Proveedores Nacionales</v>
      </c>
      <c r="CB403" t="str">
        <v>220505 Proveedores Nacionales</v>
      </c>
      <c r="CC403" t="str">
        <v>220505 Proveedores Nacionales</v>
      </c>
      <c r="CD403" t="str">
        <v>220505 Proveedores Nacionales</v>
      </c>
      <c r="CE403" t="str">
        <v>220505 Proveedores Nacionales</v>
      </c>
      <c r="CS403" s="141" t="str">
        <v>220505 Proveedores Nacionales</v>
      </c>
      <c r="CT403" s="141" t="str">
        <v>220505 Proveedores Nacionales</v>
      </c>
      <c r="CU403" s="141" t="str">
        <v>220505 Proveedores Nacionales</v>
      </c>
      <c r="CV403" s="141" t="str">
        <v>220505 Proveedores Nacionales</v>
      </c>
      <c r="CW403" s="141" t="str">
        <v>220505 Proveedores Nacionales</v>
      </c>
      <c r="CX403" s="141" t="str">
        <v>220505 Proveedores Nacionales</v>
      </c>
      <c r="CY403" s="141" t="str">
        <v>220505 Proveedores Nacionales</v>
      </c>
      <c r="CZ403" s="141" t="str">
        <v>220505 Proveedores Nacionales</v>
      </c>
      <c r="DA403" s="141" t="str">
        <v>220505 Proveedores Nacionales</v>
      </c>
      <c r="DF403" t="str">
        <v>220505 Proveedores Nacionales</v>
      </c>
      <c r="DG403" t="str">
        <v>220505 Proveedores Nacionales</v>
      </c>
      <c r="DH403" t="str">
        <v>220505 Proveedores Nacionales</v>
      </c>
      <c r="DI403" t="str">
        <v>220505 Proveedores Nacionales</v>
      </c>
      <c r="DJ403" t="str">
        <v>220505 Proveedores Nacionales</v>
      </c>
      <c r="DK403" t="str">
        <v>220505 Proveedores Nacionales</v>
      </c>
      <c r="DL403" t="str">
        <v>220505 Proveedores Nacionales</v>
      </c>
      <c r="DM403" t="str">
        <v>220505 Proveedores Nacionales</v>
      </c>
      <c r="DN403" t="str">
        <v>220505 Proveedores Nacionales</v>
      </c>
      <c r="DO403" t="str">
        <v>220505 Proveedores Nacionales</v>
      </c>
      <c r="DP403" t="str">
        <v>220505 Proveedores Nacionales</v>
      </c>
    </row>
    <row r="404" spans="4:120" ht="12.75">
      <c r="D404" s="7">
        <v>2210</v>
      </c>
      <c r="E404" s="6" t="s">
        <v>311</v>
      </c>
      <c r="F404" s="5">
        <v>3</v>
      </c>
      <c r="G404" s="34" t="s">
        <v>823</v>
      </c>
      <c r="H404" s="26" t="s">
        <v>765</v>
      </c>
      <c r="I404" t="b">
        <f>+ISNUMBER(SEARCH('F-COMPRA'!$F$28,Tabla11[[#This Row],[Cuenta]],1))</f>
        <v>1</v>
      </c>
      <c r="J404" t="b">
        <f>+ISNUMBER(SEARCH('F-COMPRA'!$F$29,Tabla11[[#This Row],[Cuenta]],1))</f>
        <v>1</v>
      </c>
      <c r="K404" t="b">
        <f>+ISNUMBER(SEARCH('F-COMPRA'!$F$30,Tabla11[[#This Row],[Cuenta]],1))</f>
        <v>1</v>
      </c>
      <c r="L404" t="b">
        <f>+ISNUMBER(SEARCH('F-COMPRA'!$F$31,Tabla11[[#This Row],[Cuenta]],1))</f>
        <v>1</v>
      </c>
      <c r="M404" t="b">
        <f>+ISNUMBER(SEARCH('F-COMPRA'!$G$25,Tabla11[[#This Row],[Cuenta]],1))</f>
        <v>0</v>
      </c>
      <c r="N404" t="b">
        <f>+ISNUMBER(SEARCH(#REF!,Tabla11[[#This Row],[Cuenta]],1))</f>
        <v>0</v>
      </c>
      <c r="O404" t="b">
        <f>+ISNUMBER(SEARCH(#REF!,Tabla11[[#This Row],[Cuenta]],1))</f>
        <v>0</v>
      </c>
      <c r="P404" t="b">
        <f>+ISNUMBER(SEARCH('F-COMPRA'!$F$32,Tabla11[[#This Row],[Cuenta]],1))</f>
        <v>1</v>
      </c>
      <c r="Q404" t="b">
        <f>+ISNUMBER(SEARCH('F-COMPRA'!$F$33,Tabla11[[#This Row],[Cuenta]],1))</f>
        <v>1</v>
      </c>
      <c r="R404" t="b">
        <f>+ISNUMBER(SEARCH('F-COMPRA'!$F$34,Tabla11[[#This Row],[Cuenta]],1))</f>
        <v>1</v>
      </c>
      <c r="S404" t="b">
        <f>+ISNUMBER(SEARCH('F-COMPRA'!$F$35,Tabla11[[#This Row],[Cuenta]],1))</f>
        <v>1</v>
      </c>
      <c r="T404" t="b">
        <f>+ISNUMBER(SEARCH('F-COMPRA'!$F$36,Tabla11[[#This Row],[Cuenta]],1))</f>
        <v>1</v>
      </c>
      <c r="U404" t="b">
        <f>+ISNUMBER(SEARCH('F-COMPRA'!$F$37,Tabla11[[#This Row],[Cuenta]],1))</f>
        <v>1</v>
      </c>
      <c r="V404" t="b">
        <f>+ISNUMBER(SEARCH(#REF!,Tabla11[[#This Row],[Cuenta]],1))</f>
        <v>0</v>
      </c>
      <c r="W404" t="b">
        <f>+ISNUMBER(SEARCH('F-COMPRA'!#REF!,Tabla11[[#This Row],[Cuenta]],1))</f>
        <v>0</v>
      </c>
      <c r="X404" t="b">
        <f>+ISNUMBER(SEARCH('F-COMPRA'!#REF!,Tabla11[[#This Row],[Cuenta]],1))</f>
        <v>0</v>
      </c>
      <c r="Y404" t="b">
        <f>+ISNUMBER(SEARCH('F-COMPRA'!#REF!,Tabla11[[#This Row],[Cuenta]],1))</f>
        <v>0</v>
      </c>
      <c r="Z404" t="b">
        <f>+ISNUMBER(SEARCH('F-COMPRA'!#REF!,Tabla11[[#This Row],[Cuenta]],1))</f>
        <v>0</v>
      </c>
      <c r="AA404" t="b">
        <f>+ISNUMBER(SEARCH('F-COMPRA'!#REF!,Tabla11[[#This Row],[Cuenta]],1))</f>
        <v>0</v>
      </c>
      <c r="AB404" t="b">
        <f>+ISNUMBER(SEARCH('F-COMPRA'!#REF!,Tabla11[[#This Row],[Cuenta]],1))</f>
        <v>0</v>
      </c>
      <c r="AC404" t="b">
        <f>+ISNUMBER(SEARCH('F-COMPRA'!#REF!,Tabla11[[#This Row],[Cuenta]],1))</f>
        <v>0</v>
      </c>
      <c r="AD404" t="b">
        <f>+ISNUMBER(SEARCH('F-COMPRA'!#REF!,Tabla11[[#This Row],[Cuenta]],1))</f>
        <v>0</v>
      </c>
      <c r="AE404" t="b">
        <f>+ISNUMBER(SEARCH('F-COMPRA'!#REF!,Tabla11[[#This Row],[Cuenta]],1))</f>
        <v>0</v>
      </c>
      <c r="AF404" t="b">
        <f>+ISNUMBER(SEARCH('F-VTA'!$G$23,Tabla11[[#This Row],[Cuenta]],1))</f>
        <v>0</v>
      </c>
      <c r="AG404" t="b">
        <f>+ISNUMBER(SEARCH('F-VTA'!$G$24,Tabla11[[#This Row],[Cuenta]],1))</f>
        <v>0</v>
      </c>
      <c r="AH404" t="b">
        <f>+ISNUMBER(SEARCH('F-VTA'!$G$25,Tabla11[[#This Row],[Cuenta]],1))</f>
        <v>0</v>
      </c>
      <c r="AI404" t="b">
        <f>+ISNUMBER(SEARCH('F-VTA'!$F$28,Tabla11[[#This Row],[Cuenta]],1))</f>
        <v>1</v>
      </c>
      <c r="AJ404" t="b">
        <f>+ISNUMBER(SEARCH('F-VTA'!$F$29,Tabla11[[#This Row],[Cuenta]],1))</f>
        <v>1</v>
      </c>
      <c r="AK404" t="b">
        <f>+ISNUMBER(SEARCH('F-VTA'!$F$30,Tabla11[[#This Row],[Cuenta]],1))</f>
        <v>1</v>
      </c>
      <c r="AL404" t="b">
        <f>+ISNUMBER(SEARCH('F-VTA'!$F$31,Tabla11[[#This Row],[Cuenta]],1))</f>
        <v>1</v>
      </c>
      <c r="AM404" t="b">
        <f>+ISNUMBER(SEARCH('F-VTA'!$F$32,Tabla11[[#This Row],[Cuenta]],1))</f>
        <v>1</v>
      </c>
      <c r="AN404" t="b">
        <f>+ISNUMBER(SEARCH('F-VTA'!$F$33,Tabla11[[#This Row],[Cuenta]],1))</f>
        <v>1</v>
      </c>
      <c r="AO404" t="b">
        <f>+ISNUMBER(SEARCH('F-VTA'!$F$34,Tabla11[[#This Row],[Cuenta]],1))</f>
        <v>1</v>
      </c>
      <c r="AP404" t="b">
        <f>+ISNUMBER(SEARCH('F-VTA'!$F$35,Tabla11[[#This Row],[Cuenta]],1))</f>
        <v>1</v>
      </c>
      <c r="AQ404" t="b">
        <f>+ISNUMBER(SEARCH('F-VTA'!$F$36,Tabla11[[#This Row],[Cuenta]],1))</f>
        <v>1</v>
      </c>
      <c r="AR404" t="b">
        <f>+ISNUMBER(SEARCH(#REF!,Tabla11[[#This Row],[Cuenta]],1))</f>
        <v>0</v>
      </c>
      <c r="AS404" t="b">
        <f>+ISNUMBER(SEARCH(#REF!,Tabla11[[#This Row],[Cuenta]],1))</f>
        <v>0</v>
      </c>
      <c r="AT404" t="b">
        <f>+ISNUMBER(SEARCH(#REF!,Tabla11[[#This Row],[Cuenta]],1))</f>
        <v>0</v>
      </c>
      <c r="AU404" t="b">
        <f>+ISNUMBER(SEARCH('Conc. Ban.1'!$I$9,Tabla11[[#This Row],[Cuenta]],1))</f>
        <v>0</v>
      </c>
      <c r="AV404" t="b">
        <f>+ISNUMBER(SEARCH(CompConta!$F$21,Tabla11[[#This Row],[Cuenta]],1))</f>
        <v>1</v>
      </c>
      <c r="AW404" t="b">
        <f>+ISNUMBER(SEARCH(CompConta!$F$22,Tabla11[[#This Row],[Cuenta]],1))</f>
        <v>1</v>
      </c>
      <c r="AX404" t="b">
        <f>+ISNUMBER(SEARCH(CompConta!$F$23,Tabla11[[#This Row],[Cuenta]],1))</f>
        <v>1</v>
      </c>
      <c r="AY404" t="b">
        <f>+ISNUMBER(SEARCH(CompConta!$F$24,Tabla11[[#This Row],[Cuenta]],1))</f>
        <v>1</v>
      </c>
      <c r="AZ404" t="b">
        <f>+ISNUMBER(SEARCH(CompConta!$F$25,Tabla11[[#This Row],[Cuenta]],1))</f>
        <v>1</v>
      </c>
      <c r="BA404" t="b">
        <f>+ISNUMBER(SEARCH(CompConta!$F$26,Tabla11[[#This Row],[Cuenta]],1))</f>
        <v>1</v>
      </c>
      <c r="BB404" t="b">
        <f>+ISNUMBER(SEARCH(CompConta!$F$27,Tabla11[[#This Row],[Cuenta]],1))</f>
        <v>1</v>
      </c>
      <c r="BC404" t="b">
        <f>+ISNUMBER(SEARCH(CompConta!$F$28,Tabla11[[#This Row],[Cuenta]],1))</f>
        <v>1</v>
      </c>
      <c r="BD404" t="b">
        <f>+ISNUMBER(SEARCH(CompConta!$F$29,Tabla11[[#This Row],[Cuenta]],1))</f>
        <v>1</v>
      </c>
      <c r="BE404" t="b">
        <f>+ISNUMBER(SEARCH(CompConta!$F$30,Tabla11[[#This Row],[Cuenta]],1))</f>
        <v>1</v>
      </c>
      <c r="BF404" t="b">
        <f>+ISNUMBER(SEARCH('PAGO Compras'!$E$11,Tabla11[[#This Row],[Cuenta]],1))</f>
        <v>1</v>
      </c>
      <c r="BG404" t="b">
        <f>+ISNUMBER(SEARCH(#REF!,Tabla11[[#This Row],[Cuenta]],1))</f>
        <v>0</v>
      </c>
      <c r="BH404" t="b">
        <f>+ISNUMBER(SEARCH(#REF!,Tabla11[[#This Row],[Cuenta]],1))</f>
        <v>0</v>
      </c>
      <c r="BI404" t="b">
        <f>+ISNUMBER(SEARCH(#REF!,Tabla11[[#This Row],[Cuenta]],1))</f>
        <v>0</v>
      </c>
      <c r="BJ404" t="b">
        <f>+ISNUMBER(SEARCH(#REF!,Tabla11[[#This Row],[Cuenta]],1))</f>
        <v>0</v>
      </c>
      <c r="BS404" t="str">
        <v>2210 DEL EXTERIOR</v>
      </c>
      <c r="BT404" t="str">
        <v>2210 DEL EXTERIOR</v>
      </c>
      <c r="BU404" t="str">
        <v>2210 DEL EXTERIOR</v>
      </c>
      <c r="BV404" t="str">
        <v>2210 DEL EXTERIOR</v>
      </c>
      <c r="BZ404" t="str">
        <v>2210 DEL EXTERIOR</v>
      </c>
      <c r="CA404" t="str">
        <v>2210 DEL EXTERIOR</v>
      </c>
      <c r="CB404" t="str">
        <v>2210 DEL EXTERIOR</v>
      </c>
      <c r="CC404" t="str">
        <v>2210 DEL EXTERIOR</v>
      </c>
      <c r="CD404" t="str">
        <v>2210 DEL EXTERIOR</v>
      </c>
      <c r="CE404" t="str">
        <v>2210 DEL EXTERIOR</v>
      </c>
      <c r="CS404" s="141" t="str">
        <v>2210 DEL EXTERIOR</v>
      </c>
      <c r="CT404" s="141" t="str">
        <v>2210 DEL EXTERIOR</v>
      </c>
      <c r="CU404" s="141" t="str">
        <v>2210 DEL EXTERIOR</v>
      </c>
      <c r="CV404" s="141" t="str">
        <v>2210 DEL EXTERIOR</v>
      </c>
      <c r="CW404" s="141" t="str">
        <v>2210 DEL EXTERIOR</v>
      </c>
      <c r="CX404" s="141" t="str">
        <v>2210 DEL EXTERIOR</v>
      </c>
      <c r="CY404" s="141" t="str">
        <v>2210 DEL EXTERIOR</v>
      </c>
      <c r="CZ404" s="141" t="str">
        <v>2210 DEL EXTERIOR</v>
      </c>
      <c r="DA404" s="141" t="str">
        <v>2210 DEL EXTERIOR</v>
      </c>
      <c r="DF404" t="str">
        <v>2210 DEL EXTERIOR</v>
      </c>
      <c r="DG404" t="str">
        <v>2210 DEL EXTERIOR</v>
      </c>
      <c r="DH404" t="str">
        <v>2210 DEL EXTERIOR</v>
      </c>
      <c r="DI404" t="str">
        <v>2210 DEL EXTERIOR</v>
      </c>
      <c r="DJ404" t="str">
        <v>2210 DEL EXTERIOR</v>
      </c>
      <c r="DK404" t="str">
        <v>2210 DEL EXTERIOR</v>
      </c>
      <c r="DL404" t="str">
        <v>2210 DEL EXTERIOR</v>
      </c>
      <c r="DM404" t="str">
        <v>2210 DEL EXTERIOR</v>
      </c>
      <c r="DN404" t="str">
        <v>2210 DEL EXTERIOR</v>
      </c>
      <c r="DO404" t="str">
        <v>2210 DEL EXTERIOR</v>
      </c>
      <c r="DP404" t="str">
        <v>2210 DEL EXTERIOR</v>
      </c>
    </row>
    <row r="405" spans="4:120" ht="12.75">
      <c r="D405" s="7">
        <v>2215</v>
      </c>
      <c r="E405" s="6" t="s">
        <v>62</v>
      </c>
      <c r="F405" s="5">
        <v>3</v>
      </c>
      <c r="G405" s="34" t="s">
        <v>823</v>
      </c>
      <c r="H405" s="26" t="s">
        <v>765</v>
      </c>
      <c r="I405" t="b">
        <f>+ISNUMBER(SEARCH('F-COMPRA'!$F$28,Tabla11[[#This Row],[Cuenta]],1))</f>
        <v>1</v>
      </c>
      <c r="J405" t="b">
        <f>+ISNUMBER(SEARCH('F-COMPRA'!$F$29,Tabla11[[#This Row],[Cuenta]],1))</f>
        <v>1</v>
      </c>
      <c r="K405" t="b">
        <f>+ISNUMBER(SEARCH('F-COMPRA'!$F$30,Tabla11[[#This Row],[Cuenta]],1))</f>
        <v>1</v>
      </c>
      <c r="L405" t="b">
        <f>+ISNUMBER(SEARCH('F-COMPRA'!$F$31,Tabla11[[#This Row],[Cuenta]],1))</f>
        <v>1</v>
      </c>
      <c r="M405" t="b">
        <f>+ISNUMBER(SEARCH('F-COMPRA'!$G$25,Tabla11[[#This Row],[Cuenta]],1))</f>
        <v>0</v>
      </c>
      <c r="N405" t="b">
        <f>+ISNUMBER(SEARCH(#REF!,Tabla11[[#This Row],[Cuenta]],1))</f>
        <v>0</v>
      </c>
      <c r="O405" t="b">
        <f>+ISNUMBER(SEARCH(#REF!,Tabla11[[#This Row],[Cuenta]],1))</f>
        <v>0</v>
      </c>
      <c r="P405" t="b">
        <f>+ISNUMBER(SEARCH('F-COMPRA'!$F$32,Tabla11[[#This Row],[Cuenta]],1))</f>
        <v>1</v>
      </c>
      <c r="Q405" t="b">
        <f>+ISNUMBER(SEARCH('F-COMPRA'!$F$33,Tabla11[[#This Row],[Cuenta]],1))</f>
        <v>1</v>
      </c>
      <c r="R405" t="b">
        <f>+ISNUMBER(SEARCH('F-COMPRA'!$F$34,Tabla11[[#This Row],[Cuenta]],1))</f>
        <v>1</v>
      </c>
      <c r="S405" t="b">
        <f>+ISNUMBER(SEARCH('F-COMPRA'!$F$35,Tabla11[[#This Row],[Cuenta]],1))</f>
        <v>1</v>
      </c>
      <c r="T405" t="b">
        <f>+ISNUMBER(SEARCH('F-COMPRA'!$F$36,Tabla11[[#This Row],[Cuenta]],1))</f>
        <v>1</v>
      </c>
      <c r="U405" t="b">
        <f>+ISNUMBER(SEARCH('F-COMPRA'!$F$37,Tabla11[[#This Row],[Cuenta]],1))</f>
        <v>1</v>
      </c>
      <c r="V405" t="b">
        <f>+ISNUMBER(SEARCH(#REF!,Tabla11[[#This Row],[Cuenta]],1))</f>
        <v>0</v>
      </c>
      <c r="W405" t="b">
        <f>+ISNUMBER(SEARCH('F-COMPRA'!#REF!,Tabla11[[#This Row],[Cuenta]],1))</f>
        <v>0</v>
      </c>
      <c r="X405" t="b">
        <f>+ISNUMBER(SEARCH('F-COMPRA'!#REF!,Tabla11[[#This Row],[Cuenta]],1))</f>
        <v>0</v>
      </c>
      <c r="Y405" t="b">
        <f>+ISNUMBER(SEARCH('F-COMPRA'!#REF!,Tabla11[[#This Row],[Cuenta]],1))</f>
        <v>0</v>
      </c>
      <c r="Z405" t="b">
        <f>+ISNUMBER(SEARCH('F-COMPRA'!#REF!,Tabla11[[#This Row],[Cuenta]],1))</f>
        <v>0</v>
      </c>
      <c r="AA405" t="b">
        <f>+ISNUMBER(SEARCH('F-COMPRA'!#REF!,Tabla11[[#This Row],[Cuenta]],1))</f>
        <v>0</v>
      </c>
      <c r="AB405" t="b">
        <f>+ISNUMBER(SEARCH('F-COMPRA'!#REF!,Tabla11[[#This Row],[Cuenta]],1))</f>
        <v>0</v>
      </c>
      <c r="AC405" t="b">
        <f>+ISNUMBER(SEARCH('F-COMPRA'!#REF!,Tabla11[[#This Row],[Cuenta]],1))</f>
        <v>0</v>
      </c>
      <c r="AD405" t="b">
        <f>+ISNUMBER(SEARCH('F-COMPRA'!#REF!,Tabla11[[#This Row],[Cuenta]],1))</f>
        <v>0</v>
      </c>
      <c r="AE405" t="b">
        <f>+ISNUMBER(SEARCH('F-COMPRA'!#REF!,Tabla11[[#This Row],[Cuenta]],1))</f>
        <v>0</v>
      </c>
      <c r="AF405" t="b">
        <f>+ISNUMBER(SEARCH('F-VTA'!$G$23,Tabla11[[#This Row],[Cuenta]],1))</f>
        <v>0</v>
      </c>
      <c r="AG405" t="b">
        <f>+ISNUMBER(SEARCH('F-VTA'!$G$24,Tabla11[[#This Row],[Cuenta]],1))</f>
        <v>0</v>
      </c>
      <c r="AH405" t="b">
        <f>+ISNUMBER(SEARCH('F-VTA'!$G$25,Tabla11[[#This Row],[Cuenta]],1))</f>
        <v>0</v>
      </c>
      <c r="AI405" t="b">
        <f>+ISNUMBER(SEARCH('F-VTA'!$F$28,Tabla11[[#This Row],[Cuenta]],1))</f>
        <v>1</v>
      </c>
      <c r="AJ405" t="b">
        <f>+ISNUMBER(SEARCH('F-VTA'!$F$29,Tabla11[[#This Row],[Cuenta]],1))</f>
        <v>1</v>
      </c>
      <c r="AK405" t="b">
        <f>+ISNUMBER(SEARCH('F-VTA'!$F$30,Tabla11[[#This Row],[Cuenta]],1))</f>
        <v>1</v>
      </c>
      <c r="AL405" t="b">
        <f>+ISNUMBER(SEARCH('F-VTA'!$F$31,Tabla11[[#This Row],[Cuenta]],1))</f>
        <v>1</v>
      </c>
      <c r="AM405" t="b">
        <f>+ISNUMBER(SEARCH('F-VTA'!$F$32,Tabla11[[#This Row],[Cuenta]],1))</f>
        <v>1</v>
      </c>
      <c r="AN405" t="b">
        <f>+ISNUMBER(SEARCH('F-VTA'!$F$33,Tabla11[[#This Row],[Cuenta]],1))</f>
        <v>1</v>
      </c>
      <c r="AO405" t="b">
        <f>+ISNUMBER(SEARCH('F-VTA'!$F$34,Tabla11[[#This Row],[Cuenta]],1))</f>
        <v>1</v>
      </c>
      <c r="AP405" t="b">
        <f>+ISNUMBER(SEARCH('F-VTA'!$F$35,Tabla11[[#This Row],[Cuenta]],1))</f>
        <v>1</v>
      </c>
      <c r="AQ405" t="b">
        <f>+ISNUMBER(SEARCH('F-VTA'!$F$36,Tabla11[[#This Row],[Cuenta]],1))</f>
        <v>1</v>
      </c>
      <c r="AR405" t="b">
        <f>+ISNUMBER(SEARCH(#REF!,Tabla11[[#This Row],[Cuenta]],1))</f>
        <v>0</v>
      </c>
      <c r="AS405" t="b">
        <f>+ISNUMBER(SEARCH(#REF!,Tabla11[[#This Row],[Cuenta]],1))</f>
        <v>0</v>
      </c>
      <c r="AT405" t="b">
        <f>+ISNUMBER(SEARCH(#REF!,Tabla11[[#This Row],[Cuenta]],1))</f>
        <v>0</v>
      </c>
      <c r="AU405" t="b">
        <f>+ISNUMBER(SEARCH('Conc. Ban.1'!$I$9,Tabla11[[#This Row],[Cuenta]],1))</f>
        <v>0</v>
      </c>
      <c r="AV405" t="b">
        <f>+ISNUMBER(SEARCH(CompConta!$F$21,Tabla11[[#This Row],[Cuenta]],1))</f>
        <v>1</v>
      </c>
      <c r="AW405" t="b">
        <f>+ISNUMBER(SEARCH(CompConta!$F$22,Tabla11[[#This Row],[Cuenta]],1))</f>
        <v>1</v>
      </c>
      <c r="AX405" t="b">
        <f>+ISNUMBER(SEARCH(CompConta!$F$23,Tabla11[[#This Row],[Cuenta]],1))</f>
        <v>1</v>
      </c>
      <c r="AY405" t="b">
        <f>+ISNUMBER(SEARCH(CompConta!$F$24,Tabla11[[#This Row],[Cuenta]],1))</f>
        <v>1</v>
      </c>
      <c r="AZ405" t="b">
        <f>+ISNUMBER(SEARCH(CompConta!$F$25,Tabla11[[#This Row],[Cuenta]],1))</f>
        <v>1</v>
      </c>
      <c r="BA405" t="b">
        <f>+ISNUMBER(SEARCH(CompConta!$F$26,Tabla11[[#This Row],[Cuenta]],1))</f>
        <v>1</v>
      </c>
      <c r="BB405" t="b">
        <f>+ISNUMBER(SEARCH(CompConta!$F$27,Tabla11[[#This Row],[Cuenta]],1))</f>
        <v>1</v>
      </c>
      <c r="BC405" t="b">
        <f>+ISNUMBER(SEARCH(CompConta!$F$28,Tabla11[[#This Row],[Cuenta]],1))</f>
        <v>1</v>
      </c>
      <c r="BD405" t="b">
        <f>+ISNUMBER(SEARCH(CompConta!$F$29,Tabla11[[#This Row],[Cuenta]],1))</f>
        <v>1</v>
      </c>
      <c r="BE405" t="b">
        <f>+ISNUMBER(SEARCH(CompConta!$F$30,Tabla11[[#This Row],[Cuenta]],1))</f>
        <v>1</v>
      </c>
      <c r="BF405" t="b">
        <f>+ISNUMBER(SEARCH('PAGO Compras'!$E$11,Tabla11[[#This Row],[Cuenta]],1))</f>
        <v>1</v>
      </c>
      <c r="BG405" t="b">
        <f>+ISNUMBER(SEARCH(#REF!,Tabla11[[#This Row],[Cuenta]],1))</f>
        <v>0</v>
      </c>
      <c r="BH405" t="b">
        <f>+ISNUMBER(SEARCH(#REF!,Tabla11[[#This Row],[Cuenta]],1))</f>
        <v>0</v>
      </c>
      <c r="BI405" t="b">
        <f>+ISNUMBER(SEARCH(#REF!,Tabla11[[#This Row],[Cuenta]],1))</f>
        <v>0</v>
      </c>
      <c r="BJ405" t="b">
        <f>+ISNUMBER(SEARCH(#REF!,Tabla11[[#This Row],[Cuenta]],1))</f>
        <v>0</v>
      </c>
      <c r="BS405" t="str">
        <v>2215 CUENTAS CORRIENTES COMERCIALES</v>
      </c>
      <c r="BT405" t="str">
        <v>2215 CUENTAS CORRIENTES COMERCIALES</v>
      </c>
      <c r="BU405" t="str">
        <v>2215 CUENTAS CORRIENTES COMERCIALES</v>
      </c>
      <c r="BV405" t="str">
        <v>2215 CUENTAS CORRIENTES COMERCIALES</v>
      </c>
      <c r="BZ405" t="str">
        <v>2215 CUENTAS CORRIENTES COMERCIALES</v>
      </c>
      <c r="CA405" t="str">
        <v>2215 CUENTAS CORRIENTES COMERCIALES</v>
      </c>
      <c r="CB405" t="str">
        <v>2215 CUENTAS CORRIENTES COMERCIALES</v>
      </c>
      <c r="CC405" t="str">
        <v>2215 CUENTAS CORRIENTES COMERCIALES</v>
      </c>
      <c r="CD405" t="str">
        <v>2215 CUENTAS CORRIENTES COMERCIALES</v>
      </c>
      <c r="CE405" t="str">
        <v>2215 CUENTAS CORRIENTES COMERCIALES</v>
      </c>
      <c r="CS405" s="141" t="str">
        <v>2215 CUENTAS CORRIENTES COMERCIALES</v>
      </c>
      <c r="CT405" s="141" t="str">
        <v>2215 CUENTAS CORRIENTES COMERCIALES</v>
      </c>
      <c r="CU405" s="141" t="str">
        <v>2215 CUENTAS CORRIENTES COMERCIALES</v>
      </c>
      <c r="CV405" s="141" t="str">
        <v>2215 CUENTAS CORRIENTES COMERCIALES</v>
      </c>
      <c r="CW405" s="141" t="str">
        <v>2215 CUENTAS CORRIENTES COMERCIALES</v>
      </c>
      <c r="CX405" s="141" t="str">
        <v>2215 CUENTAS CORRIENTES COMERCIALES</v>
      </c>
      <c r="CY405" s="141" t="str">
        <v>2215 CUENTAS CORRIENTES COMERCIALES</v>
      </c>
      <c r="CZ405" s="141" t="str">
        <v>2215 CUENTAS CORRIENTES COMERCIALES</v>
      </c>
      <c r="DA405" s="141" t="str">
        <v>2215 CUENTAS CORRIENTES COMERCIALES</v>
      </c>
      <c r="DF405" t="str">
        <v>2215 CUENTAS CORRIENTES COMERCIALES</v>
      </c>
      <c r="DG405" t="str">
        <v>2215 CUENTAS CORRIENTES COMERCIALES</v>
      </c>
      <c r="DH405" t="str">
        <v>2215 CUENTAS CORRIENTES COMERCIALES</v>
      </c>
      <c r="DI405" t="str">
        <v>2215 CUENTAS CORRIENTES COMERCIALES</v>
      </c>
      <c r="DJ405" t="str">
        <v>2215 CUENTAS CORRIENTES COMERCIALES</v>
      </c>
      <c r="DK405" t="str">
        <v>2215 CUENTAS CORRIENTES COMERCIALES</v>
      </c>
      <c r="DL405" t="str">
        <v>2215 CUENTAS CORRIENTES COMERCIALES</v>
      </c>
      <c r="DM405" t="str">
        <v>2215 CUENTAS CORRIENTES COMERCIALES</v>
      </c>
      <c r="DN405" t="str">
        <v>2215 CUENTAS CORRIENTES COMERCIALES</v>
      </c>
      <c r="DO405" t="str">
        <v>2215 CUENTAS CORRIENTES COMERCIALES</v>
      </c>
      <c r="DP405" t="str">
        <v>2215 CUENTAS CORRIENTES COMERCIALES</v>
      </c>
    </row>
    <row r="406" spans="4:120" ht="12.75">
      <c r="D406" s="7">
        <v>23</v>
      </c>
      <c r="E406" s="6" t="s">
        <v>312</v>
      </c>
      <c r="F406" s="5">
        <v>2</v>
      </c>
      <c r="G406" s="34"/>
      <c r="H406" s="26" t="s">
        <v>765</v>
      </c>
      <c r="I406" t="b">
        <f>+ISNUMBER(SEARCH('F-COMPRA'!$F$28,Tabla11[[#This Row],[Cuenta]],1))</f>
        <v>1</v>
      </c>
      <c r="J406" t="b">
        <f>+ISNUMBER(SEARCH('F-COMPRA'!$F$29,Tabla11[[#This Row],[Cuenta]],1))</f>
        <v>1</v>
      </c>
      <c r="K406" t="b">
        <f>+ISNUMBER(SEARCH('F-COMPRA'!$F$30,Tabla11[[#This Row],[Cuenta]],1))</f>
        <v>1</v>
      </c>
      <c r="L406" t="b">
        <f>+ISNUMBER(SEARCH('F-COMPRA'!$F$31,Tabla11[[#This Row],[Cuenta]],1))</f>
        <v>1</v>
      </c>
      <c r="M406" t="b">
        <f>+ISNUMBER(SEARCH('F-COMPRA'!$G$25,Tabla11[[#This Row],[Cuenta]],1))</f>
        <v>0</v>
      </c>
      <c r="N406" t="b">
        <f>+ISNUMBER(SEARCH(#REF!,Tabla11[[#This Row],[Cuenta]],1))</f>
        <v>0</v>
      </c>
      <c r="O406" t="b">
        <f>+ISNUMBER(SEARCH(#REF!,Tabla11[[#This Row],[Cuenta]],1))</f>
        <v>0</v>
      </c>
      <c r="P406" t="b">
        <f>+ISNUMBER(SEARCH('F-COMPRA'!$F$32,Tabla11[[#This Row],[Cuenta]],1))</f>
        <v>1</v>
      </c>
      <c r="Q406" t="b">
        <f>+ISNUMBER(SEARCH('F-COMPRA'!$F$33,Tabla11[[#This Row],[Cuenta]],1))</f>
        <v>1</v>
      </c>
      <c r="R406" t="b">
        <f>+ISNUMBER(SEARCH('F-COMPRA'!$F$34,Tabla11[[#This Row],[Cuenta]],1))</f>
        <v>1</v>
      </c>
      <c r="S406" t="b">
        <f>+ISNUMBER(SEARCH('F-COMPRA'!$F$35,Tabla11[[#This Row],[Cuenta]],1))</f>
        <v>1</v>
      </c>
      <c r="T406" t="b">
        <f>+ISNUMBER(SEARCH('F-COMPRA'!$F$36,Tabla11[[#This Row],[Cuenta]],1))</f>
        <v>1</v>
      </c>
      <c r="U406" t="b">
        <f>+ISNUMBER(SEARCH('F-COMPRA'!$F$37,Tabla11[[#This Row],[Cuenta]],1))</f>
        <v>1</v>
      </c>
      <c r="V406" t="b">
        <f>+ISNUMBER(SEARCH(#REF!,Tabla11[[#This Row],[Cuenta]],1))</f>
        <v>0</v>
      </c>
      <c r="W406" t="b">
        <f>+ISNUMBER(SEARCH('F-COMPRA'!#REF!,Tabla11[[#This Row],[Cuenta]],1))</f>
        <v>0</v>
      </c>
      <c r="X406" t="b">
        <f>+ISNUMBER(SEARCH('F-COMPRA'!#REF!,Tabla11[[#This Row],[Cuenta]],1))</f>
        <v>0</v>
      </c>
      <c r="Y406" t="b">
        <f>+ISNUMBER(SEARCH('F-COMPRA'!#REF!,Tabla11[[#This Row],[Cuenta]],1))</f>
        <v>0</v>
      </c>
      <c r="Z406" t="b">
        <f>+ISNUMBER(SEARCH('F-COMPRA'!#REF!,Tabla11[[#This Row],[Cuenta]],1))</f>
        <v>0</v>
      </c>
      <c r="AA406" t="b">
        <f>+ISNUMBER(SEARCH('F-COMPRA'!#REF!,Tabla11[[#This Row],[Cuenta]],1))</f>
        <v>0</v>
      </c>
      <c r="AB406" t="b">
        <f>+ISNUMBER(SEARCH('F-COMPRA'!#REF!,Tabla11[[#This Row],[Cuenta]],1))</f>
        <v>0</v>
      </c>
      <c r="AC406" t="b">
        <f>+ISNUMBER(SEARCH('F-COMPRA'!#REF!,Tabla11[[#This Row],[Cuenta]],1))</f>
        <v>0</v>
      </c>
      <c r="AD406" t="b">
        <f>+ISNUMBER(SEARCH('F-COMPRA'!#REF!,Tabla11[[#This Row],[Cuenta]],1))</f>
        <v>0</v>
      </c>
      <c r="AE406" t="b">
        <f>+ISNUMBER(SEARCH('F-COMPRA'!#REF!,Tabla11[[#This Row],[Cuenta]],1))</f>
        <v>0</v>
      </c>
      <c r="AF406" t="b">
        <f>+ISNUMBER(SEARCH('F-VTA'!$G$23,Tabla11[[#This Row],[Cuenta]],1))</f>
        <v>0</v>
      </c>
      <c r="AG406" t="b">
        <f>+ISNUMBER(SEARCH('F-VTA'!$G$24,Tabla11[[#This Row],[Cuenta]],1))</f>
        <v>0</v>
      </c>
      <c r="AH406" t="b">
        <f>+ISNUMBER(SEARCH('F-VTA'!$G$25,Tabla11[[#This Row],[Cuenta]],1))</f>
        <v>0</v>
      </c>
      <c r="AI406" t="b">
        <f>+ISNUMBER(SEARCH('F-VTA'!$F$28,Tabla11[[#This Row],[Cuenta]],1))</f>
        <v>1</v>
      </c>
      <c r="AJ406" t="b">
        <f>+ISNUMBER(SEARCH('F-VTA'!$F$29,Tabla11[[#This Row],[Cuenta]],1))</f>
        <v>1</v>
      </c>
      <c r="AK406" t="b">
        <f>+ISNUMBER(SEARCH('F-VTA'!$F$30,Tabla11[[#This Row],[Cuenta]],1))</f>
        <v>1</v>
      </c>
      <c r="AL406" t="b">
        <f>+ISNUMBER(SEARCH('F-VTA'!$F$31,Tabla11[[#This Row],[Cuenta]],1))</f>
        <v>1</v>
      </c>
      <c r="AM406" t="b">
        <f>+ISNUMBER(SEARCH('F-VTA'!$F$32,Tabla11[[#This Row],[Cuenta]],1))</f>
        <v>1</v>
      </c>
      <c r="AN406" t="b">
        <f>+ISNUMBER(SEARCH('F-VTA'!$F$33,Tabla11[[#This Row],[Cuenta]],1))</f>
        <v>1</v>
      </c>
      <c r="AO406" t="b">
        <f>+ISNUMBER(SEARCH('F-VTA'!$F$34,Tabla11[[#This Row],[Cuenta]],1))</f>
        <v>1</v>
      </c>
      <c r="AP406" t="b">
        <f>+ISNUMBER(SEARCH('F-VTA'!$F$35,Tabla11[[#This Row],[Cuenta]],1))</f>
        <v>1</v>
      </c>
      <c r="AQ406" t="b">
        <f>+ISNUMBER(SEARCH('F-VTA'!$F$36,Tabla11[[#This Row],[Cuenta]],1))</f>
        <v>1</v>
      </c>
      <c r="AR406" t="b">
        <f>+ISNUMBER(SEARCH(#REF!,Tabla11[[#This Row],[Cuenta]],1))</f>
        <v>0</v>
      </c>
      <c r="AS406" t="b">
        <f>+ISNUMBER(SEARCH(#REF!,Tabla11[[#This Row],[Cuenta]],1))</f>
        <v>0</v>
      </c>
      <c r="AT406" t="b">
        <f>+ISNUMBER(SEARCH(#REF!,Tabla11[[#This Row],[Cuenta]],1))</f>
        <v>0</v>
      </c>
      <c r="AU406" t="b">
        <f>+ISNUMBER(SEARCH('Conc. Ban.1'!$I$9,Tabla11[[#This Row],[Cuenta]],1))</f>
        <v>0</v>
      </c>
      <c r="AV406" t="b">
        <f>+ISNUMBER(SEARCH(CompConta!$F$21,Tabla11[[#This Row],[Cuenta]],1))</f>
        <v>1</v>
      </c>
      <c r="AW406" t="b">
        <f>+ISNUMBER(SEARCH(CompConta!$F$22,Tabla11[[#This Row],[Cuenta]],1))</f>
        <v>1</v>
      </c>
      <c r="AX406" t="b">
        <f>+ISNUMBER(SEARCH(CompConta!$F$23,Tabla11[[#This Row],[Cuenta]],1))</f>
        <v>1</v>
      </c>
      <c r="AY406" t="b">
        <f>+ISNUMBER(SEARCH(CompConta!$F$24,Tabla11[[#This Row],[Cuenta]],1))</f>
        <v>1</v>
      </c>
      <c r="AZ406" t="b">
        <f>+ISNUMBER(SEARCH(CompConta!$F$25,Tabla11[[#This Row],[Cuenta]],1))</f>
        <v>1</v>
      </c>
      <c r="BA406" t="b">
        <f>+ISNUMBER(SEARCH(CompConta!$F$26,Tabla11[[#This Row],[Cuenta]],1))</f>
        <v>1</v>
      </c>
      <c r="BB406" t="b">
        <f>+ISNUMBER(SEARCH(CompConta!$F$27,Tabla11[[#This Row],[Cuenta]],1))</f>
        <v>1</v>
      </c>
      <c r="BC406" t="b">
        <f>+ISNUMBER(SEARCH(CompConta!$F$28,Tabla11[[#This Row],[Cuenta]],1))</f>
        <v>1</v>
      </c>
      <c r="BD406" t="b">
        <f>+ISNUMBER(SEARCH(CompConta!$F$29,Tabla11[[#This Row],[Cuenta]],1))</f>
        <v>1</v>
      </c>
      <c r="BE406" t="b">
        <f>+ISNUMBER(SEARCH(CompConta!$F$30,Tabla11[[#This Row],[Cuenta]],1))</f>
        <v>1</v>
      </c>
      <c r="BF406" t="b">
        <f>+ISNUMBER(SEARCH('PAGO Compras'!$E$11,Tabla11[[#This Row],[Cuenta]],1))</f>
        <v>1</v>
      </c>
      <c r="BG406" t="b">
        <f>+ISNUMBER(SEARCH(#REF!,Tabla11[[#This Row],[Cuenta]],1))</f>
        <v>0</v>
      </c>
      <c r="BH406" t="b">
        <f>+ISNUMBER(SEARCH(#REF!,Tabla11[[#This Row],[Cuenta]],1))</f>
        <v>0</v>
      </c>
      <c r="BI406" t="b">
        <f>+ISNUMBER(SEARCH(#REF!,Tabla11[[#This Row],[Cuenta]],1))</f>
        <v>0</v>
      </c>
      <c r="BJ406" t="b">
        <f>+ISNUMBER(SEARCH(#REF!,Tabla11[[#This Row],[Cuenta]],1))</f>
        <v>0</v>
      </c>
      <c r="BS406" t="str">
        <v>23 CUENTAS POR PAGAR</v>
      </c>
      <c r="BT406" t="str">
        <v>23 CUENTAS POR PAGAR</v>
      </c>
      <c r="BU406" t="str">
        <v>23 CUENTAS POR PAGAR</v>
      </c>
      <c r="BV406" t="str">
        <v>23 CUENTAS POR PAGAR</v>
      </c>
      <c r="BZ406" t="str">
        <v>23 CUENTAS POR PAGAR</v>
      </c>
      <c r="CA406" t="str">
        <v>23 CUENTAS POR PAGAR</v>
      </c>
      <c r="CB406" t="str">
        <v>23 CUENTAS POR PAGAR</v>
      </c>
      <c r="CC406" t="str">
        <v>23 CUENTAS POR PAGAR</v>
      </c>
      <c r="CD406" t="str">
        <v>23 CUENTAS POR PAGAR</v>
      </c>
      <c r="CE406" t="str">
        <v>23 CUENTAS POR PAGAR</v>
      </c>
      <c r="CS406" s="141" t="str">
        <v>23 CUENTAS POR PAGAR</v>
      </c>
      <c r="CT406" s="141" t="str">
        <v>23 CUENTAS POR PAGAR</v>
      </c>
      <c r="CU406" s="141" t="str">
        <v>23 CUENTAS POR PAGAR</v>
      </c>
      <c r="CV406" s="141" t="str">
        <v>23 CUENTAS POR PAGAR</v>
      </c>
      <c r="CW406" s="141" t="str">
        <v>23 CUENTAS POR PAGAR</v>
      </c>
      <c r="CX406" s="141" t="str">
        <v>23 CUENTAS POR PAGAR</v>
      </c>
      <c r="CY406" s="141" t="str">
        <v>23 CUENTAS POR PAGAR</v>
      </c>
      <c r="CZ406" s="141" t="str">
        <v>23 CUENTAS POR PAGAR</v>
      </c>
      <c r="DA406" s="141" t="str">
        <v>23 CUENTAS POR PAGAR</v>
      </c>
      <c r="DF406" t="str">
        <v>23 CUENTAS POR PAGAR</v>
      </c>
      <c r="DG406" t="str">
        <v>23 CUENTAS POR PAGAR</v>
      </c>
      <c r="DH406" t="str">
        <v>23 CUENTAS POR PAGAR</v>
      </c>
      <c r="DI406" t="str">
        <v>23 CUENTAS POR PAGAR</v>
      </c>
      <c r="DJ406" t="str">
        <v>23 CUENTAS POR PAGAR</v>
      </c>
      <c r="DK406" t="str">
        <v>23 CUENTAS POR PAGAR</v>
      </c>
      <c r="DL406" t="str">
        <v>23 CUENTAS POR PAGAR</v>
      </c>
      <c r="DM406" t="str">
        <v>23 CUENTAS POR PAGAR</v>
      </c>
      <c r="DN406" t="str">
        <v>23 CUENTAS POR PAGAR</v>
      </c>
      <c r="DO406" t="str">
        <v>23 CUENTAS POR PAGAR</v>
      </c>
      <c r="DP406" t="str">
        <v>23 CUENTAS POR PAGAR</v>
      </c>
    </row>
    <row r="407" spans="4:120" ht="12.75">
      <c r="D407" s="7">
        <v>2305</v>
      </c>
      <c r="E407" s="6" t="s">
        <v>62</v>
      </c>
      <c r="F407" s="5">
        <v>3</v>
      </c>
      <c r="G407" s="34" t="s">
        <v>823</v>
      </c>
      <c r="H407" s="26" t="s">
        <v>765</v>
      </c>
      <c r="I407" t="b">
        <f>+ISNUMBER(SEARCH('F-COMPRA'!$F$28,Tabla11[[#This Row],[Cuenta]],1))</f>
        <v>1</v>
      </c>
      <c r="J407" t="b">
        <f>+ISNUMBER(SEARCH('F-COMPRA'!$F$29,Tabla11[[#This Row],[Cuenta]],1))</f>
        <v>1</v>
      </c>
      <c r="K407" t="b">
        <f>+ISNUMBER(SEARCH('F-COMPRA'!$F$30,Tabla11[[#This Row],[Cuenta]],1))</f>
        <v>1</v>
      </c>
      <c r="L407" t="b">
        <f>+ISNUMBER(SEARCH('F-COMPRA'!$F$31,Tabla11[[#This Row],[Cuenta]],1))</f>
        <v>1</v>
      </c>
      <c r="M407" t="b">
        <f>+ISNUMBER(SEARCH('F-COMPRA'!$G$25,Tabla11[[#This Row],[Cuenta]],1))</f>
        <v>0</v>
      </c>
      <c r="N407" t="b">
        <f>+ISNUMBER(SEARCH(#REF!,Tabla11[[#This Row],[Cuenta]],1))</f>
        <v>0</v>
      </c>
      <c r="O407" t="b">
        <f>+ISNUMBER(SEARCH(#REF!,Tabla11[[#This Row],[Cuenta]],1))</f>
        <v>0</v>
      </c>
      <c r="P407" t="b">
        <f>+ISNUMBER(SEARCH('F-COMPRA'!$F$32,Tabla11[[#This Row],[Cuenta]],1))</f>
        <v>1</v>
      </c>
      <c r="Q407" t="b">
        <f>+ISNUMBER(SEARCH('F-COMPRA'!$F$33,Tabla11[[#This Row],[Cuenta]],1))</f>
        <v>1</v>
      </c>
      <c r="R407" t="b">
        <f>+ISNUMBER(SEARCH('F-COMPRA'!$F$34,Tabla11[[#This Row],[Cuenta]],1))</f>
        <v>1</v>
      </c>
      <c r="S407" t="b">
        <f>+ISNUMBER(SEARCH('F-COMPRA'!$F$35,Tabla11[[#This Row],[Cuenta]],1))</f>
        <v>1</v>
      </c>
      <c r="T407" t="b">
        <f>+ISNUMBER(SEARCH('F-COMPRA'!$F$36,Tabla11[[#This Row],[Cuenta]],1))</f>
        <v>1</v>
      </c>
      <c r="U407" t="b">
        <f>+ISNUMBER(SEARCH('F-COMPRA'!$F$37,Tabla11[[#This Row],[Cuenta]],1))</f>
        <v>1</v>
      </c>
      <c r="V407" t="b">
        <f>+ISNUMBER(SEARCH(#REF!,Tabla11[[#This Row],[Cuenta]],1))</f>
        <v>0</v>
      </c>
      <c r="W407" t="b">
        <f>+ISNUMBER(SEARCH('F-COMPRA'!#REF!,Tabla11[[#This Row],[Cuenta]],1))</f>
        <v>0</v>
      </c>
      <c r="X407" t="b">
        <f>+ISNUMBER(SEARCH('F-COMPRA'!#REF!,Tabla11[[#This Row],[Cuenta]],1))</f>
        <v>0</v>
      </c>
      <c r="Y407" t="b">
        <f>+ISNUMBER(SEARCH('F-COMPRA'!#REF!,Tabla11[[#This Row],[Cuenta]],1))</f>
        <v>0</v>
      </c>
      <c r="Z407" t="b">
        <f>+ISNUMBER(SEARCH('F-COMPRA'!#REF!,Tabla11[[#This Row],[Cuenta]],1))</f>
        <v>0</v>
      </c>
      <c r="AA407" t="b">
        <f>+ISNUMBER(SEARCH('F-COMPRA'!#REF!,Tabla11[[#This Row],[Cuenta]],1))</f>
        <v>0</v>
      </c>
      <c r="AB407" t="b">
        <f>+ISNUMBER(SEARCH('F-COMPRA'!#REF!,Tabla11[[#This Row],[Cuenta]],1))</f>
        <v>0</v>
      </c>
      <c r="AC407" t="b">
        <f>+ISNUMBER(SEARCH('F-COMPRA'!#REF!,Tabla11[[#This Row],[Cuenta]],1))</f>
        <v>0</v>
      </c>
      <c r="AD407" t="b">
        <f>+ISNUMBER(SEARCH('F-COMPRA'!#REF!,Tabla11[[#This Row],[Cuenta]],1))</f>
        <v>0</v>
      </c>
      <c r="AE407" t="b">
        <f>+ISNUMBER(SEARCH('F-COMPRA'!#REF!,Tabla11[[#This Row],[Cuenta]],1))</f>
        <v>0</v>
      </c>
      <c r="AF407" t="b">
        <f>+ISNUMBER(SEARCH('F-VTA'!$G$23,Tabla11[[#This Row],[Cuenta]],1))</f>
        <v>0</v>
      </c>
      <c r="AG407" t="b">
        <f>+ISNUMBER(SEARCH('F-VTA'!$G$24,Tabla11[[#This Row],[Cuenta]],1))</f>
        <v>0</v>
      </c>
      <c r="AH407" t="b">
        <f>+ISNUMBER(SEARCH('F-VTA'!$G$25,Tabla11[[#This Row],[Cuenta]],1))</f>
        <v>0</v>
      </c>
      <c r="AI407" t="b">
        <f>+ISNUMBER(SEARCH('F-VTA'!$F$28,Tabla11[[#This Row],[Cuenta]],1))</f>
        <v>1</v>
      </c>
      <c r="AJ407" t="b">
        <f>+ISNUMBER(SEARCH('F-VTA'!$F$29,Tabla11[[#This Row],[Cuenta]],1))</f>
        <v>1</v>
      </c>
      <c r="AK407" t="b">
        <f>+ISNUMBER(SEARCH('F-VTA'!$F$30,Tabla11[[#This Row],[Cuenta]],1))</f>
        <v>1</v>
      </c>
      <c r="AL407" t="b">
        <f>+ISNUMBER(SEARCH('F-VTA'!$F$31,Tabla11[[#This Row],[Cuenta]],1))</f>
        <v>1</v>
      </c>
      <c r="AM407" t="b">
        <f>+ISNUMBER(SEARCH('F-VTA'!$F$32,Tabla11[[#This Row],[Cuenta]],1))</f>
        <v>1</v>
      </c>
      <c r="AN407" t="b">
        <f>+ISNUMBER(SEARCH('F-VTA'!$F$33,Tabla11[[#This Row],[Cuenta]],1))</f>
        <v>1</v>
      </c>
      <c r="AO407" t="b">
        <f>+ISNUMBER(SEARCH('F-VTA'!$F$34,Tabla11[[#This Row],[Cuenta]],1))</f>
        <v>1</v>
      </c>
      <c r="AP407" t="b">
        <f>+ISNUMBER(SEARCH('F-VTA'!$F$35,Tabla11[[#This Row],[Cuenta]],1))</f>
        <v>1</v>
      </c>
      <c r="AQ407" t="b">
        <f>+ISNUMBER(SEARCH('F-VTA'!$F$36,Tabla11[[#This Row],[Cuenta]],1))</f>
        <v>1</v>
      </c>
      <c r="AR407" t="b">
        <f>+ISNUMBER(SEARCH(#REF!,Tabla11[[#This Row],[Cuenta]],1))</f>
        <v>0</v>
      </c>
      <c r="AS407" t="b">
        <f>+ISNUMBER(SEARCH(#REF!,Tabla11[[#This Row],[Cuenta]],1))</f>
        <v>0</v>
      </c>
      <c r="AT407" t="b">
        <f>+ISNUMBER(SEARCH(#REF!,Tabla11[[#This Row],[Cuenta]],1))</f>
        <v>0</v>
      </c>
      <c r="AU407" t="b">
        <f>+ISNUMBER(SEARCH('Conc. Ban.1'!$I$9,Tabla11[[#This Row],[Cuenta]],1))</f>
        <v>0</v>
      </c>
      <c r="AV407" t="b">
        <f>+ISNUMBER(SEARCH(CompConta!$F$21,Tabla11[[#This Row],[Cuenta]],1))</f>
        <v>1</v>
      </c>
      <c r="AW407" t="b">
        <f>+ISNUMBER(SEARCH(CompConta!$F$22,Tabla11[[#This Row],[Cuenta]],1))</f>
        <v>1</v>
      </c>
      <c r="AX407" t="b">
        <f>+ISNUMBER(SEARCH(CompConta!$F$23,Tabla11[[#This Row],[Cuenta]],1))</f>
        <v>1</v>
      </c>
      <c r="AY407" t="b">
        <f>+ISNUMBER(SEARCH(CompConta!$F$24,Tabla11[[#This Row],[Cuenta]],1))</f>
        <v>1</v>
      </c>
      <c r="AZ407" t="b">
        <f>+ISNUMBER(SEARCH(CompConta!$F$25,Tabla11[[#This Row],[Cuenta]],1))</f>
        <v>1</v>
      </c>
      <c r="BA407" t="b">
        <f>+ISNUMBER(SEARCH(CompConta!$F$26,Tabla11[[#This Row],[Cuenta]],1))</f>
        <v>1</v>
      </c>
      <c r="BB407" t="b">
        <f>+ISNUMBER(SEARCH(CompConta!$F$27,Tabla11[[#This Row],[Cuenta]],1))</f>
        <v>1</v>
      </c>
      <c r="BC407" t="b">
        <f>+ISNUMBER(SEARCH(CompConta!$F$28,Tabla11[[#This Row],[Cuenta]],1))</f>
        <v>1</v>
      </c>
      <c r="BD407" t="b">
        <f>+ISNUMBER(SEARCH(CompConta!$F$29,Tabla11[[#This Row],[Cuenta]],1))</f>
        <v>1</v>
      </c>
      <c r="BE407" t="b">
        <f>+ISNUMBER(SEARCH(CompConta!$F$30,Tabla11[[#This Row],[Cuenta]],1))</f>
        <v>1</v>
      </c>
      <c r="BF407" t="b">
        <f>+ISNUMBER(SEARCH('PAGO Compras'!$E$11,Tabla11[[#This Row],[Cuenta]],1))</f>
        <v>1</v>
      </c>
      <c r="BG407" t="b">
        <f>+ISNUMBER(SEARCH(#REF!,Tabla11[[#This Row],[Cuenta]],1))</f>
        <v>0</v>
      </c>
      <c r="BH407" t="b">
        <f>+ISNUMBER(SEARCH(#REF!,Tabla11[[#This Row],[Cuenta]],1))</f>
        <v>0</v>
      </c>
      <c r="BI407" t="b">
        <f>+ISNUMBER(SEARCH(#REF!,Tabla11[[#This Row],[Cuenta]],1))</f>
        <v>0</v>
      </c>
      <c r="BJ407" t="b">
        <f>+ISNUMBER(SEARCH(#REF!,Tabla11[[#This Row],[Cuenta]],1))</f>
        <v>0</v>
      </c>
      <c r="BS407" t="str">
        <v>2305 CUENTAS CORRIENTES COMERCIALES</v>
      </c>
      <c r="BT407" t="str">
        <v>2305 CUENTAS CORRIENTES COMERCIALES</v>
      </c>
      <c r="BU407" t="str">
        <v>2305 CUENTAS CORRIENTES COMERCIALES</v>
      </c>
      <c r="BV407" t="str">
        <v>2305 CUENTAS CORRIENTES COMERCIALES</v>
      </c>
      <c r="BZ407" t="str">
        <v>2305 CUENTAS CORRIENTES COMERCIALES</v>
      </c>
      <c r="CA407" t="str">
        <v>2305 CUENTAS CORRIENTES COMERCIALES</v>
      </c>
      <c r="CB407" t="str">
        <v>2305 CUENTAS CORRIENTES COMERCIALES</v>
      </c>
      <c r="CC407" t="str">
        <v>2305 CUENTAS CORRIENTES COMERCIALES</v>
      </c>
      <c r="CD407" t="str">
        <v>2305 CUENTAS CORRIENTES COMERCIALES</v>
      </c>
      <c r="CE407" t="str">
        <v>2305 CUENTAS CORRIENTES COMERCIALES</v>
      </c>
      <c r="CS407" s="141" t="str">
        <v>2305 CUENTAS CORRIENTES COMERCIALES</v>
      </c>
      <c r="CT407" s="141" t="str">
        <v>2305 CUENTAS CORRIENTES COMERCIALES</v>
      </c>
      <c r="CU407" s="141" t="str">
        <v>2305 CUENTAS CORRIENTES COMERCIALES</v>
      </c>
      <c r="CV407" s="141" t="str">
        <v>2305 CUENTAS CORRIENTES COMERCIALES</v>
      </c>
      <c r="CW407" s="141" t="str">
        <v>2305 CUENTAS CORRIENTES COMERCIALES</v>
      </c>
      <c r="CX407" s="141" t="str">
        <v>2305 CUENTAS CORRIENTES COMERCIALES</v>
      </c>
      <c r="CY407" s="141" t="str">
        <v>2305 CUENTAS CORRIENTES COMERCIALES</v>
      </c>
      <c r="CZ407" s="141" t="str">
        <v>2305 CUENTAS CORRIENTES COMERCIALES</v>
      </c>
      <c r="DA407" s="141" t="str">
        <v>2305 CUENTAS CORRIENTES COMERCIALES</v>
      </c>
      <c r="DF407" t="str">
        <v>2305 CUENTAS CORRIENTES COMERCIALES</v>
      </c>
      <c r="DG407" t="str">
        <v>2305 CUENTAS CORRIENTES COMERCIALES</v>
      </c>
      <c r="DH407" t="str">
        <v>2305 CUENTAS CORRIENTES COMERCIALES</v>
      </c>
      <c r="DI407" t="str">
        <v>2305 CUENTAS CORRIENTES COMERCIALES</v>
      </c>
      <c r="DJ407" t="str">
        <v>2305 CUENTAS CORRIENTES COMERCIALES</v>
      </c>
      <c r="DK407" t="str">
        <v>2305 CUENTAS CORRIENTES COMERCIALES</v>
      </c>
      <c r="DL407" t="str">
        <v>2305 CUENTAS CORRIENTES COMERCIALES</v>
      </c>
      <c r="DM407" t="str">
        <v>2305 CUENTAS CORRIENTES COMERCIALES</v>
      </c>
      <c r="DN407" t="str">
        <v>2305 CUENTAS CORRIENTES COMERCIALES</v>
      </c>
      <c r="DO407" t="str">
        <v>2305 CUENTAS CORRIENTES COMERCIALES</v>
      </c>
      <c r="DP407" t="str">
        <v>2305 CUENTAS CORRIENTES COMERCIALES</v>
      </c>
    </row>
    <row r="408" spans="4:120" ht="12.75">
      <c r="D408" s="7">
        <v>2335</v>
      </c>
      <c r="E408" s="6" t="s">
        <v>313</v>
      </c>
      <c r="F408" s="5">
        <v>3</v>
      </c>
      <c r="G408" s="34" t="s">
        <v>823</v>
      </c>
      <c r="H408" s="26" t="s">
        <v>765</v>
      </c>
      <c r="I408" t="b">
        <f>+ISNUMBER(SEARCH('F-COMPRA'!$F$28,Tabla11[[#This Row],[Cuenta]],1))</f>
        <v>1</v>
      </c>
      <c r="J408" t="b">
        <f>+ISNUMBER(SEARCH('F-COMPRA'!$F$29,Tabla11[[#This Row],[Cuenta]],1))</f>
        <v>1</v>
      </c>
      <c r="K408" t="b">
        <f>+ISNUMBER(SEARCH('F-COMPRA'!$F$30,Tabla11[[#This Row],[Cuenta]],1))</f>
        <v>1</v>
      </c>
      <c r="L408" t="b">
        <f>+ISNUMBER(SEARCH('F-COMPRA'!$F$31,Tabla11[[#This Row],[Cuenta]],1))</f>
        <v>1</v>
      </c>
      <c r="M408" t="b">
        <f>+ISNUMBER(SEARCH('F-COMPRA'!$G$25,Tabla11[[#This Row],[Cuenta]],1))</f>
        <v>0</v>
      </c>
      <c r="N408" t="b">
        <f>+ISNUMBER(SEARCH(#REF!,Tabla11[[#This Row],[Cuenta]],1))</f>
        <v>0</v>
      </c>
      <c r="O408" t="b">
        <f>+ISNUMBER(SEARCH(#REF!,Tabla11[[#This Row],[Cuenta]],1))</f>
        <v>0</v>
      </c>
      <c r="P408" t="b">
        <f>+ISNUMBER(SEARCH('F-COMPRA'!$F$32,Tabla11[[#This Row],[Cuenta]],1))</f>
        <v>1</v>
      </c>
      <c r="Q408" t="b">
        <f>+ISNUMBER(SEARCH('F-COMPRA'!$F$33,Tabla11[[#This Row],[Cuenta]],1))</f>
        <v>1</v>
      </c>
      <c r="R408" t="b">
        <f>+ISNUMBER(SEARCH('F-COMPRA'!$F$34,Tabla11[[#This Row],[Cuenta]],1))</f>
        <v>1</v>
      </c>
      <c r="S408" t="b">
        <f>+ISNUMBER(SEARCH('F-COMPRA'!$F$35,Tabla11[[#This Row],[Cuenta]],1))</f>
        <v>1</v>
      </c>
      <c r="T408" t="b">
        <f>+ISNUMBER(SEARCH('F-COMPRA'!$F$36,Tabla11[[#This Row],[Cuenta]],1))</f>
        <v>1</v>
      </c>
      <c r="U408" t="b">
        <f>+ISNUMBER(SEARCH('F-COMPRA'!$F$37,Tabla11[[#This Row],[Cuenta]],1))</f>
        <v>1</v>
      </c>
      <c r="V408" t="b">
        <f>+ISNUMBER(SEARCH(#REF!,Tabla11[[#This Row],[Cuenta]],1))</f>
        <v>0</v>
      </c>
      <c r="W408" t="b">
        <f>+ISNUMBER(SEARCH('F-COMPRA'!#REF!,Tabla11[[#This Row],[Cuenta]],1))</f>
        <v>0</v>
      </c>
      <c r="X408" t="b">
        <f>+ISNUMBER(SEARCH('F-COMPRA'!#REF!,Tabla11[[#This Row],[Cuenta]],1))</f>
        <v>0</v>
      </c>
      <c r="Y408" t="b">
        <f>+ISNUMBER(SEARCH('F-COMPRA'!#REF!,Tabla11[[#This Row],[Cuenta]],1))</f>
        <v>0</v>
      </c>
      <c r="Z408" t="b">
        <f>+ISNUMBER(SEARCH('F-COMPRA'!#REF!,Tabla11[[#This Row],[Cuenta]],1))</f>
        <v>0</v>
      </c>
      <c r="AA408" t="b">
        <f>+ISNUMBER(SEARCH('F-COMPRA'!#REF!,Tabla11[[#This Row],[Cuenta]],1))</f>
        <v>0</v>
      </c>
      <c r="AB408" t="b">
        <f>+ISNUMBER(SEARCH('F-COMPRA'!#REF!,Tabla11[[#This Row],[Cuenta]],1))</f>
        <v>0</v>
      </c>
      <c r="AC408" t="b">
        <f>+ISNUMBER(SEARCH('F-COMPRA'!#REF!,Tabla11[[#This Row],[Cuenta]],1))</f>
        <v>0</v>
      </c>
      <c r="AD408" t="b">
        <f>+ISNUMBER(SEARCH('F-COMPRA'!#REF!,Tabla11[[#This Row],[Cuenta]],1))</f>
        <v>0</v>
      </c>
      <c r="AE408" t="b">
        <f>+ISNUMBER(SEARCH('F-COMPRA'!#REF!,Tabla11[[#This Row],[Cuenta]],1))</f>
        <v>0</v>
      </c>
      <c r="AF408" t="b">
        <f>+ISNUMBER(SEARCH('F-VTA'!$G$23,Tabla11[[#This Row],[Cuenta]],1))</f>
        <v>0</v>
      </c>
      <c r="AG408" t="b">
        <f>+ISNUMBER(SEARCH('F-VTA'!$G$24,Tabla11[[#This Row],[Cuenta]],1))</f>
        <v>0</v>
      </c>
      <c r="AH408" t="b">
        <f>+ISNUMBER(SEARCH('F-VTA'!$G$25,Tabla11[[#This Row],[Cuenta]],1))</f>
        <v>0</v>
      </c>
      <c r="AI408" t="b">
        <f>+ISNUMBER(SEARCH('F-VTA'!$F$28,Tabla11[[#This Row],[Cuenta]],1))</f>
        <v>1</v>
      </c>
      <c r="AJ408" t="b">
        <f>+ISNUMBER(SEARCH('F-VTA'!$F$29,Tabla11[[#This Row],[Cuenta]],1))</f>
        <v>1</v>
      </c>
      <c r="AK408" t="b">
        <f>+ISNUMBER(SEARCH('F-VTA'!$F$30,Tabla11[[#This Row],[Cuenta]],1))</f>
        <v>1</v>
      </c>
      <c r="AL408" t="b">
        <f>+ISNUMBER(SEARCH('F-VTA'!$F$31,Tabla11[[#This Row],[Cuenta]],1))</f>
        <v>1</v>
      </c>
      <c r="AM408" t="b">
        <f>+ISNUMBER(SEARCH('F-VTA'!$F$32,Tabla11[[#This Row],[Cuenta]],1))</f>
        <v>1</v>
      </c>
      <c r="AN408" t="b">
        <f>+ISNUMBER(SEARCH('F-VTA'!$F$33,Tabla11[[#This Row],[Cuenta]],1))</f>
        <v>1</v>
      </c>
      <c r="AO408" t="b">
        <f>+ISNUMBER(SEARCH('F-VTA'!$F$34,Tabla11[[#This Row],[Cuenta]],1))</f>
        <v>1</v>
      </c>
      <c r="AP408" t="b">
        <f>+ISNUMBER(SEARCH('F-VTA'!$F$35,Tabla11[[#This Row],[Cuenta]],1))</f>
        <v>1</v>
      </c>
      <c r="AQ408" t="b">
        <f>+ISNUMBER(SEARCH('F-VTA'!$F$36,Tabla11[[#This Row],[Cuenta]],1))</f>
        <v>1</v>
      </c>
      <c r="AR408" t="b">
        <f>+ISNUMBER(SEARCH(#REF!,Tabla11[[#This Row],[Cuenta]],1))</f>
        <v>0</v>
      </c>
      <c r="AS408" t="b">
        <f>+ISNUMBER(SEARCH(#REF!,Tabla11[[#This Row],[Cuenta]],1))</f>
        <v>0</v>
      </c>
      <c r="AT408" t="b">
        <f>+ISNUMBER(SEARCH(#REF!,Tabla11[[#This Row],[Cuenta]],1))</f>
        <v>0</v>
      </c>
      <c r="AU408" t="b">
        <f>+ISNUMBER(SEARCH('Conc. Ban.1'!$I$9,Tabla11[[#This Row],[Cuenta]],1))</f>
        <v>0</v>
      </c>
      <c r="AV408" t="b">
        <f>+ISNUMBER(SEARCH(CompConta!$F$21,Tabla11[[#This Row],[Cuenta]],1))</f>
        <v>1</v>
      </c>
      <c r="AW408" t="b">
        <f>+ISNUMBER(SEARCH(CompConta!$F$22,Tabla11[[#This Row],[Cuenta]],1))</f>
        <v>1</v>
      </c>
      <c r="AX408" t="b">
        <f>+ISNUMBER(SEARCH(CompConta!$F$23,Tabla11[[#This Row],[Cuenta]],1))</f>
        <v>1</v>
      </c>
      <c r="AY408" t="b">
        <f>+ISNUMBER(SEARCH(CompConta!$F$24,Tabla11[[#This Row],[Cuenta]],1))</f>
        <v>1</v>
      </c>
      <c r="AZ408" t="b">
        <f>+ISNUMBER(SEARCH(CompConta!$F$25,Tabla11[[#This Row],[Cuenta]],1))</f>
        <v>1</v>
      </c>
      <c r="BA408" t="b">
        <f>+ISNUMBER(SEARCH(CompConta!$F$26,Tabla11[[#This Row],[Cuenta]],1))</f>
        <v>1</v>
      </c>
      <c r="BB408" t="b">
        <f>+ISNUMBER(SEARCH(CompConta!$F$27,Tabla11[[#This Row],[Cuenta]],1))</f>
        <v>1</v>
      </c>
      <c r="BC408" t="b">
        <f>+ISNUMBER(SEARCH(CompConta!$F$28,Tabla11[[#This Row],[Cuenta]],1))</f>
        <v>1</v>
      </c>
      <c r="BD408" t="b">
        <f>+ISNUMBER(SEARCH(CompConta!$F$29,Tabla11[[#This Row],[Cuenta]],1))</f>
        <v>1</v>
      </c>
      <c r="BE408" t="b">
        <f>+ISNUMBER(SEARCH(CompConta!$F$30,Tabla11[[#This Row],[Cuenta]],1))</f>
        <v>1</v>
      </c>
      <c r="BF408" t="b">
        <f>+ISNUMBER(SEARCH('PAGO Compras'!$E$11,Tabla11[[#This Row],[Cuenta]],1))</f>
        <v>1</v>
      </c>
      <c r="BG408" t="b">
        <f>+ISNUMBER(SEARCH(#REF!,Tabla11[[#This Row],[Cuenta]],1))</f>
        <v>0</v>
      </c>
      <c r="BH408" t="b">
        <f>+ISNUMBER(SEARCH(#REF!,Tabla11[[#This Row],[Cuenta]],1))</f>
        <v>0</v>
      </c>
      <c r="BI408" t="b">
        <f>+ISNUMBER(SEARCH(#REF!,Tabla11[[#This Row],[Cuenta]],1))</f>
        <v>0</v>
      </c>
      <c r="BJ408" t="b">
        <f>+ISNUMBER(SEARCH(#REF!,Tabla11[[#This Row],[Cuenta]],1))</f>
        <v>0</v>
      </c>
      <c r="BS408" t="str">
        <v>2335 COSTOS Y GASTOS POR PAGAR</v>
      </c>
      <c r="BT408" t="str">
        <v>2335 COSTOS Y GASTOS POR PAGAR</v>
      </c>
      <c r="BU408" t="str">
        <v>2335 COSTOS Y GASTOS POR PAGAR</v>
      </c>
      <c r="BV408" t="str">
        <v>2335 COSTOS Y GASTOS POR PAGAR</v>
      </c>
      <c r="BZ408" t="str">
        <v>2335 COSTOS Y GASTOS POR PAGAR</v>
      </c>
      <c r="CA408" t="str">
        <v>2335 COSTOS Y GASTOS POR PAGAR</v>
      </c>
      <c r="CB408" t="str">
        <v>2335 COSTOS Y GASTOS POR PAGAR</v>
      </c>
      <c r="CC408" t="str">
        <v>2335 COSTOS Y GASTOS POR PAGAR</v>
      </c>
      <c r="CD408" t="str">
        <v>2335 COSTOS Y GASTOS POR PAGAR</v>
      </c>
      <c r="CE408" t="str">
        <v>2335 COSTOS Y GASTOS POR PAGAR</v>
      </c>
      <c r="CS408" s="141" t="str">
        <v>2335 COSTOS Y GASTOS POR PAGAR</v>
      </c>
      <c r="CT408" s="141" t="str">
        <v>2335 COSTOS Y GASTOS POR PAGAR</v>
      </c>
      <c r="CU408" s="141" t="str">
        <v>2335 COSTOS Y GASTOS POR PAGAR</v>
      </c>
      <c r="CV408" s="141" t="str">
        <v>2335 COSTOS Y GASTOS POR PAGAR</v>
      </c>
      <c r="CW408" s="141" t="str">
        <v>2335 COSTOS Y GASTOS POR PAGAR</v>
      </c>
      <c r="CX408" s="141" t="str">
        <v>2335 COSTOS Y GASTOS POR PAGAR</v>
      </c>
      <c r="CY408" s="141" t="str">
        <v>2335 COSTOS Y GASTOS POR PAGAR</v>
      </c>
      <c r="CZ408" s="141" t="str">
        <v>2335 COSTOS Y GASTOS POR PAGAR</v>
      </c>
      <c r="DA408" s="141" t="str">
        <v>2335 COSTOS Y GASTOS POR PAGAR</v>
      </c>
      <c r="DF408" t="str">
        <v>2335 COSTOS Y GASTOS POR PAGAR</v>
      </c>
      <c r="DG408" t="str">
        <v>2335 COSTOS Y GASTOS POR PAGAR</v>
      </c>
      <c r="DH408" t="str">
        <v>2335 COSTOS Y GASTOS POR PAGAR</v>
      </c>
      <c r="DI408" t="str">
        <v>2335 COSTOS Y GASTOS POR PAGAR</v>
      </c>
      <c r="DJ408" t="str">
        <v>2335 COSTOS Y GASTOS POR PAGAR</v>
      </c>
      <c r="DK408" t="str">
        <v>2335 COSTOS Y GASTOS POR PAGAR</v>
      </c>
      <c r="DL408" t="str">
        <v>2335 COSTOS Y GASTOS POR PAGAR</v>
      </c>
      <c r="DM408" t="str">
        <v>2335 COSTOS Y GASTOS POR PAGAR</v>
      </c>
      <c r="DN408" t="str">
        <v>2335 COSTOS Y GASTOS POR PAGAR</v>
      </c>
      <c r="DO408" t="str">
        <v>2335 COSTOS Y GASTOS POR PAGAR</v>
      </c>
      <c r="DP408" t="str">
        <v>2335 COSTOS Y GASTOS POR PAGAR</v>
      </c>
    </row>
    <row r="409" spans="4:120" ht="12.75">
      <c r="D409" s="7">
        <v>233505</v>
      </c>
      <c r="E409" s="6" t="s">
        <v>314</v>
      </c>
      <c r="F409" s="5">
        <v>4</v>
      </c>
      <c r="G409" s="34" t="s">
        <v>823</v>
      </c>
      <c r="H409" s="26" t="s">
        <v>765</v>
      </c>
      <c r="I409" t="b">
        <f>+ISNUMBER(SEARCH('F-COMPRA'!$F$28,Tabla11[[#This Row],[Cuenta]],1))</f>
        <v>1</v>
      </c>
      <c r="J409" t="b">
        <f>+ISNUMBER(SEARCH('F-COMPRA'!$F$29,Tabla11[[#This Row],[Cuenta]],1))</f>
        <v>1</v>
      </c>
      <c r="K409" t="b">
        <f>+ISNUMBER(SEARCH('F-COMPRA'!$F$30,Tabla11[[#This Row],[Cuenta]],1))</f>
        <v>1</v>
      </c>
      <c r="L409" t="b">
        <f>+ISNUMBER(SEARCH('F-COMPRA'!$F$31,Tabla11[[#This Row],[Cuenta]],1))</f>
        <v>1</v>
      </c>
      <c r="M409" t="b">
        <f>+ISNUMBER(SEARCH('F-COMPRA'!$G$25,Tabla11[[#This Row],[Cuenta]],1))</f>
        <v>0</v>
      </c>
      <c r="N409" t="b">
        <f>+ISNUMBER(SEARCH(#REF!,Tabla11[[#This Row],[Cuenta]],1))</f>
        <v>0</v>
      </c>
      <c r="O409" t="b">
        <f>+ISNUMBER(SEARCH(#REF!,Tabla11[[#This Row],[Cuenta]],1))</f>
        <v>0</v>
      </c>
      <c r="P409" t="b">
        <f>+ISNUMBER(SEARCH('F-COMPRA'!$F$32,Tabla11[[#This Row],[Cuenta]],1))</f>
        <v>1</v>
      </c>
      <c r="Q409" t="b">
        <f>+ISNUMBER(SEARCH('F-COMPRA'!$F$33,Tabla11[[#This Row],[Cuenta]],1))</f>
        <v>1</v>
      </c>
      <c r="R409" t="b">
        <f>+ISNUMBER(SEARCH('F-COMPRA'!$F$34,Tabla11[[#This Row],[Cuenta]],1))</f>
        <v>1</v>
      </c>
      <c r="S409" t="b">
        <f>+ISNUMBER(SEARCH('F-COMPRA'!$F$35,Tabla11[[#This Row],[Cuenta]],1))</f>
        <v>1</v>
      </c>
      <c r="T409" t="b">
        <f>+ISNUMBER(SEARCH('F-COMPRA'!$F$36,Tabla11[[#This Row],[Cuenta]],1))</f>
        <v>1</v>
      </c>
      <c r="U409" t="b">
        <f>+ISNUMBER(SEARCH('F-COMPRA'!$F$37,Tabla11[[#This Row],[Cuenta]],1))</f>
        <v>1</v>
      </c>
      <c r="V409" t="b">
        <f>+ISNUMBER(SEARCH(#REF!,Tabla11[[#This Row],[Cuenta]],1))</f>
        <v>0</v>
      </c>
      <c r="W409" t="b">
        <f>+ISNUMBER(SEARCH('F-COMPRA'!#REF!,Tabla11[[#This Row],[Cuenta]],1))</f>
        <v>0</v>
      </c>
      <c r="X409" t="b">
        <f>+ISNUMBER(SEARCH('F-COMPRA'!#REF!,Tabla11[[#This Row],[Cuenta]],1))</f>
        <v>0</v>
      </c>
      <c r="Y409" t="b">
        <f>+ISNUMBER(SEARCH('F-COMPRA'!#REF!,Tabla11[[#This Row],[Cuenta]],1))</f>
        <v>0</v>
      </c>
      <c r="Z409" t="b">
        <f>+ISNUMBER(SEARCH('F-COMPRA'!#REF!,Tabla11[[#This Row],[Cuenta]],1))</f>
        <v>0</v>
      </c>
      <c r="AA409" t="b">
        <f>+ISNUMBER(SEARCH('F-COMPRA'!#REF!,Tabla11[[#This Row],[Cuenta]],1))</f>
        <v>0</v>
      </c>
      <c r="AB409" t="b">
        <f>+ISNUMBER(SEARCH('F-COMPRA'!#REF!,Tabla11[[#This Row],[Cuenta]],1))</f>
        <v>0</v>
      </c>
      <c r="AC409" t="b">
        <f>+ISNUMBER(SEARCH('F-COMPRA'!#REF!,Tabla11[[#This Row],[Cuenta]],1))</f>
        <v>0</v>
      </c>
      <c r="AD409" t="b">
        <f>+ISNUMBER(SEARCH('F-COMPRA'!#REF!,Tabla11[[#This Row],[Cuenta]],1))</f>
        <v>0</v>
      </c>
      <c r="AE409" t="b">
        <f>+ISNUMBER(SEARCH('F-COMPRA'!#REF!,Tabla11[[#This Row],[Cuenta]],1))</f>
        <v>0</v>
      </c>
      <c r="AF409" t="b">
        <f>+ISNUMBER(SEARCH('F-VTA'!$G$23,Tabla11[[#This Row],[Cuenta]],1))</f>
        <v>0</v>
      </c>
      <c r="AG409" t="b">
        <f>+ISNUMBER(SEARCH('F-VTA'!$G$24,Tabla11[[#This Row],[Cuenta]],1))</f>
        <v>0</v>
      </c>
      <c r="AH409" t="b">
        <f>+ISNUMBER(SEARCH('F-VTA'!$G$25,Tabla11[[#This Row],[Cuenta]],1))</f>
        <v>0</v>
      </c>
      <c r="AI409" t="b">
        <f>+ISNUMBER(SEARCH('F-VTA'!$F$28,Tabla11[[#This Row],[Cuenta]],1))</f>
        <v>1</v>
      </c>
      <c r="AJ409" t="b">
        <f>+ISNUMBER(SEARCH('F-VTA'!$F$29,Tabla11[[#This Row],[Cuenta]],1))</f>
        <v>1</v>
      </c>
      <c r="AK409" t="b">
        <f>+ISNUMBER(SEARCH('F-VTA'!$F$30,Tabla11[[#This Row],[Cuenta]],1))</f>
        <v>1</v>
      </c>
      <c r="AL409" t="b">
        <f>+ISNUMBER(SEARCH('F-VTA'!$F$31,Tabla11[[#This Row],[Cuenta]],1))</f>
        <v>1</v>
      </c>
      <c r="AM409" t="b">
        <f>+ISNUMBER(SEARCH('F-VTA'!$F$32,Tabla11[[#This Row],[Cuenta]],1))</f>
        <v>1</v>
      </c>
      <c r="AN409" t="b">
        <f>+ISNUMBER(SEARCH('F-VTA'!$F$33,Tabla11[[#This Row],[Cuenta]],1))</f>
        <v>1</v>
      </c>
      <c r="AO409" t="b">
        <f>+ISNUMBER(SEARCH('F-VTA'!$F$34,Tabla11[[#This Row],[Cuenta]],1))</f>
        <v>1</v>
      </c>
      <c r="AP409" t="b">
        <f>+ISNUMBER(SEARCH('F-VTA'!$F$35,Tabla11[[#This Row],[Cuenta]],1))</f>
        <v>1</v>
      </c>
      <c r="AQ409" t="b">
        <f>+ISNUMBER(SEARCH('F-VTA'!$F$36,Tabla11[[#This Row],[Cuenta]],1))</f>
        <v>1</v>
      </c>
      <c r="AR409" t="b">
        <f>+ISNUMBER(SEARCH(#REF!,Tabla11[[#This Row],[Cuenta]],1))</f>
        <v>0</v>
      </c>
      <c r="AS409" t="b">
        <f>+ISNUMBER(SEARCH(#REF!,Tabla11[[#This Row],[Cuenta]],1))</f>
        <v>0</v>
      </c>
      <c r="AT409" t="b">
        <f>+ISNUMBER(SEARCH(#REF!,Tabla11[[#This Row],[Cuenta]],1))</f>
        <v>0</v>
      </c>
      <c r="AU409" t="b">
        <f>+ISNUMBER(SEARCH('Conc. Ban.1'!$I$9,Tabla11[[#This Row],[Cuenta]],1))</f>
        <v>0</v>
      </c>
      <c r="AV409" t="b">
        <f>+ISNUMBER(SEARCH(CompConta!$F$21,Tabla11[[#This Row],[Cuenta]],1))</f>
        <v>1</v>
      </c>
      <c r="AW409" t="b">
        <f>+ISNUMBER(SEARCH(CompConta!$F$22,Tabla11[[#This Row],[Cuenta]],1))</f>
        <v>1</v>
      </c>
      <c r="AX409" t="b">
        <f>+ISNUMBER(SEARCH(CompConta!$F$23,Tabla11[[#This Row],[Cuenta]],1))</f>
        <v>1</v>
      </c>
      <c r="AY409" t="b">
        <f>+ISNUMBER(SEARCH(CompConta!$F$24,Tabla11[[#This Row],[Cuenta]],1))</f>
        <v>1</v>
      </c>
      <c r="AZ409" t="b">
        <f>+ISNUMBER(SEARCH(CompConta!$F$25,Tabla11[[#This Row],[Cuenta]],1))</f>
        <v>1</v>
      </c>
      <c r="BA409" t="b">
        <f>+ISNUMBER(SEARCH(CompConta!$F$26,Tabla11[[#This Row],[Cuenta]],1))</f>
        <v>1</v>
      </c>
      <c r="BB409" t="b">
        <f>+ISNUMBER(SEARCH(CompConta!$F$27,Tabla11[[#This Row],[Cuenta]],1))</f>
        <v>1</v>
      </c>
      <c r="BC409" t="b">
        <f>+ISNUMBER(SEARCH(CompConta!$F$28,Tabla11[[#This Row],[Cuenta]],1))</f>
        <v>1</v>
      </c>
      <c r="BD409" t="b">
        <f>+ISNUMBER(SEARCH(CompConta!$F$29,Tabla11[[#This Row],[Cuenta]],1))</f>
        <v>1</v>
      </c>
      <c r="BE409" t="b">
        <f>+ISNUMBER(SEARCH(CompConta!$F$30,Tabla11[[#This Row],[Cuenta]],1))</f>
        <v>1</v>
      </c>
      <c r="BF409" t="b">
        <f>+ISNUMBER(SEARCH('PAGO Compras'!$E$11,Tabla11[[#This Row],[Cuenta]],1))</f>
        <v>1</v>
      </c>
      <c r="BG409" t="b">
        <f>+ISNUMBER(SEARCH(#REF!,Tabla11[[#This Row],[Cuenta]],1))</f>
        <v>0</v>
      </c>
      <c r="BH409" t="b">
        <f>+ISNUMBER(SEARCH(#REF!,Tabla11[[#This Row],[Cuenta]],1))</f>
        <v>0</v>
      </c>
      <c r="BI409" t="b">
        <f>+ISNUMBER(SEARCH(#REF!,Tabla11[[#This Row],[Cuenta]],1))</f>
        <v>0</v>
      </c>
      <c r="BJ409" t="b">
        <f>+ISNUMBER(SEARCH(#REF!,Tabla11[[#This Row],[Cuenta]],1))</f>
        <v>0</v>
      </c>
      <c r="BS409" t="str">
        <v>233505 Gastos financieros</v>
      </c>
      <c r="BT409" t="str">
        <v>233505 Gastos financieros</v>
      </c>
      <c r="BU409" t="str">
        <v>233505 Gastos financieros</v>
      </c>
      <c r="BV409" t="str">
        <v>233505 Gastos financieros</v>
      </c>
      <c r="BZ409" t="str">
        <v>233505 Gastos financieros</v>
      </c>
      <c r="CA409" t="str">
        <v>233505 Gastos financieros</v>
      </c>
      <c r="CB409" t="str">
        <v>233505 Gastos financieros</v>
      </c>
      <c r="CC409" t="str">
        <v>233505 Gastos financieros</v>
      </c>
      <c r="CD409" t="str">
        <v>233505 Gastos financieros</v>
      </c>
      <c r="CE409" t="str">
        <v>233505 Gastos financieros</v>
      </c>
      <c r="CS409" s="141" t="str">
        <v>233505 Gastos financieros</v>
      </c>
      <c r="CT409" s="141" t="str">
        <v>233505 Gastos financieros</v>
      </c>
      <c r="CU409" s="141" t="str">
        <v>233505 Gastos financieros</v>
      </c>
      <c r="CV409" s="141" t="str">
        <v>233505 Gastos financieros</v>
      </c>
      <c r="CW409" s="141" t="str">
        <v>233505 Gastos financieros</v>
      </c>
      <c r="CX409" s="141" t="str">
        <v>233505 Gastos financieros</v>
      </c>
      <c r="CY409" s="141" t="str">
        <v>233505 Gastos financieros</v>
      </c>
      <c r="CZ409" s="141" t="str">
        <v>233505 Gastos financieros</v>
      </c>
      <c r="DA409" s="141" t="str">
        <v>233505 Gastos financieros</v>
      </c>
      <c r="DF409" t="str">
        <v>233505 Gastos financieros</v>
      </c>
      <c r="DG409" t="str">
        <v>233505 Gastos financieros</v>
      </c>
      <c r="DH409" t="str">
        <v>233505 Gastos financieros</v>
      </c>
      <c r="DI409" t="str">
        <v>233505 Gastos financieros</v>
      </c>
      <c r="DJ409" t="str">
        <v>233505 Gastos financieros</v>
      </c>
      <c r="DK409" t="str">
        <v>233505 Gastos financieros</v>
      </c>
      <c r="DL409" t="str">
        <v>233505 Gastos financieros</v>
      </c>
      <c r="DM409" t="str">
        <v>233505 Gastos financieros</v>
      </c>
      <c r="DN409" t="str">
        <v>233505 Gastos financieros</v>
      </c>
      <c r="DO409" t="str">
        <v>233505 Gastos financieros</v>
      </c>
      <c r="DP409" t="str">
        <v>233505 Gastos financieros</v>
      </c>
    </row>
    <row r="410" spans="4:120" ht="12.75">
      <c r="D410" s="7">
        <v>233510</v>
      </c>
      <c r="E410" s="6" t="s">
        <v>315</v>
      </c>
      <c r="F410" s="5">
        <v>4</v>
      </c>
      <c r="G410" s="34" t="s">
        <v>823</v>
      </c>
      <c r="H410" s="26" t="s">
        <v>765</v>
      </c>
      <c r="I410" t="b">
        <f>+ISNUMBER(SEARCH('F-COMPRA'!$F$28,Tabla11[[#This Row],[Cuenta]],1))</f>
        <v>1</v>
      </c>
      <c r="J410" t="b">
        <f>+ISNUMBER(SEARCH('F-COMPRA'!$F$29,Tabla11[[#This Row],[Cuenta]],1))</f>
        <v>1</v>
      </c>
      <c r="K410" t="b">
        <f>+ISNUMBER(SEARCH('F-COMPRA'!$F$30,Tabla11[[#This Row],[Cuenta]],1))</f>
        <v>1</v>
      </c>
      <c r="L410" t="b">
        <f>+ISNUMBER(SEARCH('F-COMPRA'!$F$31,Tabla11[[#This Row],[Cuenta]],1))</f>
        <v>1</v>
      </c>
      <c r="M410" t="b">
        <f>+ISNUMBER(SEARCH('F-COMPRA'!$G$25,Tabla11[[#This Row],[Cuenta]],1))</f>
        <v>0</v>
      </c>
      <c r="N410" t="b">
        <f>+ISNUMBER(SEARCH(#REF!,Tabla11[[#This Row],[Cuenta]],1))</f>
        <v>0</v>
      </c>
      <c r="O410" t="b">
        <f>+ISNUMBER(SEARCH(#REF!,Tabla11[[#This Row],[Cuenta]],1))</f>
        <v>0</v>
      </c>
      <c r="P410" t="b">
        <f>+ISNUMBER(SEARCH('F-COMPRA'!$F$32,Tabla11[[#This Row],[Cuenta]],1))</f>
        <v>1</v>
      </c>
      <c r="Q410" t="b">
        <f>+ISNUMBER(SEARCH('F-COMPRA'!$F$33,Tabla11[[#This Row],[Cuenta]],1))</f>
        <v>1</v>
      </c>
      <c r="R410" t="b">
        <f>+ISNUMBER(SEARCH('F-COMPRA'!$F$34,Tabla11[[#This Row],[Cuenta]],1))</f>
        <v>1</v>
      </c>
      <c r="S410" t="b">
        <f>+ISNUMBER(SEARCH('F-COMPRA'!$F$35,Tabla11[[#This Row],[Cuenta]],1))</f>
        <v>1</v>
      </c>
      <c r="T410" t="b">
        <f>+ISNUMBER(SEARCH('F-COMPRA'!$F$36,Tabla11[[#This Row],[Cuenta]],1))</f>
        <v>1</v>
      </c>
      <c r="U410" t="b">
        <f>+ISNUMBER(SEARCH('F-COMPRA'!$F$37,Tabla11[[#This Row],[Cuenta]],1))</f>
        <v>1</v>
      </c>
      <c r="V410" t="b">
        <f>+ISNUMBER(SEARCH(#REF!,Tabla11[[#This Row],[Cuenta]],1))</f>
        <v>0</v>
      </c>
      <c r="W410" t="b">
        <f>+ISNUMBER(SEARCH('F-COMPRA'!#REF!,Tabla11[[#This Row],[Cuenta]],1))</f>
        <v>0</v>
      </c>
      <c r="X410" t="b">
        <f>+ISNUMBER(SEARCH('F-COMPRA'!#REF!,Tabla11[[#This Row],[Cuenta]],1))</f>
        <v>0</v>
      </c>
      <c r="Y410" t="b">
        <f>+ISNUMBER(SEARCH('F-COMPRA'!#REF!,Tabla11[[#This Row],[Cuenta]],1))</f>
        <v>0</v>
      </c>
      <c r="Z410" t="b">
        <f>+ISNUMBER(SEARCH('F-COMPRA'!#REF!,Tabla11[[#This Row],[Cuenta]],1))</f>
        <v>0</v>
      </c>
      <c r="AA410" t="b">
        <f>+ISNUMBER(SEARCH('F-COMPRA'!#REF!,Tabla11[[#This Row],[Cuenta]],1))</f>
        <v>0</v>
      </c>
      <c r="AB410" t="b">
        <f>+ISNUMBER(SEARCH('F-COMPRA'!#REF!,Tabla11[[#This Row],[Cuenta]],1))</f>
        <v>0</v>
      </c>
      <c r="AC410" t="b">
        <f>+ISNUMBER(SEARCH('F-COMPRA'!#REF!,Tabla11[[#This Row],[Cuenta]],1))</f>
        <v>0</v>
      </c>
      <c r="AD410" t="b">
        <f>+ISNUMBER(SEARCH('F-COMPRA'!#REF!,Tabla11[[#This Row],[Cuenta]],1))</f>
        <v>0</v>
      </c>
      <c r="AE410" t="b">
        <f>+ISNUMBER(SEARCH('F-COMPRA'!#REF!,Tabla11[[#This Row],[Cuenta]],1))</f>
        <v>0</v>
      </c>
      <c r="AF410" t="b">
        <f>+ISNUMBER(SEARCH('F-VTA'!$G$23,Tabla11[[#This Row],[Cuenta]],1))</f>
        <v>0</v>
      </c>
      <c r="AG410" t="b">
        <f>+ISNUMBER(SEARCH('F-VTA'!$G$24,Tabla11[[#This Row],[Cuenta]],1))</f>
        <v>0</v>
      </c>
      <c r="AH410" t="b">
        <f>+ISNUMBER(SEARCH('F-VTA'!$G$25,Tabla11[[#This Row],[Cuenta]],1))</f>
        <v>0</v>
      </c>
      <c r="AI410" t="b">
        <f>+ISNUMBER(SEARCH('F-VTA'!$F$28,Tabla11[[#This Row],[Cuenta]],1))</f>
        <v>1</v>
      </c>
      <c r="AJ410" t="b">
        <f>+ISNUMBER(SEARCH('F-VTA'!$F$29,Tabla11[[#This Row],[Cuenta]],1))</f>
        <v>1</v>
      </c>
      <c r="AK410" t="b">
        <f>+ISNUMBER(SEARCH('F-VTA'!$F$30,Tabla11[[#This Row],[Cuenta]],1))</f>
        <v>1</v>
      </c>
      <c r="AL410" t="b">
        <f>+ISNUMBER(SEARCH('F-VTA'!$F$31,Tabla11[[#This Row],[Cuenta]],1))</f>
        <v>1</v>
      </c>
      <c r="AM410" t="b">
        <f>+ISNUMBER(SEARCH('F-VTA'!$F$32,Tabla11[[#This Row],[Cuenta]],1))</f>
        <v>1</v>
      </c>
      <c r="AN410" t="b">
        <f>+ISNUMBER(SEARCH('F-VTA'!$F$33,Tabla11[[#This Row],[Cuenta]],1))</f>
        <v>1</v>
      </c>
      <c r="AO410" t="b">
        <f>+ISNUMBER(SEARCH('F-VTA'!$F$34,Tabla11[[#This Row],[Cuenta]],1))</f>
        <v>1</v>
      </c>
      <c r="AP410" t="b">
        <f>+ISNUMBER(SEARCH('F-VTA'!$F$35,Tabla11[[#This Row],[Cuenta]],1))</f>
        <v>1</v>
      </c>
      <c r="AQ410" t="b">
        <f>+ISNUMBER(SEARCH('F-VTA'!$F$36,Tabla11[[#This Row],[Cuenta]],1))</f>
        <v>1</v>
      </c>
      <c r="AR410" t="b">
        <f>+ISNUMBER(SEARCH(#REF!,Tabla11[[#This Row],[Cuenta]],1))</f>
        <v>0</v>
      </c>
      <c r="AS410" t="b">
        <f>+ISNUMBER(SEARCH(#REF!,Tabla11[[#This Row],[Cuenta]],1))</f>
        <v>0</v>
      </c>
      <c r="AT410" t="b">
        <f>+ISNUMBER(SEARCH(#REF!,Tabla11[[#This Row],[Cuenta]],1))</f>
        <v>0</v>
      </c>
      <c r="AU410" t="b">
        <f>+ISNUMBER(SEARCH('Conc. Ban.1'!$I$9,Tabla11[[#This Row],[Cuenta]],1))</f>
        <v>0</v>
      </c>
      <c r="AV410" t="b">
        <f>+ISNUMBER(SEARCH(CompConta!$F$21,Tabla11[[#This Row],[Cuenta]],1))</f>
        <v>1</v>
      </c>
      <c r="AW410" t="b">
        <f>+ISNUMBER(SEARCH(CompConta!$F$22,Tabla11[[#This Row],[Cuenta]],1))</f>
        <v>1</v>
      </c>
      <c r="AX410" t="b">
        <f>+ISNUMBER(SEARCH(CompConta!$F$23,Tabla11[[#This Row],[Cuenta]],1))</f>
        <v>1</v>
      </c>
      <c r="AY410" t="b">
        <f>+ISNUMBER(SEARCH(CompConta!$F$24,Tabla11[[#This Row],[Cuenta]],1))</f>
        <v>1</v>
      </c>
      <c r="AZ410" t="b">
        <f>+ISNUMBER(SEARCH(CompConta!$F$25,Tabla11[[#This Row],[Cuenta]],1))</f>
        <v>1</v>
      </c>
      <c r="BA410" t="b">
        <f>+ISNUMBER(SEARCH(CompConta!$F$26,Tabla11[[#This Row],[Cuenta]],1))</f>
        <v>1</v>
      </c>
      <c r="BB410" t="b">
        <f>+ISNUMBER(SEARCH(CompConta!$F$27,Tabla11[[#This Row],[Cuenta]],1))</f>
        <v>1</v>
      </c>
      <c r="BC410" t="b">
        <f>+ISNUMBER(SEARCH(CompConta!$F$28,Tabla11[[#This Row],[Cuenta]],1))</f>
        <v>1</v>
      </c>
      <c r="BD410" t="b">
        <f>+ISNUMBER(SEARCH(CompConta!$F$29,Tabla11[[#This Row],[Cuenta]],1))</f>
        <v>1</v>
      </c>
      <c r="BE410" t="b">
        <f>+ISNUMBER(SEARCH(CompConta!$F$30,Tabla11[[#This Row],[Cuenta]],1))</f>
        <v>1</v>
      </c>
      <c r="BF410" t="b">
        <f>+ISNUMBER(SEARCH('PAGO Compras'!$E$11,Tabla11[[#This Row],[Cuenta]],1))</f>
        <v>1</v>
      </c>
      <c r="BG410" t="b">
        <f>+ISNUMBER(SEARCH(#REF!,Tabla11[[#This Row],[Cuenta]],1))</f>
        <v>0</v>
      </c>
      <c r="BH410" t="b">
        <f>+ISNUMBER(SEARCH(#REF!,Tabla11[[#This Row],[Cuenta]],1))</f>
        <v>0</v>
      </c>
      <c r="BI410" t="b">
        <f>+ISNUMBER(SEARCH(#REF!,Tabla11[[#This Row],[Cuenta]],1))</f>
        <v>0</v>
      </c>
      <c r="BJ410" t="b">
        <f>+ISNUMBER(SEARCH(#REF!,Tabla11[[#This Row],[Cuenta]],1))</f>
        <v>0</v>
      </c>
      <c r="BS410" t="str">
        <v>233510 Gastos legales</v>
      </c>
      <c r="BT410" t="str">
        <v>233510 Gastos legales</v>
      </c>
      <c r="BU410" t="str">
        <v>233510 Gastos legales</v>
      </c>
      <c r="BV410" t="str">
        <v>233510 Gastos legales</v>
      </c>
      <c r="BZ410" t="str">
        <v>233510 Gastos legales</v>
      </c>
      <c r="CA410" t="str">
        <v>233510 Gastos legales</v>
      </c>
      <c r="CB410" t="str">
        <v>233510 Gastos legales</v>
      </c>
      <c r="CC410" t="str">
        <v>233510 Gastos legales</v>
      </c>
      <c r="CD410" t="str">
        <v>233510 Gastos legales</v>
      </c>
      <c r="CE410" t="str">
        <v>233510 Gastos legales</v>
      </c>
      <c r="CS410" s="141" t="str">
        <v>233510 Gastos legales</v>
      </c>
      <c r="CT410" s="141" t="str">
        <v>233510 Gastos legales</v>
      </c>
      <c r="CU410" s="141" t="str">
        <v>233510 Gastos legales</v>
      </c>
      <c r="CV410" s="141" t="str">
        <v>233510 Gastos legales</v>
      </c>
      <c r="CW410" s="141" t="str">
        <v>233510 Gastos legales</v>
      </c>
      <c r="CX410" s="141" t="str">
        <v>233510 Gastos legales</v>
      </c>
      <c r="CY410" s="141" t="str">
        <v>233510 Gastos legales</v>
      </c>
      <c r="CZ410" s="141" t="str">
        <v>233510 Gastos legales</v>
      </c>
      <c r="DA410" s="141" t="str">
        <v>233510 Gastos legales</v>
      </c>
      <c r="DF410" t="str">
        <v>233510 Gastos legales</v>
      </c>
      <c r="DG410" t="str">
        <v>233510 Gastos legales</v>
      </c>
      <c r="DH410" t="str">
        <v>233510 Gastos legales</v>
      </c>
      <c r="DI410" t="str">
        <v>233510 Gastos legales</v>
      </c>
      <c r="DJ410" t="str">
        <v>233510 Gastos legales</v>
      </c>
      <c r="DK410" t="str">
        <v>233510 Gastos legales</v>
      </c>
      <c r="DL410" t="str">
        <v>233510 Gastos legales</v>
      </c>
      <c r="DM410" t="str">
        <v>233510 Gastos legales</v>
      </c>
      <c r="DN410" t="str">
        <v>233510 Gastos legales</v>
      </c>
      <c r="DO410" t="str">
        <v>233510 Gastos legales</v>
      </c>
      <c r="DP410" t="str">
        <v>233510 Gastos legales</v>
      </c>
    </row>
    <row r="411" spans="4:120" ht="12.75">
      <c r="D411" s="7">
        <v>233515</v>
      </c>
      <c r="E411" s="6" t="s">
        <v>316</v>
      </c>
      <c r="F411" s="5">
        <v>4</v>
      </c>
      <c r="G411" s="34" t="s">
        <v>823</v>
      </c>
      <c r="H411" s="26" t="s">
        <v>765</v>
      </c>
      <c r="I411" t="b">
        <f>+ISNUMBER(SEARCH('F-COMPRA'!$F$28,Tabla11[[#This Row],[Cuenta]],1))</f>
        <v>1</v>
      </c>
      <c r="J411" t="b">
        <f>+ISNUMBER(SEARCH('F-COMPRA'!$F$29,Tabla11[[#This Row],[Cuenta]],1))</f>
        <v>1</v>
      </c>
      <c r="K411" t="b">
        <f>+ISNUMBER(SEARCH('F-COMPRA'!$F$30,Tabla11[[#This Row],[Cuenta]],1))</f>
        <v>1</v>
      </c>
      <c r="L411" t="b">
        <f>+ISNUMBER(SEARCH('F-COMPRA'!$F$31,Tabla11[[#This Row],[Cuenta]],1))</f>
        <v>1</v>
      </c>
      <c r="M411" t="b">
        <f>+ISNUMBER(SEARCH('F-COMPRA'!$G$25,Tabla11[[#This Row],[Cuenta]],1))</f>
        <v>0</v>
      </c>
      <c r="N411" t="b">
        <f>+ISNUMBER(SEARCH(#REF!,Tabla11[[#This Row],[Cuenta]],1))</f>
        <v>0</v>
      </c>
      <c r="O411" t="b">
        <f>+ISNUMBER(SEARCH(#REF!,Tabla11[[#This Row],[Cuenta]],1))</f>
        <v>0</v>
      </c>
      <c r="P411" t="b">
        <f>+ISNUMBER(SEARCH('F-COMPRA'!$F$32,Tabla11[[#This Row],[Cuenta]],1))</f>
        <v>1</v>
      </c>
      <c r="Q411" t="b">
        <f>+ISNUMBER(SEARCH('F-COMPRA'!$F$33,Tabla11[[#This Row],[Cuenta]],1))</f>
        <v>1</v>
      </c>
      <c r="R411" t="b">
        <f>+ISNUMBER(SEARCH('F-COMPRA'!$F$34,Tabla11[[#This Row],[Cuenta]],1))</f>
        <v>1</v>
      </c>
      <c r="S411" t="b">
        <f>+ISNUMBER(SEARCH('F-COMPRA'!$F$35,Tabla11[[#This Row],[Cuenta]],1))</f>
        <v>1</v>
      </c>
      <c r="T411" t="b">
        <f>+ISNUMBER(SEARCH('F-COMPRA'!$F$36,Tabla11[[#This Row],[Cuenta]],1))</f>
        <v>1</v>
      </c>
      <c r="U411" t="b">
        <f>+ISNUMBER(SEARCH('F-COMPRA'!$F$37,Tabla11[[#This Row],[Cuenta]],1))</f>
        <v>1</v>
      </c>
      <c r="V411" t="b">
        <f>+ISNUMBER(SEARCH(#REF!,Tabla11[[#This Row],[Cuenta]],1))</f>
        <v>0</v>
      </c>
      <c r="W411" t="b">
        <f>+ISNUMBER(SEARCH('F-COMPRA'!#REF!,Tabla11[[#This Row],[Cuenta]],1))</f>
        <v>0</v>
      </c>
      <c r="X411" t="b">
        <f>+ISNUMBER(SEARCH('F-COMPRA'!#REF!,Tabla11[[#This Row],[Cuenta]],1))</f>
        <v>0</v>
      </c>
      <c r="Y411" t="b">
        <f>+ISNUMBER(SEARCH('F-COMPRA'!#REF!,Tabla11[[#This Row],[Cuenta]],1))</f>
        <v>0</v>
      </c>
      <c r="Z411" t="b">
        <f>+ISNUMBER(SEARCH('F-COMPRA'!#REF!,Tabla11[[#This Row],[Cuenta]],1))</f>
        <v>0</v>
      </c>
      <c r="AA411" t="b">
        <f>+ISNUMBER(SEARCH('F-COMPRA'!#REF!,Tabla11[[#This Row],[Cuenta]],1))</f>
        <v>0</v>
      </c>
      <c r="AB411" t="b">
        <f>+ISNUMBER(SEARCH('F-COMPRA'!#REF!,Tabla11[[#This Row],[Cuenta]],1))</f>
        <v>0</v>
      </c>
      <c r="AC411" t="b">
        <f>+ISNUMBER(SEARCH('F-COMPRA'!#REF!,Tabla11[[#This Row],[Cuenta]],1))</f>
        <v>0</v>
      </c>
      <c r="AD411" t="b">
        <f>+ISNUMBER(SEARCH('F-COMPRA'!#REF!,Tabla11[[#This Row],[Cuenta]],1))</f>
        <v>0</v>
      </c>
      <c r="AE411" t="b">
        <f>+ISNUMBER(SEARCH('F-COMPRA'!#REF!,Tabla11[[#This Row],[Cuenta]],1))</f>
        <v>0</v>
      </c>
      <c r="AF411" t="b">
        <f>+ISNUMBER(SEARCH('F-VTA'!$G$23,Tabla11[[#This Row],[Cuenta]],1))</f>
        <v>0</v>
      </c>
      <c r="AG411" t="b">
        <f>+ISNUMBER(SEARCH('F-VTA'!$G$24,Tabla11[[#This Row],[Cuenta]],1))</f>
        <v>0</v>
      </c>
      <c r="AH411" t="b">
        <f>+ISNUMBER(SEARCH('F-VTA'!$G$25,Tabla11[[#This Row],[Cuenta]],1))</f>
        <v>0</v>
      </c>
      <c r="AI411" t="b">
        <f>+ISNUMBER(SEARCH('F-VTA'!$F$28,Tabla11[[#This Row],[Cuenta]],1))</f>
        <v>1</v>
      </c>
      <c r="AJ411" t="b">
        <f>+ISNUMBER(SEARCH('F-VTA'!$F$29,Tabla11[[#This Row],[Cuenta]],1))</f>
        <v>1</v>
      </c>
      <c r="AK411" t="b">
        <f>+ISNUMBER(SEARCH('F-VTA'!$F$30,Tabla11[[#This Row],[Cuenta]],1))</f>
        <v>1</v>
      </c>
      <c r="AL411" t="b">
        <f>+ISNUMBER(SEARCH('F-VTA'!$F$31,Tabla11[[#This Row],[Cuenta]],1))</f>
        <v>1</v>
      </c>
      <c r="AM411" t="b">
        <f>+ISNUMBER(SEARCH('F-VTA'!$F$32,Tabla11[[#This Row],[Cuenta]],1))</f>
        <v>1</v>
      </c>
      <c r="AN411" t="b">
        <f>+ISNUMBER(SEARCH('F-VTA'!$F$33,Tabla11[[#This Row],[Cuenta]],1))</f>
        <v>1</v>
      </c>
      <c r="AO411" t="b">
        <f>+ISNUMBER(SEARCH('F-VTA'!$F$34,Tabla11[[#This Row],[Cuenta]],1))</f>
        <v>1</v>
      </c>
      <c r="AP411" t="b">
        <f>+ISNUMBER(SEARCH('F-VTA'!$F$35,Tabla11[[#This Row],[Cuenta]],1))</f>
        <v>1</v>
      </c>
      <c r="AQ411" t="b">
        <f>+ISNUMBER(SEARCH('F-VTA'!$F$36,Tabla11[[#This Row],[Cuenta]],1))</f>
        <v>1</v>
      </c>
      <c r="AR411" t="b">
        <f>+ISNUMBER(SEARCH(#REF!,Tabla11[[#This Row],[Cuenta]],1))</f>
        <v>0</v>
      </c>
      <c r="AS411" t="b">
        <f>+ISNUMBER(SEARCH(#REF!,Tabla11[[#This Row],[Cuenta]],1))</f>
        <v>0</v>
      </c>
      <c r="AT411" t="b">
        <f>+ISNUMBER(SEARCH(#REF!,Tabla11[[#This Row],[Cuenta]],1))</f>
        <v>0</v>
      </c>
      <c r="AU411" t="b">
        <f>+ISNUMBER(SEARCH('Conc. Ban.1'!$I$9,Tabla11[[#This Row],[Cuenta]],1))</f>
        <v>0</v>
      </c>
      <c r="AV411" t="b">
        <f>+ISNUMBER(SEARCH(CompConta!$F$21,Tabla11[[#This Row],[Cuenta]],1))</f>
        <v>1</v>
      </c>
      <c r="AW411" t="b">
        <f>+ISNUMBER(SEARCH(CompConta!$F$22,Tabla11[[#This Row],[Cuenta]],1))</f>
        <v>1</v>
      </c>
      <c r="AX411" t="b">
        <f>+ISNUMBER(SEARCH(CompConta!$F$23,Tabla11[[#This Row],[Cuenta]],1))</f>
        <v>1</v>
      </c>
      <c r="AY411" t="b">
        <f>+ISNUMBER(SEARCH(CompConta!$F$24,Tabla11[[#This Row],[Cuenta]],1))</f>
        <v>1</v>
      </c>
      <c r="AZ411" t="b">
        <f>+ISNUMBER(SEARCH(CompConta!$F$25,Tabla11[[#This Row],[Cuenta]],1))</f>
        <v>1</v>
      </c>
      <c r="BA411" t="b">
        <f>+ISNUMBER(SEARCH(CompConta!$F$26,Tabla11[[#This Row],[Cuenta]],1))</f>
        <v>1</v>
      </c>
      <c r="BB411" t="b">
        <f>+ISNUMBER(SEARCH(CompConta!$F$27,Tabla11[[#This Row],[Cuenta]],1))</f>
        <v>1</v>
      </c>
      <c r="BC411" t="b">
        <f>+ISNUMBER(SEARCH(CompConta!$F$28,Tabla11[[#This Row],[Cuenta]],1))</f>
        <v>1</v>
      </c>
      <c r="BD411" t="b">
        <f>+ISNUMBER(SEARCH(CompConta!$F$29,Tabla11[[#This Row],[Cuenta]],1))</f>
        <v>1</v>
      </c>
      <c r="BE411" t="b">
        <f>+ISNUMBER(SEARCH(CompConta!$F$30,Tabla11[[#This Row],[Cuenta]],1))</f>
        <v>1</v>
      </c>
      <c r="BF411" t="b">
        <f>+ISNUMBER(SEARCH('PAGO Compras'!$E$11,Tabla11[[#This Row],[Cuenta]],1))</f>
        <v>1</v>
      </c>
      <c r="BG411" t="b">
        <f>+ISNUMBER(SEARCH(#REF!,Tabla11[[#This Row],[Cuenta]],1))</f>
        <v>0</v>
      </c>
      <c r="BH411" t="b">
        <f>+ISNUMBER(SEARCH(#REF!,Tabla11[[#This Row],[Cuenta]],1))</f>
        <v>0</v>
      </c>
      <c r="BI411" t="b">
        <f>+ISNUMBER(SEARCH(#REF!,Tabla11[[#This Row],[Cuenta]],1))</f>
        <v>0</v>
      </c>
      <c r="BJ411" t="b">
        <f>+ISNUMBER(SEARCH(#REF!,Tabla11[[#This Row],[Cuenta]],1))</f>
        <v>0</v>
      </c>
      <c r="BS411" t="str">
        <v>233515 Libros, suscripciones, periódicos y revistas</v>
      </c>
      <c r="BT411" t="str">
        <v>233515 Libros, suscripciones, periódicos y revistas</v>
      </c>
      <c r="BU411" t="str">
        <v>233515 Libros, suscripciones, periódicos y revistas</v>
      </c>
      <c r="BV411" t="str">
        <v>233515 Libros, suscripciones, periódicos y revistas</v>
      </c>
      <c r="BZ411" t="str">
        <v>233515 Libros, suscripciones, periódicos y revistas</v>
      </c>
      <c r="CA411" t="str">
        <v>233515 Libros, suscripciones, periódicos y revistas</v>
      </c>
      <c r="CB411" t="str">
        <v>233515 Libros, suscripciones, periódicos y revistas</v>
      </c>
      <c r="CC411" t="str">
        <v>233515 Libros, suscripciones, periódicos y revistas</v>
      </c>
      <c r="CD411" t="str">
        <v>233515 Libros, suscripciones, periódicos y revistas</v>
      </c>
      <c r="CE411" t="str">
        <v>233515 Libros, suscripciones, periódicos y revistas</v>
      </c>
      <c r="CS411" s="141" t="str">
        <v>233515 Libros, suscripciones, periódicos y revistas</v>
      </c>
      <c r="CT411" s="141" t="str">
        <v>233515 Libros, suscripciones, periódicos y revistas</v>
      </c>
      <c r="CU411" s="141" t="str">
        <v>233515 Libros, suscripciones, periódicos y revistas</v>
      </c>
      <c r="CV411" s="141" t="str">
        <v>233515 Libros, suscripciones, periódicos y revistas</v>
      </c>
      <c r="CW411" s="141" t="str">
        <v>233515 Libros, suscripciones, periódicos y revistas</v>
      </c>
      <c r="CX411" s="141" t="str">
        <v>233515 Libros, suscripciones, periódicos y revistas</v>
      </c>
      <c r="CY411" s="141" t="str">
        <v>233515 Libros, suscripciones, periódicos y revistas</v>
      </c>
      <c r="CZ411" s="141" t="str">
        <v>233515 Libros, suscripciones, periódicos y revistas</v>
      </c>
      <c r="DA411" s="141" t="str">
        <v>233515 Libros, suscripciones, periódicos y revistas</v>
      </c>
      <c r="DF411" t="str">
        <v>233515 Libros, suscripciones, periódicos y revistas</v>
      </c>
      <c r="DG411" t="str">
        <v>233515 Libros, suscripciones, periódicos y revistas</v>
      </c>
      <c r="DH411" t="str">
        <v>233515 Libros, suscripciones, periódicos y revistas</v>
      </c>
      <c r="DI411" t="str">
        <v>233515 Libros, suscripciones, periódicos y revistas</v>
      </c>
      <c r="DJ411" t="str">
        <v>233515 Libros, suscripciones, periódicos y revistas</v>
      </c>
      <c r="DK411" t="str">
        <v>233515 Libros, suscripciones, periódicos y revistas</v>
      </c>
      <c r="DL411" t="str">
        <v>233515 Libros, suscripciones, periódicos y revistas</v>
      </c>
      <c r="DM411" t="str">
        <v>233515 Libros, suscripciones, periódicos y revistas</v>
      </c>
      <c r="DN411" t="str">
        <v>233515 Libros, suscripciones, periódicos y revistas</v>
      </c>
      <c r="DO411" t="str">
        <v>233515 Libros, suscripciones, periódicos y revistas</v>
      </c>
      <c r="DP411" t="str">
        <v>233515 Libros, suscripciones, periódicos y revistas</v>
      </c>
    </row>
    <row r="412" spans="4:120" ht="12.75">
      <c r="D412" s="7">
        <v>233520</v>
      </c>
      <c r="E412" s="6" t="s">
        <v>74</v>
      </c>
      <c r="F412" s="5">
        <v>4</v>
      </c>
      <c r="G412" s="34" t="s">
        <v>823</v>
      </c>
      <c r="H412" s="26" t="s">
        <v>765</v>
      </c>
      <c r="I412" t="b">
        <f>+ISNUMBER(SEARCH('F-COMPRA'!$F$28,Tabla11[[#This Row],[Cuenta]],1))</f>
        <v>1</v>
      </c>
      <c r="J412" t="b">
        <f>+ISNUMBER(SEARCH('F-COMPRA'!$F$29,Tabla11[[#This Row],[Cuenta]],1))</f>
        <v>1</v>
      </c>
      <c r="K412" t="b">
        <f>+ISNUMBER(SEARCH('F-COMPRA'!$F$30,Tabla11[[#This Row],[Cuenta]],1))</f>
        <v>1</v>
      </c>
      <c r="L412" t="b">
        <f>+ISNUMBER(SEARCH('F-COMPRA'!$F$31,Tabla11[[#This Row],[Cuenta]],1))</f>
        <v>1</v>
      </c>
      <c r="M412" t="b">
        <f>+ISNUMBER(SEARCH('F-COMPRA'!$G$25,Tabla11[[#This Row],[Cuenta]],1))</f>
        <v>0</v>
      </c>
      <c r="N412" t="b">
        <f>+ISNUMBER(SEARCH(#REF!,Tabla11[[#This Row],[Cuenta]],1))</f>
        <v>0</v>
      </c>
      <c r="O412" t="b">
        <f>+ISNUMBER(SEARCH(#REF!,Tabla11[[#This Row],[Cuenta]],1))</f>
        <v>0</v>
      </c>
      <c r="P412" t="b">
        <f>+ISNUMBER(SEARCH('F-COMPRA'!$F$32,Tabla11[[#This Row],[Cuenta]],1))</f>
        <v>1</v>
      </c>
      <c r="Q412" t="b">
        <f>+ISNUMBER(SEARCH('F-COMPRA'!$F$33,Tabla11[[#This Row],[Cuenta]],1))</f>
        <v>1</v>
      </c>
      <c r="R412" t="b">
        <f>+ISNUMBER(SEARCH('F-COMPRA'!$F$34,Tabla11[[#This Row],[Cuenta]],1))</f>
        <v>1</v>
      </c>
      <c r="S412" t="b">
        <f>+ISNUMBER(SEARCH('F-COMPRA'!$F$35,Tabla11[[#This Row],[Cuenta]],1))</f>
        <v>1</v>
      </c>
      <c r="T412" t="b">
        <f>+ISNUMBER(SEARCH('F-COMPRA'!$F$36,Tabla11[[#This Row],[Cuenta]],1))</f>
        <v>1</v>
      </c>
      <c r="U412" t="b">
        <f>+ISNUMBER(SEARCH('F-COMPRA'!$F$37,Tabla11[[#This Row],[Cuenta]],1))</f>
        <v>1</v>
      </c>
      <c r="V412" t="b">
        <f>+ISNUMBER(SEARCH(#REF!,Tabla11[[#This Row],[Cuenta]],1))</f>
        <v>0</v>
      </c>
      <c r="W412" t="b">
        <f>+ISNUMBER(SEARCH('F-COMPRA'!#REF!,Tabla11[[#This Row],[Cuenta]],1))</f>
        <v>0</v>
      </c>
      <c r="X412" t="b">
        <f>+ISNUMBER(SEARCH('F-COMPRA'!#REF!,Tabla11[[#This Row],[Cuenta]],1))</f>
        <v>0</v>
      </c>
      <c r="Y412" t="b">
        <f>+ISNUMBER(SEARCH('F-COMPRA'!#REF!,Tabla11[[#This Row],[Cuenta]],1))</f>
        <v>0</v>
      </c>
      <c r="Z412" t="b">
        <f>+ISNUMBER(SEARCH('F-COMPRA'!#REF!,Tabla11[[#This Row],[Cuenta]],1))</f>
        <v>0</v>
      </c>
      <c r="AA412" t="b">
        <f>+ISNUMBER(SEARCH('F-COMPRA'!#REF!,Tabla11[[#This Row],[Cuenta]],1))</f>
        <v>0</v>
      </c>
      <c r="AB412" t="b">
        <f>+ISNUMBER(SEARCH('F-COMPRA'!#REF!,Tabla11[[#This Row],[Cuenta]],1))</f>
        <v>0</v>
      </c>
      <c r="AC412" t="b">
        <f>+ISNUMBER(SEARCH('F-COMPRA'!#REF!,Tabla11[[#This Row],[Cuenta]],1))</f>
        <v>0</v>
      </c>
      <c r="AD412" t="b">
        <f>+ISNUMBER(SEARCH('F-COMPRA'!#REF!,Tabla11[[#This Row],[Cuenta]],1))</f>
        <v>0</v>
      </c>
      <c r="AE412" t="b">
        <f>+ISNUMBER(SEARCH('F-COMPRA'!#REF!,Tabla11[[#This Row],[Cuenta]],1))</f>
        <v>0</v>
      </c>
      <c r="AF412" t="b">
        <f>+ISNUMBER(SEARCH('F-VTA'!$G$23,Tabla11[[#This Row],[Cuenta]],1))</f>
        <v>0</v>
      </c>
      <c r="AG412" t="b">
        <f>+ISNUMBER(SEARCH('F-VTA'!$G$24,Tabla11[[#This Row],[Cuenta]],1))</f>
        <v>0</v>
      </c>
      <c r="AH412" t="b">
        <f>+ISNUMBER(SEARCH('F-VTA'!$G$25,Tabla11[[#This Row],[Cuenta]],1))</f>
        <v>0</v>
      </c>
      <c r="AI412" t="b">
        <f>+ISNUMBER(SEARCH('F-VTA'!$F$28,Tabla11[[#This Row],[Cuenta]],1))</f>
        <v>1</v>
      </c>
      <c r="AJ412" t="b">
        <f>+ISNUMBER(SEARCH('F-VTA'!$F$29,Tabla11[[#This Row],[Cuenta]],1))</f>
        <v>1</v>
      </c>
      <c r="AK412" t="b">
        <f>+ISNUMBER(SEARCH('F-VTA'!$F$30,Tabla11[[#This Row],[Cuenta]],1))</f>
        <v>1</v>
      </c>
      <c r="AL412" t="b">
        <f>+ISNUMBER(SEARCH('F-VTA'!$F$31,Tabla11[[#This Row],[Cuenta]],1))</f>
        <v>1</v>
      </c>
      <c r="AM412" t="b">
        <f>+ISNUMBER(SEARCH('F-VTA'!$F$32,Tabla11[[#This Row],[Cuenta]],1))</f>
        <v>1</v>
      </c>
      <c r="AN412" t="b">
        <f>+ISNUMBER(SEARCH('F-VTA'!$F$33,Tabla11[[#This Row],[Cuenta]],1))</f>
        <v>1</v>
      </c>
      <c r="AO412" t="b">
        <f>+ISNUMBER(SEARCH('F-VTA'!$F$34,Tabla11[[#This Row],[Cuenta]],1))</f>
        <v>1</v>
      </c>
      <c r="AP412" t="b">
        <f>+ISNUMBER(SEARCH('F-VTA'!$F$35,Tabla11[[#This Row],[Cuenta]],1))</f>
        <v>1</v>
      </c>
      <c r="AQ412" t="b">
        <f>+ISNUMBER(SEARCH('F-VTA'!$F$36,Tabla11[[#This Row],[Cuenta]],1))</f>
        <v>1</v>
      </c>
      <c r="AR412" t="b">
        <f>+ISNUMBER(SEARCH(#REF!,Tabla11[[#This Row],[Cuenta]],1))</f>
        <v>0</v>
      </c>
      <c r="AS412" t="b">
        <f>+ISNUMBER(SEARCH(#REF!,Tabla11[[#This Row],[Cuenta]],1))</f>
        <v>0</v>
      </c>
      <c r="AT412" t="b">
        <f>+ISNUMBER(SEARCH(#REF!,Tabla11[[#This Row],[Cuenta]],1))</f>
        <v>0</v>
      </c>
      <c r="AU412" t="b">
        <f>+ISNUMBER(SEARCH('Conc. Ban.1'!$I$9,Tabla11[[#This Row],[Cuenta]],1))</f>
        <v>0</v>
      </c>
      <c r="AV412" t="b">
        <f>+ISNUMBER(SEARCH(CompConta!$F$21,Tabla11[[#This Row],[Cuenta]],1))</f>
        <v>1</v>
      </c>
      <c r="AW412" t="b">
        <f>+ISNUMBER(SEARCH(CompConta!$F$22,Tabla11[[#This Row],[Cuenta]],1))</f>
        <v>1</v>
      </c>
      <c r="AX412" t="b">
        <f>+ISNUMBER(SEARCH(CompConta!$F$23,Tabla11[[#This Row],[Cuenta]],1))</f>
        <v>1</v>
      </c>
      <c r="AY412" t="b">
        <f>+ISNUMBER(SEARCH(CompConta!$F$24,Tabla11[[#This Row],[Cuenta]],1))</f>
        <v>1</v>
      </c>
      <c r="AZ412" t="b">
        <f>+ISNUMBER(SEARCH(CompConta!$F$25,Tabla11[[#This Row],[Cuenta]],1))</f>
        <v>1</v>
      </c>
      <c r="BA412" t="b">
        <f>+ISNUMBER(SEARCH(CompConta!$F$26,Tabla11[[#This Row],[Cuenta]],1))</f>
        <v>1</v>
      </c>
      <c r="BB412" t="b">
        <f>+ISNUMBER(SEARCH(CompConta!$F$27,Tabla11[[#This Row],[Cuenta]],1))</f>
        <v>1</v>
      </c>
      <c r="BC412" t="b">
        <f>+ISNUMBER(SEARCH(CompConta!$F$28,Tabla11[[#This Row],[Cuenta]],1))</f>
        <v>1</v>
      </c>
      <c r="BD412" t="b">
        <f>+ISNUMBER(SEARCH(CompConta!$F$29,Tabla11[[#This Row],[Cuenta]],1))</f>
        <v>1</v>
      </c>
      <c r="BE412" t="b">
        <f>+ISNUMBER(SEARCH(CompConta!$F$30,Tabla11[[#This Row],[Cuenta]],1))</f>
        <v>1</v>
      </c>
      <c r="BF412" t="b">
        <f>+ISNUMBER(SEARCH('PAGO Compras'!$E$11,Tabla11[[#This Row],[Cuenta]],1))</f>
        <v>1</v>
      </c>
      <c r="BG412" t="b">
        <f>+ISNUMBER(SEARCH(#REF!,Tabla11[[#This Row],[Cuenta]],1))</f>
        <v>0</v>
      </c>
      <c r="BH412" t="b">
        <f>+ISNUMBER(SEARCH(#REF!,Tabla11[[#This Row],[Cuenta]],1))</f>
        <v>0</v>
      </c>
      <c r="BI412" t="b">
        <f>+ISNUMBER(SEARCH(#REF!,Tabla11[[#This Row],[Cuenta]],1))</f>
        <v>0</v>
      </c>
      <c r="BJ412" t="b">
        <f>+ISNUMBER(SEARCH(#REF!,Tabla11[[#This Row],[Cuenta]],1))</f>
        <v>0</v>
      </c>
      <c r="BS412" t="str">
        <v>233520 Comisiones</v>
      </c>
      <c r="BT412" t="str">
        <v>233520 Comisiones</v>
      </c>
      <c r="BU412" t="str">
        <v>233520 Comisiones</v>
      </c>
      <c r="BV412" t="str">
        <v>233520 Comisiones</v>
      </c>
      <c r="BZ412" t="str">
        <v>233520 Comisiones</v>
      </c>
      <c r="CA412" t="str">
        <v>233520 Comisiones</v>
      </c>
      <c r="CB412" t="str">
        <v>233520 Comisiones</v>
      </c>
      <c r="CC412" t="str">
        <v>233520 Comisiones</v>
      </c>
      <c r="CD412" t="str">
        <v>233520 Comisiones</v>
      </c>
      <c r="CE412" t="str">
        <v>233520 Comisiones</v>
      </c>
      <c r="CS412" s="141" t="str">
        <v>233520 Comisiones</v>
      </c>
      <c r="CT412" s="141" t="str">
        <v>233520 Comisiones</v>
      </c>
      <c r="CU412" s="141" t="str">
        <v>233520 Comisiones</v>
      </c>
      <c r="CV412" s="141" t="str">
        <v>233520 Comisiones</v>
      </c>
      <c r="CW412" s="141" t="str">
        <v>233520 Comisiones</v>
      </c>
      <c r="CX412" s="141" t="str">
        <v>233520 Comisiones</v>
      </c>
      <c r="CY412" s="141" t="str">
        <v>233520 Comisiones</v>
      </c>
      <c r="CZ412" s="141" t="str">
        <v>233520 Comisiones</v>
      </c>
      <c r="DA412" s="141" t="str">
        <v>233520 Comisiones</v>
      </c>
      <c r="DF412" t="str">
        <v>233520 Comisiones</v>
      </c>
      <c r="DG412" t="str">
        <v>233520 Comisiones</v>
      </c>
      <c r="DH412" t="str">
        <v>233520 Comisiones</v>
      </c>
      <c r="DI412" t="str">
        <v>233520 Comisiones</v>
      </c>
      <c r="DJ412" t="str">
        <v>233520 Comisiones</v>
      </c>
      <c r="DK412" t="str">
        <v>233520 Comisiones</v>
      </c>
      <c r="DL412" t="str">
        <v>233520 Comisiones</v>
      </c>
      <c r="DM412" t="str">
        <v>233520 Comisiones</v>
      </c>
      <c r="DN412" t="str">
        <v>233520 Comisiones</v>
      </c>
      <c r="DO412" t="str">
        <v>233520 Comisiones</v>
      </c>
      <c r="DP412" t="str">
        <v>233520 Comisiones</v>
      </c>
    </row>
    <row r="413" spans="4:120" ht="12.75">
      <c r="D413" s="7">
        <v>233525</v>
      </c>
      <c r="E413" s="6" t="s">
        <v>75</v>
      </c>
      <c r="F413" s="5">
        <v>4</v>
      </c>
      <c r="G413" s="34" t="s">
        <v>823</v>
      </c>
      <c r="H413" s="26" t="s">
        <v>765</v>
      </c>
      <c r="I413" t="b">
        <f>+ISNUMBER(SEARCH('F-COMPRA'!$F$28,Tabla11[[#This Row],[Cuenta]],1))</f>
        <v>1</v>
      </c>
      <c r="J413" t="b">
        <f>+ISNUMBER(SEARCH('F-COMPRA'!$F$29,Tabla11[[#This Row],[Cuenta]],1))</f>
        <v>1</v>
      </c>
      <c r="K413" t="b">
        <f>+ISNUMBER(SEARCH('F-COMPRA'!$F$30,Tabla11[[#This Row],[Cuenta]],1))</f>
        <v>1</v>
      </c>
      <c r="L413" t="b">
        <f>+ISNUMBER(SEARCH('F-COMPRA'!$F$31,Tabla11[[#This Row],[Cuenta]],1))</f>
        <v>1</v>
      </c>
      <c r="M413" t="b">
        <f>+ISNUMBER(SEARCH('F-COMPRA'!$G$25,Tabla11[[#This Row],[Cuenta]],1))</f>
        <v>0</v>
      </c>
      <c r="N413" t="b">
        <f>+ISNUMBER(SEARCH(#REF!,Tabla11[[#This Row],[Cuenta]],1))</f>
        <v>0</v>
      </c>
      <c r="O413" t="b">
        <f>+ISNUMBER(SEARCH(#REF!,Tabla11[[#This Row],[Cuenta]],1))</f>
        <v>0</v>
      </c>
      <c r="P413" t="b">
        <f>+ISNUMBER(SEARCH('F-COMPRA'!$F$32,Tabla11[[#This Row],[Cuenta]],1))</f>
        <v>1</v>
      </c>
      <c r="Q413" t="b">
        <f>+ISNUMBER(SEARCH('F-COMPRA'!$F$33,Tabla11[[#This Row],[Cuenta]],1))</f>
        <v>1</v>
      </c>
      <c r="R413" t="b">
        <f>+ISNUMBER(SEARCH('F-COMPRA'!$F$34,Tabla11[[#This Row],[Cuenta]],1))</f>
        <v>1</v>
      </c>
      <c r="S413" t="b">
        <f>+ISNUMBER(SEARCH('F-COMPRA'!$F$35,Tabla11[[#This Row],[Cuenta]],1))</f>
        <v>1</v>
      </c>
      <c r="T413" t="b">
        <f>+ISNUMBER(SEARCH('F-COMPRA'!$F$36,Tabla11[[#This Row],[Cuenta]],1))</f>
        <v>1</v>
      </c>
      <c r="U413" t="b">
        <f>+ISNUMBER(SEARCH('F-COMPRA'!$F$37,Tabla11[[#This Row],[Cuenta]],1))</f>
        <v>1</v>
      </c>
      <c r="V413" t="b">
        <f>+ISNUMBER(SEARCH(#REF!,Tabla11[[#This Row],[Cuenta]],1))</f>
        <v>0</v>
      </c>
      <c r="W413" t="b">
        <f>+ISNUMBER(SEARCH('F-COMPRA'!#REF!,Tabla11[[#This Row],[Cuenta]],1))</f>
        <v>0</v>
      </c>
      <c r="X413" t="b">
        <f>+ISNUMBER(SEARCH('F-COMPRA'!#REF!,Tabla11[[#This Row],[Cuenta]],1))</f>
        <v>0</v>
      </c>
      <c r="Y413" t="b">
        <f>+ISNUMBER(SEARCH('F-COMPRA'!#REF!,Tabla11[[#This Row],[Cuenta]],1))</f>
        <v>0</v>
      </c>
      <c r="Z413" t="b">
        <f>+ISNUMBER(SEARCH('F-COMPRA'!#REF!,Tabla11[[#This Row],[Cuenta]],1))</f>
        <v>0</v>
      </c>
      <c r="AA413" t="b">
        <f>+ISNUMBER(SEARCH('F-COMPRA'!#REF!,Tabla11[[#This Row],[Cuenta]],1))</f>
        <v>0</v>
      </c>
      <c r="AB413" t="b">
        <f>+ISNUMBER(SEARCH('F-COMPRA'!#REF!,Tabla11[[#This Row],[Cuenta]],1))</f>
        <v>0</v>
      </c>
      <c r="AC413" t="b">
        <f>+ISNUMBER(SEARCH('F-COMPRA'!#REF!,Tabla11[[#This Row],[Cuenta]],1))</f>
        <v>0</v>
      </c>
      <c r="AD413" t="b">
        <f>+ISNUMBER(SEARCH('F-COMPRA'!#REF!,Tabla11[[#This Row],[Cuenta]],1))</f>
        <v>0</v>
      </c>
      <c r="AE413" t="b">
        <f>+ISNUMBER(SEARCH('F-COMPRA'!#REF!,Tabla11[[#This Row],[Cuenta]],1))</f>
        <v>0</v>
      </c>
      <c r="AF413" t="b">
        <f>+ISNUMBER(SEARCH('F-VTA'!$G$23,Tabla11[[#This Row],[Cuenta]],1))</f>
        <v>0</v>
      </c>
      <c r="AG413" t="b">
        <f>+ISNUMBER(SEARCH('F-VTA'!$G$24,Tabla11[[#This Row],[Cuenta]],1))</f>
        <v>0</v>
      </c>
      <c r="AH413" t="b">
        <f>+ISNUMBER(SEARCH('F-VTA'!$G$25,Tabla11[[#This Row],[Cuenta]],1))</f>
        <v>0</v>
      </c>
      <c r="AI413" t="b">
        <f>+ISNUMBER(SEARCH('F-VTA'!$F$28,Tabla11[[#This Row],[Cuenta]],1))</f>
        <v>1</v>
      </c>
      <c r="AJ413" t="b">
        <f>+ISNUMBER(SEARCH('F-VTA'!$F$29,Tabla11[[#This Row],[Cuenta]],1))</f>
        <v>1</v>
      </c>
      <c r="AK413" t="b">
        <f>+ISNUMBER(SEARCH('F-VTA'!$F$30,Tabla11[[#This Row],[Cuenta]],1))</f>
        <v>1</v>
      </c>
      <c r="AL413" t="b">
        <f>+ISNUMBER(SEARCH('F-VTA'!$F$31,Tabla11[[#This Row],[Cuenta]],1))</f>
        <v>1</v>
      </c>
      <c r="AM413" t="b">
        <f>+ISNUMBER(SEARCH('F-VTA'!$F$32,Tabla11[[#This Row],[Cuenta]],1))</f>
        <v>1</v>
      </c>
      <c r="AN413" t="b">
        <f>+ISNUMBER(SEARCH('F-VTA'!$F$33,Tabla11[[#This Row],[Cuenta]],1))</f>
        <v>1</v>
      </c>
      <c r="AO413" t="b">
        <f>+ISNUMBER(SEARCH('F-VTA'!$F$34,Tabla11[[#This Row],[Cuenta]],1))</f>
        <v>1</v>
      </c>
      <c r="AP413" t="b">
        <f>+ISNUMBER(SEARCH('F-VTA'!$F$35,Tabla11[[#This Row],[Cuenta]],1))</f>
        <v>1</v>
      </c>
      <c r="AQ413" t="b">
        <f>+ISNUMBER(SEARCH('F-VTA'!$F$36,Tabla11[[#This Row],[Cuenta]],1))</f>
        <v>1</v>
      </c>
      <c r="AR413" t="b">
        <f>+ISNUMBER(SEARCH(#REF!,Tabla11[[#This Row],[Cuenta]],1))</f>
        <v>0</v>
      </c>
      <c r="AS413" t="b">
        <f>+ISNUMBER(SEARCH(#REF!,Tabla11[[#This Row],[Cuenta]],1))</f>
        <v>0</v>
      </c>
      <c r="AT413" t="b">
        <f>+ISNUMBER(SEARCH(#REF!,Tabla11[[#This Row],[Cuenta]],1))</f>
        <v>0</v>
      </c>
      <c r="AU413" t="b">
        <f>+ISNUMBER(SEARCH('Conc. Ban.1'!$I$9,Tabla11[[#This Row],[Cuenta]],1))</f>
        <v>0</v>
      </c>
      <c r="AV413" t="b">
        <f>+ISNUMBER(SEARCH(CompConta!$F$21,Tabla11[[#This Row],[Cuenta]],1))</f>
        <v>1</v>
      </c>
      <c r="AW413" t="b">
        <f>+ISNUMBER(SEARCH(CompConta!$F$22,Tabla11[[#This Row],[Cuenta]],1))</f>
        <v>1</v>
      </c>
      <c r="AX413" t="b">
        <f>+ISNUMBER(SEARCH(CompConta!$F$23,Tabla11[[#This Row],[Cuenta]],1))</f>
        <v>1</v>
      </c>
      <c r="AY413" t="b">
        <f>+ISNUMBER(SEARCH(CompConta!$F$24,Tabla11[[#This Row],[Cuenta]],1))</f>
        <v>1</v>
      </c>
      <c r="AZ413" t="b">
        <f>+ISNUMBER(SEARCH(CompConta!$F$25,Tabla11[[#This Row],[Cuenta]],1))</f>
        <v>1</v>
      </c>
      <c r="BA413" t="b">
        <f>+ISNUMBER(SEARCH(CompConta!$F$26,Tabla11[[#This Row],[Cuenta]],1))</f>
        <v>1</v>
      </c>
      <c r="BB413" t="b">
        <f>+ISNUMBER(SEARCH(CompConta!$F$27,Tabla11[[#This Row],[Cuenta]],1))</f>
        <v>1</v>
      </c>
      <c r="BC413" t="b">
        <f>+ISNUMBER(SEARCH(CompConta!$F$28,Tabla11[[#This Row],[Cuenta]],1))</f>
        <v>1</v>
      </c>
      <c r="BD413" t="b">
        <f>+ISNUMBER(SEARCH(CompConta!$F$29,Tabla11[[#This Row],[Cuenta]],1))</f>
        <v>1</v>
      </c>
      <c r="BE413" t="b">
        <f>+ISNUMBER(SEARCH(CompConta!$F$30,Tabla11[[#This Row],[Cuenta]],1))</f>
        <v>1</v>
      </c>
      <c r="BF413" t="b">
        <f>+ISNUMBER(SEARCH('PAGO Compras'!$E$11,Tabla11[[#This Row],[Cuenta]],1))</f>
        <v>1</v>
      </c>
      <c r="BG413" t="b">
        <f>+ISNUMBER(SEARCH(#REF!,Tabla11[[#This Row],[Cuenta]],1))</f>
        <v>0</v>
      </c>
      <c r="BH413" t="b">
        <f>+ISNUMBER(SEARCH(#REF!,Tabla11[[#This Row],[Cuenta]],1))</f>
        <v>0</v>
      </c>
      <c r="BI413" t="b">
        <f>+ISNUMBER(SEARCH(#REF!,Tabla11[[#This Row],[Cuenta]],1))</f>
        <v>0</v>
      </c>
      <c r="BJ413" t="b">
        <f>+ISNUMBER(SEARCH(#REF!,Tabla11[[#This Row],[Cuenta]],1))</f>
        <v>0</v>
      </c>
      <c r="BS413" t="str">
        <v>233525 Honorarios</v>
      </c>
      <c r="BT413" t="str">
        <v>233525 Honorarios</v>
      </c>
      <c r="BU413" t="str">
        <v>233525 Honorarios</v>
      </c>
      <c r="BV413" t="str">
        <v>233525 Honorarios</v>
      </c>
      <c r="BZ413" t="str">
        <v>233525 Honorarios</v>
      </c>
      <c r="CA413" t="str">
        <v>233525 Honorarios</v>
      </c>
      <c r="CB413" t="str">
        <v>233525 Honorarios</v>
      </c>
      <c r="CC413" t="str">
        <v>233525 Honorarios</v>
      </c>
      <c r="CD413" t="str">
        <v>233525 Honorarios</v>
      </c>
      <c r="CE413" t="str">
        <v>233525 Honorarios</v>
      </c>
      <c r="CS413" s="141" t="str">
        <v>233525 Honorarios</v>
      </c>
      <c r="CT413" s="141" t="str">
        <v>233525 Honorarios</v>
      </c>
      <c r="CU413" s="141" t="str">
        <v>233525 Honorarios</v>
      </c>
      <c r="CV413" s="141" t="str">
        <v>233525 Honorarios</v>
      </c>
      <c r="CW413" s="141" t="str">
        <v>233525 Honorarios</v>
      </c>
      <c r="CX413" s="141" t="str">
        <v>233525 Honorarios</v>
      </c>
      <c r="CY413" s="141" t="str">
        <v>233525 Honorarios</v>
      </c>
      <c r="CZ413" s="141" t="str">
        <v>233525 Honorarios</v>
      </c>
      <c r="DA413" s="141" t="str">
        <v>233525 Honorarios</v>
      </c>
      <c r="DF413" t="str">
        <v>233525 Honorarios</v>
      </c>
      <c r="DG413" t="str">
        <v>233525 Honorarios</v>
      </c>
      <c r="DH413" t="str">
        <v>233525 Honorarios</v>
      </c>
      <c r="DI413" t="str">
        <v>233525 Honorarios</v>
      </c>
      <c r="DJ413" t="str">
        <v>233525 Honorarios</v>
      </c>
      <c r="DK413" t="str">
        <v>233525 Honorarios</v>
      </c>
      <c r="DL413" t="str">
        <v>233525 Honorarios</v>
      </c>
      <c r="DM413" t="str">
        <v>233525 Honorarios</v>
      </c>
      <c r="DN413" t="str">
        <v>233525 Honorarios</v>
      </c>
      <c r="DO413" t="str">
        <v>233525 Honorarios</v>
      </c>
      <c r="DP413" t="str">
        <v>233525 Honorarios</v>
      </c>
    </row>
    <row r="414" spans="4:120" ht="12.75">
      <c r="D414" s="7">
        <v>233530</v>
      </c>
      <c r="E414" s="6" t="s">
        <v>317</v>
      </c>
      <c r="F414" s="5">
        <v>4</v>
      </c>
      <c r="G414" s="34" t="s">
        <v>823</v>
      </c>
      <c r="H414" s="26" t="s">
        <v>765</v>
      </c>
      <c r="I414" t="b">
        <f>+ISNUMBER(SEARCH('F-COMPRA'!$F$28,Tabla11[[#This Row],[Cuenta]],1))</f>
        <v>1</v>
      </c>
      <c r="J414" t="b">
        <f>+ISNUMBER(SEARCH('F-COMPRA'!$F$29,Tabla11[[#This Row],[Cuenta]],1))</f>
        <v>1</v>
      </c>
      <c r="K414" t="b">
        <f>+ISNUMBER(SEARCH('F-COMPRA'!$F$30,Tabla11[[#This Row],[Cuenta]],1))</f>
        <v>1</v>
      </c>
      <c r="L414" t="b">
        <f>+ISNUMBER(SEARCH('F-COMPRA'!$F$31,Tabla11[[#This Row],[Cuenta]],1))</f>
        <v>1</v>
      </c>
      <c r="M414" t="b">
        <f>+ISNUMBER(SEARCH('F-COMPRA'!$G$25,Tabla11[[#This Row],[Cuenta]],1))</f>
        <v>0</v>
      </c>
      <c r="N414" t="b">
        <f>+ISNUMBER(SEARCH(#REF!,Tabla11[[#This Row],[Cuenta]],1))</f>
        <v>0</v>
      </c>
      <c r="O414" t="b">
        <f>+ISNUMBER(SEARCH(#REF!,Tabla11[[#This Row],[Cuenta]],1))</f>
        <v>0</v>
      </c>
      <c r="P414" t="b">
        <f>+ISNUMBER(SEARCH('F-COMPRA'!$F$32,Tabla11[[#This Row],[Cuenta]],1))</f>
        <v>1</v>
      </c>
      <c r="Q414" t="b">
        <f>+ISNUMBER(SEARCH('F-COMPRA'!$F$33,Tabla11[[#This Row],[Cuenta]],1))</f>
        <v>1</v>
      </c>
      <c r="R414" t="b">
        <f>+ISNUMBER(SEARCH('F-COMPRA'!$F$34,Tabla11[[#This Row],[Cuenta]],1))</f>
        <v>1</v>
      </c>
      <c r="S414" t="b">
        <f>+ISNUMBER(SEARCH('F-COMPRA'!$F$35,Tabla11[[#This Row],[Cuenta]],1))</f>
        <v>1</v>
      </c>
      <c r="T414" t="b">
        <f>+ISNUMBER(SEARCH('F-COMPRA'!$F$36,Tabla11[[#This Row],[Cuenta]],1))</f>
        <v>1</v>
      </c>
      <c r="U414" t="b">
        <f>+ISNUMBER(SEARCH('F-COMPRA'!$F$37,Tabla11[[#This Row],[Cuenta]],1))</f>
        <v>1</v>
      </c>
      <c r="V414" t="b">
        <f>+ISNUMBER(SEARCH(#REF!,Tabla11[[#This Row],[Cuenta]],1))</f>
        <v>0</v>
      </c>
      <c r="W414" t="b">
        <f>+ISNUMBER(SEARCH('F-COMPRA'!#REF!,Tabla11[[#This Row],[Cuenta]],1))</f>
        <v>0</v>
      </c>
      <c r="X414" t="b">
        <f>+ISNUMBER(SEARCH('F-COMPRA'!#REF!,Tabla11[[#This Row],[Cuenta]],1))</f>
        <v>0</v>
      </c>
      <c r="Y414" t="b">
        <f>+ISNUMBER(SEARCH('F-COMPRA'!#REF!,Tabla11[[#This Row],[Cuenta]],1))</f>
        <v>0</v>
      </c>
      <c r="Z414" t="b">
        <f>+ISNUMBER(SEARCH('F-COMPRA'!#REF!,Tabla11[[#This Row],[Cuenta]],1))</f>
        <v>0</v>
      </c>
      <c r="AA414" t="b">
        <f>+ISNUMBER(SEARCH('F-COMPRA'!#REF!,Tabla11[[#This Row],[Cuenta]],1))</f>
        <v>0</v>
      </c>
      <c r="AB414" t="b">
        <f>+ISNUMBER(SEARCH('F-COMPRA'!#REF!,Tabla11[[#This Row],[Cuenta]],1))</f>
        <v>0</v>
      </c>
      <c r="AC414" t="b">
        <f>+ISNUMBER(SEARCH('F-COMPRA'!#REF!,Tabla11[[#This Row],[Cuenta]],1))</f>
        <v>0</v>
      </c>
      <c r="AD414" t="b">
        <f>+ISNUMBER(SEARCH('F-COMPRA'!#REF!,Tabla11[[#This Row],[Cuenta]],1))</f>
        <v>0</v>
      </c>
      <c r="AE414" t="b">
        <f>+ISNUMBER(SEARCH('F-COMPRA'!#REF!,Tabla11[[#This Row],[Cuenta]],1))</f>
        <v>0</v>
      </c>
      <c r="AF414" t="b">
        <f>+ISNUMBER(SEARCH('F-VTA'!$G$23,Tabla11[[#This Row],[Cuenta]],1))</f>
        <v>0</v>
      </c>
      <c r="AG414" t="b">
        <f>+ISNUMBER(SEARCH('F-VTA'!$G$24,Tabla11[[#This Row],[Cuenta]],1))</f>
        <v>0</v>
      </c>
      <c r="AH414" t="b">
        <f>+ISNUMBER(SEARCH('F-VTA'!$G$25,Tabla11[[#This Row],[Cuenta]],1))</f>
        <v>0</v>
      </c>
      <c r="AI414" t="b">
        <f>+ISNUMBER(SEARCH('F-VTA'!$F$28,Tabla11[[#This Row],[Cuenta]],1))</f>
        <v>1</v>
      </c>
      <c r="AJ414" t="b">
        <f>+ISNUMBER(SEARCH('F-VTA'!$F$29,Tabla11[[#This Row],[Cuenta]],1))</f>
        <v>1</v>
      </c>
      <c r="AK414" t="b">
        <f>+ISNUMBER(SEARCH('F-VTA'!$F$30,Tabla11[[#This Row],[Cuenta]],1))</f>
        <v>1</v>
      </c>
      <c r="AL414" t="b">
        <f>+ISNUMBER(SEARCH('F-VTA'!$F$31,Tabla11[[#This Row],[Cuenta]],1))</f>
        <v>1</v>
      </c>
      <c r="AM414" t="b">
        <f>+ISNUMBER(SEARCH('F-VTA'!$F$32,Tabla11[[#This Row],[Cuenta]],1))</f>
        <v>1</v>
      </c>
      <c r="AN414" t="b">
        <f>+ISNUMBER(SEARCH('F-VTA'!$F$33,Tabla11[[#This Row],[Cuenta]],1))</f>
        <v>1</v>
      </c>
      <c r="AO414" t="b">
        <f>+ISNUMBER(SEARCH('F-VTA'!$F$34,Tabla11[[#This Row],[Cuenta]],1))</f>
        <v>1</v>
      </c>
      <c r="AP414" t="b">
        <f>+ISNUMBER(SEARCH('F-VTA'!$F$35,Tabla11[[#This Row],[Cuenta]],1))</f>
        <v>1</v>
      </c>
      <c r="AQ414" t="b">
        <f>+ISNUMBER(SEARCH('F-VTA'!$F$36,Tabla11[[#This Row],[Cuenta]],1))</f>
        <v>1</v>
      </c>
      <c r="AR414" t="b">
        <f>+ISNUMBER(SEARCH(#REF!,Tabla11[[#This Row],[Cuenta]],1))</f>
        <v>0</v>
      </c>
      <c r="AS414" t="b">
        <f>+ISNUMBER(SEARCH(#REF!,Tabla11[[#This Row],[Cuenta]],1))</f>
        <v>0</v>
      </c>
      <c r="AT414" t="b">
        <f>+ISNUMBER(SEARCH(#REF!,Tabla11[[#This Row],[Cuenta]],1))</f>
        <v>0</v>
      </c>
      <c r="AU414" t="b">
        <f>+ISNUMBER(SEARCH('Conc. Ban.1'!$I$9,Tabla11[[#This Row],[Cuenta]],1))</f>
        <v>0</v>
      </c>
      <c r="AV414" t="b">
        <f>+ISNUMBER(SEARCH(CompConta!$F$21,Tabla11[[#This Row],[Cuenta]],1))</f>
        <v>1</v>
      </c>
      <c r="AW414" t="b">
        <f>+ISNUMBER(SEARCH(CompConta!$F$22,Tabla11[[#This Row],[Cuenta]],1))</f>
        <v>1</v>
      </c>
      <c r="AX414" t="b">
        <f>+ISNUMBER(SEARCH(CompConta!$F$23,Tabla11[[#This Row],[Cuenta]],1))</f>
        <v>1</v>
      </c>
      <c r="AY414" t="b">
        <f>+ISNUMBER(SEARCH(CompConta!$F$24,Tabla11[[#This Row],[Cuenta]],1))</f>
        <v>1</v>
      </c>
      <c r="AZ414" t="b">
        <f>+ISNUMBER(SEARCH(CompConta!$F$25,Tabla11[[#This Row],[Cuenta]],1))</f>
        <v>1</v>
      </c>
      <c r="BA414" t="b">
        <f>+ISNUMBER(SEARCH(CompConta!$F$26,Tabla11[[#This Row],[Cuenta]],1))</f>
        <v>1</v>
      </c>
      <c r="BB414" t="b">
        <f>+ISNUMBER(SEARCH(CompConta!$F$27,Tabla11[[#This Row],[Cuenta]],1))</f>
        <v>1</v>
      </c>
      <c r="BC414" t="b">
        <f>+ISNUMBER(SEARCH(CompConta!$F$28,Tabla11[[#This Row],[Cuenta]],1))</f>
        <v>1</v>
      </c>
      <c r="BD414" t="b">
        <f>+ISNUMBER(SEARCH(CompConta!$F$29,Tabla11[[#This Row],[Cuenta]],1))</f>
        <v>1</v>
      </c>
      <c r="BE414" t="b">
        <f>+ISNUMBER(SEARCH(CompConta!$F$30,Tabla11[[#This Row],[Cuenta]],1))</f>
        <v>1</v>
      </c>
      <c r="BF414" t="b">
        <f>+ISNUMBER(SEARCH('PAGO Compras'!$E$11,Tabla11[[#This Row],[Cuenta]],1))</f>
        <v>1</v>
      </c>
      <c r="BG414" t="b">
        <f>+ISNUMBER(SEARCH(#REF!,Tabla11[[#This Row],[Cuenta]],1))</f>
        <v>0</v>
      </c>
      <c r="BH414" t="b">
        <f>+ISNUMBER(SEARCH(#REF!,Tabla11[[#This Row],[Cuenta]],1))</f>
        <v>0</v>
      </c>
      <c r="BI414" t="b">
        <f>+ISNUMBER(SEARCH(#REF!,Tabla11[[#This Row],[Cuenta]],1))</f>
        <v>0</v>
      </c>
      <c r="BJ414" t="b">
        <f>+ISNUMBER(SEARCH(#REF!,Tabla11[[#This Row],[Cuenta]],1))</f>
        <v>0</v>
      </c>
      <c r="BS414" t="str">
        <v>233530 Servicios técnicos</v>
      </c>
      <c r="BT414" t="str">
        <v>233530 Servicios técnicos</v>
      </c>
      <c r="BU414" t="str">
        <v>233530 Servicios técnicos</v>
      </c>
      <c r="BV414" t="str">
        <v>233530 Servicios técnicos</v>
      </c>
      <c r="BZ414" t="str">
        <v>233530 Servicios técnicos</v>
      </c>
      <c r="CA414" t="str">
        <v>233530 Servicios técnicos</v>
      </c>
      <c r="CB414" t="str">
        <v>233530 Servicios técnicos</v>
      </c>
      <c r="CC414" t="str">
        <v>233530 Servicios técnicos</v>
      </c>
      <c r="CD414" t="str">
        <v>233530 Servicios técnicos</v>
      </c>
      <c r="CE414" t="str">
        <v>233530 Servicios técnicos</v>
      </c>
      <c r="CS414" s="141" t="str">
        <v>233530 Servicios técnicos</v>
      </c>
      <c r="CT414" s="141" t="str">
        <v>233530 Servicios técnicos</v>
      </c>
      <c r="CU414" s="141" t="str">
        <v>233530 Servicios técnicos</v>
      </c>
      <c r="CV414" s="141" t="str">
        <v>233530 Servicios técnicos</v>
      </c>
      <c r="CW414" s="141" t="str">
        <v>233530 Servicios técnicos</v>
      </c>
      <c r="CX414" s="141" t="str">
        <v>233530 Servicios técnicos</v>
      </c>
      <c r="CY414" s="141" t="str">
        <v>233530 Servicios técnicos</v>
      </c>
      <c r="CZ414" s="141" t="str">
        <v>233530 Servicios técnicos</v>
      </c>
      <c r="DA414" s="141" t="str">
        <v>233530 Servicios técnicos</v>
      </c>
      <c r="DF414" t="str">
        <v>233530 Servicios técnicos</v>
      </c>
      <c r="DG414" t="str">
        <v>233530 Servicios técnicos</v>
      </c>
      <c r="DH414" t="str">
        <v>233530 Servicios técnicos</v>
      </c>
      <c r="DI414" t="str">
        <v>233530 Servicios técnicos</v>
      </c>
      <c r="DJ414" t="str">
        <v>233530 Servicios técnicos</v>
      </c>
      <c r="DK414" t="str">
        <v>233530 Servicios técnicos</v>
      </c>
      <c r="DL414" t="str">
        <v>233530 Servicios técnicos</v>
      </c>
      <c r="DM414" t="str">
        <v>233530 Servicios técnicos</v>
      </c>
      <c r="DN414" t="str">
        <v>233530 Servicios técnicos</v>
      </c>
      <c r="DO414" t="str">
        <v>233530 Servicios técnicos</v>
      </c>
      <c r="DP414" t="str">
        <v>233530 Servicios técnicos</v>
      </c>
    </row>
    <row r="415" spans="4:120" ht="12.75">
      <c r="D415" s="7">
        <v>233535</v>
      </c>
      <c r="E415" s="6" t="s">
        <v>318</v>
      </c>
      <c r="F415" s="5">
        <v>4</v>
      </c>
      <c r="G415" s="34" t="s">
        <v>823</v>
      </c>
      <c r="H415" s="26" t="s">
        <v>765</v>
      </c>
      <c r="I415" t="b">
        <f>+ISNUMBER(SEARCH('F-COMPRA'!$F$28,Tabla11[[#This Row],[Cuenta]],1))</f>
        <v>1</v>
      </c>
      <c r="J415" t="b">
        <f>+ISNUMBER(SEARCH('F-COMPRA'!$F$29,Tabla11[[#This Row],[Cuenta]],1))</f>
        <v>1</v>
      </c>
      <c r="K415" t="b">
        <f>+ISNUMBER(SEARCH('F-COMPRA'!$F$30,Tabla11[[#This Row],[Cuenta]],1))</f>
        <v>1</v>
      </c>
      <c r="L415" t="b">
        <f>+ISNUMBER(SEARCH('F-COMPRA'!$F$31,Tabla11[[#This Row],[Cuenta]],1))</f>
        <v>1</v>
      </c>
      <c r="M415" t="b">
        <f>+ISNUMBER(SEARCH('F-COMPRA'!$G$25,Tabla11[[#This Row],[Cuenta]],1))</f>
        <v>0</v>
      </c>
      <c r="N415" t="b">
        <f>+ISNUMBER(SEARCH(#REF!,Tabla11[[#This Row],[Cuenta]],1))</f>
        <v>0</v>
      </c>
      <c r="O415" t="b">
        <f>+ISNUMBER(SEARCH(#REF!,Tabla11[[#This Row],[Cuenta]],1))</f>
        <v>0</v>
      </c>
      <c r="P415" t="b">
        <f>+ISNUMBER(SEARCH('F-COMPRA'!$F$32,Tabla11[[#This Row],[Cuenta]],1))</f>
        <v>1</v>
      </c>
      <c r="Q415" t="b">
        <f>+ISNUMBER(SEARCH('F-COMPRA'!$F$33,Tabla11[[#This Row],[Cuenta]],1))</f>
        <v>1</v>
      </c>
      <c r="R415" t="b">
        <f>+ISNUMBER(SEARCH('F-COMPRA'!$F$34,Tabla11[[#This Row],[Cuenta]],1))</f>
        <v>1</v>
      </c>
      <c r="S415" t="b">
        <f>+ISNUMBER(SEARCH('F-COMPRA'!$F$35,Tabla11[[#This Row],[Cuenta]],1))</f>
        <v>1</v>
      </c>
      <c r="T415" t="b">
        <f>+ISNUMBER(SEARCH('F-COMPRA'!$F$36,Tabla11[[#This Row],[Cuenta]],1))</f>
        <v>1</v>
      </c>
      <c r="U415" t="b">
        <f>+ISNUMBER(SEARCH('F-COMPRA'!$F$37,Tabla11[[#This Row],[Cuenta]],1))</f>
        <v>1</v>
      </c>
      <c r="V415" t="b">
        <f>+ISNUMBER(SEARCH(#REF!,Tabla11[[#This Row],[Cuenta]],1))</f>
        <v>0</v>
      </c>
      <c r="W415" t="b">
        <f>+ISNUMBER(SEARCH('F-COMPRA'!#REF!,Tabla11[[#This Row],[Cuenta]],1))</f>
        <v>0</v>
      </c>
      <c r="X415" t="b">
        <f>+ISNUMBER(SEARCH('F-COMPRA'!#REF!,Tabla11[[#This Row],[Cuenta]],1))</f>
        <v>0</v>
      </c>
      <c r="Y415" t="b">
        <f>+ISNUMBER(SEARCH('F-COMPRA'!#REF!,Tabla11[[#This Row],[Cuenta]],1))</f>
        <v>0</v>
      </c>
      <c r="Z415" t="b">
        <f>+ISNUMBER(SEARCH('F-COMPRA'!#REF!,Tabla11[[#This Row],[Cuenta]],1))</f>
        <v>0</v>
      </c>
      <c r="AA415" t="b">
        <f>+ISNUMBER(SEARCH('F-COMPRA'!#REF!,Tabla11[[#This Row],[Cuenta]],1))</f>
        <v>0</v>
      </c>
      <c r="AB415" t="b">
        <f>+ISNUMBER(SEARCH('F-COMPRA'!#REF!,Tabla11[[#This Row],[Cuenta]],1))</f>
        <v>0</v>
      </c>
      <c r="AC415" t="b">
        <f>+ISNUMBER(SEARCH('F-COMPRA'!#REF!,Tabla11[[#This Row],[Cuenta]],1))</f>
        <v>0</v>
      </c>
      <c r="AD415" t="b">
        <f>+ISNUMBER(SEARCH('F-COMPRA'!#REF!,Tabla11[[#This Row],[Cuenta]],1))</f>
        <v>0</v>
      </c>
      <c r="AE415" t="b">
        <f>+ISNUMBER(SEARCH('F-COMPRA'!#REF!,Tabla11[[#This Row],[Cuenta]],1))</f>
        <v>0</v>
      </c>
      <c r="AF415" t="b">
        <f>+ISNUMBER(SEARCH('F-VTA'!$G$23,Tabla11[[#This Row],[Cuenta]],1))</f>
        <v>0</v>
      </c>
      <c r="AG415" t="b">
        <f>+ISNUMBER(SEARCH('F-VTA'!$G$24,Tabla11[[#This Row],[Cuenta]],1))</f>
        <v>0</v>
      </c>
      <c r="AH415" t="b">
        <f>+ISNUMBER(SEARCH('F-VTA'!$G$25,Tabla11[[#This Row],[Cuenta]],1))</f>
        <v>0</v>
      </c>
      <c r="AI415" t="b">
        <f>+ISNUMBER(SEARCH('F-VTA'!$F$28,Tabla11[[#This Row],[Cuenta]],1))</f>
        <v>1</v>
      </c>
      <c r="AJ415" t="b">
        <f>+ISNUMBER(SEARCH('F-VTA'!$F$29,Tabla11[[#This Row],[Cuenta]],1))</f>
        <v>1</v>
      </c>
      <c r="AK415" t="b">
        <f>+ISNUMBER(SEARCH('F-VTA'!$F$30,Tabla11[[#This Row],[Cuenta]],1))</f>
        <v>1</v>
      </c>
      <c r="AL415" t="b">
        <f>+ISNUMBER(SEARCH('F-VTA'!$F$31,Tabla11[[#This Row],[Cuenta]],1))</f>
        <v>1</v>
      </c>
      <c r="AM415" t="b">
        <f>+ISNUMBER(SEARCH('F-VTA'!$F$32,Tabla11[[#This Row],[Cuenta]],1))</f>
        <v>1</v>
      </c>
      <c r="AN415" t="b">
        <f>+ISNUMBER(SEARCH('F-VTA'!$F$33,Tabla11[[#This Row],[Cuenta]],1))</f>
        <v>1</v>
      </c>
      <c r="AO415" t="b">
        <f>+ISNUMBER(SEARCH('F-VTA'!$F$34,Tabla11[[#This Row],[Cuenta]],1))</f>
        <v>1</v>
      </c>
      <c r="AP415" t="b">
        <f>+ISNUMBER(SEARCH('F-VTA'!$F$35,Tabla11[[#This Row],[Cuenta]],1))</f>
        <v>1</v>
      </c>
      <c r="AQ415" t="b">
        <f>+ISNUMBER(SEARCH('F-VTA'!$F$36,Tabla11[[#This Row],[Cuenta]],1))</f>
        <v>1</v>
      </c>
      <c r="AR415" t="b">
        <f>+ISNUMBER(SEARCH(#REF!,Tabla11[[#This Row],[Cuenta]],1))</f>
        <v>0</v>
      </c>
      <c r="AS415" t="b">
        <f>+ISNUMBER(SEARCH(#REF!,Tabla11[[#This Row],[Cuenta]],1))</f>
        <v>0</v>
      </c>
      <c r="AT415" t="b">
        <f>+ISNUMBER(SEARCH(#REF!,Tabla11[[#This Row],[Cuenta]],1))</f>
        <v>0</v>
      </c>
      <c r="AU415" t="b">
        <f>+ISNUMBER(SEARCH('Conc. Ban.1'!$I$9,Tabla11[[#This Row],[Cuenta]],1))</f>
        <v>0</v>
      </c>
      <c r="AV415" t="b">
        <f>+ISNUMBER(SEARCH(CompConta!$F$21,Tabla11[[#This Row],[Cuenta]],1))</f>
        <v>1</v>
      </c>
      <c r="AW415" t="b">
        <f>+ISNUMBER(SEARCH(CompConta!$F$22,Tabla11[[#This Row],[Cuenta]],1))</f>
        <v>1</v>
      </c>
      <c r="AX415" t="b">
        <f>+ISNUMBER(SEARCH(CompConta!$F$23,Tabla11[[#This Row],[Cuenta]],1))</f>
        <v>1</v>
      </c>
      <c r="AY415" t="b">
        <f>+ISNUMBER(SEARCH(CompConta!$F$24,Tabla11[[#This Row],[Cuenta]],1))</f>
        <v>1</v>
      </c>
      <c r="AZ415" t="b">
        <f>+ISNUMBER(SEARCH(CompConta!$F$25,Tabla11[[#This Row],[Cuenta]],1))</f>
        <v>1</v>
      </c>
      <c r="BA415" t="b">
        <f>+ISNUMBER(SEARCH(CompConta!$F$26,Tabla11[[#This Row],[Cuenta]],1))</f>
        <v>1</v>
      </c>
      <c r="BB415" t="b">
        <f>+ISNUMBER(SEARCH(CompConta!$F$27,Tabla11[[#This Row],[Cuenta]],1))</f>
        <v>1</v>
      </c>
      <c r="BC415" t="b">
        <f>+ISNUMBER(SEARCH(CompConta!$F$28,Tabla11[[#This Row],[Cuenta]],1))</f>
        <v>1</v>
      </c>
      <c r="BD415" t="b">
        <f>+ISNUMBER(SEARCH(CompConta!$F$29,Tabla11[[#This Row],[Cuenta]],1))</f>
        <v>1</v>
      </c>
      <c r="BE415" t="b">
        <f>+ISNUMBER(SEARCH(CompConta!$F$30,Tabla11[[#This Row],[Cuenta]],1))</f>
        <v>1</v>
      </c>
      <c r="BF415" t="b">
        <f>+ISNUMBER(SEARCH('PAGO Compras'!$E$11,Tabla11[[#This Row],[Cuenta]],1))</f>
        <v>1</v>
      </c>
      <c r="BG415" t="b">
        <f>+ISNUMBER(SEARCH(#REF!,Tabla11[[#This Row],[Cuenta]],1))</f>
        <v>0</v>
      </c>
      <c r="BH415" t="b">
        <f>+ISNUMBER(SEARCH(#REF!,Tabla11[[#This Row],[Cuenta]],1))</f>
        <v>0</v>
      </c>
      <c r="BI415" t="b">
        <f>+ISNUMBER(SEARCH(#REF!,Tabla11[[#This Row],[Cuenta]],1))</f>
        <v>0</v>
      </c>
      <c r="BJ415" t="b">
        <f>+ISNUMBER(SEARCH(#REF!,Tabla11[[#This Row],[Cuenta]],1))</f>
        <v>0</v>
      </c>
      <c r="BS415" t="str">
        <v>233535 Servicios de mantenimiento</v>
      </c>
      <c r="BT415" t="str">
        <v>233535 Servicios de mantenimiento</v>
      </c>
      <c r="BU415" t="str">
        <v>233535 Servicios de mantenimiento</v>
      </c>
      <c r="BV415" t="str">
        <v>233535 Servicios de mantenimiento</v>
      </c>
      <c r="BZ415" t="str">
        <v>233535 Servicios de mantenimiento</v>
      </c>
      <c r="CA415" t="str">
        <v>233535 Servicios de mantenimiento</v>
      </c>
      <c r="CB415" t="str">
        <v>233535 Servicios de mantenimiento</v>
      </c>
      <c r="CC415" t="str">
        <v>233535 Servicios de mantenimiento</v>
      </c>
      <c r="CD415" t="str">
        <v>233535 Servicios de mantenimiento</v>
      </c>
      <c r="CE415" t="str">
        <v>233535 Servicios de mantenimiento</v>
      </c>
      <c r="CS415" s="141" t="str">
        <v>233535 Servicios de mantenimiento</v>
      </c>
      <c r="CT415" s="141" t="str">
        <v>233535 Servicios de mantenimiento</v>
      </c>
      <c r="CU415" s="141" t="str">
        <v>233535 Servicios de mantenimiento</v>
      </c>
      <c r="CV415" s="141" t="str">
        <v>233535 Servicios de mantenimiento</v>
      </c>
      <c r="CW415" s="141" t="str">
        <v>233535 Servicios de mantenimiento</v>
      </c>
      <c r="CX415" s="141" t="str">
        <v>233535 Servicios de mantenimiento</v>
      </c>
      <c r="CY415" s="141" t="str">
        <v>233535 Servicios de mantenimiento</v>
      </c>
      <c r="CZ415" s="141" t="str">
        <v>233535 Servicios de mantenimiento</v>
      </c>
      <c r="DA415" s="141" t="str">
        <v>233535 Servicios de mantenimiento</v>
      </c>
      <c r="DF415" t="str">
        <v>233535 Servicios de mantenimiento</v>
      </c>
      <c r="DG415" t="str">
        <v>233535 Servicios de mantenimiento</v>
      </c>
      <c r="DH415" t="str">
        <v>233535 Servicios de mantenimiento</v>
      </c>
      <c r="DI415" t="str">
        <v>233535 Servicios de mantenimiento</v>
      </c>
      <c r="DJ415" t="str">
        <v>233535 Servicios de mantenimiento</v>
      </c>
      <c r="DK415" t="str">
        <v>233535 Servicios de mantenimiento</v>
      </c>
      <c r="DL415" t="str">
        <v>233535 Servicios de mantenimiento</v>
      </c>
      <c r="DM415" t="str">
        <v>233535 Servicios de mantenimiento</v>
      </c>
      <c r="DN415" t="str">
        <v>233535 Servicios de mantenimiento</v>
      </c>
      <c r="DO415" t="str">
        <v>233535 Servicios de mantenimiento</v>
      </c>
      <c r="DP415" t="str">
        <v>233535 Servicios de mantenimiento</v>
      </c>
    </row>
    <row r="416" spans="4:120" ht="12.75">
      <c r="D416" s="7">
        <v>233540</v>
      </c>
      <c r="E416" s="6" t="s">
        <v>77</v>
      </c>
      <c r="F416" s="5">
        <v>4</v>
      </c>
      <c r="G416" s="34" t="s">
        <v>823</v>
      </c>
      <c r="H416" s="26" t="s">
        <v>765</v>
      </c>
      <c r="I416" t="b">
        <f>+ISNUMBER(SEARCH('F-COMPRA'!$F$28,Tabla11[[#This Row],[Cuenta]],1))</f>
        <v>1</v>
      </c>
      <c r="J416" t="b">
        <f>+ISNUMBER(SEARCH('F-COMPRA'!$F$29,Tabla11[[#This Row],[Cuenta]],1))</f>
        <v>1</v>
      </c>
      <c r="K416" t="b">
        <f>+ISNUMBER(SEARCH('F-COMPRA'!$F$30,Tabla11[[#This Row],[Cuenta]],1))</f>
        <v>1</v>
      </c>
      <c r="L416" t="b">
        <f>+ISNUMBER(SEARCH('F-COMPRA'!$F$31,Tabla11[[#This Row],[Cuenta]],1))</f>
        <v>1</v>
      </c>
      <c r="M416" t="b">
        <f>+ISNUMBER(SEARCH('F-COMPRA'!$G$25,Tabla11[[#This Row],[Cuenta]],1))</f>
        <v>0</v>
      </c>
      <c r="N416" t="b">
        <f>+ISNUMBER(SEARCH(#REF!,Tabla11[[#This Row],[Cuenta]],1))</f>
        <v>0</v>
      </c>
      <c r="O416" t="b">
        <f>+ISNUMBER(SEARCH(#REF!,Tabla11[[#This Row],[Cuenta]],1))</f>
        <v>0</v>
      </c>
      <c r="P416" t="b">
        <f>+ISNUMBER(SEARCH('F-COMPRA'!$F$32,Tabla11[[#This Row],[Cuenta]],1))</f>
        <v>1</v>
      </c>
      <c r="Q416" t="b">
        <f>+ISNUMBER(SEARCH('F-COMPRA'!$F$33,Tabla11[[#This Row],[Cuenta]],1))</f>
        <v>1</v>
      </c>
      <c r="R416" t="b">
        <f>+ISNUMBER(SEARCH('F-COMPRA'!$F$34,Tabla11[[#This Row],[Cuenta]],1))</f>
        <v>1</v>
      </c>
      <c r="S416" t="b">
        <f>+ISNUMBER(SEARCH('F-COMPRA'!$F$35,Tabla11[[#This Row],[Cuenta]],1))</f>
        <v>1</v>
      </c>
      <c r="T416" t="b">
        <f>+ISNUMBER(SEARCH('F-COMPRA'!$F$36,Tabla11[[#This Row],[Cuenta]],1))</f>
        <v>1</v>
      </c>
      <c r="U416" t="b">
        <f>+ISNUMBER(SEARCH('F-COMPRA'!$F$37,Tabla11[[#This Row],[Cuenta]],1))</f>
        <v>1</v>
      </c>
      <c r="V416" t="b">
        <f>+ISNUMBER(SEARCH(#REF!,Tabla11[[#This Row],[Cuenta]],1))</f>
        <v>0</v>
      </c>
      <c r="W416" t="b">
        <f>+ISNUMBER(SEARCH('F-COMPRA'!#REF!,Tabla11[[#This Row],[Cuenta]],1))</f>
        <v>0</v>
      </c>
      <c r="X416" t="b">
        <f>+ISNUMBER(SEARCH('F-COMPRA'!#REF!,Tabla11[[#This Row],[Cuenta]],1))</f>
        <v>0</v>
      </c>
      <c r="Y416" t="b">
        <f>+ISNUMBER(SEARCH('F-COMPRA'!#REF!,Tabla11[[#This Row],[Cuenta]],1))</f>
        <v>0</v>
      </c>
      <c r="Z416" t="b">
        <f>+ISNUMBER(SEARCH('F-COMPRA'!#REF!,Tabla11[[#This Row],[Cuenta]],1))</f>
        <v>0</v>
      </c>
      <c r="AA416" t="b">
        <f>+ISNUMBER(SEARCH('F-COMPRA'!#REF!,Tabla11[[#This Row],[Cuenta]],1))</f>
        <v>0</v>
      </c>
      <c r="AB416" t="b">
        <f>+ISNUMBER(SEARCH('F-COMPRA'!#REF!,Tabla11[[#This Row],[Cuenta]],1))</f>
        <v>0</v>
      </c>
      <c r="AC416" t="b">
        <f>+ISNUMBER(SEARCH('F-COMPRA'!#REF!,Tabla11[[#This Row],[Cuenta]],1))</f>
        <v>0</v>
      </c>
      <c r="AD416" t="b">
        <f>+ISNUMBER(SEARCH('F-COMPRA'!#REF!,Tabla11[[#This Row],[Cuenta]],1))</f>
        <v>0</v>
      </c>
      <c r="AE416" t="b">
        <f>+ISNUMBER(SEARCH('F-COMPRA'!#REF!,Tabla11[[#This Row],[Cuenta]],1))</f>
        <v>0</v>
      </c>
      <c r="AF416" t="b">
        <f>+ISNUMBER(SEARCH('F-VTA'!$G$23,Tabla11[[#This Row],[Cuenta]],1))</f>
        <v>0</v>
      </c>
      <c r="AG416" t="b">
        <f>+ISNUMBER(SEARCH('F-VTA'!$G$24,Tabla11[[#This Row],[Cuenta]],1))</f>
        <v>0</v>
      </c>
      <c r="AH416" t="b">
        <f>+ISNUMBER(SEARCH('F-VTA'!$G$25,Tabla11[[#This Row],[Cuenta]],1))</f>
        <v>0</v>
      </c>
      <c r="AI416" t="b">
        <f>+ISNUMBER(SEARCH('F-VTA'!$F$28,Tabla11[[#This Row],[Cuenta]],1))</f>
        <v>1</v>
      </c>
      <c r="AJ416" t="b">
        <f>+ISNUMBER(SEARCH('F-VTA'!$F$29,Tabla11[[#This Row],[Cuenta]],1))</f>
        <v>1</v>
      </c>
      <c r="AK416" t="b">
        <f>+ISNUMBER(SEARCH('F-VTA'!$F$30,Tabla11[[#This Row],[Cuenta]],1))</f>
        <v>1</v>
      </c>
      <c r="AL416" t="b">
        <f>+ISNUMBER(SEARCH('F-VTA'!$F$31,Tabla11[[#This Row],[Cuenta]],1))</f>
        <v>1</v>
      </c>
      <c r="AM416" t="b">
        <f>+ISNUMBER(SEARCH('F-VTA'!$F$32,Tabla11[[#This Row],[Cuenta]],1))</f>
        <v>1</v>
      </c>
      <c r="AN416" t="b">
        <f>+ISNUMBER(SEARCH('F-VTA'!$F$33,Tabla11[[#This Row],[Cuenta]],1))</f>
        <v>1</v>
      </c>
      <c r="AO416" t="b">
        <f>+ISNUMBER(SEARCH('F-VTA'!$F$34,Tabla11[[#This Row],[Cuenta]],1))</f>
        <v>1</v>
      </c>
      <c r="AP416" t="b">
        <f>+ISNUMBER(SEARCH('F-VTA'!$F$35,Tabla11[[#This Row],[Cuenta]],1))</f>
        <v>1</v>
      </c>
      <c r="AQ416" t="b">
        <f>+ISNUMBER(SEARCH('F-VTA'!$F$36,Tabla11[[#This Row],[Cuenta]],1))</f>
        <v>1</v>
      </c>
      <c r="AR416" t="b">
        <f>+ISNUMBER(SEARCH(#REF!,Tabla11[[#This Row],[Cuenta]],1))</f>
        <v>0</v>
      </c>
      <c r="AS416" t="b">
        <f>+ISNUMBER(SEARCH(#REF!,Tabla11[[#This Row],[Cuenta]],1))</f>
        <v>0</v>
      </c>
      <c r="AT416" t="b">
        <f>+ISNUMBER(SEARCH(#REF!,Tabla11[[#This Row],[Cuenta]],1))</f>
        <v>0</v>
      </c>
      <c r="AU416" t="b">
        <f>+ISNUMBER(SEARCH('Conc. Ban.1'!$I$9,Tabla11[[#This Row],[Cuenta]],1))</f>
        <v>0</v>
      </c>
      <c r="AV416" t="b">
        <f>+ISNUMBER(SEARCH(CompConta!$F$21,Tabla11[[#This Row],[Cuenta]],1))</f>
        <v>1</v>
      </c>
      <c r="AW416" t="b">
        <f>+ISNUMBER(SEARCH(CompConta!$F$22,Tabla11[[#This Row],[Cuenta]],1))</f>
        <v>1</v>
      </c>
      <c r="AX416" t="b">
        <f>+ISNUMBER(SEARCH(CompConta!$F$23,Tabla11[[#This Row],[Cuenta]],1))</f>
        <v>1</v>
      </c>
      <c r="AY416" t="b">
        <f>+ISNUMBER(SEARCH(CompConta!$F$24,Tabla11[[#This Row],[Cuenta]],1))</f>
        <v>1</v>
      </c>
      <c r="AZ416" t="b">
        <f>+ISNUMBER(SEARCH(CompConta!$F$25,Tabla11[[#This Row],[Cuenta]],1))</f>
        <v>1</v>
      </c>
      <c r="BA416" t="b">
        <f>+ISNUMBER(SEARCH(CompConta!$F$26,Tabla11[[#This Row],[Cuenta]],1))</f>
        <v>1</v>
      </c>
      <c r="BB416" t="b">
        <f>+ISNUMBER(SEARCH(CompConta!$F$27,Tabla11[[#This Row],[Cuenta]],1))</f>
        <v>1</v>
      </c>
      <c r="BC416" t="b">
        <f>+ISNUMBER(SEARCH(CompConta!$F$28,Tabla11[[#This Row],[Cuenta]],1))</f>
        <v>1</v>
      </c>
      <c r="BD416" t="b">
        <f>+ISNUMBER(SEARCH(CompConta!$F$29,Tabla11[[#This Row],[Cuenta]],1))</f>
        <v>1</v>
      </c>
      <c r="BE416" t="b">
        <f>+ISNUMBER(SEARCH(CompConta!$F$30,Tabla11[[#This Row],[Cuenta]],1))</f>
        <v>1</v>
      </c>
      <c r="BF416" t="b">
        <f>+ISNUMBER(SEARCH('PAGO Compras'!$E$11,Tabla11[[#This Row],[Cuenta]],1))</f>
        <v>1</v>
      </c>
      <c r="BG416" t="b">
        <f>+ISNUMBER(SEARCH(#REF!,Tabla11[[#This Row],[Cuenta]],1))</f>
        <v>0</v>
      </c>
      <c r="BH416" t="b">
        <f>+ISNUMBER(SEARCH(#REF!,Tabla11[[#This Row],[Cuenta]],1))</f>
        <v>0</v>
      </c>
      <c r="BI416" t="b">
        <f>+ISNUMBER(SEARCH(#REF!,Tabla11[[#This Row],[Cuenta]],1))</f>
        <v>0</v>
      </c>
      <c r="BJ416" t="b">
        <f>+ISNUMBER(SEARCH(#REF!,Tabla11[[#This Row],[Cuenta]],1))</f>
        <v>0</v>
      </c>
      <c r="BS416" t="str">
        <v>233540 Arrendamientos</v>
      </c>
      <c r="BT416" t="str">
        <v>233540 Arrendamientos</v>
      </c>
      <c r="BU416" t="str">
        <v>233540 Arrendamientos</v>
      </c>
      <c r="BV416" t="str">
        <v>233540 Arrendamientos</v>
      </c>
      <c r="BZ416" t="str">
        <v>233540 Arrendamientos</v>
      </c>
      <c r="CA416" t="str">
        <v>233540 Arrendamientos</v>
      </c>
      <c r="CB416" t="str">
        <v>233540 Arrendamientos</v>
      </c>
      <c r="CC416" t="str">
        <v>233540 Arrendamientos</v>
      </c>
      <c r="CD416" t="str">
        <v>233540 Arrendamientos</v>
      </c>
      <c r="CE416" t="str">
        <v>233540 Arrendamientos</v>
      </c>
      <c r="CS416" s="141" t="str">
        <v>233540 Arrendamientos</v>
      </c>
      <c r="CT416" s="141" t="str">
        <v>233540 Arrendamientos</v>
      </c>
      <c r="CU416" s="141" t="str">
        <v>233540 Arrendamientos</v>
      </c>
      <c r="CV416" s="141" t="str">
        <v>233540 Arrendamientos</v>
      </c>
      <c r="CW416" s="141" t="str">
        <v>233540 Arrendamientos</v>
      </c>
      <c r="CX416" s="141" t="str">
        <v>233540 Arrendamientos</v>
      </c>
      <c r="CY416" s="141" t="str">
        <v>233540 Arrendamientos</v>
      </c>
      <c r="CZ416" s="141" t="str">
        <v>233540 Arrendamientos</v>
      </c>
      <c r="DA416" s="141" t="str">
        <v>233540 Arrendamientos</v>
      </c>
      <c r="DF416" t="str">
        <v>233540 Arrendamientos</v>
      </c>
      <c r="DG416" t="str">
        <v>233540 Arrendamientos</v>
      </c>
      <c r="DH416" t="str">
        <v>233540 Arrendamientos</v>
      </c>
      <c r="DI416" t="str">
        <v>233540 Arrendamientos</v>
      </c>
      <c r="DJ416" t="str">
        <v>233540 Arrendamientos</v>
      </c>
      <c r="DK416" t="str">
        <v>233540 Arrendamientos</v>
      </c>
      <c r="DL416" t="str">
        <v>233540 Arrendamientos</v>
      </c>
      <c r="DM416" t="str">
        <v>233540 Arrendamientos</v>
      </c>
      <c r="DN416" t="str">
        <v>233540 Arrendamientos</v>
      </c>
      <c r="DO416" t="str">
        <v>233540 Arrendamientos</v>
      </c>
      <c r="DP416" t="str">
        <v>233540 Arrendamientos</v>
      </c>
    </row>
    <row r="417" spans="4:120" ht="12.75">
      <c r="D417" s="7">
        <v>233545</v>
      </c>
      <c r="E417" s="6" t="s">
        <v>319</v>
      </c>
      <c r="F417" s="5">
        <v>4</v>
      </c>
      <c r="G417" s="34" t="s">
        <v>823</v>
      </c>
      <c r="H417" s="26" t="s">
        <v>765</v>
      </c>
      <c r="I417" t="b">
        <f>+ISNUMBER(SEARCH('F-COMPRA'!$F$28,Tabla11[[#This Row],[Cuenta]],1))</f>
        <v>1</v>
      </c>
      <c r="J417" t="b">
        <f>+ISNUMBER(SEARCH('F-COMPRA'!$F$29,Tabla11[[#This Row],[Cuenta]],1))</f>
        <v>1</v>
      </c>
      <c r="K417" t="b">
        <f>+ISNUMBER(SEARCH('F-COMPRA'!$F$30,Tabla11[[#This Row],[Cuenta]],1))</f>
        <v>1</v>
      </c>
      <c r="L417" t="b">
        <f>+ISNUMBER(SEARCH('F-COMPRA'!$F$31,Tabla11[[#This Row],[Cuenta]],1))</f>
        <v>1</v>
      </c>
      <c r="M417" t="b">
        <f>+ISNUMBER(SEARCH('F-COMPRA'!$G$25,Tabla11[[#This Row],[Cuenta]],1))</f>
        <v>0</v>
      </c>
      <c r="N417" t="b">
        <f>+ISNUMBER(SEARCH(#REF!,Tabla11[[#This Row],[Cuenta]],1))</f>
        <v>0</v>
      </c>
      <c r="O417" t="b">
        <f>+ISNUMBER(SEARCH(#REF!,Tabla11[[#This Row],[Cuenta]],1))</f>
        <v>0</v>
      </c>
      <c r="P417" t="b">
        <f>+ISNUMBER(SEARCH('F-COMPRA'!$F$32,Tabla11[[#This Row],[Cuenta]],1))</f>
        <v>1</v>
      </c>
      <c r="Q417" t="b">
        <f>+ISNUMBER(SEARCH('F-COMPRA'!$F$33,Tabla11[[#This Row],[Cuenta]],1))</f>
        <v>1</v>
      </c>
      <c r="R417" t="b">
        <f>+ISNUMBER(SEARCH('F-COMPRA'!$F$34,Tabla11[[#This Row],[Cuenta]],1))</f>
        <v>1</v>
      </c>
      <c r="S417" t="b">
        <f>+ISNUMBER(SEARCH('F-COMPRA'!$F$35,Tabla11[[#This Row],[Cuenta]],1))</f>
        <v>1</v>
      </c>
      <c r="T417" t="b">
        <f>+ISNUMBER(SEARCH('F-COMPRA'!$F$36,Tabla11[[#This Row],[Cuenta]],1))</f>
        <v>1</v>
      </c>
      <c r="U417" t="b">
        <f>+ISNUMBER(SEARCH('F-COMPRA'!$F$37,Tabla11[[#This Row],[Cuenta]],1))</f>
        <v>1</v>
      </c>
      <c r="V417" t="b">
        <f>+ISNUMBER(SEARCH(#REF!,Tabla11[[#This Row],[Cuenta]],1))</f>
        <v>0</v>
      </c>
      <c r="W417" t="b">
        <f>+ISNUMBER(SEARCH('F-COMPRA'!#REF!,Tabla11[[#This Row],[Cuenta]],1))</f>
        <v>0</v>
      </c>
      <c r="X417" t="b">
        <f>+ISNUMBER(SEARCH('F-COMPRA'!#REF!,Tabla11[[#This Row],[Cuenta]],1))</f>
        <v>0</v>
      </c>
      <c r="Y417" t="b">
        <f>+ISNUMBER(SEARCH('F-COMPRA'!#REF!,Tabla11[[#This Row],[Cuenta]],1))</f>
        <v>0</v>
      </c>
      <c r="Z417" t="b">
        <f>+ISNUMBER(SEARCH('F-COMPRA'!#REF!,Tabla11[[#This Row],[Cuenta]],1))</f>
        <v>0</v>
      </c>
      <c r="AA417" t="b">
        <f>+ISNUMBER(SEARCH('F-COMPRA'!#REF!,Tabla11[[#This Row],[Cuenta]],1))</f>
        <v>0</v>
      </c>
      <c r="AB417" t="b">
        <f>+ISNUMBER(SEARCH('F-COMPRA'!#REF!,Tabla11[[#This Row],[Cuenta]],1))</f>
        <v>0</v>
      </c>
      <c r="AC417" t="b">
        <f>+ISNUMBER(SEARCH('F-COMPRA'!#REF!,Tabla11[[#This Row],[Cuenta]],1))</f>
        <v>0</v>
      </c>
      <c r="AD417" t="b">
        <f>+ISNUMBER(SEARCH('F-COMPRA'!#REF!,Tabla11[[#This Row],[Cuenta]],1))</f>
        <v>0</v>
      </c>
      <c r="AE417" t="b">
        <f>+ISNUMBER(SEARCH('F-COMPRA'!#REF!,Tabla11[[#This Row],[Cuenta]],1))</f>
        <v>0</v>
      </c>
      <c r="AF417" t="b">
        <f>+ISNUMBER(SEARCH('F-VTA'!$G$23,Tabla11[[#This Row],[Cuenta]],1))</f>
        <v>0</v>
      </c>
      <c r="AG417" t="b">
        <f>+ISNUMBER(SEARCH('F-VTA'!$G$24,Tabla11[[#This Row],[Cuenta]],1))</f>
        <v>0</v>
      </c>
      <c r="AH417" t="b">
        <f>+ISNUMBER(SEARCH('F-VTA'!$G$25,Tabla11[[#This Row],[Cuenta]],1))</f>
        <v>0</v>
      </c>
      <c r="AI417" t="b">
        <f>+ISNUMBER(SEARCH('F-VTA'!$F$28,Tabla11[[#This Row],[Cuenta]],1))</f>
        <v>1</v>
      </c>
      <c r="AJ417" t="b">
        <f>+ISNUMBER(SEARCH('F-VTA'!$F$29,Tabla11[[#This Row],[Cuenta]],1))</f>
        <v>1</v>
      </c>
      <c r="AK417" t="b">
        <f>+ISNUMBER(SEARCH('F-VTA'!$F$30,Tabla11[[#This Row],[Cuenta]],1))</f>
        <v>1</v>
      </c>
      <c r="AL417" t="b">
        <f>+ISNUMBER(SEARCH('F-VTA'!$F$31,Tabla11[[#This Row],[Cuenta]],1))</f>
        <v>1</v>
      </c>
      <c r="AM417" t="b">
        <f>+ISNUMBER(SEARCH('F-VTA'!$F$32,Tabla11[[#This Row],[Cuenta]],1))</f>
        <v>1</v>
      </c>
      <c r="AN417" t="b">
        <f>+ISNUMBER(SEARCH('F-VTA'!$F$33,Tabla11[[#This Row],[Cuenta]],1))</f>
        <v>1</v>
      </c>
      <c r="AO417" t="b">
        <f>+ISNUMBER(SEARCH('F-VTA'!$F$34,Tabla11[[#This Row],[Cuenta]],1))</f>
        <v>1</v>
      </c>
      <c r="AP417" t="b">
        <f>+ISNUMBER(SEARCH('F-VTA'!$F$35,Tabla11[[#This Row],[Cuenta]],1))</f>
        <v>1</v>
      </c>
      <c r="AQ417" t="b">
        <f>+ISNUMBER(SEARCH('F-VTA'!$F$36,Tabla11[[#This Row],[Cuenta]],1))</f>
        <v>1</v>
      </c>
      <c r="AR417" t="b">
        <f>+ISNUMBER(SEARCH(#REF!,Tabla11[[#This Row],[Cuenta]],1))</f>
        <v>0</v>
      </c>
      <c r="AS417" t="b">
        <f>+ISNUMBER(SEARCH(#REF!,Tabla11[[#This Row],[Cuenta]],1))</f>
        <v>0</v>
      </c>
      <c r="AT417" t="b">
        <f>+ISNUMBER(SEARCH(#REF!,Tabla11[[#This Row],[Cuenta]],1))</f>
        <v>0</v>
      </c>
      <c r="AU417" t="b">
        <f>+ISNUMBER(SEARCH('Conc. Ban.1'!$I$9,Tabla11[[#This Row],[Cuenta]],1))</f>
        <v>0</v>
      </c>
      <c r="AV417" t="b">
        <f>+ISNUMBER(SEARCH(CompConta!$F$21,Tabla11[[#This Row],[Cuenta]],1))</f>
        <v>1</v>
      </c>
      <c r="AW417" t="b">
        <f>+ISNUMBER(SEARCH(CompConta!$F$22,Tabla11[[#This Row],[Cuenta]],1))</f>
        <v>1</v>
      </c>
      <c r="AX417" t="b">
        <f>+ISNUMBER(SEARCH(CompConta!$F$23,Tabla11[[#This Row],[Cuenta]],1))</f>
        <v>1</v>
      </c>
      <c r="AY417" t="b">
        <f>+ISNUMBER(SEARCH(CompConta!$F$24,Tabla11[[#This Row],[Cuenta]],1))</f>
        <v>1</v>
      </c>
      <c r="AZ417" t="b">
        <f>+ISNUMBER(SEARCH(CompConta!$F$25,Tabla11[[#This Row],[Cuenta]],1))</f>
        <v>1</v>
      </c>
      <c r="BA417" t="b">
        <f>+ISNUMBER(SEARCH(CompConta!$F$26,Tabla11[[#This Row],[Cuenta]],1))</f>
        <v>1</v>
      </c>
      <c r="BB417" t="b">
        <f>+ISNUMBER(SEARCH(CompConta!$F$27,Tabla11[[#This Row],[Cuenta]],1))</f>
        <v>1</v>
      </c>
      <c r="BC417" t="b">
        <f>+ISNUMBER(SEARCH(CompConta!$F$28,Tabla11[[#This Row],[Cuenta]],1))</f>
        <v>1</v>
      </c>
      <c r="BD417" t="b">
        <f>+ISNUMBER(SEARCH(CompConta!$F$29,Tabla11[[#This Row],[Cuenta]],1))</f>
        <v>1</v>
      </c>
      <c r="BE417" t="b">
        <f>+ISNUMBER(SEARCH(CompConta!$F$30,Tabla11[[#This Row],[Cuenta]],1))</f>
        <v>1</v>
      </c>
      <c r="BF417" t="b">
        <f>+ISNUMBER(SEARCH('PAGO Compras'!$E$11,Tabla11[[#This Row],[Cuenta]],1))</f>
        <v>1</v>
      </c>
      <c r="BG417" t="b">
        <f>+ISNUMBER(SEARCH(#REF!,Tabla11[[#This Row],[Cuenta]],1))</f>
        <v>0</v>
      </c>
      <c r="BH417" t="b">
        <f>+ISNUMBER(SEARCH(#REF!,Tabla11[[#This Row],[Cuenta]],1))</f>
        <v>0</v>
      </c>
      <c r="BI417" t="b">
        <f>+ISNUMBER(SEARCH(#REF!,Tabla11[[#This Row],[Cuenta]],1))</f>
        <v>0</v>
      </c>
      <c r="BJ417" t="b">
        <f>+ISNUMBER(SEARCH(#REF!,Tabla11[[#This Row],[Cuenta]],1))</f>
        <v>0</v>
      </c>
      <c r="BS417" t="str">
        <v>233545 Transportes, fletes y acarreos</v>
      </c>
      <c r="BT417" t="str">
        <v>233545 Transportes, fletes y acarreos</v>
      </c>
      <c r="BU417" t="str">
        <v>233545 Transportes, fletes y acarreos</v>
      </c>
      <c r="BV417" t="str">
        <v>233545 Transportes, fletes y acarreos</v>
      </c>
      <c r="BZ417" t="str">
        <v>233545 Transportes, fletes y acarreos</v>
      </c>
      <c r="CA417" t="str">
        <v>233545 Transportes, fletes y acarreos</v>
      </c>
      <c r="CB417" t="str">
        <v>233545 Transportes, fletes y acarreos</v>
      </c>
      <c r="CC417" t="str">
        <v>233545 Transportes, fletes y acarreos</v>
      </c>
      <c r="CD417" t="str">
        <v>233545 Transportes, fletes y acarreos</v>
      </c>
      <c r="CE417" t="str">
        <v>233545 Transportes, fletes y acarreos</v>
      </c>
      <c r="CS417" s="141" t="str">
        <v>233545 Transportes, fletes y acarreos</v>
      </c>
      <c r="CT417" s="141" t="str">
        <v>233545 Transportes, fletes y acarreos</v>
      </c>
      <c r="CU417" s="141" t="str">
        <v>233545 Transportes, fletes y acarreos</v>
      </c>
      <c r="CV417" s="141" t="str">
        <v>233545 Transportes, fletes y acarreos</v>
      </c>
      <c r="CW417" s="141" t="str">
        <v>233545 Transportes, fletes y acarreos</v>
      </c>
      <c r="CX417" s="141" t="str">
        <v>233545 Transportes, fletes y acarreos</v>
      </c>
      <c r="CY417" s="141" t="str">
        <v>233545 Transportes, fletes y acarreos</v>
      </c>
      <c r="CZ417" s="141" t="str">
        <v>233545 Transportes, fletes y acarreos</v>
      </c>
      <c r="DA417" s="141" t="str">
        <v>233545 Transportes, fletes y acarreos</v>
      </c>
      <c r="DF417" t="str">
        <v>233545 Transportes, fletes y acarreos</v>
      </c>
      <c r="DG417" t="str">
        <v>233545 Transportes, fletes y acarreos</v>
      </c>
      <c r="DH417" t="str">
        <v>233545 Transportes, fletes y acarreos</v>
      </c>
      <c r="DI417" t="str">
        <v>233545 Transportes, fletes y acarreos</v>
      </c>
      <c r="DJ417" t="str">
        <v>233545 Transportes, fletes y acarreos</v>
      </c>
      <c r="DK417" t="str">
        <v>233545 Transportes, fletes y acarreos</v>
      </c>
      <c r="DL417" t="str">
        <v>233545 Transportes, fletes y acarreos</v>
      </c>
      <c r="DM417" t="str">
        <v>233545 Transportes, fletes y acarreos</v>
      </c>
      <c r="DN417" t="str">
        <v>233545 Transportes, fletes y acarreos</v>
      </c>
      <c r="DO417" t="str">
        <v>233545 Transportes, fletes y acarreos</v>
      </c>
      <c r="DP417" t="str">
        <v>233545 Transportes, fletes y acarreos</v>
      </c>
    </row>
    <row r="418" spans="4:120" ht="12.75">
      <c r="D418" s="7">
        <v>233550</v>
      </c>
      <c r="E418" s="6" t="s">
        <v>320</v>
      </c>
      <c r="F418" s="5">
        <v>4</v>
      </c>
      <c r="G418" s="34" t="s">
        <v>823</v>
      </c>
      <c r="H418" s="26" t="s">
        <v>765</v>
      </c>
      <c r="I418" t="b">
        <f>+ISNUMBER(SEARCH('F-COMPRA'!$F$28,Tabla11[[#This Row],[Cuenta]],1))</f>
        <v>1</v>
      </c>
      <c r="J418" t="b">
        <f>+ISNUMBER(SEARCH('F-COMPRA'!$F$29,Tabla11[[#This Row],[Cuenta]],1))</f>
        <v>1</v>
      </c>
      <c r="K418" t="b">
        <f>+ISNUMBER(SEARCH('F-COMPRA'!$F$30,Tabla11[[#This Row],[Cuenta]],1))</f>
        <v>1</v>
      </c>
      <c r="L418" t="b">
        <f>+ISNUMBER(SEARCH('F-COMPRA'!$F$31,Tabla11[[#This Row],[Cuenta]],1))</f>
        <v>1</v>
      </c>
      <c r="M418" t="b">
        <f>+ISNUMBER(SEARCH('F-COMPRA'!$G$25,Tabla11[[#This Row],[Cuenta]],1))</f>
        <v>0</v>
      </c>
      <c r="N418" t="b">
        <f>+ISNUMBER(SEARCH(#REF!,Tabla11[[#This Row],[Cuenta]],1))</f>
        <v>0</v>
      </c>
      <c r="O418" t="b">
        <f>+ISNUMBER(SEARCH(#REF!,Tabla11[[#This Row],[Cuenta]],1))</f>
        <v>0</v>
      </c>
      <c r="P418" t="b">
        <f>+ISNUMBER(SEARCH('F-COMPRA'!$F$32,Tabla11[[#This Row],[Cuenta]],1))</f>
        <v>1</v>
      </c>
      <c r="Q418" t="b">
        <f>+ISNUMBER(SEARCH('F-COMPRA'!$F$33,Tabla11[[#This Row],[Cuenta]],1))</f>
        <v>1</v>
      </c>
      <c r="R418" t="b">
        <f>+ISNUMBER(SEARCH('F-COMPRA'!$F$34,Tabla11[[#This Row],[Cuenta]],1))</f>
        <v>1</v>
      </c>
      <c r="S418" t="b">
        <f>+ISNUMBER(SEARCH('F-COMPRA'!$F$35,Tabla11[[#This Row],[Cuenta]],1))</f>
        <v>1</v>
      </c>
      <c r="T418" t="b">
        <f>+ISNUMBER(SEARCH('F-COMPRA'!$F$36,Tabla11[[#This Row],[Cuenta]],1))</f>
        <v>1</v>
      </c>
      <c r="U418" t="b">
        <f>+ISNUMBER(SEARCH('F-COMPRA'!$F$37,Tabla11[[#This Row],[Cuenta]],1))</f>
        <v>1</v>
      </c>
      <c r="V418" t="b">
        <f>+ISNUMBER(SEARCH(#REF!,Tabla11[[#This Row],[Cuenta]],1))</f>
        <v>0</v>
      </c>
      <c r="W418" t="b">
        <f>+ISNUMBER(SEARCH('F-COMPRA'!#REF!,Tabla11[[#This Row],[Cuenta]],1))</f>
        <v>0</v>
      </c>
      <c r="X418" t="b">
        <f>+ISNUMBER(SEARCH('F-COMPRA'!#REF!,Tabla11[[#This Row],[Cuenta]],1))</f>
        <v>0</v>
      </c>
      <c r="Y418" t="b">
        <f>+ISNUMBER(SEARCH('F-COMPRA'!#REF!,Tabla11[[#This Row],[Cuenta]],1))</f>
        <v>0</v>
      </c>
      <c r="Z418" t="b">
        <f>+ISNUMBER(SEARCH('F-COMPRA'!#REF!,Tabla11[[#This Row],[Cuenta]],1))</f>
        <v>0</v>
      </c>
      <c r="AA418" t="b">
        <f>+ISNUMBER(SEARCH('F-COMPRA'!#REF!,Tabla11[[#This Row],[Cuenta]],1))</f>
        <v>0</v>
      </c>
      <c r="AB418" t="b">
        <f>+ISNUMBER(SEARCH('F-COMPRA'!#REF!,Tabla11[[#This Row],[Cuenta]],1))</f>
        <v>0</v>
      </c>
      <c r="AC418" t="b">
        <f>+ISNUMBER(SEARCH('F-COMPRA'!#REF!,Tabla11[[#This Row],[Cuenta]],1))</f>
        <v>0</v>
      </c>
      <c r="AD418" t="b">
        <f>+ISNUMBER(SEARCH('F-COMPRA'!#REF!,Tabla11[[#This Row],[Cuenta]],1))</f>
        <v>0</v>
      </c>
      <c r="AE418" t="b">
        <f>+ISNUMBER(SEARCH('F-COMPRA'!#REF!,Tabla11[[#This Row],[Cuenta]],1))</f>
        <v>0</v>
      </c>
      <c r="AF418" t="b">
        <f>+ISNUMBER(SEARCH('F-VTA'!$G$23,Tabla11[[#This Row],[Cuenta]],1))</f>
        <v>0</v>
      </c>
      <c r="AG418" t="b">
        <f>+ISNUMBER(SEARCH('F-VTA'!$G$24,Tabla11[[#This Row],[Cuenta]],1))</f>
        <v>0</v>
      </c>
      <c r="AH418" t="b">
        <f>+ISNUMBER(SEARCH('F-VTA'!$G$25,Tabla11[[#This Row],[Cuenta]],1))</f>
        <v>0</v>
      </c>
      <c r="AI418" t="b">
        <f>+ISNUMBER(SEARCH('F-VTA'!$F$28,Tabla11[[#This Row],[Cuenta]],1))</f>
        <v>1</v>
      </c>
      <c r="AJ418" t="b">
        <f>+ISNUMBER(SEARCH('F-VTA'!$F$29,Tabla11[[#This Row],[Cuenta]],1))</f>
        <v>1</v>
      </c>
      <c r="AK418" t="b">
        <f>+ISNUMBER(SEARCH('F-VTA'!$F$30,Tabla11[[#This Row],[Cuenta]],1))</f>
        <v>1</v>
      </c>
      <c r="AL418" t="b">
        <f>+ISNUMBER(SEARCH('F-VTA'!$F$31,Tabla11[[#This Row],[Cuenta]],1))</f>
        <v>1</v>
      </c>
      <c r="AM418" t="b">
        <f>+ISNUMBER(SEARCH('F-VTA'!$F$32,Tabla11[[#This Row],[Cuenta]],1))</f>
        <v>1</v>
      </c>
      <c r="AN418" t="b">
        <f>+ISNUMBER(SEARCH('F-VTA'!$F$33,Tabla11[[#This Row],[Cuenta]],1))</f>
        <v>1</v>
      </c>
      <c r="AO418" t="b">
        <f>+ISNUMBER(SEARCH('F-VTA'!$F$34,Tabla11[[#This Row],[Cuenta]],1))</f>
        <v>1</v>
      </c>
      <c r="AP418" t="b">
        <f>+ISNUMBER(SEARCH('F-VTA'!$F$35,Tabla11[[#This Row],[Cuenta]],1))</f>
        <v>1</v>
      </c>
      <c r="AQ418" t="b">
        <f>+ISNUMBER(SEARCH('F-VTA'!$F$36,Tabla11[[#This Row],[Cuenta]],1))</f>
        <v>1</v>
      </c>
      <c r="AR418" t="b">
        <f>+ISNUMBER(SEARCH(#REF!,Tabla11[[#This Row],[Cuenta]],1))</f>
        <v>0</v>
      </c>
      <c r="AS418" t="b">
        <f>+ISNUMBER(SEARCH(#REF!,Tabla11[[#This Row],[Cuenta]],1))</f>
        <v>0</v>
      </c>
      <c r="AT418" t="b">
        <f>+ISNUMBER(SEARCH(#REF!,Tabla11[[#This Row],[Cuenta]],1))</f>
        <v>0</v>
      </c>
      <c r="AU418" t="b">
        <f>+ISNUMBER(SEARCH('Conc. Ban.1'!$I$9,Tabla11[[#This Row],[Cuenta]],1))</f>
        <v>0</v>
      </c>
      <c r="AV418" t="b">
        <f>+ISNUMBER(SEARCH(CompConta!$F$21,Tabla11[[#This Row],[Cuenta]],1))</f>
        <v>1</v>
      </c>
      <c r="AW418" t="b">
        <f>+ISNUMBER(SEARCH(CompConta!$F$22,Tabla11[[#This Row],[Cuenta]],1))</f>
        <v>1</v>
      </c>
      <c r="AX418" t="b">
        <f>+ISNUMBER(SEARCH(CompConta!$F$23,Tabla11[[#This Row],[Cuenta]],1))</f>
        <v>1</v>
      </c>
      <c r="AY418" t="b">
        <f>+ISNUMBER(SEARCH(CompConta!$F$24,Tabla11[[#This Row],[Cuenta]],1))</f>
        <v>1</v>
      </c>
      <c r="AZ418" t="b">
        <f>+ISNUMBER(SEARCH(CompConta!$F$25,Tabla11[[#This Row],[Cuenta]],1))</f>
        <v>1</v>
      </c>
      <c r="BA418" t="b">
        <f>+ISNUMBER(SEARCH(CompConta!$F$26,Tabla11[[#This Row],[Cuenta]],1))</f>
        <v>1</v>
      </c>
      <c r="BB418" t="b">
        <f>+ISNUMBER(SEARCH(CompConta!$F$27,Tabla11[[#This Row],[Cuenta]],1))</f>
        <v>1</v>
      </c>
      <c r="BC418" t="b">
        <f>+ISNUMBER(SEARCH(CompConta!$F$28,Tabla11[[#This Row],[Cuenta]],1))</f>
        <v>1</v>
      </c>
      <c r="BD418" t="b">
        <f>+ISNUMBER(SEARCH(CompConta!$F$29,Tabla11[[#This Row],[Cuenta]],1))</f>
        <v>1</v>
      </c>
      <c r="BE418" t="b">
        <f>+ISNUMBER(SEARCH(CompConta!$F$30,Tabla11[[#This Row],[Cuenta]],1))</f>
        <v>1</v>
      </c>
      <c r="BF418" t="b">
        <f>+ISNUMBER(SEARCH('PAGO Compras'!$E$11,Tabla11[[#This Row],[Cuenta]],1))</f>
        <v>1</v>
      </c>
      <c r="BG418" t="b">
        <f>+ISNUMBER(SEARCH(#REF!,Tabla11[[#This Row],[Cuenta]],1))</f>
        <v>0</v>
      </c>
      <c r="BH418" t="b">
        <f>+ISNUMBER(SEARCH(#REF!,Tabla11[[#This Row],[Cuenta]],1))</f>
        <v>0</v>
      </c>
      <c r="BI418" t="b">
        <f>+ISNUMBER(SEARCH(#REF!,Tabla11[[#This Row],[Cuenta]],1))</f>
        <v>0</v>
      </c>
      <c r="BJ418" t="b">
        <f>+ISNUMBER(SEARCH(#REF!,Tabla11[[#This Row],[Cuenta]],1))</f>
        <v>0</v>
      </c>
      <c r="BS418" t="str">
        <v>233550 Servicios públicos</v>
      </c>
      <c r="BT418" t="str">
        <v>233550 Servicios públicos</v>
      </c>
      <c r="BU418" t="str">
        <v>233550 Servicios públicos</v>
      </c>
      <c r="BV418" t="str">
        <v>233550 Servicios públicos</v>
      </c>
      <c r="BZ418" t="str">
        <v>233550 Servicios públicos</v>
      </c>
      <c r="CA418" t="str">
        <v>233550 Servicios públicos</v>
      </c>
      <c r="CB418" t="str">
        <v>233550 Servicios públicos</v>
      </c>
      <c r="CC418" t="str">
        <v>233550 Servicios públicos</v>
      </c>
      <c r="CD418" t="str">
        <v>233550 Servicios públicos</v>
      </c>
      <c r="CE418" t="str">
        <v>233550 Servicios públicos</v>
      </c>
      <c r="CS418" s="141" t="str">
        <v>233550 Servicios públicos</v>
      </c>
      <c r="CT418" s="141" t="str">
        <v>233550 Servicios públicos</v>
      </c>
      <c r="CU418" s="141" t="str">
        <v>233550 Servicios públicos</v>
      </c>
      <c r="CV418" s="141" t="str">
        <v>233550 Servicios públicos</v>
      </c>
      <c r="CW418" s="141" t="str">
        <v>233550 Servicios públicos</v>
      </c>
      <c r="CX418" s="141" t="str">
        <v>233550 Servicios públicos</v>
      </c>
      <c r="CY418" s="141" t="str">
        <v>233550 Servicios públicos</v>
      </c>
      <c r="CZ418" s="141" t="str">
        <v>233550 Servicios públicos</v>
      </c>
      <c r="DA418" s="141" t="str">
        <v>233550 Servicios públicos</v>
      </c>
      <c r="DF418" t="str">
        <v>233550 Servicios públicos</v>
      </c>
      <c r="DG418" t="str">
        <v>233550 Servicios públicos</v>
      </c>
      <c r="DH418" t="str">
        <v>233550 Servicios públicos</v>
      </c>
      <c r="DI418" t="str">
        <v>233550 Servicios públicos</v>
      </c>
      <c r="DJ418" t="str">
        <v>233550 Servicios públicos</v>
      </c>
      <c r="DK418" t="str">
        <v>233550 Servicios públicos</v>
      </c>
      <c r="DL418" t="str">
        <v>233550 Servicios públicos</v>
      </c>
      <c r="DM418" t="str">
        <v>233550 Servicios públicos</v>
      </c>
      <c r="DN418" t="str">
        <v>233550 Servicios públicos</v>
      </c>
      <c r="DO418" t="str">
        <v>233550 Servicios públicos</v>
      </c>
      <c r="DP418" t="str">
        <v>233550 Servicios públicos</v>
      </c>
    </row>
    <row r="419" spans="4:120" ht="12.75">
      <c r="D419" s="7">
        <v>233555</v>
      </c>
      <c r="E419" s="6" t="s">
        <v>321</v>
      </c>
      <c r="F419" s="5">
        <v>4</v>
      </c>
      <c r="G419" s="34" t="s">
        <v>823</v>
      </c>
      <c r="H419" s="26" t="s">
        <v>765</v>
      </c>
      <c r="I419" t="b">
        <f>+ISNUMBER(SEARCH('F-COMPRA'!$F$28,Tabla11[[#This Row],[Cuenta]],1))</f>
        <v>1</v>
      </c>
      <c r="J419" t="b">
        <f>+ISNUMBER(SEARCH('F-COMPRA'!$F$29,Tabla11[[#This Row],[Cuenta]],1))</f>
        <v>1</v>
      </c>
      <c r="K419" t="b">
        <f>+ISNUMBER(SEARCH('F-COMPRA'!$F$30,Tabla11[[#This Row],[Cuenta]],1))</f>
        <v>1</v>
      </c>
      <c r="L419" t="b">
        <f>+ISNUMBER(SEARCH('F-COMPRA'!$F$31,Tabla11[[#This Row],[Cuenta]],1))</f>
        <v>1</v>
      </c>
      <c r="M419" t="b">
        <f>+ISNUMBER(SEARCH('F-COMPRA'!$G$25,Tabla11[[#This Row],[Cuenta]],1))</f>
        <v>0</v>
      </c>
      <c r="N419" t="b">
        <f>+ISNUMBER(SEARCH(#REF!,Tabla11[[#This Row],[Cuenta]],1))</f>
        <v>0</v>
      </c>
      <c r="O419" t="b">
        <f>+ISNUMBER(SEARCH(#REF!,Tabla11[[#This Row],[Cuenta]],1))</f>
        <v>0</v>
      </c>
      <c r="P419" t="b">
        <f>+ISNUMBER(SEARCH('F-COMPRA'!$F$32,Tabla11[[#This Row],[Cuenta]],1))</f>
        <v>1</v>
      </c>
      <c r="Q419" t="b">
        <f>+ISNUMBER(SEARCH('F-COMPRA'!$F$33,Tabla11[[#This Row],[Cuenta]],1))</f>
        <v>1</v>
      </c>
      <c r="R419" t="b">
        <f>+ISNUMBER(SEARCH('F-COMPRA'!$F$34,Tabla11[[#This Row],[Cuenta]],1))</f>
        <v>1</v>
      </c>
      <c r="S419" t="b">
        <f>+ISNUMBER(SEARCH('F-COMPRA'!$F$35,Tabla11[[#This Row],[Cuenta]],1))</f>
        <v>1</v>
      </c>
      <c r="T419" t="b">
        <f>+ISNUMBER(SEARCH('F-COMPRA'!$F$36,Tabla11[[#This Row],[Cuenta]],1))</f>
        <v>1</v>
      </c>
      <c r="U419" t="b">
        <f>+ISNUMBER(SEARCH('F-COMPRA'!$F$37,Tabla11[[#This Row],[Cuenta]],1))</f>
        <v>1</v>
      </c>
      <c r="V419" t="b">
        <f>+ISNUMBER(SEARCH(#REF!,Tabla11[[#This Row],[Cuenta]],1))</f>
        <v>0</v>
      </c>
      <c r="W419" t="b">
        <f>+ISNUMBER(SEARCH('F-COMPRA'!#REF!,Tabla11[[#This Row],[Cuenta]],1))</f>
        <v>0</v>
      </c>
      <c r="X419" t="b">
        <f>+ISNUMBER(SEARCH('F-COMPRA'!#REF!,Tabla11[[#This Row],[Cuenta]],1))</f>
        <v>0</v>
      </c>
      <c r="Y419" t="b">
        <f>+ISNUMBER(SEARCH('F-COMPRA'!#REF!,Tabla11[[#This Row],[Cuenta]],1))</f>
        <v>0</v>
      </c>
      <c r="Z419" t="b">
        <f>+ISNUMBER(SEARCH('F-COMPRA'!#REF!,Tabla11[[#This Row],[Cuenta]],1))</f>
        <v>0</v>
      </c>
      <c r="AA419" t="b">
        <f>+ISNUMBER(SEARCH('F-COMPRA'!#REF!,Tabla11[[#This Row],[Cuenta]],1))</f>
        <v>0</v>
      </c>
      <c r="AB419" t="b">
        <f>+ISNUMBER(SEARCH('F-COMPRA'!#REF!,Tabla11[[#This Row],[Cuenta]],1))</f>
        <v>0</v>
      </c>
      <c r="AC419" t="b">
        <f>+ISNUMBER(SEARCH('F-COMPRA'!#REF!,Tabla11[[#This Row],[Cuenta]],1))</f>
        <v>0</v>
      </c>
      <c r="AD419" t="b">
        <f>+ISNUMBER(SEARCH('F-COMPRA'!#REF!,Tabla11[[#This Row],[Cuenta]],1))</f>
        <v>0</v>
      </c>
      <c r="AE419" t="b">
        <f>+ISNUMBER(SEARCH('F-COMPRA'!#REF!,Tabla11[[#This Row],[Cuenta]],1))</f>
        <v>0</v>
      </c>
      <c r="AF419" t="b">
        <f>+ISNUMBER(SEARCH('F-VTA'!$G$23,Tabla11[[#This Row],[Cuenta]],1))</f>
        <v>0</v>
      </c>
      <c r="AG419" t="b">
        <f>+ISNUMBER(SEARCH('F-VTA'!$G$24,Tabla11[[#This Row],[Cuenta]],1))</f>
        <v>0</v>
      </c>
      <c r="AH419" t="b">
        <f>+ISNUMBER(SEARCH('F-VTA'!$G$25,Tabla11[[#This Row],[Cuenta]],1))</f>
        <v>0</v>
      </c>
      <c r="AI419" t="b">
        <f>+ISNUMBER(SEARCH('F-VTA'!$F$28,Tabla11[[#This Row],[Cuenta]],1))</f>
        <v>1</v>
      </c>
      <c r="AJ419" t="b">
        <f>+ISNUMBER(SEARCH('F-VTA'!$F$29,Tabla11[[#This Row],[Cuenta]],1))</f>
        <v>1</v>
      </c>
      <c r="AK419" t="b">
        <f>+ISNUMBER(SEARCH('F-VTA'!$F$30,Tabla11[[#This Row],[Cuenta]],1))</f>
        <v>1</v>
      </c>
      <c r="AL419" t="b">
        <f>+ISNUMBER(SEARCH('F-VTA'!$F$31,Tabla11[[#This Row],[Cuenta]],1))</f>
        <v>1</v>
      </c>
      <c r="AM419" t="b">
        <f>+ISNUMBER(SEARCH('F-VTA'!$F$32,Tabla11[[#This Row],[Cuenta]],1))</f>
        <v>1</v>
      </c>
      <c r="AN419" t="b">
        <f>+ISNUMBER(SEARCH('F-VTA'!$F$33,Tabla11[[#This Row],[Cuenta]],1))</f>
        <v>1</v>
      </c>
      <c r="AO419" t="b">
        <f>+ISNUMBER(SEARCH('F-VTA'!$F$34,Tabla11[[#This Row],[Cuenta]],1))</f>
        <v>1</v>
      </c>
      <c r="AP419" t="b">
        <f>+ISNUMBER(SEARCH('F-VTA'!$F$35,Tabla11[[#This Row],[Cuenta]],1))</f>
        <v>1</v>
      </c>
      <c r="AQ419" t="b">
        <f>+ISNUMBER(SEARCH('F-VTA'!$F$36,Tabla11[[#This Row],[Cuenta]],1))</f>
        <v>1</v>
      </c>
      <c r="AR419" t="b">
        <f>+ISNUMBER(SEARCH(#REF!,Tabla11[[#This Row],[Cuenta]],1))</f>
        <v>0</v>
      </c>
      <c r="AS419" t="b">
        <f>+ISNUMBER(SEARCH(#REF!,Tabla11[[#This Row],[Cuenta]],1))</f>
        <v>0</v>
      </c>
      <c r="AT419" t="b">
        <f>+ISNUMBER(SEARCH(#REF!,Tabla11[[#This Row],[Cuenta]],1))</f>
        <v>0</v>
      </c>
      <c r="AU419" t="b">
        <f>+ISNUMBER(SEARCH('Conc. Ban.1'!$I$9,Tabla11[[#This Row],[Cuenta]],1))</f>
        <v>0</v>
      </c>
      <c r="AV419" t="b">
        <f>+ISNUMBER(SEARCH(CompConta!$F$21,Tabla11[[#This Row],[Cuenta]],1))</f>
        <v>1</v>
      </c>
      <c r="AW419" t="b">
        <f>+ISNUMBER(SEARCH(CompConta!$F$22,Tabla11[[#This Row],[Cuenta]],1))</f>
        <v>1</v>
      </c>
      <c r="AX419" t="b">
        <f>+ISNUMBER(SEARCH(CompConta!$F$23,Tabla11[[#This Row],[Cuenta]],1))</f>
        <v>1</v>
      </c>
      <c r="AY419" t="b">
        <f>+ISNUMBER(SEARCH(CompConta!$F$24,Tabla11[[#This Row],[Cuenta]],1))</f>
        <v>1</v>
      </c>
      <c r="AZ419" t="b">
        <f>+ISNUMBER(SEARCH(CompConta!$F$25,Tabla11[[#This Row],[Cuenta]],1))</f>
        <v>1</v>
      </c>
      <c r="BA419" t="b">
        <f>+ISNUMBER(SEARCH(CompConta!$F$26,Tabla11[[#This Row],[Cuenta]],1))</f>
        <v>1</v>
      </c>
      <c r="BB419" t="b">
        <f>+ISNUMBER(SEARCH(CompConta!$F$27,Tabla11[[#This Row],[Cuenta]],1))</f>
        <v>1</v>
      </c>
      <c r="BC419" t="b">
        <f>+ISNUMBER(SEARCH(CompConta!$F$28,Tabla11[[#This Row],[Cuenta]],1))</f>
        <v>1</v>
      </c>
      <c r="BD419" t="b">
        <f>+ISNUMBER(SEARCH(CompConta!$F$29,Tabla11[[#This Row],[Cuenta]],1))</f>
        <v>1</v>
      </c>
      <c r="BE419" t="b">
        <f>+ISNUMBER(SEARCH(CompConta!$F$30,Tabla11[[#This Row],[Cuenta]],1))</f>
        <v>1</v>
      </c>
      <c r="BF419" t="b">
        <f>+ISNUMBER(SEARCH('PAGO Compras'!$E$11,Tabla11[[#This Row],[Cuenta]],1))</f>
        <v>1</v>
      </c>
      <c r="BG419" t="b">
        <f>+ISNUMBER(SEARCH(#REF!,Tabla11[[#This Row],[Cuenta]],1))</f>
        <v>0</v>
      </c>
      <c r="BH419" t="b">
        <f>+ISNUMBER(SEARCH(#REF!,Tabla11[[#This Row],[Cuenta]],1))</f>
        <v>0</v>
      </c>
      <c r="BI419" t="b">
        <f>+ISNUMBER(SEARCH(#REF!,Tabla11[[#This Row],[Cuenta]],1))</f>
        <v>0</v>
      </c>
      <c r="BJ419" t="b">
        <f>+ISNUMBER(SEARCH(#REF!,Tabla11[[#This Row],[Cuenta]],1))</f>
        <v>0</v>
      </c>
      <c r="BS419" t="str">
        <v>233555 Seguros</v>
      </c>
      <c r="BT419" t="str">
        <v>233555 Seguros</v>
      </c>
      <c r="BU419" t="str">
        <v>233555 Seguros</v>
      </c>
      <c r="BV419" t="str">
        <v>233555 Seguros</v>
      </c>
      <c r="BZ419" t="str">
        <v>233555 Seguros</v>
      </c>
      <c r="CA419" t="str">
        <v>233555 Seguros</v>
      </c>
      <c r="CB419" t="str">
        <v>233555 Seguros</v>
      </c>
      <c r="CC419" t="str">
        <v>233555 Seguros</v>
      </c>
      <c r="CD419" t="str">
        <v>233555 Seguros</v>
      </c>
      <c r="CE419" t="str">
        <v>233555 Seguros</v>
      </c>
      <c r="CS419" s="141" t="str">
        <v>233555 Seguros</v>
      </c>
      <c r="CT419" s="141" t="str">
        <v>233555 Seguros</v>
      </c>
      <c r="CU419" s="141" t="str">
        <v>233555 Seguros</v>
      </c>
      <c r="CV419" s="141" t="str">
        <v>233555 Seguros</v>
      </c>
      <c r="CW419" s="141" t="str">
        <v>233555 Seguros</v>
      </c>
      <c r="CX419" s="141" t="str">
        <v>233555 Seguros</v>
      </c>
      <c r="CY419" s="141" t="str">
        <v>233555 Seguros</v>
      </c>
      <c r="CZ419" s="141" t="str">
        <v>233555 Seguros</v>
      </c>
      <c r="DA419" s="141" t="str">
        <v>233555 Seguros</v>
      </c>
      <c r="DF419" t="str">
        <v>233555 Seguros</v>
      </c>
      <c r="DG419" t="str">
        <v>233555 Seguros</v>
      </c>
      <c r="DH419" t="str">
        <v>233555 Seguros</v>
      </c>
      <c r="DI419" t="str">
        <v>233555 Seguros</v>
      </c>
      <c r="DJ419" t="str">
        <v>233555 Seguros</v>
      </c>
      <c r="DK419" t="str">
        <v>233555 Seguros</v>
      </c>
      <c r="DL419" t="str">
        <v>233555 Seguros</v>
      </c>
      <c r="DM419" t="str">
        <v>233555 Seguros</v>
      </c>
      <c r="DN419" t="str">
        <v>233555 Seguros</v>
      </c>
      <c r="DO419" t="str">
        <v>233555 Seguros</v>
      </c>
      <c r="DP419" t="str">
        <v>233555 Seguros</v>
      </c>
    </row>
    <row r="420" spans="4:120" ht="12.75">
      <c r="D420" s="7">
        <v>233560</v>
      </c>
      <c r="E420" s="6" t="s">
        <v>322</v>
      </c>
      <c r="F420" s="5">
        <v>4</v>
      </c>
      <c r="G420" s="34" t="s">
        <v>823</v>
      </c>
      <c r="H420" s="26" t="s">
        <v>765</v>
      </c>
      <c r="I420" t="b">
        <f>+ISNUMBER(SEARCH('F-COMPRA'!$F$28,Tabla11[[#This Row],[Cuenta]],1))</f>
        <v>1</v>
      </c>
      <c r="J420" t="b">
        <f>+ISNUMBER(SEARCH('F-COMPRA'!$F$29,Tabla11[[#This Row],[Cuenta]],1))</f>
        <v>1</v>
      </c>
      <c r="K420" t="b">
        <f>+ISNUMBER(SEARCH('F-COMPRA'!$F$30,Tabla11[[#This Row],[Cuenta]],1))</f>
        <v>1</v>
      </c>
      <c r="L420" t="b">
        <f>+ISNUMBER(SEARCH('F-COMPRA'!$F$31,Tabla11[[#This Row],[Cuenta]],1))</f>
        <v>1</v>
      </c>
      <c r="M420" t="b">
        <f>+ISNUMBER(SEARCH('F-COMPRA'!$G$25,Tabla11[[#This Row],[Cuenta]],1))</f>
        <v>0</v>
      </c>
      <c r="N420" t="b">
        <f>+ISNUMBER(SEARCH(#REF!,Tabla11[[#This Row],[Cuenta]],1))</f>
        <v>0</v>
      </c>
      <c r="O420" t="b">
        <f>+ISNUMBER(SEARCH(#REF!,Tabla11[[#This Row],[Cuenta]],1))</f>
        <v>0</v>
      </c>
      <c r="P420" t="b">
        <f>+ISNUMBER(SEARCH('F-COMPRA'!$F$32,Tabla11[[#This Row],[Cuenta]],1))</f>
        <v>1</v>
      </c>
      <c r="Q420" t="b">
        <f>+ISNUMBER(SEARCH('F-COMPRA'!$F$33,Tabla11[[#This Row],[Cuenta]],1))</f>
        <v>1</v>
      </c>
      <c r="R420" t="b">
        <f>+ISNUMBER(SEARCH('F-COMPRA'!$F$34,Tabla11[[#This Row],[Cuenta]],1))</f>
        <v>1</v>
      </c>
      <c r="S420" t="b">
        <f>+ISNUMBER(SEARCH('F-COMPRA'!$F$35,Tabla11[[#This Row],[Cuenta]],1))</f>
        <v>1</v>
      </c>
      <c r="T420" t="b">
        <f>+ISNUMBER(SEARCH('F-COMPRA'!$F$36,Tabla11[[#This Row],[Cuenta]],1))</f>
        <v>1</v>
      </c>
      <c r="U420" t="b">
        <f>+ISNUMBER(SEARCH('F-COMPRA'!$F$37,Tabla11[[#This Row],[Cuenta]],1))</f>
        <v>1</v>
      </c>
      <c r="V420" t="b">
        <f>+ISNUMBER(SEARCH(#REF!,Tabla11[[#This Row],[Cuenta]],1))</f>
        <v>0</v>
      </c>
      <c r="W420" t="b">
        <f>+ISNUMBER(SEARCH('F-COMPRA'!#REF!,Tabla11[[#This Row],[Cuenta]],1))</f>
        <v>0</v>
      </c>
      <c r="X420" t="b">
        <f>+ISNUMBER(SEARCH('F-COMPRA'!#REF!,Tabla11[[#This Row],[Cuenta]],1))</f>
        <v>0</v>
      </c>
      <c r="Y420" t="b">
        <f>+ISNUMBER(SEARCH('F-COMPRA'!#REF!,Tabla11[[#This Row],[Cuenta]],1))</f>
        <v>0</v>
      </c>
      <c r="Z420" t="b">
        <f>+ISNUMBER(SEARCH('F-COMPRA'!#REF!,Tabla11[[#This Row],[Cuenta]],1))</f>
        <v>0</v>
      </c>
      <c r="AA420" t="b">
        <f>+ISNUMBER(SEARCH('F-COMPRA'!#REF!,Tabla11[[#This Row],[Cuenta]],1))</f>
        <v>0</v>
      </c>
      <c r="AB420" t="b">
        <f>+ISNUMBER(SEARCH('F-COMPRA'!#REF!,Tabla11[[#This Row],[Cuenta]],1))</f>
        <v>0</v>
      </c>
      <c r="AC420" t="b">
        <f>+ISNUMBER(SEARCH('F-COMPRA'!#REF!,Tabla11[[#This Row],[Cuenta]],1))</f>
        <v>0</v>
      </c>
      <c r="AD420" t="b">
        <f>+ISNUMBER(SEARCH('F-COMPRA'!#REF!,Tabla11[[#This Row],[Cuenta]],1))</f>
        <v>0</v>
      </c>
      <c r="AE420" t="b">
        <f>+ISNUMBER(SEARCH('F-COMPRA'!#REF!,Tabla11[[#This Row],[Cuenta]],1))</f>
        <v>0</v>
      </c>
      <c r="AF420" t="b">
        <f>+ISNUMBER(SEARCH('F-VTA'!$G$23,Tabla11[[#This Row],[Cuenta]],1))</f>
        <v>0</v>
      </c>
      <c r="AG420" t="b">
        <f>+ISNUMBER(SEARCH('F-VTA'!$G$24,Tabla11[[#This Row],[Cuenta]],1))</f>
        <v>0</v>
      </c>
      <c r="AH420" t="b">
        <f>+ISNUMBER(SEARCH('F-VTA'!$G$25,Tabla11[[#This Row],[Cuenta]],1))</f>
        <v>0</v>
      </c>
      <c r="AI420" t="b">
        <f>+ISNUMBER(SEARCH('F-VTA'!$F$28,Tabla11[[#This Row],[Cuenta]],1))</f>
        <v>1</v>
      </c>
      <c r="AJ420" t="b">
        <f>+ISNUMBER(SEARCH('F-VTA'!$F$29,Tabla11[[#This Row],[Cuenta]],1))</f>
        <v>1</v>
      </c>
      <c r="AK420" t="b">
        <f>+ISNUMBER(SEARCH('F-VTA'!$F$30,Tabla11[[#This Row],[Cuenta]],1))</f>
        <v>1</v>
      </c>
      <c r="AL420" t="b">
        <f>+ISNUMBER(SEARCH('F-VTA'!$F$31,Tabla11[[#This Row],[Cuenta]],1))</f>
        <v>1</v>
      </c>
      <c r="AM420" t="b">
        <f>+ISNUMBER(SEARCH('F-VTA'!$F$32,Tabla11[[#This Row],[Cuenta]],1))</f>
        <v>1</v>
      </c>
      <c r="AN420" t="b">
        <f>+ISNUMBER(SEARCH('F-VTA'!$F$33,Tabla11[[#This Row],[Cuenta]],1))</f>
        <v>1</v>
      </c>
      <c r="AO420" t="b">
        <f>+ISNUMBER(SEARCH('F-VTA'!$F$34,Tabla11[[#This Row],[Cuenta]],1))</f>
        <v>1</v>
      </c>
      <c r="AP420" t="b">
        <f>+ISNUMBER(SEARCH('F-VTA'!$F$35,Tabla11[[#This Row],[Cuenta]],1))</f>
        <v>1</v>
      </c>
      <c r="AQ420" t="b">
        <f>+ISNUMBER(SEARCH('F-VTA'!$F$36,Tabla11[[#This Row],[Cuenta]],1))</f>
        <v>1</v>
      </c>
      <c r="AR420" t="b">
        <f>+ISNUMBER(SEARCH(#REF!,Tabla11[[#This Row],[Cuenta]],1))</f>
        <v>0</v>
      </c>
      <c r="AS420" t="b">
        <f>+ISNUMBER(SEARCH(#REF!,Tabla11[[#This Row],[Cuenta]],1))</f>
        <v>0</v>
      </c>
      <c r="AT420" t="b">
        <f>+ISNUMBER(SEARCH(#REF!,Tabla11[[#This Row],[Cuenta]],1))</f>
        <v>0</v>
      </c>
      <c r="AU420" t="b">
        <f>+ISNUMBER(SEARCH('Conc. Ban.1'!$I$9,Tabla11[[#This Row],[Cuenta]],1))</f>
        <v>0</v>
      </c>
      <c r="AV420" t="b">
        <f>+ISNUMBER(SEARCH(CompConta!$F$21,Tabla11[[#This Row],[Cuenta]],1))</f>
        <v>1</v>
      </c>
      <c r="AW420" t="b">
        <f>+ISNUMBER(SEARCH(CompConta!$F$22,Tabla11[[#This Row],[Cuenta]],1))</f>
        <v>1</v>
      </c>
      <c r="AX420" t="b">
        <f>+ISNUMBER(SEARCH(CompConta!$F$23,Tabla11[[#This Row],[Cuenta]],1))</f>
        <v>1</v>
      </c>
      <c r="AY420" t="b">
        <f>+ISNUMBER(SEARCH(CompConta!$F$24,Tabla11[[#This Row],[Cuenta]],1))</f>
        <v>1</v>
      </c>
      <c r="AZ420" t="b">
        <f>+ISNUMBER(SEARCH(CompConta!$F$25,Tabla11[[#This Row],[Cuenta]],1))</f>
        <v>1</v>
      </c>
      <c r="BA420" t="b">
        <f>+ISNUMBER(SEARCH(CompConta!$F$26,Tabla11[[#This Row],[Cuenta]],1))</f>
        <v>1</v>
      </c>
      <c r="BB420" t="b">
        <f>+ISNUMBER(SEARCH(CompConta!$F$27,Tabla11[[#This Row],[Cuenta]],1))</f>
        <v>1</v>
      </c>
      <c r="BC420" t="b">
        <f>+ISNUMBER(SEARCH(CompConta!$F$28,Tabla11[[#This Row],[Cuenta]],1))</f>
        <v>1</v>
      </c>
      <c r="BD420" t="b">
        <f>+ISNUMBER(SEARCH(CompConta!$F$29,Tabla11[[#This Row],[Cuenta]],1))</f>
        <v>1</v>
      </c>
      <c r="BE420" t="b">
        <f>+ISNUMBER(SEARCH(CompConta!$F$30,Tabla11[[#This Row],[Cuenta]],1))</f>
        <v>1</v>
      </c>
      <c r="BF420" t="b">
        <f>+ISNUMBER(SEARCH('PAGO Compras'!$E$11,Tabla11[[#This Row],[Cuenta]],1))</f>
        <v>1</v>
      </c>
      <c r="BG420" t="b">
        <f>+ISNUMBER(SEARCH(#REF!,Tabla11[[#This Row],[Cuenta]],1))</f>
        <v>0</v>
      </c>
      <c r="BH420" t="b">
        <f>+ISNUMBER(SEARCH(#REF!,Tabla11[[#This Row],[Cuenta]],1))</f>
        <v>0</v>
      </c>
      <c r="BI420" t="b">
        <f>+ISNUMBER(SEARCH(#REF!,Tabla11[[#This Row],[Cuenta]],1))</f>
        <v>0</v>
      </c>
      <c r="BJ420" t="b">
        <f>+ISNUMBER(SEARCH(#REF!,Tabla11[[#This Row],[Cuenta]],1))</f>
        <v>0</v>
      </c>
      <c r="BS420" t="str">
        <v>233560 Gastos de viaje</v>
      </c>
      <c r="BT420" t="str">
        <v>233560 Gastos de viaje</v>
      </c>
      <c r="BU420" t="str">
        <v>233560 Gastos de viaje</v>
      </c>
      <c r="BV420" t="str">
        <v>233560 Gastos de viaje</v>
      </c>
      <c r="BZ420" t="str">
        <v>233560 Gastos de viaje</v>
      </c>
      <c r="CA420" t="str">
        <v>233560 Gastos de viaje</v>
      </c>
      <c r="CB420" t="str">
        <v>233560 Gastos de viaje</v>
      </c>
      <c r="CC420" t="str">
        <v>233560 Gastos de viaje</v>
      </c>
      <c r="CD420" t="str">
        <v>233560 Gastos de viaje</v>
      </c>
      <c r="CE420" t="str">
        <v>233560 Gastos de viaje</v>
      </c>
      <c r="CS420" s="141" t="str">
        <v>233560 Gastos de viaje</v>
      </c>
      <c r="CT420" s="141" t="str">
        <v>233560 Gastos de viaje</v>
      </c>
      <c r="CU420" s="141" t="str">
        <v>233560 Gastos de viaje</v>
      </c>
      <c r="CV420" s="141" t="str">
        <v>233560 Gastos de viaje</v>
      </c>
      <c r="CW420" s="141" t="str">
        <v>233560 Gastos de viaje</v>
      </c>
      <c r="CX420" s="141" t="str">
        <v>233560 Gastos de viaje</v>
      </c>
      <c r="CY420" s="141" t="str">
        <v>233560 Gastos de viaje</v>
      </c>
      <c r="CZ420" s="141" t="str">
        <v>233560 Gastos de viaje</v>
      </c>
      <c r="DA420" s="141" t="str">
        <v>233560 Gastos de viaje</v>
      </c>
      <c r="DF420" t="str">
        <v>233560 Gastos de viaje</v>
      </c>
      <c r="DG420" t="str">
        <v>233560 Gastos de viaje</v>
      </c>
      <c r="DH420" t="str">
        <v>233560 Gastos de viaje</v>
      </c>
      <c r="DI420" t="str">
        <v>233560 Gastos de viaje</v>
      </c>
      <c r="DJ420" t="str">
        <v>233560 Gastos de viaje</v>
      </c>
      <c r="DK420" t="str">
        <v>233560 Gastos de viaje</v>
      </c>
      <c r="DL420" t="str">
        <v>233560 Gastos de viaje</v>
      </c>
      <c r="DM420" t="str">
        <v>233560 Gastos de viaje</v>
      </c>
      <c r="DN420" t="str">
        <v>233560 Gastos de viaje</v>
      </c>
      <c r="DO420" t="str">
        <v>233560 Gastos de viaje</v>
      </c>
      <c r="DP420" t="str">
        <v>233560 Gastos de viaje</v>
      </c>
    </row>
    <row r="421" spans="4:120" ht="12.75">
      <c r="D421" s="7">
        <v>233565</v>
      </c>
      <c r="E421" s="6" t="s">
        <v>323</v>
      </c>
      <c r="F421" s="5">
        <v>4</v>
      </c>
      <c r="G421" s="34" t="s">
        <v>823</v>
      </c>
      <c r="H421" s="26" t="s">
        <v>765</v>
      </c>
      <c r="I421" t="b">
        <f>+ISNUMBER(SEARCH('F-COMPRA'!$F$28,Tabla11[[#This Row],[Cuenta]],1))</f>
        <v>1</v>
      </c>
      <c r="J421" t="b">
        <f>+ISNUMBER(SEARCH('F-COMPRA'!$F$29,Tabla11[[#This Row],[Cuenta]],1))</f>
        <v>1</v>
      </c>
      <c r="K421" t="b">
        <f>+ISNUMBER(SEARCH('F-COMPRA'!$F$30,Tabla11[[#This Row],[Cuenta]],1))</f>
        <v>1</v>
      </c>
      <c r="L421" t="b">
        <f>+ISNUMBER(SEARCH('F-COMPRA'!$F$31,Tabla11[[#This Row],[Cuenta]],1))</f>
        <v>1</v>
      </c>
      <c r="M421" t="b">
        <f>+ISNUMBER(SEARCH('F-COMPRA'!$G$25,Tabla11[[#This Row],[Cuenta]],1))</f>
        <v>0</v>
      </c>
      <c r="N421" t="b">
        <f>+ISNUMBER(SEARCH(#REF!,Tabla11[[#This Row],[Cuenta]],1))</f>
        <v>0</v>
      </c>
      <c r="O421" t="b">
        <f>+ISNUMBER(SEARCH(#REF!,Tabla11[[#This Row],[Cuenta]],1))</f>
        <v>0</v>
      </c>
      <c r="P421" t="b">
        <f>+ISNUMBER(SEARCH('F-COMPRA'!$F$32,Tabla11[[#This Row],[Cuenta]],1))</f>
        <v>1</v>
      </c>
      <c r="Q421" t="b">
        <f>+ISNUMBER(SEARCH('F-COMPRA'!$F$33,Tabla11[[#This Row],[Cuenta]],1))</f>
        <v>1</v>
      </c>
      <c r="R421" t="b">
        <f>+ISNUMBER(SEARCH('F-COMPRA'!$F$34,Tabla11[[#This Row],[Cuenta]],1))</f>
        <v>1</v>
      </c>
      <c r="S421" t="b">
        <f>+ISNUMBER(SEARCH('F-COMPRA'!$F$35,Tabla11[[#This Row],[Cuenta]],1))</f>
        <v>1</v>
      </c>
      <c r="T421" t="b">
        <f>+ISNUMBER(SEARCH('F-COMPRA'!$F$36,Tabla11[[#This Row],[Cuenta]],1))</f>
        <v>1</v>
      </c>
      <c r="U421" t="b">
        <f>+ISNUMBER(SEARCH('F-COMPRA'!$F$37,Tabla11[[#This Row],[Cuenta]],1))</f>
        <v>1</v>
      </c>
      <c r="V421" t="b">
        <f>+ISNUMBER(SEARCH(#REF!,Tabla11[[#This Row],[Cuenta]],1))</f>
        <v>0</v>
      </c>
      <c r="W421" t="b">
        <f>+ISNUMBER(SEARCH('F-COMPRA'!#REF!,Tabla11[[#This Row],[Cuenta]],1))</f>
        <v>0</v>
      </c>
      <c r="X421" t="b">
        <f>+ISNUMBER(SEARCH('F-COMPRA'!#REF!,Tabla11[[#This Row],[Cuenta]],1))</f>
        <v>0</v>
      </c>
      <c r="Y421" t="b">
        <f>+ISNUMBER(SEARCH('F-COMPRA'!#REF!,Tabla11[[#This Row],[Cuenta]],1))</f>
        <v>0</v>
      </c>
      <c r="Z421" t="b">
        <f>+ISNUMBER(SEARCH('F-COMPRA'!#REF!,Tabla11[[#This Row],[Cuenta]],1))</f>
        <v>0</v>
      </c>
      <c r="AA421" t="b">
        <f>+ISNUMBER(SEARCH('F-COMPRA'!#REF!,Tabla11[[#This Row],[Cuenta]],1))</f>
        <v>0</v>
      </c>
      <c r="AB421" t="b">
        <f>+ISNUMBER(SEARCH('F-COMPRA'!#REF!,Tabla11[[#This Row],[Cuenta]],1))</f>
        <v>0</v>
      </c>
      <c r="AC421" t="b">
        <f>+ISNUMBER(SEARCH('F-COMPRA'!#REF!,Tabla11[[#This Row],[Cuenta]],1))</f>
        <v>0</v>
      </c>
      <c r="AD421" t="b">
        <f>+ISNUMBER(SEARCH('F-COMPRA'!#REF!,Tabla11[[#This Row],[Cuenta]],1))</f>
        <v>0</v>
      </c>
      <c r="AE421" t="b">
        <f>+ISNUMBER(SEARCH('F-COMPRA'!#REF!,Tabla11[[#This Row],[Cuenta]],1))</f>
        <v>0</v>
      </c>
      <c r="AF421" t="b">
        <f>+ISNUMBER(SEARCH('F-VTA'!$G$23,Tabla11[[#This Row],[Cuenta]],1))</f>
        <v>0</v>
      </c>
      <c r="AG421" t="b">
        <f>+ISNUMBER(SEARCH('F-VTA'!$G$24,Tabla11[[#This Row],[Cuenta]],1))</f>
        <v>0</v>
      </c>
      <c r="AH421" t="b">
        <f>+ISNUMBER(SEARCH('F-VTA'!$G$25,Tabla11[[#This Row],[Cuenta]],1))</f>
        <v>0</v>
      </c>
      <c r="AI421" t="b">
        <f>+ISNUMBER(SEARCH('F-VTA'!$F$28,Tabla11[[#This Row],[Cuenta]],1))</f>
        <v>1</v>
      </c>
      <c r="AJ421" t="b">
        <f>+ISNUMBER(SEARCH('F-VTA'!$F$29,Tabla11[[#This Row],[Cuenta]],1))</f>
        <v>1</v>
      </c>
      <c r="AK421" t="b">
        <f>+ISNUMBER(SEARCH('F-VTA'!$F$30,Tabla11[[#This Row],[Cuenta]],1))</f>
        <v>1</v>
      </c>
      <c r="AL421" t="b">
        <f>+ISNUMBER(SEARCH('F-VTA'!$F$31,Tabla11[[#This Row],[Cuenta]],1))</f>
        <v>1</v>
      </c>
      <c r="AM421" t="b">
        <f>+ISNUMBER(SEARCH('F-VTA'!$F$32,Tabla11[[#This Row],[Cuenta]],1))</f>
        <v>1</v>
      </c>
      <c r="AN421" t="b">
        <f>+ISNUMBER(SEARCH('F-VTA'!$F$33,Tabla11[[#This Row],[Cuenta]],1))</f>
        <v>1</v>
      </c>
      <c r="AO421" t="b">
        <f>+ISNUMBER(SEARCH('F-VTA'!$F$34,Tabla11[[#This Row],[Cuenta]],1))</f>
        <v>1</v>
      </c>
      <c r="AP421" t="b">
        <f>+ISNUMBER(SEARCH('F-VTA'!$F$35,Tabla11[[#This Row],[Cuenta]],1))</f>
        <v>1</v>
      </c>
      <c r="AQ421" t="b">
        <f>+ISNUMBER(SEARCH('F-VTA'!$F$36,Tabla11[[#This Row],[Cuenta]],1))</f>
        <v>1</v>
      </c>
      <c r="AR421" t="b">
        <f>+ISNUMBER(SEARCH(#REF!,Tabla11[[#This Row],[Cuenta]],1))</f>
        <v>0</v>
      </c>
      <c r="AS421" t="b">
        <f>+ISNUMBER(SEARCH(#REF!,Tabla11[[#This Row],[Cuenta]],1))</f>
        <v>0</v>
      </c>
      <c r="AT421" t="b">
        <f>+ISNUMBER(SEARCH(#REF!,Tabla11[[#This Row],[Cuenta]],1))</f>
        <v>0</v>
      </c>
      <c r="AU421" t="b">
        <f>+ISNUMBER(SEARCH('Conc. Ban.1'!$I$9,Tabla11[[#This Row],[Cuenta]],1))</f>
        <v>0</v>
      </c>
      <c r="AV421" t="b">
        <f>+ISNUMBER(SEARCH(CompConta!$F$21,Tabla11[[#This Row],[Cuenta]],1))</f>
        <v>1</v>
      </c>
      <c r="AW421" t="b">
        <f>+ISNUMBER(SEARCH(CompConta!$F$22,Tabla11[[#This Row],[Cuenta]],1))</f>
        <v>1</v>
      </c>
      <c r="AX421" t="b">
        <f>+ISNUMBER(SEARCH(CompConta!$F$23,Tabla11[[#This Row],[Cuenta]],1))</f>
        <v>1</v>
      </c>
      <c r="AY421" t="b">
        <f>+ISNUMBER(SEARCH(CompConta!$F$24,Tabla11[[#This Row],[Cuenta]],1))</f>
        <v>1</v>
      </c>
      <c r="AZ421" t="b">
        <f>+ISNUMBER(SEARCH(CompConta!$F$25,Tabla11[[#This Row],[Cuenta]],1))</f>
        <v>1</v>
      </c>
      <c r="BA421" t="b">
        <f>+ISNUMBER(SEARCH(CompConta!$F$26,Tabla11[[#This Row],[Cuenta]],1))</f>
        <v>1</v>
      </c>
      <c r="BB421" t="b">
        <f>+ISNUMBER(SEARCH(CompConta!$F$27,Tabla11[[#This Row],[Cuenta]],1))</f>
        <v>1</v>
      </c>
      <c r="BC421" t="b">
        <f>+ISNUMBER(SEARCH(CompConta!$F$28,Tabla11[[#This Row],[Cuenta]],1))</f>
        <v>1</v>
      </c>
      <c r="BD421" t="b">
        <f>+ISNUMBER(SEARCH(CompConta!$F$29,Tabla11[[#This Row],[Cuenta]],1))</f>
        <v>1</v>
      </c>
      <c r="BE421" t="b">
        <f>+ISNUMBER(SEARCH(CompConta!$F$30,Tabla11[[#This Row],[Cuenta]],1))</f>
        <v>1</v>
      </c>
      <c r="BF421" t="b">
        <f>+ISNUMBER(SEARCH('PAGO Compras'!$E$11,Tabla11[[#This Row],[Cuenta]],1))</f>
        <v>1</v>
      </c>
      <c r="BG421" t="b">
        <f>+ISNUMBER(SEARCH(#REF!,Tabla11[[#This Row],[Cuenta]],1))</f>
        <v>0</v>
      </c>
      <c r="BH421" t="b">
        <f>+ISNUMBER(SEARCH(#REF!,Tabla11[[#This Row],[Cuenta]],1))</f>
        <v>0</v>
      </c>
      <c r="BI421" t="b">
        <f>+ISNUMBER(SEARCH(#REF!,Tabla11[[#This Row],[Cuenta]],1))</f>
        <v>0</v>
      </c>
      <c r="BJ421" t="b">
        <f>+ISNUMBER(SEARCH(#REF!,Tabla11[[#This Row],[Cuenta]],1))</f>
        <v>0</v>
      </c>
      <c r="BS421" t="str">
        <v>233565 Gastos de representac/n y relaciones públicas</v>
      </c>
      <c r="BT421" t="str">
        <v>233565 Gastos de representac/n y relaciones públicas</v>
      </c>
      <c r="BU421" t="str">
        <v>233565 Gastos de representac/n y relaciones públicas</v>
      </c>
      <c r="BV421" t="str">
        <v>233565 Gastos de representac/n y relaciones públicas</v>
      </c>
      <c r="BZ421" t="str">
        <v>233565 Gastos de representac/n y relaciones públicas</v>
      </c>
      <c r="CA421" t="str">
        <v>233565 Gastos de representac/n y relaciones públicas</v>
      </c>
      <c r="CB421" t="str">
        <v>233565 Gastos de representac/n y relaciones públicas</v>
      </c>
      <c r="CC421" t="str">
        <v>233565 Gastos de representac/n y relaciones públicas</v>
      </c>
      <c r="CD421" t="str">
        <v>233565 Gastos de representac/n y relaciones públicas</v>
      </c>
      <c r="CE421" t="str">
        <v>233565 Gastos de representac/n y relaciones públicas</v>
      </c>
      <c r="CS421" s="141" t="str">
        <v>233565 Gastos de representac/n y relaciones públicas</v>
      </c>
      <c r="CT421" s="141" t="str">
        <v>233565 Gastos de representac/n y relaciones públicas</v>
      </c>
      <c r="CU421" s="141" t="str">
        <v>233565 Gastos de representac/n y relaciones públicas</v>
      </c>
      <c r="CV421" s="141" t="str">
        <v>233565 Gastos de representac/n y relaciones públicas</v>
      </c>
      <c r="CW421" s="141" t="str">
        <v>233565 Gastos de representac/n y relaciones públicas</v>
      </c>
      <c r="CX421" s="141" t="str">
        <v>233565 Gastos de representac/n y relaciones públicas</v>
      </c>
      <c r="CY421" s="141" t="str">
        <v>233565 Gastos de representac/n y relaciones públicas</v>
      </c>
      <c r="CZ421" s="141" t="str">
        <v>233565 Gastos de representac/n y relaciones públicas</v>
      </c>
      <c r="DA421" s="141" t="str">
        <v>233565 Gastos de representac/n y relaciones públicas</v>
      </c>
      <c r="DF421" t="str">
        <v>233565 Gastos de representac/n y relaciones públicas</v>
      </c>
      <c r="DG421" t="str">
        <v>233565 Gastos de representac/n y relaciones públicas</v>
      </c>
      <c r="DH421" t="str">
        <v>233565 Gastos de representac/n y relaciones públicas</v>
      </c>
      <c r="DI421" t="str">
        <v>233565 Gastos de representac/n y relaciones públicas</v>
      </c>
      <c r="DJ421" t="str">
        <v>233565 Gastos de representac/n y relaciones públicas</v>
      </c>
      <c r="DK421" t="str">
        <v>233565 Gastos de representac/n y relaciones públicas</v>
      </c>
      <c r="DL421" t="str">
        <v>233565 Gastos de representac/n y relaciones públicas</v>
      </c>
      <c r="DM421" t="str">
        <v>233565 Gastos de representac/n y relaciones públicas</v>
      </c>
      <c r="DN421" t="str">
        <v>233565 Gastos de representac/n y relaciones públicas</v>
      </c>
      <c r="DO421" t="str">
        <v>233565 Gastos de representac/n y relaciones públicas</v>
      </c>
      <c r="DP421" t="str">
        <v>233565 Gastos de representac/n y relaciones públicas</v>
      </c>
    </row>
    <row r="422" spans="4:120" ht="12.75">
      <c r="D422" s="7">
        <v>233570</v>
      </c>
      <c r="E422" s="6" t="s">
        <v>324</v>
      </c>
      <c r="F422" s="5">
        <v>4</v>
      </c>
      <c r="G422" s="34" t="s">
        <v>823</v>
      </c>
      <c r="H422" s="26" t="s">
        <v>765</v>
      </c>
      <c r="I422" t="b">
        <f>+ISNUMBER(SEARCH('F-COMPRA'!$F$28,Tabla11[[#This Row],[Cuenta]],1))</f>
        <v>1</v>
      </c>
      <c r="J422" t="b">
        <f>+ISNUMBER(SEARCH('F-COMPRA'!$F$29,Tabla11[[#This Row],[Cuenta]],1))</f>
        <v>1</v>
      </c>
      <c r="K422" t="b">
        <f>+ISNUMBER(SEARCH('F-COMPRA'!$F$30,Tabla11[[#This Row],[Cuenta]],1))</f>
        <v>1</v>
      </c>
      <c r="L422" t="b">
        <f>+ISNUMBER(SEARCH('F-COMPRA'!$F$31,Tabla11[[#This Row],[Cuenta]],1))</f>
        <v>1</v>
      </c>
      <c r="M422" t="b">
        <f>+ISNUMBER(SEARCH('F-COMPRA'!$G$25,Tabla11[[#This Row],[Cuenta]],1))</f>
        <v>0</v>
      </c>
      <c r="N422" t="b">
        <f>+ISNUMBER(SEARCH(#REF!,Tabla11[[#This Row],[Cuenta]],1))</f>
        <v>0</v>
      </c>
      <c r="O422" t="b">
        <f>+ISNUMBER(SEARCH(#REF!,Tabla11[[#This Row],[Cuenta]],1))</f>
        <v>0</v>
      </c>
      <c r="P422" t="b">
        <f>+ISNUMBER(SEARCH('F-COMPRA'!$F$32,Tabla11[[#This Row],[Cuenta]],1))</f>
        <v>1</v>
      </c>
      <c r="Q422" t="b">
        <f>+ISNUMBER(SEARCH('F-COMPRA'!$F$33,Tabla11[[#This Row],[Cuenta]],1))</f>
        <v>1</v>
      </c>
      <c r="R422" t="b">
        <f>+ISNUMBER(SEARCH('F-COMPRA'!$F$34,Tabla11[[#This Row],[Cuenta]],1))</f>
        <v>1</v>
      </c>
      <c r="S422" t="b">
        <f>+ISNUMBER(SEARCH('F-COMPRA'!$F$35,Tabla11[[#This Row],[Cuenta]],1))</f>
        <v>1</v>
      </c>
      <c r="T422" t="b">
        <f>+ISNUMBER(SEARCH('F-COMPRA'!$F$36,Tabla11[[#This Row],[Cuenta]],1))</f>
        <v>1</v>
      </c>
      <c r="U422" t="b">
        <f>+ISNUMBER(SEARCH('F-COMPRA'!$F$37,Tabla11[[#This Row],[Cuenta]],1))</f>
        <v>1</v>
      </c>
      <c r="V422" t="b">
        <f>+ISNUMBER(SEARCH(#REF!,Tabla11[[#This Row],[Cuenta]],1))</f>
        <v>0</v>
      </c>
      <c r="W422" t="b">
        <f>+ISNUMBER(SEARCH('F-COMPRA'!#REF!,Tabla11[[#This Row],[Cuenta]],1))</f>
        <v>0</v>
      </c>
      <c r="X422" t="b">
        <f>+ISNUMBER(SEARCH('F-COMPRA'!#REF!,Tabla11[[#This Row],[Cuenta]],1))</f>
        <v>0</v>
      </c>
      <c r="Y422" t="b">
        <f>+ISNUMBER(SEARCH('F-COMPRA'!#REF!,Tabla11[[#This Row],[Cuenta]],1))</f>
        <v>0</v>
      </c>
      <c r="Z422" t="b">
        <f>+ISNUMBER(SEARCH('F-COMPRA'!#REF!,Tabla11[[#This Row],[Cuenta]],1))</f>
        <v>0</v>
      </c>
      <c r="AA422" t="b">
        <f>+ISNUMBER(SEARCH('F-COMPRA'!#REF!,Tabla11[[#This Row],[Cuenta]],1))</f>
        <v>0</v>
      </c>
      <c r="AB422" t="b">
        <f>+ISNUMBER(SEARCH('F-COMPRA'!#REF!,Tabla11[[#This Row],[Cuenta]],1))</f>
        <v>0</v>
      </c>
      <c r="AC422" t="b">
        <f>+ISNUMBER(SEARCH('F-COMPRA'!#REF!,Tabla11[[#This Row],[Cuenta]],1))</f>
        <v>0</v>
      </c>
      <c r="AD422" t="b">
        <f>+ISNUMBER(SEARCH('F-COMPRA'!#REF!,Tabla11[[#This Row],[Cuenta]],1))</f>
        <v>0</v>
      </c>
      <c r="AE422" t="b">
        <f>+ISNUMBER(SEARCH('F-COMPRA'!#REF!,Tabla11[[#This Row],[Cuenta]],1))</f>
        <v>0</v>
      </c>
      <c r="AF422" t="b">
        <f>+ISNUMBER(SEARCH('F-VTA'!$G$23,Tabla11[[#This Row],[Cuenta]],1))</f>
        <v>0</v>
      </c>
      <c r="AG422" t="b">
        <f>+ISNUMBER(SEARCH('F-VTA'!$G$24,Tabla11[[#This Row],[Cuenta]],1))</f>
        <v>0</v>
      </c>
      <c r="AH422" t="b">
        <f>+ISNUMBER(SEARCH('F-VTA'!$G$25,Tabla11[[#This Row],[Cuenta]],1))</f>
        <v>0</v>
      </c>
      <c r="AI422" t="b">
        <f>+ISNUMBER(SEARCH('F-VTA'!$F$28,Tabla11[[#This Row],[Cuenta]],1))</f>
        <v>1</v>
      </c>
      <c r="AJ422" t="b">
        <f>+ISNUMBER(SEARCH('F-VTA'!$F$29,Tabla11[[#This Row],[Cuenta]],1))</f>
        <v>1</v>
      </c>
      <c r="AK422" t="b">
        <f>+ISNUMBER(SEARCH('F-VTA'!$F$30,Tabla11[[#This Row],[Cuenta]],1))</f>
        <v>1</v>
      </c>
      <c r="AL422" t="b">
        <f>+ISNUMBER(SEARCH('F-VTA'!$F$31,Tabla11[[#This Row],[Cuenta]],1))</f>
        <v>1</v>
      </c>
      <c r="AM422" t="b">
        <f>+ISNUMBER(SEARCH('F-VTA'!$F$32,Tabla11[[#This Row],[Cuenta]],1))</f>
        <v>1</v>
      </c>
      <c r="AN422" t="b">
        <f>+ISNUMBER(SEARCH('F-VTA'!$F$33,Tabla11[[#This Row],[Cuenta]],1))</f>
        <v>1</v>
      </c>
      <c r="AO422" t="b">
        <f>+ISNUMBER(SEARCH('F-VTA'!$F$34,Tabla11[[#This Row],[Cuenta]],1))</f>
        <v>1</v>
      </c>
      <c r="AP422" t="b">
        <f>+ISNUMBER(SEARCH('F-VTA'!$F$35,Tabla11[[#This Row],[Cuenta]],1))</f>
        <v>1</v>
      </c>
      <c r="AQ422" t="b">
        <f>+ISNUMBER(SEARCH('F-VTA'!$F$36,Tabla11[[#This Row],[Cuenta]],1))</f>
        <v>1</v>
      </c>
      <c r="AR422" t="b">
        <f>+ISNUMBER(SEARCH(#REF!,Tabla11[[#This Row],[Cuenta]],1))</f>
        <v>0</v>
      </c>
      <c r="AS422" t="b">
        <f>+ISNUMBER(SEARCH(#REF!,Tabla11[[#This Row],[Cuenta]],1))</f>
        <v>0</v>
      </c>
      <c r="AT422" t="b">
        <f>+ISNUMBER(SEARCH(#REF!,Tabla11[[#This Row],[Cuenta]],1))</f>
        <v>0</v>
      </c>
      <c r="AU422" t="b">
        <f>+ISNUMBER(SEARCH('Conc. Ban.1'!$I$9,Tabla11[[#This Row],[Cuenta]],1))</f>
        <v>0</v>
      </c>
      <c r="AV422" t="b">
        <f>+ISNUMBER(SEARCH(CompConta!$F$21,Tabla11[[#This Row],[Cuenta]],1))</f>
        <v>1</v>
      </c>
      <c r="AW422" t="b">
        <f>+ISNUMBER(SEARCH(CompConta!$F$22,Tabla11[[#This Row],[Cuenta]],1))</f>
        <v>1</v>
      </c>
      <c r="AX422" t="b">
        <f>+ISNUMBER(SEARCH(CompConta!$F$23,Tabla11[[#This Row],[Cuenta]],1))</f>
        <v>1</v>
      </c>
      <c r="AY422" t="b">
        <f>+ISNUMBER(SEARCH(CompConta!$F$24,Tabla11[[#This Row],[Cuenta]],1))</f>
        <v>1</v>
      </c>
      <c r="AZ422" t="b">
        <f>+ISNUMBER(SEARCH(CompConta!$F$25,Tabla11[[#This Row],[Cuenta]],1))</f>
        <v>1</v>
      </c>
      <c r="BA422" t="b">
        <f>+ISNUMBER(SEARCH(CompConta!$F$26,Tabla11[[#This Row],[Cuenta]],1))</f>
        <v>1</v>
      </c>
      <c r="BB422" t="b">
        <f>+ISNUMBER(SEARCH(CompConta!$F$27,Tabla11[[#This Row],[Cuenta]],1))</f>
        <v>1</v>
      </c>
      <c r="BC422" t="b">
        <f>+ISNUMBER(SEARCH(CompConta!$F$28,Tabla11[[#This Row],[Cuenta]],1))</f>
        <v>1</v>
      </c>
      <c r="BD422" t="b">
        <f>+ISNUMBER(SEARCH(CompConta!$F$29,Tabla11[[#This Row],[Cuenta]],1))</f>
        <v>1</v>
      </c>
      <c r="BE422" t="b">
        <f>+ISNUMBER(SEARCH(CompConta!$F$30,Tabla11[[#This Row],[Cuenta]],1))</f>
        <v>1</v>
      </c>
      <c r="BF422" t="b">
        <f>+ISNUMBER(SEARCH('PAGO Compras'!$E$11,Tabla11[[#This Row],[Cuenta]],1))</f>
        <v>1</v>
      </c>
      <c r="BG422" t="b">
        <f>+ISNUMBER(SEARCH(#REF!,Tabla11[[#This Row],[Cuenta]],1))</f>
        <v>0</v>
      </c>
      <c r="BH422" t="b">
        <f>+ISNUMBER(SEARCH(#REF!,Tabla11[[#This Row],[Cuenta]],1))</f>
        <v>0</v>
      </c>
      <c r="BI422" t="b">
        <f>+ISNUMBER(SEARCH(#REF!,Tabla11[[#This Row],[Cuenta]],1))</f>
        <v>0</v>
      </c>
      <c r="BJ422" t="b">
        <f>+ISNUMBER(SEARCH(#REF!,Tabla11[[#This Row],[Cuenta]],1))</f>
        <v>0</v>
      </c>
      <c r="BS422" t="str">
        <v>233570 Servicios aduaneros</v>
      </c>
      <c r="BT422" t="str">
        <v>233570 Servicios aduaneros</v>
      </c>
      <c r="BU422" t="str">
        <v>233570 Servicios aduaneros</v>
      </c>
      <c r="BV422" t="str">
        <v>233570 Servicios aduaneros</v>
      </c>
      <c r="BZ422" t="str">
        <v>233570 Servicios aduaneros</v>
      </c>
      <c r="CA422" t="str">
        <v>233570 Servicios aduaneros</v>
      </c>
      <c r="CB422" t="str">
        <v>233570 Servicios aduaneros</v>
      </c>
      <c r="CC422" t="str">
        <v>233570 Servicios aduaneros</v>
      </c>
      <c r="CD422" t="str">
        <v>233570 Servicios aduaneros</v>
      </c>
      <c r="CE422" t="str">
        <v>233570 Servicios aduaneros</v>
      </c>
      <c r="CS422" s="141" t="str">
        <v>233570 Servicios aduaneros</v>
      </c>
      <c r="CT422" s="141" t="str">
        <v>233570 Servicios aduaneros</v>
      </c>
      <c r="CU422" s="141" t="str">
        <v>233570 Servicios aduaneros</v>
      </c>
      <c r="CV422" s="141" t="str">
        <v>233570 Servicios aduaneros</v>
      </c>
      <c r="CW422" s="141" t="str">
        <v>233570 Servicios aduaneros</v>
      </c>
      <c r="CX422" s="141" t="str">
        <v>233570 Servicios aduaneros</v>
      </c>
      <c r="CY422" s="141" t="str">
        <v>233570 Servicios aduaneros</v>
      </c>
      <c r="CZ422" s="141" t="str">
        <v>233570 Servicios aduaneros</v>
      </c>
      <c r="DA422" s="141" t="str">
        <v>233570 Servicios aduaneros</v>
      </c>
      <c r="DF422" t="str">
        <v>233570 Servicios aduaneros</v>
      </c>
      <c r="DG422" t="str">
        <v>233570 Servicios aduaneros</v>
      </c>
      <c r="DH422" t="str">
        <v>233570 Servicios aduaneros</v>
      </c>
      <c r="DI422" t="str">
        <v>233570 Servicios aduaneros</v>
      </c>
      <c r="DJ422" t="str">
        <v>233570 Servicios aduaneros</v>
      </c>
      <c r="DK422" t="str">
        <v>233570 Servicios aduaneros</v>
      </c>
      <c r="DL422" t="str">
        <v>233570 Servicios aduaneros</v>
      </c>
      <c r="DM422" t="str">
        <v>233570 Servicios aduaneros</v>
      </c>
      <c r="DN422" t="str">
        <v>233570 Servicios aduaneros</v>
      </c>
      <c r="DO422" t="str">
        <v>233570 Servicios aduaneros</v>
      </c>
      <c r="DP422" t="str">
        <v>233570 Servicios aduaneros</v>
      </c>
    </row>
    <row r="423" spans="4:120" ht="12.75">
      <c r="D423" s="7">
        <v>233595</v>
      </c>
      <c r="E423" s="6" t="s">
        <v>45</v>
      </c>
      <c r="F423" s="5">
        <v>4</v>
      </c>
      <c r="G423" s="34" t="s">
        <v>823</v>
      </c>
      <c r="H423" s="26" t="s">
        <v>765</v>
      </c>
      <c r="I423" t="b">
        <f>+ISNUMBER(SEARCH('F-COMPRA'!$F$28,Tabla11[[#This Row],[Cuenta]],1))</f>
        <v>1</v>
      </c>
      <c r="J423" t="b">
        <f>+ISNUMBER(SEARCH('F-COMPRA'!$F$29,Tabla11[[#This Row],[Cuenta]],1))</f>
        <v>1</v>
      </c>
      <c r="K423" t="b">
        <f>+ISNUMBER(SEARCH('F-COMPRA'!$F$30,Tabla11[[#This Row],[Cuenta]],1))</f>
        <v>1</v>
      </c>
      <c r="L423" t="b">
        <f>+ISNUMBER(SEARCH('F-COMPRA'!$F$31,Tabla11[[#This Row],[Cuenta]],1))</f>
        <v>1</v>
      </c>
      <c r="M423" t="b">
        <f>+ISNUMBER(SEARCH('F-COMPRA'!$G$25,Tabla11[[#This Row],[Cuenta]],1))</f>
        <v>0</v>
      </c>
      <c r="N423" t="b">
        <f>+ISNUMBER(SEARCH(#REF!,Tabla11[[#This Row],[Cuenta]],1))</f>
        <v>0</v>
      </c>
      <c r="O423" t="b">
        <f>+ISNUMBER(SEARCH(#REF!,Tabla11[[#This Row],[Cuenta]],1))</f>
        <v>0</v>
      </c>
      <c r="P423" t="b">
        <f>+ISNUMBER(SEARCH('F-COMPRA'!$F$32,Tabla11[[#This Row],[Cuenta]],1))</f>
        <v>1</v>
      </c>
      <c r="Q423" t="b">
        <f>+ISNUMBER(SEARCH('F-COMPRA'!$F$33,Tabla11[[#This Row],[Cuenta]],1))</f>
        <v>1</v>
      </c>
      <c r="R423" t="b">
        <f>+ISNUMBER(SEARCH('F-COMPRA'!$F$34,Tabla11[[#This Row],[Cuenta]],1))</f>
        <v>1</v>
      </c>
      <c r="S423" t="b">
        <f>+ISNUMBER(SEARCH('F-COMPRA'!$F$35,Tabla11[[#This Row],[Cuenta]],1))</f>
        <v>1</v>
      </c>
      <c r="T423" t="b">
        <f>+ISNUMBER(SEARCH('F-COMPRA'!$F$36,Tabla11[[#This Row],[Cuenta]],1))</f>
        <v>1</v>
      </c>
      <c r="U423" t="b">
        <f>+ISNUMBER(SEARCH('F-COMPRA'!$F$37,Tabla11[[#This Row],[Cuenta]],1))</f>
        <v>1</v>
      </c>
      <c r="V423" t="b">
        <f>+ISNUMBER(SEARCH(#REF!,Tabla11[[#This Row],[Cuenta]],1))</f>
        <v>0</v>
      </c>
      <c r="W423" t="b">
        <f>+ISNUMBER(SEARCH('F-COMPRA'!#REF!,Tabla11[[#This Row],[Cuenta]],1))</f>
        <v>0</v>
      </c>
      <c r="X423" t="b">
        <f>+ISNUMBER(SEARCH('F-COMPRA'!#REF!,Tabla11[[#This Row],[Cuenta]],1))</f>
        <v>0</v>
      </c>
      <c r="Y423" t="b">
        <f>+ISNUMBER(SEARCH('F-COMPRA'!#REF!,Tabla11[[#This Row],[Cuenta]],1))</f>
        <v>0</v>
      </c>
      <c r="Z423" t="b">
        <f>+ISNUMBER(SEARCH('F-COMPRA'!#REF!,Tabla11[[#This Row],[Cuenta]],1))</f>
        <v>0</v>
      </c>
      <c r="AA423" t="b">
        <f>+ISNUMBER(SEARCH('F-COMPRA'!#REF!,Tabla11[[#This Row],[Cuenta]],1))</f>
        <v>0</v>
      </c>
      <c r="AB423" t="b">
        <f>+ISNUMBER(SEARCH('F-COMPRA'!#REF!,Tabla11[[#This Row],[Cuenta]],1))</f>
        <v>0</v>
      </c>
      <c r="AC423" t="b">
        <f>+ISNUMBER(SEARCH('F-COMPRA'!#REF!,Tabla11[[#This Row],[Cuenta]],1))</f>
        <v>0</v>
      </c>
      <c r="AD423" t="b">
        <f>+ISNUMBER(SEARCH('F-COMPRA'!#REF!,Tabla11[[#This Row],[Cuenta]],1))</f>
        <v>0</v>
      </c>
      <c r="AE423" t="b">
        <f>+ISNUMBER(SEARCH('F-COMPRA'!#REF!,Tabla11[[#This Row],[Cuenta]],1))</f>
        <v>0</v>
      </c>
      <c r="AF423" t="b">
        <f>+ISNUMBER(SEARCH('F-VTA'!$G$23,Tabla11[[#This Row],[Cuenta]],1))</f>
        <v>0</v>
      </c>
      <c r="AG423" t="b">
        <f>+ISNUMBER(SEARCH('F-VTA'!$G$24,Tabla11[[#This Row],[Cuenta]],1))</f>
        <v>0</v>
      </c>
      <c r="AH423" t="b">
        <f>+ISNUMBER(SEARCH('F-VTA'!$G$25,Tabla11[[#This Row],[Cuenta]],1))</f>
        <v>0</v>
      </c>
      <c r="AI423" t="b">
        <f>+ISNUMBER(SEARCH('F-VTA'!$F$28,Tabla11[[#This Row],[Cuenta]],1))</f>
        <v>1</v>
      </c>
      <c r="AJ423" t="b">
        <f>+ISNUMBER(SEARCH('F-VTA'!$F$29,Tabla11[[#This Row],[Cuenta]],1))</f>
        <v>1</v>
      </c>
      <c r="AK423" t="b">
        <f>+ISNUMBER(SEARCH('F-VTA'!$F$30,Tabla11[[#This Row],[Cuenta]],1))</f>
        <v>1</v>
      </c>
      <c r="AL423" t="b">
        <f>+ISNUMBER(SEARCH('F-VTA'!$F$31,Tabla11[[#This Row],[Cuenta]],1))</f>
        <v>1</v>
      </c>
      <c r="AM423" t="b">
        <f>+ISNUMBER(SEARCH('F-VTA'!$F$32,Tabla11[[#This Row],[Cuenta]],1))</f>
        <v>1</v>
      </c>
      <c r="AN423" t="b">
        <f>+ISNUMBER(SEARCH('F-VTA'!$F$33,Tabla11[[#This Row],[Cuenta]],1))</f>
        <v>1</v>
      </c>
      <c r="AO423" t="b">
        <f>+ISNUMBER(SEARCH('F-VTA'!$F$34,Tabla11[[#This Row],[Cuenta]],1))</f>
        <v>1</v>
      </c>
      <c r="AP423" t="b">
        <f>+ISNUMBER(SEARCH('F-VTA'!$F$35,Tabla11[[#This Row],[Cuenta]],1))</f>
        <v>1</v>
      </c>
      <c r="AQ423" t="b">
        <f>+ISNUMBER(SEARCH('F-VTA'!$F$36,Tabla11[[#This Row],[Cuenta]],1))</f>
        <v>1</v>
      </c>
      <c r="AR423" t="b">
        <f>+ISNUMBER(SEARCH(#REF!,Tabla11[[#This Row],[Cuenta]],1))</f>
        <v>0</v>
      </c>
      <c r="AS423" t="b">
        <f>+ISNUMBER(SEARCH(#REF!,Tabla11[[#This Row],[Cuenta]],1))</f>
        <v>0</v>
      </c>
      <c r="AT423" t="b">
        <f>+ISNUMBER(SEARCH(#REF!,Tabla11[[#This Row],[Cuenta]],1))</f>
        <v>0</v>
      </c>
      <c r="AU423" t="b">
        <f>+ISNUMBER(SEARCH('Conc. Ban.1'!$I$9,Tabla11[[#This Row],[Cuenta]],1))</f>
        <v>0</v>
      </c>
      <c r="AV423" t="b">
        <f>+ISNUMBER(SEARCH(CompConta!$F$21,Tabla11[[#This Row],[Cuenta]],1))</f>
        <v>1</v>
      </c>
      <c r="AW423" t="b">
        <f>+ISNUMBER(SEARCH(CompConta!$F$22,Tabla11[[#This Row],[Cuenta]],1))</f>
        <v>1</v>
      </c>
      <c r="AX423" t="b">
        <f>+ISNUMBER(SEARCH(CompConta!$F$23,Tabla11[[#This Row],[Cuenta]],1))</f>
        <v>1</v>
      </c>
      <c r="AY423" t="b">
        <f>+ISNUMBER(SEARCH(CompConta!$F$24,Tabla11[[#This Row],[Cuenta]],1))</f>
        <v>1</v>
      </c>
      <c r="AZ423" t="b">
        <f>+ISNUMBER(SEARCH(CompConta!$F$25,Tabla11[[#This Row],[Cuenta]],1))</f>
        <v>1</v>
      </c>
      <c r="BA423" t="b">
        <f>+ISNUMBER(SEARCH(CompConta!$F$26,Tabla11[[#This Row],[Cuenta]],1))</f>
        <v>1</v>
      </c>
      <c r="BB423" t="b">
        <f>+ISNUMBER(SEARCH(CompConta!$F$27,Tabla11[[#This Row],[Cuenta]],1))</f>
        <v>1</v>
      </c>
      <c r="BC423" t="b">
        <f>+ISNUMBER(SEARCH(CompConta!$F$28,Tabla11[[#This Row],[Cuenta]],1))</f>
        <v>1</v>
      </c>
      <c r="BD423" t="b">
        <f>+ISNUMBER(SEARCH(CompConta!$F$29,Tabla11[[#This Row],[Cuenta]],1))</f>
        <v>1</v>
      </c>
      <c r="BE423" t="b">
        <f>+ISNUMBER(SEARCH(CompConta!$F$30,Tabla11[[#This Row],[Cuenta]],1))</f>
        <v>1</v>
      </c>
      <c r="BF423" t="b">
        <f>+ISNUMBER(SEARCH('PAGO Compras'!$E$11,Tabla11[[#This Row],[Cuenta]],1))</f>
        <v>1</v>
      </c>
      <c r="BG423" t="b">
        <f>+ISNUMBER(SEARCH(#REF!,Tabla11[[#This Row],[Cuenta]],1))</f>
        <v>0</v>
      </c>
      <c r="BH423" t="b">
        <f>+ISNUMBER(SEARCH(#REF!,Tabla11[[#This Row],[Cuenta]],1))</f>
        <v>0</v>
      </c>
      <c r="BI423" t="b">
        <f>+ISNUMBER(SEARCH(#REF!,Tabla11[[#This Row],[Cuenta]],1))</f>
        <v>0</v>
      </c>
      <c r="BJ423" t="b">
        <f>+ISNUMBER(SEARCH(#REF!,Tabla11[[#This Row],[Cuenta]],1))</f>
        <v>0</v>
      </c>
      <c r="BS423" t="str">
        <v>233595 Otros</v>
      </c>
      <c r="BT423" t="str">
        <v>233595 Otros</v>
      </c>
      <c r="BU423" t="str">
        <v>233595 Otros</v>
      </c>
      <c r="BV423" t="str">
        <v>233595 Otros</v>
      </c>
      <c r="BZ423" t="str">
        <v>233595 Otros</v>
      </c>
      <c r="CA423" t="str">
        <v>233595 Otros</v>
      </c>
      <c r="CB423" t="str">
        <v>233595 Otros</v>
      </c>
      <c r="CC423" t="str">
        <v>233595 Otros</v>
      </c>
      <c r="CD423" t="str">
        <v>233595 Otros</v>
      </c>
      <c r="CE423" t="str">
        <v>233595 Otros</v>
      </c>
      <c r="CS423" s="141" t="str">
        <v>233595 Otros</v>
      </c>
      <c r="CT423" s="141" t="str">
        <v>233595 Otros</v>
      </c>
      <c r="CU423" s="141" t="str">
        <v>233595 Otros</v>
      </c>
      <c r="CV423" s="141" t="str">
        <v>233595 Otros</v>
      </c>
      <c r="CW423" s="141" t="str">
        <v>233595 Otros</v>
      </c>
      <c r="CX423" s="141" t="str">
        <v>233595 Otros</v>
      </c>
      <c r="CY423" s="141" t="str">
        <v>233595 Otros</v>
      </c>
      <c r="CZ423" s="141" t="str">
        <v>233595 Otros</v>
      </c>
      <c r="DA423" s="141" t="str">
        <v>233595 Otros</v>
      </c>
      <c r="DF423" t="str">
        <v>233595 Otros</v>
      </c>
      <c r="DG423" t="str">
        <v>233595 Otros</v>
      </c>
      <c r="DH423" t="str">
        <v>233595 Otros</v>
      </c>
      <c r="DI423" t="str">
        <v>233595 Otros</v>
      </c>
      <c r="DJ423" t="str">
        <v>233595 Otros</v>
      </c>
      <c r="DK423" t="str">
        <v>233595 Otros</v>
      </c>
      <c r="DL423" t="str">
        <v>233595 Otros</v>
      </c>
      <c r="DM423" t="str">
        <v>233595 Otros</v>
      </c>
      <c r="DN423" t="str">
        <v>233595 Otros</v>
      </c>
      <c r="DO423" t="str">
        <v>233595 Otros</v>
      </c>
      <c r="DP423" t="str">
        <v>233595 Otros</v>
      </c>
    </row>
    <row r="424" spans="4:120" ht="12.75">
      <c r="D424" s="7">
        <v>2355</v>
      </c>
      <c r="E424" s="6" t="s">
        <v>325</v>
      </c>
      <c r="F424" s="5">
        <v>3</v>
      </c>
      <c r="G424" s="34" t="s">
        <v>823</v>
      </c>
      <c r="H424" s="26" t="s">
        <v>765</v>
      </c>
      <c r="I424" t="b">
        <f>+ISNUMBER(SEARCH('F-COMPRA'!$F$28,Tabla11[[#This Row],[Cuenta]],1))</f>
        <v>1</v>
      </c>
      <c r="J424" t="b">
        <f>+ISNUMBER(SEARCH('F-COMPRA'!$F$29,Tabla11[[#This Row],[Cuenta]],1))</f>
        <v>1</v>
      </c>
      <c r="K424" t="b">
        <f>+ISNUMBER(SEARCH('F-COMPRA'!$F$30,Tabla11[[#This Row],[Cuenta]],1))</f>
        <v>1</v>
      </c>
      <c r="L424" t="b">
        <f>+ISNUMBER(SEARCH('F-COMPRA'!$F$31,Tabla11[[#This Row],[Cuenta]],1))</f>
        <v>1</v>
      </c>
      <c r="M424" t="b">
        <f>+ISNUMBER(SEARCH('F-COMPRA'!$G$25,Tabla11[[#This Row],[Cuenta]],1))</f>
        <v>0</v>
      </c>
      <c r="N424" t="b">
        <f>+ISNUMBER(SEARCH(#REF!,Tabla11[[#This Row],[Cuenta]],1))</f>
        <v>0</v>
      </c>
      <c r="O424" t="b">
        <f>+ISNUMBER(SEARCH(#REF!,Tabla11[[#This Row],[Cuenta]],1))</f>
        <v>0</v>
      </c>
      <c r="P424" t="b">
        <f>+ISNUMBER(SEARCH('F-COMPRA'!$F$32,Tabla11[[#This Row],[Cuenta]],1))</f>
        <v>1</v>
      </c>
      <c r="Q424" t="b">
        <f>+ISNUMBER(SEARCH('F-COMPRA'!$F$33,Tabla11[[#This Row],[Cuenta]],1))</f>
        <v>1</v>
      </c>
      <c r="R424" t="b">
        <f>+ISNUMBER(SEARCH('F-COMPRA'!$F$34,Tabla11[[#This Row],[Cuenta]],1))</f>
        <v>1</v>
      </c>
      <c r="S424" t="b">
        <f>+ISNUMBER(SEARCH('F-COMPRA'!$F$35,Tabla11[[#This Row],[Cuenta]],1))</f>
        <v>1</v>
      </c>
      <c r="T424" t="b">
        <f>+ISNUMBER(SEARCH('F-COMPRA'!$F$36,Tabla11[[#This Row],[Cuenta]],1))</f>
        <v>1</v>
      </c>
      <c r="U424" t="b">
        <f>+ISNUMBER(SEARCH('F-COMPRA'!$F$37,Tabla11[[#This Row],[Cuenta]],1))</f>
        <v>1</v>
      </c>
      <c r="V424" t="b">
        <f>+ISNUMBER(SEARCH(#REF!,Tabla11[[#This Row],[Cuenta]],1))</f>
        <v>0</v>
      </c>
      <c r="W424" t="b">
        <f>+ISNUMBER(SEARCH('F-COMPRA'!#REF!,Tabla11[[#This Row],[Cuenta]],1))</f>
        <v>0</v>
      </c>
      <c r="X424" t="b">
        <f>+ISNUMBER(SEARCH('F-COMPRA'!#REF!,Tabla11[[#This Row],[Cuenta]],1))</f>
        <v>0</v>
      </c>
      <c r="Y424" t="b">
        <f>+ISNUMBER(SEARCH('F-COMPRA'!#REF!,Tabla11[[#This Row],[Cuenta]],1))</f>
        <v>0</v>
      </c>
      <c r="Z424" t="b">
        <f>+ISNUMBER(SEARCH('F-COMPRA'!#REF!,Tabla11[[#This Row],[Cuenta]],1))</f>
        <v>0</v>
      </c>
      <c r="AA424" t="b">
        <f>+ISNUMBER(SEARCH('F-COMPRA'!#REF!,Tabla11[[#This Row],[Cuenta]],1))</f>
        <v>0</v>
      </c>
      <c r="AB424" t="b">
        <f>+ISNUMBER(SEARCH('F-COMPRA'!#REF!,Tabla11[[#This Row],[Cuenta]],1))</f>
        <v>0</v>
      </c>
      <c r="AC424" t="b">
        <f>+ISNUMBER(SEARCH('F-COMPRA'!#REF!,Tabla11[[#This Row],[Cuenta]],1))</f>
        <v>0</v>
      </c>
      <c r="AD424" t="b">
        <f>+ISNUMBER(SEARCH('F-COMPRA'!#REF!,Tabla11[[#This Row],[Cuenta]],1))</f>
        <v>0</v>
      </c>
      <c r="AE424" t="b">
        <f>+ISNUMBER(SEARCH('F-COMPRA'!#REF!,Tabla11[[#This Row],[Cuenta]],1))</f>
        <v>0</v>
      </c>
      <c r="AF424" t="b">
        <f>+ISNUMBER(SEARCH('F-VTA'!$G$23,Tabla11[[#This Row],[Cuenta]],1))</f>
        <v>0</v>
      </c>
      <c r="AG424" t="b">
        <f>+ISNUMBER(SEARCH('F-VTA'!$G$24,Tabla11[[#This Row],[Cuenta]],1))</f>
        <v>0</v>
      </c>
      <c r="AH424" t="b">
        <f>+ISNUMBER(SEARCH('F-VTA'!$G$25,Tabla11[[#This Row],[Cuenta]],1))</f>
        <v>0</v>
      </c>
      <c r="AI424" t="b">
        <f>+ISNUMBER(SEARCH('F-VTA'!$F$28,Tabla11[[#This Row],[Cuenta]],1))</f>
        <v>1</v>
      </c>
      <c r="AJ424" t="b">
        <f>+ISNUMBER(SEARCH('F-VTA'!$F$29,Tabla11[[#This Row],[Cuenta]],1))</f>
        <v>1</v>
      </c>
      <c r="AK424" t="b">
        <f>+ISNUMBER(SEARCH('F-VTA'!$F$30,Tabla11[[#This Row],[Cuenta]],1))</f>
        <v>1</v>
      </c>
      <c r="AL424" t="b">
        <f>+ISNUMBER(SEARCH('F-VTA'!$F$31,Tabla11[[#This Row],[Cuenta]],1))</f>
        <v>1</v>
      </c>
      <c r="AM424" t="b">
        <f>+ISNUMBER(SEARCH('F-VTA'!$F$32,Tabla11[[#This Row],[Cuenta]],1))</f>
        <v>1</v>
      </c>
      <c r="AN424" t="b">
        <f>+ISNUMBER(SEARCH('F-VTA'!$F$33,Tabla11[[#This Row],[Cuenta]],1))</f>
        <v>1</v>
      </c>
      <c r="AO424" t="b">
        <f>+ISNUMBER(SEARCH('F-VTA'!$F$34,Tabla11[[#This Row],[Cuenta]],1))</f>
        <v>1</v>
      </c>
      <c r="AP424" t="b">
        <f>+ISNUMBER(SEARCH('F-VTA'!$F$35,Tabla11[[#This Row],[Cuenta]],1))</f>
        <v>1</v>
      </c>
      <c r="AQ424" t="b">
        <f>+ISNUMBER(SEARCH('F-VTA'!$F$36,Tabla11[[#This Row],[Cuenta]],1))</f>
        <v>1</v>
      </c>
      <c r="AR424" t="b">
        <f>+ISNUMBER(SEARCH(#REF!,Tabla11[[#This Row],[Cuenta]],1))</f>
        <v>0</v>
      </c>
      <c r="AS424" t="b">
        <f>+ISNUMBER(SEARCH(#REF!,Tabla11[[#This Row],[Cuenta]],1))</f>
        <v>0</v>
      </c>
      <c r="AT424" t="b">
        <f>+ISNUMBER(SEARCH(#REF!,Tabla11[[#This Row],[Cuenta]],1))</f>
        <v>0</v>
      </c>
      <c r="AU424" t="b">
        <f>+ISNUMBER(SEARCH('Conc. Ban.1'!$I$9,Tabla11[[#This Row],[Cuenta]],1))</f>
        <v>0</v>
      </c>
      <c r="AV424" t="b">
        <f>+ISNUMBER(SEARCH(CompConta!$F$21,Tabla11[[#This Row],[Cuenta]],1))</f>
        <v>1</v>
      </c>
      <c r="AW424" t="b">
        <f>+ISNUMBER(SEARCH(CompConta!$F$22,Tabla11[[#This Row],[Cuenta]],1))</f>
        <v>1</v>
      </c>
      <c r="AX424" t="b">
        <f>+ISNUMBER(SEARCH(CompConta!$F$23,Tabla11[[#This Row],[Cuenta]],1))</f>
        <v>1</v>
      </c>
      <c r="AY424" t="b">
        <f>+ISNUMBER(SEARCH(CompConta!$F$24,Tabla11[[#This Row],[Cuenta]],1))</f>
        <v>1</v>
      </c>
      <c r="AZ424" t="b">
        <f>+ISNUMBER(SEARCH(CompConta!$F$25,Tabla11[[#This Row],[Cuenta]],1))</f>
        <v>1</v>
      </c>
      <c r="BA424" t="b">
        <f>+ISNUMBER(SEARCH(CompConta!$F$26,Tabla11[[#This Row],[Cuenta]],1))</f>
        <v>1</v>
      </c>
      <c r="BB424" t="b">
        <f>+ISNUMBER(SEARCH(CompConta!$F$27,Tabla11[[#This Row],[Cuenta]],1))</f>
        <v>1</v>
      </c>
      <c r="BC424" t="b">
        <f>+ISNUMBER(SEARCH(CompConta!$F$28,Tabla11[[#This Row],[Cuenta]],1))</f>
        <v>1</v>
      </c>
      <c r="BD424" t="b">
        <f>+ISNUMBER(SEARCH(CompConta!$F$29,Tabla11[[#This Row],[Cuenta]],1))</f>
        <v>1</v>
      </c>
      <c r="BE424" t="b">
        <f>+ISNUMBER(SEARCH(CompConta!$F$30,Tabla11[[#This Row],[Cuenta]],1))</f>
        <v>1</v>
      </c>
      <c r="BF424" t="b">
        <f>+ISNUMBER(SEARCH('PAGO Compras'!$E$11,Tabla11[[#This Row],[Cuenta]],1))</f>
        <v>1</v>
      </c>
      <c r="BG424" t="b">
        <f>+ISNUMBER(SEARCH(#REF!,Tabla11[[#This Row],[Cuenta]],1))</f>
        <v>0</v>
      </c>
      <c r="BH424" t="b">
        <f>+ISNUMBER(SEARCH(#REF!,Tabla11[[#This Row],[Cuenta]],1))</f>
        <v>0</v>
      </c>
      <c r="BI424" t="b">
        <f>+ISNUMBER(SEARCH(#REF!,Tabla11[[#This Row],[Cuenta]],1))</f>
        <v>0</v>
      </c>
      <c r="BJ424" t="b">
        <f>+ISNUMBER(SEARCH(#REF!,Tabla11[[#This Row],[Cuenta]],1))</f>
        <v>0</v>
      </c>
      <c r="BS424" t="str">
        <v>2355 DEUDAS CON ACCIONISTAS O SOCIOS</v>
      </c>
      <c r="BT424" t="str">
        <v>2355 DEUDAS CON ACCIONISTAS O SOCIOS</v>
      </c>
      <c r="BU424" t="str">
        <v>2355 DEUDAS CON ACCIONISTAS O SOCIOS</v>
      </c>
      <c r="BV424" t="str">
        <v>2355 DEUDAS CON ACCIONISTAS O SOCIOS</v>
      </c>
      <c r="BZ424" t="str">
        <v>2355 DEUDAS CON ACCIONISTAS O SOCIOS</v>
      </c>
      <c r="CA424" t="str">
        <v>2355 DEUDAS CON ACCIONISTAS O SOCIOS</v>
      </c>
      <c r="CB424" t="str">
        <v>2355 DEUDAS CON ACCIONISTAS O SOCIOS</v>
      </c>
      <c r="CC424" t="str">
        <v>2355 DEUDAS CON ACCIONISTAS O SOCIOS</v>
      </c>
      <c r="CD424" t="str">
        <v>2355 DEUDAS CON ACCIONISTAS O SOCIOS</v>
      </c>
      <c r="CE424" t="str">
        <v>2355 DEUDAS CON ACCIONISTAS O SOCIOS</v>
      </c>
      <c r="CS424" s="141" t="str">
        <v>2355 DEUDAS CON ACCIONISTAS O SOCIOS</v>
      </c>
      <c r="CT424" s="141" t="str">
        <v>2355 DEUDAS CON ACCIONISTAS O SOCIOS</v>
      </c>
      <c r="CU424" s="141" t="str">
        <v>2355 DEUDAS CON ACCIONISTAS O SOCIOS</v>
      </c>
      <c r="CV424" s="141" t="str">
        <v>2355 DEUDAS CON ACCIONISTAS O SOCIOS</v>
      </c>
      <c r="CW424" s="141" t="str">
        <v>2355 DEUDAS CON ACCIONISTAS O SOCIOS</v>
      </c>
      <c r="CX424" s="141" t="str">
        <v>2355 DEUDAS CON ACCIONISTAS O SOCIOS</v>
      </c>
      <c r="CY424" s="141" t="str">
        <v>2355 DEUDAS CON ACCIONISTAS O SOCIOS</v>
      </c>
      <c r="CZ424" s="141" t="str">
        <v>2355 DEUDAS CON ACCIONISTAS O SOCIOS</v>
      </c>
      <c r="DA424" s="141" t="str">
        <v>2355 DEUDAS CON ACCIONISTAS O SOCIOS</v>
      </c>
      <c r="DF424" t="str">
        <v>2355 DEUDAS CON ACCIONISTAS O SOCIOS</v>
      </c>
      <c r="DG424" t="str">
        <v>2355 DEUDAS CON ACCIONISTAS O SOCIOS</v>
      </c>
      <c r="DH424" t="str">
        <v>2355 DEUDAS CON ACCIONISTAS O SOCIOS</v>
      </c>
      <c r="DI424" t="str">
        <v>2355 DEUDAS CON ACCIONISTAS O SOCIOS</v>
      </c>
      <c r="DJ424" t="str">
        <v>2355 DEUDAS CON ACCIONISTAS O SOCIOS</v>
      </c>
      <c r="DK424" t="str">
        <v>2355 DEUDAS CON ACCIONISTAS O SOCIOS</v>
      </c>
      <c r="DL424" t="str">
        <v>2355 DEUDAS CON ACCIONISTAS O SOCIOS</v>
      </c>
      <c r="DM424" t="str">
        <v>2355 DEUDAS CON ACCIONISTAS O SOCIOS</v>
      </c>
      <c r="DN424" t="str">
        <v>2355 DEUDAS CON ACCIONISTAS O SOCIOS</v>
      </c>
      <c r="DO424" t="str">
        <v>2355 DEUDAS CON ACCIONISTAS O SOCIOS</v>
      </c>
      <c r="DP424" t="str">
        <v>2355 DEUDAS CON ACCIONISTAS O SOCIOS</v>
      </c>
    </row>
    <row r="425" spans="4:120" ht="12.75">
      <c r="D425" s="7">
        <v>235505</v>
      </c>
      <c r="E425" s="6" t="s">
        <v>326</v>
      </c>
      <c r="F425" s="5">
        <v>4</v>
      </c>
      <c r="G425" s="34" t="s">
        <v>823</v>
      </c>
      <c r="H425" s="26" t="s">
        <v>765</v>
      </c>
      <c r="I425" t="b">
        <f>+ISNUMBER(SEARCH('F-COMPRA'!$F$28,Tabla11[[#This Row],[Cuenta]],1))</f>
        <v>1</v>
      </c>
      <c r="J425" t="b">
        <f>+ISNUMBER(SEARCH('F-COMPRA'!$F$29,Tabla11[[#This Row],[Cuenta]],1))</f>
        <v>1</v>
      </c>
      <c r="K425" t="b">
        <f>+ISNUMBER(SEARCH('F-COMPRA'!$F$30,Tabla11[[#This Row],[Cuenta]],1))</f>
        <v>1</v>
      </c>
      <c r="L425" t="b">
        <f>+ISNUMBER(SEARCH('F-COMPRA'!$F$31,Tabla11[[#This Row],[Cuenta]],1))</f>
        <v>1</v>
      </c>
      <c r="M425" t="b">
        <f>+ISNUMBER(SEARCH('F-COMPRA'!$G$25,Tabla11[[#This Row],[Cuenta]],1))</f>
        <v>0</v>
      </c>
      <c r="N425" t="b">
        <f>+ISNUMBER(SEARCH(#REF!,Tabla11[[#This Row],[Cuenta]],1))</f>
        <v>0</v>
      </c>
      <c r="O425" t="b">
        <f>+ISNUMBER(SEARCH(#REF!,Tabla11[[#This Row],[Cuenta]],1))</f>
        <v>0</v>
      </c>
      <c r="P425" t="b">
        <f>+ISNUMBER(SEARCH('F-COMPRA'!$F$32,Tabla11[[#This Row],[Cuenta]],1))</f>
        <v>1</v>
      </c>
      <c r="Q425" t="b">
        <f>+ISNUMBER(SEARCH('F-COMPRA'!$F$33,Tabla11[[#This Row],[Cuenta]],1))</f>
        <v>1</v>
      </c>
      <c r="R425" t="b">
        <f>+ISNUMBER(SEARCH('F-COMPRA'!$F$34,Tabla11[[#This Row],[Cuenta]],1))</f>
        <v>1</v>
      </c>
      <c r="S425" t="b">
        <f>+ISNUMBER(SEARCH('F-COMPRA'!$F$35,Tabla11[[#This Row],[Cuenta]],1))</f>
        <v>1</v>
      </c>
      <c r="T425" t="b">
        <f>+ISNUMBER(SEARCH('F-COMPRA'!$F$36,Tabla11[[#This Row],[Cuenta]],1))</f>
        <v>1</v>
      </c>
      <c r="U425" t="b">
        <f>+ISNUMBER(SEARCH('F-COMPRA'!$F$37,Tabla11[[#This Row],[Cuenta]],1))</f>
        <v>1</v>
      </c>
      <c r="V425" t="b">
        <f>+ISNUMBER(SEARCH(#REF!,Tabla11[[#This Row],[Cuenta]],1))</f>
        <v>0</v>
      </c>
      <c r="W425" t="b">
        <f>+ISNUMBER(SEARCH('F-COMPRA'!#REF!,Tabla11[[#This Row],[Cuenta]],1))</f>
        <v>0</v>
      </c>
      <c r="X425" t="b">
        <f>+ISNUMBER(SEARCH('F-COMPRA'!#REF!,Tabla11[[#This Row],[Cuenta]],1))</f>
        <v>0</v>
      </c>
      <c r="Y425" t="b">
        <f>+ISNUMBER(SEARCH('F-COMPRA'!#REF!,Tabla11[[#This Row],[Cuenta]],1))</f>
        <v>0</v>
      </c>
      <c r="Z425" t="b">
        <f>+ISNUMBER(SEARCH('F-COMPRA'!#REF!,Tabla11[[#This Row],[Cuenta]],1))</f>
        <v>0</v>
      </c>
      <c r="AA425" t="b">
        <f>+ISNUMBER(SEARCH('F-COMPRA'!#REF!,Tabla11[[#This Row],[Cuenta]],1))</f>
        <v>0</v>
      </c>
      <c r="AB425" t="b">
        <f>+ISNUMBER(SEARCH('F-COMPRA'!#REF!,Tabla11[[#This Row],[Cuenta]],1))</f>
        <v>0</v>
      </c>
      <c r="AC425" t="b">
        <f>+ISNUMBER(SEARCH('F-COMPRA'!#REF!,Tabla11[[#This Row],[Cuenta]],1))</f>
        <v>0</v>
      </c>
      <c r="AD425" t="b">
        <f>+ISNUMBER(SEARCH('F-COMPRA'!#REF!,Tabla11[[#This Row],[Cuenta]],1))</f>
        <v>0</v>
      </c>
      <c r="AE425" t="b">
        <f>+ISNUMBER(SEARCH('F-COMPRA'!#REF!,Tabla11[[#This Row],[Cuenta]],1))</f>
        <v>0</v>
      </c>
      <c r="AF425" t="b">
        <f>+ISNUMBER(SEARCH('F-VTA'!$G$23,Tabla11[[#This Row],[Cuenta]],1))</f>
        <v>0</v>
      </c>
      <c r="AG425" t="b">
        <f>+ISNUMBER(SEARCH('F-VTA'!$G$24,Tabla11[[#This Row],[Cuenta]],1))</f>
        <v>0</v>
      </c>
      <c r="AH425" t="b">
        <f>+ISNUMBER(SEARCH('F-VTA'!$G$25,Tabla11[[#This Row],[Cuenta]],1))</f>
        <v>0</v>
      </c>
      <c r="AI425" t="b">
        <f>+ISNUMBER(SEARCH('F-VTA'!$F$28,Tabla11[[#This Row],[Cuenta]],1))</f>
        <v>1</v>
      </c>
      <c r="AJ425" t="b">
        <f>+ISNUMBER(SEARCH('F-VTA'!$F$29,Tabla11[[#This Row],[Cuenta]],1))</f>
        <v>1</v>
      </c>
      <c r="AK425" t="b">
        <f>+ISNUMBER(SEARCH('F-VTA'!$F$30,Tabla11[[#This Row],[Cuenta]],1))</f>
        <v>1</v>
      </c>
      <c r="AL425" t="b">
        <f>+ISNUMBER(SEARCH('F-VTA'!$F$31,Tabla11[[#This Row],[Cuenta]],1))</f>
        <v>1</v>
      </c>
      <c r="AM425" t="b">
        <f>+ISNUMBER(SEARCH('F-VTA'!$F$32,Tabla11[[#This Row],[Cuenta]],1))</f>
        <v>1</v>
      </c>
      <c r="AN425" t="b">
        <f>+ISNUMBER(SEARCH('F-VTA'!$F$33,Tabla11[[#This Row],[Cuenta]],1))</f>
        <v>1</v>
      </c>
      <c r="AO425" t="b">
        <f>+ISNUMBER(SEARCH('F-VTA'!$F$34,Tabla11[[#This Row],[Cuenta]],1))</f>
        <v>1</v>
      </c>
      <c r="AP425" t="b">
        <f>+ISNUMBER(SEARCH('F-VTA'!$F$35,Tabla11[[#This Row],[Cuenta]],1))</f>
        <v>1</v>
      </c>
      <c r="AQ425" t="b">
        <f>+ISNUMBER(SEARCH('F-VTA'!$F$36,Tabla11[[#This Row],[Cuenta]],1))</f>
        <v>1</v>
      </c>
      <c r="AR425" t="b">
        <f>+ISNUMBER(SEARCH(#REF!,Tabla11[[#This Row],[Cuenta]],1))</f>
        <v>0</v>
      </c>
      <c r="AS425" t="b">
        <f>+ISNUMBER(SEARCH(#REF!,Tabla11[[#This Row],[Cuenta]],1))</f>
        <v>0</v>
      </c>
      <c r="AT425" t="b">
        <f>+ISNUMBER(SEARCH(#REF!,Tabla11[[#This Row],[Cuenta]],1))</f>
        <v>0</v>
      </c>
      <c r="AU425" t="b">
        <f>+ISNUMBER(SEARCH('Conc. Ban.1'!$I$9,Tabla11[[#This Row],[Cuenta]],1))</f>
        <v>0</v>
      </c>
      <c r="AV425" t="b">
        <f>+ISNUMBER(SEARCH(CompConta!$F$21,Tabla11[[#This Row],[Cuenta]],1))</f>
        <v>1</v>
      </c>
      <c r="AW425" t="b">
        <f>+ISNUMBER(SEARCH(CompConta!$F$22,Tabla11[[#This Row],[Cuenta]],1))</f>
        <v>1</v>
      </c>
      <c r="AX425" t="b">
        <f>+ISNUMBER(SEARCH(CompConta!$F$23,Tabla11[[#This Row],[Cuenta]],1))</f>
        <v>1</v>
      </c>
      <c r="AY425" t="b">
        <f>+ISNUMBER(SEARCH(CompConta!$F$24,Tabla11[[#This Row],[Cuenta]],1))</f>
        <v>1</v>
      </c>
      <c r="AZ425" t="b">
        <f>+ISNUMBER(SEARCH(CompConta!$F$25,Tabla11[[#This Row],[Cuenta]],1))</f>
        <v>1</v>
      </c>
      <c r="BA425" t="b">
        <f>+ISNUMBER(SEARCH(CompConta!$F$26,Tabla11[[#This Row],[Cuenta]],1))</f>
        <v>1</v>
      </c>
      <c r="BB425" t="b">
        <f>+ISNUMBER(SEARCH(CompConta!$F$27,Tabla11[[#This Row],[Cuenta]],1))</f>
        <v>1</v>
      </c>
      <c r="BC425" t="b">
        <f>+ISNUMBER(SEARCH(CompConta!$F$28,Tabla11[[#This Row],[Cuenta]],1))</f>
        <v>1</v>
      </c>
      <c r="BD425" t="b">
        <f>+ISNUMBER(SEARCH(CompConta!$F$29,Tabla11[[#This Row],[Cuenta]],1))</f>
        <v>1</v>
      </c>
      <c r="BE425" t="b">
        <f>+ISNUMBER(SEARCH(CompConta!$F$30,Tabla11[[#This Row],[Cuenta]],1))</f>
        <v>1</v>
      </c>
      <c r="BF425" t="b">
        <f>+ISNUMBER(SEARCH('PAGO Compras'!$E$11,Tabla11[[#This Row],[Cuenta]],1))</f>
        <v>1</v>
      </c>
      <c r="BG425" t="b">
        <f>+ISNUMBER(SEARCH(#REF!,Tabla11[[#This Row],[Cuenta]],1))</f>
        <v>0</v>
      </c>
      <c r="BH425" t="b">
        <f>+ISNUMBER(SEARCH(#REF!,Tabla11[[#This Row],[Cuenta]],1))</f>
        <v>0</v>
      </c>
      <c r="BI425" t="b">
        <f>+ISNUMBER(SEARCH(#REF!,Tabla11[[#This Row],[Cuenta]],1))</f>
        <v>0</v>
      </c>
      <c r="BJ425" t="b">
        <f>+ISNUMBER(SEARCH(#REF!,Tabla11[[#This Row],[Cuenta]],1))</f>
        <v>0</v>
      </c>
      <c r="BS425" t="str">
        <v>235505 Accionistas</v>
      </c>
      <c r="BT425" t="str">
        <v>235505 Accionistas</v>
      </c>
      <c r="BU425" t="str">
        <v>235505 Accionistas</v>
      </c>
      <c r="BV425" t="str">
        <v>235505 Accionistas</v>
      </c>
      <c r="BZ425" t="str">
        <v>235505 Accionistas</v>
      </c>
      <c r="CA425" t="str">
        <v>235505 Accionistas</v>
      </c>
      <c r="CB425" t="str">
        <v>235505 Accionistas</v>
      </c>
      <c r="CC425" t="str">
        <v>235505 Accionistas</v>
      </c>
      <c r="CD425" t="str">
        <v>235505 Accionistas</v>
      </c>
      <c r="CE425" t="str">
        <v>235505 Accionistas</v>
      </c>
      <c r="CS425" s="141" t="str">
        <v>235505 Accionistas</v>
      </c>
      <c r="CT425" s="141" t="str">
        <v>235505 Accionistas</v>
      </c>
      <c r="CU425" s="141" t="str">
        <v>235505 Accionistas</v>
      </c>
      <c r="CV425" s="141" t="str">
        <v>235505 Accionistas</v>
      </c>
      <c r="CW425" s="141" t="str">
        <v>235505 Accionistas</v>
      </c>
      <c r="CX425" s="141" t="str">
        <v>235505 Accionistas</v>
      </c>
      <c r="CY425" s="141" t="str">
        <v>235505 Accionistas</v>
      </c>
      <c r="CZ425" s="141" t="str">
        <v>235505 Accionistas</v>
      </c>
      <c r="DA425" s="141" t="str">
        <v>235505 Accionistas</v>
      </c>
      <c r="DF425" t="str">
        <v>235505 Accionistas</v>
      </c>
      <c r="DG425" t="str">
        <v>235505 Accionistas</v>
      </c>
      <c r="DH425" t="str">
        <v>235505 Accionistas</v>
      </c>
      <c r="DI425" t="str">
        <v>235505 Accionistas</v>
      </c>
      <c r="DJ425" t="str">
        <v>235505 Accionistas</v>
      </c>
      <c r="DK425" t="str">
        <v>235505 Accionistas</v>
      </c>
      <c r="DL425" t="str">
        <v>235505 Accionistas</v>
      </c>
      <c r="DM425" t="str">
        <v>235505 Accionistas</v>
      </c>
      <c r="DN425" t="str">
        <v>235505 Accionistas</v>
      </c>
      <c r="DO425" t="str">
        <v>235505 Accionistas</v>
      </c>
      <c r="DP425" t="str">
        <v>235505 Accionistas</v>
      </c>
    </row>
    <row r="426" spans="4:120" ht="12.75">
      <c r="D426" s="7">
        <v>235510</v>
      </c>
      <c r="E426" s="6" t="s">
        <v>327</v>
      </c>
      <c r="F426" s="5">
        <v>4</v>
      </c>
      <c r="G426" s="34" t="s">
        <v>823</v>
      </c>
      <c r="H426" s="26" t="s">
        <v>765</v>
      </c>
      <c r="I426" t="b">
        <f>+ISNUMBER(SEARCH('F-COMPRA'!$F$28,Tabla11[[#This Row],[Cuenta]],1))</f>
        <v>1</v>
      </c>
      <c r="J426" t="b">
        <f>+ISNUMBER(SEARCH('F-COMPRA'!$F$29,Tabla11[[#This Row],[Cuenta]],1))</f>
        <v>1</v>
      </c>
      <c r="K426" t="b">
        <f>+ISNUMBER(SEARCH('F-COMPRA'!$F$30,Tabla11[[#This Row],[Cuenta]],1))</f>
        <v>1</v>
      </c>
      <c r="L426" t="b">
        <f>+ISNUMBER(SEARCH('F-COMPRA'!$F$31,Tabla11[[#This Row],[Cuenta]],1))</f>
        <v>1</v>
      </c>
      <c r="M426" t="b">
        <f>+ISNUMBER(SEARCH('F-COMPRA'!$G$25,Tabla11[[#This Row],[Cuenta]],1))</f>
        <v>0</v>
      </c>
      <c r="N426" t="b">
        <f>+ISNUMBER(SEARCH(#REF!,Tabla11[[#This Row],[Cuenta]],1))</f>
        <v>0</v>
      </c>
      <c r="O426" t="b">
        <f>+ISNUMBER(SEARCH(#REF!,Tabla11[[#This Row],[Cuenta]],1))</f>
        <v>0</v>
      </c>
      <c r="P426" t="b">
        <f>+ISNUMBER(SEARCH('F-COMPRA'!$F$32,Tabla11[[#This Row],[Cuenta]],1))</f>
        <v>1</v>
      </c>
      <c r="Q426" t="b">
        <f>+ISNUMBER(SEARCH('F-COMPRA'!$F$33,Tabla11[[#This Row],[Cuenta]],1))</f>
        <v>1</v>
      </c>
      <c r="R426" t="b">
        <f>+ISNUMBER(SEARCH('F-COMPRA'!$F$34,Tabla11[[#This Row],[Cuenta]],1))</f>
        <v>1</v>
      </c>
      <c r="S426" t="b">
        <f>+ISNUMBER(SEARCH('F-COMPRA'!$F$35,Tabla11[[#This Row],[Cuenta]],1))</f>
        <v>1</v>
      </c>
      <c r="T426" t="b">
        <f>+ISNUMBER(SEARCH('F-COMPRA'!$F$36,Tabla11[[#This Row],[Cuenta]],1))</f>
        <v>1</v>
      </c>
      <c r="U426" t="b">
        <f>+ISNUMBER(SEARCH('F-COMPRA'!$F$37,Tabla11[[#This Row],[Cuenta]],1))</f>
        <v>1</v>
      </c>
      <c r="V426" t="b">
        <f>+ISNUMBER(SEARCH(#REF!,Tabla11[[#This Row],[Cuenta]],1))</f>
        <v>0</v>
      </c>
      <c r="W426" t="b">
        <f>+ISNUMBER(SEARCH('F-COMPRA'!#REF!,Tabla11[[#This Row],[Cuenta]],1))</f>
        <v>0</v>
      </c>
      <c r="X426" t="b">
        <f>+ISNUMBER(SEARCH('F-COMPRA'!#REF!,Tabla11[[#This Row],[Cuenta]],1))</f>
        <v>0</v>
      </c>
      <c r="Y426" t="b">
        <f>+ISNUMBER(SEARCH('F-COMPRA'!#REF!,Tabla11[[#This Row],[Cuenta]],1))</f>
        <v>0</v>
      </c>
      <c r="Z426" t="b">
        <f>+ISNUMBER(SEARCH('F-COMPRA'!#REF!,Tabla11[[#This Row],[Cuenta]],1))</f>
        <v>0</v>
      </c>
      <c r="AA426" t="b">
        <f>+ISNUMBER(SEARCH('F-COMPRA'!#REF!,Tabla11[[#This Row],[Cuenta]],1))</f>
        <v>0</v>
      </c>
      <c r="AB426" t="b">
        <f>+ISNUMBER(SEARCH('F-COMPRA'!#REF!,Tabla11[[#This Row],[Cuenta]],1))</f>
        <v>0</v>
      </c>
      <c r="AC426" t="b">
        <f>+ISNUMBER(SEARCH('F-COMPRA'!#REF!,Tabla11[[#This Row],[Cuenta]],1))</f>
        <v>0</v>
      </c>
      <c r="AD426" t="b">
        <f>+ISNUMBER(SEARCH('F-COMPRA'!#REF!,Tabla11[[#This Row],[Cuenta]],1))</f>
        <v>0</v>
      </c>
      <c r="AE426" t="b">
        <f>+ISNUMBER(SEARCH('F-COMPRA'!#REF!,Tabla11[[#This Row],[Cuenta]],1))</f>
        <v>0</v>
      </c>
      <c r="AF426" t="b">
        <f>+ISNUMBER(SEARCH('F-VTA'!$G$23,Tabla11[[#This Row],[Cuenta]],1))</f>
        <v>0</v>
      </c>
      <c r="AG426" t="b">
        <f>+ISNUMBER(SEARCH('F-VTA'!$G$24,Tabla11[[#This Row],[Cuenta]],1))</f>
        <v>0</v>
      </c>
      <c r="AH426" t="b">
        <f>+ISNUMBER(SEARCH('F-VTA'!$G$25,Tabla11[[#This Row],[Cuenta]],1))</f>
        <v>0</v>
      </c>
      <c r="AI426" t="b">
        <f>+ISNUMBER(SEARCH('F-VTA'!$F$28,Tabla11[[#This Row],[Cuenta]],1))</f>
        <v>1</v>
      </c>
      <c r="AJ426" t="b">
        <f>+ISNUMBER(SEARCH('F-VTA'!$F$29,Tabla11[[#This Row],[Cuenta]],1))</f>
        <v>1</v>
      </c>
      <c r="AK426" t="b">
        <f>+ISNUMBER(SEARCH('F-VTA'!$F$30,Tabla11[[#This Row],[Cuenta]],1))</f>
        <v>1</v>
      </c>
      <c r="AL426" t="b">
        <f>+ISNUMBER(SEARCH('F-VTA'!$F$31,Tabla11[[#This Row],[Cuenta]],1))</f>
        <v>1</v>
      </c>
      <c r="AM426" t="b">
        <f>+ISNUMBER(SEARCH('F-VTA'!$F$32,Tabla11[[#This Row],[Cuenta]],1))</f>
        <v>1</v>
      </c>
      <c r="AN426" t="b">
        <f>+ISNUMBER(SEARCH('F-VTA'!$F$33,Tabla11[[#This Row],[Cuenta]],1))</f>
        <v>1</v>
      </c>
      <c r="AO426" t="b">
        <f>+ISNUMBER(SEARCH('F-VTA'!$F$34,Tabla11[[#This Row],[Cuenta]],1))</f>
        <v>1</v>
      </c>
      <c r="AP426" t="b">
        <f>+ISNUMBER(SEARCH('F-VTA'!$F$35,Tabla11[[#This Row],[Cuenta]],1))</f>
        <v>1</v>
      </c>
      <c r="AQ426" t="b">
        <f>+ISNUMBER(SEARCH('F-VTA'!$F$36,Tabla11[[#This Row],[Cuenta]],1))</f>
        <v>1</v>
      </c>
      <c r="AR426" t="b">
        <f>+ISNUMBER(SEARCH(#REF!,Tabla11[[#This Row],[Cuenta]],1))</f>
        <v>0</v>
      </c>
      <c r="AS426" t="b">
        <f>+ISNUMBER(SEARCH(#REF!,Tabla11[[#This Row],[Cuenta]],1))</f>
        <v>0</v>
      </c>
      <c r="AT426" t="b">
        <f>+ISNUMBER(SEARCH(#REF!,Tabla11[[#This Row],[Cuenta]],1))</f>
        <v>0</v>
      </c>
      <c r="AU426" t="b">
        <f>+ISNUMBER(SEARCH('Conc. Ban.1'!$I$9,Tabla11[[#This Row],[Cuenta]],1))</f>
        <v>0</v>
      </c>
      <c r="AV426" t="b">
        <f>+ISNUMBER(SEARCH(CompConta!$F$21,Tabla11[[#This Row],[Cuenta]],1))</f>
        <v>1</v>
      </c>
      <c r="AW426" t="b">
        <f>+ISNUMBER(SEARCH(CompConta!$F$22,Tabla11[[#This Row],[Cuenta]],1))</f>
        <v>1</v>
      </c>
      <c r="AX426" t="b">
        <f>+ISNUMBER(SEARCH(CompConta!$F$23,Tabla11[[#This Row],[Cuenta]],1))</f>
        <v>1</v>
      </c>
      <c r="AY426" t="b">
        <f>+ISNUMBER(SEARCH(CompConta!$F$24,Tabla11[[#This Row],[Cuenta]],1))</f>
        <v>1</v>
      </c>
      <c r="AZ426" t="b">
        <f>+ISNUMBER(SEARCH(CompConta!$F$25,Tabla11[[#This Row],[Cuenta]],1))</f>
        <v>1</v>
      </c>
      <c r="BA426" t="b">
        <f>+ISNUMBER(SEARCH(CompConta!$F$26,Tabla11[[#This Row],[Cuenta]],1))</f>
        <v>1</v>
      </c>
      <c r="BB426" t="b">
        <f>+ISNUMBER(SEARCH(CompConta!$F$27,Tabla11[[#This Row],[Cuenta]],1))</f>
        <v>1</v>
      </c>
      <c r="BC426" t="b">
        <f>+ISNUMBER(SEARCH(CompConta!$F$28,Tabla11[[#This Row],[Cuenta]],1))</f>
        <v>1</v>
      </c>
      <c r="BD426" t="b">
        <f>+ISNUMBER(SEARCH(CompConta!$F$29,Tabla11[[#This Row],[Cuenta]],1))</f>
        <v>1</v>
      </c>
      <c r="BE426" t="b">
        <f>+ISNUMBER(SEARCH(CompConta!$F$30,Tabla11[[#This Row],[Cuenta]],1))</f>
        <v>1</v>
      </c>
      <c r="BF426" t="b">
        <f>+ISNUMBER(SEARCH('PAGO Compras'!$E$11,Tabla11[[#This Row],[Cuenta]],1))</f>
        <v>1</v>
      </c>
      <c r="BG426" t="b">
        <f>+ISNUMBER(SEARCH(#REF!,Tabla11[[#This Row],[Cuenta]],1))</f>
        <v>0</v>
      </c>
      <c r="BH426" t="b">
        <f>+ISNUMBER(SEARCH(#REF!,Tabla11[[#This Row],[Cuenta]],1))</f>
        <v>0</v>
      </c>
      <c r="BI426" t="b">
        <f>+ISNUMBER(SEARCH(#REF!,Tabla11[[#This Row],[Cuenta]],1))</f>
        <v>0</v>
      </c>
      <c r="BJ426" t="b">
        <f>+ISNUMBER(SEARCH(#REF!,Tabla11[[#This Row],[Cuenta]],1))</f>
        <v>0</v>
      </c>
      <c r="BS426" t="str">
        <v>235510 Socios</v>
      </c>
      <c r="BT426" t="str">
        <v>235510 Socios</v>
      </c>
      <c r="BU426" t="str">
        <v>235510 Socios</v>
      </c>
      <c r="BV426" t="str">
        <v>235510 Socios</v>
      </c>
      <c r="BZ426" t="str">
        <v>235510 Socios</v>
      </c>
      <c r="CA426" t="str">
        <v>235510 Socios</v>
      </c>
      <c r="CB426" t="str">
        <v>235510 Socios</v>
      </c>
      <c r="CC426" t="str">
        <v>235510 Socios</v>
      </c>
      <c r="CD426" t="str">
        <v>235510 Socios</v>
      </c>
      <c r="CE426" t="str">
        <v>235510 Socios</v>
      </c>
      <c r="CS426" s="141" t="str">
        <v>235510 Socios</v>
      </c>
      <c r="CT426" s="141" t="str">
        <v>235510 Socios</v>
      </c>
      <c r="CU426" s="141" t="str">
        <v>235510 Socios</v>
      </c>
      <c r="CV426" s="141" t="str">
        <v>235510 Socios</v>
      </c>
      <c r="CW426" s="141" t="str">
        <v>235510 Socios</v>
      </c>
      <c r="CX426" s="141" t="str">
        <v>235510 Socios</v>
      </c>
      <c r="CY426" s="141" t="str">
        <v>235510 Socios</v>
      </c>
      <c r="CZ426" s="141" t="str">
        <v>235510 Socios</v>
      </c>
      <c r="DA426" s="141" t="str">
        <v>235510 Socios</v>
      </c>
      <c r="DF426" t="str">
        <v>235510 Socios</v>
      </c>
      <c r="DG426" t="str">
        <v>235510 Socios</v>
      </c>
      <c r="DH426" t="str">
        <v>235510 Socios</v>
      </c>
      <c r="DI426" t="str">
        <v>235510 Socios</v>
      </c>
      <c r="DJ426" t="str">
        <v>235510 Socios</v>
      </c>
      <c r="DK426" t="str">
        <v>235510 Socios</v>
      </c>
      <c r="DL426" t="str">
        <v>235510 Socios</v>
      </c>
      <c r="DM426" t="str">
        <v>235510 Socios</v>
      </c>
      <c r="DN426" t="str">
        <v>235510 Socios</v>
      </c>
      <c r="DO426" t="str">
        <v>235510 Socios</v>
      </c>
      <c r="DP426" t="str">
        <v>235510 Socios</v>
      </c>
    </row>
    <row r="427" spans="4:120" ht="12.75">
      <c r="D427" s="7">
        <v>2365</v>
      </c>
      <c r="E427" s="6" t="s">
        <v>328</v>
      </c>
      <c r="F427" s="5">
        <v>3</v>
      </c>
      <c r="G427" s="34" t="s">
        <v>823</v>
      </c>
      <c r="H427" s="26" t="s">
        <v>765</v>
      </c>
      <c r="I427" t="b">
        <f>+ISNUMBER(SEARCH('F-COMPRA'!$F$28,Tabla11[[#This Row],[Cuenta]],1))</f>
        <v>1</v>
      </c>
      <c r="J427" t="b">
        <f>+ISNUMBER(SEARCH('F-COMPRA'!$F$29,Tabla11[[#This Row],[Cuenta]],1))</f>
        <v>1</v>
      </c>
      <c r="K427" t="b">
        <f>+ISNUMBER(SEARCH('F-COMPRA'!$F$30,Tabla11[[#This Row],[Cuenta]],1))</f>
        <v>1</v>
      </c>
      <c r="L427" t="b">
        <f>+ISNUMBER(SEARCH('F-COMPRA'!$F$31,Tabla11[[#This Row],[Cuenta]],1))</f>
        <v>1</v>
      </c>
      <c r="M427" t="b">
        <f>+ISNUMBER(SEARCH('F-COMPRA'!$G$25,Tabla11[[#This Row],[Cuenta]],1))</f>
        <v>0</v>
      </c>
      <c r="N427" t="b">
        <f>+ISNUMBER(SEARCH(#REF!,Tabla11[[#This Row],[Cuenta]],1))</f>
        <v>0</v>
      </c>
      <c r="O427" t="b">
        <f>+ISNUMBER(SEARCH(#REF!,Tabla11[[#This Row],[Cuenta]],1))</f>
        <v>0</v>
      </c>
      <c r="P427" t="b">
        <f>+ISNUMBER(SEARCH('F-COMPRA'!$F$32,Tabla11[[#This Row],[Cuenta]],1))</f>
        <v>1</v>
      </c>
      <c r="Q427" t="b">
        <f>+ISNUMBER(SEARCH('F-COMPRA'!$F$33,Tabla11[[#This Row],[Cuenta]],1))</f>
        <v>1</v>
      </c>
      <c r="R427" t="b">
        <f>+ISNUMBER(SEARCH('F-COMPRA'!$F$34,Tabla11[[#This Row],[Cuenta]],1))</f>
        <v>1</v>
      </c>
      <c r="S427" t="b">
        <f>+ISNUMBER(SEARCH('F-COMPRA'!$F$35,Tabla11[[#This Row],[Cuenta]],1))</f>
        <v>1</v>
      </c>
      <c r="T427" t="b">
        <f>+ISNUMBER(SEARCH('F-COMPRA'!$F$36,Tabla11[[#This Row],[Cuenta]],1))</f>
        <v>1</v>
      </c>
      <c r="U427" t="b">
        <f>+ISNUMBER(SEARCH('F-COMPRA'!$F$37,Tabla11[[#This Row],[Cuenta]],1))</f>
        <v>1</v>
      </c>
      <c r="V427" t="b">
        <f>+ISNUMBER(SEARCH(#REF!,Tabla11[[#This Row],[Cuenta]],1))</f>
        <v>0</v>
      </c>
      <c r="W427" t="b">
        <f>+ISNUMBER(SEARCH('F-COMPRA'!#REF!,Tabla11[[#This Row],[Cuenta]],1))</f>
        <v>0</v>
      </c>
      <c r="X427" t="b">
        <f>+ISNUMBER(SEARCH('F-COMPRA'!#REF!,Tabla11[[#This Row],[Cuenta]],1))</f>
        <v>0</v>
      </c>
      <c r="Y427" t="b">
        <f>+ISNUMBER(SEARCH('F-COMPRA'!#REF!,Tabla11[[#This Row],[Cuenta]],1))</f>
        <v>0</v>
      </c>
      <c r="Z427" t="b">
        <f>+ISNUMBER(SEARCH('F-COMPRA'!#REF!,Tabla11[[#This Row],[Cuenta]],1))</f>
        <v>0</v>
      </c>
      <c r="AA427" t="b">
        <f>+ISNUMBER(SEARCH('F-COMPRA'!#REF!,Tabla11[[#This Row],[Cuenta]],1))</f>
        <v>0</v>
      </c>
      <c r="AB427" t="b">
        <f>+ISNUMBER(SEARCH('F-COMPRA'!#REF!,Tabla11[[#This Row],[Cuenta]],1))</f>
        <v>0</v>
      </c>
      <c r="AC427" t="b">
        <f>+ISNUMBER(SEARCH('F-COMPRA'!#REF!,Tabla11[[#This Row],[Cuenta]],1))</f>
        <v>0</v>
      </c>
      <c r="AD427" t="b">
        <f>+ISNUMBER(SEARCH('F-COMPRA'!#REF!,Tabla11[[#This Row],[Cuenta]],1))</f>
        <v>0</v>
      </c>
      <c r="AE427" t="b">
        <f>+ISNUMBER(SEARCH('F-COMPRA'!#REF!,Tabla11[[#This Row],[Cuenta]],1))</f>
        <v>0</v>
      </c>
      <c r="AF427" t="b">
        <f>+ISNUMBER(SEARCH('F-VTA'!$G$23,Tabla11[[#This Row],[Cuenta]],1))</f>
        <v>0</v>
      </c>
      <c r="AG427" t="b">
        <f>+ISNUMBER(SEARCH('F-VTA'!$G$24,Tabla11[[#This Row],[Cuenta]],1))</f>
        <v>0</v>
      </c>
      <c r="AH427" t="b">
        <f>+ISNUMBER(SEARCH('F-VTA'!$G$25,Tabla11[[#This Row],[Cuenta]],1))</f>
        <v>0</v>
      </c>
      <c r="AI427" t="b">
        <f>+ISNUMBER(SEARCH('F-VTA'!$F$28,Tabla11[[#This Row],[Cuenta]],1))</f>
        <v>1</v>
      </c>
      <c r="AJ427" t="b">
        <f>+ISNUMBER(SEARCH('F-VTA'!$F$29,Tabla11[[#This Row],[Cuenta]],1))</f>
        <v>1</v>
      </c>
      <c r="AK427" t="b">
        <f>+ISNUMBER(SEARCH('F-VTA'!$F$30,Tabla11[[#This Row],[Cuenta]],1))</f>
        <v>1</v>
      </c>
      <c r="AL427" t="b">
        <f>+ISNUMBER(SEARCH('F-VTA'!$F$31,Tabla11[[#This Row],[Cuenta]],1))</f>
        <v>1</v>
      </c>
      <c r="AM427" t="b">
        <f>+ISNUMBER(SEARCH('F-VTA'!$F$32,Tabla11[[#This Row],[Cuenta]],1))</f>
        <v>1</v>
      </c>
      <c r="AN427" t="b">
        <f>+ISNUMBER(SEARCH('F-VTA'!$F$33,Tabla11[[#This Row],[Cuenta]],1))</f>
        <v>1</v>
      </c>
      <c r="AO427" t="b">
        <f>+ISNUMBER(SEARCH('F-VTA'!$F$34,Tabla11[[#This Row],[Cuenta]],1))</f>
        <v>1</v>
      </c>
      <c r="AP427" t="b">
        <f>+ISNUMBER(SEARCH('F-VTA'!$F$35,Tabla11[[#This Row],[Cuenta]],1))</f>
        <v>1</v>
      </c>
      <c r="AQ427" t="b">
        <f>+ISNUMBER(SEARCH('F-VTA'!$F$36,Tabla11[[#This Row],[Cuenta]],1))</f>
        <v>1</v>
      </c>
      <c r="AR427" t="b">
        <f>+ISNUMBER(SEARCH(#REF!,Tabla11[[#This Row],[Cuenta]],1))</f>
        <v>0</v>
      </c>
      <c r="AS427" t="b">
        <f>+ISNUMBER(SEARCH(#REF!,Tabla11[[#This Row],[Cuenta]],1))</f>
        <v>0</v>
      </c>
      <c r="AT427" t="b">
        <f>+ISNUMBER(SEARCH(#REF!,Tabla11[[#This Row],[Cuenta]],1))</f>
        <v>0</v>
      </c>
      <c r="AU427" t="b">
        <f>+ISNUMBER(SEARCH('Conc. Ban.1'!$I$9,Tabla11[[#This Row],[Cuenta]],1))</f>
        <v>0</v>
      </c>
      <c r="AV427" t="b">
        <f>+ISNUMBER(SEARCH(CompConta!$F$21,Tabla11[[#This Row],[Cuenta]],1))</f>
        <v>1</v>
      </c>
      <c r="AW427" t="b">
        <f>+ISNUMBER(SEARCH(CompConta!$F$22,Tabla11[[#This Row],[Cuenta]],1))</f>
        <v>1</v>
      </c>
      <c r="AX427" t="b">
        <f>+ISNUMBER(SEARCH(CompConta!$F$23,Tabla11[[#This Row],[Cuenta]],1))</f>
        <v>1</v>
      </c>
      <c r="AY427" t="b">
        <f>+ISNUMBER(SEARCH(CompConta!$F$24,Tabla11[[#This Row],[Cuenta]],1))</f>
        <v>1</v>
      </c>
      <c r="AZ427" t="b">
        <f>+ISNUMBER(SEARCH(CompConta!$F$25,Tabla11[[#This Row],[Cuenta]],1))</f>
        <v>1</v>
      </c>
      <c r="BA427" t="b">
        <f>+ISNUMBER(SEARCH(CompConta!$F$26,Tabla11[[#This Row],[Cuenta]],1))</f>
        <v>1</v>
      </c>
      <c r="BB427" t="b">
        <f>+ISNUMBER(SEARCH(CompConta!$F$27,Tabla11[[#This Row],[Cuenta]],1))</f>
        <v>1</v>
      </c>
      <c r="BC427" t="b">
        <f>+ISNUMBER(SEARCH(CompConta!$F$28,Tabla11[[#This Row],[Cuenta]],1))</f>
        <v>1</v>
      </c>
      <c r="BD427" t="b">
        <f>+ISNUMBER(SEARCH(CompConta!$F$29,Tabla11[[#This Row],[Cuenta]],1))</f>
        <v>1</v>
      </c>
      <c r="BE427" t="b">
        <f>+ISNUMBER(SEARCH(CompConta!$F$30,Tabla11[[#This Row],[Cuenta]],1))</f>
        <v>1</v>
      </c>
      <c r="BF427" t="b">
        <f>+ISNUMBER(SEARCH('PAGO Compras'!$E$11,Tabla11[[#This Row],[Cuenta]],1))</f>
        <v>1</v>
      </c>
      <c r="BG427" t="b">
        <f>+ISNUMBER(SEARCH(#REF!,Tabla11[[#This Row],[Cuenta]],1))</f>
        <v>0</v>
      </c>
      <c r="BH427" t="b">
        <f>+ISNUMBER(SEARCH(#REF!,Tabla11[[#This Row],[Cuenta]],1))</f>
        <v>0</v>
      </c>
      <c r="BI427" t="b">
        <f>+ISNUMBER(SEARCH(#REF!,Tabla11[[#This Row],[Cuenta]],1))</f>
        <v>0</v>
      </c>
      <c r="BJ427" t="b">
        <f>+ISNUMBER(SEARCH(#REF!,Tabla11[[#This Row],[Cuenta]],1))</f>
        <v>0</v>
      </c>
      <c r="BS427" t="str">
        <v>2365 RETENCIÓN EN LA FUENTE</v>
      </c>
      <c r="BT427" t="str">
        <v>2365 RETENCIÓN EN LA FUENTE</v>
      </c>
      <c r="BU427" t="str">
        <v>2365 RETENCIÓN EN LA FUENTE</v>
      </c>
      <c r="BV427" t="str">
        <v>2365 RETENCIÓN EN LA FUENTE</v>
      </c>
      <c r="BZ427" t="str">
        <v>2365 RETENCIÓN EN LA FUENTE</v>
      </c>
      <c r="CA427" t="str">
        <v>2365 RETENCIÓN EN LA FUENTE</v>
      </c>
      <c r="CB427" t="str">
        <v>2365 RETENCIÓN EN LA FUENTE</v>
      </c>
      <c r="CC427" t="str">
        <v>2365 RETENCIÓN EN LA FUENTE</v>
      </c>
      <c r="CD427" t="str">
        <v>2365 RETENCIÓN EN LA FUENTE</v>
      </c>
      <c r="CE427" t="str">
        <v>2365 RETENCIÓN EN LA FUENTE</v>
      </c>
      <c r="CS427" s="141" t="str">
        <v>2365 RETENCIÓN EN LA FUENTE</v>
      </c>
      <c r="CT427" s="141" t="str">
        <v>2365 RETENCIÓN EN LA FUENTE</v>
      </c>
      <c r="CU427" s="141" t="str">
        <v>2365 RETENCIÓN EN LA FUENTE</v>
      </c>
      <c r="CV427" s="141" t="str">
        <v>2365 RETENCIÓN EN LA FUENTE</v>
      </c>
      <c r="CW427" s="141" t="str">
        <v>2365 RETENCIÓN EN LA FUENTE</v>
      </c>
      <c r="CX427" s="141" t="str">
        <v>2365 RETENCIÓN EN LA FUENTE</v>
      </c>
      <c r="CY427" s="141" t="str">
        <v>2365 RETENCIÓN EN LA FUENTE</v>
      </c>
      <c r="CZ427" s="141" t="str">
        <v>2365 RETENCIÓN EN LA FUENTE</v>
      </c>
      <c r="DA427" s="141" t="str">
        <v>2365 RETENCIÓN EN LA FUENTE</v>
      </c>
      <c r="DF427" t="str">
        <v>2365 RETENCIÓN EN LA FUENTE</v>
      </c>
      <c r="DG427" t="str">
        <v>2365 RETENCIÓN EN LA FUENTE</v>
      </c>
      <c r="DH427" t="str">
        <v>2365 RETENCIÓN EN LA FUENTE</v>
      </c>
      <c r="DI427" t="str">
        <v>2365 RETENCIÓN EN LA FUENTE</v>
      </c>
      <c r="DJ427" t="str">
        <v>2365 RETENCIÓN EN LA FUENTE</v>
      </c>
      <c r="DK427" t="str">
        <v>2365 RETENCIÓN EN LA FUENTE</v>
      </c>
      <c r="DL427" t="str">
        <v>2365 RETENCIÓN EN LA FUENTE</v>
      </c>
      <c r="DM427" t="str">
        <v>2365 RETENCIÓN EN LA FUENTE</v>
      </c>
      <c r="DN427" t="str">
        <v>2365 RETENCIÓN EN LA FUENTE</v>
      </c>
      <c r="DO427" t="str">
        <v>2365 RETENCIÓN EN LA FUENTE</v>
      </c>
      <c r="DP427" t="str">
        <v>2365 RETENCIÓN EN LA FUENTE</v>
      </c>
    </row>
    <row r="428" spans="4:120" ht="12.75">
      <c r="D428" s="7">
        <v>236505</v>
      </c>
      <c r="E428" s="6" t="s">
        <v>329</v>
      </c>
      <c r="F428" s="5">
        <v>4</v>
      </c>
      <c r="G428" s="34" t="s">
        <v>823</v>
      </c>
      <c r="H428" s="26" t="s">
        <v>765</v>
      </c>
      <c r="I428" t="b">
        <f>+ISNUMBER(SEARCH('F-COMPRA'!$F$28,Tabla11[[#This Row],[Cuenta]],1))</f>
        <v>1</v>
      </c>
      <c r="J428" t="b">
        <f>+ISNUMBER(SEARCH('F-COMPRA'!$F$29,Tabla11[[#This Row],[Cuenta]],1))</f>
        <v>1</v>
      </c>
      <c r="K428" t="b">
        <f>+ISNUMBER(SEARCH('F-COMPRA'!$F$30,Tabla11[[#This Row],[Cuenta]],1))</f>
        <v>1</v>
      </c>
      <c r="L428" t="b">
        <f>+ISNUMBER(SEARCH('F-COMPRA'!$F$31,Tabla11[[#This Row],[Cuenta]],1))</f>
        <v>1</v>
      </c>
      <c r="M428" t="b">
        <f>+ISNUMBER(SEARCH('F-COMPRA'!$G$25,Tabla11[[#This Row],[Cuenta]],1))</f>
        <v>0</v>
      </c>
      <c r="N428" t="b">
        <f>+ISNUMBER(SEARCH(#REF!,Tabla11[[#This Row],[Cuenta]],1))</f>
        <v>0</v>
      </c>
      <c r="O428" t="b">
        <f>+ISNUMBER(SEARCH(#REF!,Tabla11[[#This Row],[Cuenta]],1))</f>
        <v>0</v>
      </c>
      <c r="P428" t="b">
        <f>+ISNUMBER(SEARCH('F-COMPRA'!$F$32,Tabla11[[#This Row],[Cuenta]],1))</f>
        <v>1</v>
      </c>
      <c r="Q428" t="b">
        <f>+ISNUMBER(SEARCH('F-COMPRA'!$F$33,Tabla11[[#This Row],[Cuenta]],1))</f>
        <v>1</v>
      </c>
      <c r="R428" t="b">
        <f>+ISNUMBER(SEARCH('F-COMPRA'!$F$34,Tabla11[[#This Row],[Cuenta]],1))</f>
        <v>1</v>
      </c>
      <c r="S428" t="b">
        <f>+ISNUMBER(SEARCH('F-COMPRA'!$F$35,Tabla11[[#This Row],[Cuenta]],1))</f>
        <v>1</v>
      </c>
      <c r="T428" t="b">
        <f>+ISNUMBER(SEARCH('F-COMPRA'!$F$36,Tabla11[[#This Row],[Cuenta]],1))</f>
        <v>1</v>
      </c>
      <c r="U428" t="b">
        <f>+ISNUMBER(SEARCH('F-COMPRA'!$F$37,Tabla11[[#This Row],[Cuenta]],1))</f>
        <v>1</v>
      </c>
      <c r="V428" t="b">
        <f>+ISNUMBER(SEARCH(#REF!,Tabla11[[#This Row],[Cuenta]],1))</f>
        <v>0</v>
      </c>
      <c r="W428" t="b">
        <f>+ISNUMBER(SEARCH('F-COMPRA'!#REF!,Tabla11[[#This Row],[Cuenta]],1))</f>
        <v>0</v>
      </c>
      <c r="X428" t="b">
        <f>+ISNUMBER(SEARCH('F-COMPRA'!#REF!,Tabla11[[#This Row],[Cuenta]],1))</f>
        <v>0</v>
      </c>
      <c r="Y428" t="b">
        <f>+ISNUMBER(SEARCH('F-COMPRA'!#REF!,Tabla11[[#This Row],[Cuenta]],1))</f>
        <v>0</v>
      </c>
      <c r="Z428" t="b">
        <f>+ISNUMBER(SEARCH('F-COMPRA'!#REF!,Tabla11[[#This Row],[Cuenta]],1))</f>
        <v>0</v>
      </c>
      <c r="AA428" t="b">
        <f>+ISNUMBER(SEARCH('F-COMPRA'!#REF!,Tabla11[[#This Row],[Cuenta]],1))</f>
        <v>0</v>
      </c>
      <c r="AB428" t="b">
        <f>+ISNUMBER(SEARCH('F-COMPRA'!#REF!,Tabla11[[#This Row],[Cuenta]],1))</f>
        <v>0</v>
      </c>
      <c r="AC428" t="b">
        <f>+ISNUMBER(SEARCH('F-COMPRA'!#REF!,Tabla11[[#This Row],[Cuenta]],1))</f>
        <v>0</v>
      </c>
      <c r="AD428" t="b">
        <f>+ISNUMBER(SEARCH('F-COMPRA'!#REF!,Tabla11[[#This Row],[Cuenta]],1))</f>
        <v>0</v>
      </c>
      <c r="AE428" t="b">
        <f>+ISNUMBER(SEARCH('F-COMPRA'!#REF!,Tabla11[[#This Row],[Cuenta]],1))</f>
        <v>0</v>
      </c>
      <c r="AF428" t="b">
        <f>+ISNUMBER(SEARCH('F-VTA'!$G$23,Tabla11[[#This Row],[Cuenta]],1))</f>
        <v>0</v>
      </c>
      <c r="AG428" t="b">
        <f>+ISNUMBER(SEARCH('F-VTA'!$G$24,Tabla11[[#This Row],[Cuenta]],1))</f>
        <v>0</v>
      </c>
      <c r="AH428" t="b">
        <f>+ISNUMBER(SEARCH('F-VTA'!$G$25,Tabla11[[#This Row],[Cuenta]],1))</f>
        <v>0</v>
      </c>
      <c r="AI428" t="b">
        <f>+ISNUMBER(SEARCH('F-VTA'!$F$28,Tabla11[[#This Row],[Cuenta]],1))</f>
        <v>1</v>
      </c>
      <c r="AJ428" t="b">
        <f>+ISNUMBER(SEARCH('F-VTA'!$F$29,Tabla11[[#This Row],[Cuenta]],1))</f>
        <v>1</v>
      </c>
      <c r="AK428" t="b">
        <f>+ISNUMBER(SEARCH('F-VTA'!$F$30,Tabla11[[#This Row],[Cuenta]],1))</f>
        <v>1</v>
      </c>
      <c r="AL428" t="b">
        <f>+ISNUMBER(SEARCH('F-VTA'!$F$31,Tabla11[[#This Row],[Cuenta]],1))</f>
        <v>1</v>
      </c>
      <c r="AM428" t="b">
        <f>+ISNUMBER(SEARCH('F-VTA'!$F$32,Tabla11[[#This Row],[Cuenta]],1))</f>
        <v>1</v>
      </c>
      <c r="AN428" t="b">
        <f>+ISNUMBER(SEARCH('F-VTA'!$F$33,Tabla11[[#This Row],[Cuenta]],1))</f>
        <v>1</v>
      </c>
      <c r="AO428" t="b">
        <f>+ISNUMBER(SEARCH('F-VTA'!$F$34,Tabla11[[#This Row],[Cuenta]],1))</f>
        <v>1</v>
      </c>
      <c r="AP428" t="b">
        <f>+ISNUMBER(SEARCH('F-VTA'!$F$35,Tabla11[[#This Row],[Cuenta]],1))</f>
        <v>1</v>
      </c>
      <c r="AQ428" t="b">
        <f>+ISNUMBER(SEARCH('F-VTA'!$F$36,Tabla11[[#This Row],[Cuenta]],1))</f>
        <v>1</v>
      </c>
      <c r="AR428" t="b">
        <f>+ISNUMBER(SEARCH(#REF!,Tabla11[[#This Row],[Cuenta]],1))</f>
        <v>0</v>
      </c>
      <c r="AS428" t="b">
        <f>+ISNUMBER(SEARCH(#REF!,Tabla11[[#This Row],[Cuenta]],1))</f>
        <v>0</v>
      </c>
      <c r="AT428" t="b">
        <f>+ISNUMBER(SEARCH(#REF!,Tabla11[[#This Row],[Cuenta]],1))</f>
        <v>0</v>
      </c>
      <c r="AU428" t="b">
        <f>+ISNUMBER(SEARCH('Conc. Ban.1'!$I$9,Tabla11[[#This Row],[Cuenta]],1))</f>
        <v>0</v>
      </c>
      <c r="AV428" t="b">
        <f>+ISNUMBER(SEARCH(CompConta!$F$21,Tabla11[[#This Row],[Cuenta]],1))</f>
        <v>1</v>
      </c>
      <c r="AW428" t="b">
        <f>+ISNUMBER(SEARCH(CompConta!$F$22,Tabla11[[#This Row],[Cuenta]],1))</f>
        <v>1</v>
      </c>
      <c r="AX428" t="b">
        <f>+ISNUMBER(SEARCH(CompConta!$F$23,Tabla11[[#This Row],[Cuenta]],1))</f>
        <v>1</v>
      </c>
      <c r="AY428" t="b">
        <f>+ISNUMBER(SEARCH(CompConta!$F$24,Tabla11[[#This Row],[Cuenta]],1))</f>
        <v>1</v>
      </c>
      <c r="AZ428" t="b">
        <f>+ISNUMBER(SEARCH(CompConta!$F$25,Tabla11[[#This Row],[Cuenta]],1))</f>
        <v>1</v>
      </c>
      <c r="BA428" t="b">
        <f>+ISNUMBER(SEARCH(CompConta!$F$26,Tabla11[[#This Row],[Cuenta]],1))</f>
        <v>1</v>
      </c>
      <c r="BB428" t="b">
        <f>+ISNUMBER(SEARCH(CompConta!$F$27,Tabla11[[#This Row],[Cuenta]],1))</f>
        <v>1</v>
      </c>
      <c r="BC428" t="b">
        <f>+ISNUMBER(SEARCH(CompConta!$F$28,Tabla11[[#This Row],[Cuenta]],1))</f>
        <v>1</v>
      </c>
      <c r="BD428" t="b">
        <f>+ISNUMBER(SEARCH(CompConta!$F$29,Tabla11[[#This Row],[Cuenta]],1))</f>
        <v>1</v>
      </c>
      <c r="BE428" t="b">
        <f>+ISNUMBER(SEARCH(CompConta!$F$30,Tabla11[[#This Row],[Cuenta]],1))</f>
        <v>1</v>
      </c>
      <c r="BF428" t="b">
        <f>+ISNUMBER(SEARCH('PAGO Compras'!$E$11,Tabla11[[#This Row],[Cuenta]],1))</f>
        <v>1</v>
      </c>
      <c r="BG428" t="b">
        <f>+ISNUMBER(SEARCH(#REF!,Tabla11[[#This Row],[Cuenta]],1))</f>
        <v>0</v>
      </c>
      <c r="BH428" t="b">
        <f>+ISNUMBER(SEARCH(#REF!,Tabla11[[#This Row],[Cuenta]],1))</f>
        <v>0</v>
      </c>
      <c r="BI428" t="b">
        <f>+ISNUMBER(SEARCH(#REF!,Tabla11[[#This Row],[Cuenta]],1))</f>
        <v>0</v>
      </c>
      <c r="BJ428" t="b">
        <f>+ISNUMBER(SEARCH(#REF!,Tabla11[[#This Row],[Cuenta]],1))</f>
        <v>0</v>
      </c>
      <c r="BS428" t="str">
        <v>236505 Salarios y pagos laborales</v>
      </c>
      <c r="BT428" t="str">
        <v>236505 Salarios y pagos laborales</v>
      </c>
      <c r="BU428" t="str">
        <v>236505 Salarios y pagos laborales</v>
      </c>
      <c r="BV428" t="str">
        <v>236505 Salarios y pagos laborales</v>
      </c>
      <c r="BZ428" t="str">
        <v>236505 Salarios y pagos laborales</v>
      </c>
      <c r="CA428" t="str">
        <v>236505 Salarios y pagos laborales</v>
      </c>
      <c r="CB428" t="str">
        <v>236505 Salarios y pagos laborales</v>
      </c>
      <c r="CC428" t="str">
        <v>236505 Salarios y pagos laborales</v>
      </c>
      <c r="CD428" t="str">
        <v>236505 Salarios y pagos laborales</v>
      </c>
      <c r="CE428" t="str">
        <v>236505 Salarios y pagos laborales</v>
      </c>
      <c r="CS428" s="141" t="str">
        <v>236505 Salarios y pagos laborales</v>
      </c>
      <c r="CT428" s="141" t="str">
        <v>236505 Salarios y pagos laborales</v>
      </c>
      <c r="CU428" s="141" t="str">
        <v>236505 Salarios y pagos laborales</v>
      </c>
      <c r="CV428" s="141" t="str">
        <v>236505 Salarios y pagos laborales</v>
      </c>
      <c r="CW428" s="141" t="str">
        <v>236505 Salarios y pagos laborales</v>
      </c>
      <c r="CX428" s="141" t="str">
        <v>236505 Salarios y pagos laborales</v>
      </c>
      <c r="CY428" s="141" t="str">
        <v>236505 Salarios y pagos laborales</v>
      </c>
      <c r="CZ428" s="141" t="str">
        <v>236505 Salarios y pagos laborales</v>
      </c>
      <c r="DA428" s="141" t="str">
        <v>236505 Salarios y pagos laborales</v>
      </c>
      <c r="DF428" t="str">
        <v>236505 Salarios y pagos laborales</v>
      </c>
      <c r="DG428" t="str">
        <v>236505 Salarios y pagos laborales</v>
      </c>
      <c r="DH428" t="str">
        <v>236505 Salarios y pagos laborales</v>
      </c>
      <c r="DI428" t="str">
        <v>236505 Salarios y pagos laborales</v>
      </c>
      <c r="DJ428" t="str">
        <v>236505 Salarios y pagos laborales</v>
      </c>
      <c r="DK428" t="str">
        <v>236505 Salarios y pagos laborales</v>
      </c>
      <c r="DL428" t="str">
        <v>236505 Salarios y pagos laborales</v>
      </c>
      <c r="DM428" t="str">
        <v>236505 Salarios y pagos laborales</v>
      </c>
      <c r="DN428" t="str">
        <v>236505 Salarios y pagos laborales</v>
      </c>
      <c r="DO428" t="str">
        <v>236505 Salarios y pagos laborales</v>
      </c>
      <c r="DP428" t="str">
        <v>236505 Salarios y pagos laborales</v>
      </c>
    </row>
    <row r="429" spans="4:120" ht="12.75">
      <c r="D429" s="7">
        <v>236510</v>
      </c>
      <c r="E429" s="6" t="s">
        <v>72</v>
      </c>
      <c r="F429" s="5">
        <v>4</v>
      </c>
      <c r="G429" s="34" t="s">
        <v>823</v>
      </c>
      <c r="H429" s="26" t="s">
        <v>765</v>
      </c>
      <c r="I429" t="b">
        <f>+ISNUMBER(SEARCH('F-COMPRA'!$F$28,Tabla11[[#This Row],[Cuenta]],1))</f>
        <v>1</v>
      </c>
      <c r="J429" t="b">
        <f>+ISNUMBER(SEARCH('F-COMPRA'!$F$29,Tabla11[[#This Row],[Cuenta]],1))</f>
        <v>1</v>
      </c>
      <c r="K429" t="b">
        <f>+ISNUMBER(SEARCH('F-COMPRA'!$F$30,Tabla11[[#This Row],[Cuenta]],1))</f>
        <v>1</v>
      </c>
      <c r="L429" t="b">
        <f>+ISNUMBER(SEARCH('F-COMPRA'!$F$31,Tabla11[[#This Row],[Cuenta]],1))</f>
        <v>1</v>
      </c>
      <c r="M429" t="b">
        <f>+ISNUMBER(SEARCH('F-COMPRA'!$G$25,Tabla11[[#This Row],[Cuenta]],1))</f>
        <v>0</v>
      </c>
      <c r="N429" t="b">
        <f>+ISNUMBER(SEARCH(#REF!,Tabla11[[#This Row],[Cuenta]],1))</f>
        <v>0</v>
      </c>
      <c r="O429" t="b">
        <f>+ISNUMBER(SEARCH(#REF!,Tabla11[[#This Row],[Cuenta]],1))</f>
        <v>0</v>
      </c>
      <c r="P429" t="b">
        <f>+ISNUMBER(SEARCH('F-COMPRA'!$F$32,Tabla11[[#This Row],[Cuenta]],1))</f>
        <v>1</v>
      </c>
      <c r="Q429" t="b">
        <f>+ISNUMBER(SEARCH('F-COMPRA'!$F$33,Tabla11[[#This Row],[Cuenta]],1))</f>
        <v>1</v>
      </c>
      <c r="R429" t="b">
        <f>+ISNUMBER(SEARCH('F-COMPRA'!$F$34,Tabla11[[#This Row],[Cuenta]],1))</f>
        <v>1</v>
      </c>
      <c r="S429" t="b">
        <f>+ISNUMBER(SEARCH('F-COMPRA'!$F$35,Tabla11[[#This Row],[Cuenta]],1))</f>
        <v>1</v>
      </c>
      <c r="T429" t="b">
        <f>+ISNUMBER(SEARCH('F-COMPRA'!$F$36,Tabla11[[#This Row],[Cuenta]],1))</f>
        <v>1</v>
      </c>
      <c r="U429" t="b">
        <f>+ISNUMBER(SEARCH('F-COMPRA'!$F$37,Tabla11[[#This Row],[Cuenta]],1))</f>
        <v>1</v>
      </c>
      <c r="V429" t="b">
        <f>+ISNUMBER(SEARCH(#REF!,Tabla11[[#This Row],[Cuenta]],1))</f>
        <v>0</v>
      </c>
      <c r="W429" t="b">
        <f>+ISNUMBER(SEARCH('F-COMPRA'!#REF!,Tabla11[[#This Row],[Cuenta]],1))</f>
        <v>0</v>
      </c>
      <c r="X429" t="b">
        <f>+ISNUMBER(SEARCH('F-COMPRA'!#REF!,Tabla11[[#This Row],[Cuenta]],1))</f>
        <v>0</v>
      </c>
      <c r="Y429" t="b">
        <f>+ISNUMBER(SEARCH('F-COMPRA'!#REF!,Tabla11[[#This Row],[Cuenta]],1))</f>
        <v>0</v>
      </c>
      <c r="Z429" t="b">
        <f>+ISNUMBER(SEARCH('F-COMPRA'!#REF!,Tabla11[[#This Row],[Cuenta]],1))</f>
        <v>0</v>
      </c>
      <c r="AA429" t="b">
        <f>+ISNUMBER(SEARCH('F-COMPRA'!#REF!,Tabla11[[#This Row],[Cuenta]],1))</f>
        <v>0</v>
      </c>
      <c r="AB429" t="b">
        <f>+ISNUMBER(SEARCH('F-COMPRA'!#REF!,Tabla11[[#This Row],[Cuenta]],1))</f>
        <v>0</v>
      </c>
      <c r="AC429" t="b">
        <f>+ISNUMBER(SEARCH('F-COMPRA'!#REF!,Tabla11[[#This Row],[Cuenta]],1))</f>
        <v>0</v>
      </c>
      <c r="AD429" t="b">
        <f>+ISNUMBER(SEARCH('F-COMPRA'!#REF!,Tabla11[[#This Row],[Cuenta]],1))</f>
        <v>0</v>
      </c>
      <c r="AE429" t="b">
        <f>+ISNUMBER(SEARCH('F-COMPRA'!#REF!,Tabla11[[#This Row],[Cuenta]],1))</f>
        <v>0</v>
      </c>
      <c r="AF429" t="b">
        <f>+ISNUMBER(SEARCH('F-VTA'!$G$23,Tabla11[[#This Row],[Cuenta]],1))</f>
        <v>0</v>
      </c>
      <c r="AG429" t="b">
        <f>+ISNUMBER(SEARCH('F-VTA'!$G$24,Tabla11[[#This Row],[Cuenta]],1))</f>
        <v>0</v>
      </c>
      <c r="AH429" t="b">
        <f>+ISNUMBER(SEARCH('F-VTA'!$G$25,Tabla11[[#This Row],[Cuenta]],1))</f>
        <v>0</v>
      </c>
      <c r="AI429" t="b">
        <f>+ISNUMBER(SEARCH('F-VTA'!$F$28,Tabla11[[#This Row],[Cuenta]],1))</f>
        <v>1</v>
      </c>
      <c r="AJ429" t="b">
        <f>+ISNUMBER(SEARCH('F-VTA'!$F$29,Tabla11[[#This Row],[Cuenta]],1))</f>
        <v>1</v>
      </c>
      <c r="AK429" t="b">
        <f>+ISNUMBER(SEARCH('F-VTA'!$F$30,Tabla11[[#This Row],[Cuenta]],1))</f>
        <v>1</v>
      </c>
      <c r="AL429" t="b">
        <f>+ISNUMBER(SEARCH('F-VTA'!$F$31,Tabla11[[#This Row],[Cuenta]],1))</f>
        <v>1</v>
      </c>
      <c r="AM429" t="b">
        <f>+ISNUMBER(SEARCH('F-VTA'!$F$32,Tabla11[[#This Row],[Cuenta]],1))</f>
        <v>1</v>
      </c>
      <c r="AN429" t="b">
        <f>+ISNUMBER(SEARCH('F-VTA'!$F$33,Tabla11[[#This Row],[Cuenta]],1))</f>
        <v>1</v>
      </c>
      <c r="AO429" t="b">
        <f>+ISNUMBER(SEARCH('F-VTA'!$F$34,Tabla11[[#This Row],[Cuenta]],1))</f>
        <v>1</v>
      </c>
      <c r="AP429" t="b">
        <f>+ISNUMBER(SEARCH('F-VTA'!$F$35,Tabla11[[#This Row],[Cuenta]],1))</f>
        <v>1</v>
      </c>
      <c r="AQ429" t="b">
        <f>+ISNUMBER(SEARCH('F-VTA'!$F$36,Tabla11[[#This Row],[Cuenta]],1))</f>
        <v>1</v>
      </c>
      <c r="AR429" t="b">
        <f>+ISNUMBER(SEARCH(#REF!,Tabla11[[#This Row],[Cuenta]],1))</f>
        <v>0</v>
      </c>
      <c r="AS429" t="b">
        <f>+ISNUMBER(SEARCH(#REF!,Tabla11[[#This Row],[Cuenta]],1))</f>
        <v>0</v>
      </c>
      <c r="AT429" t="b">
        <f>+ISNUMBER(SEARCH(#REF!,Tabla11[[#This Row],[Cuenta]],1))</f>
        <v>0</v>
      </c>
      <c r="AU429" t="b">
        <f>+ISNUMBER(SEARCH('Conc. Ban.1'!$I$9,Tabla11[[#This Row],[Cuenta]],1))</f>
        <v>0</v>
      </c>
      <c r="AV429" t="b">
        <f>+ISNUMBER(SEARCH(CompConta!$F$21,Tabla11[[#This Row],[Cuenta]],1))</f>
        <v>1</v>
      </c>
      <c r="AW429" t="b">
        <f>+ISNUMBER(SEARCH(CompConta!$F$22,Tabla11[[#This Row],[Cuenta]],1))</f>
        <v>1</v>
      </c>
      <c r="AX429" t="b">
        <f>+ISNUMBER(SEARCH(CompConta!$F$23,Tabla11[[#This Row],[Cuenta]],1))</f>
        <v>1</v>
      </c>
      <c r="AY429" t="b">
        <f>+ISNUMBER(SEARCH(CompConta!$F$24,Tabla11[[#This Row],[Cuenta]],1))</f>
        <v>1</v>
      </c>
      <c r="AZ429" t="b">
        <f>+ISNUMBER(SEARCH(CompConta!$F$25,Tabla11[[#This Row],[Cuenta]],1))</f>
        <v>1</v>
      </c>
      <c r="BA429" t="b">
        <f>+ISNUMBER(SEARCH(CompConta!$F$26,Tabla11[[#This Row],[Cuenta]],1))</f>
        <v>1</v>
      </c>
      <c r="BB429" t="b">
        <f>+ISNUMBER(SEARCH(CompConta!$F$27,Tabla11[[#This Row],[Cuenta]],1))</f>
        <v>1</v>
      </c>
      <c r="BC429" t="b">
        <f>+ISNUMBER(SEARCH(CompConta!$F$28,Tabla11[[#This Row],[Cuenta]],1))</f>
        <v>1</v>
      </c>
      <c r="BD429" t="b">
        <f>+ISNUMBER(SEARCH(CompConta!$F$29,Tabla11[[#This Row],[Cuenta]],1))</f>
        <v>1</v>
      </c>
      <c r="BE429" t="b">
        <f>+ISNUMBER(SEARCH(CompConta!$F$30,Tabla11[[#This Row],[Cuenta]],1))</f>
        <v>1</v>
      </c>
      <c r="BF429" t="b">
        <f>+ISNUMBER(SEARCH('PAGO Compras'!$E$11,Tabla11[[#This Row],[Cuenta]],1))</f>
        <v>1</v>
      </c>
      <c r="BG429" t="b">
        <f>+ISNUMBER(SEARCH(#REF!,Tabla11[[#This Row],[Cuenta]],1))</f>
        <v>0</v>
      </c>
      <c r="BH429" t="b">
        <f>+ISNUMBER(SEARCH(#REF!,Tabla11[[#This Row],[Cuenta]],1))</f>
        <v>0</v>
      </c>
      <c r="BI429" t="b">
        <f>+ISNUMBER(SEARCH(#REF!,Tabla11[[#This Row],[Cuenta]],1))</f>
        <v>0</v>
      </c>
      <c r="BJ429" t="b">
        <f>+ISNUMBER(SEARCH(#REF!,Tabla11[[#This Row],[Cuenta]],1))</f>
        <v>0</v>
      </c>
      <c r="BS429" t="str">
        <v>236510 Dividendos y/o participaciones</v>
      </c>
      <c r="BT429" t="str">
        <v>236510 Dividendos y/o participaciones</v>
      </c>
      <c r="BU429" t="str">
        <v>236510 Dividendos y/o participaciones</v>
      </c>
      <c r="BV429" t="str">
        <v>236510 Dividendos y/o participaciones</v>
      </c>
      <c r="BZ429" t="str">
        <v>236510 Dividendos y/o participaciones</v>
      </c>
      <c r="CA429" t="str">
        <v>236510 Dividendos y/o participaciones</v>
      </c>
      <c r="CB429" t="str">
        <v>236510 Dividendos y/o participaciones</v>
      </c>
      <c r="CC429" t="str">
        <v>236510 Dividendos y/o participaciones</v>
      </c>
      <c r="CD429" t="str">
        <v>236510 Dividendos y/o participaciones</v>
      </c>
      <c r="CE429" t="str">
        <v>236510 Dividendos y/o participaciones</v>
      </c>
      <c r="CS429" s="141" t="str">
        <v>236510 Dividendos y/o participaciones</v>
      </c>
      <c r="CT429" s="141" t="str">
        <v>236510 Dividendos y/o participaciones</v>
      </c>
      <c r="CU429" s="141" t="str">
        <v>236510 Dividendos y/o participaciones</v>
      </c>
      <c r="CV429" s="141" t="str">
        <v>236510 Dividendos y/o participaciones</v>
      </c>
      <c r="CW429" s="141" t="str">
        <v>236510 Dividendos y/o participaciones</v>
      </c>
      <c r="CX429" s="141" t="str">
        <v>236510 Dividendos y/o participaciones</v>
      </c>
      <c r="CY429" s="141" t="str">
        <v>236510 Dividendos y/o participaciones</v>
      </c>
      <c r="CZ429" s="141" t="str">
        <v>236510 Dividendos y/o participaciones</v>
      </c>
      <c r="DA429" s="141" t="str">
        <v>236510 Dividendos y/o participaciones</v>
      </c>
      <c r="DF429" t="str">
        <v>236510 Dividendos y/o participaciones</v>
      </c>
      <c r="DG429" t="str">
        <v>236510 Dividendos y/o participaciones</v>
      </c>
      <c r="DH429" t="str">
        <v>236510 Dividendos y/o participaciones</v>
      </c>
      <c r="DI429" t="str">
        <v>236510 Dividendos y/o participaciones</v>
      </c>
      <c r="DJ429" t="str">
        <v>236510 Dividendos y/o participaciones</v>
      </c>
      <c r="DK429" t="str">
        <v>236510 Dividendos y/o participaciones</v>
      </c>
      <c r="DL429" t="str">
        <v>236510 Dividendos y/o participaciones</v>
      </c>
      <c r="DM429" t="str">
        <v>236510 Dividendos y/o participaciones</v>
      </c>
      <c r="DN429" t="str">
        <v>236510 Dividendos y/o participaciones</v>
      </c>
      <c r="DO429" t="str">
        <v>236510 Dividendos y/o participaciones</v>
      </c>
      <c r="DP429" t="str">
        <v>236510 Dividendos y/o participaciones</v>
      </c>
    </row>
    <row r="430" spans="4:120" ht="12.75">
      <c r="D430" s="7">
        <v>236515</v>
      </c>
      <c r="E430" s="6" t="s">
        <v>75</v>
      </c>
      <c r="F430" s="5">
        <v>4</v>
      </c>
      <c r="G430" s="34" t="s">
        <v>823</v>
      </c>
      <c r="H430" s="26" t="s">
        <v>765</v>
      </c>
      <c r="I430" t="b">
        <f>+ISNUMBER(SEARCH('F-COMPRA'!$F$28,Tabla11[[#This Row],[Cuenta]],1))</f>
        <v>1</v>
      </c>
      <c r="J430" t="b">
        <f>+ISNUMBER(SEARCH('F-COMPRA'!$F$29,Tabla11[[#This Row],[Cuenta]],1))</f>
        <v>1</v>
      </c>
      <c r="K430" t="b">
        <f>+ISNUMBER(SEARCH('F-COMPRA'!$F$30,Tabla11[[#This Row],[Cuenta]],1))</f>
        <v>1</v>
      </c>
      <c r="L430" t="b">
        <f>+ISNUMBER(SEARCH('F-COMPRA'!$F$31,Tabla11[[#This Row],[Cuenta]],1))</f>
        <v>1</v>
      </c>
      <c r="M430" t="b">
        <f>+ISNUMBER(SEARCH('F-COMPRA'!$G$25,Tabla11[[#This Row],[Cuenta]],1))</f>
        <v>0</v>
      </c>
      <c r="N430" t="b">
        <f>+ISNUMBER(SEARCH(#REF!,Tabla11[[#This Row],[Cuenta]],1))</f>
        <v>0</v>
      </c>
      <c r="O430" t="b">
        <f>+ISNUMBER(SEARCH(#REF!,Tabla11[[#This Row],[Cuenta]],1))</f>
        <v>0</v>
      </c>
      <c r="P430" t="b">
        <f>+ISNUMBER(SEARCH('F-COMPRA'!$F$32,Tabla11[[#This Row],[Cuenta]],1))</f>
        <v>1</v>
      </c>
      <c r="Q430" t="b">
        <f>+ISNUMBER(SEARCH('F-COMPRA'!$F$33,Tabla11[[#This Row],[Cuenta]],1))</f>
        <v>1</v>
      </c>
      <c r="R430" t="b">
        <f>+ISNUMBER(SEARCH('F-COMPRA'!$F$34,Tabla11[[#This Row],[Cuenta]],1))</f>
        <v>1</v>
      </c>
      <c r="S430" t="b">
        <f>+ISNUMBER(SEARCH('F-COMPRA'!$F$35,Tabla11[[#This Row],[Cuenta]],1))</f>
        <v>1</v>
      </c>
      <c r="T430" t="b">
        <f>+ISNUMBER(SEARCH('F-COMPRA'!$F$36,Tabla11[[#This Row],[Cuenta]],1))</f>
        <v>1</v>
      </c>
      <c r="U430" t="b">
        <f>+ISNUMBER(SEARCH('F-COMPRA'!$F$37,Tabla11[[#This Row],[Cuenta]],1))</f>
        <v>1</v>
      </c>
      <c r="V430" t="b">
        <f>+ISNUMBER(SEARCH(#REF!,Tabla11[[#This Row],[Cuenta]],1))</f>
        <v>0</v>
      </c>
      <c r="W430" t="b">
        <f>+ISNUMBER(SEARCH('F-COMPRA'!#REF!,Tabla11[[#This Row],[Cuenta]],1))</f>
        <v>0</v>
      </c>
      <c r="X430" t="b">
        <f>+ISNUMBER(SEARCH('F-COMPRA'!#REF!,Tabla11[[#This Row],[Cuenta]],1))</f>
        <v>0</v>
      </c>
      <c r="Y430" t="b">
        <f>+ISNUMBER(SEARCH('F-COMPRA'!#REF!,Tabla11[[#This Row],[Cuenta]],1))</f>
        <v>0</v>
      </c>
      <c r="Z430" t="b">
        <f>+ISNUMBER(SEARCH('F-COMPRA'!#REF!,Tabla11[[#This Row],[Cuenta]],1))</f>
        <v>0</v>
      </c>
      <c r="AA430" t="b">
        <f>+ISNUMBER(SEARCH('F-COMPRA'!#REF!,Tabla11[[#This Row],[Cuenta]],1))</f>
        <v>0</v>
      </c>
      <c r="AB430" t="b">
        <f>+ISNUMBER(SEARCH('F-COMPRA'!#REF!,Tabla11[[#This Row],[Cuenta]],1))</f>
        <v>0</v>
      </c>
      <c r="AC430" t="b">
        <f>+ISNUMBER(SEARCH('F-COMPRA'!#REF!,Tabla11[[#This Row],[Cuenta]],1))</f>
        <v>0</v>
      </c>
      <c r="AD430" t="b">
        <f>+ISNUMBER(SEARCH('F-COMPRA'!#REF!,Tabla11[[#This Row],[Cuenta]],1))</f>
        <v>0</v>
      </c>
      <c r="AE430" t="b">
        <f>+ISNUMBER(SEARCH('F-COMPRA'!#REF!,Tabla11[[#This Row],[Cuenta]],1))</f>
        <v>0</v>
      </c>
      <c r="AF430" t="b">
        <f>+ISNUMBER(SEARCH('F-VTA'!$G$23,Tabla11[[#This Row],[Cuenta]],1))</f>
        <v>0</v>
      </c>
      <c r="AG430" t="b">
        <f>+ISNUMBER(SEARCH('F-VTA'!$G$24,Tabla11[[#This Row],[Cuenta]],1))</f>
        <v>0</v>
      </c>
      <c r="AH430" t="b">
        <f>+ISNUMBER(SEARCH('F-VTA'!$G$25,Tabla11[[#This Row],[Cuenta]],1))</f>
        <v>0</v>
      </c>
      <c r="AI430" t="b">
        <f>+ISNUMBER(SEARCH('F-VTA'!$F$28,Tabla11[[#This Row],[Cuenta]],1))</f>
        <v>1</v>
      </c>
      <c r="AJ430" t="b">
        <f>+ISNUMBER(SEARCH('F-VTA'!$F$29,Tabla11[[#This Row],[Cuenta]],1))</f>
        <v>1</v>
      </c>
      <c r="AK430" t="b">
        <f>+ISNUMBER(SEARCH('F-VTA'!$F$30,Tabla11[[#This Row],[Cuenta]],1))</f>
        <v>1</v>
      </c>
      <c r="AL430" t="b">
        <f>+ISNUMBER(SEARCH('F-VTA'!$F$31,Tabla11[[#This Row],[Cuenta]],1))</f>
        <v>1</v>
      </c>
      <c r="AM430" t="b">
        <f>+ISNUMBER(SEARCH('F-VTA'!$F$32,Tabla11[[#This Row],[Cuenta]],1))</f>
        <v>1</v>
      </c>
      <c r="AN430" t="b">
        <f>+ISNUMBER(SEARCH('F-VTA'!$F$33,Tabla11[[#This Row],[Cuenta]],1))</f>
        <v>1</v>
      </c>
      <c r="AO430" t="b">
        <f>+ISNUMBER(SEARCH('F-VTA'!$F$34,Tabla11[[#This Row],[Cuenta]],1))</f>
        <v>1</v>
      </c>
      <c r="AP430" t="b">
        <f>+ISNUMBER(SEARCH('F-VTA'!$F$35,Tabla11[[#This Row],[Cuenta]],1))</f>
        <v>1</v>
      </c>
      <c r="AQ430" t="b">
        <f>+ISNUMBER(SEARCH('F-VTA'!$F$36,Tabla11[[#This Row],[Cuenta]],1))</f>
        <v>1</v>
      </c>
      <c r="AR430" t="b">
        <f>+ISNUMBER(SEARCH(#REF!,Tabla11[[#This Row],[Cuenta]],1))</f>
        <v>0</v>
      </c>
      <c r="AS430" t="b">
        <f>+ISNUMBER(SEARCH(#REF!,Tabla11[[#This Row],[Cuenta]],1))</f>
        <v>0</v>
      </c>
      <c r="AT430" t="b">
        <f>+ISNUMBER(SEARCH(#REF!,Tabla11[[#This Row],[Cuenta]],1))</f>
        <v>0</v>
      </c>
      <c r="AU430" t="b">
        <f>+ISNUMBER(SEARCH('Conc. Ban.1'!$I$9,Tabla11[[#This Row],[Cuenta]],1))</f>
        <v>0</v>
      </c>
      <c r="AV430" t="b">
        <f>+ISNUMBER(SEARCH(CompConta!$F$21,Tabla11[[#This Row],[Cuenta]],1))</f>
        <v>1</v>
      </c>
      <c r="AW430" t="b">
        <f>+ISNUMBER(SEARCH(CompConta!$F$22,Tabla11[[#This Row],[Cuenta]],1))</f>
        <v>1</v>
      </c>
      <c r="AX430" t="b">
        <f>+ISNUMBER(SEARCH(CompConta!$F$23,Tabla11[[#This Row],[Cuenta]],1))</f>
        <v>1</v>
      </c>
      <c r="AY430" t="b">
        <f>+ISNUMBER(SEARCH(CompConta!$F$24,Tabla11[[#This Row],[Cuenta]],1))</f>
        <v>1</v>
      </c>
      <c r="AZ430" t="b">
        <f>+ISNUMBER(SEARCH(CompConta!$F$25,Tabla11[[#This Row],[Cuenta]],1))</f>
        <v>1</v>
      </c>
      <c r="BA430" t="b">
        <f>+ISNUMBER(SEARCH(CompConta!$F$26,Tabla11[[#This Row],[Cuenta]],1))</f>
        <v>1</v>
      </c>
      <c r="BB430" t="b">
        <f>+ISNUMBER(SEARCH(CompConta!$F$27,Tabla11[[#This Row],[Cuenta]],1))</f>
        <v>1</v>
      </c>
      <c r="BC430" t="b">
        <f>+ISNUMBER(SEARCH(CompConta!$F$28,Tabla11[[#This Row],[Cuenta]],1))</f>
        <v>1</v>
      </c>
      <c r="BD430" t="b">
        <f>+ISNUMBER(SEARCH(CompConta!$F$29,Tabla11[[#This Row],[Cuenta]],1))</f>
        <v>1</v>
      </c>
      <c r="BE430" t="b">
        <f>+ISNUMBER(SEARCH(CompConta!$F$30,Tabla11[[#This Row],[Cuenta]],1))</f>
        <v>1</v>
      </c>
      <c r="BF430" t="b">
        <f>+ISNUMBER(SEARCH('PAGO Compras'!$E$11,Tabla11[[#This Row],[Cuenta]],1))</f>
        <v>1</v>
      </c>
      <c r="BG430" t="b">
        <f>+ISNUMBER(SEARCH(#REF!,Tabla11[[#This Row],[Cuenta]],1))</f>
        <v>0</v>
      </c>
      <c r="BH430" t="b">
        <f>+ISNUMBER(SEARCH(#REF!,Tabla11[[#This Row],[Cuenta]],1))</f>
        <v>0</v>
      </c>
      <c r="BI430" t="b">
        <f>+ISNUMBER(SEARCH(#REF!,Tabla11[[#This Row],[Cuenta]],1))</f>
        <v>0</v>
      </c>
      <c r="BJ430" t="b">
        <f>+ISNUMBER(SEARCH(#REF!,Tabla11[[#This Row],[Cuenta]],1))</f>
        <v>0</v>
      </c>
      <c r="BS430" t="str">
        <v>236515 Honorarios</v>
      </c>
      <c r="BT430" t="str">
        <v>236515 Honorarios</v>
      </c>
      <c r="BU430" t="str">
        <v>236515 Honorarios</v>
      </c>
      <c r="BV430" t="str">
        <v>236515 Honorarios</v>
      </c>
      <c r="BZ430" t="str">
        <v>236515 Honorarios</v>
      </c>
      <c r="CA430" t="str">
        <v>236515 Honorarios</v>
      </c>
      <c r="CB430" t="str">
        <v>236515 Honorarios</v>
      </c>
      <c r="CC430" t="str">
        <v>236515 Honorarios</v>
      </c>
      <c r="CD430" t="str">
        <v>236515 Honorarios</v>
      </c>
      <c r="CE430" t="str">
        <v>236515 Honorarios</v>
      </c>
      <c r="CS430" s="141" t="str">
        <v>236515 Honorarios</v>
      </c>
      <c r="CT430" s="141" t="str">
        <v>236515 Honorarios</v>
      </c>
      <c r="CU430" s="141" t="str">
        <v>236515 Honorarios</v>
      </c>
      <c r="CV430" s="141" t="str">
        <v>236515 Honorarios</v>
      </c>
      <c r="CW430" s="141" t="str">
        <v>236515 Honorarios</v>
      </c>
      <c r="CX430" s="141" t="str">
        <v>236515 Honorarios</v>
      </c>
      <c r="CY430" s="141" t="str">
        <v>236515 Honorarios</v>
      </c>
      <c r="CZ430" s="141" t="str">
        <v>236515 Honorarios</v>
      </c>
      <c r="DA430" s="141" t="str">
        <v>236515 Honorarios</v>
      </c>
      <c r="DF430" t="str">
        <v>236515 Honorarios</v>
      </c>
      <c r="DG430" t="str">
        <v>236515 Honorarios</v>
      </c>
      <c r="DH430" t="str">
        <v>236515 Honorarios</v>
      </c>
      <c r="DI430" t="str">
        <v>236515 Honorarios</v>
      </c>
      <c r="DJ430" t="str">
        <v>236515 Honorarios</v>
      </c>
      <c r="DK430" t="str">
        <v>236515 Honorarios</v>
      </c>
      <c r="DL430" t="str">
        <v>236515 Honorarios</v>
      </c>
      <c r="DM430" t="str">
        <v>236515 Honorarios</v>
      </c>
      <c r="DN430" t="str">
        <v>236515 Honorarios</v>
      </c>
      <c r="DO430" t="str">
        <v>236515 Honorarios</v>
      </c>
      <c r="DP430" t="str">
        <v>236515 Honorarios</v>
      </c>
    </row>
    <row r="431" spans="4:120" ht="12.75">
      <c r="D431" s="7">
        <v>23651505</v>
      </c>
      <c r="E431" s="13" t="s">
        <v>786</v>
      </c>
      <c r="F431" s="5">
        <v>5</v>
      </c>
      <c r="G431" s="34" t="s">
        <v>823</v>
      </c>
      <c r="H431" s="26" t="s">
        <v>765</v>
      </c>
      <c r="I431" t="b">
        <f>+ISNUMBER(SEARCH('F-COMPRA'!$F$28,Tabla11[[#This Row],[Cuenta]],1))</f>
        <v>1</v>
      </c>
      <c r="J431" t="b">
        <f>+ISNUMBER(SEARCH('F-COMPRA'!$F$29,Tabla11[[#This Row],[Cuenta]],1))</f>
        <v>1</v>
      </c>
      <c r="K431" t="b">
        <f>+ISNUMBER(SEARCH('F-COMPRA'!$F$30,Tabla11[[#This Row],[Cuenta]],1))</f>
        <v>1</v>
      </c>
      <c r="L431" t="b">
        <f>+ISNUMBER(SEARCH('F-COMPRA'!$F$31,Tabla11[[#This Row],[Cuenta]],1))</f>
        <v>1</v>
      </c>
      <c r="M431" t="b">
        <f>+ISNUMBER(SEARCH('F-COMPRA'!$G$25,Tabla11[[#This Row],[Cuenta]],1))</f>
        <v>0</v>
      </c>
      <c r="N431" t="b">
        <f>+ISNUMBER(SEARCH(#REF!,Tabla11[[#This Row],[Cuenta]],1))</f>
        <v>0</v>
      </c>
      <c r="O431" t="b">
        <f>+ISNUMBER(SEARCH(#REF!,Tabla11[[#This Row],[Cuenta]],1))</f>
        <v>0</v>
      </c>
      <c r="P431" t="b">
        <f>+ISNUMBER(SEARCH('F-COMPRA'!$F$32,Tabla11[[#This Row],[Cuenta]],1))</f>
        <v>1</v>
      </c>
      <c r="Q431" t="b">
        <f>+ISNUMBER(SEARCH('F-COMPRA'!$F$33,Tabla11[[#This Row],[Cuenta]],1))</f>
        <v>1</v>
      </c>
      <c r="R431" t="b">
        <f>+ISNUMBER(SEARCH('F-COMPRA'!$F$34,Tabla11[[#This Row],[Cuenta]],1))</f>
        <v>1</v>
      </c>
      <c r="S431" t="b">
        <f>+ISNUMBER(SEARCH('F-COMPRA'!$F$35,Tabla11[[#This Row],[Cuenta]],1))</f>
        <v>1</v>
      </c>
      <c r="T431" t="b">
        <f>+ISNUMBER(SEARCH('F-COMPRA'!$F$36,Tabla11[[#This Row],[Cuenta]],1))</f>
        <v>1</v>
      </c>
      <c r="U431" t="b">
        <f>+ISNUMBER(SEARCH('F-COMPRA'!$F$37,Tabla11[[#This Row],[Cuenta]],1))</f>
        <v>1</v>
      </c>
      <c r="V431" t="b">
        <f>+ISNUMBER(SEARCH(#REF!,Tabla11[[#This Row],[Cuenta]],1))</f>
        <v>0</v>
      </c>
      <c r="W431" t="b">
        <f>+ISNUMBER(SEARCH('F-COMPRA'!#REF!,Tabla11[[#This Row],[Cuenta]],1))</f>
        <v>0</v>
      </c>
      <c r="X431" t="b">
        <f>+ISNUMBER(SEARCH('F-COMPRA'!#REF!,Tabla11[[#This Row],[Cuenta]],1))</f>
        <v>0</v>
      </c>
      <c r="Y431" t="b">
        <f>+ISNUMBER(SEARCH('F-COMPRA'!#REF!,Tabla11[[#This Row],[Cuenta]],1))</f>
        <v>0</v>
      </c>
      <c r="Z431" t="b">
        <f>+ISNUMBER(SEARCH('F-COMPRA'!#REF!,Tabla11[[#This Row],[Cuenta]],1))</f>
        <v>0</v>
      </c>
      <c r="AA431" t="b">
        <f>+ISNUMBER(SEARCH('F-COMPRA'!#REF!,Tabla11[[#This Row],[Cuenta]],1))</f>
        <v>0</v>
      </c>
      <c r="AB431" t="b">
        <f>+ISNUMBER(SEARCH('F-COMPRA'!#REF!,Tabla11[[#This Row],[Cuenta]],1))</f>
        <v>0</v>
      </c>
      <c r="AC431" t="b">
        <f>+ISNUMBER(SEARCH('F-COMPRA'!#REF!,Tabla11[[#This Row],[Cuenta]],1))</f>
        <v>0</v>
      </c>
      <c r="AD431" t="b">
        <f>+ISNUMBER(SEARCH('F-COMPRA'!#REF!,Tabla11[[#This Row],[Cuenta]],1))</f>
        <v>0</v>
      </c>
      <c r="AE431" t="b">
        <f>+ISNUMBER(SEARCH('F-COMPRA'!#REF!,Tabla11[[#This Row],[Cuenta]],1))</f>
        <v>0</v>
      </c>
      <c r="AF431" t="b">
        <f>+ISNUMBER(SEARCH('F-VTA'!$G$23,Tabla11[[#This Row],[Cuenta]],1))</f>
        <v>0</v>
      </c>
      <c r="AG431" t="b">
        <f>+ISNUMBER(SEARCH('F-VTA'!$G$24,Tabla11[[#This Row],[Cuenta]],1))</f>
        <v>0</v>
      </c>
      <c r="AH431" t="b">
        <f>+ISNUMBER(SEARCH('F-VTA'!$G$25,Tabla11[[#This Row],[Cuenta]],1))</f>
        <v>0</v>
      </c>
      <c r="AI431" t="b">
        <f>+ISNUMBER(SEARCH('F-VTA'!$F$28,Tabla11[[#This Row],[Cuenta]],1))</f>
        <v>1</v>
      </c>
      <c r="AJ431" t="b">
        <f>+ISNUMBER(SEARCH('F-VTA'!$F$29,Tabla11[[#This Row],[Cuenta]],1))</f>
        <v>1</v>
      </c>
      <c r="AK431" t="b">
        <f>+ISNUMBER(SEARCH('F-VTA'!$F$30,Tabla11[[#This Row],[Cuenta]],1))</f>
        <v>1</v>
      </c>
      <c r="AL431" t="b">
        <f>+ISNUMBER(SEARCH('F-VTA'!$F$31,Tabla11[[#This Row],[Cuenta]],1))</f>
        <v>1</v>
      </c>
      <c r="AM431" t="b">
        <f>+ISNUMBER(SEARCH('F-VTA'!$F$32,Tabla11[[#This Row],[Cuenta]],1))</f>
        <v>1</v>
      </c>
      <c r="AN431" t="b">
        <f>+ISNUMBER(SEARCH('F-VTA'!$F$33,Tabla11[[#This Row],[Cuenta]],1))</f>
        <v>1</v>
      </c>
      <c r="AO431" t="b">
        <f>+ISNUMBER(SEARCH('F-VTA'!$F$34,Tabla11[[#This Row],[Cuenta]],1))</f>
        <v>1</v>
      </c>
      <c r="AP431" t="b">
        <f>+ISNUMBER(SEARCH('F-VTA'!$F$35,Tabla11[[#This Row],[Cuenta]],1))</f>
        <v>1</v>
      </c>
      <c r="AQ431" t="b">
        <f>+ISNUMBER(SEARCH('F-VTA'!$F$36,Tabla11[[#This Row],[Cuenta]],1))</f>
        <v>1</v>
      </c>
      <c r="AR431" t="b">
        <f>+ISNUMBER(SEARCH(#REF!,Tabla11[[#This Row],[Cuenta]],1))</f>
        <v>0</v>
      </c>
      <c r="AS431" t="b">
        <f>+ISNUMBER(SEARCH(#REF!,Tabla11[[#This Row],[Cuenta]],1))</f>
        <v>0</v>
      </c>
      <c r="AT431" t="b">
        <f>+ISNUMBER(SEARCH(#REF!,Tabla11[[#This Row],[Cuenta]],1))</f>
        <v>0</v>
      </c>
      <c r="AU431" t="b">
        <f>+ISNUMBER(SEARCH('Conc. Ban.1'!$I$9,Tabla11[[#This Row],[Cuenta]],1))</f>
        <v>0</v>
      </c>
      <c r="AV431" t="b">
        <f>+ISNUMBER(SEARCH(CompConta!$F$21,Tabla11[[#This Row],[Cuenta]],1))</f>
        <v>1</v>
      </c>
      <c r="AW431" t="b">
        <f>+ISNUMBER(SEARCH(CompConta!$F$22,Tabla11[[#This Row],[Cuenta]],1))</f>
        <v>1</v>
      </c>
      <c r="AX431" t="b">
        <f>+ISNUMBER(SEARCH(CompConta!$F$23,Tabla11[[#This Row],[Cuenta]],1))</f>
        <v>1</v>
      </c>
      <c r="AY431" t="b">
        <f>+ISNUMBER(SEARCH(CompConta!$F$24,Tabla11[[#This Row],[Cuenta]],1))</f>
        <v>1</v>
      </c>
      <c r="AZ431" t="b">
        <f>+ISNUMBER(SEARCH(CompConta!$F$25,Tabla11[[#This Row],[Cuenta]],1))</f>
        <v>1</v>
      </c>
      <c r="BA431" t="b">
        <f>+ISNUMBER(SEARCH(CompConta!$F$26,Tabla11[[#This Row],[Cuenta]],1))</f>
        <v>1</v>
      </c>
      <c r="BB431" t="b">
        <f>+ISNUMBER(SEARCH(CompConta!$F$27,Tabla11[[#This Row],[Cuenta]],1))</f>
        <v>1</v>
      </c>
      <c r="BC431" t="b">
        <f>+ISNUMBER(SEARCH(CompConta!$F$28,Tabla11[[#This Row],[Cuenta]],1))</f>
        <v>1</v>
      </c>
      <c r="BD431" t="b">
        <f>+ISNUMBER(SEARCH(CompConta!$F$29,Tabla11[[#This Row],[Cuenta]],1))</f>
        <v>1</v>
      </c>
      <c r="BE431" t="b">
        <f>+ISNUMBER(SEARCH(CompConta!$F$30,Tabla11[[#This Row],[Cuenta]],1))</f>
        <v>1</v>
      </c>
      <c r="BF431" t="b">
        <f>+ISNUMBER(SEARCH('PAGO Compras'!$E$11,Tabla11[[#This Row],[Cuenta]],1))</f>
        <v>1</v>
      </c>
      <c r="BG431" t="b">
        <f>+ISNUMBER(SEARCH(#REF!,Tabla11[[#This Row],[Cuenta]],1))</f>
        <v>0</v>
      </c>
      <c r="BH431" t="b">
        <f>+ISNUMBER(SEARCH(#REF!,Tabla11[[#This Row],[Cuenta]],1))</f>
        <v>0</v>
      </c>
      <c r="BI431" t="b">
        <f>+ISNUMBER(SEARCH(#REF!,Tabla11[[#This Row],[Cuenta]],1))</f>
        <v>0</v>
      </c>
      <c r="BJ431" t="b">
        <f>+ISNUMBER(SEARCH(#REF!,Tabla11[[#This Row],[Cuenta]],1))</f>
        <v>0</v>
      </c>
      <c r="BS431" t="str">
        <v>23651505 Persona natural 10%</v>
      </c>
      <c r="BT431" t="str">
        <v>23651505 Persona natural 10%</v>
      </c>
      <c r="BU431" t="str">
        <v>23651505 Persona natural 10%</v>
      </c>
      <c r="BV431" t="str">
        <v>23651505 Persona natural 10%</v>
      </c>
      <c r="BZ431" t="str">
        <v>23651505 Persona natural 10%</v>
      </c>
      <c r="CA431" t="str">
        <v>23651505 Persona natural 10%</v>
      </c>
      <c r="CB431" t="str">
        <v>23651505 Persona natural 10%</v>
      </c>
      <c r="CC431" t="str">
        <v>23651505 Persona natural 10%</v>
      </c>
      <c r="CD431" t="str">
        <v>23651505 Persona natural 10%</v>
      </c>
      <c r="CE431" t="str">
        <v>23651505 Persona natural 10%</v>
      </c>
      <c r="CS431" s="141" t="str">
        <v>23651505 Persona natural 10%</v>
      </c>
      <c r="CT431" s="141" t="str">
        <v>23651505 Persona natural 10%</v>
      </c>
      <c r="CU431" s="141" t="str">
        <v>23651505 Persona natural 10%</v>
      </c>
      <c r="CV431" s="141" t="str">
        <v>23651505 Persona natural 10%</v>
      </c>
      <c r="CW431" s="141" t="str">
        <v>23651505 Persona natural 10%</v>
      </c>
      <c r="CX431" s="141" t="str">
        <v>23651505 Persona natural 10%</v>
      </c>
      <c r="CY431" s="141" t="str">
        <v>23651505 Persona natural 10%</v>
      </c>
      <c r="CZ431" s="141" t="str">
        <v>23651505 Persona natural 10%</v>
      </c>
      <c r="DA431" s="141" t="str">
        <v>23651505 Persona natural 10%</v>
      </c>
      <c r="DF431" t="str">
        <v>23651505 Persona natural 10%</v>
      </c>
      <c r="DG431" t="str">
        <v>23651505 Persona natural 10%</v>
      </c>
      <c r="DH431" t="str">
        <v>23651505 Persona natural 10%</v>
      </c>
      <c r="DI431" t="str">
        <v>23651505 Persona natural 10%</v>
      </c>
      <c r="DJ431" t="str">
        <v>23651505 Persona natural 10%</v>
      </c>
      <c r="DK431" t="str">
        <v>23651505 Persona natural 10%</v>
      </c>
      <c r="DL431" t="str">
        <v>23651505 Persona natural 10%</v>
      </c>
      <c r="DM431" t="str">
        <v>23651505 Persona natural 10%</v>
      </c>
      <c r="DN431" t="str">
        <v>23651505 Persona natural 10%</v>
      </c>
      <c r="DO431" t="str">
        <v>23651505 Persona natural 10%</v>
      </c>
      <c r="DP431" t="str">
        <v>23651505 Persona natural 10%</v>
      </c>
    </row>
    <row r="432" spans="4:120" ht="12.75">
      <c r="D432" s="7">
        <v>236520</v>
      </c>
      <c r="E432" s="6" t="s">
        <v>74</v>
      </c>
      <c r="F432" s="5">
        <v>4</v>
      </c>
      <c r="G432" s="34" t="s">
        <v>823</v>
      </c>
      <c r="H432" s="26" t="s">
        <v>765</v>
      </c>
      <c r="I432" t="b">
        <f>+ISNUMBER(SEARCH('F-COMPRA'!$F$28,Tabla11[[#This Row],[Cuenta]],1))</f>
        <v>1</v>
      </c>
      <c r="J432" t="b">
        <f>+ISNUMBER(SEARCH('F-COMPRA'!$F$29,Tabla11[[#This Row],[Cuenta]],1))</f>
        <v>1</v>
      </c>
      <c r="K432" t="b">
        <f>+ISNUMBER(SEARCH('F-COMPRA'!$F$30,Tabla11[[#This Row],[Cuenta]],1))</f>
        <v>1</v>
      </c>
      <c r="L432" t="b">
        <f>+ISNUMBER(SEARCH('F-COMPRA'!$F$31,Tabla11[[#This Row],[Cuenta]],1))</f>
        <v>1</v>
      </c>
      <c r="M432" t="b">
        <f>+ISNUMBER(SEARCH('F-COMPRA'!$G$25,Tabla11[[#This Row],[Cuenta]],1))</f>
        <v>0</v>
      </c>
      <c r="N432" t="b">
        <f>+ISNUMBER(SEARCH(#REF!,Tabla11[[#This Row],[Cuenta]],1))</f>
        <v>0</v>
      </c>
      <c r="O432" t="b">
        <f>+ISNUMBER(SEARCH(#REF!,Tabla11[[#This Row],[Cuenta]],1))</f>
        <v>0</v>
      </c>
      <c r="P432" t="b">
        <f>+ISNUMBER(SEARCH('F-COMPRA'!$F$32,Tabla11[[#This Row],[Cuenta]],1))</f>
        <v>1</v>
      </c>
      <c r="Q432" t="b">
        <f>+ISNUMBER(SEARCH('F-COMPRA'!$F$33,Tabla11[[#This Row],[Cuenta]],1))</f>
        <v>1</v>
      </c>
      <c r="R432" t="b">
        <f>+ISNUMBER(SEARCH('F-COMPRA'!$F$34,Tabla11[[#This Row],[Cuenta]],1))</f>
        <v>1</v>
      </c>
      <c r="S432" t="b">
        <f>+ISNUMBER(SEARCH('F-COMPRA'!$F$35,Tabla11[[#This Row],[Cuenta]],1))</f>
        <v>1</v>
      </c>
      <c r="T432" t="b">
        <f>+ISNUMBER(SEARCH('F-COMPRA'!$F$36,Tabla11[[#This Row],[Cuenta]],1))</f>
        <v>1</v>
      </c>
      <c r="U432" t="b">
        <f>+ISNUMBER(SEARCH('F-COMPRA'!$F$37,Tabla11[[#This Row],[Cuenta]],1))</f>
        <v>1</v>
      </c>
      <c r="V432" t="b">
        <f>+ISNUMBER(SEARCH(#REF!,Tabla11[[#This Row],[Cuenta]],1))</f>
        <v>0</v>
      </c>
      <c r="W432" t="b">
        <f>+ISNUMBER(SEARCH('F-COMPRA'!#REF!,Tabla11[[#This Row],[Cuenta]],1))</f>
        <v>0</v>
      </c>
      <c r="X432" t="b">
        <f>+ISNUMBER(SEARCH('F-COMPRA'!#REF!,Tabla11[[#This Row],[Cuenta]],1))</f>
        <v>0</v>
      </c>
      <c r="Y432" t="b">
        <f>+ISNUMBER(SEARCH('F-COMPRA'!#REF!,Tabla11[[#This Row],[Cuenta]],1))</f>
        <v>0</v>
      </c>
      <c r="Z432" t="b">
        <f>+ISNUMBER(SEARCH('F-COMPRA'!#REF!,Tabla11[[#This Row],[Cuenta]],1))</f>
        <v>0</v>
      </c>
      <c r="AA432" t="b">
        <f>+ISNUMBER(SEARCH('F-COMPRA'!#REF!,Tabla11[[#This Row],[Cuenta]],1))</f>
        <v>0</v>
      </c>
      <c r="AB432" t="b">
        <f>+ISNUMBER(SEARCH('F-COMPRA'!#REF!,Tabla11[[#This Row],[Cuenta]],1))</f>
        <v>0</v>
      </c>
      <c r="AC432" t="b">
        <f>+ISNUMBER(SEARCH('F-COMPRA'!#REF!,Tabla11[[#This Row],[Cuenta]],1))</f>
        <v>0</v>
      </c>
      <c r="AD432" t="b">
        <f>+ISNUMBER(SEARCH('F-COMPRA'!#REF!,Tabla11[[#This Row],[Cuenta]],1))</f>
        <v>0</v>
      </c>
      <c r="AE432" t="b">
        <f>+ISNUMBER(SEARCH('F-COMPRA'!#REF!,Tabla11[[#This Row],[Cuenta]],1))</f>
        <v>0</v>
      </c>
      <c r="AF432" t="b">
        <f>+ISNUMBER(SEARCH('F-VTA'!$G$23,Tabla11[[#This Row],[Cuenta]],1))</f>
        <v>0</v>
      </c>
      <c r="AG432" t="b">
        <f>+ISNUMBER(SEARCH('F-VTA'!$G$24,Tabla11[[#This Row],[Cuenta]],1))</f>
        <v>0</v>
      </c>
      <c r="AH432" t="b">
        <f>+ISNUMBER(SEARCH('F-VTA'!$G$25,Tabla11[[#This Row],[Cuenta]],1))</f>
        <v>0</v>
      </c>
      <c r="AI432" t="b">
        <f>+ISNUMBER(SEARCH('F-VTA'!$F$28,Tabla11[[#This Row],[Cuenta]],1))</f>
        <v>1</v>
      </c>
      <c r="AJ432" t="b">
        <f>+ISNUMBER(SEARCH('F-VTA'!$F$29,Tabla11[[#This Row],[Cuenta]],1))</f>
        <v>1</v>
      </c>
      <c r="AK432" t="b">
        <f>+ISNUMBER(SEARCH('F-VTA'!$F$30,Tabla11[[#This Row],[Cuenta]],1))</f>
        <v>1</v>
      </c>
      <c r="AL432" t="b">
        <f>+ISNUMBER(SEARCH('F-VTA'!$F$31,Tabla11[[#This Row],[Cuenta]],1))</f>
        <v>1</v>
      </c>
      <c r="AM432" t="b">
        <f>+ISNUMBER(SEARCH('F-VTA'!$F$32,Tabla11[[#This Row],[Cuenta]],1))</f>
        <v>1</v>
      </c>
      <c r="AN432" t="b">
        <f>+ISNUMBER(SEARCH('F-VTA'!$F$33,Tabla11[[#This Row],[Cuenta]],1))</f>
        <v>1</v>
      </c>
      <c r="AO432" t="b">
        <f>+ISNUMBER(SEARCH('F-VTA'!$F$34,Tabla11[[#This Row],[Cuenta]],1))</f>
        <v>1</v>
      </c>
      <c r="AP432" t="b">
        <f>+ISNUMBER(SEARCH('F-VTA'!$F$35,Tabla11[[#This Row],[Cuenta]],1))</f>
        <v>1</v>
      </c>
      <c r="AQ432" t="b">
        <f>+ISNUMBER(SEARCH('F-VTA'!$F$36,Tabla11[[#This Row],[Cuenta]],1))</f>
        <v>1</v>
      </c>
      <c r="AR432" t="b">
        <f>+ISNUMBER(SEARCH(#REF!,Tabla11[[#This Row],[Cuenta]],1))</f>
        <v>0</v>
      </c>
      <c r="AS432" t="b">
        <f>+ISNUMBER(SEARCH(#REF!,Tabla11[[#This Row],[Cuenta]],1))</f>
        <v>0</v>
      </c>
      <c r="AT432" t="b">
        <f>+ISNUMBER(SEARCH(#REF!,Tabla11[[#This Row],[Cuenta]],1))</f>
        <v>0</v>
      </c>
      <c r="AU432" t="b">
        <f>+ISNUMBER(SEARCH('Conc. Ban.1'!$I$9,Tabla11[[#This Row],[Cuenta]],1))</f>
        <v>0</v>
      </c>
      <c r="AV432" t="b">
        <f>+ISNUMBER(SEARCH(CompConta!$F$21,Tabla11[[#This Row],[Cuenta]],1))</f>
        <v>1</v>
      </c>
      <c r="AW432" t="b">
        <f>+ISNUMBER(SEARCH(CompConta!$F$22,Tabla11[[#This Row],[Cuenta]],1))</f>
        <v>1</v>
      </c>
      <c r="AX432" t="b">
        <f>+ISNUMBER(SEARCH(CompConta!$F$23,Tabla11[[#This Row],[Cuenta]],1))</f>
        <v>1</v>
      </c>
      <c r="AY432" t="b">
        <f>+ISNUMBER(SEARCH(CompConta!$F$24,Tabla11[[#This Row],[Cuenta]],1))</f>
        <v>1</v>
      </c>
      <c r="AZ432" t="b">
        <f>+ISNUMBER(SEARCH(CompConta!$F$25,Tabla11[[#This Row],[Cuenta]],1))</f>
        <v>1</v>
      </c>
      <c r="BA432" t="b">
        <f>+ISNUMBER(SEARCH(CompConta!$F$26,Tabla11[[#This Row],[Cuenta]],1))</f>
        <v>1</v>
      </c>
      <c r="BB432" t="b">
        <f>+ISNUMBER(SEARCH(CompConta!$F$27,Tabla11[[#This Row],[Cuenta]],1))</f>
        <v>1</v>
      </c>
      <c r="BC432" t="b">
        <f>+ISNUMBER(SEARCH(CompConta!$F$28,Tabla11[[#This Row],[Cuenta]],1))</f>
        <v>1</v>
      </c>
      <c r="BD432" t="b">
        <f>+ISNUMBER(SEARCH(CompConta!$F$29,Tabla11[[#This Row],[Cuenta]],1))</f>
        <v>1</v>
      </c>
      <c r="BE432" t="b">
        <f>+ISNUMBER(SEARCH(CompConta!$F$30,Tabla11[[#This Row],[Cuenta]],1))</f>
        <v>1</v>
      </c>
      <c r="BF432" t="b">
        <f>+ISNUMBER(SEARCH('PAGO Compras'!$E$11,Tabla11[[#This Row],[Cuenta]],1))</f>
        <v>1</v>
      </c>
      <c r="BG432" t="b">
        <f>+ISNUMBER(SEARCH(#REF!,Tabla11[[#This Row],[Cuenta]],1))</f>
        <v>0</v>
      </c>
      <c r="BH432" t="b">
        <f>+ISNUMBER(SEARCH(#REF!,Tabla11[[#This Row],[Cuenta]],1))</f>
        <v>0</v>
      </c>
      <c r="BI432" t="b">
        <f>+ISNUMBER(SEARCH(#REF!,Tabla11[[#This Row],[Cuenta]],1))</f>
        <v>0</v>
      </c>
      <c r="BJ432" t="b">
        <f>+ISNUMBER(SEARCH(#REF!,Tabla11[[#This Row],[Cuenta]],1))</f>
        <v>0</v>
      </c>
      <c r="BS432" t="str">
        <v>236520 Comisiones</v>
      </c>
      <c r="BT432" t="str">
        <v>236520 Comisiones</v>
      </c>
      <c r="BU432" t="str">
        <v>236520 Comisiones</v>
      </c>
      <c r="BV432" t="str">
        <v>236520 Comisiones</v>
      </c>
      <c r="BZ432" t="str">
        <v>236520 Comisiones</v>
      </c>
      <c r="CA432" t="str">
        <v>236520 Comisiones</v>
      </c>
      <c r="CB432" t="str">
        <v>236520 Comisiones</v>
      </c>
      <c r="CC432" t="str">
        <v>236520 Comisiones</v>
      </c>
      <c r="CD432" t="str">
        <v>236520 Comisiones</v>
      </c>
      <c r="CE432" t="str">
        <v>236520 Comisiones</v>
      </c>
      <c r="CS432" s="141" t="str">
        <v>236520 Comisiones</v>
      </c>
      <c r="CT432" s="141" t="str">
        <v>236520 Comisiones</v>
      </c>
      <c r="CU432" s="141" t="str">
        <v>236520 Comisiones</v>
      </c>
      <c r="CV432" s="141" t="str">
        <v>236520 Comisiones</v>
      </c>
      <c r="CW432" s="141" t="str">
        <v>236520 Comisiones</v>
      </c>
      <c r="CX432" s="141" t="str">
        <v>236520 Comisiones</v>
      </c>
      <c r="CY432" s="141" t="str">
        <v>236520 Comisiones</v>
      </c>
      <c r="CZ432" s="141" t="str">
        <v>236520 Comisiones</v>
      </c>
      <c r="DA432" s="141" t="str">
        <v>236520 Comisiones</v>
      </c>
      <c r="DF432" t="str">
        <v>236520 Comisiones</v>
      </c>
      <c r="DG432" t="str">
        <v>236520 Comisiones</v>
      </c>
      <c r="DH432" t="str">
        <v>236520 Comisiones</v>
      </c>
      <c r="DI432" t="str">
        <v>236520 Comisiones</v>
      </c>
      <c r="DJ432" t="str">
        <v>236520 Comisiones</v>
      </c>
      <c r="DK432" t="str">
        <v>236520 Comisiones</v>
      </c>
      <c r="DL432" t="str">
        <v>236520 Comisiones</v>
      </c>
      <c r="DM432" t="str">
        <v>236520 Comisiones</v>
      </c>
      <c r="DN432" t="str">
        <v>236520 Comisiones</v>
      </c>
      <c r="DO432" t="str">
        <v>236520 Comisiones</v>
      </c>
      <c r="DP432" t="str">
        <v>236520 Comisiones</v>
      </c>
    </row>
    <row r="433" spans="4:120" ht="12.75">
      <c r="D433" s="7">
        <v>236525</v>
      </c>
      <c r="E433" s="6" t="s">
        <v>76</v>
      </c>
      <c r="F433" s="5">
        <v>4</v>
      </c>
      <c r="G433" s="34" t="s">
        <v>823</v>
      </c>
      <c r="H433" s="26" t="s">
        <v>765</v>
      </c>
      <c r="I433" t="b">
        <f>+ISNUMBER(SEARCH('F-COMPRA'!$F$28,Tabla11[[#This Row],[Cuenta]],1))</f>
        <v>1</v>
      </c>
      <c r="J433" t="b">
        <f>+ISNUMBER(SEARCH('F-COMPRA'!$F$29,Tabla11[[#This Row],[Cuenta]],1))</f>
        <v>1</v>
      </c>
      <c r="K433" t="b">
        <f>+ISNUMBER(SEARCH('F-COMPRA'!$F$30,Tabla11[[#This Row],[Cuenta]],1))</f>
        <v>1</v>
      </c>
      <c r="L433" t="b">
        <f>+ISNUMBER(SEARCH('F-COMPRA'!$F$31,Tabla11[[#This Row],[Cuenta]],1))</f>
        <v>1</v>
      </c>
      <c r="M433" t="b">
        <f>+ISNUMBER(SEARCH('F-COMPRA'!$G$25,Tabla11[[#This Row],[Cuenta]],1))</f>
        <v>0</v>
      </c>
      <c r="N433" t="b">
        <f>+ISNUMBER(SEARCH(#REF!,Tabla11[[#This Row],[Cuenta]],1))</f>
        <v>0</v>
      </c>
      <c r="O433" t="b">
        <f>+ISNUMBER(SEARCH(#REF!,Tabla11[[#This Row],[Cuenta]],1))</f>
        <v>0</v>
      </c>
      <c r="P433" t="b">
        <f>+ISNUMBER(SEARCH('F-COMPRA'!$F$32,Tabla11[[#This Row],[Cuenta]],1))</f>
        <v>1</v>
      </c>
      <c r="Q433" t="b">
        <f>+ISNUMBER(SEARCH('F-COMPRA'!$F$33,Tabla11[[#This Row],[Cuenta]],1))</f>
        <v>1</v>
      </c>
      <c r="R433" t="b">
        <f>+ISNUMBER(SEARCH('F-COMPRA'!$F$34,Tabla11[[#This Row],[Cuenta]],1))</f>
        <v>1</v>
      </c>
      <c r="S433" t="b">
        <f>+ISNUMBER(SEARCH('F-COMPRA'!$F$35,Tabla11[[#This Row],[Cuenta]],1))</f>
        <v>1</v>
      </c>
      <c r="T433" t="b">
        <f>+ISNUMBER(SEARCH('F-COMPRA'!$F$36,Tabla11[[#This Row],[Cuenta]],1))</f>
        <v>1</v>
      </c>
      <c r="U433" t="b">
        <f>+ISNUMBER(SEARCH('F-COMPRA'!$F$37,Tabla11[[#This Row],[Cuenta]],1))</f>
        <v>1</v>
      </c>
      <c r="V433" t="b">
        <f>+ISNUMBER(SEARCH(#REF!,Tabla11[[#This Row],[Cuenta]],1))</f>
        <v>0</v>
      </c>
      <c r="W433" t="b">
        <f>+ISNUMBER(SEARCH('F-COMPRA'!#REF!,Tabla11[[#This Row],[Cuenta]],1))</f>
        <v>0</v>
      </c>
      <c r="X433" t="b">
        <f>+ISNUMBER(SEARCH('F-COMPRA'!#REF!,Tabla11[[#This Row],[Cuenta]],1))</f>
        <v>0</v>
      </c>
      <c r="Y433" t="b">
        <f>+ISNUMBER(SEARCH('F-COMPRA'!#REF!,Tabla11[[#This Row],[Cuenta]],1))</f>
        <v>0</v>
      </c>
      <c r="Z433" t="b">
        <f>+ISNUMBER(SEARCH('F-COMPRA'!#REF!,Tabla11[[#This Row],[Cuenta]],1))</f>
        <v>0</v>
      </c>
      <c r="AA433" t="b">
        <f>+ISNUMBER(SEARCH('F-COMPRA'!#REF!,Tabla11[[#This Row],[Cuenta]],1))</f>
        <v>0</v>
      </c>
      <c r="AB433" t="b">
        <f>+ISNUMBER(SEARCH('F-COMPRA'!#REF!,Tabla11[[#This Row],[Cuenta]],1))</f>
        <v>0</v>
      </c>
      <c r="AC433" t="b">
        <f>+ISNUMBER(SEARCH('F-COMPRA'!#REF!,Tabla11[[#This Row],[Cuenta]],1))</f>
        <v>0</v>
      </c>
      <c r="AD433" t="b">
        <f>+ISNUMBER(SEARCH('F-COMPRA'!#REF!,Tabla11[[#This Row],[Cuenta]],1))</f>
        <v>0</v>
      </c>
      <c r="AE433" t="b">
        <f>+ISNUMBER(SEARCH('F-COMPRA'!#REF!,Tabla11[[#This Row],[Cuenta]],1))</f>
        <v>0</v>
      </c>
      <c r="AF433" t="b">
        <f>+ISNUMBER(SEARCH('F-VTA'!$G$23,Tabla11[[#This Row],[Cuenta]],1))</f>
        <v>0</v>
      </c>
      <c r="AG433" t="b">
        <f>+ISNUMBER(SEARCH('F-VTA'!$G$24,Tabla11[[#This Row],[Cuenta]],1))</f>
        <v>0</v>
      </c>
      <c r="AH433" t="b">
        <f>+ISNUMBER(SEARCH('F-VTA'!$G$25,Tabla11[[#This Row],[Cuenta]],1))</f>
        <v>0</v>
      </c>
      <c r="AI433" t="b">
        <f>+ISNUMBER(SEARCH('F-VTA'!$F$28,Tabla11[[#This Row],[Cuenta]],1))</f>
        <v>1</v>
      </c>
      <c r="AJ433" t="b">
        <f>+ISNUMBER(SEARCH('F-VTA'!$F$29,Tabla11[[#This Row],[Cuenta]],1))</f>
        <v>1</v>
      </c>
      <c r="AK433" t="b">
        <f>+ISNUMBER(SEARCH('F-VTA'!$F$30,Tabla11[[#This Row],[Cuenta]],1))</f>
        <v>1</v>
      </c>
      <c r="AL433" t="b">
        <f>+ISNUMBER(SEARCH('F-VTA'!$F$31,Tabla11[[#This Row],[Cuenta]],1))</f>
        <v>1</v>
      </c>
      <c r="AM433" t="b">
        <f>+ISNUMBER(SEARCH('F-VTA'!$F$32,Tabla11[[#This Row],[Cuenta]],1))</f>
        <v>1</v>
      </c>
      <c r="AN433" t="b">
        <f>+ISNUMBER(SEARCH('F-VTA'!$F$33,Tabla11[[#This Row],[Cuenta]],1))</f>
        <v>1</v>
      </c>
      <c r="AO433" t="b">
        <f>+ISNUMBER(SEARCH('F-VTA'!$F$34,Tabla11[[#This Row],[Cuenta]],1))</f>
        <v>1</v>
      </c>
      <c r="AP433" t="b">
        <f>+ISNUMBER(SEARCH('F-VTA'!$F$35,Tabla11[[#This Row],[Cuenta]],1))</f>
        <v>1</v>
      </c>
      <c r="AQ433" t="b">
        <f>+ISNUMBER(SEARCH('F-VTA'!$F$36,Tabla11[[#This Row],[Cuenta]],1))</f>
        <v>1</v>
      </c>
      <c r="AR433" t="b">
        <f>+ISNUMBER(SEARCH(#REF!,Tabla11[[#This Row],[Cuenta]],1))</f>
        <v>0</v>
      </c>
      <c r="AS433" t="b">
        <f>+ISNUMBER(SEARCH(#REF!,Tabla11[[#This Row],[Cuenta]],1))</f>
        <v>0</v>
      </c>
      <c r="AT433" t="b">
        <f>+ISNUMBER(SEARCH(#REF!,Tabla11[[#This Row],[Cuenta]],1))</f>
        <v>0</v>
      </c>
      <c r="AU433" t="b">
        <f>+ISNUMBER(SEARCH('Conc. Ban.1'!$I$9,Tabla11[[#This Row],[Cuenta]],1))</f>
        <v>0</v>
      </c>
      <c r="AV433" t="b">
        <f>+ISNUMBER(SEARCH(CompConta!$F$21,Tabla11[[#This Row],[Cuenta]],1))</f>
        <v>1</v>
      </c>
      <c r="AW433" t="b">
        <f>+ISNUMBER(SEARCH(CompConta!$F$22,Tabla11[[#This Row],[Cuenta]],1))</f>
        <v>1</v>
      </c>
      <c r="AX433" t="b">
        <f>+ISNUMBER(SEARCH(CompConta!$F$23,Tabla11[[#This Row],[Cuenta]],1))</f>
        <v>1</v>
      </c>
      <c r="AY433" t="b">
        <f>+ISNUMBER(SEARCH(CompConta!$F$24,Tabla11[[#This Row],[Cuenta]],1))</f>
        <v>1</v>
      </c>
      <c r="AZ433" t="b">
        <f>+ISNUMBER(SEARCH(CompConta!$F$25,Tabla11[[#This Row],[Cuenta]],1))</f>
        <v>1</v>
      </c>
      <c r="BA433" t="b">
        <f>+ISNUMBER(SEARCH(CompConta!$F$26,Tabla11[[#This Row],[Cuenta]],1))</f>
        <v>1</v>
      </c>
      <c r="BB433" t="b">
        <f>+ISNUMBER(SEARCH(CompConta!$F$27,Tabla11[[#This Row],[Cuenta]],1))</f>
        <v>1</v>
      </c>
      <c r="BC433" t="b">
        <f>+ISNUMBER(SEARCH(CompConta!$F$28,Tabla11[[#This Row],[Cuenta]],1))</f>
        <v>1</v>
      </c>
      <c r="BD433" t="b">
        <f>+ISNUMBER(SEARCH(CompConta!$F$29,Tabla11[[#This Row],[Cuenta]],1))</f>
        <v>1</v>
      </c>
      <c r="BE433" t="b">
        <f>+ISNUMBER(SEARCH(CompConta!$F$30,Tabla11[[#This Row],[Cuenta]],1))</f>
        <v>1</v>
      </c>
      <c r="BF433" t="b">
        <f>+ISNUMBER(SEARCH('PAGO Compras'!$E$11,Tabla11[[#This Row],[Cuenta]],1))</f>
        <v>1</v>
      </c>
      <c r="BG433" t="b">
        <f>+ISNUMBER(SEARCH(#REF!,Tabla11[[#This Row],[Cuenta]],1))</f>
        <v>0</v>
      </c>
      <c r="BH433" t="b">
        <f>+ISNUMBER(SEARCH(#REF!,Tabla11[[#This Row],[Cuenta]],1))</f>
        <v>0</v>
      </c>
      <c r="BI433" t="b">
        <f>+ISNUMBER(SEARCH(#REF!,Tabla11[[#This Row],[Cuenta]],1))</f>
        <v>0</v>
      </c>
      <c r="BJ433" t="b">
        <f>+ISNUMBER(SEARCH(#REF!,Tabla11[[#This Row],[Cuenta]],1))</f>
        <v>0</v>
      </c>
      <c r="BS433" t="str">
        <v>236525 Servicios</v>
      </c>
      <c r="BT433" t="str">
        <v>236525 Servicios</v>
      </c>
      <c r="BU433" t="str">
        <v>236525 Servicios</v>
      </c>
      <c r="BV433" t="str">
        <v>236525 Servicios</v>
      </c>
      <c r="BZ433" t="str">
        <v>236525 Servicios</v>
      </c>
      <c r="CA433" t="str">
        <v>236525 Servicios</v>
      </c>
      <c r="CB433" t="str">
        <v>236525 Servicios</v>
      </c>
      <c r="CC433" t="str">
        <v>236525 Servicios</v>
      </c>
      <c r="CD433" t="str">
        <v>236525 Servicios</v>
      </c>
      <c r="CE433" t="str">
        <v>236525 Servicios</v>
      </c>
      <c r="CS433" s="141" t="str">
        <v>236525 Servicios</v>
      </c>
      <c r="CT433" s="141" t="str">
        <v>236525 Servicios</v>
      </c>
      <c r="CU433" s="141" t="str">
        <v>236525 Servicios</v>
      </c>
      <c r="CV433" s="141" t="str">
        <v>236525 Servicios</v>
      </c>
      <c r="CW433" s="141" t="str">
        <v>236525 Servicios</v>
      </c>
      <c r="CX433" s="141" t="str">
        <v>236525 Servicios</v>
      </c>
      <c r="CY433" s="141" t="str">
        <v>236525 Servicios</v>
      </c>
      <c r="CZ433" s="141" t="str">
        <v>236525 Servicios</v>
      </c>
      <c r="DA433" s="141" t="str">
        <v>236525 Servicios</v>
      </c>
      <c r="DF433" t="str">
        <v>236525 Servicios</v>
      </c>
      <c r="DG433" t="str">
        <v>236525 Servicios</v>
      </c>
      <c r="DH433" t="str">
        <v>236525 Servicios</v>
      </c>
      <c r="DI433" t="str">
        <v>236525 Servicios</v>
      </c>
      <c r="DJ433" t="str">
        <v>236525 Servicios</v>
      </c>
      <c r="DK433" t="str">
        <v>236525 Servicios</v>
      </c>
      <c r="DL433" t="str">
        <v>236525 Servicios</v>
      </c>
      <c r="DM433" t="str">
        <v>236525 Servicios</v>
      </c>
      <c r="DN433" t="str">
        <v>236525 Servicios</v>
      </c>
      <c r="DO433" t="str">
        <v>236525 Servicios</v>
      </c>
      <c r="DP433" t="str">
        <v>236525 Servicios</v>
      </c>
    </row>
    <row r="434" spans="4:120" ht="12.75">
      <c r="D434" s="7">
        <v>23652510</v>
      </c>
      <c r="E434" s="6" t="s">
        <v>787</v>
      </c>
      <c r="F434" s="5">
        <v>5</v>
      </c>
      <c r="G434" s="34" t="s">
        <v>823</v>
      </c>
      <c r="H434" s="26" t="s">
        <v>765</v>
      </c>
      <c r="I434" t="b">
        <f>+ISNUMBER(SEARCH('F-COMPRA'!$F$28,Tabla11[[#This Row],[Cuenta]],1))</f>
        <v>1</v>
      </c>
      <c r="J434" t="b">
        <f>+ISNUMBER(SEARCH('F-COMPRA'!$F$29,Tabla11[[#This Row],[Cuenta]],1))</f>
        <v>1</v>
      </c>
      <c r="K434" t="b">
        <f>+ISNUMBER(SEARCH('F-COMPRA'!$F$30,Tabla11[[#This Row],[Cuenta]],1))</f>
        <v>1</v>
      </c>
      <c r="L434" t="b">
        <f>+ISNUMBER(SEARCH('F-COMPRA'!$F$31,Tabla11[[#This Row],[Cuenta]],1))</f>
        <v>1</v>
      </c>
      <c r="M434" t="b">
        <f>+ISNUMBER(SEARCH('F-COMPRA'!$G$25,Tabla11[[#This Row],[Cuenta]],1))</f>
        <v>0</v>
      </c>
      <c r="N434" t="b">
        <f>+ISNUMBER(SEARCH(#REF!,Tabla11[[#This Row],[Cuenta]],1))</f>
        <v>0</v>
      </c>
      <c r="O434" t="b">
        <f>+ISNUMBER(SEARCH(#REF!,Tabla11[[#This Row],[Cuenta]],1))</f>
        <v>0</v>
      </c>
      <c r="P434" t="b">
        <f>+ISNUMBER(SEARCH('F-COMPRA'!$F$32,Tabla11[[#This Row],[Cuenta]],1))</f>
        <v>1</v>
      </c>
      <c r="Q434" t="b">
        <f>+ISNUMBER(SEARCH('F-COMPRA'!$F$33,Tabla11[[#This Row],[Cuenta]],1))</f>
        <v>1</v>
      </c>
      <c r="R434" t="b">
        <f>+ISNUMBER(SEARCH('F-COMPRA'!$F$34,Tabla11[[#This Row],[Cuenta]],1))</f>
        <v>1</v>
      </c>
      <c r="S434" t="b">
        <f>+ISNUMBER(SEARCH('F-COMPRA'!$F$35,Tabla11[[#This Row],[Cuenta]],1))</f>
        <v>1</v>
      </c>
      <c r="T434" t="b">
        <f>+ISNUMBER(SEARCH('F-COMPRA'!$F$36,Tabla11[[#This Row],[Cuenta]],1))</f>
        <v>1</v>
      </c>
      <c r="U434" t="b">
        <f>+ISNUMBER(SEARCH('F-COMPRA'!$F$37,Tabla11[[#This Row],[Cuenta]],1))</f>
        <v>1</v>
      </c>
      <c r="V434" t="b">
        <f>+ISNUMBER(SEARCH(#REF!,Tabla11[[#This Row],[Cuenta]],1))</f>
        <v>0</v>
      </c>
      <c r="W434" t="b">
        <f>+ISNUMBER(SEARCH('F-COMPRA'!#REF!,Tabla11[[#This Row],[Cuenta]],1))</f>
        <v>0</v>
      </c>
      <c r="X434" t="b">
        <f>+ISNUMBER(SEARCH('F-COMPRA'!#REF!,Tabla11[[#This Row],[Cuenta]],1))</f>
        <v>0</v>
      </c>
      <c r="Y434" t="b">
        <f>+ISNUMBER(SEARCH('F-COMPRA'!#REF!,Tabla11[[#This Row],[Cuenta]],1))</f>
        <v>0</v>
      </c>
      <c r="Z434" t="b">
        <f>+ISNUMBER(SEARCH('F-COMPRA'!#REF!,Tabla11[[#This Row],[Cuenta]],1))</f>
        <v>0</v>
      </c>
      <c r="AA434" t="b">
        <f>+ISNUMBER(SEARCH('F-COMPRA'!#REF!,Tabla11[[#This Row],[Cuenta]],1))</f>
        <v>0</v>
      </c>
      <c r="AB434" t="b">
        <f>+ISNUMBER(SEARCH('F-COMPRA'!#REF!,Tabla11[[#This Row],[Cuenta]],1))</f>
        <v>0</v>
      </c>
      <c r="AC434" t="b">
        <f>+ISNUMBER(SEARCH('F-COMPRA'!#REF!,Tabla11[[#This Row],[Cuenta]],1))</f>
        <v>0</v>
      </c>
      <c r="AD434" t="b">
        <f>+ISNUMBER(SEARCH('F-COMPRA'!#REF!,Tabla11[[#This Row],[Cuenta]],1))</f>
        <v>0</v>
      </c>
      <c r="AE434" t="b">
        <f>+ISNUMBER(SEARCH('F-COMPRA'!#REF!,Tabla11[[#This Row],[Cuenta]],1))</f>
        <v>0</v>
      </c>
      <c r="AF434" t="b">
        <f>+ISNUMBER(SEARCH('F-VTA'!$G$23,Tabla11[[#This Row],[Cuenta]],1))</f>
        <v>0</v>
      </c>
      <c r="AG434" t="b">
        <f>+ISNUMBER(SEARCH('F-VTA'!$G$24,Tabla11[[#This Row],[Cuenta]],1))</f>
        <v>0</v>
      </c>
      <c r="AH434" t="b">
        <f>+ISNUMBER(SEARCH('F-VTA'!$G$25,Tabla11[[#This Row],[Cuenta]],1))</f>
        <v>0</v>
      </c>
      <c r="AI434" t="b">
        <f>+ISNUMBER(SEARCH('F-VTA'!$F$28,Tabla11[[#This Row],[Cuenta]],1))</f>
        <v>1</v>
      </c>
      <c r="AJ434" t="b">
        <f>+ISNUMBER(SEARCH('F-VTA'!$F$29,Tabla11[[#This Row],[Cuenta]],1))</f>
        <v>1</v>
      </c>
      <c r="AK434" t="b">
        <f>+ISNUMBER(SEARCH('F-VTA'!$F$30,Tabla11[[#This Row],[Cuenta]],1))</f>
        <v>1</v>
      </c>
      <c r="AL434" t="b">
        <f>+ISNUMBER(SEARCH('F-VTA'!$F$31,Tabla11[[#This Row],[Cuenta]],1))</f>
        <v>1</v>
      </c>
      <c r="AM434" t="b">
        <f>+ISNUMBER(SEARCH('F-VTA'!$F$32,Tabla11[[#This Row],[Cuenta]],1))</f>
        <v>1</v>
      </c>
      <c r="AN434" t="b">
        <f>+ISNUMBER(SEARCH('F-VTA'!$F$33,Tabla11[[#This Row],[Cuenta]],1))</f>
        <v>1</v>
      </c>
      <c r="AO434" t="b">
        <f>+ISNUMBER(SEARCH('F-VTA'!$F$34,Tabla11[[#This Row],[Cuenta]],1))</f>
        <v>1</v>
      </c>
      <c r="AP434" t="b">
        <f>+ISNUMBER(SEARCH('F-VTA'!$F$35,Tabla11[[#This Row],[Cuenta]],1))</f>
        <v>1</v>
      </c>
      <c r="AQ434" t="b">
        <f>+ISNUMBER(SEARCH('F-VTA'!$F$36,Tabla11[[#This Row],[Cuenta]],1))</f>
        <v>1</v>
      </c>
      <c r="AR434" t="b">
        <f>+ISNUMBER(SEARCH(#REF!,Tabla11[[#This Row],[Cuenta]],1))</f>
        <v>0</v>
      </c>
      <c r="AS434" t="b">
        <f>+ISNUMBER(SEARCH(#REF!,Tabla11[[#This Row],[Cuenta]],1))</f>
        <v>0</v>
      </c>
      <c r="AT434" t="b">
        <f>+ISNUMBER(SEARCH(#REF!,Tabla11[[#This Row],[Cuenta]],1))</f>
        <v>0</v>
      </c>
      <c r="AU434" t="b">
        <f>+ISNUMBER(SEARCH('Conc. Ban.1'!$I$9,Tabla11[[#This Row],[Cuenta]],1))</f>
        <v>0</v>
      </c>
      <c r="AV434" t="b">
        <f>+ISNUMBER(SEARCH(CompConta!$F$21,Tabla11[[#This Row],[Cuenta]],1))</f>
        <v>1</v>
      </c>
      <c r="AW434" t="b">
        <f>+ISNUMBER(SEARCH(CompConta!$F$22,Tabla11[[#This Row],[Cuenta]],1))</f>
        <v>1</v>
      </c>
      <c r="AX434" t="b">
        <f>+ISNUMBER(SEARCH(CompConta!$F$23,Tabla11[[#This Row],[Cuenta]],1))</f>
        <v>1</v>
      </c>
      <c r="AY434" t="b">
        <f>+ISNUMBER(SEARCH(CompConta!$F$24,Tabla11[[#This Row],[Cuenta]],1))</f>
        <v>1</v>
      </c>
      <c r="AZ434" t="b">
        <f>+ISNUMBER(SEARCH(CompConta!$F$25,Tabla11[[#This Row],[Cuenta]],1))</f>
        <v>1</v>
      </c>
      <c r="BA434" t="b">
        <f>+ISNUMBER(SEARCH(CompConta!$F$26,Tabla11[[#This Row],[Cuenta]],1))</f>
        <v>1</v>
      </c>
      <c r="BB434" t="b">
        <f>+ISNUMBER(SEARCH(CompConta!$F$27,Tabla11[[#This Row],[Cuenta]],1))</f>
        <v>1</v>
      </c>
      <c r="BC434" t="b">
        <f>+ISNUMBER(SEARCH(CompConta!$F$28,Tabla11[[#This Row],[Cuenta]],1))</f>
        <v>1</v>
      </c>
      <c r="BD434" t="b">
        <f>+ISNUMBER(SEARCH(CompConta!$F$29,Tabla11[[#This Row],[Cuenta]],1))</f>
        <v>1</v>
      </c>
      <c r="BE434" t="b">
        <f>+ISNUMBER(SEARCH(CompConta!$F$30,Tabla11[[#This Row],[Cuenta]],1))</f>
        <v>1</v>
      </c>
      <c r="BF434" t="b">
        <f>+ISNUMBER(SEARCH('PAGO Compras'!$E$11,Tabla11[[#This Row],[Cuenta]],1))</f>
        <v>1</v>
      </c>
      <c r="BG434" t="b">
        <f>+ISNUMBER(SEARCH(#REF!,Tabla11[[#This Row],[Cuenta]],1))</f>
        <v>0</v>
      </c>
      <c r="BH434" t="b">
        <f>+ISNUMBER(SEARCH(#REF!,Tabla11[[#This Row],[Cuenta]],1))</f>
        <v>0</v>
      </c>
      <c r="BI434" t="b">
        <f>+ISNUMBER(SEARCH(#REF!,Tabla11[[#This Row],[Cuenta]],1))</f>
        <v>0</v>
      </c>
      <c r="BJ434" t="b">
        <f>+ISNUMBER(SEARCH(#REF!,Tabla11[[#This Row],[Cuenta]],1))</f>
        <v>0</v>
      </c>
      <c r="BS434" t="str">
        <v>23652510 NO DECLARANTES 6%</v>
      </c>
      <c r="BT434" t="str">
        <v>23652510 NO DECLARANTES 6%</v>
      </c>
      <c r="BU434" t="str">
        <v>23652510 NO DECLARANTES 6%</v>
      </c>
      <c r="BV434" t="str">
        <v>23652510 NO DECLARANTES 6%</v>
      </c>
      <c r="BZ434" t="str">
        <v>23652510 NO DECLARANTES 6%</v>
      </c>
      <c r="CA434" t="str">
        <v>23652510 NO DECLARANTES 6%</v>
      </c>
      <c r="CB434" t="str">
        <v>23652510 NO DECLARANTES 6%</v>
      </c>
      <c r="CC434" t="str">
        <v>23652510 NO DECLARANTES 6%</v>
      </c>
      <c r="CD434" t="str">
        <v>23652510 NO DECLARANTES 6%</v>
      </c>
      <c r="CE434" t="str">
        <v>23652510 NO DECLARANTES 6%</v>
      </c>
      <c r="CS434" s="141" t="str">
        <v>23652510 NO DECLARANTES 6%</v>
      </c>
      <c r="CT434" s="141" t="str">
        <v>23652510 NO DECLARANTES 6%</v>
      </c>
      <c r="CU434" s="141" t="str">
        <v>23652510 NO DECLARANTES 6%</v>
      </c>
      <c r="CV434" s="141" t="str">
        <v>23652510 NO DECLARANTES 6%</v>
      </c>
      <c r="CW434" s="141" t="str">
        <v>23652510 NO DECLARANTES 6%</v>
      </c>
      <c r="CX434" s="141" t="str">
        <v>23652510 NO DECLARANTES 6%</v>
      </c>
      <c r="CY434" s="141" t="str">
        <v>23652510 NO DECLARANTES 6%</v>
      </c>
      <c r="CZ434" s="141" t="str">
        <v>23652510 NO DECLARANTES 6%</v>
      </c>
      <c r="DA434" s="141" t="str">
        <v>23652510 NO DECLARANTES 6%</v>
      </c>
      <c r="DF434" t="str">
        <v>23652510 NO DECLARANTES 6%</v>
      </c>
      <c r="DG434" t="str">
        <v>23652510 NO DECLARANTES 6%</v>
      </c>
      <c r="DH434" t="str">
        <v>23652510 NO DECLARANTES 6%</v>
      </c>
      <c r="DI434" t="str">
        <v>23652510 NO DECLARANTES 6%</v>
      </c>
      <c r="DJ434" t="str">
        <v>23652510 NO DECLARANTES 6%</v>
      </c>
      <c r="DK434" t="str">
        <v>23652510 NO DECLARANTES 6%</v>
      </c>
      <c r="DL434" t="str">
        <v>23652510 NO DECLARANTES 6%</v>
      </c>
      <c r="DM434" t="str">
        <v>23652510 NO DECLARANTES 6%</v>
      </c>
      <c r="DN434" t="str">
        <v>23652510 NO DECLARANTES 6%</v>
      </c>
      <c r="DO434" t="str">
        <v>23652510 NO DECLARANTES 6%</v>
      </c>
      <c r="DP434" t="str">
        <v>23652510 NO DECLARANTES 6%</v>
      </c>
    </row>
    <row r="435" spans="4:120" ht="12.75">
      <c r="D435" s="7">
        <v>236530</v>
      </c>
      <c r="E435" s="6" t="s">
        <v>77</v>
      </c>
      <c r="F435" s="5">
        <v>4</v>
      </c>
      <c r="G435" s="34" t="s">
        <v>823</v>
      </c>
      <c r="H435" s="26" t="s">
        <v>765</v>
      </c>
      <c r="I435" t="b">
        <f>+ISNUMBER(SEARCH('F-COMPRA'!$F$28,Tabla11[[#This Row],[Cuenta]],1))</f>
        <v>1</v>
      </c>
      <c r="J435" t="b">
        <f>+ISNUMBER(SEARCH('F-COMPRA'!$F$29,Tabla11[[#This Row],[Cuenta]],1))</f>
        <v>1</v>
      </c>
      <c r="K435" t="b">
        <f>+ISNUMBER(SEARCH('F-COMPRA'!$F$30,Tabla11[[#This Row],[Cuenta]],1))</f>
        <v>1</v>
      </c>
      <c r="L435" t="b">
        <f>+ISNUMBER(SEARCH('F-COMPRA'!$F$31,Tabla11[[#This Row],[Cuenta]],1))</f>
        <v>1</v>
      </c>
      <c r="M435" t="b">
        <f>+ISNUMBER(SEARCH('F-COMPRA'!$G$25,Tabla11[[#This Row],[Cuenta]],1))</f>
        <v>0</v>
      </c>
      <c r="N435" t="b">
        <f>+ISNUMBER(SEARCH(#REF!,Tabla11[[#This Row],[Cuenta]],1))</f>
        <v>0</v>
      </c>
      <c r="O435" t="b">
        <f>+ISNUMBER(SEARCH(#REF!,Tabla11[[#This Row],[Cuenta]],1))</f>
        <v>0</v>
      </c>
      <c r="P435" t="b">
        <f>+ISNUMBER(SEARCH('F-COMPRA'!$F$32,Tabla11[[#This Row],[Cuenta]],1))</f>
        <v>1</v>
      </c>
      <c r="Q435" t="b">
        <f>+ISNUMBER(SEARCH('F-COMPRA'!$F$33,Tabla11[[#This Row],[Cuenta]],1))</f>
        <v>1</v>
      </c>
      <c r="R435" t="b">
        <f>+ISNUMBER(SEARCH('F-COMPRA'!$F$34,Tabla11[[#This Row],[Cuenta]],1))</f>
        <v>1</v>
      </c>
      <c r="S435" t="b">
        <f>+ISNUMBER(SEARCH('F-COMPRA'!$F$35,Tabla11[[#This Row],[Cuenta]],1))</f>
        <v>1</v>
      </c>
      <c r="T435" t="b">
        <f>+ISNUMBER(SEARCH('F-COMPRA'!$F$36,Tabla11[[#This Row],[Cuenta]],1))</f>
        <v>1</v>
      </c>
      <c r="U435" t="b">
        <f>+ISNUMBER(SEARCH('F-COMPRA'!$F$37,Tabla11[[#This Row],[Cuenta]],1))</f>
        <v>1</v>
      </c>
      <c r="V435" t="b">
        <f>+ISNUMBER(SEARCH(#REF!,Tabla11[[#This Row],[Cuenta]],1))</f>
        <v>0</v>
      </c>
      <c r="W435" t="b">
        <f>+ISNUMBER(SEARCH('F-COMPRA'!#REF!,Tabla11[[#This Row],[Cuenta]],1))</f>
        <v>0</v>
      </c>
      <c r="X435" t="b">
        <f>+ISNUMBER(SEARCH('F-COMPRA'!#REF!,Tabla11[[#This Row],[Cuenta]],1))</f>
        <v>0</v>
      </c>
      <c r="Y435" t="b">
        <f>+ISNUMBER(SEARCH('F-COMPRA'!#REF!,Tabla11[[#This Row],[Cuenta]],1))</f>
        <v>0</v>
      </c>
      <c r="Z435" t="b">
        <f>+ISNUMBER(SEARCH('F-COMPRA'!#REF!,Tabla11[[#This Row],[Cuenta]],1))</f>
        <v>0</v>
      </c>
      <c r="AA435" t="b">
        <f>+ISNUMBER(SEARCH('F-COMPRA'!#REF!,Tabla11[[#This Row],[Cuenta]],1))</f>
        <v>0</v>
      </c>
      <c r="AB435" t="b">
        <f>+ISNUMBER(SEARCH('F-COMPRA'!#REF!,Tabla11[[#This Row],[Cuenta]],1))</f>
        <v>0</v>
      </c>
      <c r="AC435" t="b">
        <f>+ISNUMBER(SEARCH('F-COMPRA'!#REF!,Tabla11[[#This Row],[Cuenta]],1))</f>
        <v>0</v>
      </c>
      <c r="AD435" t="b">
        <f>+ISNUMBER(SEARCH('F-COMPRA'!#REF!,Tabla11[[#This Row],[Cuenta]],1))</f>
        <v>0</v>
      </c>
      <c r="AE435" t="b">
        <f>+ISNUMBER(SEARCH('F-COMPRA'!#REF!,Tabla11[[#This Row],[Cuenta]],1))</f>
        <v>0</v>
      </c>
      <c r="AF435" t="b">
        <f>+ISNUMBER(SEARCH('F-VTA'!$G$23,Tabla11[[#This Row],[Cuenta]],1))</f>
        <v>0</v>
      </c>
      <c r="AG435" t="b">
        <f>+ISNUMBER(SEARCH('F-VTA'!$G$24,Tabla11[[#This Row],[Cuenta]],1))</f>
        <v>0</v>
      </c>
      <c r="AH435" t="b">
        <f>+ISNUMBER(SEARCH('F-VTA'!$G$25,Tabla11[[#This Row],[Cuenta]],1))</f>
        <v>0</v>
      </c>
      <c r="AI435" t="b">
        <f>+ISNUMBER(SEARCH('F-VTA'!$F$28,Tabla11[[#This Row],[Cuenta]],1))</f>
        <v>1</v>
      </c>
      <c r="AJ435" t="b">
        <f>+ISNUMBER(SEARCH('F-VTA'!$F$29,Tabla11[[#This Row],[Cuenta]],1))</f>
        <v>1</v>
      </c>
      <c r="AK435" t="b">
        <f>+ISNUMBER(SEARCH('F-VTA'!$F$30,Tabla11[[#This Row],[Cuenta]],1))</f>
        <v>1</v>
      </c>
      <c r="AL435" t="b">
        <f>+ISNUMBER(SEARCH('F-VTA'!$F$31,Tabla11[[#This Row],[Cuenta]],1))</f>
        <v>1</v>
      </c>
      <c r="AM435" t="b">
        <f>+ISNUMBER(SEARCH('F-VTA'!$F$32,Tabla11[[#This Row],[Cuenta]],1))</f>
        <v>1</v>
      </c>
      <c r="AN435" t="b">
        <f>+ISNUMBER(SEARCH('F-VTA'!$F$33,Tabla11[[#This Row],[Cuenta]],1))</f>
        <v>1</v>
      </c>
      <c r="AO435" t="b">
        <f>+ISNUMBER(SEARCH('F-VTA'!$F$34,Tabla11[[#This Row],[Cuenta]],1))</f>
        <v>1</v>
      </c>
      <c r="AP435" t="b">
        <f>+ISNUMBER(SEARCH('F-VTA'!$F$35,Tabla11[[#This Row],[Cuenta]],1))</f>
        <v>1</v>
      </c>
      <c r="AQ435" t="b">
        <f>+ISNUMBER(SEARCH('F-VTA'!$F$36,Tabla11[[#This Row],[Cuenta]],1))</f>
        <v>1</v>
      </c>
      <c r="AR435" t="b">
        <f>+ISNUMBER(SEARCH(#REF!,Tabla11[[#This Row],[Cuenta]],1))</f>
        <v>0</v>
      </c>
      <c r="AS435" t="b">
        <f>+ISNUMBER(SEARCH(#REF!,Tabla11[[#This Row],[Cuenta]],1))</f>
        <v>0</v>
      </c>
      <c r="AT435" t="b">
        <f>+ISNUMBER(SEARCH(#REF!,Tabla11[[#This Row],[Cuenta]],1))</f>
        <v>0</v>
      </c>
      <c r="AU435" t="b">
        <f>+ISNUMBER(SEARCH('Conc. Ban.1'!$I$9,Tabla11[[#This Row],[Cuenta]],1))</f>
        <v>0</v>
      </c>
      <c r="AV435" t="b">
        <f>+ISNUMBER(SEARCH(CompConta!$F$21,Tabla11[[#This Row],[Cuenta]],1))</f>
        <v>1</v>
      </c>
      <c r="AW435" t="b">
        <f>+ISNUMBER(SEARCH(CompConta!$F$22,Tabla11[[#This Row],[Cuenta]],1))</f>
        <v>1</v>
      </c>
      <c r="AX435" t="b">
        <f>+ISNUMBER(SEARCH(CompConta!$F$23,Tabla11[[#This Row],[Cuenta]],1))</f>
        <v>1</v>
      </c>
      <c r="AY435" t="b">
        <f>+ISNUMBER(SEARCH(CompConta!$F$24,Tabla11[[#This Row],[Cuenta]],1))</f>
        <v>1</v>
      </c>
      <c r="AZ435" t="b">
        <f>+ISNUMBER(SEARCH(CompConta!$F$25,Tabla11[[#This Row],[Cuenta]],1))</f>
        <v>1</v>
      </c>
      <c r="BA435" t="b">
        <f>+ISNUMBER(SEARCH(CompConta!$F$26,Tabla11[[#This Row],[Cuenta]],1))</f>
        <v>1</v>
      </c>
      <c r="BB435" t="b">
        <f>+ISNUMBER(SEARCH(CompConta!$F$27,Tabla11[[#This Row],[Cuenta]],1))</f>
        <v>1</v>
      </c>
      <c r="BC435" t="b">
        <f>+ISNUMBER(SEARCH(CompConta!$F$28,Tabla11[[#This Row],[Cuenta]],1))</f>
        <v>1</v>
      </c>
      <c r="BD435" t="b">
        <f>+ISNUMBER(SEARCH(CompConta!$F$29,Tabla11[[#This Row],[Cuenta]],1))</f>
        <v>1</v>
      </c>
      <c r="BE435" t="b">
        <f>+ISNUMBER(SEARCH(CompConta!$F$30,Tabla11[[#This Row],[Cuenta]],1))</f>
        <v>1</v>
      </c>
      <c r="BF435" t="b">
        <f>+ISNUMBER(SEARCH('PAGO Compras'!$E$11,Tabla11[[#This Row],[Cuenta]],1))</f>
        <v>1</v>
      </c>
      <c r="BG435" t="b">
        <f>+ISNUMBER(SEARCH(#REF!,Tabla11[[#This Row],[Cuenta]],1))</f>
        <v>0</v>
      </c>
      <c r="BH435" t="b">
        <f>+ISNUMBER(SEARCH(#REF!,Tabla11[[#This Row],[Cuenta]],1))</f>
        <v>0</v>
      </c>
      <c r="BI435" t="b">
        <f>+ISNUMBER(SEARCH(#REF!,Tabla11[[#This Row],[Cuenta]],1))</f>
        <v>0</v>
      </c>
      <c r="BJ435" t="b">
        <f>+ISNUMBER(SEARCH(#REF!,Tabla11[[#This Row],[Cuenta]],1))</f>
        <v>0</v>
      </c>
      <c r="BS435" t="str">
        <v>236530 Arrendamientos</v>
      </c>
      <c r="BT435" t="str">
        <v>236530 Arrendamientos</v>
      </c>
      <c r="BU435" t="str">
        <v>236530 Arrendamientos</v>
      </c>
      <c r="BV435" t="str">
        <v>236530 Arrendamientos</v>
      </c>
      <c r="BZ435" t="str">
        <v>236530 Arrendamientos</v>
      </c>
      <c r="CA435" t="str">
        <v>236530 Arrendamientos</v>
      </c>
      <c r="CB435" t="str">
        <v>236530 Arrendamientos</v>
      </c>
      <c r="CC435" t="str">
        <v>236530 Arrendamientos</v>
      </c>
      <c r="CD435" t="str">
        <v>236530 Arrendamientos</v>
      </c>
      <c r="CE435" t="str">
        <v>236530 Arrendamientos</v>
      </c>
      <c r="CS435" s="141" t="str">
        <v>236530 Arrendamientos</v>
      </c>
      <c r="CT435" s="141" t="str">
        <v>236530 Arrendamientos</v>
      </c>
      <c r="CU435" s="141" t="str">
        <v>236530 Arrendamientos</v>
      </c>
      <c r="CV435" s="141" t="str">
        <v>236530 Arrendamientos</v>
      </c>
      <c r="CW435" s="141" t="str">
        <v>236530 Arrendamientos</v>
      </c>
      <c r="CX435" s="141" t="str">
        <v>236530 Arrendamientos</v>
      </c>
      <c r="CY435" s="141" t="str">
        <v>236530 Arrendamientos</v>
      </c>
      <c r="CZ435" s="141" t="str">
        <v>236530 Arrendamientos</v>
      </c>
      <c r="DA435" s="141" t="str">
        <v>236530 Arrendamientos</v>
      </c>
      <c r="DF435" t="str">
        <v>236530 Arrendamientos</v>
      </c>
      <c r="DG435" t="str">
        <v>236530 Arrendamientos</v>
      </c>
      <c r="DH435" t="str">
        <v>236530 Arrendamientos</v>
      </c>
      <c r="DI435" t="str">
        <v>236530 Arrendamientos</v>
      </c>
      <c r="DJ435" t="str">
        <v>236530 Arrendamientos</v>
      </c>
      <c r="DK435" t="str">
        <v>236530 Arrendamientos</v>
      </c>
      <c r="DL435" t="str">
        <v>236530 Arrendamientos</v>
      </c>
      <c r="DM435" t="str">
        <v>236530 Arrendamientos</v>
      </c>
      <c r="DN435" t="str">
        <v>236530 Arrendamientos</v>
      </c>
      <c r="DO435" t="str">
        <v>236530 Arrendamientos</v>
      </c>
      <c r="DP435" t="str">
        <v>236530 Arrendamientos</v>
      </c>
    </row>
    <row r="436" spans="4:120" ht="12.75">
      <c r="D436" s="7">
        <v>236535</v>
      </c>
      <c r="E436" s="6" t="s">
        <v>330</v>
      </c>
      <c r="F436" s="5">
        <v>4</v>
      </c>
      <c r="G436" s="34" t="s">
        <v>823</v>
      </c>
      <c r="H436" s="26" t="s">
        <v>765</v>
      </c>
      <c r="I436" t="b">
        <f>+ISNUMBER(SEARCH('F-COMPRA'!$F$28,Tabla11[[#This Row],[Cuenta]],1))</f>
        <v>1</v>
      </c>
      <c r="J436" t="b">
        <f>+ISNUMBER(SEARCH('F-COMPRA'!$F$29,Tabla11[[#This Row],[Cuenta]],1))</f>
        <v>1</v>
      </c>
      <c r="K436" t="b">
        <f>+ISNUMBER(SEARCH('F-COMPRA'!$F$30,Tabla11[[#This Row],[Cuenta]],1))</f>
        <v>1</v>
      </c>
      <c r="L436" t="b">
        <f>+ISNUMBER(SEARCH('F-COMPRA'!$F$31,Tabla11[[#This Row],[Cuenta]],1))</f>
        <v>1</v>
      </c>
      <c r="M436" t="b">
        <f>+ISNUMBER(SEARCH('F-COMPRA'!$G$25,Tabla11[[#This Row],[Cuenta]],1))</f>
        <v>0</v>
      </c>
      <c r="N436" t="b">
        <f>+ISNUMBER(SEARCH(#REF!,Tabla11[[#This Row],[Cuenta]],1))</f>
        <v>0</v>
      </c>
      <c r="O436" t="b">
        <f>+ISNUMBER(SEARCH(#REF!,Tabla11[[#This Row],[Cuenta]],1))</f>
        <v>0</v>
      </c>
      <c r="P436" t="b">
        <f>+ISNUMBER(SEARCH('F-COMPRA'!$F$32,Tabla11[[#This Row],[Cuenta]],1))</f>
        <v>1</v>
      </c>
      <c r="Q436" t="b">
        <f>+ISNUMBER(SEARCH('F-COMPRA'!$F$33,Tabla11[[#This Row],[Cuenta]],1))</f>
        <v>1</v>
      </c>
      <c r="R436" t="b">
        <f>+ISNUMBER(SEARCH('F-COMPRA'!$F$34,Tabla11[[#This Row],[Cuenta]],1))</f>
        <v>1</v>
      </c>
      <c r="S436" t="b">
        <f>+ISNUMBER(SEARCH('F-COMPRA'!$F$35,Tabla11[[#This Row],[Cuenta]],1))</f>
        <v>1</v>
      </c>
      <c r="T436" t="b">
        <f>+ISNUMBER(SEARCH('F-COMPRA'!$F$36,Tabla11[[#This Row],[Cuenta]],1))</f>
        <v>1</v>
      </c>
      <c r="U436" t="b">
        <f>+ISNUMBER(SEARCH('F-COMPRA'!$F$37,Tabla11[[#This Row],[Cuenta]],1))</f>
        <v>1</v>
      </c>
      <c r="V436" t="b">
        <f>+ISNUMBER(SEARCH(#REF!,Tabla11[[#This Row],[Cuenta]],1))</f>
        <v>0</v>
      </c>
      <c r="W436" t="b">
        <f>+ISNUMBER(SEARCH('F-COMPRA'!#REF!,Tabla11[[#This Row],[Cuenta]],1))</f>
        <v>0</v>
      </c>
      <c r="X436" t="b">
        <f>+ISNUMBER(SEARCH('F-COMPRA'!#REF!,Tabla11[[#This Row],[Cuenta]],1))</f>
        <v>0</v>
      </c>
      <c r="Y436" t="b">
        <f>+ISNUMBER(SEARCH('F-COMPRA'!#REF!,Tabla11[[#This Row],[Cuenta]],1))</f>
        <v>0</v>
      </c>
      <c r="Z436" t="b">
        <f>+ISNUMBER(SEARCH('F-COMPRA'!#REF!,Tabla11[[#This Row],[Cuenta]],1))</f>
        <v>0</v>
      </c>
      <c r="AA436" t="b">
        <f>+ISNUMBER(SEARCH('F-COMPRA'!#REF!,Tabla11[[#This Row],[Cuenta]],1))</f>
        <v>0</v>
      </c>
      <c r="AB436" t="b">
        <f>+ISNUMBER(SEARCH('F-COMPRA'!#REF!,Tabla11[[#This Row],[Cuenta]],1))</f>
        <v>0</v>
      </c>
      <c r="AC436" t="b">
        <f>+ISNUMBER(SEARCH('F-COMPRA'!#REF!,Tabla11[[#This Row],[Cuenta]],1))</f>
        <v>0</v>
      </c>
      <c r="AD436" t="b">
        <f>+ISNUMBER(SEARCH('F-COMPRA'!#REF!,Tabla11[[#This Row],[Cuenta]],1))</f>
        <v>0</v>
      </c>
      <c r="AE436" t="b">
        <f>+ISNUMBER(SEARCH('F-COMPRA'!#REF!,Tabla11[[#This Row],[Cuenta]],1))</f>
        <v>0</v>
      </c>
      <c r="AF436" t="b">
        <f>+ISNUMBER(SEARCH('F-VTA'!$G$23,Tabla11[[#This Row],[Cuenta]],1))</f>
        <v>0</v>
      </c>
      <c r="AG436" t="b">
        <f>+ISNUMBER(SEARCH('F-VTA'!$G$24,Tabla11[[#This Row],[Cuenta]],1))</f>
        <v>0</v>
      </c>
      <c r="AH436" t="b">
        <f>+ISNUMBER(SEARCH('F-VTA'!$G$25,Tabla11[[#This Row],[Cuenta]],1))</f>
        <v>0</v>
      </c>
      <c r="AI436" t="b">
        <f>+ISNUMBER(SEARCH('F-VTA'!$F$28,Tabla11[[#This Row],[Cuenta]],1))</f>
        <v>1</v>
      </c>
      <c r="AJ436" t="b">
        <f>+ISNUMBER(SEARCH('F-VTA'!$F$29,Tabla11[[#This Row],[Cuenta]],1))</f>
        <v>1</v>
      </c>
      <c r="AK436" t="b">
        <f>+ISNUMBER(SEARCH('F-VTA'!$F$30,Tabla11[[#This Row],[Cuenta]],1))</f>
        <v>1</v>
      </c>
      <c r="AL436" t="b">
        <f>+ISNUMBER(SEARCH('F-VTA'!$F$31,Tabla11[[#This Row],[Cuenta]],1))</f>
        <v>1</v>
      </c>
      <c r="AM436" t="b">
        <f>+ISNUMBER(SEARCH('F-VTA'!$F$32,Tabla11[[#This Row],[Cuenta]],1))</f>
        <v>1</v>
      </c>
      <c r="AN436" t="b">
        <f>+ISNUMBER(SEARCH('F-VTA'!$F$33,Tabla11[[#This Row],[Cuenta]],1))</f>
        <v>1</v>
      </c>
      <c r="AO436" t="b">
        <f>+ISNUMBER(SEARCH('F-VTA'!$F$34,Tabla11[[#This Row],[Cuenta]],1))</f>
        <v>1</v>
      </c>
      <c r="AP436" t="b">
        <f>+ISNUMBER(SEARCH('F-VTA'!$F$35,Tabla11[[#This Row],[Cuenta]],1))</f>
        <v>1</v>
      </c>
      <c r="AQ436" t="b">
        <f>+ISNUMBER(SEARCH('F-VTA'!$F$36,Tabla11[[#This Row],[Cuenta]],1))</f>
        <v>1</v>
      </c>
      <c r="AR436" t="b">
        <f>+ISNUMBER(SEARCH(#REF!,Tabla11[[#This Row],[Cuenta]],1))</f>
        <v>0</v>
      </c>
      <c r="AS436" t="b">
        <f>+ISNUMBER(SEARCH(#REF!,Tabla11[[#This Row],[Cuenta]],1))</f>
        <v>0</v>
      </c>
      <c r="AT436" t="b">
        <f>+ISNUMBER(SEARCH(#REF!,Tabla11[[#This Row],[Cuenta]],1))</f>
        <v>0</v>
      </c>
      <c r="AU436" t="b">
        <f>+ISNUMBER(SEARCH('Conc. Ban.1'!$I$9,Tabla11[[#This Row],[Cuenta]],1))</f>
        <v>0</v>
      </c>
      <c r="AV436" t="b">
        <f>+ISNUMBER(SEARCH(CompConta!$F$21,Tabla11[[#This Row],[Cuenta]],1))</f>
        <v>1</v>
      </c>
      <c r="AW436" t="b">
        <f>+ISNUMBER(SEARCH(CompConta!$F$22,Tabla11[[#This Row],[Cuenta]],1))</f>
        <v>1</v>
      </c>
      <c r="AX436" t="b">
        <f>+ISNUMBER(SEARCH(CompConta!$F$23,Tabla11[[#This Row],[Cuenta]],1))</f>
        <v>1</v>
      </c>
      <c r="AY436" t="b">
        <f>+ISNUMBER(SEARCH(CompConta!$F$24,Tabla11[[#This Row],[Cuenta]],1))</f>
        <v>1</v>
      </c>
      <c r="AZ436" t="b">
        <f>+ISNUMBER(SEARCH(CompConta!$F$25,Tabla11[[#This Row],[Cuenta]],1))</f>
        <v>1</v>
      </c>
      <c r="BA436" t="b">
        <f>+ISNUMBER(SEARCH(CompConta!$F$26,Tabla11[[#This Row],[Cuenta]],1))</f>
        <v>1</v>
      </c>
      <c r="BB436" t="b">
        <f>+ISNUMBER(SEARCH(CompConta!$F$27,Tabla11[[#This Row],[Cuenta]],1))</f>
        <v>1</v>
      </c>
      <c r="BC436" t="b">
        <f>+ISNUMBER(SEARCH(CompConta!$F$28,Tabla11[[#This Row],[Cuenta]],1))</f>
        <v>1</v>
      </c>
      <c r="BD436" t="b">
        <f>+ISNUMBER(SEARCH(CompConta!$F$29,Tabla11[[#This Row],[Cuenta]],1))</f>
        <v>1</v>
      </c>
      <c r="BE436" t="b">
        <f>+ISNUMBER(SEARCH(CompConta!$F$30,Tabla11[[#This Row],[Cuenta]],1))</f>
        <v>1</v>
      </c>
      <c r="BF436" t="b">
        <f>+ISNUMBER(SEARCH('PAGO Compras'!$E$11,Tabla11[[#This Row],[Cuenta]],1))</f>
        <v>1</v>
      </c>
      <c r="BG436" t="b">
        <f>+ISNUMBER(SEARCH(#REF!,Tabla11[[#This Row],[Cuenta]],1))</f>
        <v>0</v>
      </c>
      <c r="BH436" t="b">
        <f>+ISNUMBER(SEARCH(#REF!,Tabla11[[#This Row],[Cuenta]],1))</f>
        <v>0</v>
      </c>
      <c r="BI436" t="b">
        <f>+ISNUMBER(SEARCH(#REF!,Tabla11[[#This Row],[Cuenta]],1))</f>
        <v>0</v>
      </c>
      <c r="BJ436" t="b">
        <f>+ISNUMBER(SEARCH(#REF!,Tabla11[[#This Row],[Cuenta]],1))</f>
        <v>0</v>
      </c>
      <c r="BS436" t="str">
        <v>236535 Rendimientos financieros</v>
      </c>
      <c r="BT436" t="str">
        <v>236535 Rendimientos financieros</v>
      </c>
      <c r="BU436" t="str">
        <v>236535 Rendimientos financieros</v>
      </c>
      <c r="BV436" t="str">
        <v>236535 Rendimientos financieros</v>
      </c>
      <c r="BZ436" t="str">
        <v>236535 Rendimientos financieros</v>
      </c>
      <c r="CA436" t="str">
        <v>236535 Rendimientos financieros</v>
      </c>
      <c r="CB436" t="str">
        <v>236535 Rendimientos financieros</v>
      </c>
      <c r="CC436" t="str">
        <v>236535 Rendimientos financieros</v>
      </c>
      <c r="CD436" t="str">
        <v>236535 Rendimientos financieros</v>
      </c>
      <c r="CE436" t="str">
        <v>236535 Rendimientos financieros</v>
      </c>
      <c r="CS436" s="141" t="str">
        <v>236535 Rendimientos financieros</v>
      </c>
      <c r="CT436" s="141" t="str">
        <v>236535 Rendimientos financieros</v>
      </c>
      <c r="CU436" s="141" t="str">
        <v>236535 Rendimientos financieros</v>
      </c>
      <c r="CV436" s="141" t="str">
        <v>236535 Rendimientos financieros</v>
      </c>
      <c r="CW436" s="141" t="str">
        <v>236535 Rendimientos financieros</v>
      </c>
      <c r="CX436" s="141" t="str">
        <v>236535 Rendimientos financieros</v>
      </c>
      <c r="CY436" s="141" t="str">
        <v>236535 Rendimientos financieros</v>
      </c>
      <c r="CZ436" s="141" t="str">
        <v>236535 Rendimientos financieros</v>
      </c>
      <c r="DA436" s="141" t="str">
        <v>236535 Rendimientos financieros</v>
      </c>
      <c r="DF436" t="str">
        <v>236535 Rendimientos financieros</v>
      </c>
      <c r="DG436" t="str">
        <v>236535 Rendimientos financieros</v>
      </c>
      <c r="DH436" t="str">
        <v>236535 Rendimientos financieros</v>
      </c>
      <c r="DI436" t="str">
        <v>236535 Rendimientos financieros</v>
      </c>
      <c r="DJ436" t="str">
        <v>236535 Rendimientos financieros</v>
      </c>
      <c r="DK436" t="str">
        <v>236535 Rendimientos financieros</v>
      </c>
      <c r="DL436" t="str">
        <v>236535 Rendimientos financieros</v>
      </c>
      <c r="DM436" t="str">
        <v>236535 Rendimientos financieros</v>
      </c>
      <c r="DN436" t="str">
        <v>236535 Rendimientos financieros</v>
      </c>
      <c r="DO436" t="str">
        <v>236535 Rendimientos financieros</v>
      </c>
      <c r="DP436" t="str">
        <v>236535 Rendimientos financieros</v>
      </c>
    </row>
    <row r="437" spans="4:120" ht="12.75">
      <c r="D437" s="7">
        <v>236540</v>
      </c>
      <c r="E437" s="6" t="s">
        <v>331</v>
      </c>
      <c r="F437" s="5">
        <v>4</v>
      </c>
      <c r="G437" s="34" t="s">
        <v>823</v>
      </c>
      <c r="H437" s="26" t="s">
        <v>765</v>
      </c>
      <c r="I437" t="b">
        <f>+ISNUMBER(SEARCH('F-COMPRA'!$F$28,Tabla11[[#This Row],[Cuenta]],1))</f>
        <v>1</v>
      </c>
      <c r="J437" t="b">
        <f>+ISNUMBER(SEARCH('F-COMPRA'!$F$29,Tabla11[[#This Row],[Cuenta]],1))</f>
        <v>1</v>
      </c>
      <c r="K437" t="b">
        <f>+ISNUMBER(SEARCH('F-COMPRA'!$F$30,Tabla11[[#This Row],[Cuenta]],1))</f>
        <v>1</v>
      </c>
      <c r="L437" t="b">
        <f>+ISNUMBER(SEARCH('F-COMPRA'!$F$31,Tabla11[[#This Row],[Cuenta]],1))</f>
        <v>1</v>
      </c>
      <c r="M437" t="b">
        <f>+ISNUMBER(SEARCH('F-COMPRA'!$G$25,Tabla11[[#This Row],[Cuenta]],1))</f>
        <v>0</v>
      </c>
      <c r="N437" t="b">
        <f>+ISNUMBER(SEARCH(#REF!,Tabla11[[#This Row],[Cuenta]],1))</f>
        <v>0</v>
      </c>
      <c r="O437" t="b">
        <f>+ISNUMBER(SEARCH(#REF!,Tabla11[[#This Row],[Cuenta]],1))</f>
        <v>0</v>
      </c>
      <c r="P437" t="b">
        <f>+ISNUMBER(SEARCH('F-COMPRA'!$F$32,Tabla11[[#This Row],[Cuenta]],1))</f>
        <v>1</v>
      </c>
      <c r="Q437" t="b">
        <f>+ISNUMBER(SEARCH('F-COMPRA'!$F$33,Tabla11[[#This Row],[Cuenta]],1))</f>
        <v>1</v>
      </c>
      <c r="R437" t="b">
        <f>+ISNUMBER(SEARCH('F-COMPRA'!$F$34,Tabla11[[#This Row],[Cuenta]],1))</f>
        <v>1</v>
      </c>
      <c r="S437" t="b">
        <f>+ISNUMBER(SEARCH('F-COMPRA'!$F$35,Tabla11[[#This Row],[Cuenta]],1))</f>
        <v>1</v>
      </c>
      <c r="T437" t="b">
        <f>+ISNUMBER(SEARCH('F-COMPRA'!$F$36,Tabla11[[#This Row],[Cuenta]],1))</f>
        <v>1</v>
      </c>
      <c r="U437" t="b">
        <f>+ISNUMBER(SEARCH('F-COMPRA'!$F$37,Tabla11[[#This Row],[Cuenta]],1))</f>
        <v>1</v>
      </c>
      <c r="V437" t="b">
        <f>+ISNUMBER(SEARCH(#REF!,Tabla11[[#This Row],[Cuenta]],1))</f>
        <v>0</v>
      </c>
      <c r="W437" t="b">
        <f>+ISNUMBER(SEARCH('F-COMPRA'!#REF!,Tabla11[[#This Row],[Cuenta]],1))</f>
        <v>0</v>
      </c>
      <c r="X437" t="b">
        <f>+ISNUMBER(SEARCH('F-COMPRA'!#REF!,Tabla11[[#This Row],[Cuenta]],1))</f>
        <v>0</v>
      </c>
      <c r="Y437" t="b">
        <f>+ISNUMBER(SEARCH('F-COMPRA'!#REF!,Tabla11[[#This Row],[Cuenta]],1))</f>
        <v>0</v>
      </c>
      <c r="Z437" t="b">
        <f>+ISNUMBER(SEARCH('F-COMPRA'!#REF!,Tabla11[[#This Row],[Cuenta]],1))</f>
        <v>0</v>
      </c>
      <c r="AA437" t="b">
        <f>+ISNUMBER(SEARCH('F-COMPRA'!#REF!,Tabla11[[#This Row],[Cuenta]],1))</f>
        <v>0</v>
      </c>
      <c r="AB437" t="b">
        <f>+ISNUMBER(SEARCH('F-COMPRA'!#REF!,Tabla11[[#This Row],[Cuenta]],1))</f>
        <v>0</v>
      </c>
      <c r="AC437" t="b">
        <f>+ISNUMBER(SEARCH('F-COMPRA'!#REF!,Tabla11[[#This Row],[Cuenta]],1))</f>
        <v>0</v>
      </c>
      <c r="AD437" t="b">
        <f>+ISNUMBER(SEARCH('F-COMPRA'!#REF!,Tabla11[[#This Row],[Cuenta]],1))</f>
        <v>0</v>
      </c>
      <c r="AE437" t="b">
        <f>+ISNUMBER(SEARCH('F-COMPRA'!#REF!,Tabla11[[#This Row],[Cuenta]],1))</f>
        <v>0</v>
      </c>
      <c r="AF437" t="b">
        <f>+ISNUMBER(SEARCH('F-VTA'!$G$23,Tabla11[[#This Row],[Cuenta]],1))</f>
        <v>0</v>
      </c>
      <c r="AG437" t="b">
        <f>+ISNUMBER(SEARCH('F-VTA'!$G$24,Tabla11[[#This Row],[Cuenta]],1))</f>
        <v>0</v>
      </c>
      <c r="AH437" t="b">
        <f>+ISNUMBER(SEARCH('F-VTA'!$G$25,Tabla11[[#This Row],[Cuenta]],1))</f>
        <v>0</v>
      </c>
      <c r="AI437" t="b">
        <f>+ISNUMBER(SEARCH('F-VTA'!$F$28,Tabla11[[#This Row],[Cuenta]],1))</f>
        <v>1</v>
      </c>
      <c r="AJ437" t="b">
        <f>+ISNUMBER(SEARCH('F-VTA'!$F$29,Tabla11[[#This Row],[Cuenta]],1))</f>
        <v>1</v>
      </c>
      <c r="AK437" t="b">
        <f>+ISNUMBER(SEARCH('F-VTA'!$F$30,Tabla11[[#This Row],[Cuenta]],1))</f>
        <v>1</v>
      </c>
      <c r="AL437" t="b">
        <f>+ISNUMBER(SEARCH('F-VTA'!$F$31,Tabla11[[#This Row],[Cuenta]],1))</f>
        <v>1</v>
      </c>
      <c r="AM437" t="b">
        <f>+ISNUMBER(SEARCH('F-VTA'!$F$32,Tabla11[[#This Row],[Cuenta]],1))</f>
        <v>1</v>
      </c>
      <c r="AN437" t="b">
        <f>+ISNUMBER(SEARCH('F-VTA'!$F$33,Tabla11[[#This Row],[Cuenta]],1))</f>
        <v>1</v>
      </c>
      <c r="AO437" t="b">
        <f>+ISNUMBER(SEARCH('F-VTA'!$F$34,Tabla11[[#This Row],[Cuenta]],1))</f>
        <v>1</v>
      </c>
      <c r="AP437" t="b">
        <f>+ISNUMBER(SEARCH('F-VTA'!$F$35,Tabla11[[#This Row],[Cuenta]],1))</f>
        <v>1</v>
      </c>
      <c r="AQ437" t="b">
        <f>+ISNUMBER(SEARCH('F-VTA'!$F$36,Tabla11[[#This Row],[Cuenta]],1))</f>
        <v>1</v>
      </c>
      <c r="AR437" t="b">
        <f>+ISNUMBER(SEARCH(#REF!,Tabla11[[#This Row],[Cuenta]],1))</f>
        <v>0</v>
      </c>
      <c r="AS437" t="b">
        <f>+ISNUMBER(SEARCH(#REF!,Tabla11[[#This Row],[Cuenta]],1))</f>
        <v>0</v>
      </c>
      <c r="AT437" t="b">
        <f>+ISNUMBER(SEARCH(#REF!,Tabla11[[#This Row],[Cuenta]],1))</f>
        <v>0</v>
      </c>
      <c r="AU437" t="b">
        <f>+ISNUMBER(SEARCH('Conc. Ban.1'!$I$9,Tabla11[[#This Row],[Cuenta]],1))</f>
        <v>0</v>
      </c>
      <c r="AV437" t="b">
        <f>+ISNUMBER(SEARCH(CompConta!$F$21,Tabla11[[#This Row],[Cuenta]],1))</f>
        <v>1</v>
      </c>
      <c r="AW437" t="b">
        <f>+ISNUMBER(SEARCH(CompConta!$F$22,Tabla11[[#This Row],[Cuenta]],1))</f>
        <v>1</v>
      </c>
      <c r="AX437" t="b">
        <f>+ISNUMBER(SEARCH(CompConta!$F$23,Tabla11[[#This Row],[Cuenta]],1))</f>
        <v>1</v>
      </c>
      <c r="AY437" t="b">
        <f>+ISNUMBER(SEARCH(CompConta!$F$24,Tabla11[[#This Row],[Cuenta]],1))</f>
        <v>1</v>
      </c>
      <c r="AZ437" t="b">
        <f>+ISNUMBER(SEARCH(CompConta!$F$25,Tabla11[[#This Row],[Cuenta]],1))</f>
        <v>1</v>
      </c>
      <c r="BA437" t="b">
        <f>+ISNUMBER(SEARCH(CompConta!$F$26,Tabla11[[#This Row],[Cuenta]],1))</f>
        <v>1</v>
      </c>
      <c r="BB437" t="b">
        <f>+ISNUMBER(SEARCH(CompConta!$F$27,Tabla11[[#This Row],[Cuenta]],1))</f>
        <v>1</v>
      </c>
      <c r="BC437" t="b">
        <f>+ISNUMBER(SEARCH(CompConta!$F$28,Tabla11[[#This Row],[Cuenta]],1))</f>
        <v>1</v>
      </c>
      <c r="BD437" t="b">
        <f>+ISNUMBER(SEARCH(CompConta!$F$29,Tabla11[[#This Row],[Cuenta]],1))</f>
        <v>1</v>
      </c>
      <c r="BE437" t="b">
        <f>+ISNUMBER(SEARCH(CompConta!$F$30,Tabla11[[#This Row],[Cuenta]],1))</f>
        <v>1</v>
      </c>
      <c r="BF437" t="b">
        <f>+ISNUMBER(SEARCH('PAGO Compras'!$E$11,Tabla11[[#This Row],[Cuenta]],1))</f>
        <v>1</v>
      </c>
      <c r="BG437" t="b">
        <f>+ISNUMBER(SEARCH(#REF!,Tabla11[[#This Row],[Cuenta]],1))</f>
        <v>0</v>
      </c>
      <c r="BH437" t="b">
        <f>+ISNUMBER(SEARCH(#REF!,Tabla11[[#This Row],[Cuenta]],1))</f>
        <v>0</v>
      </c>
      <c r="BI437" t="b">
        <f>+ISNUMBER(SEARCH(#REF!,Tabla11[[#This Row],[Cuenta]],1))</f>
        <v>0</v>
      </c>
      <c r="BJ437" t="b">
        <f>+ISNUMBER(SEARCH(#REF!,Tabla11[[#This Row],[Cuenta]],1))</f>
        <v>0</v>
      </c>
      <c r="BS437" t="str">
        <v>236540 Compras</v>
      </c>
      <c r="BT437" t="str">
        <v>236540 Compras</v>
      </c>
      <c r="BU437" t="str">
        <v>236540 Compras</v>
      </c>
      <c r="BV437" t="str">
        <v>236540 Compras</v>
      </c>
      <c r="BZ437" t="str">
        <v>236540 Compras</v>
      </c>
      <c r="CA437" t="str">
        <v>236540 Compras</v>
      </c>
      <c r="CB437" t="str">
        <v>236540 Compras</v>
      </c>
      <c r="CC437" t="str">
        <v>236540 Compras</v>
      </c>
      <c r="CD437" t="str">
        <v>236540 Compras</v>
      </c>
      <c r="CE437" t="str">
        <v>236540 Compras</v>
      </c>
      <c r="CS437" s="141" t="str">
        <v>236540 Compras</v>
      </c>
      <c r="CT437" s="141" t="str">
        <v>236540 Compras</v>
      </c>
      <c r="CU437" s="141" t="str">
        <v>236540 Compras</v>
      </c>
      <c r="CV437" s="141" t="str">
        <v>236540 Compras</v>
      </c>
      <c r="CW437" s="141" t="str">
        <v>236540 Compras</v>
      </c>
      <c r="CX437" s="141" t="str">
        <v>236540 Compras</v>
      </c>
      <c r="CY437" s="141" t="str">
        <v>236540 Compras</v>
      </c>
      <c r="CZ437" s="141" t="str">
        <v>236540 Compras</v>
      </c>
      <c r="DA437" s="141" t="str">
        <v>236540 Compras</v>
      </c>
      <c r="DF437" t="str">
        <v>236540 Compras</v>
      </c>
      <c r="DG437" t="str">
        <v>236540 Compras</v>
      </c>
      <c r="DH437" t="str">
        <v>236540 Compras</v>
      </c>
      <c r="DI437" t="str">
        <v>236540 Compras</v>
      </c>
      <c r="DJ437" t="str">
        <v>236540 Compras</v>
      </c>
      <c r="DK437" t="str">
        <v>236540 Compras</v>
      </c>
      <c r="DL437" t="str">
        <v>236540 Compras</v>
      </c>
      <c r="DM437" t="str">
        <v>236540 Compras</v>
      </c>
      <c r="DN437" t="str">
        <v>236540 Compras</v>
      </c>
      <c r="DO437" t="str">
        <v>236540 Compras</v>
      </c>
      <c r="DP437" t="str">
        <v>236540 Compras</v>
      </c>
    </row>
    <row r="438" spans="4:120" ht="12.75">
      <c r="D438" s="7">
        <v>23654005</v>
      </c>
      <c r="E438" s="6" t="s">
        <v>788</v>
      </c>
      <c r="F438" s="5">
        <v>5</v>
      </c>
      <c r="G438" s="34" t="s">
        <v>823</v>
      </c>
      <c r="H438" s="26" t="s">
        <v>765</v>
      </c>
      <c r="I438" t="b">
        <f>+ISNUMBER(SEARCH('F-COMPRA'!$F$28,Tabla11[[#This Row],[Cuenta]],1))</f>
        <v>1</v>
      </c>
      <c r="J438" t="b">
        <f>+ISNUMBER(SEARCH('F-COMPRA'!$F$29,Tabla11[[#This Row],[Cuenta]],1))</f>
        <v>1</v>
      </c>
      <c r="K438" t="b">
        <f>+ISNUMBER(SEARCH('F-COMPRA'!$F$30,Tabla11[[#This Row],[Cuenta]],1))</f>
        <v>1</v>
      </c>
      <c r="L438" t="b">
        <f>+ISNUMBER(SEARCH('F-COMPRA'!$F$31,Tabla11[[#This Row],[Cuenta]],1))</f>
        <v>1</v>
      </c>
      <c r="M438" t="b">
        <f>+ISNUMBER(SEARCH('F-COMPRA'!$G$25,Tabla11[[#This Row],[Cuenta]],1))</f>
        <v>0</v>
      </c>
      <c r="N438" t="b">
        <f>+ISNUMBER(SEARCH(#REF!,Tabla11[[#This Row],[Cuenta]],1))</f>
        <v>0</v>
      </c>
      <c r="O438" t="b">
        <f>+ISNUMBER(SEARCH(#REF!,Tabla11[[#This Row],[Cuenta]],1))</f>
        <v>0</v>
      </c>
      <c r="P438" t="b">
        <f>+ISNUMBER(SEARCH('F-COMPRA'!$F$32,Tabla11[[#This Row],[Cuenta]],1))</f>
        <v>1</v>
      </c>
      <c r="Q438" t="b">
        <f>+ISNUMBER(SEARCH('F-COMPRA'!$F$33,Tabla11[[#This Row],[Cuenta]],1))</f>
        <v>1</v>
      </c>
      <c r="R438" t="b">
        <f>+ISNUMBER(SEARCH('F-COMPRA'!$F$34,Tabla11[[#This Row],[Cuenta]],1))</f>
        <v>1</v>
      </c>
      <c r="S438" t="b">
        <f>+ISNUMBER(SEARCH('F-COMPRA'!$F$35,Tabla11[[#This Row],[Cuenta]],1))</f>
        <v>1</v>
      </c>
      <c r="T438" t="b">
        <f>+ISNUMBER(SEARCH('F-COMPRA'!$F$36,Tabla11[[#This Row],[Cuenta]],1))</f>
        <v>1</v>
      </c>
      <c r="U438" t="b">
        <f>+ISNUMBER(SEARCH('F-COMPRA'!$F$37,Tabla11[[#This Row],[Cuenta]],1))</f>
        <v>1</v>
      </c>
      <c r="V438" t="b">
        <f>+ISNUMBER(SEARCH(#REF!,Tabla11[[#This Row],[Cuenta]],1))</f>
        <v>0</v>
      </c>
      <c r="W438" t="b">
        <f>+ISNUMBER(SEARCH('F-COMPRA'!#REF!,Tabla11[[#This Row],[Cuenta]],1))</f>
        <v>0</v>
      </c>
      <c r="X438" t="b">
        <f>+ISNUMBER(SEARCH('F-COMPRA'!#REF!,Tabla11[[#This Row],[Cuenta]],1))</f>
        <v>0</v>
      </c>
      <c r="Y438" t="b">
        <f>+ISNUMBER(SEARCH('F-COMPRA'!#REF!,Tabla11[[#This Row],[Cuenta]],1))</f>
        <v>0</v>
      </c>
      <c r="Z438" t="b">
        <f>+ISNUMBER(SEARCH('F-COMPRA'!#REF!,Tabla11[[#This Row],[Cuenta]],1))</f>
        <v>0</v>
      </c>
      <c r="AA438" t="b">
        <f>+ISNUMBER(SEARCH('F-COMPRA'!#REF!,Tabla11[[#This Row],[Cuenta]],1))</f>
        <v>0</v>
      </c>
      <c r="AB438" t="b">
        <f>+ISNUMBER(SEARCH('F-COMPRA'!#REF!,Tabla11[[#This Row],[Cuenta]],1))</f>
        <v>0</v>
      </c>
      <c r="AC438" t="b">
        <f>+ISNUMBER(SEARCH('F-COMPRA'!#REF!,Tabla11[[#This Row],[Cuenta]],1))</f>
        <v>0</v>
      </c>
      <c r="AD438" t="b">
        <f>+ISNUMBER(SEARCH('F-COMPRA'!#REF!,Tabla11[[#This Row],[Cuenta]],1))</f>
        <v>0</v>
      </c>
      <c r="AE438" t="b">
        <f>+ISNUMBER(SEARCH('F-COMPRA'!#REF!,Tabla11[[#This Row],[Cuenta]],1))</f>
        <v>0</v>
      </c>
      <c r="AF438" t="b">
        <f>+ISNUMBER(SEARCH('F-VTA'!$G$23,Tabla11[[#This Row],[Cuenta]],1))</f>
        <v>0</v>
      </c>
      <c r="AG438" t="b">
        <f>+ISNUMBER(SEARCH('F-VTA'!$G$24,Tabla11[[#This Row],[Cuenta]],1))</f>
        <v>0</v>
      </c>
      <c r="AH438" t="b">
        <f>+ISNUMBER(SEARCH('F-VTA'!$G$25,Tabla11[[#This Row],[Cuenta]],1))</f>
        <v>0</v>
      </c>
      <c r="AI438" t="b">
        <f>+ISNUMBER(SEARCH('F-VTA'!$F$28,Tabla11[[#This Row],[Cuenta]],1))</f>
        <v>1</v>
      </c>
      <c r="AJ438" t="b">
        <f>+ISNUMBER(SEARCH('F-VTA'!$F$29,Tabla11[[#This Row],[Cuenta]],1))</f>
        <v>1</v>
      </c>
      <c r="AK438" t="b">
        <f>+ISNUMBER(SEARCH('F-VTA'!$F$30,Tabla11[[#This Row],[Cuenta]],1))</f>
        <v>1</v>
      </c>
      <c r="AL438" t="b">
        <f>+ISNUMBER(SEARCH('F-VTA'!$F$31,Tabla11[[#This Row],[Cuenta]],1))</f>
        <v>1</v>
      </c>
      <c r="AM438" t="b">
        <f>+ISNUMBER(SEARCH('F-VTA'!$F$32,Tabla11[[#This Row],[Cuenta]],1))</f>
        <v>1</v>
      </c>
      <c r="AN438" t="b">
        <f>+ISNUMBER(SEARCH('F-VTA'!$F$33,Tabla11[[#This Row],[Cuenta]],1))</f>
        <v>1</v>
      </c>
      <c r="AO438" t="b">
        <f>+ISNUMBER(SEARCH('F-VTA'!$F$34,Tabla11[[#This Row],[Cuenta]],1))</f>
        <v>1</v>
      </c>
      <c r="AP438" t="b">
        <f>+ISNUMBER(SEARCH('F-VTA'!$F$35,Tabla11[[#This Row],[Cuenta]],1))</f>
        <v>1</v>
      </c>
      <c r="AQ438" t="b">
        <f>+ISNUMBER(SEARCH('F-VTA'!$F$36,Tabla11[[#This Row],[Cuenta]],1))</f>
        <v>1</v>
      </c>
      <c r="AR438" t="b">
        <f>+ISNUMBER(SEARCH(#REF!,Tabla11[[#This Row],[Cuenta]],1))</f>
        <v>0</v>
      </c>
      <c r="AS438" t="b">
        <f>+ISNUMBER(SEARCH(#REF!,Tabla11[[#This Row],[Cuenta]],1))</f>
        <v>0</v>
      </c>
      <c r="AT438" t="b">
        <f>+ISNUMBER(SEARCH(#REF!,Tabla11[[#This Row],[Cuenta]],1))</f>
        <v>0</v>
      </c>
      <c r="AU438" t="b">
        <f>+ISNUMBER(SEARCH('Conc. Ban.1'!$I$9,Tabla11[[#This Row],[Cuenta]],1))</f>
        <v>0</v>
      </c>
      <c r="AV438" t="b">
        <f>+ISNUMBER(SEARCH(CompConta!$F$21,Tabla11[[#This Row],[Cuenta]],1))</f>
        <v>1</v>
      </c>
      <c r="AW438" t="b">
        <f>+ISNUMBER(SEARCH(CompConta!$F$22,Tabla11[[#This Row],[Cuenta]],1))</f>
        <v>1</v>
      </c>
      <c r="AX438" t="b">
        <f>+ISNUMBER(SEARCH(CompConta!$F$23,Tabla11[[#This Row],[Cuenta]],1))</f>
        <v>1</v>
      </c>
      <c r="AY438" t="b">
        <f>+ISNUMBER(SEARCH(CompConta!$F$24,Tabla11[[#This Row],[Cuenta]],1))</f>
        <v>1</v>
      </c>
      <c r="AZ438" t="b">
        <f>+ISNUMBER(SEARCH(CompConta!$F$25,Tabla11[[#This Row],[Cuenta]],1))</f>
        <v>1</v>
      </c>
      <c r="BA438" t="b">
        <f>+ISNUMBER(SEARCH(CompConta!$F$26,Tabla11[[#This Row],[Cuenta]],1))</f>
        <v>1</v>
      </c>
      <c r="BB438" t="b">
        <f>+ISNUMBER(SEARCH(CompConta!$F$27,Tabla11[[#This Row],[Cuenta]],1))</f>
        <v>1</v>
      </c>
      <c r="BC438" t="b">
        <f>+ISNUMBER(SEARCH(CompConta!$F$28,Tabla11[[#This Row],[Cuenta]],1))</f>
        <v>1</v>
      </c>
      <c r="BD438" t="b">
        <f>+ISNUMBER(SEARCH(CompConta!$F$29,Tabla11[[#This Row],[Cuenta]],1))</f>
        <v>1</v>
      </c>
      <c r="BE438" t="b">
        <f>+ISNUMBER(SEARCH(CompConta!$F$30,Tabla11[[#This Row],[Cuenta]],1))</f>
        <v>1</v>
      </c>
      <c r="BF438" t="b">
        <f>+ISNUMBER(SEARCH('PAGO Compras'!$E$11,Tabla11[[#This Row],[Cuenta]],1))</f>
        <v>1</v>
      </c>
      <c r="BG438" t="b">
        <f>+ISNUMBER(SEARCH(#REF!,Tabla11[[#This Row],[Cuenta]],1))</f>
        <v>0</v>
      </c>
      <c r="BH438" t="b">
        <f>+ISNUMBER(SEARCH(#REF!,Tabla11[[#This Row],[Cuenta]],1))</f>
        <v>0</v>
      </c>
      <c r="BI438" t="b">
        <f>+ISNUMBER(SEARCH(#REF!,Tabla11[[#This Row],[Cuenta]],1))</f>
        <v>0</v>
      </c>
      <c r="BJ438" t="b">
        <f>+ISNUMBER(SEARCH(#REF!,Tabla11[[#This Row],[Cuenta]],1))</f>
        <v>0</v>
      </c>
      <c r="BS438" t="str">
        <v>23654005 COMPRAS 3,5% NO DECLARANTES</v>
      </c>
      <c r="BT438" t="str">
        <v>23654005 COMPRAS 3,5% NO DECLARANTES</v>
      </c>
      <c r="BU438" t="str">
        <v>23654005 COMPRAS 3,5% NO DECLARANTES</v>
      </c>
      <c r="BV438" t="str">
        <v>23654005 COMPRAS 3,5% NO DECLARANTES</v>
      </c>
      <c r="BZ438" t="str">
        <v>23654005 COMPRAS 3,5% NO DECLARANTES</v>
      </c>
      <c r="CA438" t="str">
        <v>23654005 COMPRAS 3,5% NO DECLARANTES</v>
      </c>
      <c r="CB438" t="str">
        <v>23654005 COMPRAS 3,5% NO DECLARANTES</v>
      </c>
      <c r="CC438" t="str">
        <v>23654005 COMPRAS 3,5% NO DECLARANTES</v>
      </c>
      <c r="CD438" t="str">
        <v>23654005 COMPRAS 3,5% NO DECLARANTES</v>
      </c>
      <c r="CE438" t="str">
        <v>23654005 COMPRAS 3,5% NO DECLARANTES</v>
      </c>
      <c r="CS438" s="141" t="str">
        <v>23654005 COMPRAS 3,5% NO DECLARANTES</v>
      </c>
      <c r="CT438" s="141" t="str">
        <v>23654005 COMPRAS 3,5% NO DECLARANTES</v>
      </c>
      <c r="CU438" s="141" t="str">
        <v>23654005 COMPRAS 3,5% NO DECLARANTES</v>
      </c>
      <c r="CV438" s="141" t="str">
        <v>23654005 COMPRAS 3,5% NO DECLARANTES</v>
      </c>
      <c r="CW438" s="141" t="str">
        <v>23654005 COMPRAS 3,5% NO DECLARANTES</v>
      </c>
      <c r="CX438" s="141" t="str">
        <v>23654005 COMPRAS 3,5% NO DECLARANTES</v>
      </c>
      <c r="CY438" s="141" t="str">
        <v>23654005 COMPRAS 3,5% NO DECLARANTES</v>
      </c>
      <c r="CZ438" s="141" t="str">
        <v>23654005 COMPRAS 3,5% NO DECLARANTES</v>
      </c>
      <c r="DA438" s="141" t="str">
        <v>23654005 COMPRAS 3,5% NO DECLARANTES</v>
      </c>
      <c r="DF438" t="str">
        <v>23654005 COMPRAS 3,5% NO DECLARANTES</v>
      </c>
      <c r="DG438" t="str">
        <v>23654005 COMPRAS 3,5% NO DECLARANTES</v>
      </c>
      <c r="DH438" t="str">
        <v>23654005 COMPRAS 3,5% NO DECLARANTES</v>
      </c>
      <c r="DI438" t="str">
        <v>23654005 COMPRAS 3,5% NO DECLARANTES</v>
      </c>
      <c r="DJ438" t="str">
        <v>23654005 COMPRAS 3,5% NO DECLARANTES</v>
      </c>
      <c r="DK438" t="str">
        <v>23654005 COMPRAS 3,5% NO DECLARANTES</v>
      </c>
      <c r="DL438" t="str">
        <v>23654005 COMPRAS 3,5% NO DECLARANTES</v>
      </c>
      <c r="DM438" t="str">
        <v>23654005 COMPRAS 3,5% NO DECLARANTES</v>
      </c>
      <c r="DN438" t="str">
        <v>23654005 COMPRAS 3,5% NO DECLARANTES</v>
      </c>
      <c r="DO438" t="str">
        <v>23654005 COMPRAS 3,5% NO DECLARANTES</v>
      </c>
      <c r="DP438" t="str">
        <v>23654005 COMPRAS 3,5% NO DECLARANTES</v>
      </c>
    </row>
    <row r="439" spans="4:120" ht="12.75">
      <c r="D439" s="7">
        <v>23654010</v>
      </c>
      <c r="E439" s="6" t="s">
        <v>789</v>
      </c>
      <c r="F439" s="5">
        <v>5</v>
      </c>
      <c r="G439" s="34" t="s">
        <v>823</v>
      </c>
      <c r="H439" s="26" t="s">
        <v>765</v>
      </c>
      <c r="I439" t="b">
        <f>+ISNUMBER(SEARCH('F-COMPRA'!$F$28,Tabla11[[#This Row],[Cuenta]],1))</f>
        <v>1</v>
      </c>
      <c r="J439" t="b">
        <f>+ISNUMBER(SEARCH('F-COMPRA'!$F$29,Tabla11[[#This Row],[Cuenta]],1))</f>
        <v>1</v>
      </c>
      <c r="K439" t="b">
        <f>+ISNUMBER(SEARCH('F-COMPRA'!$F$30,Tabla11[[#This Row],[Cuenta]],1))</f>
        <v>1</v>
      </c>
      <c r="L439" t="b">
        <f>+ISNUMBER(SEARCH('F-COMPRA'!$F$31,Tabla11[[#This Row],[Cuenta]],1))</f>
        <v>1</v>
      </c>
      <c r="M439" t="b">
        <f>+ISNUMBER(SEARCH('F-COMPRA'!$G$25,Tabla11[[#This Row],[Cuenta]],1))</f>
        <v>0</v>
      </c>
      <c r="N439" t="b">
        <f>+ISNUMBER(SEARCH(#REF!,Tabla11[[#This Row],[Cuenta]],1))</f>
        <v>0</v>
      </c>
      <c r="O439" t="b">
        <f>+ISNUMBER(SEARCH(#REF!,Tabla11[[#This Row],[Cuenta]],1))</f>
        <v>0</v>
      </c>
      <c r="P439" t="b">
        <f>+ISNUMBER(SEARCH('F-COMPRA'!$F$32,Tabla11[[#This Row],[Cuenta]],1))</f>
        <v>1</v>
      </c>
      <c r="Q439" t="b">
        <f>+ISNUMBER(SEARCH('F-COMPRA'!$F$33,Tabla11[[#This Row],[Cuenta]],1))</f>
        <v>1</v>
      </c>
      <c r="R439" t="b">
        <f>+ISNUMBER(SEARCH('F-COMPRA'!$F$34,Tabla11[[#This Row],[Cuenta]],1))</f>
        <v>1</v>
      </c>
      <c r="S439" t="b">
        <f>+ISNUMBER(SEARCH('F-COMPRA'!$F$35,Tabla11[[#This Row],[Cuenta]],1))</f>
        <v>1</v>
      </c>
      <c r="T439" t="b">
        <f>+ISNUMBER(SEARCH('F-COMPRA'!$F$36,Tabla11[[#This Row],[Cuenta]],1))</f>
        <v>1</v>
      </c>
      <c r="U439" t="b">
        <f>+ISNUMBER(SEARCH('F-COMPRA'!$F$37,Tabla11[[#This Row],[Cuenta]],1))</f>
        <v>1</v>
      </c>
      <c r="V439" t="b">
        <f>+ISNUMBER(SEARCH(#REF!,Tabla11[[#This Row],[Cuenta]],1))</f>
        <v>0</v>
      </c>
      <c r="W439" t="b">
        <f>+ISNUMBER(SEARCH('F-COMPRA'!#REF!,Tabla11[[#This Row],[Cuenta]],1))</f>
        <v>0</v>
      </c>
      <c r="X439" t="b">
        <f>+ISNUMBER(SEARCH('F-COMPRA'!#REF!,Tabla11[[#This Row],[Cuenta]],1))</f>
        <v>0</v>
      </c>
      <c r="Y439" t="b">
        <f>+ISNUMBER(SEARCH('F-COMPRA'!#REF!,Tabla11[[#This Row],[Cuenta]],1))</f>
        <v>0</v>
      </c>
      <c r="Z439" t="b">
        <f>+ISNUMBER(SEARCH('F-COMPRA'!#REF!,Tabla11[[#This Row],[Cuenta]],1))</f>
        <v>0</v>
      </c>
      <c r="AA439" t="b">
        <f>+ISNUMBER(SEARCH('F-COMPRA'!#REF!,Tabla11[[#This Row],[Cuenta]],1))</f>
        <v>0</v>
      </c>
      <c r="AB439" t="b">
        <f>+ISNUMBER(SEARCH('F-COMPRA'!#REF!,Tabla11[[#This Row],[Cuenta]],1))</f>
        <v>0</v>
      </c>
      <c r="AC439" t="b">
        <f>+ISNUMBER(SEARCH('F-COMPRA'!#REF!,Tabla11[[#This Row],[Cuenta]],1))</f>
        <v>0</v>
      </c>
      <c r="AD439" t="b">
        <f>+ISNUMBER(SEARCH('F-COMPRA'!#REF!,Tabla11[[#This Row],[Cuenta]],1))</f>
        <v>0</v>
      </c>
      <c r="AE439" t="b">
        <f>+ISNUMBER(SEARCH('F-COMPRA'!#REF!,Tabla11[[#This Row],[Cuenta]],1))</f>
        <v>0</v>
      </c>
      <c r="AF439" t="b">
        <f>+ISNUMBER(SEARCH('F-VTA'!$G$23,Tabla11[[#This Row],[Cuenta]],1))</f>
        <v>0</v>
      </c>
      <c r="AG439" t="b">
        <f>+ISNUMBER(SEARCH('F-VTA'!$G$24,Tabla11[[#This Row],[Cuenta]],1))</f>
        <v>0</v>
      </c>
      <c r="AH439" t="b">
        <f>+ISNUMBER(SEARCH('F-VTA'!$G$25,Tabla11[[#This Row],[Cuenta]],1))</f>
        <v>0</v>
      </c>
      <c r="AI439" t="b">
        <f>+ISNUMBER(SEARCH('F-VTA'!$F$28,Tabla11[[#This Row],[Cuenta]],1))</f>
        <v>1</v>
      </c>
      <c r="AJ439" t="b">
        <f>+ISNUMBER(SEARCH('F-VTA'!$F$29,Tabla11[[#This Row],[Cuenta]],1))</f>
        <v>1</v>
      </c>
      <c r="AK439" t="b">
        <f>+ISNUMBER(SEARCH('F-VTA'!$F$30,Tabla11[[#This Row],[Cuenta]],1))</f>
        <v>1</v>
      </c>
      <c r="AL439" t="b">
        <f>+ISNUMBER(SEARCH('F-VTA'!$F$31,Tabla11[[#This Row],[Cuenta]],1))</f>
        <v>1</v>
      </c>
      <c r="AM439" t="b">
        <f>+ISNUMBER(SEARCH('F-VTA'!$F$32,Tabla11[[#This Row],[Cuenta]],1))</f>
        <v>1</v>
      </c>
      <c r="AN439" t="b">
        <f>+ISNUMBER(SEARCH('F-VTA'!$F$33,Tabla11[[#This Row],[Cuenta]],1))</f>
        <v>1</v>
      </c>
      <c r="AO439" t="b">
        <f>+ISNUMBER(SEARCH('F-VTA'!$F$34,Tabla11[[#This Row],[Cuenta]],1))</f>
        <v>1</v>
      </c>
      <c r="AP439" t="b">
        <f>+ISNUMBER(SEARCH('F-VTA'!$F$35,Tabla11[[#This Row],[Cuenta]],1))</f>
        <v>1</v>
      </c>
      <c r="AQ439" t="b">
        <f>+ISNUMBER(SEARCH('F-VTA'!$F$36,Tabla11[[#This Row],[Cuenta]],1))</f>
        <v>1</v>
      </c>
      <c r="AR439" t="b">
        <f>+ISNUMBER(SEARCH(#REF!,Tabla11[[#This Row],[Cuenta]],1))</f>
        <v>0</v>
      </c>
      <c r="AS439" t="b">
        <f>+ISNUMBER(SEARCH(#REF!,Tabla11[[#This Row],[Cuenta]],1))</f>
        <v>0</v>
      </c>
      <c r="AT439" t="b">
        <f>+ISNUMBER(SEARCH(#REF!,Tabla11[[#This Row],[Cuenta]],1))</f>
        <v>0</v>
      </c>
      <c r="AU439" t="b">
        <f>+ISNUMBER(SEARCH('Conc. Ban.1'!$I$9,Tabla11[[#This Row],[Cuenta]],1))</f>
        <v>0</v>
      </c>
      <c r="AV439" t="b">
        <f>+ISNUMBER(SEARCH(CompConta!$F$21,Tabla11[[#This Row],[Cuenta]],1))</f>
        <v>1</v>
      </c>
      <c r="AW439" t="b">
        <f>+ISNUMBER(SEARCH(CompConta!$F$22,Tabla11[[#This Row],[Cuenta]],1))</f>
        <v>1</v>
      </c>
      <c r="AX439" t="b">
        <f>+ISNUMBER(SEARCH(CompConta!$F$23,Tabla11[[#This Row],[Cuenta]],1))</f>
        <v>1</v>
      </c>
      <c r="AY439" t="b">
        <f>+ISNUMBER(SEARCH(CompConta!$F$24,Tabla11[[#This Row],[Cuenta]],1))</f>
        <v>1</v>
      </c>
      <c r="AZ439" t="b">
        <f>+ISNUMBER(SEARCH(CompConta!$F$25,Tabla11[[#This Row],[Cuenta]],1))</f>
        <v>1</v>
      </c>
      <c r="BA439" t="b">
        <f>+ISNUMBER(SEARCH(CompConta!$F$26,Tabla11[[#This Row],[Cuenta]],1))</f>
        <v>1</v>
      </c>
      <c r="BB439" t="b">
        <f>+ISNUMBER(SEARCH(CompConta!$F$27,Tabla11[[#This Row],[Cuenta]],1))</f>
        <v>1</v>
      </c>
      <c r="BC439" t="b">
        <f>+ISNUMBER(SEARCH(CompConta!$F$28,Tabla11[[#This Row],[Cuenta]],1))</f>
        <v>1</v>
      </c>
      <c r="BD439" t="b">
        <f>+ISNUMBER(SEARCH(CompConta!$F$29,Tabla11[[#This Row],[Cuenta]],1))</f>
        <v>1</v>
      </c>
      <c r="BE439" t="b">
        <f>+ISNUMBER(SEARCH(CompConta!$F$30,Tabla11[[#This Row],[Cuenta]],1))</f>
        <v>1</v>
      </c>
      <c r="BF439" t="b">
        <f>+ISNUMBER(SEARCH('PAGO Compras'!$E$11,Tabla11[[#This Row],[Cuenta]],1))</f>
        <v>1</v>
      </c>
      <c r="BG439" t="b">
        <f>+ISNUMBER(SEARCH(#REF!,Tabla11[[#This Row],[Cuenta]],1))</f>
        <v>0</v>
      </c>
      <c r="BH439" t="b">
        <f>+ISNUMBER(SEARCH(#REF!,Tabla11[[#This Row],[Cuenta]],1))</f>
        <v>0</v>
      </c>
      <c r="BI439" t="b">
        <f>+ISNUMBER(SEARCH(#REF!,Tabla11[[#This Row],[Cuenta]],1))</f>
        <v>0</v>
      </c>
      <c r="BJ439" t="b">
        <f>+ISNUMBER(SEARCH(#REF!,Tabla11[[#This Row],[Cuenta]],1))</f>
        <v>0</v>
      </c>
      <c r="BS439" t="str">
        <v>23654010 COMPRAS 2,5% DECLARANTES</v>
      </c>
      <c r="BT439" t="str">
        <v>23654010 COMPRAS 2,5% DECLARANTES</v>
      </c>
      <c r="BU439" t="str">
        <v>23654010 COMPRAS 2,5% DECLARANTES</v>
      </c>
      <c r="BV439" t="str">
        <v>23654010 COMPRAS 2,5% DECLARANTES</v>
      </c>
      <c r="BZ439" t="str">
        <v>23654010 COMPRAS 2,5% DECLARANTES</v>
      </c>
      <c r="CA439" t="str">
        <v>23654010 COMPRAS 2,5% DECLARANTES</v>
      </c>
      <c r="CB439" t="str">
        <v>23654010 COMPRAS 2,5% DECLARANTES</v>
      </c>
      <c r="CC439" t="str">
        <v>23654010 COMPRAS 2,5% DECLARANTES</v>
      </c>
      <c r="CD439" t="str">
        <v>23654010 COMPRAS 2,5% DECLARANTES</v>
      </c>
      <c r="CE439" t="str">
        <v>23654010 COMPRAS 2,5% DECLARANTES</v>
      </c>
      <c r="CS439" s="141" t="str">
        <v>23654010 COMPRAS 2,5% DECLARANTES</v>
      </c>
      <c r="CT439" s="141" t="str">
        <v>23654010 COMPRAS 2,5% DECLARANTES</v>
      </c>
      <c r="CU439" s="141" t="str">
        <v>23654010 COMPRAS 2,5% DECLARANTES</v>
      </c>
      <c r="CV439" s="141" t="str">
        <v>23654010 COMPRAS 2,5% DECLARANTES</v>
      </c>
      <c r="CW439" s="141" t="str">
        <v>23654010 COMPRAS 2,5% DECLARANTES</v>
      </c>
      <c r="CX439" s="141" t="str">
        <v>23654010 COMPRAS 2,5% DECLARANTES</v>
      </c>
      <c r="CY439" s="141" t="str">
        <v>23654010 COMPRAS 2,5% DECLARANTES</v>
      </c>
      <c r="CZ439" s="141" t="str">
        <v>23654010 COMPRAS 2,5% DECLARANTES</v>
      </c>
      <c r="DA439" s="141" t="str">
        <v>23654010 COMPRAS 2,5% DECLARANTES</v>
      </c>
      <c r="DF439" t="str">
        <v>23654010 COMPRAS 2,5% DECLARANTES</v>
      </c>
      <c r="DG439" t="str">
        <v>23654010 COMPRAS 2,5% DECLARANTES</v>
      </c>
      <c r="DH439" t="str">
        <v>23654010 COMPRAS 2,5% DECLARANTES</v>
      </c>
      <c r="DI439" t="str">
        <v>23654010 COMPRAS 2,5% DECLARANTES</v>
      </c>
      <c r="DJ439" t="str">
        <v>23654010 COMPRAS 2,5% DECLARANTES</v>
      </c>
      <c r="DK439" t="str">
        <v>23654010 COMPRAS 2,5% DECLARANTES</v>
      </c>
      <c r="DL439" t="str">
        <v>23654010 COMPRAS 2,5% DECLARANTES</v>
      </c>
      <c r="DM439" t="str">
        <v>23654010 COMPRAS 2,5% DECLARANTES</v>
      </c>
      <c r="DN439" t="str">
        <v>23654010 COMPRAS 2,5% DECLARANTES</v>
      </c>
      <c r="DO439" t="str">
        <v>23654010 COMPRAS 2,5% DECLARANTES</v>
      </c>
      <c r="DP439" t="str">
        <v>23654010 COMPRAS 2,5% DECLARANTES</v>
      </c>
    </row>
    <row r="440" spans="4:120" ht="12.75">
      <c r="D440" s="7">
        <v>236545</v>
      </c>
      <c r="E440" s="6" t="s">
        <v>332</v>
      </c>
      <c r="F440" s="5">
        <v>4</v>
      </c>
      <c r="G440" s="34" t="s">
        <v>823</v>
      </c>
      <c r="H440" s="26" t="s">
        <v>765</v>
      </c>
      <c r="I440" t="b">
        <f>+ISNUMBER(SEARCH('F-COMPRA'!$F$28,Tabla11[[#This Row],[Cuenta]],1))</f>
        <v>1</v>
      </c>
      <c r="J440" t="b">
        <f>+ISNUMBER(SEARCH('F-COMPRA'!$F$29,Tabla11[[#This Row],[Cuenta]],1))</f>
        <v>1</v>
      </c>
      <c r="K440" t="b">
        <f>+ISNUMBER(SEARCH('F-COMPRA'!$F$30,Tabla11[[#This Row],[Cuenta]],1))</f>
        <v>1</v>
      </c>
      <c r="L440" t="b">
        <f>+ISNUMBER(SEARCH('F-COMPRA'!$F$31,Tabla11[[#This Row],[Cuenta]],1))</f>
        <v>1</v>
      </c>
      <c r="M440" t="b">
        <f>+ISNUMBER(SEARCH('F-COMPRA'!$G$25,Tabla11[[#This Row],[Cuenta]],1))</f>
        <v>0</v>
      </c>
      <c r="N440" t="b">
        <f>+ISNUMBER(SEARCH(#REF!,Tabla11[[#This Row],[Cuenta]],1))</f>
        <v>0</v>
      </c>
      <c r="O440" t="b">
        <f>+ISNUMBER(SEARCH(#REF!,Tabla11[[#This Row],[Cuenta]],1))</f>
        <v>0</v>
      </c>
      <c r="P440" t="b">
        <f>+ISNUMBER(SEARCH('F-COMPRA'!$F$32,Tabla11[[#This Row],[Cuenta]],1))</f>
        <v>1</v>
      </c>
      <c r="Q440" t="b">
        <f>+ISNUMBER(SEARCH('F-COMPRA'!$F$33,Tabla11[[#This Row],[Cuenta]],1))</f>
        <v>1</v>
      </c>
      <c r="R440" t="b">
        <f>+ISNUMBER(SEARCH('F-COMPRA'!$F$34,Tabla11[[#This Row],[Cuenta]],1))</f>
        <v>1</v>
      </c>
      <c r="S440" t="b">
        <f>+ISNUMBER(SEARCH('F-COMPRA'!$F$35,Tabla11[[#This Row],[Cuenta]],1))</f>
        <v>1</v>
      </c>
      <c r="T440" t="b">
        <f>+ISNUMBER(SEARCH('F-COMPRA'!$F$36,Tabla11[[#This Row],[Cuenta]],1))</f>
        <v>1</v>
      </c>
      <c r="U440" t="b">
        <f>+ISNUMBER(SEARCH('F-COMPRA'!$F$37,Tabla11[[#This Row],[Cuenta]],1))</f>
        <v>1</v>
      </c>
      <c r="V440" t="b">
        <f>+ISNUMBER(SEARCH(#REF!,Tabla11[[#This Row],[Cuenta]],1))</f>
        <v>0</v>
      </c>
      <c r="W440" t="b">
        <f>+ISNUMBER(SEARCH('F-COMPRA'!#REF!,Tabla11[[#This Row],[Cuenta]],1))</f>
        <v>0</v>
      </c>
      <c r="X440" t="b">
        <f>+ISNUMBER(SEARCH('F-COMPRA'!#REF!,Tabla11[[#This Row],[Cuenta]],1))</f>
        <v>0</v>
      </c>
      <c r="Y440" t="b">
        <f>+ISNUMBER(SEARCH('F-COMPRA'!#REF!,Tabla11[[#This Row],[Cuenta]],1))</f>
        <v>0</v>
      </c>
      <c r="Z440" t="b">
        <f>+ISNUMBER(SEARCH('F-COMPRA'!#REF!,Tabla11[[#This Row],[Cuenta]],1))</f>
        <v>0</v>
      </c>
      <c r="AA440" t="b">
        <f>+ISNUMBER(SEARCH('F-COMPRA'!#REF!,Tabla11[[#This Row],[Cuenta]],1))</f>
        <v>0</v>
      </c>
      <c r="AB440" t="b">
        <f>+ISNUMBER(SEARCH('F-COMPRA'!#REF!,Tabla11[[#This Row],[Cuenta]],1))</f>
        <v>0</v>
      </c>
      <c r="AC440" t="b">
        <f>+ISNUMBER(SEARCH('F-COMPRA'!#REF!,Tabla11[[#This Row],[Cuenta]],1))</f>
        <v>0</v>
      </c>
      <c r="AD440" t="b">
        <f>+ISNUMBER(SEARCH('F-COMPRA'!#REF!,Tabla11[[#This Row],[Cuenta]],1))</f>
        <v>0</v>
      </c>
      <c r="AE440" t="b">
        <f>+ISNUMBER(SEARCH('F-COMPRA'!#REF!,Tabla11[[#This Row],[Cuenta]],1))</f>
        <v>0</v>
      </c>
      <c r="AF440" t="b">
        <f>+ISNUMBER(SEARCH('F-VTA'!$G$23,Tabla11[[#This Row],[Cuenta]],1))</f>
        <v>0</v>
      </c>
      <c r="AG440" t="b">
        <f>+ISNUMBER(SEARCH('F-VTA'!$G$24,Tabla11[[#This Row],[Cuenta]],1))</f>
        <v>0</v>
      </c>
      <c r="AH440" t="b">
        <f>+ISNUMBER(SEARCH('F-VTA'!$G$25,Tabla11[[#This Row],[Cuenta]],1))</f>
        <v>0</v>
      </c>
      <c r="AI440" t="b">
        <f>+ISNUMBER(SEARCH('F-VTA'!$F$28,Tabla11[[#This Row],[Cuenta]],1))</f>
        <v>1</v>
      </c>
      <c r="AJ440" t="b">
        <f>+ISNUMBER(SEARCH('F-VTA'!$F$29,Tabla11[[#This Row],[Cuenta]],1))</f>
        <v>1</v>
      </c>
      <c r="AK440" t="b">
        <f>+ISNUMBER(SEARCH('F-VTA'!$F$30,Tabla11[[#This Row],[Cuenta]],1))</f>
        <v>1</v>
      </c>
      <c r="AL440" t="b">
        <f>+ISNUMBER(SEARCH('F-VTA'!$F$31,Tabla11[[#This Row],[Cuenta]],1))</f>
        <v>1</v>
      </c>
      <c r="AM440" t="b">
        <f>+ISNUMBER(SEARCH('F-VTA'!$F$32,Tabla11[[#This Row],[Cuenta]],1))</f>
        <v>1</v>
      </c>
      <c r="AN440" t="b">
        <f>+ISNUMBER(SEARCH('F-VTA'!$F$33,Tabla11[[#This Row],[Cuenta]],1))</f>
        <v>1</v>
      </c>
      <c r="AO440" t="b">
        <f>+ISNUMBER(SEARCH('F-VTA'!$F$34,Tabla11[[#This Row],[Cuenta]],1))</f>
        <v>1</v>
      </c>
      <c r="AP440" t="b">
        <f>+ISNUMBER(SEARCH('F-VTA'!$F$35,Tabla11[[#This Row],[Cuenta]],1))</f>
        <v>1</v>
      </c>
      <c r="AQ440" t="b">
        <f>+ISNUMBER(SEARCH('F-VTA'!$F$36,Tabla11[[#This Row],[Cuenta]],1))</f>
        <v>1</v>
      </c>
      <c r="AR440" t="b">
        <f>+ISNUMBER(SEARCH(#REF!,Tabla11[[#This Row],[Cuenta]],1))</f>
        <v>0</v>
      </c>
      <c r="AS440" t="b">
        <f>+ISNUMBER(SEARCH(#REF!,Tabla11[[#This Row],[Cuenta]],1))</f>
        <v>0</v>
      </c>
      <c r="AT440" t="b">
        <f>+ISNUMBER(SEARCH(#REF!,Tabla11[[#This Row],[Cuenta]],1))</f>
        <v>0</v>
      </c>
      <c r="AU440" t="b">
        <f>+ISNUMBER(SEARCH('Conc. Ban.1'!$I$9,Tabla11[[#This Row],[Cuenta]],1))</f>
        <v>0</v>
      </c>
      <c r="AV440" t="b">
        <f>+ISNUMBER(SEARCH(CompConta!$F$21,Tabla11[[#This Row],[Cuenta]],1))</f>
        <v>1</v>
      </c>
      <c r="AW440" t="b">
        <f>+ISNUMBER(SEARCH(CompConta!$F$22,Tabla11[[#This Row],[Cuenta]],1))</f>
        <v>1</v>
      </c>
      <c r="AX440" t="b">
        <f>+ISNUMBER(SEARCH(CompConta!$F$23,Tabla11[[#This Row],[Cuenta]],1))</f>
        <v>1</v>
      </c>
      <c r="AY440" t="b">
        <f>+ISNUMBER(SEARCH(CompConta!$F$24,Tabla11[[#This Row],[Cuenta]],1))</f>
        <v>1</v>
      </c>
      <c r="AZ440" t="b">
        <f>+ISNUMBER(SEARCH(CompConta!$F$25,Tabla11[[#This Row],[Cuenta]],1))</f>
        <v>1</v>
      </c>
      <c r="BA440" t="b">
        <f>+ISNUMBER(SEARCH(CompConta!$F$26,Tabla11[[#This Row],[Cuenta]],1))</f>
        <v>1</v>
      </c>
      <c r="BB440" t="b">
        <f>+ISNUMBER(SEARCH(CompConta!$F$27,Tabla11[[#This Row],[Cuenta]],1))</f>
        <v>1</v>
      </c>
      <c r="BC440" t="b">
        <f>+ISNUMBER(SEARCH(CompConta!$F$28,Tabla11[[#This Row],[Cuenta]],1))</f>
        <v>1</v>
      </c>
      <c r="BD440" t="b">
        <f>+ISNUMBER(SEARCH(CompConta!$F$29,Tabla11[[#This Row],[Cuenta]],1))</f>
        <v>1</v>
      </c>
      <c r="BE440" t="b">
        <f>+ISNUMBER(SEARCH(CompConta!$F$30,Tabla11[[#This Row],[Cuenta]],1))</f>
        <v>1</v>
      </c>
      <c r="BF440" t="b">
        <f>+ISNUMBER(SEARCH('PAGO Compras'!$E$11,Tabla11[[#This Row],[Cuenta]],1))</f>
        <v>1</v>
      </c>
      <c r="BG440" t="b">
        <f>+ISNUMBER(SEARCH(#REF!,Tabla11[[#This Row],[Cuenta]],1))</f>
        <v>0</v>
      </c>
      <c r="BH440" t="b">
        <f>+ISNUMBER(SEARCH(#REF!,Tabla11[[#This Row],[Cuenta]],1))</f>
        <v>0</v>
      </c>
      <c r="BI440" t="b">
        <f>+ISNUMBER(SEARCH(#REF!,Tabla11[[#This Row],[Cuenta]],1))</f>
        <v>0</v>
      </c>
      <c r="BJ440" t="b">
        <f>+ISNUMBER(SEARCH(#REF!,Tabla11[[#This Row],[Cuenta]],1))</f>
        <v>0</v>
      </c>
      <c r="BS440" t="str">
        <v>236545 Loterías, rifas, apuestas y similares</v>
      </c>
      <c r="BT440" t="str">
        <v>236545 Loterías, rifas, apuestas y similares</v>
      </c>
      <c r="BU440" t="str">
        <v>236545 Loterías, rifas, apuestas y similares</v>
      </c>
      <c r="BV440" t="str">
        <v>236545 Loterías, rifas, apuestas y similares</v>
      </c>
      <c r="BZ440" t="str">
        <v>236545 Loterías, rifas, apuestas y similares</v>
      </c>
      <c r="CA440" t="str">
        <v>236545 Loterías, rifas, apuestas y similares</v>
      </c>
      <c r="CB440" t="str">
        <v>236545 Loterías, rifas, apuestas y similares</v>
      </c>
      <c r="CC440" t="str">
        <v>236545 Loterías, rifas, apuestas y similares</v>
      </c>
      <c r="CD440" t="str">
        <v>236545 Loterías, rifas, apuestas y similares</v>
      </c>
      <c r="CE440" t="str">
        <v>236545 Loterías, rifas, apuestas y similares</v>
      </c>
      <c r="CS440" s="141" t="str">
        <v>236545 Loterías, rifas, apuestas y similares</v>
      </c>
      <c r="CT440" s="141" t="str">
        <v>236545 Loterías, rifas, apuestas y similares</v>
      </c>
      <c r="CU440" s="141" t="str">
        <v>236545 Loterías, rifas, apuestas y similares</v>
      </c>
      <c r="CV440" s="141" t="str">
        <v>236545 Loterías, rifas, apuestas y similares</v>
      </c>
      <c r="CW440" s="141" t="str">
        <v>236545 Loterías, rifas, apuestas y similares</v>
      </c>
      <c r="CX440" s="141" t="str">
        <v>236545 Loterías, rifas, apuestas y similares</v>
      </c>
      <c r="CY440" s="141" t="str">
        <v>236545 Loterías, rifas, apuestas y similares</v>
      </c>
      <c r="CZ440" s="141" t="str">
        <v>236545 Loterías, rifas, apuestas y similares</v>
      </c>
      <c r="DA440" s="141" t="str">
        <v>236545 Loterías, rifas, apuestas y similares</v>
      </c>
      <c r="DF440" t="str">
        <v>236545 Loterías, rifas, apuestas y similares</v>
      </c>
      <c r="DG440" t="str">
        <v>236545 Loterías, rifas, apuestas y similares</v>
      </c>
      <c r="DH440" t="str">
        <v>236545 Loterías, rifas, apuestas y similares</v>
      </c>
      <c r="DI440" t="str">
        <v>236545 Loterías, rifas, apuestas y similares</v>
      </c>
      <c r="DJ440" t="str">
        <v>236545 Loterías, rifas, apuestas y similares</v>
      </c>
      <c r="DK440" t="str">
        <v>236545 Loterías, rifas, apuestas y similares</v>
      </c>
      <c r="DL440" t="str">
        <v>236545 Loterías, rifas, apuestas y similares</v>
      </c>
      <c r="DM440" t="str">
        <v>236545 Loterías, rifas, apuestas y similares</v>
      </c>
      <c r="DN440" t="str">
        <v>236545 Loterías, rifas, apuestas y similares</v>
      </c>
      <c r="DO440" t="str">
        <v>236545 Loterías, rifas, apuestas y similares</v>
      </c>
      <c r="DP440" t="str">
        <v>236545 Loterías, rifas, apuestas y similares</v>
      </c>
    </row>
    <row r="441" spans="4:120" ht="12.75">
      <c r="D441" s="7">
        <v>236550</v>
      </c>
      <c r="E441" s="6" t="s">
        <v>333</v>
      </c>
      <c r="F441" s="5">
        <v>4</v>
      </c>
      <c r="G441" s="34" t="s">
        <v>823</v>
      </c>
      <c r="H441" s="26" t="s">
        <v>765</v>
      </c>
      <c r="I441" t="b">
        <f>+ISNUMBER(SEARCH('F-COMPRA'!$F$28,Tabla11[[#This Row],[Cuenta]],1))</f>
        <v>1</v>
      </c>
      <c r="J441" t="b">
        <f>+ISNUMBER(SEARCH('F-COMPRA'!$F$29,Tabla11[[#This Row],[Cuenta]],1))</f>
        <v>1</v>
      </c>
      <c r="K441" t="b">
        <f>+ISNUMBER(SEARCH('F-COMPRA'!$F$30,Tabla11[[#This Row],[Cuenta]],1))</f>
        <v>1</v>
      </c>
      <c r="L441" t="b">
        <f>+ISNUMBER(SEARCH('F-COMPRA'!$F$31,Tabla11[[#This Row],[Cuenta]],1))</f>
        <v>1</v>
      </c>
      <c r="M441" t="b">
        <f>+ISNUMBER(SEARCH('F-COMPRA'!$G$25,Tabla11[[#This Row],[Cuenta]],1))</f>
        <v>0</v>
      </c>
      <c r="N441" t="b">
        <f>+ISNUMBER(SEARCH(#REF!,Tabla11[[#This Row],[Cuenta]],1))</f>
        <v>0</v>
      </c>
      <c r="O441" t="b">
        <f>+ISNUMBER(SEARCH(#REF!,Tabla11[[#This Row],[Cuenta]],1))</f>
        <v>0</v>
      </c>
      <c r="P441" t="b">
        <f>+ISNUMBER(SEARCH('F-COMPRA'!$F$32,Tabla11[[#This Row],[Cuenta]],1))</f>
        <v>1</v>
      </c>
      <c r="Q441" t="b">
        <f>+ISNUMBER(SEARCH('F-COMPRA'!$F$33,Tabla11[[#This Row],[Cuenta]],1))</f>
        <v>1</v>
      </c>
      <c r="R441" t="b">
        <f>+ISNUMBER(SEARCH('F-COMPRA'!$F$34,Tabla11[[#This Row],[Cuenta]],1))</f>
        <v>1</v>
      </c>
      <c r="S441" t="b">
        <f>+ISNUMBER(SEARCH('F-COMPRA'!$F$35,Tabla11[[#This Row],[Cuenta]],1))</f>
        <v>1</v>
      </c>
      <c r="T441" t="b">
        <f>+ISNUMBER(SEARCH('F-COMPRA'!$F$36,Tabla11[[#This Row],[Cuenta]],1))</f>
        <v>1</v>
      </c>
      <c r="U441" t="b">
        <f>+ISNUMBER(SEARCH('F-COMPRA'!$F$37,Tabla11[[#This Row],[Cuenta]],1))</f>
        <v>1</v>
      </c>
      <c r="V441" t="b">
        <f>+ISNUMBER(SEARCH(#REF!,Tabla11[[#This Row],[Cuenta]],1))</f>
        <v>0</v>
      </c>
      <c r="W441" t="b">
        <f>+ISNUMBER(SEARCH('F-COMPRA'!#REF!,Tabla11[[#This Row],[Cuenta]],1))</f>
        <v>0</v>
      </c>
      <c r="X441" t="b">
        <f>+ISNUMBER(SEARCH('F-COMPRA'!#REF!,Tabla11[[#This Row],[Cuenta]],1))</f>
        <v>0</v>
      </c>
      <c r="Y441" t="b">
        <f>+ISNUMBER(SEARCH('F-COMPRA'!#REF!,Tabla11[[#This Row],[Cuenta]],1))</f>
        <v>0</v>
      </c>
      <c r="Z441" t="b">
        <f>+ISNUMBER(SEARCH('F-COMPRA'!#REF!,Tabla11[[#This Row],[Cuenta]],1))</f>
        <v>0</v>
      </c>
      <c r="AA441" t="b">
        <f>+ISNUMBER(SEARCH('F-COMPRA'!#REF!,Tabla11[[#This Row],[Cuenta]],1))</f>
        <v>0</v>
      </c>
      <c r="AB441" t="b">
        <f>+ISNUMBER(SEARCH('F-COMPRA'!#REF!,Tabla11[[#This Row],[Cuenta]],1))</f>
        <v>0</v>
      </c>
      <c r="AC441" t="b">
        <f>+ISNUMBER(SEARCH('F-COMPRA'!#REF!,Tabla11[[#This Row],[Cuenta]],1))</f>
        <v>0</v>
      </c>
      <c r="AD441" t="b">
        <f>+ISNUMBER(SEARCH('F-COMPRA'!#REF!,Tabla11[[#This Row],[Cuenta]],1))</f>
        <v>0</v>
      </c>
      <c r="AE441" t="b">
        <f>+ISNUMBER(SEARCH('F-COMPRA'!#REF!,Tabla11[[#This Row],[Cuenta]],1))</f>
        <v>0</v>
      </c>
      <c r="AF441" t="b">
        <f>+ISNUMBER(SEARCH('F-VTA'!$G$23,Tabla11[[#This Row],[Cuenta]],1))</f>
        <v>0</v>
      </c>
      <c r="AG441" t="b">
        <f>+ISNUMBER(SEARCH('F-VTA'!$G$24,Tabla11[[#This Row],[Cuenta]],1))</f>
        <v>0</v>
      </c>
      <c r="AH441" t="b">
        <f>+ISNUMBER(SEARCH('F-VTA'!$G$25,Tabla11[[#This Row],[Cuenta]],1))</f>
        <v>0</v>
      </c>
      <c r="AI441" t="b">
        <f>+ISNUMBER(SEARCH('F-VTA'!$F$28,Tabla11[[#This Row],[Cuenta]],1))</f>
        <v>1</v>
      </c>
      <c r="AJ441" t="b">
        <f>+ISNUMBER(SEARCH('F-VTA'!$F$29,Tabla11[[#This Row],[Cuenta]],1))</f>
        <v>1</v>
      </c>
      <c r="AK441" t="b">
        <f>+ISNUMBER(SEARCH('F-VTA'!$F$30,Tabla11[[#This Row],[Cuenta]],1))</f>
        <v>1</v>
      </c>
      <c r="AL441" t="b">
        <f>+ISNUMBER(SEARCH('F-VTA'!$F$31,Tabla11[[#This Row],[Cuenta]],1))</f>
        <v>1</v>
      </c>
      <c r="AM441" t="b">
        <f>+ISNUMBER(SEARCH('F-VTA'!$F$32,Tabla11[[#This Row],[Cuenta]],1))</f>
        <v>1</v>
      </c>
      <c r="AN441" t="b">
        <f>+ISNUMBER(SEARCH('F-VTA'!$F$33,Tabla11[[#This Row],[Cuenta]],1))</f>
        <v>1</v>
      </c>
      <c r="AO441" t="b">
        <f>+ISNUMBER(SEARCH('F-VTA'!$F$34,Tabla11[[#This Row],[Cuenta]],1))</f>
        <v>1</v>
      </c>
      <c r="AP441" t="b">
        <f>+ISNUMBER(SEARCH('F-VTA'!$F$35,Tabla11[[#This Row],[Cuenta]],1))</f>
        <v>1</v>
      </c>
      <c r="AQ441" t="b">
        <f>+ISNUMBER(SEARCH('F-VTA'!$F$36,Tabla11[[#This Row],[Cuenta]],1))</f>
        <v>1</v>
      </c>
      <c r="AR441" t="b">
        <f>+ISNUMBER(SEARCH(#REF!,Tabla11[[#This Row],[Cuenta]],1))</f>
        <v>0</v>
      </c>
      <c r="AS441" t="b">
        <f>+ISNUMBER(SEARCH(#REF!,Tabla11[[#This Row],[Cuenta]],1))</f>
        <v>0</v>
      </c>
      <c r="AT441" t="b">
        <f>+ISNUMBER(SEARCH(#REF!,Tabla11[[#This Row],[Cuenta]],1))</f>
        <v>0</v>
      </c>
      <c r="AU441" t="b">
        <f>+ISNUMBER(SEARCH('Conc. Ban.1'!$I$9,Tabla11[[#This Row],[Cuenta]],1))</f>
        <v>0</v>
      </c>
      <c r="AV441" t="b">
        <f>+ISNUMBER(SEARCH(CompConta!$F$21,Tabla11[[#This Row],[Cuenta]],1))</f>
        <v>1</v>
      </c>
      <c r="AW441" t="b">
        <f>+ISNUMBER(SEARCH(CompConta!$F$22,Tabla11[[#This Row],[Cuenta]],1))</f>
        <v>1</v>
      </c>
      <c r="AX441" t="b">
        <f>+ISNUMBER(SEARCH(CompConta!$F$23,Tabla11[[#This Row],[Cuenta]],1))</f>
        <v>1</v>
      </c>
      <c r="AY441" t="b">
        <f>+ISNUMBER(SEARCH(CompConta!$F$24,Tabla11[[#This Row],[Cuenta]],1))</f>
        <v>1</v>
      </c>
      <c r="AZ441" t="b">
        <f>+ISNUMBER(SEARCH(CompConta!$F$25,Tabla11[[#This Row],[Cuenta]],1))</f>
        <v>1</v>
      </c>
      <c r="BA441" t="b">
        <f>+ISNUMBER(SEARCH(CompConta!$F$26,Tabla11[[#This Row],[Cuenta]],1))</f>
        <v>1</v>
      </c>
      <c r="BB441" t="b">
        <f>+ISNUMBER(SEARCH(CompConta!$F$27,Tabla11[[#This Row],[Cuenta]],1))</f>
        <v>1</v>
      </c>
      <c r="BC441" t="b">
        <f>+ISNUMBER(SEARCH(CompConta!$F$28,Tabla11[[#This Row],[Cuenta]],1))</f>
        <v>1</v>
      </c>
      <c r="BD441" t="b">
        <f>+ISNUMBER(SEARCH(CompConta!$F$29,Tabla11[[#This Row],[Cuenta]],1))</f>
        <v>1</v>
      </c>
      <c r="BE441" t="b">
        <f>+ISNUMBER(SEARCH(CompConta!$F$30,Tabla11[[#This Row],[Cuenta]],1))</f>
        <v>1</v>
      </c>
      <c r="BF441" t="b">
        <f>+ISNUMBER(SEARCH('PAGO Compras'!$E$11,Tabla11[[#This Row],[Cuenta]],1))</f>
        <v>1</v>
      </c>
      <c r="BG441" t="b">
        <f>+ISNUMBER(SEARCH(#REF!,Tabla11[[#This Row],[Cuenta]],1))</f>
        <v>0</v>
      </c>
      <c r="BH441" t="b">
        <f>+ISNUMBER(SEARCH(#REF!,Tabla11[[#This Row],[Cuenta]],1))</f>
        <v>0</v>
      </c>
      <c r="BI441" t="b">
        <f>+ISNUMBER(SEARCH(#REF!,Tabla11[[#This Row],[Cuenta]],1))</f>
        <v>0</v>
      </c>
      <c r="BJ441" t="b">
        <f>+ISNUMBER(SEARCH(#REF!,Tabla11[[#This Row],[Cuenta]],1))</f>
        <v>0</v>
      </c>
      <c r="BS441" t="str">
        <v>236550 Por pagos al exterior</v>
      </c>
      <c r="BT441" t="str">
        <v>236550 Por pagos al exterior</v>
      </c>
      <c r="BU441" t="str">
        <v>236550 Por pagos al exterior</v>
      </c>
      <c r="BV441" t="str">
        <v>236550 Por pagos al exterior</v>
      </c>
      <c r="BZ441" t="str">
        <v>236550 Por pagos al exterior</v>
      </c>
      <c r="CA441" t="str">
        <v>236550 Por pagos al exterior</v>
      </c>
      <c r="CB441" t="str">
        <v>236550 Por pagos al exterior</v>
      </c>
      <c r="CC441" t="str">
        <v>236550 Por pagos al exterior</v>
      </c>
      <c r="CD441" t="str">
        <v>236550 Por pagos al exterior</v>
      </c>
      <c r="CE441" t="str">
        <v>236550 Por pagos al exterior</v>
      </c>
      <c r="CS441" s="141" t="str">
        <v>236550 Por pagos al exterior</v>
      </c>
      <c r="CT441" s="141" t="str">
        <v>236550 Por pagos al exterior</v>
      </c>
      <c r="CU441" s="141" t="str">
        <v>236550 Por pagos al exterior</v>
      </c>
      <c r="CV441" s="141" t="str">
        <v>236550 Por pagos al exterior</v>
      </c>
      <c r="CW441" s="141" t="str">
        <v>236550 Por pagos al exterior</v>
      </c>
      <c r="CX441" s="141" t="str">
        <v>236550 Por pagos al exterior</v>
      </c>
      <c r="CY441" s="141" t="str">
        <v>236550 Por pagos al exterior</v>
      </c>
      <c r="CZ441" s="141" t="str">
        <v>236550 Por pagos al exterior</v>
      </c>
      <c r="DA441" s="141" t="str">
        <v>236550 Por pagos al exterior</v>
      </c>
      <c r="DF441" t="str">
        <v>236550 Por pagos al exterior</v>
      </c>
      <c r="DG441" t="str">
        <v>236550 Por pagos al exterior</v>
      </c>
      <c r="DH441" t="str">
        <v>236550 Por pagos al exterior</v>
      </c>
      <c r="DI441" t="str">
        <v>236550 Por pagos al exterior</v>
      </c>
      <c r="DJ441" t="str">
        <v>236550 Por pagos al exterior</v>
      </c>
      <c r="DK441" t="str">
        <v>236550 Por pagos al exterior</v>
      </c>
      <c r="DL441" t="str">
        <v>236550 Por pagos al exterior</v>
      </c>
      <c r="DM441" t="str">
        <v>236550 Por pagos al exterior</v>
      </c>
      <c r="DN441" t="str">
        <v>236550 Por pagos al exterior</v>
      </c>
      <c r="DO441" t="str">
        <v>236550 Por pagos al exterior</v>
      </c>
      <c r="DP441" t="str">
        <v>236550 Por pagos al exterior</v>
      </c>
    </row>
    <row r="442" spans="4:120" ht="12.75">
      <c r="D442" s="7">
        <v>236555</v>
      </c>
      <c r="E442" s="6" t="s">
        <v>334</v>
      </c>
      <c r="F442" s="5">
        <v>4</v>
      </c>
      <c r="G442" s="34" t="s">
        <v>823</v>
      </c>
      <c r="H442" s="26" t="s">
        <v>765</v>
      </c>
      <c r="I442" t="b">
        <f>+ISNUMBER(SEARCH('F-COMPRA'!$F$28,Tabla11[[#This Row],[Cuenta]],1))</f>
        <v>1</v>
      </c>
      <c r="J442" t="b">
        <f>+ISNUMBER(SEARCH('F-COMPRA'!$F$29,Tabla11[[#This Row],[Cuenta]],1))</f>
        <v>1</v>
      </c>
      <c r="K442" t="b">
        <f>+ISNUMBER(SEARCH('F-COMPRA'!$F$30,Tabla11[[#This Row],[Cuenta]],1))</f>
        <v>1</v>
      </c>
      <c r="L442" t="b">
        <f>+ISNUMBER(SEARCH('F-COMPRA'!$F$31,Tabla11[[#This Row],[Cuenta]],1))</f>
        <v>1</v>
      </c>
      <c r="M442" t="b">
        <f>+ISNUMBER(SEARCH('F-COMPRA'!$G$25,Tabla11[[#This Row],[Cuenta]],1))</f>
        <v>0</v>
      </c>
      <c r="N442" t="b">
        <f>+ISNUMBER(SEARCH(#REF!,Tabla11[[#This Row],[Cuenta]],1))</f>
        <v>0</v>
      </c>
      <c r="O442" t="b">
        <f>+ISNUMBER(SEARCH(#REF!,Tabla11[[#This Row],[Cuenta]],1))</f>
        <v>0</v>
      </c>
      <c r="P442" t="b">
        <f>+ISNUMBER(SEARCH('F-COMPRA'!$F$32,Tabla11[[#This Row],[Cuenta]],1))</f>
        <v>1</v>
      </c>
      <c r="Q442" t="b">
        <f>+ISNUMBER(SEARCH('F-COMPRA'!$F$33,Tabla11[[#This Row],[Cuenta]],1))</f>
        <v>1</v>
      </c>
      <c r="R442" t="b">
        <f>+ISNUMBER(SEARCH('F-COMPRA'!$F$34,Tabla11[[#This Row],[Cuenta]],1))</f>
        <v>1</v>
      </c>
      <c r="S442" t="b">
        <f>+ISNUMBER(SEARCH('F-COMPRA'!$F$35,Tabla11[[#This Row],[Cuenta]],1))</f>
        <v>1</v>
      </c>
      <c r="T442" t="b">
        <f>+ISNUMBER(SEARCH('F-COMPRA'!$F$36,Tabla11[[#This Row],[Cuenta]],1))</f>
        <v>1</v>
      </c>
      <c r="U442" t="b">
        <f>+ISNUMBER(SEARCH('F-COMPRA'!$F$37,Tabla11[[#This Row],[Cuenta]],1))</f>
        <v>1</v>
      </c>
      <c r="V442" t="b">
        <f>+ISNUMBER(SEARCH(#REF!,Tabla11[[#This Row],[Cuenta]],1))</f>
        <v>0</v>
      </c>
      <c r="W442" t="b">
        <f>+ISNUMBER(SEARCH('F-COMPRA'!#REF!,Tabla11[[#This Row],[Cuenta]],1))</f>
        <v>0</v>
      </c>
      <c r="X442" t="b">
        <f>+ISNUMBER(SEARCH('F-COMPRA'!#REF!,Tabla11[[#This Row],[Cuenta]],1))</f>
        <v>0</v>
      </c>
      <c r="Y442" t="b">
        <f>+ISNUMBER(SEARCH('F-COMPRA'!#REF!,Tabla11[[#This Row],[Cuenta]],1))</f>
        <v>0</v>
      </c>
      <c r="Z442" t="b">
        <f>+ISNUMBER(SEARCH('F-COMPRA'!#REF!,Tabla11[[#This Row],[Cuenta]],1))</f>
        <v>0</v>
      </c>
      <c r="AA442" t="b">
        <f>+ISNUMBER(SEARCH('F-COMPRA'!#REF!,Tabla11[[#This Row],[Cuenta]],1))</f>
        <v>0</v>
      </c>
      <c r="AB442" t="b">
        <f>+ISNUMBER(SEARCH('F-COMPRA'!#REF!,Tabla11[[#This Row],[Cuenta]],1))</f>
        <v>0</v>
      </c>
      <c r="AC442" t="b">
        <f>+ISNUMBER(SEARCH('F-COMPRA'!#REF!,Tabla11[[#This Row],[Cuenta]],1))</f>
        <v>0</v>
      </c>
      <c r="AD442" t="b">
        <f>+ISNUMBER(SEARCH('F-COMPRA'!#REF!,Tabla11[[#This Row],[Cuenta]],1))</f>
        <v>0</v>
      </c>
      <c r="AE442" t="b">
        <f>+ISNUMBER(SEARCH('F-COMPRA'!#REF!,Tabla11[[#This Row],[Cuenta]],1))</f>
        <v>0</v>
      </c>
      <c r="AF442" t="b">
        <f>+ISNUMBER(SEARCH('F-VTA'!$G$23,Tabla11[[#This Row],[Cuenta]],1))</f>
        <v>0</v>
      </c>
      <c r="AG442" t="b">
        <f>+ISNUMBER(SEARCH('F-VTA'!$G$24,Tabla11[[#This Row],[Cuenta]],1))</f>
        <v>0</v>
      </c>
      <c r="AH442" t="b">
        <f>+ISNUMBER(SEARCH('F-VTA'!$G$25,Tabla11[[#This Row],[Cuenta]],1))</f>
        <v>0</v>
      </c>
      <c r="AI442" t="b">
        <f>+ISNUMBER(SEARCH('F-VTA'!$F$28,Tabla11[[#This Row],[Cuenta]],1))</f>
        <v>1</v>
      </c>
      <c r="AJ442" t="b">
        <f>+ISNUMBER(SEARCH('F-VTA'!$F$29,Tabla11[[#This Row],[Cuenta]],1))</f>
        <v>1</v>
      </c>
      <c r="AK442" t="b">
        <f>+ISNUMBER(SEARCH('F-VTA'!$F$30,Tabla11[[#This Row],[Cuenta]],1))</f>
        <v>1</v>
      </c>
      <c r="AL442" t="b">
        <f>+ISNUMBER(SEARCH('F-VTA'!$F$31,Tabla11[[#This Row],[Cuenta]],1))</f>
        <v>1</v>
      </c>
      <c r="AM442" t="b">
        <f>+ISNUMBER(SEARCH('F-VTA'!$F$32,Tabla11[[#This Row],[Cuenta]],1))</f>
        <v>1</v>
      </c>
      <c r="AN442" t="b">
        <f>+ISNUMBER(SEARCH('F-VTA'!$F$33,Tabla11[[#This Row],[Cuenta]],1))</f>
        <v>1</v>
      </c>
      <c r="AO442" t="b">
        <f>+ISNUMBER(SEARCH('F-VTA'!$F$34,Tabla11[[#This Row],[Cuenta]],1))</f>
        <v>1</v>
      </c>
      <c r="AP442" t="b">
        <f>+ISNUMBER(SEARCH('F-VTA'!$F$35,Tabla11[[#This Row],[Cuenta]],1))</f>
        <v>1</v>
      </c>
      <c r="AQ442" t="b">
        <f>+ISNUMBER(SEARCH('F-VTA'!$F$36,Tabla11[[#This Row],[Cuenta]],1))</f>
        <v>1</v>
      </c>
      <c r="AR442" t="b">
        <f>+ISNUMBER(SEARCH(#REF!,Tabla11[[#This Row],[Cuenta]],1))</f>
        <v>0</v>
      </c>
      <c r="AS442" t="b">
        <f>+ISNUMBER(SEARCH(#REF!,Tabla11[[#This Row],[Cuenta]],1))</f>
        <v>0</v>
      </c>
      <c r="AT442" t="b">
        <f>+ISNUMBER(SEARCH(#REF!,Tabla11[[#This Row],[Cuenta]],1))</f>
        <v>0</v>
      </c>
      <c r="AU442" t="b">
        <f>+ISNUMBER(SEARCH('Conc. Ban.1'!$I$9,Tabla11[[#This Row],[Cuenta]],1))</f>
        <v>0</v>
      </c>
      <c r="AV442" t="b">
        <f>+ISNUMBER(SEARCH(CompConta!$F$21,Tabla11[[#This Row],[Cuenta]],1))</f>
        <v>1</v>
      </c>
      <c r="AW442" t="b">
        <f>+ISNUMBER(SEARCH(CompConta!$F$22,Tabla11[[#This Row],[Cuenta]],1))</f>
        <v>1</v>
      </c>
      <c r="AX442" t="b">
        <f>+ISNUMBER(SEARCH(CompConta!$F$23,Tabla11[[#This Row],[Cuenta]],1))</f>
        <v>1</v>
      </c>
      <c r="AY442" t="b">
        <f>+ISNUMBER(SEARCH(CompConta!$F$24,Tabla11[[#This Row],[Cuenta]],1))</f>
        <v>1</v>
      </c>
      <c r="AZ442" t="b">
        <f>+ISNUMBER(SEARCH(CompConta!$F$25,Tabla11[[#This Row],[Cuenta]],1))</f>
        <v>1</v>
      </c>
      <c r="BA442" t="b">
        <f>+ISNUMBER(SEARCH(CompConta!$F$26,Tabla11[[#This Row],[Cuenta]],1))</f>
        <v>1</v>
      </c>
      <c r="BB442" t="b">
        <f>+ISNUMBER(SEARCH(CompConta!$F$27,Tabla11[[#This Row],[Cuenta]],1))</f>
        <v>1</v>
      </c>
      <c r="BC442" t="b">
        <f>+ISNUMBER(SEARCH(CompConta!$F$28,Tabla11[[#This Row],[Cuenta]],1))</f>
        <v>1</v>
      </c>
      <c r="BD442" t="b">
        <f>+ISNUMBER(SEARCH(CompConta!$F$29,Tabla11[[#This Row],[Cuenta]],1))</f>
        <v>1</v>
      </c>
      <c r="BE442" t="b">
        <f>+ISNUMBER(SEARCH(CompConta!$F$30,Tabla11[[#This Row],[Cuenta]],1))</f>
        <v>1</v>
      </c>
      <c r="BF442" t="b">
        <f>+ISNUMBER(SEARCH('PAGO Compras'!$E$11,Tabla11[[#This Row],[Cuenta]],1))</f>
        <v>1</v>
      </c>
      <c r="BG442" t="b">
        <f>+ISNUMBER(SEARCH(#REF!,Tabla11[[#This Row],[Cuenta]],1))</f>
        <v>0</v>
      </c>
      <c r="BH442" t="b">
        <f>+ISNUMBER(SEARCH(#REF!,Tabla11[[#This Row],[Cuenta]],1))</f>
        <v>0</v>
      </c>
      <c r="BI442" t="b">
        <f>+ISNUMBER(SEARCH(#REF!,Tabla11[[#This Row],[Cuenta]],1))</f>
        <v>0</v>
      </c>
      <c r="BJ442" t="b">
        <f>+ISNUMBER(SEARCH(#REF!,Tabla11[[#This Row],[Cuenta]],1))</f>
        <v>0</v>
      </c>
      <c r="BS442" t="str">
        <v>236555 Por ingresos obtenidos en el exterior</v>
      </c>
      <c r="BT442" t="str">
        <v>236555 Por ingresos obtenidos en el exterior</v>
      </c>
      <c r="BU442" t="str">
        <v>236555 Por ingresos obtenidos en el exterior</v>
      </c>
      <c r="BV442" t="str">
        <v>236555 Por ingresos obtenidos en el exterior</v>
      </c>
      <c r="BZ442" t="str">
        <v>236555 Por ingresos obtenidos en el exterior</v>
      </c>
      <c r="CA442" t="str">
        <v>236555 Por ingresos obtenidos en el exterior</v>
      </c>
      <c r="CB442" t="str">
        <v>236555 Por ingresos obtenidos en el exterior</v>
      </c>
      <c r="CC442" t="str">
        <v>236555 Por ingresos obtenidos en el exterior</v>
      </c>
      <c r="CD442" t="str">
        <v>236555 Por ingresos obtenidos en el exterior</v>
      </c>
      <c r="CE442" t="str">
        <v>236555 Por ingresos obtenidos en el exterior</v>
      </c>
      <c r="CS442" s="141" t="str">
        <v>236555 Por ingresos obtenidos en el exterior</v>
      </c>
      <c r="CT442" s="141" t="str">
        <v>236555 Por ingresos obtenidos en el exterior</v>
      </c>
      <c r="CU442" s="141" t="str">
        <v>236555 Por ingresos obtenidos en el exterior</v>
      </c>
      <c r="CV442" s="141" t="str">
        <v>236555 Por ingresos obtenidos en el exterior</v>
      </c>
      <c r="CW442" s="141" t="str">
        <v>236555 Por ingresos obtenidos en el exterior</v>
      </c>
      <c r="CX442" s="141" t="str">
        <v>236555 Por ingresos obtenidos en el exterior</v>
      </c>
      <c r="CY442" s="141" t="str">
        <v>236555 Por ingresos obtenidos en el exterior</v>
      </c>
      <c r="CZ442" s="141" t="str">
        <v>236555 Por ingresos obtenidos en el exterior</v>
      </c>
      <c r="DA442" s="141" t="str">
        <v>236555 Por ingresos obtenidos en el exterior</v>
      </c>
      <c r="DF442" t="str">
        <v>236555 Por ingresos obtenidos en el exterior</v>
      </c>
      <c r="DG442" t="str">
        <v>236555 Por ingresos obtenidos en el exterior</v>
      </c>
      <c r="DH442" t="str">
        <v>236555 Por ingresos obtenidos en el exterior</v>
      </c>
      <c r="DI442" t="str">
        <v>236555 Por ingresos obtenidos en el exterior</v>
      </c>
      <c r="DJ442" t="str">
        <v>236555 Por ingresos obtenidos en el exterior</v>
      </c>
      <c r="DK442" t="str">
        <v>236555 Por ingresos obtenidos en el exterior</v>
      </c>
      <c r="DL442" t="str">
        <v>236555 Por ingresos obtenidos en el exterior</v>
      </c>
      <c r="DM442" t="str">
        <v>236555 Por ingresos obtenidos en el exterior</v>
      </c>
      <c r="DN442" t="str">
        <v>236555 Por ingresos obtenidos en el exterior</v>
      </c>
      <c r="DO442" t="str">
        <v>236555 Por ingresos obtenidos en el exterior</v>
      </c>
      <c r="DP442" t="str">
        <v>236555 Por ingresos obtenidos en el exterior</v>
      </c>
    </row>
    <row r="443" spans="4:120" ht="12.75">
      <c r="D443" s="7">
        <v>236560</v>
      </c>
      <c r="E443" s="6" t="s">
        <v>335</v>
      </c>
      <c r="F443" s="5">
        <v>4</v>
      </c>
      <c r="G443" s="34" t="s">
        <v>823</v>
      </c>
      <c r="H443" s="26" t="s">
        <v>765</v>
      </c>
      <c r="I443" t="b">
        <f>+ISNUMBER(SEARCH('F-COMPRA'!$F$28,Tabla11[[#This Row],[Cuenta]],1))</f>
        <v>1</v>
      </c>
      <c r="J443" t="b">
        <f>+ISNUMBER(SEARCH('F-COMPRA'!$F$29,Tabla11[[#This Row],[Cuenta]],1))</f>
        <v>1</v>
      </c>
      <c r="K443" t="b">
        <f>+ISNUMBER(SEARCH('F-COMPRA'!$F$30,Tabla11[[#This Row],[Cuenta]],1))</f>
        <v>1</v>
      </c>
      <c r="L443" t="b">
        <f>+ISNUMBER(SEARCH('F-COMPRA'!$F$31,Tabla11[[#This Row],[Cuenta]],1))</f>
        <v>1</v>
      </c>
      <c r="M443" t="b">
        <f>+ISNUMBER(SEARCH('F-COMPRA'!$G$25,Tabla11[[#This Row],[Cuenta]],1))</f>
        <v>0</v>
      </c>
      <c r="N443" t="b">
        <f>+ISNUMBER(SEARCH(#REF!,Tabla11[[#This Row],[Cuenta]],1))</f>
        <v>0</v>
      </c>
      <c r="O443" t="b">
        <f>+ISNUMBER(SEARCH(#REF!,Tabla11[[#This Row],[Cuenta]],1))</f>
        <v>0</v>
      </c>
      <c r="P443" t="b">
        <f>+ISNUMBER(SEARCH('F-COMPRA'!$F$32,Tabla11[[#This Row],[Cuenta]],1))</f>
        <v>1</v>
      </c>
      <c r="Q443" t="b">
        <f>+ISNUMBER(SEARCH('F-COMPRA'!$F$33,Tabla11[[#This Row],[Cuenta]],1))</f>
        <v>1</v>
      </c>
      <c r="R443" t="b">
        <f>+ISNUMBER(SEARCH('F-COMPRA'!$F$34,Tabla11[[#This Row],[Cuenta]],1))</f>
        <v>1</v>
      </c>
      <c r="S443" t="b">
        <f>+ISNUMBER(SEARCH('F-COMPRA'!$F$35,Tabla11[[#This Row],[Cuenta]],1))</f>
        <v>1</v>
      </c>
      <c r="T443" t="b">
        <f>+ISNUMBER(SEARCH('F-COMPRA'!$F$36,Tabla11[[#This Row],[Cuenta]],1))</f>
        <v>1</v>
      </c>
      <c r="U443" t="b">
        <f>+ISNUMBER(SEARCH('F-COMPRA'!$F$37,Tabla11[[#This Row],[Cuenta]],1))</f>
        <v>1</v>
      </c>
      <c r="V443" t="b">
        <f>+ISNUMBER(SEARCH(#REF!,Tabla11[[#This Row],[Cuenta]],1))</f>
        <v>0</v>
      </c>
      <c r="W443" t="b">
        <f>+ISNUMBER(SEARCH('F-COMPRA'!#REF!,Tabla11[[#This Row],[Cuenta]],1))</f>
        <v>0</v>
      </c>
      <c r="X443" t="b">
        <f>+ISNUMBER(SEARCH('F-COMPRA'!#REF!,Tabla11[[#This Row],[Cuenta]],1))</f>
        <v>0</v>
      </c>
      <c r="Y443" t="b">
        <f>+ISNUMBER(SEARCH('F-COMPRA'!#REF!,Tabla11[[#This Row],[Cuenta]],1))</f>
        <v>0</v>
      </c>
      <c r="Z443" t="b">
        <f>+ISNUMBER(SEARCH('F-COMPRA'!#REF!,Tabla11[[#This Row],[Cuenta]],1))</f>
        <v>0</v>
      </c>
      <c r="AA443" t="b">
        <f>+ISNUMBER(SEARCH('F-COMPRA'!#REF!,Tabla11[[#This Row],[Cuenta]],1))</f>
        <v>0</v>
      </c>
      <c r="AB443" t="b">
        <f>+ISNUMBER(SEARCH('F-COMPRA'!#REF!,Tabla11[[#This Row],[Cuenta]],1))</f>
        <v>0</v>
      </c>
      <c r="AC443" t="b">
        <f>+ISNUMBER(SEARCH('F-COMPRA'!#REF!,Tabla11[[#This Row],[Cuenta]],1))</f>
        <v>0</v>
      </c>
      <c r="AD443" t="b">
        <f>+ISNUMBER(SEARCH('F-COMPRA'!#REF!,Tabla11[[#This Row],[Cuenta]],1))</f>
        <v>0</v>
      </c>
      <c r="AE443" t="b">
        <f>+ISNUMBER(SEARCH('F-COMPRA'!#REF!,Tabla11[[#This Row],[Cuenta]],1))</f>
        <v>0</v>
      </c>
      <c r="AF443" t="b">
        <f>+ISNUMBER(SEARCH('F-VTA'!$G$23,Tabla11[[#This Row],[Cuenta]],1))</f>
        <v>0</v>
      </c>
      <c r="AG443" t="b">
        <f>+ISNUMBER(SEARCH('F-VTA'!$G$24,Tabla11[[#This Row],[Cuenta]],1))</f>
        <v>0</v>
      </c>
      <c r="AH443" t="b">
        <f>+ISNUMBER(SEARCH('F-VTA'!$G$25,Tabla11[[#This Row],[Cuenta]],1))</f>
        <v>0</v>
      </c>
      <c r="AI443" t="b">
        <f>+ISNUMBER(SEARCH('F-VTA'!$F$28,Tabla11[[#This Row],[Cuenta]],1))</f>
        <v>1</v>
      </c>
      <c r="AJ443" t="b">
        <f>+ISNUMBER(SEARCH('F-VTA'!$F$29,Tabla11[[#This Row],[Cuenta]],1))</f>
        <v>1</v>
      </c>
      <c r="AK443" t="b">
        <f>+ISNUMBER(SEARCH('F-VTA'!$F$30,Tabla11[[#This Row],[Cuenta]],1))</f>
        <v>1</v>
      </c>
      <c r="AL443" t="b">
        <f>+ISNUMBER(SEARCH('F-VTA'!$F$31,Tabla11[[#This Row],[Cuenta]],1))</f>
        <v>1</v>
      </c>
      <c r="AM443" t="b">
        <f>+ISNUMBER(SEARCH('F-VTA'!$F$32,Tabla11[[#This Row],[Cuenta]],1))</f>
        <v>1</v>
      </c>
      <c r="AN443" t="b">
        <f>+ISNUMBER(SEARCH('F-VTA'!$F$33,Tabla11[[#This Row],[Cuenta]],1))</f>
        <v>1</v>
      </c>
      <c r="AO443" t="b">
        <f>+ISNUMBER(SEARCH('F-VTA'!$F$34,Tabla11[[#This Row],[Cuenta]],1))</f>
        <v>1</v>
      </c>
      <c r="AP443" t="b">
        <f>+ISNUMBER(SEARCH('F-VTA'!$F$35,Tabla11[[#This Row],[Cuenta]],1))</f>
        <v>1</v>
      </c>
      <c r="AQ443" t="b">
        <f>+ISNUMBER(SEARCH('F-VTA'!$F$36,Tabla11[[#This Row],[Cuenta]],1))</f>
        <v>1</v>
      </c>
      <c r="AR443" t="b">
        <f>+ISNUMBER(SEARCH(#REF!,Tabla11[[#This Row],[Cuenta]],1))</f>
        <v>0</v>
      </c>
      <c r="AS443" t="b">
        <f>+ISNUMBER(SEARCH(#REF!,Tabla11[[#This Row],[Cuenta]],1))</f>
        <v>0</v>
      </c>
      <c r="AT443" t="b">
        <f>+ISNUMBER(SEARCH(#REF!,Tabla11[[#This Row],[Cuenta]],1))</f>
        <v>0</v>
      </c>
      <c r="AU443" t="b">
        <f>+ISNUMBER(SEARCH('Conc. Ban.1'!$I$9,Tabla11[[#This Row],[Cuenta]],1))</f>
        <v>0</v>
      </c>
      <c r="AV443" t="b">
        <f>+ISNUMBER(SEARCH(CompConta!$F$21,Tabla11[[#This Row],[Cuenta]],1))</f>
        <v>1</v>
      </c>
      <c r="AW443" t="b">
        <f>+ISNUMBER(SEARCH(CompConta!$F$22,Tabla11[[#This Row],[Cuenta]],1))</f>
        <v>1</v>
      </c>
      <c r="AX443" t="b">
        <f>+ISNUMBER(SEARCH(CompConta!$F$23,Tabla11[[#This Row],[Cuenta]],1))</f>
        <v>1</v>
      </c>
      <c r="AY443" t="b">
        <f>+ISNUMBER(SEARCH(CompConta!$F$24,Tabla11[[#This Row],[Cuenta]],1))</f>
        <v>1</v>
      </c>
      <c r="AZ443" t="b">
        <f>+ISNUMBER(SEARCH(CompConta!$F$25,Tabla11[[#This Row],[Cuenta]],1))</f>
        <v>1</v>
      </c>
      <c r="BA443" t="b">
        <f>+ISNUMBER(SEARCH(CompConta!$F$26,Tabla11[[#This Row],[Cuenta]],1))</f>
        <v>1</v>
      </c>
      <c r="BB443" t="b">
        <f>+ISNUMBER(SEARCH(CompConta!$F$27,Tabla11[[#This Row],[Cuenta]],1))</f>
        <v>1</v>
      </c>
      <c r="BC443" t="b">
        <f>+ISNUMBER(SEARCH(CompConta!$F$28,Tabla11[[#This Row],[Cuenta]],1))</f>
        <v>1</v>
      </c>
      <c r="BD443" t="b">
        <f>+ISNUMBER(SEARCH(CompConta!$F$29,Tabla11[[#This Row],[Cuenta]],1))</f>
        <v>1</v>
      </c>
      <c r="BE443" t="b">
        <f>+ISNUMBER(SEARCH(CompConta!$F$30,Tabla11[[#This Row],[Cuenta]],1))</f>
        <v>1</v>
      </c>
      <c r="BF443" t="b">
        <f>+ISNUMBER(SEARCH('PAGO Compras'!$E$11,Tabla11[[#This Row],[Cuenta]],1))</f>
        <v>1</v>
      </c>
      <c r="BG443" t="b">
        <f>+ISNUMBER(SEARCH(#REF!,Tabla11[[#This Row],[Cuenta]],1))</f>
        <v>0</v>
      </c>
      <c r="BH443" t="b">
        <f>+ISNUMBER(SEARCH(#REF!,Tabla11[[#This Row],[Cuenta]],1))</f>
        <v>0</v>
      </c>
      <c r="BI443" t="b">
        <f>+ISNUMBER(SEARCH(#REF!,Tabla11[[#This Row],[Cuenta]],1))</f>
        <v>0</v>
      </c>
      <c r="BJ443" t="b">
        <f>+ISNUMBER(SEARCH(#REF!,Tabla11[[#This Row],[Cuenta]],1))</f>
        <v>0</v>
      </c>
      <c r="BS443" t="str">
        <v>236560 Enajenac. propied planta y equipo, person nat</v>
      </c>
      <c r="BT443" t="str">
        <v>236560 Enajenac. propied planta y equipo, person nat</v>
      </c>
      <c r="BU443" t="str">
        <v>236560 Enajenac. propied planta y equipo, person nat</v>
      </c>
      <c r="BV443" t="str">
        <v>236560 Enajenac. propied planta y equipo, person nat</v>
      </c>
      <c r="BZ443" t="str">
        <v>236560 Enajenac. propied planta y equipo, person nat</v>
      </c>
      <c r="CA443" t="str">
        <v>236560 Enajenac. propied planta y equipo, person nat</v>
      </c>
      <c r="CB443" t="str">
        <v>236560 Enajenac. propied planta y equipo, person nat</v>
      </c>
      <c r="CC443" t="str">
        <v>236560 Enajenac. propied planta y equipo, person nat</v>
      </c>
      <c r="CD443" t="str">
        <v>236560 Enajenac. propied planta y equipo, person nat</v>
      </c>
      <c r="CE443" t="str">
        <v>236560 Enajenac. propied planta y equipo, person nat</v>
      </c>
      <c r="CS443" s="141" t="str">
        <v>236560 Enajenac. propied planta y equipo, person nat</v>
      </c>
      <c r="CT443" s="141" t="str">
        <v>236560 Enajenac. propied planta y equipo, person nat</v>
      </c>
      <c r="CU443" s="141" t="str">
        <v>236560 Enajenac. propied planta y equipo, person nat</v>
      </c>
      <c r="CV443" s="141" t="str">
        <v>236560 Enajenac. propied planta y equipo, person nat</v>
      </c>
      <c r="CW443" s="141" t="str">
        <v>236560 Enajenac. propied planta y equipo, person nat</v>
      </c>
      <c r="CX443" s="141" t="str">
        <v>236560 Enajenac. propied planta y equipo, person nat</v>
      </c>
      <c r="CY443" s="141" t="str">
        <v>236560 Enajenac. propied planta y equipo, person nat</v>
      </c>
      <c r="CZ443" s="141" t="str">
        <v>236560 Enajenac. propied planta y equipo, person nat</v>
      </c>
      <c r="DA443" s="141" t="str">
        <v>236560 Enajenac. propied planta y equipo, person nat</v>
      </c>
      <c r="DF443" t="str">
        <v>236560 Enajenac. propied planta y equipo, person nat</v>
      </c>
      <c r="DG443" t="str">
        <v>236560 Enajenac. propied planta y equipo, person nat</v>
      </c>
      <c r="DH443" t="str">
        <v>236560 Enajenac. propied planta y equipo, person nat</v>
      </c>
      <c r="DI443" t="str">
        <v>236560 Enajenac. propied planta y equipo, person nat</v>
      </c>
      <c r="DJ443" t="str">
        <v>236560 Enajenac. propied planta y equipo, person nat</v>
      </c>
      <c r="DK443" t="str">
        <v>236560 Enajenac. propied planta y equipo, person nat</v>
      </c>
      <c r="DL443" t="str">
        <v>236560 Enajenac. propied planta y equipo, person nat</v>
      </c>
      <c r="DM443" t="str">
        <v>236560 Enajenac. propied planta y equipo, person nat</v>
      </c>
      <c r="DN443" t="str">
        <v>236560 Enajenac. propied planta y equipo, person nat</v>
      </c>
      <c r="DO443" t="str">
        <v>236560 Enajenac. propied planta y equipo, person nat</v>
      </c>
      <c r="DP443" t="str">
        <v>236560 Enajenac. propied planta y equipo, person nat</v>
      </c>
    </row>
    <row r="444" spans="4:120" ht="12.75">
      <c r="D444" s="7">
        <v>236565</v>
      </c>
      <c r="E444" s="6" t="s">
        <v>336</v>
      </c>
      <c r="F444" s="5">
        <v>4</v>
      </c>
      <c r="G444" s="34" t="s">
        <v>823</v>
      </c>
      <c r="H444" s="26" t="s">
        <v>765</v>
      </c>
      <c r="I444" t="b">
        <f>+ISNUMBER(SEARCH('F-COMPRA'!$F$28,Tabla11[[#This Row],[Cuenta]],1))</f>
        <v>1</v>
      </c>
      <c r="J444" t="b">
        <f>+ISNUMBER(SEARCH('F-COMPRA'!$F$29,Tabla11[[#This Row],[Cuenta]],1))</f>
        <v>1</v>
      </c>
      <c r="K444" t="b">
        <f>+ISNUMBER(SEARCH('F-COMPRA'!$F$30,Tabla11[[#This Row],[Cuenta]],1))</f>
        <v>1</v>
      </c>
      <c r="L444" t="b">
        <f>+ISNUMBER(SEARCH('F-COMPRA'!$F$31,Tabla11[[#This Row],[Cuenta]],1))</f>
        <v>1</v>
      </c>
      <c r="M444" t="b">
        <f>+ISNUMBER(SEARCH('F-COMPRA'!$G$25,Tabla11[[#This Row],[Cuenta]],1))</f>
        <v>0</v>
      </c>
      <c r="N444" t="b">
        <f>+ISNUMBER(SEARCH(#REF!,Tabla11[[#This Row],[Cuenta]],1))</f>
        <v>0</v>
      </c>
      <c r="O444" t="b">
        <f>+ISNUMBER(SEARCH(#REF!,Tabla11[[#This Row],[Cuenta]],1))</f>
        <v>0</v>
      </c>
      <c r="P444" t="b">
        <f>+ISNUMBER(SEARCH('F-COMPRA'!$F$32,Tabla11[[#This Row],[Cuenta]],1))</f>
        <v>1</v>
      </c>
      <c r="Q444" t="b">
        <f>+ISNUMBER(SEARCH('F-COMPRA'!$F$33,Tabla11[[#This Row],[Cuenta]],1))</f>
        <v>1</v>
      </c>
      <c r="R444" t="b">
        <f>+ISNUMBER(SEARCH('F-COMPRA'!$F$34,Tabla11[[#This Row],[Cuenta]],1))</f>
        <v>1</v>
      </c>
      <c r="S444" t="b">
        <f>+ISNUMBER(SEARCH('F-COMPRA'!$F$35,Tabla11[[#This Row],[Cuenta]],1))</f>
        <v>1</v>
      </c>
      <c r="T444" t="b">
        <f>+ISNUMBER(SEARCH('F-COMPRA'!$F$36,Tabla11[[#This Row],[Cuenta]],1))</f>
        <v>1</v>
      </c>
      <c r="U444" t="b">
        <f>+ISNUMBER(SEARCH('F-COMPRA'!$F$37,Tabla11[[#This Row],[Cuenta]],1))</f>
        <v>1</v>
      </c>
      <c r="V444" t="b">
        <f>+ISNUMBER(SEARCH(#REF!,Tabla11[[#This Row],[Cuenta]],1))</f>
        <v>0</v>
      </c>
      <c r="W444" t="b">
        <f>+ISNUMBER(SEARCH('F-COMPRA'!#REF!,Tabla11[[#This Row],[Cuenta]],1))</f>
        <v>0</v>
      </c>
      <c r="X444" t="b">
        <f>+ISNUMBER(SEARCH('F-COMPRA'!#REF!,Tabla11[[#This Row],[Cuenta]],1))</f>
        <v>0</v>
      </c>
      <c r="Y444" t="b">
        <f>+ISNUMBER(SEARCH('F-COMPRA'!#REF!,Tabla11[[#This Row],[Cuenta]],1))</f>
        <v>0</v>
      </c>
      <c r="Z444" t="b">
        <f>+ISNUMBER(SEARCH('F-COMPRA'!#REF!,Tabla11[[#This Row],[Cuenta]],1))</f>
        <v>0</v>
      </c>
      <c r="AA444" t="b">
        <f>+ISNUMBER(SEARCH('F-COMPRA'!#REF!,Tabla11[[#This Row],[Cuenta]],1))</f>
        <v>0</v>
      </c>
      <c r="AB444" t="b">
        <f>+ISNUMBER(SEARCH('F-COMPRA'!#REF!,Tabla11[[#This Row],[Cuenta]],1))</f>
        <v>0</v>
      </c>
      <c r="AC444" t="b">
        <f>+ISNUMBER(SEARCH('F-COMPRA'!#REF!,Tabla11[[#This Row],[Cuenta]],1))</f>
        <v>0</v>
      </c>
      <c r="AD444" t="b">
        <f>+ISNUMBER(SEARCH('F-COMPRA'!#REF!,Tabla11[[#This Row],[Cuenta]],1))</f>
        <v>0</v>
      </c>
      <c r="AE444" t="b">
        <f>+ISNUMBER(SEARCH('F-COMPRA'!#REF!,Tabla11[[#This Row],[Cuenta]],1))</f>
        <v>0</v>
      </c>
      <c r="AF444" t="b">
        <f>+ISNUMBER(SEARCH('F-VTA'!$G$23,Tabla11[[#This Row],[Cuenta]],1))</f>
        <v>0</v>
      </c>
      <c r="AG444" t="b">
        <f>+ISNUMBER(SEARCH('F-VTA'!$G$24,Tabla11[[#This Row],[Cuenta]],1))</f>
        <v>0</v>
      </c>
      <c r="AH444" t="b">
        <f>+ISNUMBER(SEARCH('F-VTA'!$G$25,Tabla11[[#This Row],[Cuenta]],1))</f>
        <v>0</v>
      </c>
      <c r="AI444" t="b">
        <f>+ISNUMBER(SEARCH('F-VTA'!$F$28,Tabla11[[#This Row],[Cuenta]],1))</f>
        <v>1</v>
      </c>
      <c r="AJ444" t="b">
        <f>+ISNUMBER(SEARCH('F-VTA'!$F$29,Tabla11[[#This Row],[Cuenta]],1))</f>
        <v>1</v>
      </c>
      <c r="AK444" t="b">
        <f>+ISNUMBER(SEARCH('F-VTA'!$F$30,Tabla11[[#This Row],[Cuenta]],1))</f>
        <v>1</v>
      </c>
      <c r="AL444" t="b">
        <f>+ISNUMBER(SEARCH('F-VTA'!$F$31,Tabla11[[#This Row],[Cuenta]],1))</f>
        <v>1</v>
      </c>
      <c r="AM444" t="b">
        <f>+ISNUMBER(SEARCH('F-VTA'!$F$32,Tabla11[[#This Row],[Cuenta]],1))</f>
        <v>1</v>
      </c>
      <c r="AN444" t="b">
        <f>+ISNUMBER(SEARCH('F-VTA'!$F$33,Tabla11[[#This Row],[Cuenta]],1))</f>
        <v>1</v>
      </c>
      <c r="AO444" t="b">
        <f>+ISNUMBER(SEARCH('F-VTA'!$F$34,Tabla11[[#This Row],[Cuenta]],1))</f>
        <v>1</v>
      </c>
      <c r="AP444" t="b">
        <f>+ISNUMBER(SEARCH('F-VTA'!$F$35,Tabla11[[#This Row],[Cuenta]],1))</f>
        <v>1</v>
      </c>
      <c r="AQ444" t="b">
        <f>+ISNUMBER(SEARCH('F-VTA'!$F$36,Tabla11[[#This Row],[Cuenta]],1))</f>
        <v>1</v>
      </c>
      <c r="AR444" t="b">
        <f>+ISNUMBER(SEARCH(#REF!,Tabla11[[#This Row],[Cuenta]],1))</f>
        <v>0</v>
      </c>
      <c r="AS444" t="b">
        <f>+ISNUMBER(SEARCH(#REF!,Tabla11[[#This Row],[Cuenta]],1))</f>
        <v>0</v>
      </c>
      <c r="AT444" t="b">
        <f>+ISNUMBER(SEARCH(#REF!,Tabla11[[#This Row],[Cuenta]],1))</f>
        <v>0</v>
      </c>
      <c r="AU444" t="b">
        <f>+ISNUMBER(SEARCH('Conc. Ban.1'!$I$9,Tabla11[[#This Row],[Cuenta]],1))</f>
        <v>0</v>
      </c>
      <c r="AV444" t="b">
        <f>+ISNUMBER(SEARCH(CompConta!$F$21,Tabla11[[#This Row],[Cuenta]],1))</f>
        <v>1</v>
      </c>
      <c r="AW444" t="b">
        <f>+ISNUMBER(SEARCH(CompConta!$F$22,Tabla11[[#This Row],[Cuenta]],1))</f>
        <v>1</v>
      </c>
      <c r="AX444" t="b">
        <f>+ISNUMBER(SEARCH(CompConta!$F$23,Tabla11[[#This Row],[Cuenta]],1))</f>
        <v>1</v>
      </c>
      <c r="AY444" t="b">
        <f>+ISNUMBER(SEARCH(CompConta!$F$24,Tabla11[[#This Row],[Cuenta]],1))</f>
        <v>1</v>
      </c>
      <c r="AZ444" t="b">
        <f>+ISNUMBER(SEARCH(CompConta!$F$25,Tabla11[[#This Row],[Cuenta]],1))</f>
        <v>1</v>
      </c>
      <c r="BA444" t="b">
        <f>+ISNUMBER(SEARCH(CompConta!$F$26,Tabla11[[#This Row],[Cuenta]],1))</f>
        <v>1</v>
      </c>
      <c r="BB444" t="b">
        <f>+ISNUMBER(SEARCH(CompConta!$F$27,Tabla11[[#This Row],[Cuenta]],1))</f>
        <v>1</v>
      </c>
      <c r="BC444" t="b">
        <f>+ISNUMBER(SEARCH(CompConta!$F$28,Tabla11[[#This Row],[Cuenta]],1))</f>
        <v>1</v>
      </c>
      <c r="BD444" t="b">
        <f>+ISNUMBER(SEARCH(CompConta!$F$29,Tabla11[[#This Row],[Cuenta]],1))</f>
        <v>1</v>
      </c>
      <c r="BE444" t="b">
        <f>+ISNUMBER(SEARCH(CompConta!$F$30,Tabla11[[#This Row],[Cuenta]],1))</f>
        <v>1</v>
      </c>
      <c r="BF444" t="b">
        <f>+ISNUMBER(SEARCH('PAGO Compras'!$E$11,Tabla11[[#This Row],[Cuenta]],1))</f>
        <v>1</v>
      </c>
      <c r="BG444" t="b">
        <f>+ISNUMBER(SEARCH(#REF!,Tabla11[[#This Row],[Cuenta]],1))</f>
        <v>0</v>
      </c>
      <c r="BH444" t="b">
        <f>+ISNUMBER(SEARCH(#REF!,Tabla11[[#This Row],[Cuenta]],1))</f>
        <v>0</v>
      </c>
      <c r="BI444" t="b">
        <f>+ISNUMBER(SEARCH(#REF!,Tabla11[[#This Row],[Cuenta]],1))</f>
        <v>0</v>
      </c>
      <c r="BJ444" t="b">
        <f>+ISNUMBER(SEARCH(#REF!,Tabla11[[#This Row],[Cuenta]],1))</f>
        <v>0</v>
      </c>
      <c r="BS444" t="str">
        <v>236565 Por impuesto de timbre</v>
      </c>
      <c r="BT444" t="str">
        <v>236565 Por impuesto de timbre</v>
      </c>
      <c r="BU444" t="str">
        <v>236565 Por impuesto de timbre</v>
      </c>
      <c r="BV444" t="str">
        <v>236565 Por impuesto de timbre</v>
      </c>
      <c r="BZ444" t="str">
        <v>236565 Por impuesto de timbre</v>
      </c>
      <c r="CA444" t="str">
        <v>236565 Por impuesto de timbre</v>
      </c>
      <c r="CB444" t="str">
        <v>236565 Por impuesto de timbre</v>
      </c>
      <c r="CC444" t="str">
        <v>236565 Por impuesto de timbre</v>
      </c>
      <c r="CD444" t="str">
        <v>236565 Por impuesto de timbre</v>
      </c>
      <c r="CE444" t="str">
        <v>236565 Por impuesto de timbre</v>
      </c>
      <c r="CS444" s="141" t="str">
        <v>236565 Por impuesto de timbre</v>
      </c>
      <c r="CT444" s="141" t="str">
        <v>236565 Por impuesto de timbre</v>
      </c>
      <c r="CU444" s="141" t="str">
        <v>236565 Por impuesto de timbre</v>
      </c>
      <c r="CV444" s="141" t="str">
        <v>236565 Por impuesto de timbre</v>
      </c>
      <c r="CW444" s="141" t="str">
        <v>236565 Por impuesto de timbre</v>
      </c>
      <c r="CX444" s="141" t="str">
        <v>236565 Por impuesto de timbre</v>
      </c>
      <c r="CY444" s="141" t="str">
        <v>236565 Por impuesto de timbre</v>
      </c>
      <c r="CZ444" s="141" t="str">
        <v>236565 Por impuesto de timbre</v>
      </c>
      <c r="DA444" s="141" t="str">
        <v>236565 Por impuesto de timbre</v>
      </c>
      <c r="DF444" t="str">
        <v>236565 Por impuesto de timbre</v>
      </c>
      <c r="DG444" t="str">
        <v>236565 Por impuesto de timbre</v>
      </c>
      <c r="DH444" t="str">
        <v>236565 Por impuesto de timbre</v>
      </c>
      <c r="DI444" t="str">
        <v>236565 Por impuesto de timbre</v>
      </c>
      <c r="DJ444" t="str">
        <v>236565 Por impuesto de timbre</v>
      </c>
      <c r="DK444" t="str">
        <v>236565 Por impuesto de timbre</v>
      </c>
      <c r="DL444" t="str">
        <v>236565 Por impuesto de timbre</v>
      </c>
      <c r="DM444" t="str">
        <v>236565 Por impuesto de timbre</v>
      </c>
      <c r="DN444" t="str">
        <v>236565 Por impuesto de timbre</v>
      </c>
      <c r="DO444" t="str">
        <v>236565 Por impuesto de timbre</v>
      </c>
      <c r="DP444" t="str">
        <v>236565 Por impuesto de timbre</v>
      </c>
    </row>
    <row r="445" spans="4:120" ht="12.75">
      <c r="D445" s="7">
        <v>236570</v>
      </c>
      <c r="E445" s="6" t="s">
        <v>337</v>
      </c>
      <c r="F445" s="5">
        <v>4</v>
      </c>
      <c r="G445" s="34" t="s">
        <v>823</v>
      </c>
      <c r="H445" s="26" t="s">
        <v>765</v>
      </c>
      <c r="I445" t="b">
        <f>+ISNUMBER(SEARCH('F-COMPRA'!$F$28,Tabla11[[#This Row],[Cuenta]],1))</f>
        <v>1</v>
      </c>
      <c r="J445" t="b">
        <f>+ISNUMBER(SEARCH('F-COMPRA'!$F$29,Tabla11[[#This Row],[Cuenta]],1))</f>
        <v>1</v>
      </c>
      <c r="K445" t="b">
        <f>+ISNUMBER(SEARCH('F-COMPRA'!$F$30,Tabla11[[#This Row],[Cuenta]],1))</f>
        <v>1</v>
      </c>
      <c r="L445" t="b">
        <f>+ISNUMBER(SEARCH('F-COMPRA'!$F$31,Tabla11[[#This Row],[Cuenta]],1))</f>
        <v>1</v>
      </c>
      <c r="M445" t="b">
        <f>+ISNUMBER(SEARCH('F-COMPRA'!$G$25,Tabla11[[#This Row],[Cuenta]],1))</f>
        <v>0</v>
      </c>
      <c r="N445" t="b">
        <f>+ISNUMBER(SEARCH(#REF!,Tabla11[[#This Row],[Cuenta]],1))</f>
        <v>0</v>
      </c>
      <c r="O445" t="b">
        <f>+ISNUMBER(SEARCH(#REF!,Tabla11[[#This Row],[Cuenta]],1))</f>
        <v>0</v>
      </c>
      <c r="P445" t="b">
        <f>+ISNUMBER(SEARCH('F-COMPRA'!$F$32,Tabla11[[#This Row],[Cuenta]],1))</f>
        <v>1</v>
      </c>
      <c r="Q445" t="b">
        <f>+ISNUMBER(SEARCH('F-COMPRA'!$F$33,Tabla11[[#This Row],[Cuenta]],1))</f>
        <v>1</v>
      </c>
      <c r="R445" t="b">
        <f>+ISNUMBER(SEARCH('F-COMPRA'!$F$34,Tabla11[[#This Row],[Cuenta]],1))</f>
        <v>1</v>
      </c>
      <c r="S445" t="b">
        <f>+ISNUMBER(SEARCH('F-COMPRA'!$F$35,Tabla11[[#This Row],[Cuenta]],1))</f>
        <v>1</v>
      </c>
      <c r="T445" t="b">
        <f>+ISNUMBER(SEARCH('F-COMPRA'!$F$36,Tabla11[[#This Row],[Cuenta]],1))</f>
        <v>1</v>
      </c>
      <c r="U445" t="b">
        <f>+ISNUMBER(SEARCH('F-COMPRA'!$F$37,Tabla11[[#This Row],[Cuenta]],1))</f>
        <v>1</v>
      </c>
      <c r="V445" t="b">
        <f>+ISNUMBER(SEARCH(#REF!,Tabla11[[#This Row],[Cuenta]],1))</f>
        <v>0</v>
      </c>
      <c r="W445" t="b">
        <f>+ISNUMBER(SEARCH('F-COMPRA'!#REF!,Tabla11[[#This Row],[Cuenta]],1))</f>
        <v>0</v>
      </c>
      <c r="X445" t="b">
        <f>+ISNUMBER(SEARCH('F-COMPRA'!#REF!,Tabla11[[#This Row],[Cuenta]],1))</f>
        <v>0</v>
      </c>
      <c r="Y445" t="b">
        <f>+ISNUMBER(SEARCH('F-COMPRA'!#REF!,Tabla11[[#This Row],[Cuenta]],1))</f>
        <v>0</v>
      </c>
      <c r="Z445" t="b">
        <f>+ISNUMBER(SEARCH('F-COMPRA'!#REF!,Tabla11[[#This Row],[Cuenta]],1))</f>
        <v>0</v>
      </c>
      <c r="AA445" t="b">
        <f>+ISNUMBER(SEARCH('F-COMPRA'!#REF!,Tabla11[[#This Row],[Cuenta]],1))</f>
        <v>0</v>
      </c>
      <c r="AB445" t="b">
        <f>+ISNUMBER(SEARCH('F-COMPRA'!#REF!,Tabla11[[#This Row],[Cuenta]],1))</f>
        <v>0</v>
      </c>
      <c r="AC445" t="b">
        <f>+ISNUMBER(SEARCH('F-COMPRA'!#REF!,Tabla11[[#This Row],[Cuenta]],1))</f>
        <v>0</v>
      </c>
      <c r="AD445" t="b">
        <f>+ISNUMBER(SEARCH('F-COMPRA'!#REF!,Tabla11[[#This Row],[Cuenta]],1))</f>
        <v>0</v>
      </c>
      <c r="AE445" t="b">
        <f>+ISNUMBER(SEARCH('F-COMPRA'!#REF!,Tabla11[[#This Row],[Cuenta]],1))</f>
        <v>0</v>
      </c>
      <c r="AF445" t="b">
        <f>+ISNUMBER(SEARCH('F-VTA'!$G$23,Tabla11[[#This Row],[Cuenta]],1))</f>
        <v>0</v>
      </c>
      <c r="AG445" t="b">
        <f>+ISNUMBER(SEARCH('F-VTA'!$G$24,Tabla11[[#This Row],[Cuenta]],1))</f>
        <v>0</v>
      </c>
      <c r="AH445" t="b">
        <f>+ISNUMBER(SEARCH('F-VTA'!$G$25,Tabla11[[#This Row],[Cuenta]],1))</f>
        <v>0</v>
      </c>
      <c r="AI445" t="b">
        <f>+ISNUMBER(SEARCH('F-VTA'!$F$28,Tabla11[[#This Row],[Cuenta]],1))</f>
        <v>1</v>
      </c>
      <c r="AJ445" t="b">
        <f>+ISNUMBER(SEARCH('F-VTA'!$F$29,Tabla11[[#This Row],[Cuenta]],1))</f>
        <v>1</v>
      </c>
      <c r="AK445" t="b">
        <f>+ISNUMBER(SEARCH('F-VTA'!$F$30,Tabla11[[#This Row],[Cuenta]],1))</f>
        <v>1</v>
      </c>
      <c r="AL445" t="b">
        <f>+ISNUMBER(SEARCH('F-VTA'!$F$31,Tabla11[[#This Row],[Cuenta]],1))</f>
        <v>1</v>
      </c>
      <c r="AM445" t="b">
        <f>+ISNUMBER(SEARCH('F-VTA'!$F$32,Tabla11[[#This Row],[Cuenta]],1))</f>
        <v>1</v>
      </c>
      <c r="AN445" t="b">
        <f>+ISNUMBER(SEARCH('F-VTA'!$F$33,Tabla11[[#This Row],[Cuenta]],1))</f>
        <v>1</v>
      </c>
      <c r="AO445" t="b">
        <f>+ISNUMBER(SEARCH('F-VTA'!$F$34,Tabla11[[#This Row],[Cuenta]],1))</f>
        <v>1</v>
      </c>
      <c r="AP445" t="b">
        <f>+ISNUMBER(SEARCH('F-VTA'!$F$35,Tabla11[[#This Row],[Cuenta]],1))</f>
        <v>1</v>
      </c>
      <c r="AQ445" t="b">
        <f>+ISNUMBER(SEARCH('F-VTA'!$F$36,Tabla11[[#This Row],[Cuenta]],1))</f>
        <v>1</v>
      </c>
      <c r="AR445" t="b">
        <f>+ISNUMBER(SEARCH(#REF!,Tabla11[[#This Row],[Cuenta]],1))</f>
        <v>0</v>
      </c>
      <c r="AS445" t="b">
        <f>+ISNUMBER(SEARCH(#REF!,Tabla11[[#This Row],[Cuenta]],1))</f>
        <v>0</v>
      </c>
      <c r="AT445" t="b">
        <f>+ISNUMBER(SEARCH(#REF!,Tabla11[[#This Row],[Cuenta]],1))</f>
        <v>0</v>
      </c>
      <c r="AU445" t="b">
        <f>+ISNUMBER(SEARCH('Conc. Ban.1'!$I$9,Tabla11[[#This Row],[Cuenta]],1))</f>
        <v>0</v>
      </c>
      <c r="AV445" t="b">
        <f>+ISNUMBER(SEARCH(CompConta!$F$21,Tabla11[[#This Row],[Cuenta]],1))</f>
        <v>1</v>
      </c>
      <c r="AW445" t="b">
        <f>+ISNUMBER(SEARCH(CompConta!$F$22,Tabla11[[#This Row],[Cuenta]],1))</f>
        <v>1</v>
      </c>
      <c r="AX445" t="b">
        <f>+ISNUMBER(SEARCH(CompConta!$F$23,Tabla11[[#This Row],[Cuenta]],1))</f>
        <v>1</v>
      </c>
      <c r="AY445" t="b">
        <f>+ISNUMBER(SEARCH(CompConta!$F$24,Tabla11[[#This Row],[Cuenta]],1))</f>
        <v>1</v>
      </c>
      <c r="AZ445" t="b">
        <f>+ISNUMBER(SEARCH(CompConta!$F$25,Tabla11[[#This Row],[Cuenta]],1))</f>
        <v>1</v>
      </c>
      <c r="BA445" t="b">
        <f>+ISNUMBER(SEARCH(CompConta!$F$26,Tabla11[[#This Row],[Cuenta]],1))</f>
        <v>1</v>
      </c>
      <c r="BB445" t="b">
        <f>+ISNUMBER(SEARCH(CompConta!$F$27,Tabla11[[#This Row],[Cuenta]],1))</f>
        <v>1</v>
      </c>
      <c r="BC445" t="b">
        <f>+ISNUMBER(SEARCH(CompConta!$F$28,Tabla11[[#This Row],[Cuenta]],1))</f>
        <v>1</v>
      </c>
      <c r="BD445" t="b">
        <f>+ISNUMBER(SEARCH(CompConta!$F$29,Tabla11[[#This Row],[Cuenta]],1))</f>
        <v>1</v>
      </c>
      <c r="BE445" t="b">
        <f>+ISNUMBER(SEARCH(CompConta!$F$30,Tabla11[[#This Row],[Cuenta]],1))</f>
        <v>1</v>
      </c>
      <c r="BF445" t="b">
        <f>+ISNUMBER(SEARCH('PAGO Compras'!$E$11,Tabla11[[#This Row],[Cuenta]],1))</f>
        <v>1</v>
      </c>
      <c r="BG445" t="b">
        <f>+ISNUMBER(SEARCH(#REF!,Tabla11[[#This Row],[Cuenta]],1))</f>
        <v>0</v>
      </c>
      <c r="BH445" t="b">
        <f>+ISNUMBER(SEARCH(#REF!,Tabla11[[#This Row],[Cuenta]],1))</f>
        <v>0</v>
      </c>
      <c r="BI445" t="b">
        <f>+ISNUMBER(SEARCH(#REF!,Tabla11[[#This Row],[Cuenta]],1))</f>
        <v>0</v>
      </c>
      <c r="BJ445" t="b">
        <f>+ISNUMBER(SEARCH(#REF!,Tabla11[[#This Row],[Cuenta]],1))</f>
        <v>0</v>
      </c>
      <c r="BS445" t="str">
        <v>236570 Otras retenciones y patrimonio</v>
      </c>
      <c r="BT445" t="str">
        <v>236570 Otras retenciones y patrimonio</v>
      </c>
      <c r="BU445" t="str">
        <v>236570 Otras retenciones y patrimonio</v>
      </c>
      <c r="BV445" t="str">
        <v>236570 Otras retenciones y patrimonio</v>
      </c>
      <c r="BZ445" t="str">
        <v>236570 Otras retenciones y patrimonio</v>
      </c>
      <c r="CA445" t="str">
        <v>236570 Otras retenciones y patrimonio</v>
      </c>
      <c r="CB445" t="str">
        <v>236570 Otras retenciones y patrimonio</v>
      </c>
      <c r="CC445" t="str">
        <v>236570 Otras retenciones y patrimonio</v>
      </c>
      <c r="CD445" t="str">
        <v>236570 Otras retenciones y patrimonio</v>
      </c>
      <c r="CE445" t="str">
        <v>236570 Otras retenciones y patrimonio</v>
      </c>
      <c r="CS445" s="141" t="str">
        <v>236570 Otras retenciones y patrimonio</v>
      </c>
      <c r="CT445" s="141" t="str">
        <v>236570 Otras retenciones y patrimonio</v>
      </c>
      <c r="CU445" s="141" t="str">
        <v>236570 Otras retenciones y patrimonio</v>
      </c>
      <c r="CV445" s="141" t="str">
        <v>236570 Otras retenciones y patrimonio</v>
      </c>
      <c r="CW445" s="141" t="str">
        <v>236570 Otras retenciones y patrimonio</v>
      </c>
      <c r="CX445" s="141" t="str">
        <v>236570 Otras retenciones y patrimonio</v>
      </c>
      <c r="CY445" s="141" t="str">
        <v>236570 Otras retenciones y patrimonio</v>
      </c>
      <c r="CZ445" s="141" t="str">
        <v>236570 Otras retenciones y patrimonio</v>
      </c>
      <c r="DA445" s="141" t="str">
        <v>236570 Otras retenciones y patrimonio</v>
      </c>
      <c r="DF445" t="str">
        <v>236570 Otras retenciones y patrimonio</v>
      </c>
      <c r="DG445" t="str">
        <v>236570 Otras retenciones y patrimonio</v>
      </c>
      <c r="DH445" t="str">
        <v>236570 Otras retenciones y patrimonio</v>
      </c>
      <c r="DI445" t="str">
        <v>236570 Otras retenciones y patrimonio</v>
      </c>
      <c r="DJ445" t="str">
        <v>236570 Otras retenciones y patrimonio</v>
      </c>
      <c r="DK445" t="str">
        <v>236570 Otras retenciones y patrimonio</v>
      </c>
      <c r="DL445" t="str">
        <v>236570 Otras retenciones y patrimonio</v>
      </c>
      <c r="DM445" t="str">
        <v>236570 Otras retenciones y patrimonio</v>
      </c>
      <c r="DN445" t="str">
        <v>236570 Otras retenciones y patrimonio</v>
      </c>
      <c r="DO445" t="str">
        <v>236570 Otras retenciones y patrimonio</v>
      </c>
      <c r="DP445" t="str">
        <v>236570 Otras retenciones y patrimonio</v>
      </c>
    </row>
    <row r="446" spans="4:120" ht="12.75">
      <c r="D446" s="7">
        <v>236575</v>
      </c>
      <c r="E446" s="6" t="s">
        <v>338</v>
      </c>
      <c r="F446" s="5">
        <v>4</v>
      </c>
      <c r="G446" s="34" t="s">
        <v>823</v>
      </c>
      <c r="H446" s="26" t="s">
        <v>765</v>
      </c>
      <c r="I446" t="b">
        <f>+ISNUMBER(SEARCH('F-COMPRA'!$F$28,Tabla11[[#This Row],[Cuenta]],1))</f>
        <v>1</v>
      </c>
      <c r="J446" t="b">
        <f>+ISNUMBER(SEARCH('F-COMPRA'!$F$29,Tabla11[[#This Row],[Cuenta]],1))</f>
        <v>1</v>
      </c>
      <c r="K446" t="b">
        <f>+ISNUMBER(SEARCH('F-COMPRA'!$F$30,Tabla11[[#This Row],[Cuenta]],1))</f>
        <v>1</v>
      </c>
      <c r="L446" t="b">
        <f>+ISNUMBER(SEARCH('F-COMPRA'!$F$31,Tabla11[[#This Row],[Cuenta]],1))</f>
        <v>1</v>
      </c>
      <c r="M446" t="b">
        <f>+ISNUMBER(SEARCH('F-COMPRA'!$G$25,Tabla11[[#This Row],[Cuenta]],1))</f>
        <v>0</v>
      </c>
      <c r="N446" t="b">
        <f>+ISNUMBER(SEARCH(#REF!,Tabla11[[#This Row],[Cuenta]],1))</f>
        <v>0</v>
      </c>
      <c r="O446" t="b">
        <f>+ISNUMBER(SEARCH(#REF!,Tabla11[[#This Row],[Cuenta]],1))</f>
        <v>0</v>
      </c>
      <c r="P446" t="b">
        <f>+ISNUMBER(SEARCH('F-COMPRA'!$F$32,Tabla11[[#This Row],[Cuenta]],1))</f>
        <v>1</v>
      </c>
      <c r="Q446" t="b">
        <f>+ISNUMBER(SEARCH('F-COMPRA'!$F$33,Tabla11[[#This Row],[Cuenta]],1))</f>
        <v>1</v>
      </c>
      <c r="R446" t="b">
        <f>+ISNUMBER(SEARCH('F-COMPRA'!$F$34,Tabla11[[#This Row],[Cuenta]],1))</f>
        <v>1</v>
      </c>
      <c r="S446" t="b">
        <f>+ISNUMBER(SEARCH('F-COMPRA'!$F$35,Tabla11[[#This Row],[Cuenta]],1))</f>
        <v>1</v>
      </c>
      <c r="T446" t="b">
        <f>+ISNUMBER(SEARCH('F-COMPRA'!$F$36,Tabla11[[#This Row],[Cuenta]],1))</f>
        <v>1</v>
      </c>
      <c r="U446" t="b">
        <f>+ISNUMBER(SEARCH('F-COMPRA'!$F$37,Tabla11[[#This Row],[Cuenta]],1))</f>
        <v>1</v>
      </c>
      <c r="V446" t="b">
        <f>+ISNUMBER(SEARCH(#REF!,Tabla11[[#This Row],[Cuenta]],1))</f>
        <v>0</v>
      </c>
      <c r="W446" t="b">
        <f>+ISNUMBER(SEARCH('F-COMPRA'!#REF!,Tabla11[[#This Row],[Cuenta]],1))</f>
        <v>0</v>
      </c>
      <c r="X446" t="b">
        <f>+ISNUMBER(SEARCH('F-COMPRA'!#REF!,Tabla11[[#This Row],[Cuenta]],1))</f>
        <v>0</v>
      </c>
      <c r="Y446" t="b">
        <f>+ISNUMBER(SEARCH('F-COMPRA'!#REF!,Tabla11[[#This Row],[Cuenta]],1))</f>
        <v>0</v>
      </c>
      <c r="Z446" t="b">
        <f>+ISNUMBER(SEARCH('F-COMPRA'!#REF!,Tabla11[[#This Row],[Cuenta]],1))</f>
        <v>0</v>
      </c>
      <c r="AA446" t="b">
        <f>+ISNUMBER(SEARCH('F-COMPRA'!#REF!,Tabla11[[#This Row],[Cuenta]],1))</f>
        <v>0</v>
      </c>
      <c r="AB446" t="b">
        <f>+ISNUMBER(SEARCH('F-COMPRA'!#REF!,Tabla11[[#This Row],[Cuenta]],1))</f>
        <v>0</v>
      </c>
      <c r="AC446" t="b">
        <f>+ISNUMBER(SEARCH('F-COMPRA'!#REF!,Tabla11[[#This Row],[Cuenta]],1))</f>
        <v>0</v>
      </c>
      <c r="AD446" t="b">
        <f>+ISNUMBER(SEARCH('F-COMPRA'!#REF!,Tabla11[[#This Row],[Cuenta]],1))</f>
        <v>0</v>
      </c>
      <c r="AE446" t="b">
        <f>+ISNUMBER(SEARCH('F-COMPRA'!#REF!,Tabla11[[#This Row],[Cuenta]],1))</f>
        <v>0</v>
      </c>
      <c r="AF446" t="b">
        <f>+ISNUMBER(SEARCH('F-VTA'!$G$23,Tabla11[[#This Row],[Cuenta]],1))</f>
        <v>0</v>
      </c>
      <c r="AG446" t="b">
        <f>+ISNUMBER(SEARCH('F-VTA'!$G$24,Tabla11[[#This Row],[Cuenta]],1))</f>
        <v>0</v>
      </c>
      <c r="AH446" t="b">
        <f>+ISNUMBER(SEARCH('F-VTA'!$G$25,Tabla11[[#This Row],[Cuenta]],1))</f>
        <v>0</v>
      </c>
      <c r="AI446" t="b">
        <f>+ISNUMBER(SEARCH('F-VTA'!$F$28,Tabla11[[#This Row],[Cuenta]],1))</f>
        <v>1</v>
      </c>
      <c r="AJ446" t="b">
        <f>+ISNUMBER(SEARCH('F-VTA'!$F$29,Tabla11[[#This Row],[Cuenta]],1))</f>
        <v>1</v>
      </c>
      <c r="AK446" t="b">
        <f>+ISNUMBER(SEARCH('F-VTA'!$F$30,Tabla11[[#This Row],[Cuenta]],1))</f>
        <v>1</v>
      </c>
      <c r="AL446" t="b">
        <f>+ISNUMBER(SEARCH('F-VTA'!$F$31,Tabla11[[#This Row],[Cuenta]],1))</f>
        <v>1</v>
      </c>
      <c r="AM446" t="b">
        <f>+ISNUMBER(SEARCH('F-VTA'!$F$32,Tabla11[[#This Row],[Cuenta]],1))</f>
        <v>1</v>
      </c>
      <c r="AN446" t="b">
        <f>+ISNUMBER(SEARCH('F-VTA'!$F$33,Tabla11[[#This Row],[Cuenta]],1))</f>
        <v>1</v>
      </c>
      <c r="AO446" t="b">
        <f>+ISNUMBER(SEARCH('F-VTA'!$F$34,Tabla11[[#This Row],[Cuenta]],1))</f>
        <v>1</v>
      </c>
      <c r="AP446" t="b">
        <f>+ISNUMBER(SEARCH('F-VTA'!$F$35,Tabla11[[#This Row],[Cuenta]],1))</f>
        <v>1</v>
      </c>
      <c r="AQ446" t="b">
        <f>+ISNUMBER(SEARCH('F-VTA'!$F$36,Tabla11[[#This Row],[Cuenta]],1))</f>
        <v>1</v>
      </c>
      <c r="AR446" t="b">
        <f>+ISNUMBER(SEARCH(#REF!,Tabla11[[#This Row],[Cuenta]],1))</f>
        <v>0</v>
      </c>
      <c r="AS446" t="b">
        <f>+ISNUMBER(SEARCH(#REF!,Tabla11[[#This Row],[Cuenta]],1))</f>
        <v>0</v>
      </c>
      <c r="AT446" t="b">
        <f>+ISNUMBER(SEARCH(#REF!,Tabla11[[#This Row],[Cuenta]],1))</f>
        <v>0</v>
      </c>
      <c r="AU446" t="b">
        <f>+ISNUMBER(SEARCH('Conc. Ban.1'!$I$9,Tabla11[[#This Row],[Cuenta]],1))</f>
        <v>0</v>
      </c>
      <c r="AV446" t="b">
        <f>+ISNUMBER(SEARCH(CompConta!$F$21,Tabla11[[#This Row],[Cuenta]],1))</f>
        <v>1</v>
      </c>
      <c r="AW446" t="b">
        <f>+ISNUMBER(SEARCH(CompConta!$F$22,Tabla11[[#This Row],[Cuenta]],1))</f>
        <v>1</v>
      </c>
      <c r="AX446" t="b">
        <f>+ISNUMBER(SEARCH(CompConta!$F$23,Tabla11[[#This Row],[Cuenta]],1))</f>
        <v>1</v>
      </c>
      <c r="AY446" t="b">
        <f>+ISNUMBER(SEARCH(CompConta!$F$24,Tabla11[[#This Row],[Cuenta]],1))</f>
        <v>1</v>
      </c>
      <c r="AZ446" t="b">
        <f>+ISNUMBER(SEARCH(CompConta!$F$25,Tabla11[[#This Row],[Cuenta]],1))</f>
        <v>1</v>
      </c>
      <c r="BA446" t="b">
        <f>+ISNUMBER(SEARCH(CompConta!$F$26,Tabla11[[#This Row],[Cuenta]],1))</f>
        <v>1</v>
      </c>
      <c r="BB446" t="b">
        <f>+ISNUMBER(SEARCH(CompConta!$F$27,Tabla11[[#This Row],[Cuenta]],1))</f>
        <v>1</v>
      </c>
      <c r="BC446" t="b">
        <f>+ISNUMBER(SEARCH(CompConta!$F$28,Tabla11[[#This Row],[Cuenta]],1))</f>
        <v>1</v>
      </c>
      <c r="BD446" t="b">
        <f>+ISNUMBER(SEARCH(CompConta!$F$29,Tabla11[[#This Row],[Cuenta]],1))</f>
        <v>1</v>
      </c>
      <c r="BE446" t="b">
        <f>+ISNUMBER(SEARCH(CompConta!$F$30,Tabla11[[#This Row],[Cuenta]],1))</f>
        <v>1</v>
      </c>
      <c r="BF446" t="b">
        <f>+ISNUMBER(SEARCH('PAGO Compras'!$E$11,Tabla11[[#This Row],[Cuenta]],1))</f>
        <v>1</v>
      </c>
      <c r="BG446" t="b">
        <f>+ISNUMBER(SEARCH(#REF!,Tabla11[[#This Row],[Cuenta]],1))</f>
        <v>0</v>
      </c>
      <c r="BH446" t="b">
        <f>+ISNUMBER(SEARCH(#REF!,Tabla11[[#This Row],[Cuenta]],1))</f>
        <v>0</v>
      </c>
      <c r="BI446" t="b">
        <f>+ISNUMBER(SEARCH(#REF!,Tabla11[[#This Row],[Cuenta]],1))</f>
        <v>0</v>
      </c>
      <c r="BJ446" t="b">
        <f>+ISNUMBER(SEARCH(#REF!,Tabla11[[#This Row],[Cuenta]],1))</f>
        <v>0</v>
      </c>
      <c r="BS446" t="str">
        <v>236575 Autorretenciones</v>
      </c>
      <c r="BT446" t="str">
        <v>236575 Autorretenciones</v>
      </c>
      <c r="BU446" t="str">
        <v>236575 Autorretenciones</v>
      </c>
      <c r="BV446" t="str">
        <v>236575 Autorretenciones</v>
      </c>
      <c r="BZ446" t="str">
        <v>236575 Autorretenciones</v>
      </c>
      <c r="CA446" t="str">
        <v>236575 Autorretenciones</v>
      </c>
      <c r="CB446" t="str">
        <v>236575 Autorretenciones</v>
      </c>
      <c r="CC446" t="str">
        <v>236575 Autorretenciones</v>
      </c>
      <c r="CD446" t="str">
        <v>236575 Autorretenciones</v>
      </c>
      <c r="CE446" t="str">
        <v>236575 Autorretenciones</v>
      </c>
      <c r="CS446" s="141" t="str">
        <v>236575 Autorretenciones</v>
      </c>
      <c r="CT446" s="141" t="str">
        <v>236575 Autorretenciones</v>
      </c>
      <c r="CU446" s="141" t="str">
        <v>236575 Autorretenciones</v>
      </c>
      <c r="CV446" s="141" t="str">
        <v>236575 Autorretenciones</v>
      </c>
      <c r="CW446" s="141" t="str">
        <v>236575 Autorretenciones</v>
      </c>
      <c r="CX446" s="141" t="str">
        <v>236575 Autorretenciones</v>
      </c>
      <c r="CY446" s="141" t="str">
        <v>236575 Autorretenciones</v>
      </c>
      <c r="CZ446" s="141" t="str">
        <v>236575 Autorretenciones</v>
      </c>
      <c r="DA446" s="141" t="str">
        <v>236575 Autorretenciones</v>
      </c>
      <c r="DF446" t="str">
        <v>236575 Autorretenciones</v>
      </c>
      <c r="DG446" t="str">
        <v>236575 Autorretenciones</v>
      </c>
      <c r="DH446" t="str">
        <v>236575 Autorretenciones</v>
      </c>
      <c r="DI446" t="str">
        <v>236575 Autorretenciones</v>
      </c>
      <c r="DJ446" t="str">
        <v>236575 Autorretenciones</v>
      </c>
      <c r="DK446" t="str">
        <v>236575 Autorretenciones</v>
      </c>
      <c r="DL446" t="str">
        <v>236575 Autorretenciones</v>
      </c>
      <c r="DM446" t="str">
        <v>236575 Autorretenciones</v>
      </c>
      <c r="DN446" t="str">
        <v>236575 Autorretenciones</v>
      </c>
      <c r="DO446" t="str">
        <v>236575 Autorretenciones</v>
      </c>
      <c r="DP446" t="str">
        <v>236575 Autorretenciones</v>
      </c>
    </row>
    <row r="447" spans="4:120" ht="12.75">
      <c r="D447" s="7">
        <v>236580</v>
      </c>
      <c r="E447" s="6" t="s">
        <v>790</v>
      </c>
      <c r="F447" s="5">
        <v>4</v>
      </c>
      <c r="G447" s="34" t="s">
        <v>823</v>
      </c>
      <c r="H447" s="26" t="s">
        <v>765</v>
      </c>
      <c r="I447" t="b">
        <f>+ISNUMBER(SEARCH('F-COMPRA'!$F$28,Tabla11[[#This Row],[Cuenta]],1))</f>
        <v>1</v>
      </c>
      <c r="J447" t="b">
        <f>+ISNUMBER(SEARCH('F-COMPRA'!$F$29,Tabla11[[#This Row],[Cuenta]],1))</f>
        <v>1</v>
      </c>
      <c r="K447" t="b">
        <f>+ISNUMBER(SEARCH('F-COMPRA'!$F$30,Tabla11[[#This Row],[Cuenta]],1))</f>
        <v>1</v>
      </c>
      <c r="L447" t="b">
        <f>+ISNUMBER(SEARCH('F-COMPRA'!$F$31,Tabla11[[#This Row],[Cuenta]],1))</f>
        <v>1</v>
      </c>
      <c r="M447" t="b">
        <f>+ISNUMBER(SEARCH('F-COMPRA'!$G$25,Tabla11[[#This Row],[Cuenta]],1))</f>
        <v>0</v>
      </c>
      <c r="N447" t="b">
        <f>+ISNUMBER(SEARCH(#REF!,Tabla11[[#This Row],[Cuenta]],1))</f>
        <v>0</v>
      </c>
      <c r="O447" t="b">
        <f>+ISNUMBER(SEARCH(#REF!,Tabla11[[#This Row],[Cuenta]],1))</f>
        <v>0</v>
      </c>
      <c r="P447" t="b">
        <f>+ISNUMBER(SEARCH('F-COMPRA'!$F$32,Tabla11[[#This Row],[Cuenta]],1))</f>
        <v>1</v>
      </c>
      <c r="Q447" t="b">
        <f>+ISNUMBER(SEARCH('F-COMPRA'!$F$33,Tabla11[[#This Row],[Cuenta]],1))</f>
        <v>1</v>
      </c>
      <c r="R447" t="b">
        <f>+ISNUMBER(SEARCH('F-COMPRA'!$F$34,Tabla11[[#This Row],[Cuenta]],1))</f>
        <v>1</v>
      </c>
      <c r="S447" t="b">
        <f>+ISNUMBER(SEARCH('F-COMPRA'!$F$35,Tabla11[[#This Row],[Cuenta]],1))</f>
        <v>1</v>
      </c>
      <c r="T447" t="b">
        <f>+ISNUMBER(SEARCH('F-COMPRA'!$F$36,Tabla11[[#This Row],[Cuenta]],1))</f>
        <v>1</v>
      </c>
      <c r="U447" t="b">
        <f>+ISNUMBER(SEARCH('F-COMPRA'!$F$37,Tabla11[[#This Row],[Cuenta]],1))</f>
        <v>1</v>
      </c>
      <c r="V447" t="b">
        <f>+ISNUMBER(SEARCH(#REF!,Tabla11[[#This Row],[Cuenta]],1))</f>
        <v>0</v>
      </c>
      <c r="W447" t="b">
        <f>+ISNUMBER(SEARCH('F-COMPRA'!#REF!,Tabla11[[#This Row],[Cuenta]],1))</f>
        <v>0</v>
      </c>
      <c r="X447" t="b">
        <f>+ISNUMBER(SEARCH('F-COMPRA'!#REF!,Tabla11[[#This Row],[Cuenta]],1))</f>
        <v>0</v>
      </c>
      <c r="Y447" t="b">
        <f>+ISNUMBER(SEARCH('F-COMPRA'!#REF!,Tabla11[[#This Row],[Cuenta]],1))</f>
        <v>0</v>
      </c>
      <c r="Z447" t="b">
        <f>+ISNUMBER(SEARCH('F-COMPRA'!#REF!,Tabla11[[#This Row],[Cuenta]],1))</f>
        <v>0</v>
      </c>
      <c r="AA447" t="b">
        <f>+ISNUMBER(SEARCH('F-COMPRA'!#REF!,Tabla11[[#This Row],[Cuenta]],1))</f>
        <v>0</v>
      </c>
      <c r="AB447" t="b">
        <f>+ISNUMBER(SEARCH('F-COMPRA'!#REF!,Tabla11[[#This Row],[Cuenta]],1))</f>
        <v>0</v>
      </c>
      <c r="AC447" t="b">
        <f>+ISNUMBER(SEARCH('F-COMPRA'!#REF!,Tabla11[[#This Row],[Cuenta]],1))</f>
        <v>0</v>
      </c>
      <c r="AD447" t="b">
        <f>+ISNUMBER(SEARCH('F-COMPRA'!#REF!,Tabla11[[#This Row],[Cuenta]],1))</f>
        <v>0</v>
      </c>
      <c r="AE447" t="b">
        <f>+ISNUMBER(SEARCH('F-COMPRA'!#REF!,Tabla11[[#This Row],[Cuenta]],1))</f>
        <v>0</v>
      </c>
      <c r="AF447" t="b">
        <f>+ISNUMBER(SEARCH('F-VTA'!$G$23,Tabla11[[#This Row],[Cuenta]],1))</f>
        <v>0</v>
      </c>
      <c r="AG447" t="b">
        <f>+ISNUMBER(SEARCH('F-VTA'!$G$24,Tabla11[[#This Row],[Cuenta]],1))</f>
        <v>0</v>
      </c>
      <c r="AH447" t="b">
        <f>+ISNUMBER(SEARCH('F-VTA'!$G$25,Tabla11[[#This Row],[Cuenta]],1))</f>
        <v>0</v>
      </c>
      <c r="AI447" t="b">
        <f>+ISNUMBER(SEARCH('F-VTA'!$F$28,Tabla11[[#This Row],[Cuenta]],1))</f>
        <v>1</v>
      </c>
      <c r="AJ447" t="b">
        <f>+ISNUMBER(SEARCH('F-VTA'!$F$29,Tabla11[[#This Row],[Cuenta]],1))</f>
        <v>1</v>
      </c>
      <c r="AK447" t="b">
        <f>+ISNUMBER(SEARCH('F-VTA'!$F$30,Tabla11[[#This Row],[Cuenta]],1))</f>
        <v>1</v>
      </c>
      <c r="AL447" t="b">
        <f>+ISNUMBER(SEARCH('F-VTA'!$F$31,Tabla11[[#This Row],[Cuenta]],1))</f>
        <v>1</v>
      </c>
      <c r="AM447" t="b">
        <f>+ISNUMBER(SEARCH('F-VTA'!$F$32,Tabla11[[#This Row],[Cuenta]],1))</f>
        <v>1</v>
      </c>
      <c r="AN447" t="b">
        <f>+ISNUMBER(SEARCH('F-VTA'!$F$33,Tabla11[[#This Row],[Cuenta]],1))</f>
        <v>1</v>
      </c>
      <c r="AO447" t="b">
        <f>+ISNUMBER(SEARCH('F-VTA'!$F$34,Tabla11[[#This Row],[Cuenta]],1))</f>
        <v>1</v>
      </c>
      <c r="AP447" t="b">
        <f>+ISNUMBER(SEARCH('F-VTA'!$F$35,Tabla11[[#This Row],[Cuenta]],1))</f>
        <v>1</v>
      </c>
      <c r="AQ447" t="b">
        <f>+ISNUMBER(SEARCH('F-VTA'!$F$36,Tabla11[[#This Row],[Cuenta]],1))</f>
        <v>1</v>
      </c>
      <c r="AR447" t="b">
        <f>+ISNUMBER(SEARCH(#REF!,Tabla11[[#This Row],[Cuenta]],1))</f>
        <v>0</v>
      </c>
      <c r="AS447" t="b">
        <f>+ISNUMBER(SEARCH(#REF!,Tabla11[[#This Row],[Cuenta]],1))</f>
        <v>0</v>
      </c>
      <c r="AT447" t="b">
        <f>+ISNUMBER(SEARCH(#REF!,Tabla11[[#This Row],[Cuenta]],1))</f>
        <v>0</v>
      </c>
      <c r="AU447" t="b">
        <f>+ISNUMBER(SEARCH('Conc. Ban.1'!$I$9,Tabla11[[#This Row],[Cuenta]],1))</f>
        <v>0</v>
      </c>
      <c r="AV447" t="b">
        <f>+ISNUMBER(SEARCH(CompConta!$F$21,Tabla11[[#This Row],[Cuenta]],1))</f>
        <v>1</v>
      </c>
      <c r="AW447" t="b">
        <f>+ISNUMBER(SEARCH(CompConta!$F$22,Tabla11[[#This Row],[Cuenta]],1))</f>
        <v>1</v>
      </c>
      <c r="AX447" t="b">
        <f>+ISNUMBER(SEARCH(CompConta!$F$23,Tabla11[[#This Row],[Cuenta]],1))</f>
        <v>1</v>
      </c>
      <c r="AY447" t="b">
        <f>+ISNUMBER(SEARCH(CompConta!$F$24,Tabla11[[#This Row],[Cuenta]],1))</f>
        <v>1</v>
      </c>
      <c r="AZ447" t="b">
        <f>+ISNUMBER(SEARCH(CompConta!$F$25,Tabla11[[#This Row],[Cuenta]],1))</f>
        <v>1</v>
      </c>
      <c r="BA447" t="b">
        <f>+ISNUMBER(SEARCH(CompConta!$F$26,Tabla11[[#This Row],[Cuenta]],1))</f>
        <v>1</v>
      </c>
      <c r="BB447" t="b">
        <f>+ISNUMBER(SEARCH(CompConta!$F$27,Tabla11[[#This Row],[Cuenta]],1))</f>
        <v>1</v>
      </c>
      <c r="BC447" t="b">
        <f>+ISNUMBER(SEARCH(CompConta!$F$28,Tabla11[[#This Row],[Cuenta]],1))</f>
        <v>1</v>
      </c>
      <c r="BD447" t="b">
        <f>+ISNUMBER(SEARCH(CompConta!$F$29,Tabla11[[#This Row],[Cuenta]],1))</f>
        <v>1</v>
      </c>
      <c r="BE447" t="b">
        <f>+ISNUMBER(SEARCH(CompConta!$F$30,Tabla11[[#This Row],[Cuenta]],1))</f>
        <v>1</v>
      </c>
      <c r="BF447" t="b">
        <f>+ISNUMBER(SEARCH('PAGO Compras'!$E$11,Tabla11[[#This Row],[Cuenta]],1))</f>
        <v>1</v>
      </c>
      <c r="BG447" t="b">
        <f>+ISNUMBER(SEARCH(#REF!,Tabla11[[#This Row],[Cuenta]],1))</f>
        <v>0</v>
      </c>
      <c r="BH447" t="b">
        <f>+ISNUMBER(SEARCH(#REF!,Tabla11[[#This Row],[Cuenta]],1))</f>
        <v>0</v>
      </c>
      <c r="BI447" t="b">
        <f>+ISNUMBER(SEARCH(#REF!,Tabla11[[#This Row],[Cuenta]],1))</f>
        <v>0</v>
      </c>
      <c r="BJ447" t="b">
        <f>+ISNUMBER(SEARCH(#REF!,Tabla11[[#This Row],[Cuenta]],1))</f>
        <v>0</v>
      </c>
      <c r="BS447" t="str">
        <v xml:space="preserve">236580 EMOLUMENTOS ECLESIASTICOS </v>
      </c>
      <c r="BT447" t="str">
        <v xml:space="preserve">236580 EMOLUMENTOS ECLESIASTICOS </v>
      </c>
      <c r="BU447" t="str">
        <v xml:space="preserve">236580 EMOLUMENTOS ECLESIASTICOS </v>
      </c>
      <c r="BV447" t="str">
        <v xml:space="preserve">236580 EMOLUMENTOS ECLESIASTICOS </v>
      </c>
      <c r="BZ447" t="str">
        <v xml:space="preserve">236580 EMOLUMENTOS ECLESIASTICOS </v>
      </c>
      <c r="CA447" t="str">
        <v xml:space="preserve">236580 EMOLUMENTOS ECLESIASTICOS </v>
      </c>
      <c r="CB447" t="str">
        <v xml:space="preserve">236580 EMOLUMENTOS ECLESIASTICOS </v>
      </c>
      <c r="CC447" t="str">
        <v xml:space="preserve">236580 EMOLUMENTOS ECLESIASTICOS </v>
      </c>
      <c r="CD447" t="str">
        <v xml:space="preserve">236580 EMOLUMENTOS ECLESIASTICOS </v>
      </c>
      <c r="CE447" t="str">
        <v xml:space="preserve">236580 EMOLUMENTOS ECLESIASTICOS </v>
      </c>
      <c r="CS447" s="141" t="str">
        <v xml:space="preserve">236580 EMOLUMENTOS ECLESIASTICOS </v>
      </c>
      <c r="CT447" s="141" t="str">
        <v xml:space="preserve">236580 EMOLUMENTOS ECLESIASTICOS </v>
      </c>
      <c r="CU447" s="141" t="str">
        <v xml:space="preserve">236580 EMOLUMENTOS ECLESIASTICOS </v>
      </c>
      <c r="CV447" s="141" t="str">
        <v xml:space="preserve">236580 EMOLUMENTOS ECLESIASTICOS </v>
      </c>
      <c r="CW447" s="141" t="str">
        <v xml:space="preserve">236580 EMOLUMENTOS ECLESIASTICOS </v>
      </c>
      <c r="CX447" s="141" t="str">
        <v xml:space="preserve">236580 EMOLUMENTOS ECLESIASTICOS </v>
      </c>
      <c r="CY447" s="141" t="str">
        <v xml:space="preserve">236580 EMOLUMENTOS ECLESIASTICOS </v>
      </c>
      <c r="CZ447" s="141" t="str">
        <v xml:space="preserve">236580 EMOLUMENTOS ECLESIASTICOS </v>
      </c>
      <c r="DA447" s="141" t="str">
        <v xml:space="preserve">236580 EMOLUMENTOS ECLESIASTICOS </v>
      </c>
      <c r="DF447" t="str">
        <v xml:space="preserve">236580 EMOLUMENTOS ECLESIASTICOS </v>
      </c>
      <c r="DG447" t="str">
        <v xml:space="preserve">236580 EMOLUMENTOS ECLESIASTICOS </v>
      </c>
      <c r="DH447" t="str">
        <v xml:space="preserve">236580 EMOLUMENTOS ECLESIASTICOS </v>
      </c>
      <c r="DI447" t="str">
        <v xml:space="preserve">236580 EMOLUMENTOS ECLESIASTICOS </v>
      </c>
      <c r="DJ447" t="str">
        <v xml:space="preserve">236580 EMOLUMENTOS ECLESIASTICOS </v>
      </c>
      <c r="DK447" t="str">
        <v xml:space="preserve">236580 EMOLUMENTOS ECLESIASTICOS </v>
      </c>
      <c r="DL447" t="str">
        <v xml:space="preserve">236580 EMOLUMENTOS ECLESIASTICOS </v>
      </c>
      <c r="DM447" t="str">
        <v xml:space="preserve">236580 EMOLUMENTOS ECLESIASTICOS </v>
      </c>
      <c r="DN447" t="str">
        <v xml:space="preserve">236580 EMOLUMENTOS ECLESIASTICOS </v>
      </c>
      <c r="DO447" t="str">
        <v xml:space="preserve">236580 EMOLUMENTOS ECLESIASTICOS </v>
      </c>
      <c r="DP447" t="str">
        <v xml:space="preserve">236580 EMOLUMENTOS ECLESIASTICOS </v>
      </c>
    </row>
    <row r="448" spans="4:120" ht="12.75">
      <c r="D448" s="7">
        <v>23658005</v>
      </c>
      <c r="E448" s="6" t="s">
        <v>790</v>
      </c>
      <c r="F448" s="5">
        <v>5</v>
      </c>
      <c r="G448" s="34" t="s">
        <v>823</v>
      </c>
      <c r="H448" s="26" t="s">
        <v>765</v>
      </c>
      <c r="I448" t="b">
        <f>+ISNUMBER(SEARCH('F-COMPRA'!$F$28,Tabla11[[#This Row],[Cuenta]],1))</f>
        <v>1</v>
      </c>
      <c r="J448" t="b">
        <f>+ISNUMBER(SEARCH('F-COMPRA'!$F$29,Tabla11[[#This Row],[Cuenta]],1))</f>
        <v>1</v>
      </c>
      <c r="K448" t="b">
        <f>+ISNUMBER(SEARCH('F-COMPRA'!$F$30,Tabla11[[#This Row],[Cuenta]],1))</f>
        <v>1</v>
      </c>
      <c r="L448" t="b">
        <f>+ISNUMBER(SEARCH('F-COMPRA'!$F$31,Tabla11[[#This Row],[Cuenta]],1))</f>
        <v>1</v>
      </c>
      <c r="M448" t="b">
        <f>+ISNUMBER(SEARCH('F-COMPRA'!$G$25,Tabla11[[#This Row],[Cuenta]],1))</f>
        <v>0</v>
      </c>
      <c r="N448" t="b">
        <f>+ISNUMBER(SEARCH(#REF!,Tabla11[[#This Row],[Cuenta]],1))</f>
        <v>0</v>
      </c>
      <c r="O448" t="b">
        <f>+ISNUMBER(SEARCH(#REF!,Tabla11[[#This Row],[Cuenta]],1))</f>
        <v>0</v>
      </c>
      <c r="P448" t="b">
        <f>+ISNUMBER(SEARCH('F-COMPRA'!$F$32,Tabla11[[#This Row],[Cuenta]],1))</f>
        <v>1</v>
      </c>
      <c r="Q448" t="b">
        <f>+ISNUMBER(SEARCH('F-COMPRA'!$F$33,Tabla11[[#This Row],[Cuenta]],1))</f>
        <v>1</v>
      </c>
      <c r="R448" t="b">
        <f>+ISNUMBER(SEARCH('F-COMPRA'!$F$34,Tabla11[[#This Row],[Cuenta]],1))</f>
        <v>1</v>
      </c>
      <c r="S448" t="b">
        <f>+ISNUMBER(SEARCH('F-COMPRA'!$F$35,Tabla11[[#This Row],[Cuenta]],1))</f>
        <v>1</v>
      </c>
      <c r="T448" t="b">
        <f>+ISNUMBER(SEARCH('F-COMPRA'!$F$36,Tabla11[[#This Row],[Cuenta]],1))</f>
        <v>1</v>
      </c>
      <c r="U448" t="b">
        <f>+ISNUMBER(SEARCH('F-COMPRA'!$F$37,Tabla11[[#This Row],[Cuenta]],1))</f>
        <v>1</v>
      </c>
      <c r="V448" t="b">
        <f>+ISNUMBER(SEARCH(#REF!,Tabla11[[#This Row],[Cuenta]],1))</f>
        <v>0</v>
      </c>
      <c r="W448" t="b">
        <f>+ISNUMBER(SEARCH('F-COMPRA'!#REF!,Tabla11[[#This Row],[Cuenta]],1))</f>
        <v>0</v>
      </c>
      <c r="X448" t="b">
        <f>+ISNUMBER(SEARCH('F-COMPRA'!#REF!,Tabla11[[#This Row],[Cuenta]],1))</f>
        <v>0</v>
      </c>
      <c r="Y448" t="b">
        <f>+ISNUMBER(SEARCH('F-COMPRA'!#REF!,Tabla11[[#This Row],[Cuenta]],1))</f>
        <v>0</v>
      </c>
      <c r="Z448" t="b">
        <f>+ISNUMBER(SEARCH('F-COMPRA'!#REF!,Tabla11[[#This Row],[Cuenta]],1))</f>
        <v>0</v>
      </c>
      <c r="AA448" t="b">
        <f>+ISNUMBER(SEARCH('F-COMPRA'!#REF!,Tabla11[[#This Row],[Cuenta]],1))</f>
        <v>0</v>
      </c>
      <c r="AB448" t="b">
        <f>+ISNUMBER(SEARCH('F-COMPRA'!#REF!,Tabla11[[#This Row],[Cuenta]],1))</f>
        <v>0</v>
      </c>
      <c r="AC448" t="b">
        <f>+ISNUMBER(SEARCH('F-COMPRA'!#REF!,Tabla11[[#This Row],[Cuenta]],1))</f>
        <v>0</v>
      </c>
      <c r="AD448" t="b">
        <f>+ISNUMBER(SEARCH('F-COMPRA'!#REF!,Tabla11[[#This Row],[Cuenta]],1))</f>
        <v>0</v>
      </c>
      <c r="AE448" t="b">
        <f>+ISNUMBER(SEARCH('F-COMPRA'!#REF!,Tabla11[[#This Row],[Cuenta]],1))</f>
        <v>0</v>
      </c>
      <c r="AF448" t="b">
        <f>+ISNUMBER(SEARCH('F-VTA'!$G$23,Tabla11[[#This Row],[Cuenta]],1))</f>
        <v>0</v>
      </c>
      <c r="AG448" t="b">
        <f>+ISNUMBER(SEARCH('F-VTA'!$G$24,Tabla11[[#This Row],[Cuenta]],1))</f>
        <v>0</v>
      </c>
      <c r="AH448" t="b">
        <f>+ISNUMBER(SEARCH('F-VTA'!$G$25,Tabla11[[#This Row],[Cuenta]],1))</f>
        <v>0</v>
      </c>
      <c r="AI448" t="b">
        <f>+ISNUMBER(SEARCH('F-VTA'!$F$28,Tabla11[[#This Row],[Cuenta]],1))</f>
        <v>1</v>
      </c>
      <c r="AJ448" t="b">
        <f>+ISNUMBER(SEARCH('F-VTA'!$F$29,Tabla11[[#This Row],[Cuenta]],1))</f>
        <v>1</v>
      </c>
      <c r="AK448" t="b">
        <f>+ISNUMBER(SEARCH('F-VTA'!$F$30,Tabla11[[#This Row],[Cuenta]],1))</f>
        <v>1</v>
      </c>
      <c r="AL448" t="b">
        <f>+ISNUMBER(SEARCH('F-VTA'!$F$31,Tabla11[[#This Row],[Cuenta]],1))</f>
        <v>1</v>
      </c>
      <c r="AM448" t="b">
        <f>+ISNUMBER(SEARCH('F-VTA'!$F$32,Tabla11[[#This Row],[Cuenta]],1))</f>
        <v>1</v>
      </c>
      <c r="AN448" t="b">
        <f>+ISNUMBER(SEARCH('F-VTA'!$F$33,Tabla11[[#This Row],[Cuenta]],1))</f>
        <v>1</v>
      </c>
      <c r="AO448" t="b">
        <f>+ISNUMBER(SEARCH('F-VTA'!$F$34,Tabla11[[#This Row],[Cuenta]],1))</f>
        <v>1</v>
      </c>
      <c r="AP448" t="b">
        <f>+ISNUMBER(SEARCH('F-VTA'!$F$35,Tabla11[[#This Row],[Cuenta]],1))</f>
        <v>1</v>
      </c>
      <c r="AQ448" t="b">
        <f>+ISNUMBER(SEARCH('F-VTA'!$F$36,Tabla11[[#This Row],[Cuenta]],1))</f>
        <v>1</v>
      </c>
      <c r="AR448" t="b">
        <f>+ISNUMBER(SEARCH(#REF!,Tabla11[[#This Row],[Cuenta]],1))</f>
        <v>0</v>
      </c>
      <c r="AS448" t="b">
        <f>+ISNUMBER(SEARCH(#REF!,Tabla11[[#This Row],[Cuenta]],1))</f>
        <v>0</v>
      </c>
      <c r="AT448" t="b">
        <f>+ISNUMBER(SEARCH(#REF!,Tabla11[[#This Row],[Cuenta]],1))</f>
        <v>0</v>
      </c>
      <c r="AU448" t="b">
        <f>+ISNUMBER(SEARCH('Conc. Ban.1'!$I$9,Tabla11[[#This Row],[Cuenta]],1))</f>
        <v>0</v>
      </c>
      <c r="AV448" t="b">
        <f>+ISNUMBER(SEARCH(CompConta!$F$21,Tabla11[[#This Row],[Cuenta]],1))</f>
        <v>1</v>
      </c>
      <c r="AW448" t="b">
        <f>+ISNUMBER(SEARCH(CompConta!$F$22,Tabla11[[#This Row],[Cuenta]],1))</f>
        <v>1</v>
      </c>
      <c r="AX448" t="b">
        <f>+ISNUMBER(SEARCH(CompConta!$F$23,Tabla11[[#This Row],[Cuenta]],1))</f>
        <v>1</v>
      </c>
      <c r="AY448" t="b">
        <f>+ISNUMBER(SEARCH(CompConta!$F$24,Tabla11[[#This Row],[Cuenta]],1))</f>
        <v>1</v>
      </c>
      <c r="AZ448" t="b">
        <f>+ISNUMBER(SEARCH(CompConta!$F$25,Tabla11[[#This Row],[Cuenta]],1))</f>
        <v>1</v>
      </c>
      <c r="BA448" t="b">
        <f>+ISNUMBER(SEARCH(CompConta!$F$26,Tabla11[[#This Row],[Cuenta]],1))</f>
        <v>1</v>
      </c>
      <c r="BB448" t="b">
        <f>+ISNUMBER(SEARCH(CompConta!$F$27,Tabla11[[#This Row],[Cuenta]],1))</f>
        <v>1</v>
      </c>
      <c r="BC448" t="b">
        <f>+ISNUMBER(SEARCH(CompConta!$F$28,Tabla11[[#This Row],[Cuenta]],1))</f>
        <v>1</v>
      </c>
      <c r="BD448" t="b">
        <f>+ISNUMBER(SEARCH(CompConta!$F$29,Tabla11[[#This Row],[Cuenta]],1))</f>
        <v>1</v>
      </c>
      <c r="BE448" t="b">
        <f>+ISNUMBER(SEARCH(CompConta!$F$30,Tabla11[[#This Row],[Cuenta]],1))</f>
        <v>1</v>
      </c>
      <c r="BF448" t="b">
        <f>+ISNUMBER(SEARCH('PAGO Compras'!$E$11,Tabla11[[#This Row],[Cuenta]],1))</f>
        <v>1</v>
      </c>
      <c r="BG448" t="b">
        <f>+ISNUMBER(SEARCH(#REF!,Tabla11[[#This Row],[Cuenta]],1))</f>
        <v>0</v>
      </c>
      <c r="BH448" t="b">
        <f>+ISNUMBER(SEARCH(#REF!,Tabla11[[#This Row],[Cuenta]],1))</f>
        <v>0</v>
      </c>
      <c r="BI448" t="b">
        <f>+ISNUMBER(SEARCH(#REF!,Tabla11[[#This Row],[Cuenta]],1))</f>
        <v>0</v>
      </c>
      <c r="BJ448" t="b">
        <f>+ISNUMBER(SEARCH(#REF!,Tabla11[[#This Row],[Cuenta]],1))</f>
        <v>0</v>
      </c>
      <c r="BS448" t="str">
        <v xml:space="preserve">23658005 EMOLUMENTOS ECLESIASTICOS </v>
      </c>
      <c r="BT448" t="str">
        <v xml:space="preserve">23658005 EMOLUMENTOS ECLESIASTICOS </v>
      </c>
      <c r="BU448" t="str">
        <v xml:space="preserve">23658005 EMOLUMENTOS ECLESIASTICOS </v>
      </c>
      <c r="BV448" t="str">
        <v xml:space="preserve">23658005 EMOLUMENTOS ECLESIASTICOS </v>
      </c>
      <c r="BZ448" t="str">
        <v xml:space="preserve">23658005 EMOLUMENTOS ECLESIASTICOS </v>
      </c>
      <c r="CA448" t="str">
        <v xml:space="preserve">23658005 EMOLUMENTOS ECLESIASTICOS </v>
      </c>
      <c r="CB448" t="str">
        <v xml:space="preserve">23658005 EMOLUMENTOS ECLESIASTICOS </v>
      </c>
      <c r="CC448" t="str">
        <v xml:space="preserve">23658005 EMOLUMENTOS ECLESIASTICOS </v>
      </c>
      <c r="CD448" t="str">
        <v xml:space="preserve">23658005 EMOLUMENTOS ECLESIASTICOS </v>
      </c>
      <c r="CE448" t="str">
        <v xml:space="preserve">23658005 EMOLUMENTOS ECLESIASTICOS </v>
      </c>
      <c r="CS448" s="141" t="str">
        <v xml:space="preserve">23658005 EMOLUMENTOS ECLESIASTICOS </v>
      </c>
      <c r="CT448" s="141" t="str">
        <v xml:space="preserve">23658005 EMOLUMENTOS ECLESIASTICOS </v>
      </c>
      <c r="CU448" s="141" t="str">
        <v xml:space="preserve">23658005 EMOLUMENTOS ECLESIASTICOS </v>
      </c>
      <c r="CV448" s="141" t="str">
        <v xml:space="preserve">23658005 EMOLUMENTOS ECLESIASTICOS </v>
      </c>
      <c r="CW448" s="141" t="str">
        <v xml:space="preserve">23658005 EMOLUMENTOS ECLESIASTICOS </v>
      </c>
      <c r="CX448" s="141" t="str">
        <v xml:space="preserve">23658005 EMOLUMENTOS ECLESIASTICOS </v>
      </c>
      <c r="CY448" s="141" t="str">
        <v xml:space="preserve">23658005 EMOLUMENTOS ECLESIASTICOS </v>
      </c>
      <c r="CZ448" s="141" t="str">
        <v xml:space="preserve">23658005 EMOLUMENTOS ECLESIASTICOS </v>
      </c>
      <c r="DA448" s="141" t="str">
        <v xml:space="preserve">23658005 EMOLUMENTOS ECLESIASTICOS </v>
      </c>
      <c r="DF448" t="str">
        <v xml:space="preserve">23658005 EMOLUMENTOS ECLESIASTICOS </v>
      </c>
      <c r="DG448" t="str">
        <v xml:space="preserve">23658005 EMOLUMENTOS ECLESIASTICOS </v>
      </c>
      <c r="DH448" t="str">
        <v xml:space="preserve">23658005 EMOLUMENTOS ECLESIASTICOS </v>
      </c>
      <c r="DI448" t="str">
        <v xml:space="preserve">23658005 EMOLUMENTOS ECLESIASTICOS </v>
      </c>
      <c r="DJ448" t="str">
        <v xml:space="preserve">23658005 EMOLUMENTOS ECLESIASTICOS </v>
      </c>
      <c r="DK448" t="str">
        <v xml:space="preserve">23658005 EMOLUMENTOS ECLESIASTICOS </v>
      </c>
      <c r="DL448" t="str">
        <v xml:space="preserve">23658005 EMOLUMENTOS ECLESIASTICOS </v>
      </c>
      <c r="DM448" t="str">
        <v xml:space="preserve">23658005 EMOLUMENTOS ECLESIASTICOS </v>
      </c>
      <c r="DN448" t="str">
        <v xml:space="preserve">23658005 EMOLUMENTOS ECLESIASTICOS </v>
      </c>
      <c r="DO448" t="str">
        <v xml:space="preserve">23658005 EMOLUMENTOS ECLESIASTICOS </v>
      </c>
      <c r="DP448" t="str">
        <v xml:space="preserve">23658005 EMOLUMENTOS ECLESIASTICOS </v>
      </c>
    </row>
    <row r="449" spans="4:120" ht="12.75">
      <c r="D449" s="7">
        <v>2367</v>
      </c>
      <c r="E449" s="6" t="s">
        <v>339</v>
      </c>
      <c r="F449" s="5">
        <v>3</v>
      </c>
      <c r="G449" s="34" t="s">
        <v>823</v>
      </c>
      <c r="H449" s="26" t="s">
        <v>765</v>
      </c>
      <c r="I449" t="b">
        <f>+ISNUMBER(SEARCH('F-COMPRA'!$F$28,Tabla11[[#This Row],[Cuenta]],1))</f>
        <v>1</v>
      </c>
      <c r="J449" t="b">
        <f>+ISNUMBER(SEARCH('F-COMPRA'!$F$29,Tabla11[[#This Row],[Cuenta]],1))</f>
        <v>1</v>
      </c>
      <c r="K449" t="b">
        <f>+ISNUMBER(SEARCH('F-COMPRA'!$F$30,Tabla11[[#This Row],[Cuenta]],1))</f>
        <v>1</v>
      </c>
      <c r="L449" t="b">
        <f>+ISNUMBER(SEARCH('F-COMPRA'!$F$31,Tabla11[[#This Row],[Cuenta]],1))</f>
        <v>1</v>
      </c>
      <c r="M449" t="b">
        <f>+ISNUMBER(SEARCH('F-COMPRA'!$G$25,Tabla11[[#This Row],[Cuenta]],1))</f>
        <v>0</v>
      </c>
      <c r="N449" t="b">
        <f>+ISNUMBER(SEARCH(#REF!,Tabla11[[#This Row],[Cuenta]],1))</f>
        <v>0</v>
      </c>
      <c r="O449" t="b">
        <f>+ISNUMBER(SEARCH(#REF!,Tabla11[[#This Row],[Cuenta]],1))</f>
        <v>0</v>
      </c>
      <c r="P449" t="b">
        <f>+ISNUMBER(SEARCH('F-COMPRA'!$F$32,Tabla11[[#This Row],[Cuenta]],1))</f>
        <v>1</v>
      </c>
      <c r="Q449" t="b">
        <f>+ISNUMBER(SEARCH('F-COMPRA'!$F$33,Tabla11[[#This Row],[Cuenta]],1))</f>
        <v>1</v>
      </c>
      <c r="R449" t="b">
        <f>+ISNUMBER(SEARCH('F-COMPRA'!$F$34,Tabla11[[#This Row],[Cuenta]],1))</f>
        <v>1</v>
      </c>
      <c r="S449" t="b">
        <f>+ISNUMBER(SEARCH('F-COMPRA'!$F$35,Tabla11[[#This Row],[Cuenta]],1))</f>
        <v>1</v>
      </c>
      <c r="T449" t="b">
        <f>+ISNUMBER(SEARCH('F-COMPRA'!$F$36,Tabla11[[#This Row],[Cuenta]],1))</f>
        <v>1</v>
      </c>
      <c r="U449" t="b">
        <f>+ISNUMBER(SEARCH('F-COMPRA'!$F$37,Tabla11[[#This Row],[Cuenta]],1))</f>
        <v>1</v>
      </c>
      <c r="V449" t="b">
        <f>+ISNUMBER(SEARCH(#REF!,Tabla11[[#This Row],[Cuenta]],1))</f>
        <v>0</v>
      </c>
      <c r="W449" t="b">
        <f>+ISNUMBER(SEARCH('F-COMPRA'!#REF!,Tabla11[[#This Row],[Cuenta]],1))</f>
        <v>0</v>
      </c>
      <c r="X449" t="b">
        <f>+ISNUMBER(SEARCH('F-COMPRA'!#REF!,Tabla11[[#This Row],[Cuenta]],1))</f>
        <v>0</v>
      </c>
      <c r="Y449" t="b">
        <f>+ISNUMBER(SEARCH('F-COMPRA'!#REF!,Tabla11[[#This Row],[Cuenta]],1))</f>
        <v>0</v>
      </c>
      <c r="Z449" t="b">
        <f>+ISNUMBER(SEARCH('F-COMPRA'!#REF!,Tabla11[[#This Row],[Cuenta]],1))</f>
        <v>0</v>
      </c>
      <c r="AA449" t="b">
        <f>+ISNUMBER(SEARCH('F-COMPRA'!#REF!,Tabla11[[#This Row],[Cuenta]],1))</f>
        <v>0</v>
      </c>
      <c r="AB449" t="b">
        <f>+ISNUMBER(SEARCH('F-COMPRA'!#REF!,Tabla11[[#This Row],[Cuenta]],1))</f>
        <v>0</v>
      </c>
      <c r="AC449" t="b">
        <f>+ISNUMBER(SEARCH('F-COMPRA'!#REF!,Tabla11[[#This Row],[Cuenta]],1))</f>
        <v>0</v>
      </c>
      <c r="AD449" t="b">
        <f>+ISNUMBER(SEARCH('F-COMPRA'!#REF!,Tabla11[[#This Row],[Cuenta]],1))</f>
        <v>0</v>
      </c>
      <c r="AE449" t="b">
        <f>+ISNUMBER(SEARCH('F-COMPRA'!#REF!,Tabla11[[#This Row],[Cuenta]],1))</f>
        <v>0</v>
      </c>
      <c r="AF449" t="b">
        <f>+ISNUMBER(SEARCH('F-VTA'!$G$23,Tabla11[[#This Row],[Cuenta]],1))</f>
        <v>0</v>
      </c>
      <c r="AG449" t="b">
        <f>+ISNUMBER(SEARCH('F-VTA'!$G$24,Tabla11[[#This Row],[Cuenta]],1))</f>
        <v>0</v>
      </c>
      <c r="AH449" t="b">
        <f>+ISNUMBER(SEARCH('F-VTA'!$G$25,Tabla11[[#This Row],[Cuenta]],1))</f>
        <v>0</v>
      </c>
      <c r="AI449" t="b">
        <f>+ISNUMBER(SEARCH('F-VTA'!$F$28,Tabla11[[#This Row],[Cuenta]],1))</f>
        <v>1</v>
      </c>
      <c r="AJ449" t="b">
        <f>+ISNUMBER(SEARCH('F-VTA'!$F$29,Tabla11[[#This Row],[Cuenta]],1))</f>
        <v>1</v>
      </c>
      <c r="AK449" t="b">
        <f>+ISNUMBER(SEARCH('F-VTA'!$F$30,Tabla11[[#This Row],[Cuenta]],1))</f>
        <v>1</v>
      </c>
      <c r="AL449" t="b">
        <f>+ISNUMBER(SEARCH('F-VTA'!$F$31,Tabla11[[#This Row],[Cuenta]],1))</f>
        <v>1</v>
      </c>
      <c r="AM449" t="b">
        <f>+ISNUMBER(SEARCH('F-VTA'!$F$32,Tabla11[[#This Row],[Cuenta]],1))</f>
        <v>1</v>
      </c>
      <c r="AN449" t="b">
        <f>+ISNUMBER(SEARCH('F-VTA'!$F$33,Tabla11[[#This Row],[Cuenta]],1))</f>
        <v>1</v>
      </c>
      <c r="AO449" t="b">
        <f>+ISNUMBER(SEARCH('F-VTA'!$F$34,Tabla11[[#This Row],[Cuenta]],1))</f>
        <v>1</v>
      </c>
      <c r="AP449" t="b">
        <f>+ISNUMBER(SEARCH('F-VTA'!$F$35,Tabla11[[#This Row],[Cuenta]],1))</f>
        <v>1</v>
      </c>
      <c r="AQ449" t="b">
        <f>+ISNUMBER(SEARCH('F-VTA'!$F$36,Tabla11[[#This Row],[Cuenta]],1))</f>
        <v>1</v>
      </c>
      <c r="AR449" t="b">
        <f>+ISNUMBER(SEARCH(#REF!,Tabla11[[#This Row],[Cuenta]],1))</f>
        <v>0</v>
      </c>
      <c r="AS449" t="b">
        <f>+ISNUMBER(SEARCH(#REF!,Tabla11[[#This Row],[Cuenta]],1))</f>
        <v>0</v>
      </c>
      <c r="AT449" t="b">
        <f>+ISNUMBER(SEARCH(#REF!,Tabla11[[#This Row],[Cuenta]],1))</f>
        <v>0</v>
      </c>
      <c r="AU449" t="b">
        <f>+ISNUMBER(SEARCH('Conc. Ban.1'!$I$9,Tabla11[[#This Row],[Cuenta]],1))</f>
        <v>0</v>
      </c>
      <c r="AV449" t="b">
        <f>+ISNUMBER(SEARCH(CompConta!$F$21,Tabla11[[#This Row],[Cuenta]],1))</f>
        <v>1</v>
      </c>
      <c r="AW449" t="b">
        <f>+ISNUMBER(SEARCH(CompConta!$F$22,Tabla11[[#This Row],[Cuenta]],1))</f>
        <v>1</v>
      </c>
      <c r="AX449" t="b">
        <f>+ISNUMBER(SEARCH(CompConta!$F$23,Tabla11[[#This Row],[Cuenta]],1))</f>
        <v>1</v>
      </c>
      <c r="AY449" t="b">
        <f>+ISNUMBER(SEARCH(CompConta!$F$24,Tabla11[[#This Row],[Cuenta]],1))</f>
        <v>1</v>
      </c>
      <c r="AZ449" t="b">
        <f>+ISNUMBER(SEARCH(CompConta!$F$25,Tabla11[[#This Row],[Cuenta]],1))</f>
        <v>1</v>
      </c>
      <c r="BA449" t="b">
        <f>+ISNUMBER(SEARCH(CompConta!$F$26,Tabla11[[#This Row],[Cuenta]],1))</f>
        <v>1</v>
      </c>
      <c r="BB449" t="b">
        <f>+ISNUMBER(SEARCH(CompConta!$F$27,Tabla11[[#This Row],[Cuenta]],1))</f>
        <v>1</v>
      </c>
      <c r="BC449" t="b">
        <f>+ISNUMBER(SEARCH(CompConta!$F$28,Tabla11[[#This Row],[Cuenta]],1))</f>
        <v>1</v>
      </c>
      <c r="BD449" t="b">
        <f>+ISNUMBER(SEARCH(CompConta!$F$29,Tabla11[[#This Row],[Cuenta]],1))</f>
        <v>1</v>
      </c>
      <c r="BE449" t="b">
        <f>+ISNUMBER(SEARCH(CompConta!$F$30,Tabla11[[#This Row],[Cuenta]],1))</f>
        <v>1</v>
      </c>
      <c r="BF449" t="b">
        <f>+ISNUMBER(SEARCH('PAGO Compras'!$E$11,Tabla11[[#This Row],[Cuenta]],1))</f>
        <v>1</v>
      </c>
      <c r="BG449" t="b">
        <f>+ISNUMBER(SEARCH(#REF!,Tabla11[[#This Row],[Cuenta]],1))</f>
        <v>0</v>
      </c>
      <c r="BH449" t="b">
        <f>+ISNUMBER(SEARCH(#REF!,Tabla11[[#This Row],[Cuenta]],1))</f>
        <v>0</v>
      </c>
      <c r="BI449" t="b">
        <f>+ISNUMBER(SEARCH(#REF!,Tabla11[[#This Row],[Cuenta]],1))</f>
        <v>0</v>
      </c>
      <c r="BJ449" t="b">
        <f>+ISNUMBER(SEARCH(#REF!,Tabla11[[#This Row],[Cuenta]],1))</f>
        <v>0</v>
      </c>
      <c r="BS449" t="str">
        <v>2367 IMPUESTO A LAS VENTAS RETENIDO</v>
      </c>
      <c r="BT449" t="str">
        <v>2367 IMPUESTO A LAS VENTAS RETENIDO</v>
      </c>
      <c r="BU449" t="str">
        <v>2367 IMPUESTO A LAS VENTAS RETENIDO</v>
      </c>
      <c r="BV449" t="str">
        <v>2367 IMPUESTO A LAS VENTAS RETENIDO</v>
      </c>
      <c r="BZ449" t="str">
        <v>2367 IMPUESTO A LAS VENTAS RETENIDO</v>
      </c>
      <c r="CA449" t="str">
        <v>2367 IMPUESTO A LAS VENTAS RETENIDO</v>
      </c>
      <c r="CB449" t="str">
        <v>2367 IMPUESTO A LAS VENTAS RETENIDO</v>
      </c>
      <c r="CC449" t="str">
        <v>2367 IMPUESTO A LAS VENTAS RETENIDO</v>
      </c>
      <c r="CD449" t="str">
        <v>2367 IMPUESTO A LAS VENTAS RETENIDO</v>
      </c>
      <c r="CE449" t="str">
        <v>2367 IMPUESTO A LAS VENTAS RETENIDO</v>
      </c>
      <c r="CS449" s="141" t="str">
        <v>2367 IMPUESTO A LAS VENTAS RETENIDO</v>
      </c>
      <c r="CT449" s="141" t="str">
        <v>2367 IMPUESTO A LAS VENTAS RETENIDO</v>
      </c>
      <c r="CU449" s="141" t="str">
        <v>2367 IMPUESTO A LAS VENTAS RETENIDO</v>
      </c>
      <c r="CV449" s="141" t="str">
        <v>2367 IMPUESTO A LAS VENTAS RETENIDO</v>
      </c>
      <c r="CW449" s="141" t="str">
        <v>2367 IMPUESTO A LAS VENTAS RETENIDO</v>
      </c>
      <c r="CX449" s="141" t="str">
        <v>2367 IMPUESTO A LAS VENTAS RETENIDO</v>
      </c>
      <c r="CY449" s="141" t="str">
        <v>2367 IMPUESTO A LAS VENTAS RETENIDO</v>
      </c>
      <c r="CZ449" s="141" t="str">
        <v>2367 IMPUESTO A LAS VENTAS RETENIDO</v>
      </c>
      <c r="DA449" s="141" t="str">
        <v>2367 IMPUESTO A LAS VENTAS RETENIDO</v>
      </c>
      <c r="DF449" t="str">
        <v>2367 IMPUESTO A LAS VENTAS RETENIDO</v>
      </c>
      <c r="DG449" t="str">
        <v>2367 IMPUESTO A LAS VENTAS RETENIDO</v>
      </c>
      <c r="DH449" t="str">
        <v>2367 IMPUESTO A LAS VENTAS RETENIDO</v>
      </c>
      <c r="DI449" t="str">
        <v>2367 IMPUESTO A LAS VENTAS RETENIDO</v>
      </c>
      <c r="DJ449" t="str">
        <v>2367 IMPUESTO A LAS VENTAS RETENIDO</v>
      </c>
      <c r="DK449" t="str">
        <v>2367 IMPUESTO A LAS VENTAS RETENIDO</v>
      </c>
      <c r="DL449" t="str">
        <v>2367 IMPUESTO A LAS VENTAS RETENIDO</v>
      </c>
      <c r="DM449" t="str">
        <v>2367 IMPUESTO A LAS VENTAS RETENIDO</v>
      </c>
      <c r="DN449" t="str">
        <v>2367 IMPUESTO A LAS VENTAS RETENIDO</v>
      </c>
      <c r="DO449" t="str">
        <v>2367 IMPUESTO A LAS VENTAS RETENIDO</v>
      </c>
      <c r="DP449" t="str">
        <v>2367 IMPUESTO A LAS VENTAS RETENIDO</v>
      </c>
    </row>
    <row r="450" spans="4:120" ht="12.75">
      <c r="D450" s="7">
        <v>2368</v>
      </c>
      <c r="E450" s="6" t="s">
        <v>340</v>
      </c>
      <c r="F450" s="5">
        <v>3</v>
      </c>
      <c r="G450" s="34" t="s">
        <v>823</v>
      </c>
      <c r="H450" s="26" t="s">
        <v>765</v>
      </c>
      <c r="I450" t="b">
        <f>+ISNUMBER(SEARCH('F-COMPRA'!$F$28,Tabla11[[#This Row],[Cuenta]],1))</f>
        <v>1</v>
      </c>
      <c r="J450" t="b">
        <f>+ISNUMBER(SEARCH('F-COMPRA'!$F$29,Tabla11[[#This Row],[Cuenta]],1))</f>
        <v>1</v>
      </c>
      <c r="K450" t="b">
        <f>+ISNUMBER(SEARCH('F-COMPRA'!$F$30,Tabla11[[#This Row],[Cuenta]],1))</f>
        <v>1</v>
      </c>
      <c r="L450" t="b">
        <f>+ISNUMBER(SEARCH('F-COMPRA'!$F$31,Tabla11[[#This Row],[Cuenta]],1))</f>
        <v>1</v>
      </c>
      <c r="M450" t="b">
        <f>+ISNUMBER(SEARCH('F-COMPRA'!$G$25,Tabla11[[#This Row],[Cuenta]],1))</f>
        <v>0</v>
      </c>
      <c r="N450" t="b">
        <f>+ISNUMBER(SEARCH(#REF!,Tabla11[[#This Row],[Cuenta]],1))</f>
        <v>0</v>
      </c>
      <c r="O450" t="b">
        <f>+ISNUMBER(SEARCH(#REF!,Tabla11[[#This Row],[Cuenta]],1))</f>
        <v>0</v>
      </c>
      <c r="P450" t="b">
        <f>+ISNUMBER(SEARCH('F-COMPRA'!$F$32,Tabla11[[#This Row],[Cuenta]],1))</f>
        <v>1</v>
      </c>
      <c r="Q450" t="b">
        <f>+ISNUMBER(SEARCH('F-COMPRA'!$F$33,Tabla11[[#This Row],[Cuenta]],1))</f>
        <v>1</v>
      </c>
      <c r="R450" t="b">
        <f>+ISNUMBER(SEARCH('F-COMPRA'!$F$34,Tabla11[[#This Row],[Cuenta]],1))</f>
        <v>1</v>
      </c>
      <c r="S450" t="b">
        <f>+ISNUMBER(SEARCH('F-COMPRA'!$F$35,Tabla11[[#This Row],[Cuenta]],1))</f>
        <v>1</v>
      </c>
      <c r="T450" t="b">
        <f>+ISNUMBER(SEARCH('F-COMPRA'!$F$36,Tabla11[[#This Row],[Cuenta]],1))</f>
        <v>1</v>
      </c>
      <c r="U450" t="b">
        <f>+ISNUMBER(SEARCH('F-COMPRA'!$F$37,Tabla11[[#This Row],[Cuenta]],1))</f>
        <v>1</v>
      </c>
      <c r="V450" t="b">
        <f>+ISNUMBER(SEARCH(#REF!,Tabla11[[#This Row],[Cuenta]],1))</f>
        <v>0</v>
      </c>
      <c r="W450" t="b">
        <f>+ISNUMBER(SEARCH('F-COMPRA'!#REF!,Tabla11[[#This Row],[Cuenta]],1))</f>
        <v>0</v>
      </c>
      <c r="X450" t="b">
        <f>+ISNUMBER(SEARCH('F-COMPRA'!#REF!,Tabla11[[#This Row],[Cuenta]],1))</f>
        <v>0</v>
      </c>
      <c r="Y450" t="b">
        <f>+ISNUMBER(SEARCH('F-COMPRA'!#REF!,Tabla11[[#This Row],[Cuenta]],1))</f>
        <v>0</v>
      </c>
      <c r="Z450" t="b">
        <f>+ISNUMBER(SEARCH('F-COMPRA'!#REF!,Tabla11[[#This Row],[Cuenta]],1))</f>
        <v>0</v>
      </c>
      <c r="AA450" t="b">
        <f>+ISNUMBER(SEARCH('F-COMPRA'!#REF!,Tabla11[[#This Row],[Cuenta]],1))</f>
        <v>0</v>
      </c>
      <c r="AB450" t="b">
        <f>+ISNUMBER(SEARCH('F-COMPRA'!#REF!,Tabla11[[#This Row],[Cuenta]],1))</f>
        <v>0</v>
      </c>
      <c r="AC450" t="b">
        <f>+ISNUMBER(SEARCH('F-COMPRA'!#REF!,Tabla11[[#This Row],[Cuenta]],1))</f>
        <v>0</v>
      </c>
      <c r="AD450" t="b">
        <f>+ISNUMBER(SEARCH('F-COMPRA'!#REF!,Tabla11[[#This Row],[Cuenta]],1))</f>
        <v>0</v>
      </c>
      <c r="AE450" t="b">
        <f>+ISNUMBER(SEARCH('F-COMPRA'!#REF!,Tabla11[[#This Row],[Cuenta]],1))</f>
        <v>0</v>
      </c>
      <c r="AF450" t="b">
        <f>+ISNUMBER(SEARCH('F-VTA'!$G$23,Tabla11[[#This Row],[Cuenta]],1))</f>
        <v>0</v>
      </c>
      <c r="AG450" t="b">
        <f>+ISNUMBER(SEARCH('F-VTA'!$G$24,Tabla11[[#This Row],[Cuenta]],1))</f>
        <v>0</v>
      </c>
      <c r="AH450" t="b">
        <f>+ISNUMBER(SEARCH('F-VTA'!$G$25,Tabla11[[#This Row],[Cuenta]],1))</f>
        <v>0</v>
      </c>
      <c r="AI450" t="b">
        <f>+ISNUMBER(SEARCH('F-VTA'!$F$28,Tabla11[[#This Row],[Cuenta]],1))</f>
        <v>1</v>
      </c>
      <c r="AJ450" t="b">
        <f>+ISNUMBER(SEARCH('F-VTA'!$F$29,Tabla11[[#This Row],[Cuenta]],1))</f>
        <v>1</v>
      </c>
      <c r="AK450" t="b">
        <f>+ISNUMBER(SEARCH('F-VTA'!$F$30,Tabla11[[#This Row],[Cuenta]],1))</f>
        <v>1</v>
      </c>
      <c r="AL450" t="b">
        <f>+ISNUMBER(SEARCH('F-VTA'!$F$31,Tabla11[[#This Row],[Cuenta]],1))</f>
        <v>1</v>
      </c>
      <c r="AM450" t="b">
        <f>+ISNUMBER(SEARCH('F-VTA'!$F$32,Tabla11[[#This Row],[Cuenta]],1))</f>
        <v>1</v>
      </c>
      <c r="AN450" t="b">
        <f>+ISNUMBER(SEARCH('F-VTA'!$F$33,Tabla11[[#This Row],[Cuenta]],1))</f>
        <v>1</v>
      </c>
      <c r="AO450" t="b">
        <f>+ISNUMBER(SEARCH('F-VTA'!$F$34,Tabla11[[#This Row],[Cuenta]],1))</f>
        <v>1</v>
      </c>
      <c r="AP450" t="b">
        <f>+ISNUMBER(SEARCH('F-VTA'!$F$35,Tabla11[[#This Row],[Cuenta]],1))</f>
        <v>1</v>
      </c>
      <c r="AQ450" t="b">
        <f>+ISNUMBER(SEARCH('F-VTA'!$F$36,Tabla11[[#This Row],[Cuenta]],1))</f>
        <v>1</v>
      </c>
      <c r="AR450" t="b">
        <f>+ISNUMBER(SEARCH(#REF!,Tabla11[[#This Row],[Cuenta]],1))</f>
        <v>0</v>
      </c>
      <c r="AS450" t="b">
        <f>+ISNUMBER(SEARCH(#REF!,Tabla11[[#This Row],[Cuenta]],1))</f>
        <v>0</v>
      </c>
      <c r="AT450" t="b">
        <f>+ISNUMBER(SEARCH(#REF!,Tabla11[[#This Row],[Cuenta]],1))</f>
        <v>0</v>
      </c>
      <c r="AU450" t="b">
        <f>+ISNUMBER(SEARCH('Conc. Ban.1'!$I$9,Tabla11[[#This Row],[Cuenta]],1))</f>
        <v>0</v>
      </c>
      <c r="AV450" t="b">
        <f>+ISNUMBER(SEARCH(CompConta!$F$21,Tabla11[[#This Row],[Cuenta]],1))</f>
        <v>1</v>
      </c>
      <c r="AW450" t="b">
        <f>+ISNUMBER(SEARCH(CompConta!$F$22,Tabla11[[#This Row],[Cuenta]],1))</f>
        <v>1</v>
      </c>
      <c r="AX450" t="b">
        <f>+ISNUMBER(SEARCH(CompConta!$F$23,Tabla11[[#This Row],[Cuenta]],1))</f>
        <v>1</v>
      </c>
      <c r="AY450" t="b">
        <f>+ISNUMBER(SEARCH(CompConta!$F$24,Tabla11[[#This Row],[Cuenta]],1))</f>
        <v>1</v>
      </c>
      <c r="AZ450" t="b">
        <f>+ISNUMBER(SEARCH(CompConta!$F$25,Tabla11[[#This Row],[Cuenta]],1))</f>
        <v>1</v>
      </c>
      <c r="BA450" t="b">
        <f>+ISNUMBER(SEARCH(CompConta!$F$26,Tabla11[[#This Row],[Cuenta]],1))</f>
        <v>1</v>
      </c>
      <c r="BB450" t="b">
        <f>+ISNUMBER(SEARCH(CompConta!$F$27,Tabla11[[#This Row],[Cuenta]],1))</f>
        <v>1</v>
      </c>
      <c r="BC450" t="b">
        <f>+ISNUMBER(SEARCH(CompConta!$F$28,Tabla11[[#This Row],[Cuenta]],1))</f>
        <v>1</v>
      </c>
      <c r="BD450" t="b">
        <f>+ISNUMBER(SEARCH(CompConta!$F$29,Tabla11[[#This Row],[Cuenta]],1))</f>
        <v>1</v>
      </c>
      <c r="BE450" t="b">
        <f>+ISNUMBER(SEARCH(CompConta!$F$30,Tabla11[[#This Row],[Cuenta]],1))</f>
        <v>1</v>
      </c>
      <c r="BF450" t="b">
        <f>+ISNUMBER(SEARCH('PAGO Compras'!$E$11,Tabla11[[#This Row],[Cuenta]],1))</f>
        <v>1</v>
      </c>
      <c r="BG450" t="b">
        <f>+ISNUMBER(SEARCH(#REF!,Tabla11[[#This Row],[Cuenta]],1))</f>
        <v>0</v>
      </c>
      <c r="BH450" t="b">
        <f>+ISNUMBER(SEARCH(#REF!,Tabla11[[#This Row],[Cuenta]],1))</f>
        <v>0</v>
      </c>
      <c r="BI450" t="b">
        <f>+ISNUMBER(SEARCH(#REF!,Tabla11[[#This Row],[Cuenta]],1))</f>
        <v>0</v>
      </c>
      <c r="BJ450" t="b">
        <f>+ISNUMBER(SEARCH(#REF!,Tabla11[[#This Row],[Cuenta]],1))</f>
        <v>0</v>
      </c>
      <c r="BS450" t="str">
        <v>2368 IMPUESTO DE INDUSTRIA Y COMERCIO RETENID</v>
      </c>
      <c r="BT450" t="str">
        <v>2368 IMPUESTO DE INDUSTRIA Y COMERCIO RETENID</v>
      </c>
      <c r="BU450" t="str">
        <v>2368 IMPUESTO DE INDUSTRIA Y COMERCIO RETENID</v>
      </c>
      <c r="BV450" t="str">
        <v>2368 IMPUESTO DE INDUSTRIA Y COMERCIO RETENID</v>
      </c>
      <c r="BZ450" t="str">
        <v>2368 IMPUESTO DE INDUSTRIA Y COMERCIO RETENID</v>
      </c>
      <c r="CA450" t="str">
        <v>2368 IMPUESTO DE INDUSTRIA Y COMERCIO RETENID</v>
      </c>
      <c r="CB450" t="str">
        <v>2368 IMPUESTO DE INDUSTRIA Y COMERCIO RETENID</v>
      </c>
      <c r="CC450" t="str">
        <v>2368 IMPUESTO DE INDUSTRIA Y COMERCIO RETENID</v>
      </c>
      <c r="CD450" t="str">
        <v>2368 IMPUESTO DE INDUSTRIA Y COMERCIO RETENID</v>
      </c>
      <c r="CE450" t="str">
        <v>2368 IMPUESTO DE INDUSTRIA Y COMERCIO RETENID</v>
      </c>
      <c r="CS450" s="141" t="str">
        <v>2368 IMPUESTO DE INDUSTRIA Y COMERCIO RETENID</v>
      </c>
      <c r="CT450" s="141" t="str">
        <v>2368 IMPUESTO DE INDUSTRIA Y COMERCIO RETENID</v>
      </c>
      <c r="CU450" s="141" t="str">
        <v>2368 IMPUESTO DE INDUSTRIA Y COMERCIO RETENID</v>
      </c>
      <c r="CV450" s="141" t="str">
        <v>2368 IMPUESTO DE INDUSTRIA Y COMERCIO RETENID</v>
      </c>
      <c r="CW450" s="141" t="str">
        <v>2368 IMPUESTO DE INDUSTRIA Y COMERCIO RETENID</v>
      </c>
      <c r="CX450" s="141" t="str">
        <v>2368 IMPUESTO DE INDUSTRIA Y COMERCIO RETENID</v>
      </c>
      <c r="CY450" s="141" t="str">
        <v>2368 IMPUESTO DE INDUSTRIA Y COMERCIO RETENID</v>
      </c>
      <c r="CZ450" s="141" t="str">
        <v>2368 IMPUESTO DE INDUSTRIA Y COMERCIO RETENID</v>
      </c>
      <c r="DA450" s="141" t="str">
        <v>2368 IMPUESTO DE INDUSTRIA Y COMERCIO RETENID</v>
      </c>
      <c r="DF450" t="str">
        <v>2368 IMPUESTO DE INDUSTRIA Y COMERCIO RETENID</v>
      </c>
      <c r="DG450" t="str">
        <v>2368 IMPUESTO DE INDUSTRIA Y COMERCIO RETENID</v>
      </c>
      <c r="DH450" t="str">
        <v>2368 IMPUESTO DE INDUSTRIA Y COMERCIO RETENID</v>
      </c>
      <c r="DI450" t="str">
        <v>2368 IMPUESTO DE INDUSTRIA Y COMERCIO RETENID</v>
      </c>
      <c r="DJ450" t="str">
        <v>2368 IMPUESTO DE INDUSTRIA Y COMERCIO RETENID</v>
      </c>
      <c r="DK450" t="str">
        <v>2368 IMPUESTO DE INDUSTRIA Y COMERCIO RETENID</v>
      </c>
      <c r="DL450" t="str">
        <v>2368 IMPUESTO DE INDUSTRIA Y COMERCIO RETENID</v>
      </c>
      <c r="DM450" t="str">
        <v>2368 IMPUESTO DE INDUSTRIA Y COMERCIO RETENID</v>
      </c>
      <c r="DN450" t="str">
        <v>2368 IMPUESTO DE INDUSTRIA Y COMERCIO RETENID</v>
      </c>
      <c r="DO450" t="str">
        <v>2368 IMPUESTO DE INDUSTRIA Y COMERCIO RETENID</v>
      </c>
      <c r="DP450" t="str">
        <v>2368 IMPUESTO DE INDUSTRIA Y COMERCIO RETENID</v>
      </c>
    </row>
    <row r="451" spans="4:120" ht="12.75">
      <c r="D451" s="7">
        <v>2370</v>
      </c>
      <c r="E451" s="6" t="s">
        <v>341</v>
      </c>
      <c r="F451" s="5">
        <v>3</v>
      </c>
      <c r="G451" s="34" t="s">
        <v>823</v>
      </c>
      <c r="H451" s="26" t="s">
        <v>765</v>
      </c>
      <c r="I451" t="b">
        <f>+ISNUMBER(SEARCH('F-COMPRA'!$F$28,Tabla11[[#This Row],[Cuenta]],1))</f>
        <v>1</v>
      </c>
      <c r="J451" t="b">
        <f>+ISNUMBER(SEARCH('F-COMPRA'!$F$29,Tabla11[[#This Row],[Cuenta]],1))</f>
        <v>1</v>
      </c>
      <c r="K451" t="b">
        <f>+ISNUMBER(SEARCH('F-COMPRA'!$F$30,Tabla11[[#This Row],[Cuenta]],1))</f>
        <v>1</v>
      </c>
      <c r="L451" t="b">
        <f>+ISNUMBER(SEARCH('F-COMPRA'!$F$31,Tabla11[[#This Row],[Cuenta]],1))</f>
        <v>1</v>
      </c>
      <c r="M451" t="b">
        <f>+ISNUMBER(SEARCH('F-COMPRA'!$G$25,Tabla11[[#This Row],[Cuenta]],1))</f>
        <v>0</v>
      </c>
      <c r="N451" t="b">
        <f>+ISNUMBER(SEARCH(#REF!,Tabla11[[#This Row],[Cuenta]],1))</f>
        <v>0</v>
      </c>
      <c r="O451" t="b">
        <f>+ISNUMBER(SEARCH(#REF!,Tabla11[[#This Row],[Cuenta]],1))</f>
        <v>0</v>
      </c>
      <c r="P451" t="b">
        <f>+ISNUMBER(SEARCH('F-COMPRA'!$F$32,Tabla11[[#This Row],[Cuenta]],1))</f>
        <v>1</v>
      </c>
      <c r="Q451" t="b">
        <f>+ISNUMBER(SEARCH('F-COMPRA'!$F$33,Tabla11[[#This Row],[Cuenta]],1))</f>
        <v>1</v>
      </c>
      <c r="R451" t="b">
        <f>+ISNUMBER(SEARCH('F-COMPRA'!$F$34,Tabla11[[#This Row],[Cuenta]],1))</f>
        <v>1</v>
      </c>
      <c r="S451" t="b">
        <f>+ISNUMBER(SEARCH('F-COMPRA'!$F$35,Tabla11[[#This Row],[Cuenta]],1))</f>
        <v>1</v>
      </c>
      <c r="T451" t="b">
        <f>+ISNUMBER(SEARCH('F-COMPRA'!$F$36,Tabla11[[#This Row],[Cuenta]],1))</f>
        <v>1</v>
      </c>
      <c r="U451" t="b">
        <f>+ISNUMBER(SEARCH('F-COMPRA'!$F$37,Tabla11[[#This Row],[Cuenta]],1))</f>
        <v>1</v>
      </c>
      <c r="V451" t="b">
        <f>+ISNUMBER(SEARCH(#REF!,Tabla11[[#This Row],[Cuenta]],1))</f>
        <v>0</v>
      </c>
      <c r="W451" t="b">
        <f>+ISNUMBER(SEARCH('F-COMPRA'!#REF!,Tabla11[[#This Row],[Cuenta]],1))</f>
        <v>0</v>
      </c>
      <c r="X451" t="b">
        <f>+ISNUMBER(SEARCH('F-COMPRA'!#REF!,Tabla11[[#This Row],[Cuenta]],1))</f>
        <v>0</v>
      </c>
      <c r="Y451" t="b">
        <f>+ISNUMBER(SEARCH('F-COMPRA'!#REF!,Tabla11[[#This Row],[Cuenta]],1))</f>
        <v>0</v>
      </c>
      <c r="Z451" t="b">
        <f>+ISNUMBER(SEARCH('F-COMPRA'!#REF!,Tabla11[[#This Row],[Cuenta]],1))</f>
        <v>0</v>
      </c>
      <c r="AA451" t="b">
        <f>+ISNUMBER(SEARCH('F-COMPRA'!#REF!,Tabla11[[#This Row],[Cuenta]],1))</f>
        <v>0</v>
      </c>
      <c r="AB451" t="b">
        <f>+ISNUMBER(SEARCH('F-COMPRA'!#REF!,Tabla11[[#This Row],[Cuenta]],1))</f>
        <v>0</v>
      </c>
      <c r="AC451" t="b">
        <f>+ISNUMBER(SEARCH('F-COMPRA'!#REF!,Tabla11[[#This Row],[Cuenta]],1))</f>
        <v>0</v>
      </c>
      <c r="AD451" t="b">
        <f>+ISNUMBER(SEARCH('F-COMPRA'!#REF!,Tabla11[[#This Row],[Cuenta]],1))</f>
        <v>0</v>
      </c>
      <c r="AE451" t="b">
        <f>+ISNUMBER(SEARCH('F-COMPRA'!#REF!,Tabla11[[#This Row],[Cuenta]],1))</f>
        <v>0</v>
      </c>
      <c r="AF451" t="b">
        <f>+ISNUMBER(SEARCH('F-VTA'!$G$23,Tabla11[[#This Row],[Cuenta]],1))</f>
        <v>0</v>
      </c>
      <c r="AG451" t="b">
        <f>+ISNUMBER(SEARCH('F-VTA'!$G$24,Tabla11[[#This Row],[Cuenta]],1))</f>
        <v>0</v>
      </c>
      <c r="AH451" t="b">
        <f>+ISNUMBER(SEARCH('F-VTA'!$G$25,Tabla11[[#This Row],[Cuenta]],1))</f>
        <v>0</v>
      </c>
      <c r="AI451" t="b">
        <f>+ISNUMBER(SEARCH('F-VTA'!$F$28,Tabla11[[#This Row],[Cuenta]],1))</f>
        <v>1</v>
      </c>
      <c r="AJ451" t="b">
        <f>+ISNUMBER(SEARCH('F-VTA'!$F$29,Tabla11[[#This Row],[Cuenta]],1))</f>
        <v>1</v>
      </c>
      <c r="AK451" t="b">
        <f>+ISNUMBER(SEARCH('F-VTA'!$F$30,Tabla11[[#This Row],[Cuenta]],1))</f>
        <v>1</v>
      </c>
      <c r="AL451" t="b">
        <f>+ISNUMBER(SEARCH('F-VTA'!$F$31,Tabla11[[#This Row],[Cuenta]],1))</f>
        <v>1</v>
      </c>
      <c r="AM451" t="b">
        <f>+ISNUMBER(SEARCH('F-VTA'!$F$32,Tabla11[[#This Row],[Cuenta]],1))</f>
        <v>1</v>
      </c>
      <c r="AN451" t="b">
        <f>+ISNUMBER(SEARCH('F-VTA'!$F$33,Tabla11[[#This Row],[Cuenta]],1))</f>
        <v>1</v>
      </c>
      <c r="AO451" t="b">
        <f>+ISNUMBER(SEARCH('F-VTA'!$F$34,Tabla11[[#This Row],[Cuenta]],1))</f>
        <v>1</v>
      </c>
      <c r="AP451" t="b">
        <f>+ISNUMBER(SEARCH('F-VTA'!$F$35,Tabla11[[#This Row],[Cuenta]],1))</f>
        <v>1</v>
      </c>
      <c r="AQ451" t="b">
        <f>+ISNUMBER(SEARCH('F-VTA'!$F$36,Tabla11[[#This Row],[Cuenta]],1))</f>
        <v>1</v>
      </c>
      <c r="AR451" t="b">
        <f>+ISNUMBER(SEARCH(#REF!,Tabla11[[#This Row],[Cuenta]],1))</f>
        <v>0</v>
      </c>
      <c r="AS451" t="b">
        <f>+ISNUMBER(SEARCH(#REF!,Tabla11[[#This Row],[Cuenta]],1))</f>
        <v>0</v>
      </c>
      <c r="AT451" t="b">
        <f>+ISNUMBER(SEARCH(#REF!,Tabla11[[#This Row],[Cuenta]],1))</f>
        <v>0</v>
      </c>
      <c r="AU451" t="b">
        <f>+ISNUMBER(SEARCH('Conc. Ban.1'!$I$9,Tabla11[[#This Row],[Cuenta]],1))</f>
        <v>0</v>
      </c>
      <c r="AV451" t="b">
        <f>+ISNUMBER(SEARCH(CompConta!$F$21,Tabla11[[#This Row],[Cuenta]],1))</f>
        <v>1</v>
      </c>
      <c r="AW451" t="b">
        <f>+ISNUMBER(SEARCH(CompConta!$F$22,Tabla11[[#This Row],[Cuenta]],1))</f>
        <v>1</v>
      </c>
      <c r="AX451" t="b">
        <f>+ISNUMBER(SEARCH(CompConta!$F$23,Tabla11[[#This Row],[Cuenta]],1))</f>
        <v>1</v>
      </c>
      <c r="AY451" t="b">
        <f>+ISNUMBER(SEARCH(CompConta!$F$24,Tabla11[[#This Row],[Cuenta]],1))</f>
        <v>1</v>
      </c>
      <c r="AZ451" t="b">
        <f>+ISNUMBER(SEARCH(CompConta!$F$25,Tabla11[[#This Row],[Cuenta]],1))</f>
        <v>1</v>
      </c>
      <c r="BA451" t="b">
        <f>+ISNUMBER(SEARCH(CompConta!$F$26,Tabla11[[#This Row],[Cuenta]],1))</f>
        <v>1</v>
      </c>
      <c r="BB451" t="b">
        <f>+ISNUMBER(SEARCH(CompConta!$F$27,Tabla11[[#This Row],[Cuenta]],1))</f>
        <v>1</v>
      </c>
      <c r="BC451" t="b">
        <f>+ISNUMBER(SEARCH(CompConta!$F$28,Tabla11[[#This Row],[Cuenta]],1))</f>
        <v>1</v>
      </c>
      <c r="BD451" t="b">
        <f>+ISNUMBER(SEARCH(CompConta!$F$29,Tabla11[[#This Row],[Cuenta]],1))</f>
        <v>1</v>
      </c>
      <c r="BE451" t="b">
        <f>+ISNUMBER(SEARCH(CompConta!$F$30,Tabla11[[#This Row],[Cuenta]],1))</f>
        <v>1</v>
      </c>
      <c r="BF451" t="b">
        <f>+ISNUMBER(SEARCH('PAGO Compras'!$E$11,Tabla11[[#This Row],[Cuenta]],1))</f>
        <v>1</v>
      </c>
      <c r="BG451" t="b">
        <f>+ISNUMBER(SEARCH(#REF!,Tabla11[[#This Row],[Cuenta]],1))</f>
        <v>0</v>
      </c>
      <c r="BH451" t="b">
        <f>+ISNUMBER(SEARCH(#REF!,Tabla11[[#This Row],[Cuenta]],1))</f>
        <v>0</v>
      </c>
      <c r="BI451" t="b">
        <f>+ISNUMBER(SEARCH(#REF!,Tabla11[[#This Row],[Cuenta]],1))</f>
        <v>0</v>
      </c>
      <c r="BJ451" t="b">
        <f>+ISNUMBER(SEARCH(#REF!,Tabla11[[#This Row],[Cuenta]],1))</f>
        <v>0</v>
      </c>
      <c r="BS451" t="str">
        <v>2370 RETENCIONES Y APORTES DE NÓMINA</v>
      </c>
      <c r="BT451" t="str">
        <v>2370 RETENCIONES Y APORTES DE NÓMINA</v>
      </c>
      <c r="BU451" t="str">
        <v>2370 RETENCIONES Y APORTES DE NÓMINA</v>
      </c>
      <c r="BV451" t="str">
        <v>2370 RETENCIONES Y APORTES DE NÓMINA</v>
      </c>
      <c r="BZ451" t="str">
        <v>2370 RETENCIONES Y APORTES DE NÓMINA</v>
      </c>
      <c r="CA451" t="str">
        <v>2370 RETENCIONES Y APORTES DE NÓMINA</v>
      </c>
      <c r="CB451" t="str">
        <v>2370 RETENCIONES Y APORTES DE NÓMINA</v>
      </c>
      <c r="CC451" t="str">
        <v>2370 RETENCIONES Y APORTES DE NÓMINA</v>
      </c>
      <c r="CD451" t="str">
        <v>2370 RETENCIONES Y APORTES DE NÓMINA</v>
      </c>
      <c r="CE451" t="str">
        <v>2370 RETENCIONES Y APORTES DE NÓMINA</v>
      </c>
      <c r="CS451" s="141" t="str">
        <v>2370 RETENCIONES Y APORTES DE NÓMINA</v>
      </c>
      <c r="CT451" s="141" t="str">
        <v>2370 RETENCIONES Y APORTES DE NÓMINA</v>
      </c>
      <c r="CU451" s="141" t="str">
        <v>2370 RETENCIONES Y APORTES DE NÓMINA</v>
      </c>
      <c r="CV451" s="141" t="str">
        <v>2370 RETENCIONES Y APORTES DE NÓMINA</v>
      </c>
      <c r="CW451" s="141" t="str">
        <v>2370 RETENCIONES Y APORTES DE NÓMINA</v>
      </c>
      <c r="CX451" s="141" t="str">
        <v>2370 RETENCIONES Y APORTES DE NÓMINA</v>
      </c>
      <c r="CY451" s="141" t="str">
        <v>2370 RETENCIONES Y APORTES DE NÓMINA</v>
      </c>
      <c r="CZ451" s="141" t="str">
        <v>2370 RETENCIONES Y APORTES DE NÓMINA</v>
      </c>
      <c r="DA451" s="141" t="str">
        <v>2370 RETENCIONES Y APORTES DE NÓMINA</v>
      </c>
      <c r="DF451" t="str">
        <v>2370 RETENCIONES Y APORTES DE NÓMINA</v>
      </c>
      <c r="DG451" t="str">
        <v>2370 RETENCIONES Y APORTES DE NÓMINA</v>
      </c>
      <c r="DH451" t="str">
        <v>2370 RETENCIONES Y APORTES DE NÓMINA</v>
      </c>
      <c r="DI451" t="str">
        <v>2370 RETENCIONES Y APORTES DE NÓMINA</v>
      </c>
      <c r="DJ451" t="str">
        <v>2370 RETENCIONES Y APORTES DE NÓMINA</v>
      </c>
      <c r="DK451" t="str">
        <v>2370 RETENCIONES Y APORTES DE NÓMINA</v>
      </c>
      <c r="DL451" t="str">
        <v>2370 RETENCIONES Y APORTES DE NÓMINA</v>
      </c>
      <c r="DM451" t="str">
        <v>2370 RETENCIONES Y APORTES DE NÓMINA</v>
      </c>
      <c r="DN451" t="str">
        <v>2370 RETENCIONES Y APORTES DE NÓMINA</v>
      </c>
      <c r="DO451" t="str">
        <v>2370 RETENCIONES Y APORTES DE NÓMINA</v>
      </c>
      <c r="DP451" t="str">
        <v>2370 RETENCIONES Y APORTES DE NÓMINA</v>
      </c>
    </row>
    <row r="452" spans="4:120" ht="12.75">
      <c r="D452" s="7">
        <v>237005</v>
      </c>
      <c r="E452" s="6" t="s">
        <v>342</v>
      </c>
      <c r="F452" s="5">
        <v>4</v>
      </c>
      <c r="G452" s="34" t="s">
        <v>823</v>
      </c>
      <c r="H452" s="26" t="s">
        <v>765</v>
      </c>
      <c r="I452" t="b">
        <f>+ISNUMBER(SEARCH('F-COMPRA'!$F$28,Tabla11[[#This Row],[Cuenta]],1))</f>
        <v>1</v>
      </c>
      <c r="J452" t="b">
        <f>+ISNUMBER(SEARCH('F-COMPRA'!$F$29,Tabla11[[#This Row],[Cuenta]],1))</f>
        <v>1</v>
      </c>
      <c r="K452" t="b">
        <f>+ISNUMBER(SEARCH('F-COMPRA'!$F$30,Tabla11[[#This Row],[Cuenta]],1))</f>
        <v>1</v>
      </c>
      <c r="L452" t="b">
        <f>+ISNUMBER(SEARCH('F-COMPRA'!$F$31,Tabla11[[#This Row],[Cuenta]],1))</f>
        <v>1</v>
      </c>
      <c r="M452" t="b">
        <f>+ISNUMBER(SEARCH('F-COMPRA'!$G$25,Tabla11[[#This Row],[Cuenta]],1))</f>
        <v>0</v>
      </c>
      <c r="N452" t="b">
        <f>+ISNUMBER(SEARCH(#REF!,Tabla11[[#This Row],[Cuenta]],1))</f>
        <v>0</v>
      </c>
      <c r="O452" t="b">
        <f>+ISNUMBER(SEARCH(#REF!,Tabla11[[#This Row],[Cuenta]],1))</f>
        <v>0</v>
      </c>
      <c r="P452" t="b">
        <f>+ISNUMBER(SEARCH('F-COMPRA'!$F$32,Tabla11[[#This Row],[Cuenta]],1))</f>
        <v>1</v>
      </c>
      <c r="Q452" t="b">
        <f>+ISNUMBER(SEARCH('F-COMPRA'!$F$33,Tabla11[[#This Row],[Cuenta]],1))</f>
        <v>1</v>
      </c>
      <c r="R452" t="b">
        <f>+ISNUMBER(SEARCH('F-COMPRA'!$F$34,Tabla11[[#This Row],[Cuenta]],1))</f>
        <v>1</v>
      </c>
      <c r="S452" t="b">
        <f>+ISNUMBER(SEARCH('F-COMPRA'!$F$35,Tabla11[[#This Row],[Cuenta]],1))</f>
        <v>1</v>
      </c>
      <c r="T452" t="b">
        <f>+ISNUMBER(SEARCH('F-COMPRA'!$F$36,Tabla11[[#This Row],[Cuenta]],1))</f>
        <v>1</v>
      </c>
      <c r="U452" t="b">
        <f>+ISNUMBER(SEARCH('F-COMPRA'!$F$37,Tabla11[[#This Row],[Cuenta]],1))</f>
        <v>1</v>
      </c>
      <c r="V452" t="b">
        <f>+ISNUMBER(SEARCH(#REF!,Tabla11[[#This Row],[Cuenta]],1))</f>
        <v>0</v>
      </c>
      <c r="W452" t="b">
        <f>+ISNUMBER(SEARCH('F-COMPRA'!#REF!,Tabla11[[#This Row],[Cuenta]],1))</f>
        <v>0</v>
      </c>
      <c r="X452" t="b">
        <f>+ISNUMBER(SEARCH('F-COMPRA'!#REF!,Tabla11[[#This Row],[Cuenta]],1))</f>
        <v>0</v>
      </c>
      <c r="Y452" t="b">
        <f>+ISNUMBER(SEARCH('F-COMPRA'!#REF!,Tabla11[[#This Row],[Cuenta]],1))</f>
        <v>0</v>
      </c>
      <c r="Z452" t="b">
        <f>+ISNUMBER(SEARCH('F-COMPRA'!#REF!,Tabla11[[#This Row],[Cuenta]],1))</f>
        <v>0</v>
      </c>
      <c r="AA452" t="b">
        <f>+ISNUMBER(SEARCH('F-COMPRA'!#REF!,Tabla11[[#This Row],[Cuenta]],1))</f>
        <v>0</v>
      </c>
      <c r="AB452" t="b">
        <f>+ISNUMBER(SEARCH('F-COMPRA'!#REF!,Tabla11[[#This Row],[Cuenta]],1))</f>
        <v>0</v>
      </c>
      <c r="AC452" t="b">
        <f>+ISNUMBER(SEARCH('F-COMPRA'!#REF!,Tabla11[[#This Row],[Cuenta]],1))</f>
        <v>0</v>
      </c>
      <c r="AD452" t="b">
        <f>+ISNUMBER(SEARCH('F-COMPRA'!#REF!,Tabla11[[#This Row],[Cuenta]],1))</f>
        <v>0</v>
      </c>
      <c r="AE452" t="b">
        <f>+ISNUMBER(SEARCH('F-COMPRA'!#REF!,Tabla11[[#This Row],[Cuenta]],1))</f>
        <v>0</v>
      </c>
      <c r="AF452" t="b">
        <f>+ISNUMBER(SEARCH('F-VTA'!$G$23,Tabla11[[#This Row],[Cuenta]],1))</f>
        <v>0</v>
      </c>
      <c r="AG452" t="b">
        <f>+ISNUMBER(SEARCH('F-VTA'!$G$24,Tabla11[[#This Row],[Cuenta]],1))</f>
        <v>0</v>
      </c>
      <c r="AH452" t="b">
        <f>+ISNUMBER(SEARCH('F-VTA'!$G$25,Tabla11[[#This Row],[Cuenta]],1))</f>
        <v>0</v>
      </c>
      <c r="AI452" t="b">
        <f>+ISNUMBER(SEARCH('F-VTA'!$F$28,Tabla11[[#This Row],[Cuenta]],1))</f>
        <v>1</v>
      </c>
      <c r="AJ452" t="b">
        <f>+ISNUMBER(SEARCH('F-VTA'!$F$29,Tabla11[[#This Row],[Cuenta]],1))</f>
        <v>1</v>
      </c>
      <c r="AK452" t="b">
        <f>+ISNUMBER(SEARCH('F-VTA'!$F$30,Tabla11[[#This Row],[Cuenta]],1))</f>
        <v>1</v>
      </c>
      <c r="AL452" t="b">
        <f>+ISNUMBER(SEARCH('F-VTA'!$F$31,Tabla11[[#This Row],[Cuenta]],1))</f>
        <v>1</v>
      </c>
      <c r="AM452" t="b">
        <f>+ISNUMBER(SEARCH('F-VTA'!$F$32,Tabla11[[#This Row],[Cuenta]],1))</f>
        <v>1</v>
      </c>
      <c r="AN452" t="b">
        <f>+ISNUMBER(SEARCH('F-VTA'!$F$33,Tabla11[[#This Row],[Cuenta]],1))</f>
        <v>1</v>
      </c>
      <c r="AO452" t="b">
        <f>+ISNUMBER(SEARCH('F-VTA'!$F$34,Tabla11[[#This Row],[Cuenta]],1))</f>
        <v>1</v>
      </c>
      <c r="AP452" t="b">
        <f>+ISNUMBER(SEARCH('F-VTA'!$F$35,Tabla11[[#This Row],[Cuenta]],1))</f>
        <v>1</v>
      </c>
      <c r="AQ452" t="b">
        <f>+ISNUMBER(SEARCH('F-VTA'!$F$36,Tabla11[[#This Row],[Cuenta]],1))</f>
        <v>1</v>
      </c>
      <c r="AR452" t="b">
        <f>+ISNUMBER(SEARCH(#REF!,Tabla11[[#This Row],[Cuenta]],1))</f>
        <v>0</v>
      </c>
      <c r="AS452" t="b">
        <f>+ISNUMBER(SEARCH(#REF!,Tabla11[[#This Row],[Cuenta]],1))</f>
        <v>0</v>
      </c>
      <c r="AT452" t="b">
        <f>+ISNUMBER(SEARCH(#REF!,Tabla11[[#This Row],[Cuenta]],1))</f>
        <v>0</v>
      </c>
      <c r="AU452" t="b">
        <f>+ISNUMBER(SEARCH('Conc. Ban.1'!$I$9,Tabla11[[#This Row],[Cuenta]],1))</f>
        <v>0</v>
      </c>
      <c r="AV452" t="b">
        <f>+ISNUMBER(SEARCH(CompConta!$F$21,Tabla11[[#This Row],[Cuenta]],1))</f>
        <v>1</v>
      </c>
      <c r="AW452" t="b">
        <f>+ISNUMBER(SEARCH(CompConta!$F$22,Tabla11[[#This Row],[Cuenta]],1))</f>
        <v>1</v>
      </c>
      <c r="AX452" t="b">
        <f>+ISNUMBER(SEARCH(CompConta!$F$23,Tabla11[[#This Row],[Cuenta]],1))</f>
        <v>1</v>
      </c>
      <c r="AY452" t="b">
        <f>+ISNUMBER(SEARCH(CompConta!$F$24,Tabla11[[#This Row],[Cuenta]],1))</f>
        <v>1</v>
      </c>
      <c r="AZ452" t="b">
        <f>+ISNUMBER(SEARCH(CompConta!$F$25,Tabla11[[#This Row],[Cuenta]],1))</f>
        <v>1</v>
      </c>
      <c r="BA452" t="b">
        <f>+ISNUMBER(SEARCH(CompConta!$F$26,Tabla11[[#This Row],[Cuenta]],1))</f>
        <v>1</v>
      </c>
      <c r="BB452" t="b">
        <f>+ISNUMBER(SEARCH(CompConta!$F$27,Tabla11[[#This Row],[Cuenta]],1))</f>
        <v>1</v>
      </c>
      <c r="BC452" t="b">
        <f>+ISNUMBER(SEARCH(CompConta!$F$28,Tabla11[[#This Row],[Cuenta]],1))</f>
        <v>1</v>
      </c>
      <c r="BD452" t="b">
        <f>+ISNUMBER(SEARCH(CompConta!$F$29,Tabla11[[#This Row],[Cuenta]],1))</f>
        <v>1</v>
      </c>
      <c r="BE452" t="b">
        <f>+ISNUMBER(SEARCH(CompConta!$F$30,Tabla11[[#This Row],[Cuenta]],1))</f>
        <v>1</v>
      </c>
      <c r="BF452" t="b">
        <f>+ISNUMBER(SEARCH('PAGO Compras'!$E$11,Tabla11[[#This Row],[Cuenta]],1))</f>
        <v>1</v>
      </c>
      <c r="BG452" t="b">
        <f>+ISNUMBER(SEARCH(#REF!,Tabla11[[#This Row],[Cuenta]],1))</f>
        <v>0</v>
      </c>
      <c r="BH452" t="b">
        <f>+ISNUMBER(SEARCH(#REF!,Tabla11[[#This Row],[Cuenta]],1))</f>
        <v>0</v>
      </c>
      <c r="BI452" t="b">
        <f>+ISNUMBER(SEARCH(#REF!,Tabla11[[#This Row],[Cuenta]],1))</f>
        <v>0</v>
      </c>
      <c r="BJ452" t="b">
        <f>+ISNUMBER(SEARCH(#REF!,Tabla11[[#This Row],[Cuenta]],1))</f>
        <v>0</v>
      </c>
      <c r="BS452" t="str">
        <v>237005 Aportes a entidades promotoras de salud EPS</v>
      </c>
      <c r="BT452" t="str">
        <v>237005 Aportes a entidades promotoras de salud EPS</v>
      </c>
      <c r="BU452" t="str">
        <v>237005 Aportes a entidades promotoras de salud EPS</v>
      </c>
      <c r="BV452" t="str">
        <v>237005 Aportes a entidades promotoras de salud EPS</v>
      </c>
      <c r="BZ452" t="str">
        <v>237005 Aportes a entidades promotoras de salud EPS</v>
      </c>
      <c r="CA452" t="str">
        <v>237005 Aportes a entidades promotoras de salud EPS</v>
      </c>
      <c r="CB452" t="str">
        <v>237005 Aportes a entidades promotoras de salud EPS</v>
      </c>
      <c r="CC452" t="str">
        <v>237005 Aportes a entidades promotoras de salud EPS</v>
      </c>
      <c r="CD452" t="str">
        <v>237005 Aportes a entidades promotoras de salud EPS</v>
      </c>
      <c r="CE452" t="str">
        <v>237005 Aportes a entidades promotoras de salud EPS</v>
      </c>
      <c r="CS452" s="141" t="str">
        <v>237005 Aportes a entidades promotoras de salud EPS</v>
      </c>
      <c r="CT452" s="141" t="str">
        <v>237005 Aportes a entidades promotoras de salud EPS</v>
      </c>
      <c r="CU452" s="141" t="str">
        <v>237005 Aportes a entidades promotoras de salud EPS</v>
      </c>
      <c r="CV452" s="141" t="str">
        <v>237005 Aportes a entidades promotoras de salud EPS</v>
      </c>
      <c r="CW452" s="141" t="str">
        <v>237005 Aportes a entidades promotoras de salud EPS</v>
      </c>
      <c r="CX452" s="141" t="str">
        <v>237005 Aportes a entidades promotoras de salud EPS</v>
      </c>
      <c r="CY452" s="141" t="str">
        <v>237005 Aportes a entidades promotoras de salud EPS</v>
      </c>
      <c r="CZ452" s="141" t="str">
        <v>237005 Aportes a entidades promotoras de salud EPS</v>
      </c>
      <c r="DA452" s="141" t="str">
        <v>237005 Aportes a entidades promotoras de salud EPS</v>
      </c>
      <c r="DF452" t="str">
        <v>237005 Aportes a entidades promotoras de salud EPS</v>
      </c>
      <c r="DG452" t="str">
        <v>237005 Aportes a entidades promotoras de salud EPS</v>
      </c>
      <c r="DH452" t="str">
        <v>237005 Aportes a entidades promotoras de salud EPS</v>
      </c>
      <c r="DI452" t="str">
        <v>237005 Aportes a entidades promotoras de salud EPS</v>
      </c>
      <c r="DJ452" t="str">
        <v>237005 Aportes a entidades promotoras de salud EPS</v>
      </c>
      <c r="DK452" t="str">
        <v>237005 Aportes a entidades promotoras de salud EPS</v>
      </c>
      <c r="DL452" t="str">
        <v>237005 Aportes a entidades promotoras de salud EPS</v>
      </c>
      <c r="DM452" t="str">
        <v>237005 Aportes a entidades promotoras de salud EPS</v>
      </c>
      <c r="DN452" t="str">
        <v>237005 Aportes a entidades promotoras de salud EPS</v>
      </c>
      <c r="DO452" t="str">
        <v>237005 Aportes a entidades promotoras de salud EPS</v>
      </c>
      <c r="DP452" t="str">
        <v>237005 Aportes a entidades promotoras de salud EPS</v>
      </c>
    </row>
    <row r="453" spans="4:120" ht="12.75">
      <c r="D453" s="7">
        <v>237006</v>
      </c>
      <c r="E453" s="6" t="s">
        <v>343</v>
      </c>
      <c r="F453" s="5">
        <v>4</v>
      </c>
      <c r="G453" s="34" t="s">
        <v>823</v>
      </c>
      <c r="H453" s="26" t="s">
        <v>765</v>
      </c>
      <c r="I453" t="b">
        <f>+ISNUMBER(SEARCH('F-COMPRA'!$F$28,Tabla11[[#This Row],[Cuenta]],1))</f>
        <v>1</v>
      </c>
      <c r="J453" t="b">
        <f>+ISNUMBER(SEARCH('F-COMPRA'!$F$29,Tabla11[[#This Row],[Cuenta]],1))</f>
        <v>1</v>
      </c>
      <c r="K453" t="b">
        <f>+ISNUMBER(SEARCH('F-COMPRA'!$F$30,Tabla11[[#This Row],[Cuenta]],1))</f>
        <v>1</v>
      </c>
      <c r="L453" t="b">
        <f>+ISNUMBER(SEARCH('F-COMPRA'!$F$31,Tabla11[[#This Row],[Cuenta]],1))</f>
        <v>1</v>
      </c>
      <c r="M453" t="b">
        <f>+ISNUMBER(SEARCH('F-COMPRA'!$G$25,Tabla11[[#This Row],[Cuenta]],1))</f>
        <v>0</v>
      </c>
      <c r="N453" t="b">
        <f>+ISNUMBER(SEARCH(#REF!,Tabla11[[#This Row],[Cuenta]],1))</f>
        <v>0</v>
      </c>
      <c r="O453" t="b">
        <f>+ISNUMBER(SEARCH(#REF!,Tabla11[[#This Row],[Cuenta]],1))</f>
        <v>0</v>
      </c>
      <c r="P453" t="b">
        <f>+ISNUMBER(SEARCH('F-COMPRA'!$F$32,Tabla11[[#This Row],[Cuenta]],1))</f>
        <v>1</v>
      </c>
      <c r="Q453" t="b">
        <f>+ISNUMBER(SEARCH('F-COMPRA'!$F$33,Tabla11[[#This Row],[Cuenta]],1))</f>
        <v>1</v>
      </c>
      <c r="R453" t="b">
        <f>+ISNUMBER(SEARCH('F-COMPRA'!$F$34,Tabla11[[#This Row],[Cuenta]],1))</f>
        <v>1</v>
      </c>
      <c r="S453" t="b">
        <f>+ISNUMBER(SEARCH('F-COMPRA'!$F$35,Tabla11[[#This Row],[Cuenta]],1))</f>
        <v>1</v>
      </c>
      <c r="T453" t="b">
        <f>+ISNUMBER(SEARCH('F-COMPRA'!$F$36,Tabla11[[#This Row],[Cuenta]],1))</f>
        <v>1</v>
      </c>
      <c r="U453" t="b">
        <f>+ISNUMBER(SEARCH('F-COMPRA'!$F$37,Tabla11[[#This Row],[Cuenta]],1))</f>
        <v>1</v>
      </c>
      <c r="V453" t="b">
        <f>+ISNUMBER(SEARCH(#REF!,Tabla11[[#This Row],[Cuenta]],1))</f>
        <v>0</v>
      </c>
      <c r="W453" t="b">
        <f>+ISNUMBER(SEARCH('F-COMPRA'!#REF!,Tabla11[[#This Row],[Cuenta]],1))</f>
        <v>0</v>
      </c>
      <c r="X453" t="b">
        <f>+ISNUMBER(SEARCH('F-COMPRA'!#REF!,Tabla11[[#This Row],[Cuenta]],1))</f>
        <v>0</v>
      </c>
      <c r="Y453" t="b">
        <f>+ISNUMBER(SEARCH('F-COMPRA'!#REF!,Tabla11[[#This Row],[Cuenta]],1))</f>
        <v>0</v>
      </c>
      <c r="Z453" t="b">
        <f>+ISNUMBER(SEARCH('F-COMPRA'!#REF!,Tabla11[[#This Row],[Cuenta]],1))</f>
        <v>0</v>
      </c>
      <c r="AA453" t="b">
        <f>+ISNUMBER(SEARCH('F-COMPRA'!#REF!,Tabla11[[#This Row],[Cuenta]],1))</f>
        <v>0</v>
      </c>
      <c r="AB453" t="b">
        <f>+ISNUMBER(SEARCH('F-COMPRA'!#REF!,Tabla11[[#This Row],[Cuenta]],1))</f>
        <v>0</v>
      </c>
      <c r="AC453" t="b">
        <f>+ISNUMBER(SEARCH('F-COMPRA'!#REF!,Tabla11[[#This Row],[Cuenta]],1))</f>
        <v>0</v>
      </c>
      <c r="AD453" t="b">
        <f>+ISNUMBER(SEARCH('F-COMPRA'!#REF!,Tabla11[[#This Row],[Cuenta]],1))</f>
        <v>0</v>
      </c>
      <c r="AE453" t="b">
        <f>+ISNUMBER(SEARCH('F-COMPRA'!#REF!,Tabla11[[#This Row],[Cuenta]],1))</f>
        <v>0</v>
      </c>
      <c r="AF453" t="b">
        <f>+ISNUMBER(SEARCH('F-VTA'!$G$23,Tabla11[[#This Row],[Cuenta]],1))</f>
        <v>0</v>
      </c>
      <c r="AG453" t="b">
        <f>+ISNUMBER(SEARCH('F-VTA'!$G$24,Tabla11[[#This Row],[Cuenta]],1))</f>
        <v>0</v>
      </c>
      <c r="AH453" t="b">
        <f>+ISNUMBER(SEARCH('F-VTA'!$G$25,Tabla11[[#This Row],[Cuenta]],1))</f>
        <v>0</v>
      </c>
      <c r="AI453" t="b">
        <f>+ISNUMBER(SEARCH('F-VTA'!$F$28,Tabla11[[#This Row],[Cuenta]],1))</f>
        <v>1</v>
      </c>
      <c r="AJ453" t="b">
        <f>+ISNUMBER(SEARCH('F-VTA'!$F$29,Tabla11[[#This Row],[Cuenta]],1))</f>
        <v>1</v>
      </c>
      <c r="AK453" t="b">
        <f>+ISNUMBER(SEARCH('F-VTA'!$F$30,Tabla11[[#This Row],[Cuenta]],1))</f>
        <v>1</v>
      </c>
      <c r="AL453" t="b">
        <f>+ISNUMBER(SEARCH('F-VTA'!$F$31,Tabla11[[#This Row],[Cuenta]],1))</f>
        <v>1</v>
      </c>
      <c r="AM453" t="b">
        <f>+ISNUMBER(SEARCH('F-VTA'!$F$32,Tabla11[[#This Row],[Cuenta]],1))</f>
        <v>1</v>
      </c>
      <c r="AN453" t="b">
        <f>+ISNUMBER(SEARCH('F-VTA'!$F$33,Tabla11[[#This Row],[Cuenta]],1))</f>
        <v>1</v>
      </c>
      <c r="AO453" t="b">
        <f>+ISNUMBER(SEARCH('F-VTA'!$F$34,Tabla11[[#This Row],[Cuenta]],1))</f>
        <v>1</v>
      </c>
      <c r="AP453" t="b">
        <f>+ISNUMBER(SEARCH('F-VTA'!$F$35,Tabla11[[#This Row],[Cuenta]],1))</f>
        <v>1</v>
      </c>
      <c r="AQ453" t="b">
        <f>+ISNUMBER(SEARCH('F-VTA'!$F$36,Tabla11[[#This Row],[Cuenta]],1))</f>
        <v>1</v>
      </c>
      <c r="AR453" t="b">
        <f>+ISNUMBER(SEARCH(#REF!,Tabla11[[#This Row],[Cuenta]],1))</f>
        <v>0</v>
      </c>
      <c r="AS453" t="b">
        <f>+ISNUMBER(SEARCH(#REF!,Tabla11[[#This Row],[Cuenta]],1))</f>
        <v>0</v>
      </c>
      <c r="AT453" t="b">
        <f>+ISNUMBER(SEARCH(#REF!,Tabla11[[#This Row],[Cuenta]],1))</f>
        <v>0</v>
      </c>
      <c r="AU453" t="b">
        <f>+ISNUMBER(SEARCH('Conc. Ban.1'!$I$9,Tabla11[[#This Row],[Cuenta]],1))</f>
        <v>0</v>
      </c>
      <c r="AV453" t="b">
        <f>+ISNUMBER(SEARCH(CompConta!$F$21,Tabla11[[#This Row],[Cuenta]],1))</f>
        <v>1</v>
      </c>
      <c r="AW453" t="b">
        <f>+ISNUMBER(SEARCH(CompConta!$F$22,Tabla11[[#This Row],[Cuenta]],1))</f>
        <v>1</v>
      </c>
      <c r="AX453" t="b">
        <f>+ISNUMBER(SEARCH(CompConta!$F$23,Tabla11[[#This Row],[Cuenta]],1))</f>
        <v>1</v>
      </c>
      <c r="AY453" t="b">
        <f>+ISNUMBER(SEARCH(CompConta!$F$24,Tabla11[[#This Row],[Cuenta]],1))</f>
        <v>1</v>
      </c>
      <c r="AZ453" t="b">
        <f>+ISNUMBER(SEARCH(CompConta!$F$25,Tabla11[[#This Row],[Cuenta]],1))</f>
        <v>1</v>
      </c>
      <c r="BA453" t="b">
        <f>+ISNUMBER(SEARCH(CompConta!$F$26,Tabla11[[#This Row],[Cuenta]],1))</f>
        <v>1</v>
      </c>
      <c r="BB453" t="b">
        <f>+ISNUMBER(SEARCH(CompConta!$F$27,Tabla11[[#This Row],[Cuenta]],1))</f>
        <v>1</v>
      </c>
      <c r="BC453" t="b">
        <f>+ISNUMBER(SEARCH(CompConta!$F$28,Tabla11[[#This Row],[Cuenta]],1))</f>
        <v>1</v>
      </c>
      <c r="BD453" t="b">
        <f>+ISNUMBER(SEARCH(CompConta!$F$29,Tabla11[[#This Row],[Cuenta]],1))</f>
        <v>1</v>
      </c>
      <c r="BE453" t="b">
        <f>+ISNUMBER(SEARCH(CompConta!$F$30,Tabla11[[#This Row],[Cuenta]],1))</f>
        <v>1</v>
      </c>
      <c r="BF453" t="b">
        <f>+ISNUMBER(SEARCH('PAGO Compras'!$E$11,Tabla11[[#This Row],[Cuenta]],1))</f>
        <v>1</v>
      </c>
      <c r="BG453" t="b">
        <f>+ISNUMBER(SEARCH(#REF!,Tabla11[[#This Row],[Cuenta]],1))</f>
        <v>0</v>
      </c>
      <c r="BH453" t="b">
        <f>+ISNUMBER(SEARCH(#REF!,Tabla11[[#This Row],[Cuenta]],1))</f>
        <v>0</v>
      </c>
      <c r="BI453" t="b">
        <f>+ISNUMBER(SEARCH(#REF!,Tabla11[[#This Row],[Cuenta]],1))</f>
        <v>0</v>
      </c>
      <c r="BJ453" t="b">
        <f>+ISNUMBER(SEARCH(#REF!,Tabla11[[#This Row],[Cuenta]],1))</f>
        <v>0</v>
      </c>
      <c r="BS453" t="str">
        <v>237006 Aportes a administrador de riesgos profes ARP</v>
      </c>
      <c r="BT453" t="str">
        <v>237006 Aportes a administrador de riesgos profes ARP</v>
      </c>
      <c r="BU453" t="str">
        <v>237006 Aportes a administrador de riesgos profes ARP</v>
      </c>
      <c r="BV453" t="str">
        <v>237006 Aportes a administrador de riesgos profes ARP</v>
      </c>
      <c r="BZ453" t="str">
        <v>237006 Aportes a administrador de riesgos profes ARP</v>
      </c>
      <c r="CA453" t="str">
        <v>237006 Aportes a administrador de riesgos profes ARP</v>
      </c>
      <c r="CB453" t="str">
        <v>237006 Aportes a administrador de riesgos profes ARP</v>
      </c>
      <c r="CC453" t="str">
        <v>237006 Aportes a administrador de riesgos profes ARP</v>
      </c>
      <c r="CD453" t="str">
        <v>237006 Aportes a administrador de riesgos profes ARP</v>
      </c>
      <c r="CE453" t="str">
        <v>237006 Aportes a administrador de riesgos profes ARP</v>
      </c>
      <c r="CS453" s="141" t="str">
        <v>237006 Aportes a administrador de riesgos profes ARP</v>
      </c>
      <c r="CT453" s="141" t="str">
        <v>237006 Aportes a administrador de riesgos profes ARP</v>
      </c>
      <c r="CU453" s="141" t="str">
        <v>237006 Aportes a administrador de riesgos profes ARP</v>
      </c>
      <c r="CV453" s="141" t="str">
        <v>237006 Aportes a administrador de riesgos profes ARP</v>
      </c>
      <c r="CW453" s="141" t="str">
        <v>237006 Aportes a administrador de riesgos profes ARP</v>
      </c>
      <c r="CX453" s="141" t="str">
        <v>237006 Aportes a administrador de riesgos profes ARP</v>
      </c>
      <c r="CY453" s="141" t="str">
        <v>237006 Aportes a administrador de riesgos profes ARP</v>
      </c>
      <c r="CZ453" s="141" t="str">
        <v>237006 Aportes a administrador de riesgos profes ARP</v>
      </c>
      <c r="DA453" s="141" t="str">
        <v>237006 Aportes a administrador de riesgos profes ARP</v>
      </c>
      <c r="DF453" t="str">
        <v>237006 Aportes a administrador de riesgos profes ARP</v>
      </c>
      <c r="DG453" t="str">
        <v>237006 Aportes a administrador de riesgos profes ARP</v>
      </c>
      <c r="DH453" t="str">
        <v>237006 Aportes a administrador de riesgos profes ARP</v>
      </c>
      <c r="DI453" t="str">
        <v>237006 Aportes a administrador de riesgos profes ARP</v>
      </c>
      <c r="DJ453" t="str">
        <v>237006 Aportes a administrador de riesgos profes ARP</v>
      </c>
      <c r="DK453" t="str">
        <v>237006 Aportes a administrador de riesgos profes ARP</v>
      </c>
      <c r="DL453" t="str">
        <v>237006 Aportes a administrador de riesgos profes ARP</v>
      </c>
      <c r="DM453" t="str">
        <v>237006 Aportes a administrador de riesgos profes ARP</v>
      </c>
      <c r="DN453" t="str">
        <v>237006 Aportes a administrador de riesgos profes ARP</v>
      </c>
      <c r="DO453" t="str">
        <v>237006 Aportes a administrador de riesgos profes ARP</v>
      </c>
      <c r="DP453" t="str">
        <v>237006 Aportes a administrador de riesgos profes ARP</v>
      </c>
    </row>
    <row r="454" spans="4:120" ht="12.75">
      <c r="D454" s="7">
        <v>237010</v>
      </c>
      <c r="E454" s="6" t="s">
        <v>344</v>
      </c>
      <c r="F454" s="5">
        <v>4</v>
      </c>
      <c r="G454" s="34" t="s">
        <v>823</v>
      </c>
      <c r="H454" s="26" t="s">
        <v>765</v>
      </c>
      <c r="I454" t="b">
        <f>+ISNUMBER(SEARCH('F-COMPRA'!$F$28,Tabla11[[#This Row],[Cuenta]],1))</f>
        <v>1</v>
      </c>
      <c r="J454" t="b">
        <f>+ISNUMBER(SEARCH('F-COMPRA'!$F$29,Tabla11[[#This Row],[Cuenta]],1))</f>
        <v>1</v>
      </c>
      <c r="K454" t="b">
        <f>+ISNUMBER(SEARCH('F-COMPRA'!$F$30,Tabla11[[#This Row],[Cuenta]],1))</f>
        <v>1</v>
      </c>
      <c r="L454" t="b">
        <f>+ISNUMBER(SEARCH('F-COMPRA'!$F$31,Tabla11[[#This Row],[Cuenta]],1))</f>
        <v>1</v>
      </c>
      <c r="M454" t="b">
        <f>+ISNUMBER(SEARCH('F-COMPRA'!$G$25,Tabla11[[#This Row],[Cuenta]],1))</f>
        <v>0</v>
      </c>
      <c r="N454" t="b">
        <f>+ISNUMBER(SEARCH(#REF!,Tabla11[[#This Row],[Cuenta]],1))</f>
        <v>0</v>
      </c>
      <c r="O454" t="b">
        <f>+ISNUMBER(SEARCH(#REF!,Tabla11[[#This Row],[Cuenta]],1))</f>
        <v>0</v>
      </c>
      <c r="P454" t="b">
        <f>+ISNUMBER(SEARCH('F-COMPRA'!$F$32,Tabla11[[#This Row],[Cuenta]],1))</f>
        <v>1</v>
      </c>
      <c r="Q454" t="b">
        <f>+ISNUMBER(SEARCH('F-COMPRA'!$F$33,Tabla11[[#This Row],[Cuenta]],1))</f>
        <v>1</v>
      </c>
      <c r="R454" t="b">
        <f>+ISNUMBER(SEARCH('F-COMPRA'!$F$34,Tabla11[[#This Row],[Cuenta]],1))</f>
        <v>1</v>
      </c>
      <c r="S454" t="b">
        <f>+ISNUMBER(SEARCH('F-COMPRA'!$F$35,Tabla11[[#This Row],[Cuenta]],1))</f>
        <v>1</v>
      </c>
      <c r="T454" t="b">
        <f>+ISNUMBER(SEARCH('F-COMPRA'!$F$36,Tabla11[[#This Row],[Cuenta]],1))</f>
        <v>1</v>
      </c>
      <c r="U454" t="b">
        <f>+ISNUMBER(SEARCH('F-COMPRA'!$F$37,Tabla11[[#This Row],[Cuenta]],1))</f>
        <v>1</v>
      </c>
      <c r="V454" t="b">
        <f>+ISNUMBER(SEARCH(#REF!,Tabla11[[#This Row],[Cuenta]],1))</f>
        <v>0</v>
      </c>
      <c r="W454" t="b">
        <f>+ISNUMBER(SEARCH('F-COMPRA'!#REF!,Tabla11[[#This Row],[Cuenta]],1))</f>
        <v>0</v>
      </c>
      <c r="X454" t="b">
        <f>+ISNUMBER(SEARCH('F-COMPRA'!#REF!,Tabla11[[#This Row],[Cuenta]],1))</f>
        <v>0</v>
      </c>
      <c r="Y454" t="b">
        <f>+ISNUMBER(SEARCH('F-COMPRA'!#REF!,Tabla11[[#This Row],[Cuenta]],1))</f>
        <v>0</v>
      </c>
      <c r="Z454" t="b">
        <f>+ISNUMBER(SEARCH('F-COMPRA'!#REF!,Tabla11[[#This Row],[Cuenta]],1))</f>
        <v>0</v>
      </c>
      <c r="AA454" t="b">
        <f>+ISNUMBER(SEARCH('F-COMPRA'!#REF!,Tabla11[[#This Row],[Cuenta]],1))</f>
        <v>0</v>
      </c>
      <c r="AB454" t="b">
        <f>+ISNUMBER(SEARCH('F-COMPRA'!#REF!,Tabla11[[#This Row],[Cuenta]],1))</f>
        <v>0</v>
      </c>
      <c r="AC454" t="b">
        <f>+ISNUMBER(SEARCH('F-COMPRA'!#REF!,Tabla11[[#This Row],[Cuenta]],1))</f>
        <v>0</v>
      </c>
      <c r="AD454" t="b">
        <f>+ISNUMBER(SEARCH('F-COMPRA'!#REF!,Tabla11[[#This Row],[Cuenta]],1))</f>
        <v>0</v>
      </c>
      <c r="AE454" t="b">
        <f>+ISNUMBER(SEARCH('F-COMPRA'!#REF!,Tabla11[[#This Row],[Cuenta]],1))</f>
        <v>0</v>
      </c>
      <c r="AF454" t="b">
        <f>+ISNUMBER(SEARCH('F-VTA'!$G$23,Tabla11[[#This Row],[Cuenta]],1))</f>
        <v>0</v>
      </c>
      <c r="AG454" t="b">
        <f>+ISNUMBER(SEARCH('F-VTA'!$G$24,Tabla11[[#This Row],[Cuenta]],1))</f>
        <v>0</v>
      </c>
      <c r="AH454" t="b">
        <f>+ISNUMBER(SEARCH('F-VTA'!$G$25,Tabla11[[#This Row],[Cuenta]],1))</f>
        <v>0</v>
      </c>
      <c r="AI454" t="b">
        <f>+ISNUMBER(SEARCH('F-VTA'!$F$28,Tabla11[[#This Row],[Cuenta]],1))</f>
        <v>1</v>
      </c>
      <c r="AJ454" t="b">
        <f>+ISNUMBER(SEARCH('F-VTA'!$F$29,Tabla11[[#This Row],[Cuenta]],1))</f>
        <v>1</v>
      </c>
      <c r="AK454" t="b">
        <f>+ISNUMBER(SEARCH('F-VTA'!$F$30,Tabla11[[#This Row],[Cuenta]],1))</f>
        <v>1</v>
      </c>
      <c r="AL454" t="b">
        <f>+ISNUMBER(SEARCH('F-VTA'!$F$31,Tabla11[[#This Row],[Cuenta]],1))</f>
        <v>1</v>
      </c>
      <c r="AM454" t="b">
        <f>+ISNUMBER(SEARCH('F-VTA'!$F$32,Tabla11[[#This Row],[Cuenta]],1))</f>
        <v>1</v>
      </c>
      <c r="AN454" t="b">
        <f>+ISNUMBER(SEARCH('F-VTA'!$F$33,Tabla11[[#This Row],[Cuenta]],1))</f>
        <v>1</v>
      </c>
      <c r="AO454" t="b">
        <f>+ISNUMBER(SEARCH('F-VTA'!$F$34,Tabla11[[#This Row],[Cuenta]],1))</f>
        <v>1</v>
      </c>
      <c r="AP454" t="b">
        <f>+ISNUMBER(SEARCH('F-VTA'!$F$35,Tabla11[[#This Row],[Cuenta]],1))</f>
        <v>1</v>
      </c>
      <c r="AQ454" t="b">
        <f>+ISNUMBER(SEARCH('F-VTA'!$F$36,Tabla11[[#This Row],[Cuenta]],1))</f>
        <v>1</v>
      </c>
      <c r="AR454" t="b">
        <f>+ISNUMBER(SEARCH(#REF!,Tabla11[[#This Row],[Cuenta]],1))</f>
        <v>0</v>
      </c>
      <c r="AS454" t="b">
        <f>+ISNUMBER(SEARCH(#REF!,Tabla11[[#This Row],[Cuenta]],1))</f>
        <v>0</v>
      </c>
      <c r="AT454" t="b">
        <f>+ISNUMBER(SEARCH(#REF!,Tabla11[[#This Row],[Cuenta]],1))</f>
        <v>0</v>
      </c>
      <c r="AU454" t="b">
        <f>+ISNUMBER(SEARCH('Conc. Ban.1'!$I$9,Tabla11[[#This Row],[Cuenta]],1))</f>
        <v>0</v>
      </c>
      <c r="AV454" t="b">
        <f>+ISNUMBER(SEARCH(CompConta!$F$21,Tabla11[[#This Row],[Cuenta]],1))</f>
        <v>1</v>
      </c>
      <c r="AW454" t="b">
        <f>+ISNUMBER(SEARCH(CompConta!$F$22,Tabla11[[#This Row],[Cuenta]],1))</f>
        <v>1</v>
      </c>
      <c r="AX454" t="b">
        <f>+ISNUMBER(SEARCH(CompConta!$F$23,Tabla11[[#This Row],[Cuenta]],1))</f>
        <v>1</v>
      </c>
      <c r="AY454" t="b">
        <f>+ISNUMBER(SEARCH(CompConta!$F$24,Tabla11[[#This Row],[Cuenta]],1))</f>
        <v>1</v>
      </c>
      <c r="AZ454" t="b">
        <f>+ISNUMBER(SEARCH(CompConta!$F$25,Tabla11[[#This Row],[Cuenta]],1))</f>
        <v>1</v>
      </c>
      <c r="BA454" t="b">
        <f>+ISNUMBER(SEARCH(CompConta!$F$26,Tabla11[[#This Row],[Cuenta]],1))</f>
        <v>1</v>
      </c>
      <c r="BB454" t="b">
        <f>+ISNUMBER(SEARCH(CompConta!$F$27,Tabla11[[#This Row],[Cuenta]],1))</f>
        <v>1</v>
      </c>
      <c r="BC454" t="b">
        <f>+ISNUMBER(SEARCH(CompConta!$F$28,Tabla11[[#This Row],[Cuenta]],1))</f>
        <v>1</v>
      </c>
      <c r="BD454" t="b">
        <f>+ISNUMBER(SEARCH(CompConta!$F$29,Tabla11[[#This Row],[Cuenta]],1))</f>
        <v>1</v>
      </c>
      <c r="BE454" t="b">
        <f>+ISNUMBER(SEARCH(CompConta!$F$30,Tabla11[[#This Row],[Cuenta]],1))</f>
        <v>1</v>
      </c>
      <c r="BF454" t="b">
        <f>+ISNUMBER(SEARCH('PAGO Compras'!$E$11,Tabla11[[#This Row],[Cuenta]],1))</f>
        <v>1</v>
      </c>
      <c r="BG454" t="b">
        <f>+ISNUMBER(SEARCH(#REF!,Tabla11[[#This Row],[Cuenta]],1))</f>
        <v>0</v>
      </c>
      <c r="BH454" t="b">
        <f>+ISNUMBER(SEARCH(#REF!,Tabla11[[#This Row],[Cuenta]],1))</f>
        <v>0</v>
      </c>
      <c r="BI454" t="b">
        <f>+ISNUMBER(SEARCH(#REF!,Tabla11[[#This Row],[Cuenta]],1))</f>
        <v>0</v>
      </c>
      <c r="BJ454" t="b">
        <f>+ISNUMBER(SEARCH(#REF!,Tabla11[[#This Row],[Cuenta]],1))</f>
        <v>0</v>
      </c>
      <c r="BS454" t="str">
        <v>237010 Aportes al ICBF, SENA y cajas de compensación</v>
      </c>
      <c r="BT454" t="str">
        <v>237010 Aportes al ICBF, SENA y cajas de compensación</v>
      </c>
      <c r="BU454" t="str">
        <v>237010 Aportes al ICBF, SENA y cajas de compensación</v>
      </c>
      <c r="BV454" t="str">
        <v>237010 Aportes al ICBF, SENA y cajas de compensación</v>
      </c>
      <c r="BZ454" t="str">
        <v>237010 Aportes al ICBF, SENA y cajas de compensación</v>
      </c>
      <c r="CA454" t="str">
        <v>237010 Aportes al ICBF, SENA y cajas de compensación</v>
      </c>
      <c r="CB454" t="str">
        <v>237010 Aportes al ICBF, SENA y cajas de compensación</v>
      </c>
      <c r="CC454" t="str">
        <v>237010 Aportes al ICBF, SENA y cajas de compensación</v>
      </c>
      <c r="CD454" t="str">
        <v>237010 Aportes al ICBF, SENA y cajas de compensación</v>
      </c>
      <c r="CE454" t="str">
        <v>237010 Aportes al ICBF, SENA y cajas de compensación</v>
      </c>
      <c r="CS454" s="141" t="str">
        <v>237010 Aportes al ICBF, SENA y cajas de compensación</v>
      </c>
      <c r="CT454" s="141" t="str">
        <v>237010 Aportes al ICBF, SENA y cajas de compensación</v>
      </c>
      <c r="CU454" s="141" t="str">
        <v>237010 Aportes al ICBF, SENA y cajas de compensación</v>
      </c>
      <c r="CV454" s="141" t="str">
        <v>237010 Aportes al ICBF, SENA y cajas de compensación</v>
      </c>
      <c r="CW454" s="141" t="str">
        <v>237010 Aportes al ICBF, SENA y cajas de compensación</v>
      </c>
      <c r="CX454" s="141" t="str">
        <v>237010 Aportes al ICBF, SENA y cajas de compensación</v>
      </c>
      <c r="CY454" s="141" t="str">
        <v>237010 Aportes al ICBF, SENA y cajas de compensación</v>
      </c>
      <c r="CZ454" s="141" t="str">
        <v>237010 Aportes al ICBF, SENA y cajas de compensación</v>
      </c>
      <c r="DA454" s="141" t="str">
        <v>237010 Aportes al ICBF, SENA y cajas de compensación</v>
      </c>
      <c r="DF454" t="str">
        <v>237010 Aportes al ICBF, SENA y cajas de compensación</v>
      </c>
      <c r="DG454" t="str">
        <v>237010 Aportes al ICBF, SENA y cajas de compensación</v>
      </c>
      <c r="DH454" t="str">
        <v>237010 Aportes al ICBF, SENA y cajas de compensación</v>
      </c>
      <c r="DI454" t="str">
        <v>237010 Aportes al ICBF, SENA y cajas de compensación</v>
      </c>
      <c r="DJ454" t="str">
        <v>237010 Aportes al ICBF, SENA y cajas de compensación</v>
      </c>
      <c r="DK454" t="str">
        <v>237010 Aportes al ICBF, SENA y cajas de compensación</v>
      </c>
      <c r="DL454" t="str">
        <v>237010 Aportes al ICBF, SENA y cajas de compensación</v>
      </c>
      <c r="DM454" t="str">
        <v>237010 Aportes al ICBF, SENA y cajas de compensación</v>
      </c>
      <c r="DN454" t="str">
        <v>237010 Aportes al ICBF, SENA y cajas de compensación</v>
      </c>
      <c r="DO454" t="str">
        <v>237010 Aportes al ICBF, SENA y cajas de compensación</v>
      </c>
      <c r="DP454" t="str">
        <v>237010 Aportes al ICBF, SENA y cajas de compensación</v>
      </c>
    </row>
    <row r="455" spans="4:120" ht="12.75">
      <c r="D455" s="7">
        <v>237015</v>
      </c>
      <c r="E455" s="6" t="s">
        <v>345</v>
      </c>
      <c r="F455" s="5">
        <v>4</v>
      </c>
      <c r="G455" s="34" t="s">
        <v>823</v>
      </c>
      <c r="H455" s="26" t="s">
        <v>765</v>
      </c>
      <c r="I455" t="b">
        <f>+ISNUMBER(SEARCH('F-COMPRA'!$F$28,Tabla11[[#This Row],[Cuenta]],1))</f>
        <v>1</v>
      </c>
      <c r="J455" t="b">
        <f>+ISNUMBER(SEARCH('F-COMPRA'!$F$29,Tabla11[[#This Row],[Cuenta]],1))</f>
        <v>1</v>
      </c>
      <c r="K455" t="b">
        <f>+ISNUMBER(SEARCH('F-COMPRA'!$F$30,Tabla11[[#This Row],[Cuenta]],1))</f>
        <v>1</v>
      </c>
      <c r="L455" t="b">
        <f>+ISNUMBER(SEARCH('F-COMPRA'!$F$31,Tabla11[[#This Row],[Cuenta]],1))</f>
        <v>1</v>
      </c>
      <c r="M455" t="b">
        <f>+ISNUMBER(SEARCH('F-COMPRA'!$G$25,Tabla11[[#This Row],[Cuenta]],1))</f>
        <v>0</v>
      </c>
      <c r="N455" t="b">
        <f>+ISNUMBER(SEARCH(#REF!,Tabla11[[#This Row],[Cuenta]],1))</f>
        <v>0</v>
      </c>
      <c r="O455" t="b">
        <f>+ISNUMBER(SEARCH(#REF!,Tabla11[[#This Row],[Cuenta]],1))</f>
        <v>0</v>
      </c>
      <c r="P455" t="b">
        <f>+ISNUMBER(SEARCH('F-COMPRA'!$F$32,Tabla11[[#This Row],[Cuenta]],1))</f>
        <v>1</v>
      </c>
      <c r="Q455" t="b">
        <f>+ISNUMBER(SEARCH('F-COMPRA'!$F$33,Tabla11[[#This Row],[Cuenta]],1))</f>
        <v>1</v>
      </c>
      <c r="R455" t="b">
        <f>+ISNUMBER(SEARCH('F-COMPRA'!$F$34,Tabla11[[#This Row],[Cuenta]],1))</f>
        <v>1</v>
      </c>
      <c r="S455" t="b">
        <f>+ISNUMBER(SEARCH('F-COMPRA'!$F$35,Tabla11[[#This Row],[Cuenta]],1))</f>
        <v>1</v>
      </c>
      <c r="T455" t="b">
        <f>+ISNUMBER(SEARCH('F-COMPRA'!$F$36,Tabla11[[#This Row],[Cuenta]],1))</f>
        <v>1</v>
      </c>
      <c r="U455" t="b">
        <f>+ISNUMBER(SEARCH('F-COMPRA'!$F$37,Tabla11[[#This Row],[Cuenta]],1))</f>
        <v>1</v>
      </c>
      <c r="V455" t="b">
        <f>+ISNUMBER(SEARCH(#REF!,Tabla11[[#This Row],[Cuenta]],1))</f>
        <v>0</v>
      </c>
      <c r="W455" t="b">
        <f>+ISNUMBER(SEARCH('F-COMPRA'!#REF!,Tabla11[[#This Row],[Cuenta]],1))</f>
        <v>0</v>
      </c>
      <c r="X455" t="b">
        <f>+ISNUMBER(SEARCH('F-COMPRA'!#REF!,Tabla11[[#This Row],[Cuenta]],1))</f>
        <v>0</v>
      </c>
      <c r="Y455" t="b">
        <f>+ISNUMBER(SEARCH('F-COMPRA'!#REF!,Tabla11[[#This Row],[Cuenta]],1))</f>
        <v>0</v>
      </c>
      <c r="Z455" t="b">
        <f>+ISNUMBER(SEARCH('F-COMPRA'!#REF!,Tabla11[[#This Row],[Cuenta]],1))</f>
        <v>0</v>
      </c>
      <c r="AA455" t="b">
        <f>+ISNUMBER(SEARCH('F-COMPRA'!#REF!,Tabla11[[#This Row],[Cuenta]],1))</f>
        <v>0</v>
      </c>
      <c r="AB455" t="b">
        <f>+ISNUMBER(SEARCH('F-COMPRA'!#REF!,Tabla11[[#This Row],[Cuenta]],1))</f>
        <v>0</v>
      </c>
      <c r="AC455" t="b">
        <f>+ISNUMBER(SEARCH('F-COMPRA'!#REF!,Tabla11[[#This Row],[Cuenta]],1))</f>
        <v>0</v>
      </c>
      <c r="AD455" t="b">
        <f>+ISNUMBER(SEARCH('F-COMPRA'!#REF!,Tabla11[[#This Row],[Cuenta]],1))</f>
        <v>0</v>
      </c>
      <c r="AE455" t="b">
        <f>+ISNUMBER(SEARCH('F-COMPRA'!#REF!,Tabla11[[#This Row],[Cuenta]],1))</f>
        <v>0</v>
      </c>
      <c r="AF455" t="b">
        <f>+ISNUMBER(SEARCH('F-VTA'!$G$23,Tabla11[[#This Row],[Cuenta]],1))</f>
        <v>0</v>
      </c>
      <c r="AG455" t="b">
        <f>+ISNUMBER(SEARCH('F-VTA'!$G$24,Tabla11[[#This Row],[Cuenta]],1))</f>
        <v>0</v>
      </c>
      <c r="AH455" t="b">
        <f>+ISNUMBER(SEARCH('F-VTA'!$G$25,Tabla11[[#This Row],[Cuenta]],1))</f>
        <v>0</v>
      </c>
      <c r="AI455" t="b">
        <f>+ISNUMBER(SEARCH('F-VTA'!$F$28,Tabla11[[#This Row],[Cuenta]],1))</f>
        <v>1</v>
      </c>
      <c r="AJ455" t="b">
        <f>+ISNUMBER(SEARCH('F-VTA'!$F$29,Tabla11[[#This Row],[Cuenta]],1))</f>
        <v>1</v>
      </c>
      <c r="AK455" t="b">
        <f>+ISNUMBER(SEARCH('F-VTA'!$F$30,Tabla11[[#This Row],[Cuenta]],1))</f>
        <v>1</v>
      </c>
      <c r="AL455" t="b">
        <f>+ISNUMBER(SEARCH('F-VTA'!$F$31,Tabla11[[#This Row],[Cuenta]],1))</f>
        <v>1</v>
      </c>
      <c r="AM455" t="b">
        <f>+ISNUMBER(SEARCH('F-VTA'!$F$32,Tabla11[[#This Row],[Cuenta]],1))</f>
        <v>1</v>
      </c>
      <c r="AN455" t="b">
        <f>+ISNUMBER(SEARCH('F-VTA'!$F$33,Tabla11[[#This Row],[Cuenta]],1))</f>
        <v>1</v>
      </c>
      <c r="AO455" t="b">
        <f>+ISNUMBER(SEARCH('F-VTA'!$F$34,Tabla11[[#This Row],[Cuenta]],1))</f>
        <v>1</v>
      </c>
      <c r="AP455" t="b">
        <f>+ISNUMBER(SEARCH('F-VTA'!$F$35,Tabla11[[#This Row],[Cuenta]],1))</f>
        <v>1</v>
      </c>
      <c r="AQ455" t="b">
        <f>+ISNUMBER(SEARCH('F-VTA'!$F$36,Tabla11[[#This Row],[Cuenta]],1))</f>
        <v>1</v>
      </c>
      <c r="AR455" t="b">
        <f>+ISNUMBER(SEARCH(#REF!,Tabla11[[#This Row],[Cuenta]],1))</f>
        <v>0</v>
      </c>
      <c r="AS455" t="b">
        <f>+ISNUMBER(SEARCH(#REF!,Tabla11[[#This Row],[Cuenta]],1))</f>
        <v>0</v>
      </c>
      <c r="AT455" t="b">
        <f>+ISNUMBER(SEARCH(#REF!,Tabla11[[#This Row],[Cuenta]],1))</f>
        <v>0</v>
      </c>
      <c r="AU455" t="b">
        <f>+ISNUMBER(SEARCH('Conc. Ban.1'!$I$9,Tabla11[[#This Row],[Cuenta]],1))</f>
        <v>0</v>
      </c>
      <c r="AV455" t="b">
        <f>+ISNUMBER(SEARCH(CompConta!$F$21,Tabla11[[#This Row],[Cuenta]],1))</f>
        <v>1</v>
      </c>
      <c r="AW455" t="b">
        <f>+ISNUMBER(SEARCH(CompConta!$F$22,Tabla11[[#This Row],[Cuenta]],1))</f>
        <v>1</v>
      </c>
      <c r="AX455" t="b">
        <f>+ISNUMBER(SEARCH(CompConta!$F$23,Tabla11[[#This Row],[Cuenta]],1))</f>
        <v>1</v>
      </c>
      <c r="AY455" t="b">
        <f>+ISNUMBER(SEARCH(CompConta!$F$24,Tabla11[[#This Row],[Cuenta]],1))</f>
        <v>1</v>
      </c>
      <c r="AZ455" t="b">
        <f>+ISNUMBER(SEARCH(CompConta!$F$25,Tabla11[[#This Row],[Cuenta]],1))</f>
        <v>1</v>
      </c>
      <c r="BA455" t="b">
        <f>+ISNUMBER(SEARCH(CompConta!$F$26,Tabla11[[#This Row],[Cuenta]],1))</f>
        <v>1</v>
      </c>
      <c r="BB455" t="b">
        <f>+ISNUMBER(SEARCH(CompConta!$F$27,Tabla11[[#This Row],[Cuenta]],1))</f>
        <v>1</v>
      </c>
      <c r="BC455" t="b">
        <f>+ISNUMBER(SEARCH(CompConta!$F$28,Tabla11[[#This Row],[Cuenta]],1))</f>
        <v>1</v>
      </c>
      <c r="BD455" t="b">
        <f>+ISNUMBER(SEARCH(CompConta!$F$29,Tabla11[[#This Row],[Cuenta]],1))</f>
        <v>1</v>
      </c>
      <c r="BE455" t="b">
        <f>+ISNUMBER(SEARCH(CompConta!$F$30,Tabla11[[#This Row],[Cuenta]],1))</f>
        <v>1</v>
      </c>
      <c r="BF455" t="b">
        <f>+ISNUMBER(SEARCH('PAGO Compras'!$E$11,Tabla11[[#This Row],[Cuenta]],1))</f>
        <v>1</v>
      </c>
      <c r="BG455" t="b">
        <f>+ISNUMBER(SEARCH(#REF!,Tabla11[[#This Row],[Cuenta]],1))</f>
        <v>0</v>
      </c>
      <c r="BH455" t="b">
        <f>+ISNUMBER(SEARCH(#REF!,Tabla11[[#This Row],[Cuenta]],1))</f>
        <v>0</v>
      </c>
      <c r="BI455" t="b">
        <f>+ISNUMBER(SEARCH(#REF!,Tabla11[[#This Row],[Cuenta]],1))</f>
        <v>0</v>
      </c>
      <c r="BJ455" t="b">
        <f>+ISNUMBER(SEARCH(#REF!,Tabla11[[#This Row],[Cuenta]],1))</f>
        <v>0</v>
      </c>
      <c r="BS455" t="str">
        <v>237015 Aportes al FIC</v>
      </c>
      <c r="BT455" t="str">
        <v>237015 Aportes al FIC</v>
      </c>
      <c r="BU455" t="str">
        <v>237015 Aportes al FIC</v>
      </c>
      <c r="BV455" t="str">
        <v>237015 Aportes al FIC</v>
      </c>
      <c r="BZ455" t="str">
        <v>237015 Aportes al FIC</v>
      </c>
      <c r="CA455" t="str">
        <v>237015 Aportes al FIC</v>
      </c>
      <c r="CB455" t="str">
        <v>237015 Aportes al FIC</v>
      </c>
      <c r="CC455" t="str">
        <v>237015 Aportes al FIC</v>
      </c>
      <c r="CD455" t="str">
        <v>237015 Aportes al FIC</v>
      </c>
      <c r="CE455" t="str">
        <v>237015 Aportes al FIC</v>
      </c>
      <c r="CS455" s="141" t="str">
        <v>237015 Aportes al FIC</v>
      </c>
      <c r="CT455" s="141" t="str">
        <v>237015 Aportes al FIC</v>
      </c>
      <c r="CU455" s="141" t="str">
        <v>237015 Aportes al FIC</v>
      </c>
      <c r="CV455" s="141" t="str">
        <v>237015 Aportes al FIC</v>
      </c>
      <c r="CW455" s="141" t="str">
        <v>237015 Aportes al FIC</v>
      </c>
      <c r="CX455" s="141" t="str">
        <v>237015 Aportes al FIC</v>
      </c>
      <c r="CY455" s="141" t="str">
        <v>237015 Aportes al FIC</v>
      </c>
      <c r="CZ455" s="141" t="str">
        <v>237015 Aportes al FIC</v>
      </c>
      <c r="DA455" s="141" t="str">
        <v>237015 Aportes al FIC</v>
      </c>
      <c r="DF455" t="str">
        <v>237015 Aportes al FIC</v>
      </c>
      <c r="DG455" t="str">
        <v>237015 Aportes al FIC</v>
      </c>
      <c r="DH455" t="str">
        <v>237015 Aportes al FIC</v>
      </c>
      <c r="DI455" t="str">
        <v>237015 Aportes al FIC</v>
      </c>
      <c r="DJ455" t="str">
        <v>237015 Aportes al FIC</v>
      </c>
      <c r="DK455" t="str">
        <v>237015 Aportes al FIC</v>
      </c>
      <c r="DL455" t="str">
        <v>237015 Aportes al FIC</v>
      </c>
      <c r="DM455" t="str">
        <v>237015 Aportes al FIC</v>
      </c>
      <c r="DN455" t="str">
        <v>237015 Aportes al FIC</v>
      </c>
      <c r="DO455" t="str">
        <v>237015 Aportes al FIC</v>
      </c>
      <c r="DP455" t="str">
        <v>237015 Aportes al FIC</v>
      </c>
    </row>
    <row r="456" spans="4:120" ht="12.75">
      <c r="D456" s="7">
        <v>237025</v>
      </c>
      <c r="E456" s="6" t="s">
        <v>346</v>
      </c>
      <c r="F456" s="5">
        <v>4</v>
      </c>
      <c r="G456" s="34" t="s">
        <v>823</v>
      </c>
      <c r="H456" s="26" t="s">
        <v>765</v>
      </c>
      <c r="I456" t="b">
        <f>+ISNUMBER(SEARCH('F-COMPRA'!$F$28,Tabla11[[#This Row],[Cuenta]],1))</f>
        <v>1</v>
      </c>
      <c r="J456" t="b">
        <f>+ISNUMBER(SEARCH('F-COMPRA'!$F$29,Tabla11[[#This Row],[Cuenta]],1))</f>
        <v>1</v>
      </c>
      <c r="K456" t="b">
        <f>+ISNUMBER(SEARCH('F-COMPRA'!$F$30,Tabla11[[#This Row],[Cuenta]],1))</f>
        <v>1</v>
      </c>
      <c r="L456" t="b">
        <f>+ISNUMBER(SEARCH('F-COMPRA'!$F$31,Tabla11[[#This Row],[Cuenta]],1))</f>
        <v>1</v>
      </c>
      <c r="M456" t="b">
        <f>+ISNUMBER(SEARCH('F-COMPRA'!$G$25,Tabla11[[#This Row],[Cuenta]],1))</f>
        <v>0</v>
      </c>
      <c r="N456" t="b">
        <f>+ISNUMBER(SEARCH(#REF!,Tabla11[[#This Row],[Cuenta]],1))</f>
        <v>0</v>
      </c>
      <c r="O456" t="b">
        <f>+ISNUMBER(SEARCH(#REF!,Tabla11[[#This Row],[Cuenta]],1))</f>
        <v>0</v>
      </c>
      <c r="P456" t="b">
        <f>+ISNUMBER(SEARCH('F-COMPRA'!$F$32,Tabla11[[#This Row],[Cuenta]],1))</f>
        <v>1</v>
      </c>
      <c r="Q456" t="b">
        <f>+ISNUMBER(SEARCH('F-COMPRA'!$F$33,Tabla11[[#This Row],[Cuenta]],1))</f>
        <v>1</v>
      </c>
      <c r="R456" t="b">
        <f>+ISNUMBER(SEARCH('F-COMPRA'!$F$34,Tabla11[[#This Row],[Cuenta]],1))</f>
        <v>1</v>
      </c>
      <c r="S456" t="b">
        <f>+ISNUMBER(SEARCH('F-COMPRA'!$F$35,Tabla11[[#This Row],[Cuenta]],1))</f>
        <v>1</v>
      </c>
      <c r="T456" t="b">
        <f>+ISNUMBER(SEARCH('F-COMPRA'!$F$36,Tabla11[[#This Row],[Cuenta]],1))</f>
        <v>1</v>
      </c>
      <c r="U456" t="b">
        <f>+ISNUMBER(SEARCH('F-COMPRA'!$F$37,Tabla11[[#This Row],[Cuenta]],1))</f>
        <v>1</v>
      </c>
      <c r="V456" t="b">
        <f>+ISNUMBER(SEARCH(#REF!,Tabla11[[#This Row],[Cuenta]],1))</f>
        <v>0</v>
      </c>
      <c r="W456" t="b">
        <f>+ISNUMBER(SEARCH('F-COMPRA'!#REF!,Tabla11[[#This Row],[Cuenta]],1))</f>
        <v>0</v>
      </c>
      <c r="X456" t="b">
        <f>+ISNUMBER(SEARCH('F-COMPRA'!#REF!,Tabla11[[#This Row],[Cuenta]],1))</f>
        <v>0</v>
      </c>
      <c r="Y456" t="b">
        <f>+ISNUMBER(SEARCH('F-COMPRA'!#REF!,Tabla11[[#This Row],[Cuenta]],1))</f>
        <v>0</v>
      </c>
      <c r="Z456" t="b">
        <f>+ISNUMBER(SEARCH('F-COMPRA'!#REF!,Tabla11[[#This Row],[Cuenta]],1))</f>
        <v>0</v>
      </c>
      <c r="AA456" t="b">
        <f>+ISNUMBER(SEARCH('F-COMPRA'!#REF!,Tabla11[[#This Row],[Cuenta]],1))</f>
        <v>0</v>
      </c>
      <c r="AB456" t="b">
        <f>+ISNUMBER(SEARCH('F-COMPRA'!#REF!,Tabla11[[#This Row],[Cuenta]],1))</f>
        <v>0</v>
      </c>
      <c r="AC456" t="b">
        <f>+ISNUMBER(SEARCH('F-COMPRA'!#REF!,Tabla11[[#This Row],[Cuenta]],1))</f>
        <v>0</v>
      </c>
      <c r="AD456" t="b">
        <f>+ISNUMBER(SEARCH('F-COMPRA'!#REF!,Tabla11[[#This Row],[Cuenta]],1))</f>
        <v>0</v>
      </c>
      <c r="AE456" t="b">
        <f>+ISNUMBER(SEARCH('F-COMPRA'!#REF!,Tabla11[[#This Row],[Cuenta]],1))</f>
        <v>0</v>
      </c>
      <c r="AF456" t="b">
        <f>+ISNUMBER(SEARCH('F-VTA'!$G$23,Tabla11[[#This Row],[Cuenta]],1))</f>
        <v>0</v>
      </c>
      <c r="AG456" t="b">
        <f>+ISNUMBER(SEARCH('F-VTA'!$G$24,Tabla11[[#This Row],[Cuenta]],1))</f>
        <v>0</v>
      </c>
      <c r="AH456" t="b">
        <f>+ISNUMBER(SEARCH('F-VTA'!$G$25,Tabla11[[#This Row],[Cuenta]],1))</f>
        <v>0</v>
      </c>
      <c r="AI456" t="b">
        <f>+ISNUMBER(SEARCH('F-VTA'!$F$28,Tabla11[[#This Row],[Cuenta]],1))</f>
        <v>1</v>
      </c>
      <c r="AJ456" t="b">
        <f>+ISNUMBER(SEARCH('F-VTA'!$F$29,Tabla11[[#This Row],[Cuenta]],1))</f>
        <v>1</v>
      </c>
      <c r="AK456" t="b">
        <f>+ISNUMBER(SEARCH('F-VTA'!$F$30,Tabla11[[#This Row],[Cuenta]],1))</f>
        <v>1</v>
      </c>
      <c r="AL456" t="b">
        <f>+ISNUMBER(SEARCH('F-VTA'!$F$31,Tabla11[[#This Row],[Cuenta]],1))</f>
        <v>1</v>
      </c>
      <c r="AM456" t="b">
        <f>+ISNUMBER(SEARCH('F-VTA'!$F$32,Tabla11[[#This Row],[Cuenta]],1))</f>
        <v>1</v>
      </c>
      <c r="AN456" t="b">
        <f>+ISNUMBER(SEARCH('F-VTA'!$F$33,Tabla11[[#This Row],[Cuenta]],1))</f>
        <v>1</v>
      </c>
      <c r="AO456" t="b">
        <f>+ISNUMBER(SEARCH('F-VTA'!$F$34,Tabla11[[#This Row],[Cuenta]],1))</f>
        <v>1</v>
      </c>
      <c r="AP456" t="b">
        <f>+ISNUMBER(SEARCH('F-VTA'!$F$35,Tabla11[[#This Row],[Cuenta]],1))</f>
        <v>1</v>
      </c>
      <c r="AQ456" t="b">
        <f>+ISNUMBER(SEARCH('F-VTA'!$F$36,Tabla11[[#This Row],[Cuenta]],1))</f>
        <v>1</v>
      </c>
      <c r="AR456" t="b">
        <f>+ISNUMBER(SEARCH(#REF!,Tabla11[[#This Row],[Cuenta]],1))</f>
        <v>0</v>
      </c>
      <c r="AS456" t="b">
        <f>+ISNUMBER(SEARCH(#REF!,Tabla11[[#This Row],[Cuenta]],1))</f>
        <v>0</v>
      </c>
      <c r="AT456" t="b">
        <f>+ISNUMBER(SEARCH(#REF!,Tabla11[[#This Row],[Cuenta]],1))</f>
        <v>0</v>
      </c>
      <c r="AU456" t="b">
        <f>+ISNUMBER(SEARCH('Conc. Ban.1'!$I$9,Tabla11[[#This Row],[Cuenta]],1))</f>
        <v>0</v>
      </c>
      <c r="AV456" t="b">
        <f>+ISNUMBER(SEARCH(CompConta!$F$21,Tabla11[[#This Row],[Cuenta]],1))</f>
        <v>1</v>
      </c>
      <c r="AW456" t="b">
        <f>+ISNUMBER(SEARCH(CompConta!$F$22,Tabla11[[#This Row],[Cuenta]],1))</f>
        <v>1</v>
      </c>
      <c r="AX456" t="b">
        <f>+ISNUMBER(SEARCH(CompConta!$F$23,Tabla11[[#This Row],[Cuenta]],1))</f>
        <v>1</v>
      </c>
      <c r="AY456" t="b">
        <f>+ISNUMBER(SEARCH(CompConta!$F$24,Tabla11[[#This Row],[Cuenta]],1))</f>
        <v>1</v>
      </c>
      <c r="AZ456" t="b">
        <f>+ISNUMBER(SEARCH(CompConta!$F$25,Tabla11[[#This Row],[Cuenta]],1))</f>
        <v>1</v>
      </c>
      <c r="BA456" t="b">
        <f>+ISNUMBER(SEARCH(CompConta!$F$26,Tabla11[[#This Row],[Cuenta]],1))</f>
        <v>1</v>
      </c>
      <c r="BB456" t="b">
        <f>+ISNUMBER(SEARCH(CompConta!$F$27,Tabla11[[#This Row],[Cuenta]],1))</f>
        <v>1</v>
      </c>
      <c r="BC456" t="b">
        <f>+ISNUMBER(SEARCH(CompConta!$F$28,Tabla11[[#This Row],[Cuenta]],1))</f>
        <v>1</v>
      </c>
      <c r="BD456" t="b">
        <f>+ISNUMBER(SEARCH(CompConta!$F$29,Tabla11[[#This Row],[Cuenta]],1))</f>
        <v>1</v>
      </c>
      <c r="BE456" t="b">
        <f>+ISNUMBER(SEARCH(CompConta!$F$30,Tabla11[[#This Row],[Cuenta]],1))</f>
        <v>1</v>
      </c>
      <c r="BF456" t="b">
        <f>+ISNUMBER(SEARCH('PAGO Compras'!$E$11,Tabla11[[#This Row],[Cuenta]],1))</f>
        <v>1</v>
      </c>
      <c r="BG456" t="b">
        <f>+ISNUMBER(SEARCH(#REF!,Tabla11[[#This Row],[Cuenta]],1))</f>
        <v>0</v>
      </c>
      <c r="BH456" t="b">
        <f>+ISNUMBER(SEARCH(#REF!,Tabla11[[#This Row],[Cuenta]],1))</f>
        <v>0</v>
      </c>
      <c r="BI456" t="b">
        <f>+ISNUMBER(SEARCH(#REF!,Tabla11[[#This Row],[Cuenta]],1))</f>
        <v>0</v>
      </c>
      <c r="BJ456" t="b">
        <f>+ISNUMBER(SEARCH(#REF!,Tabla11[[#This Row],[Cuenta]],1))</f>
        <v>0</v>
      </c>
      <c r="BS456" t="str">
        <v>237025 Embargos judiciales</v>
      </c>
      <c r="BT456" t="str">
        <v>237025 Embargos judiciales</v>
      </c>
      <c r="BU456" t="str">
        <v>237025 Embargos judiciales</v>
      </c>
      <c r="BV456" t="str">
        <v>237025 Embargos judiciales</v>
      </c>
      <c r="BZ456" t="str">
        <v>237025 Embargos judiciales</v>
      </c>
      <c r="CA456" t="str">
        <v>237025 Embargos judiciales</v>
      </c>
      <c r="CB456" t="str">
        <v>237025 Embargos judiciales</v>
      </c>
      <c r="CC456" t="str">
        <v>237025 Embargos judiciales</v>
      </c>
      <c r="CD456" t="str">
        <v>237025 Embargos judiciales</v>
      </c>
      <c r="CE456" t="str">
        <v>237025 Embargos judiciales</v>
      </c>
      <c r="CS456" s="141" t="str">
        <v>237025 Embargos judiciales</v>
      </c>
      <c r="CT456" s="141" t="str">
        <v>237025 Embargos judiciales</v>
      </c>
      <c r="CU456" s="141" t="str">
        <v>237025 Embargos judiciales</v>
      </c>
      <c r="CV456" s="141" t="str">
        <v>237025 Embargos judiciales</v>
      </c>
      <c r="CW456" s="141" t="str">
        <v>237025 Embargos judiciales</v>
      </c>
      <c r="CX456" s="141" t="str">
        <v>237025 Embargos judiciales</v>
      </c>
      <c r="CY456" s="141" t="str">
        <v>237025 Embargos judiciales</v>
      </c>
      <c r="CZ456" s="141" t="str">
        <v>237025 Embargos judiciales</v>
      </c>
      <c r="DA456" s="141" t="str">
        <v>237025 Embargos judiciales</v>
      </c>
      <c r="DF456" t="str">
        <v>237025 Embargos judiciales</v>
      </c>
      <c r="DG456" t="str">
        <v>237025 Embargos judiciales</v>
      </c>
      <c r="DH456" t="str">
        <v>237025 Embargos judiciales</v>
      </c>
      <c r="DI456" t="str">
        <v>237025 Embargos judiciales</v>
      </c>
      <c r="DJ456" t="str">
        <v>237025 Embargos judiciales</v>
      </c>
      <c r="DK456" t="str">
        <v>237025 Embargos judiciales</v>
      </c>
      <c r="DL456" t="str">
        <v>237025 Embargos judiciales</v>
      </c>
      <c r="DM456" t="str">
        <v>237025 Embargos judiciales</v>
      </c>
      <c r="DN456" t="str">
        <v>237025 Embargos judiciales</v>
      </c>
      <c r="DO456" t="str">
        <v>237025 Embargos judiciales</v>
      </c>
      <c r="DP456" t="str">
        <v>237025 Embargos judiciales</v>
      </c>
    </row>
    <row r="457" spans="4:120" ht="12.75">
      <c r="D457" s="7">
        <v>237030</v>
      </c>
      <c r="E457" s="6" t="s">
        <v>347</v>
      </c>
      <c r="F457" s="5">
        <v>4</v>
      </c>
      <c r="G457" s="34" t="s">
        <v>823</v>
      </c>
      <c r="H457" s="26" t="s">
        <v>765</v>
      </c>
      <c r="I457" t="b">
        <f>+ISNUMBER(SEARCH('F-COMPRA'!$F$28,Tabla11[[#This Row],[Cuenta]],1))</f>
        <v>1</v>
      </c>
      <c r="J457" t="b">
        <f>+ISNUMBER(SEARCH('F-COMPRA'!$F$29,Tabla11[[#This Row],[Cuenta]],1))</f>
        <v>1</v>
      </c>
      <c r="K457" t="b">
        <f>+ISNUMBER(SEARCH('F-COMPRA'!$F$30,Tabla11[[#This Row],[Cuenta]],1))</f>
        <v>1</v>
      </c>
      <c r="L457" t="b">
        <f>+ISNUMBER(SEARCH('F-COMPRA'!$F$31,Tabla11[[#This Row],[Cuenta]],1))</f>
        <v>1</v>
      </c>
      <c r="M457" t="b">
        <f>+ISNUMBER(SEARCH('F-COMPRA'!$G$25,Tabla11[[#This Row],[Cuenta]],1))</f>
        <v>0</v>
      </c>
      <c r="N457" t="b">
        <f>+ISNUMBER(SEARCH(#REF!,Tabla11[[#This Row],[Cuenta]],1))</f>
        <v>0</v>
      </c>
      <c r="O457" t="b">
        <f>+ISNUMBER(SEARCH(#REF!,Tabla11[[#This Row],[Cuenta]],1))</f>
        <v>0</v>
      </c>
      <c r="P457" t="b">
        <f>+ISNUMBER(SEARCH('F-COMPRA'!$F$32,Tabla11[[#This Row],[Cuenta]],1))</f>
        <v>1</v>
      </c>
      <c r="Q457" t="b">
        <f>+ISNUMBER(SEARCH('F-COMPRA'!$F$33,Tabla11[[#This Row],[Cuenta]],1))</f>
        <v>1</v>
      </c>
      <c r="R457" t="b">
        <f>+ISNUMBER(SEARCH('F-COMPRA'!$F$34,Tabla11[[#This Row],[Cuenta]],1))</f>
        <v>1</v>
      </c>
      <c r="S457" t="b">
        <f>+ISNUMBER(SEARCH('F-COMPRA'!$F$35,Tabla11[[#This Row],[Cuenta]],1))</f>
        <v>1</v>
      </c>
      <c r="T457" t="b">
        <f>+ISNUMBER(SEARCH('F-COMPRA'!$F$36,Tabla11[[#This Row],[Cuenta]],1))</f>
        <v>1</v>
      </c>
      <c r="U457" t="b">
        <f>+ISNUMBER(SEARCH('F-COMPRA'!$F$37,Tabla11[[#This Row],[Cuenta]],1))</f>
        <v>1</v>
      </c>
      <c r="V457" t="b">
        <f>+ISNUMBER(SEARCH(#REF!,Tabla11[[#This Row],[Cuenta]],1))</f>
        <v>0</v>
      </c>
      <c r="W457" t="b">
        <f>+ISNUMBER(SEARCH('F-COMPRA'!#REF!,Tabla11[[#This Row],[Cuenta]],1))</f>
        <v>0</v>
      </c>
      <c r="X457" t="b">
        <f>+ISNUMBER(SEARCH('F-COMPRA'!#REF!,Tabla11[[#This Row],[Cuenta]],1))</f>
        <v>0</v>
      </c>
      <c r="Y457" t="b">
        <f>+ISNUMBER(SEARCH('F-COMPRA'!#REF!,Tabla11[[#This Row],[Cuenta]],1))</f>
        <v>0</v>
      </c>
      <c r="Z457" t="b">
        <f>+ISNUMBER(SEARCH('F-COMPRA'!#REF!,Tabla11[[#This Row],[Cuenta]],1))</f>
        <v>0</v>
      </c>
      <c r="AA457" t="b">
        <f>+ISNUMBER(SEARCH('F-COMPRA'!#REF!,Tabla11[[#This Row],[Cuenta]],1))</f>
        <v>0</v>
      </c>
      <c r="AB457" t="b">
        <f>+ISNUMBER(SEARCH('F-COMPRA'!#REF!,Tabla11[[#This Row],[Cuenta]],1))</f>
        <v>0</v>
      </c>
      <c r="AC457" t="b">
        <f>+ISNUMBER(SEARCH('F-COMPRA'!#REF!,Tabla11[[#This Row],[Cuenta]],1))</f>
        <v>0</v>
      </c>
      <c r="AD457" t="b">
        <f>+ISNUMBER(SEARCH('F-COMPRA'!#REF!,Tabla11[[#This Row],[Cuenta]],1))</f>
        <v>0</v>
      </c>
      <c r="AE457" t="b">
        <f>+ISNUMBER(SEARCH('F-COMPRA'!#REF!,Tabla11[[#This Row],[Cuenta]],1))</f>
        <v>0</v>
      </c>
      <c r="AF457" t="b">
        <f>+ISNUMBER(SEARCH('F-VTA'!$G$23,Tabla11[[#This Row],[Cuenta]],1))</f>
        <v>0</v>
      </c>
      <c r="AG457" t="b">
        <f>+ISNUMBER(SEARCH('F-VTA'!$G$24,Tabla11[[#This Row],[Cuenta]],1))</f>
        <v>0</v>
      </c>
      <c r="AH457" t="b">
        <f>+ISNUMBER(SEARCH('F-VTA'!$G$25,Tabla11[[#This Row],[Cuenta]],1))</f>
        <v>0</v>
      </c>
      <c r="AI457" t="b">
        <f>+ISNUMBER(SEARCH('F-VTA'!$F$28,Tabla11[[#This Row],[Cuenta]],1))</f>
        <v>1</v>
      </c>
      <c r="AJ457" t="b">
        <f>+ISNUMBER(SEARCH('F-VTA'!$F$29,Tabla11[[#This Row],[Cuenta]],1))</f>
        <v>1</v>
      </c>
      <c r="AK457" t="b">
        <f>+ISNUMBER(SEARCH('F-VTA'!$F$30,Tabla11[[#This Row],[Cuenta]],1))</f>
        <v>1</v>
      </c>
      <c r="AL457" t="b">
        <f>+ISNUMBER(SEARCH('F-VTA'!$F$31,Tabla11[[#This Row],[Cuenta]],1))</f>
        <v>1</v>
      </c>
      <c r="AM457" t="b">
        <f>+ISNUMBER(SEARCH('F-VTA'!$F$32,Tabla11[[#This Row],[Cuenta]],1))</f>
        <v>1</v>
      </c>
      <c r="AN457" t="b">
        <f>+ISNUMBER(SEARCH('F-VTA'!$F$33,Tabla11[[#This Row],[Cuenta]],1))</f>
        <v>1</v>
      </c>
      <c r="AO457" t="b">
        <f>+ISNUMBER(SEARCH('F-VTA'!$F$34,Tabla11[[#This Row],[Cuenta]],1))</f>
        <v>1</v>
      </c>
      <c r="AP457" t="b">
        <f>+ISNUMBER(SEARCH('F-VTA'!$F$35,Tabla11[[#This Row],[Cuenta]],1))</f>
        <v>1</v>
      </c>
      <c r="AQ457" t="b">
        <f>+ISNUMBER(SEARCH('F-VTA'!$F$36,Tabla11[[#This Row],[Cuenta]],1))</f>
        <v>1</v>
      </c>
      <c r="AR457" t="b">
        <f>+ISNUMBER(SEARCH(#REF!,Tabla11[[#This Row],[Cuenta]],1))</f>
        <v>0</v>
      </c>
      <c r="AS457" t="b">
        <f>+ISNUMBER(SEARCH(#REF!,Tabla11[[#This Row],[Cuenta]],1))</f>
        <v>0</v>
      </c>
      <c r="AT457" t="b">
        <f>+ISNUMBER(SEARCH(#REF!,Tabla11[[#This Row],[Cuenta]],1))</f>
        <v>0</v>
      </c>
      <c r="AU457" t="b">
        <f>+ISNUMBER(SEARCH('Conc. Ban.1'!$I$9,Tabla11[[#This Row],[Cuenta]],1))</f>
        <v>0</v>
      </c>
      <c r="AV457" t="b">
        <f>+ISNUMBER(SEARCH(CompConta!$F$21,Tabla11[[#This Row],[Cuenta]],1))</f>
        <v>1</v>
      </c>
      <c r="AW457" t="b">
        <f>+ISNUMBER(SEARCH(CompConta!$F$22,Tabla11[[#This Row],[Cuenta]],1))</f>
        <v>1</v>
      </c>
      <c r="AX457" t="b">
        <f>+ISNUMBER(SEARCH(CompConta!$F$23,Tabla11[[#This Row],[Cuenta]],1))</f>
        <v>1</v>
      </c>
      <c r="AY457" t="b">
        <f>+ISNUMBER(SEARCH(CompConta!$F$24,Tabla11[[#This Row],[Cuenta]],1))</f>
        <v>1</v>
      </c>
      <c r="AZ457" t="b">
        <f>+ISNUMBER(SEARCH(CompConta!$F$25,Tabla11[[#This Row],[Cuenta]],1))</f>
        <v>1</v>
      </c>
      <c r="BA457" t="b">
        <f>+ISNUMBER(SEARCH(CompConta!$F$26,Tabla11[[#This Row],[Cuenta]],1))</f>
        <v>1</v>
      </c>
      <c r="BB457" t="b">
        <f>+ISNUMBER(SEARCH(CompConta!$F$27,Tabla11[[#This Row],[Cuenta]],1))</f>
        <v>1</v>
      </c>
      <c r="BC457" t="b">
        <f>+ISNUMBER(SEARCH(CompConta!$F$28,Tabla11[[#This Row],[Cuenta]],1))</f>
        <v>1</v>
      </c>
      <c r="BD457" t="b">
        <f>+ISNUMBER(SEARCH(CompConta!$F$29,Tabla11[[#This Row],[Cuenta]],1))</f>
        <v>1</v>
      </c>
      <c r="BE457" t="b">
        <f>+ISNUMBER(SEARCH(CompConta!$F$30,Tabla11[[#This Row],[Cuenta]],1))</f>
        <v>1</v>
      </c>
      <c r="BF457" t="b">
        <f>+ISNUMBER(SEARCH('PAGO Compras'!$E$11,Tabla11[[#This Row],[Cuenta]],1))</f>
        <v>1</v>
      </c>
      <c r="BG457" t="b">
        <f>+ISNUMBER(SEARCH(#REF!,Tabla11[[#This Row],[Cuenta]],1))</f>
        <v>0</v>
      </c>
      <c r="BH457" t="b">
        <f>+ISNUMBER(SEARCH(#REF!,Tabla11[[#This Row],[Cuenta]],1))</f>
        <v>0</v>
      </c>
      <c r="BI457" t="b">
        <f>+ISNUMBER(SEARCH(#REF!,Tabla11[[#This Row],[Cuenta]],1))</f>
        <v>0</v>
      </c>
      <c r="BJ457" t="b">
        <f>+ISNUMBER(SEARCH(#REF!,Tabla11[[#This Row],[Cuenta]],1))</f>
        <v>0</v>
      </c>
      <c r="BS457" t="str">
        <v>237030 Libranzas</v>
      </c>
      <c r="BT457" t="str">
        <v>237030 Libranzas</v>
      </c>
      <c r="BU457" t="str">
        <v>237030 Libranzas</v>
      </c>
      <c r="BV457" t="str">
        <v>237030 Libranzas</v>
      </c>
      <c r="BZ457" t="str">
        <v>237030 Libranzas</v>
      </c>
      <c r="CA457" t="str">
        <v>237030 Libranzas</v>
      </c>
      <c r="CB457" t="str">
        <v>237030 Libranzas</v>
      </c>
      <c r="CC457" t="str">
        <v>237030 Libranzas</v>
      </c>
      <c r="CD457" t="str">
        <v>237030 Libranzas</v>
      </c>
      <c r="CE457" t="str">
        <v>237030 Libranzas</v>
      </c>
      <c r="CS457" s="141" t="str">
        <v>237030 Libranzas</v>
      </c>
      <c r="CT457" s="141" t="str">
        <v>237030 Libranzas</v>
      </c>
      <c r="CU457" s="141" t="str">
        <v>237030 Libranzas</v>
      </c>
      <c r="CV457" s="141" t="str">
        <v>237030 Libranzas</v>
      </c>
      <c r="CW457" s="141" t="str">
        <v>237030 Libranzas</v>
      </c>
      <c r="CX457" s="141" t="str">
        <v>237030 Libranzas</v>
      </c>
      <c r="CY457" s="141" t="str">
        <v>237030 Libranzas</v>
      </c>
      <c r="CZ457" s="141" t="str">
        <v>237030 Libranzas</v>
      </c>
      <c r="DA457" s="141" t="str">
        <v>237030 Libranzas</v>
      </c>
      <c r="DF457" t="str">
        <v>237030 Libranzas</v>
      </c>
      <c r="DG457" t="str">
        <v>237030 Libranzas</v>
      </c>
      <c r="DH457" t="str">
        <v>237030 Libranzas</v>
      </c>
      <c r="DI457" t="str">
        <v>237030 Libranzas</v>
      </c>
      <c r="DJ457" t="str">
        <v>237030 Libranzas</v>
      </c>
      <c r="DK457" t="str">
        <v>237030 Libranzas</v>
      </c>
      <c r="DL457" t="str">
        <v>237030 Libranzas</v>
      </c>
      <c r="DM457" t="str">
        <v>237030 Libranzas</v>
      </c>
      <c r="DN457" t="str">
        <v>237030 Libranzas</v>
      </c>
      <c r="DO457" t="str">
        <v>237030 Libranzas</v>
      </c>
      <c r="DP457" t="str">
        <v>237030 Libranzas</v>
      </c>
    </row>
    <row r="458" spans="4:120" ht="12.75">
      <c r="D458" s="7">
        <v>237035</v>
      </c>
      <c r="E458" s="6" t="s">
        <v>348</v>
      </c>
      <c r="F458" s="5">
        <v>4</v>
      </c>
      <c r="G458" s="34" t="s">
        <v>823</v>
      </c>
      <c r="H458" s="26" t="s">
        <v>765</v>
      </c>
      <c r="I458" t="b">
        <f>+ISNUMBER(SEARCH('F-COMPRA'!$F$28,Tabla11[[#This Row],[Cuenta]],1))</f>
        <v>1</v>
      </c>
      <c r="J458" t="b">
        <f>+ISNUMBER(SEARCH('F-COMPRA'!$F$29,Tabla11[[#This Row],[Cuenta]],1))</f>
        <v>1</v>
      </c>
      <c r="K458" t="b">
        <f>+ISNUMBER(SEARCH('F-COMPRA'!$F$30,Tabla11[[#This Row],[Cuenta]],1))</f>
        <v>1</v>
      </c>
      <c r="L458" t="b">
        <f>+ISNUMBER(SEARCH('F-COMPRA'!$F$31,Tabla11[[#This Row],[Cuenta]],1))</f>
        <v>1</v>
      </c>
      <c r="M458" t="b">
        <f>+ISNUMBER(SEARCH('F-COMPRA'!$G$25,Tabla11[[#This Row],[Cuenta]],1))</f>
        <v>0</v>
      </c>
      <c r="N458" t="b">
        <f>+ISNUMBER(SEARCH(#REF!,Tabla11[[#This Row],[Cuenta]],1))</f>
        <v>0</v>
      </c>
      <c r="O458" t="b">
        <f>+ISNUMBER(SEARCH(#REF!,Tabla11[[#This Row],[Cuenta]],1))</f>
        <v>0</v>
      </c>
      <c r="P458" t="b">
        <f>+ISNUMBER(SEARCH('F-COMPRA'!$F$32,Tabla11[[#This Row],[Cuenta]],1))</f>
        <v>1</v>
      </c>
      <c r="Q458" t="b">
        <f>+ISNUMBER(SEARCH('F-COMPRA'!$F$33,Tabla11[[#This Row],[Cuenta]],1))</f>
        <v>1</v>
      </c>
      <c r="R458" t="b">
        <f>+ISNUMBER(SEARCH('F-COMPRA'!$F$34,Tabla11[[#This Row],[Cuenta]],1))</f>
        <v>1</v>
      </c>
      <c r="S458" t="b">
        <f>+ISNUMBER(SEARCH('F-COMPRA'!$F$35,Tabla11[[#This Row],[Cuenta]],1))</f>
        <v>1</v>
      </c>
      <c r="T458" t="b">
        <f>+ISNUMBER(SEARCH('F-COMPRA'!$F$36,Tabla11[[#This Row],[Cuenta]],1))</f>
        <v>1</v>
      </c>
      <c r="U458" t="b">
        <f>+ISNUMBER(SEARCH('F-COMPRA'!$F$37,Tabla11[[#This Row],[Cuenta]],1))</f>
        <v>1</v>
      </c>
      <c r="V458" t="b">
        <f>+ISNUMBER(SEARCH(#REF!,Tabla11[[#This Row],[Cuenta]],1))</f>
        <v>0</v>
      </c>
      <c r="W458" t="b">
        <f>+ISNUMBER(SEARCH('F-COMPRA'!#REF!,Tabla11[[#This Row],[Cuenta]],1))</f>
        <v>0</v>
      </c>
      <c r="X458" t="b">
        <f>+ISNUMBER(SEARCH('F-COMPRA'!#REF!,Tabla11[[#This Row],[Cuenta]],1))</f>
        <v>0</v>
      </c>
      <c r="Y458" t="b">
        <f>+ISNUMBER(SEARCH('F-COMPRA'!#REF!,Tabla11[[#This Row],[Cuenta]],1))</f>
        <v>0</v>
      </c>
      <c r="Z458" t="b">
        <f>+ISNUMBER(SEARCH('F-COMPRA'!#REF!,Tabla11[[#This Row],[Cuenta]],1))</f>
        <v>0</v>
      </c>
      <c r="AA458" t="b">
        <f>+ISNUMBER(SEARCH('F-COMPRA'!#REF!,Tabla11[[#This Row],[Cuenta]],1))</f>
        <v>0</v>
      </c>
      <c r="AB458" t="b">
        <f>+ISNUMBER(SEARCH('F-COMPRA'!#REF!,Tabla11[[#This Row],[Cuenta]],1))</f>
        <v>0</v>
      </c>
      <c r="AC458" t="b">
        <f>+ISNUMBER(SEARCH('F-COMPRA'!#REF!,Tabla11[[#This Row],[Cuenta]],1))</f>
        <v>0</v>
      </c>
      <c r="AD458" t="b">
        <f>+ISNUMBER(SEARCH('F-COMPRA'!#REF!,Tabla11[[#This Row],[Cuenta]],1))</f>
        <v>0</v>
      </c>
      <c r="AE458" t="b">
        <f>+ISNUMBER(SEARCH('F-COMPRA'!#REF!,Tabla11[[#This Row],[Cuenta]],1))</f>
        <v>0</v>
      </c>
      <c r="AF458" t="b">
        <f>+ISNUMBER(SEARCH('F-VTA'!$G$23,Tabla11[[#This Row],[Cuenta]],1))</f>
        <v>0</v>
      </c>
      <c r="AG458" t="b">
        <f>+ISNUMBER(SEARCH('F-VTA'!$G$24,Tabla11[[#This Row],[Cuenta]],1))</f>
        <v>0</v>
      </c>
      <c r="AH458" t="b">
        <f>+ISNUMBER(SEARCH('F-VTA'!$G$25,Tabla11[[#This Row],[Cuenta]],1))</f>
        <v>0</v>
      </c>
      <c r="AI458" t="b">
        <f>+ISNUMBER(SEARCH('F-VTA'!$F$28,Tabla11[[#This Row],[Cuenta]],1))</f>
        <v>1</v>
      </c>
      <c r="AJ458" t="b">
        <f>+ISNUMBER(SEARCH('F-VTA'!$F$29,Tabla11[[#This Row],[Cuenta]],1))</f>
        <v>1</v>
      </c>
      <c r="AK458" t="b">
        <f>+ISNUMBER(SEARCH('F-VTA'!$F$30,Tabla11[[#This Row],[Cuenta]],1))</f>
        <v>1</v>
      </c>
      <c r="AL458" t="b">
        <f>+ISNUMBER(SEARCH('F-VTA'!$F$31,Tabla11[[#This Row],[Cuenta]],1))</f>
        <v>1</v>
      </c>
      <c r="AM458" t="b">
        <f>+ISNUMBER(SEARCH('F-VTA'!$F$32,Tabla11[[#This Row],[Cuenta]],1))</f>
        <v>1</v>
      </c>
      <c r="AN458" t="b">
        <f>+ISNUMBER(SEARCH('F-VTA'!$F$33,Tabla11[[#This Row],[Cuenta]],1))</f>
        <v>1</v>
      </c>
      <c r="AO458" t="b">
        <f>+ISNUMBER(SEARCH('F-VTA'!$F$34,Tabla11[[#This Row],[Cuenta]],1))</f>
        <v>1</v>
      </c>
      <c r="AP458" t="b">
        <f>+ISNUMBER(SEARCH('F-VTA'!$F$35,Tabla11[[#This Row],[Cuenta]],1))</f>
        <v>1</v>
      </c>
      <c r="AQ458" t="b">
        <f>+ISNUMBER(SEARCH('F-VTA'!$F$36,Tabla11[[#This Row],[Cuenta]],1))</f>
        <v>1</v>
      </c>
      <c r="AR458" t="b">
        <f>+ISNUMBER(SEARCH(#REF!,Tabla11[[#This Row],[Cuenta]],1))</f>
        <v>0</v>
      </c>
      <c r="AS458" t="b">
        <f>+ISNUMBER(SEARCH(#REF!,Tabla11[[#This Row],[Cuenta]],1))</f>
        <v>0</v>
      </c>
      <c r="AT458" t="b">
        <f>+ISNUMBER(SEARCH(#REF!,Tabla11[[#This Row],[Cuenta]],1))</f>
        <v>0</v>
      </c>
      <c r="AU458" t="b">
        <f>+ISNUMBER(SEARCH('Conc. Ban.1'!$I$9,Tabla11[[#This Row],[Cuenta]],1))</f>
        <v>0</v>
      </c>
      <c r="AV458" t="b">
        <f>+ISNUMBER(SEARCH(CompConta!$F$21,Tabla11[[#This Row],[Cuenta]],1))</f>
        <v>1</v>
      </c>
      <c r="AW458" t="b">
        <f>+ISNUMBER(SEARCH(CompConta!$F$22,Tabla11[[#This Row],[Cuenta]],1))</f>
        <v>1</v>
      </c>
      <c r="AX458" t="b">
        <f>+ISNUMBER(SEARCH(CompConta!$F$23,Tabla11[[#This Row],[Cuenta]],1))</f>
        <v>1</v>
      </c>
      <c r="AY458" t="b">
        <f>+ISNUMBER(SEARCH(CompConta!$F$24,Tabla11[[#This Row],[Cuenta]],1))</f>
        <v>1</v>
      </c>
      <c r="AZ458" t="b">
        <f>+ISNUMBER(SEARCH(CompConta!$F$25,Tabla11[[#This Row],[Cuenta]],1))</f>
        <v>1</v>
      </c>
      <c r="BA458" t="b">
        <f>+ISNUMBER(SEARCH(CompConta!$F$26,Tabla11[[#This Row],[Cuenta]],1))</f>
        <v>1</v>
      </c>
      <c r="BB458" t="b">
        <f>+ISNUMBER(SEARCH(CompConta!$F$27,Tabla11[[#This Row],[Cuenta]],1))</f>
        <v>1</v>
      </c>
      <c r="BC458" t="b">
        <f>+ISNUMBER(SEARCH(CompConta!$F$28,Tabla11[[#This Row],[Cuenta]],1))</f>
        <v>1</v>
      </c>
      <c r="BD458" t="b">
        <f>+ISNUMBER(SEARCH(CompConta!$F$29,Tabla11[[#This Row],[Cuenta]],1))</f>
        <v>1</v>
      </c>
      <c r="BE458" t="b">
        <f>+ISNUMBER(SEARCH(CompConta!$F$30,Tabla11[[#This Row],[Cuenta]],1))</f>
        <v>1</v>
      </c>
      <c r="BF458" t="b">
        <f>+ISNUMBER(SEARCH('PAGO Compras'!$E$11,Tabla11[[#This Row],[Cuenta]],1))</f>
        <v>1</v>
      </c>
      <c r="BG458" t="b">
        <f>+ISNUMBER(SEARCH(#REF!,Tabla11[[#This Row],[Cuenta]],1))</f>
        <v>0</v>
      </c>
      <c r="BH458" t="b">
        <f>+ISNUMBER(SEARCH(#REF!,Tabla11[[#This Row],[Cuenta]],1))</f>
        <v>0</v>
      </c>
      <c r="BI458" t="b">
        <f>+ISNUMBER(SEARCH(#REF!,Tabla11[[#This Row],[Cuenta]],1))</f>
        <v>0</v>
      </c>
      <c r="BJ458" t="b">
        <f>+ISNUMBER(SEARCH(#REF!,Tabla11[[#This Row],[Cuenta]],1))</f>
        <v>0</v>
      </c>
      <c r="BS458" t="str">
        <v>237035 Sindicatos</v>
      </c>
      <c r="BT458" t="str">
        <v>237035 Sindicatos</v>
      </c>
      <c r="BU458" t="str">
        <v>237035 Sindicatos</v>
      </c>
      <c r="BV458" t="str">
        <v>237035 Sindicatos</v>
      </c>
      <c r="BZ458" t="str">
        <v>237035 Sindicatos</v>
      </c>
      <c r="CA458" t="str">
        <v>237035 Sindicatos</v>
      </c>
      <c r="CB458" t="str">
        <v>237035 Sindicatos</v>
      </c>
      <c r="CC458" t="str">
        <v>237035 Sindicatos</v>
      </c>
      <c r="CD458" t="str">
        <v>237035 Sindicatos</v>
      </c>
      <c r="CE458" t="str">
        <v>237035 Sindicatos</v>
      </c>
      <c r="CS458" s="141" t="str">
        <v>237035 Sindicatos</v>
      </c>
      <c r="CT458" s="141" t="str">
        <v>237035 Sindicatos</v>
      </c>
      <c r="CU458" s="141" t="str">
        <v>237035 Sindicatos</v>
      </c>
      <c r="CV458" s="141" t="str">
        <v>237035 Sindicatos</v>
      </c>
      <c r="CW458" s="141" t="str">
        <v>237035 Sindicatos</v>
      </c>
      <c r="CX458" s="141" t="str">
        <v>237035 Sindicatos</v>
      </c>
      <c r="CY458" s="141" t="str">
        <v>237035 Sindicatos</v>
      </c>
      <c r="CZ458" s="141" t="str">
        <v>237035 Sindicatos</v>
      </c>
      <c r="DA458" s="141" t="str">
        <v>237035 Sindicatos</v>
      </c>
      <c r="DF458" t="str">
        <v>237035 Sindicatos</v>
      </c>
      <c r="DG458" t="str">
        <v>237035 Sindicatos</v>
      </c>
      <c r="DH458" t="str">
        <v>237035 Sindicatos</v>
      </c>
      <c r="DI458" t="str">
        <v>237035 Sindicatos</v>
      </c>
      <c r="DJ458" t="str">
        <v>237035 Sindicatos</v>
      </c>
      <c r="DK458" t="str">
        <v>237035 Sindicatos</v>
      </c>
      <c r="DL458" t="str">
        <v>237035 Sindicatos</v>
      </c>
      <c r="DM458" t="str">
        <v>237035 Sindicatos</v>
      </c>
      <c r="DN458" t="str">
        <v>237035 Sindicatos</v>
      </c>
      <c r="DO458" t="str">
        <v>237035 Sindicatos</v>
      </c>
      <c r="DP458" t="str">
        <v>237035 Sindicatos</v>
      </c>
    </row>
    <row r="459" spans="4:120" ht="12.75">
      <c r="D459" s="7">
        <v>237040</v>
      </c>
      <c r="E459" s="6" t="s">
        <v>349</v>
      </c>
      <c r="F459" s="5">
        <v>4</v>
      </c>
      <c r="G459" s="34" t="s">
        <v>823</v>
      </c>
      <c r="H459" s="26" t="s">
        <v>765</v>
      </c>
      <c r="I459" t="b">
        <f>+ISNUMBER(SEARCH('F-COMPRA'!$F$28,Tabla11[[#This Row],[Cuenta]],1))</f>
        <v>1</v>
      </c>
      <c r="J459" t="b">
        <f>+ISNUMBER(SEARCH('F-COMPRA'!$F$29,Tabla11[[#This Row],[Cuenta]],1))</f>
        <v>1</v>
      </c>
      <c r="K459" t="b">
        <f>+ISNUMBER(SEARCH('F-COMPRA'!$F$30,Tabla11[[#This Row],[Cuenta]],1))</f>
        <v>1</v>
      </c>
      <c r="L459" t="b">
        <f>+ISNUMBER(SEARCH('F-COMPRA'!$F$31,Tabla11[[#This Row],[Cuenta]],1))</f>
        <v>1</v>
      </c>
      <c r="M459" t="b">
        <f>+ISNUMBER(SEARCH('F-COMPRA'!$G$25,Tabla11[[#This Row],[Cuenta]],1))</f>
        <v>0</v>
      </c>
      <c r="N459" t="b">
        <f>+ISNUMBER(SEARCH(#REF!,Tabla11[[#This Row],[Cuenta]],1))</f>
        <v>0</v>
      </c>
      <c r="O459" t="b">
        <f>+ISNUMBER(SEARCH(#REF!,Tabla11[[#This Row],[Cuenta]],1))</f>
        <v>0</v>
      </c>
      <c r="P459" t="b">
        <f>+ISNUMBER(SEARCH('F-COMPRA'!$F$32,Tabla11[[#This Row],[Cuenta]],1))</f>
        <v>1</v>
      </c>
      <c r="Q459" t="b">
        <f>+ISNUMBER(SEARCH('F-COMPRA'!$F$33,Tabla11[[#This Row],[Cuenta]],1))</f>
        <v>1</v>
      </c>
      <c r="R459" t="b">
        <f>+ISNUMBER(SEARCH('F-COMPRA'!$F$34,Tabla11[[#This Row],[Cuenta]],1))</f>
        <v>1</v>
      </c>
      <c r="S459" t="b">
        <f>+ISNUMBER(SEARCH('F-COMPRA'!$F$35,Tabla11[[#This Row],[Cuenta]],1))</f>
        <v>1</v>
      </c>
      <c r="T459" t="b">
        <f>+ISNUMBER(SEARCH('F-COMPRA'!$F$36,Tabla11[[#This Row],[Cuenta]],1))</f>
        <v>1</v>
      </c>
      <c r="U459" t="b">
        <f>+ISNUMBER(SEARCH('F-COMPRA'!$F$37,Tabla11[[#This Row],[Cuenta]],1))</f>
        <v>1</v>
      </c>
      <c r="V459" t="b">
        <f>+ISNUMBER(SEARCH(#REF!,Tabla11[[#This Row],[Cuenta]],1))</f>
        <v>0</v>
      </c>
      <c r="W459" t="b">
        <f>+ISNUMBER(SEARCH('F-COMPRA'!#REF!,Tabla11[[#This Row],[Cuenta]],1))</f>
        <v>0</v>
      </c>
      <c r="X459" t="b">
        <f>+ISNUMBER(SEARCH('F-COMPRA'!#REF!,Tabla11[[#This Row],[Cuenta]],1))</f>
        <v>0</v>
      </c>
      <c r="Y459" t="b">
        <f>+ISNUMBER(SEARCH('F-COMPRA'!#REF!,Tabla11[[#This Row],[Cuenta]],1))</f>
        <v>0</v>
      </c>
      <c r="Z459" t="b">
        <f>+ISNUMBER(SEARCH('F-COMPRA'!#REF!,Tabla11[[#This Row],[Cuenta]],1))</f>
        <v>0</v>
      </c>
      <c r="AA459" t="b">
        <f>+ISNUMBER(SEARCH('F-COMPRA'!#REF!,Tabla11[[#This Row],[Cuenta]],1))</f>
        <v>0</v>
      </c>
      <c r="AB459" t="b">
        <f>+ISNUMBER(SEARCH('F-COMPRA'!#REF!,Tabla11[[#This Row],[Cuenta]],1))</f>
        <v>0</v>
      </c>
      <c r="AC459" t="b">
        <f>+ISNUMBER(SEARCH('F-COMPRA'!#REF!,Tabla11[[#This Row],[Cuenta]],1))</f>
        <v>0</v>
      </c>
      <c r="AD459" t="b">
        <f>+ISNUMBER(SEARCH('F-COMPRA'!#REF!,Tabla11[[#This Row],[Cuenta]],1))</f>
        <v>0</v>
      </c>
      <c r="AE459" t="b">
        <f>+ISNUMBER(SEARCH('F-COMPRA'!#REF!,Tabla11[[#This Row],[Cuenta]],1))</f>
        <v>0</v>
      </c>
      <c r="AF459" t="b">
        <f>+ISNUMBER(SEARCH('F-VTA'!$G$23,Tabla11[[#This Row],[Cuenta]],1))</f>
        <v>0</v>
      </c>
      <c r="AG459" t="b">
        <f>+ISNUMBER(SEARCH('F-VTA'!$G$24,Tabla11[[#This Row],[Cuenta]],1))</f>
        <v>0</v>
      </c>
      <c r="AH459" t="b">
        <f>+ISNUMBER(SEARCH('F-VTA'!$G$25,Tabla11[[#This Row],[Cuenta]],1))</f>
        <v>0</v>
      </c>
      <c r="AI459" t="b">
        <f>+ISNUMBER(SEARCH('F-VTA'!$F$28,Tabla11[[#This Row],[Cuenta]],1))</f>
        <v>1</v>
      </c>
      <c r="AJ459" t="b">
        <f>+ISNUMBER(SEARCH('F-VTA'!$F$29,Tabla11[[#This Row],[Cuenta]],1))</f>
        <v>1</v>
      </c>
      <c r="AK459" t="b">
        <f>+ISNUMBER(SEARCH('F-VTA'!$F$30,Tabla11[[#This Row],[Cuenta]],1))</f>
        <v>1</v>
      </c>
      <c r="AL459" t="b">
        <f>+ISNUMBER(SEARCH('F-VTA'!$F$31,Tabla11[[#This Row],[Cuenta]],1))</f>
        <v>1</v>
      </c>
      <c r="AM459" t="b">
        <f>+ISNUMBER(SEARCH('F-VTA'!$F$32,Tabla11[[#This Row],[Cuenta]],1))</f>
        <v>1</v>
      </c>
      <c r="AN459" t="b">
        <f>+ISNUMBER(SEARCH('F-VTA'!$F$33,Tabla11[[#This Row],[Cuenta]],1))</f>
        <v>1</v>
      </c>
      <c r="AO459" t="b">
        <f>+ISNUMBER(SEARCH('F-VTA'!$F$34,Tabla11[[#This Row],[Cuenta]],1))</f>
        <v>1</v>
      </c>
      <c r="AP459" t="b">
        <f>+ISNUMBER(SEARCH('F-VTA'!$F$35,Tabla11[[#This Row],[Cuenta]],1))</f>
        <v>1</v>
      </c>
      <c r="AQ459" t="b">
        <f>+ISNUMBER(SEARCH('F-VTA'!$F$36,Tabla11[[#This Row],[Cuenta]],1))</f>
        <v>1</v>
      </c>
      <c r="AR459" t="b">
        <f>+ISNUMBER(SEARCH(#REF!,Tabla11[[#This Row],[Cuenta]],1))</f>
        <v>0</v>
      </c>
      <c r="AS459" t="b">
        <f>+ISNUMBER(SEARCH(#REF!,Tabla11[[#This Row],[Cuenta]],1))</f>
        <v>0</v>
      </c>
      <c r="AT459" t="b">
        <f>+ISNUMBER(SEARCH(#REF!,Tabla11[[#This Row],[Cuenta]],1))</f>
        <v>0</v>
      </c>
      <c r="AU459" t="b">
        <f>+ISNUMBER(SEARCH('Conc. Ban.1'!$I$9,Tabla11[[#This Row],[Cuenta]],1))</f>
        <v>0</v>
      </c>
      <c r="AV459" t="b">
        <f>+ISNUMBER(SEARCH(CompConta!$F$21,Tabla11[[#This Row],[Cuenta]],1))</f>
        <v>1</v>
      </c>
      <c r="AW459" t="b">
        <f>+ISNUMBER(SEARCH(CompConta!$F$22,Tabla11[[#This Row],[Cuenta]],1))</f>
        <v>1</v>
      </c>
      <c r="AX459" t="b">
        <f>+ISNUMBER(SEARCH(CompConta!$F$23,Tabla11[[#This Row],[Cuenta]],1))</f>
        <v>1</v>
      </c>
      <c r="AY459" t="b">
        <f>+ISNUMBER(SEARCH(CompConta!$F$24,Tabla11[[#This Row],[Cuenta]],1))</f>
        <v>1</v>
      </c>
      <c r="AZ459" t="b">
        <f>+ISNUMBER(SEARCH(CompConta!$F$25,Tabla11[[#This Row],[Cuenta]],1))</f>
        <v>1</v>
      </c>
      <c r="BA459" t="b">
        <f>+ISNUMBER(SEARCH(CompConta!$F$26,Tabla11[[#This Row],[Cuenta]],1))</f>
        <v>1</v>
      </c>
      <c r="BB459" t="b">
        <f>+ISNUMBER(SEARCH(CompConta!$F$27,Tabla11[[#This Row],[Cuenta]],1))</f>
        <v>1</v>
      </c>
      <c r="BC459" t="b">
        <f>+ISNUMBER(SEARCH(CompConta!$F$28,Tabla11[[#This Row],[Cuenta]],1))</f>
        <v>1</v>
      </c>
      <c r="BD459" t="b">
        <f>+ISNUMBER(SEARCH(CompConta!$F$29,Tabla11[[#This Row],[Cuenta]],1))</f>
        <v>1</v>
      </c>
      <c r="BE459" t="b">
        <f>+ISNUMBER(SEARCH(CompConta!$F$30,Tabla11[[#This Row],[Cuenta]],1))</f>
        <v>1</v>
      </c>
      <c r="BF459" t="b">
        <f>+ISNUMBER(SEARCH('PAGO Compras'!$E$11,Tabla11[[#This Row],[Cuenta]],1))</f>
        <v>1</v>
      </c>
      <c r="BG459" t="b">
        <f>+ISNUMBER(SEARCH(#REF!,Tabla11[[#This Row],[Cuenta]],1))</f>
        <v>0</v>
      </c>
      <c r="BH459" t="b">
        <f>+ISNUMBER(SEARCH(#REF!,Tabla11[[#This Row],[Cuenta]],1))</f>
        <v>0</v>
      </c>
      <c r="BI459" t="b">
        <f>+ISNUMBER(SEARCH(#REF!,Tabla11[[#This Row],[Cuenta]],1))</f>
        <v>0</v>
      </c>
      <c r="BJ459" t="b">
        <f>+ISNUMBER(SEARCH(#REF!,Tabla11[[#This Row],[Cuenta]],1))</f>
        <v>0</v>
      </c>
      <c r="BS459" t="str">
        <v>237040 Cooperativas</v>
      </c>
      <c r="BT459" t="str">
        <v>237040 Cooperativas</v>
      </c>
      <c r="BU459" t="str">
        <v>237040 Cooperativas</v>
      </c>
      <c r="BV459" t="str">
        <v>237040 Cooperativas</v>
      </c>
      <c r="BZ459" t="str">
        <v>237040 Cooperativas</v>
      </c>
      <c r="CA459" t="str">
        <v>237040 Cooperativas</v>
      </c>
      <c r="CB459" t="str">
        <v>237040 Cooperativas</v>
      </c>
      <c r="CC459" t="str">
        <v>237040 Cooperativas</v>
      </c>
      <c r="CD459" t="str">
        <v>237040 Cooperativas</v>
      </c>
      <c r="CE459" t="str">
        <v>237040 Cooperativas</v>
      </c>
      <c r="CS459" s="141" t="str">
        <v>237040 Cooperativas</v>
      </c>
      <c r="CT459" s="141" t="str">
        <v>237040 Cooperativas</v>
      </c>
      <c r="CU459" s="141" t="str">
        <v>237040 Cooperativas</v>
      </c>
      <c r="CV459" s="141" t="str">
        <v>237040 Cooperativas</v>
      </c>
      <c r="CW459" s="141" t="str">
        <v>237040 Cooperativas</v>
      </c>
      <c r="CX459" s="141" t="str">
        <v>237040 Cooperativas</v>
      </c>
      <c r="CY459" s="141" t="str">
        <v>237040 Cooperativas</v>
      </c>
      <c r="CZ459" s="141" t="str">
        <v>237040 Cooperativas</v>
      </c>
      <c r="DA459" s="141" t="str">
        <v>237040 Cooperativas</v>
      </c>
      <c r="DF459" t="str">
        <v>237040 Cooperativas</v>
      </c>
      <c r="DG459" t="str">
        <v>237040 Cooperativas</v>
      </c>
      <c r="DH459" t="str">
        <v>237040 Cooperativas</v>
      </c>
      <c r="DI459" t="str">
        <v>237040 Cooperativas</v>
      </c>
      <c r="DJ459" t="str">
        <v>237040 Cooperativas</v>
      </c>
      <c r="DK459" t="str">
        <v>237040 Cooperativas</v>
      </c>
      <c r="DL459" t="str">
        <v>237040 Cooperativas</v>
      </c>
      <c r="DM459" t="str">
        <v>237040 Cooperativas</v>
      </c>
      <c r="DN459" t="str">
        <v>237040 Cooperativas</v>
      </c>
      <c r="DO459" t="str">
        <v>237040 Cooperativas</v>
      </c>
      <c r="DP459" t="str">
        <v>237040 Cooperativas</v>
      </c>
    </row>
    <row r="460" spans="4:120" ht="12.75">
      <c r="D460" s="7">
        <v>237045</v>
      </c>
      <c r="E460" s="6" t="s">
        <v>350</v>
      </c>
      <c r="F460" s="5">
        <v>4</v>
      </c>
      <c r="G460" s="34" t="s">
        <v>823</v>
      </c>
      <c r="H460" s="26" t="s">
        <v>765</v>
      </c>
      <c r="I460" t="b">
        <f>+ISNUMBER(SEARCH('F-COMPRA'!$F$28,Tabla11[[#This Row],[Cuenta]],1))</f>
        <v>1</v>
      </c>
      <c r="J460" t="b">
        <f>+ISNUMBER(SEARCH('F-COMPRA'!$F$29,Tabla11[[#This Row],[Cuenta]],1))</f>
        <v>1</v>
      </c>
      <c r="K460" t="b">
        <f>+ISNUMBER(SEARCH('F-COMPRA'!$F$30,Tabla11[[#This Row],[Cuenta]],1))</f>
        <v>1</v>
      </c>
      <c r="L460" t="b">
        <f>+ISNUMBER(SEARCH('F-COMPRA'!$F$31,Tabla11[[#This Row],[Cuenta]],1))</f>
        <v>1</v>
      </c>
      <c r="M460" t="b">
        <f>+ISNUMBER(SEARCH('F-COMPRA'!$G$25,Tabla11[[#This Row],[Cuenta]],1))</f>
        <v>0</v>
      </c>
      <c r="N460" t="b">
        <f>+ISNUMBER(SEARCH(#REF!,Tabla11[[#This Row],[Cuenta]],1))</f>
        <v>0</v>
      </c>
      <c r="O460" t="b">
        <f>+ISNUMBER(SEARCH(#REF!,Tabla11[[#This Row],[Cuenta]],1))</f>
        <v>0</v>
      </c>
      <c r="P460" t="b">
        <f>+ISNUMBER(SEARCH('F-COMPRA'!$F$32,Tabla11[[#This Row],[Cuenta]],1))</f>
        <v>1</v>
      </c>
      <c r="Q460" t="b">
        <f>+ISNUMBER(SEARCH('F-COMPRA'!$F$33,Tabla11[[#This Row],[Cuenta]],1))</f>
        <v>1</v>
      </c>
      <c r="R460" t="b">
        <f>+ISNUMBER(SEARCH('F-COMPRA'!$F$34,Tabla11[[#This Row],[Cuenta]],1))</f>
        <v>1</v>
      </c>
      <c r="S460" t="b">
        <f>+ISNUMBER(SEARCH('F-COMPRA'!$F$35,Tabla11[[#This Row],[Cuenta]],1))</f>
        <v>1</v>
      </c>
      <c r="T460" t="b">
        <f>+ISNUMBER(SEARCH('F-COMPRA'!$F$36,Tabla11[[#This Row],[Cuenta]],1))</f>
        <v>1</v>
      </c>
      <c r="U460" t="b">
        <f>+ISNUMBER(SEARCH('F-COMPRA'!$F$37,Tabla11[[#This Row],[Cuenta]],1))</f>
        <v>1</v>
      </c>
      <c r="V460" t="b">
        <f>+ISNUMBER(SEARCH(#REF!,Tabla11[[#This Row],[Cuenta]],1))</f>
        <v>0</v>
      </c>
      <c r="W460" t="b">
        <f>+ISNUMBER(SEARCH('F-COMPRA'!#REF!,Tabla11[[#This Row],[Cuenta]],1))</f>
        <v>0</v>
      </c>
      <c r="X460" t="b">
        <f>+ISNUMBER(SEARCH('F-COMPRA'!#REF!,Tabla11[[#This Row],[Cuenta]],1))</f>
        <v>0</v>
      </c>
      <c r="Y460" t="b">
        <f>+ISNUMBER(SEARCH('F-COMPRA'!#REF!,Tabla11[[#This Row],[Cuenta]],1))</f>
        <v>0</v>
      </c>
      <c r="Z460" t="b">
        <f>+ISNUMBER(SEARCH('F-COMPRA'!#REF!,Tabla11[[#This Row],[Cuenta]],1))</f>
        <v>0</v>
      </c>
      <c r="AA460" t="b">
        <f>+ISNUMBER(SEARCH('F-COMPRA'!#REF!,Tabla11[[#This Row],[Cuenta]],1))</f>
        <v>0</v>
      </c>
      <c r="AB460" t="b">
        <f>+ISNUMBER(SEARCH('F-COMPRA'!#REF!,Tabla11[[#This Row],[Cuenta]],1))</f>
        <v>0</v>
      </c>
      <c r="AC460" t="b">
        <f>+ISNUMBER(SEARCH('F-COMPRA'!#REF!,Tabla11[[#This Row],[Cuenta]],1))</f>
        <v>0</v>
      </c>
      <c r="AD460" t="b">
        <f>+ISNUMBER(SEARCH('F-COMPRA'!#REF!,Tabla11[[#This Row],[Cuenta]],1))</f>
        <v>0</v>
      </c>
      <c r="AE460" t="b">
        <f>+ISNUMBER(SEARCH('F-COMPRA'!#REF!,Tabla11[[#This Row],[Cuenta]],1))</f>
        <v>0</v>
      </c>
      <c r="AF460" t="b">
        <f>+ISNUMBER(SEARCH('F-VTA'!$G$23,Tabla11[[#This Row],[Cuenta]],1))</f>
        <v>0</v>
      </c>
      <c r="AG460" t="b">
        <f>+ISNUMBER(SEARCH('F-VTA'!$G$24,Tabla11[[#This Row],[Cuenta]],1))</f>
        <v>0</v>
      </c>
      <c r="AH460" t="b">
        <f>+ISNUMBER(SEARCH('F-VTA'!$G$25,Tabla11[[#This Row],[Cuenta]],1))</f>
        <v>0</v>
      </c>
      <c r="AI460" t="b">
        <f>+ISNUMBER(SEARCH('F-VTA'!$F$28,Tabla11[[#This Row],[Cuenta]],1))</f>
        <v>1</v>
      </c>
      <c r="AJ460" t="b">
        <f>+ISNUMBER(SEARCH('F-VTA'!$F$29,Tabla11[[#This Row],[Cuenta]],1))</f>
        <v>1</v>
      </c>
      <c r="AK460" t="b">
        <f>+ISNUMBER(SEARCH('F-VTA'!$F$30,Tabla11[[#This Row],[Cuenta]],1))</f>
        <v>1</v>
      </c>
      <c r="AL460" t="b">
        <f>+ISNUMBER(SEARCH('F-VTA'!$F$31,Tabla11[[#This Row],[Cuenta]],1))</f>
        <v>1</v>
      </c>
      <c r="AM460" t="b">
        <f>+ISNUMBER(SEARCH('F-VTA'!$F$32,Tabla11[[#This Row],[Cuenta]],1))</f>
        <v>1</v>
      </c>
      <c r="AN460" t="b">
        <f>+ISNUMBER(SEARCH('F-VTA'!$F$33,Tabla11[[#This Row],[Cuenta]],1))</f>
        <v>1</v>
      </c>
      <c r="AO460" t="b">
        <f>+ISNUMBER(SEARCH('F-VTA'!$F$34,Tabla11[[#This Row],[Cuenta]],1))</f>
        <v>1</v>
      </c>
      <c r="AP460" t="b">
        <f>+ISNUMBER(SEARCH('F-VTA'!$F$35,Tabla11[[#This Row],[Cuenta]],1))</f>
        <v>1</v>
      </c>
      <c r="AQ460" t="b">
        <f>+ISNUMBER(SEARCH('F-VTA'!$F$36,Tabla11[[#This Row],[Cuenta]],1))</f>
        <v>1</v>
      </c>
      <c r="AR460" t="b">
        <f>+ISNUMBER(SEARCH(#REF!,Tabla11[[#This Row],[Cuenta]],1))</f>
        <v>0</v>
      </c>
      <c r="AS460" t="b">
        <f>+ISNUMBER(SEARCH(#REF!,Tabla11[[#This Row],[Cuenta]],1))</f>
        <v>0</v>
      </c>
      <c r="AT460" t="b">
        <f>+ISNUMBER(SEARCH(#REF!,Tabla11[[#This Row],[Cuenta]],1))</f>
        <v>0</v>
      </c>
      <c r="AU460" t="b">
        <f>+ISNUMBER(SEARCH('Conc. Ban.1'!$I$9,Tabla11[[#This Row],[Cuenta]],1))</f>
        <v>0</v>
      </c>
      <c r="AV460" t="b">
        <f>+ISNUMBER(SEARCH(CompConta!$F$21,Tabla11[[#This Row],[Cuenta]],1))</f>
        <v>1</v>
      </c>
      <c r="AW460" t="b">
        <f>+ISNUMBER(SEARCH(CompConta!$F$22,Tabla11[[#This Row],[Cuenta]],1))</f>
        <v>1</v>
      </c>
      <c r="AX460" t="b">
        <f>+ISNUMBER(SEARCH(CompConta!$F$23,Tabla11[[#This Row],[Cuenta]],1))</f>
        <v>1</v>
      </c>
      <c r="AY460" t="b">
        <f>+ISNUMBER(SEARCH(CompConta!$F$24,Tabla11[[#This Row],[Cuenta]],1))</f>
        <v>1</v>
      </c>
      <c r="AZ460" t="b">
        <f>+ISNUMBER(SEARCH(CompConta!$F$25,Tabla11[[#This Row],[Cuenta]],1))</f>
        <v>1</v>
      </c>
      <c r="BA460" t="b">
        <f>+ISNUMBER(SEARCH(CompConta!$F$26,Tabla11[[#This Row],[Cuenta]],1))</f>
        <v>1</v>
      </c>
      <c r="BB460" t="b">
        <f>+ISNUMBER(SEARCH(CompConta!$F$27,Tabla11[[#This Row],[Cuenta]],1))</f>
        <v>1</v>
      </c>
      <c r="BC460" t="b">
        <f>+ISNUMBER(SEARCH(CompConta!$F$28,Tabla11[[#This Row],[Cuenta]],1))</f>
        <v>1</v>
      </c>
      <c r="BD460" t="b">
        <f>+ISNUMBER(SEARCH(CompConta!$F$29,Tabla11[[#This Row],[Cuenta]],1))</f>
        <v>1</v>
      </c>
      <c r="BE460" t="b">
        <f>+ISNUMBER(SEARCH(CompConta!$F$30,Tabla11[[#This Row],[Cuenta]],1))</f>
        <v>1</v>
      </c>
      <c r="BF460" t="b">
        <f>+ISNUMBER(SEARCH('PAGO Compras'!$E$11,Tabla11[[#This Row],[Cuenta]],1))</f>
        <v>1</v>
      </c>
      <c r="BG460" t="b">
        <f>+ISNUMBER(SEARCH(#REF!,Tabla11[[#This Row],[Cuenta]],1))</f>
        <v>0</v>
      </c>
      <c r="BH460" t="b">
        <f>+ISNUMBER(SEARCH(#REF!,Tabla11[[#This Row],[Cuenta]],1))</f>
        <v>0</v>
      </c>
      <c r="BI460" t="b">
        <f>+ISNUMBER(SEARCH(#REF!,Tabla11[[#This Row],[Cuenta]],1))</f>
        <v>0</v>
      </c>
      <c r="BJ460" t="b">
        <f>+ISNUMBER(SEARCH(#REF!,Tabla11[[#This Row],[Cuenta]],1))</f>
        <v>0</v>
      </c>
      <c r="BS460" t="str">
        <v>237045 Fondos</v>
      </c>
      <c r="BT460" t="str">
        <v>237045 Fondos</v>
      </c>
      <c r="BU460" t="str">
        <v>237045 Fondos</v>
      </c>
      <c r="BV460" t="str">
        <v>237045 Fondos</v>
      </c>
      <c r="BZ460" t="str">
        <v>237045 Fondos</v>
      </c>
      <c r="CA460" t="str">
        <v>237045 Fondos</v>
      </c>
      <c r="CB460" t="str">
        <v>237045 Fondos</v>
      </c>
      <c r="CC460" t="str">
        <v>237045 Fondos</v>
      </c>
      <c r="CD460" t="str">
        <v>237045 Fondos</v>
      </c>
      <c r="CE460" t="str">
        <v>237045 Fondos</v>
      </c>
      <c r="CS460" s="141" t="str">
        <v>237045 Fondos</v>
      </c>
      <c r="CT460" s="141" t="str">
        <v>237045 Fondos</v>
      </c>
      <c r="CU460" s="141" t="str">
        <v>237045 Fondos</v>
      </c>
      <c r="CV460" s="141" t="str">
        <v>237045 Fondos</v>
      </c>
      <c r="CW460" s="141" t="str">
        <v>237045 Fondos</v>
      </c>
      <c r="CX460" s="141" t="str">
        <v>237045 Fondos</v>
      </c>
      <c r="CY460" s="141" t="str">
        <v>237045 Fondos</v>
      </c>
      <c r="CZ460" s="141" t="str">
        <v>237045 Fondos</v>
      </c>
      <c r="DA460" s="141" t="str">
        <v>237045 Fondos</v>
      </c>
      <c r="DF460" t="str">
        <v>237045 Fondos</v>
      </c>
      <c r="DG460" t="str">
        <v>237045 Fondos</v>
      </c>
      <c r="DH460" t="str">
        <v>237045 Fondos</v>
      </c>
      <c r="DI460" t="str">
        <v>237045 Fondos</v>
      </c>
      <c r="DJ460" t="str">
        <v>237045 Fondos</v>
      </c>
      <c r="DK460" t="str">
        <v>237045 Fondos</v>
      </c>
      <c r="DL460" t="str">
        <v>237045 Fondos</v>
      </c>
      <c r="DM460" t="str">
        <v>237045 Fondos</v>
      </c>
      <c r="DN460" t="str">
        <v>237045 Fondos</v>
      </c>
      <c r="DO460" t="str">
        <v>237045 Fondos</v>
      </c>
      <c r="DP460" t="str">
        <v>237045 Fondos</v>
      </c>
    </row>
    <row r="461" spans="4:120" ht="12.75">
      <c r="D461" s="7">
        <v>237095</v>
      </c>
      <c r="E461" s="6" t="s">
        <v>45</v>
      </c>
      <c r="F461" s="5">
        <v>4</v>
      </c>
      <c r="G461" s="34" t="s">
        <v>823</v>
      </c>
      <c r="H461" s="26" t="s">
        <v>765</v>
      </c>
      <c r="I461" t="b">
        <f>+ISNUMBER(SEARCH('F-COMPRA'!$F$28,Tabla11[[#This Row],[Cuenta]],1))</f>
        <v>1</v>
      </c>
      <c r="J461" t="b">
        <f>+ISNUMBER(SEARCH('F-COMPRA'!$F$29,Tabla11[[#This Row],[Cuenta]],1))</f>
        <v>1</v>
      </c>
      <c r="K461" t="b">
        <f>+ISNUMBER(SEARCH('F-COMPRA'!$F$30,Tabla11[[#This Row],[Cuenta]],1))</f>
        <v>1</v>
      </c>
      <c r="L461" t="b">
        <f>+ISNUMBER(SEARCH('F-COMPRA'!$F$31,Tabla11[[#This Row],[Cuenta]],1))</f>
        <v>1</v>
      </c>
      <c r="M461" t="b">
        <f>+ISNUMBER(SEARCH('F-COMPRA'!$G$25,Tabla11[[#This Row],[Cuenta]],1))</f>
        <v>0</v>
      </c>
      <c r="N461" t="b">
        <f>+ISNUMBER(SEARCH(#REF!,Tabla11[[#This Row],[Cuenta]],1))</f>
        <v>0</v>
      </c>
      <c r="O461" t="b">
        <f>+ISNUMBER(SEARCH(#REF!,Tabla11[[#This Row],[Cuenta]],1))</f>
        <v>0</v>
      </c>
      <c r="P461" t="b">
        <f>+ISNUMBER(SEARCH('F-COMPRA'!$F$32,Tabla11[[#This Row],[Cuenta]],1))</f>
        <v>1</v>
      </c>
      <c r="Q461" t="b">
        <f>+ISNUMBER(SEARCH('F-COMPRA'!$F$33,Tabla11[[#This Row],[Cuenta]],1))</f>
        <v>1</v>
      </c>
      <c r="R461" t="b">
        <f>+ISNUMBER(SEARCH('F-COMPRA'!$F$34,Tabla11[[#This Row],[Cuenta]],1))</f>
        <v>1</v>
      </c>
      <c r="S461" t="b">
        <f>+ISNUMBER(SEARCH('F-COMPRA'!$F$35,Tabla11[[#This Row],[Cuenta]],1))</f>
        <v>1</v>
      </c>
      <c r="T461" t="b">
        <f>+ISNUMBER(SEARCH('F-COMPRA'!$F$36,Tabla11[[#This Row],[Cuenta]],1))</f>
        <v>1</v>
      </c>
      <c r="U461" t="b">
        <f>+ISNUMBER(SEARCH('F-COMPRA'!$F$37,Tabla11[[#This Row],[Cuenta]],1))</f>
        <v>1</v>
      </c>
      <c r="V461" t="b">
        <f>+ISNUMBER(SEARCH(#REF!,Tabla11[[#This Row],[Cuenta]],1))</f>
        <v>0</v>
      </c>
      <c r="W461" t="b">
        <f>+ISNUMBER(SEARCH('F-COMPRA'!#REF!,Tabla11[[#This Row],[Cuenta]],1))</f>
        <v>0</v>
      </c>
      <c r="X461" t="b">
        <f>+ISNUMBER(SEARCH('F-COMPRA'!#REF!,Tabla11[[#This Row],[Cuenta]],1))</f>
        <v>0</v>
      </c>
      <c r="Y461" t="b">
        <f>+ISNUMBER(SEARCH('F-COMPRA'!#REF!,Tabla11[[#This Row],[Cuenta]],1))</f>
        <v>0</v>
      </c>
      <c r="Z461" t="b">
        <f>+ISNUMBER(SEARCH('F-COMPRA'!#REF!,Tabla11[[#This Row],[Cuenta]],1))</f>
        <v>0</v>
      </c>
      <c r="AA461" t="b">
        <f>+ISNUMBER(SEARCH('F-COMPRA'!#REF!,Tabla11[[#This Row],[Cuenta]],1))</f>
        <v>0</v>
      </c>
      <c r="AB461" t="b">
        <f>+ISNUMBER(SEARCH('F-COMPRA'!#REF!,Tabla11[[#This Row],[Cuenta]],1))</f>
        <v>0</v>
      </c>
      <c r="AC461" t="b">
        <f>+ISNUMBER(SEARCH('F-COMPRA'!#REF!,Tabla11[[#This Row],[Cuenta]],1))</f>
        <v>0</v>
      </c>
      <c r="AD461" t="b">
        <f>+ISNUMBER(SEARCH('F-COMPRA'!#REF!,Tabla11[[#This Row],[Cuenta]],1))</f>
        <v>0</v>
      </c>
      <c r="AE461" t="b">
        <f>+ISNUMBER(SEARCH('F-COMPRA'!#REF!,Tabla11[[#This Row],[Cuenta]],1))</f>
        <v>0</v>
      </c>
      <c r="AF461" t="b">
        <f>+ISNUMBER(SEARCH('F-VTA'!$G$23,Tabla11[[#This Row],[Cuenta]],1))</f>
        <v>0</v>
      </c>
      <c r="AG461" t="b">
        <f>+ISNUMBER(SEARCH('F-VTA'!$G$24,Tabla11[[#This Row],[Cuenta]],1))</f>
        <v>0</v>
      </c>
      <c r="AH461" t="b">
        <f>+ISNUMBER(SEARCH('F-VTA'!$G$25,Tabla11[[#This Row],[Cuenta]],1))</f>
        <v>0</v>
      </c>
      <c r="AI461" t="b">
        <f>+ISNUMBER(SEARCH('F-VTA'!$F$28,Tabla11[[#This Row],[Cuenta]],1))</f>
        <v>1</v>
      </c>
      <c r="AJ461" t="b">
        <f>+ISNUMBER(SEARCH('F-VTA'!$F$29,Tabla11[[#This Row],[Cuenta]],1))</f>
        <v>1</v>
      </c>
      <c r="AK461" t="b">
        <f>+ISNUMBER(SEARCH('F-VTA'!$F$30,Tabla11[[#This Row],[Cuenta]],1))</f>
        <v>1</v>
      </c>
      <c r="AL461" t="b">
        <f>+ISNUMBER(SEARCH('F-VTA'!$F$31,Tabla11[[#This Row],[Cuenta]],1))</f>
        <v>1</v>
      </c>
      <c r="AM461" t="b">
        <f>+ISNUMBER(SEARCH('F-VTA'!$F$32,Tabla11[[#This Row],[Cuenta]],1))</f>
        <v>1</v>
      </c>
      <c r="AN461" t="b">
        <f>+ISNUMBER(SEARCH('F-VTA'!$F$33,Tabla11[[#This Row],[Cuenta]],1))</f>
        <v>1</v>
      </c>
      <c r="AO461" t="b">
        <f>+ISNUMBER(SEARCH('F-VTA'!$F$34,Tabla11[[#This Row],[Cuenta]],1))</f>
        <v>1</v>
      </c>
      <c r="AP461" t="b">
        <f>+ISNUMBER(SEARCH('F-VTA'!$F$35,Tabla11[[#This Row],[Cuenta]],1))</f>
        <v>1</v>
      </c>
      <c r="AQ461" t="b">
        <f>+ISNUMBER(SEARCH('F-VTA'!$F$36,Tabla11[[#This Row],[Cuenta]],1))</f>
        <v>1</v>
      </c>
      <c r="AR461" t="b">
        <f>+ISNUMBER(SEARCH(#REF!,Tabla11[[#This Row],[Cuenta]],1))</f>
        <v>0</v>
      </c>
      <c r="AS461" t="b">
        <f>+ISNUMBER(SEARCH(#REF!,Tabla11[[#This Row],[Cuenta]],1))</f>
        <v>0</v>
      </c>
      <c r="AT461" t="b">
        <f>+ISNUMBER(SEARCH(#REF!,Tabla11[[#This Row],[Cuenta]],1))</f>
        <v>0</v>
      </c>
      <c r="AU461" t="b">
        <f>+ISNUMBER(SEARCH('Conc. Ban.1'!$I$9,Tabla11[[#This Row],[Cuenta]],1))</f>
        <v>0</v>
      </c>
      <c r="AV461" t="b">
        <f>+ISNUMBER(SEARCH(CompConta!$F$21,Tabla11[[#This Row],[Cuenta]],1))</f>
        <v>1</v>
      </c>
      <c r="AW461" t="b">
        <f>+ISNUMBER(SEARCH(CompConta!$F$22,Tabla11[[#This Row],[Cuenta]],1))</f>
        <v>1</v>
      </c>
      <c r="AX461" t="b">
        <f>+ISNUMBER(SEARCH(CompConta!$F$23,Tabla11[[#This Row],[Cuenta]],1))</f>
        <v>1</v>
      </c>
      <c r="AY461" t="b">
        <f>+ISNUMBER(SEARCH(CompConta!$F$24,Tabla11[[#This Row],[Cuenta]],1))</f>
        <v>1</v>
      </c>
      <c r="AZ461" t="b">
        <f>+ISNUMBER(SEARCH(CompConta!$F$25,Tabla11[[#This Row],[Cuenta]],1))</f>
        <v>1</v>
      </c>
      <c r="BA461" t="b">
        <f>+ISNUMBER(SEARCH(CompConta!$F$26,Tabla11[[#This Row],[Cuenta]],1))</f>
        <v>1</v>
      </c>
      <c r="BB461" t="b">
        <f>+ISNUMBER(SEARCH(CompConta!$F$27,Tabla11[[#This Row],[Cuenta]],1))</f>
        <v>1</v>
      </c>
      <c r="BC461" t="b">
        <f>+ISNUMBER(SEARCH(CompConta!$F$28,Tabla11[[#This Row],[Cuenta]],1))</f>
        <v>1</v>
      </c>
      <c r="BD461" t="b">
        <f>+ISNUMBER(SEARCH(CompConta!$F$29,Tabla11[[#This Row],[Cuenta]],1))</f>
        <v>1</v>
      </c>
      <c r="BE461" t="b">
        <f>+ISNUMBER(SEARCH(CompConta!$F$30,Tabla11[[#This Row],[Cuenta]],1))</f>
        <v>1</v>
      </c>
      <c r="BF461" t="b">
        <f>+ISNUMBER(SEARCH('PAGO Compras'!$E$11,Tabla11[[#This Row],[Cuenta]],1))</f>
        <v>1</v>
      </c>
      <c r="BG461" t="b">
        <f>+ISNUMBER(SEARCH(#REF!,Tabla11[[#This Row],[Cuenta]],1))</f>
        <v>0</v>
      </c>
      <c r="BH461" t="b">
        <f>+ISNUMBER(SEARCH(#REF!,Tabla11[[#This Row],[Cuenta]],1))</f>
        <v>0</v>
      </c>
      <c r="BI461" t="b">
        <f>+ISNUMBER(SEARCH(#REF!,Tabla11[[#This Row],[Cuenta]],1))</f>
        <v>0</v>
      </c>
      <c r="BJ461" t="b">
        <f>+ISNUMBER(SEARCH(#REF!,Tabla11[[#This Row],[Cuenta]],1))</f>
        <v>0</v>
      </c>
      <c r="BS461" t="str">
        <v>237095 Otros</v>
      </c>
      <c r="BT461" t="str">
        <v>237095 Otros</v>
      </c>
      <c r="BU461" t="str">
        <v>237095 Otros</v>
      </c>
      <c r="BV461" t="str">
        <v>237095 Otros</v>
      </c>
      <c r="BZ461" t="str">
        <v>237095 Otros</v>
      </c>
      <c r="CA461" t="str">
        <v>237095 Otros</v>
      </c>
      <c r="CB461" t="str">
        <v>237095 Otros</v>
      </c>
      <c r="CC461" t="str">
        <v>237095 Otros</v>
      </c>
      <c r="CD461" t="str">
        <v>237095 Otros</v>
      </c>
      <c r="CE461" t="str">
        <v>237095 Otros</v>
      </c>
      <c r="CS461" s="141" t="str">
        <v>237095 Otros</v>
      </c>
      <c r="CT461" s="141" t="str">
        <v>237095 Otros</v>
      </c>
      <c r="CU461" s="141" t="str">
        <v>237095 Otros</v>
      </c>
      <c r="CV461" s="141" t="str">
        <v>237095 Otros</v>
      </c>
      <c r="CW461" s="141" t="str">
        <v>237095 Otros</v>
      </c>
      <c r="CX461" s="141" t="str">
        <v>237095 Otros</v>
      </c>
      <c r="CY461" s="141" t="str">
        <v>237095 Otros</v>
      </c>
      <c r="CZ461" s="141" t="str">
        <v>237095 Otros</v>
      </c>
      <c r="DA461" s="141" t="str">
        <v>237095 Otros</v>
      </c>
      <c r="DF461" t="str">
        <v>237095 Otros</v>
      </c>
      <c r="DG461" t="str">
        <v>237095 Otros</v>
      </c>
      <c r="DH461" t="str">
        <v>237095 Otros</v>
      </c>
      <c r="DI461" t="str">
        <v>237095 Otros</v>
      </c>
      <c r="DJ461" t="str">
        <v>237095 Otros</v>
      </c>
      <c r="DK461" t="str">
        <v>237095 Otros</v>
      </c>
      <c r="DL461" t="str">
        <v>237095 Otros</v>
      </c>
      <c r="DM461" t="str">
        <v>237095 Otros</v>
      </c>
      <c r="DN461" t="str">
        <v>237095 Otros</v>
      </c>
      <c r="DO461" t="str">
        <v>237095 Otros</v>
      </c>
      <c r="DP461" t="str">
        <v>237095 Otros</v>
      </c>
    </row>
    <row r="462" spans="4:120" ht="12.75">
      <c r="D462" s="7">
        <v>24</v>
      </c>
      <c r="E462" s="6" t="s">
        <v>351</v>
      </c>
      <c r="F462" s="5">
        <v>2</v>
      </c>
      <c r="G462" s="34"/>
      <c r="H462" s="26" t="s">
        <v>765</v>
      </c>
      <c r="I462" t="b">
        <f>+ISNUMBER(SEARCH('F-COMPRA'!$F$28,Tabla11[[#This Row],[Cuenta]],1))</f>
        <v>1</v>
      </c>
      <c r="J462" t="b">
        <f>+ISNUMBER(SEARCH('F-COMPRA'!$F$29,Tabla11[[#This Row],[Cuenta]],1))</f>
        <v>1</v>
      </c>
      <c r="K462" t="b">
        <f>+ISNUMBER(SEARCH('F-COMPRA'!$F$30,Tabla11[[#This Row],[Cuenta]],1))</f>
        <v>1</v>
      </c>
      <c r="L462" t="b">
        <f>+ISNUMBER(SEARCH('F-COMPRA'!$F$31,Tabla11[[#This Row],[Cuenta]],1))</f>
        <v>1</v>
      </c>
      <c r="M462" t="b">
        <f>+ISNUMBER(SEARCH('F-COMPRA'!$G$25,Tabla11[[#This Row],[Cuenta]],1))</f>
        <v>0</v>
      </c>
      <c r="N462" t="b">
        <f>+ISNUMBER(SEARCH(#REF!,Tabla11[[#This Row],[Cuenta]],1))</f>
        <v>0</v>
      </c>
      <c r="O462" t="b">
        <f>+ISNUMBER(SEARCH(#REF!,Tabla11[[#This Row],[Cuenta]],1))</f>
        <v>0</v>
      </c>
      <c r="P462" t="b">
        <f>+ISNUMBER(SEARCH('F-COMPRA'!$F$32,Tabla11[[#This Row],[Cuenta]],1))</f>
        <v>1</v>
      </c>
      <c r="Q462" t="b">
        <f>+ISNUMBER(SEARCH('F-COMPRA'!$F$33,Tabla11[[#This Row],[Cuenta]],1))</f>
        <v>1</v>
      </c>
      <c r="R462" t="b">
        <f>+ISNUMBER(SEARCH('F-COMPRA'!$F$34,Tabla11[[#This Row],[Cuenta]],1))</f>
        <v>1</v>
      </c>
      <c r="S462" t="b">
        <f>+ISNUMBER(SEARCH('F-COMPRA'!$F$35,Tabla11[[#This Row],[Cuenta]],1))</f>
        <v>1</v>
      </c>
      <c r="T462" t="b">
        <f>+ISNUMBER(SEARCH('F-COMPRA'!$F$36,Tabla11[[#This Row],[Cuenta]],1))</f>
        <v>1</v>
      </c>
      <c r="U462" t="b">
        <f>+ISNUMBER(SEARCH('F-COMPRA'!$F$37,Tabla11[[#This Row],[Cuenta]],1))</f>
        <v>1</v>
      </c>
      <c r="V462" t="b">
        <f>+ISNUMBER(SEARCH(#REF!,Tabla11[[#This Row],[Cuenta]],1))</f>
        <v>0</v>
      </c>
      <c r="W462" t="b">
        <f>+ISNUMBER(SEARCH('F-COMPRA'!#REF!,Tabla11[[#This Row],[Cuenta]],1))</f>
        <v>0</v>
      </c>
      <c r="X462" t="b">
        <f>+ISNUMBER(SEARCH('F-COMPRA'!#REF!,Tabla11[[#This Row],[Cuenta]],1))</f>
        <v>0</v>
      </c>
      <c r="Y462" t="b">
        <f>+ISNUMBER(SEARCH('F-COMPRA'!#REF!,Tabla11[[#This Row],[Cuenta]],1))</f>
        <v>0</v>
      </c>
      <c r="Z462" t="b">
        <f>+ISNUMBER(SEARCH('F-COMPRA'!#REF!,Tabla11[[#This Row],[Cuenta]],1))</f>
        <v>0</v>
      </c>
      <c r="AA462" t="b">
        <f>+ISNUMBER(SEARCH('F-COMPRA'!#REF!,Tabla11[[#This Row],[Cuenta]],1))</f>
        <v>0</v>
      </c>
      <c r="AB462" t="b">
        <f>+ISNUMBER(SEARCH('F-COMPRA'!#REF!,Tabla11[[#This Row],[Cuenta]],1))</f>
        <v>0</v>
      </c>
      <c r="AC462" t="b">
        <f>+ISNUMBER(SEARCH('F-COMPRA'!#REF!,Tabla11[[#This Row],[Cuenta]],1))</f>
        <v>0</v>
      </c>
      <c r="AD462" t="b">
        <f>+ISNUMBER(SEARCH('F-COMPRA'!#REF!,Tabla11[[#This Row],[Cuenta]],1))</f>
        <v>0</v>
      </c>
      <c r="AE462" t="b">
        <f>+ISNUMBER(SEARCH('F-COMPRA'!#REF!,Tabla11[[#This Row],[Cuenta]],1))</f>
        <v>0</v>
      </c>
      <c r="AF462" t="b">
        <f>+ISNUMBER(SEARCH('F-VTA'!$G$23,Tabla11[[#This Row],[Cuenta]],1))</f>
        <v>0</v>
      </c>
      <c r="AG462" t="b">
        <f>+ISNUMBER(SEARCH('F-VTA'!$G$24,Tabla11[[#This Row],[Cuenta]],1))</f>
        <v>0</v>
      </c>
      <c r="AH462" t="b">
        <f>+ISNUMBER(SEARCH('F-VTA'!$G$25,Tabla11[[#This Row],[Cuenta]],1))</f>
        <v>0</v>
      </c>
      <c r="AI462" t="b">
        <f>+ISNUMBER(SEARCH('F-VTA'!$F$28,Tabla11[[#This Row],[Cuenta]],1))</f>
        <v>1</v>
      </c>
      <c r="AJ462" t="b">
        <f>+ISNUMBER(SEARCH('F-VTA'!$F$29,Tabla11[[#This Row],[Cuenta]],1))</f>
        <v>1</v>
      </c>
      <c r="AK462" t="b">
        <f>+ISNUMBER(SEARCH('F-VTA'!$F$30,Tabla11[[#This Row],[Cuenta]],1))</f>
        <v>1</v>
      </c>
      <c r="AL462" t="b">
        <f>+ISNUMBER(SEARCH('F-VTA'!$F$31,Tabla11[[#This Row],[Cuenta]],1))</f>
        <v>1</v>
      </c>
      <c r="AM462" t="b">
        <f>+ISNUMBER(SEARCH('F-VTA'!$F$32,Tabla11[[#This Row],[Cuenta]],1))</f>
        <v>1</v>
      </c>
      <c r="AN462" t="b">
        <f>+ISNUMBER(SEARCH('F-VTA'!$F$33,Tabla11[[#This Row],[Cuenta]],1))</f>
        <v>1</v>
      </c>
      <c r="AO462" t="b">
        <f>+ISNUMBER(SEARCH('F-VTA'!$F$34,Tabla11[[#This Row],[Cuenta]],1))</f>
        <v>1</v>
      </c>
      <c r="AP462" t="b">
        <f>+ISNUMBER(SEARCH('F-VTA'!$F$35,Tabla11[[#This Row],[Cuenta]],1))</f>
        <v>1</v>
      </c>
      <c r="AQ462" t="b">
        <f>+ISNUMBER(SEARCH('F-VTA'!$F$36,Tabla11[[#This Row],[Cuenta]],1))</f>
        <v>1</v>
      </c>
      <c r="AR462" t="b">
        <f>+ISNUMBER(SEARCH(#REF!,Tabla11[[#This Row],[Cuenta]],1))</f>
        <v>0</v>
      </c>
      <c r="AS462" t="b">
        <f>+ISNUMBER(SEARCH(#REF!,Tabla11[[#This Row],[Cuenta]],1))</f>
        <v>0</v>
      </c>
      <c r="AT462" t="b">
        <f>+ISNUMBER(SEARCH(#REF!,Tabla11[[#This Row],[Cuenta]],1))</f>
        <v>0</v>
      </c>
      <c r="AU462" t="b">
        <f>+ISNUMBER(SEARCH('Conc. Ban.1'!$I$9,Tabla11[[#This Row],[Cuenta]],1))</f>
        <v>0</v>
      </c>
      <c r="AV462" t="b">
        <f>+ISNUMBER(SEARCH(CompConta!$F$21,Tabla11[[#This Row],[Cuenta]],1))</f>
        <v>1</v>
      </c>
      <c r="AW462" t="b">
        <f>+ISNUMBER(SEARCH(CompConta!$F$22,Tabla11[[#This Row],[Cuenta]],1))</f>
        <v>1</v>
      </c>
      <c r="AX462" t="b">
        <f>+ISNUMBER(SEARCH(CompConta!$F$23,Tabla11[[#This Row],[Cuenta]],1))</f>
        <v>1</v>
      </c>
      <c r="AY462" t="b">
        <f>+ISNUMBER(SEARCH(CompConta!$F$24,Tabla11[[#This Row],[Cuenta]],1))</f>
        <v>1</v>
      </c>
      <c r="AZ462" t="b">
        <f>+ISNUMBER(SEARCH(CompConta!$F$25,Tabla11[[#This Row],[Cuenta]],1))</f>
        <v>1</v>
      </c>
      <c r="BA462" t="b">
        <f>+ISNUMBER(SEARCH(CompConta!$F$26,Tabla11[[#This Row],[Cuenta]],1))</f>
        <v>1</v>
      </c>
      <c r="BB462" t="b">
        <f>+ISNUMBER(SEARCH(CompConta!$F$27,Tabla11[[#This Row],[Cuenta]],1))</f>
        <v>1</v>
      </c>
      <c r="BC462" t="b">
        <f>+ISNUMBER(SEARCH(CompConta!$F$28,Tabla11[[#This Row],[Cuenta]],1))</f>
        <v>1</v>
      </c>
      <c r="BD462" t="b">
        <f>+ISNUMBER(SEARCH(CompConta!$F$29,Tabla11[[#This Row],[Cuenta]],1))</f>
        <v>1</v>
      </c>
      <c r="BE462" t="b">
        <f>+ISNUMBER(SEARCH(CompConta!$F$30,Tabla11[[#This Row],[Cuenta]],1))</f>
        <v>1</v>
      </c>
      <c r="BF462" t="b">
        <f>+ISNUMBER(SEARCH('PAGO Compras'!$E$11,Tabla11[[#This Row],[Cuenta]],1))</f>
        <v>1</v>
      </c>
      <c r="BG462" t="b">
        <f>+ISNUMBER(SEARCH(#REF!,Tabla11[[#This Row],[Cuenta]],1))</f>
        <v>0</v>
      </c>
      <c r="BH462" t="b">
        <f>+ISNUMBER(SEARCH(#REF!,Tabla11[[#This Row],[Cuenta]],1))</f>
        <v>0</v>
      </c>
      <c r="BI462" t="b">
        <f>+ISNUMBER(SEARCH(#REF!,Tabla11[[#This Row],[Cuenta]],1))</f>
        <v>0</v>
      </c>
      <c r="BJ462" t="b">
        <f>+ISNUMBER(SEARCH(#REF!,Tabla11[[#This Row],[Cuenta]],1))</f>
        <v>0</v>
      </c>
      <c r="BS462" t="str">
        <v>24 IMPUESTOS, GRAVÁMENES Y TASAS</v>
      </c>
      <c r="BT462" t="str">
        <v>24 IMPUESTOS, GRAVÁMENES Y TASAS</v>
      </c>
      <c r="BU462" t="str">
        <v>24 IMPUESTOS, GRAVÁMENES Y TASAS</v>
      </c>
      <c r="BV462" t="str">
        <v>24 IMPUESTOS, GRAVÁMENES Y TASAS</v>
      </c>
      <c r="BZ462" t="str">
        <v>24 IMPUESTOS, GRAVÁMENES Y TASAS</v>
      </c>
      <c r="CA462" t="str">
        <v>24 IMPUESTOS, GRAVÁMENES Y TASAS</v>
      </c>
      <c r="CB462" t="str">
        <v>24 IMPUESTOS, GRAVÁMENES Y TASAS</v>
      </c>
      <c r="CC462" t="str">
        <v>24 IMPUESTOS, GRAVÁMENES Y TASAS</v>
      </c>
      <c r="CD462" t="str">
        <v>24 IMPUESTOS, GRAVÁMENES Y TASAS</v>
      </c>
      <c r="CE462" t="str">
        <v>24 IMPUESTOS, GRAVÁMENES Y TASAS</v>
      </c>
      <c r="CS462" s="141" t="str">
        <v>24 IMPUESTOS, GRAVÁMENES Y TASAS</v>
      </c>
      <c r="CT462" s="141" t="str">
        <v>24 IMPUESTOS, GRAVÁMENES Y TASAS</v>
      </c>
      <c r="CU462" s="141" t="str">
        <v>24 IMPUESTOS, GRAVÁMENES Y TASAS</v>
      </c>
      <c r="CV462" s="141" t="str">
        <v>24 IMPUESTOS, GRAVÁMENES Y TASAS</v>
      </c>
      <c r="CW462" s="141" t="str">
        <v>24 IMPUESTOS, GRAVÁMENES Y TASAS</v>
      </c>
      <c r="CX462" s="141" t="str">
        <v>24 IMPUESTOS, GRAVÁMENES Y TASAS</v>
      </c>
      <c r="CY462" s="141" t="str">
        <v>24 IMPUESTOS, GRAVÁMENES Y TASAS</v>
      </c>
      <c r="CZ462" s="141" t="str">
        <v>24 IMPUESTOS, GRAVÁMENES Y TASAS</v>
      </c>
      <c r="DA462" s="141" t="str">
        <v>24 IMPUESTOS, GRAVÁMENES Y TASAS</v>
      </c>
      <c r="DF462" t="str">
        <v>24 IMPUESTOS, GRAVÁMENES Y TASAS</v>
      </c>
      <c r="DG462" t="str">
        <v>24 IMPUESTOS, GRAVÁMENES Y TASAS</v>
      </c>
      <c r="DH462" t="str">
        <v>24 IMPUESTOS, GRAVÁMENES Y TASAS</v>
      </c>
      <c r="DI462" t="str">
        <v>24 IMPUESTOS, GRAVÁMENES Y TASAS</v>
      </c>
      <c r="DJ462" t="str">
        <v>24 IMPUESTOS, GRAVÁMENES Y TASAS</v>
      </c>
      <c r="DK462" t="str">
        <v>24 IMPUESTOS, GRAVÁMENES Y TASAS</v>
      </c>
      <c r="DL462" t="str">
        <v>24 IMPUESTOS, GRAVÁMENES Y TASAS</v>
      </c>
      <c r="DM462" t="str">
        <v>24 IMPUESTOS, GRAVÁMENES Y TASAS</v>
      </c>
      <c r="DN462" t="str">
        <v>24 IMPUESTOS, GRAVÁMENES Y TASAS</v>
      </c>
      <c r="DO462" t="str">
        <v>24 IMPUESTOS, GRAVÁMENES Y TASAS</v>
      </c>
      <c r="DP462" t="str">
        <v>24 IMPUESTOS, GRAVÁMENES Y TASAS</v>
      </c>
    </row>
    <row r="463" spans="4:120" ht="12.75">
      <c r="D463" s="7">
        <v>2404</v>
      </c>
      <c r="E463" s="6" t="s">
        <v>352</v>
      </c>
      <c r="F463" s="5">
        <v>3</v>
      </c>
      <c r="G463" s="34" t="s">
        <v>823</v>
      </c>
      <c r="H463" s="26" t="s">
        <v>765</v>
      </c>
      <c r="I463" t="b">
        <f>+ISNUMBER(SEARCH('F-COMPRA'!$F$28,Tabla11[[#This Row],[Cuenta]],1))</f>
        <v>1</v>
      </c>
      <c r="J463" t="b">
        <f>+ISNUMBER(SEARCH('F-COMPRA'!$F$29,Tabla11[[#This Row],[Cuenta]],1))</f>
        <v>1</v>
      </c>
      <c r="K463" t="b">
        <f>+ISNUMBER(SEARCH('F-COMPRA'!$F$30,Tabla11[[#This Row],[Cuenta]],1))</f>
        <v>1</v>
      </c>
      <c r="L463" t="b">
        <f>+ISNUMBER(SEARCH('F-COMPRA'!$F$31,Tabla11[[#This Row],[Cuenta]],1))</f>
        <v>1</v>
      </c>
      <c r="M463" t="b">
        <f>+ISNUMBER(SEARCH('F-COMPRA'!$G$25,Tabla11[[#This Row],[Cuenta]],1))</f>
        <v>0</v>
      </c>
      <c r="N463" t="b">
        <f>+ISNUMBER(SEARCH(#REF!,Tabla11[[#This Row],[Cuenta]],1))</f>
        <v>0</v>
      </c>
      <c r="O463" t="b">
        <f>+ISNUMBER(SEARCH(#REF!,Tabla11[[#This Row],[Cuenta]],1))</f>
        <v>0</v>
      </c>
      <c r="P463" t="b">
        <f>+ISNUMBER(SEARCH('F-COMPRA'!$F$32,Tabla11[[#This Row],[Cuenta]],1))</f>
        <v>1</v>
      </c>
      <c r="Q463" t="b">
        <f>+ISNUMBER(SEARCH('F-COMPRA'!$F$33,Tabla11[[#This Row],[Cuenta]],1))</f>
        <v>1</v>
      </c>
      <c r="R463" t="b">
        <f>+ISNUMBER(SEARCH('F-COMPRA'!$F$34,Tabla11[[#This Row],[Cuenta]],1))</f>
        <v>1</v>
      </c>
      <c r="S463" t="b">
        <f>+ISNUMBER(SEARCH('F-COMPRA'!$F$35,Tabla11[[#This Row],[Cuenta]],1))</f>
        <v>1</v>
      </c>
      <c r="T463" t="b">
        <f>+ISNUMBER(SEARCH('F-COMPRA'!$F$36,Tabla11[[#This Row],[Cuenta]],1))</f>
        <v>1</v>
      </c>
      <c r="U463" t="b">
        <f>+ISNUMBER(SEARCH('F-COMPRA'!$F$37,Tabla11[[#This Row],[Cuenta]],1))</f>
        <v>1</v>
      </c>
      <c r="V463" t="b">
        <f>+ISNUMBER(SEARCH(#REF!,Tabla11[[#This Row],[Cuenta]],1))</f>
        <v>0</v>
      </c>
      <c r="W463" t="b">
        <f>+ISNUMBER(SEARCH('F-COMPRA'!#REF!,Tabla11[[#This Row],[Cuenta]],1))</f>
        <v>0</v>
      </c>
      <c r="X463" t="b">
        <f>+ISNUMBER(SEARCH('F-COMPRA'!#REF!,Tabla11[[#This Row],[Cuenta]],1))</f>
        <v>0</v>
      </c>
      <c r="Y463" t="b">
        <f>+ISNUMBER(SEARCH('F-COMPRA'!#REF!,Tabla11[[#This Row],[Cuenta]],1))</f>
        <v>0</v>
      </c>
      <c r="Z463" t="b">
        <f>+ISNUMBER(SEARCH('F-COMPRA'!#REF!,Tabla11[[#This Row],[Cuenta]],1))</f>
        <v>0</v>
      </c>
      <c r="AA463" t="b">
        <f>+ISNUMBER(SEARCH('F-COMPRA'!#REF!,Tabla11[[#This Row],[Cuenta]],1))</f>
        <v>0</v>
      </c>
      <c r="AB463" t="b">
        <f>+ISNUMBER(SEARCH('F-COMPRA'!#REF!,Tabla11[[#This Row],[Cuenta]],1))</f>
        <v>0</v>
      </c>
      <c r="AC463" t="b">
        <f>+ISNUMBER(SEARCH('F-COMPRA'!#REF!,Tabla11[[#This Row],[Cuenta]],1))</f>
        <v>0</v>
      </c>
      <c r="AD463" t="b">
        <f>+ISNUMBER(SEARCH('F-COMPRA'!#REF!,Tabla11[[#This Row],[Cuenta]],1))</f>
        <v>0</v>
      </c>
      <c r="AE463" t="b">
        <f>+ISNUMBER(SEARCH('F-COMPRA'!#REF!,Tabla11[[#This Row],[Cuenta]],1))</f>
        <v>0</v>
      </c>
      <c r="AF463" t="b">
        <f>+ISNUMBER(SEARCH('F-VTA'!$G$23,Tabla11[[#This Row],[Cuenta]],1))</f>
        <v>0</v>
      </c>
      <c r="AG463" t="b">
        <f>+ISNUMBER(SEARCH('F-VTA'!$G$24,Tabla11[[#This Row],[Cuenta]],1))</f>
        <v>0</v>
      </c>
      <c r="AH463" t="b">
        <f>+ISNUMBER(SEARCH('F-VTA'!$G$25,Tabla11[[#This Row],[Cuenta]],1))</f>
        <v>0</v>
      </c>
      <c r="AI463" t="b">
        <f>+ISNUMBER(SEARCH('F-VTA'!$F$28,Tabla11[[#This Row],[Cuenta]],1))</f>
        <v>1</v>
      </c>
      <c r="AJ463" t="b">
        <f>+ISNUMBER(SEARCH('F-VTA'!$F$29,Tabla11[[#This Row],[Cuenta]],1))</f>
        <v>1</v>
      </c>
      <c r="AK463" t="b">
        <f>+ISNUMBER(SEARCH('F-VTA'!$F$30,Tabla11[[#This Row],[Cuenta]],1))</f>
        <v>1</v>
      </c>
      <c r="AL463" t="b">
        <f>+ISNUMBER(SEARCH('F-VTA'!$F$31,Tabla11[[#This Row],[Cuenta]],1))</f>
        <v>1</v>
      </c>
      <c r="AM463" t="b">
        <f>+ISNUMBER(SEARCH('F-VTA'!$F$32,Tabla11[[#This Row],[Cuenta]],1))</f>
        <v>1</v>
      </c>
      <c r="AN463" t="b">
        <f>+ISNUMBER(SEARCH('F-VTA'!$F$33,Tabla11[[#This Row],[Cuenta]],1))</f>
        <v>1</v>
      </c>
      <c r="AO463" t="b">
        <f>+ISNUMBER(SEARCH('F-VTA'!$F$34,Tabla11[[#This Row],[Cuenta]],1))</f>
        <v>1</v>
      </c>
      <c r="AP463" t="b">
        <f>+ISNUMBER(SEARCH('F-VTA'!$F$35,Tabla11[[#This Row],[Cuenta]],1))</f>
        <v>1</v>
      </c>
      <c r="AQ463" t="b">
        <f>+ISNUMBER(SEARCH('F-VTA'!$F$36,Tabla11[[#This Row],[Cuenta]],1))</f>
        <v>1</v>
      </c>
      <c r="AR463" t="b">
        <f>+ISNUMBER(SEARCH(#REF!,Tabla11[[#This Row],[Cuenta]],1))</f>
        <v>0</v>
      </c>
      <c r="AS463" t="b">
        <f>+ISNUMBER(SEARCH(#REF!,Tabla11[[#This Row],[Cuenta]],1))</f>
        <v>0</v>
      </c>
      <c r="AT463" t="b">
        <f>+ISNUMBER(SEARCH(#REF!,Tabla11[[#This Row],[Cuenta]],1))</f>
        <v>0</v>
      </c>
      <c r="AU463" t="b">
        <f>+ISNUMBER(SEARCH('Conc. Ban.1'!$I$9,Tabla11[[#This Row],[Cuenta]],1))</f>
        <v>0</v>
      </c>
      <c r="AV463" t="b">
        <f>+ISNUMBER(SEARCH(CompConta!$F$21,Tabla11[[#This Row],[Cuenta]],1))</f>
        <v>1</v>
      </c>
      <c r="AW463" t="b">
        <f>+ISNUMBER(SEARCH(CompConta!$F$22,Tabla11[[#This Row],[Cuenta]],1))</f>
        <v>1</v>
      </c>
      <c r="AX463" t="b">
        <f>+ISNUMBER(SEARCH(CompConta!$F$23,Tabla11[[#This Row],[Cuenta]],1))</f>
        <v>1</v>
      </c>
      <c r="AY463" t="b">
        <f>+ISNUMBER(SEARCH(CompConta!$F$24,Tabla11[[#This Row],[Cuenta]],1))</f>
        <v>1</v>
      </c>
      <c r="AZ463" t="b">
        <f>+ISNUMBER(SEARCH(CompConta!$F$25,Tabla11[[#This Row],[Cuenta]],1))</f>
        <v>1</v>
      </c>
      <c r="BA463" t="b">
        <f>+ISNUMBER(SEARCH(CompConta!$F$26,Tabla11[[#This Row],[Cuenta]],1))</f>
        <v>1</v>
      </c>
      <c r="BB463" t="b">
        <f>+ISNUMBER(SEARCH(CompConta!$F$27,Tabla11[[#This Row],[Cuenta]],1))</f>
        <v>1</v>
      </c>
      <c r="BC463" t="b">
        <f>+ISNUMBER(SEARCH(CompConta!$F$28,Tabla11[[#This Row],[Cuenta]],1))</f>
        <v>1</v>
      </c>
      <c r="BD463" t="b">
        <f>+ISNUMBER(SEARCH(CompConta!$F$29,Tabla11[[#This Row],[Cuenta]],1))</f>
        <v>1</v>
      </c>
      <c r="BE463" t="b">
        <f>+ISNUMBER(SEARCH(CompConta!$F$30,Tabla11[[#This Row],[Cuenta]],1))</f>
        <v>1</v>
      </c>
      <c r="BF463" t="b">
        <f>+ISNUMBER(SEARCH('PAGO Compras'!$E$11,Tabla11[[#This Row],[Cuenta]],1))</f>
        <v>1</v>
      </c>
      <c r="BG463" t="b">
        <f>+ISNUMBER(SEARCH(#REF!,Tabla11[[#This Row],[Cuenta]],1))</f>
        <v>0</v>
      </c>
      <c r="BH463" t="b">
        <f>+ISNUMBER(SEARCH(#REF!,Tabla11[[#This Row],[Cuenta]],1))</f>
        <v>0</v>
      </c>
      <c r="BI463" t="b">
        <f>+ISNUMBER(SEARCH(#REF!,Tabla11[[#This Row],[Cuenta]],1))</f>
        <v>0</v>
      </c>
      <c r="BJ463" t="b">
        <f>+ISNUMBER(SEARCH(#REF!,Tabla11[[#This Row],[Cuenta]],1))</f>
        <v>0</v>
      </c>
      <c r="BS463" t="str">
        <v>2404 DE RENTA Y COMPLEMENTARIOS</v>
      </c>
      <c r="BT463" t="str">
        <v>2404 DE RENTA Y COMPLEMENTARIOS</v>
      </c>
      <c r="BU463" t="str">
        <v>2404 DE RENTA Y COMPLEMENTARIOS</v>
      </c>
      <c r="BV463" t="str">
        <v>2404 DE RENTA Y COMPLEMENTARIOS</v>
      </c>
      <c r="BZ463" t="str">
        <v>2404 DE RENTA Y COMPLEMENTARIOS</v>
      </c>
      <c r="CA463" t="str">
        <v>2404 DE RENTA Y COMPLEMENTARIOS</v>
      </c>
      <c r="CB463" t="str">
        <v>2404 DE RENTA Y COMPLEMENTARIOS</v>
      </c>
      <c r="CC463" t="str">
        <v>2404 DE RENTA Y COMPLEMENTARIOS</v>
      </c>
      <c r="CD463" t="str">
        <v>2404 DE RENTA Y COMPLEMENTARIOS</v>
      </c>
      <c r="CE463" t="str">
        <v>2404 DE RENTA Y COMPLEMENTARIOS</v>
      </c>
      <c r="CS463" s="141" t="str">
        <v>2404 DE RENTA Y COMPLEMENTARIOS</v>
      </c>
      <c r="CT463" s="141" t="str">
        <v>2404 DE RENTA Y COMPLEMENTARIOS</v>
      </c>
      <c r="CU463" s="141" t="str">
        <v>2404 DE RENTA Y COMPLEMENTARIOS</v>
      </c>
      <c r="CV463" s="141" t="str">
        <v>2404 DE RENTA Y COMPLEMENTARIOS</v>
      </c>
      <c r="CW463" s="141" t="str">
        <v>2404 DE RENTA Y COMPLEMENTARIOS</v>
      </c>
      <c r="CX463" s="141" t="str">
        <v>2404 DE RENTA Y COMPLEMENTARIOS</v>
      </c>
      <c r="CY463" s="141" t="str">
        <v>2404 DE RENTA Y COMPLEMENTARIOS</v>
      </c>
      <c r="CZ463" s="141" t="str">
        <v>2404 DE RENTA Y COMPLEMENTARIOS</v>
      </c>
      <c r="DA463" s="141" t="str">
        <v>2404 DE RENTA Y COMPLEMENTARIOS</v>
      </c>
      <c r="DF463" t="str">
        <v>2404 DE RENTA Y COMPLEMENTARIOS</v>
      </c>
      <c r="DG463" t="str">
        <v>2404 DE RENTA Y COMPLEMENTARIOS</v>
      </c>
      <c r="DH463" t="str">
        <v>2404 DE RENTA Y COMPLEMENTARIOS</v>
      </c>
      <c r="DI463" t="str">
        <v>2404 DE RENTA Y COMPLEMENTARIOS</v>
      </c>
      <c r="DJ463" t="str">
        <v>2404 DE RENTA Y COMPLEMENTARIOS</v>
      </c>
      <c r="DK463" t="str">
        <v>2404 DE RENTA Y COMPLEMENTARIOS</v>
      </c>
      <c r="DL463" t="str">
        <v>2404 DE RENTA Y COMPLEMENTARIOS</v>
      </c>
      <c r="DM463" t="str">
        <v>2404 DE RENTA Y COMPLEMENTARIOS</v>
      </c>
      <c r="DN463" t="str">
        <v>2404 DE RENTA Y COMPLEMENTARIOS</v>
      </c>
      <c r="DO463" t="str">
        <v>2404 DE RENTA Y COMPLEMENTARIOS</v>
      </c>
      <c r="DP463" t="str">
        <v>2404 DE RENTA Y COMPLEMENTARIOS</v>
      </c>
    </row>
    <row r="464" spans="4:120" ht="12.75">
      <c r="D464" s="7">
        <v>240405</v>
      </c>
      <c r="E464" s="6" t="s">
        <v>353</v>
      </c>
      <c r="F464" s="5">
        <v>4</v>
      </c>
      <c r="G464" s="34" t="s">
        <v>823</v>
      </c>
      <c r="H464" s="26" t="s">
        <v>765</v>
      </c>
      <c r="I464" t="b">
        <f>+ISNUMBER(SEARCH('F-COMPRA'!$F$28,Tabla11[[#This Row],[Cuenta]],1))</f>
        <v>1</v>
      </c>
      <c r="J464" t="b">
        <f>+ISNUMBER(SEARCH('F-COMPRA'!$F$29,Tabla11[[#This Row],[Cuenta]],1))</f>
        <v>1</v>
      </c>
      <c r="K464" t="b">
        <f>+ISNUMBER(SEARCH('F-COMPRA'!$F$30,Tabla11[[#This Row],[Cuenta]],1))</f>
        <v>1</v>
      </c>
      <c r="L464" t="b">
        <f>+ISNUMBER(SEARCH('F-COMPRA'!$F$31,Tabla11[[#This Row],[Cuenta]],1))</f>
        <v>1</v>
      </c>
      <c r="M464" t="b">
        <f>+ISNUMBER(SEARCH('F-COMPRA'!$G$25,Tabla11[[#This Row],[Cuenta]],1))</f>
        <v>0</v>
      </c>
      <c r="N464" t="b">
        <f>+ISNUMBER(SEARCH(#REF!,Tabla11[[#This Row],[Cuenta]],1))</f>
        <v>0</v>
      </c>
      <c r="O464" t="b">
        <f>+ISNUMBER(SEARCH(#REF!,Tabla11[[#This Row],[Cuenta]],1))</f>
        <v>0</v>
      </c>
      <c r="P464" t="b">
        <f>+ISNUMBER(SEARCH('F-COMPRA'!$F$32,Tabla11[[#This Row],[Cuenta]],1))</f>
        <v>1</v>
      </c>
      <c r="Q464" t="b">
        <f>+ISNUMBER(SEARCH('F-COMPRA'!$F$33,Tabla11[[#This Row],[Cuenta]],1))</f>
        <v>1</v>
      </c>
      <c r="R464" t="b">
        <f>+ISNUMBER(SEARCH('F-COMPRA'!$F$34,Tabla11[[#This Row],[Cuenta]],1))</f>
        <v>1</v>
      </c>
      <c r="S464" t="b">
        <f>+ISNUMBER(SEARCH('F-COMPRA'!$F$35,Tabla11[[#This Row],[Cuenta]],1))</f>
        <v>1</v>
      </c>
      <c r="T464" t="b">
        <f>+ISNUMBER(SEARCH('F-COMPRA'!$F$36,Tabla11[[#This Row],[Cuenta]],1))</f>
        <v>1</v>
      </c>
      <c r="U464" t="b">
        <f>+ISNUMBER(SEARCH('F-COMPRA'!$F$37,Tabla11[[#This Row],[Cuenta]],1))</f>
        <v>1</v>
      </c>
      <c r="V464" t="b">
        <f>+ISNUMBER(SEARCH(#REF!,Tabla11[[#This Row],[Cuenta]],1))</f>
        <v>0</v>
      </c>
      <c r="W464" t="b">
        <f>+ISNUMBER(SEARCH('F-COMPRA'!#REF!,Tabla11[[#This Row],[Cuenta]],1))</f>
        <v>0</v>
      </c>
      <c r="X464" t="b">
        <f>+ISNUMBER(SEARCH('F-COMPRA'!#REF!,Tabla11[[#This Row],[Cuenta]],1))</f>
        <v>0</v>
      </c>
      <c r="Y464" t="b">
        <f>+ISNUMBER(SEARCH('F-COMPRA'!#REF!,Tabla11[[#This Row],[Cuenta]],1))</f>
        <v>0</v>
      </c>
      <c r="Z464" t="b">
        <f>+ISNUMBER(SEARCH('F-COMPRA'!#REF!,Tabla11[[#This Row],[Cuenta]],1))</f>
        <v>0</v>
      </c>
      <c r="AA464" t="b">
        <f>+ISNUMBER(SEARCH('F-COMPRA'!#REF!,Tabla11[[#This Row],[Cuenta]],1))</f>
        <v>0</v>
      </c>
      <c r="AB464" t="b">
        <f>+ISNUMBER(SEARCH('F-COMPRA'!#REF!,Tabla11[[#This Row],[Cuenta]],1))</f>
        <v>0</v>
      </c>
      <c r="AC464" t="b">
        <f>+ISNUMBER(SEARCH('F-COMPRA'!#REF!,Tabla11[[#This Row],[Cuenta]],1))</f>
        <v>0</v>
      </c>
      <c r="AD464" t="b">
        <f>+ISNUMBER(SEARCH('F-COMPRA'!#REF!,Tabla11[[#This Row],[Cuenta]],1))</f>
        <v>0</v>
      </c>
      <c r="AE464" t="b">
        <f>+ISNUMBER(SEARCH('F-COMPRA'!#REF!,Tabla11[[#This Row],[Cuenta]],1))</f>
        <v>0</v>
      </c>
      <c r="AF464" t="b">
        <f>+ISNUMBER(SEARCH('F-VTA'!$G$23,Tabla11[[#This Row],[Cuenta]],1))</f>
        <v>0</v>
      </c>
      <c r="AG464" t="b">
        <f>+ISNUMBER(SEARCH('F-VTA'!$G$24,Tabla11[[#This Row],[Cuenta]],1))</f>
        <v>0</v>
      </c>
      <c r="AH464" t="b">
        <f>+ISNUMBER(SEARCH('F-VTA'!$G$25,Tabla11[[#This Row],[Cuenta]],1))</f>
        <v>0</v>
      </c>
      <c r="AI464" t="b">
        <f>+ISNUMBER(SEARCH('F-VTA'!$F$28,Tabla11[[#This Row],[Cuenta]],1))</f>
        <v>1</v>
      </c>
      <c r="AJ464" t="b">
        <f>+ISNUMBER(SEARCH('F-VTA'!$F$29,Tabla11[[#This Row],[Cuenta]],1))</f>
        <v>1</v>
      </c>
      <c r="AK464" t="b">
        <f>+ISNUMBER(SEARCH('F-VTA'!$F$30,Tabla11[[#This Row],[Cuenta]],1))</f>
        <v>1</v>
      </c>
      <c r="AL464" t="b">
        <f>+ISNUMBER(SEARCH('F-VTA'!$F$31,Tabla11[[#This Row],[Cuenta]],1))</f>
        <v>1</v>
      </c>
      <c r="AM464" t="b">
        <f>+ISNUMBER(SEARCH('F-VTA'!$F$32,Tabla11[[#This Row],[Cuenta]],1))</f>
        <v>1</v>
      </c>
      <c r="AN464" t="b">
        <f>+ISNUMBER(SEARCH('F-VTA'!$F$33,Tabla11[[#This Row],[Cuenta]],1))</f>
        <v>1</v>
      </c>
      <c r="AO464" t="b">
        <f>+ISNUMBER(SEARCH('F-VTA'!$F$34,Tabla11[[#This Row],[Cuenta]],1))</f>
        <v>1</v>
      </c>
      <c r="AP464" t="b">
        <f>+ISNUMBER(SEARCH('F-VTA'!$F$35,Tabla11[[#This Row],[Cuenta]],1))</f>
        <v>1</v>
      </c>
      <c r="AQ464" t="b">
        <f>+ISNUMBER(SEARCH('F-VTA'!$F$36,Tabla11[[#This Row],[Cuenta]],1))</f>
        <v>1</v>
      </c>
      <c r="AR464" t="b">
        <f>+ISNUMBER(SEARCH(#REF!,Tabla11[[#This Row],[Cuenta]],1))</f>
        <v>0</v>
      </c>
      <c r="AS464" t="b">
        <f>+ISNUMBER(SEARCH(#REF!,Tabla11[[#This Row],[Cuenta]],1))</f>
        <v>0</v>
      </c>
      <c r="AT464" t="b">
        <f>+ISNUMBER(SEARCH(#REF!,Tabla11[[#This Row],[Cuenta]],1))</f>
        <v>0</v>
      </c>
      <c r="AU464" t="b">
        <f>+ISNUMBER(SEARCH('Conc. Ban.1'!$I$9,Tabla11[[#This Row],[Cuenta]],1))</f>
        <v>0</v>
      </c>
      <c r="AV464" t="b">
        <f>+ISNUMBER(SEARCH(CompConta!$F$21,Tabla11[[#This Row],[Cuenta]],1))</f>
        <v>1</v>
      </c>
      <c r="AW464" t="b">
        <f>+ISNUMBER(SEARCH(CompConta!$F$22,Tabla11[[#This Row],[Cuenta]],1))</f>
        <v>1</v>
      </c>
      <c r="AX464" t="b">
        <f>+ISNUMBER(SEARCH(CompConta!$F$23,Tabla11[[#This Row],[Cuenta]],1))</f>
        <v>1</v>
      </c>
      <c r="AY464" t="b">
        <f>+ISNUMBER(SEARCH(CompConta!$F$24,Tabla11[[#This Row],[Cuenta]],1))</f>
        <v>1</v>
      </c>
      <c r="AZ464" t="b">
        <f>+ISNUMBER(SEARCH(CompConta!$F$25,Tabla11[[#This Row],[Cuenta]],1))</f>
        <v>1</v>
      </c>
      <c r="BA464" t="b">
        <f>+ISNUMBER(SEARCH(CompConta!$F$26,Tabla11[[#This Row],[Cuenta]],1))</f>
        <v>1</v>
      </c>
      <c r="BB464" t="b">
        <f>+ISNUMBER(SEARCH(CompConta!$F$27,Tabla11[[#This Row],[Cuenta]],1))</f>
        <v>1</v>
      </c>
      <c r="BC464" t="b">
        <f>+ISNUMBER(SEARCH(CompConta!$F$28,Tabla11[[#This Row],[Cuenta]],1))</f>
        <v>1</v>
      </c>
      <c r="BD464" t="b">
        <f>+ISNUMBER(SEARCH(CompConta!$F$29,Tabla11[[#This Row],[Cuenta]],1))</f>
        <v>1</v>
      </c>
      <c r="BE464" t="b">
        <f>+ISNUMBER(SEARCH(CompConta!$F$30,Tabla11[[#This Row],[Cuenta]],1))</f>
        <v>1</v>
      </c>
      <c r="BF464" t="b">
        <f>+ISNUMBER(SEARCH('PAGO Compras'!$E$11,Tabla11[[#This Row],[Cuenta]],1))</f>
        <v>1</v>
      </c>
      <c r="BG464" t="b">
        <f>+ISNUMBER(SEARCH(#REF!,Tabla11[[#This Row],[Cuenta]],1))</f>
        <v>0</v>
      </c>
      <c r="BH464" t="b">
        <f>+ISNUMBER(SEARCH(#REF!,Tabla11[[#This Row],[Cuenta]],1))</f>
        <v>0</v>
      </c>
      <c r="BI464" t="b">
        <f>+ISNUMBER(SEARCH(#REF!,Tabla11[[#This Row],[Cuenta]],1))</f>
        <v>0</v>
      </c>
      <c r="BJ464" t="b">
        <f>+ISNUMBER(SEARCH(#REF!,Tabla11[[#This Row],[Cuenta]],1))</f>
        <v>0</v>
      </c>
      <c r="BS464" t="str">
        <v>240405 Vigencia fiscal corriente</v>
      </c>
      <c r="BT464" t="str">
        <v>240405 Vigencia fiscal corriente</v>
      </c>
      <c r="BU464" t="str">
        <v>240405 Vigencia fiscal corriente</v>
      </c>
      <c r="BV464" t="str">
        <v>240405 Vigencia fiscal corriente</v>
      </c>
      <c r="BZ464" t="str">
        <v>240405 Vigencia fiscal corriente</v>
      </c>
      <c r="CA464" t="str">
        <v>240405 Vigencia fiscal corriente</v>
      </c>
      <c r="CB464" t="str">
        <v>240405 Vigencia fiscal corriente</v>
      </c>
      <c r="CC464" t="str">
        <v>240405 Vigencia fiscal corriente</v>
      </c>
      <c r="CD464" t="str">
        <v>240405 Vigencia fiscal corriente</v>
      </c>
      <c r="CE464" t="str">
        <v>240405 Vigencia fiscal corriente</v>
      </c>
      <c r="CS464" s="141" t="str">
        <v>240405 Vigencia fiscal corriente</v>
      </c>
      <c r="CT464" s="141" t="str">
        <v>240405 Vigencia fiscal corriente</v>
      </c>
      <c r="CU464" s="141" t="str">
        <v>240405 Vigencia fiscal corriente</v>
      </c>
      <c r="CV464" s="141" t="str">
        <v>240405 Vigencia fiscal corriente</v>
      </c>
      <c r="CW464" s="141" t="str">
        <v>240405 Vigencia fiscal corriente</v>
      </c>
      <c r="CX464" s="141" t="str">
        <v>240405 Vigencia fiscal corriente</v>
      </c>
      <c r="CY464" s="141" t="str">
        <v>240405 Vigencia fiscal corriente</v>
      </c>
      <c r="CZ464" s="141" t="str">
        <v>240405 Vigencia fiscal corriente</v>
      </c>
      <c r="DA464" s="141" t="str">
        <v>240405 Vigencia fiscal corriente</v>
      </c>
      <c r="DF464" t="str">
        <v>240405 Vigencia fiscal corriente</v>
      </c>
      <c r="DG464" t="str">
        <v>240405 Vigencia fiscal corriente</v>
      </c>
      <c r="DH464" t="str">
        <v>240405 Vigencia fiscal corriente</v>
      </c>
      <c r="DI464" t="str">
        <v>240405 Vigencia fiscal corriente</v>
      </c>
      <c r="DJ464" t="str">
        <v>240405 Vigencia fiscal corriente</v>
      </c>
      <c r="DK464" t="str">
        <v>240405 Vigencia fiscal corriente</v>
      </c>
      <c r="DL464" t="str">
        <v>240405 Vigencia fiscal corriente</v>
      </c>
      <c r="DM464" t="str">
        <v>240405 Vigencia fiscal corriente</v>
      </c>
      <c r="DN464" t="str">
        <v>240405 Vigencia fiscal corriente</v>
      </c>
      <c r="DO464" t="str">
        <v>240405 Vigencia fiscal corriente</v>
      </c>
      <c r="DP464" t="str">
        <v>240405 Vigencia fiscal corriente</v>
      </c>
    </row>
    <row r="465" spans="4:120" ht="12.75">
      <c r="D465" s="7">
        <v>240410</v>
      </c>
      <c r="E465" s="6" t="s">
        <v>354</v>
      </c>
      <c r="F465" s="5">
        <v>4</v>
      </c>
      <c r="G465" s="34" t="s">
        <v>823</v>
      </c>
      <c r="H465" s="26" t="s">
        <v>765</v>
      </c>
      <c r="I465" t="b">
        <f>+ISNUMBER(SEARCH('F-COMPRA'!$F$28,Tabla11[[#This Row],[Cuenta]],1))</f>
        <v>1</v>
      </c>
      <c r="J465" t="b">
        <f>+ISNUMBER(SEARCH('F-COMPRA'!$F$29,Tabla11[[#This Row],[Cuenta]],1))</f>
        <v>1</v>
      </c>
      <c r="K465" t="b">
        <f>+ISNUMBER(SEARCH('F-COMPRA'!$F$30,Tabla11[[#This Row],[Cuenta]],1))</f>
        <v>1</v>
      </c>
      <c r="L465" t="b">
        <f>+ISNUMBER(SEARCH('F-COMPRA'!$F$31,Tabla11[[#This Row],[Cuenta]],1))</f>
        <v>1</v>
      </c>
      <c r="M465" t="b">
        <f>+ISNUMBER(SEARCH('F-COMPRA'!$G$25,Tabla11[[#This Row],[Cuenta]],1))</f>
        <v>0</v>
      </c>
      <c r="N465" t="b">
        <f>+ISNUMBER(SEARCH(#REF!,Tabla11[[#This Row],[Cuenta]],1))</f>
        <v>0</v>
      </c>
      <c r="O465" t="b">
        <f>+ISNUMBER(SEARCH(#REF!,Tabla11[[#This Row],[Cuenta]],1))</f>
        <v>0</v>
      </c>
      <c r="P465" t="b">
        <f>+ISNUMBER(SEARCH('F-COMPRA'!$F$32,Tabla11[[#This Row],[Cuenta]],1))</f>
        <v>1</v>
      </c>
      <c r="Q465" t="b">
        <f>+ISNUMBER(SEARCH('F-COMPRA'!$F$33,Tabla11[[#This Row],[Cuenta]],1))</f>
        <v>1</v>
      </c>
      <c r="R465" t="b">
        <f>+ISNUMBER(SEARCH('F-COMPRA'!$F$34,Tabla11[[#This Row],[Cuenta]],1))</f>
        <v>1</v>
      </c>
      <c r="S465" t="b">
        <f>+ISNUMBER(SEARCH('F-COMPRA'!$F$35,Tabla11[[#This Row],[Cuenta]],1))</f>
        <v>1</v>
      </c>
      <c r="T465" t="b">
        <f>+ISNUMBER(SEARCH('F-COMPRA'!$F$36,Tabla11[[#This Row],[Cuenta]],1))</f>
        <v>1</v>
      </c>
      <c r="U465" t="b">
        <f>+ISNUMBER(SEARCH('F-COMPRA'!$F$37,Tabla11[[#This Row],[Cuenta]],1))</f>
        <v>1</v>
      </c>
      <c r="V465" t="b">
        <f>+ISNUMBER(SEARCH(#REF!,Tabla11[[#This Row],[Cuenta]],1))</f>
        <v>0</v>
      </c>
      <c r="W465" t="b">
        <f>+ISNUMBER(SEARCH('F-COMPRA'!#REF!,Tabla11[[#This Row],[Cuenta]],1))</f>
        <v>0</v>
      </c>
      <c r="X465" t="b">
        <f>+ISNUMBER(SEARCH('F-COMPRA'!#REF!,Tabla11[[#This Row],[Cuenta]],1))</f>
        <v>0</v>
      </c>
      <c r="Y465" t="b">
        <f>+ISNUMBER(SEARCH('F-COMPRA'!#REF!,Tabla11[[#This Row],[Cuenta]],1))</f>
        <v>0</v>
      </c>
      <c r="Z465" t="b">
        <f>+ISNUMBER(SEARCH('F-COMPRA'!#REF!,Tabla11[[#This Row],[Cuenta]],1))</f>
        <v>0</v>
      </c>
      <c r="AA465" t="b">
        <f>+ISNUMBER(SEARCH('F-COMPRA'!#REF!,Tabla11[[#This Row],[Cuenta]],1))</f>
        <v>0</v>
      </c>
      <c r="AB465" t="b">
        <f>+ISNUMBER(SEARCH('F-COMPRA'!#REF!,Tabla11[[#This Row],[Cuenta]],1))</f>
        <v>0</v>
      </c>
      <c r="AC465" t="b">
        <f>+ISNUMBER(SEARCH('F-COMPRA'!#REF!,Tabla11[[#This Row],[Cuenta]],1))</f>
        <v>0</v>
      </c>
      <c r="AD465" t="b">
        <f>+ISNUMBER(SEARCH('F-COMPRA'!#REF!,Tabla11[[#This Row],[Cuenta]],1))</f>
        <v>0</v>
      </c>
      <c r="AE465" t="b">
        <f>+ISNUMBER(SEARCH('F-COMPRA'!#REF!,Tabla11[[#This Row],[Cuenta]],1))</f>
        <v>0</v>
      </c>
      <c r="AF465" t="b">
        <f>+ISNUMBER(SEARCH('F-VTA'!$G$23,Tabla11[[#This Row],[Cuenta]],1))</f>
        <v>0</v>
      </c>
      <c r="AG465" t="b">
        <f>+ISNUMBER(SEARCH('F-VTA'!$G$24,Tabla11[[#This Row],[Cuenta]],1))</f>
        <v>0</v>
      </c>
      <c r="AH465" t="b">
        <f>+ISNUMBER(SEARCH('F-VTA'!$G$25,Tabla11[[#This Row],[Cuenta]],1))</f>
        <v>0</v>
      </c>
      <c r="AI465" t="b">
        <f>+ISNUMBER(SEARCH('F-VTA'!$F$28,Tabla11[[#This Row],[Cuenta]],1))</f>
        <v>1</v>
      </c>
      <c r="AJ465" t="b">
        <f>+ISNUMBER(SEARCH('F-VTA'!$F$29,Tabla11[[#This Row],[Cuenta]],1))</f>
        <v>1</v>
      </c>
      <c r="AK465" t="b">
        <f>+ISNUMBER(SEARCH('F-VTA'!$F$30,Tabla11[[#This Row],[Cuenta]],1))</f>
        <v>1</v>
      </c>
      <c r="AL465" t="b">
        <f>+ISNUMBER(SEARCH('F-VTA'!$F$31,Tabla11[[#This Row],[Cuenta]],1))</f>
        <v>1</v>
      </c>
      <c r="AM465" t="b">
        <f>+ISNUMBER(SEARCH('F-VTA'!$F$32,Tabla11[[#This Row],[Cuenta]],1))</f>
        <v>1</v>
      </c>
      <c r="AN465" t="b">
        <f>+ISNUMBER(SEARCH('F-VTA'!$F$33,Tabla11[[#This Row],[Cuenta]],1))</f>
        <v>1</v>
      </c>
      <c r="AO465" t="b">
        <f>+ISNUMBER(SEARCH('F-VTA'!$F$34,Tabla11[[#This Row],[Cuenta]],1))</f>
        <v>1</v>
      </c>
      <c r="AP465" t="b">
        <f>+ISNUMBER(SEARCH('F-VTA'!$F$35,Tabla11[[#This Row],[Cuenta]],1))</f>
        <v>1</v>
      </c>
      <c r="AQ465" t="b">
        <f>+ISNUMBER(SEARCH('F-VTA'!$F$36,Tabla11[[#This Row],[Cuenta]],1))</f>
        <v>1</v>
      </c>
      <c r="AR465" t="b">
        <f>+ISNUMBER(SEARCH(#REF!,Tabla11[[#This Row],[Cuenta]],1))</f>
        <v>0</v>
      </c>
      <c r="AS465" t="b">
        <f>+ISNUMBER(SEARCH(#REF!,Tabla11[[#This Row],[Cuenta]],1))</f>
        <v>0</v>
      </c>
      <c r="AT465" t="b">
        <f>+ISNUMBER(SEARCH(#REF!,Tabla11[[#This Row],[Cuenta]],1))</f>
        <v>0</v>
      </c>
      <c r="AU465" t="b">
        <f>+ISNUMBER(SEARCH('Conc. Ban.1'!$I$9,Tabla11[[#This Row],[Cuenta]],1))</f>
        <v>0</v>
      </c>
      <c r="AV465" t="b">
        <f>+ISNUMBER(SEARCH(CompConta!$F$21,Tabla11[[#This Row],[Cuenta]],1))</f>
        <v>1</v>
      </c>
      <c r="AW465" t="b">
        <f>+ISNUMBER(SEARCH(CompConta!$F$22,Tabla11[[#This Row],[Cuenta]],1))</f>
        <v>1</v>
      </c>
      <c r="AX465" t="b">
        <f>+ISNUMBER(SEARCH(CompConta!$F$23,Tabla11[[#This Row],[Cuenta]],1))</f>
        <v>1</v>
      </c>
      <c r="AY465" t="b">
        <f>+ISNUMBER(SEARCH(CompConta!$F$24,Tabla11[[#This Row],[Cuenta]],1))</f>
        <v>1</v>
      </c>
      <c r="AZ465" t="b">
        <f>+ISNUMBER(SEARCH(CompConta!$F$25,Tabla11[[#This Row],[Cuenta]],1))</f>
        <v>1</v>
      </c>
      <c r="BA465" t="b">
        <f>+ISNUMBER(SEARCH(CompConta!$F$26,Tabla11[[#This Row],[Cuenta]],1))</f>
        <v>1</v>
      </c>
      <c r="BB465" t="b">
        <f>+ISNUMBER(SEARCH(CompConta!$F$27,Tabla11[[#This Row],[Cuenta]],1))</f>
        <v>1</v>
      </c>
      <c r="BC465" t="b">
        <f>+ISNUMBER(SEARCH(CompConta!$F$28,Tabla11[[#This Row],[Cuenta]],1))</f>
        <v>1</v>
      </c>
      <c r="BD465" t="b">
        <f>+ISNUMBER(SEARCH(CompConta!$F$29,Tabla11[[#This Row],[Cuenta]],1))</f>
        <v>1</v>
      </c>
      <c r="BE465" t="b">
        <f>+ISNUMBER(SEARCH(CompConta!$F$30,Tabla11[[#This Row],[Cuenta]],1))</f>
        <v>1</v>
      </c>
      <c r="BF465" t="b">
        <f>+ISNUMBER(SEARCH('PAGO Compras'!$E$11,Tabla11[[#This Row],[Cuenta]],1))</f>
        <v>1</v>
      </c>
      <c r="BG465" t="b">
        <f>+ISNUMBER(SEARCH(#REF!,Tabla11[[#This Row],[Cuenta]],1))</f>
        <v>0</v>
      </c>
      <c r="BH465" t="b">
        <f>+ISNUMBER(SEARCH(#REF!,Tabla11[[#This Row],[Cuenta]],1))</f>
        <v>0</v>
      </c>
      <c r="BI465" t="b">
        <f>+ISNUMBER(SEARCH(#REF!,Tabla11[[#This Row],[Cuenta]],1))</f>
        <v>0</v>
      </c>
      <c r="BJ465" t="b">
        <f>+ISNUMBER(SEARCH(#REF!,Tabla11[[#This Row],[Cuenta]],1))</f>
        <v>0</v>
      </c>
      <c r="BS465" t="str">
        <v>240410 Vigencias fiscales anteriores</v>
      </c>
      <c r="BT465" t="str">
        <v>240410 Vigencias fiscales anteriores</v>
      </c>
      <c r="BU465" t="str">
        <v>240410 Vigencias fiscales anteriores</v>
      </c>
      <c r="BV465" t="str">
        <v>240410 Vigencias fiscales anteriores</v>
      </c>
      <c r="BZ465" t="str">
        <v>240410 Vigencias fiscales anteriores</v>
      </c>
      <c r="CA465" t="str">
        <v>240410 Vigencias fiscales anteriores</v>
      </c>
      <c r="CB465" t="str">
        <v>240410 Vigencias fiscales anteriores</v>
      </c>
      <c r="CC465" t="str">
        <v>240410 Vigencias fiscales anteriores</v>
      </c>
      <c r="CD465" t="str">
        <v>240410 Vigencias fiscales anteriores</v>
      </c>
      <c r="CE465" t="str">
        <v>240410 Vigencias fiscales anteriores</v>
      </c>
      <c r="CS465" s="141" t="str">
        <v>240410 Vigencias fiscales anteriores</v>
      </c>
      <c r="CT465" s="141" t="str">
        <v>240410 Vigencias fiscales anteriores</v>
      </c>
      <c r="CU465" s="141" t="str">
        <v>240410 Vigencias fiscales anteriores</v>
      </c>
      <c r="CV465" s="141" t="str">
        <v>240410 Vigencias fiscales anteriores</v>
      </c>
      <c r="CW465" s="141" t="str">
        <v>240410 Vigencias fiscales anteriores</v>
      </c>
      <c r="CX465" s="141" t="str">
        <v>240410 Vigencias fiscales anteriores</v>
      </c>
      <c r="CY465" s="141" t="str">
        <v>240410 Vigencias fiscales anteriores</v>
      </c>
      <c r="CZ465" s="141" t="str">
        <v>240410 Vigencias fiscales anteriores</v>
      </c>
      <c r="DA465" s="141" t="str">
        <v>240410 Vigencias fiscales anteriores</v>
      </c>
      <c r="DF465" t="str">
        <v>240410 Vigencias fiscales anteriores</v>
      </c>
      <c r="DG465" t="str">
        <v>240410 Vigencias fiscales anteriores</v>
      </c>
      <c r="DH465" t="str">
        <v>240410 Vigencias fiscales anteriores</v>
      </c>
      <c r="DI465" t="str">
        <v>240410 Vigencias fiscales anteriores</v>
      </c>
      <c r="DJ465" t="str">
        <v>240410 Vigencias fiscales anteriores</v>
      </c>
      <c r="DK465" t="str">
        <v>240410 Vigencias fiscales anteriores</v>
      </c>
      <c r="DL465" t="str">
        <v>240410 Vigencias fiscales anteriores</v>
      </c>
      <c r="DM465" t="str">
        <v>240410 Vigencias fiscales anteriores</v>
      </c>
      <c r="DN465" t="str">
        <v>240410 Vigencias fiscales anteriores</v>
      </c>
      <c r="DO465" t="str">
        <v>240410 Vigencias fiscales anteriores</v>
      </c>
      <c r="DP465" t="str">
        <v>240410 Vigencias fiscales anteriores</v>
      </c>
    </row>
    <row r="466" spans="4:120" ht="12.75">
      <c r="D466" s="7">
        <v>2408</v>
      </c>
      <c r="E466" s="6" t="s">
        <v>355</v>
      </c>
      <c r="F466" s="5">
        <v>3</v>
      </c>
      <c r="G466" s="34" t="s">
        <v>823</v>
      </c>
      <c r="H466" s="26" t="s">
        <v>765</v>
      </c>
      <c r="I466" t="b">
        <f>+ISNUMBER(SEARCH('F-COMPRA'!$F$28,Tabla11[[#This Row],[Cuenta]],1))</f>
        <v>1</v>
      </c>
      <c r="J466" t="b">
        <f>+ISNUMBER(SEARCH('F-COMPRA'!$F$29,Tabla11[[#This Row],[Cuenta]],1))</f>
        <v>1</v>
      </c>
      <c r="K466" t="b">
        <f>+ISNUMBER(SEARCH('F-COMPRA'!$F$30,Tabla11[[#This Row],[Cuenta]],1))</f>
        <v>1</v>
      </c>
      <c r="L466" t="b">
        <f>+ISNUMBER(SEARCH('F-COMPRA'!$F$31,Tabla11[[#This Row],[Cuenta]],1))</f>
        <v>1</v>
      </c>
      <c r="M466" t="b">
        <f>+ISNUMBER(SEARCH('F-COMPRA'!$G$25,Tabla11[[#This Row],[Cuenta]],1))</f>
        <v>0</v>
      </c>
      <c r="N466" t="b">
        <f>+ISNUMBER(SEARCH(#REF!,Tabla11[[#This Row],[Cuenta]],1))</f>
        <v>0</v>
      </c>
      <c r="O466" t="b">
        <f>+ISNUMBER(SEARCH(#REF!,Tabla11[[#This Row],[Cuenta]],1))</f>
        <v>0</v>
      </c>
      <c r="P466" t="b">
        <f>+ISNUMBER(SEARCH('F-COMPRA'!$F$32,Tabla11[[#This Row],[Cuenta]],1))</f>
        <v>1</v>
      </c>
      <c r="Q466" t="b">
        <f>+ISNUMBER(SEARCH('F-COMPRA'!$F$33,Tabla11[[#This Row],[Cuenta]],1))</f>
        <v>1</v>
      </c>
      <c r="R466" t="b">
        <f>+ISNUMBER(SEARCH('F-COMPRA'!$F$34,Tabla11[[#This Row],[Cuenta]],1))</f>
        <v>1</v>
      </c>
      <c r="S466" t="b">
        <f>+ISNUMBER(SEARCH('F-COMPRA'!$F$35,Tabla11[[#This Row],[Cuenta]],1))</f>
        <v>1</v>
      </c>
      <c r="T466" t="b">
        <f>+ISNUMBER(SEARCH('F-COMPRA'!$F$36,Tabla11[[#This Row],[Cuenta]],1))</f>
        <v>1</v>
      </c>
      <c r="U466" t="b">
        <f>+ISNUMBER(SEARCH('F-COMPRA'!$F$37,Tabla11[[#This Row],[Cuenta]],1))</f>
        <v>1</v>
      </c>
      <c r="V466" t="b">
        <f>+ISNUMBER(SEARCH(#REF!,Tabla11[[#This Row],[Cuenta]],1))</f>
        <v>0</v>
      </c>
      <c r="W466" t="b">
        <f>+ISNUMBER(SEARCH('F-COMPRA'!#REF!,Tabla11[[#This Row],[Cuenta]],1))</f>
        <v>0</v>
      </c>
      <c r="X466" t="b">
        <f>+ISNUMBER(SEARCH('F-COMPRA'!#REF!,Tabla11[[#This Row],[Cuenta]],1))</f>
        <v>0</v>
      </c>
      <c r="Y466" t="b">
        <f>+ISNUMBER(SEARCH('F-COMPRA'!#REF!,Tabla11[[#This Row],[Cuenta]],1))</f>
        <v>0</v>
      </c>
      <c r="Z466" t="b">
        <f>+ISNUMBER(SEARCH('F-COMPRA'!#REF!,Tabla11[[#This Row],[Cuenta]],1))</f>
        <v>0</v>
      </c>
      <c r="AA466" t="b">
        <f>+ISNUMBER(SEARCH('F-COMPRA'!#REF!,Tabla11[[#This Row],[Cuenta]],1))</f>
        <v>0</v>
      </c>
      <c r="AB466" t="b">
        <f>+ISNUMBER(SEARCH('F-COMPRA'!#REF!,Tabla11[[#This Row],[Cuenta]],1))</f>
        <v>0</v>
      </c>
      <c r="AC466" t="b">
        <f>+ISNUMBER(SEARCH('F-COMPRA'!#REF!,Tabla11[[#This Row],[Cuenta]],1))</f>
        <v>0</v>
      </c>
      <c r="AD466" t="b">
        <f>+ISNUMBER(SEARCH('F-COMPRA'!#REF!,Tabla11[[#This Row],[Cuenta]],1))</f>
        <v>0</v>
      </c>
      <c r="AE466" t="b">
        <f>+ISNUMBER(SEARCH('F-COMPRA'!#REF!,Tabla11[[#This Row],[Cuenta]],1))</f>
        <v>0</v>
      </c>
      <c r="AF466" t="b">
        <f>+ISNUMBER(SEARCH('F-VTA'!$G$23,Tabla11[[#This Row],[Cuenta]],1))</f>
        <v>0</v>
      </c>
      <c r="AG466" t="b">
        <f>+ISNUMBER(SEARCH('F-VTA'!$G$24,Tabla11[[#This Row],[Cuenta]],1))</f>
        <v>0</v>
      </c>
      <c r="AH466" t="b">
        <f>+ISNUMBER(SEARCH('F-VTA'!$G$25,Tabla11[[#This Row],[Cuenta]],1))</f>
        <v>0</v>
      </c>
      <c r="AI466" t="b">
        <f>+ISNUMBER(SEARCH('F-VTA'!$F$28,Tabla11[[#This Row],[Cuenta]],1))</f>
        <v>1</v>
      </c>
      <c r="AJ466" t="b">
        <f>+ISNUMBER(SEARCH('F-VTA'!$F$29,Tabla11[[#This Row],[Cuenta]],1))</f>
        <v>1</v>
      </c>
      <c r="AK466" t="b">
        <f>+ISNUMBER(SEARCH('F-VTA'!$F$30,Tabla11[[#This Row],[Cuenta]],1))</f>
        <v>1</v>
      </c>
      <c r="AL466" t="b">
        <f>+ISNUMBER(SEARCH('F-VTA'!$F$31,Tabla11[[#This Row],[Cuenta]],1))</f>
        <v>1</v>
      </c>
      <c r="AM466" t="b">
        <f>+ISNUMBER(SEARCH('F-VTA'!$F$32,Tabla11[[#This Row],[Cuenta]],1))</f>
        <v>1</v>
      </c>
      <c r="AN466" t="b">
        <f>+ISNUMBER(SEARCH('F-VTA'!$F$33,Tabla11[[#This Row],[Cuenta]],1))</f>
        <v>1</v>
      </c>
      <c r="AO466" t="b">
        <f>+ISNUMBER(SEARCH('F-VTA'!$F$34,Tabla11[[#This Row],[Cuenta]],1))</f>
        <v>1</v>
      </c>
      <c r="AP466" t="b">
        <f>+ISNUMBER(SEARCH('F-VTA'!$F$35,Tabla11[[#This Row],[Cuenta]],1))</f>
        <v>1</v>
      </c>
      <c r="AQ466" t="b">
        <f>+ISNUMBER(SEARCH('F-VTA'!$F$36,Tabla11[[#This Row],[Cuenta]],1))</f>
        <v>1</v>
      </c>
      <c r="AR466" t="b">
        <f>+ISNUMBER(SEARCH(#REF!,Tabla11[[#This Row],[Cuenta]],1))</f>
        <v>0</v>
      </c>
      <c r="AS466" t="b">
        <f>+ISNUMBER(SEARCH(#REF!,Tabla11[[#This Row],[Cuenta]],1))</f>
        <v>0</v>
      </c>
      <c r="AT466" t="b">
        <f>+ISNUMBER(SEARCH(#REF!,Tabla11[[#This Row],[Cuenta]],1))</f>
        <v>0</v>
      </c>
      <c r="AU466" t="b">
        <f>+ISNUMBER(SEARCH('Conc. Ban.1'!$I$9,Tabla11[[#This Row],[Cuenta]],1))</f>
        <v>0</v>
      </c>
      <c r="AV466" t="b">
        <f>+ISNUMBER(SEARCH(CompConta!$F$21,Tabla11[[#This Row],[Cuenta]],1))</f>
        <v>1</v>
      </c>
      <c r="AW466" t="b">
        <f>+ISNUMBER(SEARCH(CompConta!$F$22,Tabla11[[#This Row],[Cuenta]],1))</f>
        <v>1</v>
      </c>
      <c r="AX466" t="b">
        <f>+ISNUMBER(SEARCH(CompConta!$F$23,Tabla11[[#This Row],[Cuenta]],1))</f>
        <v>1</v>
      </c>
      <c r="AY466" t="b">
        <f>+ISNUMBER(SEARCH(CompConta!$F$24,Tabla11[[#This Row],[Cuenta]],1))</f>
        <v>1</v>
      </c>
      <c r="AZ466" t="b">
        <f>+ISNUMBER(SEARCH(CompConta!$F$25,Tabla11[[#This Row],[Cuenta]],1))</f>
        <v>1</v>
      </c>
      <c r="BA466" t="b">
        <f>+ISNUMBER(SEARCH(CompConta!$F$26,Tabla11[[#This Row],[Cuenta]],1))</f>
        <v>1</v>
      </c>
      <c r="BB466" t="b">
        <f>+ISNUMBER(SEARCH(CompConta!$F$27,Tabla11[[#This Row],[Cuenta]],1))</f>
        <v>1</v>
      </c>
      <c r="BC466" t="b">
        <f>+ISNUMBER(SEARCH(CompConta!$F$28,Tabla11[[#This Row],[Cuenta]],1))</f>
        <v>1</v>
      </c>
      <c r="BD466" t="b">
        <f>+ISNUMBER(SEARCH(CompConta!$F$29,Tabla11[[#This Row],[Cuenta]],1))</f>
        <v>1</v>
      </c>
      <c r="BE466" t="b">
        <f>+ISNUMBER(SEARCH(CompConta!$F$30,Tabla11[[#This Row],[Cuenta]],1))</f>
        <v>1</v>
      </c>
      <c r="BF466" t="b">
        <f>+ISNUMBER(SEARCH('PAGO Compras'!$E$11,Tabla11[[#This Row],[Cuenta]],1))</f>
        <v>1</v>
      </c>
      <c r="BG466" t="b">
        <f>+ISNUMBER(SEARCH(#REF!,Tabla11[[#This Row],[Cuenta]],1))</f>
        <v>0</v>
      </c>
      <c r="BH466" t="b">
        <f>+ISNUMBER(SEARCH(#REF!,Tabla11[[#This Row],[Cuenta]],1))</f>
        <v>0</v>
      </c>
      <c r="BI466" t="b">
        <f>+ISNUMBER(SEARCH(#REF!,Tabla11[[#This Row],[Cuenta]],1))</f>
        <v>0</v>
      </c>
      <c r="BJ466" t="b">
        <f>+ISNUMBER(SEARCH(#REF!,Tabla11[[#This Row],[Cuenta]],1))</f>
        <v>0</v>
      </c>
      <c r="BS466" t="str">
        <v>2408 IMPUESTO SOBRE LAS VENTAS POR PAGAR</v>
      </c>
      <c r="BT466" t="str">
        <v>2408 IMPUESTO SOBRE LAS VENTAS POR PAGAR</v>
      </c>
      <c r="BU466" t="str">
        <v>2408 IMPUESTO SOBRE LAS VENTAS POR PAGAR</v>
      </c>
      <c r="BV466" t="str">
        <v>2408 IMPUESTO SOBRE LAS VENTAS POR PAGAR</v>
      </c>
      <c r="BZ466" t="str">
        <v>2408 IMPUESTO SOBRE LAS VENTAS POR PAGAR</v>
      </c>
      <c r="CA466" t="str">
        <v>2408 IMPUESTO SOBRE LAS VENTAS POR PAGAR</v>
      </c>
      <c r="CB466" t="str">
        <v>2408 IMPUESTO SOBRE LAS VENTAS POR PAGAR</v>
      </c>
      <c r="CC466" t="str">
        <v>2408 IMPUESTO SOBRE LAS VENTAS POR PAGAR</v>
      </c>
      <c r="CD466" t="str">
        <v>2408 IMPUESTO SOBRE LAS VENTAS POR PAGAR</v>
      </c>
      <c r="CE466" t="str">
        <v>2408 IMPUESTO SOBRE LAS VENTAS POR PAGAR</v>
      </c>
      <c r="CS466" s="141" t="str">
        <v>2408 IMPUESTO SOBRE LAS VENTAS POR PAGAR</v>
      </c>
      <c r="CT466" s="141" t="str">
        <v>2408 IMPUESTO SOBRE LAS VENTAS POR PAGAR</v>
      </c>
      <c r="CU466" s="141" t="str">
        <v>2408 IMPUESTO SOBRE LAS VENTAS POR PAGAR</v>
      </c>
      <c r="CV466" s="141" t="str">
        <v>2408 IMPUESTO SOBRE LAS VENTAS POR PAGAR</v>
      </c>
      <c r="CW466" s="141" t="str">
        <v>2408 IMPUESTO SOBRE LAS VENTAS POR PAGAR</v>
      </c>
      <c r="CX466" s="141" t="str">
        <v>2408 IMPUESTO SOBRE LAS VENTAS POR PAGAR</v>
      </c>
      <c r="CY466" s="141" t="str">
        <v>2408 IMPUESTO SOBRE LAS VENTAS POR PAGAR</v>
      </c>
      <c r="CZ466" s="141" t="str">
        <v>2408 IMPUESTO SOBRE LAS VENTAS POR PAGAR</v>
      </c>
      <c r="DA466" s="141" t="str">
        <v>2408 IMPUESTO SOBRE LAS VENTAS POR PAGAR</v>
      </c>
      <c r="DF466" t="str">
        <v>2408 IMPUESTO SOBRE LAS VENTAS POR PAGAR</v>
      </c>
      <c r="DG466" t="str">
        <v>2408 IMPUESTO SOBRE LAS VENTAS POR PAGAR</v>
      </c>
      <c r="DH466" t="str">
        <v>2408 IMPUESTO SOBRE LAS VENTAS POR PAGAR</v>
      </c>
      <c r="DI466" t="str">
        <v>2408 IMPUESTO SOBRE LAS VENTAS POR PAGAR</v>
      </c>
      <c r="DJ466" t="str">
        <v>2408 IMPUESTO SOBRE LAS VENTAS POR PAGAR</v>
      </c>
      <c r="DK466" t="str">
        <v>2408 IMPUESTO SOBRE LAS VENTAS POR PAGAR</v>
      </c>
      <c r="DL466" t="str">
        <v>2408 IMPUESTO SOBRE LAS VENTAS POR PAGAR</v>
      </c>
      <c r="DM466" t="str">
        <v>2408 IMPUESTO SOBRE LAS VENTAS POR PAGAR</v>
      </c>
      <c r="DN466" t="str">
        <v>2408 IMPUESTO SOBRE LAS VENTAS POR PAGAR</v>
      </c>
      <c r="DO466" t="str">
        <v>2408 IMPUESTO SOBRE LAS VENTAS POR PAGAR</v>
      </c>
      <c r="DP466" t="str">
        <v>2408 IMPUESTO SOBRE LAS VENTAS POR PAGAR</v>
      </c>
    </row>
    <row r="467" spans="4:120" ht="12.75">
      <c r="D467" s="7">
        <v>240805</v>
      </c>
      <c r="E467" s="6" t="s">
        <v>355</v>
      </c>
      <c r="F467" s="5">
        <v>4</v>
      </c>
      <c r="G467" s="34" t="s">
        <v>823</v>
      </c>
      <c r="H467" s="26" t="s">
        <v>765</v>
      </c>
      <c r="I467" t="b">
        <f>+ISNUMBER(SEARCH('F-COMPRA'!$F$28,Tabla11[[#This Row],[Cuenta]],1))</f>
        <v>1</v>
      </c>
      <c r="J467" t="b">
        <f>+ISNUMBER(SEARCH('F-COMPRA'!$F$29,Tabla11[[#This Row],[Cuenta]],1))</f>
        <v>1</v>
      </c>
      <c r="K467" t="b">
        <f>+ISNUMBER(SEARCH('F-COMPRA'!$F$30,Tabla11[[#This Row],[Cuenta]],1))</f>
        <v>1</v>
      </c>
      <c r="L467" t="b">
        <f>+ISNUMBER(SEARCH('F-COMPRA'!$F$31,Tabla11[[#This Row],[Cuenta]],1))</f>
        <v>1</v>
      </c>
      <c r="M467" t="b">
        <f>+ISNUMBER(SEARCH('F-COMPRA'!$G$25,Tabla11[[#This Row],[Cuenta]],1))</f>
        <v>0</v>
      </c>
      <c r="N467" t="b">
        <f>+ISNUMBER(SEARCH(#REF!,Tabla11[[#This Row],[Cuenta]],1))</f>
        <v>0</v>
      </c>
      <c r="O467" t="b">
        <f>+ISNUMBER(SEARCH(#REF!,Tabla11[[#This Row],[Cuenta]],1))</f>
        <v>0</v>
      </c>
      <c r="P467" t="b">
        <f>+ISNUMBER(SEARCH('F-COMPRA'!$F$32,Tabla11[[#This Row],[Cuenta]],1))</f>
        <v>1</v>
      </c>
      <c r="Q467" t="b">
        <f>+ISNUMBER(SEARCH('F-COMPRA'!$F$33,Tabla11[[#This Row],[Cuenta]],1))</f>
        <v>1</v>
      </c>
      <c r="R467" t="b">
        <f>+ISNUMBER(SEARCH('F-COMPRA'!$F$34,Tabla11[[#This Row],[Cuenta]],1))</f>
        <v>1</v>
      </c>
      <c r="S467" t="b">
        <f>+ISNUMBER(SEARCH('F-COMPRA'!$F$35,Tabla11[[#This Row],[Cuenta]],1))</f>
        <v>1</v>
      </c>
      <c r="T467" t="b">
        <f>+ISNUMBER(SEARCH('F-COMPRA'!$F$36,Tabla11[[#This Row],[Cuenta]],1))</f>
        <v>1</v>
      </c>
      <c r="U467" t="b">
        <f>+ISNUMBER(SEARCH('F-COMPRA'!$F$37,Tabla11[[#This Row],[Cuenta]],1))</f>
        <v>1</v>
      </c>
      <c r="V467" t="b">
        <f>+ISNUMBER(SEARCH(#REF!,Tabla11[[#This Row],[Cuenta]],1))</f>
        <v>0</v>
      </c>
      <c r="W467" t="b">
        <f>+ISNUMBER(SEARCH('F-COMPRA'!#REF!,Tabla11[[#This Row],[Cuenta]],1))</f>
        <v>0</v>
      </c>
      <c r="X467" t="b">
        <f>+ISNUMBER(SEARCH('F-COMPRA'!#REF!,Tabla11[[#This Row],[Cuenta]],1))</f>
        <v>0</v>
      </c>
      <c r="Y467" t="b">
        <f>+ISNUMBER(SEARCH('F-COMPRA'!#REF!,Tabla11[[#This Row],[Cuenta]],1))</f>
        <v>0</v>
      </c>
      <c r="Z467" t="b">
        <f>+ISNUMBER(SEARCH('F-COMPRA'!#REF!,Tabla11[[#This Row],[Cuenta]],1))</f>
        <v>0</v>
      </c>
      <c r="AA467" t="b">
        <f>+ISNUMBER(SEARCH('F-COMPRA'!#REF!,Tabla11[[#This Row],[Cuenta]],1))</f>
        <v>0</v>
      </c>
      <c r="AB467" t="b">
        <f>+ISNUMBER(SEARCH('F-COMPRA'!#REF!,Tabla11[[#This Row],[Cuenta]],1))</f>
        <v>0</v>
      </c>
      <c r="AC467" t="b">
        <f>+ISNUMBER(SEARCH('F-COMPRA'!#REF!,Tabla11[[#This Row],[Cuenta]],1))</f>
        <v>0</v>
      </c>
      <c r="AD467" t="b">
        <f>+ISNUMBER(SEARCH('F-COMPRA'!#REF!,Tabla11[[#This Row],[Cuenta]],1))</f>
        <v>0</v>
      </c>
      <c r="AE467" t="b">
        <f>+ISNUMBER(SEARCH('F-COMPRA'!#REF!,Tabla11[[#This Row],[Cuenta]],1))</f>
        <v>0</v>
      </c>
      <c r="AF467" t="b">
        <f>+ISNUMBER(SEARCH('F-VTA'!$G$23,Tabla11[[#This Row],[Cuenta]],1))</f>
        <v>0</v>
      </c>
      <c r="AG467" t="b">
        <f>+ISNUMBER(SEARCH('F-VTA'!$G$24,Tabla11[[#This Row],[Cuenta]],1))</f>
        <v>1</v>
      </c>
      <c r="AH467" t="b">
        <f>+ISNUMBER(SEARCH('F-VTA'!$G$25,Tabla11[[#This Row],[Cuenta]],1))</f>
        <v>0</v>
      </c>
      <c r="AI467" t="b">
        <f>+ISNUMBER(SEARCH('F-VTA'!$F$28,Tabla11[[#This Row],[Cuenta]],1))</f>
        <v>1</v>
      </c>
      <c r="AJ467" t="b">
        <f>+ISNUMBER(SEARCH('F-VTA'!$F$29,Tabla11[[#This Row],[Cuenta]],1))</f>
        <v>1</v>
      </c>
      <c r="AK467" t="b">
        <f>+ISNUMBER(SEARCH('F-VTA'!$F$30,Tabla11[[#This Row],[Cuenta]],1))</f>
        <v>1</v>
      </c>
      <c r="AL467" t="b">
        <f>+ISNUMBER(SEARCH('F-VTA'!$F$31,Tabla11[[#This Row],[Cuenta]],1))</f>
        <v>1</v>
      </c>
      <c r="AM467" t="b">
        <f>+ISNUMBER(SEARCH('F-VTA'!$F$32,Tabla11[[#This Row],[Cuenta]],1))</f>
        <v>1</v>
      </c>
      <c r="AN467" t="b">
        <f>+ISNUMBER(SEARCH('F-VTA'!$F$33,Tabla11[[#This Row],[Cuenta]],1))</f>
        <v>1</v>
      </c>
      <c r="AO467" t="b">
        <f>+ISNUMBER(SEARCH('F-VTA'!$F$34,Tabla11[[#This Row],[Cuenta]],1))</f>
        <v>1</v>
      </c>
      <c r="AP467" t="b">
        <f>+ISNUMBER(SEARCH('F-VTA'!$F$35,Tabla11[[#This Row],[Cuenta]],1))</f>
        <v>1</v>
      </c>
      <c r="AQ467" t="b">
        <f>+ISNUMBER(SEARCH('F-VTA'!$F$36,Tabla11[[#This Row],[Cuenta]],1))</f>
        <v>1</v>
      </c>
      <c r="AR467" t="b">
        <f>+ISNUMBER(SEARCH(#REF!,Tabla11[[#This Row],[Cuenta]],1))</f>
        <v>0</v>
      </c>
      <c r="AS467" t="b">
        <f>+ISNUMBER(SEARCH(#REF!,Tabla11[[#This Row],[Cuenta]],1))</f>
        <v>0</v>
      </c>
      <c r="AT467" t="b">
        <f>+ISNUMBER(SEARCH(#REF!,Tabla11[[#This Row],[Cuenta]],1))</f>
        <v>0</v>
      </c>
      <c r="AU467" t="b">
        <f>+ISNUMBER(SEARCH('Conc. Ban.1'!$I$9,Tabla11[[#This Row],[Cuenta]],1))</f>
        <v>0</v>
      </c>
      <c r="AV467" t="b">
        <f>+ISNUMBER(SEARCH(CompConta!$F$21,Tabla11[[#This Row],[Cuenta]],1))</f>
        <v>1</v>
      </c>
      <c r="AW467" t="b">
        <f>+ISNUMBER(SEARCH(CompConta!$F$22,Tabla11[[#This Row],[Cuenta]],1))</f>
        <v>1</v>
      </c>
      <c r="AX467" t="b">
        <f>+ISNUMBER(SEARCH(CompConta!$F$23,Tabla11[[#This Row],[Cuenta]],1))</f>
        <v>1</v>
      </c>
      <c r="AY467" t="b">
        <f>+ISNUMBER(SEARCH(CompConta!$F$24,Tabla11[[#This Row],[Cuenta]],1))</f>
        <v>1</v>
      </c>
      <c r="AZ467" t="b">
        <f>+ISNUMBER(SEARCH(CompConta!$F$25,Tabla11[[#This Row],[Cuenta]],1))</f>
        <v>1</v>
      </c>
      <c r="BA467" t="b">
        <f>+ISNUMBER(SEARCH(CompConta!$F$26,Tabla11[[#This Row],[Cuenta]],1))</f>
        <v>1</v>
      </c>
      <c r="BB467" t="b">
        <f>+ISNUMBER(SEARCH(CompConta!$F$27,Tabla11[[#This Row],[Cuenta]],1))</f>
        <v>1</v>
      </c>
      <c r="BC467" t="b">
        <f>+ISNUMBER(SEARCH(CompConta!$F$28,Tabla11[[#This Row],[Cuenta]],1))</f>
        <v>1</v>
      </c>
      <c r="BD467" t="b">
        <f>+ISNUMBER(SEARCH(CompConta!$F$29,Tabla11[[#This Row],[Cuenta]],1))</f>
        <v>1</v>
      </c>
      <c r="BE467" t="b">
        <f>+ISNUMBER(SEARCH(CompConta!$F$30,Tabla11[[#This Row],[Cuenta]],1))</f>
        <v>1</v>
      </c>
      <c r="BF467" t="b">
        <f>+ISNUMBER(SEARCH('PAGO Compras'!$E$11,Tabla11[[#This Row],[Cuenta]],1))</f>
        <v>1</v>
      </c>
      <c r="BG467" t="b">
        <f>+ISNUMBER(SEARCH(#REF!,Tabla11[[#This Row],[Cuenta]],1))</f>
        <v>0</v>
      </c>
      <c r="BH467" t="b">
        <f>+ISNUMBER(SEARCH(#REF!,Tabla11[[#This Row],[Cuenta]],1))</f>
        <v>0</v>
      </c>
      <c r="BI467" t="b">
        <f>+ISNUMBER(SEARCH(#REF!,Tabla11[[#This Row],[Cuenta]],1))</f>
        <v>0</v>
      </c>
      <c r="BJ467" t="b">
        <f>+ISNUMBER(SEARCH(#REF!,Tabla11[[#This Row],[Cuenta]],1))</f>
        <v>0</v>
      </c>
      <c r="BS467" t="str">
        <v>240805 IMPUESTO SOBRE LAS VENTAS POR PAGAR</v>
      </c>
      <c r="BT467" t="str">
        <v>240805 IMPUESTO SOBRE LAS VENTAS POR PAGAR</v>
      </c>
      <c r="BU467" t="str">
        <v>240805 IMPUESTO SOBRE LAS VENTAS POR PAGAR</v>
      </c>
      <c r="BV467" t="str">
        <v>240805 IMPUESTO SOBRE LAS VENTAS POR PAGAR</v>
      </c>
      <c r="BZ467" t="str">
        <v>240805 IMPUESTO SOBRE LAS VENTAS POR PAGAR</v>
      </c>
      <c r="CA467" t="str">
        <v>240805 IMPUESTO SOBRE LAS VENTAS POR PAGAR</v>
      </c>
      <c r="CB467" t="str">
        <v>240805 IMPUESTO SOBRE LAS VENTAS POR PAGAR</v>
      </c>
      <c r="CC467" t="str">
        <v>240805 IMPUESTO SOBRE LAS VENTAS POR PAGAR</v>
      </c>
      <c r="CD467" t="str">
        <v>240805 IMPUESTO SOBRE LAS VENTAS POR PAGAR</v>
      </c>
      <c r="CE467" t="str">
        <v>240805 IMPUESTO SOBRE LAS VENTAS POR PAGAR</v>
      </c>
      <c r="CS467" s="141" t="str">
        <v>240805 IMPUESTO SOBRE LAS VENTAS POR PAGAR</v>
      </c>
      <c r="CT467" s="141" t="str">
        <v>240805 IMPUESTO SOBRE LAS VENTAS POR PAGAR</v>
      </c>
      <c r="CU467" s="141" t="str">
        <v>240805 IMPUESTO SOBRE LAS VENTAS POR PAGAR</v>
      </c>
      <c r="CV467" s="141" t="str">
        <v>240805 IMPUESTO SOBRE LAS VENTAS POR PAGAR</v>
      </c>
      <c r="CW467" s="141" t="str">
        <v>240805 IMPUESTO SOBRE LAS VENTAS POR PAGAR</v>
      </c>
      <c r="CX467" s="141" t="str">
        <v>240805 IMPUESTO SOBRE LAS VENTAS POR PAGAR</v>
      </c>
      <c r="CY467" s="141" t="str">
        <v>240805 IMPUESTO SOBRE LAS VENTAS POR PAGAR</v>
      </c>
      <c r="CZ467" s="141" t="str">
        <v>240805 IMPUESTO SOBRE LAS VENTAS POR PAGAR</v>
      </c>
      <c r="DA467" s="141" t="str">
        <v>240805 IMPUESTO SOBRE LAS VENTAS POR PAGAR</v>
      </c>
      <c r="DF467" t="str">
        <v>240805 IMPUESTO SOBRE LAS VENTAS POR PAGAR</v>
      </c>
      <c r="DG467" t="str">
        <v>240805 IMPUESTO SOBRE LAS VENTAS POR PAGAR</v>
      </c>
      <c r="DH467" t="str">
        <v>240805 IMPUESTO SOBRE LAS VENTAS POR PAGAR</v>
      </c>
      <c r="DI467" t="str">
        <v>240805 IMPUESTO SOBRE LAS VENTAS POR PAGAR</v>
      </c>
      <c r="DJ467" t="str">
        <v>240805 IMPUESTO SOBRE LAS VENTAS POR PAGAR</v>
      </c>
      <c r="DK467" t="str">
        <v>240805 IMPUESTO SOBRE LAS VENTAS POR PAGAR</v>
      </c>
      <c r="DL467" t="str">
        <v>240805 IMPUESTO SOBRE LAS VENTAS POR PAGAR</v>
      </c>
      <c r="DM467" t="str">
        <v>240805 IMPUESTO SOBRE LAS VENTAS POR PAGAR</v>
      </c>
      <c r="DN467" t="str">
        <v>240805 IMPUESTO SOBRE LAS VENTAS POR PAGAR</v>
      </c>
      <c r="DO467" t="str">
        <v>240805 IMPUESTO SOBRE LAS VENTAS POR PAGAR</v>
      </c>
      <c r="DP467" t="str">
        <v>240805 IMPUESTO SOBRE LAS VENTAS POR PAGAR</v>
      </c>
    </row>
    <row r="468" spans="4:120" ht="12.75">
      <c r="D468" s="7">
        <v>2412</v>
      </c>
      <c r="E468" s="6" t="s">
        <v>356</v>
      </c>
      <c r="F468" s="5">
        <v>3</v>
      </c>
      <c r="G468" s="34" t="s">
        <v>823</v>
      </c>
      <c r="H468" s="26" t="s">
        <v>765</v>
      </c>
      <c r="I468" t="b">
        <f>+ISNUMBER(SEARCH('F-COMPRA'!$F$28,Tabla11[[#This Row],[Cuenta]],1))</f>
        <v>1</v>
      </c>
      <c r="J468" t="b">
        <f>+ISNUMBER(SEARCH('F-COMPRA'!$F$29,Tabla11[[#This Row],[Cuenta]],1))</f>
        <v>1</v>
      </c>
      <c r="K468" t="b">
        <f>+ISNUMBER(SEARCH('F-COMPRA'!$F$30,Tabla11[[#This Row],[Cuenta]],1))</f>
        <v>1</v>
      </c>
      <c r="L468" t="b">
        <f>+ISNUMBER(SEARCH('F-COMPRA'!$F$31,Tabla11[[#This Row],[Cuenta]],1))</f>
        <v>1</v>
      </c>
      <c r="M468" t="b">
        <f>+ISNUMBER(SEARCH('F-COMPRA'!$G$25,Tabla11[[#This Row],[Cuenta]],1))</f>
        <v>0</v>
      </c>
      <c r="N468" t="b">
        <f>+ISNUMBER(SEARCH(#REF!,Tabla11[[#This Row],[Cuenta]],1))</f>
        <v>0</v>
      </c>
      <c r="O468" t="b">
        <f>+ISNUMBER(SEARCH(#REF!,Tabla11[[#This Row],[Cuenta]],1))</f>
        <v>0</v>
      </c>
      <c r="P468" t="b">
        <f>+ISNUMBER(SEARCH('F-COMPRA'!$F$32,Tabla11[[#This Row],[Cuenta]],1))</f>
        <v>1</v>
      </c>
      <c r="Q468" t="b">
        <f>+ISNUMBER(SEARCH('F-COMPRA'!$F$33,Tabla11[[#This Row],[Cuenta]],1))</f>
        <v>1</v>
      </c>
      <c r="R468" t="b">
        <f>+ISNUMBER(SEARCH('F-COMPRA'!$F$34,Tabla11[[#This Row],[Cuenta]],1))</f>
        <v>1</v>
      </c>
      <c r="S468" t="b">
        <f>+ISNUMBER(SEARCH('F-COMPRA'!$F$35,Tabla11[[#This Row],[Cuenta]],1))</f>
        <v>1</v>
      </c>
      <c r="T468" t="b">
        <f>+ISNUMBER(SEARCH('F-COMPRA'!$F$36,Tabla11[[#This Row],[Cuenta]],1))</f>
        <v>1</v>
      </c>
      <c r="U468" t="b">
        <f>+ISNUMBER(SEARCH('F-COMPRA'!$F$37,Tabla11[[#This Row],[Cuenta]],1))</f>
        <v>1</v>
      </c>
      <c r="V468" t="b">
        <f>+ISNUMBER(SEARCH(#REF!,Tabla11[[#This Row],[Cuenta]],1))</f>
        <v>0</v>
      </c>
      <c r="W468" t="b">
        <f>+ISNUMBER(SEARCH('F-COMPRA'!#REF!,Tabla11[[#This Row],[Cuenta]],1))</f>
        <v>0</v>
      </c>
      <c r="X468" t="b">
        <f>+ISNUMBER(SEARCH('F-COMPRA'!#REF!,Tabla11[[#This Row],[Cuenta]],1))</f>
        <v>0</v>
      </c>
      <c r="Y468" t="b">
        <f>+ISNUMBER(SEARCH('F-COMPRA'!#REF!,Tabla11[[#This Row],[Cuenta]],1))</f>
        <v>0</v>
      </c>
      <c r="Z468" t="b">
        <f>+ISNUMBER(SEARCH('F-COMPRA'!#REF!,Tabla11[[#This Row],[Cuenta]],1))</f>
        <v>0</v>
      </c>
      <c r="AA468" t="b">
        <f>+ISNUMBER(SEARCH('F-COMPRA'!#REF!,Tabla11[[#This Row],[Cuenta]],1))</f>
        <v>0</v>
      </c>
      <c r="AB468" t="b">
        <f>+ISNUMBER(SEARCH('F-COMPRA'!#REF!,Tabla11[[#This Row],[Cuenta]],1))</f>
        <v>0</v>
      </c>
      <c r="AC468" t="b">
        <f>+ISNUMBER(SEARCH('F-COMPRA'!#REF!,Tabla11[[#This Row],[Cuenta]],1))</f>
        <v>0</v>
      </c>
      <c r="AD468" t="b">
        <f>+ISNUMBER(SEARCH('F-COMPRA'!#REF!,Tabla11[[#This Row],[Cuenta]],1))</f>
        <v>0</v>
      </c>
      <c r="AE468" t="b">
        <f>+ISNUMBER(SEARCH('F-COMPRA'!#REF!,Tabla11[[#This Row],[Cuenta]],1))</f>
        <v>0</v>
      </c>
      <c r="AF468" t="b">
        <f>+ISNUMBER(SEARCH('F-VTA'!$G$23,Tabla11[[#This Row],[Cuenta]],1))</f>
        <v>0</v>
      </c>
      <c r="AG468" t="b">
        <f>+ISNUMBER(SEARCH('F-VTA'!$G$24,Tabla11[[#This Row],[Cuenta]],1))</f>
        <v>0</v>
      </c>
      <c r="AH468" t="b">
        <f>+ISNUMBER(SEARCH('F-VTA'!$G$25,Tabla11[[#This Row],[Cuenta]],1))</f>
        <v>0</v>
      </c>
      <c r="AI468" t="b">
        <f>+ISNUMBER(SEARCH('F-VTA'!$F$28,Tabla11[[#This Row],[Cuenta]],1))</f>
        <v>1</v>
      </c>
      <c r="AJ468" t="b">
        <f>+ISNUMBER(SEARCH('F-VTA'!$F$29,Tabla11[[#This Row],[Cuenta]],1))</f>
        <v>1</v>
      </c>
      <c r="AK468" t="b">
        <f>+ISNUMBER(SEARCH('F-VTA'!$F$30,Tabla11[[#This Row],[Cuenta]],1))</f>
        <v>1</v>
      </c>
      <c r="AL468" t="b">
        <f>+ISNUMBER(SEARCH('F-VTA'!$F$31,Tabla11[[#This Row],[Cuenta]],1))</f>
        <v>1</v>
      </c>
      <c r="AM468" t="b">
        <f>+ISNUMBER(SEARCH('F-VTA'!$F$32,Tabla11[[#This Row],[Cuenta]],1))</f>
        <v>1</v>
      </c>
      <c r="AN468" t="b">
        <f>+ISNUMBER(SEARCH('F-VTA'!$F$33,Tabla11[[#This Row],[Cuenta]],1))</f>
        <v>1</v>
      </c>
      <c r="AO468" t="b">
        <f>+ISNUMBER(SEARCH('F-VTA'!$F$34,Tabla11[[#This Row],[Cuenta]],1))</f>
        <v>1</v>
      </c>
      <c r="AP468" t="b">
        <f>+ISNUMBER(SEARCH('F-VTA'!$F$35,Tabla11[[#This Row],[Cuenta]],1))</f>
        <v>1</v>
      </c>
      <c r="AQ468" t="b">
        <f>+ISNUMBER(SEARCH('F-VTA'!$F$36,Tabla11[[#This Row],[Cuenta]],1))</f>
        <v>1</v>
      </c>
      <c r="AR468" t="b">
        <f>+ISNUMBER(SEARCH(#REF!,Tabla11[[#This Row],[Cuenta]],1))</f>
        <v>0</v>
      </c>
      <c r="AS468" t="b">
        <f>+ISNUMBER(SEARCH(#REF!,Tabla11[[#This Row],[Cuenta]],1))</f>
        <v>0</v>
      </c>
      <c r="AT468" t="b">
        <f>+ISNUMBER(SEARCH(#REF!,Tabla11[[#This Row],[Cuenta]],1))</f>
        <v>0</v>
      </c>
      <c r="AU468" t="b">
        <f>+ISNUMBER(SEARCH('Conc. Ban.1'!$I$9,Tabla11[[#This Row],[Cuenta]],1))</f>
        <v>0</v>
      </c>
      <c r="AV468" t="b">
        <f>+ISNUMBER(SEARCH(CompConta!$F$21,Tabla11[[#This Row],[Cuenta]],1))</f>
        <v>1</v>
      </c>
      <c r="AW468" t="b">
        <f>+ISNUMBER(SEARCH(CompConta!$F$22,Tabla11[[#This Row],[Cuenta]],1))</f>
        <v>1</v>
      </c>
      <c r="AX468" t="b">
        <f>+ISNUMBER(SEARCH(CompConta!$F$23,Tabla11[[#This Row],[Cuenta]],1))</f>
        <v>1</v>
      </c>
      <c r="AY468" t="b">
        <f>+ISNUMBER(SEARCH(CompConta!$F$24,Tabla11[[#This Row],[Cuenta]],1))</f>
        <v>1</v>
      </c>
      <c r="AZ468" t="b">
        <f>+ISNUMBER(SEARCH(CompConta!$F$25,Tabla11[[#This Row],[Cuenta]],1))</f>
        <v>1</v>
      </c>
      <c r="BA468" t="b">
        <f>+ISNUMBER(SEARCH(CompConta!$F$26,Tabla11[[#This Row],[Cuenta]],1))</f>
        <v>1</v>
      </c>
      <c r="BB468" t="b">
        <f>+ISNUMBER(SEARCH(CompConta!$F$27,Tabla11[[#This Row],[Cuenta]],1))</f>
        <v>1</v>
      </c>
      <c r="BC468" t="b">
        <f>+ISNUMBER(SEARCH(CompConta!$F$28,Tabla11[[#This Row],[Cuenta]],1))</f>
        <v>1</v>
      </c>
      <c r="BD468" t="b">
        <f>+ISNUMBER(SEARCH(CompConta!$F$29,Tabla11[[#This Row],[Cuenta]],1))</f>
        <v>1</v>
      </c>
      <c r="BE468" t="b">
        <f>+ISNUMBER(SEARCH(CompConta!$F$30,Tabla11[[#This Row],[Cuenta]],1))</f>
        <v>1</v>
      </c>
      <c r="BF468" t="b">
        <f>+ISNUMBER(SEARCH('PAGO Compras'!$E$11,Tabla11[[#This Row],[Cuenta]],1))</f>
        <v>1</v>
      </c>
      <c r="BG468" t="b">
        <f>+ISNUMBER(SEARCH(#REF!,Tabla11[[#This Row],[Cuenta]],1))</f>
        <v>0</v>
      </c>
      <c r="BH468" t="b">
        <f>+ISNUMBER(SEARCH(#REF!,Tabla11[[#This Row],[Cuenta]],1))</f>
        <v>0</v>
      </c>
      <c r="BI468" t="b">
        <f>+ISNUMBER(SEARCH(#REF!,Tabla11[[#This Row],[Cuenta]],1))</f>
        <v>0</v>
      </c>
      <c r="BJ468" t="b">
        <f>+ISNUMBER(SEARCH(#REF!,Tabla11[[#This Row],[Cuenta]],1))</f>
        <v>0</v>
      </c>
      <c r="BS468" t="str">
        <v>2412 DE INDUSTRIA Y COMERCIO</v>
      </c>
      <c r="BT468" t="str">
        <v>2412 DE INDUSTRIA Y COMERCIO</v>
      </c>
      <c r="BU468" t="str">
        <v>2412 DE INDUSTRIA Y COMERCIO</v>
      </c>
      <c r="BV468" t="str">
        <v>2412 DE INDUSTRIA Y COMERCIO</v>
      </c>
      <c r="BZ468" t="str">
        <v>2412 DE INDUSTRIA Y COMERCIO</v>
      </c>
      <c r="CA468" t="str">
        <v>2412 DE INDUSTRIA Y COMERCIO</v>
      </c>
      <c r="CB468" t="str">
        <v>2412 DE INDUSTRIA Y COMERCIO</v>
      </c>
      <c r="CC468" t="str">
        <v>2412 DE INDUSTRIA Y COMERCIO</v>
      </c>
      <c r="CD468" t="str">
        <v>2412 DE INDUSTRIA Y COMERCIO</v>
      </c>
      <c r="CE468" t="str">
        <v>2412 DE INDUSTRIA Y COMERCIO</v>
      </c>
      <c r="CS468" s="141" t="str">
        <v>2412 DE INDUSTRIA Y COMERCIO</v>
      </c>
      <c r="CT468" s="141" t="str">
        <v>2412 DE INDUSTRIA Y COMERCIO</v>
      </c>
      <c r="CU468" s="141" t="str">
        <v>2412 DE INDUSTRIA Y COMERCIO</v>
      </c>
      <c r="CV468" s="141" t="str">
        <v>2412 DE INDUSTRIA Y COMERCIO</v>
      </c>
      <c r="CW468" s="141" t="str">
        <v>2412 DE INDUSTRIA Y COMERCIO</v>
      </c>
      <c r="CX468" s="141" t="str">
        <v>2412 DE INDUSTRIA Y COMERCIO</v>
      </c>
      <c r="CY468" s="141" t="str">
        <v>2412 DE INDUSTRIA Y COMERCIO</v>
      </c>
      <c r="CZ468" s="141" t="str">
        <v>2412 DE INDUSTRIA Y COMERCIO</v>
      </c>
      <c r="DA468" s="141" t="str">
        <v>2412 DE INDUSTRIA Y COMERCIO</v>
      </c>
      <c r="DF468" t="str">
        <v>2412 DE INDUSTRIA Y COMERCIO</v>
      </c>
      <c r="DG468" t="str">
        <v>2412 DE INDUSTRIA Y COMERCIO</v>
      </c>
      <c r="DH468" t="str">
        <v>2412 DE INDUSTRIA Y COMERCIO</v>
      </c>
      <c r="DI468" t="str">
        <v>2412 DE INDUSTRIA Y COMERCIO</v>
      </c>
      <c r="DJ468" t="str">
        <v>2412 DE INDUSTRIA Y COMERCIO</v>
      </c>
      <c r="DK468" t="str">
        <v>2412 DE INDUSTRIA Y COMERCIO</v>
      </c>
      <c r="DL468" t="str">
        <v>2412 DE INDUSTRIA Y COMERCIO</v>
      </c>
      <c r="DM468" t="str">
        <v>2412 DE INDUSTRIA Y COMERCIO</v>
      </c>
      <c r="DN468" t="str">
        <v>2412 DE INDUSTRIA Y COMERCIO</v>
      </c>
      <c r="DO468" t="str">
        <v>2412 DE INDUSTRIA Y COMERCIO</v>
      </c>
      <c r="DP468" t="str">
        <v>2412 DE INDUSTRIA Y COMERCIO</v>
      </c>
    </row>
    <row r="469" spans="4:120" ht="12.75">
      <c r="D469" s="7">
        <v>241205</v>
      </c>
      <c r="E469" s="6" t="s">
        <v>353</v>
      </c>
      <c r="F469" s="5">
        <v>4</v>
      </c>
      <c r="G469" s="34" t="s">
        <v>823</v>
      </c>
      <c r="H469" s="26" t="s">
        <v>765</v>
      </c>
      <c r="I469" t="b">
        <f>+ISNUMBER(SEARCH('F-COMPRA'!$F$28,Tabla11[[#This Row],[Cuenta]],1))</f>
        <v>1</v>
      </c>
      <c r="J469" t="b">
        <f>+ISNUMBER(SEARCH('F-COMPRA'!$F$29,Tabla11[[#This Row],[Cuenta]],1))</f>
        <v>1</v>
      </c>
      <c r="K469" t="b">
        <f>+ISNUMBER(SEARCH('F-COMPRA'!$F$30,Tabla11[[#This Row],[Cuenta]],1))</f>
        <v>1</v>
      </c>
      <c r="L469" t="b">
        <f>+ISNUMBER(SEARCH('F-COMPRA'!$F$31,Tabla11[[#This Row],[Cuenta]],1))</f>
        <v>1</v>
      </c>
      <c r="M469" t="b">
        <f>+ISNUMBER(SEARCH('F-COMPRA'!$G$25,Tabla11[[#This Row],[Cuenta]],1))</f>
        <v>0</v>
      </c>
      <c r="N469" t="b">
        <f>+ISNUMBER(SEARCH(#REF!,Tabla11[[#This Row],[Cuenta]],1))</f>
        <v>0</v>
      </c>
      <c r="O469" t="b">
        <f>+ISNUMBER(SEARCH(#REF!,Tabla11[[#This Row],[Cuenta]],1))</f>
        <v>0</v>
      </c>
      <c r="P469" t="b">
        <f>+ISNUMBER(SEARCH('F-COMPRA'!$F$32,Tabla11[[#This Row],[Cuenta]],1))</f>
        <v>1</v>
      </c>
      <c r="Q469" t="b">
        <f>+ISNUMBER(SEARCH('F-COMPRA'!$F$33,Tabla11[[#This Row],[Cuenta]],1))</f>
        <v>1</v>
      </c>
      <c r="R469" t="b">
        <f>+ISNUMBER(SEARCH('F-COMPRA'!$F$34,Tabla11[[#This Row],[Cuenta]],1))</f>
        <v>1</v>
      </c>
      <c r="S469" t="b">
        <f>+ISNUMBER(SEARCH('F-COMPRA'!$F$35,Tabla11[[#This Row],[Cuenta]],1))</f>
        <v>1</v>
      </c>
      <c r="T469" t="b">
        <f>+ISNUMBER(SEARCH('F-COMPRA'!$F$36,Tabla11[[#This Row],[Cuenta]],1))</f>
        <v>1</v>
      </c>
      <c r="U469" t="b">
        <f>+ISNUMBER(SEARCH('F-COMPRA'!$F$37,Tabla11[[#This Row],[Cuenta]],1))</f>
        <v>1</v>
      </c>
      <c r="V469" t="b">
        <f>+ISNUMBER(SEARCH(#REF!,Tabla11[[#This Row],[Cuenta]],1))</f>
        <v>0</v>
      </c>
      <c r="W469" t="b">
        <f>+ISNUMBER(SEARCH('F-COMPRA'!#REF!,Tabla11[[#This Row],[Cuenta]],1))</f>
        <v>0</v>
      </c>
      <c r="X469" t="b">
        <f>+ISNUMBER(SEARCH('F-COMPRA'!#REF!,Tabla11[[#This Row],[Cuenta]],1))</f>
        <v>0</v>
      </c>
      <c r="Y469" t="b">
        <f>+ISNUMBER(SEARCH('F-COMPRA'!#REF!,Tabla11[[#This Row],[Cuenta]],1))</f>
        <v>0</v>
      </c>
      <c r="Z469" t="b">
        <f>+ISNUMBER(SEARCH('F-COMPRA'!#REF!,Tabla11[[#This Row],[Cuenta]],1))</f>
        <v>0</v>
      </c>
      <c r="AA469" t="b">
        <f>+ISNUMBER(SEARCH('F-COMPRA'!#REF!,Tabla11[[#This Row],[Cuenta]],1))</f>
        <v>0</v>
      </c>
      <c r="AB469" t="b">
        <f>+ISNUMBER(SEARCH('F-COMPRA'!#REF!,Tabla11[[#This Row],[Cuenta]],1))</f>
        <v>0</v>
      </c>
      <c r="AC469" t="b">
        <f>+ISNUMBER(SEARCH('F-COMPRA'!#REF!,Tabla11[[#This Row],[Cuenta]],1))</f>
        <v>0</v>
      </c>
      <c r="AD469" t="b">
        <f>+ISNUMBER(SEARCH('F-COMPRA'!#REF!,Tabla11[[#This Row],[Cuenta]],1))</f>
        <v>0</v>
      </c>
      <c r="AE469" t="b">
        <f>+ISNUMBER(SEARCH('F-COMPRA'!#REF!,Tabla11[[#This Row],[Cuenta]],1))</f>
        <v>0</v>
      </c>
      <c r="AF469" t="b">
        <f>+ISNUMBER(SEARCH('F-VTA'!$G$23,Tabla11[[#This Row],[Cuenta]],1))</f>
        <v>0</v>
      </c>
      <c r="AG469" t="b">
        <f>+ISNUMBER(SEARCH('F-VTA'!$G$24,Tabla11[[#This Row],[Cuenta]],1))</f>
        <v>0</v>
      </c>
      <c r="AH469" t="b">
        <f>+ISNUMBER(SEARCH('F-VTA'!$G$25,Tabla11[[#This Row],[Cuenta]],1))</f>
        <v>0</v>
      </c>
      <c r="AI469" t="b">
        <f>+ISNUMBER(SEARCH('F-VTA'!$F$28,Tabla11[[#This Row],[Cuenta]],1))</f>
        <v>1</v>
      </c>
      <c r="AJ469" t="b">
        <f>+ISNUMBER(SEARCH('F-VTA'!$F$29,Tabla11[[#This Row],[Cuenta]],1))</f>
        <v>1</v>
      </c>
      <c r="AK469" t="b">
        <f>+ISNUMBER(SEARCH('F-VTA'!$F$30,Tabla11[[#This Row],[Cuenta]],1))</f>
        <v>1</v>
      </c>
      <c r="AL469" t="b">
        <f>+ISNUMBER(SEARCH('F-VTA'!$F$31,Tabla11[[#This Row],[Cuenta]],1))</f>
        <v>1</v>
      </c>
      <c r="AM469" t="b">
        <f>+ISNUMBER(SEARCH('F-VTA'!$F$32,Tabla11[[#This Row],[Cuenta]],1))</f>
        <v>1</v>
      </c>
      <c r="AN469" t="b">
        <f>+ISNUMBER(SEARCH('F-VTA'!$F$33,Tabla11[[#This Row],[Cuenta]],1))</f>
        <v>1</v>
      </c>
      <c r="AO469" t="b">
        <f>+ISNUMBER(SEARCH('F-VTA'!$F$34,Tabla11[[#This Row],[Cuenta]],1))</f>
        <v>1</v>
      </c>
      <c r="AP469" t="b">
        <f>+ISNUMBER(SEARCH('F-VTA'!$F$35,Tabla11[[#This Row],[Cuenta]],1))</f>
        <v>1</v>
      </c>
      <c r="AQ469" t="b">
        <f>+ISNUMBER(SEARCH('F-VTA'!$F$36,Tabla11[[#This Row],[Cuenta]],1))</f>
        <v>1</v>
      </c>
      <c r="AR469" t="b">
        <f>+ISNUMBER(SEARCH(#REF!,Tabla11[[#This Row],[Cuenta]],1))</f>
        <v>0</v>
      </c>
      <c r="AS469" t="b">
        <f>+ISNUMBER(SEARCH(#REF!,Tabla11[[#This Row],[Cuenta]],1))</f>
        <v>0</v>
      </c>
      <c r="AT469" t="b">
        <f>+ISNUMBER(SEARCH(#REF!,Tabla11[[#This Row],[Cuenta]],1))</f>
        <v>0</v>
      </c>
      <c r="AU469" t="b">
        <f>+ISNUMBER(SEARCH('Conc. Ban.1'!$I$9,Tabla11[[#This Row],[Cuenta]],1))</f>
        <v>0</v>
      </c>
      <c r="AV469" t="b">
        <f>+ISNUMBER(SEARCH(CompConta!$F$21,Tabla11[[#This Row],[Cuenta]],1))</f>
        <v>1</v>
      </c>
      <c r="AW469" t="b">
        <f>+ISNUMBER(SEARCH(CompConta!$F$22,Tabla11[[#This Row],[Cuenta]],1))</f>
        <v>1</v>
      </c>
      <c r="AX469" t="b">
        <f>+ISNUMBER(SEARCH(CompConta!$F$23,Tabla11[[#This Row],[Cuenta]],1))</f>
        <v>1</v>
      </c>
      <c r="AY469" t="b">
        <f>+ISNUMBER(SEARCH(CompConta!$F$24,Tabla11[[#This Row],[Cuenta]],1))</f>
        <v>1</v>
      </c>
      <c r="AZ469" t="b">
        <f>+ISNUMBER(SEARCH(CompConta!$F$25,Tabla11[[#This Row],[Cuenta]],1))</f>
        <v>1</v>
      </c>
      <c r="BA469" t="b">
        <f>+ISNUMBER(SEARCH(CompConta!$F$26,Tabla11[[#This Row],[Cuenta]],1))</f>
        <v>1</v>
      </c>
      <c r="BB469" t="b">
        <f>+ISNUMBER(SEARCH(CompConta!$F$27,Tabla11[[#This Row],[Cuenta]],1))</f>
        <v>1</v>
      </c>
      <c r="BC469" t="b">
        <f>+ISNUMBER(SEARCH(CompConta!$F$28,Tabla11[[#This Row],[Cuenta]],1))</f>
        <v>1</v>
      </c>
      <c r="BD469" t="b">
        <f>+ISNUMBER(SEARCH(CompConta!$F$29,Tabla11[[#This Row],[Cuenta]],1))</f>
        <v>1</v>
      </c>
      <c r="BE469" t="b">
        <f>+ISNUMBER(SEARCH(CompConta!$F$30,Tabla11[[#This Row],[Cuenta]],1))</f>
        <v>1</v>
      </c>
      <c r="BF469" t="b">
        <f>+ISNUMBER(SEARCH('PAGO Compras'!$E$11,Tabla11[[#This Row],[Cuenta]],1))</f>
        <v>1</v>
      </c>
      <c r="BG469" t="b">
        <f>+ISNUMBER(SEARCH(#REF!,Tabla11[[#This Row],[Cuenta]],1))</f>
        <v>0</v>
      </c>
      <c r="BH469" t="b">
        <f>+ISNUMBER(SEARCH(#REF!,Tabla11[[#This Row],[Cuenta]],1))</f>
        <v>0</v>
      </c>
      <c r="BI469" t="b">
        <f>+ISNUMBER(SEARCH(#REF!,Tabla11[[#This Row],[Cuenta]],1))</f>
        <v>0</v>
      </c>
      <c r="BJ469" t="b">
        <f>+ISNUMBER(SEARCH(#REF!,Tabla11[[#This Row],[Cuenta]],1))</f>
        <v>0</v>
      </c>
      <c r="BS469" t="str">
        <v>241205 Vigencia fiscal corriente</v>
      </c>
      <c r="BT469" t="str">
        <v>241205 Vigencia fiscal corriente</v>
      </c>
      <c r="BU469" t="str">
        <v>241205 Vigencia fiscal corriente</v>
      </c>
      <c r="BV469" t="str">
        <v>241205 Vigencia fiscal corriente</v>
      </c>
      <c r="BZ469" t="str">
        <v>241205 Vigencia fiscal corriente</v>
      </c>
      <c r="CA469" t="str">
        <v>241205 Vigencia fiscal corriente</v>
      </c>
      <c r="CB469" t="str">
        <v>241205 Vigencia fiscal corriente</v>
      </c>
      <c r="CC469" t="str">
        <v>241205 Vigencia fiscal corriente</v>
      </c>
      <c r="CD469" t="str">
        <v>241205 Vigencia fiscal corriente</v>
      </c>
      <c r="CE469" t="str">
        <v>241205 Vigencia fiscal corriente</v>
      </c>
      <c r="CS469" s="141" t="str">
        <v>241205 Vigencia fiscal corriente</v>
      </c>
      <c r="CT469" s="141" t="str">
        <v>241205 Vigencia fiscal corriente</v>
      </c>
      <c r="CU469" s="141" t="str">
        <v>241205 Vigencia fiscal corriente</v>
      </c>
      <c r="CV469" s="141" t="str">
        <v>241205 Vigencia fiscal corriente</v>
      </c>
      <c r="CW469" s="141" t="str">
        <v>241205 Vigencia fiscal corriente</v>
      </c>
      <c r="CX469" s="141" t="str">
        <v>241205 Vigencia fiscal corriente</v>
      </c>
      <c r="CY469" s="141" t="str">
        <v>241205 Vigencia fiscal corriente</v>
      </c>
      <c r="CZ469" s="141" t="str">
        <v>241205 Vigencia fiscal corriente</v>
      </c>
      <c r="DA469" s="141" t="str">
        <v>241205 Vigencia fiscal corriente</v>
      </c>
      <c r="DF469" t="str">
        <v>241205 Vigencia fiscal corriente</v>
      </c>
      <c r="DG469" t="str">
        <v>241205 Vigencia fiscal corriente</v>
      </c>
      <c r="DH469" t="str">
        <v>241205 Vigencia fiscal corriente</v>
      </c>
      <c r="DI469" t="str">
        <v>241205 Vigencia fiscal corriente</v>
      </c>
      <c r="DJ469" t="str">
        <v>241205 Vigencia fiscal corriente</v>
      </c>
      <c r="DK469" t="str">
        <v>241205 Vigencia fiscal corriente</v>
      </c>
      <c r="DL469" t="str">
        <v>241205 Vigencia fiscal corriente</v>
      </c>
      <c r="DM469" t="str">
        <v>241205 Vigencia fiscal corriente</v>
      </c>
      <c r="DN469" t="str">
        <v>241205 Vigencia fiscal corriente</v>
      </c>
      <c r="DO469" t="str">
        <v>241205 Vigencia fiscal corriente</v>
      </c>
      <c r="DP469" t="str">
        <v>241205 Vigencia fiscal corriente</v>
      </c>
    </row>
    <row r="470" spans="4:120" ht="12.75">
      <c r="D470" s="7">
        <v>241210</v>
      </c>
      <c r="E470" s="6" t="s">
        <v>354</v>
      </c>
      <c r="F470" s="5">
        <v>4</v>
      </c>
      <c r="G470" s="34" t="s">
        <v>823</v>
      </c>
      <c r="H470" s="26" t="s">
        <v>765</v>
      </c>
      <c r="I470" t="b">
        <f>+ISNUMBER(SEARCH('F-COMPRA'!$F$28,Tabla11[[#This Row],[Cuenta]],1))</f>
        <v>1</v>
      </c>
      <c r="J470" t="b">
        <f>+ISNUMBER(SEARCH('F-COMPRA'!$F$29,Tabla11[[#This Row],[Cuenta]],1))</f>
        <v>1</v>
      </c>
      <c r="K470" t="b">
        <f>+ISNUMBER(SEARCH('F-COMPRA'!$F$30,Tabla11[[#This Row],[Cuenta]],1))</f>
        <v>1</v>
      </c>
      <c r="L470" t="b">
        <f>+ISNUMBER(SEARCH('F-COMPRA'!$F$31,Tabla11[[#This Row],[Cuenta]],1))</f>
        <v>1</v>
      </c>
      <c r="M470" t="b">
        <f>+ISNUMBER(SEARCH('F-COMPRA'!$G$25,Tabla11[[#This Row],[Cuenta]],1))</f>
        <v>0</v>
      </c>
      <c r="N470" t="b">
        <f>+ISNUMBER(SEARCH(#REF!,Tabla11[[#This Row],[Cuenta]],1))</f>
        <v>0</v>
      </c>
      <c r="O470" t="b">
        <f>+ISNUMBER(SEARCH(#REF!,Tabla11[[#This Row],[Cuenta]],1))</f>
        <v>0</v>
      </c>
      <c r="P470" t="b">
        <f>+ISNUMBER(SEARCH('F-COMPRA'!$F$32,Tabla11[[#This Row],[Cuenta]],1))</f>
        <v>1</v>
      </c>
      <c r="Q470" t="b">
        <f>+ISNUMBER(SEARCH('F-COMPRA'!$F$33,Tabla11[[#This Row],[Cuenta]],1))</f>
        <v>1</v>
      </c>
      <c r="R470" t="b">
        <f>+ISNUMBER(SEARCH('F-COMPRA'!$F$34,Tabla11[[#This Row],[Cuenta]],1))</f>
        <v>1</v>
      </c>
      <c r="S470" t="b">
        <f>+ISNUMBER(SEARCH('F-COMPRA'!$F$35,Tabla11[[#This Row],[Cuenta]],1))</f>
        <v>1</v>
      </c>
      <c r="T470" t="b">
        <f>+ISNUMBER(SEARCH('F-COMPRA'!$F$36,Tabla11[[#This Row],[Cuenta]],1))</f>
        <v>1</v>
      </c>
      <c r="U470" t="b">
        <f>+ISNUMBER(SEARCH('F-COMPRA'!$F$37,Tabla11[[#This Row],[Cuenta]],1))</f>
        <v>1</v>
      </c>
      <c r="V470" t="b">
        <f>+ISNUMBER(SEARCH(#REF!,Tabla11[[#This Row],[Cuenta]],1))</f>
        <v>0</v>
      </c>
      <c r="W470" t="b">
        <f>+ISNUMBER(SEARCH('F-COMPRA'!#REF!,Tabla11[[#This Row],[Cuenta]],1))</f>
        <v>0</v>
      </c>
      <c r="X470" t="b">
        <f>+ISNUMBER(SEARCH('F-COMPRA'!#REF!,Tabla11[[#This Row],[Cuenta]],1))</f>
        <v>0</v>
      </c>
      <c r="Y470" t="b">
        <f>+ISNUMBER(SEARCH('F-COMPRA'!#REF!,Tabla11[[#This Row],[Cuenta]],1))</f>
        <v>0</v>
      </c>
      <c r="Z470" t="b">
        <f>+ISNUMBER(SEARCH('F-COMPRA'!#REF!,Tabla11[[#This Row],[Cuenta]],1))</f>
        <v>0</v>
      </c>
      <c r="AA470" t="b">
        <f>+ISNUMBER(SEARCH('F-COMPRA'!#REF!,Tabla11[[#This Row],[Cuenta]],1))</f>
        <v>0</v>
      </c>
      <c r="AB470" t="b">
        <f>+ISNUMBER(SEARCH('F-COMPRA'!#REF!,Tabla11[[#This Row],[Cuenta]],1))</f>
        <v>0</v>
      </c>
      <c r="AC470" t="b">
        <f>+ISNUMBER(SEARCH('F-COMPRA'!#REF!,Tabla11[[#This Row],[Cuenta]],1))</f>
        <v>0</v>
      </c>
      <c r="AD470" t="b">
        <f>+ISNUMBER(SEARCH('F-COMPRA'!#REF!,Tabla11[[#This Row],[Cuenta]],1))</f>
        <v>0</v>
      </c>
      <c r="AE470" t="b">
        <f>+ISNUMBER(SEARCH('F-COMPRA'!#REF!,Tabla11[[#This Row],[Cuenta]],1))</f>
        <v>0</v>
      </c>
      <c r="AF470" t="b">
        <f>+ISNUMBER(SEARCH('F-VTA'!$G$23,Tabla11[[#This Row],[Cuenta]],1))</f>
        <v>0</v>
      </c>
      <c r="AG470" t="b">
        <f>+ISNUMBER(SEARCH('F-VTA'!$G$24,Tabla11[[#This Row],[Cuenta]],1))</f>
        <v>0</v>
      </c>
      <c r="AH470" t="b">
        <f>+ISNUMBER(SEARCH('F-VTA'!$G$25,Tabla11[[#This Row],[Cuenta]],1))</f>
        <v>0</v>
      </c>
      <c r="AI470" t="b">
        <f>+ISNUMBER(SEARCH('F-VTA'!$F$28,Tabla11[[#This Row],[Cuenta]],1))</f>
        <v>1</v>
      </c>
      <c r="AJ470" t="b">
        <f>+ISNUMBER(SEARCH('F-VTA'!$F$29,Tabla11[[#This Row],[Cuenta]],1))</f>
        <v>1</v>
      </c>
      <c r="AK470" t="b">
        <f>+ISNUMBER(SEARCH('F-VTA'!$F$30,Tabla11[[#This Row],[Cuenta]],1))</f>
        <v>1</v>
      </c>
      <c r="AL470" t="b">
        <f>+ISNUMBER(SEARCH('F-VTA'!$F$31,Tabla11[[#This Row],[Cuenta]],1))</f>
        <v>1</v>
      </c>
      <c r="AM470" t="b">
        <f>+ISNUMBER(SEARCH('F-VTA'!$F$32,Tabla11[[#This Row],[Cuenta]],1))</f>
        <v>1</v>
      </c>
      <c r="AN470" t="b">
        <f>+ISNUMBER(SEARCH('F-VTA'!$F$33,Tabla11[[#This Row],[Cuenta]],1))</f>
        <v>1</v>
      </c>
      <c r="AO470" t="b">
        <f>+ISNUMBER(SEARCH('F-VTA'!$F$34,Tabla11[[#This Row],[Cuenta]],1))</f>
        <v>1</v>
      </c>
      <c r="AP470" t="b">
        <f>+ISNUMBER(SEARCH('F-VTA'!$F$35,Tabla11[[#This Row],[Cuenta]],1))</f>
        <v>1</v>
      </c>
      <c r="AQ470" t="b">
        <f>+ISNUMBER(SEARCH('F-VTA'!$F$36,Tabla11[[#This Row],[Cuenta]],1))</f>
        <v>1</v>
      </c>
      <c r="AR470" t="b">
        <f>+ISNUMBER(SEARCH(#REF!,Tabla11[[#This Row],[Cuenta]],1))</f>
        <v>0</v>
      </c>
      <c r="AS470" t="b">
        <f>+ISNUMBER(SEARCH(#REF!,Tabla11[[#This Row],[Cuenta]],1))</f>
        <v>0</v>
      </c>
      <c r="AT470" t="b">
        <f>+ISNUMBER(SEARCH(#REF!,Tabla11[[#This Row],[Cuenta]],1))</f>
        <v>0</v>
      </c>
      <c r="AU470" t="b">
        <f>+ISNUMBER(SEARCH('Conc. Ban.1'!$I$9,Tabla11[[#This Row],[Cuenta]],1))</f>
        <v>0</v>
      </c>
      <c r="AV470" t="b">
        <f>+ISNUMBER(SEARCH(CompConta!$F$21,Tabla11[[#This Row],[Cuenta]],1))</f>
        <v>1</v>
      </c>
      <c r="AW470" t="b">
        <f>+ISNUMBER(SEARCH(CompConta!$F$22,Tabla11[[#This Row],[Cuenta]],1))</f>
        <v>1</v>
      </c>
      <c r="AX470" t="b">
        <f>+ISNUMBER(SEARCH(CompConta!$F$23,Tabla11[[#This Row],[Cuenta]],1))</f>
        <v>1</v>
      </c>
      <c r="AY470" t="b">
        <f>+ISNUMBER(SEARCH(CompConta!$F$24,Tabla11[[#This Row],[Cuenta]],1))</f>
        <v>1</v>
      </c>
      <c r="AZ470" t="b">
        <f>+ISNUMBER(SEARCH(CompConta!$F$25,Tabla11[[#This Row],[Cuenta]],1))</f>
        <v>1</v>
      </c>
      <c r="BA470" t="b">
        <f>+ISNUMBER(SEARCH(CompConta!$F$26,Tabla11[[#This Row],[Cuenta]],1))</f>
        <v>1</v>
      </c>
      <c r="BB470" t="b">
        <f>+ISNUMBER(SEARCH(CompConta!$F$27,Tabla11[[#This Row],[Cuenta]],1))</f>
        <v>1</v>
      </c>
      <c r="BC470" t="b">
        <f>+ISNUMBER(SEARCH(CompConta!$F$28,Tabla11[[#This Row],[Cuenta]],1))</f>
        <v>1</v>
      </c>
      <c r="BD470" t="b">
        <f>+ISNUMBER(SEARCH(CompConta!$F$29,Tabla11[[#This Row],[Cuenta]],1))</f>
        <v>1</v>
      </c>
      <c r="BE470" t="b">
        <f>+ISNUMBER(SEARCH(CompConta!$F$30,Tabla11[[#This Row],[Cuenta]],1))</f>
        <v>1</v>
      </c>
      <c r="BF470" t="b">
        <f>+ISNUMBER(SEARCH('PAGO Compras'!$E$11,Tabla11[[#This Row],[Cuenta]],1))</f>
        <v>1</v>
      </c>
      <c r="BG470" t="b">
        <f>+ISNUMBER(SEARCH(#REF!,Tabla11[[#This Row],[Cuenta]],1))</f>
        <v>0</v>
      </c>
      <c r="BH470" t="b">
        <f>+ISNUMBER(SEARCH(#REF!,Tabla11[[#This Row],[Cuenta]],1))</f>
        <v>0</v>
      </c>
      <c r="BI470" t="b">
        <f>+ISNUMBER(SEARCH(#REF!,Tabla11[[#This Row],[Cuenta]],1))</f>
        <v>0</v>
      </c>
      <c r="BJ470" t="b">
        <f>+ISNUMBER(SEARCH(#REF!,Tabla11[[#This Row],[Cuenta]],1))</f>
        <v>0</v>
      </c>
      <c r="BS470" t="str">
        <v>241210 Vigencias fiscales anteriores</v>
      </c>
      <c r="BT470" t="str">
        <v>241210 Vigencias fiscales anteriores</v>
      </c>
      <c r="BU470" t="str">
        <v>241210 Vigencias fiscales anteriores</v>
      </c>
      <c r="BV470" t="str">
        <v>241210 Vigencias fiscales anteriores</v>
      </c>
      <c r="BZ470" t="str">
        <v>241210 Vigencias fiscales anteriores</v>
      </c>
      <c r="CA470" t="str">
        <v>241210 Vigencias fiscales anteriores</v>
      </c>
      <c r="CB470" t="str">
        <v>241210 Vigencias fiscales anteriores</v>
      </c>
      <c r="CC470" t="str">
        <v>241210 Vigencias fiscales anteriores</v>
      </c>
      <c r="CD470" t="str">
        <v>241210 Vigencias fiscales anteriores</v>
      </c>
      <c r="CE470" t="str">
        <v>241210 Vigencias fiscales anteriores</v>
      </c>
      <c r="CS470" s="141" t="str">
        <v>241210 Vigencias fiscales anteriores</v>
      </c>
      <c r="CT470" s="141" t="str">
        <v>241210 Vigencias fiscales anteriores</v>
      </c>
      <c r="CU470" s="141" t="str">
        <v>241210 Vigencias fiscales anteriores</v>
      </c>
      <c r="CV470" s="141" t="str">
        <v>241210 Vigencias fiscales anteriores</v>
      </c>
      <c r="CW470" s="141" t="str">
        <v>241210 Vigencias fiscales anteriores</v>
      </c>
      <c r="CX470" s="141" t="str">
        <v>241210 Vigencias fiscales anteriores</v>
      </c>
      <c r="CY470" s="141" t="str">
        <v>241210 Vigencias fiscales anteriores</v>
      </c>
      <c r="CZ470" s="141" t="str">
        <v>241210 Vigencias fiscales anteriores</v>
      </c>
      <c r="DA470" s="141" t="str">
        <v>241210 Vigencias fiscales anteriores</v>
      </c>
      <c r="DF470" t="str">
        <v>241210 Vigencias fiscales anteriores</v>
      </c>
      <c r="DG470" t="str">
        <v>241210 Vigencias fiscales anteriores</v>
      </c>
      <c r="DH470" t="str">
        <v>241210 Vigencias fiscales anteriores</v>
      </c>
      <c r="DI470" t="str">
        <v>241210 Vigencias fiscales anteriores</v>
      </c>
      <c r="DJ470" t="str">
        <v>241210 Vigencias fiscales anteriores</v>
      </c>
      <c r="DK470" t="str">
        <v>241210 Vigencias fiscales anteriores</v>
      </c>
      <c r="DL470" t="str">
        <v>241210 Vigencias fiscales anteriores</v>
      </c>
      <c r="DM470" t="str">
        <v>241210 Vigencias fiscales anteriores</v>
      </c>
      <c r="DN470" t="str">
        <v>241210 Vigencias fiscales anteriores</v>
      </c>
      <c r="DO470" t="str">
        <v>241210 Vigencias fiscales anteriores</v>
      </c>
      <c r="DP470" t="str">
        <v>241210 Vigencias fiscales anteriores</v>
      </c>
    </row>
    <row r="471" spans="4:120" ht="12.75">
      <c r="D471" s="7">
        <v>2416</v>
      </c>
      <c r="E471" s="6" t="s">
        <v>357</v>
      </c>
      <c r="F471" s="5">
        <v>3</v>
      </c>
      <c r="G471" s="34" t="s">
        <v>823</v>
      </c>
      <c r="H471" s="26" t="s">
        <v>765</v>
      </c>
      <c r="I471" t="b">
        <f>+ISNUMBER(SEARCH('F-COMPRA'!$F$28,Tabla11[[#This Row],[Cuenta]],1))</f>
        <v>1</v>
      </c>
      <c r="J471" t="b">
        <f>+ISNUMBER(SEARCH('F-COMPRA'!$F$29,Tabla11[[#This Row],[Cuenta]],1))</f>
        <v>1</v>
      </c>
      <c r="K471" t="b">
        <f>+ISNUMBER(SEARCH('F-COMPRA'!$F$30,Tabla11[[#This Row],[Cuenta]],1))</f>
        <v>1</v>
      </c>
      <c r="L471" t="b">
        <f>+ISNUMBER(SEARCH('F-COMPRA'!$F$31,Tabla11[[#This Row],[Cuenta]],1))</f>
        <v>1</v>
      </c>
      <c r="M471" t="b">
        <f>+ISNUMBER(SEARCH('F-COMPRA'!$G$25,Tabla11[[#This Row],[Cuenta]],1))</f>
        <v>0</v>
      </c>
      <c r="N471" t="b">
        <f>+ISNUMBER(SEARCH(#REF!,Tabla11[[#This Row],[Cuenta]],1))</f>
        <v>0</v>
      </c>
      <c r="O471" t="b">
        <f>+ISNUMBER(SEARCH(#REF!,Tabla11[[#This Row],[Cuenta]],1))</f>
        <v>0</v>
      </c>
      <c r="P471" t="b">
        <f>+ISNUMBER(SEARCH('F-COMPRA'!$F$32,Tabla11[[#This Row],[Cuenta]],1))</f>
        <v>1</v>
      </c>
      <c r="Q471" t="b">
        <f>+ISNUMBER(SEARCH('F-COMPRA'!$F$33,Tabla11[[#This Row],[Cuenta]],1))</f>
        <v>1</v>
      </c>
      <c r="R471" t="b">
        <f>+ISNUMBER(SEARCH('F-COMPRA'!$F$34,Tabla11[[#This Row],[Cuenta]],1))</f>
        <v>1</v>
      </c>
      <c r="S471" t="b">
        <f>+ISNUMBER(SEARCH('F-COMPRA'!$F$35,Tabla11[[#This Row],[Cuenta]],1))</f>
        <v>1</v>
      </c>
      <c r="T471" t="b">
        <f>+ISNUMBER(SEARCH('F-COMPRA'!$F$36,Tabla11[[#This Row],[Cuenta]],1))</f>
        <v>1</v>
      </c>
      <c r="U471" t="b">
        <f>+ISNUMBER(SEARCH('F-COMPRA'!$F$37,Tabla11[[#This Row],[Cuenta]],1))</f>
        <v>1</v>
      </c>
      <c r="V471" t="b">
        <f>+ISNUMBER(SEARCH(#REF!,Tabla11[[#This Row],[Cuenta]],1))</f>
        <v>0</v>
      </c>
      <c r="W471" t="b">
        <f>+ISNUMBER(SEARCH('F-COMPRA'!#REF!,Tabla11[[#This Row],[Cuenta]],1))</f>
        <v>0</v>
      </c>
      <c r="X471" t="b">
        <f>+ISNUMBER(SEARCH('F-COMPRA'!#REF!,Tabla11[[#This Row],[Cuenta]],1))</f>
        <v>0</v>
      </c>
      <c r="Y471" t="b">
        <f>+ISNUMBER(SEARCH('F-COMPRA'!#REF!,Tabla11[[#This Row],[Cuenta]],1))</f>
        <v>0</v>
      </c>
      <c r="Z471" t="b">
        <f>+ISNUMBER(SEARCH('F-COMPRA'!#REF!,Tabla11[[#This Row],[Cuenta]],1))</f>
        <v>0</v>
      </c>
      <c r="AA471" t="b">
        <f>+ISNUMBER(SEARCH('F-COMPRA'!#REF!,Tabla11[[#This Row],[Cuenta]],1))</f>
        <v>0</v>
      </c>
      <c r="AB471" t="b">
        <f>+ISNUMBER(SEARCH('F-COMPRA'!#REF!,Tabla11[[#This Row],[Cuenta]],1))</f>
        <v>0</v>
      </c>
      <c r="AC471" t="b">
        <f>+ISNUMBER(SEARCH('F-COMPRA'!#REF!,Tabla11[[#This Row],[Cuenta]],1))</f>
        <v>0</v>
      </c>
      <c r="AD471" t="b">
        <f>+ISNUMBER(SEARCH('F-COMPRA'!#REF!,Tabla11[[#This Row],[Cuenta]],1))</f>
        <v>0</v>
      </c>
      <c r="AE471" t="b">
        <f>+ISNUMBER(SEARCH('F-COMPRA'!#REF!,Tabla11[[#This Row],[Cuenta]],1))</f>
        <v>0</v>
      </c>
      <c r="AF471" t="b">
        <f>+ISNUMBER(SEARCH('F-VTA'!$G$23,Tabla11[[#This Row],[Cuenta]],1))</f>
        <v>0</v>
      </c>
      <c r="AG471" t="b">
        <f>+ISNUMBER(SEARCH('F-VTA'!$G$24,Tabla11[[#This Row],[Cuenta]],1))</f>
        <v>0</v>
      </c>
      <c r="AH471" t="b">
        <f>+ISNUMBER(SEARCH('F-VTA'!$G$25,Tabla11[[#This Row],[Cuenta]],1))</f>
        <v>0</v>
      </c>
      <c r="AI471" t="b">
        <f>+ISNUMBER(SEARCH('F-VTA'!$F$28,Tabla11[[#This Row],[Cuenta]],1))</f>
        <v>1</v>
      </c>
      <c r="AJ471" t="b">
        <f>+ISNUMBER(SEARCH('F-VTA'!$F$29,Tabla11[[#This Row],[Cuenta]],1))</f>
        <v>1</v>
      </c>
      <c r="AK471" t="b">
        <f>+ISNUMBER(SEARCH('F-VTA'!$F$30,Tabla11[[#This Row],[Cuenta]],1))</f>
        <v>1</v>
      </c>
      <c r="AL471" t="b">
        <f>+ISNUMBER(SEARCH('F-VTA'!$F$31,Tabla11[[#This Row],[Cuenta]],1))</f>
        <v>1</v>
      </c>
      <c r="AM471" t="b">
        <f>+ISNUMBER(SEARCH('F-VTA'!$F$32,Tabla11[[#This Row],[Cuenta]],1))</f>
        <v>1</v>
      </c>
      <c r="AN471" t="b">
        <f>+ISNUMBER(SEARCH('F-VTA'!$F$33,Tabla11[[#This Row],[Cuenta]],1))</f>
        <v>1</v>
      </c>
      <c r="AO471" t="b">
        <f>+ISNUMBER(SEARCH('F-VTA'!$F$34,Tabla11[[#This Row],[Cuenta]],1))</f>
        <v>1</v>
      </c>
      <c r="AP471" t="b">
        <f>+ISNUMBER(SEARCH('F-VTA'!$F$35,Tabla11[[#This Row],[Cuenta]],1))</f>
        <v>1</v>
      </c>
      <c r="AQ471" t="b">
        <f>+ISNUMBER(SEARCH('F-VTA'!$F$36,Tabla11[[#This Row],[Cuenta]],1))</f>
        <v>1</v>
      </c>
      <c r="AR471" t="b">
        <f>+ISNUMBER(SEARCH(#REF!,Tabla11[[#This Row],[Cuenta]],1))</f>
        <v>0</v>
      </c>
      <c r="AS471" t="b">
        <f>+ISNUMBER(SEARCH(#REF!,Tabla11[[#This Row],[Cuenta]],1))</f>
        <v>0</v>
      </c>
      <c r="AT471" t="b">
        <f>+ISNUMBER(SEARCH(#REF!,Tabla11[[#This Row],[Cuenta]],1))</f>
        <v>0</v>
      </c>
      <c r="AU471" t="b">
        <f>+ISNUMBER(SEARCH('Conc. Ban.1'!$I$9,Tabla11[[#This Row],[Cuenta]],1))</f>
        <v>0</v>
      </c>
      <c r="AV471" t="b">
        <f>+ISNUMBER(SEARCH(CompConta!$F$21,Tabla11[[#This Row],[Cuenta]],1))</f>
        <v>1</v>
      </c>
      <c r="AW471" t="b">
        <f>+ISNUMBER(SEARCH(CompConta!$F$22,Tabla11[[#This Row],[Cuenta]],1))</f>
        <v>1</v>
      </c>
      <c r="AX471" t="b">
        <f>+ISNUMBER(SEARCH(CompConta!$F$23,Tabla11[[#This Row],[Cuenta]],1))</f>
        <v>1</v>
      </c>
      <c r="AY471" t="b">
        <f>+ISNUMBER(SEARCH(CompConta!$F$24,Tabla11[[#This Row],[Cuenta]],1))</f>
        <v>1</v>
      </c>
      <c r="AZ471" t="b">
        <f>+ISNUMBER(SEARCH(CompConta!$F$25,Tabla11[[#This Row],[Cuenta]],1))</f>
        <v>1</v>
      </c>
      <c r="BA471" t="b">
        <f>+ISNUMBER(SEARCH(CompConta!$F$26,Tabla11[[#This Row],[Cuenta]],1))</f>
        <v>1</v>
      </c>
      <c r="BB471" t="b">
        <f>+ISNUMBER(SEARCH(CompConta!$F$27,Tabla11[[#This Row],[Cuenta]],1))</f>
        <v>1</v>
      </c>
      <c r="BC471" t="b">
        <f>+ISNUMBER(SEARCH(CompConta!$F$28,Tabla11[[#This Row],[Cuenta]],1))</f>
        <v>1</v>
      </c>
      <c r="BD471" t="b">
        <f>+ISNUMBER(SEARCH(CompConta!$F$29,Tabla11[[#This Row],[Cuenta]],1))</f>
        <v>1</v>
      </c>
      <c r="BE471" t="b">
        <f>+ISNUMBER(SEARCH(CompConta!$F$30,Tabla11[[#This Row],[Cuenta]],1))</f>
        <v>1</v>
      </c>
      <c r="BF471" t="b">
        <f>+ISNUMBER(SEARCH('PAGO Compras'!$E$11,Tabla11[[#This Row],[Cuenta]],1))</f>
        <v>1</v>
      </c>
      <c r="BG471" t="b">
        <f>+ISNUMBER(SEARCH(#REF!,Tabla11[[#This Row],[Cuenta]],1))</f>
        <v>0</v>
      </c>
      <c r="BH471" t="b">
        <f>+ISNUMBER(SEARCH(#REF!,Tabla11[[#This Row],[Cuenta]],1))</f>
        <v>0</v>
      </c>
      <c r="BI471" t="b">
        <f>+ISNUMBER(SEARCH(#REF!,Tabla11[[#This Row],[Cuenta]],1))</f>
        <v>0</v>
      </c>
      <c r="BJ471" t="b">
        <f>+ISNUMBER(SEARCH(#REF!,Tabla11[[#This Row],[Cuenta]],1))</f>
        <v>0</v>
      </c>
      <c r="BS471" t="str">
        <v>2416 A LA PROPIEDAD RAÍZ</v>
      </c>
      <c r="BT471" t="str">
        <v>2416 A LA PROPIEDAD RAÍZ</v>
      </c>
      <c r="BU471" t="str">
        <v>2416 A LA PROPIEDAD RAÍZ</v>
      </c>
      <c r="BV471" t="str">
        <v>2416 A LA PROPIEDAD RAÍZ</v>
      </c>
      <c r="BZ471" t="str">
        <v>2416 A LA PROPIEDAD RAÍZ</v>
      </c>
      <c r="CA471" t="str">
        <v>2416 A LA PROPIEDAD RAÍZ</v>
      </c>
      <c r="CB471" t="str">
        <v>2416 A LA PROPIEDAD RAÍZ</v>
      </c>
      <c r="CC471" t="str">
        <v>2416 A LA PROPIEDAD RAÍZ</v>
      </c>
      <c r="CD471" t="str">
        <v>2416 A LA PROPIEDAD RAÍZ</v>
      </c>
      <c r="CE471" t="str">
        <v>2416 A LA PROPIEDAD RAÍZ</v>
      </c>
      <c r="CS471" s="141" t="str">
        <v>2416 A LA PROPIEDAD RAÍZ</v>
      </c>
      <c r="CT471" s="141" t="str">
        <v>2416 A LA PROPIEDAD RAÍZ</v>
      </c>
      <c r="CU471" s="141" t="str">
        <v>2416 A LA PROPIEDAD RAÍZ</v>
      </c>
      <c r="CV471" s="141" t="str">
        <v>2416 A LA PROPIEDAD RAÍZ</v>
      </c>
      <c r="CW471" s="141" t="str">
        <v>2416 A LA PROPIEDAD RAÍZ</v>
      </c>
      <c r="CX471" s="141" t="str">
        <v>2416 A LA PROPIEDAD RAÍZ</v>
      </c>
      <c r="CY471" s="141" t="str">
        <v>2416 A LA PROPIEDAD RAÍZ</v>
      </c>
      <c r="CZ471" s="141" t="str">
        <v>2416 A LA PROPIEDAD RAÍZ</v>
      </c>
      <c r="DA471" s="141" t="str">
        <v>2416 A LA PROPIEDAD RAÍZ</v>
      </c>
      <c r="DF471" t="str">
        <v>2416 A LA PROPIEDAD RAÍZ</v>
      </c>
      <c r="DG471" t="str">
        <v>2416 A LA PROPIEDAD RAÍZ</v>
      </c>
      <c r="DH471" t="str">
        <v>2416 A LA PROPIEDAD RAÍZ</v>
      </c>
      <c r="DI471" t="str">
        <v>2416 A LA PROPIEDAD RAÍZ</v>
      </c>
      <c r="DJ471" t="str">
        <v>2416 A LA PROPIEDAD RAÍZ</v>
      </c>
      <c r="DK471" t="str">
        <v>2416 A LA PROPIEDAD RAÍZ</v>
      </c>
      <c r="DL471" t="str">
        <v>2416 A LA PROPIEDAD RAÍZ</v>
      </c>
      <c r="DM471" t="str">
        <v>2416 A LA PROPIEDAD RAÍZ</v>
      </c>
      <c r="DN471" t="str">
        <v>2416 A LA PROPIEDAD RAÍZ</v>
      </c>
      <c r="DO471" t="str">
        <v>2416 A LA PROPIEDAD RAÍZ</v>
      </c>
      <c r="DP471" t="str">
        <v>2416 A LA PROPIEDAD RAÍZ</v>
      </c>
    </row>
    <row r="472" spans="4:120" ht="12.75">
      <c r="D472" s="7">
        <v>2420</v>
      </c>
      <c r="E472" s="6" t="s">
        <v>358</v>
      </c>
      <c r="F472" s="5">
        <v>3</v>
      </c>
      <c r="G472" s="34" t="s">
        <v>823</v>
      </c>
      <c r="H472" s="26" t="s">
        <v>765</v>
      </c>
      <c r="I472" t="b">
        <f>+ISNUMBER(SEARCH('F-COMPRA'!$F$28,Tabla11[[#This Row],[Cuenta]],1))</f>
        <v>1</v>
      </c>
      <c r="J472" t="b">
        <f>+ISNUMBER(SEARCH('F-COMPRA'!$F$29,Tabla11[[#This Row],[Cuenta]],1))</f>
        <v>1</v>
      </c>
      <c r="K472" t="b">
        <f>+ISNUMBER(SEARCH('F-COMPRA'!$F$30,Tabla11[[#This Row],[Cuenta]],1))</f>
        <v>1</v>
      </c>
      <c r="L472" t="b">
        <f>+ISNUMBER(SEARCH('F-COMPRA'!$F$31,Tabla11[[#This Row],[Cuenta]],1))</f>
        <v>1</v>
      </c>
      <c r="M472" t="b">
        <f>+ISNUMBER(SEARCH('F-COMPRA'!$G$25,Tabla11[[#This Row],[Cuenta]],1))</f>
        <v>0</v>
      </c>
      <c r="N472" t="b">
        <f>+ISNUMBER(SEARCH(#REF!,Tabla11[[#This Row],[Cuenta]],1))</f>
        <v>0</v>
      </c>
      <c r="O472" t="b">
        <f>+ISNUMBER(SEARCH(#REF!,Tabla11[[#This Row],[Cuenta]],1))</f>
        <v>0</v>
      </c>
      <c r="P472" t="b">
        <f>+ISNUMBER(SEARCH('F-COMPRA'!$F$32,Tabla11[[#This Row],[Cuenta]],1))</f>
        <v>1</v>
      </c>
      <c r="Q472" t="b">
        <f>+ISNUMBER(SEARCH('F-COMPRA'!$F$33,Tabla11[[#This Row],[Cuenta]],1))</f>
        <v>1</v>
      </c>
      <c r="R472" t="b">
        <f>+ISNUMBER(SEARCH('F-COMPRA'!$F$34,Tabla11[[#This Row],[Cuenta]],1))</f>
        <v>1</v>
      </c>
      <c r="S472" t="b">
        <f>+ISNUMBER(SEARCH('F-COMPRA'!$F$35,Tabla11[[#This Row],[Cuenta]],1))</f>
        <v>1</v>
      </c>
      <c r="T472" t="b">
        <f>+ISNUMBER(SEARCH('F-COMPRA'!$F$36,Tabla11[[#This Row],[Cuenta]],1))</f>
        <v>1</v>
      </c>
      <c r="U472" t="b">
        <f>+ISNUMBER(SEARCH('F-COMPRA'!$F$37,Tabla11[[#This Row],[Cuenta]],1))</f>
        <v>1</v>
      </c>
      <c r="V472" t="b">
        <f>+ISNUMBER(SEARCH(#REF!,Tabla11[[#This Row],[Cuenta]],1))</f>
        <v>0</v>
      </c>
      <c r="W472" t="b">
        <f>+ISNUMBER(SEARCH('F-COMPRA'!#REF!,Tabla11[[#This Row],[Cuenta]],1))</f>
        <v>0</v>
      </c>
      <c r="X472" t="b">
        <f>+ISNUMBER(SEARCH('F-COMPRA'!#REF!,Tabla11[[#This Row],[Cuenta]],1))</f>
        <v>0</v>
      </c>
      <c r="Y472" t="b">
        <f>+ISNUMBER(SEARCH('F-COMPRA'!#REF!,Tabla11[[#This Row],[Cuenta]],1))</f>
        <v>0</v>
      </c>
      <c r="Z472" t="b">
        <f>+ISNUMBER(SEARCH('F-COMPRA'!#REF!,Tabla11[[#This Row],[Cuenta]],1))</f>
        <v>0</v>
      </c>
      <c r="AA472" t="b">
        <f>+ISNUMBER(SEARCH('F-COMPRA'!#REF!,Tabla11[[#This Row],[Cuenta]],1))</f>
        <v>0</v>
      </c>
      <c r="AB472" t="b">
        <f>+ISNUMBER(SEARCH('F-COMPRA'!#REF!,Tabla11[[#This Row],[Cuenta]],1))</f>
        <v>0</v>
      </c>
      <c r="AC472" t="b">
        <f>+ISNUMBER(SEARCH('F-COMPRA'!#REF!,Tabla11[[#This Row],[Cuenta]],1))</f>
        <v>0</v>
      </c>
      <c r="AD472" t="b">
        <f>+ISNUMBER(SEARCH('F-COMPRA'!#REF!,Tabla11[[#This Row],[Cuenta]],1))</f>
        <v>0</v>
      </c>
      <c r="AE472" t="b">
        <f>+ISNUMBER(SEARCH('F-COMPRA'!#REF!,Tabla11[[#This Row],[Cuenta]],1))</f>
        <v>0</v>
      </c>
      <c r="AF472" t="b">
        <f>+ISNUMBER(SEARCH('F-VTA'!$G$23,Tabla11[[#This Row],[Cuenta]],1))</f>
        <v>0</v>
      </c>
      <c r="AG472" t="b">
        <f>+ISNUMBER(SEARCH('F-VTA'!$G$24,Tabla11[[#This Row],[Cuenta]],1))</f>
        <v>0</v>
      </c>
      <c r="AH472" t="b">
        <f>+ISNUMBER(SEARCH('F-VTA'!$G$25,Tabla11[[#This Row],[Cuenta]],1))</f>
        <v>0</v>
      </c>
      <c r="AI472" t="b">
        <f>+ISNUMBER(SEARCH('F-VTA'!$F$28,Tabla11[[#This Row],[Cuenta]],1))</f>
        <v>1</v>
      </c>
      <c r="AJ472" t="b">
        <f>+ISNUMBER(SEARCH('F-VTA'!$F$29,Tabla11[[#This Row],[Cuenta]],1))</f>
        <v>1</v>
      </c>
      <c r="AK472" t="b">
        <f>+ISNUMBER(SEARCH('F-VTA'!$F$30,Tabla11[[#This Row],[Cuenta]],1))</f>
        <v>1</v>
      </c>
      <c r="AL472" t="b">
        <f>+ISNUMBER(SEARCH('F-VTA'!$F$31,Tabla11[[#This Row],[Cuenta]],1))</f>
        <v>1</v>
      </c>
      <c r="AM472" t="b">
        <f>+ISNUMBER(SEARCH('F-VTA'!$F$32,Tabla11[[#This Row],[Cuenta]],1))</f>
        <v>1</v>
      </c>
      <c r="AN472" t="b">
        <f>+ISNUMBER(SEARCH('F-VTA'!$F$33,Tabla11[[#This Row],[Cuenta]],1))</f>
        <v>1</v>
      </c>
      <c r="AO472" t="b">
        <f>+ISNUMBER(SEARCH('F-VTA'!$F$34,Tabla11[[#This Row],[Cuenta]],1))</f>
        <v>1</v>
      </c>
      <c r="AP472" t="b">
        <f>+ISNUMBER(SEARCH('F-VTA'!$F$35,Tabla11[[#This Row],[Cuenta]],1))</f>
        <v>1</v>
      </c>
      <c r="AQ472" t="b">
        <f>+ISNUMBER(SEARCH('F-VTA'!$F$36,Tabla11[[#This Row],[Cuenta]],1))</f>
        <v>1</v>
      </c>
      <c r="AR472" t="b">
        <f>+ISNUMBER(SEARCH(#REF!,Tabla11[[#This Row],[Cuenta]],1))</f>
        <v>0</v>
      </c>
      <c r="AS472" t="b">
        <f>+ISNUMBER(SEARCH(#REF!,Tabla11[[#This Row],[Cuenta]],1))</f>
        <v>0</v>
      </c>
      <c r="AT472" t="b">
        <f>+ISNUMBER(SEARCH(#REF!,Tabla11[[#This Row],[Cuenta]],1))</f>
        <v>0</v>
      </c>
      <c r="AU472" t="b">
        <f>+ISNUMBER(SEARCH('Conc. Ban.1'!$I$9,Tabla11[[#This Row],[Cuenta]],1))</f>
        <v>0</v>
      </c>
      <c r="AV472" t="b">
        <f>+ISNUMBER(SEARCH(CompConta!$F$21,Tabla11[[#This Row],[Cuenta]],1))</f>
        <v>1</v>
      </c>
      <c r="AW472" t="b">
        <f>+ISNUMBER(SEARCH(CompConta!$F$22,Tabla11[[#This Row],[Cuenta]],1))</f>
        <v>1</v>
      </c>
      <c r="AX472" t="b">
        <f>+ISNUMBER(SEARCH(CompConta!$F$23,Tabla11[[#This Row],[Cuenta]],1))</f>
        <v>1</v>
      </c>
      <c r="AY472" t="b">
        <f>+ISNUMBER(SEARCH(CompConta!$F$24,Tabla11[[#This Row],[Cuenta]],1))</f>
        <v>1</v>
      </c>
      <c r="AZ472" t="b">
        <f>+ISNUMBER(SEARCH(CompConta!$F$25,Tabla11[[#This Row],[Cuenta]],1))</f>
        <v>1</v>
      </c>
      <c r="BA472" t="b">
        <f>+ISNUMBER(SEARCH(CompConta!$F$26,Tabla11[[#This Row],[Cuenta]],1))</f>
        <v>1</v>
      </c>
      <c r="BB472" t="b">
        <f>+ISNUMBER(SEARCH(CompConta!$F$27,Tabla11[[#This Row],[Cuenta]],1))</f>
        <v>1</v>
      </c>
      <c r="BC472" t="b">
        <f>+ISNUMBER(SEARCH(CompConta!$F$28,Tabla11[[#This Row],[Cuenta]],1))</f>
        <v>1</v>
      </c>
      <c r="BD472" t="b">
        <f>+ISNUMBER(SEARCH(CompConta!$F$29,Tabla11[[#This Row],[Cuenta]],1))</f>
        <v>1</v>
      </c>
      <c r="BE472" t="b">
        <f>+ISNUMBER(SEARCH(CompConta!$F$30,Tabla11[[#This Row],[Cuenta]],1))</f>
        <v>1</v>
      </c>
      <c r="BF472" t="b">
        <f>+ISNUMBER(SEARCH('PAGO Compras'!$E$11,Tabla11[[#This Row],[Cuenta]],1))</f>
        <v>1</v>
      </c>
      <c r="BG472" t="b">
        <f>+ISNUMBER(SEARCH(#REF!,Tabla11[[#This Row],[Cuenta]],1))</f>
        <v>0</v>
      </c>
      <c r="BH472" t="b">
        <f>+ISNUMBER(SEARCH(#REF!,Tabla11[[#This Row],[Cuenta]],1))</f>
        <v>0</v>
      </c>
      <c r="BI472" t="b">
        <f>+ISNUMBER(SEARCH(#REF!,Tabla11[[#This Row],[Cuenta]],1))</f>
        <v>0</v>
      </c>
      <c r="BJ472" t="b">
        <f>+ISNUMBER(SEARCH(#REF!,Tabla11[[#This Row],[Cuenta]],1))</f>
        <v>0</v>
      </c>
      <c r="BS472" t="str">
        <v>2420 DERECHOS SOBRE INSTRUMENTOS PÚBLICOS</v>
      </c>
      <c r="BT472" t="str">
        <v>2420 DERECHOS SOBRE INSTRUMENTOS PÚBLICOS</v>
      </c>
      <c r="BU472" t="str">
        <v>2420 DERECHOS SOBRE INSTRUMENTOS PÚBLICOS</v>
      </c>
      <c r="BV472" t="str">
        <v>2420 DERECHOS SOBRE INSTRUMENTOS PÚBLICOS</v>
      </c>
      <c r="BZ472" t="str">
        <v>2420 DERECHOS SOBRE INSTRUMENTOS PÚBLICOS</v>
      </c>
      <c r="CA472" t="str">
        <v>2420 DERECHOS SOBRE INSTRUMENTOS PÚBLICOS</v>
      </c>
      <c r="CB472" t="str">
        <v>2420 DERECHOS SOBRE INSTRUMENTOS PÚBLICOS</v>
      </c>
      <c r="CC472" t="str">
        <v>2420 DERECHOS SOBRE INSTRUMENTOS PÚBLICOS</v>
      </c>
      <c r="CD472" t="str">
        <v>2420 DERECHOS SOBRE INSTRUMENTOS PÚBLICOS</v>
      </c>
      <c r="CE472" t="str">
        <v>2420 DERECHOS SOBRE INSTRUMENTOS PÚBLICOS</v>
      </c>
      <c r="CS472" s="141" t="str">
        <v>2420 DERECHOS SOBRE INSTRUMENTOS PÚBLICOS</v>
      </c>
      <c r="CT472" s="141" t="str">
        <v>2420 DERECHOS SOBRE INSTRUMENTOS PÚBLICOS</v>
      </c>
      <c r="CU472" s="141" t="str">
        <v>2420 DERECHOS SOBRE INSTRUMENTOS PÚBLICOS</v>
      </c>
      <c r="CV472" s="141" t="str">
        <v>2420 DERECHOS SOBRE INSTRUMENTOS PÚBLICOS</v>
      </c>
      <c r="CW472" s="141" t="str">
        <v>2420 DERECHOS SOBRE INSTRUMENTOS PÚBLICOS</v>
      </c>
      <c r="CX472" s="141" t="str">
        <v>2420 DERECHOS SOBRE INSTRUMENTOS PÚBLICOS</v>
      </c>
      <c r="CY472" s="141" t="str">
        <v>2420 DERECHOS SOBRE INSTRUMENTOS PÚBLICOS</v>
      </c>
      <c r="CZ472" s="141" t="str">
        <v>2420 DERECHOS SOBRE INSTRUMENTOS PÚBLICOS</v>
      </c>
      <c r="DA472" s="141" t="str">
        <v>2420 DERECHOS SOBRE INSTRUMENTOS PÚBLICOS</v>
      </c>
      <c r="DF472" t="str">
        <v>2420 DERECHOS SOBRE INSTRUMENTOS PÚBLICOS</v>
      </c>
      <c r="DG472" t="str">
        <v>2420 DERECHOS SOBRE INSTRUMENTOS PÚBLICOS</v>
      </c>
      <c r="DH472" t="str">
        <v>2420 DERECHOS SOBRE INSTRUMENTOS PÚBLICOS</v>
      </c>
      <c r="DI472" t="str">
        <v>2420 DERECHOS SOBRE INSTRUMENTOS PÚBLICOS</v>
      </c>
      <c r="DJ472" t="str">
        <v>2420 DERECHOS SOBRE INSTRUMENTOS PÚBLICOS</v>
      </c>
      <c r="DK472" t="str">
        <v>2420 DERECHOS SOBRE INSTRUMENTOS PÚBLICOS</v>
      </c>
      <c r="DL472" t="str">
        <v>2420 DERECHOS SOBRE INSTRUMENTOS PÚBLICOS</v>
      </c>
      <c r="DM472" t="str">
        <v>2420 DERECHOS SOBRE INSTRUMENTOS PÚBLICOS</v>
      </c>
      <c r="DN472" t="str">
        <v>2420 DERECHOS SOBRE INSTRUMENTOS PÚBLICOS</v>
      </c>
      <c r="DO472" t="str">
        <v>2420 DERECHOS SOBRE INSTRUMENTOS PÚBLICOS</v>
      </c>
      <c r="DP472" t="str">
        <v>2420 DERECHOS SOBRE INSTRUMENTOS PÚBLICOS</v>
      </c>
    </row>
    <row r="473" spans="4:120" ht="12.75">
      <c r="D473" s="7">
        <v>2424</v>
      </c>
      <c r="E473" s="6" t="s">
        <v>359</v>
      </c>
      <c r="F473" s="5">
        <v>3</v>
      </c>
      <c r="G473" s="34" t="s">
        <v>823</v>
      </c>
      <c r="H473" s="26" t="s">
        <v>765</v>
      </c>
      <c r="I473" t="b">
        <f>+ISNUMBER(SEARCH('F-COMPRA'!$F$28,Tabla11[[#This Row],[Cuenta]],1))</f>
        <v>1</v>
      </c>
      <c r="J473" t="b">
        <f>+ISNUMBER(SEARCH('F-COMPRA'!$F$29,Tabla11[[#This Row],[Cuenta]],1))</f>
        <v>1</v>
      </c>
      <c r="K473" t="b">
        <f>+ISNUMBER(SEARCH('F-COMPRA'!$F$30,Tabla11[[#This Row],[Cuenta]],1))</f>
        <v>1</v>
      </c>
      <c r="L473" t="b">
        <f>+ISNUMBER(SEARCH('F-COMPRA'!$F$31,Tabla11[[#This Row],[Cuenta]],1))</f>
        <v>1</v>
      </c>
      <c r="M473" t="b">
        <f>+ISNUMBER(SEARCH('F-COMPRA'!$G$25,Tabla11[[#This Row],[Cuenta]],1))</f>
        <v>0</v>
      </c>
      <c r="N473" t="b">
        <f>+ISNUMBER(SEARCH(#REF!,Tabla11[[#This Row],[Cuenta]],1))</f>
        <v>0</v>
      </c>
      <c r="O473" t="b">
        <f>+ISNUMBER(SEARCH(#REF!,Tabla11[[#This Row],[Cuenta]],1))</f>
        <v>0</v>
      </c>
      <c r="P473" t="b">
        <f>+ISNUMBER(SEARCH('F-COMPRA'!$F$32,Tabla11[[#This Row],[Cuenta]],1))</f>
        <v>1</v>
      </c>
      <c r="Q473" t="b">
        <f>+ISNUMBER(SEARCH('F-COMPRA'!$F$33,Tabla11[[#This Row],[Cuenta]],1))</f>
        <v>1</v>
      </c>
      <c r="R473" t="b">
        <f>+ISNUMBER(SEARCH('F-COMPRA'!$F$34,Tabla11[[#This Row],[Cuenta]],1))</f>
        <v>1</v>
      </c>
      <c r="S473" t="b">
        <f>+ISNUMBER(SEARCH('F-COMPRA'!$F$35,Tabla11[[#This Row],[Cuenta]],1))</f>
        <v>1</v>
      </c>
      <c r="T473" t="b">
        <f>+ISNUMBER(SEARCH('F-COMPRA'!$F$36,Tabla11[[#This Row],[Cuenta]],1))</f>
        <v>1</v>
      </c>
      <c r="U473" t="b">
        <f>+ISNUMBER(SEARCH('F-COMPRA'!$F$37,Tabla11[[#This Row],[Cuenta]],1))</f>
        <v>1</v>
      </c>
      <c r="V473" t="b">
        <f>+ISNUMBER(SEARCH(#REF!,Tabla11[[#This Row],[Cuenta]],1))</f>
        <v>0</v>
      </c>
      <c r="W473" t="b">
        <f>+ISNUMBER(SEARCH('F-COMPRA'!#REF!,Tabla11[[#This Row],[Cuenta]],1))</f>
        <v>0</v>
      </c>
      <c r="X473" t="b">
        <f>+ISNUMBER(SEARCH('F-COMPRA'!#REF!,Tabla11[[#This Row],[Cuenta]],1))</f>
        <v>0</v>
      </c>
      <c r="Y473" t="b">
        <f>+ISNUMBER(SEARCH('F-COMPRA'!#REF!,Tabla11[[#This Row],[Cuenta]],1))</f>
        <v>0</v>
      </c>
      <c r="Z473" t="b">
        <f>+ISNUMBER(SEARCH('F-COMPRA'!#REF!,Tabla11[[#This Row],[Cuenta]],1))</f>
        <v>0</v>
      </c>
      <c r="AA473" t="b">
        <f>+ISNUMBER(SEARCH('F-COMPRA'!#REF!,Tabla11[[#This Row],[Cuenta]],1))</f>
        <v>0</v>
      </c>
      <c r="AB473" t="b">
        <f>+ISNUMBER(SEARCH('F-COMPRA'!#REF!,Tabla11[[#This Row],[Cuenta]],1))</f>
        <v>0</v>
      </c>
      <c r="AC473" t="b">
        <f>+ISNUMBER(SEARCH('F-COMPRA'!#REF!,Tabla11[[#This Row],[Cuenta]],1))</f>
        <v>0</v>
      </c>
      <c r="AD473" t="b">
        <f>+ISNUMBER(SEARCH('F-COMPRA'!#REF!,Tabla11[[#This Row],[Cuenta]],1))</f>
        <v>0</v>
      </c>
      <c r="AE473" t="b">
        <f>+ISNUMBER(SEARCH('F-COMPRA'!#REF!,Tabla11[[#This Row],[Cuenta]],1))</f>
        <v>0</v>
      </c>
      <c r="AF473" t="b">
        <f>+ISNUMBER(SEARCH('F-VTA'!$G$23,Tabla11[[#This Row],[Cuenta]],1))</f>
        <v>0</v>
      </c>
      <c r="AG473" t="b">
        <f>+ISNUMBER(SEARCH('F-VTA'!$G$24,Tabla11[[#This Row],[Cuenta]],1))</f>
        <v>0</v>
      </c>
      <c r="AH473" t="b">
        <f>+ISNUMBER(SEARCH('F-VTA'!$G$25,Tabla11[[#This Row],[Cuenta]],1))</f>
        <v>0</v>
      </c>
      <c r="AI473" t="b">
        <f>+ISNUMBER(SEARCH('F-VTA'!$F$28,Tabla11[[#This Row],[Cuenta]],1))</f>
        <v>1</v>
      </c>
      <c r="AJ473" t="b">
        <f>+ISNUMBER(SEARCH('F-VTA'!$F$29,Tabla11[[#This Row],[Cuenta]],1))</f>
        <v>1</v>
      </c>
      <c r="AK473" t="b">
        <f>+ISNUMBER(SEARCH('F-VTA'!$F$30,Tabla11[[#This Row],[Cuenta]],1))</f>
        <v>1</v>
      </c>
      <c r="AL473" t="b">
        <f>+ISNUMBER(SEARCH('F-VTA'!$F$31,Tabla11[[#This Row],[Cuenta]],1))</f>
        <v>1</v>
      </c>
      <c r="AM473" t="b">
        <f>+ISNUMBER(SEARCH('F-VTA'!$F$32,Tabla11[[#This Row],[Cuenta]],1))</f>
        <v>1</v>
      </c>
      <c r="AN473" t="b">
        <f>+ISNUMBER(SEARCH('F-VTA'!$F$33,Tabla11[[#This Row],[Cuenta]],1))</f>
        <v>1</v>
      </c>
      <c r="AO473" t="b">
        <f>+ISNUMBER(SEARCH('F-VTA'!$F$34,Tabla11[[#This Row],[Cuenta]],1))</f>
        <v>1</v>
      </c>
      <c r="AP473" t="b">
        <f>+ISNUMBER(SEARCH('F-VTA'!$F$35,Tabla11[[#This Row],[Cuenta]],1))</f>
        <v>1</v>
      </c>
      <c r="AQ473" t="b">
        <f>+ISNUMBER(SEARCH('F-VTA'!$F$36,Tabla11[[#This Row],[Cuenta]],1))</f>
        <v>1</v>
      </c>
      <c r="AR473" t="b">
        <f>+ISNUMBER(SEARCH(#REF!,Tabla11[[#This Row],[Cuenta]],1))</f>
        <v>0</v>
      </c>
      <c r="AS473" t="b">
        <f>+ISNUMBER(SEARCH(#REF!,Tabla11[[#This Row],[Cuenta]],1))</f>
        <v>0</v>
      </c>
      <c r="AT473" t="b">
        <f>+ISNUMBER(SEARCH(#REF!,Tabla11[[#This Row],[Cuenta]],1))</f>
        <v>0</v>
      </c>
      <c r="AU473" t="b">
        <f>+ISNUMBER(SEARCH('Conc. Ban.1'!$I$9,Tabla11[[#This Row],[Cuenta]],1))</f>
        <v>0</v>
      </c>
      <c r="AV473" t="b">
        <f>+ISNUMBER(SEARCH(CompConta!$F$21,Tabla11[[#This Row],[Cuenta]],1))</f>
        <v>1</v>
      </c>
      <c r="AW473" t="b">
        <f>+ISNUMBER(SEARCH(CompConta!$F$22,Tabla11[[#This Row],[Cuenta]],1))</f>
        <v>1</v>
      </c>
      <c r="AX473" t="b">
        <f>+ISNUMBER(SEARCH(CompConta!$F$23,Tabla11[[#This Row],[Cuenta]],1))</f>
        <v>1</v>
      </c>
      <c r="AY473" t="b">
        <f>+ISNUMBER(SEARCH(CompConta!$F$24,Tabla11[[#This Row],[Cuenta]],1))</f>
        <v>1</v>
      </c>
      <c r="AZ473" t="b">
        <f>+ISNUMBER(SEARCH(CompConta!$F$25,Tabla11[[#This Row],[Cuenta]],1))</f>
        <v>1</v>
      </c>
      <c r="BA473" t="b">
        <f>+ISNUMBER(SEARCH(CompConta!$F$26,Tabla11[[#This Row],[Cuenta]],1))</f>
        <v>1</v>
      </c>
      <c r="BB473" t="b">
        <f>+ISNUMBER(SEARCH(CompConta!$F$27,Tabla11[[#This Row],[Cuenta]],1))</f>
        <v>1</v>
      </c>
      <c r="BC473" t="b">
        <f>+ISNUMBER(SEARCH(CompConta!$F$28,Tabla11[[#This Row],[Cuenta]],1))</f>
        <v>1</v>
      </c>
      <c r="BD473" t="b">
        <f>+ISNUMBER(SEARCH(CompConta!$F$29,Tabla11[[#This Row],[Cuenta]],1))</f>
        <v>1</v>
      </c>
      <c r="BE473" t="b">
        <f>+ISNUMBER(SEARCH(CompConta!$F$30,Tabla11[[#This Row],[Cuenta]],1))</f>
        <v>1</v>
      </c>
      <c r="BF473" t="b">
        <f>+ISNUMBER(SEARCH('PAGO Compras'!$E$11,Tabla11[[#This Row],[Cuenta]],1))</f>
        <v>1</v>
      </c>
      <c r="BG473" t="b">
        <f>+ISNUMBER(SEARCH(#REF!,Tabla11[[#This Row],[Cuenta]],1))</f>
        <v>0</v>
      </c>
      <c r="BH473" t="b">
        <f>+ISNUMBER(SEARCH(#REF!,Tabla11[[#This Row],[Cuenta]],1))</f>
        <v>0</v>
      </c>
      <c r="BI473" t="b">
        <f>+ISNUMBER(SEARCH(#REF!,Tabla11[[#This Row],[Cuenta]],1))</f>
        <v>0</v>
      </c>
      <c r="BJ473" t="b">
        <f>+ISNUMBER(SEARCH(#REF!,Tabla11[[#This Row],[Cuenta]],1))</f>
        <v>0</v>
      </c>
      <c r="BS473" t="str">
        <v>2424 DE VALORIZACIÓN</v>
      </c>
      <c r="BT473" t="str">
        <v>2424 DE VALORIZACIÓN</v>
      </c>
      <c r="BU473" t="str">
        <v>2424 DE VALORIZACIÓN</v>
      </c>
      <c r="BV473" t="str">
        <v>2424 DE VALORIZACIÓN</v>
      </c>
      <c r="BZ473" t="str">
        <v>2424 DE VALORIZACIÓN</v>
      </c>
      <c r="CA473" t="str">
        <v>2424 DE VALORIZACIÓN</v>
      </c>
      <c r="CB473" t="str">
        <v>2424 DE VALORIZACIÓN</v>
      </c>
      <c r="CC473" t="str">
        <v>2424 DE VALORIZACIÓN</v>
      </c>
      <c r="CD473" t="str">
        <v>2424 DE VALORIZACIÓN</v>
      </c>
      <c r="CE473" t="str">
        <v>2424 DE VALORIZACIÓN</v>
      </c>
      <c r="CS473" s="141" t="str">
        <v>2424 DE VALORIZACIÓN</v>
      </c>
      <c r="CT473" s="141" t="str">
        <v>2424 DE VALORIZACIÓN</v>
      </c>
      <c r="CU473" s="141" t="str">
        <v>2424 DE VALORIZACIÓN</v>
      </c>
      <c r="CV473" s="141" t="str">
        <v>2424 DE VALORIZACIÓN</v>
      </c>
      <c r="CW473" s="141" t="str">
        <v>2424 DE VALORIZACIÓN</v>
      </c>
      <c r="CX473" s="141" t="str">
        <v>2424 DE VALORIZACIÓN</v>
      </c>
      <c r="CY473" s="141" t="str">
        <v>2424 DE VALORIZACIÓN</v>
      </c>
      <c r="CZ473" s="141" t="str">
        <v>2424 DE VALORIZACIÓN</v>
      </c>
      <c r="DA473" s="141" t="str">
        <v>2424 DE VALORIZACIÓN</v>
      </c>
      <c r="DF473" t="str">
        <v>2424 DE VALORIZACIÓN</v>
      </c>
      <c r="DG473" t="str">
        <v>2424 DE VALORIZACIÓN</v>
      </c>
      <c r="DH473" t="str">
        <v>2424 DE VALORIZACIÓN</v>
      </c>
      <c r="DI473" t="str">
        <v>2424 DE VALORIZACIÓN</v>
      </c>
      <c r="DJ473" t="str">
        <v>2424 DE VALORIZACIÓN</v>
      </c>
      <c r="DK473" t="str">
        <v>2424 DE VALORIZACIÓN</v>
      </c>
      <c r="DL473" t="str">
        <v>2424 DE VALORIZACIÓN</v>
      </c>
      <c r="DM473" t="str">
        <v>2424 DE VALORIZACIÓN</v>
      </c>
      <c r="DN473" t="str">
        <v>2424 DE VALORIZACIÓN</v>
      </c>
      <c r="DO473" t="str">
        <v>2424 DE VALORIZACIÓN</v>
      </c>
      <c r="DP473" t="str">
        <v>2424 DE VALORIZACIÓN</v>
      </c>
    </row>
    <row r="474" spans="4:120" ht="12.75">
      <c r="D474" s="7">
        <v>242405</v>
      </c>
      <c r="E474" s="6" t="s">
        <v>353</v>
      </c>
      <c r="F474" s="5">
        <v>4</v>
      </c>
      <c r="G474" s="34" t="s">
        <v>823</v>
      </c>
      <c r="H474" s="26" t="s">
        <v>765</v>
      </c>
      <c r="I474" t="b">
        <f>+ISNUMBER(SEARCH('F-COMPRA'!$F$28,Tabla11[[#This Row],[Cuenta]],1))</f>
        <v>1</v>
      </c>
      <c r="J474" t="b">
        <f>+ISNUMBER(SEARCH('F-COMPRA'!$F$29,Tabla11[[#This Row],[Cuenta]],1))</f>
        <v>1</v>
      </c>
      <c r="K474" t="b">
        <f>+ISNUMBER(SEARCH('F-COMPRA'!$F$30,Tabla11[[#This Row],[Cuenta]],1))</f>
        <v>1</v>
      </c>
      <c r="L474" t="b">
        <f>+ISNUMBER(SEARCH('F-COMPRA'!$F$31,Tabla11[[#This Row],[Cuenta]],1))</f>
        <v>1</v>
      </c>
      <c r="M474" t="b">
        <f>+ISNUMBER(SEARCH('F-COMPRA'!$G$25,Tabla11[[#This Row],[Cuenta]],1))</f>
        <v>0</v>
      </c>
      <c r="N474" t="b">
        <f>+ISNUMBER(SEARCH(#REF!,Tabla11[[#This Row],[Cuenta]],1))</f>
        <v>0</v>
      </c>
      <c r="O474" t="b">
        <f>+ISNUMBER(SEARCH(#REF!,Tabla11[[#This Row],[Cuenta]],1))</f>
        <v>0</v>
      </c>
      <c r="P474" t="b">
        <f>+ISNUMBER(SEARCH('F-COMPRA'!$F$32,Tabla11[[#This Row],[Cuenta]],1))</f>
        <v>1</v>
      </c>
      <c r="Q474" t="b">
        <f>+ISNUMBER(SEARCH('F-COMPRA'!$F$33,Tabla11[[#This Row],[Cuenta]],1))</f>
        <v>1</v>
      </c>
      <c r="R474" t="b">
        <f>+ISNUMBER(SEARCH('F-COMPRA'!$F$34,Tabla11[[#This Row],[Cuenta]],1))</f>
        <v>1</v>
      </c>
      <c r="S474" t="b">
        <f>+ISNUMBER(SEARCH('F-COMPRA'!$F$35,Tabla11[[#This Row],[Cuenta]],1))</f>
        <v>1</v>
      </c>
      <c r="T474" t="b">
        <f>+ISNUMBER(SEARCH('F-COMPRA'!$F$36,Tabla11[[#This Row],[Cuenta]],1))</f>
        <v>1</v>
      </c>
      <c r="U474" t="b">
        <f>+ISNUMBER(SEARCH('F-COMPRA'!$F$37,Tabla11[[#This Row],[Cuenta]],1))</f>
        <v>1</v>
      </c>
      <c r="V474" t="b">
        <f>+ISNUMBER(SEARCH(#REF!,Tabla11[[#This Row],[Cuenta]],1))</f>
        <v>0</v>
      </c>
      <c r="W474" t="b">
        <f>+ISNUMBER(SEARCH('F-COMPRA'!#REF!,Tabla11[[#This Row],[Cuenta]],1))</f>
        <v>0</v>
      </c>
      <c r="X474" t="b">
        <f>+ISNUMBER(SEARCH('F-COMPRA'!#REF!,Tabla11[[#This Row],[Cuenta]],1))</f>
        <v>0</v>
      </c>
      <c r="Y474" t="b">
        <f>+ISNUMBER(SEARCH('F-COMPRA'!#REF!,Tabla11[[#This Row],[Cuenta]],1))</f>
        <v>0</v>
      </c>
      <c r="Z474" t="b">
        <f>+ISNUMBER(SEARCH('F-COMPRA'!#REF!,Tabla11[[#This Row],[Cuenta]],1))</f>
        <v>0</v>
      </c>
      <c r="AA474" t="b">
        <f>+ISNUMBER(SEARCH('F-COMPRA'!#REF!,Tabla11[[#This Row],[Cuenta]],1))</f>
        <v>0</v>
      </c>
      <c r="AB474" t="b">
        <f>+ISNUMBER(SEARCH('F-COMPRA'!#REF!,Tabla11[[#This Row],[Cuenta]],1))</f>
        <v>0</v>
      </c>
      <c r="AC474" t="b">
        <f>+ISNUMBER(SEARCH('F-COMPRA'!#REF!,Tabla11[[#This Row],[Cuenta]],1))</f>
        <v>0</v>
      </c>
      <c r="AD474" t="b">
        <f>+ISNUMBER(SEARCH('F-COMPRA'!#REF!,Tabla11[[#This Row],[Cuenta]],1))</f>
        <v>0</v>
      </c>
      <c r="AE474" t="b">
        <f>+ISNUMBER(SEARCH('F-COMPRA'!#REF!,Tabla11[[#This Row],[Cuenta]],1))</f>
        <v>0</v>
      </c>
      <c r="AF474" t="b">
        <f>+ISNUMBER(SEARCH('F-VTA'!$G$23,Tabla11[[#This Row],[Cuenta]],1))</f>
        <v>0</v>
      </c>
      <c r="AG474" t="b">
        <f>+ISNUMBER(SEARCH('F-VTA'!$G$24,Tabla11[[#This Row],[Cuenta]],1))</f>
        <v>0</v>
      </c>
      <c r="AH474" t="b">
        <f>+ISNUMBER(SEARCH('F-VTA'!$G$25,Tabla11[[#This Row],[Cuenta]],1))</f>
        <v>0</v>
      </c>
      <c r="AI474" t="b">
        <f>+ISNUMBER(SEARCH('F-VTA'!$F$28,Tabla11[[#This Row],[Cuenta]],1))</f>
        <v>1</v>
      </c>
      <c r="AJ474" t="b">
        <f>+ISNUMBER(SEARCH('F-VTA'!$F$29,Tabla11[[#This Row],[Cuenta]],1))</f>
        <v>1</v>
      </c>
      <c r="AK474" t="b">
        <f>+ISNUMBER(SEARCH('F-VTA'!$F$30,Tabla11[[#This Row],[Cuenta]],1))</f>
        <v>1</v>
      </c>
      <c r="AL474" t="b">
        <f>+ISNUMBER(SEARCH('F-VTA'!$F$31,Tabla11[[#This Row],[Cuenta]],1))</f>
        <v>1</v>
      </c>
      <c r="AM474" t="b">
        <f>+ISNUMBER(SEARCH('F-VTA'!$F$32,Tabla11[[#This Row],[Cuenta]],1))</f>
        <v>1</v>
      </c>
      <c r="AN474" t="b">
        <f>+ISNUMBER(SEARCH('F-VTA'!$F$33,Tabla11[[#This Row],[Cuenta]],1))</f>
        <v>1</v>
      </c>
      <c r="AO474" t="b">
        <f>+ISNUMBER(SEARCH('F-VTA'!$F$34,Tabla11[[#This Row],[Cuenta]],1))</f>
        <v>1</v>
      </c>
      <c r="AP474" t="b">
        <f>+ISNUMBER(SEARCH('F-VTA'!$F$35,Tabla11[[#This Row],[Cuenta]],1))</f>
        <v>1</v>
      </c>
      <c r="AQ474" t="b">
        <f>+ISNUMBER(SEARCH('F-VTA'!$F$36,Tabla11[[#This Row],[Cuenta]],1))</f>
        <v>1</v>
      </c>
      <c r="AR474" t="b">
        <f>+ISNUMBER(SEARCH(#REF!,Tabla11[[#This Row],[Cuenta]],1))</f>
        <v>0</v>
      </c>
      <c r="AS474" t="b">
        <f>+ISNUMBER(SEARCH(#REF!,Tabla11[[#This Row],[Cuenta]],1))</f>
        <v>0</v>
      </c>
      <c r="AT474" t="b">
        <f>+ISNUMBER(SEARCH(#REF!,Tabla11[[#This Row],[Cuenta]],1))</f>
        <v>0</v>
      </c>
      <c r="AU474" t="b">
        <f>+ISNUMBER(SEARCH('Conc. Ban.1'!$I$9,Tabla11[[#This Row],[Cuenta]],1))</f>
        <v>0</v>
      </c>
      <c r="AV474" t="b">
        <f>+ISNUMBER(SEARCH(CompConta!$F$21,Tabla11[[#This Row],[Cuenta]],1))</f>
        <v>1</v>
      </c>
      <c r="AW474" t="b">
        <f>+ISNUMBER(SEARCH(CompConta!$F$22,Tabla11[[#This Row],[Cuenta]],1))</f>
        <v>1</v>
      </c>
      <c r="AX474" t="b">
        <f>+ISNUMBER(SEARCH(CompConta!$F$23,Tabla11[[#This Row],[Cuenta]],1))</f>
        <v>1</v>
      </c>
      <c r="AY474" t="b">
        <f>+ISNUMBER(SEARCH(CompConta!$F$24,Tabla11[[#This Row],[Cuenta]],1))</f>
        <v>1</v>
      </c>
      <c r="AZ474" t="b">
        <f>+ISNUMBER(SEARCH(CompConta!$F$25,Tabla11[[#This Row],[Cuenta]],1))</f>
        <v>1</v>
      </c>
      <c r="BA474" t="b">
        <f>+ISNUMBER(SEARCH(CompConta!$F$26,Tabla11[[#This Row],[Cuenta]],1))</f>
        <v>1</v>
      </c>
      <c r="BB474" t="b">
        <f>+ISNUMBER(SEARCH(CompConta!$F$27,Tabla11[[#This Row],[Cuenta]],1))</f>
        <v>1</v>
      </c>
      <c r="BC474" t="b">
        <f>+ISNUMBER(SEARCH(CompConta!$F$28,Tabla11[[#This Row],[Cuenta]],1))</f>
        <v>1</v>
      </c>
      <c r="BD474" t="b">
        <f>+ISNUMBER(SEARCH(CompConta!$F$29,Tabla11[[#This Row],[Cuenta]],1))</f>
        <v>1</v>
      </c>
      <c r="BE474" t="b">
        <f>+ISNUMBER(SEARCH(CompConta!$F$30,Tabla11[[#This Row],[Cuenta]],1))</f>
        <v>1</v>
      </c>
      <c r="BF474" t="b">
        <f>+ISNUMBER(SEARCH('PAGO Compras'!$E$11,Tabla11[[#This Row],[Cuenta]],1))</f>
        <v>1</v>
      </c>
      <c r="BG474" t="b">
        <f>+ISNUMBER(SEARCH(#REF!,Tabla11[[#This Row],[Cuenta]],1))</f>
        <v>0</v>
      </c>
      <c r="BH474" t="b">
        <f>+ISNUMBER(SEARCH(#REF!,Tabla11[[#This Row],[Cuenta]],1))</f>
        <v>0</v>
      </c>
      <c r="BI474" t="b">
        <f>+ISNUMBER(SEARCH(#REF!,Tabla11[[#This Row],[Cuenta]],1))</f>
        <v>0</v>
      </c>
      <c r="BJ474" t="b">
        <f>+ISNUMBER(SEARCH(#REF!,Tabla11[[#This Row],[Cuenta]],1))</f>
        <v>0</v>
      </c>
      <c r="BS474" t="str">
        <v>242405 Vigencia fiscal corriente</v>
      </c>
      <c r="BT474" t="str">
        <v>242405 Vigencia fiscal corriente</v>
      </c>
      <c r="BU474" t="str">
        <v>242405 Vigencia fiscal corriente</v>
      </c>
      <c r="BV474" t="str">
        <v>242405 Vigencia fiscal corriente</v>
      </c>
      <c r="BZ474" t="str">
        <v>242405 Vigencia fiscal corriente</v>
      </c>
      <c r="CA474" t="str">
        <v>242405 Vigencia fiscal corriente</v>
      </c>
      <c r="CB474" t="str">
        <v>242405 Vigencia fiscal corriente</v>
      </c>
      <c r="CC474" t="str">
        <v>242405 Vigencia fiscal corriente</v>
      </c>
      <c r="CD474" t="str">
        <v>242405 Vigencia fiscal corriente</v>
      </c>
      <c r="CE474" t="str">
        <v>242405 Vigencia fiscal corriente</v>
      </c>
      <c r="CS474" s="141" t="str">
        <v>242405 Vigencia fiscal corriente</v>
      </c>
      <c r="CT474" s="141" t="str">
        <v>242405 Vigencia fiscal corriente</v>
      </c>
      <c r="CU474" s="141" t="str">
        <v>242405 Vigencia fiscal corriente</v>
      </c>
      <c r="CV474" s="141" t="str">
        <v>242405 Vigencia fiscal corriente</v>
      </c>
      <c r="CW474" s="141" t="str">
        <v>242405 Vigencia fiscal corriente</v>
      </c>
      <c r="CX474" s="141" t="str">
        <v>242405 Vigencia fiscal corriente</v>
      </c>
      <c r="CY474" s="141" t="str">
        <v>242405 Vigencia fiscal corriente</v>
      </c>
      <c r="CZ474" s="141" t="str">
        <v>242405 Vigencia fiscal corriente</v>
      </c>
      <c r="DA474" s="141" t="str">
        <v>242405 Vigencia fiscal corriente</v>
      </c>
      <c r="DF474" t="str">
        <v>242405 Vigencia fiscal corriente</v>
      </c>
      <c r="DG474" t="str">
        <v>242405 Vigencia fiscal corriente</v>
      </c>
      <c r="DH474" t="str">
        <v>242405 Vigencia fiscal corriente</v>
      </c>
      <c r="DI474" t="str">
        <v>242405 Vigencia fiscal corriente</v>
      </c>
      <c r="DJ474" t="str">
        <v>242405 Vigencia fiscal corriente</v>
      </c>
      <c r="DK474" t="str">
        <v>242405 Vigencia fiscal corriente</v>
      </c>
      <c r="DL474" t="str">
        <v>242405 Vigencia fiscal corriente</v>
      </c>
      <c r="DM474" t="str">
        <v>242405 Vigencia fiscal corriente</v>
      </c>
      <c r="DN474" t="str">
        <v>242405 Vigencia fiscal corriente</v>
      </c>
      <c r="DO474" t="str">
        <v>242405 Vigencia fiscal corriente</v>
      </c>
      <c r="DP474" t="str">
        <v>242405 Vigencia fiscal corriente</v>
      </c>
    </row>
    <row r="475" spans="4:120" ht="12.75">
      <c r="D475" s="7">
        <v>242410</v>
      </c>
      <c r="E475" s="6" t="s">
        <v>354</v>
      </c>
      <c r="F475" s="5">
        <v>4</v>
      </c>
      <c r="G475" s="34" t="s">
        <v>823</v>
      </c>
      <c r="H475" s="26" t="s">
        <v>765</v>
      </c>
      <c r="I475" t="b">
        <f>+ISNUMBER(SEARCH('F-COMPRA'!$F$28,Tabla11[[#This Row],[Cuenta]],1))</f>
        <v>1</v>
      </c>
      <c r="J475" t="b">
        <f>+ISNUMBER(SEARCH('F-COMPRA'!$F$29,Tabla11[[#This Row],[Cuenta]],1))</f>
        <v>1</v>
      </c>
      <c r="K475" t="b">
        <f>+ISNUMBER(SEARCH('F-COMPRA'!$F$30,Tabla11[[#This Row],[Cuenta]],1))</f>
        <v>1</v>
      </c>
      <c r="L475" t="b">
        <f>+ISNUMBER(SEARCH('F-COMPRA'!$F$31,Tabla11[[#This Row],[Cuenta]],1))</f>
        <v>1</v>
      </c>
      <c r="M475" t="b">
        <f>+ISNUMBER(SEARCH('F-COMPRA'!$G$25,Tabla11[[#This Row],[Cuenta]],1))</f>
        <v>0</v>
      </c>
      <c r="N475" t="b">
        <f>+ISNUMBER(SEARCH(#REF!,Tabla11[[#This Row],[Cuenta]],1))</f>
        <v>0</v>
      </c>
      <c r="O475" t="b">
        <f>+ISNUMBER(SEARCH(#REF!,Tabla11[[#This Row],[Cuenta]],1))</f>
        <v>0</v>
      </c>
      <c r="P475" t="b">
        <f>+ISNUMBER(SEARCH('F-COMPRA'!$F$32,Tabla11[[#This Row],[Cuenta]],1))</f>
        <v>1</v>
      </c>
      <c r="Q475" t="b">
        <f>+ISNUMBER(SEARCH('F-COMPRA'!$F$33,Tabla11[[#This Row],[Cuenta]],1))</f>
        <v>1</v>
      </c>
      <c r="R475" t="b">
        <f>+ISNUMBER(SEARCH('F-COMPRA'!$F$34,Tabla11[[#This Row],[Cuenta]],1))</f>
        <v>1</v>
      </c>
      <c r="S475" t="b">
        <f>+ISNUMBER(SEARCH('F-COMPRA'!$F$35,Tabla11[[#This Row],[Cuenta]],1))</f>
        <v>1</v>
      </c>
      <c r="T475" t="b">
        <f>+ISNUMBER(SEARCH('F-COMPRA'!$F$36,Tabla11[[#This Row],[Cuenta]],1))</f>
        <v>1</v>
      </c>
      <c r="U475" t="b">
        <f>+ISNUMBER(SEARCH('F-COMPRA'!$F$37,Tabla11[[#This Row],[Cuenta]],1))</f>
        <v>1</v>
      </c>
      <c r="V475" t="b">
        <f>+ISNUMBER(SEARCH(#REF!,Tabla11[[#This Row],[Cuenta]],1))</f>
        <v>0</v>
      </c>
      <c r="W475" t="b">
        <f>+ISNUMBER(SEARCH('F-COMPRA'!#REF!,Tabla11[[#This Row],[Cuenta]],1))</f>
        <v>0</v>
      </c>
      <c r="X475" t="b">
        <f>+ISNUMBER(SEARCH('F-COMPRA'!#REF!,Tabla11[[#This Row],[Cuenta]],1))</f>
        <v>0</v>
      </c>
      <c r="Y475" t="b">
        <f>+ISNUMBER(SEARCH('F-COMPRA'!#REF!,Tabla11[[#This Row],[Cuenta]],1))</f>
        <v>0</v>
      </c>
      <c r="Z475" t="b">
        <f>+ISNUMBER(SEARCH('F-COMPRA'!#REF!,Tabla11[[#This Row],[Cuenta]],1))</f>
        <v>0</v>
      </c>
      <c r="AA475" t="b">
        <f>+ISNUMBER(SEARCH('F-COMPRA'!#REF!,Tabla11[[#This Row],[Cuenta]],1))</f>
        <v>0</v>
      </c>
      <c r="AB475" t="b">
        <f>+ISNUMBER(SEARCH('F-COMPRA'!#REF!,Tabla11[[#This Row],[Cuenta]],1))</f>
        <v>0</v>
      </c>
      <c r="AC475" t="b">
        <f>+ISNUMBER(SEARCH('F-COMPRA'!#REF!,Tabla11[[#This Row],[Cuenta]],1))</f>
        <v>0</v>
      </c>
      <c r="AD475" t="b">
        <f>+ISNUMBER(SEARCH('F-COMPRA'!#REF!,Tabla11[[#This Row],[Cuenta]],1))</f>
        <v>0</v>
      </c>
      <c r="AE475" t="b">
        <f>+ISNUMBER(SEARCH('F-COMPRA'!#REF!,Tabla11[[#This Row],[Cuenta]],1))</f>
        <v>0</v>
      </c>
      <c r="AF475" t="b">
        <f>+ISNUMBER(SEARCH('F-VTA'!$G$23,Tabla11[[#This Row],[Cuenta]],1))</f>
        <v>0</v>
      </c>
      <c r="AG475" t="b">
        <f>+ISNUMBER(SEARCH('F-VTA'!$G$24,Tabla11[[#This Row],[Cuenta]],1))</f>
        <v>0</v>
      </c>
      <c r="AH475" t="b">
        <f>+ISNUMBER(SEARCH('F-VTA'!$G$25,Tabla11[[#This Row],[Cuenta]],1))</f>
        <v>0</v>
      </c>
      <c r="AI475" t="b">
        <f>+ISNUMBER(SEARCH('F-VTA'!$F$28,Tabla11[[#This Row],[Cuenta]],1))</f>
        <v>1</v>
      </c>
      <c r="AJ475" t="b">
        <f>+ISNUMBER(SEARCH('F-VTA'!$F$29,Tabla11[[#This Row],[Cuenta]],1))</f>
        <v>1</v>
      </c>
      <c r="AK475" t="b">
        <f>+ISNUMBER(SEARCH('F-VTA'!$F$30,Tabla11[[#This Row],[Cuenta]],1))</f>
        <v>1</v>
      </c>
      <c r="AL475" t="b">
        <f>+ISNUMBER(SEARCH('F-VTA'!$F$31,Tabla11[[#This Row],[Cuenta]],1))</f>
        <v>1</v>
      </c>
      <c r="AM475" t="b">
        <f>+ISNUMBER(SEARCH('F-VTA'!$F$32,Tabla11[[#This Row],[Cuenta]],1))</f>
        <v>1</v>
      </c>
      <c r="AN475" t="b">
        <f>+ISNUMBER(SEARCH('F-VTA'!$F$33,Tabla11[[#This Row],[Cuenta]],1))</f>
        <v>1</v>
      </c>
      <c r="AO475" t="b">
        <f>+ISNUMBER(SEARCH('F-VTA'!$F$34,Tabla11[[#This Row],[Cuenta]],1))</f>
        <v>1</v>
      </c>
      <c r="AP475" t="b">
        <f>+ISNUMBER(SEARCH('F-VTA'!$F$35,Tabla11[[#This Row],[Cuenta]],1))</f>
        <v>1</v>
      </c>
      <c r="AQ475" t="b">
        <f>+ISNUMBER(SEARCH('F-VTA'!$F$36,Tabla11[[#This Row],[Cuenta]],1))</f>
        <v>1</v>
      </c>
      <c r="AR475" t="b">
        <f>+ISNUMBER(SEARCH(#REF!,Tabla11[[#This Row],[Cuenta]],1))</f>
        <v>0</v>
      </c>
      <c r="AS475" t="b">
        <f>+ISNUMBER(SEARCH(#REF!,Tabla11[[#This Row],[Cuenta]],1))</f>
        <v>0</v>
      </c>
      <c r="AT475" t="b">
        <f>+ISNUMBER(SEARCH(#REF!,Tabla11[[#This Row],[Cuenta]],1))</f>
        <v>0</v>
      </c>
      <c r="AU475" t="b">
        <f>+ISNUMBER(SEARCH('Conc. Ban.1'!$I$9,Tabla11[[#This Row],[Cuenta]],1))</f>
        <v>0</v>
      </c>
      <c r="AV475" t="b">
        <f>+ISNUMBER(SEARCH(CompConta!$F$21,Tabla11[[#This Row],[Cuenta]],1))</f>
        <v>1</v>
      </c>
      <c r="AW475" t="b">
        <f>+ISNUMBER(SEARCH(CompConta!$F$22,Tabla11[[#This Row],[Cuenta]],1))</f>
        <v>1</v>
      </c>
      <c r="AX475" t="b">
        <f>+ISNUMBER(SEARCH(CompConta!$F$23,Tabla11[[#This Row],[Cuenta]],1))</f>
        <v>1</v>
      </c>
      <c r="AY475" t="b">
        <f>+ISNUMBER(SEARCH(CompConta!$F$24,Tabla11[[#This Row],[Cuenta]],1))</f>
        <v>1</v>
      </c>
      <c r="AZ475" t="b">
        <f>+ISNUMBER(SEARCH(CompConta!$F$25,Tabla11[[#This Row],[Cuenta]],1))</f>
        <v>1</v>
      </c>
      <c r="BA475" t="b">
        <f>+ISNUMBER(SEARCH(CompConta!$F$26,Tabla11[[#This Row],[Cuenta]],1))</f>
        <v>1</v>
      </c>
      <c r="BB475" t="b">
        <f>+ISNUMBER(SEARCH(CompConta!$F$27,Tabla11[[#This Row],[Cuenta]],1))</f>
        <v>1</v>
      </c>
      <c r="BC475" t="b">
        <f>+ISNUMBER(SEARCH(CompConta!$F$28,Tabla11[[#This Row],[Cuenta]],1))</f>
        <v>1</v>
      </c>
      <c r="BD475" t="b">
        <f>+ISNUMBER(SEARCH(CompConta!$F$29,Tabla11[[#This Row],[Cuenta]],1))</f>
        <v>1</v>
      </c>
      <c r="BE475" t="b">
        <f>+ISNUMBER(SEARCH(CompConta!$F$30,Tabla11[[#This Row],[Cuenta]],1))</f>
        <v>1</v>
      </c>
      <c r="BF475" t="b">
        <f>+ISNUMBER(SEARCH('PAGO Compras'!$E$11,Tabla11[[#This Row],[Cuenta]],1))</f>
        <v>1</v>
      </c>
      <c r="BG475" t="b">
        <f>+ISNUMBER(SEARCH(#REF!,Tabla11[[#This Row],[Cuenta]],1))</f>
        <v>0</v>
      </c>
      <c r="BH475" t="b">
        <f>+ISNUMBER(SEARCH(#REF!,Tabla11[[#This Row],[Cuenta]],1))</f>
        <v>0</v>
      </c>
      <c r="BI475" t="b">
        <f>+ISNUMBER(SEARCH(#REF!,Tabla11[[#This Row],[Cuenta]],1))</f>
        <v>0</v>
      </c>
      <c r="BJ475" t="b">
        <f>+ISNUMBER(SEARCH(#REF!,Tabla11[[#This Row],[Cuenta]],1))</f>
        <v>0</v>
      </c>
      <c r="BS475" t="str">
        <v>242410 Vigencias fiscales anteriores</v>
      </c>
      <c r="BT475" t="str">
        <v>242410 Vigencias fiscales anteriores</v>
      </c>
      <c r="BU475" t="str">
        <v>242410 Vigencias fiscales anteriores</v>
      </c>
      <c r="BV475" t="str">
        <v>242410 Vigencias fiscales anteriores</v>
      </c>
      <c r="BZ475" t="str">
        <v>242410 Vigencias fiscales anteriores</v>
      </c>
      <c r="CA475" t="str">
        <v>242410 Vigencias fiscales anteriores</v>
      </c>
      <c r="CB475" t="str">
        <v>242410 Vigencias fiscales anteriores</v>
      </c>
      <c r="CC475" t="str">
        <v>242410 Vigencias fiscales anteriores</v>
      </c>
      <c r="CD475" t="str">
        <v>242410 Vigencias fiscales anteriores</v>
      </c>
      <c r="CE475" t="str">
        <v>242410 Vigencias fiscales anteriores</v>
      </c>
      <c r="CS475" s="141" t="str">
        <v>242410 Vigencias fiscales anteriores</v>
      </c>
      <c r="CT475" s="141" t="str">
        <v>242410 Vigencias fiscales anteriores</v>
      </c>
      <c r="CU475" s="141" t="str">
        <v>242410 Vigencias fiscales anteriores</v>
      </c>
      <c r="CV475" s="141" t="str">
        <v>242410 Vigencias fiscales anteriores</v>
      </c>
      <c r="CW475" s="141" t="str">
        <v>242410 Vigencias fiscales anteriores</v>
      </c>
      <c r="CX475" s="141" t="str">
        <v>242410 Vigencias fiscales anteriores</v>
      </c>
      <c r="CY475" s="141" t="str">
        <v>242410 Vigencias fiscales anteriores</v>
      </c>
      <c r="CZ475" s="141" t="str">
        <v>242410 Vigencias fiscales anteriores</v>
      </c>
      <c r="DA475" s="141" t="str">
        <v>242410 Vigencias fiscales anteriores</v>
      </c>
      <c r="DF475" t="str">
        <v>242410 Vigencias fiscales anteriores</v>
      </c>
      <c r="DG475" t="str">
        <v>242410 Vigencias fiscales anteriores</v>
      </c>
      <c r="DH475" t="str">
        <v>242410 Vigencias fiscales anteriores</v>
      </c>
      <c r="DI475" t="str">
        <v>242410 Vigencias fiscales anteriores</v>
      </c>
      <c r="DJ475" t="str">
        <v>242410 Vigencias fiscales anteriores</v>
      </c>
      <c r="DK475" t="str">
        <v>242410 Vigencias fiscales anteriores</v>
      </c>
      <c r="DL475" t="str">
        <v>242410 Vigencias fiscales anteriores</v>
      </c>
      <c r="DM475" t="str">
        <v>242410 Vigencias fiscales anteriores</v>
      </c>
      <c r="DN475" t="str">
        <v>242410 Vigencias fiscales anteriores</v>
      </c>
      <c r="DO475" t="str">
        <v>242410 Vigencias fiscales anteriores</v>
      </c>
      <c r="DP475" t="str">
        <v>242410 Vigencias fiscales anteriores</v>
      </c>
    </row>
    <row r="476" spans="4:120" ht="12.75">
      <c r="D476" s="7">
        <v>2428</v>
      </c>
      <c r="E476" s="6" t="s">
        <v>360</v>
      </c>
      <c r="F476" s="5">
        <v>3</v>
      </c>
      <c r="G476" s="34" t="s">
        <v>823</v>
      </c>
      <c r="H476" s="26" t="s">
        <v>765</v>
      </c>
      <c r="I476" t="b">
        <f>+ISNUMBER(SEARCH('F-COMPRA'!$F$28,Tabla11[[#This Row],[Cuenta]],1))</f>
        <v>1</v>
      </c>
      <c r="J476" t="b">
        <f>+ISNUMBER(SEARCH('F-COMPRA'!$F$29,Tabla11[[#This Row],[Cuenta]],1))</f>
        <v>1</v>
      </c>
      <c r="K476" t="b">
        <f>+ISNUMBER(SEARCH('F-COMPRA'!$F$30,Tabla11[[#This Row],[Cuenta]],1))</f>
        <v>1</v>
      </c>
      <c r="L476" t="b">
        <f>+ISNUMBER(SEARCH('F-COMPRA'!$F$31,Tabla11[[#This Row],[Cuenta]],1))</f>
        <v>1</v>
      </c>
      <c r="M476" t="b">
        <f>+ISNUMBER(SEARCH('F-COMPRA'!$G$25,Tabla11[[#This Row],[Cuenta]],1))</f>
        <v>0</v>
      </c>
      <c r="N476" t="b">
        <f>+ISNUMBER(SEARCH(#REF!,Tabla11[[#This Row],[Cuenta]],1))</f>
        <v>0</v>
      </c>
      <c r="O476" t="b">
        <f>+ISNUMBER(SEARCH(#REF!,Tabla11[[#This Row],[Cuenta]],1))</f>
        <v>0</v>
      </c>
      <c r="P476" t="b">
        <f>+ISNUMBER(SEARCH('F-COMPRA'!$F$32,Tabla11[[#This Row],[Cuenta]],1))</f>
        <v>1</v>
      </c>
      <c r="Q476" t="b">
        <f>+ISNUMBER(SEARCH('F-COMPRA'!$F$33,Tabla11[[#This Row],[Cuenta]],1))</f>
        <v>1</v>
      </c>
      <c r="R476" t="b">
        <f>+ISNUMBER(SEARCH('F-COMPRA'!$F$34,Tabla11[[#This Row],[Cuenta]],1))</f>
        <v>1</v>
      </c>
      <c r="S476" t="b">
        <f>+ISNUMBER(SEARCH('F-COMPRA'!$F$35,Tabla11[[#This Row],[Cuenta]],1))</f>
        <v>1</v>
      </c>
      <c r="T476" t="b">
        <f>+ISNUMBER(SEARCH('F-COMPRA'!$F$36,Tabla11[[#This Row],[Cuenta]],1))</f>
        <v>1</v>
      </c>
      <c r="U476" t="b">
        <f>+ISNUMBER(SEARCH('F-COMPRA'!$F$37,Tabla11[[#This Row],[Cuenta]],1))</f>
        <v>1</v>
      </c>
      <c r="V476" t="b">
        <f>+ISNUMBER(SEARCH(#REF!,Tabla11[[#This Row],[Cuenta]],1))</f>
        <v>0</v>
      </c>
      <c r="W476" t="b">
        <f>+ISNUMBER(SEARCH('F-COMPRA'!#REF!,Tabla11[[#This Row],[Cuenta]],1))</f>
        <v>0</v>
      </c>
      <c r="X476" t="b">
        <f>+ISNUMBER(SEARCH('F-COMPRA'!#REF!,Tabla11[[#This Row],[Cuenta]],1))</f>
        <v>0</v>
      </c>
      <c r="Y476" t="b">
        <f>+ISNUMBER(SEARCH('F-COMPRA'!#REF!,Tabla11[[#This Row],[Cuenta]],1))</f>
        <v>0</v>
      </c>
      <c r="Z476" t="b">
        <f>+ISNUMBER(SEARCH('F-COMPRA'!#REF!,Tabla11[[#This Row],[Cuenta]],1))</f>
        <v>0</v>
      </c>
      <c r="AA476" t="b">
        <f>+ISNUMBER(SEARCH('F-COMPRA'!#REF!,Tabla11[[#This Row],[Cuenta]],1))</f>
        <v>0</v>
      </c>
      <c r="AB476" t="b">
        <f>+ISNUMBER(SEARCH('F-COMPRA'!#REF!,Tabla11[[#This Row],[Cuenta]],1))</f>
        <v>0</v>
      </c>
      <c r="AC476" t="b">
        <f>+ISNUMBER(SEARCH('F-COMPRA'!#REF!,Tabla11[[#This Row],[Cuenta]],1))</f>
        <v>0</v>
      </c>
      <c r="AD476" t="b">
        <f>+ISNUMBER(SEARCH('F-COMPRA'!#REF!,Tabla11[[#This Row],[Cuenta]],1))</f>
        <v>0</v>
      </c>
      <c r="AE476" t="b">
        <f>+ISNUMBER(SEARCH('F-COMPRA'!#REF!,Tabla11[[#This Row],[Cuenta]],1))</f>
        <v>0</v>
      </c>
      <c r="AF476" t="b">
        <f>+ISNUMBER(SEARCH('F-VTA'!$G$23,Tabla11[[#This Row],[Cuenta]],1))</f>
        <v>0</v>
      </c>
      <c r="AG476" t="b">
        <f>+ISNUMBER(SEARCH('F-VTA'!$G$24,Tabla11[[#This Row],[Cuenta]],1))</f>
        <v>0</v>
      </c>
      <c r="AH476" t="b">
        <f>+ISNUMBER(SEARCH('F-VTA'!$G$25,Tabla11[[#This Row],[Cuenta]],1))</f>
        <v>0</v>
      </c>
      <c r="AI476" t="b">
        <f>+ISNUMBER(SEARCH('F-VTA'!$F$28,Tabla11[[#This Row],[Cuenta]],1))</f>
        <v>1</v>
      </c>
      <c r="AJ476" t="b">
        <f>+ISNUMBER(SEARCH('F-VTA'!$F$29,Tabla11[[#This Row],[Cuenta]],1))</f>
        <v>1</v>
      </c>
      <c r="AK476" t="b">
        <f>+ISNUMBER(SEARCH('F-VTA'!$F$30,Tabla11[[#This Row],[Cuenta]],1))</f>
        <v>1</v>
      </c>
      <c r="AL476" t="b">
        <f>+ISNUMBER(SEARCH('F-VTA'!$F$31,Tabla11[[#This Row],[Cuenta]],1))</f>
        <v>1</v>
      </c>
      <c r="AM476" t="b">
        <f>+ISNUMBER(SEARCH('F-VTA'!$F$32,Tabla11[[#This Row],[Cuenta]],1))</f>
        <v>1</v>
      </c>
      <c r="AN476" t="b">
        <f>+ISNUMBER(SEARCH('F-VTA'!$F$33,Tabla11[[#This Row],[Cuenta]],1))</f>
        <v>1</v>
      </c>
      <c r="AO476" t="b">
        <f>+ISNUMBER(SEARCH('F-VTA'!$F$34,Tabla11[[#This Row],[Cuenta]],1))</f>
        <v>1</v>
      </c>
      <c r="AP476" t="b">
        <f>+ISNUMBER(SEARCH('F-VTA'!$F$35,Tabla11[[#This Row],[Cuenta]],1))</f>
        <v>1</v>
      </c>
      <c r="AQ476" t="b">
        <f>+ISNUMBER(SEARCH('F-VTA'!$F$36,Tabla11[[#This Row],[Cuenta]],1))</f>
        <v>1</v>
      </c>
      <c r="AR476" t="b">
        <f>+ISNUMBER(SEARCH(#REF!,Tabla11[[#This Row],[Cuenta]],1))</f>
        <v>0</v>
      </c>
      <c r="AS476" t="b">
        <f>+ISNUMBER(SEARCH(#REF!,Tabla11[[#This Row],[Cuenta]],1))</f>
        <v>0</v>
      </c>
      <c r="AT476" t="b">
        <f>+ISNUMBER(SEARCH(#REF!,Tabla11[[#This Row],[Cuenta]],1))</f>
        <v>0</v>
      </c>
      <c r="AU476" t="b">
        <f>+ISNUMBER(SEARCH('Conc. Ban.1'!$I$9,Tabla11[[#This Row],[Cuenta]],1))</f>
        <v>0</v>
      </c>
      <c r="AV476" t="b">
        <f>+ISNUMBER(SEARCH(CompConta!$F$21,Tabla11[[#This Row],[Cuenta]],1))</f>
        <v>1</v>
      </c>
      <c r="AW476" t="b">
        <f>+ISNUMBER(SEARCH(CompConta!$F$22,Tabla11[[#This Row],[Cuenta]],1))</f>
        <v>1</v>
      </c>
      <c r="AX476" t="b">
        <f>+ISNUMBER(SEARCH(CompConta!$F$23,Tabla11[[#This Row],[Cuenta]],1))</f>
        <v>1</v>
      </c>
      <c r="AY476" t="b">
        <f>+ISNUMBER(SEARCH(CompConta!$F$24,Tabla11[[#This Row],[Cuenta]],1))</f>
        <v>1</v>
      </c>
      <c r="AZ476" t="b">
        <f>+ISNUMBER(SEARCH(CompConta!$F$25,Tabla11[[#This Row],[Cuenta]],1))</f>
        <v>1</v>
      </c>
      <c r="BA476" t="b">
        <f>+ISNUMBER(SEARCH(CompConta!$F$26,Tabla11[[#This Row],[Cuenta]],1))</f>
        <v>1</v>
      </c>
      <c r="BB476" t="b">
        <f>+ISNUMBER(SEARCH(CompConta!$F$27,Tabla11[[#This Row],[Cuenta]],1))</f>
        <v>1</v>
      </c>
      <c r="BC476" t="b">
        <f>+ISNUMBER(SEARCH(CompConta!$F$28,Tabla11[[#This Row],[Cuenta]],1))</f>
        <v>1</v>
      </c>
      <c r="BD476" t="b">
        <f>+ISNUMBER(SEARCH(CompConta!$F$29,Tabla11[[#This Row],[Cuenta]],1))</f>
        <v>1</v>
      </c>
      <c r="BE476" t="b">
        <f>+ISNUMBER(SEARCH(CompConta!$F$30,Tabla11[[#This Row],[Cuenta]],1))</f>
        <v>1</v>
      </c>
      <c r="BF476" t="b">
        <f>+ISNUMBER(SEARCH('PAGO Compras'!$E$11,Tabla11[[#This Row],[Cuenta]],1))</f>
        <v>1</v>
      </c>
      <c r="BG476" t="b">
        <f>+ISNUMBER(SEARCH(#REF!,Tabla11[[#This Row],[Cuenta]],1))</f>
        <v>0</v>
      </c>
      <c r="BH476" t="b">
        <f>+ISNUMBER(SEARCH(#REF!,Tabla11[[#This Row],[Cuenta]],1))</f>
        <v>0</v>
      </c>
      <c r="BI476" t="b">
        <f>+ISNUMBER(SEARCH(#REF!,Tabla11[[#This Row],[Cuenta]],1))</f>
        <v>0</v>
      </c>
      <c r="BJ476" t="b">
        <f>+ISNUMBER(SEARCH(#REF!,Tabla11[[#This Row],[Cuenta]],1))</f>
        <v>0</v>
      </c>
      <c r="BS476" t="str">
        <v>2428 DE TURISMO</v>
      </c>
      <c r="BT476" t="str">
        <v>2428 DE TURISMO</v>
      </c>
      <c r="BU476" t="str">
        <v>2428 DE TURISMO</v>
      </c>
      <c r="BV476" t="str">
        <v>2428 DE TURISMO</v>
      </c>
      <c r="BZ476" t="str">
        <v>2428 DE TURISMO</v>
      </c>
      <c r="CA476" t="str">
        <v>2428 DE TURISMO</v>
      </c>
      <c r="CB476" t="str">
        <v>2428 DE TURISMO</v>
      </c>
      <c r="CC476" t="str">
        <v>2428 DE TURISMO</v>
      </c>
      <c r="CD476" t="str">
        <v>2428 DE TURISMO</v>
      </c>
      <c r="CE476" t="str">
        <v>2428 DE TURISMO</v>
      </c>
      <c r="CS476" s="141" t="str">
        <v>2428 DE TURISMO</v>
      </c>
      <c r="CT476" s="141" t="str">
        <v>2428 DE TURISMO</v>
      </c>
      <c r="CU476" s="141" t="str">
        <v>2428 DE TURISMO</v>
      </c>
      <c r="CV476" s="141" t="str">
        <v>2428 DE TURISMO</v>
      </c>
      <c r="CW476" s="141" t="str">
        <v>2428 DE TURISMO</v>
      </c>
      <c r="CX476" s="141" t="str">
        <v>2428 DE TURISMO</v>
      </c>
      <c r="CY476" s="141" t="str">
        <v>2428 DE TURISMO</v>
      </c>
      <c r="CZ476" s="141" t="str">
        <v>2428 DE TURISMO</v>
      </c>
      <c r="DA476" s="141" t="str">
        <v>2428 DE TURISMO</v>
      </c>
      <c r="DF476" t="str">
        <v>2428 DE TURISMO</v>
      </c>
      <c r="DG476" t="str">
        <v>2428 DE TURISMO</v>
      </c>
      <c r="DH476" t="str">
        <v>2428 DE TURISMO</v>
      </c>
      <c r="DI476" t="str">
        <v>2428 DE TURISMO</v>
      </c>
      <c r="DJ476" t="str">
        <v>2428 DE TURISMO</v>
      </c>
      <c r="DK476" t="str">
        <v>2428 DE TURISMO</v>
      </c>
      <c r="DL476" t="str">
        <v>2428 DE TURISMO</v>
      </c>
      <c r="DM476" t="str">
        <v>2428 DE TURISMO</v>
      </c>
      <c r="DN476" t="str">
        <v>2428 DE TURISMO</v>
      </c>
      <c r="DO476" t="str">
        <v>2428 DE TURISMO</v>
      </c>
      <c r="DP476" t="str">
        <v>2428 DE TURISMO</v>
      </c>
    </row>
    <row r="477" spans="4:120" ht="12.75">
      <c r="D477" s="7">
        <v>2432</v>
      </c>
      <c r="E477" s="6" t="s">
        <v>361</v>
      </c>
      <c r="F477" s="5">
        <v>3</v>
      </c>
      <c r="G477" s="34" t="s">
        <v>823</v>
      </c>
      <c r="H477" s="26" t="s">
        <v>765</v>
      </c>
      <c r="I477" t="b">
        <f>+ISNUMBER(SEARCH('F-COMPRA'!$F$28,Tabla11[[#This Row],[Cuenta]],1))</f>
        <v>1</v>
      </c>
      <c r="J477" t="b">
        <f>+ISNUMBER(SEARCH('F-COMPRA'!$F$29,Tabla11[[#This Row],[Cuenta]],1))</f>
        <v>1</v>
      </c>
      <c r="K477" t="b">
        <f>+ISNUMBER(SEARCH('F-COMPRA'!$F$30,Tabla11[[#This Row],[Cuenta]],1))</f>
        <v>1</v>
      </c>
      <c r="L477" t="b">
        <f>+ISNUMBER(SEARCH('F-COMPRA'!$F$31,Tabla11[[#This Row],[Cuenta]],1))</f>
        <v>1</v>
      </c>
      <c r="M477" t="b">
        <f>+ISNUMBER(SEARCH('F-COMPRA'!$G$25,Tabla11[[#This Row],[Cuenta]],1))</f>
        <v>0</v>
      </c>
      <c r="N477" t="b">
        <f>+ISNUMBER(SEARCH(#REF!,Tabla11[[#This Row],[Cuenta]],1))</f>
        <v>0</v>
      </c>
      <c r="O477" t="b">
        <f>+ISNUMBER(SEARCH(#REF!,Tabla11[[#This Row],[Cuenta]],1))</f>
        <v>0</v>
      </c>
      <c r="P477" t="b">
        <f>+ISNUMBER(SEARCH('F-COMPRA'!$F$32,Tabla11[[#This Row],[Cuenta]],1))</f>
        <v>1</v>
      </c>
      <c r="Q477" t="b">
        <f>+ISNUMBER(SEARCH('F-COMPRA'!$F$33,Tabla11[[#This Row],[Cuenta]],1))</f>
        <v>1</v>
      </c>
      <c r="R477" t="b">
        <f>+ISNUMBER(SEARCH('F-COMPRA'!$F$34,Tabla11[[#This Row],[Cuenta]],1))</f>
        <v>1</v>
      </c>
      <c r="S477" t="b">
        <f>+ISNUMBER(SEARCH('F-COMPRA'!$F$35,Tabla11[[#This Row],[Cuenta]],1))</f>
        <v>1</v>
      </c>
      <c r="T477" t="b">
        <f>+ISNUMBER(SEARCH('F-COMPRA'!$F$36,Tabla11[[#This Row],[Cuenta]],1))</f>
        <v>1</v>
      </c>
      <c r="U477" t="b">
        <f>+ISNUMBER(SEARCH('F-COMPRA'!$F$37,Tabla11[[#This Row],[Cuenta]],1))</f>
        <v>1</v>
      </c>
      <c r="V477" t="b">
        <f>+ISNUMBER(SEARCH(#REF!,Tabla11[[#This Row],[Cuenta]],1))</f>
        <v>0</v>
      </c>
      <c r="W477" t="b">
        <f>+ISNUMBER(SEARCH('F-COMPRA'!#REF!,Tabla11[[#This Row],[Cuenta]],1))</f>
        <v>0</v>
      </c>
      <c r="X477" t="b">
        <f>+ISNUMBER(SEARCH('F-COMPRA'!#REF!,Tabla11[[#This Row],[Cuenta]],1))</f>
        <v>0</v>
      </c>
      <c r="Y477" t="b">
        <f>+ISNUMBER(SEARCH('F-COMPRA'!#REF!,Tabla11[[#This Row],[Cuenta]],1))</f>
        <v>0</v>
      </c>
      <c r="Z477" t="b">
        <f>+ISNUMBER(SEARCH('F-COMPRA'!#REF!,Tabla11[[#This Row],[Cuenta]],1))</f>
        <v>0</v>
      </c>
      <c r="AA477" t="b">
        <f>+ISNUMBER(SEARCH('F-COMPRA'!#REF!,Tabla11[[#This Row],[Cuenta]],1))</f>
        <v>0</v>
      </c>
      <c r="AB477" t="b">
        <f>+ISNUMBER(SEARCH('F-COMPRA'!#REF!,Tabla11[[#This Row],[Cuenta]],1))</f>
        <v>0</v>
      </c>
      <c r="AC477" t="b">
        <f>+ISNUMBER(SEARCH('F-COMPRA'!#REF!,Tabla11[[#This Row],[Cuenta]],1))</f>
        <v>0</v>
      </c>
      <c r="AD477" t="b">
        <f>+ISNUMBER(SEARCH('F-COMPRA'!#REF!,Tabla11[[#This Row],[Cuenta]],1))</f>
        <v>0</v>
      </c>
      <c r="AE477" t="b">
        <f>+ISNUMBER(SEARCH('F-COMPRA'!#REF!,Tabla11[[#This Row],[Cuenta]],1))</f>
        <v>0</v>
      </c>
      <c r="AF477" t="b">
        <f>+ISNUMBER(SEARCH('F-VTA'!$G$23,Tabla11[[#This Row],[Cuenta]],1))</f>
        <v>0</v>
      </c>
      <c r="AG477" t="b">
        <f>+ISNUMBER(SEARCH('F-VTA'!$G$24,Tabla11[[#This Row],[Cuenta]],1))</f>
        <v>0</v>
      </c>
      <c r="AH477" t="b">
        <f>+ISNUMBER(SEARCH('F-VTA'!$G$25,Tabla11[[#This Row],[Cuenta]],1))</f>
        <v>0</v>
      </c>
      <c r="AI477" t="b">
        <f>+ISNUMBER(SEARCH('F-VTA'!$F$28,Tabla11[[#This Row],[Cuenta]],1))</f>
        <v>1</v>
      </c>
      <c r="AJ477" t="b">
        <f>+ISNUMBER(SEARCH('F-VTA'!$F$29,Tabla11[[#This Row],[Cuenta]],1))</f>
        <v>1</v>
      </c>
      <c r="AK477" t="b">
        <f>+ISNUMBER(SEARCH('F-VTA'!$F$30,Tabla11[[#This Row],[Cuenta]],1))</f>
        <v>1</v>
      </c>
      <c r="AL477" t="b">
        <f>+ISNUMBER(SEARCH('F-VTA'!$F$31,Tabla11[[#This Row],[Cuenta]],1))</f>
        <v>1</v>
      </c>
      <c r="AM477" t="b">
        <f>+ISNUMBER(SEARCH('F-VTA'!$F$32,Tabla11[[#This Row],[Cuenta]],1))</f>
        <v>1</v>
      </c>
      <c r="AN477" t="b">
        <f>+ISNUMBER(SEARCH('F-VTA'!$F$33,Tabla11[[#This Row],[Cuenta]],1))</f>
        <v>1</v>
      </c>
      <c r="AO477" t="b">
        <f>+ISNUMBER(SEARCH('F-VTA'!$F$34,Tabla11[[#This Row],[Cuenta]],1))</f>
        <v>1</v>
      </c>
      <c r="AP477" t="b">
        <f>+ISNUMBER(SEARCH('F-VTA'!$F$35,Tabla11[[#This Row],[Cuenta]],1))</f>
        <v>1</v>
      </c>
      <c r="AQ477" t="b">
        <f>+ISNUMBER(SEARCH('F-VTA'!$F$36,Tabla11[[#This Row],[Cuenta]],1))</f>
        <v>1</v>
      </c>
      <c r="AR477" t="b">
        <f>+ISNUMBER(SEARCH(#REF!,Tabla11[[#This Row],[Cuenta]],1))</f>
        <v>0</v>
      </c>
      <c r="AS477" t="b">
        <f>+ISNUMBER(SEARCH(#REF!,Tabla11[[#This Row],[Cuenta]],1))</f>
        <v>0</v>
      </c>
      <c r="AT477" t="b">
        <f>+ISNUMBER(SEARCH(#REF!,Tabla11[[#This Row],[Cuenta]],1))</f>
        <v>0</v>
      </c>
      <c r="AU477" t="b">
        <f>+ISNUMBER(SEARCH('Conc. Ban.1'!$I$9,Tabla11[[#This Row],[Cuenta]],1))</f>
        <v>0</v>
      </c>
      <c r="AV477" t="b">
        <f>+ISNUMBER(SEARCH(CompConta!$F$21,Tabla11[[#This Row],[Cuenta]],1))</f>
        <v>1</v>
      </c>
      <c r="AW477" t="b">
        <f>+ISNUMBER(SEARCH(CompConta!$F$22,Tabla11[[#This Row],[Cuenta]],1))</f>
        <v>1</v>
      </c>
      <c r="AX477" t="b">
        <f>+ISNUMBER(SEARCH(CompConta!$F$23,Tabla11[[#This Row],[Cuenta]],1))</f>
        <v>1</v>
      </c>
      <c r="AY477" t="b">
        <f>+ISNUMBER(SEARCH(CompConta!$F$24,Tabla11[[#This Row],[Cuenta]],1))</f>
        <v>1</v>
      </c>
      <c r="AZ477" t="b">
        <f>+ISNUMBER(SEARCH(CompConta!$F$25,Tabla11[[#This Row],[Cuenta]],1))</f>
        <v>1</v>
      </c>
      <c r="BA477" t="b">
        <f>+ISNUMBER(SEARCH(CompConta!$F$26,Tabla11[[#This Row],[Cuenta]],1))</f>
        <v>1</v>
      </c>
      <c r="BB477" t="b">
        <f>+ISNUMBER(SEARCH(CompConta!$F$27,Tabla11[[#This Row],[Cuenta]],1))</f>
        <v>1</v>
      </c>
      <c r="BC477" t="b">
        <f>+ISNUMBER(SEARCH(CompConta!$F$28,Tabla11[[#This Row],[Cuenta]],1))</f>
        <v>1</v>
      </c>
      <c r="BD477" t="b">
        <f>+ISNUMBER(SEARCH(CompConta!$F$29,Tabla11[[#This Row],[Cuenta]],1))</f>
        <v>1</v>
      </c>
      <c r="BE477" t="b">
        <f>+ISNUMBER(SEARCH(CompConta!$F$30,Tabla11[[#This Row],[Cuenta]],1))</f>
        <v>1</v>
      </c>
      <c r="BF477" t="b">
        <f>+ISNUMBER(SEARCH('PAGO Compras'!$E$11,Tabla11[[#This Row],[Cuenta]],1))</f>
        <v>1</v>
      </c>
      <c r="BG477" t="b">
        <f>+ISNUMBER(SEARCH(#REF!,Tabla11[[#This Row],[Cuenta]],1))</f>
        <v>0</v>
      </c>
      <c r="BH477" t="b">
        <f>+ISNUMBER(SEARCH(#REF!,Tabla11[[#This Row],[Cuenta]],1))</f>
        <v>0</v>
      </c>
      <c r="BI477" t="b">
        <f>+ISNUMBER(SEARCH(#REF!,Tabla11[[#This Row],[Cuenta]],1))</f>
        <v>0</v>
      </c>
      <c r="BJ477" t="b">
        <f>+ISNUMBER(SEARCH(#REF!,Tabla11[[#This Row],[Cuenta]],1))</f>
        <v>0</v>
      </c>
      <c r="BS477" t="str">
        <v>2432 TASA POR UTILIZACIÓN DE PUERTOS</v>
      </c>
      <c r="BT477" t="str">
        <v>2432 TASA POR UTILIZACIÓN DE PUERTOS</v>
      </c>
      <c r="BU477" t="str">
        <v>2432 TASA POR UTILIZACIÓN DE PUERTOS</v>
      </c>
      <c r="BV477" t="str">
        <v>2432 TASA POR UTILIZACIÓN DE PUERTOS</v>
      </c>
      <c r="BZ477" t="str">
        <v>2432 TASA POR UTILIZACIÓN DE PUERTOS</v>
      </c>
      <c r="CA477" t="str">
        <v>2432 TASA POR UTILIZACIÓN DE PUERTOS</v>
      </c>
      <c r="CB477" t="str">
        <v>2432 TASA POR UTILIZACIÓN DE PUERTOS</v>
      </c>
      <c r="CC477" t="str">
        <v>2432 TASA POR UTILIZACIÓN DE PUERTOS</v>
      </c>
      <c r="CD477" t="str">
        <v>2432 TASA POR UTILIZACIÓN DE PUERTOS</v>
      </c>
      <c r="CE477" t="str">
        <v>2432 TASA POR UTILIZACIÓN DE PUERTOS</v>
      </c>
      <c r="CS477" s="141" t="str">
        <v>2432 TASA POR UTILIZACIÓN DE PUERTOS</v>
      </c>
      <c r="CT477" s="141" t="str">
        <v>2432 TASA POR UTILIZACIÓN DE PUERTOS</v>
      </c>
      <c r="CU477" s="141" t="str">
        <v>2432 TASA POR UTILIZACIÓN DE PUERTOS</v>
      </c>
      <c r="CV477" s="141" t="str">
        <v>2432 TASA POR UTILIZACIÓN DE PUERTOS</v>
      </c>
      <c r="CW477" s="141" t="str">
        <v>2432 TASA POR UTILIZACIÓN DE PUERTOS</v>
      </c>
      <c r="CX477" s="141" t="str">
        <v>2432 TASA POR UTILIZACIÓN DE PUERTOS</v>
      </c>
      <c r="CY477" s="141" t="str">
        <v>2432 TASA POR UTILIZACIÓN DE PUERTOS</v>
      </c>
      <c r="CZ477" s="141" t="str">
        <v>2432 TASA POR UTILIZACIÓN DE PUERTOS</v>
      </c>
      <c r="DA477" s="141" t="str">
        <v>2432 TASA POR UTILIZACIÓN DE PUERTOS</v>
      </c>
      <c r="DF477" t="str">
        <v>2432 TASA POR UTILIZACIÓN DE PUERTOS</v>
      </c>
      <c r="DG477" t="str">
        <v>2432 TASA POR UTILIZACIÓN DE PUERTOS</v>
      </c>
      <c r="DH477" t="str">
        <v>2432 TASA POR UTILIZACIÓN DE PUERTOS</v>
      </c>
      <c r="DI477" t="str">
        <v>2432 TASA POR UTILIZACIÓN DE PUERTOS</v>
      </c>
      <c r="DJ477" t="str">
        <v>2432 TASA POR UTILIZACIÓN DE PUERTOS</v>
      </c>
      <c r="DK477" t="str">
        <v>2432 TASA POR UTILIZACIÓN DE PUERTOS</v>
      </c>
      <c r="DL477" t="str">
        <v>2432 TASA POR UTILIZACIÓN DE PUERTOS</v>
      </c>
      <c r="DM477" t="str">
        <v>2432 TASA POR UTILIZACIÓN DE PUERTOS</v>
      </c>
      <c r="DN477" t="str">
        <v>2432 TASA POR UTILIZACIÓN DE PUERTOS</v>
      </c>
      <c r="DO477" t="str">
        <v>2432 TASA POR UTILIZACIÓN DE PUERTOS</v>
      </c>
      <c r="DP477" t="str">
        <v>2432 TASA POR UTILIZACIÓN DE PUERTOS</v>
      </c>
    </row>
    <row r="478" spans="4:120" ht="12.75">
      <c r="D478" s="7">
        <v>2436</v>
      </c>
      <c r="E478" s="6" t="s">
        <v>362</v>
      </c>
      <c r="F478" s="5">
        <v>3</v>
      </c>
      <c r="G478" s="34" t="s">
        <v>823</v>
      </c>
      <c r="H478" s="26" t="s">
        <v>765</v>
      </c>
      <c r="I478" t="b">
        <f>+ISNUMBER(SEARCH('F-COMPRA'!$F$28,Tabla11[[#This Row],[Cuenta]],1))</f>
        <v>1</v>
      </c>
      <c r="J478" t="b">
        <f>+ISNUMBER(SEARCH('F-COMPRA'!$F$29,Tabla11[[#This Row],[Cuenta]],1))</f>
        <v>1</v>
      </c>
      <c r="K478" t="b">
        <f>+ISNUMBER(SEARCH('F-COMPRA'!$F$30,Tabla11[[#This Row],[Cuenta]],1))</f>
        <v>1</v>
      </c>
      <c r="L478" t="b">
        <f>+ISNUMBER(SEARCH('F-COMPRA'!$F$31,Tabla11[[#This Row],[Cuenta]],1))</f>
        <v>1</v>
      </c>
      <c r="M478" t="b">
        <f>+ISNUMBER(SEARCH('F-COMPRA'!$G$25,Tabla11[[#This Row],[Cuenta]],1))</f>
        <v>0</v>
      </c>
      <c r="N478" t="b">
        <f>+ISNUMBER(SEARCH(#REF!,Tabla11[[#This Row],[Cuenta]],1))</f>
        <v>0</v>
      </c>
      <c r="O478" t="b">
        <f>+ISNUMBER(SEARCH(#REF!,Tabla11[[#This Row],[Cuenta]],1))</f>
        <v>0</v>
      </c>
      <c r="P478" t="b">
        <f>+ISNUMBER(SEARCH('F-COMPRA'!$F$32,Tabla11[[#This Row],[Cuenta]],1))</f>
        <v>1</v>
      </c>
      <c r="Q478" t="b">
        <f>+ISNUMBER(SEARCH('F-COMPRA'!$F$33,Tabla11[[#This Row],[Cuenta]],1))</f>
        <v>1</v>
      </c>
      <c r="R478" t="b">
        <f>+ISNUMBER(SEARCH('F-COMPRA'!$F$34,Tabla11[[#This Row],[Cuenta]],1))</f>
        <v>1</v>
      </c>
      <c r="S478" t="b">
        <f>+ISNUMBER(SEARCH('F-COMPRA'!$F$35,Tabla11[[#This Row],[Cuenta]],1))</f>
        <v>1</v>
      </c>
      <c r="T478" t="b">
        <f>+ISNUMBER(SEARCH('F-COMPRA'!$F$36,Tabla11[[#This Row],[Cuenta]],1))</f>
        <v>1</v>
      </c>
      <c r="U478" t="b">
        <f>+ISNUMBER(SEARCH('F-COMPRA'!$F$37,Tabla11[[#This Row],[Cuenta]],1))</f>
        <v>1</v>
      </c>
      <c r="V478" t="b">
        <f>+ISNUMBER(SEARCH(#REF!,Tabla11[[#This Row],[Cuenta]],1))</f>
        <v>0</v>
      </c>
      <c r="W478" t="b">
        <f>+ISNUMBER(SEARCH('F-COMPRA'!#REF!,Tabla11[[#This Row],[Cuenta]],1))</f>
        <v>0</v>
      </c>
      <c r="X478" t="b">
        <f>+ISNUMBER(SEARCH('F-COMPRA'!#REF!,Tabla11[[#This Row],[Cuenta]],1))</f>
        <v>0</v>
      </c>
      <c r="Y478" t="b">
        <f>+ISNUMBER(SEARCH('F-COMPRA'!#REF!,Tabla11[[#This Row],[Cuenta]],1))</f>
        <v>0</v>
      </c>
      <c r="Z478" t="b">
        <f>+ISNUMBER(SEARCH('F-COMPRA'!#REF!,Tabla11[[#This Row],[Cuenta]],1))</f>
        <v>0</v>
      </c>
      <c r="AA478" t="b">
        <f>+ISNUMBER(SEARCH('F-COMPRA'!#REF!,Tabla11[[#This Row],[Cuenta]],1))</f>
        <v>0</v>
      </c>
      <c r="AB478" t="b">
        <f>+ISNUMBER(SEARCH('F-COMPRA'!#REF!,Tabla11[[#This Row],[Cuenta]],1))</f>
        <v>0</v>
      </c>
      <c r="AC478" t="b">
        <f>+ISNUMBER(SEARCH('F-COMPRA'!#REF!,Tabla11[[#This Row],[Cuenta]],1))</f>
        <v>0</v>
      </c>
      <c r="AD478" t="b">
        <f>+ISNUMBER(SEARCH('F-COMPRA'!#REF!,Tabla11[[#This Row],[Cuenta]],1))</f>
        <v>0</v>
      </c>
      <c r="AE478" t="b">
        <f>+ISNUMBER(SEARCH('F-COMPRA'!#REF!,Tabla11[[#This Row],[Cuenta]],1))</f>
        <v>0</v>
      </c>
      <c r="AF478" t="b">
        <f>+ISNUMBER(SEARCH('F-VTA'!$G$23,Tabla11[[#This Row],[Cuenta]],1))</f>
        <v>0</v>
      </c>
      <c r="AG478" t="b">
        <f>+ISNUMBER(SEARCH('F-VTA'!$G$24,Tabla11[[#This Row],[Cuenta]],1))</f>
        <v>0</v>
      </c>
      <c r="AH478" t="b">
        <f>+ISNUMBER(SEARCH('F-VTA'!$G$25,Tabla11[[#This Row],[Cuenta]],1))</f>
        <v>0</v>
      </c>
      <c r="AI478" t="b">
        <f>+ISNUMBER(SEARCH('F-VTA'!$F$28,Tabla11[[#This Row],[Cuenta]],1))</f>
        <v>1</v>
      </c>
      <c r="AJ478" t="b">
        <f>+ISNUMBER(SEARCH('F-VTA'!$F$29,Tabla11[[#This Row],[Cuenta]],1))</f>
        <v>1</v>
      </c>
      <c r="AK478" t="b">
        <f>+ISNUMBER(SEARCH('F-VTA'!$F$30,Tabla11[[#This Row],[Cuenta]],1))</f>
        <v>1</v>
      </c>
      <c r="AL478" t="b">
        <f>+ISNUMBER(SEARCH('F-VTA'!$F$31,Tabla11[[#This Row],[Cuenta]],1))</f>
        <v>1</v>
      </c>
      <c r="AM478" t="b">
        <f>+ISNUMBER(SEARCH('F-VTA'!$F$32,Tabla11[[#This Row],[Cuenta]],1))</f>
        <v>1</v>
      </c>
      <c r="AN478" t="b">
        <f>+ISNUMBER(SEARCH('F-VTA'!$F$33,Tabla11[[#This Row],[Cuenta]],1))</f>
        <v>1</v>
      </c>
      <c r="AO478" t="b">
        <f>+ISNUMBER(SEARCH('F-VTA'!$F$34,Tabla11[[#This Row],[Cuenta]],1))</f>
        <v>1</v>
      </c>
      <c r="AP478" t="b">
        <f>+ISNUMBER(SEARCH('F-VTA'!$F$35,Tabla11[[#This Row],[Cuenta]],1))</f>
        <v>1</v>
      </c>
      <c r="AQ478" t="b">
        <f>+ISNUMBER(SEARCH('F-VTA'!$F$36,Tabla11[[#This Row],[Cuenta]],1))</f>
        <v>1</v>
      </c>
      <c r="AR478" t="b">
        <f>+ISNUMBER(SEARCH(#REF!,Tabla11[[#This Row],[Cuenta]],1))</f>
        <v>0</v>
      </c>
      <c r="AS478" t="b">
        <f>+ISNUMBER(SEARCH(#REF!,Tabla11[[#This Row],[Cuenta]],1))</f>
        <v>0</v>
      </c>
      <c r="AT478" t="b">
        <f>+ISNUMBER(SEARCH(#REF!,Tabla11[[#This Row],[Cuenta]],1))</f>
        <v>0</v>
      </c>
      <c r="AU478" t="b">
        <f>+ISNUMBER(SEARCH('Conc. Ban.1'!$I$9,Tabla11[[#This Row],[Cuenta]],1))</f>
        <v>0</v>
      </c>
      <c r="AV478" t="b">
        <f>+ISNUMBER(SEARCH(CompConta!$F$21,Tabla11[[#This Row],[Cuenta]],1))</f>
        <v>1</v>
      </c>
      <c r="AW478" t="b">
        <f>+ISNUMBER(SEARCH(CompConta!$F$22,Tabla11[[#This Row],[Cuenta]],1))</f>
        <v>1</v>
      </c>
      <c r="AX478" t="b">
        <f>+ISNUMBER(SEARCH(CompConta!$F$23,Tabla11[[#This Row],[Cuenta]],1))</f>
        <v>1</v>
      </c>
      <c r="AY478" t="b">
        <f>+ISNUMBER(SEARCH(CompConta!$F$24,Tabla11[[#This Row],[Cuenta]],1))</f>
        <v>1</v>
      </c>
      <c r="AZ478" t="b">
        <f>+ISNUMBER(SEARCH(CompConta!$F$25,Tabla11[[#This Row],[Cuenta]],1))</f>
        <v>1</v>
      </c>
      <c r="BA478" t="b">
        <f>+ISNUMBER(SEARCH(CompConta!$F$26,Tabla11[[#This Row],[Cuenta]],1))</f>
        <v>1</v>
      </c>
      <c r="BB478" t="b">
        <f>+ISNUMBER(SEARCH(CompConta!$F$27,Tabla11[[#This Row],[Cuenta]],1))</f>
        <v>1</v>
      </c>
      <c r="BC478" t="b">
        <f>+ISNUMBER(SEARCH(CompConta!$F$28,Tabla11[[#This Row],[Cuenta]],1))</f>
        <v>1</v>
      </c>
      <c r="BD478" t="b">
        <f>+ISNUMBER(SEARCH(CompConta!$F$29,Tabla11[[#This Row],[Cuenta]],1))</f>
        <v>1</v>
      </c>
      <c r="BE478" t="b">
        <f>+ISNUMBER(SEARCH(CompConta!$F$30,Tabla11[[#This Row],[Cuenta]],1))</f>
        <v>1</v>
      </c>
      <c r="BF478" t="b">
        <f>+ISNUMBER(SEARCH('PAGO Compras'!$E$11,Tabla11[[#This Row],[Cuenta]],1))</f>
        <v>1</v>
      </c>
      <c r="BG478" t="b">
        <f>+ISNUMBER(SEARCH(#REF!,Tabla11[[#This Row],[Cuenta]],1))</f>
        <v>0</v>
      </c>
      <c r="BH478" t="b">
        <f>+ISNUMBER(SEARCH(#REF!,Tabla11[[#This Row],[Cuenta]],1))</f>
        <v>0</v>
      </c>
      <c r="BI478" t="b">
        <f>+ISNUMBER(SEARCH(#REF!,Tabla11[[#This Row],[Cuenta]],1))</f>
        <v>0</v>
      </c>
      <c r="BJ478" t="b">
        <f>+ISNUMBER(SEARCH(#REF!,Tabla11[[#This Row],[Cuenta]],1))</f>
        <v>0</v>
      </c>
      <c r="BS478" t="str">
        <v>2436 DE VEHÍCULOS</v>
      </c>
      <c r="BT478" t="str">
        <v>2436 DE VEHÍCULOS</v>
      </c>
      <c r="BU478" t="str">
        <v>2436 DE VEHÍCULOS</v>
      </c>
      <c r="BV478" t="str">
        <v>2436 DE VEHÍCULOS</v>
      </c>
      <c r="BZ478" t="str">
        <v>2436 DE VEHÍCULOS</v>
      </c>
      <c r="CA478" t="str">
        <v>2436 DE VEHÍCULOS</v>
      </c>
      <c r="CB478" t="str">
        <v>2436 DE VEHÍCULOS</v>
      </c>
      <c r="CC478" t="str">
        <v>2436 DE VEHÍCULOS</v>
      </c>
      <c r="CD478" t="str">
        <v>2436 DE VEHÍCULOS</v>
      </c>
      <c r="CE478" t="str">
        <v>2436 DE VEHÍCULOS</v>
      </c>
      <c r="CS478" s="141" t="str">
        <v>2436 DE VEHÍCULOS</v>
      </c>
      <c r="CT478" s="141" t="str">
        <v>2436 DE VEHÍCULOS</v>
      </c>
      <c r="CU478" s="141" t="str">
        <v>2436 DE VEHÍCULOS</v>
      </c>
      <c r="CV478" s="141" t="str">
        <v>2436 DE VEHÍCULOS</v>
      </c>
      <c r="CW478" s="141" t="str">
        <v>2436 DE VEHÍCULOS</v>
      </c>
      <c r="CX478" s="141" t="str">
        <v>2436 DE VEHÍCULOS</v>
      </c>
      <c r="CY478" s="141" t="str">
        <v>2436 DE VEHÍCULOS</v>
      </c>
      <c r="CZ478" s="141" t="str">
        <v>2436 DE VEHÍCULOS</v>
      </c>
      <c r="DA478" s="141" t="str">
        <v>2436 DE VEHÍCULOS</v>
      </c>
      <c r="DF478" t="str">
        <v>2436 DE VEHÍCULOS</v>
      </c>
      <c r="DG478" t="str">
        <v>2436 DE VEHÍCULOS</v>
      </c>
      <c r="DH478" t="str">
        <v>2436 DE VEHÍCULOS</v>
      </c>
      <c r="DI478" t="str">
        <v>2436 DE VEHÍCULOS</v>
      </c>
      <c r="DJ478" t="str">
        <v>2436 DE VEHÍCULOS</v>
      </c>
      <c r="DK478" t="str">
        <v>2436 DE VEHÍCULOS</v>
      </c>
      <c r="DL478" t="str">
        <v>2436 DE VEHÍCULOS</v>
      </c>
      <c r="DM478" t="str">
        <v>2436 DE VEHÍCULOS</v>
      </c>
      <c r="DN478" t="str">
        <v>2436 DE VEHÍCULOS</v>
      </c>
      <c r="DO478" t="str">
        <v>2436 DE VEHÍCULOS</v>
      </c>
      <c r="DP478" t="str">
        <v>2436 DE VEHÍCULOS</v>
      </c>
    </row>
    <row r="479" spans="4:120" ht="12.75">
      <c r="D479" s="7">
        <v>243605</v>
      </c>
      <c r="E479" s="6" t="s">
        <v>353</v>
      </c>
      <c r="F479" s="5">
        <v>4</v>
      </c>
      <c r="G479" s="34" t="s">
        <v>823</v>
      </c>
      <c r="H479" s="26" t="s">
        <v>765</v>
      </c>
      <c r="I479" t="b">
        <f>+ISNUMBER(SEARCH('F-COMPRA'!$F$28,Tabla11[[#This Row],[Cuenta]],1))</f>
        <v>1</v>
      </c>
      <c r="J479" t="b">
        <f>+ISNUMBER(SEARCH('F-COMPRA'!$F$29,Tabla11[[#This Row],[Cuenta]],1))</f>
        <v>1</v>
      </c>
      <c r="K479" t="b">
        <f>+ISNUMBER(SEARCH('F-COMPRA'!$F$30,Tabla11[[#This Row],[Cuenta]],1))</f>
        <v>1</v>
      </c>
      <c r="L479" t="b">
        <f>+ISNUMBER(SEARCH('F-COMPRA'!$F$31,Tabla11[[#This Row],[Cuenta]],1))</f>
        <v>1</v>
      </c>
      <c r="M479" t="b">
        <f>+ISNUMBER(SEARCH('F-COMPRA'!$G$25,Tabla11[[#This Row],[Cuenta]],1))</f>
        <v>0</v>
      </c>
      <c r="N479" t="b">
        <f>+ISNUMBER(SEARCH(#REF!,Tabla11[[#This Row],[Cuenta]],1))</f>
        <v>0</v>
      </c>
      <c r="O479" t="b">
        <f>+ISNUMBER(SEARCH(#REF!,Tabla11[[#This Row],[Cuenta]],1))</f>
        <v>0</v>
      </c>
      <c r="P479" t="b">
        <f>+ISNUMBER(SEARCH('F-COMPRA'!$F$32,Tabla11[[#This Row],[Cuenta]],1))</f>
        <v>1</v>
      </c>
      <c r="Q479" t="b">
        <f>+ISNUMBER(SEARCH('F-COMPRA'!$F$33,Tabla11[[#This Row],[Cuenta]],1))</f>
        <v>1</v>
      </c>
      <c r="R479" t="b">
        <f>+ISNUMBER(SEARCH('F-COMPRA'!$F$34,Tabla11[[#This Row],[Cuenta]],1))</f>
        <v>1</v>
      </c>
      <c r="S479" t="b">
        <f>+ISNUMBER(SEARCH('F-COMPRA'!$F$35,Tabla11[[#This Row],[Cuenta]],1))</f>
        <v>1</v>
      </c>
      <c r="T479" t="b">
        <f>+ISNUMBER(SEARCH('F-COMPRA'!$F$36,Tabla11[[#This Row],[Cuenta]],1))</f>
        <v>1</v>
      </c>
      <c r="U479" t="b">
        <f>+ISNUMBER(SEARCH('F-COMPRA'!$F$37,Tabla11[[#This Row],[Cuenta]],1))</f>
        <v>1</v>
      </c>
      <c r="V479" t="b">
        <f>+ISNUMBER(SEARCH(#REF!,Tabla11[[#This Row],[Cuenta]],1))</f>
        <v>0</v>
      </c>
      <c r="W479" t="b">
        <f>+ISNUMBER(SEARCH('F-COMPRA'!#REF!,Tabla11[[#This Row],[Cuenta]],1))</f>
        <v>0</v>
      </c>
      <c r="X479" t="b">
        <f>+ISNUMBER(SEARCH('F-COMPRA'!#REF!,Tabla11[[#This Row],[Cuenta]],1))</f>
        <v>0</v>
      </c>
      <c r="Y479" t="b">
        <f>+ISNUMBER(SEARCH('F-COMPRA'!#REF!,Tabla11[[#This Row],[Cuenta]],1))</f>
        <v>0</v>
      </c>
      <c r="Z479" t="b">
        <f>+ISNUMBER(SEARCH('F-COMPRA'!#REF!,Tabla11[[#This Row],[Cuenta]],1))</f>
        <v>0</v>
      </c>
      <c r="AA479" t="b">
        <f>+ISNUMBER(SEARCH('F-COMPRA'!#REF!,Tabla11[[#This Row],[Cuenta]],1))</f>
        <v>0</v>
      </c>
      <c r="AB479" t="b">
        <f>+ISNUMBER(SEARCH('F-COMPRA'!#REF!,Tabla11[[#This Row],[Cuenta]],1))</f>
        <v>0</v>
      </c>
      <c r="AC479" t="b">
        <f>+ISNUMBER(SEARCH('F-COMPRA'!#REF!,Tabla11[[#This Row],[Cuenta]],1))</f>
        <v>0</v>
      </c>
      <c r="AD479" t="b">
        <f>+ISNUMBER(SEARCH('F-COMPRA'!#REF!,Tabla11[[#This Row],[Cuenta]],1))</f>
        <v>0</v>
      </c>
      <c r="AE479" t="b">
        <f>+ISNUMBER(SEARCH('F-COMPRA'!#REF!,Tabla11[[#This Row],[Cuenta]],1))</f>
        <v>0</v>
      </c>
      <c r="AF479" t="b">
        <f>+ISNUMBER(SEARCH('F-VTA'!$G$23,Tabla11[[#This Row],[Cuenta]],1))</f>
        <v>0</v>
      </c>
      <c r="AG479" t="b">
        <f>+ISNUMBER(SEARCH('F-VTA'!$G$24,Tabla11[[#This Row],[Cuenta]],1))</f>
        <v>0</v>
      </c>
      <c r="AH479" t="b">
        <f>+ISNUMBER(SEARCH('F-VTA'!$G$25,Tabla11[[#This Row],[Cuenta]],1))</f>
        <v>0</v>
      </c>
      <c r="AI479" t="b">
        <f>+ISNUMBER(SEARCH('F-VTA'!$F$28,Tabla11[[#This Row],[Cuenta]],1))</f>
        <v>1</v>
      </c>
      <c r="AJ479" t="b">
        <f>+ISNUMBER(SEARCH('F-VTA'!$F$29,Tabla11[[#This Row],[Cuenta]],1))</f>
        <v>1</v>
      </c>
      <c r="AK479" t="b">
        <f>+ISNUMBER(SEARCH('F-VTA'!$F$30,Tabla11[[#This Row],[Cuenta]],1))</f>
        <v>1</v>
      </c>
      <c r="AL479" t="b">
        <f>+ISNUMBER(SEARCH('F-VTA'!$F$31,Tabla11[[#This Row],[Cuenta]],1))</f>
        <v>1</v>
      </c>
      <c r="AM479" t="b">
        <f>+ISNUMBER(SEARCH('F-VTA'!$F$32,Tabla11[[#This Row],[Cuenta]],1))</f>
        <v>1</v>
      </c>
      <c r="AN479" t="b">
        <f>+ISNUMBER(SEARCH('F-VTA'!$F$33,Tabla11[[#This Row],[Cuenta]],1))</f>
        <v>1</v>
      </c>
      <c r="AO479" t="b">
        <f>+ISNUMBER(SEARCH('F-VTA'!$F$34,Tabla11[[#This Row],[Cuenta]],1))</f>
        <v>1</v>
      </c>
      <c r="AP479" t="b">
        <f>+ISNUMBER(SEARCH('F-VTA'!$F$35,Tabla11[[#This Row],[Cuenta]],1))</f>
        <v>1</v>
      </c>
      <c r="AQ479" t="b">
        <f>+ISNUMBER(SEARCH('F-VTA'!$F$36,Tabla11[[#This Row],[Cuenta]],1))</f>
        <v>1</v>
      </c>
      <c r="AR479" t="b">
        <f>+ISNUMBER(SEARCH(#REF!,Tabla11[[#This Row],[Cuenta]],1))</f>
        <v>0</v>
      </c>
      <c r="AS479" t="b">
        <f>+ISNUMBER(SEARCH(#REF!,Tabla11[[#This Row],[Cuenta]],1))</f>
        <v>0</v>
      </c>
      <c r="AT479" t="b">
        <f>+ISNUMBER(SEARCH(#REF!,Tabla11[[#This Row],[Cuenta]],1))</f>
        <v>0</v>
      </c>
      <c r="AU479" t="b">
        <f>+ISNUMBER(SEARCH('Conc. Ban.1'!$I$9,Tabla11[[#This Row],[Cuenta]],1))</f>
        <v>0</v>
      </c>
      <c r="AV479" t="b">
        <f>+ISNUMBER(SEARCH(CompConta!$F$21,Tabla11[[#This Row],[Cuenta]],1))</f>
        <v>1</v>
      </c>
      <c r="AW479" t="b">
        <f>+ISNUMBER(SEARCH(CompConta!$F$22,Tabla11[[#This Row],[Cuenta]],1))</f>
        <v>1</v>
      </c>
      <c r="AX479" t="b">
        <f>+ISNUMBER(SEARCH(CompConta!$F$23,Tabla11[[#This Row],[Cuenta]],1))</f>
        <v>1</v>
      </c>
      <c r="AY479" t="b">
        <f>+ISNUMBER(SEARCH(CompConta!$F$24,Tabla11[[#This Row],[Cuenta]],1))</f>
        <v>1</v>
      </c>
      <c r="AZ479" t="b">
        <f>+ISNUMBER(SEARCH(CompConta!$F$25,Tabla11[[#This Row],[Cuenta]],1))</f>
        <v>1</v>
      </c>
      <c r="BA479" t="b">
        <f>+ISNUMBER(SEARCH(CompConta!$F$26,Tabla11[[#This Row],[Cuenta]],1))</f>
        <v>1</v>
      </c>
      <c r="BB479" t="b">
        <f>+ISNUMBER(SEARCH(CompConta!$F$27,Tabla11[[#This Row],[Cuenta]],1))</f>
        <v>1</v>
      </c>
      <c r="BC479" t="b">
        <f>+ISNUMBER(SEARCH(CompConta!$F$28,Tabla11[[#This Row],[Cuenta]],1))</f>
        <v>1</v>
      </c>
      <c r="BD479" t="b">
        <f>+ISNUMBER(SEARCH(CompConta!$F$29,Tabla11[[#This Row],[Cuenta]],1))</f>
        <v>1</v>
      </c>
      <c r="BE479" t="b">
        <f>+ISNUMBER(SEARCH(CompConta!$F$30,Tabla11[[#This Row],[Cuenta]],1))</f>
        <v>1</v>
      </c>
      <c r="BF479" t="b">
        <f>+ISNUMBER(SEARCH('PAGO Compras'!$E$11,Tabla11[[#This Row],[Cuenta]],1))</f>
        <v>1</v>
      </c>
      <c r="BG479" t="b">
        <f>+ISNUMBER(SEARCH(#REF!,Tabla11[[#This Row],[Cuenta]],1))</f>
        <v>0</v>
      </c>
      <c r="BH479" t="b">
        <f>+ISNUMBER(SEARCH(#REF!,Tabla11[[#This Row],[Cuenta]],1))</f>
        <v>0</v>
      </c>
      <c r="BI479" t="b">
        <f>+ISNUMBER(SEARCH(#REF!,Tabla11[[#This Row],[Cuenta]],1))</f>
        <v>0</v>
      </c>
      <c r="BJ479" t="b">
        <f>+ISNUMBER(SEARCH(#REF!,Tabla11[[#This Row],[Cuenta]],1))</f>
        <v>0</v>
      </c>
      <c r="BS479" t="str">
        <v>243605 Vigencia fiscal corriente</v>
      </c>
      <c r="BT479" t="str">
        <v>243605 Vigencia fiscal corriente</v>
      </c>
      <c r="BU479" t="str">
        <v>243605 Vigencia fiscal corriente</v>
      </c>
      <c r="BV479" t="str">
        <v>243605 Vigencia fiscal corriente</v>
      </c>
      <c r="BZ479" t="str">
        <v>243605 Vigencia fiscal corriente</v>
      </c>
      <c r="CA479" t="str">
        <v>243605 Vigencia fiscal corriente</v>
      </c>
      <c r="CB479" t="str">
        <v>243605 Vigencia fiscal corriente</v>
      </c>
      <c r="CC479" t="str">
        <v>243605 Vigencia fiscal corriente</v>
      </c>
      <c r="CD479" t="str">
        <v>243605 Vigencia fiscal corriente</v>
      </c>
      <c r="CE479" t="str">
        <v>243605 Vigencia fiscal corriente</v>
      </c>
      <c r="CS479" s="141" t="str">
        <v>243605 Vigencia fiscal corriente</v>
      </c>
      <c r="CT479" s="141" t="str">
        <v>243605 Vigencia fiscal corriente</v>
      </c>
      <c r="CU479" s="141" t="str">
        <v>243605 Vigencia fiscal corriente</v>
      </c>
      <c r="CV479" s="141" t="str">
        <v>243605 Vigencia fiscal corriente</v>
      </c>
      <c r="CW479" s="141" t="str">
        <v>243605 Vigencia fiscal corriente</v>
      </c>
      <c r="CX479" s="141" t="str">
        <v>243605 Vigencia fiscal corriente</v>
      </c>
      <c r="CY479" s="141" t="str">
        <v>243605 Vigencia fiscal corriente</v>
      </c>
      <c r="CZ479" s="141" t="str">
        <v>243605 Vigencia fiscal corriente</v>
      </c>
      <c r="DA479" s="141" t="str">
        <v>243605 Vigencia fiscal corriente</v>
      </c>
      <c r="DF479" t="str">
        <v>243605 Vigencia fiscal corriente</v>
      </c>
      <c r="DG479" t="str">
        <v>243605 Vigencia fiscal corriente</v>
      </c>
      <c r="DH479" t="str">
        <v>243605 Vigencia fiscal corriente</v>
      </c>
      <c r="DI479" t="str">
        <v>243605 Vigencia fiscal corriente</v>
      </c>
      <c r="DJ479" t="str">
        <v>243605 Vigencia fiscal corriente</v>
      </c>
      <c r="DK479" t="str">
        <v>243605 Vigencia fiscal corriente</v>
      </c>
      <c r="DL479" t="str">
        <v>243605 Vigencia fiscal corriente</v>
      </c>
      <c r="DM479" t="str">
        <v>243605 Vigencia fiscal corriente</v>
      </c>
      <c r="DN479" t="str">
        <v>243605 Vigencia fiscal corriente</v>
      </c>
      <c r="DO479" t="str">
        <v>243605 Vigencia fiscal corriente</v>
      </c>
      <c r="DP479" t="str">
        <v>243605 Vigencia fiscal corriente</v>
      </c>
    </row>
    <row r="480" spans="4:120" ht="12.75">
      <c r="D480" s="7">
        <v>243610</v>
      </c>
      <c r="E480" s="6" t="s">
        <v>354</v>
      </c>
      <c r="F480" s="5">
        <v>4</v>
      </c>
      <c r="G480" s="34" t="s">
        <v>823</v>
      </c>
      <c r="H480" s="26" t="s">
        <v>765</v>
      </c>
      <c r="I480" t="b">
        <f>+ISNUMBER(SEARCH('F-COMPRA'!$F$28,Tabla11[[#This Row],[Cuenta]],1))</f>
        <v>1</v>
      </c>
      <c r="J480" t="b">
        <f>+ISNUMBER(SEARCH('F-COMPRA'!$F$29,Tabla11[[#This Row],[Cuenta]],1))</f>
        <v>1</v>
      </c>
      <c r="K480" t="b">
        <f>+ISNUMBER(SEARCH('F-COMPRA'!$F$30,Tabla11[[#This Row],[Cuenta]],1))</f>
        <v>1</v>
      </c>
      <c r="L480" t="b">
        <f>+ISNUMBER(SEARCH('F-COMPRA'!$F$31,Tabla11[[#This Row],[Cuenta]],1))</f>
        <v>1</v>
      </c>
      <c r="M480" t="b">
        <f>+ISNUMBER(SEARCH('F-COMPRA'!$G$25,Tabla11[[#This Row],[Cuenta]],1))</f>
        <v>0</v>
      </c>
      <c r="N480" t="b">
        <f>+ISNUMBER(SEARCH(#REF!,Tabla11[[#This Row],[Cuenta]],1))</f>
        <v>0</v>
      </c>
      <c r="O480" t="b">
        <f>+ISNUMBER(SEARCH(#REF!,Tabla11[[#This Row],[Cuenta]],1))</f>
        <v>0</v>
      </c>
      <c r="P480" t="b">
        <f>+ISNUMBER(SEARCH('F-COMPRA'!$F$32,Tabla11[[#This Row],[Cuenta]],1))</f>
        <v>1</v>
      </c>
      <c r="Q480" t="b">
        <f>+ISNUMBER(SEARCH('F-COMPRA'!$F$33,Tabla11[[#This Row],[Cuenta]],1))</f>
        <v>1</v>
      </c>
      <c r="R480" t="b">
        <f>+ISNUMBER(SEARCH('F-COMPRA'!$F$34,Tabla11[[#This Row],[Cuenta]],1))</f>
        <v>1</v>
      </c>
      <c r="S480" t="b">
        <f>+ISNUMBER(SEARCH('F-COMPRA'!$F$35,Tabla11[[#This Row],[Cuenta]],1))</f>
        <v>1</v>
      </c>
      <c r="T480" t="b">
        <f>+ISNUMBER(SEARCH('F-COMPRA'!$F$36,Tabla11[[#This Row],[Cuenta]],1))</f>
        <v>1</v>
      </c>
      <c r="U480" t="b">
        <f>+ISNUMBER(SEARCH('F-COMPRA'!$F$37,Tabla11[[#This Row],[Cuenta]],1))</f>
        <v>1</v>
      </c>
      <c r="V480" t="b">
        <f>+ISNUMBER(SEARCH(#REF!,Tabla11[[#This Row],[Cuenta]],1))</f>
        <v>0</v>
      </c>
      <c r="W480" t="b">
        <f>+ISNUMBER(SEARCH('F-COMPRA'!#REF!,Tabla11[[#This Row],[Cuenta]],1))</f>
        <v>0</v>
      </c>
      <c r="X480" t="b">
        <f>+ISNUMBER(SEARCH('F-COMPRA'!#REF!,Tabla11[[#This Row],[Cuenta]],1))</f>
        <v>0</v>
      </c>
      <c r="Y480" t="b">
        <f>+ISNUMBER(SEARCH('F-COMPRA'!#REF!,Tabla11[[#This Row],[Cuenta]],1))</f>
        <v>0</v>
      </c>
      <c r="Z480" t="b">
        <f>+ISNUMBER(SEARCH('F-COMPRA'!#REF!,Tabla11[[#This Row],[Cuenta]],1))</f>
        <v>0</v>
      </c>
      <c r="AA480" t="b">
        <f>+ISNUMBER(SEARCH('F-COMPRA'!#REF!,Tabla11[[#This Row],[Cuenta]],1))</f>
        <v>0</v>
      </c>
      <c r="AB480" t="b">
        <f>+ISNUMBER(SEARCH('F-COMPRA'!#REF!,Tabla11[[#This Row],[Cuenta]],1))</f>
        <v>0</v>
      </c>
      <c r="AC480" t="b">
        <f>+ISNUMBER(SEARCH('F-COMPRA'!#REF!,Tabla11[[#This Row],[Cuenta]],1))</f>
        <v>0</v>
      </c>
      <c r="AD480" t="b">
        <f>+ISNUMBER(SEARCH('F-COMPRA'!#REF!,Tabla11[[#This Row],[Cuenta]],1))</f>
        <v>0</v>
      </c>
      <c r="AE480" t="b">
        <f>+ISNUMBER(SEARCH('F-COMPRA'!#REF!,Tabla11[[#This Row],[Cuenta]],1))</f>
        <v>0</v>
      </c>
      <c r="AF480" t="b">
        <f>+ISNUMBER(SEARCH('F-VTA'!$G$23,Tabla11[[#This Row],[Cuenta]],1))</f>
        <v>0</v>
      </c>
      <c r="AG480" t="b">
        <f>+ISNUMBER(SEARCH('F-VTA'!$G$24,Tabla11[[#This Row],[Cuenta]],1))</f>
        <v>0</v>
      </c>
      <c r="AH480" t="b">
        <f>+ISNUMBER(SEARCH('F-VTA'!$G$25,Tabla11[[#This Row],[Cuenta]],1))</f>
        <v>0</v>
      </c>
      <c r="AI480" t="b">
        <f>+ISNUMBER(SEARCH('F-VTA'!$F$28,Tabla11[[#This Row],[Cuenta]],1))</f>
        <v>1</v>
      </c>
      <c r="AJ480" t="b">
        <f>+ISNUMBER(SEARCH('F-VTA'!$F$29,Tabla11[[#This Row],[Cuenta]],1))</f>
        <v>1</v>
      </c>
      <c r="AK480" t="b">
        <f>+ISNUMBER(SEARCH('F-VTA'!$F$30,Tabla11[[#This Row],[Cuenta]],1))</f>
        <v>1</v>
      </c>
      <c r="AL480" t="b">
        <f>+ISNUMBER(SEARCH('F-VTA'!$F$31,Tabla11[[#This Row],[Cuenta]],1))</f>
        <v>1</v>
      </c>
      <c r="AM480" t="b">
        <f>+ISNUMBER(SEARCH('F-VTA'!$F$32,Tabla11[[#This Row],[Cuenta]],1))</f>
        <v>1</v>
      </c>
      <c r="AN480" t="b">
        <f>+ISNUMBER(SEARCH('F-VTA'!$F$33,Tabla11[[#This Row],[Cuenta]],1))</f>
        <v>1</v>
      </c>
      <c r="AO480" t="b">
        <f>+ISNUMBER(SEARCH('F-VTA'!$F$34,Tabla11[[#This Row],[Cuenta]],1))</f>
        <v>1</v>
      </c>
      <c r="AP480" t="b">
        <f>+ISNUMBER(SEARCH('F-VTA'!$F$35,Tabla11[[#This Row],[Cuenta]],1))</f>
        <v>1</v>
      </c>
      <c r="AQ480" t="b">
        <f>+ISNUMBER(SEARCH('F-VTA'!$F$36,Tabla11[[#This Row],[Cuenta]],1))</f>
        <v>1</v>
      </c>
      <c r="AR480" t="b">
        <f>+ISNUMBER(SEARCH(#REF!,Tabla11[[#This Row],[Cuenta]],1))</f>
        <v>0</v>
      </c>
      <c r="AS480" t="b">
        <f>+ISNUMBER(SEARCH(#REF!,Tabla11[[#This Row],[Cuenta]],1))</f>
        <v>0</v>
      </c>
      <c r="AT480" t="b">
        <f>+ISNUMBER(SEARCH(#REF!,Tabla11[[#This Row],[Cuenta]],1))</f>
        <v>0</v>
      </c>
      <c r="AU480" t="b">
        <f>+ISNUMBER(SEARCH('Conc. Ban.1'!$I$9,Tabla11[[#This Row],[Cuenta]],1))</f>
        <v>0</v>
      </c>
      <c r="AV480" t="b">
        <f>+ISNUMBER(SEARCH(CompConta!$F$21,Tabla11[[#This Row],[Cuenta]],1))</f>
        <v>1</v>
      </c>
      <c r="AW480" t="b">
        <f>+ISNUMBER(SEARCH(CompConta!$F$22,Tabla11[[#This Row],[Cuenta]],1))</f>
        <v>1</v>
      </c>
      <c r="AX480" t="b">
        <f>+ISNUMBER(SEARCH(CompConta!$F$23,Tabla11[[#This Row],[Cuenta]],1))</f>
        <v>1</v>
      </c>
      <c r="AY480" t="b">
        <f>+ISNUMBER(SEARCH(CompConta!$F$24,Tabla11[[#This Row],[Cuenta]],1))</f>
        <v>1</v>
      </c>
      <c r="AZ480" t="b">
        <f>+ISNUMBER(SEARCH(CompConta!$F$25,Tabla11[[#This Row],[Cuenta]],1))</f>
        <v>1</v>
      </c>
      <c r="BA480" t="b">
        <f>+ISNUMBER(SEARCH(CompConta!$F$26,Tabla11[[#This Row],[Cuenta]],1))</f>
        <v>1</v>
      </c>
      <c r="BB480" t="b">
        <f>+ISNUMBER(SEARCH(CompConta!$F$27,Tabla11[[#This Row],[Cuenta]],1))</f>
        <v>1</v>
      </c>
      <c r="BC480" t="b">
        <f>+ISNUMBER(SEARCH(CompConta!$F$28,Tabla11[[#This Row],[Cuenta]],1))</f>
        <v>1</v>
      </c>
      <c r="BD480" t="b">
        <f>+ISNUMBER(SEARCH(CompConta!$F$29,Tabla11[[#This Row],[Cuenta]],1))</f>
        <v>1</v>
      </c>
      <c r="BE480" t="b">
        <f>+ISNUMBER(SEARCH(CompConta!$F$30,Tabla11[[#This Row],[Cuenta]],1))</f>
        <v>1</v>
      </c>
      <c r="BF480" t="b">
        <f>+ISNUMBER(SEARCH('PAGO Compras'!$E$11,Tabla11[[#This Row],[Cuenta]],1))</f>
        <v>1</v>
      </c>
      <c r="BG480" t="b">
        <f>+ISNUMBER(SEARCH(#REF!,Tabla11[[#This Row],[Cuenta]],1))</f>
        <v>0</v>
      </c>
      <c r="BH480" t="b">
        <f>+ISNUMBER(SEARCH(#REF!,Tabla11[[#This Row],[Cuenta]],1))</f>
        <v>0</v>
      </c>
      <c r="BI480" t="b">
        <f>+ISNUMBER(SEARCH(#REF!,Tabla11[[#This Row],[Cuenta]],1))</f>
        <v>0</v>
      </c>
      <c r="BJ480" t="b">
        <f>+ISNUMBER(SEARCH(#REF!,Tabla11[[#This Row],[Cuenta]],1))</f>
        <v>0</v>
      </c>
      <c r="BS480" t="str">
        <v>243610 Vigencias fiscales anteriores</v>
      </c>
      <c r="BT480" t="str">
        <v>243610 Vigencias fiscales anteriores</v>
      </c>
      <c r="BU480" t="str">
        <v>243610 Vigencias fiscales anteriores</v>
      </c>
      <c r="BV480" t="str">
        <v>243610 Vigencias fiscales anteriores</v>
      </c>
      <c r="BZ480" t="str">
        <v>243610 Vigencias fiscales anteriores</v>
      </c>
      <c r="CA480" t="str">
        <v>243610 Vigencias fiscales anteriores</v>
      </c>
      <c r="CB480" t="str">
        <v>243610 Vigencias fiscales anteriores</v>
      </c>
      <c r="CC480" t="str">
        <v>243610 Vigencias fiscales anteriores</v>
      </c>
      <c r="CD480" t="str">
        <v>243610 Vigencias fiscales anteriores</v>
      </c>
      <c r="CE480" t="str">
        <v>243610 Vigencias fiscales anteriores</v>
      </c>
      <c r="CS480" s="141" t="str">
        <v>243610 Vigencias fiscales anteriores</v>
      </c>
      <c r="CT480" s="141" t="str">
        <v>243610 Vigencias fiscales anteriores</v>
      </c>
      <c r="CU480" s="141" t="str">
        <v>243610 Vigencias fiscales anteriores</v>
      </c>
      <c r="CV480" s="141" t="str">
        <v>243610 Vigencias fiscales anteriores</v>
      </c>
      <c r="CW480" s="141" t="str">
        <v>243610 Vigencias fiscales anteriores</v>
      </c>
      <c r="CX480" s="141" t="str">
        <v>243610 Vigencias fiscales anteriores</v>
      </c>
      <c r="CY480" s="141" t="str">
        <v>243610 Vigencias fiscales anteriores</v>
      </c>
      <c r="CZ480" s="141" t="str">
        <v>243610 Vigencias fiscales anteriores</v>
      </c>
      <c r="DA480" s="141" t="str">
        <v>243610 Vigencias fiscales anteriores</v>
      </c>
      <c r="DF480" t="str">
        <v>243610 Vigencias fiscales anteriores</v>
      </c>
      <c r="DG480" t="str">
        <v>243610 Vigencias fiscales anteriores</v>
      </c>
      <c r="DH480" t="str">
        <v>243610 Vigencias fiscales anteriores</v>
      </c>
      <c r="DI480" t="str">
        <v>243610 Vigencias fiscales anteriores</v>
      </c>
      <c r="DJ480" t="str">
        <v>243610 Vigencias fiscales anteriores</v>
      </c>
      <c r="DK480" t="str">
        <v>243610 Vigencias fiscales anteriores</v>
      </c>
      <c r="DL480" t="str">
        <v>243610 Vigencias fiscales anteriores</v>
      </c>
      <c r="DM480" t="str">
        <v>243610 Vigencias fiscales anteriores</v>
      </c>
      <c r="DN480" t="str">
        <v>243610 Vigencias fiscales anteriores</v>
      </c>
      <c r="DO480" t="str">
        <v>243610 Vigencias fiscales anteriores</v>
      </c>
      <c r="DP480" t="str">
        <v>243610 Vigencias fiscales anteriores</v>
      </c>
    </row>
    <row r="481" spans="4:120" ht="12.75">
      <c r="D481" s="7">
        <v>2440</v>
      </c>
      <c r="E481" s="6" t="s">
        <v>363</v>
      </c>
      <c r="F481" s="5">
        <v>3</v>
      </c>
      <c r="G481" s="34" t="s">
        <v>823</v>
      </c>
      <c r="H481" s="26" t="s">
        <v>765</v>
      </c>
      <c r="I481" t="b">
        <f>+ISNUMBER(SEARCH('F-COMPRA'!$F$28,Tabla11[[#This Row],[Cuenta]],1))</f>
        <v>1</v>
      </c>
      <c r="J481" t="b">
        <f>+ISNUMBER(SEARCH('F-COMPRA'!$F$29,Tabla11[[#This Row],[Cuenta]],1))</f>
        <v>1</v>
      </c>
      <c r="K481" t="b">
        <f>+ISNUMBER(SEARCH('F-COMPRA'!$F$30,Tabla11[[#This Row],[Cuenta]],1))</f>
        <v>1</v>
      </c>
      <c r="L481" t="b">
        <f>+ISNUMBER(SEARCH('F-COMPRA'!$F$31,Tabla11[[#This Row],[Cuenta]],1))</f>
        <v>1</v>
      </c>
      <c r="M481" t="b">
        <f>+ISNUMBER(SEARCH('F-COMPRA'!$G$25,Tabla11[[#This Row],[Cuenta]],1))</f>
        <v>0</v>
      </c>
      <c r="N481" t="b">
        <f>+ISNUMBER(SEARCH(#REF!,Tabla11[[#This Row],[Cuenta]],1))</f>
        <v>0</v>
      </c>
      <c r="O481" t="b">
        <f>+ISNUMBER(SEARCH(#REF!,Tabla11[[#This Row],[Cuenta]],1))</f>
        <v>0</v>
      </c>
      <c r="P481" t="b">
        <f>+ISNUMBER(SEARCH('F-COMPRA'!$F$32,Tabla11[[#This Row],[Cuenta]],1))</f>
        <v>1</v>
      </c>
      <c r="Q481" t="b">
        <f>+ISNUMBER(SEARCH('F-COMPRA'!$F$33,Tabla11[[#This Row],[Cuenta]],1))</f>
        <v>1</v>
      </c>
      <c r="R481" t="b">
        <f>+ISNUMBER(SEARCH('F-COMPRA'!$F$34,Tabla11[[#This Row],[Cuenta]],1))</f>
        <v>1</v>
      </c>
      <c r="S481" t="b">
        <f>+ISNUMBER(SEARCH('F-COMPRA'!$F$35,Tabla11[[#This Row],[Cuenta]],1))</f>
        <v>1</v>
      </c>
      <c r="T481" t="b">
        <f>+ISNUMBER(SEARCH('F-COMPRA'!$F$36,Tabla11[[#This Row],[Cuenta]],1))</f>
        <v>1</v>
      </c>
      <c r="U481" t="b">
        <f>+ISNUMBER(SEARCH('F-COMPRA'!$F$37,Tabla11[[#This Row],[Cuenta]],1))</f>
        <v>1</v>
      </c>
      <c r="V481" t="b">
        <f>+ISNUMBER(SEARCH(#REF!,Tabla11[[#This Row],[Cuenta]],1))</f>
        <v>0</v>
      </c>
      <c r="W481" t="b">
        <f>+ISNUMBER(SEARCH('F-COMPRA'!#REF!,Tabla11[[#This Row],[Cuenta]],1))</f>
        <v>0</v>
      </c>
      <c r="X481" t="b">
        <f>+ISNUMBER(SEARCH('F-COMPRA'!#REF!,Tabla11[[#This Row],[Cuenta]],1))</f>
        <v>0</v>
      </c>
      <c r="Y481" t="b">
        <f>+ISNUMBER(SEARCH('F-COMPRA'!#REF!,Tabla11[[#This Row],[Cuenta]],1))</f>
        <v>0</v>
      </c>
      <c r="Z481" t="b">
        <f>+ISNUMBER(SEARCH('F-COMPRA'!#REF!,Tabla11[[#This Row],[Cuenta]],1))</f>
        <v>0</v>
      </c>
      <c r="AA481" t="b">
        <f>+ISNUMBER(SEARCH('F-COMPRA'!#REF!,Tabla11[[#This Row],[Cuenta]],1))</f>
        <v>0</v>
      </c>
      <c r="AB481" t="b">
        <f>+ISNUMBER(SEARCH('F-COMPRA'!#REF!,Tabla11[[#This Row],[Cuenta]],1))</f>
        <v>0</v>
      </c>
      <c r="AC481" t="b">
        <f>+ISNUMBER(SEARCH('F-COMPRA'!#REF!,Tabla11[[#This Row],[Cuenta]],1))</f>
        <v>0</v>
      </c>
      <c r="AD481" t="b">
        <f>+ISNUMBER(SEARCH('F-COMPRA'!#REF!,Tabla11[[#This Row],[Cuenta]],1))</f>
        <v>0</v>
      </c>
      <c r="AE481" t="b">
        <f>+ISNUMBER(SEARCH('F-COMPRA'!#REF!,Tabla11[[#This Row],[Cuenta]],1))</f>
        <v>0</v>
      </c>
      <c r="AF481" t="b">
        <f>+ISNUMBER(SEARCH('F-VTA'!$G$23,Tabla11[[#This Row],[Cuenta]],1))</f>
        <v>0</v>
      </c>
      <c r="AG481" t="b">
        <f>+ISNUMBER(SEARCH('F-VTA'!$G$24,Tabla11[[#This Row],[Cuenta]],1))</f>
        <v>0</v>
      </c>
      <c r="AH481" t="b">
        <f>+ISNUMBER(SEARCH('F-VTA'!$G$25,Tabla11[[#This Row],[Cuenta]],1))</f>
        <v>0</v>
      </c>
      <c r="AI481" t="b">
        <f>+ISNUMBER(SEARCH('F-VTA'!$F$28,Tabla11[[#This Row],[Cuenta]],1))</f>
        <v>1</v>
      </c>
      <c r="AJ481" t="b">
        <f>+ISNUMBER(SEARCH('F-VTA'!$F$29,Tabla11[[#This Row],[Cuenta]],1))</f>
        <v>1</v>
      </c>
      <c r="AK481" t="b">
        <f>+ISNUMBER(SEARCH('F-VTA'!$F$30,Tabla11[[#This Row],[Cuenta]],1))</f>
        <v>1</v>
      </c>
      <c r="AL481" t="b">
        <f>+ISNUMBER(SEARCH('F-VTA'!$F$31,Tabla11[[#This Row],[Cuenta]],1))</f>
        <v>1</v>
      </c>
      <c r="AM481" t="b">
        <f>+ISNUMBER(SEARCH('F-VTA'!$F$32,Tabla11[[#This Row],[Cuenta]],1))</f>
        <v>1</v>
      </c>
      <c r="AN481" t="b">
        <f>+ISNUMBER(SEARCH('F-VTA'!$F$33,Tabla11[[#This Row],[Cuenta]],1))</f>
        <v>1</v>
      </c>
      <c r="AO481" t="b">
        <f>+ISNUMBER(SEARCH('F-VTA'!$F$34,Tabla11[[#This Row],[Cuenta]],1))</f>
        <v>1</v>
      </c>
      <c r="AP481" t="b">
        <f>+ISNUMBER(SEARCH('F-VTA'!$F$35,Tabla11[[#This Row],[Cuenta]],1))</f>
        <v>1</v>
      </c>
      <c r="AQ481" t="b">
        <f>+ISNUMBER(SEARCH('F-VTA'!$F$36,Tabla11[[#This Row],[Cuenta]],1))</f>
        <v>1</v>
      </c>
      <c r="AR481" t="b">
        <f>+ISNUMBER(SEARCH(#REF!,Tabla11[[#This Row],[Cuenta]],1))</f>
        <v>0</v>
      </c>
      <c r="AS481" t="b">
        <f>+ISNUMBER(SEARCH(#REF!,Tabla11[[#This Row],[Cuenta]],1))</f>
        <v>0</v>
      </c>
      <c r="AT481" t="b">
        <f>+ISNUMBER(SEARCH(#REF!,Tabla11[[#This Row],[Cuenta]],1))</f>
        <v>0</v>
      </c>
      <c r="AU481" t="b">
        <f>+ISNUMBER(SEARCH('Conc. Ban.1'!$I$9,Tabla11[[#This Row],[Cuenta]],1))</f>
        <v>0</v>
      </c>
      <c r="AV481" t="b">
        <f>+ISNUMBER(SEARCH(CompConta!$F$21,Tabla11[[#This Row],[Cuenta]],1))</f>
        <v>1</v>
      </c>
      <c r="AW481" t="b">
        <f>+ISNUMBER(SEARCH(CompConta!$F$22,Tabla11[[#This Row],[Cuenta]],1))</f>
        <v>1</v>
      </c>
      <c r="AX481" t="b">
        <f>+ISNUMBER(SEARCH(CompConta!$F$23,Tabla11[[#This Row],[Cuenta]],1))</f>
        <v>1</v>
      </c>
      <c r="AY481" t="b">
        <f>+ISNUMBER(SEARCH(CompConta!$F$24,Tabla11[[#This Row],[Cuenta]],1))</f>
        <v>1</v>
      </c>
      <c r="AZ481" t="b">
        <f>+ISNUMBER(SEARCH(CompConta!$F$25,Tabla11[[#This Row],[Cuenta]],1))</f>
        <v>1</v>
      </c>
      <c r="BA481" t="b">
        <f>+ISNUMBER(SEARCH(CompConta!$F$26,Tabla11[[#This Row],[Cuenta]],1))</f>
        <v>1</v>
      </c>
      <c r="BB481" t="b">
        <f>+ISNUMBER(SEARCH(CompConta!$F$27,Tabla11[[#This Row],[Cuenta]],1))</f>
        <v>1</v>
      </c>
      <c r="BC481" t="b">
        <f>+ISNUMBER(SEARCH(CompConta!$F$28,Tabla11[[#This Row],[Cuenta]],1))</f>
        <v>1</v>
      </c>
      <c r="BD481" t="b">
        <f>+ISNUMBER(SEARCH(CompConta!$F$29,Tabla11[[#This Row],[Cuenta]],1))</f>
        <v>1</v>
      </c>
      <c r="BE481" t="b">
        <f>+ISNUMBER(SEARCH(CompConta!$F$30,Tabla11[[#This Row],[Cuenta]],1))</f>
        <v>1</v>
      </c>
      <c r="BF481" t="b">
        <f>+ISNUMBER(SEARCH('PAGO Compras'!$E$11,Tabla11[[#This Row],[Cuenta]],1))</f>
        <v>1</v>
      </c>
      <c r="BG481" t="b">
        <f>+ISNUMBER(SEARCH(#REF!,Tabla11[[#This Row],[Cuenta]],1))</f>
        <v>0</v>
      </c>
      <c r="BH481" t="b">
        <f>+ISNUMBER(SEARCH(#REF!,Tabla11[[#This Row],[Cuenta]],1))</f>
        <v>0</v>
      </c>
      <c r="BI481" t="b">
        <f>+ISNUMBER(SEARCH(#REF!,Tabla11[[#This Row],[Cuenta]],1))</f>
        <v>0</v>
      </c>
      <c r="BJ481" t="b">
        <f>+ISNUMBER(SEARCH(#REF!,Tabla11[[#This Row],[Cuenta]],1))</f>
        <v>0</v>
      </c>
      <c r="BS481" t="str">
        <v>2440 DE ESPECTÁCULOS PÚBLICOS</v>
      </c>
      <c r="BT481" t="str">
        <v>2440 DE ESPECTÁCULOS PÚBLICOS</v>
      </c>
      <c r="BU481" t="str">
        <v>2440 DE ESPECTÁCULOS PÚBLICOS</v>
      </c>
      <c r="BV481" t="str">
        <v>2440 DE ESPECTÁCULOS PÚBLICOS</v>
      </c>
      <c r="BZ481" t="str">
        <v>2440 DE ESPECTÁCULOS PÚBLICOS</v>
      </c>
      <c r="CA481" t="str">
        <v>2440 DE ESPECTÁCULOS PÚBLICOS</v>
      </c>
      <c r="CB481" t="str">
        <v>2440 DE ESPECTÁCULOS PÚBLICOS</v>
      </c>
      <c r="CC481" t="str">
        <v>2440 DE ESPECTÁCULOS PÚBLICOS</v>
      </c>
      <c r="CD481" t="str">
        <v>2440 DE ESPECTÁCULOS PÚBLICOS</v>
      </c>
      <c r="CE481" t="str">
        <v>2440 DE ESPECTÁCULOS PÚBLICOS</v>
      </c>
      <c r="CS481" s="141" t="str">
        <v>2440 DE ESPECTÁCULOS PÚBLICOS</v>
      </c>
      <c r="CT481" s="141" t="str">
        <v>2440 DE ESPECTÁCULOS PÚBLICOS</v>
      </c>
      <c r="CU481" s="141" t="str">
        <v>2440 DE ESPECTÁCULOS PÚBLICOS</v>
      </c>
      <c r="CV481" s="141" t="str">
        <v>2440 DE ESPECTÁCULOS PÚBLICOS</v>
      </c>
      <c r="CW481" s="141" t="str">
        <v>2440 DE ESPECTÁCULOS PÚBLICOS</v>
      </c>
      <c r="CX481" s="141" t="str">
        <v>2440 DE ESPECTÁCULOS PÚBLICOS</v>
      </c>
      <c r="CY481" s="141" t="str">
        <v>2440 DE ESPECTÁCULOS PÚBLICOS</v>
      </c>
      <c r="CZ481" s="141" t="str">
        <v>2440 DE ESPECTÁCULOS PÚBLICOS</v>
      </c>
      <c r="DA481" s="141" t="str">
        <v>2440 DE ESPECTÁCULOS PÚBLICOS</v>
      </c>
      <c r="DF481" t="str">
        <v>2440 DE ESPECTÁCULOS PÚBLICOS</v>
      </c>
      <c r="DG481" t="str">
        <v>2440 DE ESPECTÁCULOS PÚBLICOS</v>
      </c>
      <c r="DH481" t="str">
        <v>2440 DE ESPECTÁCULOS PÚBLICOS</v>
      </c>
      <c r="DI481" t="str">
        <v>2440 DE ESPECTÁCULOS PÚBLICOS</v>
      </c>
      <c r="DJ481" t="str">
        <v>2440 DE ESPECTÁCULOS PÚBLICOS</v>
      </c>
      <c r="DK481" t="str">
        <v>2440 DE ESPECTÁCULOS PÚBLICOS</v>
      </c>
      <c r="DL481" t="str">
        <v>2440 DE ESPECTÁCULOS PÚBLICOS</v>
      </c>
      <c r="DM481" t="str">
        <v>2440 DE ESPECTÁCULOS PÚBLICOS</v>
      </c>
      <c r="DN481" t="str">
        <v>2440 DE ESPECTÁCULOS PÚBLICOS</v>
      </c>
      <c r="DO481" t="str">
        <v>2440 DE ESPECTÁCULOS PÚBLICOS</v>
      </c>
      <c r="DP481" t="str">
        <v>2440 DE ESPECTÁCULOS PÚBLICOS</v>
      </c>
    </row>
    <row r="482" spans="4:120" ht="12.75">
      <c r="D482" s="7">
        <v>2448</v>
      </c>
      <c r="E482" s="6" t="s">
        <v>364</v>
      </c>
      <c r="F482" s="5">
        <v>3</v>
      </c>
      <c r="G482" s="34" t="s">
        <v>823</v>
      </c>
      <c r="H482" s="26" t="s">
        <v>765</v>
      </c>
      <c r="I482" t="b">
        <f>+ISNUMBER(SEARCH('F-COMPRA'!$F$28,Tabla11[[#This Row],[Cuenta]],1))</f>
        <v>1</v>
      </c>
      <c r="J482" t="b">
        <f>+ISNUMBER(SEARCH('F-COMPRA'!$F$29,Tabla11[[#This Row],[Cuenta]],1))</f>
        <v>1</v>
      </c>
      <c r="K482" t="b">
        <f>+ISNUMBER(SEARCH('F-COMPRA'!$F$30,Tabla11[[#This Row],[Cuenta]],1))</f>
        <v>1</v>
      </c>
      <c r="L482" t="b">
        <f>+ISNUMBER(SEARCH('F-COMPRA'!$F$31,Tabla11[[#This Row],[Cuenta]],1))</f>
        <v>1</v>
      </c>
      <c r="M482" t="b">
        <f>+ISNUMBER(SEARCH('F-COMPRA'!$G$25,Tabla11[[#This Row],[Cuenta]],1))</f>
        <v>0</v>
      </c>
      <c r="N482" t="b">
        <f>+ISNUMBER(SEARCH(#REF!,Tabla11[[#This Row],[Cuenta]],1))</f>
        <v>0</v>
      </c>
      <c r="O482" t="b">
        <f>+ISNUMBER(SEARCH(#REF!,Tabla11[[#This Row],[Cuenta]],1))</f>
        <v>0</v>
      </c>
      <c r="P482" t="b">
        <f>+ISNUMBER(SEARCH('F-COMPRA'!$F$32,Tabla11[[#This Row],[Cuenta]],1))</f>
        <v>1</v>
      </c>
      <c r="Q482" t="b">
        <f>+ISNUMBER(SEARCH('F-COMPRA'!$F$33,Tabla11[[#This Row],[Cuenta]],1))</f>
        <v>1</v>
      </c>
      <c r="R482" t="b">
        <f>+ISNUMBER(SEARCH('F-COMPRA'!$F$34,Tabla11[[#This Row],[Cuenta]],1))</f>
        <v>1</v>
      </c>
      <c r="S482" t="b">
        <f>+ISNUMBER(SEARCH('F-COMPRA'!$F$35,Tabla11[[#This Row],[Cuenta]],1))</f>
        <v>1</v>
      </c>
      <c r="T482" t="b">
        <f>+ISNUMBER(SEARCH('F-COMPRA'!$F$36,Tabla11[[#This Row],[Cuenta]],1))</f>
        <v>1</v>
      </c>
      <c r="U482" t="b">
        <f>+ISNUMBER(SEARCH('F-COMPRA'!$F$37,Tabla11[[#This Row],[Cuenta]],1))</f>
        <v>1</v>
      </c>
      <c r="V482" t="b">
        <f>+ISNUMBER(SEARCH(#REF!,Tabla11[[#This Row],[Cuenta]],1))</f>
        <v>0</v>
      </c>
      <c r="W482" t="b">
        <f>+ISNUMBER(SEARCH('F-COMPRA'!#REF!,Tabla11[[#This Row],[Cuenta]],1))</f>
        <v>0</v>
      </c>
      <c r="X482" t="b">
        <f>+ISNUMBER(SEARCH('F-COMPRA'!#REF!,Tabla11[[#This Row],[Cuenta]],1))</f>
        <v>0</v>
      </c>
      <c r="Y482" t="b">
        <f>+ISNUMBER(SEARCH('F-COMPRA'!#REF!,Tabla11[[#This Row],[Cuenta]],1))</f>
        <v>0</v>
      </c>
      <c r="Z482" t="b">
        <f>+ISNUMBER(SEARCH('F-COMPRA'!#REF!,Tabla11[[#This Row],[Cuenta]],1))</f>
        <v>0</v>
      </c>
      <c r="AA482" t="b">
        <f>+ISNUMBER(SEARCH('F-COMPRA'!#REF!,Tabla11[[#This Row],[Cuenta]],1))</f>
        <v>0</v>
      </c>
      <c r="AB482" t="b">
        <f>+ISNUMBER(SEARCH('F-COMPRA'!#REF!,Tabla11[[#This Row],[Cuenta]],1))</f>
        <v>0</v>
      </c>
      <c r="AC482" t="b">
        <f>+ISNUMBER(SEARCH('F-COMPRA'!#REF!,Tabla11[[#This Row],[Cuenta]],1))</f>
        <v>0</v>
      </c>
      <c r="AD482" t="b">
        <f>+ISNUMBER(SEARCH('F-COMPRA'!#REF!,Tabla11[[#This Row],[Cuenta]],1))</f>
        <v>0</v>
      </c>
      <c r="AE482" t="b">
        <f>+ISNUMBER(SEARCH('F-COMPRA'!#REF!,Tabla11[[#This Row],[Cuenta]],1))</f>
        <v>0</v>
      </c>
      <c r="AF482" t="b">
        <f>+ISNUMBER(SEARCH('F-VTA'!$G$23,Tabla11[[#This Row],[Cuenta]],1))</f>
        <v>0</v>
      </c>
      <c r="AG482" t="b">
        <f>+ISNUMBER(SEARCH('F-VTA'!$G$24,Tabla11[[#This Row],[Cuenta]],1))</f>
        <v>0</v>
      </c>
      <c r="AH482" t="b">
        <f>+ISNUMBER(SEARCH('F-VTA'!$G$25,Tabla11[[#This Row],[Cuenta]],1))</f>
        <v>0</v>
      </c>
      <c r="AI482" t="b">
        <f>+ISNUMBER(SEARCH('F-VTA'!$F$28,Tabla11[[#This Row],[Cuenta]],1))</f>
        <v>1</v>
      </c>
      <c r="AJ482" t="b">
        <f>+ISNUMBER(SEARCH('F-VTA'!$F$29,Tabla11[[#This Row],[Cuenta]],1))</f>
        <v>1</v>
      </c>
      <c r="AK482" t="b">
        <f>+ISNUMBER(SEARCH('F-VTA'!$F$30,Tabla11[[#This Row],[Cuenta]],1))</f>
        <v>1</v>
      </c>
      <c r="AL482" t="b">
        <f>+ISNUMBER(SEARCH('F-VTA'!$F$31,Tabla11[[#This Row],[Cuenta]],1))</f>
        <v>1</v>
      </c>
      <c r="AM482" t="b">
        <f>+ISNUMBER(SEARCH('F-VTA'!$F$32,Tabla11[[#This Row],[Cuenta]],1))</f>
        <v>1</v>
      </c>
      <c r="AN482" t="b">
        <f>+ISNUMBER(SEARCH('F-VTA'!$F$33,Tabla11[[#This Row],[Cuenta]],1))</f>
        <v>1</v>
      </c>
      <c r="AO482" t="b">
        <f>+ISNUMBER(SEARCH('F-VTA'!$F$34,Tabla11[[#This Row],[Cuenta]],1))</f>
        <v>1</v>
      </c>
      <c r="AP482" t="b">
        <f>+ISNUMBER(SEARCH('F-VTA'!$F$35,Tabla11[[#This Row],[Cuenta]],1))</f>
        <v>1</v>
      </c>
      <c r="AQ482" t="b">
        <f>+ISNUMBER(SEARCH('F-VTA'!$F$36,Tabla11[[#This Row],[Cuenta]],1))</f>
        <v>1</v>
      </c>
      <c r="AR482" t="b">
        <f>+ISNUMBER(SEARCH(#REF!,Tabla11[[#This Row],[Cuenta]],1))</f>
        <v>0</v>
      </c>
      <c r="AS482" t="b">
        <f>+ISNUMBER(SEARCH(#REF!,Tabla11[[#This Row],[Cuenta]],1))</f>
        <v>0</v>
      </c>
      <c r="AT482" t="b">
        <f>+ISNUMBER(SEARCH(#REF!,Tabla11[[#This Row],[Cuenta]],1))</f>
        <v>0</v>
      </c>
      <c r="AU482" t="b">
        <f>+ISNUMBER(SEARCH('Conc. Ban.1'!$I$9,Tabla11[[#This Row],[Cuenta]],1))</f>
        <v>0</v>
      </c>
      <c r="AV482" t="b">
        <f>+ISNUMBER(SEARCH(CompConta!$F$21,Tabla11[[#This Row],[Cuenta]],1))</f>
        <v>1</v>
      </c>
      <c r="AW482" t="b">
        <f>+ISNUMBER(SEARCH(CompConta!$F$22,Tabla11[[#This Row],[Cuenta]],1))</f>
        <v>1</v>
      </c>
      <c r="AX482" t="b">
        <f>+ISNUMBER(SEARCH(CompConta!$F$23,Tabla11[[#This Row],[Cuenta]],1))</f>
        <v>1</v>
      </c>
      <c r="AY482" t="b">
        <f>+ISNUMBER(SEARCH(CompConta!$F$24,Tabla11[[#This Row],[Cuenta]],1))</f>
        <v>1</v>
      </c>
      <c r="AZ482" t="b">
        <f>+ISNUMBER(SEARCH(CompConta!$F$25,Tabla11[[#This Row],[Cuenta]],1))</f>
        <v>1</v>
      </c>
      <c r="BA482" t="b">
        <f>+ISNUMBER(SEARCH(CompConta!$F$26,Tabla11[[#This Row],[Cuenta]],1))</f>
        <v>1</v>
      </c>
      <c r="BB482" t="b">
        <f>+ISNUMBER(SEARCH(CompConta!$F$27,Tabla11[[#This Row],[Cuenta]],1))</f>
        <v>1</v>
      </c>
      <c r="BC482" t="b">
        <f>+ISNUMBER(SEARCH(CompConta!$F$28,Tabla11[[#This Row],[Cuenta]],1))</f>
        <v>1</v>
      </c>
      <c r="BD482" t="b">
        <f>+ISNUMBER(SEARCH(CompConta!$F$29,Tabla11[[#This Row],[Cuenta]],1))</f>
        <v>1</v>
      </c>
      <c r="BE482" t="b">
        <f>+ISNUMBER(SEARCH(CompConta!$F$30,Tabla11[[#This Row],[Cuenta]],1))</f>
        <v>1</v>
      </c>
      <c r="BF482" t="b">
        <f>+ISNUMBER(SEARCH('PAGO Compras'!$E$11,Tabla11[[#This Row],[Cuenta]],1))</f>
        <v>1</v>
      </c>
      <c r="BG482" t="b">
        <f>+ISNUMBER(SEARCH(#REF!,Tabla11[[#This Row],[Cuenta]],1))</f>
        <v>0</v>
      </c>
      <c r="BH482" t="b">
        <f>+ISNUMBER(SEARCH(#REF!,Tabla11[[#This Row],[Cuenta]],1))</f>
        <v>0</v>
      </c>
      <c r="BI482" t="b">
        <f>+ISNUMBER(SEARCH(#REF!,Tabla11[[#This Row],[Cuenta]],1))</f>
        <v>0</v>
      </c>
      <c r="BJ482" t="b">
        <f>+ISNUMBER(SEARCH(#REF!,Tabla11[[#This Row],[Cuenta]],1))</f>
        <v>0</v>
      </c>
      <c r="BS482" t="str">
        <v>2448 REGALÍAS E IMPTOS A LA PEQUEÑA Y MEDIANA</v>
      </c>
      <c r="BT482" t="str">
        <v>2448 REGALÍAS E IMPTOS A LA PEQUEÑA Y MEDIANA</v>
      </c>
      <c r="BU482" t="str">
        <v>2448 REGALÍAS E IMPTOS A LA PEQUEÑA Y MEDIANA</v>
      </c>
      <c r="BV482" t="str">
        <v>2448 REGALÍAS E IMPTOS A LA PEQUEÑA Y MEDIANA</v>
      </c>
      <c r="BZ482" t="str">
        <v>2448 REGALÍAS E IMPTOS A LA PEQUEÑA Y MEDIANA</v>
      </c>
      <c r="CA482" t="str">
        <v>2448 REGALÍAS E IMPTOS A LA PEQUEÑA Y MEDIANA</v>
      </c>
      <c r="CB482" t="str">
        <v>2448 REGALÍAS E IMPTOS A LA PEQUEÑA Y MEDIANA</v>
      </c>
      <c r="CC482" t="str">
        <v>2448 REGALÍAS E IMPTOS A LA PEQUEÑA Y MEDIANA</v>
      </c>
      <c r="CD482" t="str">
        <v>2448 REGALÍAS E IMPTOS A LA PEQUEÑA Y MEDIANA</v>
      </c>
      <c r="CE482" t="str">
        <v>2448 REGALÍAS E IMPTOS A LA PEQUEÑA Y MEDIANA</v>
      </c>
      <c r="CS482" s="141" t="str">
        <v>2448 REGALÍAS E IMPTOS A LA PEQUEÑA Y MEDIANA</v>
      </c>
      <c r="CT482" s="141" t="str">
        <v>2448 REGALÍAS E IMPTOS A LA PEQUEÑA Y MEDIANA</v>
      </c>
      <c r="CU482" s="141" t="str">
        <v>2448 REGALÍAS E IMPTOS A LA PEQUEÑA Y MEDIANA</v>
      </c>
      <c r="CV482" s="141" t="str">
        <v>2448 REGALÍAS E IMPTOS A LA PEQUEÑA Y MEDIANA</v>
      </c>
      <c r="CW482" s="141" t="str">
        <v>2448 REGALÍAS E IMPTOS A LA PEQUEÑA Y MEDIANA</v>
      </c>
      <c r="CX482" s="141" t="str">
        <v>2448 REGALÍAS E IMPTOS A LA PEQUEÑA Y MEDIANA</v>
      </c>
      <c r="CY482" s="141" t="str">
        <v>2448 REGALÍAS E IMPTOS A LA PEQUEÑA Y MEDIANA</v>
      </c>
      <c r="CZ482" s="141" t="str">
        <v>2448 REGALÍAS E IMPTOS A LA PEQUEÑA Y MEDIANA</v>
      </c>
      <c r="DA482" s="141" t="str">
        <v>2448 REGALÍAS E IMPTOS A LA PEQUEÑA Y MEDIANA</v>
      </c>
      <c r="DF482" t="str">
        <v>2448 REGALÍAS E IMPTOS A LA PEQUEÑA Y MEDIANA</v>
      </c>
      <c r="DG482" t="str">
        <v>2448 REGALÍAS E IMPTOS A LA PEQUEÑA Y MEDIANA</v>
      </c>
      <c r="DH482" t="str">
        <v>2448 REGALÍAS E IMPTOS A LA PEQUEÑA Y MEDIANA</v>
      </c>
      <c r="DI482" t="str">
        <v>2448 REGALÍAS E IMPTOS A LA PEQUEÑA Y MEDIANA</v>
      </c>
      <c r="DJ482" t="str">
        <v>2448 REGALÍAS E IMPTOS A LA PEQUEÑA Y MEDIANA</v>
      </c>
      <c r="DK482" t="str">
        <v>2448 REGALÍAS E IMPTOS A LA PEQUEÑA Y MEDIANA</v>
      </c>
      <c r="DL482" t="str">
        <v>2448 REGALÍAS E IMPTOS A LA PEQUEÑA Y MEDIANA</v>
      </c>
      <c r="DM482" t="str">
        <v>2448 REGALÍAS E IMPTOS A LA PEQUEÑA Y MEDIANA</v>
      </c>
      <c r="DN482" t="str">
        <v>2448 REGALÍAS E IMPTOS A LA PEQUEÑA Y MEDIANA</v>
      </c>
      <c r="DO482" t="str">
        <v>2448 REGALÍAS E IMPTOS A LA PEQUEÑA Y MEDIANA</v>
      </c>
      <c r="DP482" t="str">
        <v>2448 REGALÍAS E IMPTOS A LA PEQUEÑA Y MEDIANA</v>
      </c>
    </row>
    <row r="483" spans="4:120" ht="12.75">
      <c r="D483" s="7">
        <v>2452</v>
      </c>
      <c r="E483" s="6" t="s">
        <v>365</v>
      </c>
      <c r="F483" s="5">
        <v>3</v>
      </c>
      <c r="G483" s="34" t="s">
        <v>823</v>
      </c>
      <c r="H483" s="26" t="s">
        <v>765</v>
      </c>
      <c r="I483" t="b">
        <f>+ISNUMBER(SEARCH('F-COMPRA'!$F$28,Tabla11[[#This Row],[Cuenta]],1))</f>
        <v>1</v>
      </c>
      <c r="J483" t="b">
        <f>+ISNUMBER(SEARCH('F-COMPRA'!$F$29,Tabla11[[#This Row],[Cuenta]],1))</f>
        <v>1</v>
      </c>
      <c r="K483" t="b">
        <f>+ISNUMBER(SEARCH('F-COMPRA'!$F$30,Tabla11[[#This Row],[Cuenta]],1))</f>
        <v>1</v>
      </c>
      <c r="L483" t="b">
        <f>+ISNUMBER(SEARCH('F-COMPRA'!$F$31,Tabla11[[#This Row],[Cuenta]],1))</f>
        <v>1</v>
      </c>
      <c r="M483" t="b">
        <f>+ISNUMBER(SEARCH('F-COMPRA'!$G$25,Tabla11[[#This Row],[Cuenta]],1))</f>
        <v>0</v>
      </c>
      <c r="N483" t="b">
        <f>+ISNUMBER(SEARCH(#REF!,Tabla11[[#This Row],[Cuenta]],1))</f>
        <v>0</v>
      </c>
      <c r="O483" t="b">
        <f>+ISNUMBER(SEARCH(#REF!,Tabla11[[#This Row],[Cuenta]],1))</f>
        <v>0</v>
      </c>
      <c r="P483" t="b">
        <f>+ISNUMBER(SEARCH('F-COMPRA'!$F$32,Tabla11[[#This Row],[Cuenta]],1))</f>
        <v>1</v>
      </c>
      <c r="Q483" t="b">
        <f>+ISNUMBER(SEARCH('F-COMPRA'!$F$33,Tabla11[[#This Row],[Cuenta]],1))</f>
        <v>1</v>
      </c>
      <c r="R483" t="b">
        <f>+ISNUMBER(SEARCH('F-COMPRA'!$F$34,Tabla11[[#This Row],[Cuenta]],1))</f>
        <v>1</v>
      </c>
      <c r="S483" t="b">
        <f>+ISNUMBER(SEARCH('F-COMPRA'!$F$35,Tabla11[[#This Row],[Cuenta]],1))</f>
        <v>1</v>
      </c>
      <c r="T483" t="b">
        <f>+ISNUMBER(SEARCH('F-COMPRA'!$F$36,Tabla11[[#This Row],[Cuenta]],1))</f>
        <v>1</v>
      </c>
      <c r="U483" t="b">
        <f>+ISNUMBER(SEARCH('F-COMPRA'!$F$37,Tabla11[[#This Row],[Cuenta]],1))</f>
        <v>1</v>
      </c>
      <c r="V483" t="b">
        <f>+ISNUMBER(SEARCH(#REF!,Tabla11[[#This Row],[Cuenta]],1))</f>
        <v>0</v>
      </c>
      <c r="W483" t="b">
        <f>+ISNUMBER(SEARCH('F-COMPRA'!#REF!,Tabla11[[#This Row],[Cuenta]],1))</f>
        <v>0</v>
      </c>
      <c r="X483" t="b">
        <f>+ISNUMBER(SEARCH('F-COMPRA'!#REF!,Tabla11[[#This Row],[Cuenta]],1))</f>
        <v>0</v>
      </c>
      <c r="Y483" t="b">
        <f>+ISNUMBER(SEARCH('F-COMPRA'!#REF!,Tabla11[[#This Row],[Cuenta]],1))</f>
        <v>0</v>
      </c>
      <c r="Z483" t="b">
        <f>+ISNUMBER(SEARCH('F-COMPRA'!#REF!,Tabla11[[#This Row],[Cuenta]],1))</f>
        <v>0</v>
      </c>
      <c r="AA483" t="b">
        <f>+ISNUMBER(SEARCH('F-COMPRA'!#REF!,Tabla11[[#This Row],[Cuenta]],1))</f>
        <v>0</v>
      </c>
      <c r="AB483" t="b">
        <f>+ISNUMBER(SEARCH('F-COMPRA'!#REF!,Tabla11[[#This Row],[Cuenta]],1))</f>
        <v>0</v>
      </c>
      <c r="AC483" t="b">
        <f>+ISNUMBER(SEARCH('F-COMPRA'!#REF!,Tabla11[[#This Row],[Cuenta]],1))</f>
        <v>0</v>
      </c>
      <c r="AD483" t="b">
        <f>+ISNUMBER(SEARCH('F-COMPRA'!#REF!,Tabla11[[#This Row],[Cuenta]],1))</f>
        <v>0</v>
      </c>
      <c r="AE483" t="b">
        <f>+ISNUMBER(SEARCH('F-COMPRA'!#REF!,Tabla11[[#This Row],[Cuenta]],1))</f>
        <v>0</v>
      </c>
      <c r="AF483" t="b">
        <f>+ISNUMBER(SEARCH('F-VTA'!$G$23,Tabla11[[#This Row],[Cuenta]],1))</f>
        <v>0</v>
      </c>
      <c r="AG483" t="b">
        <f>+ISNUMBER(SEARCH('F-VTA'!$G$24,Tabla11[[#This Row],[Cuenta]],1))</f>
        <v>0</v>
      </c>
      <c r="AH483" t="b">
        <f>+ISNUMBER(SEARCH('F-VTA'!$G$25,Tabla11[[#This Row],[Cuenta]],1))</f>
        <v>0</v>
      </c>
      <c r="AI483" t="b">
        <f>+ISNUMBER(SEARCH('F-VTA'!$F$28,Tabla11[[#This Row],[Cuenta]],1))</f>
        <v>1</v>
      </c>
      <c r="AJ483" t="b">
        <f>+ISNUMBER(SEARCH('F-VTA'!$F$29,Tabla11[[#This Row],[Cuenta]],1))</f>
        <v>1</v>
      </c>
      <c r="AK483" t="b">
        <f>+ISNUMBER(SEARCH('F-VTA'!$F$30,Tabla11[[#This Row],[Cuenta]],1))</f>
        <v>1</v>
      </c>
      <c r="AL483" t="b">
        <f>+ISNUMBER(SEARCH('F-VTA'!$F$31,Tabla11[[#This Row],[Cuenta]],1))</f>
        <v>1</v>
      </c>
      <c r="AM483" t="b">
        <f>+ISNUMBER(SEARCH('F-VTA'!$F$32,Tabla11[[#This Row],[Cuenta]],1))</f>
        <v>1</v>
      </c>
      <c r="AN483" t="b">
        <f>+ISNUMBER(SEARCH('F-VTA'!$F$33,Tabla11[[#This Row],[Cuenta]],1))</f>
        <v>1</v>
      </c>
      <c r="AO483" t="b">
        <f>+ISNUMBER(SEARCH('F-VTA'!$F$34,Tabla11[[#This Row],[Cuenta]],1))</f>
        <v>1</v>
      </c>
      <c r="AP483" t="b">
        <f>+ISNUMBER(SEARCH('F-VTA'!$F$35,Tabla11[[#This Row],[Cuenta]],1))</f>
        <v>1</v>
      </c>
      <c r="AQ483" t="b">
        <f>+ISNUMBER(SEARCH('F-VTA'!$F$36,Tabla11[[#This Row],[Cuenta]],1))</f>
        <v>1</v>
      </c>
      <c r="AR483" t="b">
        <f>+ISNUMBER(SEARCH(#REF!,Tabla11[[#This Row],[Cuenta]],1))</f>
        <v>0</v>
      </c>
      <c r="AS483" t="b">
        <f>+ISNUMBER(SEARCH(#REF!,Tabla11[[#This Row],[Cuenta]],1))</f>
        <v>0</v>
      </c>
      <c r="AT483" t="b">
        <f>+ISNUMBER(SEARCH(#REF!,Tabla11[[#This Row],[Cuenta]],1))</f>
        <v>0</v>
      </c>
      <c r="AU483" t="b">
        <f>+ISNUMBER(SEARCH('Conc. Ban.1'!$I$9,Tabla11[[#This Row],[Cuenta]],1))</f>
        <v>0</v>
      </c>
      <c r="AV483" t="b">
        <f>+ISNUMBER(SEARCH(CompConta!$F$21,Tabla11[[#This Row],[Cuenta]],1))</f>
        <v>1</v>
      </c>
      <c r="AW483" t="b">
        <f>+ISNUMBER(SEARCH(CompConta!$F$22,Tabla11[[#This Row],[Cuenta]],1))</f>
        <v>1</v>
      </c>
      <c r="AX483" t="b">
        <f>+ISNUMBER(SEARCH(CompConta!$F$23,Tabla11[[#This Row],[Cuenta]],1))</f>
        <v>1</v>
      </c>
      <c r="AY483" t="b">
        <f>+ISNUMBER(SEARCH(CompConta!$F$24,Tabla11[[#This Row],[Cuenta]],1))</f>
        <v>1</v>
      </c>
      <c r="AZ483" t="b">
        <f>+ISNUMBER(SEARCH(CompConta!$F$25,Tabla11[[#This Row],[Cuenta]],1))</f>
        <v>1</v>
      </c>
      <c r="BA483" t="b">
        <f>+ISNUMBER(SEARCH(CompConta!$F$26,Tabla11[[#This Row],[Cuenta]],1))</f>
        <v>1</v>
      </c>
      <c r="BB483" t="b">
        <f>+ISNUMBER(SEARCH(CompConta!$F$27,Tabla11[[#This Row],[Cuenta]],1))</f>
        <v>1</v>
      </c>
      <c r="BC483" t="b">
        <f>+ISNUMBER(SEARCH(CompConta!$F$28,Tabla11[[#This Row],[Cuenta]],1))</f>
        <v>1</v>
      </c>
      <c r="BD483" t="b">
        <f>+ISNUMBER(SEARCH(CompConta!$F$29,Tabla11[[#This Row],[Cuenta]],1))</f>
        <v>1</v>
      </c>
      <c r="BE483" t="b">
        <f>+ISNUMBER(SEARCH(CompConta!$F$30,Tabla11[[#This Row],[Cuenta]],1))</f>
        <v>1</v>
      </c>
      <c r="BF483" t="b">
        <f>+ISNUMBER(SEARCH('PAGO Compras'!$E$11,Tabla11[[#This Row],[Cuenta]],1))</f>
        <v>1</v>
      </c>
      <c r="BG483" t="b">
        <f>+ISNUMBER(SEARCH(#REF!,Tabla11[[#This Row],[Cuenta]],1))</f>
        <v>0</v>
      </c>
      <c r="BH483" t="b">
        <f>+ISNUMBER(SEARCH(#REF!,Tabla11[[#This Row],[Cuenta]],1))</f>
        <v>0</v>
      </c>
      <c r="BI483" t="b">
        <f>+ISNUMBER(SEARCH(#REF!,Tabla11[[#This Row],[Cuenta]],1))</f>
        <v>0</v>
      </c>
      <c r="BJ483" t="b">
        <f>+ISNUMBER(SEARCH(#REF!,Tabla11[[#This Row],[Cuenta]],1))</f>
        <v>0</v>
      </c>
      <c r="BS483" t="str">
        <v>2452 A LAS EXPORTACIONES CAFETERAS</v>
      </c>
      <c r="BT483" t="str">
        <v>2452 A LAS EXPORTACIONES CAFETERAS</v>
      </c>
      <c r="BU483" t="str">
        <v>2452 A LAS EXPORTACIONES CAFETERAS</v>
      </c>
      <c r="BV483" t="str">
        <v>2452 A LAS EXPORTACIONES CAFETERAS</v>
      </c>
      <c r="BZ483" t="str">
        <v>2452 A LAS EXPORTACIONES CAFETERAS</v>
      </c>
      <c r="CA483" t="str">
        <v>2452 A LAS EXPORTACIONES CAFETERAS</v>
      </c>
      <c r="CB483" t="str">
        <v>2452 A LAS EXPORTACIONES CAFETERAS</v>
      </c>
      <c r="CC483" t="str">
        <v>2452 A LAS EXPORTACIONES CAFETERAS</v>
      </c>
      <c r="CD483" t="str">
        <v>2452 A LAS EXPORTACIONES CAFETERAS</v>
      </c>
      <c r="CE483" t="str">
        <v>2452 A LAS EXPORTACIONES CAFETERAS</v>
      </c>
      <c r="CS483" s="141" t="str">
        <v>2452 A LAS EXPORTACIONES CAFETERAS</v>
      </c>
      <c r="CT483" s="141" t="str">
        <v>2452 A LAS EXPORTACIONES CAFETERAS</v>
      </c>
      <c r="CU483" s="141" t="str">
        <v>2452 A LAS EXPORTACIONES CAFETERAS</v>
      </c>
      <c r="CV483" s="141" t="str">
        <v>2452 A LAS EXPORTACIONES CAFETERAS</v>
      </c>
      <c r="CW483" s="141" t="str">
        <v>2452 A LAS EXPORTACIONES CAFETERAS</v>
      </c>
      <c r="CX483" s="141" t="str">
        <v>2452 A LAS EXPORTACIONES CAFETERAS</v>
      </c>
      <c r="CY483" s="141" t="str">
        <v>2452 A LAS EXPORTACIONES CAFETERAS</v>
      </c>
      <c r="CZ483" s="141" t="str">
        <v>2452 A LAS EXPORTACIONES CAFETERAS</v>
      </c>
      <c r="DA483" s="141" t="str">
        <v>2452 A LAS EXPORTACIONES CAFETERAS</v>
      </c>
      <c r="DF483" t="str">
        <v>2452 A LAS EXPORTACIONES CAFETERAS</v>
      </c>
      <c r="DG483" t="str">
        <v>2452 A LAS EXPORTACIONES CAFETERAS</v>
      </c>
      <c r="DH483" t="str">
        <v>2452 A LAS EXPORTACIONES CAFETERAS</v>
      </c>
      <c r="DI483" t="str">
        <v>2452 A LAS EXPORTACIONES CAFETERAS</v>
      </c>
      <c r="DJ483" t="str">
        <v>2452 A LAS EXPORTACIONES CAFETERAS</v>
      </c>
      <c r="DK483" t="str">
        <v>2452 A LAS EXPORTACIONES CAFETERAS</v>
      </c>
      <c r="DL483" t="str">
        <v>2452 A LAS EXPORTACIONES CAFETERAS</v>
      </c>
      <c r="DM483" t="str">
        <v>2452 A LAS EXPORTACIONES CAFETERAS</v>
      </c>
      <c r="DN483" t="str">
        <v>2452 A LAS EXPORTACIONES CAFETERAS</v>
      </c>
      <c r="DO483" t="str">
        <v>2452 A LAS EXPORTACIONES CAFETERAS</v>
      </c>
      <c r="DP483" t="str">
        <v>2452 A LAS EXPORTACIONES CAFETERAS</v>
      </c>
    </row>
    <row r="484" spans="4:120" ht="12.75">
      <c r="D484" s="7">
        <v>2456</v>
      </c>
      <c r="E484" s="6" t="s">
        <v>366</v>
      </c>
      <c r="F484" s="5">
        <v>3</v>
      </c>
      <c r="G484" s="34" t="s">
        <v>823</v>
      </c>
      <c r="H484" s="26" t="s">
        <v>765</v>
      </c>
      <c r="I484" t="b">
        <f>+ISNUMBER(SEARCH('F-COMPRA'!$F$28,Tabla11[[#This Row],[Cuenta]],1))</f>
        <v>1</v>
      </c>
      <c r="J484" t="b">
        <f>+ISNUMBER(SEARCH('F-COMPRA'!$F$29,Tabla11[[#This Row],[Cuenta]],1))</f>
        <v>1</v>
      </c>
      <c r="K484" t="b">
        <f>+ISNUMBER(SEARCH('F-COMPRA'!$F$30,Tabla11[[#This Row],[Cuenta]],1))</f>
        <v>1</v>
      </c>
      <c r="L484" t="b">
        <f>+ISNUMBER(SEARCH('F-COMPRA'!$F$31,Tabla11[[#This Row],[Cuenta]],1))</f>
        <v>1</v>
      </c>
      <c r="M484" t="b">
        <f>+ISNUMBER(SEARCH('F-COMPRA'!$G$25,Tabla11[[#This Row],[Cuenta]],1))</f>
        <v>0</v>
      </c>
      <c r="N484" t="b">
        <f>+ISNUMBER(SEARCH(#REF!,Tabla11[[#This Row],[Cuenta]],1))</f>
        <v>0</v>
      </c>
      <c r="O484" t="b">
        <f>+ISNUMBER(SEARCH(#REF!,Tabla11[[#This Row],[Cuenta]],1))</f>
        <v>0</v>
      </c>
      <c r="P484" t="b">
        <f>+ISNUMBER(SEARCH('F-COMPRA'!$F$32,Tabla11[[#This Row],[Cuenta]],1))</f>
        <v>1</v>
      </c>
      <c r="Q484" t="b">
        <f>+ISNUMBER(SEARCH('F-COMPRA'!$F$33,Tabla11[[#This Row],[Cuenta]],1))</f>
        <v>1</v>
      </c>
      <c r="R484" t="b">
        <f>+ISNUMBER(SEARCH('F-COMPRA'!$F$34,Tabla11[[#This Row],[Cuenta]],1))</f>
        <v>1</v>
      </c>
      <c r="S484" t="b">
        <f>+ISNUMBER(SEARCH('F-COMPRA'!$F$35,Tabla11[[#This Row],[Cuenta]],1))</f>
        <v>1</v>
      </c>
      <c r="T484" t="b">
        <f>+ISNUMBER(SEARCH('F-COMPRA'!$F$36,Tabla11[[#This Row],[Cuenta]],1))</f>
        <v>1</v>
      </c>
      <c r="U484" t="b">
        <f>+ISNUMBER(SEARCH('F-COMPRA'!$F$37,Tabla11[[#This Row],[Cuenta]],1))</f>
        <v>1</v>
      </c>
      <c r="V484" t="b">
        <f>+ISNUMBER(SEARCH(#REF!,Tabla11[[#This Row],[Cuenta]],1))</f>
        <v>0</v>
      </c>
      <c r="W484" t="b">
        <f>+ISNUMBER(SEARCH('F-COMPRA'!#REF!,Tabla11[[#This Row],[Cuenta]],1))</f>
        <v>0</v>
      </c>
      <c r="X484" t="b">
        <f>+ISNUMBER(SEARCH('F-COMPRA'!#REF!,Tabla11[[#This Row],[Cuenta]],1))</f>
        <v>0</v>
      </c>
      <c r="Y484" t="b">
        <f>+ISNUMBER(SEARCH('F-COMPRA'!#REF!,Tabla11[[#This Row],[Cuenta]],1))</f>
        <v>0</v>
      </c>
      <c r="Z484" t="b">
        <f>+ISNUMBER(SEARCH('F-COMPRA'!#REF!,Tabla11[[#This Row],[Cuenta]],1))</f>
        <v>0</v>
      </c>
      <c r="AA484" t="b">
        <f>+ISNUMBER(SEARCH('F-COMPRA'!#REF!,Tabla11[[#This Row],[Cuenta]],1))</f>
        <v>0</v>
      </c>
      <c r="AB484" t="b">
        <f>+ISNUMBER(SEARCH('F-COMPRA'!#REF!,Tabla11[[#This Row],[Cuenta]],1))</f>
        <v>0</v>
      </c>
      <c r="AC484" t="b">
        <f>+ISNUMBER(SEARCH('F-COMPRA'!#REF!,Tabla11[[#This Row],[Cuenta]],1))</f>
        <v>0</v>
      </c>
      <c r="AD484" t="b">
        <f>+ISNUMBER(SEARCH('F-COMPRA'!#REF!,Tabla11[[#This Row],[Cuenta]],1))</f>
        <v>0</v>
      </c>
      <c r="AE484" t="b">
        <f>+ISNUMBER(SEARCH('F-COMPRA'!#REF!,Tabla11[[#This Row],[Cuenta]],1))</f>
        <v>0</v>
      </c>
      <c r="AF484" t="b">
        <f>+ISNUMBER(SEARCH('F-VTA'!$G$23,Tabla11[[#This Row],[Cuenta]],1))</f>
        <v>0</v>
      </c>
      <c r="AG484" t="b">
        <f>+ISNUMBER(SEARCH('F-VTA'!$G$24,Tabla11[[#This Row],[Cuenta]],1))</f>
        <v>0</v>
      </c>
      <c r="AH484" t="b">
        <f>+ISNUMBER(SEARCH('F-VTA'!$G$25,Tabla11[[#This Row],[Cuenta]],1))</f>
        <v>0</v>
      </c>
      <c r="AI484" t="b">
        <f>+ISNUMBER(SEARCH('F-VTA'!$F$28,Tabla11[[#This Row],[Cuenta]],1))</f>
        <v>1</v>
      </c>
      <c r="AJ484" t="b">
        <f>+ISNUMBER(SEARCH('F-VTA'!$F$29,Tabla11[[#This Row],[Cuenta]],1))</f>
        <v>1</v>
      </c>
      <c r="AK484" t="b">
        <f>+ISNUMBER(SEARCH('F-VTA'!$F$30,Tabla11[[#This Row],[Cuenta]],1))</f>
        <v>1</v>
      </c>
      <c r="AL484" t="b">
        <f>+ISNUMBER(SEARCH('F-VTA'!$F$31,Tabla11[[#This Row],[Cuenta]],1))</f>
        <v>1</v>
      </c>
      <c r="AM484" t="b">
        <f>+ISNUMBER(SEARCH('F-VTA'!$F$32,Tabla11[[#This Row],[Cuenta]],1))</f>
        <v>1</v>
      </c>
      <c r="AN484" t="b">
        <f>+ISNUMBER(SEARCH('F-VTA'!$F$33,Tabla11[[#This Row],[Cuenta]],1))</f>
        <v>1</v>
      </c>
      <c r="AO484" t="b">
        <f>+ISNUMBER(SEARCH('F-VTA'!$F$34,Tabla11[[#This Row],[Cuenta]],1))</f>
        <v>1</v>
      </c>
      <c r="AP484" t="b">
        <f>+ISNUMBER(SEARCH('F-VTA'!$F$35,Tabla11[[#This Row],[Cuenta]],1))</f>
        <v>1</v>
      </c>
      <c r="AQ484" t="b">
        <f>+ISNUMBER(SEARCH('F-VTA'!$F$36,Tabla11[[#This Row],[Cuenta]],1))</f>
        <v>1</v>
      </c>
      <c r="AR484" t="b">
        <f>+ISNUMBER(SEARCH(#REF!,Tabla11[[#This Row],[Cuenta]],1))</f>
        <v>0</v>
      </c>
      <c r="AS484" t="b">
        <f>+ISNUMBER(SEARCH(#REF!,Tabla11[[#This Row],[Cuenta]],1))</f>
        <v>0</v>
      </c>
      <c r="AT484" t="b">
        <f>+ISNUMBER(SEARCH(#REF!,Tabla11[[#This Row],[Cuenta]],1))</f>
        <v>0</v>
      </c>
      <c r="AU484" t="b">
        <f>+ISNUMBER(SEARCH('Conc. Ban.1'!$I$9,Tabla11[[#This Row],[Cuenta]],1))</f>
        <v>0</v>
      </c>
      <c r="AV484" t="b">
        <f>+ISNUMBER(SEARCH(CompConta!$F$21,Tabla11[[#This Row],[Cuenta]],1))</f>
        <v>1</v>
      </c>
      <c r="AW484" t="b">
        <f>+ISNUMBER(SEARCH(CompConta!$F$22,Tabla11[[#This Row],[Cuenta]],1))</f>
        <v>1</v>
      </c>
      <c r="AX484" t="b">
        <f>+ISNUMBER(SEARCH(CompConta!$F$23,Tabla11[[#This Row],[Cuenta]],1))</f>
        <v>1</v>
      </c>
      <c r="AY484" t="b">
        <f>+ISNUMBER(SEARCH(CompConta!$F$24,Tabla11[[#This Row],[Cuenta]],1))</f>
        <v>1</v>
      </c>
      <c r="AZ484" t="b">
        <f>+ISNUMBER(SEARCH(CompConta!$F$25,Tabla11[[#This Row],[Cuenta]],1))</f>
        <v>1</v>
      </c>
      <c r="BA484" t="b">
        <f>+ISNUMBER(SEARCH(CompConta!$F$26,Tabla11[[#This Row],[Cuenta]],1))</f>
        <v>1</v>
      </c>
      <c r="BB484" t="b">
        <f>+ISNUMBER(SEARCH(CompConta!$F$27,Tabla11[[#This Row],[Cuenta]],1))</f>
        <v>1</v>
      </c>
      <c r="BC484" t="b">
        <f>+ISNUMBER(SEARCH(CompConta!$F$28,Tabla11[[#This Row],[Cuenta]],1))</f>
        <v>1</v>
      </c>
      <c r="BD484" t="b">
        <f>+ISNUMBER(SEARCH(CompConta!$F$29,Tabla11[[#This Row],[Cuenta]],1))</f>
        <v>1</v>
      </c>
      <c r="BE484" t="b">
        <f>+ISNUMBER(SEARCH(CompConta!$F$30,Tabla11[[#This Row],[Cuenta]],1))</f>
        <v>1</v>
      </c>
      <c r="BF484" t="b">
        <f>+ISNUMBER(SEARCH('PAGO Compras'!$E$11,Tabla11[[#This Row],[Cuenta]],1))</f>
        <v>1</v>
      </c>
      <c r="BG484" t="b">
        <f>+ISNUMBER(SEARCH(#REF!,Tabla11[[#This Row],[Cuenta]],1))</f>
        <v>0</v>
      </c>
      <c r="BH484" t="b">
        <f>+ISNUMBER(SEARCH(#REF!,Tabla11[[#This Row],[Cuenta]],1))</f>
        <v>0</v>
      </c>
      <c r="BI484" t="b">
        <f>+ISNUMBER(SEARCH(#REF!,Tabla11[[#This Row],[Cuenta]],1))</f>
        <v>0</v>
      </c>
      <c r="BJ484" t="b">
        <f>+ISNUMBER(SEARCH(#REF!,Tabla11[[#This Row],[Cuenta]],1))</f>
        <v>0</v>
      </c>
      <c r="BS484" t="str">
        <v>2456 A LAS IMPORTACIONES</v>
      </c>
      <c r="BT484" t="str">
        <v>2456 A LAS IMPORTACIONES</v>
      </c>
      <c r="BU484" t="str">
        <v>2456 A LAS IMPORTACIONES</v>
      </c>
      <c r="BV484" t="str">
        <v>2456 A LAS IMPORTACIONES</v>
      </c>
      <c r="BZ484" t="str">
        <v>2456 A LAS IMPORTACIONES</v>
      </c>
      <c r="CA484" t="str">
        <v>2456 A LAS IMPORTACIONES</v>
      </c>
      <c r="CB484" t="str">
        <v>2456 A LAS IMPORTACIONES</v>
      </c>
      <c r="CC484" t="str">
        <v>2456 A LAS IMPORTACIONES</v>
      </c>
      <c r="CD484" t="str">
        <v>2456 A LAS IMPORTACIONES</v>
      </c>
      <c r="CE484" t="str">
        <v>2456 A LAS IMPORTACIONES</v>
      </c>
      <c r="CS484" s="141" t="str">
        <v>2456 A LAS IMPORTACIONES</v>
      </c>
      <c r="CT484" s="141" t="str">
        <v>2456 A LAS IMPORTACIONES</v>
      </c>
      <c r="CU484" s="141" t="str">
        <v>2456 A LAS IMPORTACIONES</v>
      </c>
      <c r="CV484" s="141" t="str">
        <v>2456 A LAS IMPORTACIONES</v>
      </c>
      <c r="CW484" s="141" t="str">
        <v>2456 A LAS IMPORTACIONES</v>
      </c>
      <c r="CX484" s="141" t="str">
        <v>2456 A LAS IMPORTACIONES</v>
      </c>
      <c r="CY484" s="141" t="str">
        <v>2456 A LAS IMPORTACIONES</v>
      </c>
      <c r="CZ484" s="141" t="str">
        <v>2456 A LAS IMPORTACIONES</v>
      </c>
      <c r="DA484" s="141" t="str">
        <v>2456 A LAS IMPORTACIONES</v>
      </c>
      <c r="DF484" t="str">
        <v>2456 A LAS IMPORTACIONES</v>
      </c>
      <c r="DG484" t="str">
        <v>2456 A LAS IMPORTACIONES</v>
      </c>
      <c r="DH484" t="str">
        <v>2456 A LAS IMPORTACIONES</v>
      </c>
      <c r="DI484" t="str">
        <v>2456 A LAS IMPORTACIONES</v>
      </c>
      <c r="DJ484" t="str">
        <v>2456 A LAS IMPORTACIONES</v>
      </c>
      <c r="DK484" t="str">
        <v>2456 A LAS IMPORTACIONES</v>
      </c>
      <c r="DL484" t="str">
        <v>2456 A LAS IMPORTACIONES</v>
      </c>
      <c r="DM484" t="str">
        <v>2456 A LAS IMPORTACIONES</v>
      </c>
      <c r="DN484" t="str">
        <v>2456 A LAS IMPORTACIONES</v>
      </c>
      <c r="DO484" t="str">
        <v>2456 A LAS IMPORTACIONES</v>
      </c>
      <c r="DP484" t="str">
        <v>2456 A LAS IMPORTACIONES</v>
      </c>
    </row>
    <row r="485" spans="4:120" ht="12.75">
      <c r="D485" s="7">
        <v>2460</v>
      </c>
      <c r="E485" s="6" t="s">
        <v>367</v>
      </c>
      <c r="F485" s="5">
        <v>3</v>
      </c>
      <c r="G485" s="34" t="s">
        <v>823</v>
      </c>
      <c r="H485" s="26" t="s">
        <v>765</v>
      </c>
      <c r="I485" t="b">
        <f>+ISNUMBER(SEARCH('F-COMPRA'!$F$28,Tabla11[[#This Row],[Cuenta]],1))</f>
        <v>1</v>
      </c>
      <c r="J485" t="b">
        <f>+ISNUMBER(SEARCH('F-COMPRA'!$F$29,Tabla11[[#This Row],[Cuenta]],1))</f>
        <v>1</v>
      </c>
      <c r="K485" t="b">
        <f>+ISNUMBER(SEARCH('F-COMPRA'!$F$30,Tabla11[[#This Row],[Cuenta]],1))</f>
        <v>1</v>
      </c>
      <c r="L485" t="b">
        <f>+ISNUMBER(SEARCH('F-COMPRA'!$F$31,Tabla11[[#This Row],[Cuenta]],1))</f>
        <v>1</v>
      </c>
      <c r="M485" t="b">
        <f>+ISNUMBER(SEARCH('F-COMPRA'!$G$25,Tabla11[[#This Row],[Cuenta]],1))</f>
        <v>0</v>
      </c>
      <c r="N485" t="b">
        <f>+ISNUMBER(SEARCH(#REF!,Tabla11[[#This Row],[Cuenta]],1))</f>
        <v>0</v>
      </c>
      <c r="O485" t="b">
        <f>+ISNUMBER(SEARCH(#REF!,Tabla11[[#This Row],[Cuenta]],1))</f>
        <v>0</v>
      </c>
      <c r="P485" t="b">
        <f>+ISNUMBER(SEARCH('F-COMPRA'!$F$32,Tabla11[[#This Row],[Cuenta]],1))</f>
        <v>1</v>
      </c>
      <c r="Q485" t="b">
        <f>+ISNUMBER(SEARCH('F-COMPRA'!$F$33,Tabla11[[#This Row],[Cuenta]],1))</f>
        <v>1</v>
      </c>
      <c r="R485" t="b">
        <f>+ISNUMBER(SEARCH('F-COMPRA'!$F$34,Tabla11[[#This Row],[Cuenta]],1))</f>
        <v>1</v>
      </c>
      <c r="S485" t="b">
        <f>+ISNUMBER(SEARCH('F-COMPRA'!$F$35,Tabla11[[#This Row],[Cuenta]],1))</f>
        <v>1</v>
      </c>
      <c r="T485" t="b">
        <f>+ISNUMBER(SEARCH('F-COMPRA'!$F$36,Tabla11[[#This Row],[Cuenta]],1))</f>
        <v>1</v>
      </c>
      <c r="U485" t="b">
        <f>+ISNUMBER(SEARCH('F-COMPRA'!$F$37,Tabla11[[#This Row],[Cuenta]],1))</f>
        <v>1</v>
      </c>
      <c r="V485" t="b">
        <f>+ISNUMBER(SEARCH(#REF!,Tabla11[[#This Row],[Cuenta]],1))</f>
        <v>0</v>
      </c>
      <c r="W485" t="b">
        <f>+ISNUMBER(SEARCH('F-COMPRA'!#REF!,Tabla11[[#This Row],[Cuenta]],1))</f>
        <v>0</v>
      </c>
      <c r="X485" t="b">
        <f>+ISNUMBER(SEARCH('F-COMPRA'!#REF!,Tabla11[[#This Row],[Cuenta]],1))</f>
        <v>0</v>
      </c>
      <c r="Y485" t="b">
        <f>+ISNUMBER(SEARCH('F-COMPRA'!#REF!,Tabla11[[#This Row],[Cuenta]],1))</f>
        <v>0</v>
      </c>
      <c r="Z485" t="b">
        <f>+ISNUMBER(SEARCH('F-COMPRA'!#REF!,Tabla11[[#This Row],[Cuenta]],1))</f>
        <v>0</v>
      </c>
      <c r="AA485" t="b">
        <f>+ISNUMBER(SEARCH('F-COMPRA'!#REF!,Tabla11[[#This Row],[Cuenta]],1))</f>
        <v>0</v>
      </c>
      <c r="AB485" t="b">
        <f>+ISNUMBER(SEARCH('F-COMPRA'!#REF!,Tabla11[[#This Row],[Cuenta]],1))</f>
        <v>0</v>
      </c>
      <c r="AC485" t="b">
        <f>+ISNUMBER(SEARCH('F-COMPRA'!#REF!,Tabla11[[#This Row],[Cuenta]],1))</f>
        <v>0</v>
      </c>
      <c r="AD485" t="b">
        <f>+ISNUMBER(SEARCH('F-COMPRA'!#REF!,Tabla11[[#This Row],[Cuenta]],1))</f>
        <v>0</v>
      </c>
      <c r="AE485" t="b">
        <f>+ISNUMBER(SEARCH('F-COMPRA'!#REF!,Tabla11[[#This Row],[Cuenta]],1))</f>
        <v>0</v>
      </c>
      <c r="AF485" t="b">
        <f>+ISNUMBER(SEARCH('F-VTA'!$G$23,Tabla11[[#This Row],[Cuenta]],1))</f>
        <v>0</v>
      </c>
      <c r="AG485" t="b">
        <f>+ISNUMBER(SEARCH('F-VTA'!$G$24,Tabla11[[#This Row],[Cuenta]],1))</f>
        <v>0</v>
      </c>
      <c r="AH485" t="b">
        <f>+ISNUMBER(SEARCH('F-VTA'!$G$25,Tabla11[[#This Row],[Cuenta]],1))</f>
        <v>0</v>
      </c>
      <c r="AI485" t="b">
        <f>+ISNUMBER(SEARCH('F-VTA'!$F$28,Tabla11[[#This Row],[Cuenta]],1))</f>
        <v>1</v>
      </c>
      <c r="AJ485" t="b">
        <f>+ISNUMBER(SEARCH('F-VTA'!$F$29,Tabla11[[#This Row],[Cuenta]],1))</f>
        <v>1</v>
      </c>
      <c r="AK485" t="b">
        <f>+ISNUMBER(SEARCH('F-VTA'!$F$30,Tabla11[[#This Row],[Cuenta]],1))</f>
        <v>1</v>
      </c>
      <c r="AL485" t="b">
        <f>+ISNUMBER(SEARCH('F-VTA'!$F$31,Tabla11[[#This Row],[Cuenta]],1))</f>
        <v>1</v>
      </c>
      <c r="AM485" t="b">
        <f>+ISNUMBER(SEARCH('F-VTA'!$F$32,Tabla11[[#This Row],[Cuenta]],1))</f>
        <v>1</v>
      </c>
      <c r="AN485" t="b">
        <f>+ISNUMBER(SEARCH('F-VTA'!$F$33,Tabla11[[#This Row],[Cuenta]],1))</f>
        <v>1</v>
      </c>
      <c r="AO485" t="b">
        <f>+ISNUMBER(SEARCH('F-VTA'!$F$34,Tabla11[[#This Row],[Cuenta]],1))</f>
        <v>1</v>
      </c>
      <c r="AP485" t="b">
        <f>+ISNUMBER(SEARCH('F-VTA'!$F$35,Tabla11[[#This Row],[Cuenta]],1))</f>
        <v>1</v>
      </c>
      <c r="AQ485" t="b">
        <f>+ISNUMBER(SEARCH('F-VTA'!$F$36,Tabla11[[#This Row],[Cuenta]],1))</f>
        <v>1</v>
      </c>
      <c r="AR485" t="b">
        <f>+ISNUMBER(SEARCH(#REF!,Tabla11[[#This Row],[Cuenta]],1))</f>
        <v>0</v>
      </c>
      <c r="AS485" t="b">
        <f>+ISNUMBER(SEARCH(#REF!,Tabla11[[#This Row],[Cuenta]],1))</f>
        <v>0</v>
      </c>
      <c r="AT485" t="b">
        <f>+ISNUMBER(SEARCH(#REF!,Tabla11[[#This Row],[Cuenta]],1))</f>
        <v>0</v>
      </c>
      <c r="AU485" t="b">
        <f>+ISNUMBER(SEARCH('Conc. Ban.1'!$I$9,Tabla11[[#This Row],[Cuenta]],1))</f>
        <v>0</v>
      </c>
      <c r="AV485" t="b">
        <f>+ISNUMBER(SEARCH(CompConta!$F$21,Tabla11[[#This Row],[Cuenta]],1))</f>
        <v>1</v>
      </c>
      <c r="AW485" t="b">
        <f>+ISNUMBER(SEARCH(CompConta!$F$22,Tabla11[[#This Row],[Cuenta]],1))</f>
        <v>1</v>
      </c>
      <c r="AX485" t="b">
        <f>+ISNUMBER(SEARCH(CompConta!$F$23,Tabla11[[#This Row],[Cuenta]],1))</f>
        <v>1</v>
      </c>
      <c r="AY485" t="b">
        <f>+ISNUMBER(SEARCH(CompConta!$F$24,Tabla11[[#This Row],[Cuenta]],1))</f>
        <v>1</v>
      </c>
      <c r="AZ485" t="b">
        <f>+ISNUMBER(SEARCH(CompConta!$F$25,Tabla11[[#This Row],[Cuenta]],1))</f>
        <v>1</v>
      </c>
      <c r="BA485" t="b">
        <f>+ISNUMBER(SEARCH(CompConta!$F$26,Tabla11[[#This Row],[Cuenta]],1))</f>
        <v>1</v>
      </c>
      <c r="BB485" t="b">
        <f>+ISNUMBER(SEARCH(CompConta!$F$27,Tabla11[[#This Row],[Cuenta]],1))</f>
        <v>1</v>
      </c>
      <c r="BC485" t="b">
        <f>+ISNUMBER(SEARCH(CompConta!$F$28,Tabla11[[#This Row],[Cuenta]],1))</f>
        <v>1</v>
      </c>
      <c r="BD485" t="b">
        <f>+ISNUMBER(SEARCH(CompConta!$F$29,Tabla11[[#This Row],[Cuenta]],1))</f>
        <v>1</v>
      </c>
      <c r="BE485" t="b">
        <f>+ISNUMBER(SEARCH(CompConta!$F$30,Tabla11[[#This Row],[Cuenta]],1))</f>
        <v>1</v>
      </c>
      <c r="BF485" t="b">
        <f>+ISNUMBER(SEARCH('PAGO Compras'!$E$11,Tabla11[[#This Row],[Cuenta]],1))</f>
        <v>1</v>
      </c>
      <c r="BG485" t="b">
        <f>+ISNUMBER(SEARCH(#REF!,Tabla11[[#This Row],[Cuenta]],1))</f>
        <v>0</v>
      </c>
      <c r="BH485" t="b">
        <f>+ISNUMBER(SEARCH(#REF!,Tabla11[[#This Row],[Cuenta]],1))</f>
        <v>0</v>
      </c>
      <c r="BI485" t="b">
        <f>+ISNUMBER(SEARCH(#REF!,Tabla11[[#This Row],[Cuenta]],1))</f>
        <v>0</v>
      </c>
      <c r="BJ485" t="b">
        <f>+ISNUMBER(SEARCH(#REF!,Tabla11[[#This Row],[Cuenta]],1))</f>
        <v>0</v>
      </c>
      <c r="BS485" t="str">
        <v>2460 CUOTAS DE FOMENTO</v>
      </c>
      <c r="BT485" t="str">
        <v>2460 CUOTAS DE FOMENTO</v>
      </c>
      <c r="BU485" t="str">
        <v>2460 CUOTAS DE FOMENTO</v>
      </c>
      <c r="BV485" t="str">
        <v>2460 CUOTAS DE FOMENTO</v>
      </c>
      <c r="BZ485" t="str">
        <v>2460 CUOTAS DE FOMENTO</v>
      </c>
      <c r="CA485" t="str">
        <v>2460 CUOTAS DE FOMENTO</v>
      </c>
      <c r="CB485" t="str">
        <v>2460 CUOTAS DE FOMENTO</v>
      </c>
      <c r="CC485" t="str">
        <v>2460 CUOTAS DE FOMENTO</v>
      </c>
      <c r="CD485" t="str">
        <v>2460 CUOTAS DE FOMENTO</v>
      </c>
      <c r="CE485" t="str">
        <v>2460 CUOTAS DE FOMENTO</v>
      </c>
      <c r="CS485" s="141" t="str">
        <v>2460 CUOTAS DE FOMENTO</v>
      </c>
      <c r="CT485" s="141" t="str">
        <v>2460 CUOTAS DE FOMENTO</v>
      </c>
      <c r="CU485" s="141" t="str">
        <v>2460 CUOTAS DE FOMENTO</v>
      </c>
      <c r="CV485" s="141" t="str">
        <v>2460 CUOTAS DE FOMENTO</v>
      </c>
      <c r="CW485" s="141" t="str">
        <v>2460 CUOTAS DE FOMENTO</v>
      </c>
      <c r="CX485" s="141" t="str">
        <v>2460 CUOTAS DE FOMENTO</v>
      </c>
      <c r="CY485" s="141" t="str">
        <v>2460 CUOTAS DE FOMENTO</v>
      </c>
      <c r="CZ485" s="141" t="str">
        <v>2460 CUOTAS DE FOMENTO</v>
      </c>
      <c r="DA485" s="141" t="str">
        <v>2460 CUOTAS DE FOMENTO</v>
      </c>
      <c r="DF485" t="str">
        <v>2460 CUOTAS DE FOMENTO</v>
      </c>
      <c r="DG485" t="str">
        <v>2460 CUOTAS DE FOMENTO</v>
      </c>
      <c r="DH485" t="str">
        <v>2460 CUOTAS DE FOMENTO</v>
      </c>
      <c r="DI485" t="str">
        <v>2460 CUOTAS DE FOMENTO</v>
      </c>
      <c r="DJ485" t="str">
        <v>2460 CUOTAS DE FOMENTO</v>
      </c>
      <c r="DK485" t="str">
        <v>2460 CUOTAS DE FOMENTO</v>
      </c>
      <c r="DL485" t="str">
        <v>2460 CUOTAS DE FOMENTO</v>
      </c>
      <c r="DM485" t="str">
        <v>2460 CUOTAS DE FOMENTO</v>
      </c>
      <c r="DN485" t="str">
        <v>2460 CUOTAS DE FOMENTO</v>
      </c>
      <c r="DO485" t="str">
        <v>2460 CUOTAS DE FOMENTO</v>
      </c>
      <c r="DP485" t="str">
        <v>2460 CUOTAS DE FOMENTO</v>
      </c>
    </row>
    <row r="486" spans="4:120" ht="12.75">
      <c r="D486" s="7">
        <v>2464</v>
      </c>
      <c r="E486" s="6" t="s">
        <v>368</v>
      </c>
      <c r="F486" s="5">
        <v>3</v>
      </c>
      <c r="G486" s="34" t="s">
        <v>823</v>
      </c>
      <c r="H486" s="26" t="s">
        <v>765</v>
      </c>
      <c r="I486" t="b">
        <f>+ISNUMBER(SEARCH('F-COMPRA'!$F$28,Tabla11[[#This Row],[Cuenta]],1))</f>
        <v>1</v>
      </c>
      <c r="J486" t="b">
        <f>+ISNUMBER(SEARCH('F-COMPRA'!$F$29,Tabla11[[#This Row],[Cuenta]],1))</f>
        <v>1</v>
      </c>
      <c r="K486" t="b">
        <f>+ISNUMBER(SEARCH('F-COMPRA'!$F$30,Tabla11[[#This Row],[Cuenta]],1))</f>
        <v>1</v>
      </c>
      <c r="L486" t="b">
        <f>+ISNUMBER(SEARCH('F-COMPRA'!$F$31,Tabla11[[#This Row],[Cuenta]],1))</f>
        <v>1</v>
      </c>
      <c r="M486" t="b">
        <f>+ISNUMBER(SEARCH('F-COMPRA'!$G$25,Tabla11[[#This Row],[Cuenta]],1))</f>
        <v>0</v>
      </c>
      <c r="N486" t="b">
        <f>+ISNUMBER(SEARCH(#REF!,Tabla11[[#This Row],[Cuenta]],1))</f>
        <v>0</v>
      </c>
      <c r="O486" t="b">
        <f>+ISNUMBER(SEARCH(#REF!,Tabla11[[#This Row],[Cuenta]],1))</f>
        <v>0</v>
      </c>
      <c r="P486" t="b">
        <f>+ISNUMBER(SEARCH('F-COMPRA'!$F$32,Tabla11[[#This Row],[Cuenta]],1))</f>
        <v>1</v>
      </c>
      <c r="Q486" t="b">
        <f>+ISNUMBER(SEARCH('F-COMPRA'!$F$33,Tabla11[[#This Row],[Cuenta]],1))</f>
        <v>1</v>
      </c>
      <c r="R486" t="b">
        <f>+ISNUMBER(SEARCH('F-COMPRA'!$F$34,Tabla11[[#This Row],[Cuenta]],1))</f>
        <v>1</v>
      </c>
      <c r="S486" t="b">
        <f>+ISNUMBER(SEARCH('F-COMPRA'!$F$35,Tabla11[[#This Row],[Cuenta]],1))</f>
        <v>1</v>
      </c>
      <c r="T486" t="b">
        <f>+ISNUMBER(SEARCH('F-COMPRA'!$F$36,Tabla11[[#This Row],[Cuenta]],1))</f>
        <v>1</v>
      </c>
      <c r="U486" t="b">
        <f>+ISNUMBER(SEARCH('F-COMPRA'!$F$37,Tabla11[[#This Row],[Cuenta]],1))</f>
        <v>1</v>
      </c>
      <c r="V486" t="b">
        <f>+ISNUMBER(SEARCH(#REF!,Tabla11[[#This Row],[Cuenta]],1))</f>
        <v>0</v>
      </c>
      <c r="W486" t="b">
        <f>+ISNUMBER(SEARCH('F-COMPRA'!#REF!,Tabla11[[#This Row],[Cuenta]],1))</f>
        <v>0</v>
      </c>
      <c r="X486" t="b">
        <f>+ISNUMBER(SEARCH('F-COMPRA'!#REF!,Tabla11[[#This Row],[Cuenta]],1))</f>
        <v>0</v>
      </c>
      <c r="Y486" t="b">
        <f>+ISNUMBER(SEARCH('F-COMPRA'!#REF!,Tabla11[[#This Row],[Cuenta]],1))</f>
        <v>0</v>
      </c>
      <c r="Z486" t="b">
        <f>+ISNUMBER(SEARCH('F-COMPRA'!#REF!,Tabla11[[#This Row],[Cuenta]],1))</f>
        <v>0</v>
      </c>
      <c r="AA486" t="b">
        <f>+ISNUMBER(SEARCH('F-COMPRA'!#REF!,Tabla11[[#This Row],[Cuenta]],1))</f>
        <v>0</v>
      </c>
      <c r="AB486" t="b">
        <f>+ISNUMBER(SEARCH('F-COMPRA'!#REF!,Tabla11[[#This Row],[Cuenta]],1))</f>
        <v>0</v>
      </c>
      <c r="AC486" t="b">
        <f>+ISNUMBER(SEARCH('F-COMPRA'!#REF!,Tabla11[[#This Row],[Cuenta]],1))</f>
        <v>0</v>
      </c>
      <c r="AD486" t="b">
        <f>+ISNUMBER(SEARCH('F-COMPRA'!#REF!,Tabla11[[#This Row],[Cuenta]],1))</f>
        <v>0</v>
      </c>
      <c r="AE486" t="b">
        <f>+ISNUMBER(SEARCH('F-COMPRA'!#REF!,Tabla11[[#This Row],[Cuenta]],1))</f>
        <v>0</v>
      </c>
      <c r="AF486" t="b">
        <f>+ISNUMBER(SEARCH('F-VTA'!$G$23,Tabla11[[#This Row],[Cuenta]],1))</f>
        <v>0</v>
      </c>
      <c r="AG486" t="b">
        <f>+ISNUMBER(SEARCH('F-VTA'!$G$24,Tabla11[[#This Row],[Cuenta]],1))</f>
        <v>0</v>
      </c>
      <c r="AH486" t="b">
        <f>+ISNUMBER(SEARCH('F-VTA'!$G$25,Tabla11[[#This Row],[Cuenta]],1))</f>
        <v>0</v>
      </c>
      <c r="AI486" t="b">
        <f>+ISNUMBER(SEARCH('F-VTA'!$F$28,Tabla11[[#This Row],[Cuenta]],1))</f>
        <v>1</v>
      </c>
      <c r="AJ486" t="b">
        <f>+ISNUMBER(SEARCH('F-VTA'!$F$29,Tabla11[[#This Row],[Cuenta]],1))</f>
        <v>1</v>
      </c>
      <c r="AK486" t="b">
        <f>+ISNUMBER(SEARCH('F-VTA'!$F$30,Tabla11[[#This Row],[Cuenta]],1))</f>
        <v>1</v>
      </c>
      <c r="AL486" t="b">
        <f>+ISNUMBER(SEARCH('F-VTA'!$F$31,Tabla11[[#This Row],[Cuenta]],1))</f>
        <v>1</v>
      </c>
      <c r="AM486" t="b">
        <f>+ISNUMBER(SEARCH('F-VTA'!$F$32,Tabla11[[#This Row],[Cuenta]],1))</f>
        <v>1</v>
      </c>
      <c r="AN486" t="b">
        <f>+ISNUMBER(SEARCH('F-VTA'!$F$33,Tabla11[[#This Row],[Cuenta]],1))</f>
        <v>1</v>
      </c>
      <c r="AO486" t="b">
        <f>+ISNUMBER(SEARCH('F-VTA'!$F$34,Tabla11[[#This Row],[Cuenta]],1))</f>
        <v>1</v>
      </c>
      <c r="AP486" t="b">
        <f>+ISNUMBER(SEARCH('F-VTA'!$F$35,Tabla11[[#This Row],[Cuenta]],1))</f>
        <v>1</v>
      </c>
      <c r="AQ486" t="b">
        <f>+ISNUMBER(SEARCH('F-VTA'!$F$36,Tabla11[[#This Row],[Cuenta]],1))</f>
        <v>1</v>
      </c>
      <c r="AR486" t="b">
        <f>+ISNUMBER(SEARCH(#REF!,Tabla11[[#This Row],[Cuenta]],1))</f>
        <v>0</v>
      </c>
      <c r="AS486" t="b">
        <f>+ISNUMBER(SEARCH(#REF!,Tabla11[[#This Row],[Cuenta]],1))</f>
        <v>0</v>
      </c>
      <c r="AT486" t="b">
        <f>+ISNUMBER(SEARCH(#REF!,Tabla11[[#This Row],[Cuenta]],1))</f>
        <v>0</v>
      </c>
      <c r="AU486" t="b">
        <f>+ISNUMBER(SEARCH('Conc. Ban.1'!$I$9,Tabla11[[#This Row],[Cuenta]],1))</f>
        <v>0</v>
      </c>
      <c r="AV486" t="b">
        <f>+ISNUMBER(SEARCH(CompConta!$F$21,Tabla11[[#This Row],[Cuenta]],1))</f>
        <v>1</v>
      </c>
      <c r="AW486" t="b">
        <f>+ISNUMBER(SEARCH(CompConta!$F$22,Tabla11[[#This Row],[Cuenta]],1))</f>
        <v>1</v>
      </c>
      <c r="AX486" t="b">
        <f>+ISNUMBER(SEARCH(CompConta!$F$23,Tabla11[[#This Row],[Cuenta]],1))</f>
        <v>1</v>
      </c>
      <c r="AY486" t="b">
        <f>+ISNUMBER(SEARCH(CompConta!$F$24,Tabla11[[#This Row],[Cuenta]],1))</f>
        <v>1</v>
      </c>
      <c r="AZ486" t="b">
        <f>+ISNUMBER(SEARCH(CompConta!$F$25,Tabla11[[#This Row],[Cuenta]],1))</f>
        <v>1</v>
      </c>
      <c r="BA486" t="b">
        <f>+ISNUMBER(SEARCH(CompConta!$F$26,Tabla11[[#This Row],[Cuenta]],1))</f>
        <v>1</v>
      </c>
      <c r="BB486" t="b">
        <f>+ISNUMBER(SEARCH(CompConta!$F$27,Tabla11[[#This Row],[Cuenta]],1))</f>
        <v>1</v>
      </c>
      <c r="BC486" t="b">
        <f>+ISNUMBER(SEARCH(CompConta!$F$28,Tabla11[[#This Row],[Cuenta]],1))</f>
        <v>1</v>
      </c>
      <c r="BD486" t="b">
        <f>+ISNUMBER(SEARCH(CompConta!$F$29,Tabla11[[#This Row],[Cuenta]],1))</f>
        <v>1</v>
      </c>
      <c r="BE486" t="b">
        <f>+ISNUMBER(SEARCH(CompConta!$F$30,Tabla11[[#This Row],[Cuenta]],1))</f>
        <v>1</v>
      </c>
      <c r="BF486" t="b">
        <f>+ISNUMBER(SEARCH('PAGO Compras'!$E$11,Tabla11[[#This Row],[Cuenta]],1))</f>
        <v>1</v>
      </c>
      <c r="BG486" t="b">
        <f>+ISNUMBER(SEARCH(#REF!,Tabla11[[#This Row],[Cuenta]],1))</f>
        <v>0</v>
      </c>
      <c r="BH486" t="b">
        <f>+ISNUMBER(SEARCH(#REF!,Tabla11[[#This Row],[Cuenta]],1))</f>
        <v>0</v>
      </c>
      <c r="BI486" t="b">
        <f>+ISNUMBER(SEARCH(#REF!,Tabla11[[#This Row],[Cuenta]],1))</f>
        <v>0</v>
      </c>
      <c r="BJ486" t="b">
        <f>+ISNUMBER(SEARCH(#REF!,Tabla11[[#This Row],[Cuenta]],1))</f>
        <v>0</v>
      </c>
      <c r="BS486" t="str">
        <v>2464 DE LICORES CERVEZAS Y CIGARRILLOS</v>
      </c>
      <c r="BT486" t="str">
        <v>2464 DE LICORES CERVEZAS Y CIGARRILLOS</v>
      </c>
      <c r="BU486" t="str">
        <v>2464 DE LICORES CERVEZAS Y CIGARRILLOS</v>
      </c>
      <c r="BV486" t="str">
        <v>2464 DE LICORES CERVEZAS Y CIGARRILLOS</v>
      </c>
      <c r="BZ486" t="str">
        <v>2464 DE LICORES CERVEZAS Y CIGARRILLOS</v>
      </c>
      <c r="CA486" t="str">
        <v>2464 DE LICORES CERVEZAS Y CIGARRILLOS</v>
      </c>
      <c r="CB486" t="str">
        <v>2464 DE LICORES CERVEZAS Y CIGARRILLOS</v>
      </c>
      <c r="CC486" t="str">
        <v>2464 DE LICORES CERVEZAS Y CIGARRILLOS</v>
      </c>
      <c r="CD486" t="str">
        <v>2464 DE LICORES CERVEZAS Y CIGARRILLOS</v>
      </c>
      <c r="CE486" t="str">
        <v>2464 DE LICORES CERVEZAS Y CIGARRILLOS</v>
      </c>
      <c r="CS486" s="141" t="str">
        <v>2464 DE LICORES CERVEZAS Y CIGARRILLOS</v>
      </c>
      <c r="CT486" s="141" t="str">
        <v>2464 DE LICORES CERVEZAS Y CIGARRILLOS</v>
      </c>
      <c r="CU486" s="141" t="str">
        <v>2464 DE LICORES CERVEZAS Y CIGARRILLOS</v>
      </c>
      <c r="CV486" s="141" t="str">
        <v>2464 DE LICORES CERVEZAS Y CIGARRILLOS</v>
      </c>
      <c r="CW486" s="141" t="str">
        <v>2464 DE LICORES CERVEZAS Y CIGARRILLOS</v>
      </c>
      <c r="CX486" s="141" t="str">
        <v>2464 DE LICORES CERVEZAS Y CIGARRILLOS</v>
      </c>
      <c r="CY486" s="141" t="str">
        <v>2464 DE LICORES CERVEZAS Y CIGARRILLOS</v>
      </c>
      <c r="CZ486" s="141" t="str">
        <v>2464 DE LICORES CERVEZAS Y CIGARRILLOS</v>
      </c>
      <c r="DA486" s="141" t="str">
        <v>2464 DE LICORES CERVEZAS Y CIGARRILLOS</v>
      </c>
      <c r="DF486" t="str">
        <v>2464 DE LICORES CERVEZAS Y CIGARRILLOS</v>
      </c>
      <c r="DG486" t="str">
        <v>2464 DE LICORES CERVEZAS Y CIGARRILLOS</v>
      </c>
      <c r="DH486" t="str">
        <v>2464 DE LICORES CERVEZAS Y CIGARRILLOS</v>
      </c>
      <c r="DI486" t="str">
        <v>2464 DE LICORES CERVEZAS Y CIGARRILLOS</v>
      </c>
      <c r="DJ486" t="str">
        <v>2464 DE LICORES CERVEZAS Y CIGARRILLOS</v>
      </c>
      <c r="DK486" t="str">
        <v>2464 DE LICORES CERVEZAS Y CIGARRILLOS</v>
      </c>
      <c r="DL486" t="str">
        <v>2464 DE LICORES CERVEZAS Y CIGARRILLOS</v>
      </c>
      <c r="DM486" t="str">
        <v>2464 DE LICORES CERVEZAS Y CIGARRILLOS</v>
      </c>
      <c r="DN486" t="str">
        <v>2464 DE LICORES CERVEZAS Y CIGARRILLOS</v>
      </c>
      <c r="DO486" t="str">
        <v>2464 DE LICORES CERVEZAS Y CIGARRILLOS</v>
      </c>
      <c r="DP486" t="str">
        <v>2464 DE LICORES CERVEZAS Y CIGARRILLOS</v>
      </c>
    </row>
    <row r="487" spans="4:120" ht="12.75">
      <c r="D487" s="7">
        <v>246405</v>
      </c>
      <c r="E487" s="6" t="s">
        <v>369</v>
      </c>
      <c r="F487" s="5">
        <v>4</v>
      </c>
      <c r="G487" s="34" t="s">
        <v>823</v>
      </c>
      <c r="H487" s="26" t="s">
        <v>765</v>
      </c>
      <c r="I487" t="b">
        <f>+ISNUMBER(SEARCH('F-COMPRA'!$F$28,Tabla11[[#This Row],[Cuenta]],1))</f>
        <v>1</v>
      </c>
      <c r="J487" t="b">
        <f>+ISNUMBER(SEARCH('F-COMPRA'!$F$29,Tabla11[[#This Row],[Cuenta]],1))</f>
        <v>1</v>
      </c>
      <c r="K487" t="b">
        <f>+ISNUMBER(SEARCH('F-COMPRA'!$F$30,Tabla11[[#This Row],[Cuenta]],1))</f>
        <v>1</v>
      </c>
      <c r="L487" t="b">
        <f>+ISNUMBER(SEARCH('F-COMPRA'!$F$31,Tabla11[[#This Row],[Cuenta]],1))</f>
        <v>1</v>
      </c>
      <c r="M487" t="b">
        <f>+ISNUMBER(SEARCH('F-COMPRA'!$G$25,Tabla11[[#This Row],[Cuenta]],1))</f>
        <v>0</v>
      </c>
      <c r="N487" t="b">
        <f>+ISNUMBER(SEARCH(#REF!,Tabla11[[#This Row],[Cuenta]],1))</f>
        <v>0</v>
      </c>
      <c r="O487" t="b">
        <f>+ISNUMBER(SEARCH(#REF!,Tabla11[[#This Row],[Cuenta]],1))</f>
        <v>0</v>
      </c>
      <c r="P487" t="b">
        <f>+ISNUMBER(SEARCH('F-COMPRA'!$F$32,Tabla11[[#This Row],[Cuenta]],1))</f>
        <v>1</v>
      </c>
      <c r="Q487" t="b">
        <f>+ISNUMBER(SEARCH('F-COMPRA'!$F$33,Tabla11[[#This Row],[Cuenta]],1))</f>
        <v>1</v>
      </c>
      <c r="R487" t="b">
        <f>+ISNUMBER(SEARCH('F-COMPRA'!$F$34,Tabla11[[#This Row],[Cuenta]],1))</f>
        <v>1</v>
      </c>
      <c r="S487" t="b">
        <f>+ISNUMBER(SEARCH('F-COMPRA'!$F$35,Tabla11[[#This Row],[Cuenta]],1))</f>
        <v>1</v>
      </c>
      <c r="T487" t="b">
        <f>+ISNUMBER(SEARCH('F-COMPRA'!$F$36,Tabla11[[#This Row],[Cuenta]],1))</f>
        <v>1</v>
      </c>
      <c r="U487" t="b">
        <f>+ISNUMBER(SEARCH('F-COMPRA'!$F$37,Tabla11[[#This Row],[Cuenta]],1))</f>
        <v>1</v>
      </c>
      <c r="V487" t="b">
        <f>+ISNUMBER(SEARCH(#REF!,Tabla11[[#This Row],[Cuenta]],1))</f>
        <v>0</v>
      </c>
      <c r="W487" t="b">
        <f>+ISNUMBER(SEARCH('F-COMPRA'!#REF!,Tabla11[[#This Row],[Cuenta]],1))</f>
        <v>0</v>
      </c>
      <c r="X487" t="b">
        <f>+ISNUMBER(SEARCH('F-COMPRA'!#REF!,Tabla11[[#This Row],[Cuenta]],1))</f>
        <v>0</v>
      </c>
      <c r="Y487" t="b">
        <f>+ISNUMBER(SEARCH('F-COMPRA'!#REF!,Tabla11[[#This Row],[Cuenta]],1))</f>
        <v>0</v>
      </c>
      <c r="Z487" t="b">
        <f>+ISNUMBER(SEARCH('F-COMPRA'!#REF!,Tabla11[[#This Row],[Cuenta]],1))</f>
        <v>0</v>
      </c>
      <c r="AA487" t="b">
        <f>+ISNUMBER(SEARCH('F-COMPRA'!#REF!,Tabla11[[#This Row],[Cuenta]],1))</f>
        <v>0</v>
      </c>
      <c r="AB487" t="b">
        <f>+ISNUMBER(SEARCH('F-COMPRA'!#REF!,Tabla11[[#This Row],[Cuenta]],1))</f>
        <v>0</v>
      </c>
      <c r="AC487" t="b">
        <f>+ISNUMBER(SEARCH('F-COMPRA'!#REF!,Tabla11[[#This Row],[Cuenta]],1))</f>
        <v>0</v>
      </c>
      <c r="AD487" t="b">
        <f>+ISNUMBER(SEARCH('F-COMPRA'!#REF!,Tabla11[[#This Row],[Cuenta]],1))</f>
        <v>0</v>
      </c>
      <c r="AE487" t="b">
        <f>+ISNUMBER(SEARCH('F-COMPRA'!#REF!,Tabla11[[#This Row],[Cuenta]],1))</f>
        <v>0</v>
      </c>
      <c r="AF487" t="b">
        <f>+ISNUMBER(SEARCH('F-VTA'!$G$23,Tabla11[[#This Row],[Cuenta]],1))</f>
        <v>0</v>
      </c>
      <c r="AG487" t="b">
        <f>+ISNUMBER(SEARCH('F-VTA'!$G$24,Tabla11[[#This Row],[Cuenta]],1))</f>
        <v>0</v>
      </c>
      <c r="AH487" t="b">
        <f>+ISNUMBER(SEARCH('F-VTA'!$G$25,Tabla11[[#This Row],[Cuenta]],1))</f>
        <v>0</v>
      </c>
      <c r="AI487" t="b">
        <f>+ISNUMBER(SEARCH('F-VTA'!$F$28,Tabla11[[#This Row],[Cuenta]],1))</f>
        <v>1</v>
      </c>
      <c r="AJ487" t="b">
        <f>+ISNUMBER(SEARCH('F-VTA'!$F$29,Tabla11[[#This Row],[Cuenta]],1))</f>
        <v>1</v>
      </c>
      <c r="AK487" t="b">
        <f>+ISNUMBER(SEARCH('F-VTA'!$F$30,Tabla11[[#This Row],[Cuenta]],1))</f>
        <v>1</v>
      </c>
      <c r="AL487" t="b">
        <f>+ISNUMBER(SEARCH('F-VTA'!$F$31,Tabla11[[#This Row],[Cuenta]],1))</f>
        <v>1</v>
      </c>
      <c r="AM487" t="b">
        <f>+ISNUMBER(SEARCH('F-VTA'!$F$32,Tabla11[[#This Row],[Cuenta]],1))</f>
        <v>1</v>
      </c>
      <c r="AN487" t="b">
        <f>+ISNUMBER(SEARCH('F-VTA'!$F$33,Tabla11[[#This Row],[Cuenta]],1))</f>
        <v>1</v>
      </c>
      <c r="AO487" t="b">
        <f>+ISNUMBER(SEARCH('F-VTA'!$F$34,Tabla11[[#This Row],[Cuenta]],1))</f>
        <v>1</v>
      </c>
      <c r="AP487" t="b">
        <f>+ISNUMBER(SEARCH('F-VTA'!$F$35,Tabla11[[#This Row],[Cuenta]],1))</f>
        <v>1</v>
      </c>
      <c r="AQ487" t="b">
        <f>+ISNUMBER(SEARCH('F-VTA'!$F$36,Tabla11[[#This Row],[Cuenta]],1))</f>
        <v>1</v>
      </c>
      <c r="AR487" t="b">
        <f>+ISNUMBER(SEARCH(#REF!,Tabla11[[#This Row],[Cuenta]],1))</f>
        <v>0</v>
      </c>
      <c r="AS487" t="b">
        <f>+ISNUMBER(SEARCH(#REF!,Tabla11[[#This Row],[Cuenta]],1))</f>
        <v>0</v>
      </c>
      <c r="AT487" t="b">
        <f>+ISNUMBER(SEARCH(#REF!,Tabla11[[#This Row],[Cuenta]],1))</f>
        <v>0</v>
      </c>
      <c r="AU487" t="b">
        <f>+ISNUMBER(SEARCH('Conc. Ban.1'!$I$9,Tabla11[[#This Row],[Cuenta]],1))</f>
        <v>0</v>
      </c>
      <c r="AV487" t="b">
        <f>+ISNUMBER(SEARCH(CompConta!$F$21,Tabla11[[#This Row],[Cuenta]],1))</f>
        <v>1</v>
      </c>
      <c r="AW487" t="b">
        <f>+ISNUMBER(SEARCH(CompConta!$F$22,Tabla11[[#This Row],[Cuenta]],1))</f>
        <v>1</v>
      </c>
      <c r="AX487" t="b">
        <f>+ISNUMBER(SEARCH(CompConta!$F$23,Tabla11[[#This Row],[Cuenta]],1))</f>
        <v>1</v>
      </c>
      <c r="AY487" t="b">
        <f>+ISNUMBER(SEARCH(CompConta!$F$24,Tabla11[[#This Row],[Cuenta]],1))</f>
        <v>1</v>
      </c>
      <c r="AZ487" t="b">
        <f>+ISNUMBER(SEARCH(CompConta!$F$25,Tabla11[[#This Row],[Cuenta]],1))</f>
        <v>1</v>
      </c>
      <c r="BA487" t="b">
        <f>+ISNUMBER(SEARCH(CompConta!$F$26,Tabla11[[#This Row],[Cuenta]],1))</f>
        <v>1</v>
      </c>
      <c r="BB487" t="b">
        <f>+ISNUMBER(SEARCH(CompConta!$F$27,Tabla11[[#This Row],[Cuenta]],1))</f>
        <v>1</v>
      </c>
      <c r="BC487" t="b">
        <f>+ISNUMBER(SEARCH(CompConta!$F$28,Tabla11[[#This Row],[Cuenta]],1))</f>
        <v>1</v>
      </c>
      <c r="BD487" t="b">
        <f>+ISNUMBER(SEARCH(CompConta!$F$29,Tabla11[[#This Row],[Cuenta]],1))</f>
        <v>1</v>
      </c>
      <c r="BE487" t="b">
        <f>+ISNUMBER(SEARCH(CompConta!$F$30,Tabla11[[#This Row],[Cuenta]],1))</f>
        <v>1</v>
      </c>
      <c r="BF487" t="b">
        <f>+ISNUMBER(SEARCH('PAGO Compras'!$E$11,Tabla11[[#This Row],[Cuenta]],1))</f>
        <v>1</v>
      </c>
      <c r="BG487" t="b">
        <f>+ISNUMBER(SEARCH(#REF!,Tabla11[[#This Row],[Cuenta]],1))</f>
        <v>0</v>
      </c>
      <c r="BH487" t="b">
        <f>+ISNUMBER(SEARCH(#REF!,Tabla11[[#This Row],[Cuenta]],1))</f>
        <v>0</v>
      </c>
      <c r="BI487" t="b">
        <f>+ISNUMBER(SEARCH(#REF!,Tabla11[[#This Row],[Cuenta]],1))</f>
        <v>0</v>
      </c>
      <c r="BJ487" t="b">
        <f>+ISNUMBER(SEARCH(#REF!,Tabla11[[#This Row],[Cuenta]],1))</f>
        <v>0</v>
      </c>
      <c r="BS487" t="str">
        <v>246405 De licores</v>
      </c>
      <c r="BT487" t="str">
        <v>246405 De licores</v>
      </c>
      <c r="BU487" t="str">
        <v>246405 De licores</v>
      </c>
      <c r="BV487" t="str">
        <v>246405 De licores</v>
      </c>
      <c r="BZ487" t="str">
        <v>246405 De licores</v>
      </c>
      <c r="CA487" t="str">
        <v>246405 De licores</v>
      </c>
      <c r="CB487" t="str">
        <v>246405 De licores</v>
      </c>
      <c r="CC487" t="str">
        <v>246405 De licores</v>
      </c>
      <c r="CD487" t="str">
        <v>246405 De licores</v>
      </c>
      <c r="CE487" t="str">
        <v>246405 De licores</v>
      </c>
      <c r="CS487" s="141" t="str">
        <v>246405 De licores</v>
      </c>
      <c r="CT487" s="141" t="str">
        <v>246405 De licores</v>
      </c>
      <c r="CU487" s="141" t="str">
        <v>246405 De licores</v>
      </c>
      <c r="CV487" s="141" t="str">
        <v>246405 De licores</v>
      </c>
      <c r="CW487" s="141" t="str">
        <v>246405 De licores</v>
      </c>
      <c r="CX487" s="141" t="str">
        <v>246405 De licores</v>
      </c>
      <c r="CY487" s="141" t="str">
        <v>246405 De licores</v>
      </c>
      <c r="CZ487" s="141" t="str">
        <v>246405 De licores</v>
      </c>
      <c r="DA487" s="141" t="str">
        <v>246405 De licores</v>
      </c>
      <c r="DF487" t="str">
        <v>246405 De licores</v>
      </c>
      <c r="DG487" t="str">
        <v>246405 De licores</v>
      </c>
      <c r="DH487" t="str">
        <v>246405 De licores</v>
      </c>
      <c r="DI487" t="str">
        <v>246405 De licores</v>
      </c>
      <c r="DJ487" t="str">
        <v>246405 De licores</v>
      </c>
      <c r="DK487" t="str">
        <v>246405 De licores</v>
      </c>
      <c r="DL487" t="str">
        <v>246405 De licores</v>
      </c>
      <c r="DM487" t="str">
        <v>246405 De licores</v>
      </c>
      <c r="DN487" t="str">
        <v>246405 De licores</v>
      </c>
      <c r="DO487" t="str">
        <v>246405 De licores</v>
      </c>
      <c r="DP487" t="str">
        <v>246405 De licores</v>
      </c>
    </row>
    <row r="488" spans="4:120" ht="12.75">
      <c r="D488" s="7">
        <v>246410</v>
      </c>
      <c r="E488" s="6" t="s">
        <v>370</v>
      </c>
      <c r="F488" s="5">
        <v>4</v>
      </c>
      <c r="G488" s="34" t="s">
        <v>823</v>
      </c>
      <c r="H488" s="26" t="s">
        <v>765</v>
      </c>
      <c r="I488" t="b">
        <f>+ISNUMBER(SEARCH('F-COMPRA'!$F$28,Tabla11[[#This Row],[Cuenta]],1))</f>
        <v>1</v>
      </c>
      <c r="J488" t="b">
        <f>+ISNUMBER(SEARCH('F-COMPRA'!$F$29,Tabla11[[#This Row],[Cuenta]],1))</f>
        <v>1</v>
      </c>
      <c r="K488" t="b">
        <f>+ISNUMBER(SEARCH('F-COMPRA'!$F$30,Tabla11[[#This Row],[Cuenta]],1))</f>
        <v>1</v>
      </c>
      <c r="L488" t="b">
        <f>+ISNUMBER(SEARCH('F-COMPRA'!$F$31,Tabla11[[#This Row],[Cuenta]],1))</f>
        <v>1</v>
      </c>
      <c r="M488" t="b">
        <f>+ISNUMBER(SEARCH('F-COMPRA'!$G$25,Tabla11[[#This Row],[Cuenta]],1))</f>
        <v>0</v>
      </c>
      <c r="N488" t="b">
        <f>+ISNUMBER(SEARCH(#REF!,Tabla11[[#This Row],[Cuenta]],1))</f>
        <v>0</v>
      </c>
      <c r="O488" t="b">
        <f>+ISNUMBER(SEARCH(#REF!,Tabla11[[#This Row],[Cuenta]],1))</f>
        <v>0</v>
      </c>
      <c r="P488" t="b">
        <f>+ISNUMBER(SEARCH('F-COMPRA'!$F$32,Tabla11[[#This Row],[Cuenta]],1))</f>
        <v>1</v>
      </c>
      <c r="Q488" t="b">
        <f>+ISNUMBER(SEARCH('F-COMPRA'!$F$33,Tabla11[[#This Row],[Cuenta]],1))</f>
        <v>1</v>
      </c>
      <c r="R488" t="b">
        <f>+ISNUMBER(SEARCH('F-COMPRA'!$F$34,Tabla11[[#This Row],[Cuenta]],1))</f>
        <v>1</v>
      </c>
      <c r="S488" t="b">
        <f>+ISNUMBER(SEARCH('F-COMPRA'!$F$35,Tabla11[[#This Row],[Cuenta]],1))</f>
        <v>1</v>
      </c>
      <c r="T488" t="b">
        <f>+ISNUMBER(SEARCH('F-COMPRA'!$F$36,Tabla11[[#This Row],[Cuenta]],1))</f>
        <v>1</v>
      </c>
      <c r="U488" t="b">
        <f>+ISNUMBER(SEARCH('F-COMPRA'!$F$37,Tabla11[[#This Row],[Cuenta]],1))</f>
        <v>1</v>
      </c>
      <c r="V488" t="b">
        <f>+ISNUMBER(SEARCH(#REF!,Tabla11[[#This Row],[Cuenta]],1))</f>
        <v>0</v>
      </c>
      <c r="W488" t="b">
        <f>+ISNUMBER(SEARCH('F-COMPRA'!#REF!,Tabla11[[#This Row],[Cuenta]],1))</f>
        <v>0</v>
      </c>
      <c r="X488" t="b">
        <f>+ISNUMBER(SEARCH('F-COMPRA'!#REF!,Tabla11[[#This Row],[Cuenta]],1))</f>
        <v>0</v>
      </c>
      <c r="Y488" t="b">
        <f>+ISNUMBER(SEARCH('F-COMPRA'!#REF!,Tabla11[[#This Row],[Cuenta]],1))</f>
        <v>0</v>
      </c>
      <c r="Z488" t="b">
        <f>+ISNUMBER(SEARCH('F-COMPRA'!#REF!,Tabla11[[#This Row],[Cuenta]],1))</f>
        <v>0</v>
      </c>
      <c r="AA488" t="b">
        <f>+ISNUMBER(SEARCH('F-COMPRA'!#REF!,Tabla11[[#This Row],[Cuenta]],1))</f>
        <v>0</v>
      </c>
      <c r="AB488" t="b">
        <f>+ISNUMBER(SEARCH('F-COMPRA'!#REF!,Tabla11[[#This Row],[Cuenta]],1))</f>
        <v>0</v>
      </c>
      <c r="AC488" t="b">
        <f>+ISNUMBER(SEARCH('F-COMPRA'!#REF!,Tabla11[[#This Row],[Cuenta]],1))</f>
        <v>0</v>
      </c>
      <c r="AD488" t="b">
        <f>+ISNUMBER(SEARCH('F-COMPRA'!#REF!,Tabla11[[#This Row],[Cuenta]],1))</f>
        <v>0</v>
      </c>
      <c r="AE488" t="b">
        <f>+ISNUMBER(SEARCH('F-COMPRA'!#REF!,Tabla11[[#This Row],[Cuenta]],1))</f>
        <v>0</v>
      </c>
      <c r="AF488" t="b">
        <f>+ISNUMBER(SEARCH('F-VTA'!$G$23,Tabla11[[#This Row],[Cuenta]],1))</f>
        <v>0</v>
      </c>
      <c r="AG488" t="b">
        <f>+ISNUMBER(SEARCH('F-VTA'!$G$24,Tabla11[[#This Row],[Cuenta]],1))</f>
        <v>0</v>
      </c>
      <c r="AH488" t="b">
        <f>+ISNUMBER(SEARCH('F-VTA'!$G$25,Tabla11[[#This Row],[Cuenta]],1))</f>
        <v>0</v>
      </c>
      <c r="AI488" t="b">
        <f>+ISNUMBER(SEARCH('F-VTA'!$F$28,Tabla11[[#This Row],[Cuenta]],1))</f>
        <v>1</v>
      </c>
      <c r="AJ488" t="b">
        <f>+ISNUMBER(SEARCH('F-VTA'!$F$29,Tabla11[[#This Row],[Cuenta]],1))</f>
        <v>1</v>
      </c>
      <c r="AK488" t="b">
        <f>+ISNUMBER(SEARCH('F-VTA'!$F$30,Tabla11[[#This Row],[Cuenta]],1))</f>
        <v>1</v>
      </c>
      <c r="AL488" t="b">
        <f>+ISNUMBER(SEARCH('F-VTA'!$F$31,Tabla11[[#This Row],[Cuenta]],1))</f>
        <v>1</v>
      </c>
      <c r="AM488" t="b">
        <f>+ISNUMBER(SEARCH('F-VTA'!$F$32,Tabla11[[#This Row],[Cuenta]],1))</f>
        <v>1</v>
      </c>
      <c r="AN488" t="b">
        <f>+ISNUMBER(SEARCH('F-VTA'!$F$33,Tabla11[[#This Row],[Cuenta]],1))</f>
        <v>1</v>
      </c>
      <c r="AO488" t="b">
        <f>+ISNUMBER(SEARCH('F-VTA'!$F$34,Tabla11[[#This Row],[Cuenta]],1))</f>
        <v>1</v>
      </c>
      <c r="AP488" t="b">
        <f>+ISNUMBER(SEARCH('F-VTA'!$F$35,Tabla11[[#This Row],[Cuenta]],1))</f>
        <v>1</v>
      </c>
      <c r="AQ488" t="b">
        <f>+ISNUMBER(SEARCH('F-VTA'!$F$36,Tabla11[[#This Row],[Cuenta]],1))</f>
        <v>1</v>
      </c>
      <c r="AR488" t="b">
        <f>+ISNUMBER(SEARCH(#REF!,Tabla11[[#This Row],[Cuenta]],1))</f>
        <v>0</v>
      </c>
      <c r="AS488" t="b">
        <f>+ISNUMBER(SEARCH(#REF!,Tabla11[[#This Row],[Cuenta]],1))</f>
        <v>0</v>
      </c>
      <c r="AT488" t="b">
        <f>+ISNUMBER(SEARCH(#REF!,Tabla11[[#This Row],[Cuenta]],1))</f>
        <v>0</v>
      </c>
      <c r="AU488" t="b">
        <f>+ISNUMBER(SEARCH('Conc. Ban.1'!$I$9,Tabla11[[#This Row],[Cuenta]],1))</f>
        <v>0</v>
      </c>
      <c r="AV488" t="b">
        <f>+ISNUMBER(SEARCH(CompConta!$F$21,Tabla11[[#This Row],[Cuenta]],1))</f>
        <v>1</v>
      </c>
      <c r="AW488" t="b">
        <f>+ISNUMBER(SEARCH(CompConta!$F$22,Tabla11[[#This Row],[Cuenta]],1))</f>
        <v>1</v>
      </c>
      <c r="AX488" t="b">
        <f>+ISNUMBER(SEARCH(CompConta!$F$23,Tabla11[[#This Row],[Cuenta]],1))</f>
        <v>1</v>
      </c>
      <c r="AY488" t="b">
        <f>+ISNUMBER(SEARCH(CompConta!$F$24,Tabla11[[#This Row],[Cuenta]],1))</f>
        <v>1</v>
      </c>
      <c r="AZ488" t="b">
        <f>+ISNUMBER(SEARCH(CompConta!$F$25,Tabla11[[#This Row],[Cuenta]],1))</f>
        <v>1</v>
      </c>
      <c r="BA488" t="b">
        <f>+ISNUMBER(SEARCH(CompConta!$F$26,Tabla11[[#This Row],[Cuenta]],1))</f>
        <v>1</v>
      </c>
      <c r="BB488" t="b">
        <f>+ISNUMBER(SEARCH(CompConta!$F$27,Tabla11[[#This Row],[Cuenta]],1))</f>
        <v>1</v>
      </c>
      <c r="BC488" t="b">
        <f>+ISNUMBER(SEARCH(CompConta!$F$28,Tabla11[[#This Row],[Cuenta]],1))</f>
        <v>1</v>
      </c>
      <c r="BD488" t="b">
        <f>+ISNUMBER(SEARCH(CompConta!$F$29,Tabla11[[#This Row],[Cuenta]],1))</f>
        <v>1</v>
      </c>
      <c r="BE488" t="b">
        <f>+ISNUMBER(SEARCH(CompConta!$F$30,Tabla11[[#This Row],[Cuenta]],1))</f>
        <v>1</v>
      </c>
      <c r="BF488" t="b">
        <f>+ISNUMBER(SEARCH('PAGO Compras'!$E$11,Tabla11[[#This Row],[Cuenta]],1))</f>
        <v>1</v>
      </c>
      <c r="BG488" t="b">
        <f>+ISNUMBER(SEARCH(#REF!,Tabla11[[#This Row],[Cuenta]],1))</f>
        <v>0</v>
      </c>
      <c r="BH488" t="b">
        <f>+ISNUMBER(SEARCH(#REF!,Tabla11[[#This Row],[Cuenta]],1))</f>
        <v>0</v>
      </c>
      <c r="BI488" t="b">
        <f>+ISNUMBER(SEARCH(#REF!,Tabla11[[#This Row],[Cuenta]],1))</f>
        <v>0</v>
      </c>
      <c r="BJ488" t="b">
        <f>+ISNUMBER(SEARCH(#REF!,Tabla11[[#This Row],[Cuenta]],1))</f>
        <v>0</v>
      </c>
      <c r="BS488" t="str">
        <v>246410 De cervezas</v>
      </c>
      <c r="BT488" t="str">
        <v>246410 De cervezas</v>
      </c>
      <c r="BU488" t="str">
        <v>246410 De cervezas</v>
      </c>
      <c r="BV488" t="str">
        <v>246410 De cervezas</v>
      </c>
      <c r="BZ488" t="str">
        <v>246410 De cervezas</v>
      </c>
      <c r="CA488" t="str">
        <v>246410 De cervezas</v>
      </c>
      <c r="CB488" t="str">
        <v>246410 De cervezas</v>
      </c>
      <c r="CC488" t="str">
        <v>246410 De cervezas</v>
      </c>
      <c r="CD488" t="str">
        <v>246410 De cervezas</v>
      </c>
      <c r="CE488" t="str">
        <v>246410 De cervezas</v>
      </c>
      <c r="CS488" s="141" t="str">
        <v>246410 De cervezas</v>
      </c>
      <c r="CT488" s="141" t="str">
        <v>246410 De cervezas</v>
      </c>
      <c r="CU488" s="141" t="str">
        <v>246410 De cervezas</v>
      </c>
      <c r="CV488" s="141" t="str">
        <v>246410 De cervezas</v>
      </c>
      <c r="CW488" s="141" t="str">
        <v>246410 De cervezas</v>
      </c>
      <c r="CX488" s="141" t="str">
        <v>246410 De cervezas</v>
      </c>
      <c r="CY488" s="141" t="str">
        <v>246410 De cervezas</v>
      </c>
      <c r="CZ488" s="141" t="str">
        <v>246410 De cervezas</v>
      </c>
      <c r="DA488" s="141" t="str">
        <v>246410 De cervezas</v>
      </c>
      <c r="DF488" t="str">
        <v>246410 De cervezas</v>
      </c>
      <c r="DG488" t="str">
        <v>246410 De cervezas</v>
      </c>
      <c r="DH488" t="str">
        <v>246410 De cervezas</v>
      </c>
      <c r="DI488" t="str">
        <v>246410 De cervezas</v>
      </c>
      <c r="DJ488" t="str">
        <v>246410 De cervezas</v>
      </c>
      <c r="DK488" t="str">
        <v>246410 De cervezas</v>
      </c>
      <c r="DL488" t="str">
        <v>246410 De cervezas</v>
      </c>
      <c r="DM488" t="str">
        <v>246410 De cervezas</v>
      </c>
      <c r="DN488" t="str">
        <v>246410 De cervezas</v>
      </c>
      <c r="DO488" t="str">
        <v>246410 De cervezas</v>
      </c>
      <c r="DP488" t="str">
        <v>246410 De cervezas</v>
      </c>
    </row>
    <row r="489" spans="4:120" ht="12.75">
      <c r="D489" s="7">
        <v>246415</v>
      </c>
      <c r="E489" s="6" t="s">
        <v>371</v>
      </c>
      <c r="F489" s="5">
        <v>4</v>
      </c>
      <c r="G489" s="34" t="s">
        <v>823</v>
      </c>
      <c r="H489" s="26" t="s">
        <v>765</v>
      </c>
      <c r="I489" t="b">
        <f>+ISNUMBER(SEARCH('F-COMPRA'!$F$28,Tabla11[[#This Row],[Cuenta]],1))</f>
        <v>1</v>
      </c>
      <c r="J489" t="b">
        <f>+ISNUMBER(SEARCH('F-COMPRA'!$F$29,Tabla11[[#This Row],[Cuenta]],1))</f>
        <v>1</v>
      </c>
      <c r="K489" t="b">
        <f>+ISNUMBER(SEARCH('F-COMPRA'!$F$30,Tabla11[[#This Row],[Cuenta]],1))</f>
        <v>1</v>
      </c>
      <c r="L489" t="b">
        <f>+ISNUMBER(SEARCH('F-COMPRA'!$F$31,Tabla11[[#This Row],[Cuenta]],1))</f>
        <v>1</v>
      </c>
      <c r="M489" t="b">
        <f>+ISNUMBER(SEARCH('F-COMPRA'!$G$25,Tabla11[[#This Row],[Cuenta]],1))</f>
        <v>0</v>
      </c>
      <c r="N489" t="b">
        <f>+ISNUMBER(SEARCH(#REF!,Tabla11[[#This Row],[Cuenta]],1))</f>
        <v>0</v>
      </c>
      <c r="O489" t="b">
        <f>+ISNUMBER(SEARCH(#REF!,Tabla11[[#This Row],[Cuenta]],1))</f>
        <v>0</v>
      </c>
      <c r="P489" t="b">
        <f>+ISNUMBER(SEARCH('F-COMPRA'!$F$32,Tabla11[[#This Row],[Cuenta]],1))</f>
        <v>1</v>
      </c>
      <c r="Q489" t="b">
        <f>+ISNUMBER(SEARCH('F-COMPRA'!$F$33,Tabla11[[#This Row],[Cuenta]],1))</f>
        <v>1</v>
      </c>
      <c r="R489" t="b">
        <f>+ISNUMBER(SEARCH('F-COMPRA'!$F$34,Tabla11[[#This Row],[Cuenta]],1))</f>
        <v>1</v>
      </c>
      <c r="S489" t="b">
        <f>+ISNUMBER(SEARCH('F-COMPRA'!$F$35,Tabla11[[#This Row],[Cuenta]],1))</f>
        <v>1</v>
      </c>
      <c r="T489" t="b">
        <f>+ISNUMBER(SEARCH('F-COMPRA'!$F$36,Tabla11[[#This Row],[Cuenta]],1))</f>
        <v>1</v>
      </c>
      <c r="U489" t="b">
        <f>+ISNUMBER(SEARCH('F-COMPRA'!$F$37,Tabla11[[#This Row],[Cuenta]],1))</f>
        <v>1</v>
      </c>
      <c r="V489" t="b">
        <f>+ISNUMBER(SEARCH(#REF!,Tabla11[[#This Row],[Cuenta]],1))</f>
        <v>0</v>
      </c>
      <c r="W489" t="b">
        <f>+ISNUMBER(SEARCH('F-COMPRA'!#REF!,Tabla11[[#This Row],[Cuenta]],1))</f>
        <v>0</v>
      </c>
      <c r="X489" t="b">
        <f>+ISNUMBER(SEARCH('F-COMPRA'!#REF!,Tabla11[[#This Row],[Cuenta]],1))</f>
        <v>0</v>
      </c>
      <c r="Y489" t="b">
        <f>+ISNUMBER(SEARCH('F-COMPRA'!#REF!,Tabla11[[#This Row],[Cuenta]],1))</f>
        <v>0</v>
      </c>
      <c r="Z489" t="b">
        <f>+ISNUMBER(SEARCH('F-COMPRA'!#REF!,Tabla11[[#This Row],[Cuenta]],1))</f>
        <v>0</v>
      </c>
      <c r="AA489" t="b">
        <f>+ISNUMBER(SEARCH('F-COMPRA'!#REF!,Tabla11[[#This Row],[Cuenta]],1))</f>
        <v>0</v>
      </c>
      <c r="AB489" t="b">
        <f>+ISNUMBER(SEARCH('F-COMPRA'!#REF!,Tabla11[[#This Row],[Cuenta]],1))</f>
        <v>0</v>
      </c>
      <c r="AC489" t="b">
        <f>+ISNUMBER(SEARCH('F-COMPRA'!#REF!,Tabla11[[#This Row],[Cuenta]],1))</f>
        <v>0</v>
      </c>
      <c r="AD489" t="b">
        <f>+ISNUMBER(SEARCH('F-COMPRA'!#REF!,Tabla11[[#This Row],[Cuenta]],1))</f>
        <v>0</v>
      </c>
      <c r="AE489" t="b">
        <f>+ISNUMBER(SEARCH('F-COMPRA'!#REF!,Tabla11[[#This Row],[Cuenta]],1))</f>
        <v>0</v>
      </c>
      <c r="AF489" t="b">
        <f>+ISNUMBER(SEARCH('F-VTA'!$G$23,Tabla11[[#This Row],[Cuenta]],1))</f>
        <v>0</v>
      </c>
      <c r="AG489" t="b">
        <f>+ISNUMBER(SEARCH('F-VTA'!$G$24,Tabla11[[#This Row],[Cuenta]],1))</f>
        <v>0</v>
      </c>
      <c r="AH489" t="b">
        <f>+ISNUMBER(SEARCH('F-VTA'!$G$25,Tabla11[[#This Row],[Cuenta]],1))</f>
        <v>0</v>
      </c>
      <c r="AI489" t="b">
        <f>+ISNUMBER(SEARCH('F-VTA'!$F$28,Tabla11[[#This Row],[Cuenta]],1))</f>
        <v>1</v>
      </c>
      <c r="AJ489" t="b">
        <f>+ISNUMBER(SEARCH('F-VTA'!$F$29,Tabla11[[#This Row],[Cuenta]],1))</f>
        <v>1</v>
      </c>
      <c r="AK489" t="b">
        <f>+ISNUMBER(SEARCH('F-VTA'!$F$30,Tabla11[[#This Row],[Cuenta]],1))</f>
        <v>1</v>
      </c>
      <c r="AL489" t="b">
        <f>+ISNUMBER(SEARCH('F-VTA'!$F$31,Tabla11[[#This Row],[Cuenta]],1))</f>
        <v>1</v>
      </c>
      <c r="AM489" t="b">
        <f>+ISNUMBER(SEARCH('F-VTA'!$F$32,Tabla11[[#This Row],[Cuenta]],1))</f>
        <v>1</v>
      </c>
      <c r="AN489" t="b">
        <f>+ISNUMBER(SEARCH('F-VTA'!$F$33,Tabla11[[#This Row],[Cuenta]],1))</f>
        <v>1</v>
      </c>
      <c r="AO489" t="b">
        <f>+ISNUMBER(SEARCH('F-VTA'!$F$34,Tabla11[[#This Row],[Cuenta]],1))</f>
        <v>1</v>
      </c>
      <c r="AP489" t="b">
        <f>+ISNUMBER(SEARCH('F-VTA'!$F$35,Tabla11[[#This Row],[Cuenta]],1))</f>
        <v>1</v>
      </c>
      <c r="AQ489" t="b">
        <f>+ISNUMBER(SEARCH('F-VTA'!$F$36,Tabla11[[#This Row],[Cuenta]],1))</f>
        <v>1</v>
      </c>
      <c r="AR489" t="b">
        <f>+ISNUMBER(SEARCH(#REF!,Tabla11[[#This Row],[Cuenta]],1))</f>
        <v>0</v>
      </c>
      <c r="AS489" t="b">
        <f>+ISNUMBER(SEARCH(#REF!,Tabla11[[#This Row],[Cuenta]],1))</f>
        <v>0</v>
      </c>
      <c r="AT489" t="b">
        <f>+ISNUMBER(SEARCH(#REF!,Tabla11[[#This Row],[Cuenta]],1))</f>
        <v>0</v>
      </c>
      <c r="AU489" t="b">
        <f>+ISNUMBER(SEARCH('Conc. Ban.1'!$I$9,Tabla11[[#This Row],[Cuenta]],1))</f>
        <v>0</v>
      </c>
      <c r="AV489" t="b">
        <f>+ISNUMBER(SEARCH(CompConta!$F$21,Tabla11[[#This Row],[Cuenta]],1))</f>
        <v>1</v>
      </c>
      <c r="AW489" t="b">
        <f>+ISNUMBER(SEARCH(CompConta!$F$22,Tabla11[[#This Row],[Cuenta]],1))</f>
        <v>1</v>
      </c>
      <c r="AX489" t="b">
        <f>+ISNUMBER(SEARCH(CompConta!$F$23,Tabla11[[#This Row],[Cuenta]],1))</f>
        <v>1</v>
      </c>
      <c r="AY489" t="b">
        <f>+ISNUMBER(SEARCH(CompConta!$F$24,Tabla11[[#This Row],[Cuenta]],1))</f>
        <v>1</v>
      </c>
      <c r="AZ489" t="b">
        <f>+ISNUMBER(SEARCH(CompConta!$F$25,Tabla11[[#This Row],[Cuenta]],1))</f>
        <v>1</v>
      </c>
      <c r="BA489" t="b">
        <f>+ISNUMBER(SEARCH(CompConta!$F$26,Tabla11[[#This Row],[Cuenta]],1))</f>
        <v>1</v>
      </c>
      <c r="BB489" t="b">
        <f>+ISNUMBER(SEARCH(CompConta!$F$27,Tabla11[[#This Row],[Cuenta]],1))</f>
        <v>1</v>
      </c>
      <c r="BC489" t="b">
        <f>+ISNUMBER(SEARCH(CompConta!$F$28,Tabla11[[#This Row],[Cuenta]],1))</f>
        <v>1</v>
      </c>
      <c r="BD489" t="b">
        <f>+ISNUMBER(SEARCH(CompConta!$F$29,Tabla11[[#This Row],[Cuenta]],1))</f>
        <v>1</v>
      </c>
      <c r="BE489" t="b">
        <f>+ISNUMBER(SEARCH(CompConta!$F$30,Tabla11[[#This Row],[Cuenta]],1))</f>
        <v>1</v>
      </c>
      <c r="BF489" t="b">
        <f>+ISNUMBER(SEARCH('PAGO Compras'!$E$11,Tabla11[[#This Row],[Cuenta]],1))</f>
        <v>1</v>
      </c>
      <c r="BG489" t="b">
        <f>+ISNUMBER(SEARCH(#REF!,Tabla11[[#This Row],[Cuenta]],1))</f>
        <v>0</v>
      </c>
      <c r="BH489" t="b">
        <f>+ISNUMBER(SEARCH(#REF!,Tabla11[[#This Row],[Cuenta]],1))</f>
        <v>0</v>
      </c>
      <c r="BI489" t="b">
        <f>+ISNUMBER(SEARCH(#REF!,Tabla11[[#This Row],[Cuenta]],1))</f>
        <v>0</v>
      </c>
      <c r="BJ489" t="b">
        <f>+ISNUMBER(SEARCH(#REF!,Tabla11[[#This Row],[Cuenta]],1))</f>
        <v>0</v>
      </c>
      <c r="BS489" t="str">
        <v>246415 De cigarrillos</v>
      </c>
      <c r="BT489" t="str">
        <v>246415 De cigarrillos</v>
      </c>
      <c r="BU489" t="str">
        <v>246415 De cigarrillos</v>
      </c>
      <c r="BV489" t="str">
        <v>246415 De cigarrillos</v>
      </c>
      <c r="BZ489" t="str">
        <v>246415 De cigarrillos</v>
      </c>
      <c r="CA489" t="str">
        <v>246415 De cigarrillos</v>
      </c>
      <c r="CB489" t="str">
        <v>246415 De cigarrillos</v>
      </c>
      <c r="CC489" t="str">
        <v>246415 De cigarrillos</v>
      </c>
      <c r="CD489" t="str">
        <v>246415 De cigarrillos</v>
      </c>
      <c r="CE489" t="str">
        <v>246415 De cigarrillos</v>
      </c>
      <c r="CS489" s="141" t="str">
        <v>246415 De cigarrillos</v>
      </c>
      <c r="CT489" s="141" t="str">
        <v>246415 De cigarrillos</v>
      </c>
      <c r="CU489" s="141" t="str">
        <v>246415 De cigarrillos</v>
      </c>
      <c r="CV489" s="141" t="str">
        <v>246415 De cigarrillos</v>
      </c>
      <c r="CW489" s="141" t="str">
        <v>246415 De cigarrillos</v>
      </c>
      <c r="CX489" s="141" t="str">
        <v>246415 De cigarrillos</v>
      </c>
      <c r="CY489" s="141" t="str">
        <v>246415 De cigarrillos</v>
      </c>
      <c r="CZ489" s="141" t="str">
        <v>246415 De cigarrillos</v>
      </c>
      <c r="DA489" s="141" t="str">
        <v>246415 De cigarrillos</v>
      </c>
      <c r="DF489" t="str">
        <v>246415 De cigarrillos</v>
      </c>
      <c r="DG489" t="str">
        <v>246415 De cigarrillos</v>
      </c>
      <c r="DH489" t="str">
        <v>246415 De cigarrillos</v>
      </c>
      <c r="DI489" t="str">
        <v>246415 De cigarrillos</v>
      </c>
      <c r="DJ489" t="str">
        <v>246415 De cigarrillos</v>
      </c>
      <c r="DK489" t="str">
        <v>246415 De cigarrillos</v>
      </c>
      <c r="DL489" t="str">
        <v>246415 De cigarrillos</v>
      </c>
      <c r="DM489" t="str">
        <v>246415 De cigarrillos</v>
      </c>
      <c r="DN489" t="str">
        <v>246415 De cigarrillos</v>
      </c>
      <c r="DO489" t="str">
        <v>246415 De cigarrillos</v>
      </c>
      <c r="DP489" t="str">
        <v>246415 De cigarrillos</v>
      </c>
    </row>
    <row r="490" spans="4:120" ht="12.75">
      <c r="D490" s="7">
        <v>2465</v>
      </c>
      <c r="E490" s="6" t="s">
        <v>1027</v>
      </c>
      <c r="F490" s="5">
        <v>4</v>
      </c>
      <c r="G490" s="34" t="s">
        <v>823</v>
      </c>
      <c r="H490" s="26" t="s">
        <v>765</v>
      </c>
      <c r="I490" t="b">
        <f>+ISNUMBER(SEARCH('F-COMPRA'!$F$28,Tabla11[[#This Row],[Cuenta]],1))</f>
        <v>1</v>
      </c>
      <c r="J490" t="b">
        <f>+ISNUMBER(SEARCH('F-COMPRA'!$F$29,Tabla11[[#This Row],[Cuenta]],1))</f>
        <v>1</v>
      </c>
      <c r="K490" t="b">
        <f>+ISNUMBER(SEARCH('F-COMPRA'!$F$30,Tabla11[[#This Row],[Cuenta]],1))</f>
        <v>1</v>
      </c>
      <c r="L490" t="b">
        <f>+ISNUMBER(SEARCH('F-COMPRA'!$F$31,Tabla11[[#This Row],[Cuenta]],1))</f>
        <v>1</v>
      </c>
      <c r="M490" t="b">
        <f>+ISNUMBER(SEARCH('F-COMPRA'!$G$25,Tabla11[[#This Row],[Cuenta]],1))</f>
        <v>0</v>
      </c>
      <c r="N490" t="b">
        <f>+ISNUMBER(SEARCH(#REF!,Tabla11[[#This Row],[Cuenta]],1))</f>
        <v>0</v>
      </c>
      <c r="O490" t="b">
        <f>+ISNUMBER(SEARCH(#REF!,Tabla11[[#This Row],[Cuenta]],1))</f>
        <v>0</v>
      </c>
      <c r="P490" t="b">
        <f>+ISNUMBER(SEARCH('F-COMPRA'!$F$32,Tabla11[[#This Row],[Cuenta]],1))</f>
        <v>1</v>
      </c>
      <c r="Q490" t="b">
        <f>+ISNUMBER(SEARCH('F-COMPRA'!$F$33,Tabla11[[#This Row],[Cuenta]],1))</f>
        <v>1</v>
      </c>
      <c r="R490" t="b">
        <f>+ISNUMBER(SEARCH('F-COMPRA'!$F$34,Tabla11[[#This Row],[Cuenta]],1))</f>
        <v>1</v>
      </c>
      <c r="S490" t="b">
        <f>+ISNUMBER(SEARCH('F-COMPRA'!$F$35,Tabla11[[#This Row],[Cuenta]],1))</f>
        <v>1</v>
      </c>
      <c r="T490" t="b">
        <f>+ISNUMBER(SEARCH('F-COMPRA'!$F$36,Tabla11[[#This Row],[Cuenta]],1))</f>
        <v>1</v>
      </c>
      <c r="U490" t="b">
        <f>+ISNUMBER(SEARCH('F-COMPRA'!$F$37,Tabla11[[#This Row],[Cuenta]],1))</f>
        <v>1</v>
      </c>
      <c r="V490" t="b">
        <f>+ISNUMBER(SEARCH(#REF!,Tabla11[[#This Row],[Cuenta]],1))</f>
        <v>0</v>
      </c>
      <c r="W490" t="b">
        <f>+ISNUMBER(SEARCH('F-COMPRA'!#REF!,Tabla11[[#This Row],[Cuenta]],1))</f>
        <v>0</v>
      </c>
      <c r="X490" t="b">
        <f>+ISNUMBER(SEARCH('F-COMPRA'!#REF!,Tabla11[[#This Row],[Cuenta]],1))</f>
        <v>0</v>
      </c>
      <c r="Y490" t="b">
        <f>+ISNUMBER(SEARCH('F-COMPRA'!#REF!,Tabla11[[#This Row],[Cuenta]],1))</f>
        <v>0</v>
      </c>
      <c r="Z490" t="b">
        <f>+ISNUMBER(SEARCH('F-COMPRA'!#REF!,Tabla11[[#This Row],[Cuenta]],1))</f>
        <v>0</v>
      </c>
      <c r="AA490" t="b">
        <f>+ISNUMBER(SEARCH('F-COMPRA'!#REF!,Tabla11[[#This Row],[Cuenta]],1))</f>
        <v>0</v>
      </c>
      <c r="AB490" t="b">
        <f>+ISNUMBER(SEARCH('F-COMPRA'!#REF!,Tabla11[[#This Row],[Cuenta]],1))</f>
        <v>0</v>
      </c>
      <c r="AC490" t="b">
        <f>+ISNUMBER(SEARCH('F-COMPRA'!#REF!,Tabla11[[#This Row],[Cuenta]],1))</f>
        <v>0</v>
      </c>
      <c r="AD490" t="b">
        <f>+ISNUMBER(SEARCH('F-COMPRA'!#REF!,Tabla11[[#This Row],[Cuenta]],1))</f>
        <v>0</v>
      </c>
      <c r="AE490" t="b">
        <f>+ISNUMBER(SEARCH('F-COMPRA'!#REF!,Tabla11[[#This Row],[Cuenta]],1))</f>
        <v>0</v>
      </c>
      <c r="AF490" t="b">
        <f>+ISNUMBER(SEARCH('F-VTA'!$G$23,Tabla11[[#This Row],[Cuenta]],1))</f>
        <v>0</v>
      </c>
      <c r="AG490" t="b">
        <f>+ISNUMBER(SEARCH('F-VTA'!$G$24,Tabla11[[#This Row],[Cuenta]],1))</f>
        <v>0</v>
      </c>
      <c r="AH490" t="b">
        <f>+ISNUMBER(SEARCH('F-VTA'!$G$25,Tabla11[[#This Row],[Cuenta]],1))</f>
        <v>0</v>
      </c>
      <c r="AI490" t="b">
        <f>+ISNUMBER(SEARCH('F-VTA'!$F$28,Tabla11[[#This Row],[Cuenta]],1))</f>
        <v>1</v>
      </c>
      <c r="AJ490" t="b">
        <f>+ISNUMBER(SEARCH('F-VTA'!$F$29,Tabla11[[#This Row],[Cuenta]],1))</f>
        <v>1</v>
      </c>
      <c r="AK490" t="b">
        <f>+ISNUMBER(SEARCH('F-VTA'!$F$30,Tabla11[[#This Row],[Cuenta]],1))</f>
        <v>1</v>
      </c>
      <c r="AL490" t="b">
        <f>+ISNUMBER(SEARCH('F-VTA'!$F$31,Tabla11[[#This Row],[Cuenta]],1))</f>
        <v>1</v>
      </c>
      <c r="AM490" t="b">
        <f>+ISNUMBER(SEARCH('F-VTA'!$F$32,Tabla11[[#This Row],[Cuenta]],1))</f>
        <v>1</v>
      </c>
      <c r="AN490" t="b">
        <f>+ISNUMBER(SEARCH('F-VTA'!$F$33,Tabla11[[#This Row],[Cuenta]],1))</f>
        <v>1</v>
      </c>
      <c r="AO490" t="b">
        <f>+ISNUMBER(SEARCH('F-VTA'!$F$34,Tabla11[[#This Row],[Cuenta]],1))</f>
        <v>1</v>
      </c>
      <c r="AP490" t="b">
        <f>+ISNUMBER(SEARCH('F-VTA'!$F$35,Tabla11[[#This Row],[Cuenta]],1))</f>
        <v>1</v>
      </c>
      <c r="AQ490" t="b">
        <f>+ISNUMBER(SEARCH('F-VTA'!$F$36,Tabla11[[#This Row],[Cuenta]],1))</f>
        <v>1</v>
      </c>
      <c r="AR490" t="b">
        <f>+ISNUMBER(SEARCH(#REF!,Tabla11[[#This Row],[Cuenta]],1))</f>
        <v>0</v>
      </c>
      <c r="AS490" t="b">
        <f>+ISNUMBER(SEARCH(#REF!,Tabla11[[#This Row],[Cuenta]],1))</f>
        <v>0</v>
      </c>
      <c r="AT490" t="b">
        <f>+ISNUMBER(SEARCH(#REF!,Tabla11[[#This Row],[Cuenta]],1))</f>
        <v>0</v>
      </c>
      <c r="AU490" t="b">
        <f>+ISNUMBER(SEARCH('Conc. Ban.1'!$I$9,Tabla11[[#This Row],[Cuenta]],1))</f>
        <v>0</v>
      </c>
      <c r="AV490" t="b">
        <f>+ISNUMBER(SEARCH(CompConta!$F$21,Tabla11[[#This Row],[Cuenta]],1))</f>
        <v>1</v>
      </c>
      <c r="AW490" t="b">
        <f>+ISNUMBER(SEARCH(CompConta!$F$22,Tabla11[[#This Row],[Cuenta]],1))</f>
        <v>1</v>
      </c>
      <c r="AX490" t="b">
        <f>+ISNUMBER(SEARCH(CompConta!$F$23,Tabla11[[#This Row],[Cuenta]],1))</f>
        <v>1</v>
      </c>
      <c r="AY490" t="b">
        <f>+ISNUMBER(SEARCH(CompConta!$F$24,Tabla11[[#This Row],[Cuenta]],1))</f>
        <v>1</v>
      </c>
      <c r="AZ490" t="b">
        <f>+ISNUMBER(SEARCH(CompConta!$F$25,Tabla11[[#This Row],[Cuenta]],1))</f>
        <v>1</v>
      </c>
      <c r="BA490" t="b">
        <f>+ISNUMBER(SEARCH(CompConta!$F$26,Tabla11[[#This Row],[Cuenta]],1))</f>
        <v>1</v>
      </c>
      <c r="BB490" t="b">
        <f>+ISNUMBER(SEARCH(CompConta!$F$27,Tabla11[[#This Row],[Cuenta]],1))</f>
        <v>1</v>
      </c>
      <c r="BC490" t="b">
        <f>+ISNUMBER(SEARCH(CompConta!$F$28,Tabla11[[#This Row],[Cuenta]],1))</f>
        <v>1</v>
      </c>
      <c r="BD490" t="b">
        <f>+ISNUMBER(SEARCH(CompConta!$F$29,Tabla11[[#This Row],[Cuenta]],1))</f>
        <v>1</v>
      </c>
      <c r="BE490" t="b">
        <f>+ISNUMBER(SEARCH(CompConta!$F$30,Tabla11[[#This Row],[Cuenta]],1))</f>
        <v>1</v>
      </c>
      <c r="BF490" t="b">
        <f>+ISNUMBER(SEARCH('PAGO Compras'!$E$11,Tabla11[[#This Row],[Cuenta]],1))</f>
        <v>1</v>
      </c>
      <c r="BG490" t="b">
        <f>+ISNUMBER(SEARCH(#REF!,Tabla11[[#This Row],[Cuenta]],1))</f>
        <v>0</v>
      </c>
      <c r="BH490" t="b">
        <f>+ISNUMBER(SEARCH(#REF!,Tabla11[[#This Row],[Cuenta]],1))</f>
        <v>0</v>
      </c>
      <c r="BI490" t="b">
        <f>+ISNUMBER(SEARCH(#REF!,Tabla11[[#This Row],[Cuenta]],1))</f>
        <v>0</v>
      </c>
      <c r="BJ490" t="b">
        <f>+ISNUMBER(SEARCH(#REF!,Tabla11[[#This Row],[Cuenta]],1))</f>
        <v>0</v>
      </c>
      <c r="BS490" t="str">
        <v>2465 IMPUESTO NACIONAL AL CONSUMO</v>
      </c>
      <c r="BT490" t="str">
        <v>2465 IMPUESTO NACIONAL AL CONSUMO</v>
      </c>
      <c r="BU490" t="str">
        <v>2465 IMPUESTO NACIONAL AL CONSUMO</v>
      </c>
      <c r="BV490" t="str">
        <v>2465 IMPUESTO NACIONAL AL CONSUMO</v>
      </c>
      <c r="BZ490" t="str">
        <v>2465 IMPUESTO NACIONAL AL CONSUMO</v>
      </c>
      <c r="CA490" t="str">
        <v>2465 IMPUESTO NACIONAL AL CONSUMO</v>
      </c>
      <c r="CB490" t="str">
        <v>2465 IMPUESTO NACIONAL AL CONSUMO</v>
      </c>
      <c r="CC490" t="str">
        <v>2465 IMPUESTO NACIONAL AL CONSUMO</v>
      </c>
      <c r="CD490" t="str">
        <v>2465 IMPUESTO NACIONAL AL CONSUMO</v>
      </c>
      <c r="CE490" t="str">
        <v>2465 IMPUESTO NACIONAL AL CONSUMO</v>
      </c>
      <c r="CS490" s="141" t="str">
        <v>2465 IMPUESTO NACIONAL AL CONSUMO</v>
      </c>
      <c r="CT490" s="141" t="str">
        <v>2465 IMPUESTO NACIONAL AL CONSUMO</v>
      </c>
      <c r="CU490" s="141" t="str">
        <v>2465 IMPUESTO NACIONAL AL CONSUMO</v>
      </c>
      <c r="CV490" s="141" t="str">
        <v>2465 IMPUESTO NACIONAL AL CONSUMO</v>
      </c>
      <c r="CW490" s="141" t="str">
        <v>2465 IMPUESTO NACIONAL AL CONSUMO</v>
      </c>
      <c r="CX490" s="141" t="str">
        <v>2465 IMPUESTO NACIONAL AL CONSUMO</v>
      </c>
      <c r="CY490" s="141" t="str">
        <v>2465 IMPUESTO NACIONAL AL CONSUMO</v>
      </c>
      <c r="CZ490" s="141" t="str">
        <v>2465 IMPUESTO NACIONAL AL CONSUMO</v>
      </c>
      <c r="DA490" s="141" t="str">
        <v>2465 IMPUESTO NACIONAL AL CONSUMO</v>
      </c>
      <c r="DF490" t="str">
        <v>2465 IMPUESTO NACIONAL AL CONSUMO</v>
      </c>
      <c r="DG490" t="str">
        <v>2465 IMPUESTO NACIONAL AL CONSUMO</v>
      </c>
      <c r="DH490" t="str">
        <v>2465 IMPUESTO NACIONAL AL CONSUMO</v>
      </c>
      <c r="DI490" t="str">
        <v>2465 IMPUESTO NACIONAL AL CONSUMO</v>
      </c>
      <c r="DJ490" t="str">
        <v>2465 IMPUESTO NACIONAL AL CONSUMO</v>
      </c>
      <c r="DK490" t="str">
        <v>2465 IMPUESTO NACIONAL AL CONSUMO</v>
      </c>
      <c r="DL490" t="str">
        <v>2465 IMPUESTO NACIONAL AL CONSUMO</v>
      </c>
      <c r="DM490" t="str">
        <v>2465 IMPUESTO NACIONAL AL CONSUMO</v>
      </c>
      <c r="DN490" t="str">
        <v>2465 IMPUESTO NACIONAL AL CONSUMO</v>
      </c>
      <c r="DO490" t="str">
        <v>2465 IMPUESTO NACIONAL AL CONSUMO</v>
      </c>
      <c r="DP490" t="str">
        <v>2465 IMPUESTO NACIONAL AL CONSUMO</v>
      </c>
    </row>
    <row r="491" spans="4:120" ht="12.75">
      <c r="D491" s="7">
        <v>246505</v>
      </c>
      <c r="E491" s="13" t="s">
        <v>1026</v>
      </c>
      <c r="F491" s="5">
        <v>4</v>
      </c>
      <c r="G491" s="34" t="s">
        <v>823</v>
      </c>
      <c r="H491" s="26" t="s">
        <v>765</v>
      </c>
      <c r="I491" t="b">
        <f>+ISNUMBER(SEARCH('F-COMPRA'!$F$28,Tabla11[[#This Row],[Cuenta]],1))</f>
        <v>1</v>
      </c>
      <c r="J491" t="b">
        <f>+ISNUMBER(SEARCH('F-COMPRA'!$F$29,Tabla11[[#This Row],[Cuenta]],1))</f>
        <v>1</v>
      </c>
      <c r="K491" t="b">
        <f>+ISNUMBER(SEARCH('F-COMPRA'!$F$30,Tabla11[[#This Row],[Cuenta]],1))</f>
        <v>1</v>
      </c>
      <c r="L491" t="b">
        <f>+ISNUMBER(SEARCH('F-COMPRA'!$F$31,Tabla11[[#This Row],[Cuenta]],1))</f>
        <v>1</v>
      </c>
      <c r="M491" t="b">
        <f>+ISNUMBER(SEARCH('F-COMPRA'!$G$25,Tabla11[[#This Row],[Cuenta]],1))</f>
        <v>0</v>
      </c>
      <c r="N491" t="b">
        <f>+ISNUMBER(SEARCH(#REF!,Tabla11[[#This Row],[Cuenta]],1))</f>
        <v>0</v>
      </c>
      <c r="O491" t="b">
        <f>+ISNUMBER(SEARCH(#REF!,Tabla11[[#This Row],[Cuenta]],1))</f>
        <v>0</v>
      </c>
      <c r="P491" t="b">
        <f>+ISNUMBER(SEARCH('F-COMPRA'!$F$32,Tabla11[[#This Row],[Cuenta]],1))</f>
        <v>1</v>
      </c>
      <c r="Q491" t="b">
        <f>+ISNUMBER(SEARCH('F-COMPRA'!$F$33,Tabla11[[#This Row],[Cuenta]],1))</f>
        <v>1</v>
      </c>
      <c r="R491" t="b">
        <f>+ISNUMBER(SEARCH('F-COMPRA'!$F$34,Tabla11[[#This Row],[Cuenta]],1))</f>
        <v>1</v>
      </c>
      <c r="S491" t="b">
        <f>+ISNUMBER(SEARCH('F-COMPRA'!$F$35,Tabla11[[#This Row],[Cuenta]],1))</f>
        <v>1</v>
      </c>
      <c r="T491" t="b">
        <f>+ISNUMBER(SEARCH('F-COMPRA'!$F$36,Tabla11[[#This Row],[Cuenta]],1))</f>
        <v>1</v>
      </c>
      <c r="U491" t="b">
        <f>+ISNUMBER(SEARCH('F-COMPRA'!$F$37,Tabla11[[#This Row],[Cuenta]],1))</f>
        <v>1</v>
      </c>
      <c r="V491" t="b">
        <f>+ISNUMBER(SEARCH(#REF!,Tabla11[[#This Row],[Cuenta]],1))</f>
        <v>0</v>
      </c>
      <c r="W491" t="b">
        <f>+ISNUMBER(SEARCH('F-COMPRA'!#REF!,Tabla11[[#This Row],[Cuenta]],1))</f>
        <v>0</v>
      </c>
      <c r="X491" t="b">
        <f>+ISNUMBER(SEARCH('F-COMPRA'!#REF!,Tabla11[[#This Row],[Cuenta]],1))</f>
        <v>0</v>
      </c>
      <c r="Y491" t="b">
        <f>+ISNUMBER(SEARCH('F-COMPRA'!#REF!,Tabla11[[#This Row],[Cuenta]],1))</f>
        <v>0</v>
      </c>
      <c r="Z491" t="b">
        <f>+ISNUMBER(SEARCH('F-COMPRA'!#REF!,Tabla11[[#This Row],[Cuenta]],1))</f>
        <v>0</v>
      </c>
      <c r="AA491" t="b">
        <f>+ISNUMBER(SEARCH('F-COMPRA'!#REF!,Tabla11[[#This Row],[Cuenta]],1))</f>
        <v>0</v>
      </c>
      <c r="AB491" t="b">
        <f>+ISNUMBER(SEARCH('F-COMPRA'!#REF!,Tabla11[[#This Row],[Cuenta]],1))</f>
        <v>0</v>
      </c>
      <c r="AC491" t="b">
        <f>+ISNUMBER(SEARCH('F-COMPRA'!#REF!,Tabla11[[#This Row],[Cuenta]],1))</f>
        <v>0</v>
      </c>
      <c r="AD491" t="b">
        <f>+ISNUMBER(SEARCH('F-COMPRA'!#REF!,Tabla11[[#This Row],[Cuenta]],1))</f>
        <v>0</v>
      </c>
      <c r="AE491" t="b">
        <f>+ISNUMBER(SEARCH('F-COMPRA'!#REF!,Tabla11[[#This Row],[Cuenta]],1))</f>
        <v>0</v>
      </c>
      <c r="AF491" t="b">
        <f>+ISNUMBER(SEARCH('F-VTA'!$G$23,Tabla11[[#This Row],[Cuenta]],1))</f>
        <v>0</v>
      </c>
      <c r="AG491" t="b">
        <f>+ISNUMBER(SEARCH('F-VTA'!$G$24,Tabla11[[#This Row],[Cuenta]],1))</f>
        <v>0</v>
      </c>
      <c r="AH491" t="b">
        <f>+ISNUMBER(SEARCH('F-VTA'!$G$25,Tabla11[[#This Row],[Cuenta]],1))</f>
        <v>1</v>
      </c>
      <c r="AI491" t="b">
        <f>+ISNUMBER(SEARCH('F-VTA'!$F$28,Tabla11[[#This Row],[Cuenta]],1))</f>
        <v>1</v>
      </c>
      <c r="AJ491" t="b">
        <f>+ISNUMBER(SEARCH('F-VTA'!$F$29,Tabla11[[#This Row],[Cuenta]],1))</f>
        <v>1</v>
      </c>
      <c r="AK491" t="b">
        <f>+ISNUMBER(SEARCH('F-VTA'!$F$30,Tabla11[[#This Row],[Cuenta]],1))</f>
        <v>1</v>
      </c>
      <c r="AL491" t="b">
        <f>+ISNUMBER(SEARCH('F-VTA'!$F$31,Tabla11[[#This Row],[Cuenta]],1))</f>
        <v>1</v>
      </c>
      <c r="AM491" t="b">
        <f>+ISNUMBER(SEARCH('F-VTA'!$F$32,Tabla11[[#This Row],[Cuenta]],1))</f>
        <v>1</v>
      </c>
      <c r="AN491" t="b">
        <f>+ISNUMBER(SEARCH('F-VTA'!$F$33,Tabla11[[#This Row],[Cuenta]],1))</f>
        <v>1</v>
      </c>
      <c r="AO491" t="b">
        <f>+ISNUMBER(SEARCH('F-VTA'!$F$34,Tabla11[[#This Row],[Cuenta]],1))</f>
        <v>1</v>
      </c>
      <c r="AP491" t="b">
        <f>+ISNUMBER(SEARCH('F-VTA'!$F$35,Tabla11[[#This Row],[Cuenta]],1))</f>
        <v>1</v>
      </c>
      <c r="AQ491" t="b">
        <f>+ISNUMBER(SEARCH('F-VTA'!$F$36,Tabla11[[#This Row],[Cuenta]],1))</f>
        <v>1</v>
      </c>
      <c r="AR491" t="b">
        <f>+ISNUMBER(SEARCH(#REF!,Tabla11[[#This Row],[Cuenta]],1))</f>
        <v>0</v>
      </c>
      <c r="AS491" t="b">
        <f>+ISNUMBER(SEARCH(#REF!,Tabla11[[#This Row],[Cuenta]],1))</f>
        <v>0</v>
      </c>
      <c r="AT491" t="b">
        <f>+ISNUMBER(SEARCH(#REF!,Tabla11[[#This Row],[Cuenta]],1))</f>
        <v>0</v>
      </c>
      <c r="AU491" t="b">
        <f>+ISNUMBER(SEARCH('Conc. Ban.1'!$I$9,Tabla11[[#This Row],[Cuenta]],1))</f>
        <v>0</v>
      </c>
      <c r="AV491" t="b">
        <f>+ISNUMBER(SEARCH(CompConta!$F$21,Tabla11[[#This Row],[Cuenta]],1))</f>
        <v>1</v>
      </c>
      <c r="AW491" t="b">
        <f>+ISNUMBER(SEARCH(CompConta!$F$22,Tabla11[[#This Row],[Cuenta]],1))</f>
        <v>1</v>
      </c>
      <c r="AX491" t="b">
        <f>+ISNUMBER(SEARCH(CompConta!$F$23,Tabla11[[#This Row],[Cuenta]],1))</f>
        <v>1</v>
      </c>
      <c r="AY491" t="b">
        <f>+ISNUMBER(SEARCH(CompConta!$F$24,Tabla11[[#This Row],[Cuenta]],1))</f>
        <v>1</v>
      </c>
      <c r="AZ491" t="b">
        <f>+ISNUMBER(SEARCH(CompConta!$F$25,Tabla11[[#This Row],[Cuenta]],1))</f>
        <v>1</v>
      </c>
      <c r="BA491" t="b">
        <f>+ISNUMBER(SEARCH(CompConta!$F$26,Tabla11[[#This Row],[Cuenta]],1))</f>
        <v>1</v>
      </c>
      <c r="BB491" t="b">
        <f>+ISNUMBER(SEARCH(CompConta!$F$27,Tabla11[[#This Row],[Cuenta]],1))</f>
        <v>1</v>
      </c>
      <c r="BC491" t="b">
        <f>+ISNUMBER(SEARCH(CompConta!$F$28,Tabla11[[#This Row],[Cuenta]],1))</f>
        <v>1</v>
      </c>
      <c r="BD491" t="b">
        <f>+ISNUMBER(SEARCH(CompConta!$F$29,Tabla11[[#This Row],[Cuenta]],1))</f>
        <v>1</v>
      </c>
      <c r="BE491" t="b">
        <f>+ISNUMBER(SEARCH(CompConta!$F$30,Tabla11[[#This Row],[Cuenta]],1))</f>
        <v>1</v>
      </c>
      <c r="BF491" t="b">
        <f>+ISNUMBER(SEARCH('PAGO Compras'!$E$11,Tabla11[[#This Row],[Cuenta]],1))</f>
        <v>1</v>
      </c>
      <c r="BG491" t="b">
        <f>+ISNUMBER(SEARCH(#REF!,Tabla11[[#This Row],[Cuenta]],1))</f>
        <v>0</v>
      </c>
      <c r="BH491" t="b">
        <f>+ISNUMBER(SEARCH(#REF!,Tabla11[[#This Row],[Cuenta]],1))</f>
        <v>0</v>
      </c>
      <c r="BI491" t="b">
        <f>+ISNUMBER(SEARCH(#REF!,Tabla11[[#This Row],[Cuenta]],1))</f>
        <v>0</v>
      </c>
      <c r="BJ491" t="b">
        <f>+ISNUMBER(SEARCH(#REF!,Tabla11[[#This Row],[Cuenta]],1))</f>
        <v>0</v>
      </c>
      <c r="BS491" t="str">
        <v>246505 INC - Restaurantes</v>
      </c>
      <c r="BT491" t="str">
        <v>246505 INC - Restaurantes</v>
      </c>
      <c r="BU491" t="str">
        <v>246505 INC - Restaurantes</v>
      </c>
      <c r="BV491" t="str">
        <v>246505 INC - Restaurantes</v>
      </c>
      <c r="BZ491" t="str">
        <v>246505 INC - Restaurantes</v>
      </c>
      <c r="CA491" t="str">
        <v>246505 INC - Restaurantes</v>
      </c>
      <c r="CB491" t="str">
        <v>246505 INC - Restaurantes</v>
      </c>
      <c r="CC491" t="str">
        <v>246505 INC - Restaurantes</v>
      </c>
      <c r="CD491" t="str">
        <v>246505 INC - Restaurantes</v>
      </c>
      <c r="CE491" t="str">
        <v>246505 INC - Restaurantes</v>
      </c>
      <c r="CS491" s="141" t="str">
        <v>246505 INC - Restaurantes</v>
      </c>
      <c r="CT491" s="141" t="str">
        <v>246505 INC - Restaurantes</v>
      </c>
      <c r="CU491" s="141" t="str">
        <v>246505 INC - Restaurantes</v>
      </c>
      <c r="CV491" s="141" t="str">
        <v>246505 INC - Restaurantes</v>
      </c>
      <c r="CW491" s="141" t="str">
        <v>246505 INC - Restaurantes</v>
      </c>
      <c r="CX491" s="141" t="str">
        <v>246505 INC - Restaurantes</v>
      </c>
      <c r="CY491" s="141" t="str">
        <v>246505 INC - Restaurantes</v>
      </c>
      <c r="CZ491" s="141" t="str">
        <v>246505 INC - Restaurantes</v>
      </c>
      <c r="DA491" s="141" t="str">
        <v>246505 INC - Restaurantes</v>
      </c>
      <c r="DF491" t="str">
        <v>246505 INC - Restaurantes</v>
      </c>
      <c r="DG491" t="str">
        <v>246505 INC - Restaurantes</v>
      </c>
      <c r="DH491" t="str">
        <v>246505 INC - Restaurantes</v>
      </c>
      <c r="DI491" t="str">
        <v>246505 INC - Restaurantes</v>
      </c>
      <c r="DJ491" t="str">
        <v>246505 INC - Restaurantes</v>
      </c>
      <c r="DK491" t="str">
        <v>246505 INC - Restaurantes</v>
      </c>
      <c r="DL491" t="str">
        <v>246505 INC - Restaurantes</v>
      </c>
      <c r="DM491" t="str">
        <v>246505 INC - Restaurantes</v>
      </c>
      <c r="DN491" t="str">
        <v>246505 INC - Restaurantes</v>
      </c>
      <c r="DO491" t="str">
        <v>246505 INC - Restaurantes</v>
      </c>
      <c r="DP491" t="str">
        <v>246505 INC - Restaurantes</v>
      </c>
    </row>
    <row r="492" spans="4:120" ht="12.75">
      <c r="D492" s="7">
        <v>2468</v>
      </c>
      <c r="E492" s="6" t="s">
        <v>372</v>
      </c>
      <c r="F492" s="5">
        <v>3</v>
      </c>
      <c r="G492" s="34" t="s">
        <v>823</v>
      </c>
      <c r="H492" s="26" t="s">
        <v>765</v>
      </c>
      <c r="I492" t="b">
        <f>+ISNUMBER(SEARCH('F-COMPRA'!$F$28,Tabla11[[#This Row],[Cuenta]],1))</f>
        <v>1</v>
      </c>
      <c r="J492" t="b">
        <f>+ISNUMBER(SEARCH('F-COMPRA'!$F$29,Tabla11[[#This Row],[Cuenta]],1))</f>
        <v>1</v>
      </c>
      <c r="K492" t="b">
        <f>+ISNUMBER(SEARCH('F-COMPRA'!$F$30,Tabla11[[#This Row],[Cuenta]],1))</f>
        <v>1</v>
      </c>
      <c r="L492" t="b">
        <f>+ISNUMBER(SEARCH('F-COMPRA'!$F$31,Tabla11[[#This Row],[Cuenta]],1))</f>
        <v>1</v>
      </c>
      <c r="M492" t="b">
        <f>+ISNUMBER(SEARCH('F-COMPRA'!$G$25,Tabla11[[#This Row],[Cuenta]],1))</f>
        <v>0</v>
      </c>
      <c r="N492" t="b">
        <f>+ISNUMBER(SEARCH(#REF!,Tabla11[[#This Row],[Cuenta]],1))</f>
        <v>0</v>
      </c>
      <c r="O492" t="b">
        <f>+ISNUMBER(SEARCH(#REF!,Tabla11[[#This Row],[Cuenta]],1))</f>
        <v>0</v>
      </c>
      <c r="P492" t="b">
        <f>+ISNUMBER(SEARCH('F-COMPRA'!$F$32,Tabla11[[#This Row],[Cuenta]],1))</f>
        <v>1</v>
      </c>
      <c r="Q492" t="b">
        <f>+ISNUMBER(SEARCH('F-COMPRA'!$F$33,Tabla11[[#This Row],[Cuenta]],1))</f>
        <v>1</v>
      </c>
      <c r="R492" t="b">
        <f>+ISNUMBER(SEARCH('F-COMPRA'!$F$34,Tabla11[[#This Row],[Cuenta]],1))</f>
        <v>1</v>
      </c>
      <c r="S492" t="b">
        <f>+ISNUMBER(SEARCH('F-COMPRA'!$F$35,Tabla11[[#This Row],[Cuenta]],1))</f>
        <v>1</v>
      </c>
      <c r="T492" t="b">
        <f>+ISNUMBER(SEARCH('F-COMPRA'!$F$36,Tabla11[[#This Row],[Cuenta]],1))</f>
        <v>1</v>
      </c>
      <c r="U492" t="b">
        <f>+ISNUMBER(SEARCH('F-COMPRA'!$F$37,Tabla11[[#This Row],[Cuenta]],1))</f>
        <v>1</v>
      </c>
      <c r="V492" t="b">
        <f>+ISNUMBER(SEARCH(#REF!,Tabla11[[#This Row],[Cuenta]],1))</f>
        <v>0</v>
      </c>
      <c r="W492" t="b">
        <f>+ISNUMBER(SEARCH('F-COMPRA'!#REF!,Tabla11[[#This Row],[Cuenta]],1))</f>
        <v>0</v>
      </c>
      <c r="X492" t="b">
        <f>+ISNUMBER(SEARCH('F-COMPRA'!#REF!,Tabla11[[#This Row],[Cuenta]],1))</f>
        <v>0</v>
      </c>
      <c r="Y492" t="b">
        <f>+ISNUMBER(SEARCH('F-COMPRA'!#REF!,Tabla11[[#This Row],[Cuenta]],1))</f>
        <v>0</v>
      </c>
      <c r="Z492" t="b">
        <f>+ISNUMBER(SEARCH('F-COMPRA'!#REF!,Tabla11[[#This Row],[Cuenta]],1))</f>
        <v>0</v>
      </c>
      <c r="AA492" t="b">
        <f>+ISNUMBER(SEARCH('F-COMPRA'!#REF!,Tabla11[[#This Row],[Cuenta]],1))</f>
        <v>0</v>
      </c>
      <c r="AB492" t="b">
        <f>+ISNUMBER(SEARCH('F-COMPRA'!#REF!,Tabla11[[#This Row],[Cuenta]],1))</f>
        <v>0</v>
      </c>
      <c r="AC492" t="b">
        <f>+ISNUMBER(SEARCH('F-COMPRA'!#REF!,Tabla11[[#This Row],[Cuenta]],1))</f>
        <v>0</v>
      </c>
      <c r="AD492" t="b">
        <f>+ISNUMBER(SEARCH('F-COMPRA'!#REF!,Tabla11[[#This Row],[Cuenta]],1))</f>
        <v>0</v>
      </c>
      <c r="AE492" t="b">
        <f>+ISNUMBER(SEARCH('F-COMPRA'!#REF!,Tabla11[[#This Row],[Cuenta]],1))</f>
        <v>0</v>
      </c>
      <c r="AF492" t="b">
        <f>+ISNUMBER(SEARCH('F-VTA'!$G$23,Tabla11[[#This Row],[Cuenta]],1))</f>
        <v>0</v>
      </c>
      <c r="AG492" t="b">
        <f>+ISNUMBER(SEARCH('F-VTA'!$G$24,Tabla11[[#This Row],[Cuenta]],1))</f>
        <v>0</v>
      </c>
      <c r="AH492" t="b">
        <f>+ISNUMBER(SEARCH('F-VTA'!$G$25,Tabla11[[#This Row],[Cuenta]],1))</f>
        <v>0</v>
      </c>
      <c r="AI492" t="b">
        <f>+ISNUMBER(SEARCH('F-VTA'!$F$28,Tabla11[[#This Row],[Cuenta]],1))</f>
        <v>1</v>
      </c>
      <c r="AJ492" t="b">
        <f>+ISNUMBER(SEARCH('F-VTA'!$F$29,Tabla11[[#This Row],[Cuenta]],1))</f>
        <v>1</v>
      </c>
      <c r="AK492" t="b">
        <f>+ISNUMBER(SEARCH('F-VTA'!$F$30,Tabla11[[#This Row],[Cuenta]],1))</f>
        <v>1</v>
      </c>
      <c r="AL492" t="b">
        <f>+ISNUMBER(SEARCH('F-VTA'!$F$31,Tabla11[[#This Row],[Cuenta]],1))</f>
        <v>1</v>
      </c>
      <c r="AM492" t="b">
        <f>+ISNUMBER(SEARCH('F-VTA'!$F$32,Tabla11[[#This Row],[Cuenta]],1))</f>
        <v>1</v>
      </c>
      <c r="AN492" t="b">
        <f>+ISNUMBER(SEARCH('F-VTA'!$F$33,Tabla11[[#This Row],[Cuenta]],1))</f>
        <v>1</v>
      </c>
      <c r="AO492" t="b">
        <f>+ISNUMBER(SEARCH('F-VTA'!$F$34,Tabla11[[#This Row],[Cuenta]],1))</f>
        <v>1</v>
      </c>
      <c r="AP492" t="b">
        <f>+ISNUMBER(SEARCH('F-VTA'!$F$35,Tabla11[[#This Row],[Cuenta]],1))</f>
        <v>1</v>
      </c>
      <c r="AQ492" t="b">
        <f>+ISNUMBER(SEARCH('F-VTA'!$F$36,Tabla11[[#This Row],[Cuenta]],1))</f>
        <v>1</v>
      </c>
      <c r="AR492" t="b">
        <f>+ISNUMBER(SEARCH(#REF!,Tabla11[[#This Row],[Cuenta]],1))</f>
        <v>0</v>
      </c>
      <c r="AS492" t="b">
        <f>+ISNUMBER(SEARCH(#REF!,Tabla11[[#This Row],[Cuenta]],1))</f>
        <v>0</v>
      </c>
      <c r="AT492" t="b">
        <f>+ISNUMBER(SEARCH(#REF!,Tabla11[[#This Row],[Cuenta]],1))</f>
        <v>0</v>
      </c>
      <c r="AU492" t="b">
        <f>+ISNUMBER(SEARCH('Conc. Ban.1'!$I$9,Tabla11[[#This Row],[Cuenta]],1))</f>
        <v>0</v>
      </c>
      <c r="AV492" t="b">
        <f>+ISNUMBER(SEARCH(CompConta!$F$21,Tabla11[[#This Row],[Cuenta]],1))</f>
        <v>1</v>
      </c>
      <c r="AW492" t="b">
        <f>+ISNUMBER(SEARCH(CompConta!$F$22,Tabla11[[#This Row],[Cuenta]],1))</f>
        <v>1</v>
      </c>
      <c r="AX492" t="b">
        <f>+ISNUMBER(SEARCH(CompConta!$F$23,Tabla11[[#This Row],[Cuenta]],1))</f>
        <v>1</v>
      </c>
      <c r="AY492" t="b">
        <f>+ISNUMBER(SEARCH(CompConta!$F$24,Tabla11[[#This Row],[Cuenta]],1))</f>
        <v>1</v>
      </c>
      <c r="AZ492" t="b">
        <f>+ISNUMBER(SEARCH(CompConta!$F$25,Tabla11[[#This Row],[Cuenta]],1))</f>
        <v>1</v>
      </c>
      <c r="BA492" t="b">
        <f>+ISNUMBER(SEARCH(CompConta!$F$26,Tabla11[[#This Row],[Cuenta]],1))</f>
        <v>1</v>
      </c>
      <c r="BB492" t="b">
        <f>+ISNUMBER(SEARCH(CompConta!$F$27,Tabla11[[#This Row],[Cuenta]],1))</f>
        <v>1</v>
      </c>
      <c r="BC492" t="b">
        <f>+ISNUMBER(SEARCH(CompConta!$F$28,Tabla11[[#This Row],[Cuenta]],1))</f>
        <v>1</v>
      </c>
      <c r="BD492" t="b">
        <f>+ISNUMBER(SEARCH(CompConta!$F$29,Tabla11[[#This Row],[Cuenta]],1))</f>
        <v>1</v>
      </c>
      <c r="BE492" t="b">
        <f>+ISNUMBER(SEARCH(CompConta!$F$30,Tabla11[[#This Row],[Cuenta]],1))</f>
        <v>1</v>
      </c>
      <c r="BF492" t="b">
        <f>+ISNUMBER(SEARCH('PAGO Compras'!$E$11,Tabla11[[#This Row],[Cuenta]],1))</f>
        <v>1</v>
      </c>
      <c r="BG492" t="b">
        <f>+ISNUMBER(SEARCH(#REF!,Tabla11[[#This Row],[Cuenta]],1))</f>
        <v>0</v>
      </c>
      <c r="BH492" t="b">
        <f>+ISNUMBER(SEARCH(#REF!,Tabla11[[#This Row],[Cuenta]],1))</f>
        <v>0</v>
      </c>
      <c r="BI492" t="b">
        <f>+ISNUMBER(SEARCH(#REF!,Tabla11[[#This Row],[Cuenta]],1))</f>
        <v>0</v>
      </c>
      <c r="BJ492" t="b">
        <f>+ISNUMBER(SEARCH(#REF!,Tabla11[[#This Row],[Cuenta]],1))</f>
        <v>0</v>
      </c>
      <c r="BS492" t="str">
        <v>2468 AL SACRIFICIO DE GANADO</v>
      </c>
      <c r="BT492" t="str">
        <v>2468 AL SACRIFICIO DE GANADO</v>
      </c>
      <c r="BU492" t="str">
        <v>2468 AL SACRIFICIO DE GANADO</v>
      </c>
      <c r="BV492" t="str">
        <v>2468 AL SACRIFICIO DE GANADO</v>
      </c>
      <c r="BZ492" t="str">
        <v>2468 AL SACRIFICIO DE GANADO</v>
      </c>
      <c r="CA492" t="str">
        <v>2468 AL SACRIFICIO DE GANADO</v>
      </c>
      <c r="CB492" t="str">
        <v>2468 AL SACRIFICIO DE GANADO</v>
      </c>
      <c r="CC492" t="str">
        <v>2468 AL SACRIFICIO DE GANADO</v>
      </c>
      <c r="CD492" t="str">
        <v>2468 AL SACRIFICIO DE GANADO</v>
      </c>
      <c r="CE492" t="str">
        <v>2468 AL SACRIFICIO DE GANADO</v>
      </c>
      <c r="CS492" s="141" t="str">
        <v>2468 AL SACRIFICIO DE GANADO</v>
      </c>
      <c r="CT492" s="141" t="str">
        <v>2468 AL SACRIFICIO DE GANADO</v>
      </c>
      <c r="CU492" s="141" t="str">
        <v>2468 AL SACRIFICIO DE GANADO</v>
      </c>
      <c r="CV492" s="141" t="str">
        <v>2468 AL SACRIFICIO DE GANADO</v>
      </c>
      <c r="CW492" s="141" t="str">
        <v>2468 AL SACRIFICIO DE GANADO</v>
      </c>
      <c r="CX492" s="141" t="str">
        <v>2468 AL SACRIFICIO DE GANADO</v>
      </c>
      <c r="CY492" s="141" t="str">
        <v>2468 AL SACRIFICIO DE GANADO</v>
      </c>
      <c r="CZ492" s="141" t="str">
        <v>2468 AL SACRIFICIO DE GANADO</v>
      </c>
      <c r="DA492" s="141" t="str">
        <v>2468 AL SACRIFICIO DE GANADO</v>
      </c>
      <c r="DF492" t="str">
        <v>2468 AL SACRIFICIO DE GANADO</v>
      </c>
      <c r="DG492" t="str">
        <v>2468 AL SACRIFICIO DE GANADO</v>
      </c>
      <c r="DH492" t="str">
        <v>2468 AL SACRIFICIO DE GANADO</v>
      </c>
      <c r="DI492" t="str">
        <v>2468 AL SACRIFICIO DE GANADO</v>
      </c>
      <c r="DJ492" t="str">
        <v>2468 AL SACRIFICIO DE GANADO</v>
      </c>
      <c r="DK492" t="str">
        <v>2468 AL SACRIFICIO DE GANADO</v>
      </c>
      <c r="DL492" t="str">
        <v>2468 AL SACRIFICIO DE GANADO</v>
      </c>
      <c r="DM492" t="str">
        <v>2468 AL SACRIFICIO DE GANADO</v>
      </c>
      <c r="DN492" t="str">
        <v>2468 AL SACRIFICIO DE GANADO</v>
      </c>
      <c r="DO492" t="str">
        <v>2468 AL SACRIFICIO DE GANADO</v>
      </c>
      <c r="DP492" t="str">
        <v>2468 AL SACRIFICIO DE GANADO</v>
      </c>
    </row>
    <row r="493" spans="4:120" ht="12.75">
      <c r="D493" s="7">
        <v>2472</v>
      </c>
      <c r="E493" s="6" t="s">
        <v>373</v>
      </c>
      <c r="F493" s="5">
        <v>3</v>
      </c>
      <c r="G493" s="34" t="s">
        <v>823</v>
      </c>
      <c r="H493" s="26" t="s">
        <v>765</v>
      </c>
      <c r="I493" t="b">
        <f>+ISNUMBER(SEARCH('F-COMPRA'!$F$28,Tabla11[[#This Row],[Cuenta]],1))</f>
        <v>1</v>
      </c>
      <c r="J493" t="b">
        <f>+ISNUMBER(SEARCH('F-COMPRA'!$F$29,Tabla11[[#This Row],[Cuenta]],1))</f>
        <v>1</v>
      </c>
      <c r="K493" t="b">
        <f>+ISNUMBER(SEARCH('F-COMPRA'!$F$30,Tabla11[[#This Row],[Cuenta]],1))</f>
        <v>1</v>
      </c>
      <c r="L493" t="b">
        <f>+ISNUMBER(SEARCH('F-COMPRA'!$F$31,Tabla11[[#This Row],[Cuenta]],1))</f>
        <v>1</v>
      </c>
      <c r="M493" t="b">
        <f>+ISNUMBER(SEARCH('F-COMPRA'!$G$25,Tabla11[[#This Row],[Cuenta]],1))</f>
        <v>0</v>
      </c>
      <c r="N493" t="b">
        <f>+ISNUMBER(SEARCH(#REF!,Tabla11[[#This Row],[Cuenta]],1))</f>
        <v>0</v>
      </c>
      <c r="O493" t="b">
        <f>+ISNUMBER(SEARCH(#REF!,Tabla11[[#This Row],[Cuenta]],1))</f>
        <v>0</v>
      </c>
      <c r="P493" t="b">
        <f>+ISNUMBER(SEARCH('F-COMPRA'!$F$32,Tabla11[[#This Row],[Cuenta]],1))</f>
        <v>1</v>
      </c>
      <c r="Q493" t="b">
        <f>+ISNUMBER(SEARCH('F-COMPRA'!$F$33,Tabla11[[#This Row],[Cuenta]],1))</f>
        <v>1</v>
      </c>
      <c r="R493" t="b">
        <f>+ISNUMBER(SEARCH('F-COMPRA'!$F$34,Tabla11[[#This Row],[Cuenta]],1))</f>
        <v>1</v>
      </c>
      <c r="S493" t="b">
        <f>+ISNUMBER(SEARCH('F-COMPRA'!$F$35,Tabla11[[#This Row],[Cuenta]],1))</f>
        <v>1</v>
      </c>
      <c r="T493" t="b">
        <f>+ISNUMBER(SEARCH('F-COMPRA'!$F$36,Tabla11[[#This Row],[Cuenta]],1))</f>
        <v>1</v>
      </c>
      <c r="U493" t="b">
        <f>+ISNUMBER(SEARCH('F-COMPRA'!$F$37,Tabla11[[#This Row],[Cuenta]],1))</f>
        <v>1</v>
      </c>
      <c r="V493" t="b">
        <f>+ISNUMBER(SEARCH(#REF!,Tabla11[[#This Row],[Cuenta]],1))</f>
        <v>0</v>
      </c>
      <c r="W493" t="b">
        <f>+ISNUMBER(SEARCH('F-COMPRA'!#REF!,Tabla11[[#This Row],[Cuenta]],1))</f>
        <v>0</v>
      </c>
      <c r="X493" t="b">
        <f>+ISNUMBER(SEARCH('F-COMPRA'!#REF!,Tabla11[[#This Row],[Cuenta]],1))</f>
        <v>0</v>
      </c>
      <c r="Y493" t="b">
        <f>+ISNUMBER(SEARCH('F-COMPRA'!#REF!,Tabla11[[#This Row],[Cuenta]],1))</f>
        <v>0</v>
      </c>
      <c r="Z493" t="b">
        <f>+ISNUMBER(SEARCH('F-COMPRA'!#REF!,Tabla11[[#This Row],[Cuenta]],1))</f>
        <v>0</v>
      </c>
      <c r="AA493" t="b">
        <f>+ISNUMBER(SEARCH('F-COMPRA'!#REF!,Tabla11[[#This Row],[Cuenta]],1))</f>
        <v>0</v>
      </c>
      <c r="AB493" t="b">
        <f>+ISNUMBER(SEARCH('F-COMPRA'!#REF!,Tabla11[[#This Row],[Cuenta]],1))</f>
        <v>0</v>
      </c>
      <c r="AC493" t="b">
        <f>+ISNUMBER(SEARCH('F-COMPRA'!#REF!,Tabla11[[#This Row],[Cuenta]],1))</f>
        <v>0</v>
      </c>
      <c r="AD493" t="b">
        <f>+ISNUMBER(SEARCH('F-COMPRA'!#REF!,Tabla11[[#This Row],[Cuenta]],1))</f>
        <v>0</v>
      </c>
      <c r="AE493" t="b">
        <f>+ISNUMBER(SEARCH('F-COMPRA'!#REF!,Tabla11[[#This Row],[Cuenta]],1))</f>
        <v>0</v>
      </c>
      <c r="AF493" t="b">
        <f>+ISNUMBER(SEARCH('F-VTA'!$G$23,Tabla11[[#This Row],[Cuenta]],1))</f>
        <v>0</v>
      </c>
      <c r="AG493" t="b">
        <f>+ISNUMBER(SEARCH('F-VTA'!$G$24,Tabla11[[#This Row],[Cuenta]],1))</f>
        <v>0</v>
      </c>
      <c r="AH493" t="b">
        <f>+ISNUMBER(SEARCH('F-VTA'!$G$25,Tabla11[[#This Row],[Cuenta]],1))</f>
        <v>0</v>
      </c>
      <c r="AI493" t="b">
        <f>+ISNUMBER(SEARCH('F-VTA'!$F$28,Tabla11[[#This Row],[Cuenta]],1))</f>
        <v>1</v>
      </c>
      <c r="AJ493" t="b">
        <f>+ISNUMBER(SEARCH('F-VTA'!$F$29,Tabla11[[#This Row],[Cuenta]],1))</f>
        <v>1</v>
      </c>
      <c r="AK493" t="b">
        <f>+ISNUMBER(SEARCH('F-VTA'!$F$30,Tabla11[[#This Row],[Cuenta]],1))</f>
        <v>1</v>
      </c>
      <c r="AL493" t="b">
        <f>+ISNUMBER(SEARCH('F-VTA'!$F$31,Tabla11[[#This Row],[Cuenta]],1))</f>
        <v>1</v>
      </c>
      <c r="AM493" t="b">
        <f>+ISNUMBER(SEARCH('F-VTA'!$F$32,Tabla11[[#This Row],[Cuenta]],1))</f>
        <v>1</v>
      </c>
      <c r="AN493" t="b">
        <f>+ISNUMBER(SEARCH('F-VTA'!$F$33,Tabla11[[#This Row],[Cuenta]],1))</f>
        <v>1</v>
      </c>
      <c r="AO493" t="b">
        <f>+ISNUMBER(SEARCH('F-VTA'!$F$34,Tabla11[[#This Row],[Cuenta]],1))</f>
        <v>1</v>
      </c>
      <c r="AP493" t="b">
        <f>+ISNUMBER(SEARCH('F-VTA'!$F$35,Tabla11[[#This Row],[Cuenta]],1))</f>
        <v>1</v>
      </c>
      <c r="AQ493" t="b">
        <f>+ISNUMBER(SEARCH('F-VTA'!$F$36,Tabla11[[#This Row],[Cuenta]],1))</f>
        <v>1</v>
      </c>
      <c r="AR493" t="b">
        <f>+ISNUMBER(SEARCH(#REF!,Tabla11[[#This Row],[Cuenta]],1))</f>
        <v>0</v>
      </c>
      <c r="AS493" t="b">
        <f>+ISNUMBER(SEARCH(#REF!,Tabla11[[#This Row],[Cuenta]],1))</f>
        <v>0</v>
      </c>
      <c r="AT493" t="b">
        <f>+ISNUMBER(SEARCH(#REF!,Tabla11[[#This Row],[Cuenta]],1))</f>
        <v>0</v>
      </c>
      <c r="AU493" t="b">
        <f>+ISNUMBER(SEARCH('Conc. Ban.1'!$I$9,Tabla11[[#This Row],[Cuenta]],1))</f>
        <v>0</v>
      </c>
      <c r="AV493" t="b">
        <f>+ISNUMBER(SEARCH(CompConta!$F$21,Tabla11[[#This Row],[Cuenta]],1))</f>
        <v>1</v>
      </c>
      <c r="AW493" t="b">
        <f>+ISNUMBER(SEARCH(CompConta!$F$22,Tabla11[[#This Row],[Cuenta]],1))</f>
        <v>1</v>
      </c>
      <c r="AX493" t="b">
        <f>+ISNUMBER(SEARCH(CompConta!$F$23,Tabla11[[#This Row],[Cuenta]],1))</f>
        <v>1</v>
      </c>
      <c r="AY493" t="b">
        <f>+ISNUMBER(SEARCH(CompConta!$F$24,Tabla11[[#This Row],[Cuenta]],1))</f>
        <v>1</v>
      </c>
      <c r="AZ493" t="b">
        <f>+ISNUMBER(SEARCH(CompConta!$F$25,Tabla11[[#This Row],[Cuenta]],1))</f>
        <v>1</v>
      </c>
      <c r="BA493" t="b">
        <f>+ISNUMBER(SEARCH(CompConta!$F$26,Tabla11[[#This Row],[Cuenta]],1))</f>
        <v>1</v>
      </c>
      <c r="BB493" t="b">
        <f>+ISNUMBER(SEARCH(CompConta!$F$27,Tabla11[[#This Row],[Cuenta]],1))</f>
        <v>1</v>
      </c>
      <c r="BC493" t="b">
        <f>+ISNUMBER(SEARCH(CompConta!$F$28,Tabla11[[#This Row],[Cuenta]],1))</f>
        <v>1</v>
      </c>
      <c r="BD493" t="b">
        <f>+ISNUMBER(SEARCH(CompConta!$F$29,Tabla11[[#This Row],[Cuenta]],1))</f>
        <v>1</v>
      </c>
      <c r="BE493" t="b">
        <f>+ISNUMBER(SEARCH(CompConta!$F$30,Tabla11[[#This Row],[Cuenta]],1))</f>
        <v>1</v>
      </c>
      <c r="BF493" t="b">
        <f>+ISNUMBER(SEARCH('PAGO Compras'!$E$11,Tabla11[[#This Row],[Cuenta]],1))</f>
        <v>1</v>
      </c>
      <c r="BG493" t="b">
        <f>+ISNUMBER(SEARCH(#REF!,Tabla11[[#This Row],[Cuenta]],1))</f>
        <v>0</v>
      </c>
      <c r="BH493" t="b">
        <f>+ISNUMBER(SEARCH(#REF!,Tabla11[[#This Row],[Cuenta]],1))</f>
        <v>0</v>
      </c>
      <c r="BI493" t="b">
        <f>+ISNUMBER(SEARCH(#REF!,Tabla11[[#This Row],[Cuenta]],1))</f>
        <v>0</v>
      </c>
      <c r="BJ493" t="b">
        <f>+ISNUMBER(SEARCH(#REF!,Tabla11[[#This Row],[Cuenta]],1))</f>
        <v>0</v>
      </c>
      <c r="BS493" t="str">
        <v>2472 AL AZAR Y JUEGOS</v>
      </c>
      <c r="BT493" t="str">
        <v>2472 AL AZAR Y JUEGOS</v>
      </c>
      <c r="BU493" t="str">
        <v>2472 AL AZAR Y JUEGOS</v>
      </c>
      <c r="BV493" t="str">
        <v>2472 AL AZAR Y JUEGOS</v>
      </c>
      <c r="BZ493" t="str">
        <v>2472 AL AZAR Y JUEGOS</v>
      </c>
      <c r="CA493" t="str">
        <v>2472 AL AZAR Y JUEGOS</v>
      </c>
      <c r="CB493" t="str">
        <v>2472 AL AZAR Y JUEGOS</v>
      </c>
      <c r="CC493" t="str">
        <v>2472 AL AZAR Y JUEGOS</v>
      </c>
      <c r="CD493" t="str">
        <v>2472 AL AZAR Y JUEGOS</v>
      </c>
      <c r="CE493" t="str">
        <v>2472 AL AZAR Y JUEGOS</v>
      </c>
      <c r="CS493" s="141" t="str">
        <v>2472 AL AZAR Y JUEGOS</v>
      </c>
      <c r="CT493" s="141" t="str">
        <v>2472 AL AZAR Y JUEGOS</v>
      </c>
      <c r="CU493" s="141" t="str">
        <v>2472 AL AZAR Y JUEGOS</v>
      </c>
      <c r="CV493" s="141" t="str">
        <v>2472 AL AZAR Y JUEGOS</v>
      </c>
      <c r="CW493" s="141" t="str">
        <v>2472 AL AZAR Y JUEGOS</v>
      </c>
      <c r="CX493" s="141" t="str">
        <v>2472 AL AZAR Y JUEGOS</v>
      </c>
      <c r="CY493" s="141" t="str">
        <v>2472 AL AZAR Y JUEGOS</v>
      </c>
      <c r="CZ493" s="141" t="str">
        <v>2472 AL AZAR Y JUEGOS</v>
      </c>
      <c r="DA493" s="141" t="str">
        <v>2472 AL AZAR Y JUEGOS</v>
      </c>
      <c r="DF493" t="str">
        <v>2472 AL AZAR Y JUEGOS</v>
      </c>
      <c r="DG493" t="str">
        <v>2472 AL AZAR Y JUEGOS</v>
      </c>
      <c r="DH493" t="str">
        <v>2472 AL AZAR Y JUEGOS</v>
      </c>
      <c r="DI493" t="str">
        <v>2472 AL AZAR Y JUEGOS</v>
      </c>
      <c r="DJ493" t="str">
        <v>2472 AL AZAR Y JUEGOS</v>
      </c>
      <c r="DK493" t="str">
        <v>2472 AL AZAR Y JUEGOS</v>
      </c>
      <c r="DL493" t="str">
        <v>2472 AL AZAR Y JUEGOS</v>
      </c>
      <c r="DM493" t="str">
        <v>2472 AL AZAR Y JUEGOS</v>
      </c>
      <c r="DN493" t="str">
        <v>2472 AL AZAR Y JUEGOS</v>
      </c>
      <c r="DO493" t="str">
        <v>2472 AL AZAR Y JUEGOS</v>
      </c>
      <c r="DP493" t="str">
        <v>2472 AL AZAR Y JUEGOS</v>
      </c>
    </row>
    <row r="494" spans="4:120" ht="12.75">
      <c r="D494" s="7">
        <v>2476</v>
      </c>
      <c r="E494" s="6" t="s">
        <v>374</v>
      </c>
      <c r="F494" s="5">
        <v>3</v>
      </c>
      <c r="G494" s="34" t="s">
        <v>823</v>
      </c>
      <c r="H494" s="26" t="s">
        <v>765</v>
      </c>
      <c r="I494" t="b">
        <f>+ISNUMBER(SEARCH('F-COMPRA'!$F$28,Tabla11[[#This Row],[Cuenta]],1))</f>
        <v>1</v>
      </c>
      <c r="J494" t="b">
        <f>+ISNUMBER(SEARCH('F-COMPRA'!$F$29,Tabla11[[#This Row],[Cuenta]],1))</f>
        <v>1</v>
      </c>
      <c r="K494" t="b">
        <f>+ISNUMBER(SEARCH('F-COMPRA'!$F$30,Tabla11[[#This Row],[Cuenta]],1))</f>
        <v>1</v>
      </c>
      <c r="L494" t="b">
        <f>+ISNUMBER(SEARCH('F-COMPRA'!$F$31,Tabla11[[#This Row],[Cuenta]],1))</f>
        <v>1</v>
      </c>
      <c r="M494" t="b">
        <f>+ISNUMBER(SEARCH('F-COMPRA'!$G$25,Tabla11[[#This Row],[Cuenta]],1))</f>
        <v>0</v>
      </c>
      <c r="N494" t="b">
        <f>+ISNUMBER(SEARCH(#REF!,Tabla11[[#This Row],[Cuenta]],1))</f>
        <v>0</v>
      </c>
      <c r="O494" t="b">
        <f>+ISNUMBER(SEARCH(#REF!,Tabla11[[#This Row],[Cuenta]],1))</f>
        <v>0</v>
      </c>
      <c r="P494" t="b">
        <f>+ISNUMBER(SEARCH('F-COMPRA'!$F$32,Tabla11[[#This Row],[Cuenta]],1))</f>
        <v>1</v>
      </c>
      <c r="Q494" t="b">
        <f>+ISNUMBER(SEARCH('F-COMPRA'!$F$33,Tabla11[[#This Row],[Cuenta]],1))</f>
        <v>1</v>
      </c>
      <c r="R494" t="b">
        <f>+ISNUMBER(SEARCH('F-COMPRA'!$F$34,Tabla11[[#This Row],[Cuenta]],1))</f>
        <v>1</v>
      </c>
      <c r="S494" t="b">
        <f>+ISNUMBER(SEARCH('F-COMPRA'!$F$35,Tabla11[[#This Row],[Cuenta]],1))</f>
        <v>1</v>
      </c>
      <c r="T494" t="b">
        <f>+ISNUMBER(SEARCH('F-COMPRA'!$F$36,Tabla11[[#This Row],[Cuenta]],1))</f>
        <v>1</v>
      </c>
      <c r="U494" t="b">
        <f>+ISNUMBER(SEARCH('F-COMPRA'!$F$37,Tabla11[[#This Row],[Cuenta]],1))</f>
        <v>1</v>
      </c>
      <c r="V494" t="b">
        <f>+ISNUMBER(SEARCH(#REF!,Tabla11[[#This Row],[Cuenta]],1))</f>
        <v>0</v>
      </c>
      <c r="W494" t="b">
        <f>+ISNUMBER(SEARCH('F-COMPRA'!#REF!,Tabla11[[#This Row],[Cuenta]],1))</f>
        <v>0</v>
      </c>
      <c r="X494" t="b">
        <f>+ISNUMBER(SEARCH('F-COMPRA'!#REF!,Tabla11[[#This Row],[Cuenta]],1))</f>
        <v>0</v>
      </c>
      <c r="Y494" t="b">
        <f>+ISNUMBER(SEARCH('F-COMPRA'!#REF!,Tabla11[[#This Row],[Cuenta]],1))</f>
        <v>0</v>
      </c>
      <c r="Z494" t="b">
        <f>+ISNUMBER(SEARCH('F-COMPRA'!#REF!,Tabla11[[#This Row],[Cuenta]],1))</f>
        <v>0</v>
      </c>
      <c r="AA494" t="b">
        <f>+ISNUMBER(SEARCH('F-COMPRA'!#REF!,Tabla11[[#This Row],[Cuenta]],1))</f>
        <v>0</v>
      </c>
      <c r="AB494" t="b">
        <f>+ISNUMBER(SEARCH('F-COMPRA'!#REF!,Tabla11[[#This Row],[Cuenta]],1))</f>
        <v>0</v>
      </c>
      <c r="AC494" t="b">
        <f>+ISNUMBER(SEARCH('F-COMPRA'!#REF!,Tabla11[[#This Row],[Cuenta]],1))</f>
        <v>0</v>
      </c>
      <c r="AD494" t="b">
        <f>+ISNUMBER(SEARCH('F-COMPRA'!#REF!,Tabla11[[#This Row],[Cuenta]],1))</f>
        <v>0</v>
      </c>
      <c r="AE494" t="b">
        <f>+ISNUMBER(SEARCH('F-COMPRA'!#REF!,Tabla11[[#This Row],[Cuenta]],1))</f>
        <v>0</v>
      </c>
      <c r="AF494" t="b">
        <f>+ISNUMBER(SEARCH('F-VTA'!$G$23,Tabla11[[#This Row],[Cuenta]],1))</f>
        <v>0</v>
      </c>
      <c r="AG494" t="b">
        <f>+ISNUMBER(SEARCH('F-VTA'!$G$24,Tabla11[[#This Row],[Cuenta]],1))</f>
        <v>0</v>
      </c>
      <c r="AH494" t="b">
        <f>+ISNUMBER(SEARCH('F-VTA'!$G$25,Tabla11[[#This Row],[Cuenta]],1))</f>
        <v>0</v>
      </c>
      <c r="AI494" t="b">
        <f>+ISNUMBER(SEARCH('F-VTA'!$F$28,Tabla11[[#This Row],[Cuenta]],1))</f>
        <v>1</v>
      </c>
      <c r="AJ494" t="b">
        <f>+ISNUMBER(SEARCH('F-VTA'!$F$29,Tabla11[[#This Row],[Cuenta]],1))</f>
        <v>1</v>
      </c>
      <c r="AK494" t="b">
        <f>+ISNUMBER(SEARCH('F-VTA'!$F$30,Tabla11[[#This Row],[Cuenta]],1))</f>
        <v>1</v>
      </c>
      <c r="AL494" t="b">
        <f>+ISNUMBER(SEARCH('F-VTA'!$F$31,Tabla11[[#This Row],[Cuenta]],1))</f>
        <v>1</v>
      </c>
      <c r="AM494" t="b">
        <f>+ISNUMBER(SEARCH('F-VTA'!$F$32,Tabla11[[#This Row],[Cuenta]],1))</f>
        <v>1</v>
      </c>
      <c r="AN494" t="b">
        <f>+ISNUMBER(SEARCH('F-VTA'!$F$33,Tabla11[[#This Row],[Cuenta]],1))</f>
        <v>1</v>
      </c>
      <c r="AO494" t="b">
        <f>+ISNUMBER(SEARCH('F-VTA'!$F$34,Tabla11[[#This Row],[Cuenta]],1))</f>
        <v>1</v>
      </c>
      <c r="AP494" t="b">
        <f>+ISNUMBER(SEARCH('F-VTA'!$F$35,Tabla11[[#This Row],[Cuenta]],1))</f>
        <v>1</v>
      </c>
      <c r="AQ494" t="b">
        <f>+ISNUMBER(SEARCH('F-VTA'!$F$36,Tabla11[[#This Row],[Cuenta]],1))</f>
        <v>1</v>
      </c>
      <c r="AR494" t="b">
        <f>+ISNUMBER(SEARCH(#REF!,Tabla11[[#This Row],[Cuenta]],1))</f>
        <v>0</v>
      </c>
      <c r="AS494" t="b">
        <f>+ISNUMBER(SEARCH(#REF!,Tabla11[[#This Row],[Cuenta]],1))</f>
        <v>0</v>
      </c>
      <c r="AT494" t="b">
        <f>+ISNUMBER(SEARCH(#REF!,Tabla11[[#This Row],[Cuenta]],1))</f>
        <v>0</v>
      </c>
      <c r="AU494" t="b">
        <f>+ISNUMBER(SEARCH('Conc. Ban.1'!$I$9,Tabla11[[#This Row],[Cuenta]],1))</f>
        <v>0</v>
      </c>
      <c r="AV494" t="b">
        <f>+ISNUMBER(SEARCH(CompConta!$F$21,Tabla11[[#This Row],[Cuenta]],1))</f>
        <v>1</v>
      </c>
      <c r="AW494" t="b">
        <f>+ISNUMBER(SEARCH(CompConta!$F$22,Tabla11[[#This Row],[Cuenta]],1))</f>
        <v>1</v>
      </c>
      <c r="AX494" t="b">
        <f>+ISNUMBER(SEARCH(CompConta!$F$23,Tabla11[[#This Row],[Cuenta]],1))</f>
        <v>1</v>
      </c>
      <c r="AY494" t="b">
        <f>+ISNUMBER(SEARCH(CompConta!$F$24,Tabla11[[#This Row],[Cuenta]],1))</f>
        <v>1</v>
      </c>
      <c r="AZ494" t="b">
        <f>+ISNUMBER(SEARCH(CompConta!$F$25,Tabla11[[#This Row],[Cuenta]],1))</f>
        <v>1</v>
      </c>
      <c r="BA494" t="b">
        <f>+ISNUMBER(SEARCH(CompConta!$F$26,Tabla11[[#This Row],[Cuenta]],1))</f>
        <v>1</v>
      </c>
      <c r="BB494" t="b">
        <f>+ISNUMBER(SEARCH(CompConta!$F$27,Tabla11[[#This Row],[Cuenta]],1))</f>
        <v>1</v>
      </c>
      <c r="BC494" t="b">
        <f>+ISNUMBER(SEARCH(CompConta!$F$28,Tabla11[[#This Row],[Cuenta]],1))</f>
        <v>1</v>
      </c>
      <c r="BD494" t="b">
        <f>+ISNUMBER(SEARCH(CompConta!$F$29,Tabla11[[#This Row],[Cuenta]],1))</f>
        <v>1</v>
      </c>
      <c r="BE494" t="b">
        <f>+ISNUMBER(SEARCH(CompConta!$F$30,Tabla11[[#This Row],[Cuenta]],1))</f>
        <v>1</v>
      </c>
      <c r="BF494" t="b">
        <f>+ISNUMBER(SEARCH('PAGO Compras'!$E$11,Tabla11[[#This Row],[Cuenta]],1))</f>
        <v>1</v>
      </c>
      <c r="BG494" t="b">
        <f>+ISNUMBER(SEARCH(#REF!,Tabla11[[#This Row],[Cuenta]],1))</f>
        <v>0</v>
      </c>
      <c r="BH494" t="b">
        <f>+ISNUMBER(SEARCH(#REF!,Tabla11[[#This Row],[Cuenta]],1))</f>
        <v>0</v>
      </c>
      <c r="BI494" t="b">
        <f>+ISNUMBER(SEARCH(#REF!,Tabla11[[#This Row],[Cuenta]],1))</f>
        <v>0</v>
      </c>
      <c r="BJ494" t="b">
        <f>+ISNUMBER(SEARCH(#REF!,Tabla11[[#This Row],[Cuenta]],1))</f>
        <v>0</v>
      </c>
      <c r="BS494" t="str">
        <v>2476 GRAVÁMENES Y REGALÍAS POR UTILIZ DEL SUEL</v>
      </c>
      <c r="BT494" t="str">
        <v>2476 GRAVÁMENES Y REGALÍAS POR UTILIZ DEL SUEL</v>
      </c>
      <c r="BU494" t="str">
        <v>2476 GRAVÁMENES Y REGALÍAS POR UTILIZ DEL SUEL</v>
      </c>
      <c r="BV494" t="str">
        <v>2476 GRAVÁMENES Y REGALÍAS POR UTILIZ DEL SUEL</v>
      </c>
      <c r="BZ494" t="str">
        <v>2476 GRAVÁMENES Y REGALÍAS POR UTILIZ DEL SUEL</v>
      </c>
      <c r="CA494" t="str">
        <v>2476 GRAVÁMENES Y REGALÍAS POR UTILIZ DEL SUEL</v>
      </c>
      <c r="CB494" t="str">
        <v>2476 GRAVÁMENES Y REGALÍAS POR UTILIZ DEL SUEL</v>
      </c>
      <c r="CC494" t="str">
        <v>2476 GRAVÁMENES Y REGALÍAS POR UTILIZ DEL SUEL</v>
      </c>
      <c r="CD494" t="str">
        <v>2476 GRAVÁMENES Y REGALÍAS POR UTILIZ DEL SUEL</v>
      </c>
      <c r="CE494" t="str">
        <v>2476 GRAVÁMENES Y REGALÍAS POR UTILIZ DEL SUEL</v>
      </c>
      <c r="CS494" s="141" t="str">
        <v>2476 GRAVÁMENES Y REGALÍAS POR UTILIZ DEL SUEL</v>
      </c>
      <c r="CT494" s="141" t="str">
        <v>2476 GRAVÁMENES Y REGALÍAS POR UTILIZ DEL SUEL</v>
      </c>
      <c r="CU494" s="141" t="str">
        <v>2476 GRAVÁMENES Y REGALÍAS POR UTILIZ DEL SUEL</v>
      </c>
      <c r="CV494" s="141" t="str">
        <v>2476 GRAVÁMENES Y REGALÍAS POR UTILIZ DEL SUEL</v>
      </c>
      <c r="CW494" s="141" t="str">
        <v>2476 GRAVÁMENES Y REGALÍAS POR UTILIZ DEL SUEL</v>
      </c>
      <c r="CX494" s="141" t="str">
        <v>2476 GRAVÁMENES Y REGALÍAS POR UTILIZ DEL SUEL</v>
      </c>
      <c r="CY494" s="141" t="str">
        <v>2476 GRAVÁMENES Y REGALÍAS POR UTILIZ DEL SUEL</v>
      </c>
      <c r="CZ494" s="141" t="str">
        <v>2476 GRAVÁMENES Y REGALÍAS POR UTILIZ DEL SUEL</v>
      </c>
      <c r="DA494" s="141" t="str">
        <v>2476 GRAVÁMENES Y REGALÍAS POR UTILIZ DEL SUEL</v>
      </c>
      <c r="DF494" t="str">
        <v>2476 GRAVÁMENES Y REGALÍAS POR UTILIZ DEL SUEL</v>
      </c>
      <c r="DG494" t="str">
        <v>2476 GRAVÁMENES Y REGALÍAS POR UTILIZ DEL SUEL</v>
      </c>
      <c r="DH494" t="str">
        <v>2476 GRAVÁMENES Y REGALÍAS POR UTILIZ DEL SUEL</v>
      </c>
      <c r="DI494" t="str">
        <v>2476 GRAVÁMENES Y REGALÍAS POR UTILIZ DEL SUEL</v>
      </c>
      <c r="DJ494" t="str">
        <v>2476 GRAVÁMENES Y REGALÍAS POR UTILIZ DEL SUEL</v>
      </c>
      <c r="DK494" t="str">
        <v>2476 GRAVÁMENES Y REGALÍAS POR UTILIZ DEL SUEL</v>
      </c>
      <c r="DL494" t="str">
        <v>2476 GRAVÁMENES Y REGALÍAS POR UTILIZ DEL SUEL</v>
      </c>
      <c r="DM494" t="str">
        <v>2476 GRAVÁMENES Y REGALÍAS POR UTILIZ DEL SUEL</v>
      </c>
      <c r="DN494" t="str">
        <v>2476 GRAVÁMENES Y REGALÍAS POR UTILIZ DEL SUEL</v>
      </c>
      <c r="DO494" t="str">
        <v>2476 GRAVÁMENES Y REGALÍAS POR UTILIZ DEL SUEL</v>
      </c>
      <c r="DP494" t="str">
        <v>2476 GRAVÁMENES Y REGALÍAS POR UTILIZ DEL SUEL</v>
      </c>
    </row>
    <row r="495" spans="4:120" ht="12.75">
      <c r="D495" s="7">
        <v>2495</v>
      </c>
      <c r="E495" s="6" t="s">
        <v>375</v>
      </c>
      <c r="F495" s="5">
        <v>3</v>
      </c>
      <c r="G495" s="34" t="s">
        <v>823</v>
      </c>
      <c r="H495" s="26" t="s">
        <v>765</v>
      </c>
      <c r="I495" t="b">
        <f>+ISNUMBER(SEARCH('F-COMPRA'!$F$28,Tabla11[[#This Row],[Cuenta]],1))</f>
        <v>1</v>
      </c>
      <c r="J495" t="b">
        <f>+ISNUMBER(SEARCH('F-COMPRA'!$F$29,Tabla11[[#This Row],[Cuenta]],1))</f>
        <v>1</v>
      </c>
      <c r="K495" t="b">
        <f>+ISNUMBER(SEARCH('F-COMPRA'!$F$30,Tabla11[[#This Row],[Cuenta]],1))</f>
        <v>1</v>
      </c>
      <c r="L495" t="b">
        <f>+ISNUMBER(SEARCH('F-COMPRA'!$F$31,Tabla11[[#This Row],[Cuenta]],1))</f>
        <v>1</v>
      </c>
      <c r="M495" t="b">
        <f>+ISNUMBER(SEARCH('F-COMPRA'!$G$25,Tabla11[[#This Row],[Cuenta]],1))</f>
        <v>0</v>
      </c>
      <c r="N495" t="b">
        <f>+ISNUMBER(SEARCH(#REF!,Tabla11[[#This Row],[Cuenta]],1))</f>
        <v>0</v>
      </c>
      <c r="O495" t="b">
        <f>+ISNUMBER(SEARCH(#REF!,Tabla11[[#This Row],[Cuenta]],1))</f>
        <v>0</v>
      </c>
      <c r="P495" t="b">
        <f>+ISNUMBER(SEARCH('F-COMPRA'!$F$32,Tabla11[[#This Row],[Cuenta]],1))</f>
        <v>1</v>
      </c>
      <c r="Q495" t="b">
        <f>+ISNUMBER(SEARCH('F-COMPRA'!$F$33,Tabla11[[#This Row],[Cuenta]],1))</f>
        <v>1</v>
      </c>
      <c r="R495" t="b">
        <f>+ISNUMBER(SEARCH('F-COMPRA'!$F$34,Tabla11[[#This Row],[Cuenta]],1))</f>
        <v>1</v>
      </c>
      <c r="S495" t="b">
        <f>+ISNUMBER(SEARCH('F-COMPRA'!$F$35,Tabla11[[#This Row],[Cuenta]],1))</f>
        <v>1</v>
      </c>
      <c r="T495" t="b">
        <f>+ISNUMBER(SEARCH('F-COMPRA'!$F$36,Tabla11[[#This Row],[Cuenta]],1))</f>
        <v>1</v>
      </c>
      <c r="U495" t="b">
        <f>+ISNUMBER(SEARCH('F-COMPRA'!$F$37,Tabla11[[#This Row],[Cuenta]],1))</f>
        <v>1</v>
      </c>
      <c r="V495" t="b">
        <f>+ISNUMBER(SEARCH(#REF!,Tabla11[[#This Row],[Cuenta]],1))</f>
        <v>0</v>
      </c>
      <c r="W495" t="b">
        <f>+ISNUMBER(SEARCH('F-COMPRA'!#REF!,Tabla11[[#This Row],[Cuenta]],1))</f>
        <v>0</v>
      </c>
      <c r="X495" t="b">
        <f>+ISNUMBER(SEARCH('F-COMPRA'!#REF!,Tabla11[[#This Row],[Cuenta]],1))</f>
        <v>0</v>
      </c>
      <c r="Y495" t="b">
        <f>+ISNUMBER(SEARCH('F-COMPRA'!#REF!,Tabla11[[#This Row],[Cuenta]],1))</f>
        <v>0</v>
      </c>
      <c r="Z495" t="b">
        <f>+ISNUMBER(SEARCH('F-COMPRA'!#REF!,Tabla11[[#This Row],[Cuenta]],1))</f>
        <v>0</v>
      </c>
      <c r="AA495" t="b">
        <f>+ISNUMBER(SEARCH('F-COMPRA'!#REF!,Tabla11[[#This Row],[Cuenta]],1))</f>
        <v>0</v>
      </c>
      <c r="AB495" t="b">
        <f>+ISNUMBER(SEARCH('F-COMPRA'!#REF!,Tabla11[[#This Row],[Cuenta]],1))</f>
        <v>0</v>
      </c>
      <c r="AC495" t="b">
        <f>+ISNUMBER(SEARCH('F-COMPRA'!#REF!,Tabla11[[#This Row],[Cuenta]],1))</f>
        <v>0</v>
      </c>
      <c r="AD495" t="b">
        <f>+ISNUMBER(SEARCH('F-COMPRA'!#REF!,Tabla11[[#This Row],[Cuenta]],1))</f>
        <v>0</v>
      </c>
      <c r="AE495" t="b">
        <f>+ISNUMBER(SEARCH('F-COMPRA'!#REF!,Tabla11[[#This Row],[Cuenta]],1))</f>
        <v>0</v>
      </c>
      <c r="AF495" t="b">
        <f>+ISNUMBER(SEARCH('F-VTA'!$G$23,Tabla11[[#This Row],[Cuenta]],1))</f>
        <v>0</v>
      </c>
      <c r="AG495" t="b">
        <f>+ISNUMBER(SEARCH('F-VTA'!$G$24,Tabla11[[#This Row],[Cuenta]],1))</f>
        <v>0</v>
      </c>
      <c r="AH495" t="b">
        <f>+ISNUMBER(SEARCH('F-VTA'!$G$25,Tabla11[[#This Row],[Cuenta]],1))</f>
        <v>0</v>
      </c>
      <c r="AI495" t="b">
        <f>+ISNUMBER(SEARCH('F-VTA'!$F$28,Tabla11[[#This Row],[Cuenta]],1))</f>
        <v>1</v>
      </c>
      <c r="AJ495" t="b">
        <f>+ISNUMBER(SEARCH('F-VTA'!$F$29,Tabla11[[#This Row],[Cuenta]],1))</f>
        <v>1</v>
      </c>
      <c r="AK495" t="b">
        <f>+ISNUMBER(SEARCH('F-VTA'!$F$30,Tabla11[[#This Row],[Cuenta]],1))</f>
        <v>1</v>
      </c>
      <c r="AL495" t="b">
        <f>+ISNUMBER(SEARCH('F-VTA'!$F$31,Tabla11[[#This Row],[Cuenta]],1))</f>
        <v>1</v>
      </c>
      <c r="AM495" t="b">
        <f>+ISNUMBER(SEARCH('F-VTA'!$F$32,Tabla11[[#This Row],[Cuenta]],1))</f>
        <v>1</v>
      </c>
      <c r="AN495" t="b">
        <f>+ISNUMBER(SEARCH('F-VTA'!$F$33,Tabla11[[#This Row],[Cuenta]],1))</f>
        <v>1</v>
      </c>
      <c r="AO495" t="b">
        <f>+ISNUMBER(SEARCH('F-VTA'!$F$34,Tabla11[[#This Row],[Cuenta]],1))</f>
        <v>1</v>
      </c>
      <c r="AP495" t="b">
        <f>+ISNUMBER(SEARCH('F-VTA'!$F$35,Tabla11[[#This Row],[Cuenta]],1))</f>
        <v>1</v>
      </c>
      <c r="AQ495" t="b">
        <f>+ISNUMBER(SEARCH('F-VTA'!$F$36,Tabla11[[#This Row],[Cuenta]],1))</f>
        <v>1</v>
      </c>
      <c r="AR495" t="b">
        <f>+ISNUMBER(SEARCH(#REF!,Tabla11[[#This Row],[Cuenta]],1))</f>
        <v>0</v>
      </c>
      <c r="AS495" t="b">
        <f>+ISNUMBER(SEARCH(#REF!,Tabla11[[#This Row],[Cuenta]],1))</f>
        <v>0</v>
      </c>
      <c r="AT495" t="b">
        <f>+ISNUMBER(SEARCH(#REF!,Tabla11[[#This Row],[Cuenta]],1))</f>
        <v>0</v>
      </c>
      <c r="AU495" t="b">
        <f>+ISNUMBER(SEARCH('Conc. Ban.1'!$I$9,Tabla11[[#This Row],[Cuenta]],1))</f>
        <v>0</v>
      </c>
      <c r="AV495" t="b">
        <f>+ISNUMBER(SEARCH(CompConta!$F$21,Tabla11[[#This Row],[Cuenta]],1))</f>
        <v>1</v>
      </c>
      <c r="AW495" t="b">
        <f>+ISNUMBER(SEARCH(CompConta!$F$22,Tabla11[[#This Row],[Cuenta]],1))</f>
        <v>1</v>
      </c>
      <c r="AX495" t="b">
        <f>+ISNUMBER(SEARCH(CompConta!$F$23,Tabla11[[#This Row],[Cuenta]],1))</f>
        <v>1</v>
      </c>
      <c r="AY495" t="b">
        <f>+ISNUMBER(SEARCH(CompConta!$F$24,Tabla11[[#This Row],[Cuenta]],1))</f>
        <v>1</v>
      </c>
      <c r="AZ495" t="b">
        <f>+ISNUMBER(SEARCH(CompConta!$F$25,Tabla11[[#This Row],[Cuenta]],1))</f>
        <v>1</v>
      </c>
      <c r="BA495" t="b">
        <f>+ISNUMBER(SEARCH(CompConta!$F$26,Tabla11[[#This Row],[Cuenta]],1))</f>
        <v>1</v>
      </c>
      <c r="BB495" t="b">
        <f>+ISNUMBER(SEARCH(CompConta!$F$27,Tabla11[[#This Row],[Cuenta]],1))</f>
        <v>1</v>
      </c>
      <c r="BC495" t="b">
        <f>+ISNUMBER(SEARCH(CompConta!$F$28,Tabla11[[#This Row],[Cuenta]],1))</f>
        <v>1</v>
      </c>
      <c r="BD495" t="b">
        <f>+ISNUMBER(SEARCH(CompConta!$F$29,Tabla11[[#This Row],[Cuenta]],1))</f>
        <v>1</v>
      </c>
      <c r="BE495" t="b">
        <f>+ISNUMBER(SEARCH(CompConta!$F$30,Tabla11[[#This Row],[Cuenta]],1))</f>
        <v>1</v>
      </c>
      <c r="BF495" t="b">
        <f>+ISNUMBER(SEARCH('PAGO Compras'!$E$11,Tabla11[[#This Row],[Cuenta]],1))</f>
        <v>1</v>
      </c>
      <c r="BG495" t="b">
        <f>+ISNUMBER(SEARCH(#REF!,Tabla11[[#This Row],[Cuenta]],1))</f>
        <v>0</v>
      </c>
      <c r="BH495" t="b">
        <f>+ISNUMBER(SEARCH(#REF!,Tabla11[[#This Row],[Cuenta]],1))</f>
        <v>0</v>
      </c>
      <c r="BI495" t="b">
        <f>+ISNUMBER(SEARCH(#REF!,Tabla11[[#This Row],[Cuenta]],1))</f>
        <v>0</v>
      </c>
      <c r="BJ495" t="b">
        <f>+ISNUMBER(SEARCH(#REF!,Tabla11[[#This Row],[Cuenta]],1))</f>
        <v>0</v>
      </c>
      <c r="BS495" t="str">
        <v>2495 OTROS</v>
      </c>
      <c r="BT495" t="str">
        <v>2495 OTROS</v>
      </c>
      <c r="BU495" t="str">
        <v>2495 OTROS</v>
      </c>
      <c r="BV495" t="str">
        <v>2495 OTROS</v>
      </c>
      <c r="BZ495" t="str">
        <v>2495 OTROS</v>
      </c>
      <c r="CA495" t="str">
        <v>2495 OTROS</v>
      </c>
      <c r="CB495" t="str">
        <v>2495 OTROS</v>
      </c>
      <c r="CC495" t="str">
        <v>2495 OTROS</v>
      </c>
      <c r="CD495" t="str">
        <v>2495 OTROS</v>
      </c>
      <c r="CE495" t="str">
        <v>2495 OTROS</v>
      </c>
      <c r="CS495" s="141" t="str">
        <v>2495 OTROS</v>
      </c>
      <c r="CT495" s="141" t="str">
        <v>2495 OTROS</v>
      </c>
      <c r="CU495" s="141" t="str">
        <v>2495 OTROS</v>
      </c>
      <c r="CV495" s="141" t="str">
        <v>2495 OTROS</v>
      </c>
      <c r="CW495" s="141" t="str">
        <v>2495 OTROS</v>
      </c>
      <c r="CX495" s="141" t="str">
        <v>2495 OTROS</v>
      </c>
      <c r="CY495" s="141" t="str">
        <v>2495 OTROS</v>
      </c>
      <c r="CZ495" s="141" t="str">
        <v>2495 OTROS</v>
      </c>
      <c r="DA495" s="141" t="str">
        <v>2495 OTROS</v>
      </c>
      <c r="DF495" t="str">
        <v>2495 OTROS</v>
      </c>
      <c r="DG495" t="str">
        <v>2495 OTROS</v>
      </c>
      <c r="DH495" t="str">
        <v>2495 OTROS</v>
      </c>
      <c r="DI495" t="str">
        <v>2495 OTROS</v>
      </c>
      <c r="DJ495" t="str">
        <v>2495 OTROS</v>
      </c>
      <c r="DK495" t="str">
        <v>2495 OTROS</v>
      </c>
      <c r="DL495" t="str">
        <v>2495 OTROS</v>
      </c>
      <c r="DM495" t="str">
        <v>2495 OTROS</v>
      </c>
      <c r="DN495" t="str">
        <v>2495 OTROS</v>
      </c>
      <c r="DO495" t="str">
        <v>2495 OTROS</v>
      </c>
      <c r="DP495" t="str">
        <v>2495 OTROS</v>
      </c>
    </row>
    <row r="496" spans="4:120" ht="12.75">
      <c r="D496" s="7">
        <v>25</v>
      </c>
      <c r="E496" s="6" t="s">
        <v>376</v>
      </c>
      <c r="F496" s="5">
        <v>2</v>
      </c>
      <c r="G496" s="34"/>
      <c r="H496" s="26" t="s">
        <v>765</v>
      </c>
      <c r="I496" t="b">
        <f>+ISNUMBER(SEARCH('F-COMPRA'!$F$28,Tabla11[[#This Row],[Cuenta]],1))</f>
        <v>1</v>
      </c>
      <c r="J496" t="b">
        <f>+ISNUMBER(SEARCH('F-COMPRA'!$F$29,Tabla11[[#This Row],[Cuenta]],1))</f>
        <v>1</v>
      </c>
      <c r="K496" t="b">
        <f>+ISNUMBER(SEARCH('F-COMPRA'!$F$30,Tabla11[[#This Row],[Cuenta]],1))</f>
        <v>1</v>
      </c>
      <c r="L496" t="b">
        <f>+ISNUMBER(SEARCH('F-COMPRA'!$F$31,Tabla11[[#This Row],[Cuenta]],1))</f>
        <v>1</v>
      </c>
      <c r="M496" t="b">
        <f>+ISNUMBER(SEARCH('F-COMPRA'!$G$25,Tabla11[[#This Row],[Cuenta]],1))</f>
        <v>0</v>
      </c>
      <c r="N496" t="b">
        <f>+ISNUMBER(SEARCH(#REF!,Tabla11[[#This Row],[Cuenta]],1))</f>
        <v>0</v>
      </c>
      <c r="O496" t="b">
        <f>+ISNUMBER(SEARCH(#REF!,Tabla11[[#This Row],[Cuenta]],1))</f>
        <v>0</v>
      </c>
      <c r="P496" t="b">
        <f>+ISNUMBER(SEARCH('F-COMPRA'!$F$32,Tabla11[[#This Row],[Cuenta]],1))</f>
        <v>1</v>
      </c>
      <c r="Q496" t="b">
        <f>+ISNUMBER(SEARCH('F-COMPRA'!$F$33,Tabla11[[#This Row],[Cuenta]],1))</f>
        <v>1</v>
      </c>
      <c r="R496" t="b">
        <f>+ISNUMBER(SEARCH('F-COMPRA'!$F$34,Tabla11[[#This Row],[Cuenta]],1))</f>
        <v>1</v>
      </c>
      <c r="S496" t="b">
        <f>+ISNUMBER(SEARCH('F-COMPRA'!$F$35,Tabla11[[#This Row],[Cuenta]],1))</f>
        <v>1</v>
      </c>
      <c r="T496" t="b">
        <f>+ISNUMBER(SEARCH('F-COMPRA'!$F$36,Tabla11[[#This Row],[Cuenta]],1))</f>
        <v>1</v>
      </c>
      <c r="U496" t="b">
        <f>+ISNUMBER(SEARCH('F-COMPRA'!$F$37,Tabla11[[#This Row],[Cuenta]],1))</f>
        <v>1</v>
      </c>
      <c r="V496" t="b">
        <f>+ISNUMBER(SEARCH(#REF!,Tabla11[[#This Row],[Cuenta]],1))</f>
        <v>0</v>
      </c>
      <c r="W496" t="b">
        <f>+ISNUMBER(SEARCH('F-COMPRA'!#REF!,Tabla11[[#This Row],[Cuenta]],1))</f>
        <v>0</v>
      </c>
      <c r="X496" t="b">
        <f>+ISNUMBER(SEARCH('F-COMPRA'!#REF!,Tabla11[[#This Row],[Cuenta]],1))</f>
        <v>0</v>
      </c>
      <c r="Y496" t="b">
        <f>+ISNUMBER(SEARCH('F-COMPRA'!#REF!,Tabla11[[#This Row],[Cuenta]],1))</f>
        <v>0</v>
      </c>
      <c r="Z496" t="b">
        <f>+ISNUMBER(SEARCH('F-COMPRA'!#REF!,Tabla11[[#This Row],[Cuenta]],1))</f>
        <v>0</v>
      </c>
      <c r="AA496" t="b">
        <f>+ISNUMBER(SEARCH('F-COMPRA'!#REF!,Tabla11[[#This Row],[Cuenta]],1))</f>
        <v>0</v>
      </c>
      <c r="AB496" t="b">
        <f>+ISNUMBER(SEARCH('F-COMPRA'!#REF!,Tabla11[[#This Row],[Cuenta]],1))</f>
        <v>0</v>
      </c>
      <c r="AC496" t="b">
        <f>+ISNUMBER(SEARCH('F-COMPRA'!#REF!,Tabla11[[#This Row],[Cuenta]],1))</f>
        <v>0</v>
      </c>
      <c r="AD496" t="b">
        <f>+ISNUMBER(SEARCH('F-COMPRA'!#REF!,Tabla11[[#This Row],[Cuenta]],1))</f>
        <v>0</v>
      </c>
      <c r="AE496" t="b">
        <f>+ISNUMBER(SEARCH('F-COMPRA'!#REF!,Tabla11[[#This Row],[Cuenta]],1))</f>
        <v>0</v>
      </c>
      <c r="AF496" t="b">
        <f>+ISNUMBER(SEARCH('F-VTA'!$G$23,Tabla11[[#This Row],[Cuenta]],1))</f>
        <v>0</v>
      </c>
      <c r="AG496" t="b">
        <f>+ISNUMBER(SEARCH('F-VTA'!$G$24,Tabla11[[#This Row],[Cuenta]],1))</f>
        <v>0</v>
      </c>
      <c r="AH496" t="b">
        <f>+ISNUMBER(SEARCH('F-VTA'!$G$25,Tabla11[[#This Row],[Cuenta]],1))</f>
        <v>0</v>
      </c>
      <c r="AI496" t="b">
        <f>+ISNUMBER(SEARCH('F-VTA'!$F$28,Tabla11[[#This Row],[Cuenta]],1))</f>
        <v>1</v>
      </c>
      <c r="AJ496" t="b">
        <f>+ISNUMBER(SEARCH('F-VTA'!$F$29,Tabla11[[#This Row],[Cuenta]],1))</f>
        <v>1</v>
      </c>
      <c r="AK496" t="b">
        <f>+ISNUMBER(SEARCH('F-VTA'!$F$30,Tabla11[[#This Row],[Cuenta]],1))</f>
        <v>1</v>
      </c>
      <c r="AL496" t="b">
        <f>+ISNUMBER(SEARCH('F-VTA'!$F$31,Tabla11[[#This Row],[Cuenta]],1))</f>
        <v>1</v>
      </c>
      <c r="AM496" t="b">
        <f>+ISNUMBER(SEARCH('F-VTA'!$F$32,Tabla11[[#This Row],[Cuenta]],1))</f>
        <v>1</v>
      </c>
      <c r="AN496" t="b">
        <f>+ISNUMBER(SEARCH('F-VTA'!$F$33,Tabla11[[#This Row],[Cuenta]],1))</f>
        <v>1</v>
      </c>
      <c r="AO496" t="b">
        <f>+ISNUMBER(SEARCH('F-VTA'!$F$34,Tabla11[[#This Row],[Cuenta]],1))</f>
        <v>1</v>
      </c>
      <c r="AP496" t="b">
        <f>+ISNUMBER(SEARCH('F-VTA'!$F$35,Tabla11[[#This Row],[Cuenta]],1))</f>
        <v>1</v>
      </c>
      <c r="AQ496" t="b">
        <f>+ISNUMBER(SEARCH('F-VTA'!$F$36,Tabla11[[#This Row],[Cuenta]],1))</f>
        <v>1</v>
      </c>
      <c r="AR496" t="b">
        <f>+ISNUMBER(SEARCH(#REF!,Tabla11[[#This Row],[Cuenta]],1))</f>
        <v>0</v>
      </c>
      <c r="AS496" t="b">
        <f>+ISNUMBER(SEARCH(#REF!,Tabla11[[#This Row],[Cuenta]],1))</f>
        <v>0</v>
      </c>
      <c r="AT496" t="b">
        <f>+ISNUMBER(SEARCH(#REF!,Tabla11[[#This Row],[Cuenta]],1))</f>
        <v>0</v>
      </c>
      <c r="AU496" t="b">
        <f>+ISNUMBER(SEARCH('Conc. Ban.1'!$I$9,Tabla11[[#This Row],[Cuenta]],1))</f>
        <v>0</v>
      </c>
      <c r="AV496" t="b">
        <f>+ISNUMBER(SEARCH(CompConta!$F$21,Tabla11[[#This Row],[Cuenta]],1))</f>
        <v>1</v>
      </c>
      <c r="AW496" t="b">
        <f>+ISNUMBER(SEARCH(CompConta!$F$22,Tabla11[[#This Row],[Cuenta]],1))</f>
        <v>1</v>
      </c>
      <c r="AX496" t="b">
        <f>+ISNUMBER(SEARCH(CompConta!$F$23,Tabla11[[#This Row],[Cuenta]],1))</f>
        <v>1</v>
      </c>
      <c r="AY496" t="b">
        <f>+ISNUMBER(SEARCH(CompConta!$F$24,Tabla11[[#This Row],[Cuenta]],1))</f>
        <v>1</v>
      </c>
      <c r="AZ496" t="b">
        <f>+ISNUMBER(SEARCH(CompConta!$F$25,Tabla11[[#This Row],[Cuenta]],1))</f>
        <v>1</v>
      </c>
      <c r="BA496" t="b">
        <f>+ISNUMBER(SEARCH(CompConta!$F$26,Tabla11[[#This Row],[Cuenta]],1))</f>
        <v>1</v>
      </c>
      <c r="BB496" t="b">
        <f>+ISNUMBER(SEARCH(CompConta!$F$27,Tabla11[[#This Row],[Cuenta]],1))</f>
        <v>1</v>
      </c>
      <c r="BC496" t="b">
        <f>+ISNUMBER(SEARCH(CompConta!$F$28,Tabla11[[#This Row],[Cuenta]],1))</f>
        <v>1</v>
      </c>
      <c r="BD496" t="b">
        <f>+ISNUMBER(SEARCH(CompConta!$F$29,Tabla11[[#This Row],[Cuenta]],1))</f>
        <v>1</v>
      </c>
      <c r="BE496" t="b">
        <f>+ISNUMBER(SEARCH(CompConta!$F$30,Tabla11[[#This Row],[Cuenta]],1))</f>
        <v>1</v>
      </c>
      <c r="BF496" t="b">
        <f>+ISNUMBER(SEARCH('PAGO Compras'!$E$11,Tabla11[[#This Row],[Cuenta]],1))</f>
        <v>1</v>
      </c>
      <c r="BG496" t="b">
        <f>+ISNUMBER(SEARCH(#REF!,Tabla11[[#This Row],[Cuenta]],1))</f>
        <v>0</v>
      </c>
      <c r="BH496" t="b">
        <f>+ISNUMBER(SEARCH(#REF!,Tabla11[[#This Row],[Cuenta]],1))</f>
        <v>0</v>
      </c>
      <c r="BI496" t="b">
        <f>+ISNUMBER(SEARCH(#REF!,Tabla11[[#This Row],[Cuenta]],1))</f>
        <v>0</v>
      </c>
      <c r="BJ496" t="b">
        <f>+ISNUMBER(SEARCH(#REF!,Tabla11[[#This Row],[Cuenta]],1))</f>
        <v>0</v>
      </c>
      <c r="BS496" t="str">
        <v>25 OBLIGACIONES LABORALES</v>
      </c>
      <c r="BT496" t="str">
        <v>25 OBLIGACIONES LABORALES</v>
      </c>
      <c r="BU496" t="str">
        <v>25 OBLIGACIONES LABORALES</v>
      </c>
      <c r="BV496" t="str">
        <v>25 OBLIGACIONES LABORALES</v>
      </c>
      <c r="BZ496" t="str">
        <v>25 OBLIGACIONES LABORALES</v>
      </c>
      <c r="CA496" t="str">
        <v>25 OBLIGACIONES LABORALES</v>
      </c>
      <c r="CB496" t="str">
        <v>25 OBLIGACIONES LABORALES</v>
      </c>
      <c r="CC496" t="str">
        <v>25 OBLIGACIONES LABORALES</v>
      </c>
      <c r="CD496" t="str">
        <v>25 OBLIGACIONES LABORALES</v>
      </c>
      <c r="CE496" t="str">
        <v>25 OBLIGACIONES LABORALES</v>
      </c>
      <c r="CS496" s="141" t="str">
        <v>25 OBLIGACIONES LABORALES</v>
      </c>
      <c r="CT496" s="141" t="str">
        <v>25 OBLIGACIONES LABORALES</v>
      </c>
      <c r="CU496" s="141" t="str">
        <v>25 OBLIGACIONES LABORALES</v>
      </c>
      <c r="CV496" s="141" t="str">
        <v>25 OBLIGACIONES LABORALES</v>
      </c>
      <c r="CW496" s="141" t="str">
        <v>25 OBLIGACIONES LABORALES</v>
      </c>
      <c r="CX496" s="141" t="str">
        <v>25 OBLIGACIONES LABORALES</v>
      </c>
      <c r="CY496" s="141" t="str">
        <v>25 OBLIGACIONES LABORALES</v>
      </c>
      <c r="CZ496" s="141" t="str">
        <v>25 OBLIGACIONES LABORALES</v>
      </c>
      <c r="DA496" s="141" t="str">
        <v>25 OBLIGACIONES LABORALES</v>
      </c>
      <c r="DF496" t="str">
        <v>25 OBLIGACIONES LABORALES</v>
      </c>
      <c r="DG496" t="str">
        <v>25 OBLIGACIONES LABORALES</v>
      </c>
      <c r="DH496" t="str">
        <v>25 OBLIGACIONES LABORALES</v>
      </c>
      <c r="DI496" t="str">
        <v>25 OBLIGACIONES LABORALES</v>
      </c>
      <c r="DJ496" t="str">
        <v>25 OBLIGACIONES LABORALES</v>
      </c>
      <c r="DK496" t="str">
        <v>25 OBLIGACIONES LABORALES</v>
      </c>
      <c r="DL496" t="str">
        <v>25 OBLIGACIONES LABORALES</v>
      </c>
      <c r="DM496" t="str">
        <v>25 OBLIGACIONES LABORALES</v>
      </c>
      <c r="DN496" t="str">
        <v>25 OBLIGACIONES LABORALES</v>
      </c>
      <c r="DO496" t="str">
        <v>25 OBLIGACIONES LABORALES</v>
      </c>
      <c r="DP496" t="str">
        <v>25 OBLIGACIONES LABORALES</v>
      </c>
    </row>
    <row r="497" spans="4:120" ht="12.75">
      <c r="D497" s="7">
        <v>2505</v>
      </c>
      <c r="E497" s="6" t="s">
        <v>377</v>
      </c>
      <c r="F497" s="5">
        <v>3</v>
      </c>
      <c r="G497" s="34" t="s">
        <v>823</v>
      </c>
      <c r="H497" s="26" t="s">
        <v>765</v>
      </c>
      <c r="I497" t="b">
        <f>+ISNUMBER(SEARCH('F-COMPRA'!$F$28,Tabla11[[#This Row],[Cuenta]],1))</f>
        <v>1</v>
      </c>
      <c r="J497" t="b">
        <f>+ISNUMBER(SEARCH('F-COMPRA'!$F$29,Tabla11[[#This Row],[Cuenta]],1))</f>
        <v>1</v>
      </c>
      <c r="K497" t="b">
        <f>+ISNUMBER(SEARCH('F-COMPRA'!$F$30,Tabla11[[#This Row],[Cuenta]],1))</f>
        <v>1</v>
      </c>
      <c r="L497" t="b">
        <f>+ISNUMBER(SEARCH('F-COMPRA'!$F$31,Tabla11[[#This Row],[Cuenta]],1))</f>
        <v>1</v>
      </c>
      <c r="M497" t="b">
        <f>+ISNUMBER(SEARCH('F-COMPRA'!$G$25,Tabla11[[#This Row],[Cuenta]],1))</f>
        <v>0</v>
      </c>
      <c r="N497" t="b">
        <f>+ISNUMBER(SEARCH(#REF!,Tabla11[[#This Row],[Cuenta]],1))</f>
        <v>0</v>
      </c>
      <c r="O497" t="b">
        <f>+ISNUMBER(SEARCH(#REF!,Tabla11[[#This Row],[Cuenta]],1))</f>
        <v>0</v>
      </c>
      <c r="P497" t="b">
        <f>+ISNUMBER(SEARCH('F-COMPRA'!$F$32,Tabla11[[#This Row],[Cuenta]],1))</f>
        <v>1</v>
      </c>
      <c r="Q497" t="b">
        <f>+ISNUMBER(SEARCH('F-COMPRA'!$F$33,Tabla11[[#This Row],[Cuenta]],1))</f>
        <v>1</v>
      </c>
      <c r="R497" t="b">
        <f>+ISNUMBER(SEARCH('F-COMPRA'!$F$34,Tabla11[[#This Row],[Cuenta]],1))</f>
        <v>1</v>
      </c>
      <c r="S497" t="b">
        <f>+ISNUMBER(SEARCH('F-COMPRA'!$F$35,Tabla11[[#This Row],[Cuenta]],1))</f>
        <v>1</v>
      </c>
      <c r="T497" t="b">
        <f>+ISNUMBER(SEARCH('F-COMPRA'!$F$36,Tabla11[[#This Row],[Cuenta]],1))</f>
        <v>1</v>
      </c>
      <c r="U497" t="b">
        <f>+ISNUMBER(SEARCH('F-COMPRA'!$F$37,Tabla11[[#This Row],[Cuenta]],1))</f>
        <v>1</v>
      </c>
      <c r="V497" t="b">
        <f>+ISNUMBER(SEARCH(#REF!,Tabla11[[#This Row],[Cuenta]],1))</f>
        <v>0</v>
      </c>
      <c r="W497" t="b">
        <f>+ISNUMBER(SEARCH('F-COMPRA'!#REF!,Tabla11[[#This Row],[Cuenta]],1))</f>
        <v>0</v>
      </c>
      <c r="X497" t="b">
        <f>+ISNUMBER(SEARCH('F-COMPRA'!#REF!,Tabla11[[#This Row],[Cuenta]],1))</f>
        <v>0</v>
      </c>
      <c r="Y497" t="b">
        <f>+ISNUMBER(SEARCH('F-COMPRA'!#REF!,Tabla11[[#This Row],[Cuenta]],1))</f>
        <v>0</v>
      </c>
      <c r="Z497" t="b">
        <f>+ISNUMBER(SEARCH('F-COMPRA'!#REF!,Tabla11[[#This Row],[Cuenta]],1))</f>
        <v>0</v>
      </c>
      <c r="AA497" t="b">
        <f>+ISNUMBER(SEARCH('F-COMPRA'!#REF!,Tabla11[[#This Row],[Cuenta]],1))</f>
        <v>0</v>
      </c>
      <c r="AB497" t="b">
        <f>+ISNUMBER(SEARCH('F-COMPRA'!#REF!,Tabla11[[#This Row],[Cuenta]],1))</f>
        <v>0</v>
      </c>
      <c r="AC497" t="b">
        <f>+ISNUMBER(SEARCH('F-COMPRA'!#REF!,Tabla11[[#This Row],[Cuenta]],1))</f>
        <v>0</v>
      </c>
      <c r="AD497" t="b">
        <f>+ISNUMBER(SEARCH('F-COMPRA'!#REF!,Tabla11[[#This Row],[Cuenta]],1))</f>
        <v>0</v>
      </c>
      <c r="AE497" t="b">
        <f>+ISNUMBER(SEARCH('F-COMPRA'!#REF!,Tabla11[[#This Row],[Cuenta]],1))</f>
        <v>0</v>
      </c>
      <c r="AF497" t="b">
        <f>+ISNUMBER(SEARCH('F-VTA'!$G$23,Tabla11[[#This Row],[Cuenta]],1))</f>
        <v>0</v>
      </c>
      <c r="AG497" t="b">
        <f>+ISNUMBER(SEARCH('F-VTA'!$G$24,Tabla11[[#This Row],[Cuenta]],1))</f>
        <v>0</v>
      </c>
      <c r="AH497" t="b">
        <f>+ISNUMBER(SEARCH('F-VTA'!$G$25,Tabla11[[#This Row],[Cuenta]],1))</f>
        <v>0</v>
      </c>
      <c r="AI497" t="b">
        <f>+ISNUMBER(SEARCH('F-VTA'!$F$28,Tabla11[[#This Row],[Cuenta]],1))</f>
        <v>1</v>
      </c>
      <c r="AJ497" t="b">
        <f>+ISNUMBER(SEARCH('F-VTA'!$F$29,Tabla11[[#This Row],[Cuenta]],1))</f>
        <v>1</v>
      </c>
      <c r="AK497" t="b">
        <f>+ISNUMBER(SEARCH('F-VTA'!$F$30,Tabla11[[#This Row],[Cuenta]],1))</f>
        <v>1</v>
      </c>
      <c r="AL497" t="b">
        <f>+ISNUMBER(SEARCH('F-VTA'!$F$31,Tabla11[[#This Row],[Cuenta]],1))</f>
        <v>1</v>
      </c>
      <c r="AM497" t="b">
        <f>+ISNUMBER(SEARCH('F-VTA'!$F$32,Tabla11[[#This Row],[Cuenta]],1))</f>
        <v>1</v>
      </c>
      <c r="AN497" t="b">
        <f>+ISNUMBER(SEARCH('F-VTA'!$F$33,Tabla11[[#This Row],[Cuenta]],1))</f>
        <v>1</v>
      </c>
      <c r="AO497" t="b">
        <f>+ISNUMBER(SEARCH('F-VTA'!$F$34,Tabla11[[#This Row],[Cuenta]],1))</f>
        <v>1</v>
      </c>
      <c r="AP497" t="b">
        <f>+ISNUMBER(SEARCH('F-VTA'!$F$35,Tabla11[[#This Row],[Cuenta]],1))</f>
        <v>1</v>
      </c>
      <c r="AQ497" t="b">
        <f>+ISNUMBER(SEARCH('F-VTA'!$F$36,Tabla11[[#This Row],[Cuenta]],1))</f>
        <v>1</v>
      </c>
      <c r="AR497" t="b">
        <f>+ISNUMBER(SEARCH(#REF!,Tabla11[[#This Row],[Cuenta]],1))</f>
        <v>0</v>
      </c>
      <c r="AS497" t="b">
        <f>+ISNUMBER(SEARCH(#REF!,Tabla11[[#This Row],[Cuenta]],1))</f>
        <v>0</v>
      </c>
      <c r="AT497" t="b">
        <f>+ISNUMBER(SEARCH(#REF!,Tabla11[[#This Row],[Cuenta]],1))</f>
        <v>0</v>
      </c>
      <c r="AU497" t="b">
        <f>+ISNUMBER(SEARCH('Conc. Ban.1'!$I$9,Tabla11[[#This Row],[Cuenta]],1))</f>
        <v>0</v>
      </c>
      <c r="AV497" t="b">
        <f>+ISNUMBER(SEARCH(CompConta!$F$21,Tabla11[[#This Row],[Cuenta]],1))</f>
        <v>1</v>
      </c>
      <c r="AW497" t="b">
        <f>+ISNUMBER(SEARCH(CompConta!$F$22,Tabla11[[#This Row],[Cuenta]],1))</f>
        <v>1</v>
      </c>
      <c r="AX497" t="b">
        <f>+ISNUMBER(SEARCH(CompConta!$F$23,Tabla11[[#This Row],[Cuenta]],1))</f>
        <v>1</v>
      </c>
      <c r="AY497" t="b">
        <f>+ISNUMBER(SEARCH(CompConta!$F$24,Tabla11[[#This Row],[Cuenta]],1))</f>
        <v>1</v>
      </c>
      <c r="AZ497" t="b">
        <f>+ISNUMBER(SEARCH(CompConta!$F$25,Tabla11[[#This Row],[Cuenta]],1))</f>
        <v>1</v>
      </c>
      <c r="BA497" t="b">
        <f>+ISNUMBER(SEARCH(CompConta!$F$26,Tabla11[[#This Row],[Cuenta]],1))</f>
        <v>1</v>
      </c>
      <c r="BB497" t="b">
        <f>+ISNUMBER(SEARCH(CompConta!$F$27,Tabla11[[#This Row],[Cuenta]],1))</f>
        <v>1</v>
      </c>
      <c r="BC497" t="b">
        <f>+ISNUMBER(SEARCH(CompConta!$F$28,Tabla11[[#This Row],[Cuenta]],1))</f>
        <v>1</v>
      </c>
      <c r="BD497" t="b">
        <f>+ISNUMBER(SEARCH(CompConta!$F$29,Tabla11[[#This Row],[Cuenta]],1))</f>
        <v>1</v>
      </c>
      <c r="BE497" t="b">
        <f>+ISNUMBER(SEARCH(CompConta!$F$30,Tabla11[[#This Row],[Cuenta]],1))</f>
        <v>1</v>
      </c>
      <c r="BF497" t="b">
        <f>+ISNUMBER(SEARCH('PAGO Compras'!$E$11,Tabla11[[#This Row],[Cuenta]],1))</f>
        <v>1</v>
      </c>
      <c r="BG497" t="b">
        <f>+ISNUMBER(SEARCH(#REF!,Tabla11[[#This Row],[Cuenta]],1))</f>
        <v>0</v>
      </c>
      <c r="BH497" t="b">
        <f>+ISNUMBER(SEARCH(#REF!,Tabla11[[#This Row],[Cuenta]],1))</f>
        <v>0</v>
      </c>
      <c r="BI497" t="b">
        <f>+ISNUMBER(SEARCH(#REF!,Tabla11[[#This Row],[Cuenta]],1))</f>
        <v>0</v>
      </c>
      <c r="BJ497" t="b">
        <f>+ISNUMBER(SEARCH(#REF!,Tabla11[[#This Row],[Cuenta]],1))</f>
        <v>0</v>
      </c>
      <c r="BS497" t="str">
        <v>2505 SALARIOS POR PAGAR</v>
      </c>
      <c r="BT497" t="str">
        <v>2505 SALARIOS POR PAGAR</v>
      </c>
      <c r="BU497" t="str">
        <v>2505 SALARIOS POR PAGAR</v>
      </c>
      <c r="BV497" t="str">
        <v>2505 SALARIOS POR PAGAR</v>
      </c>
      <c r="BZ497" t="str">
        <v>2505 SALARIOS POR PAGAR</v>
      </c>
      <c r="CA497" t="str">
        <v>2505 SALARIOS POR PAGAR</v>
      </c>
      <c r="CB497" t="str">
        <v>2505 SALARIOS POR PAGAR</v>
      </c>
      <c r="CC497" t="str">
        <v>2505 SALARIOS POR PAGAR</v>
      </c>
      <c r="CD497" t="str">
        <v>2505 SALARIOS POR PAGAR</v>
      </c>
      <c r="CE497" t="str">
        <v>2505 SALARIOS POR PAGAR</v>
      </c>
      <c r="CS497" s="141" t="str">
        <v>2505 SALARIOS POR PAGAR</v>
      </c>
      <c r="CT497" s="141" t="str">
        <v>2505 SALARIOS POR PAGAR</v>
      </c>
      <c r="CU497" s="141" t="str">
        <v>2505 SALARIOS POR PAGAR</v>
      </c>
      <c r="CV497" s="141" t="str">
        <v>2505 SALARIOS POR PAGAR</v>
      </c>
      <c r="CW497" s="141" t="str">
        <v>2505 SALARIOS POR PAGAR</v>
      </c>
      <c r="CX497" s="141" t="str">
        <v>2505 SALARIOS POR PAGAR</v>
      </c>
      <c r="CY497" s="141" t="str">
        <v>2505 SALARIOS POR PAGAR</v>
      </c>
      <c r="CZ497" s="141" t="str">
        <v>2505 SALARIOS POR PAGAR</v>
      </c>
      <c r="DA497" s="141" t="str">
        <v>2505 SALARIOS POR PAGAR</v>
      </c>
      <c r="DF497" t="str">
        <v>2505 SALARIOS POR PAGAR</v>
      </c>
      <c r="DG497" t="str">
        <v>2505 SALARIOS POR PAGAR</v>
      </c>
      <c r="DH497" t="str">
        <v>2505 SALARIOS POR PAGAR</v>
      </c>
      <c r="DI497" t="str">
        <v>2505 SALARIOS POR PAGAR</v>
      </c>
      <c r="DJ497" t="str">
        <v>2505 SALARIOS POR PAGAR</v>
      </c>
      <c r="DK497" t="str">
        <v>2505 SALARIOS POR PAGAR</v>
      </c>
      <c r="DL497" t="str">
        <v>2505 SALARIOS POR PAGAR</v>
      </c>
      <c r="DM497" t="str">
        <v>2505 SALARIOS POR PAGAR</v>
      </c>
      <c r="DN497" t="str">
        <v>2505 SALARIOS POR PAGAR</v>
      </c>
      <c r="DO497" t="str">
        <v>2505 SALARIOS POR PAGAR</v>
      </c>
      <c r="DP497" t="str">
        <v>2505 SALARIOS POR PAGAR</v>
      </c>
    </row>
    <row r="498" spans="4:120" ht="12.75">
      <c r="D498" s="7">
        <v>2510</v>
      </c>
      <c r="E498" s="6" t="s">
        <v>378</v>
      </c>
      <c r="F498" s="5">
        <v>3</v>
      </c>
      <c r="G498" s="34" t="s">
        <v>823</v>
      </c>
      <c r="H498" s="26" t="s">
        <v>765</v>
      </c>
      <c r="I498" t="b">
        <f>+ISNUMBER(SEARCH('F-COMPRA'!$F$28,Tabla11[[#This Row],[Cuenta]],1))</f>
        <v>1</v>
      </c>
      <c r="J498" t="b">
        <f>+ISNUMBER(SEARCH('F-COMPRA'!$F$29,Tabla11[[#This Row],[Cuenta]],1))</f>
        <v>1</v>
      </c>
      <c r="K498" t="b">
        <f>+ISNUMBER(SEARCH('F-COMPRA'!$F$30,Tabla11[[#This Row],[Cuenta]],1))</f>
        <v>1</v>
      </c>
      <c r="L498" t="b">
        <f>+ISNUMBER(SEARCH('F-COMPRA'!$F$31,Tabla11[[#This Row],[Cuenta]],1))</f>
        <v>1</v>
      </c>
      <c r="M498" t="b">
        <f>+ISNUMBER(SEARCH('F-COMPRA'!$G$25,Tabla11[[#This Row],[Cuenta]],1))</f>
        <v>0</v>
      </c>
      <c r="N498" t="b">
        <f>+ISNUMBER(SEARCH(#REF!,Tabla11[[#This Row],[Cuenta]],1))</f>
        <v>0</v>
      </c>
      <c r="O498" t="b">
        <f>+ISNUMBER(SEARCH(#REF!,Tabla11[[#This Row],[Cuenta]],1))</f>
        <v>0</v>
      </c>
      <c r="P498" t="b">
        <f>+ISNUMBER(SEARCH('F-COMPRA'!$F$32,Tabla11[[#This Row],[Cuenta]],1))</f>
        <v>1</v>
      </c>
      <c r="Q498" t="b">
        <f>+ISNUMBER(SEARCH('F-COMPRA'!$F$33,Tabla11[[#This Row],[Cuenta]],1))</f>
        <v>1</v>
      </c>
      <c r="R498" t="b">
        <f>+ISNUMBER(SEARCH('F-COMPRA'!$F$34,Tabla11[[#This Row],[Cuenta]],1))</f>
        <v>1</v>
      </c>
      <c r="S498" t="b">
        <f>+ISNUMBER(SEARCH('F-COMPRA'!$F$35,Tabla11[[#This Row],[Cuenta]],1))</f>
        <v>1</v>
      </c>
      <c r="T498" t="b">
        <f>+ISNUMBER(SEARCH('F-COMPRA'!$F$36,Tabla11[[#This Row],[Cuenta]],1))</f>
        <v>1</v>
      </c>
      <c r="U498" t="b">
        <f>+ISNUMBER(SEARCH('F-COMPRA'!$F$37,Tabla11[[#This Row],[Cuenta]],1))</f>
        <v>1</v>
      </c>
      <c r="V498" t="b">
        <f>+ISNUMBER(SEARCH(#REF!,Tabla11[[#This Row],[Cuenta]],1))</f>
        <v>0</v>
      </c>
      <c r="W498" t="b">
        <f>+ISNUMBER(SEARCH('F-COMPRA'!#REF!,Tabla11[[#This Row],[Cuenta]],1))</f>
        <v>0</v>
      </c>
      <c r="X498" t="b">
        <f>+ISNUMBER(SEARCH('F-COMPRA'!#REF!,Tabla11[[#This Row],[Cuenta]],1))</f>
        <v>0</v>
      </c>
      <c r="Y498" t="b">
        <f>+ISNUMBER(SEARCH('F-COMPRA'!#REF!,Tabla11[[#This Row],[Cuenta]],1))</f>
        <v>0</v>
      </c>
      <c r="Z498" t="b">
        <f>+ISNUMBER(SEARCH('F-COMPRA'!#REF!,Tabla11[[#This Row],[Cuenta]],1))</f>
        <v>0</v>
      </c>
      <c r="AA498" t="b">
        <f>+ISNUMBER(SEARCH('F-COMPRA'!#REF!,Tabla11[[#This Row],[Cuenta]],1))</f>
        <v>0</v>
      </c>
      <c r="AB498" t="b">
        <f>+ISNUMBER(SEARCH('F-COMPRA'!#REF!,Tabla11[[#This Row],[Cuenta]],1))</f>
        <v>0</v>
      </c>
      <c r="AC498" t="b">
        <f>+ISNUMBER(SEARCH('F-COMPRA'!#REF!,Tabla11[[#This Row],[Cuenta]],1))</f>
        <v>0</v>
      </c>
      <c r="AD498" t="b">
        <f>+ISNUMBER(SEARCH('F-COMPRA'!#REF!,Tabla11[[#This Row],[Cuenta]],1))</f>
        <v>0</v>
      </c>
      <c r="AE498" t="b">
        <f>+ISNUMBER(SEARCH('F-COMPRA'!#REF!,Tabla11[[#This Row],[Cuenta]],1))</f>
        <v>0</v>
      </c>
      <c r="AF498" t="b">
        <f>+ISNUMBER(SEARCH('F-VTA'!$G$23,Tabla11[[#This Row],[Cuenta]],1))</f>
        <v>0</v>
      </c>
      <c r="AG498" t="b">
        <f>+ISNUMBER(SEARCH('F-VTA'!$G$24,Tabla11[[#This Row],[Cuenta]],1))</f>
        <v>0</v>
      </c>
      <c r="AH498" t="b">
        <f>+ISNUMBER(SEARCH('F-VTA'!$G$25,Tabla11[[#This Row],[Cuenta]],1))</f>
        <v>0</v>
      </c>
      <c r="AI498" t="b">
        <f>+ISNUMBER(SEARCH('F-VTA'!$F$28,Tabla11[[#This Row],[Cuenta]],1))</f>
        <v>1</v>
      </c>
      <c r="AJ498" t="b">
        <f>+ISNUMBER(SEARCH('F-VTA'!$F$29,Tabla11[[#This Row],[Cuenta]],1))</f>
        <v>1</v>
      </c>
      <c r="AK498" t="b">
        <f>+ISNUMBER(SEARCH('F-VTA'!$F$30,Tabla11[[#This Row],[Cuenta]],1))</f>
        <v>1</v>
      </c>
      <c r="AL498" t="b">
        <f>+ISNUMBER(SEARCH('F-VTA'!$F$31,Tabla11[[#This Row],[Cuenta]],1))</f>
        <v>1</v>
      </c>
      <c r="AM498" t="b">
        <f>+ISNUMBER(SEARCH('F-VTA'!$F$32,Tabla11[[#This Row],[Cuenta]],1))</f>
        <v>1</v>
      </c>
      <c r="AN498" t="b">
        <f>+ISNUMBER(SEARCH('F-VTA'!$F$33,Tabla11[[#This Row],[Cuenta]],1))</f>
        <v>1</v>
      </c>
      <c r="AO498" t="b">
        <f>+ISNUMBER(SEARCH('F-VTA'!$F$34,Tabla11[[#This Row],[Cuenta]],1))</f>
        <v>1</v>
      </c>
      <c r="AP498" t="b">
        <f>+ISNUMBER(SEARCH('F-VTA'!$F$35,Tabla11[[#This Row],[Cuenta]],1))</f>
        <v>1</v>
      </c>
      <c r="AQ498" t="b">
        <f>+ISNUMBER(SEARCH('F-VTA'!$F$36,Tabla11[[#This Row],[Cuenta]],1))</f>
        <v>1</v>
      </c>
      <c r="AR498" t="b">
        <f>+ISNUMBER(SEARCH(#REF!,Tabla11[[#This Row],[Cuenta]],1))</f>
        <v>0</v>
      </c>
      <c r="AS498" t="b">
        <f>+ISNUMBER(SEARCH(#REF!,Tabla11[[#This Row],[Cuenta]],1))</f>
        <v>0</v>
      </c>
      <c r="AT498" t="b">
        <f>+ISNUMBER(SEARCH(#REF!,Tabla11[[#This Row],[Cuenta]],1))</f>
        <v>0</v>
      </c>
      <c r="AU498" t="b">
        <f>+ISNUMBER(SEARCH('Conc. Ban.1'!$I$9,Tabla11[[#This Row],[Cuenta]],1))</f>
        <v>0</v>
      </c>
      <c r="AV498" t="b">
        <f>+ISNUMBER(SEARCH(CompConta!$F$21,Tabla11[[#This Row],[Cuenta]],1))</f>
        <v>1</v>
      </c>
      <c r="AW498" t="b">
        <f>+ISNUMBER(SEARCH(CompConta!$F$22,Tabla11[[#This Row],[Cuenta]],1))</f>
        <v>1</v>
      </c>
      <c r="AX498" t="b">
        <f>+ISNUMBER(SEARCH(CompConta!$F$23,Tabla11[[#This Row],[Cuenta]],1))</f>
        <v>1</v>
      </c>
      <c r="AY498" t="b">
        <f>+ISNUMBER(SEARCH(CompConta!$F$24,Tabla11[[#This Row],[Cuenta]],1))</f>
        <v>1</v>
      </c>
      <c r="AZ498" t="b">
        <f>+ISNUMBER(SEARCH(CompConta!$F$25,Tabla11[[#This Row],[Cuenta]],1))</f>
        <v>1</v>
      </c>
      <c r="BA498" t="b">
        <f>+ISNUMBER(SEARCH(CompConta!$F$26,Tabla11[[#This Row],[Cuenta]],1))</f>
        <v>1</v>
      </c>
      <c r="BB498" t="b">
        <f>+ISNUMBER(SEARCH(CompConta!$F$27,Tabla11[[#This Row],[Cuenta]],1))</f>
        <v>1</v>
      </c>
      <c r="BC498" t="b">
        <f>+ISNUMBER(SEARCH(CompConta!$F$28,Tabla11[[#This Row],[Cuenta]],1))</f>
        <v>1</v>
      </c>
      <c r="BD498" t="b">
        <f>+ISNUMBER(SEARCH(CompConta!$F$29,Tabla11[[#This Row],[Cuenta]],1))</f>
        <v>1</v>
      </c>
      <c r="BE498" t="b">
        <f>+ISNUMBER(SEARCH(CompConta!$F$30,Tabla11[[#This Row],[Cuenta]],1))</f>
        <v>1</v>
      </c>
      <c r="BF498" t="b">
        <f>+ISNUMBER(SEARCH('PAGO Compras'!$E$11,Tabla11[[#This Row],[Cuenta]],1))</f>
        <v>1</v>
      </c>
      <c r="BG498" t="b">
        <f>+ISNUMBER(SEARCH(#REF!,Tabla11[[#This Row],[Cuenta]],1))</f>
        <v>0</v>
      </c>
      <c r="BH498" t="b">
        <f>+ISNUMBER(SEARCH(#REF!,Tabla11[[#This Row],[Cuenta]],1))</f>
        <v>0</v>
      </c>
      <c r="BI498" t="b">
        <f>+ISNUMBER(SEARCH(#REF!,Tabla11[[#This Row],[Cuenta]],1))</f>
        <v>0</v>
      </c>
      <c r="BJ498" t="b">
        <f>+ISNUMBER(SEARCH(#REF!,Tabla11[[#This Row],[Cuenta]],1))</f>
        <v>0</v>
      </c>
      <c r="BS498" t="str">
        <v>2510 CESANTÍAS CONSOLIDADAS</v>
      </c>
      <c r="BT498" t="str">
        <v>2510 CESANTÍAS CONSOLIDADAS</v>
      </c>
      <c r="BU498" t="str">
        <v>2510 CESANTÍAS CONSOLIDADAS</v>
      </c>
      <c r="BV498" t="str">
        <v>2510 CESANTÍAS CONSOLIDADAS</v>
      </c>
      <c r="BZ498" t="str">
        <v>2510 CESANTÍAS CONSOLIDADAS</v>
      </c>
      <c r="CA498" t="str">
        <v>2510 CESANTÍAS CONSOLIDADAS</v>
      </c>
      <c r="CB498" t="str">
        <v>2510 CESANTÍAS CONSOLIDADAS</v>
      </c>
      <c r="CC498" t="str">
        <v>2510 CESANTÍAS CONSOLIDADAS</v>
      </c>
      <c r="CD498" t="str">
        <v>2510 CESANTÍAS CONSOLIDADAS</v>
      </c>
      <c r="CE498" t="str">
        <v>2510 CESANTÍAS CONSOLIDADAS</v>
      </c>
      <c r="CS498" s="141" t="str">
        <v>2510 CESANTÍAS CONSOLIDADAS</v>
      </c>
      <c r="CT498" s="141" t="str">
        <v>2510 CESANTÍAS CONSOLIDADAS</v>
      </c>
      <c r="CU498" s="141" t="str">
        <v>2510 CESANTÍAS CONSOLIDADAS</v>
      </c>
      <c r="CV498" s="141" t="str">
        <v>2510 CESANTÍAS CONSOLIDADAS</v>
      </c>
      <c r="CW498" s="141" t="str">
        <v>2510 CESANTÍAS CONSOLIDADAS</v>
      </c>
      <c r="CX498" s="141" t="str">
        <v>2510 CESANTÍAS CONSOLIDADAS</v>
      </c>
      <c r="CY498" s="141" t="str">
        <v>2510 CESANTÍAS CONSOLIDADAS</v>
      </c>
      <c r="CZ498" s="141" t="str">
        <v>2510 CESANTÍAS CONSOLIDADAS</v>
      </c>
      <c r="DA498" s="141" t="str">
        <v>2510 CESANTÍAS CONSOLIDADAS</v>
      </c>
      <c r="DF498" t="str">
        <v>2510 CESANTÍAS CONSOLIDADAS</v>
      </c>
      <c r="DG498" t="str">
        <v>2510 CESANTÍAS CONSOLIDADAS</v>
      </c>
      <c r="DH498" t="str">
        <v>2510 CESANTÍAS CONSOLIDADAS</v>
      </c>
      <c r="DI498" t="str">
        <v>2510 CESANTÍAS CONSOLIDADAS</v>
      </c>
      <c r="DJ498" t="str">
        <v>2510 CESANTÍAS CONSOLIDADAS</v>
      </c>
      <c r="DK498" t="str">
        <v>2510 CESANTÍAS CONSOLIDADAS</v>
      </c>
      <c r="DL498" t="str">
        <v>2510 CESANTÍAS CONSOLIDADAS</v>
      </c>
      <c r="DM498" t="str">
        <v>2510 CESANTÍAS CONSOLIDADAS</v>
      </c>
      <c r="DN498" t="str">
        <v>2510 CESANTÍAS CONSOLIDADAS</v>
      </c>
      <c r="DO498" t="str">
        <v>2510 CESANTÍAS CONSOLIDADAS</v>
      </c>
      <c r="DP498" t="str">
        <v>2510 CESANTÍAS CONSOLIDADAS</v>
      </c>
    </row>
    <row r="499" spans="4:120" ht="12.75">
      <c r="D499" s="7">
        <v>251005</v>
      </c>
      <c r="E499" s="6" t="s">
        <v>379</v>
      </c>
      <c r="F499" s="5">
        <v>4</v>
      </c>
      <c r="G499" s="34" t="s">
        <v>823</v>
      </c>
      <c r="H499" s="26" t="s">
        <v>765</v>
      </c>
      <c r="I499" t="b">
        <f>+ISNUMBER(SEARCH('F-COMPRA'!$F$28,Tabla11[[#This Row],[Cuenta]],1))</f>
        <v>1</v>
      </c>
      <c r="J499" t="b">
        <f>+ISNUMBER(SEARCH('F-COMPRA'!$F$29,Tabla11[[#This Row],[Cuenta]],1))</f>
        <v>1</v>
      </c>
      <c r="K499" t="b">
        <f>+ISNUMBER(SEARCH('F-COMPRA'!$F$30,Tabla11[[#This Row],[Cuenta]],1))</f>
        <v>1</v>
      </c>
      <c r="L499" t="b">
        <f>+ISNUMBER(SEARCH('F-COMPRA'!$F$31,Tabla11[[#This Row],[Cuenta]],1))</f>
        <v>1</v>
      </c>
      <c r="M499" t="b">
        <f>+ISNUMBER(SEARCH('F-COMPRA'!$G$25,Tabla11[[#This Row],[Cuenta]],1))</f>
        <v>0</v>
      </c>
      <c r="N499" t="b">
        <f>+ISNUMBER(SEARCH(#REF!,Tabla11[[#This Row],[Cuenta]],1))</f>
        <v>0</v>
      </c>
      <c r="O499" t="b">
        <f>+ISNUMBER(SEARCH(#REF!,Tabla11[[#This Row],[Cuenta]],1))</f>
        <v>0</v>
      </c>
      <c r="P499" t="b">
        <f>+ISNUMBER(SEARCH('F-COMPRA'!$F$32,Tabla11[[#This Row],[Cuenta]],1))</f>
        <v>1</v>
      </c>
      <c r="Q499" t="b">
        <f>+ISNUMBER(SEARCH('F-COMPRA'!$F$33,Tabla11[[#This Row],[Cuenta]],1))</f>
        <v>1</v>
      </c>
      <c r="R499" t="b">
        <f>+ISNUMBER(SEARCH('F-COMPRA'!$F$34,Tabla11[[#This Row],[Cuenta]],1))</f>
        <v>1</v>
      </c>
      <c r="S499" t="b">
        <f>+ISNUMBER(SEARCH('F-COMPRA'!$F$35,Tabla11[[#This Row],[Cuenta]],1))</f>
        <v>1</v>
      </c>
      <c r="T499" t="b">
        <f>+ISNUMBER(SEARCH('F-COMPRA'!$F$36,Tabla11[[#This Row],[Cuenta]],1))</f>
        <v>1</v>
      </c>
      <c r="U499" t="b">
        <f>+ISNUMBER(SEARCH('F-COMPRA'!$F$37,Tabla11[[#This Row],[Cuenta]],1))</f>
        <v>1</v>
      </c>
      <c r="V499" t="b">
        <f>+ISNUMBER(SEARCH(#REF!,Tabla11[[#This Row],[Cuenta]],1))</f>
        <v>0</v>
      </c>
      <c r="W499" t="b">
        <f>+ISNUMBER(SEARCH('F-COMPRA'!#REF!,Tabla11[[#This Row],[Cuenta]],1))</f>
        <v>0</v>
      </c>
      <c r="X499" t="b">
        <f>+ISNUMBER(SEARCH('F-COMPRA'!#REF!,Tabla11[[#This Row],[Cuenta]],1))</f>
        <v>0</v>
      </c>
      <c r="Y499" t="b">
        <f>+ISNUMBER(SEARCH('F-COMPRA'!#REF!,Tabla11[[#This Row],[Cuenta]],1))</f>
        <v>0</v>
      </c>
      <c r="Z499" t="b">
        <f>+ISNUMBER(SEARCH('F-COMPRA'!#REF!,Tabla11[[#This Row],[Cuenta]],1))</f>
        <v>0</v>
      </c>
      <c r="AA499" t="b">
        <f>+ISNUMBER(SEARCH('F-COMPRA'!#REF!,Tabla11[[#This Row],[Cuenta]],1))</f>
        <v>0</v>
      </c>
      <c r="AB499" t="b">
        <f>+ISNUMBER(SEARCH('F-COMPRA'!#REF!,Tabla11[[#This Row],[Cuenta]],1))</f>
        <v>0</v>
      </c>
      <c r="AC499" t="b">
        <f>+ISNUMBER(SEARCH('F-COMPRA'!#REF!,Tabla11[[#This Row],[Cuenta]],1))</f>
        <v>0</v>
      </c>
      <c r="AD499" t="b">
        <f>+ISNUMBER(SEARCH('F-COMPRA'!#REF!,Tabla11[[#This Row],[Cuenta]],1))</f>
        <v>0</v>
      </c>
      <c r="AE499" t="b">
        <f>+ISNUMBER(SEARCH('F-COMPRA'!#REF!,Tabla11[[#This Row],[Cuenta]],1))</f>
        <v>0</v>
      </c>
      <c r="AF499" t="b">
        <f>+ISNUMBER(SEARCH('F-VTA'!$G$23,Tabla11[[#This Row],[Cuenta]],1))</f>
        <v>0</v>
      </c>
      <c r="AG499" t="b">
        <f>+ISNUMBER(SEARCH('F-VTA'!$G$24,Tabla11[[#This Row],[Cuenta]],1))</f>
        <v>0</v>
      </c>
      <c r="AH499" t="b">
        <f>+ISNUMBER(SEARCH('F-VTA'!$G$25,Tabla11[[#This Row],[Cuenta]],1))</f>
        <v>0</v>
      </c>
      <c r="AI499" t="b">
        <f>+ISNUMBER(SEARCH('F-VTA'!$F$28,Tabla11[[#This Row],[Cuenta]],1))</f>
        <v>1</v>
      </c>
      <c r="AJ499" t="b">
        <f>+ISNUMBER(SEARCH('F-VTA'!$F$29,Tabla11[[#This Row],[Cuenta]],1))</f>
        <v>1</v>
      </c>
      <c r="AK499" t="b">
        <f>+ISNUMBER(SEARCH('F-VTA'!$F$30,Tabla11[[#This Row],[Cuenta]],1))</f>
        <v>1</v>
      </c>
      <c r="AL499" t="b">
        <f>+ISNUMBER(SEARCH('F-VTA'!$F$31,Tabla11[[#This Row],[Cuenta]],1))</f>
        <v>1</v>
      </c>
      <c r="AM499" t="b">
        <f>+ISNUMBER(SEARCH('F-VTA'!$F$32,Tabla11[[#This Row],[Cuenta]],1))</f>
        <v>1</v>
      </c>
      <c r="AN499" t="b">
        <f>+ISNUMBER(SEARCH('F-VTA'!$F$33,Tabla11[[#This Row],[Cuenta]],1))</f>
        <v>1</v>
      </c>
      <c r="AO499" t="b">
        <f>+ISNUMBER(SEARCH('F-VTA'!$F$34,Tabla11[[#This Row],[Cuenta]],1))</f>
        <v>1</v>
      </c>
      <c r="AP499" t="b">
        <f>+ISNUMBER(SEARCH('F-VTA'!$F$35,Tabla11[[#This Row],[Cuenta]],1))</f>
        <v>1</v>
      </c>
      <c r="AQ499" t="b">
        <f>+ISNUMBER(SEARCH('F-VTA'!$F$36,Tabla11[[#This Row],[Cuenta]],1))</f>
        <v>1</v>
      </c>
      <c r="AR499" t="b">
        <f>+ISNUMBER(SEARCH(#REF!,Tabla11[[#This Row],[Cuenta]],1))</f>
        <v>0</v>
      </c>
      <c r="AS499" t="b">
        <f>+ISNUMBER(SEARCH(#REF!,Tabla11[[#This Row],[Cuenta]],1))</f>
        <v>0</v>
      </c>
      <c r="AT499" t="b">
        <f>+ISNUMBER(SEARCH(#REF!,Tabla11[[#This Row],[Cuenta]],1))</f>
        <v>0</v>
      </c>
      <c r="AU499" t="b">
        <f>+ISNUMBER(SEARCH('Conc. Ban.1'!$I$9,Tabla11[[#This Row],[Cuenta]],1))</f>
        <v>0</v>
      </c>
      <c r="AV499" t="b">
        <f>+ISNUMBER(SEARCH(CompConta!$F$21,Tabla11[[#This Row],[Cuenta]],1))</f>
        <v>1</v>
      </c>
      <c r="AW499" t="b">
        <f>+ISNUMBER(SEARCH(CompConta!$F$22,Tabla11[[#This Row],[Cuenta]],1))</f>
        <v>1</v>
      </c>
      <c r="AX499" t="b">
        <f>+ISNUMBER(SEARCH(CompConta!$F$23,Tabla11[[#This Row],[Cuenta]],1))</f>
        <v>1</v>
      </c>
      <c r="AY499" t="b">
        <f>+ISNUMBER(SEARCH(CompConta!$F$24,Tabla11[[#This Row],[Cuenta]],1))</f>
        <v>1</v>
      </c>
      <c r="AZ499" t="b">
        <f>+ISNUMBER(SEARCH(CompConta!$F$25,Tabla11[[#This Row],[Cuenta]],1))</f>
        <v>1</v>
      </c>
      <c r="BA499" t="b">
        <f>+ISNUMBER(SEARCH(CompConta!$F$26,Tabla11[[#This Row],[Cuenta]],1))</f>
        <v>1</v>
      </c>
      <c r="BB499" t="b">
        <f>+ISNUMBER(SEARCH(CompConta!$F$27,Tabla11[[#This Row],[Cuenta]],1))</f>
        <v>1</v>
      </c>
      <c r="BC499" t="b">
        <f>+ISNUMBER(SEARCH(CompConta!$F$28,Tabla11[[#This Row],[Cuenta]],1))</f>
        <v>1</v>
      </c>
      <c r="BD499" t="b">
        <f>+ISNUMBER(SEARCH(CompConta!$F$29,Tabla11[[#This Row],[Cuenta]],1))</f>
        <v>1</v>
      </c>
      <c r="BE499" t="b">
        <f>+ISNUMBER(SEARCH(CompConta!$F$30,Tabla11[[#This Row],[Cuenta]],1))</f>
        <v>1</v>
      </c>
      <c r="BF499" t="b">
        <f>+ISNUMBER(SEARCH('PAGO Compras'!$E$11,Tabla11[[#This Row],[Cuenta]],1))</f>
        <v>1</v>
      </c>
      <c r="BG499" t="b">
        <f>+ISNUMBER(SEARCH(#REF!,Tabla11[[#This Row],[Cuenta]],1))</f>
        <v>0</v>
      </c>
      <c r="BH499" t="b">
        <f>+ISNUMBER(SEARCH(#REF!,Tabla11[[#This Row],[Cuenta]],1))</f>
        <v>0</v>
      </c>
      <c r="BI499" t="b">
        <f>+ISNUMBER(SEARCH(#REF!,Tabla11[[#This Row],[Cuenta]],1))</f>
        <v>0</v>
      </c>
      <c r="BJ499" t="b">
        <f>+ISNUMBER(SEARCH(#REF!,Tabla11[[#This Row],[Cuenta]],1))</f>
        <v>0</v>
      </c>
      <c r="BS499" t="str">
        <v>251005 Ley laboral anterior</v>
      </c>
      <c r="BT499" t="str">
        <v>251005 Ley laboral anterior</v>
      </c>
      <c r="BU499" t="str">
        <v>251005 Ley laboral anterior</v>
      </c>
      <c r="BV499" t="str">
        <v>251005 Ley laboral anterior</v>
      </c>
      <c r="BZ499" t="str">
        <v>251005 Ley laboral anterior</v>
      </c>
      <c r="CA499" t="str">
        <v>251005 Ley laboral anterior</v>
      </c>
      <c r="CB499" t="str">
        <v>251005 Ley laboral anterior</v>
      </c>
      <c r="CC499" t="str">
        <v>251005 Ley laboral anterior</v>
      </c>
      <c r="CD499" t="str">
        <v>251005 Ley laboral anterior</v>
      </c>
      <c r="CE499" t="str">
        <v>251005 Ley laboral anterior</v>
      </c>
      <c r="CS499" s="141" t="str">
        <v>251005 Ley laboral anterior</v>
      </c>
      <c r="CT499" s="141" t="str">
        <v>251005 Ley laboral anterior</v>
      </c>
      <c r="CU499" s="141" t="str">
        <v>251005 Ley laboral anterior</v>
      </c>
      <c r="CV499" s="141" t="str">
        <v>251005 Ley laboral anterior</v>
      </c>
      <c r="CW499" s="141" t="str">
        <v>251005 Ley laboral anterior</v>
      </c>
      <c r="CX499" s="141" t="str">
        <v>251005 Ley laboral anterior</v>
      </c>
      <c r="CY499" s="141" t="str">
        <v>251005 Ley laboral anterior</v>
      </c>
      <c r="CZ499" s="141" t="str">
        <v>251005 Ley laboral anterior</v>
      </c>
      <c r="DA499" s="141" t="str">
        <v>251005 Ley laboral anterior</v>
      </c>
      <c r="DF499" t="str">
        <v>251005 Ley laboral anterior</v>
      </c>
      <c r="DG499" t="str">
        <v>251005 Ley laboral anterior</v>
      </c>
      <c r="DH499" t="str">
        <v>251005 Ley laboral anterior</v>
      </c>
      <c r="DI499" t="str">
        <v>251005 Ley laboral anterior</v>
      </c>
      <c r="DJ499" t="str">
        <v>251005 Ley laboral anterior</v>
      </c>
      <c r="DK499" t="str">
        <v>251005 Ley laboral anterior</v>
      </c>
      <c r="DL499" t="str">
        <v>251005 Ley laboral anterior</v>
      </c>
      <c r="DM499" t="str">
        <v>251005 Ley laboral anterior</v>
      </c>
      <c r="DN499" t="str">
        <v>251005 Ley laboral anterior</v>
      </c>
      <c r="DO499" t="str">
        <v>251005 Ley laboral anterior</v>
      </c>
      <c r="DP499" t="str">
        <v>251005 Ley laboral anterior</v>
      </c>
    </row>
    <row r="500" spans="4:120" ht="12.75">
      <c r="D500" s="7">
        <v>251010</v>
      </c>
      <c r="E500" s="6" t="s">
        <v>380</v>
      </c>
      <c r="F500" s="5">
        <v>4</v>
      </c>
      <c r="G500" s="34" t="s">
        <v>823</v>
      </c>
      <c r="H500" s="26" t="s">
        <v>765</v>
      </c>
      <c r="I500" t="b">
        <f>+ISNUMBER(SEARCH('F-COMPRA'!$F$28,Tabla11[[#This Row],[Cuenta]],1))</f>
        <v>1</v>
      </c>
      <c r="J500" t="b">
        <f>+ISNUMBER(SEARCH('F-COMPRA'!$F$29,Tabla11[[#This Row],[Cuenta]],1))</f>
        <v>1</v>
      </c>
      <c r="K500" t="b">
        <f>+ISNUMBER(SEARCH('F-COMPRA'!$F$30,Tabla11[[#This Row],[Cuenta]],1))</f>
        <v>1</v>
      </c>
      <c r="L500" t="b">
        <f>+ISNUMBER(SEARCH('F-COMPRA'!$F$31,Tabla11[[#This Row],[Cuenta]],1))</f>
        <v>1</v>
      </c>
      <c r="M500" t="b">
        <f>+ISNUMBER(SEARCH('F-COMPRA'!$G$25,Tabla11[[#This Row],[Cuenta]],1))</f>
        <v>0</v>
      </c>
      <c r="N500" t="b">
        <f>+ISNUMBER(SEARCH(#REF!,Tabla11[[#This Row],[Cuenta]],1))</f>
        <v>0</v>
      </c>
      <c r="O500" t="b">
        <f>+ISNUMBER(SEARCH(#REF!,Tabla11[[#This Row],[Cuenta]],1))</f>
        <v>0</v>
      </c>
      <c r="P500" t="b">
        <f>+ISNUMBER(SEARCH('F-COMPRA'!$F$32,Tabla11[[#This Row],[Cuenta]],1))</f>
        <v>1</v>
      </c>
      <c r="Q500" t="b">
        <f>+ISNUMBER(SEARCH('F-COMPRA'!$F$33,Tabla11[[#This Row],[Cuenta]],1))</f>
        <v>1</v>
      </c>
      <c r="R500" t="b">
        <f>+ISNUMBER(SEARCH('F-COMPRA'!$F$34,Tabla11[[#This Row],[Cuenta]],1))</f>
        <v>1</v>
      </c>
      <c r="S500" t="b">
        <f>+ISNUMBER(SEARCH('F-COMPRA'!$F$35,Tabla11[[#This Row],[Cuenta]],1))</f>
        <v>1</v>
      </c>
      <c r="T500" t="b">
        <f>+ISNUMBER(SEARCH('F-COMPRA'!$F$36,Tabla11[[#This Row],[Cuenta]],1))</f>
        <v>1</v>
      </c>
      <c r="U500" t="b">
        <f>+ISNUMBER(SEARCH('F-COMPRA'!$F$37,Tabla11[[#This Row],[Cuenta]],1))</f>
        <v>1</v>
      </c>
      <c r="V500" t="b">
        <f>+ISNUMBER(SEARCH(#REF!,Tabla11[[#This Row],[Cuenta]],1))</f>
        <v>0</v>
      </c>
      <c r="W500" t="b">
        <f>+ISNUMBER(SEARCH('F-COMPRA'!#REF!,Tabla11[[#This Row],[Cuenta]],1))</f>
        <v>0</v>
      </c>
      <c r="X500" t="b">
        <f>+ISNUMBER(SEARCH('F-COMPRA'!#REF!,Tabla11[[#This Row],[Cuenta]],1))</f>
        <v>0</v>
      </c>
      <c r="Y500" t="b">
        <f>+ISNUMBER(SEARCH('F-COMPRA'!#REF!,Tabla11[[#This Row],[Cuenta]],1))</f>
        <v>0</v>
      </c>
      <c r="Z500" t="b">
        <f>+ISNUMBER(SEARCH('F-COMPRA'!#REF!,Tabla11[[#This Row],[Cuenta]],1))</f>
        <v>0</v>
      </c>
      <c r="AA500" t="b">
        <f>+ISNUMBER(SEARCH('F-COMPRA'!#REF!,Tabla11[[#This Row],[Cuenta]],1))</f>
        <v>0</v>
      </c>
      <c r="AB500" t="b">
        <f>+ISNUMBER(SEARCH('F-COMPRA'!#REF!,Tabla11[[#This Row],[Cuenta]],1))</f>
        <v>0</v>
      </c>
      <c r="AC500" t="b">
        <f>+ISNUMBER(SEARCH('F-COMPRA'!#REF!,Tabla11[[#This Row],[Cuenta]],1))</f>
        <v>0</v>
      </c>
      <c r="AD500" t="b">
        <f>+ISNUMBER(SEARCH('F-COMPRA'!#REF!,Tabla11[[#This Row],[Cuenta]],1))</f>
        <v>0</v>
      </c>
      <c r="AE500" t="b">
        <f>+ISNUMBER(SEARCH('F-COMPRA'!#REF!,Tabla11[[#This Row],[Cuenta]],1))</f>
        <v>0</v>
      </c>
      <c r="AF500" t="b">
        <f>+ISNUMBER(SEARCH('F-VTA'!$G$23,Tabla11[[#This Row],[Cuenta]],1))</f>
        <v>0</v>
      </c>
      <c r="AG500" t="b">
        <f>+ISNUMBER(SEARCH('F-VTA'!$G$24,Tabla11[[#This Row],[Cuenta]],1))</f>
        <v>0</v>
      </c>
      <c r="AH500" t="b">
        <f>+ISNUMBER(SEARCH('F-VTA'!$G$25,Tabla11[[#This Row],[Cuenta]],1))</f>
        <v>0</v>
      </c>
      <c r="AI500" t="b">
        <f>+ISNUMBER(SEARCH('F-VTA'!$F$28,Tabla11[[#This Row],[Cuenta]],1))</f>
        <v>1</v>
      </c>
      <c r="AJ500" t="b">
        <f>+ISNUMBER(SEARCH('F-VTA'!$F$29,Tabla11[[#This Row],[Cuenta]],1))</f>
        <v>1</v>
      </c>
      <c r="AK500" t="b">
        <f>+ISNUMBER(SEARCH('F-VTA'!$F$30,Tabla11[[#This Row],[Cuenta]],1))</f>
        <v>1</v>
      </c>
      <c r="AL500" t="b">
        <f>+ISNUMBER(SEARCH('F-VTA'!$F$31,Tabla11[[#This Row],[Cuenta]],1))</f>
        <v>1</v>
      </c>
      <c r="AM500" t="b">
        <f>+ISNUMBER(SEARCH('F-VTA'!$F$32,Tabla11[[#This Row],[Cuenta]],1))</f>
        <v>1</v>
      </c>
      <c r="AN500" t="b">
        <f>+ISNUMBER(SEARCH('F-VTA'!$F$33,Tabla11[[#This Row],[Cuenta]],1))</f>
        <v>1</v>
      </c>
      <c r="AO500" t="b">
        <f>+ISNUMBER(SEARCH('F-VTA'!$F$34,Tabla11[[#This Row],[Cuenta]],1))</f>
        <v>1</v>
      </c>
      <c r="AP500" t="b">
        <f>+ISNUMBER(SEARCH('F-VTA'!$F$35,Tabla11[[#This Row],[Cuenta]],1))</f>
        <v>1</v>
      </c>
      <c r="AQ500" t="b">
        <f>+ISNUMBER(SEARCH('F-VTA'!$F$36,Tabla11[[#This Row],[Cuenta]],1))</f>
        <v>1</v>
      </c>
      <c r="AR500" t="b">
        <f>+ISNUMBER(SEARCH(#REF!,Tabla11[[#This Row],[Cuenta]],1))</f>
        <v>0</v>
      </c>
      <c r="AS500" t="b">
        <f>+ISNUMBER(SEARCH(#REF!,Tabla11[[#This Row],[Cuenta]],1))</f>
        <v>0</v>
      </c>
      <c r="AT500" t="b">
        <f>+ISNUMBER(SEARCH(#REF!,Tabla11[[#This Row],[Cuenta]],1))</f>
        <v>0</v>
      </c>
      <c r="AU500" t="b">
        <f>+ISNUMBER(SEARCH('Conc. Ban.1'!$I$9,Tabla11[[#This Row],[Cuenta]],1))</f>
        <v>0</v>
      </c>
      <c r="AV500" t="b">
        <f>+ISNUMBER(SEARCH(CompConta!$F$21,Tabla11[[#This Row],[Cuenta]],1))</f>
        <v>1</v>
      </c>
      <c r="AW500" t="b">
        <f>+ISNUMBER(SEARCH(CompConta!$F$22,Tabla11[[#This Row],[Cuenta]],1))</f>
        <v>1</v>
      </c>
      <c r="AX500" t="b">
        <f>+ISNUMBER(SEARCH(CompConta!$F$23,Tabla11[[#This Row],[Cuenta]],1))</f>
        <v>1</v>
      </c>
      <c r="AY500" t="b">
        <f>+ISNUMBER(SEARCH(CompConta!$F$24,Tabla11[[#This Row],[Cuenta]],1))</f>
        <v>1</v>
      </c>
      <c r="AZ500" t="b">
        <f>+ISNUMBER(SEARCH(CompConta!$F$25,Tabla11[[#This Row],[Cuenta]],1))</f>
        <v>1</v>
      </c>
      <c r="BA500" t="b">
        <f>+ISNUMBER(SEARCH(CompConta!$F$26,Tabla11[[#This Row],[Cuenta]],1))</f>
        <v>1</v>
      </c>
      <c r="BB500" t="b">
        <f>+ISNUMBER(SEARCH(CompConta!$F$27,Tabla11[[#This Row],[Cuenta]],1))</f>
        <v>1</v>
      </c>
      <c r="BC500" t="b">
        <f>+ISNUMBER(SEARCH(CompConta!$F$28,Tabla11[[#This Row],[Cuenta]],1))</f>
        <v>1</v>
      </c>
      <c r="BD500" t="b">
        <f>+ISNUMBER(SEARCH(CompConta!$F$29,Tabla11[[#This Row],[Cuenta]],1))</f>
        <v>1</v>
      </c>
      <c r="BE500" t="b">
        <f>+ISNUMBER(SEARCH(CompConta!$F$30,Tabla11[[#This Row],[Cuenta]],1))</f>
        <v>1</v>
      </c>
      <c r="BF500" t="b">
        <f>+ISNUMBER(SEARCH('PAGO Compras'!$E$11,Tabla11[[#This Row],[Cuenta]],1))</f>
        <v>1</v>
      </c>
      <c r="BG500" t="b">
        <f>+ISNUMBER(SEARCH(#REF!,Tabla11[[#This Row],[Cuenta]],1))</f>
        <v>0</v>
      </c>
      <c r="BH500" t="b">
        <f>+ISNUMBER(SEARCH(#REF!,Tabla11[[#This Row],[Cuenta]],1))</f>
        <v>0</v>
      </c>
      <c r="BI500" t="b">
        <f>+ISNUMBER(SEARCH(#REF!,Tabla11[[#This Row],[Cuenta]],1))</f>
        <v>0</v>
      </c>
      <c r="BJ500" t="b">
        <f>+ISNUMBER(SEARCH(#REF!,Tabla11[[#This Row],[Cuenta]],1))</f>
        <v>0</v>
      </c>
      <c r="BS500" t="str">
        <v>251010 Ley 50 de 1990 y normas posteriores</v>
      </c>
      <c r="BT500" t="str">
        <v>251010 Ley 50 de 1990 y normas posteriores</v>
      </c>
      <c r="BU500" t="str">
        <v>251010 Ley 50 de 1990 y normas posteriores</v>
      </c>
      <c r="BV500" t="str">
        <v>251010 Ley 50 de 1990 y normas posteriores</v>
      </c>
      <c r="BZ500" t="str">
        <v>251010 Ley 50 de 1990 y normas posteriores</v>
      </c>
      <c r="CA500" t="str">
        <v>251010 Ley 50 de 1990 y normas posteriores</v>
      </c>
      <c r="CB500" t="str">
        <v>251010 Ley 50 de 1990 y normas posteriores</v>
      </c>
      <c r="CC500" t="str">
        <v>251010 Ley 50 de 1990 y normas posteriores</v>
      </c>
      <c r="CD500" t="str">
        <v>251010 Ley 50 de 1990 y normas posteriores</v>
      </c>
      <c r="CE500" t="str">
        <v>251010 Ley 50 de 1990 y normas posteriores</v>
      </c>
      <c r="CS500" s="141" t="str">
        <v>251010 Ley 50 de 1990 y normas posteriores</v>
      </c>
      <c r="CT500" s="141" t="str">
        <v>251010 Ley 50 de 1990 y normas posteriores</v>
      </c>
      <c r="CU500" s="141" t="str">
        <v>251010 Ley 50 de 1990 y normas posteriores</v>
      </c>
      <c r="CV500" s="141" t="str">
        <v>251010 Ley 50 de 1990 y normas posteriores</v>
      </c>
      <c r="CW500" s="141" t="str">
        <v>251010 Ley 50 de 1990 y normas posteriores</v>
      </c>
      <c r="CX500" s="141" t="str">
        <v>251010 Ley 50 de 1990 y normas posteriores</v>
      </c>
      <c r="CY500" s="141" t="str">
        <v>251010 Ley 50 de 1990 y normas posteriores</v>
      </c>
      <c r="CZ500" s="141" t="str">
        <v>251010 Ley 50 de 1990 y normas posteriores</v>
      </c>
      <c r="DA500" s="141" t="str">
        <v>251010 Ley 50 de 1990 y normas posteriores</v>
      </c>
      <c r="DF500" t="str">
        <v>251010 Ley 50 de 1990 y normas posteriores</v>
      </c>
      <c r="DG500" t="str">
        <v>251010 Ley 50 de 1990 y normas posteriores</v>
      </c>
      <c r="DH500" t="str">
        <v>251010 Ley 50 de 1990 y normas posteriores</v>
      </c>
      <c r="DI500" t="str">
        <v>251010 Ley 50 de 1990 y normas posteriores</v>
      </c>
      <c r="DJ500" t="str">
        <v>251010 Ley 50 de 1990 y normas posteriores</v>
      </c>
      <c r="DK500" t="str">
        <v>251010 Ley 50 de 1990 y normas posteriores</v>
      </c>
      <c r="DL500" t="str">
        <v>251010 Ley 50 de 1990 y normas posteriores</v>
      </c>
      <c r="DM500" t="str">
        <v>251010 Ley 50 de 1990 y normas posteriores</v>
      </c>
      <c r="DN500" t="str">
        <v>251010 Ley 50 de 1990 y normas posteriores</v>
      </c>
      <c r="DO500" t="str">
        <v>251010 Ley 50 de 1990 y normas posteriores</v>
      </c>
      <c r="DP500" t="str">
        <v>251010 Ley 50 de 1990 y normas posteriores</v>
      </c>
    </row>
    <row r="501" spans="4:120" ht="12.75">
      <c r="D501" s="7">
        <v>2515</v>
      </c>
      <c r="E501" s="6" t="s">
        <v>381</v>
      </c>
      <c r="F501" s="5">
        <v>3</v>
      </c>
      <c r="G501" s="34" t="s">
        <v>823</v>
      </c>
      <c r="H501" s="26" t="s">
        <v>765</v>
      </c>
      <c r="I501" t="b">
        <f>+ISNUMBER(SEARCH('F-COMPRA'!$F$28,Tabla11[[#This Row],[Cuenta]],1))</f>
        <v>1</v>
      </c>
      <c r="J501" t="b">
        <f>+ISNUMBER(SEARCH('F-COMPRA'!$F$29,Tabla11[[#This Row],[Cuenta]],1))</f>
        <v>1</v>
      </c>
      <c r="K501" t="b">
        <f>+ISNUMBER(SEARCH('F-COMPRA'!$F$30,Tabla11[[#This Row],[Cuenta]],1))</f>
        <v>1</v>
      </c>
      <c r="L501" t="b">
        <f>+ISNUMBER(SEARCH('F-COMPRA'!$F$31,Tabla11[[#This Row],[Cuenta]],1))</f>
        <v>1</v>
      </c>
      <c r="M501" t="b">
        <f>+ISNUMBER(SEARCH('F-COMPRA'!$G$25,Tabla11[[#This Row],[Cuenta]],1))</f>
        <v>0</v>
      </c>
      <c r="N501" t="b">
        <f>+ISNUMBER(SEARCH(#REF!,Tabla11[[#This Row],[Cuenta]],1))</f>
        <v>0</v>
      </c>
      <c r="O501" t="b">
        <f>+ISNUMBER(SEARCH(#REF!,Tabla11[[#This Row],[Cuenta]],1))</f>
        <v>0</v>
      </c>
      <c r="P501" t="b">
        <f>+ISNUMBER(SEARCH('F-COMPRA'!$F$32,Tabla11[[#This Row],[Cuenta]],1))</f>
        <v>1</v>
      </c>
      <c r="Q501" t="b">
        <f>+ISNUMBER(SEARCH('F-COMPRA'!$F$33,Tabla11[[#This Row],[Cuenta]],1))</f>
        <v>1</v>
      </c>
      <c r="R501" t="b">
        <f>+ISNUMBER(SEARCH('F-COMPRA'!$F$34,Tabla11[[#This Row],[Cuenta]],1))</f>
        <v>1</v>
      </c>
      <c r="S501" t="b">
        <f>+ISNUMBER(SEARCH('F-COMPRA'!$F$35,Tabla11[[#This Row],[Cuenta]],1))</f>
        <v>1</v>
      </c>
      <c r="T501" t="b">
        <f>+ISNUMBER(SEARCH('F-COMPRA'!$F$36,Tabla11[[#This Row],[Cuenta]],1))</f>
        <v>1</v>
      </c>
      <c r="U501" t="b">
        <f>+ISNUMBER(SEARCH('F-COMPRA'!$F$37,Tabla11[[#This Row],[Cuenta]],1))</f>
        <v>1</v>
      </c>
      <c r="V501" t="b">
        <f>+ISNUMBER(SEARCH(#REF!,Tabla11[[#This Row],[Cuenta]],1))</f>
        <v>0</v>
      </c>
      <c r="W501" t="b">
        <f>+ISNUMBER(SEARCH('F-COMPRA'!#REF!,Tabla11[[#This Row],[Cuenta]],1))</f>
        <v>0</v>
      </c>
      <c r="X501" t="b">
        <f>+ISNUMBER(SEARCH('F-COMPRA'!#REF!,Tabla11[[#This Row],[Cuenta]],1))</f>
        <v>0</v>
      </c>
      <c r="Y501" t="b">
        <f>+ISNUMBER(SEARCH('F-COMPRA'!#REF!,Tabla11[[#This Row],[Cuenta]],1))</f>
        <v>0</v>
      </c>
      <c r="Z501" t="b">
        <f>+ISNUMBER(SEARCH('F-COMPRA'!#REF!,Tabla11[[#This Row],[Cuenta]],1))</f>
        <v>0</v>
      </c>
      <c r="AA501" t="b">
        <f>+ISNUMBER(SEARCH('F-COMPRA'!#REF!,Tabla11[[#This Row],[Cuenta]],1))</f>
        <v>0</v>
      </c>
      <c r="AB501" t="b">
        <f>+ISNUMBER(SEARCH('F-COMPRA'!#REF!,Tabla11[[#This Row],[Cuenta]],1))</f>
        <v>0</v>
      </c>
      <c r="AC501" t="b">
        <f>+ISNUMBER(SEARCH('F-COMPRA'!#REF!,Tabla11[[#This Row],[Cuenta]],1))</f>
        <v>0</v>
      </c>
      <c r="AD501" t="b">
        <f>+ISNUMBER(SEARCH('F-COMPRA'!#REF!,Tabla11[[#This Row],[Cuenta]],1))</f>
        <v>0</v>
      </c>
      <c r="AE501" t="b">
        <f>+ISNUMBER(SEARCH('F-COMPRA'!#REF!,Tabla11[[#This Row],[Cuenta]],1))</f>
        <v>0</v>
      </c>
      <c r="AF501" t="b">
        <f>+ISNUMBER(SEARCH('F-VTA'!$G$23,Tabla11[[#This Row],[Cuenta]],1))</f>
        <v>0</v>
      </c>
      <c r="AG501" t="b">
        <f>+ISNUMBER(SEARCH('F-VTA'!$G$24,Tabla11[[#This Row],[Cuenta]],1))</f>
        <v>0</v>
      </c>
      <c r="AH501" t="b">
        <f>+ISNUMBER(SEARCH('F-VTA'!$G$25,Tabla11[[#This Row],[Cuenta]],1))</f>
        <v>0</v>
      </c>
      <c r="AI501" t="b">
        <f>+ISNUMBER(SEARCH('F-VTA'!$F$28,Tabla11[[#This Row],[Cuenta]],1))</f>
        <v>1</v>
      </c>
      <c r="AJ501" t="b">
        <f>+ISNUMBER(SEARCH('F-VTA'!$F$29,Tabla11[[#This Row],[Cuenta]],1))</f>
        <v>1</v>
      </c>
      <c r="AK501" t="b">
        <f>+ISNUMBER(SEARCH('F-VTA'!$F$30,Tabla11[[#This Row],[Cuenta]],1))</f>
        <v>1</v>
      </c>
      <c r="AL501" t="b">
        <f>+ISNUMBER(SEARCH('F-VTA'!$F$31,Tabla11[[#This Row],[Cuenta]],1))</f>
        <v>1</v>
      </c>
      <c r="AM501" t="b">
        <f>+ISNUMBER(SEARCH('F-VTA'!$F$32,Tabla11[[#This Row],[Cuenta]],1))</f>
        <v>1</v>
      </c>
      <c r="AN501" t="b">
        <f>+ISNUMBER(SEARCH('F-VTA'!$F$33,Tabla11[[#This Row],[Cuenta]],1))</f>
        <v>1</v>
      </c>
      <c r="AO501" t="b">
        <f>+ISNUMBER(SEARCH('F-VTA'!$F$34,Tabla11[[#This Row],[Cuenta]],1))</f>
        <v>1</v>
      </c>
      <c r="AP501" t="b">
        <f>+ISNUMBER(SEARCH('F-VTA'!$F$35,Tabla11[[#This Row],[Cuenta]],1))</f>
        <v>1</v>
      </c>
      <c r="AQ501" t="b">
        <f>+ISNUMBER(SEARCH('F-VTA'!$F$36,Tabla11[[#This Row],[Cuenta]],1))</f>
        <v>1</v>
      </c>
      <c r="AR501" t="b">
        <f>+ISNUMBER(SEARCH(#REF!,Tabla11[[#This Row],[Cuenta]],1))</f>
        <v>0</v>
      </c>
      <c r="AS501" t="b">
        <f>+ISNUMBER(SEARCH(#REF!,Tabla11[[#This Row],[Cuenta]],1))</f>
        <v>0</v>
      </c>
      <c r="AT501" t="b">
        <f>+ISNUMBER(SEARCH(#REF!,Tabla11[[#This Row],[Cuenta]],1))</f>
        <v>0</v>
      </c>
      <c r="AU501" t="b">
        <f>+ISNUMBER(SEARCH('Conc. Ban.1'!$I$9,Tabla11[[#This Row],[Cuenta]],1))</f>
        <v>0</v>
      </c>
      <c r="AV501" t="b">
        <f>+ISNUMBER(SEARCH(CompConta!$F$21,Tabla11[[#This Row],[Cuenta]],1))</f>
        <v>1</v>
      </c>
      <c r="AW501" t="b">
        <f>+ISNUMBER(SEARCH(CompConta!$F$22,Tabla11[[#This Row],[Cuenta]],1))</f>
        <v>1</v>
      </c>
      <c r="AX501" t="b">
        <f>+ISNUMBER(SEARCH(CompConta!$F$23,Tabla11[[#This Row],[Cuenta]],1))</f>
        <v>1</v>
      </c>
      <c r="AY501" t="b">
        <f>+ISNUMBER(SEARCH(CompConta!$F$24,Tabla11[[#This Row],[Cuenta]],1))</f>
        <v>1</v>
      </c>
      <c r="AZ501" t="b">
        <f>+ISNUMBER(SEARCH(CompConta!$F$25,Tabla11[[#This Row],[Cuenta]],1))</f>
        <v>1</v>
      </c>
      <c r="BA501" t="b">
        <f>+ISNUMBER(SEARCH(CompConta!$F$26,Tabla11[[#This Row],[Cuenta]],1))</f>
        <v>1</v>
      </c>
      <c r="BB501" t="b">
        <f>+ISNUMBER(SEARCH(CompConta!$F$27,Tabla11[[#This Row],[Cuenta]],1))</f>
        <v>1</v>
      </c>
      <c r="BC501" t="b">
        <f>+ISNUMBER(SEARCH(CompConta!$F$28,Tabla11[[#This Row],[Cuenta]],1))</f>
        <v>1</v>
      </c>
      <c r="BD501" t="b">
        <f>+ISNUMBER(SEARCH(CompConta!$F$29,Tabla11[[#This Row],[Cuenta]],1))</f>
        <v>1</v>
      </c>
      <c r="BE501" t="b">
        <f>+ISNUMBER(SEARCH(CompConta!$F$30,Tabla11[[#This Row],[Cuenta]],1))</f>
        <v>1</v>
      </c>
      <c r="BF501" t="b">
        <f>+ISNUMBER(SEARCH('PAGO Compras'!$E$11,Tabla11[[#This Row],[Cuenta]],1))</f>
        <v>1</v>
      </c>
      <c r="BG501" t="b">
        <f>+ISNUMBER(SEARCH(#REF!,Tabla11[[#This Row],[Cuenta]],1))</f>
        <v>0</v>
      </c>
      <c r="BH501" t="b">
        <f>+ISNUMBER(SEARCH(#REF!,Tabla11[[#This Row],[Cuenta]],1))</f>
        <v>0</v>
      </c>
      <c r="BI501" t="b">
        <f>+ISNUMBER(SEARCH(#REF!,Tabla11[[#This Row],[Cuenta]],1))</f>
        <v>0</v>
      </c>
      <c r="BJ501" t="b">
        <f>+ISNUMBER(SEARCH(#REF!,Tabla11[[#This Row],[Cuenta]],1))</f>
        <v>0</v>
      </c>
      <c r="BS501" t="str">
        <v>2515 INTERESES SOBRE CESANTÍAS</v>
      </c>
      <c r="BT501" t="str">
        <v>2515 INTERESES SOBRE CESANTÍAS</v>
      </c>
      <c r="BU501" t="str">
        <v>2515 INTERESES SOBRE CESANTÍAS</v>
      </c>
      <c r="BV501" t="str">
        <v>2515 INTERESES SOBRE CESANTÍAS</v>
      </c>
      <c r="BZ501" t="str">
        <v>2515 INTERESES SOBRE CESANTÍAS</v>
      </c>
      <c r="CA501" t="str">
        <v>2515 INTERESES SOBRE CESANTÍAS</v>
      </c>
      <c r="CB501" t="str">
        <v>2515 INTERESES SOBRE CESANTÍAS</v>
      </c>
      <c r="CC501" t="str">
        <v>2515 INTERESES SOBRE CESANTÍAS</v>
      </c>
      <c r="CD501" t="str">
        <v>2515 INTERESES SOBRE CESANTÍAS</v>
      </c>
      <c r="CE501" t="str">
        <v>2515 INTERESES SOBRE CESANTÍAS</v>
      </c>
      <c r="CS501" s="141" t="str">
        <v>2515 INTERESES SOBRE CESANTÍAS</v>
      </c>
      <c r="CT501" s="141" t="str">
        <v>2515 INTERESES SOBRE CESANTÍAS</v>
      </c>
      <c r="CU501" s="141" t="str">
        <v>2515 INTERESES SOBRE CESANTÍAS</v>
      </c>
      <c r="CV501" s="141" t="str">
        <v>2515 INTERESES SOBRE CESANTÍAS</v>
      </c>
      <c r="CW501" s="141" t="str">
        <v>2515 INTERESES SOBRE CESANTÍAS</v>
      </c>
      <c r="CX501" s="141" t="str">
        <v>2515 INTERESES SOBRE CESANTÍAS</v>
      </c>
      <c r="CY501" s="141" t="str">
        <v>2515 INTERESES SOBRE CESANTÍAS</v>
      </c>
      <c r="CZ501" s="141" t="str">
        <v>2515 INTERESES SOBRE CESANTÍAS</v>
      </c>
      <c r="DA501" s="141" t="str">
        <v>2515 INTERESES SOBRE CESANTÍAS</v>
      </c>
      <c r="DF501" t="str">
        <v>2515 INTERESES SOBRE CESANTÍAS</v>
      </c>
      <c r="DG501" t="str">
        <v>2515 INTERESES SOBRE CESANTÍAS</v>
      </c>
      <c r="DH501" t="str">
        <v>2515 INTERESES SOBRE CESANTÍAS</v>
      </c>
      <c r="DI501" t="str">
        <v>2515 INTERESES SOBRE CESANTÍAS</v>
      </c>
      <c r="DJ501" t="str">
        <v>2515 INTERESES SOBRE CESANTÍAS</v>
      </c>
      <c r="DK501" t="str">
        <v>2515 INTERESES SOBRE CESANTÍAS</v>
      </c>
      <c r="DL501" t="str">
        <v>2515 INTERESES SOBRE CESANTÍAS</v>
      </c>
      <c r="DM501" t="str">
        <v>2515 INTERESES SOBRE CESANTÍAS</v>
      </c>
      <c r="DN501" t="str">
        <v>2515 INTERESES SOBRE CESANTÍAS</v>
      </c>
      <c r="DO501" t="str">
        <v>2515 INTERESES SOBRE CESANTÍAS</v>
      </c>
      <c r="DP501" t="str">
        <v>2515 INTERESES SOBRE CESANTÍAS</v>
      </c>
    </row>
    <row r="502" spans="4:120" ht="12.75">
      <c r="D502" s="7">
        <v>2520</v>
      </c>
      <c r="E502" s="6" t="s">
        <v>382</v>
      </c>
      <c r="F502" s="5">
        <v>3</v>
      </c>
      <c r="G502" s="34" t="s">
        <v>823</v>
      </c>
      <c r="H502" s="26" t="s">
        <v>765</v>
      </c>
      <c r="I502" t="b">
        <f>+ISNUMBER(SEARCH('F-COMPRA'!$F$28,Tabla11[[#This Row],[Cuenta]],1))</f>
        <v>1</v>
      </c>
      <c r="J502" t="b">
        <f>+ISNUMBER(SEARCH('F-COMPRA'!$F$29,Tabla11[[#This Row],[Cuenta]],1))</f>
        <v>1</v>
      </c>
      <c r="K502" t="b">
        <f>+ISNUMBER(SEARCH('F-COMPRA'!$F$30,Tabla11[[#This Row],[Cuenta]],1))</f>
        <v>1</v>
      </c>
      <c r="L502" t="b">
        <f>+ISNUMBER(SEARCH('F-COMPRA'!$F$31,Tabla11[[#This Row],[Cuenta]],1))</f>
        <v>1</v>
      </c>
      <c r="M502" t="b">
        <f>+ISNUMBER(SEARCH('F-COMPRA'!$G$25,Tabla11[[#This Row],[Cuenta]],1))</f>
        <v>0</v>
      </c>
      <c r="N502" t="b">
        <f>+ISNUMBER(SEARCH(#REF!,Tabla11[[#This Row],[Cuenta]],1))</f>
        <v>0</v>
      </c>
      <c r="O502" t="b">
        <f>+ISNUMBER(SEARCH(#REF!,Tabla11[[#This Row],[Cuenta]],1))</f>
        <v>0</v>
      </c>
      <c r="P502" t="b">
        <f>+ISNUMBER(SEARCH('F-COMPRA'!$F$32,Tabla11[[#This Row],[Cuenta]],1))</f>
        <v>1</v>
      </c>
      <c r="Q502" t="b">
        <f>+ISNUMBER(SEARCH('F-COMPRA'!$F$33,Tabla11[[#This Row],[Cuenta]],1))</f>
        <v>1</v>
      </c>
      <c r="R502" t="b">
        <f>+ISNUMBER(SEARCH('F-COMPRA'!$F$34,Tabla11[[#This Row],[Cuenta]],1))</f>
        <v>1</v>
      </c>
      <c r="S502" t="b">
        <f>+ISNUMBER(SEARCH('F-COMPRA'!$F$35,Tabla11[[#This Row],[Cuenta]],1))</f>
        <v>1</v>
      </c>
      <c r="T502" t="b">
        <f>+ISNUMBER(SEARCH('F-COMPRA'!$F$36,Tabla11[[#This Row],[Cuenta]],1))</f>
        <v>1</v>
      </c>
      <c r="U502" t="b">
        <f>+ISNUMBER(SEARCH('F-COMPRA'!$F$37,Tabla11[[#This Row],[Cuenta]],1))</f>
        <v>1</v>
      </c>
      <c r="V502" t="b">
        <f>+ISNUMBER(SEARCH(#REF!,Tabla11[[#This Row],[Cuenta]],1))</f>
        <v>0</v>
      </c>
      <c r="W502" t="b">
        <f>+ISNUMBER(SEARCH('F-COMPRA'!#REF!,Tabla11[[#This Row],[Cuenta]],1))</f>
        <v>0</v>
      </c>
      <c r="X502" t="b">
        <f>+ISNUMBER(SEARCH('F-COMPRA'!#REF!,Tabla11[[#This Row],[Cuenta]],1))</f>
        <v>0</v>
      </c>
      <c r="Y502" t="b">
        <f>+ISNUMBER(SEARCH('F-COMPRA'!#REF!,Tabla11[[#This Row],[Cuenta]],1))</f>
        <v>0</v>
      </c>
      <c r="Z502" t="b">
        <f>+ISNUMBER(SEARCH('F-COMPRA'!#REF!,Tabla11[[#This Row],[Cuenta]],1))</f>
        <v>0</v>
      </c>
      <c r="AA502" t="b">
        <f>+ISNUMBER(SEARCH('F-COMPRA'!#REF!,Tabla11[[#This Row],[Cuenta]],1))</f>
        <v>0</v>
      </c>
      <c r="AB502" t="b">
        <f>+ISNUMBER(SEARCH('F-COMPRA'!#REF!,Tabla11[[#This Row],[Cuenta]],1))</f>
        <v>0</v>
      </c>
      <c r="AC502" t="b">
        <f>+ISNUMBER(SEARCH('F-COMPRA'!#REF!,Tabla11[[#This Row],[Cuenta]],1))</f>
        <v>0</v>
      </c>
      <c r="AD502" t="b">
        <f>+ISNUMBER(SEARCH('F-COMPRA'!#REF!,Tabla11[[#This Row],[Cuenta]],1))</f>
        <v>0</v>
      </c>
      <c r="AE502" t="b">
        <f>+ISNUMBER(SEARCH('F-COMPRA'!#REF!,Tabla11[[#This Row],[Cuenta]],1))</f>
        <v>0</v>
      </c>
      <c r="AF502" t="b">
        <f>+ISNUMBER(SEARCH('F-VTA'!$G$23,Tabla11[[#This Row],[Cuenta]],1))</f>
        <v>0</v>
      </c>
      <c r="AG502" t="b">
        <f>+ISNUMBER(SEARCH('F-VTA'!$G$24,Tabla11[[#This Row],[Cuenta]],1))</f>
        <v>0</v>
      </c>
      <c r="AH502" t="b">
        <f>+ISNUMBER(SEARCH('F-VTA'!$G$25,Tabla11[[#This Row],[Cuenta]],1))</f>
        <v>0</v>
      </c>
      <c r="AI502" t="b">
        <f>+ISNUMBER(SEARCH('F-VTA'!$F$28,Tabla11[[#This Row],[Cuenta]],1))</f>
        <v>1</v>
      </c>
      <c r="AJ502" t="b">
        <f>+ISNUMBER(SEARCH('F-VTA'!$F$29,Tabla11[[#This Row],[Cuenta]],1))</f>
        <v>1</v>
      </c>
      <c r="AK502" t="b">
        <f>+ISNUMBER(SEARCH('F-VTA'!$F$30,Tabla11[[#This Row],[Cuenta]],1))</f>
        <v>1</v>
      </c>
      <c r="AL502" t="b">
        <f>+ISNUMBER(SEARCH('F-VTA'!$F$31,Tabla11[[#This Row],[Cuenta]],1))</f>
        <v>1</v>
      </c>
      <c r="AM502" t="b">
        <f>+ISNUMBER(SEARCH('F-VTA'!$F$32,Tabla11[[#This Row],[Cuenta]],1))</f>
        <v>1</v>
      </c>
      <c r="AN502" t="b">
        <f>+ISNUMBER(SEARCH('F-VTA'!$F$33,Tabla11[[#This Row],[Cuenta]],1))</f>
        <v>1</v>
      </c>
      <c r="AO502" t="b">
        <f>+ISNUMBER(SEARCH('F-VTA'!$F$34,Tabla11[[#This Row],[Cuenta]],1))</f>
        <v>1</v>
      </c>
      <c r="AP502" t="b">
        <f>+ISNUMBER(SEARCH('F-VTA'!$F$35,Tabla11[[#This Row],[Cuenta]],1))</f>
        <v>1</v>
      </c>
      <c r="AQ502" t="b">
        <f>+ISNUMBER(SEARCH('F-VTA'!$F$36,Tabla11[[#This Row],[Cuenta]],1))</f>
        <v>1</v>
      </c>
      <c r="AR502" t="b">
        <f>+ISNUMBER(SEARCH(#REF!,Tabla11[[#This Row],[Cuenta]],1))</f>
        <v>0</v>
      </c>
      <c r="AS502" t="b">
        <f>+ISNUMBER(SEARCH(#REF!,Tabla11[[#This Row],[Cuenta]],1))</f>
        <v>0</v>
      </c>
      <c r="AT502" t="b">
        <f>+ISNUMBER(SEARCH(#REF!,Tabla11[[#This Row],[Cuenta]],1))</f>
        <v>0</v>
      </c>
      <c r="AU502" t="b">
        <f>+ISNUMBER(SEARCH('Conc. Ban.1'!$I$9,Tabla11[[#This Row],[Cuenta]],1))</f>
        <v>0</v>
      </c>
      <c r="AV502" t="b">
        <f>+ISNUMBER(SEARCH(CompConta!$F$21,Tabla11[[#This Row],[Cuenta]],1))</f>
        <v>1</v>
      </c>
      <c r="AW502" t="b">
        <f>+ISNUMBER(SEARCH(CompConta!$F$22,Tabla11[[#This Row],[Cuenta]],1))</f>
        <v>1</v>
      </c>
      <c r="AX502" t="b">
        <f>+ISNUMBER(SEARCH(CompConta!$F$23,Tabla11[[#This Row],[Cuenta]],1))</f>
        <v>1</v>
      </c>
      <c r="AY502" t="b">
        <f>+ISNUMBER(SEARCH(CompConta!$F$24,Tabla11[[#This Row],[Cuenta]],1))</f>
        <v>1</v>
      </c>
      <c r="AZ502" t="b">
        <f>+ISNUMBER(SEARCH(CompConta!$F$25,Tabla11[[#This Row],[Cuenta]],1))</f>
        <v>1</v>
      </c>
      <c r="BA502" t="b">
        <f>+ISNUMBER(SEARCH(CompConta!$F$26,Tabla11[[#This Row],[Cuenta]],1))</f>
        <v>1</v>
      </c>
      <c r="BB502" t="b">
        <f>+ISNUMBER(SEARCH(CompConta!$F$27,Tabla11[[#This Row],[Cuenta]],1))</f>
        <v>1</v>
      </c>
      <c r="BC502" t="b">
        <f>+ISNUMBER(SEARCH(CompConta!$F$28,Tabla11[[#This Row],[Cuenta]],1))</f>
        <v>1</v>
      </c>
      <c r="BD502" t="b">
        <f>+ISNUMBER(SEARCH(CompConta!$F$29,Tabla11[[#This Row],[Cuenta]],1))</f>
        <v>1</v>
      </c>
      <c r="BE502" t="b">
        <f>+ISNUMBER(SEARCH(CompConta!$F$30,Tabla11[[#This Row],[Cuenta]],1))</f>
        <v>1</v>
      </c>
      <c r="BF502" t="b">
        <f>+ISNUMBER(SEARCH('PAGO Compras'!$E$11,Tabla11[[#This Row],[Cuenta]],1))</f>
        <v>1</v>
      </c>
      <c r="BG502" t="b">
        <f>+ISNUMBER(SEARCH(#REF!,Tabla11[[#This Row],[Cuenta]],1))</f>
        <v>0</v>
      </c>
      <c r="BH502" t="b">
        <f>+ISNUMBER(SEARCH(#REF!,Tabla11[[#This Row],[Cuenta]],1))</f>
        <v>0</v>
      </c>
      <c r="BI502" t="b">
        <f>+ISNUMBER(SEARCH(#REF!,Tabla11[[#This Row],[Cuenta]],1))</f>
        <v>0</v>
      </c>
      <c r="BJ502" t="b">
        <f>+ISNUMBER(SEARCH(#REF!,Tabla11[[#This Row],[Cuenta]],1))</f>
        <v>0</v>
      </c>
      <c r="BS502" t="str">
        <v>2520 PRIMA DE SERVICIOS</v>
      </c>
      <c r="BT502" t="str">
        <v>2520 PRIMA DE SERVICIOS</v>
      </c>
      <c r="BU502" t="str">
        <v>2520 PRIMA DE SERVICIOS</v>
      </c>
      <c r="BV502" t="str">
        <v>2520 PRIMA DE SERVICIOS</v>
      </c>
      <c r="BZ502" t="str">
        <v>2520 PRIMA DE SERVICIOS</v>
      </c>
      <c r="CA502" t="str">
        <v>2520 PRIMA DE SERVICIOS</v>
      </c>
      <c r="CB502" t="str">
        <v>2520 PRIMA DE SERVICIOS</v>
      </c>
      <c r="CC502" t="str">
        <v>2520 PRIMA DE SERVICIOS</v>
      </c>
      <c r="CD502" t="str">
        <v>2520 PRIMA DE SERVICIOS</v>
      </c>
      <c r="CE502" t="str">
        <v>2520 PRIMA DE SERVICIOS</v>
      </c>
      <c r="CS502" s="141" t="str">
        <v>2520 PRIMA DE SERVICIOS</v>
      </c>
      <c r="CT502" s="141" t="str">
        <v>2520 PRIMA DE SERVICIOS</v>
      </c>
      <c r="CU502" s="141" t="str">
        <v>2520 PRIMA DE SERVICIOS</v>
      </c>
      <c r="CV502" s="141" t="str">
        <v>2520 PRIMA DE SERVICIOS</v>
      </c>
      <c r="CW502" s="141" t="str">
        <v>2520 PRIMA DE SERVICIOS</v>
      </c>
      <c r="CX502" s="141" t="str">
        <v>2520 PRIMA DE SERVICIOS</v>
      </c>
      <c r="CY502" s="141" t="str">
        <v>2520 PRIMA DE SERVICIOS</v>
      </c>
      <c r="CZ502" s="141" t="str">
        <v>2520 PRIMA DE SERVICIOS</v>
      </c>
      <c r="DA502" s="141" t="str">
        <v>2520 PRIMA DE SERVICIOS</v>
      </c>
      <c r="DF502" t="str">
        <v>2520 PRIMA DE SERVICIOS</v>
      </c>
      <c r="DG502" t="str">
        <v>2520 PRIMA DE SERVICIOS</v>
      </c>
      <c r="DH502" t="str">
        <v>2520 PRIMA DE SERVICIOS</v>
      </c>
      <c r="DI502" t="str">
        <v>2520 PRIMA DE SERVICIOS</v>
      </c>
      <c r="DJ502" t="str">
        <v>2520 PRIMA DE SERVICIOS</v>
      </c>
      <c r="DK502" t="str">
        <v>2520 PRIMA DE SERVICIOS</v>
      </c>
      <c r="DL502" t="str">
        <v>2520 PRIMA DE SERVICIOS</v>
      </c>
      <c r="DM502" t="str">
        <v>2520 PRIMA DE SERVICIOS</v>
      </c>
      <c r="DN502" t="str">
        <v>2520 PRIMA DE SERVICIOS</v>
      </c>
      <c r="DO502" t="str">
        <v>2520 PRIMA DE SERVICIOS</v>
      </c>
      <c r="DP502" t="str">
        <v>2520 PRIMA DE SERVICIOS</v>
      </c>
    </row>
    <row r="503" spans="4:120" ht="12.75">
      <c r="D503" s="7">
        <v>2525</v>
      </c>
      <c r="E503" s="6" t="s">
        <v>383</v>
      </c>
      <c r="F503" s="5">
        <v>3</v>
      </c>
      <c r="G503" s="34" t="s">
        <v>823</v>
      </c>
      <c r="H503" s="26" t="s">
        <v>765</v>
      </c>
      <c r="I503" t="b">
        <f>+ISNUMBER(SEARCH('F-COMPRA'!$F$28,Tabla11[[#This Row],[Cuenta]],1))</f>
        <v>1</v>
      </c>
      <c r="J503" t="b">
        <f>+ISNUMBER(SEARCH('F-COMPRA'!$F$29,Tabla11[[#This Row],[Cuenta]],1))</f>
        <v>1</v>
      </c>
      <c r="K503" t="b">
        <f>+ISNUMBER(SEARCH('F-COMPRA'!$F$30,Tabla11[[#This Row],[Cuenta]],1))</f>
        <v>1</v>
      </c>
      <c r="L503" t="b">
        <f>+ISNUMBER(SEARCH('F-COMPRA'!$F$31,Tabla11[[#This Row],[Cuenta]],1))</f>
        <v>1</v>
      </c>
      <c r="M503" t="b">
        <f>+ISNUMBER(SEARCH('F-COMPRA'!$G$25,Tabla11[[#This Row],[Cuenta]],1))</f>
        <v>0</v>
      </c>
      <c r="N503" t="b">
        <f>+ISNUMBER(SEARCH(#REF!,Tabla11[[#This Row],[Cuenta]],1))</f>
        <v>0</v>
      </c>
      <c r="O503" t="b">
        <f>+ISNUMBER(SEARCH(#REF!,Tabla11[[#This Row],[Cuenta]],1))</f>
        <v>0</v>
      </c>
      <c r="P503" t="b">
        <f>+ISNUMBER(SEARCH('F-COMPRA'!$F$32,Tabla11[[#This Row],[Cuenta]],1))</f>
        <v>1</v>
      </c>
      <c r="Q503" t="b">
        <f>+ISNUMBER(SEARCH('F-COMPRA'!$F$33,Tabla11[[#This Row],[Cuenta]],1))</f>
        <v>1</v>
      </c>
      <c r="R503" t="b">
        <f>+ISNUMBER(SEARCH('F-COMPRA'!$F$34,Tabla11[[#This Row],[Cuenta]],1))</f>
        <v>1</v>
      </c>
      <c r="S503" t="b">
        <f>+ISNUMBER(SEARCH('F-COMPRA'!$F$35,Tabla11[[#This Row],[Cuenta]],1))</f>
        <v>1</v>
      </c>
      <c r="T503" t="b">
        <f>+ISNUMBER(SEARCH('F-COMPRA'!$F$36,Tabla11[[#This Row],[Cuenta]],1))</f>
        <v>1</v>
      </c>
      <c r="U503" t="b">
        <f>+ISNUMBER(SEARCH('F-COMPRA'!$F$37,Tabla11[[#This Row],[Cuenta]],1))</f>
        <v>1</v>
      </c>
      <c r="V503" t="b">
        <f>+ISNUMBER(SEARCH(#REF!,Tabla11[[#This Row],[Cuenta]],1))</f>
        <v>0</v>
      </c>
      <c r="W503" t="b">
        <f>+ISNUMBER(SEARCH('F-COMPRA'!#REF!,Tabla11[[#This Row],[Cuenta]],1))</f>
        <v>0</v>
      </c>
      <c r="X503" t="b">
        <f>+ISNUMBER(SEARCH('F-COMPRA'!#REF!,Tabla11[[#This Row],[Cuenta]],1))</f>
        <v>0</v>
      </c>
      <c r="Y503" t="b">
        <f>+ISNUMBER(SEARCH('F-COMPRA'!#REF!,Tabla11[[#This Row],[Cuenta]],1))</f>
        <v>0</v>
      </c>
      <c r="Z503" t="b">
        <f>+ISNUMBER(SEARCH('F-COMPRA'!#REF!,Tabla11[[#This Row],[Cuenta]],1))</f>
        <v>0</v>
      </c>
      <c r="AA503" t="b">
        <f>+ISNUMBER(SEARCH('F-COMPRA'!#REF!,Tabla11[[#This Row],[Cuenta]],1))</f>
        <v>0</v>
      </c>
      <c r="AB503" t="b">
        <f>+ISNUMBER(SEARCH('F-COMPRA'!#REF!,Tabla11[[#This Row],[Cuenta]],1))</f>
        <v>0</v>
      </c>
      <c r="AC503" t="b">
        <f>+ISNUMBER(SEARCH('F-COMPRA'!#REF!,Tabla11[[#This Row],[Cuenta]],1))</f>
        <v>0</v>
      </c>
      <c r="AD503" t="b">
        <f>+ISNUMBER(SEARCH('F-COMPRA'!#REF!,Tabla11[[#This Row],[Cuenta]],1))</f>
        <v>0</v>
      </c>
      <c r="AE503" t="b">
        <f>+ISNUMBER(SEARCH('F-COMPRA'!#REF!,Tabla11[[#This Row],[Cuenta]],1))</f>
        <v>0</v>
      </c>
      <c r="AF503" t="b">
        <f>+ISNUMBER(SEARCH('F-VTA'!$G$23,Tabla11[[#This Row],[Cuenta]],1))</f>
        <v>0</v>
      </c>
      <c r="AG503" t="b">
        <f>+ISNUMBER(SEARCH('F-VTA'!$G$24,Tabla11[[#This Row],[Cuenta]],1))</f>
        <v>0</v>
      </c>
      <c r="AH503" t="b">
        <f>+ISNUMBER(SEARCH('F-VTA'!$G$25,Tabla11[[#This Row],[Cuenta]],1))</f>
        <v>0</v>
      </c>
      <c r="AI503" t="b">
        <f>+ISNUMBER(SEARCH('F-VTA'!$F$28,Tabla11[[#This Row],[Cuenta]],1))</f>
        <v>1</v>
      </c>
      <c r="AJ503" t="b">
        <f>+ISNUMBER(SEARCH('F-VTA'!$F$29,Tabla11[[#This Row],[Cuenta]],1))</f>
        <v>1</v>
      </c>
      <c r="AK503" t="b">
        <f>+ISNUMBER(SEARCH('F-VTA'!$F$30,Tabla11[[#This Row],[Cuenta]],1))</f>
        <v>1</v>
      </c>
      <c r="AL503" t="b">
        <f>+ISNUMBER(SEARCH('F-VTA'!$F$31,Tabla11[[#This Row],[Cuenta]],1))</f>
        <v>1</v>
      </c>
      <c r="AM503" t="b">
        <f>+ISNUMBER(SEARCH('F-VTA'!$F$32,Tabla11[[#This Row],[Cuenta]],1))</f>
        <v>1</v>
      </c>
      <c r="AN503" t="b">
        <f>+ISNUMBER(SEARCH('F-VTA'!$F$33,Tabla11[[#This Row],[Cuenta]],1))</f>
        <v>1</v>
      </c>
      <c r="AO503" t="b">
        <f>+ISNUMBER(SEARCH('F-VTA'!$F$34,Tabla11[[#This Row],[Cuenta]],1))</f>
        <v>1</v>
      </c>
      <c r="AP503" t="b">
        <f>+ISNUMBER(SEARCH('F-VTA'!$F$35,Tabla11[[#This Row],[Cuenta]],1))</f>
        <v>1</v>
      </c>
      <c r="AQ503" t="b">
        <f>+ISNUMBER(SEARCH('F-VTA'!$F$36,Tabla11[[#This Row],[Cuenta]],1))</f>
        <v>1</v>
      </c>
      <c r="AR503" t="b">
        <f>+ISNUMBER(SEARCH(#REF!,Tabla11[[#This Row],[Cuenta]],1))</f>
        <v>0</v>
      </c>
      <c r="AS503" t="b">
        <f>+ISNUMBER(SEARCH(#REF!,Tabla11[[#This Row],[Cuenta]],1))</f>
        <v>0</v>
      </c>
      <c r="AT503" t="b">
        <f>+ISNUMBER(SEARCH(#REF!,Tabla11[[#This Row],[Cuenta]],1))</f>
        <v>0</v>
      </c>
      <c r="AU503" t="b">
        <f>+ISNUMBER(SEARCH('Conc. Ban.1'!$I$9,Tabla11[[#This Row],[Cuenta]],1))</f>
        <v>0</v>
      </c>
      <c r="AV503" t="b">
        <f>+ISNUMBER(SEARCH(CompConta!$F$21,Tabla11[[#This Row],[Cuenta]],1))</f>
        <v>1</v>
      </c>
      <c r="AW503" t="b">
        <f>+ISNUMBER(SEARCH(CompConta!$F$22,Tabla11[[#This Row],[Cuenta]],1))</f>
        <v>1</v>
      </c>
      <c r="AX503" t="b">
        <f>+ISNUMBER(SEARCH(CompConta!$F$23,Tabla11[[#This Row],[Cuenta]],1))</f>
        <v>1</v>
      </c>
      <c r="AY503" t="b">
        <f>+ISNUMBER(SEARCH(CompConta!$F$24,Tabla11[[#This Row],[Cuenta]],1))</f>
        <v>1</v>
      </c>
      <c r="AZ503" t="b">
        <f>+ISNUMBER(SEARCH(CompConta!$F$25,Tabla11[[#This Row],[Cuenta]],1))</f>
        <v>1</v>
      </c>
      <c r="BA503" t="b">
        <f>+ISNUMBER(SEARCH(CompConta!$F$26,Tabla11[[#This Row],[Cuenta]],1))</f>
        <v>1</v>
      </c>
      <c r="BB503" t="b">
        <f>+ISNUMBER(SEARCH(CompConta!$F$27,Tabla11[[#This Row],[Cuenta]],1))</f>
        <v>1</v>
      </c>
      <c r="BC503" t="b">
        <f>+ISNUMBER(SEARCH(CompConta!$F$28,Tabla11[[#This Row],[Cuenta]],1))</f>
        <v>1</v>
      </c>
      <c r="BD503" t="b">
        <f>+ISNUMBER(SEARCH(CompConta!$F$29,Tabla11[[#This Row],[Cuenta]],1))</f>
        <v>1</v>
      </c>
      <c r="BE503" t="b">
        <f>+ISNUMBER(SEARCH(CompConta!$F$30,Tabla11[[#This Row],[Cuenta]],1))</f>
        <v>1</v>
      </c>
      <c r="BF503" t="b">
        <f>+ISNUMBER(SEARCH('PAGO Compras'!$E$11,Tabla11[[#This Row],[Cuenta]],1))</f>
        <v>1</v>
      </c>
      <c r="BG503" t="b">
        <f>+ISNUMBER(SEARCH(#REF!,Tabla11[[#This Row],[Cuenta]],1))</f>
        <v>0</v>
      </c>
      <c r="BH503" t="b">
        <f>+ISNUMBER(SEARCH(#REF!,Tabla11[[#This Row],[Cuenta]],1))</f>
        <v>0</v>
      </c>
      <c r="BI503" t="b">
        <f>+ISNUMBER(SEARCH(#REF!,Tabla11[[#This Row],[Cuenta]],1))</f>
        <v>0</v>
      </c>
      <c r="BJ503" t="b">
        <f>+ISNUMBER(SEARCH(#REF!,Tabla11[[#This Row],[Cuenta]],1))</f>
        <v>0</v>
      </c>
      <c r="BS503" t="str">
        <v>2525 VACACIONES CONSOLIDADAS</v>
      </c>
      <c r="BT503" t="str">
        <v>2525 VACACIONES CONSOLIDADAS</v>
      </c>
      <c r="BU503" t="str">
        <v>2525 VACACIONES CONSOLIDADAS</v>
      </c>
      <c r="BV503" t="str">
        <v>2525 VACACIONES CONSOLIDADAS</v>
      </c>
      <c r="BZ503" t="str">
        <v>2525 VACACIONES CONSOLIDADAS</v>
      </c>
      <c r="CA503" t="str">
        <v>2525 VACACIONES CONSOLIDADAS</v>
      </c>
      <c r="CB503" t="str">
        <v>2525 VACACIONES CONSOLIDADAS</v>
      </c>
      <c r="CC503" t="str">
        <v>2525 VACACIONES CONSOLIDADAS</v>
      </c>
      <c r="CD503" t="str">
        <v>2525 VACACIONES CONSOLIDADAS</v>
      </c>
      <c r="CE503" t="str">
        <v>2525 VACACIONES CONSOLIDADAS</v>
      </c>
      <c r="CS503" s="141" t="str">
        <v>2525 VACACIONES CONSOLIDADAS</v>
      </c>
      <c r="CT503" s="141" t="str">
        <v>2525 VACACIONES CONSOLIDADAS</v>
      </c>
      <c r="CU503" s="141" t="str">
        <v>2525 VACACIONES CONSOLIDADAS</v>
      </c>
      <c r="CV503" s="141" t="str">
        <v>2525 VACACIONES CONSOLIDADAS</v>
      </c>
      <c r="CW503" s="141" t="str">
        <v>2525 VACACIONES CONSOLIDADAS</v>
      </c>
      <c r="CX503" s="141" t="str">
        <v>2525 VACACIONES CONSOLIDADAS</v>
      </c>
      <c r="CY503" s="141" t="str">
        <v>2525 VACACIONES CONSOLIDADAS</v>
      </c>
      <c r="CZ503" s="141" t="str">
        <v>2525 VACACIONES CONSOLIDADAS</v>
      </c>
      <c r="DA503" s="141" t="str">
        <v>2525 VACACIONES CONSOLIDADAS</v>
      </c>
      <c r="DF503" t="str">
        <v>2525 VACACIONES CONSOLIDADAS</v>
      </c>
      <c r="DG503" t="str">
        <v>2525 VACACIONES CONSOLIDADAS</v>
      </c>
      <c r="DH503" t="str">
        <v>2525 VACACIONES CONSOLIDADAS</v>
      </c>
      <c r="DI503" t="str">
        <v>2525 VACACIONES CONSOLIDADAS</v>
      </c>
      <c r="DJ503" t="str">
        <v>2525 VACACIONES CONSOLIDADAS</v>
      </c>
      <c r="DK503" t="str">
        <v>2525 VACACIONES CONSOLIDADAS</v>
      </c>
      <c r="DL503" t="str">
        <v>2525 VACACIONES CONSOLIDADAS</v>
      </c>
      <c r="DM503" t="str">
        <v>2525 VACACIONES CONSOLIDADAS</v>
      </c>
      <c r="DN503" t="str">
        <v>2525 VACACIONES CONSOLIDADAS</v>
      </c>
      <c r="DO503" t="str">
        <v>2525 VACACIONES CONSOLIDADAS</v>
      </c>
      <c r="DP503" t="str">
        <v>2525 VACACIONES CONSOLIDADAS</v>
      </c>
    </row>
    <row r="504" spans="4:120" ht="12.75">
      <c r="D504" s="7">
        <v>2530</v>
      </c>
      <c r="E504" s="6" t="s">
        <v>384</v>
      </c>
      <c r="F504" s="5">
        <v>3</v>
      </c>
      <c r="G504" s="34" t="s">
        <v>823</v>
      </c>
      <c r="H504" s="26" t="s">
        <v>765</v>
      </c>
      <c r="I504" t="b">
        <f>+ISNUMBER(SEARCH('F-COMPRA'!$F$28,Tabla11[[#This Row],[Cuenta]],1))</f>
        <v>1</v>
      </c>
      <c r="J504" t="b">
        <f>+ISNUMBER(SEARCH('F-COMPRA'!$F$29,Tabla11[[#This Row],[Cuenta]],1))</f>
        <v>1</v>
      </c>
      <c r="K504" t="b">
        <f>+ISNUMBER(SEARCH('F-COMPRA'!$F$30,Tabla11[[#This Row],[Cuenta]],1))</f>
        <v>1</v>
      </c>
      <c r="L504" t="b">
        <f>+ISNUMBER(SEARCH('F-COMPRA'!$F$31,Tabla11[[#This Row],[Cuenta]],1))</f>
        <v>1</v>
      </c>
      <c r="M504" t="b">
        <f>+ISNUMBER(SEARCH('F-COMPRA'!$G$25,Tabla11[[#This Row],[Cuenta]],1))</f>
        <v>0</v>
      </c>
      <c r="N504" t="b">
        <f>+ISNUMBER(SEARCH(#REF!,Tabla11[[#This Row],[Cuenta]],1))</f>
        <v>0</v>
      </c>
      <c r="O504" t="b">
        <f>+ISNUMBER(SEARCH(#REF!,Tabla11[[#This Row],[Cuenta]],1))</f>
        <v>0</v>
      </c>
      <c r="P504" t="b">
        <f>+ISNUMBER(SEARCH('F-COMPRA'!$F$32,Tabla11[[#This Row],[Cuenta]],1))</f>
        <v>1</v>
      </c>
      <c r="Q504" t="b">
        <f>+ISNUMBER(SEARCH('F-COMPRA'!$F$33,Tabla11[[#This Row],[Cuenta]],1))</f>
        <v>1</v>
      </c>
      <c r="R504" t="b">
        <f>+ISNUMBER(SEARCH('F-COMPRA'!$F$34,Tabla11[[#This Row],[Cuenta]],1))</f>
        <v>1</v>
      </c>
      <c r="S504" t="b">
        <f>+ISNUMBER(SEARCH('F-COMPRA'!$F$35,Tabla11[[#This Row],[Cuenta]],1))</f>
        <v>1</v>
      </c>
      <c r="T504" t="b">
        <f>+ISNUMBER(SEARCH('F-COMPRA'!$F$36,Tabla11[[#This Row],[Cuenta]],1))</f>
        <v>1</v>
      </c>
      <c r="U504" t="b">
        <f>+ISNUMBER(SEARCH('F-COMPRA'!$F$37,Tabla11[[#This Row],[Cuenta]],1))</f>
        <v>1</v>
      </c>
      <c r="V504" t="b">
        <f>+ISNUMBER(SEARCH(#REF!,Tabla11[[#This Row],[Cuenta]],1))</f>
        <v>0</v>
      </c>
      <c r="W504" t="b">
        <f>+ISNUMBER(SEARCH('F-COMPRA'!#REF!,Tabla11[[#This Row],[Cuenta]],1))</f>
        <v>0</v>
      </c>
      <c r="X504" t="b">
        <f>+ISNUMBER(SEARCH('F-COMPRA'!#REF!,Tabla11[[#This Row],[Cuenta]],1))</f>
        <v>0</v>
      </c>
      <c r="Y504" t="b">
        <f>+ISNUMBER(SEARCH('F-COMPRA'!#REF!,Tabla11[[#This Row],[Cuenta]],1))</f>
        <v>0</v>
      </c>
      <c r="Z504" t="b">
        <f>+ISNUMBER(SEARCH('F-COMPRA'!#REF!,Tabla11[[#This Row],[Cuenta]],1))</f>
        <v>0</v>
      </c>
      <c r="AA504" t="b">
        <f>+ISNUMBER(SEARCH('F-COMPRA'!#REF!,Tabla11[[#This Row],[Cuenta]],1))</f>
        <v>0</v>
      </c>
      <c r="AB504" t="b">
        <f>+ISNUMBER(SEARCH('F-COMPRA'!#REF!,Tabla11[[#This Row],[Cuenta]],1))</f>
        <v>0</v>
      </c>
      <c r="AC504" t="b">
        <f>+ISNUMBER(SEARCH('F-COMPRA'!#REF!,Tabla11[[#This Row],[Cuenta]],1))</f>
        <v>0</v>
      </c>
      <c r="AD504" t="b">
        <f>+ISNUMBER(SEARCH('F-COMPRA'!#REF!,Tabla11[[#This Row],[Cuenta]],1))</f>
        <v>0</v>
      </c>
      <c r="AE504" t="b">
        <f>+ISNUMBER(SEARCH('F-COMPRA'!#REF!,Tabla11[[#This Row],[Cuenta]],1))</f>
        <v>0</v>
      </c>
      <c r="AF504" t="b">
        <f>+ISNUMBER(SEARCH('F-VTA'!$G$23,Tabla11[[#This Row],[Cuenta]],1))</f>
        <v>0</v>
      </c>
      <c r="AG504" t="b">
        <f>+ISNUMBER(SEARCH('F-VTA'!$G$24,Tabla11[[#This Row],[Cuenta]],1))</f>
        <v>0</v>
      </c>
      <c r="AH504" t="b">
        <f>+ISNUMBER(SEARCH('F-VTA'!$G$25,Tabla11[[#This Row],[Cuenta]],1))</f>
        <v>0</v>
      </c>
      <c r="AI504" t="b">
        <f>+ISNUMBER(SEARCH('F-VTA'!$F$28,Tabla11[[#This Row],[Cuenta]],1))</f>
        <v>1</v>
      </c>
      <c r="AJ504" t="b">
        <f>+ISNUMBER(SEARCH('F-VTA'!$F$29,Tabla11[[#This Row],[Cuenta]],1))</f>
        <v>1</v>
      </c>
      <c r="AK504" t="b">
        <f>+ISNUMBER(SEARCH('F-VTA'!$F$30,Tabla11[[#This Row],[Cuenta]],1))</f>
        <v>1</v>
      </c>
      <c r="AL504" t="b">
        <f>+ISNUMBER(SEARCH('F-VTA'!$F$31,Tabla11[[#This Row],[Cuenta]],1))</f>
        <v>1</v>
      </c>
      <c r="AM504" t="b">
        <f>+ISNUMBER(SEARCH('F-VTA'!$F$32,Tabla11[[#This Row],[Cuenta]],1))</f>
        <v>1</v>
      </c>
      <c r="AN504" t="b">
        <f>+ISNUMBER(SEARCH('F-VTA'!$F$33,Tabla11[[#This Row],[Cuenta]],1))</f>
        <v>1</v>
      </c>
      <c r="AO504" t="b">
        <f>+ISNUMBER(SEARCH('F-VTA'!$F$34,Tabla11[[#This Row],[Cuenta]],1))</f>
        <v>1</v>
      </c>
      <c r="AP504" t="b">
        <f>+ISNUMBER(SEARCH('F-VTA'!$F$35,Tabla11[[#This Row],[Cuenta]],1))</f>
        <v>1</v>
      </c>
      <c r="AQ504" t="b">
        <f>+ISNUMBER(SEARCH('F-VTA'!$F$36,Tabla11[[#This Row],[Cuenta]],1))</f>
        <v>1</v>
      </c>
      <c r="AR504" t="b">
        <f>+ISNUMBER(SEARCH(#REF!,Tabla11[[#This Row],[Cuenta]],1))</f>
        <v>0</v>
      </c>
      <c r="AS504" t="b">
        <f>+ISNUMBER(SEARCH(#REF!,Tabla11[[#This Row],[Cuenta]],1))</f>
        <v>0</v>
      </c>
      <c r="AT504" t="b">
        <f>+ISNUMBER(SEARCH(#REF!,Tabla11[[#This Row],[Cuenta]],1))</f>
        <v>0</v>
      </c>
      <c r="AU504" t="b">
        <f>+ISNUMBER(SEARCH('Conc. Ban.1'!$I$9,Tabla11[[#This Row],[Cuenta]],1))</f>
        <v>0</v>
      </c>
      <c r="AV504" t="b">
        <f>+ISNUMBER(SEARCH(CompConta!$F$21,Tabla11[[#This Row],[Cuenta]],1))</f>
        <v>1</v>
      </c>
      <c r="AW504" t="b">
        <f>+ISNUMBER(SEARCH(CompConta!$F$22,Tabla11[[#This Row],[Cuenta]],1))</f>
        <v>1</v>
      </c>
      <c r="AX504" t="b">
        <f>+ISNUMBER(SEARCH(CompConta!$F$23,Tabla11[[#This Row],[Cuenta]],1))</f>
        <v>1</v>
      </c>
      <c r="AY504" t="b">
        <f>+ISNUMBER(SEARCH(CompConta!$F$24,Tabla11[[#This Row],[Cuenta]],1))</f>
        <v>1</v>
      </c>
      <c r="AZ504" t="b">
        <f>+ISNUMBER(SEARCH(CompConta!$F$25,Tabla11[[#This Row],[Cuenta]],1))</f>
        <v>1</v>
      </c>
      <c r="BA504" t="b">
        <f>+ISNUMBER(SEARCH(CompConta!$F$26,Tabla11[[#This Row],[Cuenta]],1))</f>
        <v>1</v>
      </c>
      <c r="BB504" t="b">
        <f>+ISNUMBER(SEARCH(CompConta!$F$27,Tabla11[[#This Row],[Cuenta]],1))</f>
        <v>1</v>
      </c>
      <c r="BC504" t="b">
        <f>+ISNUMBER(SEARCH(CompConta!$F$28,Tabla11[[#This Row],[Cuenta]],1))</f>
        <v>1</v>
      </c>
      <c r="BD504" t="b">
        <f>+ISNUMBER(SEARCH(CompConta!$F$29,Tabla11[[#This Row],[Cuenta]],1))</f>
        <v>1</v>
      </c>
      <c r="BE504" t="b">
        <f>+ISNUMBER(SEARCH(CompConta!$F$30,Tabla11[[#This Row],[Cuenta]],1))</f>
        <v>1</v>
      </c>
      <c r="BF504" t="b">
        <f>+ISNUMBER(SEARCH('PAGO Compras'!$E$11,Tabla11[[#This Row],[Cuenta]],1))</f>
        <v>1</v>
      </c>
      <c r="BG504" t="b">
        <f>+ISNUMBER(SEARCH(#REF!,Tabla11[[#This Row],[Cuenta]],1))</f>
        <v>0</v>
      </c>
      <c r="BH504" t="b">
        <f>+ISNUMBER(SEARCH(#REF!,Tabla11[[#This Row],[Cuenta]],1))</f>
        <v>0</v>
      </c>
      <c r="BI504" t="b">
        <f>+ISNUMBER(SEARCH(#REF!,Tabla11[[#This Row],[Cuenta]],1))</f>
        <v>0</v>
      </c>
      <c r="BJ504" t="b">
        <f>+ISNUMBER(SEARCH(#REF!,Tabla11[[#This Row],[Cuenta]],1))</f>
        <v>0</v>
      </c>
      <c r="BS504" t="str">
        <v>2530 PRESTACIONES EXTRALEGALES</v>
      </c>
      <c r="BT504" t="str">
        <v>2530 PRESTACIONES EXTRALEGALES</v>
      </c>
      <c r="BU504" t="str">
        <v>2530 PRESTACIONES EXTRALEGALES</v>
      </c>
      <c r="BV504" t="str">
        <v>2530 PRESTACIONES EXTRALEGALES</v>
      </c>
      <c r="BZ504" t="str">
        <v>2530 PRESTACIONES EXTRALEGALES</v>
      </c>
      <c r="CA504" t="str">
        <v>2530 PRESTACIONES EXTRALEGALES</v>
      </c>
      <c r="CB504" t="str">
        <v>2530 PRESTACIONES EXTRALEGALES</v>
      </c>
      <c r="CC504" t="str">
        <v>2530 PRESTACIONES EXTRALEGALES</v>
      </c>
      <c r="CD504" t="str">
        <v>2530 PRESTACIONES EXTRALEGALES</v>
      </c>
      <c r="CE504" t="str">
        <v>2530 PRESTACIONES EXTRALEGALES</v>
      </c>
      <c r="CS504" s="141" t="str">
        <v>2530 PRESTACIONES EXTRALEGALES</v>
      </c>
      <c r="CT504" s="141" t="str">
        <v>2530 PRESTACIONES EXTRALEGALES</v>
      </c>
      <c r="CU504" s="141" t="str">
        <v>2530 PRESTACIONES EXTRALEGALES</v>
      </c>
      <c r="CV504" s="141" t="str">
        <v>2530 PRESTACIONES EXTRALEGALES</v>
      </c>
      <c r="CW504" s="141" t="str">
        <v>2530 PRESTACIONES EXTRALEGALES</v>
      </c>
      <c r="CX504" s="141" t="str">
        <v>2530 PRESTACIONES EXTRALEGALES</v>
      </c>
      <c r="CY504" s="141" t="str">
        <v>2530 PRESTACIONES EXTRALEGALES</v>
      </c>
      <c r="CZ504" s="141" t="str">
        <v>2530 PRESTACIONES EXTRALEGALES</v>
      </c>
      <c r="DA504" s="141" t="str">
        <v>2530 PRESTACIONES EXTRALEGALES</v>
      </c>
      <c r="DF504" t="str">
        <v>2530 PRESTACIONES EXTRALEGALES</v>
      </c>
      <c r="DG504" t="str">
        <v>2530 PRESTACIONES EXTRALEGALES</v>
      </c>
      <c r="DH504" t="str">
        <v>2530 PRESTACIONES EXTRALEGALES</v>
      </c>
      <c r="DI504" t="str">
        <v>2530 PRESTACIONES EXTRALEGALES</v>
      </c>
      <c r="DJ504" t="str">
        <v>2530 PRESTACIONES EXTRALEGALES</v>
      </c>
      <c r="DK504" t="str">
        <v>2530 PRESTACIONES EXTRALEGALES</v>
      </c>
      <c r="DL504" t="str">
        <v>2530 PRESTACIONES EXTRALEGALES</v>
      </c>
      <c r="DM504" t="str">
        <v>2530 PRESTACIONES EXTRALEGALES</v>
      </c>
      <c r="DN504" t="str">
        <v>2530 PRESTACIONES EXTRALEGALES</v>
      </c>
      <c r="DO504" t="str">
        <v>2530 PRESTACIONES EXTRALEGALES</v>
      </c>
      <c r="DP504" t="str">
        <v>2530 PRESTACIONES EXTRALEGALES</v>
      </c>
    </row>
    <row r="505" spans="4:120" ht="12.75">
      <c r="D505" s="7">
        <v>253005</v>
      </c>
      <c r="E505" s="6" t="s">
        <v>385</v>
      </c>
      <c r="F505" s="5">
        <v>4</v>
      </c>
      <c r="G505" s="34" t="s">
        <v>823</v>
      </c>
      <c r="H505" s="26" t="s">
        <v>765</v>
      </c>
      <c r="I505" t="b">
        <f>+ISNUMBER(SEARCH('F-COMPRA'!$F$28,Tabla11[[#This Row],[Cuenta]],1))</f>
        <v>1</v>
      </c>
      <c r="J505" t="b">
        <f>+ISNUMBER(SEARCH('F-COMPRA'!$F$29,Tabla11[[#This Row],[Cuenta]],1))</f>
        <v>1</v>
      </c>
      <c r="K505" t="b">
        <f>+ISNUMBER(SEARCH('F-COMPRA'!$F$30,Tabla11[[#This Row],[Cuenta]],1))</f>
        <v>1</v>
      </c>
      <c r="L505" t="b">
        <f>+ISNUMBER(SEARCH('F-COMPRA'!$F$31,Tabla11[[#This Row],[Cuenta]],1))</f>
        <v>1</v>
      </c>
      <c r="M505" t="b">
        <f>+ISNUMBER(SEARCH('F-COMPRA'!$G$25,Tabla11[[#This Row],[Cuenta]],1))</f>
        <v>0</v>
      </c>
      <c r="N505" t="b">
        <f>+ISNUMBER(SEARCH(#REF!,Tabla11[[#This Row],[Cuenta]],1))</f>
        <v>0</v>
      </c>
      <c r="O505" t="b">
        <f>+ISNUMBER(SEARCH(#REF!,Tabla11[[#This Row],[Cuenta]],1))</f>
        <v>0</v>
      </c>
      <c r="P505" t="b">
        <f>+ISNUMBER(SEARCH('F-COMPRA'!$F$32,Tabla11[[#This Row],[Cuenta]],1))</f>
        <v>1</v>
      </c>
      <c r="Q505" t="b">
        <f>+ISNUMBER(SEARCH('F-COMPRA'!$F$33,Tabla11[[#This Row],[Cuenta]],1))</f>
        <v>1</v>
      </c>
      <c r="R505" t="b">
        <f>+ISNUMBER(SEARCH('F-COMPRA'!$F$34,Tabla11[[#This Row],[Cuenta]],1))</f>
        <v>1</v>
      </c>
      <c r="S505" t="b">
        <f>+ISNUMBER(SEARCH('F-COMPRA'!$F$35,Tabla11[[#This Row],[Cuenta]],1))</f>
        <v>1</v>
      </c>
      <c r="T505" t="b">
        <f>+ISNUMBER(SEARCH('F-COMPRA'!$F$36,Tabla11[[#This Row],[Cuenta]],1))</f>
        <v>1</v>
      </c>
      <c r="U505" t="b">
        <f>+ISNUMBER(SEARCH('F-COMPRA'!$F$37,Tabla11[[#This Row],[Cuenta]],1))</f>
        <v>1</v>
      </c>
      <c r="V505" t="b">
        <f>+ISNUMBER(SEARCH(#REF!,Tabla11[[#This Row],[Cuenta]],1))</f>
        <v>0</v>
      </c>
      <c r="W505" t="b">
        <f>+ISNUMBER(SEARCH('F-COMPRA'!#REF!,Tabla11[[#This Row],[Cuenta]],1))</f>
        <v>0</v>
      </c>
      <c r="X505" t="b">
        <f>+ISNUMBER(SEARCH('F-COMPRA'!#REF!,Tabla11[[#This Row],[Cuenta]],1))</f>
        <v>0</v>
      </c>
      <c r="Y505" t="b">
        <f>+ISNUMBER(SEARCH('F-COMPRA'!#REF!,Tabla11[[#This Row],[Cuenta]],1))</f>
        <v>0</v>
      </c>
      <c r="Z505" t="b">
        <f>+ISNUMBER(SEARCH('F-COMPRA'!#REF!,Tabla11[[#This Row],[Cuenta]],1))</f>
        <v>0</v>
      </c>
      <c r="AA505" t="b">
        <f>+ISNUMBER(SEARCH('F-COMPRA'!#REF!,Tabla11[[#This Row],[Cuenta]],1))</f>
        <v>0</v>
      </c>
      <c r="AB505" t="b">
        <f>+ISNUMBER(SEARCH('F-COMPRA'!#REF!,Tabla11[[#This Row],[Cuenta]],1))</f>
        <v>0</v>
      </c>
      <c r="AC505" t="b">
        <f>+ISNUMBER(SEARCH('F-COMPRA'!#REF!,Tabla11[[#This Row],[Cuenta]],1))</f>
        <v>0</v>
      </c>
      <c r="AD505" t="b">
        <f>+ISNUMBER(SEARCH('F-COMPRA'!#REF!,Tabla11[[#This Row],[Cuenta]],1))</f>
        <v>0</v>
      </c>
      <c r="AE505" t="b">
        <f>+ISNUMBER(SEARCH('F-COMPRA'!#REF!,Tabla11[[#This Row],[Cuenta]],1))</f>
        <v>0</v>
      </c>
      <c r="AF505" t="b">
        <f>+ISNUMBER(SEARCH('F-VTA'!$G$23,Tabla11[[#This Row],[Cuenta]],1))</f>
        <v>0</v>
      </c>
      <c r="AG505" t="b">
        <f>+ISNUMBER(SEARCH('F-VTA'!$G$24,Tabla11[[#This Row],[Cuenta]],1))</f>
        <v>0</v>
      </c>
      <c r="AH505" t="b">
        <f>+ISNUMBER(SEARCH('F-VTA'!$G$25,Tabla11[[#This Row],[Cuenta]],1))</f>
        <v>0</v>
      </c>
      <c r="AI505" t="b">
        <f>+ISNUMBER(SEARCH('F-VTA'!$F$28,Tabla11[[#This Row],[Cuenta]],1))</f>
        <v>1</v>
      </c>
      <c r="AJ505" t="b">
        <f>+ISNUMBER(SEARCH('F-VTA'!$F$29,Tabla11[[#This Row],[Cuenta]],1))</f>
        <v>1</v>
      </c>
      <c r="AK505" t="b">
        <f>+ISNUMBER(SEARCH('F-VTA'!$F$30,Tabla11[[#This Row],[Cuenta]],1))</f>
        <v>1</v>
      </c>
      <c r="AL505" t="b">
        <f>+ISNUMBER(SEARCH('F-VTA'!$F$31,Tabla11[[#This Row],[Cuenta]],1))</f>
        <v>1</v>
      </c>
      <c r="AM505" t="b">
        <f>+ISNUMBER(SEARCH('F-VTA'!$F$32,Tabla11[[#This Row],[Cuenta]],1))</f>
        <v>1</v>
      </c>
      <c r="AN505" t="b">
        <f>+ISNUMBER(SEARCH('F-VTA'!$F$33,Tabla11[[#This Row],[Cuenta]],1))</f>
        <v>1</v>
      </c>
      <c r="AO505" t="b">
        <f>+ISNUMBER(SEARCH('F-VTA'!$F$34,Tabla11[[#This Row],[Cuenta]],1))</f>
        <v>1</v>
      </c>
      <c r="AP505" t="b">
        <f>+ISNUMBER(SEARCH('F-VTA'!$F$35,Tabla11[[#This Row],[Cuenta]],1))</f>
        <v>1</v>
      </c>
      <c r="AQ505" t="b">
        <f>+ISNUMBER(SEARCH('F-VTA'!$F$36,Tabla11[[#This Row],[Cuenta]],1))</f>
        <v>1</v>
      </c>
      <c r="AR505" t="b">
        <f>+ISNUMBER(SEARCH(#REF!,Tabla11[[#This Row],[Cuenta]],1))</f>
        <v>0</v>
      </c>
      <c r="AS505" t="b">
        <f>+ISNUMBER(SEARCH(#REF!,Tabla11[[#This Row],[Cuenta]],1))</f>
        <v>0</v>
      </c>
      <c r="AT505" t="b">
        <f>+ISNUMBER(SEARCH(#REF!,Tabla11[[#This Row],[Cuenta]],1))</f>
        <v>0</v>
      </c>
      <c r="AU505" t="b">
        <f>+ISNUMBER(SEARCH('Conc. Ban.1'!$I$9,Tabla11[[#This Row],[Cuenta]],1))</f>
        <v>0</v>
      </c>
      <c r="AV505" t="b">
        <f>+ISNUMBER(SEARCH(CompConta!$F$21,Tabla11[[#This Row],[Cuenta]],1))</f>
        <v>1</v>
      </c>
      <c r="AW505" t="b">
        <f>+ISNUMBER(SEARCH(CompConta!$F$22,Tabla11[[#This Row],[Cuenta]],1))</f>
        <v>1</v>
      </c>
      <c r="AX505" t="b">
        <f>+ISNUMBER(SEARCH(CompConta!$F$23,Tabla11[[#This Row],[Cuenta]],1))</f>
        <v>1</v>
      </c>
      <c r="AY505" t="b">
        <f>+ISNUMBER(SEARCH(CompConta!$F$24,Tabla11[[#This Row],[Cuenta]],1))</f>
        <v>1</v>
      </c>
      <c r="AZ505" t="b">
        <f>+ISNUMBER(SEARCH(CompConta!$F$25,Tabla11[[#This Row],[Cuenta]],1))</f>
        <v>1</v>
      </c>
      <c r="BA505" t="b">
        <f>+ISNUMBER(SEARCH(CompConta!$F$26,Tabla11[[#This Row],[Cuenta]],1))</f>
        <v>1</v>
      </c>
      <c r="BB505" t="b">
        <f>+ISNUMBER(SEARCH(CompConta!$F$27,Tabla11[[#This Row],[Cuenta]],1))</f>
        <v>1</v>
      </c>
      <c r="BC505" t="b">
        <f>+ISNUMBER(SEARCH(CompConta!$F$28,Tabla11[[#This Row],[Cuenta]],1))</f>
        <v>1</v>
      </c>
      <c r="BD505" t="b">
        <f>+ISNUMBER(SEARCH(CompConta!$F$29,Tabla11[[#This Row],[Cuenta]],1))</f>
        <v>1</v>
      </c>
      <c r="BE505" t="b">
        <f>+ISNUMBER(SEARCH(CompConta!$F$30,Tabla11[[#This Row],[Cuenta]],1))</f>
        <v>1</v>
      </c>
      <c r="BF505" t="b">
        <f>+ISNUMBER(SEARCH('PAGO Compras'!$E$11,Tabla11[[#This Row],[Cuenta]],1))</f>
        <v>1</v>
      </c>
      <c r="BG505" t="b">
        <f>+ISNUMBER(SEARCH(#REF!,Tabla11[[#This Row],[Cuenta]],1))</f>
        <v>0</v>
      </c>
      <c r="BH505" t="b">
        <f>+ISNUMBER(SEARCH(#REF!,Tabla11[[#This Row],[Cuenta]],1))</f>
        <v>0</v>
      </c>
      <c r="BI505" t="b">
        <f>+ISNUMBER(SEARCH(#REF!,Tabla11[[#This Row],[Cuenta]],1))</f>
        <v>0</v>
      </c>
      <c r="BJ505" t="b">
        <f>+ISNUMBER(SEARCH(#REF!,Tabla11[[#This Row],[Cuenta]],1))</f>
        <v>0</v>
      </c>
      <c r="BS505" t="str">
        <v>253005 Primas</v>
      </c>
      <c r="BT505" t="str">
        <v>253005 Primas</v>
      </c>
      <c r="BU505" t="str">
        <v>253005 Primas</v>
      </c>
      <c r="BV505" t="str">
        <v>253005 Primas</v>
      </c>
      <c r="BZ505" t="str">
        <v>253005 Primas</v>
      </c>
      <c r="CA505" t="str">
        <v>253005 Primas</v>
      </c>
      <c r="CB505" t="str">
        <v>253005 Primas</v>
      </c>
      <c r="CC505" t="str">
        <v>253005 Primas</v>
      </c>
      <c r="CD505" t="str">
        <v>253005 Primas</v>
      </c>
      <c r="CE505" t="str">
        <v>253005 Primas</v>
      </c>
      <c r="CS505" s="141" t="str">
        <v>253005 Primas</v>
      </c>
      <c r="CT505" s="141" t="str">
        <v>253005 Primas</v>
      </c>
      <c r="CU505" s="141" t="str">
        <v>253005 Primas</v>
      </c>
      <c r="CV505" s="141" t="str">
        <v>253005 Primas</v>
      </c>
      <c r="CW505" s="141" t="str">
        <v>253005 Primas</v>
      </c>
      <c r="CX505" s="141" t="str">
        <v>253005 Primas</v>
      </c>
      <c r="CY505" s="141" t="str">
        <v>253005 Primas</v>
      </c>
      <c r="CZ505" s="141" t="str">
        <v>253005 Primas</v>
      </c>
      <c r="DA505" s="141" t="str">
        <v>253005 Primas</v>
      </c>
      <c r="DF505" t="str">
        <v>253005 Primas</v>
      </c>
      <c r="DG505" t="str">
        <v>253005 Primas</v>
      </c>
      <c r="DH505" t="str">
        <v>253005 Primas</v>
      </c>
      <c r="DI505" t="str">
        <v>253005 Primas</v>
      </c>
      <c r="DJ505" t="str">
        <v>253005 Primas</v>
      </c>
      <c r="DK505" t="str">
        <v>253005 Primas</v>
      </c>
      <c r="DL505" t="str">
        <v>253005 Primas</v>
      </c>
      <c r="DM505" t="str">
        <v>253005 Primas</v>
      </c>
      <c r="DN505" t="str">
        <v>253005 Primas</v>
      </c>
      <c r="DO505" t="str">
        <v>253005 Primas</v>
      </c>
      <c r="DP505" t="str">
        <v>253005 Primas</v>
      </c>
    </row>
    <row r="506" spans="4:120" ht="12.75">
      <c r="D506" s="7">
        <v>253010</v>
      </c>
      <c r="E506" s="6" t="s">
        <v>386</v>
      </c>
      <c r="F506" s="5">
        <v>4</v>
      </c>
      <c r="G506" s="34" t="s">
        <v>823</v>
      </c>
      <c r="H506" s="26" t="s">
        <v>765</v>
      </c>
      <c r="I506" t="b">
        <f>+ISNUMBER(SEARCH('F-COMPRA'!$F$28,Tabla11[[#This Row],[Cuenta]],1))</f>
        <v>1</v>
      </c>
      <c r="J506" t="b">
        <f>+ISNUMBER(SEARCH('F-COMPRA'!$F$29,Tabla11[[#This Row],[Cuenta]],1))</f>
        <v>1</v>
      </c>
      <c r="K506" t="b">
        <f>+ISNUMBER(SEARCH('F-COMPRA'!$F$30,Tabla11[[#This Row],[Cuenta]],1))</f>
        <v>1</v>
      </c>
      <c r="L506" t="b">
        <f>+ISNUMBER(SEARCH('F-COMPRA'!$F$31,Tabla11[[#This Row],[Cuenta]],1))</f>
        <v>1</v>
      </c>
      <c r="M506" t="b">
        <f>+ISNUMBER(SEARCH('F-COMPRA'!$G$25,Tabla11[[#This Row],[Cuenta]],1))</f>
        <v>0</v>
      </c>
      <c r="N506" t="b">
        <f>+ISNUMBER(SEARCH(#REF!,Tabla11[[#This Row],[Cuenta]],1))</f>
        <v>0</v>
      </c>
      <c r="O506" t="b">
        <f>+ISNUMBER(SEARCH(#REF!,Tabla11[[#This Row],[Cuenta]],1))</f>
        <v>0</v>
      </c>
      <c r="P506" t="b">
        <f>+ISNUMBER(SEARCH('F-COMPRA'!$F$32,Tabla11[[#This Row],[Cuenta]],1))</f>
        <v>1</v>
      </c>
      <c r="Q506" t="b">
        <f>+ISNUMBER(SEARCH('F-COMPRA'!$F$33,Tabla11[[#This Row],[Cuenta]],1))</f>
        <v>1</v>
      </c>
      <c r="R506" t="b">
        <f>+ISNUMBER(SEARCH('F-COMPRA'!$F$34,Tabla11[[#This Row],[Cuenta]],1))</f>
        <v>1</v>
      </c>
      <c r="S506" t="b">
        <f>+ISNUMBER(SEARCH('F-COMPRA'!$F$35,Tabla11[[#This Row],[Cuenta]],1))</f>
        <v>1</v>
      </c>
      <c r="T506" t="b">
        <f>+ISNUMBER(SEARCH('F-COMPRA'!$F$36,Tabla11[[#This Row],[Cuenta]],1))</f>
        <v>1</v>
      </c>
      <c r="U506" t="b">
        <f>+ISNUMBER(SEARCH('F-COMPRA'!$F$37,Tabla11[[#This Row],[Cuenta]],1))</f>
        <v>1</v>
      </c>
      <c r="V506" t="b">
        <f>+ISNUMBER(SEARCH(#REF!,Tabla11[[#This Row],[Cuenta]],1))</f>
        <v>0</v>
      </c>
      <c r="W506" t="b">
        <f>+ISNUMBER(SEARCH('F-COMPRA'!#REF!,Tabla11[[#This Row],[Cuenta]],1))</f>
        <v>0</v>
      </c>
      <c r="X506" t="b">
        <f>+ISNUMBER(SEARCH('F-COMPRA'!#REF!,Tabla11[[#This Row],[Cuenta]],1))</f>
        <v>0</v>
      </c>
      <c r="Y506" t="b">
        <f>+ISNUMBER(SEARCH('F-COMPRA'!#REF!,Tabla11[[#This Row],[Cuenta]],1))</f>
        <v>0</v>
      </c>
      <c r="Z506" t="b">
        <f>+ISNUMBER(SEARCH('F-COMPRA'!#REF!,Tabla11[[#This Row],[Cuenta]],1))</f>
        <v>0</v>
      </c>
      <c r="AA506" t="b">
        <f>+ISNUMBER(SEARCH('F-COMPRA'!#REF!,Tabla11[[#This Row],[Cuenta]],1))</f>
        <v>0</v>
      </c>
      <c r="AB506" t="b">
        <f>+ISNUMBER(SEARCH('F-COMPRA'!#REF!,Tabla11[[#This Row],[Cuenta]],1))</f>
        <v>0</v>
      </c>
      <c r="AC506" t="b">
        <f>+ISNUMBER(SEARCH('F-COMPRA'!#REF!,Tabla11[[#This Row],[Cuenta]],1))</f>
        <v>0</v>
      </c>
      <c r="AD506" t="b">
        <f>+ISNUMBER(SEARCH('F-COMPRA'!#REF!,Tabla11[[#This Row],[Cuenta]],1))</f>
        <v>0</v>
      </c>
      <c r="AE506" t="b">
        <f>+ISNUMBER(SEARCH('F-COMPRA'!#REF!,Tabla11[[#This Row],[Cuenta]],1))</f>
        <v>0</v>
      </c>
      <c r="AF506" t="b">
        <f>+ISNUMBER(SEARCH('F-VTA'!$G$23,Tabla11[[#This Row],[Cuenta]],1))</f>
        <v>0</v>
      </c>
      <c r="AG506" t="b">
        <f>+ISNUMBER(SEARCH('F-VTA'!$G$24,Tabla11[[#This Row],[Cuenta]],1))</f>
        <v>0</v>
      </c>
      <c r="AH506" t="b">
        <f>+ISNUMBER(SEARCH('F-VTA'!$G$25,Tabla11[[#This Row],[Cuenta]],1))</f>
        <v>0</v>
      </c>
      <c r="AI506" t="b">
        <f>+ISNUMBER(SEARCH('F-VTA'!$F$28,Tabla11[[#This Row],[Cuenta]],1))</f>
        <v>1</v>
      </c>
      <c r="AJ506" t="b">
        <f>+ISNUMBER(SEARCH('F-VTA'!$F$29,Tabla11[[#This Row],[Cuenta]],1))</f>
        <v>1</v>
      </c>
      <c r="AK506" t="b">
        <f>+ISNUMBER(SEARCH('F-VTA'!$F$30,Tabla11[[#This Row],[Cuenta]],1))</f>
        <v>1</v>
      </c>
      <c r="AL506" t="b">
        <f>+ISNUMBER(SEARCH('F-VTA'!$F$31,Tabla11[[#This Row],[Cuenta]],1))</f>
        <v>1</v>
      </c>
      <c r="AM506" t="b">
        <f>+ISNUMBER(SEARCH('F-VTA'!$F$32,Tabla11[[#This Row],[Cuenta]],1))</f>
        <v>1</v>
      </c>
      <c r="AN506" t="b">
        <f>+ISNUMBER(SEARCH('F-VTA'!$F$33,Tabla11[[#This Row],[Cuenta]],1))</f>
        <v>1</v>
      </c>
      <c r="AO506" t="b">
        <f>+ISNUMBER(SEARCH('F-VTA'!$F$34,Tabla11[[#This Row],[Cuenta]],1))</f>
        <v>1</v>
      </c>
      <c r="AP506" t="b">
        <f>+ISNUMBER(SEARCH('F-VTA'!$F$35,Tabla11[[#This Row],[Cuenta]],1))</f>
        <v>1</v>
      </c>
      <c r="AQ506" t="b">
        <f>+ISNUMBER(SEARCH('F-VTA'!$F$36,Tabla11[[#This Row],[Cuenta]],1))</f>
        <v>1</v>
      </c>
      <c r="AR506" t="b">
        <f>+ISNUMBER(SEARCH(#REF!,Tabla11[[#This Row],[Cuenta]],1))</f>
        <v>0</v>
      </c>
      <c r="AS506" t="b">
        <f>+ISNUMBER(SEARCH(#REF!,Tabla11[[#This Row],[Cuenta]],1))</f>
        <v>0</v>
      </c>
      <c r="AT506" t="b">
        <f>+ISNUMBER(SEARCH(#REF!,Tabla11[[#This Row],[Cuenta]],1))</f>
        <v>0</v>
      </c>
      <c r="AU506" t="b">
        <f>+ISNUMBER(SEARCH('Conc. Ban.1'!$I$9,Tabla11[[#This Row],[Cuenta]],1))</f>
        <v>0</v>
      </c>
      <c r="AV506" t="b">
        <f>+ISNUMBER(SEARCH(CompConta!$F$21,Tabla11[[#This Row],[Cuenta]],1))</f>
        <v>1</v>
      </c>
      <c r="AW506" t="b">
        <f>+ISNUMBER(SEARCH(CompConta!$F$22,Tabla11[[#This Row],[Cuenta]],1))</f>
        <v>1</v>
      </c>
      <c r="AX506" t="b">
        <f>+ISNUMBER(SEARCH(CompConta!$F$23,Tabla11[[#This Row],[Cuenta]],1))</f>
        <v>1</v>
      </c>
      <c r="AY506" t="b">
        <f>+ISNUMBER(SEARCH(CompConta!$F$24,Tabla11[[#This Row],[Cuenta]],1))</f>
        <v>1</v>
      </c>
      <c r="AZ506" t="b">
        <f>+ISNUMBER(SEARCH(CompConta!$F$25,Tabla11[[#This Row],[Cuenta]],1))</f>
        <v>1</v>
      </c>
      <c r="BA506" t="b">
        <f>+ISNUMBER(SEARCH(CompConta!$F$26,Tabla11[[#This Row],[Cuenta]],1))</f>
        <v>1</v>
      </c>
      <c r="BB506" t="b">
        <f>+ISNUMBER(SEARCH(CompConta!$F$27,Tabla11[[#This Row],[Cuenta]],1))</f>
        <v>1</v>
      </c>
      <c r="BC506" t="b">
        <f>+ISNUMBER(SEARCH(CompConta!$F$28,Tabla11[[#This Row],[Cuenta]],1))</f>
        <v>1</v>
      </c>
      <c r="BD506" t="b">
        <f>+ISNUMBER(SEARCH(CompConta!$F$29,Tabla11[[#This Row],[Cuenta]],1))</f>
        <v>1</v>
      </c>
      <c r="BE506" t="b">
        <f>+ISNUMBER(SEARCH(CompConta!$F$30,Tabla11[[#This Row],[Cuenta]],1))</f>
        <v>1</v>
      </c>
      <c r="BF506" t="b">
        <f>+ISNUMBER(SEARCH('PAGO Compras'!$E$11,Tabla11[[#This Row],[Cuenta]],1))</f>
        <v>1</v>
      </c>
      <c r="BG506" t="b">
        <f>+ISNUMBER(SEARCH(#REF!,Tabla11[[#This Row],[Cuenta]],1))</f>
        <v>0</v>
      </c>
      <c r="BH506" t="b">
        <f>+ISNUMBER(SEARCH(#REF!,Tabla11[[#This Row],[Cuenta]],1))</f>
        <v>0</v>
      </c>
      <c r="BI506" t="b">
        <f>+ISNUMBER(SEARCH(#REF!,Tabla11[[#This Row],[Cuenta]],1))</f>
        <v>0</v>
      </c>
      <c r="BJ506" t="b">
        <f>+ISNUMBER(SEARCH(#REF!,Tabla11[[#This Row],[Cuenta]],1))</f>
        <v>0</v>
      </c>
      <c r="BS506" t="str">
        <v>253010 Auxilios</v>
      </c>
      <c r="BT506" t="str">
        <v>253010 Auxilios</v>
      </c>
      <c r="BU506" t="str">
        <v>253010 Auxilios</v>
      </c>
      <c r="BV506" t="str">
        <v>253010 Auxilios</v>
      </c>
      <c r="BZ506" t="str">
        <v>253010 Auxilios</v>
      </c>
      <c r="CA506" t="str">
        <v>253010 Auxilios</v>
      </c>
      <c r="CB506" t="str">
        <v>253010 Auxilios</v>
      </c>
      <c r="CC506" t="str">
        <v>253010 Auxilios</v>
      </c>
      <c r="CD506" t="str">
        <v>253010 Auxilios</v>
      </c>
      <c r="CE506" t="str">
        <v>253010 Auxilios</v>
      </c>
      <c r="CS506" s="141" t="str">
        <v>253010 Auxilios</v>
      </c>
      <c r="CT506" s="141" t="str">
        <v>253010 Auxilios</v>
      </c>
      <c r="CU506" s="141" t="str">
        <v>253010 Auxilios</v>
      </c>
      <c r="CV506" s="141" t="str">
        <v>253010 Auxilios</v>
      </c>
      <c r="CW506" s="141" t="str">
        <v>253010 Auxilios</v>
      </c>
      <c r="CX506" s="141" t="str">
        <v>253010 Auxilios</v>
      </c>
      <c r="CY506" s="141" t="str">
        <v>253010 Auxilios</v>
      </c>
      <c r="CZ506" s="141" t="str">
        <v>253010 Auxilios</v>
      </c>
      <c r="DA506" s="141" t="str">
        <v>253010 Auxilios</v>
      </c>
      <c r="DF506" t="str">
        <v>253010 Auxilios</v>
      </c>
      <c r="DG506" t="str">
        <v>253010 Auxilios</v>
      </c>
      <c r="DH506" t="str">
        <v>253010 Auxilios</v>
      </c>
      <c r="DI506" t="str">
        <v>253010 Auxilios</v>
      </c>
      <c r="DJ506" t="str">
        <v>253010 Auxilios</v>
      </c>
      <c r="DK506" t="str">
        <v>253010 Auxilios</v>
      </c>
      <c r="DL506" t="str">
        <v>253010 Auxilios</v>
      </c>
      <c r="DM506" t="str">
        <v>253010 Auxilios</v>
      </c>
      <c r="DN506" t="str">
        <v>253010 Auxilios</v>
      </c>
      <c r="DO506" t="str">
        <v>253010 Auxilios</v>
      </c>
      <c r="DP506" t="str">
        <v>253010 Auxilios</v>
      </c>
    </row>
    <row r="507" spans="4:120" ht="12.75">
      <c r="D507" s="7">
        <v>253015</v>
      </c>
      <c r="E507" s="6" t="s">
        <v>276</v>
      </c>
      <c r="F507" s="5">
        <v>4</v>
      </c>
      <c r="G507" s="34" t="s">
        <v>823</v>
      </c>
      <c r="H507" s="26" t="s">
        <v>765</v>
      </c>
      <c r="I507" t="b">
        <f>+ISNUMBER(SEARCH('F-COMPRA'!$F$28,Tabla11[[#This Row],[Cuenta]],1))</f>
        <v>1</v>
      </c>
      <c r="J507" t="b">
        <f>+ISNUMBER(SEARCH('F-COMPRA'!$F$29,Tabla11[[#This Row],[Cuenta]],1))</f>
        <v>1</v>
      </c>
      <c r="K507" t="b">
        <f>+ISNUMBER(SEARCH('F-COMPRA'!$F$30,Tabla11[[#This Row],[Cuenta]],1))</f>
        <v>1</v>
      </c>
      <c r="L507" t="b">
        <f>+ISNUMBER(SEARCH('F-COMPRA'!$F$31,Tabla11[[#This Row],[Cuenta]],1))</f>
        <v>1</v>
      </c>
      <c r="M507" t="b">
        <f>+ISNUMBER(SEARCH('F-COMPRA'!$G$25,Tabla11[[#This Row],[Cuenta]],1))</f>
        <v>0</v>
      </c>
      <c r="N507" t="b">
        <f>+ISNUMBER(SEARCH(#REF!,Tabla11[[#This Row],[Cuenta]],1))</f>
        <v>0</v>
      </c>
      <c r="O507" t="b">
        <f>+ISNUMBER(SEARCH(#REF!,Tabla11[[#This Row],[Cuenta]],1))</f>
        <v>0</v>
      </c>
      <c r="P507" t="b">
        <f>+ISNUMBER(SEARCH('F-COMPRA'!$F$32,Tabla11[[#This Row],[Cuenta]],1))</f>
        <v>1</v>
      </c>
      <c r="Q507" t="b">
        <f>+ISNUMBER(SEARCH('F-COMPRA'!$F$33,Tabla11[[#This Row],[Cuenta]],1))</f>
        <v>1</v>
      </c>
      <c r="R507" t="b">
        <f>+ISNUMBER(SEARCH('F-COMPRA'!$F$34,Tabla11[[#This Row],[Cuenta]],1))</f>
        <v>1</v>
      </c>
      <c r="S507" t="b">
        <f>+ISNUMBER(SEARCH('F-COMPRA'!$F$35,Tabla11[[#This Row],[Cuenta]],1))</f>
        <v>1</v>
      </c>
      <c r="T507" t="b">
        <f>+ISNUMBER(SEARCH('F-COMPRA'!$F$36,Tabla11[[#This Row],[Cuenta]],1))</f>
        <v>1</v>
      </c>
      <c r="U507" t="b">
        <f>+ISNUMBER(SEARCH('F-COMPRA'!$F$37,Tabla11[[#This Row],[Cuenta]],1))</f>
        <v>1</v>
      </c>
      <c r="V507" t="b">
        <f>+ISNUMBER(SEARCH(#REF!,Tabla11[[#This Row],[Cuenta]],1))</f>
        <v>0</v>
      </c>
      <c r="W507" t="b">
        <f>+ISNUMBER(SEARCH('F-COMPRA'!#REF!,Tabla11[[#This Row],[Cuenta]],1))</f>
        <v>0</v>
      </c>
      <c r="X507" t="b">
        <f>+ISNUMBER(SEARCH('F-COMPRA'!#REF!,Tabla11[[#This Row],[Cuenta]],1))</f>
        <v>0</v>
      </c>
      <c r="Y507" t="b">
        <f>+ISNUMBER(SEARCH('F-COMPRA'!#REF!,Tabla11[[#This Row],[Cuenta]],1))</f>
        <v>0</v>
      </c>
      <c r="Z507" t="b">
        <f>+ISNUMBER(SEARCH('F-COMPRA'!#REF!,Tabla11[[#This Row],[Cuenta]],1))</f>
        <v>0</v>
      </c>
      <c r="AA507" t="b">
        <f>+ISNUMBER(SEARCH('F-COMPRA'!#REF!,Tabla11[[#This Row],[Cuenta]],1))</f>
        <v>0</v>
      </c>
      <c r="AB507" t="b">
        <f>+ISNUMBER(SEARCH('F-COMPRA'!#REF!,Tabla11[[#This Row],[Cuenta]],1))</f>
        <v>0</v>
      </c>
      <c r="AC507" t="b">
        <f>+ISNUMBER(SEARCH('F-COMPRA'!#REF!,Tabla11[[#This Row],[Cuenta]],1))</f>
        <v>0</v>
      </c>
      <c r="AD507" t="b">
        <f>+ISNUMBER(SEARCH('F-COMPRA'!#REF!,Tabla11[[#This Row],[Cuenta]],1))</f>
        <v>0</v>
      </c>
      <c r="AE507" t="b">
        <f>+ISNUMBER(SEARCH('F-COMPRA'!#REF!,Tabla11[[#This Row],[Cuenta]],1))</f>
        <v>0</v>
      </c>
      <c r="AF507" t="b">
        <f>+ISNUMBER(SEARCH('F-VTA'!$G$23,Tabla11[[#This Row],[Cuenta]],1))</f>
        <v>0</v>
      </c>
      <c r="AG507" t="b">
        <f>+ISNUMBER(SEARCH('F-VTA'!$G$24,Tabla11[[#This Row],[Cuenta]],1))</f>
        <v>0</v>
      </c>
      <c r="AH507" t="b">
        <f>+ISNUMBER(SEARCH('F-VTA'!$G$25,Tabla11[[#This Row],[Cuenta]],1))</f>
        <v>0</v>
      </c>
      <c r="AI507" t="b">
        <f>+ISNUMBER(SEARCH('F-VTA'!$F$28,Tabla11[[#This Row],[Cuenta]],1))</f>
        <v>1</v>
      </c>
      <c r="AJ507" t="b">
        <f>+ISNUMBER(SEARCH('F-VTA'!$F$29,Tabla11[[#This Row],[Cuenta]],1))</f>
        <v>1</v>
      </c>
      <c r="AK507" t="b">
        <f>+ISNUMBER(SEARCH('F-VTA'!$F$30,Tabla11[[#This Row],[Cuenta]],1))</f>
        <v>1</v>
      </c>
      <c r="AL507" t="b">
        <f>+ISNUMBER(SEARCH('F-VTA'!$F$31,Tabla11[[#This Row],[Cuenta]],1))</f>
        <v>1</v>
      </c>
      <c r="AM507" t="b">
        <f>+ISNUMBER(SEARCH('F-VTA'!$F$32,Tabla11[[#This Row],[Cuenta]],1))</f>
        <v>1</v>
      </c>
      <c r="AN507" t="b">
        <f>+ISNUMBER(SEARCH('F-VTA'!$F$33,Tabla11[[#This Row],[Cuenta]],1))</f>
        <v>1</v>
      </c>
      <c r="AO507" t="b">
        <f>+ISNUMBER(SEARCH('F-VTA'!$F$34,Tabla11[[#This Row],[Cuenta]],1))</f>
        <v>1</v>
      </c>
      <c r="AP507" t="b">
        <f>+ISNUMBER(SEARCH('F-VTA'!$F$35,Tabla11[[#This Row],[Cuenta]],1))</f>
        <v>1</v>
      </c>
      <c r="AQ507" t="b">
        <f>+ISNUMBER(SEARCH('F-VTA'!$F$36,Tabla11[[#This Row],[Cuenta]],1))</f>
        <v>1</v>
      </c>
      <c r="AR507" t="b">
        <f>+ISNUMBER(SEARCH(#REF!,Tabla11[[#This Row],[Cuenta]],1))</f>
        <v>0</v>
      </c>
      <c r="AS507" t="b">
        <f>+ISNUMBER(SEARCH(#REF!,Tabla11[[#This Row],[Cuenta]],1))</f>
        <v>0</v>
      </c>
      <c r="AT507" t="b">
        <f>+ISNUMBER(SEARCH(#REF!,Tabla11[[#This Row],[Cuenta]],1))</f>
        <v>0</v>
      </c>
      <c r="AU507" t="b">
        <f>+ISNUMBER(SEARCH('Conc. Ban.1'!$I$9,Tabla11[[#This Row],[Cuenta]],1))</f>
        <v>0</v>
      </c>
      <c r="AV507" t="b">
        <f>+ISNUMBER(SEARCH(CompConta!$F$21,Tabla11[[#This Row],[Cuenta]],1))</f>
        <v>1</v>
      </c>
      <c r="AW507" t="b">
        <f>+ISNUMBER(SEARCH(CompConta!$F$22,Tabla11[[#This Row],[Cuenta]],1))</f>
        <v>1</v>
      </c>
      <c r="AX507" t="b">
        <f>+ISNUMBER(SEARCH(CompConta!$F$23,Tabla11[[#This Row],[Cuenta]],1))</f>
        <v>1</v>
      </c>
      <c r="AY507" t="b">
        <f>+ISNUMBER(SEARCH(CompConta!$F$24,Tabla11[[#This Row],[Cuenta]],1))</f>
        <v>1</v>
      </c>
      <c r="AZ507" t="b">
        <f>+ISNUMBER(SEARCH(CompConta!$F$25,Tabla11[[#This Row],[Cuenta]],1))</f>
        <v>1</v>
      </c>
      <c r="BA507" t="b">
        <f>+ISNUMBER(SEARCH(CompConta!$F$26,Tabla11[[#This Row],[Cuenta]],1))</f>
        <v>1</v>
      </c>
      <c r="BB507" t="b">
        <f>+ISNUMBER(SEARCH(CompConta!$F$27,Tabla11[[#This Row],[Cuenta]],1))</f>
        <v>1</v>
      </c>
      <c r="BC507" t="b">
        <f>+ISNUMBER(SEARCH(CompConta!$F$28,Tabla11[[#This Row],[Cuenta]],1))</f>
        <v>1</v>
      </c>
      <c r="BD507" t="b">
        <f>+ISNUMBER(SEARCH(CompConta!$F$29,Tabla11[[#This Row],[Cuenta]],1))</f>
        <v>1</v>
      </c>
      <c r="BE507" t="b">
        <f>+ISNUMBER(SEARCH(CompConta!$F$30,Tabla11[[#This Row],[Cuenta]],1))</f>
        <v>1</v>
      </c>
      <c r="BF507" t="b">
        <f>+ISNUMBER(SEARCH('PAGO Compras'!$E$11,Tabla11[[#This Row],[Cuenta]],1))</f>
        <v>1</v>
      </c>
      <c r="BG507" t="b">
        <f>+ISNUMBER(SEARCH(#REF!,Tabla11[[#This Row],[Cuenta]],1))</f>
        <v>0</v>
      </c>
      <c r="BH507" t="b">
        <f>+ISNUMBER(SEARCH(#REF!,Tabla11[[#This Row],[Cuenta]],1))</f>
        <v>0</v>
      </c>
      <c r="BI507" t="b">
        <f>+ISNUMBER(SEARCH(#REF!,Tabla11[[#This Row],[Cuenta]],1))</f>
        <v>0</v>
      </c>
      <c r="BJ507" t="b">
        <f>+ISNUMBER(SEARCH(#REF!,Tabla11[[#This Row],[Cuenta]],1))</f>
        <v>0</v>
      </c>
      <c r="BS507" t="str">
        <v>253015 Dotación y suministro a trabajadores</v>
      </c>
      <c r="BT507" t="str">
        <v>253015 Dotación y suministro a trabajadores</v>
      </c>
      <c r="BU507" t="str">
        <v>253015 Dotación y suministro a trabajadores</v>
      </c>
      <c r="BV507" t="str">
        <v>253015 Dotación y suministro a trabajadores</v>
      </c>
      <c r="BZ507" t="str">
        <v>253015 Dotación y suministro a trabajadores</v>
      </c>
      <c r="CA507" t="str">
        <v>253015 Dotación y suministro a trabajadores</v>
      </c>
      <c r="CB507" t="str">
        <v>253015 Dotación y suministro a trabajadores</v>
      </c>
      <c r="CC507" t="str">
        <v>253015 Dotación y suministro a trabajadores</v>
      </c>
      <c r="CD507" t="str">
        <v>253015 Dotación y suministro a trabajadores</v>
      </c>
      <c r="CE507" t="str">
        <v>253015 Dotación y suministro a trabajadores</v>
      </c>
      <c r="CS507" s="141" t="str">
        <v>253015 Dotación y suministro a trabajadores</v>
      </c>
      <c r="CT507" s="141" t="str">
        <v>253015 Dotación y suministro a trabajadores</v>
      </c>
      <c r="CU507" s="141" t="str">
        <v>253015 Dotación y suministro a trabajadores</v>
      </c>
      <c r="CV507" s="141" t="str">
        <v>253015 Dotación y suministro a trabajadores</v>
      </c>
      <c r="CW507" s="141" t="str">
        <v>253015 Dotación y suministro a trabajadores</v>
      </c>
      <c r="CX507" s="141" t="str">
        <v>253015 Dotación y suministro a trabajadores</v>
      </c>
      <c r="CY507" s="141" t="str">
        <v>253015 Dotación y suministro a trabajadores</v>
      </c>
      <c r="CZ507" s="141" t="str">
        <v>253015 Dotación y suministro a trabajadores</v>
      </c>
      <c r="DA507" s="141" t="str">
        <v>253015 Dotación y suministro a trabajadores</v>
      </c>
      <c r="DF507" t="str">
        <v>253015 Dotación y suministro a trabajadores</v>
      </c>
      <c r="DG507" t="str">
        <v>253015 Dotación y suministro a trabajadores</v>
      </c>
      <c r="DH507" t="str">
        <v>253015 Dotación y suministro a trabajadores</v>
      </c>
      <c r="DI507" t="str">
        <v>253015 Dotación y suministro a trabajadores</v>
      </c>
      <c r="DJ507" t="str">
        <v>253015 Dotación y suministro a trabajadores</v>
      </c>
      <c r="DK507" t="str">
        <v>253015 Dotación y suministro a trabajadores</v>
      </c>
      <c r="DL507" t="str">
        <v>253015 Dotación y suministro a trabajadores</v>
      </c>
      <c r="DM507" t="str">
        <v>253015 Dotación y suministro a trabajadores</v>
      </c>
      <c r="DN507" t="str">
        <v>253015 Dotación y suministro a trabajadores</v>
      </c>
      <c r="DO507" t="str">
        <v>253015 Dotación y suministro a trabajadores</v>
      </c>
      <c r="DP507" t="str">
        <v>253015 Dotación y suministro a trabajadores</v>
      </c>
    </row>
    <row r="508" spans="4:120" ht="12.75">
      <c r="D508" s="7">
        <v>253020</v>
      </c>
      <c r="E508" s="6" t="s">
        <v>387</v>
      </c>
      <c r="F508" s="5">
        <v>4</v>
      </c>
      <c r="G508" s="34" t="s">
        <v>823</v>
      </c>
      <c r="H508" s="26" t="s">
        <v>765</v>
      </c>
      <c r="I508" t="b">
        <f>+ISNUMBER(SEARCH('F-COMPRA'!$F$28,Tabla11[[#This Row],[Cuenta]],1))</f>
        <v>1</v>
      </c>
      <c r="J508" t="b">
        <f>+ISNUMBER(SEARCH('F-COMPRA'!$F$29,Tabla11[[#This Row],[Cuenta]],1))</f>
        <v>1</v>
      </c>
      <c r="K508" t="b">
        <f>+ISNUMBER(SEARCH('F-COMPRA'!$F$30,Tabla11[[#This Row],[Cuenta]],1))</f>
        <v>1</v>
      </c>
      <c r="L508" t="b">
        <f>+ISNUMBER(SEARCH('F-COMPRA'!$F$31,Tabla11[[#This Row],[Cuenta]],1))</f>
        <v>1</v>
      </c>
      <c r="M508" t="b">
        <f>+ISNUMBER(SEARCH('F-COMPRA'!$G$25,Tabla11[[#This Row],[Cuenta]],1))</f>
        <v>0</v>
      </c>
      <c r="N508" t="b">
        <f>+ISNUMBER(SEARCH(#REF!,Tabla11[[#This Row],[Cuenta]],1))</f>
        <v>0</v>
      </c>
      <c r="O508" t="b">
        <f>+ISNUMBER(SEARCH(#REF!,Tabla11[[#This Row],[Cuenta]],1))</f>
        <v>0</v>
      </c>
      <c r="P508" t="b">
        <f>+ISNUMBER(SEARCH('F-COMPRA'!$F$32,Tabla11[[#This Row],[Cuenta]],1))</f>
        <v>1</v>
      </c>
      <c r="Q508" t="b">
        <f>+ISNUMBER(SEARCH('F-COMPRA'!$F$33,Tabla11[[#This Row],[Cuenta]],1))</f>
        <v>1</v>
      </c>
      <c r="R508" t="b">
        <f>+ISNUMBER(SEARCH('F-COMPRA'!$F$34,Tabla11[[#This Row],[Cuenta]],1))</f>
        <v>1</v>
      </c>
      <c r="S508" t="b">
        <f>+ISNUMBER(SEARCH('F-COMPRA'!$F$35,Tabla11[[#This Row],[Cuenta]],1))</f>
        <v>1</v>
      </c>
      <c r="T508" t="b">
        <f>+ISNUMBER(SEARCH('F-COMPRA'!$F$36,Tabla11[[#This Row],[Cuenta]],1))</f>
        <v>1</v>
      </c>
      <c r="U508" t="b">
        <f>+ISNUMBER(SEARCH('F-COMPRA'!$F$37,Tabla11[[#This Row],[Cuenta]],1))</f>
        <v>1</v>
      </c>
      <c r="V508" t="b">
        <f>+ISNUMBER(SEARCH(#REF!,Tabla11[[#This Row],[Cuenta]],1))</f>
        <v>0</v>
      </c>
      <c r="W508" t="b">
        <f>+ISNUMBER(SEARCH('F-COMPRA'!#REF!,Tabla11[[#This Row],[Cuenta]],1))</f>
        <v>0</v>
      </c>
      <c r="X508" t="b">
        <f>+ISNUMBER(SEARCH('F-COMPRA'!#REF!,Tabla11[[#This Row],[Cuenta]],1))</f>
        <v>0</v>
      </c>
      <c r="Y508" t="b">
        <f>+ISNUMBER(SEARCH('F-COMPRA'!#REF!,Tabla11[[#This Row],[Cuenta]],1))</f>
        <v>0</v>
      </c>
      <c r="Z508" t="b">
        <f>+ISNUMBER(SEARCH('F-COMPRA'!#REF!,Tabla11[[#This Row],[Cuenta]],1))</f>
        <v>0</v>
      </c>
      <c r="AA508" t="b">
        <f>+ISNUMBER(SEARCH('F-COMPRA'!#REF!,Tabla11[[#This Row],[Cuenta]],1))</f>
        <v>0</v>
      </c>
      <c r="AB508" t="b">
        <f>+ISNUMBER(SEARCH('F-COMPRA'!#REF!,Tabla11[[#This Row],[Cuenta]],1))</f>
        <v>0</v>
      </c>
      <c r="AC508" t="b">
        <f>+ISNUMBER(SEARCH('F-COMPRA'!#REF!,Tabla11[[#This Row],[Cuenta]],1))</f>
        <v>0</v>
      </c>
      <c r="AD508" t="b">
        <f>+ISNUMBER(SEARCH('F-COMPRA'!#REF!,Tabla11[[#This Row],[Cuenta]],1))</f>
        <v>0</v>
      </c>
      <c r="AE508" t="b">
        <f>+ISNUMBER(SEARCH('F-COMPRA'!#REF!,Tabla11[[#This Row],[Cuenta]],1))</f>
        <v>0</v>
      </c>
      <c r="AF508" t="b">
        <f>+ISNUMBER(SEARCH('F-VTA'!$G$23,Tabla11[[#This Row],[Cuenta]],1))</f>
        <v>0</v>
      </c>
      <c r="AG508" t="b">
        <f>+ISNUMBER(SEARCH('F-VTA'!$G$24,Tabla11[[#This Row],[Cuenta]],1))</f>
        <v>0</v>
      </c>
      <c r="AH508" t="b">
        <f>+ISNUMBER(SEARCH('F-VTA'!$G$25,Tabla11[[#This Row],[Cuenta]],1))</f>
        <v>0</v>
      </c>
      <c r="AI508" t="b">
        <f>+ISNUMBER(SEARCH('F-VTA'!$F$28,Tabla11[[#This Row],[Cuenta]],1))</f>
        <v>1</v>
      </c>
      <c r="AJ508" t="b">
        <f>+ISNUMBER(SEARCH('F-VTA'!$F$29,Tabla11[[#This Row],[Cuenta]],1))</f>
        <v>1</v>
      </c>
      <c r="AK508" t="b">
        <f>+ISNUMBER(SEARCH('F-VTA'!$F$30,Tabla11[[#This Row],[Cuenta]],1))</f>
        <v>1</v>
      </c>
      <c r="AL508" t="b">
        <f>+ISNUMBER(SEARCH('F-VTA'!$F$31,Tabla11[[#This Row],[Cuenta]],1))</f>
        <v>1</v>
      </c>
      <c r="AM508" t="b">
        <f>+ISNUMBER(SEARCH('F-VTA'!$F$32,Tabla11[[#This Row],[Cuenta]],1))</f>
        <v>1</v>
      </c>
      <c r="AN508" t="b">
        <f>+ISNUMBER(SEARCH('F-VTA'!$F$33,Tabla11[[#This Row],[Cuenta]],1))</f>
        <v>1</v>
      </c>
      <c r="AO508" t="b">
        <f>+ISNUMBER(SEARCH('F-VTA'!$F$34,Tabla11[[#This Row],[Cuenta]],1))</f>
        <v>1</v>
      </c>
      <c r="AP508" t="b">
        <f>+ISNUMBER(SEARCH('F-VTA'!$F$35,Tabla11[[#This Row],[Cuenta]],1))</f>
        <v>1</v>
      </c>
      <c r="AQ508" t="b">
        <f>+ISNUMBER(SEARCH('F-VTA'!$F$36,Tabla11[[#This Row],[Cuenta]],1))</f>
        <v>1</v>
      </c>
      <c r="AR508" t="b">
        <f>+ISNUMBER(SEARCH(#REF!,Tabla11[[#This Row],[Cuenta]],1))</f>
        <v>0</v>
      </c>
      <c r="AS508" t="b">
        <f>+ISNUMBER(SEARCH(#REF!,Tabla11[[#This Row],[Cuenta]],1))</f>
        <v>0</v>
      </c>
      <c r="AT508" t="b">
        <f>+ISNUMBER(SEARCH(#REF!,Tabla11[[#This Row],[Cuenta]],1))</f>
        <v>0</v>
      </c>
      <c r="AU508" t="b">
        <f>+ISNUMBER(SEARCH('Conc. Ban.1'!$I$9,Tabla11[[#This Row],[Cuenta]],1))</f>
        <v>0</v>
      </c>
      <c r="AV508" t="b">
        <f>+ISNUMBER(SEARCH(CompConta!$F$21,Tabla11[[#This Row],[Cuenta]],1))</f>
        <v>1</v>
      </c>
      <c r="AW508" t="b">
        <f>+ISNUMBER(SEARCH(CompConta!$F$22,Tabla11[[#This Row],[Cuenta]],1))</f>
        <v>1</v>
      </c>
      <c r="AX508" t="b">
        <f>+ISNUMBER(SEARCH(CompConta!$F$23,Tabla11[[#This Row],[Cuenta]],1))</f>
        <v>1</v>
      </c>
      <c r="AY508" t="b">
        <f>+ISNUMBER(SEARCH(CompConta!$F$24,Tabla11[[#This Row],[Cuenta]],1))</f>
        <v>1</v>
      </c>
      <c r="AZ508" t="b">
        <f>+ISNUMBER(SEARCH(CompConta!$F$25,Tabla11[[#This Row],[Cuenta]],1))</f>
        <v>1</v>
      </c>
      <c r="BA508" t="b">
        <f>+ISNUMBER(SEARCH(CompConta!$F$26,Tabla11[[#This Row],[Cuenta]],1))</f>
        <v>1</v>
      </c>
      <c r="BB508" t="b">
        <f>+ISNUMBER(SEARCH(CompConta!$F$27,Tabla11[[#This Row],[Cuenta]],1))</f>
        <v>1</v>
      </c>
      <c r="BC508" t="b">
        <f>+ISNUMBER(SEARCH(CompConta!$F$28,Tabla11[[#This Row],[Cuenta]],1))</f>
        <v>1</v>
      </c>
      <c r="BD508" t="b">
        <f>+ISNUMBER(SEARCH(CompConta!$F$29,Tabla11[[#This Row],[Cuenta]],1))</f>
        <v>1</v>
      </c>
      <c r="BE508" t="b">
        <f>+ISNUMBER(SEARCH(CompConta!$F$30,Tabla11[[#This Row],[Cuenta]],1))</f>
        <v>1</v>
      </c>
      <c r="BF508" t="b">
        <f>+ISNUMBER(SEARCH('PAGO Compras'!$E$11,Tabla11[[#This Row],[Cuenta]],1))</f>
        <v>1</v>
      </c>
      <c r="BG508" t="b">
        <f>+ISNUMBER(SEARCH(#REF!,Tabla11[[#This Row],[Cuenta]],1))</f>
        <v>0</v>
      </c>
      <c r="BH508" t="b">
        <f>+ISNUMBER(SEARCH(#REF!,Tabla11[[#This Row],[Cuenta]],1))</f>
        <v>0</v>
      </c>
      <c r="BI508" t="b">
        <f>+ISNUMBER(SEARCH(#REF!,Tabla11[[#This Row],[Cuenta]],1))</f>
        <v>0</v>
      </c>
      <c r="BJ508" t="b">
        <f>+ISNUMBER(SEARCH(#REF!,Tabla11[[#This Row],[Cuenta]],1))</f>
        <v>0</v>
      </c>
      <c r="BS508" t="str">
        <v>253020 Bonificaciones</v>
      </c>
      <c r="BT508" t="str">
        <v>253020 Bonificaciones</v>
      </c>
      <c r="BU508" t="str">
        <v>253020 Bonificaciones</v>
      </c>
      <c r="BV508" t="str">
        <v>253020 Bonificaciones</v>
      </c>
      <c r="BZ508" t="str">
        <v>253020 Bonificaciones</v>
      </c>
      <c r="CA508" t="str">
        <v>253020 Bonificaciones</v>
      </c>
      <c r="CB508" t="str">
        <v>253020 Bonificaciones</v>
      </c>
      <c r="CC508" t="str">
        <v>253020 Bonificaciones</v>
      </c>
      <c r="CD508" t="str">
        <v>253020 Bonificaciones</v>
      </c>
      <c r="CE508" t="str">
        <v>253020 Bonificaciones</v>
      </c>
      <c r="CS508" s="141" t="str">
        <v>253020 Bonificaciones</v>
      </c>
      <c r="CT508" s="141" t="str">
        <v>253020 Bonificaciones</v>
      </c>
      <c r="CU508" s="141" t="str">
        <v>253020 Bonificaciones</v>
      </c>
      <c r="CV508" s="141" t="str">
        <v>253020 Bonificaciones</v>
      </c>
      <c r="CW508" s="141" t="str">
        <v>253020 Bonificaciones</v>
      </c>
      <c r="CX508" s="141" t="str">
        <v>253020 Bonificaciones</v>
      </c>
      <c r="CY508" s="141" t="str">
        <v>253020 Bonificaciones</v>
      </c>
      <c r="CZ508" s="141" t="str">
        <v>253020 Bonificaciones</v>
      </c>
      <c r="DA508" s="141" t="str">
        <v>253020 Bonificaciones</v>
      </c>
      <c r="DF508" t="str">
        <v>253020 Bonificaciones</v>
      </c>
      <c r="DG508" t="str">
        <v>253020 Bonificaciones</v>
      </c>
      <c r="DH508" t="str">
        <v>253020 Bonificaciones</v>
      </c>
      <c r="DI508" t="str">
        <v>253020 Bonificaciones</v>
      </c>
      <c r="DJ508" t="str">
        <v>253020 Bonificaciones</v>
      </c>
      <c r="DK508" t="str">
        <v>253020 Bonificaciones</v>
      </c>
      <c r="DL508" t="str">
        <v>253020 Bonificaciones</v>
      </c>
      <c r="DM508" t="str">
        <v>253020 Bonificaciones</v>
      </c>
      <c r="DN508" t="str">
        <v>253020 Bonificaciones</v>
      </c>
      <c r="DO508" t="str">
        <v>253020 Bonificaciones</v>
      </c>
      <c r="DP508" t="str">
        <v>253020 Bonificaciones</v>
      </c>
    </row>
    <row r="509" spans="4:120" ht="12.75">
      <c r="D509" s="7">
        <v>253025</v>
      </c>
      <c r="E509" s="6" t="s">
        <v>321</v>
      </c>
      <c r="F509" s="5">
        <v>4</v>
      </c>
      <c r="G509" s="34" t="s">
        <v>823</v>
      </c>
      <c r="H509" s="26" t="s">
        <v>765</v>
      </c>
      <c r="I509" t="b">
        <f>+ISNUMBER(SEARCH('F-COMPRA'!$F$28,Tabla11[[#This Row],[Cuenta]],1))</f>
        <v>1</v>
      </c>
      <c r="J509" t="b">
        <f>+ISNUMBER(SEARCH('F-COMPRA'!$F$29,Tabla11[[#This Row],[Cuenta]],1))</f>
        <v>1</v>
      </c>
      <c r="K509" t="b">
        <f>+ISNUMBER(SEARCH('F-COMPRA'!$F$30,Tabla11[[#This Row],[Cuenta]],1))</f>
        <v>1</v>
      </c>
      <c r="L509" t="b">
        <f>+ISNUMBER(SEARCH('F-COMPRA'!$F$31,Tabla11[[#This Row],[Cuenta]],1))</f>
        <v>1</v>
      </c>
      <c r="M509" t="b">
        <f>+ISNUMBER(SEARCH('F-COMPRA'!$G$25,Tabla11[[#This Row],[Cuenta]],1))</f>
        <v>0</v>
      </c>
      <c r="N509" t="b">
        <f>+ISNUMBER(SEARCH(#REF!,Tabla11[[#This Row],[Cuenta]],1))</f>
        <v>0</v>
      </c>
      <c r="O509" t="b">
        <f>+ISNUMBER(SEARCH(#REF!,Tabla11[[#This Row],[Cuenta]],1))</f>
        <v>0</v>
      </c>
      <c r="P509" t="b">
        <f>+ISNUMBER(SEARCH('F-COMPRA'!$F$32,Tabla11[[#This Row],[Cuenta]],1))</f>
        <v>1</v>
      </c>
      <c r="Q509" t="b">
        <f>+ISNUMBER(SEARCH('F-COMPRA'!$F$33,Tabla11[[#This Row],[Cuenta]],1))</f>
        <v>1</v>
      </c>
      <c r="R509" t="b">
        <f>+ISNUMBER(SEARCH('F-COMPRA'!$F$34,Tabla11[[#This Row],[Cuenta]],1))</f>
        <v>1</v>
      </c>
      <c r="S509" t="b">
        <f>+ISNUMBER(SEARCH('F-COMPRA'!$F$35,Tabla11[[#This Row],[Cuenta]],1))</f>
        <v>1</v>
      </c>
      <c r="T509" t="b">
        <f>+ISNUMBER(SEARCH('F-COMPRA'!$F$36,Tabla11[[#This Row],[Cuenta]],1))</f>
        <v>1</v>
      </c>
      <c r="U509" t="b">
        <f>+ISNUMBER(SEARCH('F-COMPRA'!$F$37,Tabla11[[#This Row],[Cuenta]],1))</f>
        <v>1</v>
      </c>
      <c r="V509" t="b">
        <f>+ISNUMBER(SEARCH(#REF!,Tabla11[[#This Row],[Cuenta]],1))</f>
        <v>0</v>
      </c>
      <c r="W509" t="b">
        <f>+ISNUMBER(SEARCH('F-COMPRA'!#REF!,Tabla11[[#This Row],[Cuenta]],1))</f>
        <v>0</v>
      </c>
      <c r="X509" t="b">
        <f>+ISNUMBER(SEARCH('F-COMPRA'!#REF!,Tabla11[[#This Row],[Cuenta]],1))</f>
        <v>0</v>
      </c>
      <c r="Y509" t="b">
        <f>+ISNUMBER(SEARCH('F-COMPRA'!#REF!,Tabla11[[#This Row],[Cuenta]],1))</f>
        <v>0</v>
      </c>
      <c r="Z509" t="b">
        <f>+ISNUMBER(SEARCH('F-COMPRA'!#REF!,Tabla11[[#This Row],[Cuenta]],1))</f>
        <v>0</v>
      </c>
      <c r="AA509" t="b">
        <f>+ISNUMBER(SEARCH('F-COMPRA'!#REF!,Tabla11[[#This Row],[Cuenta]],1))</f>
        <v>0</v>
      </c>
      <c r="AB509" t="b">
        <f>+ISNUMBER(SEARCH('F-COMPRA'!#REF!,Tabla11[[#This Row],[Cuenta]],1))</f>
        <v>0</v>
      </c>
      <c r="AC509" t="b">
        <f>+ISNUMBER(SEARCH('F-COMPRA'!#REF!,Tabla11[[#This Row],[Cuenta]],1))</f>
        <v>0</v>
      </c>
      <c r="AD509" t="b">
        <f>+ISNUMBER(SEARCH('F-COMPRA'!#REF!,Tabla11[[#This Row],[Cuenta]],1))</f>
        <v>0</v>
      </c>
      <c r="AE509" t="b">
        <f>+ISNUMBER(SEARCH('F-COMPRA'!#REF!,Tabla11[[#This Row],[Cuenta]],1))</f>
        <v>0</v>
      </c>
      <c r="AF509" t="b">
        <f>+ISNUMBER(SEARCH('F-VTA'!$G$23,Tabla11[[#This Row],[Cuenta]],1))</f>
        <v>0</v>
      </c>
      <c r="AG509" t="b">
        <f>+ISNUMBER(SEARCH('F-VTA'!$G$24,Tabla11[[#This Row],[Cuenta]],1))</f>
        <v>0</v>
      </c>
      <c r="AH509" t="b">
        <f>+ISNUMBER(SEARCH('F-VTA'!$G$25,Tabla11[[#This Row],[Cuenta]],1))</f>
        <v>0</v>
      </c>
      <c r="AI509" t="b">
        <f>+ISNUMBER(SEARCH('F-VTA'!$F$28,Tabla11[[#This Row],[Cuenta]],1))</f>
        <v>1</v>
      </c>
      <c r="AJ509" t="b">
        <f>+ISNUMBER(SEARCH('F-VTA'!$F$29,Tabla11[[#This Row],[Cuenta]],1))</f>
        <v>1</v>
      </c>
      <c r="AK509" t="b">
        <f>+ISNUMBER(SEARCH('F-VTA'!$F$30,Tabla11[[#This Row],[Cuenta]],1))</f>
        <v>1</v>
      </c>
      <c r="AL509" t="b">
        <f>+ISNUMBER(SEARCH('F-VTA'!$F$31,Tabla11[[#This Row],[Cuenta]],1))</f>
        <v>1</v>
      </c>
      <c r="AM509" t="b">
        <f>+ISNUMBER(SEARCH('F-VTA'!$F$32,Tabla11[[#This Row],[Cuenta]],1))</f>
        <v>1</v>
      </c>
      <c r="AN509" t="b">
        <f>+ISNUMBER(SEARCH('F-VTA'!$F$33,Tabla11[[#This Row],[Cuenta]],1))</f>
        <v>1</v>
      </c>
      <c r="AO509" t="b">
        <f>+ISNUMBER(SEARCH('F-VTA'!$F$34,Tabla11[[#This Row],[Cuenta]],1))</f>
        <v>1</v>
      </c>
      <c r="AP509" t="b">
        <f>+ISNUMBER(SEARCH('F-VTA'!$F$35,Tabla11[[#This Row],[Cuenta]],1))</f>
        <v>1</v>
      </c>
      <c r="AQ509" t="b">
        <f>+ISNUMBER(SEARCH('F-VTA'!$F$36,Tabla11[[#This Row],[Cuenta]],1))</f>
        <v>1</v>
      </c>
      <c r="AR509" t="b">
        <f>+ISNUMBER(SEARCH(#REF!,Tabla11[[#This Row],[Cuenta]],1))</f>
        <v>0</v>
      </c>
      <c r="AS509" t="b">
        <f>+ISNUMBER(SEARCH(#REF!,Tabla11[[#This Row],[Cuenta]],1))</f>
        <v>0</v>
      </c>
      <c r="AT509" t="b">
        <f>+ISNUMBER(SEARCH(#REF!,Tabla11[[#This Row],[Cuenta]],1))</f>
        <v>0</v>
      </c>
      <c r="AU509" t="b">
        <f>+ISNUMBER(SEARCH('Conc. Ban.1'!$I$9,Tabla11[[#This Row],[Cuenta]],1))</f>
        <v>0</v>
      </c>
      <c r="AV509" t="b">
        <f>+ISNUMBER(SEARCH(CompConta!$F$21,Tabla11[[#This Row],[Cuenta]],1))</f>
        <v>1</v>
      </c>
      <c r="AW509" t="b">
        <f>+ISNUMBER(SEARCH(CompConta!$F$22,Tabla11[[#This Row],[Cuenta]],1))</f>
        <v>1</v>
      </c>
      <c r="AX509" t="b">
        <f>+ISNUMBER(SEARCH(CompConta!$F$23,Tabla11[[#This Row],[Cuenta]],1))</f>
        <v>1</v>
      </c>
      <c r="AY509" t="b">
        <f>+ISNUMBER(SEARCH(CompConta!$F$24,Tabla11[[#This Row],[Cuenta]],1))</f>
        <v>1</v>
      </c>
      <c r="AZ509" t="b">
        <f>+ISNUMBER(SEARCH(CompConta!$F$25,Tabla11[[#This Row],[Cuenta]],1))</f>
        <v>1</v>
      </c>
      <c r="BA509" t="b">
        <f>+ISNUMBER(SEARCH(CompConta!$F$26,Tabla11[[#This Row],[Cuenta]],1))</f>
        <v>1</v>
      </c>
      <c r="BB509" t="b">
        <f>+ISNUMBER(SEARCH(CompConta!$F$27,Tabla11[[#This Row],[Cuenta]],1))</f>
        <v>1</v>
      </c>
      <c r="BC509" t="b">
        <f>+ISNUMBER(SEARCH(CompConta!$F$28,Tabla11[[#This Row],[Cuenta]],1))</f>
        <v>1</v>
      </c>
      <c r="BD509" t="b">
        <f>+ISNUMBER(SEARCH(CompConta!$F$29,Tabla11[[#This Row],[Cuenta]],1))</f>
        <v>1</v>
      </c>
      <c r="BE509" t="b">
        <f>+ISNUMBER(SEARCH(CompConta!$F$30,Tabla11[[#This Row],[Cuenta]],1))</f>
        <v>1</v>
      </c>
      <c r="BF509" t="b">
        <f>+ISNUMBER(SEARCH('PAGO Compras'!$E$11,Tabla11[[#This Row],[Cuenta]],1))</f>
        <v>1</v>
      </c>
      <c r="BG509" t="b">
        <f>+ISNUMBER(SEARCH(#REF!,Tabla11[[#This Row],[Cuenta]],1))</f>
        <v>0</v>
      </c>
      <c r="BH509" t="b">
        <f>+ISNUMBER(SEARCH(#REF!,Tabla11[[#This Row],[Cuenta]],1))</f>
        <v>0</v>
      </c>
      <c r="BI509" t="b">
        <f>+ISNUMBER(SEARCH(#REF!,Tabla11[[#This Row],[Cuenta]],1))</f>
        <v>0</v>
      </c>
      <c r="BJ509" t="b">
        <f>+ISNUMBER(SEARCH(#REF!,Tabla11[[#This Row],[Cuenta]],1))</f>
        <v>0</v>
      </c>
      <c r="BS509" t="str">
        <v>253025 Seguros</v>
      </c>
      <c r="BT509" t="str">
        <v>253025 Seguros</v>
      </c>
      <c r="BU509" t="str">
        <v>253025 Seguros</v>
      </c>
      <c r="BV509" t="str">
        <v>253025 Seguros</v>
      </c>
      <c r="BZ509" t="str">
        <v>253025 Seguros</v>
      </c>
      <c r="CA509" t="str">
        <v>253025 Seguros</v>
      </c>
      <c r="CB509" t="str">
        <v>253025 Seguros</v>
      </c>
      <c r="CC509" t="str">
        <v>253025 Seguros</v>
      </c>
      <c r="CD509" t="str">
        <v>253025 Seguros</v>
      </c>
      <c r="CE509" t="str">
        <v>253025 Seguros</v>
      </c>
      <c r="CS509" s="141" t="str">
        <v>253025 Seguros</v>
      </c>
      <c r="CT509" s="141" t="str">
        <v>253025 Seguros</v>
      </c>
      <c r="CU509" s="141" t="str">
        <v>253025 Seguros</v>
      </c>
      <c r="CV509" s="141" t="str">
        <v>253025 Seguros</v>
      </c>
      <c r="CW509" s="141" t="str">
        <v>253025 Seguros</v>
      </c>
      <c r="CX509" s="141" t="str">
        <v>253025 Seguros</v>
      </c>
      <c r="CY509" s="141" t="str">
        <v>253025 Seguros</v>
      </c>
      <c r="CZ509" s="141" t="str">
        <v>253025 Seguros</v>
      </c>
      <c r="DA509" s="141" t="str">
        <v>253025 Seguros</v>
      </c>
      <c r="DF509" t="str">
        <v>253025 Seguros</v>
      </c>
      <c r="DG509" t="str">
        <v>253025 Seguros</v>
      </c>
      <c r="DH509" t="str">
        <v>253025 Seguros</v>
      </c>
      <c r="DI509" t="str">
        <v>253025 Seguros</v>
      </c>
      <c r="DJ509" t="str">
        <v>253025 Seguros</v>
      </c>
      <c r="DK509" t="str">
        <v>253025 Seguros</v>
      </c>
      <c r="DL509" t="str">
        <v>253025 Seguros</v>
      </c>
      <c r="DM509" t="str">
        <v>253025 Seguros</v>
      </c>
      <c r="DN509" t="str">
        <v>253025 Seguros</v>
      </c>
      <c r="DO509" t="str">
        <v>253025 Seguros</v>
      </c>
      <c r="DP509" t="str">
        <v>253025 Seguros</v>
      </c>
    </row>
    <row r="510" spans="4:120" ht="12.75">
      <c r="D510" s="7">
        <v>253095</v>
      </c>
      <c r="E510" s="6" t="s">
        <v>46</v>
      </c>
      <c r="F510" s="5">
        <v>4</v>
      </c>
      <c r="G510" s="34" t="s">
        <v>823</v>
      </c>
      <c r="H510" s="26" t="s">
        <v>765</v>
      </c>
      <c r="I510" t="b">
        <f>+ISNUMBER(SEARCH('F-COMPRA'!$F$28,Tabla11[[#This Row],[Cuenta]],1))</f>
        <v>1</v>
      </c>
      <c r="J510" t="b">
        <f>+ISNUMBER(SEARCH('F-COMPRA'!$F$29,Tabla11[[#This Row],[Cuenta]],1))</f>
        <v>1</v>
      </c>
      <c r="K510" t="b">
        <f>+ISNUMBER(SEARCH('F-COMPRA'!$F$30,Tabla11[[#This Row],[Cuenta]],1))</f>
        <v>1</v>
      </c>
      <c r="L510" t="b">
        <f>+ISNUMBER(SEARCH('F-COMPRA'!$F$31,Tabla11[[#This Row],[Cuenta]],1))</f>
        <v>1</v>
      </c>
      <c r="M510" t="b">
        <f>+ISNUMBER(SEARCH('F-COMPRA'!$G$25,Tabla11[[#This Row],[Cuenta]],1))</f>
        <v>0</v>
      </c>
      <c r="N510" t="b">
        <f>+ISNUMBER(SEARCH(#REF!,Tabla11[[#This Row],[Cuenta]],1))</f>
        <v>0</v>
      </c>
      <c r="O510" t="b">
        <f>+ISNUMBER(SEARCH(#REF!,Tabla11[[#This Row],[Cuenta]],1))</f>
        <v>0</v>
      </c>
      <c r="P510" t="b">
        <f>+ISNUMBER(SEARCH('F-COMPRA'!$F$32,Tabla11[[#This Row],[Cuenta]],1))</f>
        <v>1</v>
      </c>
      <c r="Q510" t="b">
        <f>+ISNUMBER(SEARCH('F-COMPRA'!$F$33,Tabla11[[#This Row],[Cuenta]],1))</f>
        <v>1</v>
      </c>
      <c r="R510" t="b">
        <f>+ISNUMBER(SEARCH('F-COMPRA'!$F$34,Tabla11[[#This Row],[Cuenta]],1))</f>
        <v>1</v>
      </c>
      <c r="S510" t="b">
        <f>+ISNUMBER(SEARCH('F-COMPRA'!$F$35,Tabla11[[#This Row],[Cuenta]],1))</f>
        <v>1</v>
      </c>
      <c r="T510" t="b">
        <f>+ISNUMBER(SEARCH('F-COMPRA'!$F$36,Tabla11[[#This Row],[Cuenta]],1))</f>
        <v>1</v>
      </c>
      <c r="U510" t="b">
        <f>+ISNUMBER(SEARCH('F-COMPRA'!$F$37,Tabla11[[#This Row],[Cuenta]],1))</f>
        <v>1</v>
      </c>
      <c r="V510" t="b">
        <f>+ISNUMBER(SEARCH(#REF!,Tabla11[[#This Row],[Cuenta]],1))</f>
        <v>0</v>
      </c>
      <c r="W510" t="b">
        <f>+ISNUMBER(SEARCH('F-COMPRA'!#REF!,Tabla11[[#This Row],[Cuenta]],1))</f>
        <v>0</v>
      </c>
      <c r="X510" t="b">
        <f>+ISNUMBER(SEARCH('F-COMPRA'!#REF!,Tabla11[[#This Row],[Cuenta]],1))</f>
        <v>0</v>
      </c>
      <c r="Y510" t="b">
        <f>+ISNUMBER(SEARCH('F-COMPRA'!#REF!,Tabla11[[#This Row],[Cuenta]],1))</f>
        <v>0</v>
      </c>
      <c r="Z510" t="b">
        <f>+ISNUMBER(SEARCH('F-COMPRA'!#REF!,Tabla11[[#This Row],[Cuenta]],1))</f>
        <v>0</v>
      </c>
      <c r="AA510" t="b">
        <f>+ISNUMBER(SEARCH('F-COMPRA'!#REF!,Tabla11[[#This Row],[Cuenta]],1))</f>
        <v>0</v>
      </c>
      <c r="AB510" t="b">
        <f>+ISNUMBER(SEARCH('F-COMPRA'!#REF!,Tabla11[[#This Row],[Cuenta]],1))</f>
        <v>0</v>
      </c>
      <c r="AC510" t="b">
        <f>+ISNUMBER(SEARCH('F-COMPRA'!#REF!,Tabla11[[#This Row],[Cuenta]],1))</f>
        <v>0</v>
      </c>
      <c r="AD510" t="b">
        <f>+ISNUMBER(SEARCH('F-COMPRA'!#REF!,Tabla11[[#This Row],[Cuenta]],1))</f>
        <v>0</v>
      </c>
      <c r="AE510" t="b">
        <f>+ISNUMBER(SEARCH('F-COMPRA'!#REF!,Tabla11[[#This Row],[Cuenta]],1))</f>
        <v>0</v>
      </c>
      <c r="AF510" t="b">
        <f>+ISNUMBER(SEARCH('F-VTA'!$G$23,Tabla11[[#This Row],[Cuenta]],1))</f>
        <v>0</v>
      </c>
      <c r="AG510" t="b">
        <f>+ISNUMBER(SEARCH('F-VTA'!$G$24,Tabla11[[#This Row],[Cuenta]],1))</f>
        <v>0</v>
      </c>
      <c r="AH510" t="b">
        <f>+ISNUMBER(SEARCH('F-VTA'!$G$25,Tabla11[[#This Row],[Cuenta]],1))</f>
        <v>0</v>
      </c>
      <c r="AI510" t="b">
        <f>+ISNUMBER(SEARCH('F-VTA'!$F$28,Tabla11[[#This Row],[Cuenta]],1))</f>
        <v>1</v>
      </c>
      <c r="AJ510" t="b">
        <f>+ISNUMBER(SEARCH('F-VTA'!$F$29,Tabla11[[#This Row],[Cuenta]],1))</f>
        <v>1</v>
      </c>
      <c r="AK510" t="b">
        <f>+ISNUMBER(SEARCH('F-VTA'!$F$30,Tabla11[[#This Row],[Cuenta]],1))</f>
        <v>1</v>
      </c>
      <c r="AL510" t="b">
        <f>+ISNUMBER(SEARCH('F-VTA'!$F$31,Tabla11[[#This Row],[Cuenta]],1))</f>
        <v>1</v>
      </c>
      <c r="AM510" t="b">
        <f>+ISNUMBER(SEARCH('F-VTA'!$F$32,Tabla11[[#This Row],[Cuenta]],1))</f>
        <v>1</v>
      </c>
      <c r="AN510" t="b">
        <f>+ISNUMBER(SEARCH('F-VTA'!$F$33,Tabla11[[#This Row],[Cuenta]],1))</f>
        <v>1</v>
      </c>
      <c r="AO510" t="b">
        <f>+ISNUMBER(SEARCH('F-VTA'!$F$34,Tabla11[[#This Row],[Cuenta]],1))</f>
        <v>1</v>
      </c>
      <c r="AP510" t="b">
        <f>+ISNUMBER(SEARCH('F-VTA'!$F$35,Tabla11[[#This Row],[Cuenta]],1))</f>
        <v>1</v>
      </c>
      <c r="AQ510" t="b">
        <f>+ISNUMBER(SEARCH('F-VTA'!$F$36,Tabla11[[#This Row],[Cuenta]],1))</f>
        <v>1</v>
      </c>
      <c r="AR510" t="b">
        <f>+ISNUMBER(SEARCH(#REF!,Tabla11[[#This Row],[Cuenta]],1))</f>
        <v>0</v>
      </c>
      <c r="AS510" t="b">
        <f>+ISNUMBER(SEARCH(#REF!,Tabla11[[#This Row],[Cuenta]],1))</f>
        <v>0</v>
      </c>
      <c r="AT510" t="b">
        <f>+ISNUMBER(SEARCH(#REF!,Tabla11[[#This Row],[Cuenta]],1))</f>
        <v>0</v>
      </c>
      <c r="AU510" t="b">
        <f>+ISNUMBER(SEARCH('Conc. Ban.1'!$I$9,Tabla11[[#This Row],[Cuenta]],1))</f>
        <v>0</v>
      </c>
      <c r="AV510" t="b">
        <f>+ISNUMBER(SEARCH(CompConta!$F$21,Tabla11[[#This Row],[Cuenta]],1))</f>
        <v>1</v>
      </c>
      <c r="AW510" t="b">
        <f>+ISNUMBER(SEARCH(CompConta!$F$22,Tabla11[[#This Row],[Cuenta]],1))</f>
        <v>1</v>
      </c>
      <c r="AX510" t="b">
        <f>+ISNUMBER(SEARCH(CompConta!$F$23,Tabla11[[#This Row],[Cuenta]],1))</f>
        <v>1</v>
      </c>
      <c r="AY510" t="b">
        <f>+ISNUMBER(SEARCH(CompConta!$F$24,Tabla11[[#This Row],[Cuenta]],1))</f>
        <v>1</v>
      </c>
      <c r="AZ510" t="b">
        <f>+ISNUMBER(SEARCH(CompConta!$F$25,Tabla11[[#This Row],[Cuenta]],1))</f>
        <v>1</v>
      </c>
      <c r="BA510" t="b">
        <f>+ISNUMBER(SEARCH(CompConta!$F$26,Tabla11[[#This Row],[Cuenta]],1))</f>
        <v>1</v>
      </c>
      <c r="BB510" t="b">
        <f>+ISNUMBER(SEARCH(CompConta!$F$27,Tabla11[[#This Row],[Cuenta]],1))</f>
        <v>1</v>
      </c>
      <c r="BC510" t="b">
        <f>+ISNUMBER(SEARCH(CompConta!$F$28,Tabla11[[#This Row],[Cuenta]],1))</f>
        <v>1</v>
      </c>
      <c r="BD510" t="b">
        <f>+ISNUMBER(SEARCH(CompConta!$F$29,Tabla11[[#This Row],[Cuenta]],1))</f>
        <v>1</v>
      </c>
      <c r="BE510" t="b">
        <f>+ISNUMBER(SEARCH(CompConta!$F$30,Tabla11[[#This Row],[Cuenta]],1))</f>
        <v>1</v>
      </c>
      <c r="BF510" t="b">
        <f>+ISNUMBER(SEARCH('PAGO Compras'!$E$11,Tabla11[[#This Row],[Cuenta]],1))</f>
        <v>1</v>
      </c>
      <c r="BG510" t="b">
        <f>+ISNUMBER(SEARCH(#REF!,Tabla11[[#This Row],[Cuenta]],1))</f>
        <v>0</v>
      </c>
      <c r="BH510" t="b">
        <f>+ISNUMBER(SEARCH(#REF!,Tabla11[[#This Row],[Cuenta]],1))</f>
        <v>0</v>
      </c>
      <c r="BI510" t="b">
        <f>+ISNUMBER(SEARCH(#REF!,Tabla11[[#This Row],[Cuenta]],1))</f>
        <v>0</v>
      </c>
      <c r="BJ510" t="b">
        <f>+ISNUMBER(SEARCH(#REF!,Tabla11[[#This Row],[Cuenta]],1))</f>
        <v>0</v>
      </c>
      <c r="BS510" t="str">
        <v>253095 Otras</v>
      </c>
      <c r="BT510" t="str">
        <v>253095 Otras</v>
      </c>
      <c r="BU510" t="str">
        <v>253095 Otras</v>
      </c>
      <c r="BV510" t="str">
        <v>253095 Otras</v>
      </c>
      <c r="BZ510" t="str">
        <v>253095 Otras</v>
      </c>
      <c r="CA510" t="str">
        <v>253095 Otras</v>
      </c>
      <c r="CB510" t="str">
        <v>253095 Otras</v>
      </c>
      <c r="CC510" t="str">
        <v>253095 Otras</v>
      </c>
      <c r="CD510" t="str">
        <v>253095 Otras</v>
      </c>
      <c r="CE510" t="str">
        <v>253095 Otras</v>
      </c>
      <c r="CS510" s="141" t="str">
        <v>253095 Otras</v>
      </c>
      <c r="CT510" s="141" t="str">
        <v>253095 Otras</v>
      </c>
      <c r="CU510" s="141" t="str">
        <v>253095 Otras</v>
      </c>
      <c r="CV510" s="141" t="str">
        <v>253095 Otras</v>
      </c>
      <c r="CW510" s="141" t="str">
        <v>253095 Otras</v>
      </c>
      <c r="CX510" s="141" t="str">
        <v>253095 Otras</v>
      </c>
      <c r="CY510" s="141" t="str">
        <v>253095 Otras</v>
      </c>
      <c r="CZ510" s="141" t="str">
        <v>253095 Otras</v>
      </c>
      <c r="DA510" s="141" t="str">
        <v>253095 Otras</v>
      </c>
      <c r="DF510" t="str">
        <v>253095 Otras</v>
      </c>
      <c r="DG510" t="str">
        <v>253095 Otras</v>
      </c>
      <c r="DH510" t="str">
        <v>253095 Otras</v>
      </c>
      <c r="DI510" t="str">
        <v>253095 Otras</v>
      </c>
      <c r="DJ510" t="str">
        <v>253095 Otras</v>
      </c>
      <c r="DK510" t="str">
        <v>253095 Otras</v>
      </c>
      <c r="DL510" t="str">
        <v>253095 Otras</v>
      </c>
      <c r="DM510" t="str">
        <v>253095 Otras</v>
      </c>
      <c r="DN510" t="str">
        <v>253095 Otras</v>
      </c>
      <c r="DO510" t="str">
        <v>253095 Otras</v>
      </c>
      <c r="DP510" t="str">
        <v>253095 Otras</v>
      </c>
    </row>
    <row r="511" spans="4:120" ht="12.75">
      <c r="D511" s="7">
        <v>2532</v>
      </c>
      <c r="E511" s="6" t="s">
        <v>388</v>
      </c>
      <c r="F511" s="5">
        <v>3</v>
      </c>
      <c r="G511" s="34" t="s">
        <v>823</v>
      </c>
      <c r="H511" s="26" t="s">
        <v>765</v>
      </c>
      <c r="I511" t="b">
        <f>+ISNUMBER(SEARCH('F-COMPRA'!$F$28,Tabla11[[#This Row],[Cuenta]],1))</f>
        <v>1</v>
      </c>
      <c r="J511" t="b">
        <f>+ISNUMBER(SEARCH('F-COMPRA'!$F$29,Tabla11[[#This Row],[Cuenta]],1))</f>
        <v>1</v>
      </c>
      <c r="K511" t="b">
        <f>+ISNUMBER(SEARCH('F-COMPRA'!$F$30,Tabla11[[#This Row],[Cuenta]],1))</f>
        <v>1</v>
      </c>
      <c r="L511" t="b">
        <f>+ISNUMBER(SEARCH('F-COMPRA'!$F$31,Tabla11[[#This Row],[Cuenta]],1))</f>
        <v>1</v>
      </c>
      <c r="M511" t="b">
        <f>+ISNUMBER(SEARCH('F-COMPRA'!$G$25,Tabla11[[#This Row],[Cuenta]],1))</f>
        <v>0</v>
      </c>
      <c r="N511" t="b">
        <f>+ISNUMBER(SEARCH(#REF!,Tabla11[[#This Row],[Cuenta]],1))</f>
        <v>0</v>
      </c>
      <c r="O511" t="b">
        <f>+ISNUMBER(SEARCH(#REF!,Tabla11[[#This Row],[Cuenta]],1))</f>
        <v>0</v>
      </c>
      <c r="P511" t="b">
        <f>+ISNUMBER(SEARCH('F-COMPRA'!$F$32,Tabla11[[#This Row],[Cuenta]],1))</f>
        <v>1</v>
      </c>
      <c r="Q511" t="b">
        <f>+ISNUMBER(SEARCH('F-COMPRA'!$F$33,Tabla11[[#This Row],[Cuenta]],1))</f>
        <v>1</v>
      </c>
      <c r="R511" t="b">
        <f>+ISNUMBER(SEARCH('F-COMPRA'!$F$34,Tabla11[[#This Row],[Cuenta]],1))</f>
        <v>1</v>
      </c>
      <c r="S511" t="b">
        <f>+ISNUMBER(SEARCH('F-COMPRA'!$F$35,Tabla11[[#This Row],[Cuenta]],1))</f>
        <v>1</v>
      </c>
      <c r="T511" t="b">
        <f>+ISNUMBER(SEARCH('F-COMPRA'!$F$36,Tabla11[[#This Row],[Cuenta]],1))</f>
        <v>1</v>
      </c>
      <c r="U511" t="b">
        <f>+ISNUMBER(SEARCH('F-COMPRA'!$F$37,Tabla11[[#This Row],[Cuenta]],1))</f>
        <v>1</v>
      </c>
      <c r="V511" t="b">
        <f>+ISNUMBER(SEARCH(#REF!,Tabla11[[#This Row],[Cuenta]],1))</f>
        <v>0</v>
      </c>
      <c r="W511" t="b">
        <f>+ISNUMBER(SEARCH('F-COMPRA'!#REF!,Tabla11[[#This Row],[Cuenta]],1))</f>
        <v>0</v>
      </c>
      <c r="X511" t="b">
        <f>+ISNUMBER(SEARCH('F-COMPRA'!#REF!,Tabla11[[#This Row],[Cuenta]],1))</f>
        <v>0</v>
      </c>
      <c r="Y511" t="b">
        <f>+ISNUMBER(SEARCH('F-COMPRA'!#REF!,Tabla11[[#This Row],[Cuenta]],1))</f>
        <v>0</v>
      </c>
      <c r="Z511" t="b">
        <f>+ISNUMBER(SEARCH('F-COMPRA'!#REF!,Tabla11[[#This Row],[Cuenta]],1))</f>
        <v>0</v>
      </c>
      <c r="AA511" t="b">
        <f>+ISNUMBER(SEARCH('F-COMPRA'!#REF!,Tabla11[[#This Row],[Cuenta]],1))</f>
        <v>0</v>
      </c>
      <c r="AB511" t="b">
        <f>+ISNUMBER(SEARCH('F-COMPRA'!#REF!,Tabla11[[#This Row],[Cuenta]],1))</f>
        <v>0</v>
      </c>
      <c r="AC511" t="b">
        <f>+ISNUMBER(SEARCH('F-COMPRA'!#REF!,Tabla11[[#This Row],[Cuenta]],1))</f>
        <v>0</v>
      </c>
      <c r="AD511" t="b">
        <f>+ISNUMBER(SEARCH('F-COMPRA'!#REF!,Tabla11[[#This Row],[Cuenta]],1))</f>
        <v>0</v>
      </c>
      <c r="AE511" t="b">
        <f>+ISNUMBER(SEARCH('F-COMPRA'!#REF!,Tabla11[[#This Row],[Cuenta]],1))</f>
        <v>0</v>
      </c>
      <c r="AF511" t="b">
        <f>+ISNUMBER(SEARCH('F-VTA'!$G$23,Tabla11[[#This Row],[Cuenta]],1))</f>
        <v>0</v>
      </c>
      <c r="AG511" t="b">
        <f>+ISNUMBER(SEARCH('F-VTA'!$G$24,Tabla11[[#This Row],[Cuenta]],1))</f>
        <v>0</v>
      </c>
      <c r="AH511" t="b">
        <f>+ISNUMBER(SEARCH('F-VTA'!$G$25,Tabla11[[#This Row],[Cuenta]],1))</f>
        <v>0</v>
      </c>
      <c r="AI511" t="b">
        <f>+ISNUMBER(SEARCH('F-VTA'!$F$28,Tabla11[[#This Row],[Cuenta]],1))</f>
        <v>1</v>
      </c>
      <c r="AJ511" t="b">
        <f>+ISNUMBER(SEARCH('F-VTA'!$F$29,Tabla11[[#This Row],[Cuenta]],1))</f>
        <v>1</v>
      </c>
      <c r="AK511" t="b">
        <f>+ISNUMBER(SEARCH('F-VTA'!$F$30,Tabla11[[#This Row],[Cuenta]],1))</f>
        <v>1</v>
      </c>
      <c r="AL511" t="b">
        <f>+ISNUMBER(SEARCH('F-VTA'!$F$31,Tabla11[[#This Row],[Cuenta]],1))</f>
        <v>1</v>
      </c>
      <c r="AM511" t="b">
        <f>+ISNUMBER(SEARCH('F-VTA'!$F$32,Tabla11[[#This Row],[Cuenta]],1))</f>
        <v>1</v>
      </c>
      <c r="AN511" t="b">
        <f>+ISNUMBER(SEARCH('F-VTA'!$F$33,Tabla11[[#This Row],[Cuenta]],1))</f>
        <v>1</v>
      </c>
      <c r="AO511" t="b">
        <f>+ISNUMBER(SEARCH('F-VTA'!$F$34,Tabla11[[#This Row],[Cuenta]],1))</f>
        <v>1</v>
      </c>
      <c r="AP511" t="b">
        <f>+ISNUMBER(SEARCH('F-VTA'!$F$35,Tabla11[[#This Row],[Cuenta]],1))</f>
        <v>1</v>
      </c>
      <c r="AQ511" t="b">
        <f>+ISNUMBER(SEARCH('F-VTA'!$F$36,Tabla11[[#This Row],[Cuenta]],1))</f>
        <v>1</v>
      </c>
      <c r="AR511" t="b">
        <f>+ISNUMBER(SEARCH(#REF!,Tabla11[[#This Row],[Cuenta]],1))</f>
        <v>0</v>
      </c>
      <c r="AS511" t="b">
        <f>+ISNUMBER(SEARCH(#REF!,Tabla11[[#This Row],[Cuenta]],1))</f>
        <v>0</v>
      </c>
      <c r="AT511" t="b">
        <f>+ISNUMBER(SEARCH(#REF!,Tabla11[[#This Row],[Cuenta]],1))</f>
        <v>0</v>
      </c>
      <c r="AU511" t="b">
        <f>+ISNUMBER(SEARCH('Conc. Ban.1'!$I$9,Tabla11[[#This Row],[Cuenta]],1))</f>
        <v>0</v>
      </c>
      <c r="AV511" t="b">
        <f>+ISNUMBER(SEARCH(CompConta!$F$21,Tabla11[[#This Row],[Cuenta]],1))</f>
        <v>1</v>
      </c>
      <c r="AW511" t="b">
        <f>+ISNUMBER(SEARCH(CompConta!$F$22,Tabla11[[#This Row],[Cuenta]],1))</f>
        <v>1</v>
      </c>
      <c r="AX511" t="b">
        <f>+ISNUMBER(SEARCH(CompConta!$F$23,Tabla11[[#This Row],[Cuenta]],1))</f>
        <v>1</v>
      </c>
      <c r="AY511" t="b">
        <f>+ISNUMBER(SEARCH(CompConta!$F$24,Tabla11[[#This Row],[Cuenta]],1))</f>
        <v>1</v>
      </c>
      <c r="AZ511" t="b">
        <f>+ISNUMBER(SEARCH(CompConta!$F$25,Tabla11[[#This Row],[Cuenta]],1))</f>
        <v>1</v>
      </c>
      <c r="BA511" t="b">
        <f>+ISNUMBER(SEARCH(CompConta!$F$26,Tabla11[[#This Row],[Cuenta]],1))</f>
        <v>1</v>
      </c>
      <c r="BB511" t="b">
        <f>+ISNUMBER(SEARCH(CompConta!$F$27,Tabla11[[#This Row],[Cuenta]],1))</f>
        <v>1</v>
      </c>
      <c r="BC511" t="b">
        <f>+ISNUMBER(SEARCH(CompConta!$F$28,Tabla11[[#This Row],[Cuenta]],1))</f>
        <v>1</v>
      </c>
      <c r="BD511" t="b">
        <f>+ISNUMBER(SEARCH(CompConta!$F$29,Tabla11[[#This Row],[Cuenta]],1))</f>
        <v>1</v>
      </c>
      <c r="BE511" t="b">
        <f>+ISNUMBER(SEARCH(CompConta!$F$30,Tabla11[[#This Row],[Cuenta]],1))</f>
        <v>1</v>
      </c>
      <c r="BF511" t="b">
        <f>+ISNUMBER(SEARCH('PAGO Compras'!$E$11,Tabla11[[#This Row],[Cuenta]],1))</f>
        <v>1</v>
      </c>
      <c r="BG511" t="b">
        <f>+ISNUMBER(SEARCH(#REF!,Tabla11[[#This Row],[Cuenta]],1))</f>
        <v>0</v>
      </c>
      <c r="BH511" t="b">
        <f>+ISNUMBER(SEARCH(#REF!,Tabla11[[#This Row],[Cuenta]],1))</f>
        <v>0</v>
      </c>
      <c r="BI511" t="b">
        <f>+ISNUMBER(SEARCH(#REF!,Tabla11[[#This Row],[Cuenta]],1))</f>
        <v>0</v>
      </c>
      <c r="BJ511" t="b">
        <f>+ISNUMBER(SEARCH(#REF!,Tabla11[[#This Row],[Cuenta]],1))</f>
        <v>0</v>
      </c>
      <c r="BS511" t="str">
        <v>2532 PENSIONES POR PAGAR</v>
      </c>
      <c r="BT511" t="str">
        <v>2532 PENSIONES POR PAGAR</v>
      </c>
      <c r="BU511" t="str">
        <v>2532 PENSIONES POR PAGAR</v>
      </c>
      <c r="BV511" t="str">
        <v>2532 PENSIONES POR PAGAR</v>
      </c>
      <c r="BZ511" t="str">
        <v>2532 PENSIONES POR PAGAR</v>
      </c>
      <c r="CA511" t="str">
        <v>2532 PENSIONES POR PAGAR</v>
      </c>
      <c r="CB511" t="str">
        <v>2532 PENSIONES POR PAGAR</v>
      </c>
      <c r="CC511" t="str">
        <v>2532 PENSIONES POR PAGAR</v>
      </c>
      <c r="CD511" t="str">
        <v>2532 PENSIONES POR PAGAR</v>
      </c>
      <c r="CE511" t="str">
        <v>2532 PENSIONES POR PAGAR</v>
      </c>
      <c r="CS511" s="141" t="str">
        <v>2532 PENSIONES POR PAGAR</v>
      </c>
      <c r="CT511" s="141" t="str">
        <v>2532 PENSIONES POR PAGAR</v>
      </c>
      <c r="CU511" s="141" t="str">
        <v>2532 PENSIONES POR PAGAR</v>
      </c>
      <c r="CV511" s="141" t="str">
        <v>2532 PENSIONES POR PAGAR</v>
      </c>
      <c r="CW511" s="141" t="str">
        <v>2532 PENSIONES POR PAGAR</v>
      </c>
      <c r="CX511" s="141" t="str">
        <v>2532 PENSIONES POR PAGAR</v>
      </c>
      <c r="CY511" s="141" t="str">
        <v>2532 PENSIONES POR PAGAR</v>
      </c>
      <c r="CZ511" s="141" t="str">
        <v>2532 PENSIONES POR PAGAR</v>
      </c>
      <c r="DA511" s="141" t="str">
        <v>2532 PENSIONES POR PAGAR</v>
      </c>
      <c r="DF511" t="str">
        <v>2532 PENSIONES POR PAGAR</v>
      </c>
      <c r="DG511" t="str">
        <v>2532 PENSIONES POR PAGAR</v>
      </c>
      <c r="DH511" t="str">
        <v>2532 PENSIONES POR PAGAR</v>
      </c>
      <c r="DI511" t="str">
        <v>2532 PENSIONES POR PAGAR</v>
      </c>
      <c r="DJ511" t="str">
        <v>2532 PENSIONES POR PAGAR</v>
      </c>
      <c r="DK511" t="str">
        <v>2532 PENSIONES POR PAGAR</v>
      </c>
      <c r="DL511" t="str">
        <v>2532 PENSIONES POR PAGAR</v>
      </c>
      <c r="DM511" t="str">
        <v>2532 PENSIONES POR PAGAR</v>
      </c>
      <c r="DN511" t="str">
        <v>2532 PENSIONES POR PAGAR</v>
      </c>
      <c r="DO511" t="str">
        <v>2532 PENSIONES POR PAGAR</v>
      </c>
      <c r="DP511" t="str">
        <v>2532 PENSIONES POR PAGAR</v>
      </c>
    </row>
    <row r="512" spans="4:120" ht="12.75">
      <c r="D512" s="7">
        <v>2535</v>
      </c>
      <c r="E512" s="6" t="s">
        <v>389</v>
      </c>
      <c r="F512" s="5">
        <v>3</v>
      </c>
      <c r="G512" s="34" t="s">
        <v>823</v>
      </c>
      <c r="H512" s="26" t="s">
        <v>765</v>
      </c>
      <c r="I512" t="b">
        <f>+ISNUMBER(SEARCH('F-COMPRA'!$F$28,Tabla11[[#This Row],[Cuenta]],1))</f>
        <v>1</v>
      </c>
      <c r="J512" t="b">
        <f>+ISNUMBER(SEARCH('F-COMPRA'!$F$29,Tabla11[[#This Row],[Cuenta]],1))</f>
        <v>1</v>
      </c>
      <c r="K512" t="b">
        <f>+ISNUMBER(SEARCH('F-COMPRA'!$F$30,Tabla11[[#This Row],[Cuenta]],1))</f>
        <v>1</v>
      </c>
      <c r="L512" t="b">
        <f>+ISNUMBER(SEARCH('F-COMPRA'!$F$31,Tabla11[[#This Row],[Cuenta]],1))</f>
        <v>1</v>
      </c>
      <c r="M512" t="b">
        <f>+ISNUMBER(SEARCH('F-COMPRA'!$G$25,Tabla11[[#This Row],[Cuenta]],1))</f>
        <v>0</v>
      </c>
      <c r="N512" t="b">
        <f>+ISNUMBER(SEARCH(#REF!,Tabla11[[#This Row],[Cuenta]],1))</f>
        <v>0</v>
      </c>
      <c r="O512" t="b">
        <f>+ISNUMBER(SEARCH(#REF!,Tabla11[[#This Row],[Cuenta]],1))</f>
        <v>0</v>
      </c>
      <c r="P512" t="b">
        <f>+ISNUMBER(SEARCH('F-COMPRA'!$F$32,Tabla11[[#This Row],[Cuenta]],1))</f>
        <v>1</v>
      </c>
      <c r="Q512" t="b">
        <f>+ISNUMBER(SEARCH('F-COMPRA'!$F$33,Tabla11[[#This Row],[Cuenta]],1))</f>
        <v>1</v>
      </c>
      <c r="R512" t="b">
        <f>+ISNUMBER(SEARCH('F-COMPRA'!$F$34,Tabla11[[#This Row],[Cuenta]],1))</f>
        <v>1</v>
      </c>
      <c r="S512" t="b">
        <f>+ISNUMBER(SEARCH('F-COMPRA'!$F$35,Tabla11[[#This Row],[Cuenta]],1))</f>
        <v>1</v>
      </c>
      <c r="T512" t="b">
        <f>+ISNUMBER(SEARCH('F-COMPRA'!$F$36,Tabla11[[#This Row],[Cuenta]],1))</f>
        <v>1</v>
      </c>
      <c r="U512" t="b">
        <f>+ISNUMBER(SEARCH('F-COMPRA'!$F$37,Tabla11[[#This Row],[Cuenta]],1))</f>
        <v>1</v>
      </c>
      <c r="V512" t="b">
        <f>+ISNUMBER(SEARCH(#REF!,Tabla11[[#This Row],[Cuenta]],1))</f>
        <v>0</v>
      </c>
      <c r="W512" t="b">
        <f>+ISNUMBER(SEARCH('F-COMPRA'!#REF!,Tabla11[[#This Row],[Cuenta]],1))</f>
        <v>0</v>
      </c>
      <c r="X512" t="b">
        <f>+ISNUMBER(SEARCH('F-COMPRA'!#REF!,Tabla11[[#This Row],[Cuenta]],1))</f>
        <v>0</v>
      </c>
      <c r="Y512" t="b">
        <f>+ISNUMBER(SEARCH('F-COMPRA'!#REF!,Tabla11[[#This Row],[Cuenta]],1))</f>
        <v>0</v>
      </c>
      <c r="Z512" t="b">
        <f>+ISNUMBER(SEARCH('F-COMPRA'!#REF!,Tabla11[[#This Row],[Cuenta]],1))</f>
        <v>0</v>
      </c>
      <c r="AA512" t="b">
        <f>+ISNUMBER(SEARCH('F-COMPRA'!#REF!,Tabla11[[#This Row],[Cuenta]],1))</f>
        <v>0</v>
      </c>
      <c r="AB512" t="b">
        <f>+ISNUMBER(SEARCH('F-COMPRA'!#REF!,Tabla11[[#This Row],[Cuenta]],1))</f>
        <v>0</v>
      </c>
      <c r="AC512" t="b">
        <f>+ISNUMBER(SEARCH('F-COMPRA'!#REF!,Tabla11[[#This Row],[Cuenta]],1))</f>
        <v>0</v>
      </c>
      <c r="AD512" t="b">
        <f>+ISNUMBER(SEARCH('F-COMPRA'!#REF!,Tabla11[[#This Row],[Cuenta]],1))</f>
        <v>0</v>
      </c>
      <c r="AE512" t="b">
        <f>+ISNUMBER(SEARCH('F-COMPRA'!#REF!,Tabla11[[#This Row],[Cuenta]],1))</f>
        <v>0</v>
      </c>
      <c r="AF512" t="b">
        <f>+ISNUMBER(SEARCH('F-VTA'!$G$23,Tabla11[[#This Row],[Cuenta]],1))</f>
        <v>0</v>
      </c>
      <c r="AG512" t="b">
        <f>+ISNUMBER(SEARCH('F-VTA'!$G$24,Tabla11[[#This Row],[Cuenta]],1))</f>
        <v>0</v>
      </c>
      <c r="AH512" t="b">
        <f>+ISNUMBER(SEARCH('F-VTA'!$G$25,Tabla11[[#This Row],[Cuenta]],1))</f>
        <v>0</v>
      </c>
      <c r="AI512" t="b">
        <f>+ISNUMBER(SEARCH('F-VTA'!$F$28,Tabla11[[#This Row],[Cuenta]],1))</f>
        <v>1</v>
      </c>
      <c r="AJ512" t="b">
        <f>+ISNUMBER(SEARCH('F-VTA'!$F$29,Tabla11[[#This Row],[Cuenta]],1))</f>
        <v>1</v>
      </c>
      <c r="AK512" t="b">
        <f>+ISNUMBER(SEARCH('F-VTA'!$F$30,Tabla11[[#This Row],[Cuenta]],1))</f>
        <v>1</v>
      </c>
      <c r="AL512" t="b">
        <f>+ISNUMBER(SEARCH('F-VTA'!$F$31,Tabla11[[#This Row],[Cuenta]],1))</f>
        <v>1</v>
      </c>
      <c r="AM512" t="b">
        <f>+ISNUMBER(SEARCH('F-VTA'!$F$32,Tabla11[[#This Row],[Cuenta]],1))</f>
        <v>1</v>
      </c>
      <c r="AN512" t="b">
        <f>+ISNUMBER(SEARCH('F-VTA'!$F$33,Tabla11[[#This Row],[Cuenta]],1))</f>
        <v>1</v>
      </c>
      <c r="AO512" t="b">
        <f>+ISNUMBER(SEARCH('F-VTA'!$F$34,Tabla11[[#This Row],[Cuenta]],1))</f>
        <v>1</v>
      </c>
      <c r="AP512" t="b">
        <f>+ISNUMBER(SEARCH('F-VTA'!$F$35,Tabla11[[#This Row],[Cuenta]],1))</f>
        <v>1</v>
      </c>
      <c r="AQ512" t="b">
        <f>+ISNUMBER(SEARCH('F-VTA'!$F$36,Tabla11[[#This Row],[Cuenta]],1))</f>
        <v>1</v>
      </c>
      <c r="AR512" t="b">
        <f>+ISNUMBER(SEARCH(#REF!,Tabla11[[#This Row],[Cuenta]],1))</f>
        <v>0</v>
      </c>
      <c r="AS512" t="b">
        <f>+ISNUMBER(SEARCH(#REF!,Tabla11[[#This Row],[Cuenta]],1))</f>
        <v>0</v>
      </c>
      <c r="AT512" t="b">
        <f>+ISNUMBER(SEARCH(#REF!,Tabla11[[#This Row],[Cuenta]],1))</f>
        <v>0</v>
      </c>
      <c r="AU512" t="b">
        <f>+ISNUMBER(SEARCH('Conc. Ban.1'!$I$9,Tabla11[[#This Row],[Cuenta]],1))</f>
        <v>0</v>
      </c>
      <c r="AV512" t="b">
        <f>+ISNUMBER(SEARCH(CompConta!$F$21,Tabla11[[#This Row],[Cuenta]],1))</f>
        <v>1</v>
      </c>
      <c r="AW512" t="b">
        <f>+ISNUMBER(SEARCH(CompConta!$F$22,Tabla11[[#This Row],[Cuenta]],1))</f>
        <v>1</v>
      </c>
      <c r="AX512" t="b">
        <f>+ISNUMBER(SEARCH(CompConta!$F$23,Tabla11[[#This Row],[Cuenta]],1))</f>
        <v>1</v>
      </c>
      <c r="AY512" t="b">
        <f>+ISNUMBER(SEARCH(CompConta!$F$24,Tabla11[[#This Row],[Cuenta]],1))</f>
        <v>1</v>
      </c>
      <c r="AZ512" t="b">
        <f>+ISNUMBER(SEARCH(CompConta!$F$25,Tabla11[[#This Row],[Cuenta]],1))</f>
        <v>1</v>
      </c>
      <c r="BA512" t="b">
        <f>+ISNUMBER(SEARCH(CompConta!$F$26,Tabla11[[#This Row],[Cuenta]],1))</f>
        <v>1</v>
      </c>
      <c r="BB512" t="b">
        <f>+ISNUMBER(SEARCH(CompConta!$F$27,Tabla11[[#This Row],[Cuenta]],1))</f>
        <v>1</v>
      </c>
      <c r="BC512" t="b">
        <f>+ISNUMBER(SEARCH(CompConta!$F$28,Tabla11[[#This Row],[Cuenta]],1))</f>
        <v>1</v>
      </c>
      <c r="BD512" t="b">
        <f>+ISNUMBER(SEARCH(CompConta!$F$29,Tabla11[[#This Row],[Cuenta]],1))</f>
        <v>1</v>
      </c>
      <c r="BE512" t="b">
        <f>+ISNUMBER(SEARCH(CompConta!$F$30,Tabla11[[#This Row],[Cuenta]],1))</f>
        <v>1</v>
      </c>
      <c r="BF512" t="b">
        <f>+ISNUMBER(SEARCH('PAGO Compras'!$E$11,Tabla11[[#This Row],[Cuenta]],1))</f>
        <v>1</v>
      </c>
      <c r="BG512" t="b">
        <f>+ISNUMBER(SEARCH(#REF!,Tabla11[[#This Row],[Cuenta]],1))</f>
        <v>0</v>
      </c>
      <c r="BH512" t="b">
        <f>+ISNUMBER(SEARCH(#REF!,Tabla11[[#This Row],[Cuenta]],1))</f>
        <v>0</v>
      </c>
      <c r="BI512" t="b">
        <f>+ISNUMBER(SEARCH(#REF!,Tabla11[[#This Row],[Cuenta]],1))</f>
        <v>0</v>
      </c>
      <c r="BJ512" t="b">
        <f>+ISNUMBER(SEARCH(#REF!,Tabla11[[#This Row],[Cuenta]],1))</f>
        <v>0</v>
      </c>
      <c r="BS512" t="str">
        <v>2535 CUOTAS PARTES PENSIONES DE JUBILACIÓN</v>
      </c>
      <c r="BT512" t="str">
        <v>2535 CUOTAS PARTES PENSIONES DE JUBILACIÓN</v>
      </c>
      <c r="BU512" t="str">
        <v>2535 CUOTAS PARTES PENSIONES DE JUBILACIÓN</v>
      </c>
      <c r="BV512" t="str">
        <v>2535 CUOTAS PARTES PENSIONES DE JUBILACIÓN</v>
      </c>
      <c r="BZ512" t="str">
        <v>2535 CUOTAS PARTES PENSIONES DE JUBILACIÓN</v>
      </c>
      <c r="CA512" t="str">
        <v>2535 CUOTAS PARTES PENSIONES DE JUBILACIÓN</v>
      </c>
      <c r="CB512" t="str">
        <v>2535 CUOTAS PARTES PENSIONES DE JUBILACIÓN</v>
      </c>
      <c r="CC512" t="str">
        <v>2535 CUOTAS PARTES PENSIONES DE JUBILACIÓN</v>
      </c>
      <c r="CD512" t="str">
        <v>2535 CUOTAS PARTES PENSIONES DE JUBILACIÓN</v>
      </c>
      <c r="CE512" t="str">
        <v>2535 CUOTAS PARTES PENSIONES DE JUBILACIÓN</v>
      </c>
      <c r="CS512" s="141" t="str">
        <v>2535 CUOTAS PARTES PENSIONES DE JUBILACIÓN</v>
      </c>
      <c r="CT512" s="141" t="str">
        <v>2535 CUOTAS PARTES PENSIONES DE JUBILACIÓN</v>
      </c>
      <c r="CU512" s="141" t="str">
        <v>2535 CUOTAS PARTES PENSIONES DE JUBILACIÓN</v>
      </c>
      <c r="CV512" s="141" t="str">
        <v>2535 CUOTAS PARTES PENSIONES DE JUBILACIÓN</v>
      </c>
      <c r="CW512" s="141" t="str">
        <v>2535 CUOTAS PARTES PENSIONES DE JUBILACIÓN</v>
      </c>
      <c r="CX512" s="141" t="str">
        <v>2535 CUOTAS PARTES PENSIONES DE JUBILACIÓN</v>
      </c>
      <c r="CY512" s="141" t="str">
        <v>2535 CUOTAS PARTES PENSIONES DE JUBILACIÓN</v>
      </c>
      <c r="CZ512" s="141" t="str">
        <v>2535 CUOTAS PARTES PENSIONES DE JUBILACIÓN</v>
      </c>
      <c r="DA512" s="141" t="str">
        <v>2535 CUOTAS PARTES PENSIONES DE JUBILACIÓN</v>
      </c>
      <c r="DF512" t="str">
        <v>2535 CUOTAS PARTES PENSIONES DE JUBILACIÓN</v>
      </c>
      <c r="DG512" t="str">
        <v>2535 CUOTAS PARTES PENSIONES DE JUBILACIÓN</v>
      </c>
      <c r="DH512" t="str">
        <v>2535 CUOTAS PARTES PENSIONES DE JUBILACIÓN</v>
      </c>
      <c r="DI512" t="str">
        <v>2535 CUOTAS PARTES PENSIONES DE JUBILACIÓN</v>
      </c>
      <c r="DJ512" t="str">
        <v>2535 CUOTAS PARTES PENSIONES DE JUBILACIÓN</v>
      </c>
      <c r="DK512" t="str">
        <v>2535 CUOTAS PARTES PENSIONES DE JUBILACIÓN</v>
      </c>
      <c r="DL512" t="str">
        <v>2535 CUOTAS PARTES PENSIONES DE JUBILACIÓN</v>
      </c>
      <c r="DM512" t="str">
        <v>2535 CUOTAS PARTES PENSIONES DE JUBILACIÓN</v>
      </c>
      <c r="DN512" t="str">
        <v>2535 CUOTAS PARTES PENSIONES DE JUBILACIÓN</v>
      </c>
      <c r="DO512" t="str">
        <v>2535 CUOTAS PARTES PENSIONES DE JUBILACIÓN</v>
      </c>
      <c r="DP512" t="str">
        <v>2535 CUOTAS PARTES PENSIONES DE JUBILACIÓN</v>
      </c>
    </row>
    <row r="513" spans="4:120" ht="12.75">
      <c r="D513" s="7">
        <v>2540</v>
      </c>
      <c r="E513" s="6" t="s">
        <v>390</v>
      </c>
      <c r="F513" s="5">
        <v>3</v>
      </c>
      <c r="G513" s="34" t="s">
        <v>823</v>
      </c>
      <c r="H513" s="26" t="s">
        <v>765</v>
      </c>
      <c r="I513" t="b">
        <f>+ISNUMBER(SEARCH('F-COMPRA'!$F$28,Tabla11[[#This Row],[Cuenta]],1))</f>
        <v>1</v>
      </c>
      <c r="J513" t="b">
        <f>+ISNUMBER(SEARCH('F-COMPRA'!$F$29,Tabla11[[#This Row],[Cuenta]],1))</f>
        <v>1</v>
      </c>
      <c r="K513" t="b">
        <f>+ISNUMBER(SEARCH('F-COMPRA'!$F$30,Tabla11[[#This Row],[Cuenta]],1))</f>
        <v>1</v>
      </c>
      <c r="L513" t="b">
        <f>+ISNUMBER(SEARCH('F-COMPRA'!$F$31,Tabla11[[#This Row],[Cuenta]],1))</f>
        <v>1</v>
      </c>
      <c r="M513" t="b">
        <f>+ISNUMBER(SEARCH('F-COMPRA'!$G$25,Tabla11[[#This Row],[Cuenta]],1))</f>
        <v>0</v>
      </c>
      <c r="N513" t="b">
        <f>+ISNUMBER(SEARCH(#REF!,Tabla11[[#This Row],[Cuenta]],1))</f>
        <v>0</v>
      </c>
      <c r="O513" t="b">
        <f>+ISNUMBER(SEARCH(#REF!,Tabla11[[#This Row],[Cuenta]],1))</f>
        <v>0</v>
      </c>
      <c r="P513" t="b">
        <f>+ISNUMBER(SEARCH('F-COMPRA'!$F$32,Tabla11[[#This Row],[Cuenta]],1))</f>
        <v>1</v>
      </c>
      <c r="Q513" t="b">
        <f>+ISNUMBER(SEARCH('F-COMPRA'!$F$33,Tabla11[[#This Row],[Cuenta]],1))</f>
        <v>1</v>
      </c>
      <c r="R513" t="b">
        <f>+ISNUMBER(SEARCH('F-COMPRA'!$F$34,Tabla11[[#This Row],[Cuenta]],1))</f>
        <v>1</v>
      </c>
      <c r="S513" t="b">
        <f>+ISNUMBER(SEARCH('F-COMPRA'!$F$35,Tabla11[[#This Row],[Cuenta]],1))</f>
        <v>1</v>
      </c>
      <c r="T513" t="b">
        <f>+ISNUMBER(SEARCH('F-COMPRA'!$F$36,Tabla11[[#This Row],[Cuenta]],1))</f>
        <v>1</v>
      </c>
      <c r="U513" t="b">
        <f>+ISNUMBER(SEARCH('F-COMPRA'!$F$37,Tabla11[[#This Row],[Cuenta]],1))</f>
        <v>1</v>
      </c>
      <c r="V513" t="b">
        <f>+ISNUMBER(SEARCH(#REF!,Tabla11[[#This Row],[Cuenta]],1))</f>
        <v>0</v>
      </c>
      <c r="W513" t="b">
        <f>+ISNUMBER(SEARCH('F-COMPRA'!#REF!,Tabla11[[#This Row],[Cuenta]],1))</f>
        <v>0</v>
      </c>
      <c r="X513" t="b">
        <f>+ISNUMBER(SEARCH('F-COMPRA'!#REF!,Tabla11[[#This Row],[Cuenta]],1))</f>
        <v>0</v>
      </c>
      <c r="Y513" t="b">
        <f>+ISNUMBER(SEARCH('F-COMPRA'!#REF!,Tabla11[[#This Row],[Cuenta]],1))</f>
        <v>0</v>
      </c>
      <c r="Z513" t="b">
        <f>+ISNUMBER(SEARCH('F-COMPRA'!#REF!,Tabla11[[#This Row],[Cuenta]],1))</f>
        <v>0</v>
      </c>
      <c r="AA513" t="b">
        <f>+ISNUMBER(SEARCH('F-COMPRA'!#REF!,Tabla11[[#This Row],[Cuenta]],1))</f>
        <v>0</v>
      </c>
      <c r="AB513" t="b">
        <f>+ISNUMBER(SEARCH('F-COMPRA'!#REF!,Tabla11[[#This Row],[Cuenta]],1))</f>
        <v>0</v>
      </c>
      <c r="AC513" t="b">
        <f>+ISNUMBER(SEARCH('F-COMPRA'!#REF!,Tabla11[[#This Row],[Cuenta]],1))</f>
        <v>0</v>
      </c>
      <c r="AD513" t="b">
        <f>+ISNUMBER(SEARCH('F-COMPRA'!#REF!,Tabla11[[#This Row],[Cuenta]],1))</f>
        <v>0</v>
      </c>
      <c r="AE513" t="b">
        <f>+ISNUMBER(SEARCH('F-COMPRA'!#REF!,Tabla11[[#This Row],[Cuenta]],1))</f>
        <v>0</v>
      </c>
      <c r="AF513" t="b">
        <f>+ISNUMBER(SEARCH('F-VTA'!$G$23,Tabla11[[#This Row],[Cuenta]],1))</f>
        <v>0</v>
      </c>
      <c r="AG513" t="b">
        <f>+ISNUMBER(SEARCH('F-VTA'!$G$24,Tabla11[[#This Row],[Cuenta]],1))</f>
        <v>0</v>
      </c>
      <c r="AH513" t="b">
        <f>+ISNUMBER(SEARCH('F-VTA'!$G$25,Tabla11[[#This Row],[Cuenta]],1))</f>
        <v>0</v>
      </c>
      <c r="AI513" t="b">
        <f>+ISNUMBER(SEARCH('F-VTA'!$F$28,Tabla11[[#This Row],[Cuenta]],1))</f>
        <v>1</v>
      </c>
      <c r="AJ513" t="b">
        <f>+ISNUMBER(SEARCH('F-VTA'!$F$29,Tabla11[[#This Row],[Cuenta]],1))</f>
        <v>1</v>
      </c>
      <c r="AK513" t="b">
        <f>+ISNUMBER(SEARCH('F-VTA'!$F$30,Tabla11[[#This Row],[Cuenta]],1))</f>
        <v>1</v>
      </c>
      <c r="AL513" t="b">
        <f>+ISNUMBER(SEARCH('F-VTA'!$F$31,Tabla11[[#This Row],[Cuenta]],1))</f>
        <v>1</v>
      </c>
      <c r="AM513" t="b">
        <f>+ISNUMBER(SEARCH('F-VTA'!$F$32,Tabla11[[#This Row],[Cuenta]],1))</f>
        <v>1</v>
      </c>
      <c r="AN513" t="b">
        <f>+ISNUMBER(SEARCH('F-VTA'!$F$33,Tabla11[[#This Row],[Cuenta]],1))</f>
        <v>1</v>
      </c>
      <c r="AO513" t="b">
        <f>+ISNUMBER(SEARCH('F-VTA'!$F$34,Tabla11[[#This Row],[Cuenta]],1))</f>
        <v>1</v>
      </c>
      <c r="AP513" t="b">
        <f>+ISNUMBER(SEARCH('F-VTA'!$F$35,Tabla11[[#This Row],[Cuenta]],1))</f>
        <v>1</v>
      </c>
      <c r="AQ513" t="b">
        <f>+ISNUMBER(SEARCH('F-VTA'!$F$36,Tabla11[[#This Row],[Cuenta]],1))</f>
        <v>1</v>
      </c>
      <c r="AR513" t="b">
        <f>+ISNUMBER(SEARCH(#REF!,Tabla11[[#This Row],[Cuenta]],1))</f>
        <v>0</v>
      </c>
      <c r="AS513" t="b">
        <f>+ISNUMBER(SEARCH(#REF!,Tabla11[[#This Row],[Cuenta]],1))</f>
        <v>0</v>
      </c>
      <c r="AT513" t="b">
        <f>+ISNUMBER(SEARCH(#REF!,Tabla11[[#This Row],[Cuenta]],1))</f>
        <v>0</v>
      </c>
      <c r="AU513" t="b">
        <f>+ISNUMBER(SEARCH('Conc. Ban.1'!$I$9,Tabla11[[#This Row],[Cuenta]],1))</f>
        <v>0</v>
      </c>
      <c r="AV513" t="b">
        <f>+ISNUMBER(SEARCH(CompConta!$F$21,Tabla11[[#This Row],[Cuenta]],1))</f>
        <v>1</v>
      </c>
      <c r="AW513" t="b">
        <f>+ISNUMBER(SEARCH(CompConta!$F$22,Tabla11[[#This Row],[Cuenta]],1))</f>
        <v>1</v>
      </c>
      <c r="AX513" t="b">
        <f>+ISNUMBER(SEARCH(CompConta!$F$23,Tabla11[[#This Row],[Cuenta]],1))</f>
        <v>1</v>
      </c>
      <c r="AY513" t="b">
        <f>+ISNUMBER(SEARCH(CompConta!$F$24,Tabla11[[#This Row],[Cuenta]],1))</f>
        <v>1</v>
      </c>
      <c r="AZ513" t="b">
        <f>+ISNUMBER(SEARCH(CompConta!$F$25,Tabla11[[#This Row],[Cuenta]],1))</f>
        <v>1</v>
      </c>
      <c r="BA513" t="b">
        <f>+ISNUMBER(SEARCH(CompConta!$F$26,Tabla11[[#This Row],[Cuenta]],1))</f>
        <v>1</v>
      </c>
      <c r="BB513" t="b">
        <f>+ISNUMBER(SEARCH(CompConta!$F$27,Tabla11[[#This Row],[Cuenta]],1))</f>
        <v>1</v>
      </c>
      <c r="BC513" t="b">
        <f>+ISNUMBER(SEARCH(CompConta!$F$28,Tabla11[[#This Row],[Cuenta]],1))</f>
        <v>1</v>
      </c>
      <c r="BD513" t="b">
        <f>+ISNUMBER(SEARCH(CompConta!$F$29,Tabla11[[#This Row],[Cuenta]],1))</f>
        <v>1</v>
      </c>
      <c r="BE513" t="b">
        <f>+ISNUMBER(SEARCH(CompConta!$F$30,Tabla11[[#This Row],[Cuenta]],1))</f>
        <v>1</v>
      </c>
      <c r="BF513" t="b">
        <f>+ISNUMBER(SEARCH('PAGO Compras'!$E$11,Tabla11[[#This Row],[Cuenta]],1))</f>
        <v>1</v>
      </c>
      <c r="BG513" t="b">
        <f>+ISNUMBER(SEARCH(#REF!,Tabla11[[#This Row],[Cuenta]],1))</f>
        <v>0</v>
      </c>
      <c r="BH513" t="b">
        <f>+ISNUMBER(SEARCH(#REF!,Tabla11[[#This Row],[Cuenta]],1))</f>
        <v>0</v>
      </c>
      <c r="BI513" t="b">
        <f>+ISNUMBER(SEARCH(#REF!,Tabla11[[#This Row],[Cuenta]],1))</f>
        <v>0</v>
      </c>
      <c r="BJ513" t="b">
        <f>+ISNUMBER(SEARCH(#REF!,Tabla11[[#This Row],[Cuenta]],1))</f>
        <v>0</v>
      </c>
      <c r="BS513" t="str">
        <v>2540 INDEMNIZACIONES LABORALES</v>
      </c>
      <c r="BT513" t="str">
        <v>2540 INDEMNIZACIONES LABORALES</v>
      </c>
      <c r="BU513" t="str">
        <v>2540 INDEMNIZACIONES LABORALES</v>
      </c>
      <c r="BV513" t="str">
        <v>2540 INDEMNIZACIONES LABORALES</v>
      </c>
      <c r="BZ513" t="str">
        <v>2540 INDEMNIZACIONES LABORALES</v>
      </c>
      <c r="CA513" t="str">
        <v>2540 INDEMNIZACIONES LABORALES</v>
      </c>
      <c r="CB513" t="str">
        <v>2540 INDEMNIZACIONES LABORALES</v>
      </c>
      <c r="CC513" t="str">
        <v>2540 INDEMNIZACIONES LABORALES</v>
      </c>
      <c r="CD513" t="str">
        <v>2540 INDEMNIZACIONES LABORALES</v>
      </c>
      <c r="CE513" t="str">
        <v>2540 INDEMNIZACIONES LABORALES</v>
      </c>
      <c r="CS513" s="141" t="str">
        <v>2540 INDEMNIZACIONES LABORALES</v>
      </c>
      <c r="CT513" s="141" t="str">
        <v>2540 INDEMNIZACIONES LABORALES</v>
      </c>
      <c r="CU513" s="141" t="str">
        <v>2540 INDEMNIZACIONES LABORALES</v>
      </c>
      <c r="CV513" s="141" t="str">
        <v>2540 INDEMNIZACIONES LABORALES</v>
      </c>
      <c r="CW513" s="141" t="str">
        <v>2540 INDEMNIZACIONES LABORALES</v>
      </c>
      <c r="CX513" s="141" t="str">
        <v>2540 INDEMNIZACIONES LABORALES</v>
      </c>
      <c r="CY513" s="141" t="str">
        <v>2540 INDEMNIZACIONES LABORALES</v>
      </c>
      <c r="CZ513" s="141" t="str">
        <v>2540 INDEMNIZACIONES LABORALES</v>
      </c>
      <c r="DA513" s="141" t="str">
        <v>2540 INDEMNIZACIONES LABORALES</v>
      </c>
      <c r="DF513" t="str">
        <v>2540 INDEMNIZACIONES LABORALES</v>
      </c>
      <c r="DG513" t="str">
        <v>2540 INDEMNIZACIONES LABORALES</v>
      </c>
      <c r="DH513" t="str">
        <v>2540 INDEMNIZACIONES LABORALES</v>
      </c>
      <c r="DI513" t="str">
        <v>2540 INDEMNIZACIONES LABORALES</v>
      </c>
      <c r="DJ513" t="str">
        <v>2540 INDEMNIZACIONES LABORALES</v>
      </c>
      <c r="DK513" t="str">
        <v>2540 INDEMNIZACIONES LABORALES</v>
      </c>
      <c r="DL513" t="str">
        <v>2540 INDEMNIZACIONES LABORALES</v>
      </c>
      <c r="DM513" t="str">
        <v>2540 INDEMNIZACIONES LABORALES</v>
      </c>
      <c r="DN513" t="str">
        <v>2540 INDEMNIZACIONES LABORALES</v>
      </c>
      <c r="DO513" t="str">
        <v>2540 INDEMNIZACIONES LABORALES</v>
      </c>
      <c r="DP513" t="str">
        <v>2540 INDEMNIZACIONES LABORALES</v>
      </c>
    </row>
    <row r="514" spans="4:120" ht="12.75">
      <c r="D514" s="7">
        <v>26</v>
      </c>
      <c r="E514" s="6" t="s">
        <v>391</v>
      </c>
      <c r="F514" s="5">
        <v>2</v>
      </c>
      <c r="G514" s="34"/>
      <c r="H514" s="26" t="s">
        <v>765</v>
      </c>
      <c r="I514" t="b">
        <f>+ISNUMBER(SEARCH('F-COMPRA'!$F$28,Tabla11[[#This Row],[Cuenta]],1))</f>
        <v>1</v>
      </c>
      <c r="J514" t="b">
        <f>+ISNUMBER(SEARCH('F-COMPRA'!$F$29,Tabla11[[#This Row],[Cuenta]],1))</f>
        <v>1</v>
      </c>
      <c r="K514" t="b">
        <f>+ISNUMBER(SEARCH('F-COMPRA'!$F$30,Tabla11[[#This Row],[Cuenta]],1))</f>
        <v>1</v>
      </c>
      <c r="L514" t="b">
        <f>+ISNUMBER(SEARCH('F-COMPRA'!$F$31,Tabla11[[#This Row],[Cuenta]],1))</f>
        <v>1</v>
      </c>
      <c r="M514" t="b">
        <f>+ISNUMBER(SEARCH('F-COMPRA'!$G$25,Tabla11[[#This Row],[Cuenta]],1))</f>
        <v>0</v>
      </c>
      <c r="N514" t="b">
        <f>+ISNUMBER(SEARCH(#REF!,Tabla11[[#This Row],[Cuenta]],1))</f>
        <v>0</v>
      </c>
      <c r="O514" t="b">
        <f>+ISNUMBER(SEARCH(#REF!,Tabla11[[#This Row],[Cuenta]],1))</f>
        <v>0</v>
      </c>
      <c r="P514" t="b">
        <f>+ISNUMBER(SEARCH('F-COMPRA'!$F$32,Tabla11[[#This Row],[Cuenta]],1))</f>
        <v>1</v>
      </c>
      <c r="Q514" t="b">
        <f>+ISNUMBER(SEARCH('F-COMPRA'!$F$33,Tabla11[[#This Row],[Cuenta]],1))</f>
        <v>1</v>
      </c>
      <c r="R514" t="b">
        <f>+ISNUMBER(SEARCH('F-COMPRA'!$F$34,Tabla11[[#This Row],[Cuenta]],1))</f>
        <v>1</v>
      </c>
      <c r="S514" t="b">
        <f>+ISNUMBER(SEARCH('F-COMPRA'!$F$35,Tabla11[[#This Row],[Cuenta]],1))</f>
        <v>1</v>
      </c>
      <c r="T514" t="b">
        <f>+ISNUMBER(SEARCH('F-COMPRA'!$F$36,Tabla11[[#This Row],[Cuenta]],1))</f>
        <v>1</v>
      </c>
      <c r="U514" t="b">
        <f>+ISNUMBER(SEARCH('F-COMPRA'!$F$37,Tabla11[[#This Row],[Cuenta]],1))</f>
        <v>1</v>
      </c>
      <c r="V514" t="b">
        <f>+ISNUMBER(SEARCH(#REF!,Tabla11[[#This Row],[Cuenta]],1))</f>
        <v>0</v>
      </c>
      <c r="W514" t="b">
        <f>+ISNUMBER(SEARCH('F-COMPRA'!#REF!,Tabla11[[#This Row],[Cuenta]],1))</f>
        <v>0</v>
      </c>
      <c r="X514" t="b">
        <f>+ISNUMBER(SEARCH('F-COMPRA'!#REF!,Tabla11[[#This Row],[Cuenta]],1))</f>
        <v>0</v>
      </c>
      <c r="Y514" t="b">
        <f>+ISNUMBER(SEARCH('F-COMPRA'!#REF!,Tabla11[[#This Row],[Cuenta]],1))</f>
        <v>0</v>
      </c>
      <c r="Z514" t="b">
        <f>+ISNUMBER(SEARCH('F-COMPRA'!#REF!,Tabla11[[#This Row],[Cuenta]],1))</f>
        <v>0</v>
      </c>
      <c r="AA514" t="b">
        <f>+ISNUMBER(SEARCH('F-COMPRA'!#REF!,Tabla11[[#This Row],[Cuenta]],1))</f>
        <v>0</v>
      </c>
      <c r="AB514" t="b">
        <f>+ISNUMBER(SEARCH('F-COMPRA'!#REF!,Tabla11[[#This Row],[Cuenta]],1))</f>
        <v>0</v>
      </c>
      <c r="AC514" t="b">
        <f>+ISNUMBER(SEARCH('F-COMPRA'!#REF!,Tabla11[[#This Row],[Cuenta]],1))</f>
        <v>0</v>
      </c>
      <c r="AD514" t="b">
        <f>+ISNUMBER(SEARCH('F-COMPRA'!#REF!,Tabla11[[#This Row],[Cuenta]],1))</f>
        <v>0</v>
      </c>
      <c r="AE514" t="b">
        <f>+ISNUMBER(SEARCH('F-COMPRA'!#REF!,Tabla11[[#This Row],[Cuenta]],1))</f>
        <v>0</v>
      </c>
      <c r="AF514" t="b">
        <f>+ISNUMBER(SEARCH('F-VTA'!$G$23,Tabla11[[#This Row],[Cuenta]],1))</f>
        <v>0</v>
      </c>
      <c r="AG514" t="b">
        <f>+ISNUMBER(SEARCH('F-VTA'!$G$24,Tabla11[[#This Row],[Cuenta]],1))</f>
        <v>0</v>
      </c>
      <c r="AH514" t="b">
        <f>+ISNUMBER(SEARCH('F-VTA'!$G$25,Tabla11[[#This Row],[Cuenta]],1))</f>
        <v>0</v>
      </c>
      <c r="AI514" t="b">
        <f>+ISNUMBER(SEARCH('F-VTA'!$F$28,Tabla11[[#This Row],[Cuenta]],1))</f>
        <v>1</v>
      </c>
      <c r="AJ514" t="b">
        <f>+ISNUMBER(SEARCH('F-VTA'!$F$29,Tabla11[[#This Row],[Cuenta]],1))</f>
        <v>1</v>
      </c>
      <c r="AK514" t="b">
        <f>+ISNUMBER(SEARCH('F-VTA'!$F$30,Tabla11[[#This Row],[Cuenta]],1))</f>
        <v>1</v>
      </c>
      <c r="AL514" t="b">
        <f>+ISNUMBER(SEARCH('F-VTA'!$F$31,Tabla11[[#This Row],[Cuenta]],1))</f>
        <v>1</v>
      </c>
      <c r="AM514" t="b">
        <f>+ISNUMBER(SEARCH('F-VTA'!$F$32,Tabla11[[#This Row],[Cuenta]],1))</f>
        <v>1</v>
      </c>
      <c r="AN514" t="b">
        <f>+ISNUMBER(SEARCH('F-VTA'!$F$33,Tabla11[[#This Row],[Cuenta]],1))</f>
        <v>1</v>
      </c>
      <c r="AO514" t="b">
        <f>+ISNUMBER(SEARCH('F-VTA'!$F$34,Tabla11[[#This Row],[Cuenta]],1))</f>
        <v>1</v>
      </c>
      <c r="AP514" t="b">
        <f>+ISNUMBER(SEARCH('F-VTA'!$F$35,Tabla11[[#This Row],[Cuenta]],1))</f>
        <v>1</v>
      </c>
      <c r="AQ514" t="b">
        <f>+ISNUMBER(SEARCH('F-VTA'!$F$36,Tabla11[[#This Row],[Cuenta]],1))</f>
        <v>1</v>
      </c>
      <c r="AR514" t="b">
        <f>+ISNUMBER(SEARCH(#REF!,Tabla11[[#This Row],[Cuenta]],1))</f>
        <v>0</v>
      </c>
      <c r="AS514" t="b">
        <f>+ISNUMBER(SEARCH(#REF!,Tabla11[[#This Row],[Cuenta]],1))</f>
        <v>0</v>
      </c>
      <c r="AT514" t="b">
        <f>+ISNUMBER(SEARCH(#REF!,Tabla11[[#This Row],[Cuenta]],1))</f>
        <v>0</v>
      </c>
      <c r="AU514" t="b">
        <f>+ISNUMBER(SEARCH('Conc. Ban.1'!$I$9,Tabla11[[#This Row],[Cuenta]],1))</f>
        <v>0</v>
      </c>
      <c r="AV514" t="b">
        <f>+ISNUMBER(SEARCH(CompConta!$F$21,Tabla11[[#This Row],[Cuenta]],1))</f>
        <v>1</v>
      </c>
      <c r="AW514" t="b">
        <f>+ISNUMBER(SEARCH(CompConta!$F$22,Tabla11[[#This Row],[Cuenta]],1))</f>
        <v>1</v>
      </c>
      <c r="AX514" t="b">
        <f>+ISNUMBER(SEARCH(CompConta!$F$23,Tabla11[[#This Row],[Cuenta]],1))</f>
        <v>1</v>
      </c>
      <c r="AY514" t="b">
        <f>+ISNUMBER(SEARCH(CompConta!$F$24,Tabla11[[#This Row],[Cuenta]],1))</f>
        <v>1</v>
      </c>
      <c r="AZ514" t="b">
        <f>+ISNUMBER(SEARCH(CompConta!$F$25,Tabla11[[#This Row],[Cuenta]],1))</f>
        <v>1</v>
      </c>
      <c r="BA514" t="b">
        <f>+ISNUMBER(SEARCH(CompConta!$F$26,Tabla11[[#This Row],[Cuenta]],1))</f>
        <v>1</v>
      </c>
      <c r="BB514" t="b">
        <f>+ISNUMBER(SEARCH(CompConta!$F$27,Tabla11[[#This Row],[Cuenta]],1))</f>
        <v>1</v>
      </c>
      <c r="BC514" t="b">
        <f>+ISNUMBER(SEARCH(CompConta!$F$28,Tabla11[[#This Row],[Cuenta]],1))</f>
        <v>1</v>
      </c>
      <c r="BD514" t="b">
        <f>+ISNUMBER(SEARCH(CompConta!$F$29,Tabla11[[#This Row],[Cuenta]],1))</f>
        <v>1</v>
      </c>
      <c r="BE514" t="b">
        <f>+ISNUMBER(SEARCH(CompConta!$F$30,Tabla11[[#This Row],[Cuenta]],1))</f>
        <v>1</v>
      </c>
      <c r="BF514" t="b">
        <f>+ISNUMBER(SEARCH('PAGO Compras'!$E$11,Tabla11[[#This Row],[Cuenta]],1))</f>
        <v>1</v>
      </c>
      <c r="BG514" t="b">
        <f>+ISNUMBER(SEARCH(#REF!,Tabla11[[#This Row],[Cuenta]],1))</f>
        <v>0</v>
      </c>
      <c r="BH514" t="b">
        <f>+ISNUMBER(SEARCH(#REF!,Tabla11[[#This Row],[Cuenta]],1))</f>
        <v>0</v>
      </c>
      <c r="BI514" t="b">
        <f>+ISNUMBER(SEARCH(#REF!,Tabla11[[#This Row],[Cuenta]],1))</f>
        <v>0</v>
      </c>
      <c r="BJ514" t="b">
        <f>+ISNUMBER(SEARCH(#REF!,Tabla11[[#This Row],[Cuenta]],1))</f>
        <v>0</v>
      </c>
      <c r="BS514" t="str">
        <v>26 PASIVOS ESTIMADOS Y PROVISIONES</v>
      </c>
      <c r="BT514" t="str">
        <v>26 PASIVOS ESTIMADOS Y PROVISIONES</v>
      </c>
      <c r="BU514" t="str">
        <v>26 PASIVOS ESTIMADOS Y PROVISIONES</v>
      </c>
      <c r="BV514" t="str">
        <v>26 PASIVOS ESTIMADOS Y PROVISIONES</v>
      </c>
      <c r="BZ514" t="str">
        <v>26 PASIVOS ESTIMADOS Y PROVISIONES</v>
      </c>
      <c r="CA514" t="str">
        <v>26 PASIVOS ESTIMADOS Y PROVISIONES</v>
      </c>
      <c r="CB514" t="str">
        <v>26 PASIVOS ESTIMADOS Y PROVISIONES</v>
      </c>
      <c r="CC514" t="str">
        <v>26 PASIVOS ESTIMADOS Y PROVISIONES</v>
      </c>
      <c r="CD514" t="str">
        <v>26 PASIVOS ESTIMADOS Y PROVISIONES</v>
      </c>
      <c r="CE514" t="str">
        <v>26 PASIVOS ESTIMADOS Y PROVISIONES</v>
      </c>
      <c r="CS514" s="141" t="str">
        <v>26 PASIVOS ESTIMADOS Y PROVISIONES</v>
      </c>
      <c r="CT514" s="141" t="str">
        <v>26 PASIVOS ESTIMADOS Y PROVISIONES</v>
      </c>
      <c r="CU514" s="141" t="str">
        <v>26 PASIVOS ESTIMADOS Y PROVISIONES</v>
      </c>
      <c r="CV514" s="141" t="str">
        <v>26 PASIVOS ESTIMADOS Y PROVISIONES</v>
      </c>
      <c r="CW514" s="141" t="str">
        <v>26 PASIVOS ESTIMADOS Y PROVISIONES</v>
      </c>
      <c r="CX514" s="141" t="str">
        <v>26 PASIVOS ESTIMADOS Y PROVISIONES</v>
      </c>
      <c r="CY514" s="141" t="str">
        <v>26 PASIVOS ESTIMADOS Y PROVISIONES</v>
      </c>
      <c r="CZ514" s="141" t="str">
        <v>26 PASIVOS ESTIMADOS Y PROVISIONES</v>
      </c>
      <c r="DA514" s="141" t="str">
        <v>26 PASIVOS ESTIMADOS Y PROVISIONES</v>
      </c>
      <c r="DF514" t="str">
        <v>26 PASIVOS ESTIMADOS Y PROVISIONES</v>
      </c>
      <c r="DG514" t="str">
        <v>26 PASIVOS ESTIMADOS Y PROVISIONES</v>
      </c>
      <c r="DH514" t="str">
        <v>26 PASIVOS ESTIMADOS Y PROVISIONES</v>
      </c>
      <c r="DI514" t="str">
        <v>26 PASIVOS ESTIMADOS Y PROVISIONES</v>
      </c>
      <c r="DJ514" t="str">
        <v>26 PASIVOS ESTIMADOS Y PROVISIONES</v>
      </c>
      <c r="DK514" t="str">
        <v>26 PASIVOS ESTIMADOS Y PROVISIONES</v>
      </c>
      <c r="DL514" t="str">
        <v>26 PASIVOS ESTIMADOS Y PROVISIONES</v>
      </c>
      <c r="DM514" t="str">
        <v>26 PASIVOS ESTIMADOS Y PROVISIONES</v>
      </c>
      <c r="DN514" t="str">
        <v>26 PASIVOS ESTIMADOS Y PROVISIONES</v>
      </c>
      <c r="DO514" t="str">
        <v>26 PASIVOS ESTIMADOS Y PROVISIONES</v>
      </c>
      <c r="DP514" t="str">
        <v>26 PASIVOS ESTIMADOS Y PROVISIONES</v>
      </c>
    </row>
    <row r="515" spans="4:120" ht="12.75">
      <c r="D515" s="7">
        <v>2605</v>
      </c>
      <c r="E515" s="6" t="s">
        <v>392</v>
      </c>
      <c r="F515" s="5">
        <v>3</v>
      </c>
      <c r="G515" s="34" t="s">
        <v>824</v>
      </c>
      <c r="H515" s="26" t="s">
        <v>765</v>
      </c>
      <c r="I515" t="b">
        <f>+ISNUMBER(SEARCH('F-COMPRA'!$F$28,Tabla11[[#This Row],[Cuenta]],1))</f>
        <v>1</v>
      </c>
      <c r="J515" t="b">
        <f>+ISNUMBER(SEARCH('F-COMPRA'!$F$29,Tabla11[[#This Row],[Cuenta]],1))</f>
        <v>1</v>
      </c>
      <c r="K515" t="b">
        <f>+ISNUMBER(SEARCH('F-COMPRA'!$F$30,Tabla11[[#This Row],[Cuenta]],1))</f>
        <v>1</v>
      </c>
      <c r="L515" t="b">
        <f>+ISNUMBER(SEARCH('F-COMPRA'!$F$31,Tabla11[[#This Row],[Cuenta]],1))</f>
        <v>1</v>
      </c>
      <c r="M515" t="b">
        <f>+ISNUMBER(SEARCH('F-COMPRA'!$G$25,Tabla11[[#This Row],[Cuenta]],1))</f>
        <v>0</v>
      </c>
      <c r="N515" t="b">
        <f>+ISNUMBER(SEARCH(#REF!,Tabla11[[#This Row],[Cuenta]],1))</f>
        <v>0</v>
      </c>
      <c r="O515" t="b">
        <f>+ISNUMBER(SEARCH(#REF!,Tabla11[[#This Row],[Cuenta]],1))</f>
        <v>0</v>
      </c>
      <c r="P515" t="b">
        <f>+ISNUMBER(SEARCH('F-COMPRA'!$F$32,Tabla11[[#This Row],[Cuenta]],1))</f>
        <v>1</v>
      </c>
      <c r="Q515" t="b">
        <f>+ISNUMBER(SEARCH('F-COMPRA'!$F$33,Tabla11[[#This Row],[Cuenta]],1))</f>
        <v>1</v>
      </c>
      <c r="R515" t="b">
        <f>+ISNUMBER(SEARCH('F-COMPRA'!$F$34,Tabla11[[#This Row],[Cuenta]],1))</f>
        <v>1</v>
      </c>
      <c r="S515" t="b">
        <f>+ISNUMBER(SEARCH('F-COMPRA'!$F$35,Tabla11[[#This Row],[Cuenta]],1))</f>
        <v>1</v>
      </c>
      <c r="T515" t="b">
        <f>+ISNUMBER(SEARCH('F-COMPRA'!$F$36,Tabla11[[#This Row],[Cuenta]],1))</f>
        <v>1</v>
      </c>
      <c r="U515" t="b">
        <f>+ISNUMBER(SEARCH('F-COMPRA'!$F$37,Tabla11[[#This Row],[Cuenta]],1))</f>
        <v>1</v>
      </c>
      <c r="V515" t="b">
        <f>+ISNUMBER(SEARCH(#REF!,Tabla11[[#This Row],[Cuenta]],1))</f>
        <v>0</v>
      </c>
      <c r="W515" t="b">
        <f>+ISNUMBER(SEARCH('F-COMPRA'!#REF!,Tabla11[[#This Row],[Cuenta]],1))</f>
        <v>0</v>
      </c>
      <c r="X515" t="b">
        <f>+ISNUMBER(SEARCH('F-COMPRA'!#REF!,Tabla11[[#This Row],[Cuenta]],1))</f>
        <v>0</v>
      </c>
      <c r="Y515" t="b">
        <f>+ISNUMBER(SEARCH('F-COMPRA'!#REF!,Tabla11[[#This Row],[Cuenta]],1))</f>
        <v>0</v>
      </c>
      <c r="Z515" t="b">
        <f>+ISNUMBER(SEARCH('F-COMPRA'!#REF!,Tabla11[[#This Row],[Cuenta]],1))</f>
        <v>0</v>
      </c>
      <c r="AA515" t="b">
        <f>+ISNUMBER(SEARCH('F-COMPRA'!#REF!,Tabla11[[#This Row],[Cuenta]],1))</f>
        <v>0</v>
      </c>
      <c r="AB515" t="b">
        <f>+ISNUMBER(SEARCH('F-COMPRA'!#REF!,Tabla11[[#This Row],[Cuenta]],1))</f>
        <v>0</v>
      </c>
      <c r="AC515" t="b">
        <f>+ISNUMBER(SEARCH('F-COMPRA'!#REF!,Tabla11[[#This Row],[Cuenta]],1))</f>
        <v>0</v>
      </c>
      <c r="AD515" t="b">
        <f>+ISNUMBER(SEARCH('F-COMPRA'!#REF!,Tabla11[[#This Row],[Cuenta]],1))</f>
        <v>0</v>
      </c>
      <c r="AE515" t="b">
        <f>+ISNUMBER(SEARCH('F-COMPRA'!#REF!,Tabla11[[#This Row],[Cuenta]],1))</f>
        <v>0</v>
      </c>
      <c r="AF515" t="b">
        <f>+ISNUMBER(SEARCH('F-VTA'!$G$23,Tabla11[[#This Row],[Cuenta]],1))</f>
        <v>0</v>
      </c>
      <c r="AG515" t="b">
        <f>+ISNUMBER(SEARCH('F-VTA'!$G$24,Tabla11[[#This Row],[Cuenta]],1))</f>
        <v>0</v>
      </c>
      <c r="AH515" t="b">
        <f>+ISNUMBER(SEARCH('F-VTA'!$G$25,Tabla11[[#This Row],[Cuenta]],1))</f>
        <v>0</v>
      </c>
      <c r="AI515" t="b">
        <f>+ISNUMBER(SEARCH('F-VTA'!$F$28,Tabla11[[#This Row],[Cuenta]],1))</f>
        <v>1</v>
      </c>
      <c r="AJ515" t="b">
        <f>+ISNUMBER(SEARCH('F-VTA'!$F$29,Tabla11[[#This Row],[Cuenta]],1))</f>
        <v>1</v>
      </c>
      <c r="AK515" t="b">
        <f>+ISNUMBER(SEARCH('F-VTA'!$F$30,Tabla11[[#This Row],[Cuenta]],1))</f>
        <v>1</v>
      </c>
      <c r="AL515" t="b">
        <f>+ISNUMBER(SEARCH('F-VTA'!$F$31,Tabla11[[#This Row],[Cuenta]],1))</f>
        <v>1</v>
      </c>
      <c r="AM515" t="b">
        <f>+ISNUMBER(SEARCH('F-VTA'!$F$32,Tabla11[[#This Row],[Cuenta]],1))</f>
        <v>1</v>
      </c>
      <c r="AN515" t="b">
        <f>+ISNUMBER(SEARCH('F-VTA'!$F$33,Tabla11[[#This Row],[Cuenta]],1))</f>
        <v>1</v>
      </c>
      <c r="AO515" t="b">
        <f>+ISNUMBER(SEARCH('F-VTA'!$F$34,Tabla11[[#This Row],[Cuenta]],1))</f>
        <v>1</v>
      </c>
      <c r="AP515" t="b">
        <f>+ISNUMBER(SEARCH('F-VTA'!$F$35,Tabla11[[#This Row],[Cuenta]],1))</f>
        <v>1</v>
      </c>
      <c r="AQ515" t="b">
        <f>+ISNUMBER(SEARCH('F-VTA'!$F$36,Tabla11[[#This Row],[Cuenta]],1))</f>
        <v>1</v>
      </c>
      <c r="AR515" t="b">
        <f>+ISNUMBER(SEARCH(#REF!,Tabla11[[#This Row],[Cuenta]],1))</f>
        <v>0</v>
      </c>
      <c r="AS515" t="b">
        <f>+ISNUMBER(SEARCH(#REF!,Tabla11[[#This Row],[Cuenta]],1))</f>
        <v>0</v>
      </c>
      <c r="AT515" t="b">
        <f>+ISNUMBER(SEARCH(#REF!,Tabla11[[#This Row],[Cuenta]],1))</f>
        <v>0</v>
      </c>
      <c r="AU515" t="b">
        <f>+ISNUMBER(SEARCH('Conc. Ban.1'!$I$9,Tabla11[[#This Row],[Cuenta]],1))</f>
        <v>0</v>
      </c>
      <c r="AV515" t="b">
        <f>+ISNUMBER(SEARCH(CompConta!$F$21,Tabla11[[#This Row],[Cuenta]],1))</f>
        <v>1</v>
      </c>
      <c r="AW515" t="b">
        <f>+ISNUMBER(SEARCH(CompConta!$F$22,Tabla11[[#This Row],[Cuenta]],1))</f>
        <v>1</v>
      </c>
      <c r="AX515" t="b">
        <f>+ISNUMBER(SEARCH(CompConta!$F$23,Tabla11[[#This Row],[Cuenta]],1))</f>
        <v>1</v>
      </c>
      <c r="AY515" t="b">
        <f>+ISNUMBER(SEARCH(CompConta!$F$24,Tabla11[[#This Row],[Cuenta]],1))</f>
        <v>1</v>
      </c>
      <c r="AZ515" t="b">
        <f>+ISNUMBER(SEARCH(CompConta!$F$25,Tabla11[[#This Row],[Cuenta]],1))</f>
        <v>1</v>
      </c>
      <c r="BA515" t="b">
        <f>+ISNUMBER(SEARCH(CompConta!$F$26,Tabla11[[#This Row],[Cuenta]],1))</f>
        <v>1</v>
      </c>
      <c r="BB515" t="b">
        <f>+ISNUMBER(SEARCH(CompConta!$F$27,Tabla11[[#This Row],[Cuenta]],1))</f>
        <v>1</v>
      </c>
      <c r="BC515" t="b">
        <f>+ISNUMBER(SEARCH(CompConta!$F$28,Tabla11[[#This Row],[Cuenta]],1))</f>
        <v>1</v>
      </c>
      <c r="BD515" t="b">
        <f>+ISNUMBER(SEARCH(CompConta!$F$29,Tabla11[[#This Row],[Cuenta]],1))</f>
        <v>1</v>
      </c>
      <c r="BE515" t="b">
        <f>+ISNUMBER(SEARCH(CompConta!$F$30,Tabla11[[#This Row],[Cuenta]],1))</f>
        <v>1</v>
      </c>
      <c r="BF515" t="b">
        <f>+ISNUMBER(SEARCH('PAGO Compras'!$E$11,Tabla11[[#This Row],[Cuenta]],1))</f>
        <v>1</v>
      </c>
      <c r="BG515" t="b">
        <f>+ISNUMBER(SEARCH(#REF!,Tabla11[[#This Row],[Cuenta]],1))</f>
        <v>0</v>
      </c>
      <c r="BH515" t="b">
        <f>+ISNUMBER(SEARCH(#REF!,Tabla11[[#This Row],[Cuenta]],1))</f>
        <v>0</v>
      </c>
      <c r="BI515" t="b">
        <f>+ISNUMBER(SEARCH(#REF!,Tabla11[[#This Row],[Cuenta]],1))</f>
        <v>0</v>
      </c>
      <c r="BJ515" t="b">
        <f>+ISNUMBER(SEARCH(#REF!,Tabla11[[#This Row],[Cuenta]],1))</f>
        <v>0</v>
      </c>
      <c r="BS515" t="str">
        <v>2605 PARA COSTOS Y GASTOS</v>
      </c>
      <c r="BT515" t="str">
        <v>2605 PARA COSTOS Y GASTOS</v>
      </c>
      <c r="BU515" t="str">
        <v>2605 PARA COSTOS Y GASTOS</v>
      </c>
      <c r="BV515" t="str">
        <v>2605 PARA COSTOS Y GASTOS</v>
      </c>
      <c r="BZ515" t="str">
        <v>2605 PARA COSTOS Y GASTOS</v>
      </c>
      <c r="CA515" t="str">
        <v>2605 PARA COSTOS Y GASTOS</v>
      </c>
      <c r="CB515" t="str">
        <v>2605 PARA COSTOS Y GASTOS</v>
      </c>
      <c r="CC515" t="str">
        <v>2605 PARA COSTOS Y GASTOS</v>
      </c>
      <c r="CD515" t="str">
        <v>2605 PARA COSTOS Y GASTOS</v>
      </c>
      <c r="CE515" t="str">
        <v>2605 PARA COSTOS Y GASTOS</v>
      </c>
      <c r="CS515" s="141" t="str">
        <v>2605 PARA COSTOS Y GASTOS</v>
      </c>
      <c r="CT515" s="141" t="str">
        <v>2605 PARA COSTOS Y GASTOS</v>
      </c>
      <c r="CU515" s="141" t="str">
        <v>2605 PARA COSTOS Y GASTOS</v>
      </c>
      <c r="CV515" s="141" t="str">
        <v>2605 PARA COSTOS Y GASTOS</v>
      </c>
      <c r="CW515" s="141" t="str">
        <v>2605 PARA COSTOS Y GASTOS</v>
      </c>
      <c r="CX515" s="141" t="str">
        <v>2605 PARA COSTOS Y GASTOS</v>
      </c>
      <c r="CY515" s="141" t="str">
        <v>2605 PARA COSTOS Y GASTOS</v>
      </c>
      <c r="CZ515" s="141" t="str">
        <v>2605 PARA COSTOS Y GASTOS</v>
      </c>
      <c r="DA515" s="141" t="str">
        <v>2605 PARA COSTOS Y GASTOS</v>
      </c>
      <c r="DF515" t="str">
        <v>2605 PARA COSTOS Y GASTOS</v>
      </c>
      <c r="DG515" t="str">
        <v>2605 PARA COSTOS Y GASTOS</v>
      </c>
      <c r="DH515" t="str">
        <v>2605 PARA COSTOS Y GASTOS</v>
      </c>
      <c r="DI515" t="str">
        <v>2605 PARA COSTOS Y GASTOS</v>
      </c>
      <c r="DJ515" t="str">
        <v>2605 PARA COSTOS Y GASTOS</v>
      </c>
      <c r="DK515" t="str">
        <v>2605 PARA COSTOS Y GASTOS</v>
      </c>
      <c r="DL515" t="str">
        <v>2605 PARA COSTOS Y GASTOS</v>
      </c>
      <c r="DM515" t="str">
        <v>2605 PARA COSTOS Y GASTOS</v>
      </c>
      <c r="DN515" t="str">
        <v>2605 PARA COSTOS Y GASTOS</v>
      </c>
      <c r="DO515" t="str">
        <v>2605 PARA COSTOS Y GASTOS</v>
      </c>
      <c r="DP515" t="str">
        <v>2605 PARA COSTOS Y GASTOS</v>
      </c>
    </row>
    <row r="516" spans="4:120" ht="12.75">
      <c r="D516" s="7">
        <v>260505</v>
      </c>
      <c r="E516" s="6" t="s">
        <v>73</v>
      </c>
      <c r="F516" s="5">
        <v>4</v>
      </c>
      <c r="G516" s="34" t="s">
        <v>824</v>
      </c>
      <c r="H516" s="26" t="s">
        <v>765</v>
      </c>
      <c r="I516" t="b">
        <f>+ISNUMBER(SEARCH('F-COMPRA'!$F$28,Tabla11[[#This Row],[Cuenta]],1))</f>
        <v>1</v>
      </c>
      <c r="J516" t="b">
        <f>+ISNUMBER(SEARCH('F-COMPRA'!$F$29,Tabla11[[#This Row],[Cuenta]],1))</f>
        <v>1</v>
      </c>
      <c r="K516" t="b">
        <f>+ISNUMBER(SEARCH('F-COMPRA'!$F$30,Tabla11[[#This Row],[Cuenta]],1))</f>
        <v>1</v>
      </c>
      <c r="L516" t="b">
        <f>+ISNUMBER(SEARCH('F-COMPRA'!$F$31,Tabla11[[#This Row],[Cuenta]],1))</f>
        <v>1</v>
      </c>
      <c r="M516" t="b">
        <f>+ISNUMBER(SEARCH('F-COMPRA'!$G$25,Tabla11[[#This Row],[Cuenta]],1))</f>
        <v>0</v>
      </c>
      <c r="N516" t="b">
        <f>+ISNUMBER(SEARCH(#REF!,Tabla11[[#This Row],[Cuenta]],1))</f>
        <v>0</v>
      </c>
      <c r="O516" t="b">
        <f>+ISNUMBER(SEARCH(#REF!,Tabla11[[#This Row],[Cuenta]],1))</f>
        <v>0</v>
      </c>
      <c r="P516" t="b">
        <f>+ISNUMBER(SEARCH('F-COMPRA'!$F$32,Tabla11[[#This Row],[Cuenta]],1))</f>
        <v>1</v>
      </c>
      <c r="Q516" t="b">
        <f>+ISNUMBER(SEARCH('F-COMPRA'!$F$33,Tabla11[[#This Row],[Cuenta]],1))</f>
        <v>1</v>
      </c>
      <c r="R516" t="b">
        <f>+ISNUMBER(SEARCH('F-COMPRA'!$F$34,Tabla11[[#This Row],[Cuenta]],1))</f>
        <v>1</v>
      </c>
      <c r="S516" t="b">
        <f>+ISNUMBER(SEARCH('F-COMPRA'!$F$35,Tabla11[[#This Row],[Cuenta]],1))</f>
        <v>1</v>
      </c>
      <c r="T516" t="b">
        <f>+ISNUMBER(SEARCH('F-COMPRA'!$F$36,Tabla11[[#This Row],[Cuenta]],1))</f>
        <v>1</v>
      </c>
      <c r="U516" t="b">
        <f>+ISNUMBER(SEARCH('F-COMPRA'!$F$37,Tabla11[[#This Row],[Cuenta]],1))</f>
        <v>1</v>
      </c>
      <c r="V516" t="b">
        <f>+ISNUMBER(SEARCH(#REF!,Tabla11[[#This Row],[Cuenta]],1))</f>
        <v>0</v>
      </c>
      <c r="W516" t="b">
        <f>+ISNUMBER(SEARCH('F-COMPRA'!#REF!,Tabla11[[#This Row],[Cuenta]],1))</f>
        <v>0</v>
      </c>
      <c r="X516" t="b">
        <f>+ISNUMBER(SEARCH('F-COMPRA'!#REF!,Tabla11[[#This Row],[Cuenta]],1))</f>
        <v>0</v>
      </c>
      <c r="Y516" t="b">
        <f>+ISNUMBER(SEARCH('F-COMPRA'!#REF!,Tabla11[[#This Row],[Cuenta]],1))</f>
        <v>0</v>
      </c>
      <c r="Z516" t="b">
        <f>+ISNUMBER(SEARCH('F-COMPRA'!#REF!,Tabla11[[#This Row],[Cuenta]],1))</f>
        <v>0</v>
      </c>
      <c r="AA516" t="b">
        <f>+ISNUMBER(SEARCH('F-COMPRA'!#REF!,Tabla11[[#This Row],[Cuenta]],1))</f>
        <v>0</v>
      </c>
      <c r="AB516" t="b">
        <f>+ISNUMBER(SEARCH('F-COMPRA'!#REF!,Tabla11[[#This Row],[Cuenta]],1))</f>
        <v>0</v>
      </c>
      <c r="AC516" t="b">
        <f>+ISNUMBER(SEARCH('F-COMPRA'!#REF!,Tabla11[[#This Row],[Cuenta]],1))</f>
        <v>0</v>
      </c>
      <c r="AD516" t="b">
        <f>+ISNUMBER(SEARCH('F-COMPRA'!#REF!,Tabla11[[#This Row],[Cuenta]],1))</f>
        <v>0</v>
      </c>
      <c r="AE516" t="b">
        <f>+ISNUMBER(SEARCH('F-COMPRA'!#REF!,Tabla11[[#This Row],[Cuenta]],1))</f>
        <v>0</v>
      </c>
      <c r="AF516" t="b">
        <f>+ISNUMBER(SEARCH('F-VTA'!$G$23,Tabla11[[#This Row],[Cuenta]],1))</f>
        <v>0</v>
      </c>
      <c r="AG516" t="b">
        <f>+ISNUMBER(SEARCH('F-VTA'!$G$24,Tabla11[[#This Row],[Cuenta]],1))</f>
        <v>0</v>
      </c>
      <c r="AH516" t="b">
        <f>+ISNUMBER(SEARCH('F-VTA'!$G$25,Tabla11[[#This Row],[Cuenta]],1))</f>
        <v>0</v>
      </c>
      <c r="AI516" t="b">
        <f>+ISNUMBER(SEARCH('F-VTA'!$F$28,Tabla11[[#This Row],[Cuenta]],1))</f>
        <v>1</v>
      </c>
      <c r="AJ516" t="b">
        <f>+ISNUMBER(SEARCH('F-VTA'!$F$29,Tabla11[[#This Row],[Cuenta]],1))</f>
        <v>1</v>
      </c>
      <c r="AK516" t="b">
        <f>+ISNUMBER(SEARCH('F-VTA'!$F$30,Tabla11[[#This Row],[Cuenta]],1))</f>
        <v>1</v>
      </c>
      <c r="AL516" t="b">
        <f>+ISNUMBER(SEARCH('F-VTA'!$F$31,Tabla11[[#This Row],[Cuenta]],1))</f>
        <v>1</v>
      </c>
      <c r="AM516" t="b">
        <f>+ISNUMBER(SEARCH('F-VTA'!$F$32,Tabla11[[#This Row],[Cuenta]],1))</f>
        <v>1</v>
      </c>
      <c r="AN516" t="b">
        <f>+ISNUMBER(SEARCH('F-VTA'!$F$33,Tabla11[[#This Row],[Cuenta]],1))</f>
        <v>1</v>
      </c>
      <c r="AO516" t="b">
        <f>+ISNUMBER(SEARCH('F-VTA'!$F$34,Tabla11[[#This Row],[Cuenta]],1))</f>
        <v>1</v>
      </c>
      <c r="AP516" t="b">
        <f>+ISNUMBER(SEARCH('F-VTA'!$F$35,Tabla11[[#This Row],[Cuenta]],1))</f>
        <v>1</v>
      </c>
      <c r="AQ516" t="b">
        <f>+ISNUMBER(SEARCH('F-VTA'!$F$36,Tabla11[[#This Row],[Cuenta]],1))</f>
        <v>1</v>
      </c>
      <c r="AR516" t="b">
        <f>+ISNUMBER(SEARCH(#REF!,Tabla11[[#This Row],[Cuenta]],1))</f>
        <v>0</v>
      </c>
      <c r="AS516" t="b">
        <f>+ISNUMBER(SEARCH(#REF!,Tabla11[[#This Row],[Cuenta]],1))</f>
        <v>0</v>
      </c>
      <c r="AT516" t="b">
        <f>+ISNUMBER(SEARCH(#REF!,Tabla11[[#This Row],[Cuenta]],1))</f>
        <v>0</v>
      </c>
      <c r="AU516" t="b">
        <f>+ISNUMBER(SEARCH('Conc. Ban.1'!$I$9,Tabla11[[#This Row],[Cuenta]],1))</f>
        <v>0</v>
      </c>
      <c r="AV516" t="b">
        <f>+ISNUMBER(SEARCH(CompConta!$F$21,Tabla11[[#This Row],[Cuenta]],1))</f>
        <v>1</v>
      </c>
      <c r="AW516" t="b">
        <f>+ISNUMBER(SEARCH(CompConta!$F$22,Tabla11[[#This Row],[Cuenta]],1))</f>
        <v>1</v>
      </c>
      <c r="AX516" t="b">
        <f>+ISNUMBER(SEARCH(CompConta!$F$23,Tabla11[[#This Row],[Cuenta]],1))</f>
        <v>1</v>
      </c>
      <c r="AY516" t="b">
        <f>+ISNUMBER(SEARCH(CompConta!$F$24,Tabla11[[#This Row],[Cuenta]],1))</f>
        <v>1</v>
      </c>
      <c r="AZ516" t="b">
        <f>+ISNUMBER(SEARCH(CompConta!$F$25,Tabla11[[#This Row],[Cuenta]],1))</f>
        <v>1</v>
      </c>
      <c r="BA516" t="b">
        <f>+ISNUMBER(SEARCH(CompConta!$F$26,Tabla11[[#This Row],[Cuenta]],1))</f>
        <v>1</v>
      </c>
      <c r="BB516" t="b">
        <f>+ISNUMBER(SEARCH(CompConta!$F$27,Tabla11[[#This Row],[Cuenta]],1))</f>
        <v>1</v>
      </c>
      <c r="BC516" t="b">
        <f>+ISNUMBER(SEARCH(CompConta!$F$28,Tabla11[[#This Row],[Cuenta]],1))</f>
        <v>1</v>
      </c>
      <c r="BD516" t="b">
        <f>+ISNUMBER(SEARCH(CompConta!$F$29,Tabla11[[#This Row],[Cuenta]],1))</f>
        <v>1</v>
      </c>
      <c r="BE516" t="b">
        <f>+ISNUMBER(SEARCH(CompConta!$F$30,Tabla11[[#This Row],[Cuenta]],1))</f>
        <v>1</v>
      </c>
      <c r="BF516" t="b">
        <f>+ISNUMBER(SEARCH('PAGO Compras'!$E$11,Tabla11[[#This Row],[Cuenta]],1))</f>
        <v>1</v>
      </c>
      <c r="BG516" t="b">
        <f>+ISNUMBER(SEARCH(#REF!,Tabla11[[#This Row],[Cuenta]],1))</f>
        <v>0</v>
      </c>
      <c r="BH516" t="b">
        <f>+ISNUMBER(SEARCH(#REF!,Tabla11[[#This Row],[Cuenta]],1))</f>
        <v>0</v>
      </c>
      <c r="BI516" t="b">
        <f>+ISNUMBER(SEARCH(#REF!,Tabla11[[#This Row],[Cuenta]],1))</f>
        <v>0</v>
      </c>
      <c r="BJ516" t="b">
        <f>+ISNUMBER(SEARCH(#REF!,Tabla11[[#This Row],[Cuenta]],1))</f>
        <v>0</v>
      </c>
      <c r="BS516" t="str">
        <v>260505 Intereses</v>
      </c>
      <c r="BT516" t="str">
        <v>260505 Intereses</v>
      </c>
      <c r="BU516" t="str">
        <v>260505 Intereses</v>
      </c>
      <c r="BV516" t="str">
        <v>260505 Intereses</v>
      </c>
      <c r="BZ516" t="str">
        <v>260505 Intereses</v>
      </c>
      <c r="CA516" t="str">
        <v>260505 Intereses</v>
      </c>
      <c r="CB516" t="str">
        <v>260505 Intereses</v>
      </c>
      <c r="CC516" t="str">
        <v>260505 Intereses</v>
      </c>
      <c r="CD516" t="str">
        <v>260505 Intereses</v>
      </c>
      <c r="CE516" t="str">
        <v>260505 Intereses</v>
      </c>
      <c r="CS516" s="141" t="str">
        <v>260505 Intereses</v>
      </c>
      <c r="CT516" s="141" t="str">
        <v>260505 Intereses</v>
      </c>
      <c r="CU516" s="141" t="str">
        <v>260505 Intereses</v>
      </c>
      <c r="CV516" s="141" t="str">
        <v>260505 Intereses</v>
      </c>
      <c r="CW516" s="141" t="str">
        <v>260505 Intereses</v>
      </c>
      <c r="CX516" s="141" t="str">
        <v>260505 Intereses</v>
      </c>
      <c r="CY516" s="141" t="str">
        <v>260505 Intereses</v>
      </c>
      <c r="CZ516" s="141" t="str">
        <v>260505 Intereses</v>
      </c>
      <c r="DA516" s="141" t="str">
        <v>260505 Intereses</v>
      </c>
      <c r="DF516" t="str">
        <v>260505 Intereses</v>
      </c>
      <c r="DG516" t="str">
        <v>260505 Intereses</v>
      </c>
      <c r="DH516" t="str">
        <v>260505 Intereses</v>
      </c>
      <c r="DI516" t="str">
        <v>260505 Intereses</v>
      </c>
      <c r="DJ516" t="str">
        <v>260505 Intereses</v>
      </c>
      <c r="DK516" t="str">
        <v>260505 Intereses</v>
      </c>
      <c r="DL516" t="str">
        <v>260505 Intereses</v>
      </c>
      <c r="DM516" t="str">
        <v>260505 Intereses</v>
      </c>
      <c r="DN516" t="str">
        <v>260505 Intereses</v>
      </c>
      <c r="DO516" t="str">
        <v>260505 Intereses</v>
      </c>
      <c r="DP516" t="str">
        <v>260505 Intereses</v>
      </c>
    </row>
    <row r="517" spans="4:120" ht="12.75">
      <c r="D517" s="7">
        <v>260510</v>
      </c>
      <c r="E517" s="6" t="s">
        <v>74</v>
      </c>
      <c r="F517" s="5">
        <v>4</v>
      </c>
      <c r="G517" s="34" t="s">
        <v>824</v>
      </c>
      <c r="H517" s="26" t="s">
        <v>765</v>
      </c>
      <c r="I517" t="b">
        <f>+ISNUMBER(SEARCH('F-COMPRA'!$F$28,Tabla11[[#This Row],[Cuenta]],1))</f>
        <v>1</v>
      </c>
      <c r="J517" t="b">
        <f>+ISNUMBER(SEARCH('F-COMPRA'!$F$29,Tabla11[[#This Row],[Cuenta]],1))</f>
        <v>1</v>
      </c>
      <c r="K517" t="b">
        <f>+ISNUMBER(SEARCH('F-COMPRA'!$F$30,Tabla11[[#This Row],[Cuenta]],1))</f>
        <v>1</v>
      </c>
      <c r="L517" t="b">
        <f>+ISNUMBER(SEARCH('F-COMPRA'!$F$31,Tabla11[[#This Row],[Cuenta]],1))</f>
        <v>1</v>
      </c>
      <c r="M517" t="b">
        <f>+ISNUMBER(SEARCH('F-COMPRA'!$G$25,Tabla11[[#This Row],[Cuenta]],1))</f>
        <v>0</v>
      </c>
      <c r="N517" t="b">
        <f>+ISNUMBER(SEARCH(#REF!,Tabla11[[#This Row],[Cuenta]],1))</f>
        <v>0</v>
      </c>
      <c r="O517" t="b">
        <f>+ISNUMBER(SEARCH(#REF!,Tabla11[[#This Row],[Cuenta]],1))</f>
        <v>0</v>
      </c>
      <c r="P517" t="b">
        <f>+ISNUMBER(SEARCH('F-COMPRA'!$F$32,Tabla11[[#This Row],[Cuenta]],1))</f>
        <v>1</v>
      </c>
      <c r="Q517" t="b">
        <f>+ISNUMBER(SEARCH('F-COMPRA'!$F$33,Tabla11[[#This Row],[Cuenta]],1))</f>
        <v>1</v>
      </c>
      <c r="R517" t="b">
        <f>+ISNUMBER(SEARCH('F-COMPRA'!$F$34,Tabla11[[#This Row],[Cuenta]],1))</f>
        <v>1</v>
      </c>
      <c r="S517" t="b">
        <f>+ISNUMBER(SEARCH('F-COMPRA'!$F$35,Tabla11[[#This Row],[Cuenta]],1))</f>
        <v>1</v>
      </c>
      <c r="T517" t="b">
        <f>+ISNUMBER(SEARCH('F-COMPRA'!$F$36,Tabla11[[#This Row],[Cuenta]],1))</f>
        <v>1</v>
      </c>
      <c r="U517" t="b">
        <f>+ISNUMBER(SEARCH('F-COMPRA'!$F$37,Tabla11[[#This Row],[Cuenta]],1))</f>
        <v>1</v>
      </c>
      <c r="V517" t="b">
        <f>+ISNUMBER(SEARCH(#REF!,Tabla11[[#This Row],[Cuenta]],1))</f>
        <v>0</v>
      </c>
      <c r="W517" t="b">
        <f>+ISNUMBER(SEARCH('F-COMPRA'!#REF!,Tabla11[[#This Row],[Cuenta]],1))</f>
        <v>0</v>
      </c>
      <c r="X517" t="b">
        <f>+ISNUMBER(SEARCH('F-COMPRA'!#REF!,Tabla11[[#This Row],[Cuenta]],1))</f>
        <v>0</v>
      </c>
      <c r="Y517" t="b">
        <f>+ISNUMBER(SEARCH('F-COMPRA'!#REF!,Tabla11[[#This Row],[Cuenta]],1))</f>
        <v>0</v>
      </c>
      <c r="Z517" t="b">
        <f>+ISNUMBER(SEARCH('F-COMPRA'!#REF!,Tabla11[[#This Row],[Cuenta]],1))</f>
        <v>0</v>
      </c>
      <c r="AA517" t="b">
        <f>+ISNUMBER(SEARCH('F-COMPRA'!#REF!,Tabla11[[#This Row],[Cuenta]],1))</f>
        <v>0</v>
      </c>
      <c r="AB517" t="b">
        <f>+ISNUMBER(SEARCH('F-COMPRA'!#REF!,Tabla11[[#This Row],[Cuenta]],1))</f>
        <v>0</v>
      </c>
      <c r="AC517" t="b">
        <f>+ISNUMBER(SEARCH('F-COMPRA'!#REF!,Tabla11[[#This Row],[Cuenta]],1))</f>
        <v>0</v>
      </c>
      <c r="AD517" t="b">
        <f>+ISNUMBER(SEARCH('F-COMPRA'!#REF!,Tabla11[[#This Row],[Cuenta]],1))</f>
        <v>0</v>
      </c>
      <c r="AE517" t="b">
        <f>+ISNUMBER(SEARCH('F-COMPRA'!#REF!,Tabla11[[#This Row],[Cuenta]],1))</f>
        <v>0</v>
      </c>
      <c r="AF517" t="b">
        <f>+ISNUMBER(SEARCH('F-VTA'!$G$23,Tabla11[[#This Row],[Cuenta]],1))</f>
        <v>0</v>
      </c>
      <c r="AG517" t="b">
        <f>+ISNUMBER(SEARCH('F-VTA'!$G$24,Tabla11[[#This Row],[Cuenta]],1))</f>
        <v>0</v>
      </c>
      <c r="AH517" t="b">
        <f>+ISNUMBER(SEARCH('F-VTA'!$G$25,Tabla11[[#This Row],[Cuenta]],1))</f>
        <v>0</v>
      </c>
      <c r="AI517" t="b">
        <f>+ISNUMBER(SEARCH('F-VTA'!$F$28,Tabla11[[#This Row],[Cuenta]],1))</f>
        <v>1</v>
      </c>
      <c r="AJ517" t="b">
        <f>+ISNUMBER(SEARCH('F-VTA'!$F$29,Tabla11[[#This Row],[Cuenta]],1))</f>
        <v>1</v>
      </c>
      <c r="AK517" t="b">
        <f>+ISNUMBER(SEARCH('F-VTA'!$F$30,Tabla11[[#This Row],[Cuenta]],1))</f>
        <v>1</v>
      </c>
      <c r="AL517" t="b">
        <f>+ISNUMBER(SEARCH('F-VTA'!$F$31,Tabla11[[#This Row],[Cuenta]],1))</f>
        <v>1</v>
      </c>
      <c r="AM517" t="b">
        <f>+ISNUMBER(SEARCH('F-VTA'!$F$32,Tabla11[[#This Row],[Cuenta]],1))</f>
        <v>1</v>
      </c>
      <c r="AN517" t="b">
        <f>+ISNUMBER(SEARCH('F-VTA'!$F$33,Tabla11[[#This Row],[Cuenta]],1))</f>
        <v>1</v>
      </c>
      <c r="AO517" t="b">
        <f>+ISNUMBER(SEARCH('F-VTA'!$F$34,Tabla11[[#This Row],[Cuenta]],1))</f>
        <v>1</v>
      </c>
      <c r="AP517" t="b">
        <f>+ISNUMBER(SEARCH('F-VTA'!$F$35,Tabla11[[#This Row],[Cuenta]],1))</f>
        <v>1</v>
      </c>
      <c r="AQ517" t="b">
        <f>+ISNUMBER(SEARCH('F-VTA'!$F$36,Tabla11[[#This Row],[Cuenta]],1))</f>
        <v>1</v>
      </c>
      <c r="AR517" t="b">
        <f>+ISNUMBER(SEARCH(#REF!,Tabla11[[#This Row],[Cuenta]],1))</f>
        <v>0</v>
      </c>
      <c r="AS517" t="b">
        <f>+ISNUMBER(SEARCH(#REF!,Tabla11[[#This Row],[Cuenta]],1))</f>
        <v>0</v>
      </c>
      <c r="AT517" t="b">
        <f>+ISNUMBER(SEARCH(#REF!,Tabla11[[#This Row],[Cuenta]],1))</f>
        <v>0</v>
      </c>
      <c r="AU517" t="b">
        <f>+ISNUMBER(SEARCH('Conc. Ban.1'!$I$9,Tabla11[[#This Row],[Cuenta]],1))</f>
        <v>0</v>
      </c>
      <c r="AV517" t="b">
        <f>+ISNUMBER(SEARCH(CompConta!$F$21,Tabla11[[#This Row],[Cuenta]],1))</f>
        <v>1</v>
      </c>
      <c r="AW517" t="b">
        <f>+ISNUMBER(SEARCH(CompConta!$F$22,Tabla11[[#This Row],[Cuenta]],1))</f>
        <v>1</v>
      </c>
      <c r="AX517" t="b">
        <f>+ISNUMBER(SEARCH(CompConta!$F$23,Tabla11[[#This Row],[Cuenta]],1))</f>
        <v>1</v>
      </c>
      <c r="AY517" t="b">
        <f>+ISNUMBER(SEARCH(CompConta!$F$24,Tabla11[[#This Row],[Cuenta]],1))</f>
        <v>1</v>
      </c>
      <c r="AZ517" t="b">
        <f>+ISNUMBER(SEARCH(CompConta!$F$25,Tabla11[[#This Row],[Cuenta]],1))</f>
        <v>1</v>
      </c>
      <c r="BA517" t="b">
        <f>+ISNUMBER(SEARCH(CompConta!$F$26,Tabla11[[#This Row],[Cuenta]],1))</f>
        <v>1</v>
      </c>
      <c r="BB517" t="b">
        <f>+ISNUMBER(SEARCH(CompConta!$F$27,Tabla11[[#This Row],[Cuenta]],1))</f>
        <v>1</v>
      </c>
      <c r="BC517" t="b">
        <f>+ISNUMBER(SEARCH(CompConta!$F$28,Tabla11[[#This Row],[Cuenta]],1))</f>
        <v>1</v>
      </c>
      <c r="BD517" t="b">
        <f>+ISNUMBER(SEARCH(CompConta!$F$29,Tabla11[[#This Row],[Cuenta]],1))</f>
        <v>1</v>
      </c>
      <c r="BE517" t="b">
        <f>+ISNUMBER(SEARCH(CompConta!$F$30,Tabla11[[#This Row],[Cuenta]],1))</f>
        <v>1</v>
      </c>
      <c r="BF517" t="b">
        <f>+ISNUMBER(SEARCH('PAGO Compras'!$E$11,Tabla11[[#This Row],[Cuenta]],1))</f>
        <v>1</v>
      </c>
      <c r="BG517" t="b">
        <f>+ISNUMBER(SEARCH(#REF!,Tabla11[[#This Row],[Cuenta]],1))</f>
        <v>0</v>
      </c>
      <c r="BH517" t="b">
        <f>+ISNUMBER(SEARCH(#REF!,Tabla11[[#This Row],[Cuenta]],1))</f>
        <v>0</v>
      </c>
      <c r="BI517" t="b">
        <f>+ISNUMBER(SEARCH(#REF!,Tabla11[[#This Row],[Cuenta]],1))</f>
        <v>0</v>
      </c>
      <c r="BJ517" t="b">
        <f>+ISNUMBER(SEARCH(#REF!,Tabla11[[#This Row],[Cuenta]],1))</f>
        <v>0</v>
      </c>
      <c r="BS517" t="str">
        <v>260510 Comisiones</v>
      </c>
      <c r="BT517" t="str">
        <v>260510 Comisiones</v>
      </c>
      <c r="BU517" t="str">
        <v>260510 Comisiones</v>
      </c>
      <c r="BV517" t="str">
        <v>260510 Comisiones</v>
      </c>
      <c r="BZ517" t="str">
        <v>260510 Comisiones</v>
      </c>
      <c r="CA517" t="str">
        <v>260510 Comisiones</v>
      </c>
      <c r="CB517" t="str">
        <v>260510 Comisiones</v>
      </c>
      <c r="CC517" t="str">
        <v>260510 Comisiones</v>
      </c>
      <c r="CD517" t="str">
        <v>260510 Comisiones</v>
      </c>
      <c r="CE517" t="str">
        <v>260510 Comisiones</v>
      </c>
      <c r="CS517" s="141" t="str">
        <v>260510 Comisiones</v>
      </c>
      <c r="CT517" s="141" t="str">
        <v>260510 Comisiones</v>
      </c>
      <c r="CU517" s="141" t="str">
        <v>260510 Comisiones</v>
      </c>
      <c r="CV517" s="141" t="str">
        <v>260510 Comisiones</v>
      </c>
      <c r="CW517" s="141" t="str">
        <v>260510 Comisiones</v>
      </c>
      <c r="CX517" s="141" t="str">
        <v>260510 Comisiones</v>
      </c>
      <c r="CY517" s="141" t="str">
        <v>260510 Comisiones</v>
      </c>
      <c r="CZ517" s="141" t="str">
        <v>260510 Comisiones</v>
      </c>
      <c r="DA517" s="141" t="str">
        <v>260510 Comisiones</v>
      </c>
      <c r="DF517" t="str">
        <v>260510 Comisiones</v>
      </c>
      <c r="DG517" t="str">
        <v>260510 Comisiones</v>
      </c>
      <c r="DH517" t="str">
        <v>260510 Comisiones</v>
      </c>
      <c r="DI517" t="str">
        <v>260510 Comisiones</v>
      </c>
      <c r="DJ517" t="str">
        <v>260510 Comisiones</v>
      </c>
      <c r="DK517" t="str">
        <v>260510 Comisiones</v>
      </c>
      <c r="DL517" t="str">
        <v>260510 Comisiones</v>
      </c>
      <c r="DM517" t="str">
        <v>260510 Comisiones</v>
      </c>
      <c r="DN517" t="str">
        <v>260510 Comisiones</v>
      </c>
      <c r="DO517" t="str">
        <v>260510 Comisiones</v>
      </c>
      <c r="DP517" t="str">
        <v>260510 Comisiones</v>
      </c>
    </row>
    <row r="518" spans="4:120" ht="12.75">
      <c r="D518" s="7">
        <v>260515</v>
      </c>
      <c r="E518" s="6" t="s">
        <v>75</v>
      </c>
      <c r="F518" s="5">
        <v>4</v>
      </c>
      <c r="G518" s="34" t="s">
        <v>824</v>
      </c>
      <c r="H518" s="26" t="s">
        <v>765</v>
      </c>
      <c r="I518" t="b">
        <f>+ISNUMBER(SEARCH('F-COMPRA'!$F$28,Tabla11[[#This Row],[Cuenta]],1))</f>
        <v>1</v>
      </c>
      <c r="J518" t="b">
        <f>+ISNUMBER(SEARCH('F-COMPRA'!$F$29,Tabla11[[#This Row],[Cuenta]],1))</f>
        <v>1</v>
      </c>
      <c r="K518" t="b">
        <f>+ISNUMBER(SEARCH('F-COMPRA'!$F$30,Tabla11[[#This Row],[Cuenta]],1))</f>
        <v>1</v>
      </c>
      <c r="L518" t="b">
        <f>+ISNUMBER(SEARCH('F-COMPRA'!$F$31,Tabla11[[#This Row],[Cuenta]],1))</f>
        <v>1</v>
      </c>
      <c r="M518" t="b">
        <f>+ISNUMBER(SEARCH('F-COMPRA'!$G$25,Tabla11[[#This Row],[Cuenta]],1))</f>
        <v>0</v>
      </c>
      <c r="N518" t="b">
        <f>+ISNUMBER(SEARCH(#REF!,Tabla11[[#This Row],[Cuenta]],1))</f>
        <v>0</v>
      </c>
      <c r="O518" t="b">
        <f>+ISNUMBER(SEARCH(#REF!,Tabla11[[#This Row],[Cuenta]],1))</f>
        <v>0</v>
      </c>
      <c r="P518" t="b">
        <f>+ISNUMBER(SEARCH('F-COMPRA'!$F$32,Tabla11[[#This Row],[Cuenta]],1))</f>
        <v>1</v>
      </c>
      <c r="Q518" t="b">
        <f>+ISNUMBER(SEARCH('F-COMPRA'!$F$33,Tabla11[[#This Row],[Cuenta]],1))</f>
        <v>1</v>
      </c>
      <c r="R518" t="b">
        <f>+ISNUMBER(SEARCH('F-COMPRA'!$F$34,Tabla11[[#This Row],[Cuenta]],1))</f>
        <v>1</v>
      </c>
      <c r="S518" t="b">
        <f>+ISNUMBER(SEARCH('F-COMPRA'!$F$35,Tabla11[[#This Row],[Cuenta]],1))</f>
        <v>1</v>
      </c>
      <c r="T518" t="b">
        <f>+ISNUMBER(SEARCH('F-COMPRA'!$F$36,Tabla11[[#This Row],[Cuenta]],1))</f>
        <v>1</v>
      </c>
      <c r="U518" t="b">
        <f>+ISNUMBER(SEARCH('F-COMPRA'!$F$37,Tabla11[[#This Row],[Cuenta]],1))</f>
        <v>1</v>
      </c>
      <c r="V518" t="b">
        <f>+ISNUMBER(SEARCH(#REF!,Tabla11[[#This Row],[Cuenta]],1))</f>
        <v>0</v>
      </c>
      <c r="W518" t="b">
        <f>+ISNUMBER(SEARCH('F-COMPRA'!#REF!,Tabla11[[#This Row],[Cuenta]],1))</f>
        <v>0</v>
      </c>
      <c r="X518" t="b">
        <f>+ISNUMBER(SEARCH('F-COMPRA'!#REF!,Tabla11[[#This Row],[Cuenta]],1))</f>
        <v>0</v>
      </c>
      <c r="Y518" t="b">
        <f>+ISNUMBER(SEARCH('F-COMPRA'!#REF!,Tabla11[[#This Row],[Cuenta]],1))</f>
        <v>0</v>
      </c>
      <c r="Z518" t="b">
        <f>+ISNUMBER(SEARCH('F-COMPRA'!#REF!,Tabla11[[#This Row],[Cuenta]],1))</f>
        <v>0</v>
      </c>
      <c r="AA518" t="b">
        <f>+ISNUMBER(SEARCH('F-COMPRA'!#REF!,Tabla11[[#This Row],[Cuenta]],1))</f>
        <v>0</v>
      </c>
      <c r="AB518" t="b">
        <f>+ISNUMBER(SEARCH('F-COMPRA'!#REF!,Tabla11[[#This Row],[Cuenta]],1))</f>
        <v>0</v>
      </c>
      <c r="AC518" t="b">
        <f>+ISNUMBER(SEARCH('F-COMPRA'!#REF!,Tabla11[[#This Row],[Cuenta]],1))</f>
        <v>0</v>
      </c>
      <c r="AD518" t="b">
        <f>+ISNUMBER(SEARCH('F-COMPRA'!#REF!,Tabla11[[#This Row],[Cuenta]],1))</f>
        <v>0</v>
      </c>
      <c r="AE518" t="b">
        <f>+ISNUMBER(SEARCH('F-COMPRA'!#REF!,Tabla11[[#This Row],[Cuenta]],1))</f>
        <v>0</v>
      </c>
      <c r="AF518" t="b">
        <f>+ISNUMBER(SEARCH('F-VTA'!$G$23,Tabla11[[#This Row],[Cuenta]],1))</f>
        <v>0</v>
      </c>
      <c r="AG518" t="b">
        <f>+ISNUMBER(SEARCH('F-VTA'!$G$24,Tabla11[[#This Row],[Cuenta]],1))</f>
        <v>0</v>
      </c>
      <c r="AH518" t="b">
        <f>+ISNUMBER(SEARCH('F-VTA'!$G$25,Tabla11[[#This Row],[Cuenta]],1))</f>
        <v>0</v>
      </c>
      <c r="AI518" t="b">
        <f>+ISNUMBER(SEARCH('F-VTA'!$F$28,Tabla11[[#This Row],[Cuenta]],1))</f>
        <v>1</v>
      </c>
      <c r="AJ518" t="b">
        <f>+ISNUMBER(SEARCH('F-VTA'!$F$29,Tabla11[[#This Row],[Cuenta]],1))</f>
        <v>1</v>
      </c>
      <c r="AK518" t="b">
        <f>+ISNUMBER(SEARCH('F-VTA'!$F$30,Tabla11[[#This Row],[Cuenta]],1))</f>
        <v>1</v>
      </c>
      <c r="AL518" t="b">
        <f>+ISNUMBER(SEARCH('F-VTA'!$F$31,Tabla11[[#This Row],[Cuenta]],1))</f>
        <v>1</v>
      </c>
      <c r="AM518" t="b">
        <f>+ISNUMBER(SEARCH('F-VTA'!$F$32,Tabla11[[#This Row],[Cuenta]],1))</f>
        <v>1</v>
      </c>
      <c r="AN518" t="b">
        <f>+ISNUMBER(SEARCH('F-VTA'!$F$33,Tabla11[[#This Row],[Cuenta]],1))</f>
        <v>1</v>
      </c>
      <c r="AO518" t="b">
        <f>+ISNUMBER(SEARCH('F-VTA'!$F$34,Tabla11[[#This Row],[Cuenta]],1))</f>
        <v>1</v>
      </c>
      <c r="AP518" t="b">
        <f>+ISNUMBER(SEARCH('F-VTA'!$F$35,Tabla11[[#This Row],[Cuenta]],1))</f>
        <v>1</v>
      </c>
      <c r="AQ518" t="b">
        <f>+ISNUMBER(SEARCH('F-VTA'!$F$36,Tabla11[[#This Row],[Cuenta]],1))</f>
        <v>1</v>
      </c>
      <c r="AR518" t="b">
        <f>+ISNUMBER(SEARCH(#REF!,Tabla11[[#This Row],[Cuenta]],1))</f>
        <v>0</v>
      </c>
      <c r="AS518" t="b">
        <f>+ISNUMBER(SEARCH(#REF!,Tabla11[[#This Row],[Cuenta]],1))</f>
        <v>0</v>
      </c>
      <c r="AT518" t="b">
        <f>+ISNUMBER(SEARCH(#REF!,Tabla11[[#This Row],[Cuenta]],1))</f>
        <v>0</v>
      </c>
      <c r="AU518" t="b">
        <f>+ISNUMBER(SEARCH('Conc. Ban.1'!$I$9,Tabla11[[#This Row],[Cuenta]],1))</f>
        <v>0</v>
      </c>
      <c r="AV518" t="b">
        <f>+ISNUMBER(SEARCH(CompConta!$F$21,Tabla11[[#This Row],[Cuenta]],1))</f>
        <v>1</v>
      </c>
      <c r="AW518" t="b">
        <f>+ISNUMBER(SEARCH(CompConta!$F$22,Tabla11[[#This Row],[Cuenta]],1))</f>
        <v>1</v>
      </c>
      <c r="AX518" t="b">
        <f>+ISNUMBER(SEARCH(CompConta!$F$23,Tabla11[[#This Row],[Cuenta]],1))</f>
        <v>1</v>
      </c>
      <c r="AY518" t="b">
        <f>+ISNUMBER(SEARCH(CompConta!$F$24,Tabla11[[#This Row],[Cuenta]],1))</f>
        <v>1</v>
      </c>
      <c r="AZ518" t="b">
        <f>+ISNUMBER(SEARCH(CompConta!$F$25,Tabla11[[#This Row],[Cuenta]],1))</f>
        <v>1</v>
      </c>
      <c r="BA518" t="b">
        <f>+ISNUMBER(SEARCH(CompConta!$F$26,Tabla11[[#This Row],[Cuenta]],1))</f>
        <v>1</v>
      </c>
      <c r="BB518" t="b">
        <f>+ISNUMBER(SEARCH(CompConta!$F$27,Tabla11[[#This Row],[Cuenta]],1))</f>
        <v>1</v>
      </c>
      <c r="BC518" t="b">
        <f>+ISNUMBER(SEARCH(CompConta!$F$28,Tabla11[[#This Row],[Cuenta]],1))</f>
        <v>1</v>
      </c>
      <c r="BD518" t="b">
        <f>+ISNUMBER(SEARCH(CompConta!$F$29,Tabla11[[#This Row],[Cuenta]],1))</f>
        <v>1</v>
      </c>
      <c r="BE518" t="b">
        <f>+ISNUMBER(SEARCH(CompConta!$F$30,Tabla11[[#This Row],[Cuenta]],1))</f>
        <v>1</v>
      </c>
      <c r="BF518" t="b">
        <f>+ISNUMBER(SEARCH('PAGO Compras'!$E$11,Tabla11[[#This Row],[Cuenta]],1))</f>
        <v>1</v>
      </c>
      <c r="BG518" t="b">
        <f>+ISNUMBER(SEARCH(#REF!,Tabla11[[#This Row],[Cuenta]],1))</f>
        <v>0</v>
      </c>
      <c r="BH518" t="b">
        <f>+ISNUMBER(SEARCH(#REF!,Tabla11[[#This Row],[Cuenta]],1))</f>
        <v>0</v>
      </c>
      <c r="BI518" t="b">
        <f>+ISNUMBER(SEARCH(#REF!,Tabla11[[#This Row],[Cuenta]],1))</f>
        <v>0</v>
      </c>
      <c r="BJ518" t="b">
        <f>+ISNUMBER(SEARCH(#REF!,Tabla11[[#This Row],[Cuenta]],1))</f>
        <v>0</v>
      </c>
      <c r="BS518" t="str">
        <v>260515 Honorarios</v>
      </c>
      <c r="BT518" t="str">
        <v>260515 Honorarios</v>
      </c>
      <c r="BU518" t="str">
        <v>260515 Honorarios</v>
      </c>
      <c r="BV518" t="str">
        <v>260515 Honorarios</v>
      </c>
      <c r="BZ518" t="str">
        <v>260515 Honorarios</v>
      </c>
      <c r="CA518" t="str">
        <v>260515 Honorarios</v>
      </c>
      <c r="CB518" t="str">
        <v>260515 Honorarios</v>
      </c>
      <c r="CC518" t="str">
        <v>260515 Honorarios</v>
      </c>
      <c r="CD518" t="str">
        <v>260515 Honorarios</v>
      </c>
      <c r="CE518" t="str">
        <v>260515 Honorarios</v>
      </c>
      <c r="CS518" s="141" t="str">
        <v>260515 Honorarios</v>
      </c>
      <c r="CT518" s="141" t="str">
        <v>260515 Honorarios</v>
      </c>
      <c r="CU518" s="141" t="str">
        <v>260515 Honorarios</v>
      </c>
      <c r="CV518" s="141" t="str">
        <v>260515 Honorarios</v>
      </c>
      <c r="CW518" s="141" t="str">
        <v>260515 Honorarios</v>
      </c>
      <c r="CX518" s="141" t="str">
        <v>260515 Honorarios</v>
      </c>
      <c r="CY518" s="141" t="str">
        <v>260515 Honorarios</v>
      </c>
      <c r="CZ518" s="141" t="str">
        <v>260515 Honorarios</v>
      </c>
      <c r="DA518" s="141" t="str">
        <v>260515 Honorarios</v>
      </c>
      <c r="DF518" t="str">
        <v>260515 Honorarios</v>
      </c>
      <c r="DG518" t="str">
        <v>260515 Honorarios</v>
      </c>
      <c r="DH518" t="str">
        <v>260515 Honorarios</v>
      </c>
      <c r="DI518" t="str">
        <v>260515 Honorarios</v>
      </c>
      <c r="DJ518" t="str">
        <v>260515 Honorarios</v>
      </c>
      <c r="DK518" t="str">
        <v>260515 Honorarios</v>
      </c>
      <c r="DL518" t="str">
        <v>260515 Honorarios</v>
      </c>
      <c r="DM518" t="str">
        <v>260515 Honorarios</v>
      </c>
      <c r="DN518" t="str">
        <v>260515 Honorarios</v>
      </c>
      <c r="DO518" t="str">
        <v>260515 Honorarios</v>
      </c>
      <c r="DP518" t="str">
        <v>260515 Honorarios</v>
      </c>
    </row>
    <row r="519" spans="4:120" ht="12.75">
      <c r="D519" s="7">
        <v>260520</v>
      </c>
      <c r="E519" s="6" t="s">
        <v>317</v>
      </c>
      <c r="F519" s="5">
        <v>4</v>
      </c>
      <c r="G519" s="34" t="s">
        <v>824</v>
      </c>
      <c r="H519" s="26" t="s">
        <v>765</v>
      </c>
      <c r="I519" t="b">
        <f>+ISNUMBER(SEARCH('F-COMPRA'!$F$28,Tabla11[[#This Row],[Cuenta]],1))</f>
        <v>1</v>
      </c>
      <c r="J519" t="b">
        <f>+ISNUMBER(SEARCH('F-COMPRA'!$F$29,Tabla11[[#This Row],[Cuenta]],1))</f>
        <v>1</v>
      </c>
      <c r="K519" t="b">
        <f>+ISNUMBER(SEARCH('F-COMPRA'!$F$30,Tabla11[[#This Row],[Cuenta]],1))</f>
        <v>1</v>
      </c>
      <c r="L519" t="b">
        <f>+ISNUMBER(SEARCH('F-COMPRA'!$F$31,Tabla11[[#This Row],[Cuenta]],1))</f>
        <v>1</v>
      </c>
      <c r="M519" t="b">
        <f>+ISNUMBER(SEARCH('F-COMPRA'!$G$25,Tabla11[[#This Row],[Cuenta]],1))</f>
        <v>0</v>
      </c>
      <c r="N519" t="b">
        <f>+ISNUMBER(SEARCH(#REF!,Tabla11[[#This Row],[Cuenta]],1))</f>
        <v>0</v>
      </c>
      <c r="O519" t="b">
        <f>+ISNUMBER(SEARCH(#REF!,Tabla11[[#This Row],[Cuenta]],1))</f>
        <v>0</v>
      </c>
      <c r="P519" t="b">
        <f>+ISNUMBER(SEARCH('F-COMPRA'!$F$32,Tabla11[[#This Row],[Cuenta]],1))</f>
        <v>1</v>
      </c>
      <c r="Q519" t="b">
        <f>+ISNUMBER(SEARCH('F-COMPRA'!$F$33,Tabla11[[#This Row],[Cuenta]],1))</f>
        <v>1</v>
      </c>
      <c r="R519" t="b">
        <f>+ISNUMBER(SEARCH('F-COMPRA'!$F$34,Tabla11[[#This Row],[Cuenta]],1))</f>
        <v>1</v>
      </c>
      <c r="S519" t="b">
        <f>+ISNUMBER(SEARCH('F-COMPRA'!$F$35,Tabla11[[#This Row],[Cuenta]],1))</f>
        <v>1</v>
      </c>
      <c r="T519" t="b">
        <f>+ISNUMBER(SEARCH('F-COMPRA'!$F$36,Tabla11[[#This Row],[Cuenta]],1))</f>
        <v>1</v>
      </c>
      <c r="U519" t="b">
        <f>+ISNUMBER(SEARCH('F-COMPRA'!$F$37,Tabla11[[#This Row],[Cuenta]],1))</f>
        <v>1</v>
      </c>
      <c r="V519" t="b">
        <f>+ISNUMBER(SEARCH(#REF!,Tabla11[[#This Row],[Cuenta]],1))</f>
        <v>0</v>
      </c>
      <c r="W519" t="b">
        <f>+ISNUMBER(SEARCH('F-COMPRA'!#REF!,Tabla11[[#This Row],[Cuenta]],1))</f>
        <v>0</v>
      </c>
      <c r="X519" t="b">
        <f>+ISNUMBER(SEARCH('F-COMPRA'!#REF!,Tabla11[[#This Row],[Cuenta]],1))</f>
        <v>0</v>
      </c>
      <c r="Y519" t="b">
        <f>+ISNUMBER(SEARCH('F-COMPRA'!#REF!,Tabla11[[#This Row],[Cuenta]],1))</f>
        <v>0</v>
      </c>
      <c r="Z519" t="b">
        <f>+ISNUMBER(SEARCH('F-COMPRA'!#REF!,Tabla11[[#This Row],[Cuenta]],1))</f>
        <v>0</v>
      </c>
      <c r="AA519" t="b">
        <f>+ISNUMBER(SEARCH('F-COMPRA'!#REF!,Tabla11[[#This Row],[Cuenta]],1))</f>
        <v>0</v>
      </c>
      <c r="AB519" t="b">
        <f>+ISNUMBER(SEARCH('F-COMPRA'!#REF!,Tabla11[[#This Row],[Cuenta]],1))</f>
        <v>0</v>
      </c>
      <c r="AC519" t="b">
        <f>+ISNUMBER(SEARCH('F-COMPRA'!#REF!,Tabla11[[#This Row],[Cuenta]],1))</f>
        <v>0</v>
      </c>
      <c r="AD519" t="b">
        <f>+ISNUMBER(SEARCH('F-COMPRA'!#REF!,Tabla11[[#This Row],[Cuenta]],1))</f>
        <v>0</v>
      </c>
      <c r="AE519" t="b">
        <f>+ISNUMBER(SEARCH('F-COMPRA'!#REF!,Tabla11[[#This Row],[Cuenta]],1))</f>
        <v>0</v>
      </c>
      <c r="AF519" t="b">
        <f>+ISNUMBER(SEARCH('F-VTA'!$G$23,Tabla11[[#This Row],[Cuenta]],1))</f>
        <v>0</v>
      </c>
      <c r="AG519" t="b">
        <f>+ISNUMBER(SEARCH('F-VTA'!$G$24,Tabla11[[#This Row],[Cuenta]],1))</f>
        <v>0</v>
      </c>
      <c r="AH519" t="b">
        <f>+ISNUMBER(SEARCH('F-VTA'!$G$25,Tabla11[[#This Row],[Cuenta]],1))</f>
        <v>0</v>
      </c>
      <c r="AI519" t="b">
        <f>+ISNUMBER(SEARCH('F-VTA'!$F$28,Tabla11[[#This Row],[Cuenta]],1))</f>
        <v>1</v>
      </c>
      <c r="AJ519" t="b">
        <f>+ISNUMBER(SEARCH('F-VTA'!$F$29,Tabla11[[#This Row],[Cuenta]],1))</f>
        <v>1</v>
      </c>
      <c r="AK519" t="b">
        <f>+ISNUMBER(SEARCH('F-VTA'!$F$30,Tabla11[[#This Row],[Cuenta]],1))</f>
        <v>1</v>
      </c>
      <c r="AL519" t="b">
        <f>+ISNUMBER(SEARCH('F-VTA'!$F$31,Tabla11[[#This Row],[Cuenta]],1))</f>
        <v>1</v>
      </c>
      <c r="AM519" t="b">
        <f>+ISNUMBER(SEARCH('F-VTA'!$F$32,Tabla11[[#This Row],[Cuenta]],1))</f>
        <v>1</v>
      </c>
      <c r="AN519" t="b">
        <f>+ISNUMBER(SEARCH('F-VTA'!$F$33,Tabla11[[#This Row],[Cuenta]],1))</f>
        <v>1</v>
      </c>
      <c r="AO519" t="b">
        <f>+ISNUMBER(SEARCH('F-VTA'!$F$34,Tabla11[[#This Row],[Cuenta]],1))</f>
        <v>1</v>
      </c>
      <c r="AP519" t="b">
        <f>+ISNUMBER(SEARCH('F-VTA'!$F$35,Tabla11[[#This Row],[Cuenta]],1))</f>
        <v>1</v>
      </c>
      <c r="AQ519" t="b">
        <f>+ISNUMBER(SEARCH('F-VTA'!$F$36,Tabla11[[#This Row],[Cuenta]],1))</f>
        <v>1</v>
      </c>
      <c r="AR519" t="b">
        <f>+ISNUMBER(SEARCH(#REF!,Tabla11[[#This Row],[Cuenta]],1))</f>
        <v>0</v>
      </c>
      <c r="AS519" t="b">
        <f>+ISNUMBER(SEARCH(#REF!,Tabla11[[#This Row],[Cuenta]],1))</f>
        <v>0</v>
      </c>
      <c r="AT519" t="b">
        <f>+ISNUMBER(SEARCH(#REF!,Tabla11[[#This Row],[Cuenta]],1))</f>
        <v>0</v>
      </c>
      <c r="AU519" t="b">
        <f>+ISNUMBER(SEARCH('Conc. Ban.1'!$I$9,Tabla11[[#This Row],[Cuenta]],1))</f>
        <v>0</v>
      </c>
      <c r="AV519" t="b">
        <f>+ISNUMBER(SEARCH(CompConta!$F$21,Tabla11[[#This Row],[Cuenta]],1))</f>
        <v>1</v>
      </c>
      <c r="AW519" t="b">
        <f>+ISNUMBER(SEARCH(CompConta!$F$22,Tabla11[[#This Row],[Cuenta]],1))</f>
        <v>1</v>
      </c>
      <c r="AX519" t="b">
        <f>+ISNUMBER(SEARCH(CompConta!$F$23,Tabla11[[#This Row],[Cuenta]],1))</f>
        <v>1</v>
      </c>
      <c r="AY519" t="b">
        <f>+ISNUMBER(SEARCH(CompConta!$F$24,Tabla11[[#This Row],[Cuenta]],1))</f>
        <v>1</v>
      </c>
      <c r="AZ519" t="b">
        <f>+ISNUMBER(SEARCH(CompConta!$F$25,Tabla11[[#This Row],[Cuenta]],1))</f>
        <v>1</v>
      </c>
      <c r="BA519" t="b">
        <f>+ISNUMBER(SEARCH(CompConta!$F$26,Tabla11[[#This Row],[Cuenta]],1))</f>
        <v>1</v>
      </c>
      <c r="BB519" t="b">
        <f>+ISNUMBER(SEARCH(CompConta!$F$27,Tabla11[[#This Row],[Cuenta]],1))</f>
        <v>1</v>
      </c>
      <c r="BC519" t="b">
        <f>+ISNUMBER(SEARCH(CompConta!$F$28,Tabla11[[#This Row],[Cuenta]],1))</f>
        <v>1</v>
      </c>
      <c r="BD519" t="b">
        <f>+ISNUMBER(SEARCH(CompConta!$F$29,Tabla11[[#This Row],[Cuenta]],1))</f>
        <v>1</v>
      </c>
      <c r="BE519" t="b">
        <f>+ISNUMBER(SEARCH(CompConta!$F$30,Tabla11[[#This Row],[Cuenta]],1))</f>
        <v>1</v>
      </c>
      <c r="BF519" t="b">
        <f>+ISNUMBER(SEARCH('PAGO Compras'!$E$11,Tabla11[[#This Row],[Cuenta]],1))</f>
        <v>1</v>
      </c>
      <c r="BG519" t="b">
        <f>+ISNUMBER(SEARCH(#REF!,Tabla11[[#This Row],[Cuenta]],1))</f>
        <v>0</v>
      </c>
      <c r="BH519" t="b">
        <f>+ISNUMBER(SEARCH(#REF!,Tabla11[[#This Row],[Cuenta]],1))</f>
        <v>0</v>
      </c>
      <c r="BI519" t="b">
        <f>+ISNUMBER(SEARCH(#REF!,Tabla11[[#This Row],[Cuenta]],1))</f>
        <v>0</v>
      </c>
      <c r="BJ519" t="b">
        <f>+ISNUMBER(SEARCH(#REF!,Tabla11[[#This Row],[Cuenta]],1))</f>
        <v>0</v>
      </c>
      <c r="BS519" t="str">
        <v>260520 Servicios técnicos</v>
      </c>
      <c r="BT519" t="str">
        <v>260520 Servicios técnicos</v>
      </c>
      <c r="BU519" t="str">
        <v>260520 Servicios técnicos</v>
      </c>
      <c r="BV519" t="str">
        <v>260520 Servicios técnicos</v>
      </c>
      <c r="BZ519" t="str">
        <v>260520 Servicios técnicos</v>
      </c>
      <c r="CA519" t="str">
        <v>260520 Servicios técnicos</v>
      </c>
      <c r="CB519" t="str">
        <v>260520 Servicios técnicos</v>
      </c>
      <c r="CC519" t="str">
        <v>260520 Servicios técnicos</v>
      </c>
      <c r="CD519" t="str">
        <v>260520 Servicios técnicos</v>
      </c>
      <c r="CE519" t="str">
        <v>260520 Servicios técnicos</v>
      </c>
      <c r="CS519" s="141" t="str">
        <v>260520 Servicios técnicos</v>
      </c>
      <c r="CT519" s="141" t="str">
        <v>260520 Servicios técnicos</v>
      </c>
      <c r="CU519" s="141" t="str">
        <v>260520 Servicios técnicos</v>
      </c>
      <c r="CV519" s="141" t="str">
        <v>260520 Servicios técnicos</v>
      </c>
      <c r="CW519" s="141" t="str">
        <v>260520 Servicios técnicos</v>
      </c>
      <c r="CX519" s="141" t="str">
        <v>260520 Servicios técnicos</v>
      </c>
      <c r="CY519" s="141" t="str">
        <v>260520 Servicios técnicos</v>
      </c>
      <c r="CZ519" s="141" t="str">
        <v>260520 Servicios técnicos</v>
      </c>
      <c r="DA519" s="141" t="str">
        <v>260520 Servicios técnicos</v>
      </c>
      <c r="DF519" t="str">
        <v>260520 Servicios técnicos</v>
      </c>
      <c r="DG519" t="str">
        <v>260520 Servicios técnicos</v>
      </c>
      <c r="DH519" t="str">
        <v>260520 Servicios técnicos</v>
      </c>
      <c r="DI519" t="str">
        <v>260520 Servicios técnicos</v>
      </c>
      <c r="DJ519" t="str">
        <v>260520 Servicios técnicos</v>
      </c>
      <c r="DK519" t="str">
        <v>260520 Servicios técnicos</v>
      </c>
      <c r="DL519" t="str">
        <v>260520 Servicios técnicos</v>
      </c>
      <c r="DM519" t="str">
        <v>260520 Servicios técnicos</v>
      </c>
      <c r="DN519" t="str">
        <v>260520 Servicios técnicos</v>
      </c>
      <c r="DO519" t="str">
        <v>260520 Servicios técnicos</v>
      </c>
      <c r="DP519" t="str">
        <v>260520 Servicios técnicos</v>
      </c>
    </row>
    <row r="520" spans="4:120" ht="12.75">
      <c r="D520" s="7">
        <v>260525</v>
      </c>
      <c r="E520" s="6" t="s">
        <v>319</v>
      </c>
      <c r="F520" s="5">
        <v>4</v>
      </c>
      <c r="G520" s="34" t="s">
        <v>824</v>
      </c>
      <c r="H520" s="26" t="s">
        <v>765</v>
      </c>
      <c r="I520" t="b">
        <f>+ISNUMBER(SEARCH('F-COMPRA'!$F$28,Tabla11[[#This Row],[Cuenta]],1))</f>
        <v>1</v>
      </c>
      <c r="J520" t="b">
        <f>+ISNUMBER(SEARCH('F-COMPRA'!$F$29,Tabla11[[#This Row],[Cuenta]],1))</f>
        <v>1</v>
      </c>
      <c r="K520" t="b">
        <f>+ISNUMBER(SEARCH('F-COMPRA'!$F$30,Tabla11[[#This Row],[Cuenta]],1))</f>
        <v>1</v>
      </c>
      <c r="L520" t="b">
        <f>+ISNUMBER(SEARCH('F-COMPRA'!$F$31,Tabla11[[#This Row],[Cuenta]],1))</f>
        <v>1</v>
      </c>
      <c r="M520" t="b">
        <f>+ISNUMBER(SEARCH('F-COMPRA'!$G$25,Tabla11[[#This Row],[Cuenta]],1))</f>
        <v>0</v>
      </c>
      <c r="N520" t="b">
        <f>+ISNUMBER(SEARCH(#REF!,Tabla11[[#This Row],[Cuenta]],1))</f>
        <v>0</v>
      </c>
      <c r="O520" t="b">
        <f>+ISNUMBER(SEARCH(#REF!,Tabla11[[#This Row],[Cuenta]],1))</f>
        <v>0</v>
      </c>
      <c r="P520" t="b">
        <f>+ISNUMBER(SEARCH('F-COMPRA'!$F$32,Tabla11[[#This Row],[Cuenta]],1))</f>
        <v>1</v>
      </c>
      <c r="Q520" t="b">
        <f>+ISNUMBER(SEARCH('F-COMPRA'!$F$33,Tabla11[[#This Row],[Cuenta]],1))</f>
        <v>1</v>
      </c>
      <c r="R520" t="b">
        <f>+ISNUMBER(SEARCH('F-COMPRA'!$F$34,Tabla11[[#This Row],[Cuenta]],1))</f>
        <v>1</v>
      </c>
      <c r="S520" t="b">
        <f>+ISNUMBER(SEARCH('F-COMPRA'!$F$35,Tabla11[[#This Row],[Cuenta]],1))</f>
        <v>1</v>
      </c>
      <c r="T520" t="b">
        <f>+ISNUMBER(SEARCH('F-COMPRA'!$F$36,Tabla11[[#This Row],[Cuenta]],1))</f>
        <v>1</v>
      </c>
      <c r="U520" t="b">
        <f>+ISNUMBER(SEARCH('F-COMPRA'!$F$37,Tabla11[[#This Row],[Cuenta]],1))</f>
        <v>1</v>
      </c>
      <c r="V520" t="b">
        <f>+ISNUMBER(SEARCH(#REF!,Tabla11[[#This Row],[Cuenta]],1))</f>
        <v>0</v>
      </c>
      <c r="W520" t="b">
        <f>+ISNUMBER(SEARCH('F-COMPRA'!#REF!,Tabla11[[#This Row],[Cuenta]],1))</f>
        <v>0</v>
      </c>
      <c r="X520" t="b">
        <f>+ISNUMBER(SEARCH('F-COMPRA'!#REF!,Tabla11[[#This Row],[Cuenta]],1))</f>
        <v>0</v>
      </c>
      <c r="Y520" t="b">
        <f>+ISNUMBER(SEARCH('F-COMPRA'!#REF!,Tabla11[[#This Row],[Cuenta]],1))</f>
        <v>0</v>
      </c>
      <c r="Z520" t="b">
        <f>+ISNUMBER(SEARCH('F-COMPRA'!#REF!,Tabla11[[#This Row],[Cuenta]],1))</f>
        <v>0</v>
      </c>
      <c r="AA520" t="b">
        <f>+ISNUMBER(SEARCH('F-COMPRA'!#REF!,Tabla11[[#This Row],[Cuenta]],1))</f>
        <v>0</v>
      </c>
      <c r="AB520" t="b">
        <f>+ISNUMBER(SEARCH('F-COMPRA'!#REF!,Tabla11[[#This Row],[Cuenta]],1))</f>
        <v>0</v>
      </c>
      <c r="AC520" t="b">
        <f>+ISNUMBER(SEARCH('F-COMPRA'!#REF!,Tabla11[[#This Row],[Cuenta]],1))</f>
        <v>0</v>
      </c>
      <c r="AD520" t="b">
        <f>+ISNUMBER(SEARCH('F-COMPRA'!#REF!,Tabla11[[#This Row],[Cuenta]],1))</f>
        <v>0</v>
      </c>
      <c r="AE520" t="b">
        <f>+ISNUMBER(SEARCH('F-COMPRA'!#REF!,Tabla11[[#This Row],[Cuenta]],1))</f>
        <v>0</v>
      </c>
      <c r="AF520" t="b">
        <f>+ISNUMBER(SEARCH('F-VTA'!$G$23,Tabla11[[#This Row],[Cuenta]],1))</f>
        <v>0</v>
      </c>
      <c r="AG520" t="b">
        <f>+ISNUMBER(SEARCH('F-VTA'!$G$24,Tabla11[[#This Row],[Cuenta]],1))</f>
        <v>0</v>
      </c>
      <c r="AH520" t="b">
        <f>+ISNUMBER(SEARCH('F-VTA'!$G$25,Tabla11[[#This Row],[Cuenta]],1))</f>
        <v>0</v>
      </c>
      <c r="AI520" t="b">
        <f>+ISNUMBER(SEARCH('F-VTA'!$F$28,Tabla11[[#This Row],[Cuenta]],1))</f>
        <v>1</v>
      </c>
      <c r="AJ520" t="b">
        <f>+ISNUMBER(SEARCH('F-VTA'!$F$29,Tabla11[[#This Row],[Cuenta]],1))</f>
        <v>1</v>
      </c>
      <c r="AK520" t="b">
        <f>+ISNUMBER(SEARCH('F-VTA'!$F$30,Tabla11[[#This Row],[Cuenta]],1))</f>
        <v>1</v>
      </c>
      <c r="AL520" t="b">
        <f>+ISNUMBER(SEARCH('F-VTA'!$F$31,Tabla11[[#This Row],[Cuenta]],1))</f>
        <v>1</v>
      </c>
      <c r="AM520" t="b">
        <f>+ISNUMBER(SEARCH('F-VTA'!$F$32,Tabla11[[#This Row],[Cuenta]],1))</f>
        <v>1</v>
      </c>
      <c r="AN520" t="b">
        <f>+ISNUMBER(SEARCH('F-VTA'!$F$33,Tabla11[[#This Row],[Cuenta]],1))</f>
        <v>1</v>
      </c>
      <c r="AO520" t="b">
        <f>+ISNUMBER(SEARCH('F-VTA'!$F$34,Tabla11[[#This Row],[Cuenta]],1))</f>
        <v>1</v>
      </c>
      <c r="AP520" t="b">
        <f>+ISNUMBER(SEARCH('F-VTA'!$F$35,Tabla11[[#This Row],[Cuenta]],1))</f>
        <v>1</v>
      </c>
      <c r="AQ520" t="b">
        <f>+ISNUMBER(SEARCH('F-VTA'!$F$36,Tabla11[[#This Row],[Cuenta]],1))</f>
        <v>1</v>
      </c>
      <c r="AR520" t="b">
        <f>+ISNUMBER(SEARCH(#REF!,Tabla11[[#This Row],[Cuenta]],1))</f>
        <v>0</v>
      </c>
      <c r="AS520" t="b">
        <f>+ISNUMBER(SEARCH(#REF!,Tabla11[[#This Row],[Cuenta]],1))</f>
        <v>0</v>
      </c>
      <c r="AT520" t="b">
        <f>+ISNUMBER(SEARCH(#REF!,Tabla11[[#This Row],[Cuenta]],1))</f>
        <v>0</v>
      </c>
      <c r="AU520" t="b">
        <f>+ISNUMBER(SEARCH('Conc. Ban.1'!$I$9,Tabla11[[#This Row],[Cuenta]],1))</f>
        <v>0</v>
      </c>
      <c r="AV520" t="b">
        <f>+ISNUMBER(SEARCH(CompConta!$F$21,Tabla11[[#This Row],[Cuenta]],1))</f>
        <v>1</v>
      </c>
      <c r="AW520" t="b">
        <f>+ISNUMBER(SEARCH(CompConta!$F$22,Tabla11[[#This Row],[Cuenta]],1))</f>
        <v>1</v>
      </c>
      <c r="AX520" t="b">
        <f>+ISNUMBER(SEARCH(CompConta!$F$23,Tabla11[[#This Row],[Cuenta]],1))</f>
        <v>1</v>
      </c>
      <c r="AY520" t="b">
        <f>+ISNUMBER(SEARCH(CompConta!$F$24,Tabla11[[#This Row],[Cuenta]],1))</f>
        <v>1</v>
      </c>
      <c r="AZ520" t="b">
        <f>+ISNUMBER(SEARCH(CompConta!$F$25,Tabla11[[#This Row],[Cuenta]],1))</f>
        <v>1</v>
      </c>
      <c r="BA520" t="b">
        <f>+ISNUMBER(SEARCH(CompConta!$F$26,Tabla11[[#This Row],[Cuenta]],1))</f>
        <v>1</v>
      </c>
      <c r="BB520" t="b">
        <f>+ISNUMBER(SEARCH(CompConta!$F$27,Tabla11[[#This Row],[Cuenta]],1))</f>
        <v>1</v>
      </c>
      <c r="BC520" t="b">
        <f>+ISNUMBER(SEARCH(CompConta!$F$28,Tabla11[[#This Row],[Cuenta]],1))</f>
        <v>1</v>
      </c>
      <c r="BD520" t="b">
        <f>+ISNUMBER(SEARCH(CompConta!$F$29,Tabla11[[#This Row],[Cuenta]],1))</f>
        <v>1</v>
      </c>
      <c r="BE520" t="b">
        <f>+ISNUMBER(SEARCH(CompConta!$F$30,Tabla11[[#This Row],[Cuenta]],1))</f>
        <v>1</v>
      </c>
      <c r="BF520" t="b">
        <f>+ISNUMBER(SEARCH('PAGO Compras'!$E$11,Tabla11[[#This Row],[Cuenta]],1))</f>
        <v>1</v>
      </c>
      <c r="BG520" t="b">
        <f>+ISNUMBER(SEARCH(#REF!,Tabla11[[#This Row],[Cuenta]],1))</f>
        <v>0</v>
      </c>
      <c r="BH520" t="b">
        <f>+ISNUMBER(SEARCH(#REF!,Tabla11[[#This Row],[Cuenta]],1))</f>
        <v>0</v>
      </c>
      <c r="BI520" t="b">
        <f>+ISNUMBER(SEARCH(#REF!,Tabla11[[#This Row],[Cuenta]],1))</f>
        <v>0</v>
      </c>
      <c r="BJ520" t="b">
        <f>+ISNUMBER(SEARCH(#REF!,Tabla11[[#This Row],[Cuenta]],1))</f>
        <v>0</v>
      </c>
      <c r="BS520" t="str">
        <v>260525 Transportes, fletes y acarreos</v>
      </c>
      <c r="BT520" t="str">
        <v>260525 Transportes, fletes y acarreos</v>
      </c>
      <c r="BU520" t="str">
        <v>260525 Transportes, fletes y acarreos</v>
      </c>
      <c r="BV520" t="str">
        <v>260525 Transportes, fletes y acarreos</v>
      </c>
      <c r="BZ520" t="str">
        <v>260525 Transportes, fletes y acarreos</v>
      </c>
      <c r="CA520" t="str">
        <v>260525 Transportes, fletes y acarreos</v>
      </c>
      <c r="CB520" t="str">
        <v>260525 Transportes, fletes y acarreos</v>
      </c>
      <c r="CC520" t="str">
        <v>260525 Transportes, fletes y acarreos</v>
      </c>
      <c r="CD520" t="str">
        <v>260525 Transportes, fletes y acarreos</v>
      </c>
      <c r="CE520" t="str">
        <v>260525 Transportes, fletes y acarreos</v>
      </c>
      <c r="CS520" s="141" t="str">
        <v>260525 Transportes, fletes y acarreos</v>
      </c>
      <c r="CT520" s="141" t="str">
        <v>260525 Transportes, fletes y acarreos</v>
      </c>
      <c r="CU520" s="141" t="str">
        <v>260525 Transportes, fletes y acarreos</v>
      </c>
      <c r="CV520" s="141" t="str">
        <v>260525 Transportes, fletes y acarreos</v>
      </c>
      <c r="CW520" s="141" t="str">
        <v>260525 Transportes, fletes y acarreos</v>
      </c>
      <c r="CX520" s="141" t="str">
        <v>260525 Transportes, fletes y acarreos</v>
      </c>
      <c r="CY520" s="141" t="str">
        <v>260525 Transportes, fletes y acarreos</v>
      </c>
      <c r="CZ520" s="141" t="str">
        <v>260525 Transportes, fletes y acarreos</v>
      </c>
      <c r="DA520" s="141" t="str">
        <v>260525 Transportes, fletes y acarreos</v>
      </c>
      <c r="DF520" t="str">
        <v>260525 Transportes, fletes y acarreos</v>
      </c>
      <c r="DG520" t="str">
        <v>260525 Transportes, fletes y acarreos</v>
      </c>
      <c r="DH520" t="str">
        <v>260525 Transportes, fletes y acarreos</v>
      </c>
      <c r="DI520" t="str">
        <v>260525 Transportes, fletes y acarreos</v>
      </c>
      <c r="DJ520" t="str">
        <v>260525 Transportes, fletes y acarreos</v>
      </c>
      <c r="DK520" t="str">
        <v>260525 Transportes, fletes y acarreos</v>
      </c>
      <c r="DL520" t="str">
        <v>260525 Transportes, fletes y acarreos</v>
      </c>
      <c r="DM520" t="str">
        <v>260525 Transportes, fletes y acarreos</v>
      </c>
      <c r="DN520" t="str">
        <v>260525 Transportes, fletes y acarreos</v>
      </c>
      <c r="DO520" t="str">
        <v>260525 Transportes, fletes y acarreos</v>
      </c>
      <c r="DP520" t="str">
        <v>260525 Transportes, fletes y acarreos</v>
      </c>
    </row>
    <row r="521" spans="4:120" ht="12.75">
      <c r="D521" s="7">
        <v>260530</v>
      </c>
      <c r="E521" s="6" t="s">
        <v>322</v>
      </c>
      <c r="F521" s="5">
        <v>4</v>
      </c>
      <c r="G521" s="34" t="s">
        <v>824</v>
      </c>
      <c r="H521" s="26" t="s">
        <v>765</v>
      </c>
      <c r="I521" t="b">
        <f>+ISNUMBER(SEARCH('F-COMPRA'!$F$28,Tabla11[[#This Row],[Cuenta]],1))</f>
        <v>1</v>
      </c>
      <c r="J521" t="b">
        <f>+ISNUMBER(SEARCH('F-COMPRA'!$F$29,Tabla11[[#This Row],[Cuenta]],1))</f>
        <v>1</v>
      </c>
      <c r="K521" t="b">
        <f>+ISNUMBER(SEARCH('F-COMPRA'!$F$30,Tabla11[[#This Row],[Cuenta]],1))</f>
        <v>1</v>
      </c>
      <c r="L521" t="b">
        <f>+ISNUMBER(SEARCH('F-COMPRA'!$F$31,Tabla11[[#This Row],[Cuenta]],1))</f>
        <v>1</v>
      </c>
      <c r="M521" t="b">
        <f>+ISNUMBER(SEARCH('F-COMPRA'!$G$25,Tabla11[[#This Row],[Cuenta]],1))</f>
        <v>0</v>
      </c>
      <c r="N521" t="b">
        <f>+ISNUMBER(SEARCH(#REF!,Tabla11[[#This Row],[Cuenta]],1))</f>
        <v>0</v>
      </c>
      <c r="O521" t="b">
        <f>+ISNUMBER(SEARCH(#REF!,Tabla11[[#This Row],[Cuenta]],1))</f>
        <v>0</v>
      </c>
      <c r="P521" t="b">
        <f>+ISNUMBER(SEARCH('F-COMPRA'!$F$32,Tabla11[[#This Row],[Cuenta]],1))</f>
        <v>1</v>
      </c>
      <c r="Q521" t="b">
        <f>+ISNUMBER(SEARCH('F-COMPRA'!$F$33,Tabla11[[#This Row],[Cuenta]],1))</f>
        <v>1</v>
      </c>
      <c r="R521" t="b">
        <f>+ISNUMBER(SEARCH('F-COMPRA'!$F$34,Tabla11[[#This Row],[Cuenta]],1))</f>
        <v>1</v>
      </c>
      <c r="S521" t="b">
        <f>+ISNUMBER(SEARCH('F-COMPRA'!$F$35,Tabla11[[#This Row],[Cuenta]],1))</f>
        <v>1</v>
      </c>
      <c r="T521" t="b">
        <f>+ISNUMBER(SEARCH('F-COMPRA'!$F$36,Tabla11[[#This Row],[Cuenta]],1))</f>
        <v>1</v>
      </c>
      <c r="U521" t="b">
        <f>+ISNUMBER(SEARCH('F-COMPRA'!$F$37,Tabla11[[#This Row],[Cuenta]],1))</f>
        <v>1</v>
      </c>
      <c r="V521" t="b">
        <f>+ISNUMBER(SEARCH(#REF!,Tabla11[[#This Row],[Cuenta]],1))</f>
        <v>0</v>
      </c>
      <c r="W521" t="b">
        <f>+ISNUMBER(SEARCH('F-COMPRA'!#REF!,Tabla11[[#This Row],[Cuenta]],1))</f>
        <v>0</v>
      </c>
      <c r="X521" t="b">
        <f>+ISNUMBER(SEARCH('F-COMPRA'!#REF!,Tabla11[[#This Row],[Cuenta]],1))</f>
        <v>0</v>
      </c>
      <c r="Y521" t="b">
        <f>+ISNUMBER(SEARCH('F-COMPRA'!#REF!,Tabla11[[#This Row],[Cuenta]],1))</f>
        <v>0</v>
      </c>
      <c r="Z521" t="b">
        <f>+ISNUMBER(SEARCH('F-COMPRA'!#REF!,Tabla11[[#This Row],[Cuenta]],1))</f>
        <v>0</v>
      </c>
      <c r="AA521" t="b">
        <f>+ISNUMBER(SEARCH('F-COMPRA'!#REF!,Tabla11[[#This Row],[Cuenta]],1))</f>
        <v>0</v>
      </c>
      <c r="AB521" t="b">
        <f>+ISNUMBER(SEARCH('F-COMPRA'!#REF!,Tabla11[[#This Row],[Cuenta]],1))</f>
        <v>0</v>
      </c>
      <c r="AC521" t="b">
        <f>+ISNUMBER(SEARCH('F-COMPRA'!#REF!,Tabla11[[#This Row],[Cuenta]],1))</f>
        <v>0</v>
      </c>
      <c r="AD521" t="b">
        <f>+ISNUMBER(SEARCH('F-COMPRA'!#REF!,Tabla11[[#This Row],[Cuenta]],1))</f>
        <v>0</v>
      </c>
      <c r="AE521" t="b">
        <f>+ISNUMBER(SEARCH('F-COMPRA'!#REF!,Tabla11[[#This Row],[Cuenta]],1))</f>
        <v>0</v>
      </c>
      <c r="AF521" t="b">
        <f>+ISNUMBER(SEARCH('F-VTA'!$G$23,Tabla11[[#This Row],[Cuenta]],1))</f>
        <v>0</v>
      </c>
      <c r="AG521" t="b">
        <f>+ISNUMBER(SEARCH('F-VTA'!$G$24,Tabla11[[#This Row],[Cuenta]],1))</f>
        <v>0</v>
      </c>
      <c r="AH521" t="b">
        <f>+ISNUMBER(SEARCH('F-VTA'!$G$25,Tabla11[[#This Row],[Cuenta]],1))</f>
        <v>0</v>
      </c>
      <c r="AI521" t="b">
        <f>+ISNUMBER(SEARCH('F-VTA'!$F$28,Tabla11[[#This Row],[Cuenta]],1))</f>
        <v>1</v>
      </c>
      <c r="AJ521" t="b">
        <f>+ISNUMBER(SEARCH('F-VTA'!$F$29,Tabla11[[#This Row],[Cuenta]],1))</f>
        <v>1</v>
      </c>
      <c r="AK521" t="b">
        <f>+ISNUMBER(SEARCH('F-VTA'!$F$30,Tabla11[[#This Row],[Cuenta]],1))</f>
        <v>1</v>
      </c>
      <c r="AL521" t="b">
        <f>+ISNUMBER(SEARCH('F-VTA'!$F$31,Tabla11[[#This Row],[Cuenta]],1))</f>
        <v>1</v>
      </c>
      <c r="AM521" t="b">
        <f>+ISNUMBER(SEARCH('F-VTA'!$F$32,Tabla11[[#This Row],[Cuenta]],1))</f>
        <v>1</v>
      </c>
      <c r="AN521" t="b">
        <f>+ISNUMBER(SEARCH('F-VTA'!$F$33,Tabla11[[#This Row],[Cuenta]],1))</f>
        <v>1</v>
      </c>
      <c r="AO521" t="b">
        <f>+ISNUMBER(SEARCH('F-VTA'!$F$34,Tabla11[[#This Row],[Cuenta]],1))</f>
        <v>1</v>
      </c>
      <c r="AP521" t="b">
        <f>+ISNUMBER(SEARCH('F-VTA'!$F$35,Tabla11[[#This Row],[Cuenta]],1))</f>
        <v>1</v>
      </c>
      <c r="AQ521" t="b">
        <f>+ISNUMBER(SEARCH('F-VTA'!$F$36,Tabla11[[#This Row],[Cuenta]],1))</f>
        <v>1</v>
      </c>
      <c r="AR521" t="b">
        <f>+ISNUMBER(SEARCH(#REF!,Tabla11[[#This Row],[Cuenta]],1))</f>
        <v>0</v>
      </c>
      <c r="AS521" t="b">
        <f>+ISNUMBER(SEARCH(#REF!,Tabla11[[#This Row],[Cuenta]],1))</f>
        <v>0</v>
      </c>
      <c r="AT521" t="b">
        <f>+ISNUMBER(SEARCH(#REF!,Tabla11[[#This Row],[Cuenta]],1))</f>
        <v>0</v>
      </c>
      <c r="AU521" t="b">
        <f>+ISNUMBER(SEARCH('Conc. Ban.1'!$I$9,Tabla11[[#This Row],[Cuenta]],1))</f>
        <v>0</v>
      </c>
      <c r="AV521" t="b">
        <f>+ISNUMBER(SEARCH(CompConta!$F$21,Tabla11[[#This Row],[Cuenta]],1))</f>
        <v>1</v>
      </c>
      <c r="AW521" t="b">
        <f>+ISNUMBER(SEARCH(CompConta!$F$22,Tabla11[[#This Row],[Cuenta]],1))</f>
        <v>1</v>
      </c>
      <c r="AX521" t="b">
        <f>+ISNUMBER(SEARCH(CompConta!$F$23,Tabla11[[#This Row],[Cuenta]],1))</f>
        <v>1</v>
      </c>
      <c r="AY521" t="b">
        <f>+ISNUMBER(SEARCH(CompConta!$F$24,Tabla11[[#This Row],[Cuenta]],1))</f>
        <v>1</v>
      </c>
      <c r="AZ521" t="b">
        <f>+ISNUMBER(SEARCH(CompConta!$F$25,Tabla11[[#This Row],[Cuenta]],1))</f>
        <v>1</v>
      </c>
      <c r="BA521" t="b">
        <f>+ISNUMBER(SEARCH(CompConta!$F$26,Tabla11[[#This Row],[Cuenta]],1))</f>
        <v>1</v>
      </c>
      <c r="BB521" t="b">
        <f>+ISNUMBER(SEARCH(CompConta!$F$27,Tabla11[[#This Row],[Cuenta]],1))</f>
        <v>1</v>
      </c>
      <c r="BC521" t="b">
        <f>+ISNUMBER(SEARCH(CompConta!$F$28,Tabla11[[#This Row],[Cuenta]],1))</f>
        <v>1</v>
      </c>
      <c r="BD521" t="b">
        <f>+ISNUMBER(SEARCH(CompConta!$F$29,Tabla11[[#This Row],[Cuenta]],1))</f>
        <v>1</v>
      </c>
      <c r="BE521" t="b">
        <f>+ISNUMBER(SEARCH(CompConta!$F$30,Tabla11[[#This Row],[Cuenta]],1))</f>
        <v>1</v>
      </c>
      <c r="BF521" t="b">
        <f>+ISNUMBER(SEARCH('PAGO Compras'!$E$11,Tabla11[[#This Row],[Cuenta]],1))</f>
        <v>1</v>
      </c>
      <c r="BG521" t="b">
        <f>+ISNUMBER(SEARCH(#REF!,Tabla11[[#This Row],[Cuenta]],1))</f>
        <v>0</v>
      </c>
      <c r="BH521" t="b">
        <f>+ISNUMBER(SEARCH(#REF!,Tabla11[[#This Row],[Cuenta]],1))</f>
        <v>0</v>
      </c>
      <c r="BI521" t="b">
        <f>+ISNUMBER(SEARCH(#REF!,Tabla11[[#This Row],[Cuenta]],1))</f>
        <v>0</v>
      </c>
      <c r="BJ521" t="b">
        <f>+ISNUMBER(SEARCH(#REF!,Tabla11[[#This Row],[Cuenta]],1))</f>
        <v>0</v>
      </c>
      <c r="BS521" t="str">
        <v>260530 Gastos de viaje</v>
      </c>
      <c r="BT521" t="str">
        <v>260530 Gastos de viaje</v>
      </c>
      <c r="BU521" t="str">
        <v>260530 Gastos de viaje</v>
      </c>
      <c r="BV521" t="str">
        <v>260530 Gastos de viaje</v>
      </c>
      <c r="BZ521" t="str">
        <v>260530 Gastos de viaje</v>
      </c>
      <c r="CA521" t="str">
        <v>260530 Gastos de viaje</v>
      </c>
      <c r="CB521" t="str">
        <v>260530 Gastos de viaje</v>
      </c>
      <c r="CC521" t="str">
        <v>260530 Gastos de viaje</v>
      </c>
      <c r="CD521" t="str">
        <v>260530 Gastos de viaje</v>
      </c>
      <c r="CE521" t="str">
        <v>260530 Gastos de viaje</v>
      </c>
      <c r="CS521" s="141" t="str">
        <v>260530 Gastos de viaje</v>
      </c>
      <c r="CT521" s="141" t="str">
        <v>260530 Gastos de viaje</v>
      </c>
      <c r="CU521" s="141" t="str">
        <v>260530 Gastos de viaje</v>
      </c>
      <c r="CV521" s="141" t="str">
        <v>260530 Gastos de viaje</v>
      </c>
      <c r="CW521" s="141" t="str">
        <v>260530 Gastos de viaje</v>
      </c>
      <c r="CX521" s="141" t="str">
        <v>260530 Gastos de viaje</v>
      </c>
      <c r="CY521" s="141" t="str">
        <v>260530 Gastos de viaje</v>
      </c>
      <c r="CZ521" s="141" t="str">
        <v>260530 Gastos de viaje</v>
      </c>
      <c r="DA521" s="141" t="str">
        <v>260530 Gastos de viaje</v>
      </c>
      <c r="DF521" t="str">
        <v>260530 Gastos de viaje</v>
      </c>
      <c r="DG521" t="str">
        <v>260530 Gastos de viaje</v>
      </c>
      <c r="DH521" t="str">
        <v>260530 Gastos de viaje</v>
      </c>
      <c r="DI521" t="str">
        <v>260530 Gastos de viaje</v>
      </c>
      <c r="DJ521" t="str">
        <v>260530 Gastos de viaje</v>
      </c>
      <c r="DK521" t="str">
        <v>260530 Gastos de viaje</v>
      </c>
      <c r="DL521" t="str">
        <v>260530 Gastos de viaje</v>
      </c>
      <c r="DM521" t="str">
        <v>260530 Gastos de viaje</v>
      </c>
      <c r="DN521" t="str">
        <v>260530 Gastos de viaje</v>
      </c>
      <c r="DO521" t="str">
        <v>260530 Gastos de viaje</v>
      </c>
      <c r="DP521" t="str">
        <v>260530 Gastos de viaje</v>
      </c>
    </row>
    <row r="522" spans="4:120" ht="12.75">
      <c r="D522" s="7">
        <v>260535</v>
      </c>
      <c r="E522" s="6" t="s">
        <v>320</v>
      </c>
      <c r="F522" s="5">
        <v>4</v>
      </c>
      <c r="G522" s="34" t="s">
        <v>824</v>
      </c>
      <c r="H522" s="26" t="s">
        <v>765</v>
      </c>
      <c r="I522" t="b">
        <f>+ISNUMBER(SEARCH('F-COMPRA'!$F$28,Tabla11[[#This Row],[Cuenta]],1))</f>
        <v>1</v>
      </c>
      <c r="J522" t="b">
        <f>+ISNUMBER(SEARCH('F-COMPRA'!$F$29,Tabla11[[#This Row],[Cuenta]],1))</f>
        <v>1</v>
      </c>
      <c r="K522" t="b">
        <f>+ISNUMBER(SEARCH('F-COMPRA'!$F$30,Tabla11[[#This Row],[Cuenta]],1))</f>
        <v>1</v>
      </c>
      <c r="L522" t="b">
        <f>+ISNUMBER(SEARCH('F-COMPRA'!$F$31,Tabla11[[#This Row],[Cuenta]],1))</f>
        <v>1</v>
      </c>
      <c r="M522" t="b">
        <f>+ISNUMBER(SEARCH('F-COMPRA'!$G$25,Tabla11[[#This Row],[Cuenta]],1))</f>
        <v>0</v>
      </c>
      <c r="N522" t="b">
        <f>+ISNUMBER(SEARCH(#REF!,Tabla11[[#This Row],[Cuenta]],1))</f>
        <v>0</v>
      </c>
      <c r="O522" t="b">
        <f>+ISNUMBER(SEARCH(#REF!,Tabla11[[#This Row],[Cuenta]],1))</f>
        <v>0</v>
      </c>
      <c r="P522" t="b">
        <f>+ISNUMBER(SEARCH('F-COMPRA'!$F$32,Tabla11[[#This Row],[Cuenta]],1))</f>
        <v>1</v>
      </c>
      <c r="Q522" t="b">
        <f>+ISNUMBER(SEARCH('F-COMPRA'!$F$33,Tabla11[[#This Row],[Cuenta]],1))</f>
        <v>1</v>
      </c>
      <c r="R522" t="b">
        <f>+ISNUMBER(SEARCH('F-COMPRA'!$F$34,Tabla11[[#This Row],[Cuenta]],1))</f>
        <v>1</v>
      </c>
      <c r="S522" t="b">
        <f>+ISNUMBER(SEARCH('F-COMPRA'!$F$35,Tabla11[[#This Row],[Cuenta]],1))</f>
        <v>1</v>
      </c>
      <c r="T522" t="b">
        <f>+ISNUMBER(SEARCH('F-COMPRA'!$F$36,Tabla11[[#This Row],[Cuenta]],1))</f>
        <v>1</v>
      </c>
      <c r="U522" t="b">
        <f>+ISNUMBER(SEARCH('F-COMPRA'!$F$37,Tabla11[[#This Row],[Cuenta]],1))</f>
        <v>1</v>
      </c>
      <c r="V522" t="b">
        <f>+ISNUMBER(SEARCH(#REF!,Tabla11[[#This Row],[Cuenta]],1))</f>
        <v>0</v>
      </c>
      <c r="W522" t="b">
        <f>+ISNUMBER(SEARCH('F-COMPRA'!#REF!,Tabla11[[#This Row],[Cuenta]],1))</f>
        <v>0</v>
      </c>
      <c r="X522" t="b">
        <f>+ISNUMBER(SEARCH('F-COMPRA'!#REF!,Tabla11[[#This Row],[Cuenta]],1))</f>
        <v>0</v>
      </c>
      <c r="Y522" t="b">
        <f>+ISNUMBER(SEARCH('F-COMPRA'!#REF!,Tabla11[[#This Row],[Cuenta]],1))</f>
        <v>0</v>
      </c>
      <c r="Z522" t="b">
        <f>+ISNUMBER(SEARCH('F-COMPRA'!#REF!,Tabla11[[#This Row],[Cuenta]],1))</f>
        <v>0</v>
      </c>
      <c r="AA522" t="b">
        <f>+ISNUMBER(SEARCH('F-COMPRA'!#REF!,Tabla11[[#This Row],[Cuenta]],1))</f>
        <v>0</v>
      </c>
      <c r="AB522" t="b">
        <f>+ISNUMBER(SEARCH('F-COMPRA'!#REF!,Tabla11[[#This Row],[Cuenta]],1))</f>
        <v>0</v>
      </c>
      <c r="AC522" t="b">
        <f>+ISNUMBER(SEARCH('F-COMPRA'!#REF!,Tabla11[[#This Row],[Cuenta]],1))</f>
        <v>0</v>
      </c>
      <c r="AD522" t="b">
        <f>+ISNUMBER(SEARCH('F-COMPRA'!#REF!,Tabla11[[#This Row],[Cuenta]],1))</f>
        <v>0</v>
      </c>
      <c r="AE522" t="b">
        <f>+ISNUMBER(SEARCH('F-COMPRA'!#REF!,Tabla11[[#This Row],[Cuenta]],1))</f>
        <v>0</v>
      </c>
      <c r="AF522" t="b">
        <f>+ISNUMBER(SEARCH('F-VTA'!$G$23,Tabla11[[#This Row],[Cuenta]],1))</f>
        <v>0</v>
      </c>
      <c r="AG522" t="b">
        <f>+ISNUMBER(SEARCH('F-VTA'!$G$24,Tabla11[[#This Row],[Cuenta]],1))</f>
        <v>0</v>
      </c>
      <c r="AH522" t="b">
        <f>+ISNUMBER(SEARCH('F-VTA'!$G$25,Tabla11[[#This Row],[Cuenta]],1))</f>
        <v>0</v>
      </c>
      <c r="AI522" t="b">
        <f>+ISNUMBER(SEARCH('F-VTA'!$F$28,Tabla11[[#This Row],[Cuenta]],1))</f>
        <v>1</v>
      </c>
      <c r="AJ522" t="b">
        <f>+ISNUMBER(SEARCH('F-VTA'!$F$29,Tabla11[[#This Row],[Cuenta]],1))</f>
        <v>1</v>
      </c>
      <c r="AK522" t="b">
        <f>+ISNUMBER(SEARCH('F-VTA'!$F$30,Tabla11[[#This Row],[Cuenta]],1))</f>
        <v>1</v>
      </c>
      <c r="AL522" t="b">
        <f>+ISNUMBER(SEARCH('F-VTA'!$F$31,Tabla11[[#This Row],[Cuenta]],1))</f>
        <v>1</v>
      </c>
      <c r="AM522" t="b">
        <f>+ISNUMBER(SEARCH('F-VTA'!$F$32,Tabla11[[#This Row],[Cuenta]],1))</f>
        <v>1</v>
      </c>
      <c r="AN522" t="b">
        <f>+ISNUMBER(SEARCH('F-VTA'!$F$33,Tabla11[[#This Row],[Cuenta]],1))</f>
        <v>1</v>
      </c>
      <c r="AO522" t="b">
        <f>+ISNUMBER(SEARCH('F-VTA'!$F$34,Tabla11[[#This Row],[Cuenta]],1))</f>
        <v>1</v>
      </c>
      <c r="AP522" t="b">
        <f>+ISNUMBER(SEARCH('F-VTA'!$F$35,Tabla11[[#This Row],[Cuenta]],1))</f>
        <v>1</v>
      </c>
      <c r="AQ522" t="b">
        <f>+ISNUMBER(SEARCH('F-VTA'!$F$36,Tabla11[[#This Row],[Cuenta]],1))</f>
        <v>1</v>
      </c>
      <c r="AR522" t="b">
        <f>+ISNUMBER(SEARCH(#REF!,Tabla11[[#This Row],[Cuenta]],1))</f>
        <v>0</v>
      </c>
      <c r="AS522" t="b">
        <f>+ISNUMBER(SEARCH(#REF!,Tabla11[[#This Row],[Cuenta]],1))</f>
        <v>0</v>
      </c>
      <c r="AT522" t="b">
        <f>+ISNUMBER(SEARCH(#REF!,Tabla11[[#This Row],[Cuenta]],1))</f>
        <v>0</v>
      </c>
      <c r="AU522" t="b">
        <f>+ISNUMBER(SEARCH('Conc. Ban.1'!$I$9,Tabla11[[#This Row],[Cuenta]],1))</f>
        <v>0</v>
      </c>
      <c r="AV522" t="b">
        <f>+ISNUMBER(SEARCH(CompConta!$F$21,Tabla11[[#This Row],[Cuenta]],1))</f>
        <v>1</v>
      </c>
      <c r="AW522" t="b">
        <f>+ISNUMBER(SEARCH(CompConta!$F$22,Tabla11[[#This Row],[Cuenta]],1))</f>
        <v>1</v>
      </c>
      <c r="AX522" t="b">
        <f>+ISNUMBER(SEARCH(CompConta!$F$23,Tabla11[[#This Row],[Cuenta]],1))</f>
        <v>1</v>
      </c>
      <c r="AY522" t="b">
        <f>+ISNUMBER(SEARCH(CompConta!$F$24,Tabla11[[#This Row],[Cuenta]],1))</f>
        <v>1</v>
      </c>
      <c r="AZ522" t="b">
        <f>+ISNUMBER(SEARCH(CompConta!$F$25,Tabla11[[#This Row],[Cuenta]],1))</f>
        <v>1</v>
      </c>
      <c r="BA522" t="b">
        <f>+ISNUMBER(SEARCH(CompConta!$F$26,Tabla11[[#This Row],[Cuenta]],1))</f>
        <v>1</v>
      </c>
      <c r="BB522" t="b">
        <f>+ISNUMBER(SEARCH(CompConta!$F$27,Tabla11[[#This Row],[Cuenta]],1))</f>
        <v>1</v>
      </c>
      <c r="BC522" t="b">
        <f>+ISNUMBER(SEARCH(CompConta!$F$28,Tabla11[[#This Row],[Cuenta]],1))</f>
        <v>1</v>
      </c>
      <c r="BD522" t="b">
        <f>+ISNUMBER(SEARCH(CompConta!$F$29,Tabla11[[#This Row],[Cuenta]],1))</f>
        <v>1</v>
      </c>
      <c r="BE522" t="b">
        <f>+ISNUMBER(SEARCH(CompConta!$F$30,Tabla11[[#This Row],[Cuenta]],1))</f>
        <v>1</v>
      </c>
      <c r="BF522" t="b">
        <f>+ISNUMBER(SEARCH('PAGO Compras'!$E$11,Tabla11[[#This Row],[Cuenta]],1))</f>
        <v>1</v>
      </c>
      <c r="BG522" t="b">
        <f>+ISNUMBER(SEARCH(#REF!,Tabla11[[#This Row],[Cuenta]],1))</f>
        <v>0</v>
      </c>
      <c r="BH522" t="b">
        <f>+ISNUMBER(SEARCH(#REF!,Tabla11[[#This Row],[Cuenta]],1))</f>
        <v>0</v>
      </c>
      <c r="BI522" t="b">
        <f>+ISNUMBER(SEARCH(#REF!,Tabla11[[#This Row],[Cuenta]],1))</f>
        <v>0</v>
      </c>
      <c r="BJ522" t="b">
        <f>+ISNUMBER(SEARCH(#REF!,Tabla11[[#This Row],[Cuenta]],1))</f>
        <v>0</v>
      </c>
      <c r="BS522" t="str">
        <v>260535 Servicios públicos</v>
      </c>
      <c r="BT522" t="str">
        <v>260535 Servicios públicos</v>
      </c>
      <c r="BU522" t="str">
        <v>260535 Servicios públicos</v>
      </c>
      <c r="BV522" t="str">
        <v>260535 Servicios públicos</v>
      </c>
      <c r="BZ522" t="str">
        <v>260535 Servicios públicos</v>
      </c>
      <c r="CA522" t="str">
        <v>260535 Servicios públicos</v>
      </c>
      <c r="CB522" t="str">
        <v>260535 Servicios públicos</v>
      </c>
      <c r="CC522" t="str">
        <v>260535 Servicios públicos</v>
      </c>
      <c r="CD522" t="str">
        <v>260535 Servicios públicos</v>
      </c>
      <c r="CE522" t="str">
        <v>260535 Servicios públicos</v>
      </c>
      <c r="CS522" s="141" t="str">
        <v>260535 Servicios públicos</v>
      </c>
      <c r="CT522" s="141" t="str">
        <v>260535 Servicios públicos</v>
      </c>
      <c r="CU522" s="141" t="str">
        <v>260535 Servicios públicos</v>
      </c>
      <c r="CV522" s="141" t="str">
        <v>260535 Servicios públicos</v>
      </c>
      <c r="CW522" s="141" t="str">
        <v>260535 Servicios públicos</v>
      </c>
      <c r="CX522" s="141" t="str">
        <v>260535 Servicios públicos</v>
      </c>
      <c r="CY522" s="141" t="str">
        <v>260535 Servicios públicos</v>
      </c>
      <c r="CZ522" s="141" t="str">
        <v>260535 Servicios públicos</v>
      </c>
      <c r="DA522" s="141" t="str">
        <v>260535 Servicios públicos</v>
      </c>
      <c r="DF522" t="str">
        <v>260535 Servicios públicos</v>
      </c>
      <c r="DG522" t="str">
        <v>260535 Servicios públicos</v>
      </c>
      <c r="DH522" t="str">
        <v>260535 Servicios públicos</v>
      </c>
      <c r="DI522" t="str">
        <v>260535 Servicios públicos</v>
      </c>
      <c r="DJ522" t="str">
        <v>260535 Servicios públicos</v>
      </c>
      <c r="DK522" t="str">
        <v>260535 Servicios públicos</v>
      </c>
      <c r="DL522" t="str">
        <v>260535 Servicios públicos</v>
      </c>
      <c r="DM522" t="str">
        <v>260535 Servicios públicos</v>
      </c>
      <c r="DN522" t="str">
        <v>260535 Servicios públicos</v>
      </c>
      <c r="DO522" t="str">
        <v>260535 Servicios públicos</v>
      </c>
      <c r="DP522" t="str">
        <v>260535 Servicios públicos</v>
      </c>
    </row>
    <row r="523" spans="4:120" ht="12.75">
      <c r="D523" s="7">
        <v>260540</v>
      </c>
      <c r="E523" s="6" t="s">
        <v>393</v>
      </c>
      <c r="F523" s="5">
        <v>4</v>
      </c>
      <c r="G523" s="34" t="s">
        <v>824</v>
      </c>
      <c r="H523" s="26" t="s">
        <v>765</v>
      </c>
      <c r="I523" t="b">
        <f>+ISNUMBER(SEARCH('F-COMPRA'!$F$28,Tabla11[[#This Row],[Cuenta]],1))</f>
        <v>1</v>
      </c>
      <c r="J523" t="b">
        <f>+ISNUMBER(SEARCH('F-COMPRA'!$F$29,Tabla11[[#This Row],[Cuenta]],1))</f>
        <v>1</v>
      </c>
      <c r="K523" t="b">
        <f>+ISNUMBER(SEARCH('F-COMPRA'!$F$30,Tabla11[[#This Row],[Cuenta]],1))</f>
        <v>1</v>
      </c>
      <c r="L523" t="b">
        <f>+ISNUMBER(SEARCH('F-COMPRA'!$F$31,Tabla11[[#This Row],[Cuenta]],1))</f>
        <v>1</v>
      </c>
      <c r="M523" t="b">
        <f>+ISNUMBER(SEARCH('F-COMPRA'!$G$25,Tabla11[[#This Row],[Cuenta]],1))</f>
        <v>0</v>
      </c>
      <c r="N523" t="b">
        <f>+ISNUMBER(SEARCH(#REF!,Tabla11[[#This Row],[Cuenta]],1))</f>
        <v>0</v>
      </c>
      <c r="O523" t="b">
        <f>+ISNUMBER(SEARCH(#REF!,Tabla11[[#This Row],[Cuenta]],1))</f>
        <v>0</v>
      </c>
      <c r="P523" t="b">
        <f>+ISNUMBER(SEARCH('F-COMPRA'!$F$32,Tabla11[[#This Row],[Cuenta]],1))</f>
        <v>1</v>
      </c>
      <c r="Q523" t="b">
        <f>+ISNUMBER(SEARCH('F-COMPRA'!$F$33,Tabla11[[#This Row],[Cuenta]],1))</f>
        <v>1</v>
      </c>
      <c r="R523" t="b">
        <f>+ISNUMBER(SEARCH('F-COMPRA'!$F$34,Tabla11[[#This Row],[Cuenta]],1))</f>
        <v>1</v>
      </c>
      <c r="S523" t="b">
        <f>+ISNUMBER(SEARCH('F-COMPRA'!$F$35,Tabla11[[#This Row],[Cuenta]],1))</f>
        <v>1</v>
      </c>
      <c r="T523" t="b">
        <f>+ISNUMBER(SEARCH('F-COMPRA'!$F$36,Tabla11[[#This Row],[Cuenta]],1))</f>
        <v>1</v>
      </c>
      <c r="U523" t="b">
        <f>+ISNUMBER(SEARCH('F-COMPRA'!$F$37,Tabla11[[#This Row],[Cuenta]],1))</f>
        <v>1</v>
      </c>
      <c r="V523" t="b">
        <f>+ISNUMBER(SEARCH(#REF!,Tabla11[[#This Row],[Cuenta]],1))</f>
        <v>0</v>
      </c>
      <c r="W523" t="b">
        <f>+ISNUMBER(SEARCH('F-COMPRA'!#REF!,Tabla11[[#This Row],[Cuenta]],1))</f>
        <v>0</v>
      </c>
      <c r="X523" t="b">
        <f>+ISNUMBER(SEARCH('F-COMPRA'!#REF!,Tabla11[[#This Row],[Cuenta]],1))</f>
        <v>0</v>
      </c>
      <c r="Y523" t="b">
        <f>+ISNUMBER(SEARCH('F-COMPRA'!#REF!,Tabla11[[#This Row],[Cuenta]],1))</f>
        <v>0</v>
      </c>
      <c r="Z523" t="b">
        <f>+ISNUMBER(SEARCH('F-COMPRA'!#REF!,Tabla11[[#This Row],[Cuenta]],1))</f>
        <v>0</v>
      </c>
      <c r="AA523" t="b">
        <f>+ISNUMBER(SEARCH('F-COMPRA'!#REF!,Tabla11[[#This Row],[Cuenta]],1))</f>
        <v>0</v>
      </c>
      <c r="AB523" t="b">
        <f>+ISNUMBER(SEARCH('F-COMPRA'!#REF!,Tabla11[[#This Row],[Cuenta]],1))</f>
        <v>0</v>
      </c>
      <c r="AC523" t="b">
        <f>+ISNUMBER(SEARCH('F-COMPRA'!#REF!,Tabla11[[#This Row],[Cuenta]],1))</f>
        <v>0</v>
      </c>
      <c r="AD523" t="b">
        <f>+ISNUMBER(SEARCH('F-COMPRA'!#REF!,Tabla11[[#This Row],[Cuenta]],1))</f>
        <v>0</v>
      </c>
      <c r="AE523" t="b">
        <f>+ISNUMBER(SEARCH('F-COMPRA'!#REF!,Tabla11[[#This Row],[Cuenta]],1))</f>
        <v>0</v>
      </c>
      <c r="AF523" t="b">
        <f>+ISNUMBER(SEARCH('F-VTA'!$G$23,Tabla11[[#This Row],[Cuenta]],1))</f>
        <v>0</v>
      </c>
      <c r="AG523" t="b">
        <f>+ISNUMBER(SEARCH('F-VTA'!$G$24,Tabla11[[#This Row],[Cuenta]],1))</f>
        <v>0</v>
      </c>
      <c r="AH523" t="b">
        <f>+ISNUMBER(SEARCH('F-VTA'!$G$25,Tabla11[[#This Row],[Cuenta]],1))</f>
        <v>0</v>
      </c>
      <c r="AI523" t="b">
        <f>+ISNUMBER(SEARCH('F-VTA'!$F$28,Tabla11[[#This Row],[Cuenta]],1))</f>
        <v>1</v>
      </c>
      <c r="AJ523" t="b">
        <f>+ISNUMBER(SEARCH('F-VTA'!$F$29,Tabla11[[#This Row],[Cuenta]],1))</f>
        <v>1</v>
      </c>
      <c r="AK523" t="b">
        <f>+ISNUMBER(SEARCH('F-VTA'!$F$30,Tabla11[[#This Row],[Cuenta]],1))</f>
        <v>1</v>
      </c>
      <c r="AL523" t="b">
        <f>+ISNUMBER(SEARCH('F-VTA'!$F$31,Tabla11[[#This Row],[Cuenta]],1))</f>
        <v>1</v>
      </c>
      <c r="AM523" t="b">
        <f>+ISNUMBER(SEARCH('F-VTA'!$F$32,Tabla11[[#This Row],[Cuenta]],1))</f>
        <v>1</v>
      </c>
      <c r="AN523" t="b">
        <f>+ISNUMBER(SEARCH('F-VTA'!$F$33,Tabla11[[#This Row],[Cuenta]],1))</f>
        <v>1</v>
      </c>
      <c r="AO523" t="b">
        <f>+ISNUMBER(SEARCH('F-VTA'!$F$34,Tabla11[[#This Row],[Cuenta]],1))</f>
        <v>1</v>
      </c>
      <c r="AP523" t="b">
        <f>+ISNUMBER(SEARCH('F-VTA'!$F$35,Tabla11[[#This Row],[Cuenta]],1))</f>
        <v>1</v>
      </c>
      <c r="AQ523" t="b">
        <f>+ISNUMBER(SEARCH('F-VTA'!$F$36,Tabla11[[#This Row],[Cuenta]],1))</f>
        <v>1</v>
      </c>
      <c r="AR523" t="b">
        <f>+ISNUMBER(SEARCH(#REF!,Tabla11[[#This Row],[Cuenta]],1))</f>
        <v>0</v>
      </c>
      <c r="AS523" t="b">
        <f>+ISNUMBER(SEARCH(#REF!,Tabla11[[#This Row],[Cuenta]],1))</f>
        <v>0</v>
      </c>
      <c r="AT523" t="b">
        <f>+ISNUMBER(SEARCH(#REF!,Tabla11[[#This Row],[Cuenta]],1))</f>
        <v>0</v>
      </c>
      <c r="AU523" t="b">
        <f>+ISNUMBER(SEARCH('Conc. Ban.1'!$I$9,Tabla11[[#This Row],[Cuenta]],1))</f>
        <v>0</v>
      </c>
      <c r="AV523" t="b">
        <f>+ISNUMBER(SEARCH(CompConta!$F$21,Tabla11[[#This Row],[Cuenta]],1))</f>
        <v>1</v>
      </c>
      <c r="AW523" t="b">
        <f>+ISNUMBER(SEARCH(CompConta!$F$22,Tabla11[[#This Row],[Cuenta]],1))</f>
        <v>1</v>
      </c>
      <c r="AX523" t="b">
        <f>+ISNUMBER(SEARCH(CompConta!$F$23,Tabla11[[#This Row],[Cuenta]],1))</f>
        <v>1</v>
      </c>
      <c r="AY523" t="b">
        <f>+ISNUMBER(SEARCH(CompConta!$F$24,Tabla11[[#This Row],[Cuenta]],1))</f>
        <v>1</v>
      </c>
      <c r="AZ523" t="b">
        <f>+ISNUMBER(SEARCH(CompConta!$F$25,Tabla11[[#This Row],[Cuenta]],1))</f>
        <v>1</v>
      </c>
      <c r="BA523" t="b">
        <f>+ISNUMBER(SEARCH(CompConta!$F$26,Tabla11[[#This Row],[Cuenta]],1))</f>
        <v>1</v>
      </c>
      <c r="BB523" t="b">
        <f>+ISNUMBER(SEARCH(CompConta!$F$27,Tabla11[[#This Row],[Cuenta]],1))</f>
        <v>1</v>
      </c>
      <c r="BC523" t="b">
        <f>+ISNUMBER(SEARCH(CompConta!$F$28,Tabla11[[#This Row],[Cuenta]],1))</f>
        <v>1</v>
      </c>
      <c r="BD523" t="b">
        <f>+ISNUMBER(SEARCH(CompConta!$F$29,Tabla11[[#This Row],[Cuenta]],1))</f>
        <v>1</v>
      </c>
      <c r="BE523" t="b">
        <f>+ISNUMBER(SEARCH(CompConta!$F$30,Tabla11[[#This Row],[Cuenta]],1))</f>
        <v>1</v>
      </c>
      <c r="BF523" t="b">
        <f>+ISNUMBER(SEARCH('PAGO Compras'!$E$11,Tabla11[[#This Row],[Cuenta]],1))</f>
        <v>1</v>
      </c>
      <c r="BG523" t="b">
        <f>+ISNUMBER(SEARCH(#REF!,Tabla11[[#This Row],[Cuenta]],1))</f>
        <v>0</v>
      </c>
      <c r="BH523" t="b">
        <f>+ISNUMBER(SEARCH(#REF!,Tabla11[[#This Row],[Cuenta]],1))</f>
        <v>0</v>
      </c>
      <c r="BI523" t="b">
        <f>+ISNUMBER(SEARCH(#REF!,Tabla11[[#This Row],[Cuenta]],1))</f>
        <v>0</v>
      </c>
      <c r="BJ523" t="b">
        <f>+ISNUMBER(SEARCH(#REF!,Tabla11[[#This Row],[Cuenta]],1))</f>
        <v>0</v>
      </c>
      <c r="BS523" t="str">
        <v>260540 Regalías</v>
      </c>
      <c r="BT523" t="str">
        <v>260540 Regalías</v>
      </c>
      <c r="BU523" t="str">
        <v>260540 Regalías</v>
      </c>
      <c r="BV523" t="str">
        <v>260540 Regalías</v>
      </c>
      <c r="BZ523" t="str">
        <v>260540 Regalías</v>
      </c>
      <c r="CA523" t="str">
        <v>260540 Regalías</v>
      </c>
      <c r="CB523" t="str">
        <v>260540 Regalías</v>
      </c>
      <c r="CC523" t="str">
        <v>260540 Regalías</v>
      </c>
      <c r="CD523" t="str">
        <v>260540 Regalías</v>
      </c>
      <c r="CE523" t="str">
        <v>260540 Regalías</v>
      </c>
      <c r="CS523" s="141" t="str">
        <v>260540 Regalías</v>
      </c>
      <c r="CT523" s="141" t="str">
        <v>260540 Regalías</v>
      </c>
      <c r="CU523" s="141" t="str">
        <v>260540 Regalías</v>
      </c>
      <c r="CV523" s="141" t="str">
        <v>260540 Regalías</v>
      </c>
      <c r="CW523" s="141" t="str">
        <v>260540 Regalías</v>
      </c>
      <c r="CX523" s="141" t="str">
        <v>260540 Regalías</v>
      </c>
      <c r="CY523" s="141" t="str">
        <v>260540 Regalías</v>
      </c>
      <c r="CZ523" s="141" t="str">
        <v>260540 Regalías</v>
      </c>
      <c r="DA523" s="141" t="str">
        <v>260540 Regalías</v>
      </c>
      <c r="DF523" t="str">
        <v>260540 Regalías</v>
      </c>
      <c r="DG523" t="str">
        <v>260540 Regalías</v>
      </c>
      <c r="DH523" t="str">
        <v>260540 Regalías</v>
      </c>
      <c r="DI523" t="str">
        <v>260540 Regalías</v>
      </c>
      <c r="DJ523" t="str">
        <v>260540 Regalías</v>
      </c>
      <c r="DK523" t="str">
        <v>260540 Regalías</v>
      </c>
      <c r="DL523" t="str">
        <v>260540 Regalías</v>
      </c>
      <c r="DM523" t="str">
        <v>260540 Regalías</v>
      </c>
      <c r="DN523" t="str">
        <v>260540 Regalías</v>
      </c>
      <c r="DO523" t="str">
        <v>260540 Regalías</v>
      </c>
      <c r="DP523" t="str">
        <v>260540 Regalías</v>
      </c>
    </row>
    <row r="524" spans="4:120" ht="12.75">
      <c r="D524" s="7">
        <v>260545</v>
      </c>
      <c r="E524" s="6" t="s">
        <v>394</v>
      </c>
      <c r="F524" s="5">
        <v>4</v>
      </c>
      <c r="G524" s="34" t="s">
        <v>824</v>
      </c>
      <c r="H524" s="26" t="s">
        <v>765</v>
      </c>
      <c r="I524" t="b">
        <f>+ISNUMBER(SEARCH('F-COMPRA'!$F$28,Tabla11[[#This Row],[Cuenta]],1))</f>
        <v>1</v>
      </c>
      <c r="J524" t="b">
        <f>+ISNUMBER(SEARCH('F-COMPRA'!$F$29,Tabla11[[#This Row],[Cuenta]],1))</f>
        <v>1</v>
      </c>
      <c r="K524" t="b">
        <f>+ISNUMBER(SEARCH('F-COMPRA'!$F$30,Tabla11[[#This Row],[Cuenta]],1))</f>
        <v>1</v>
      </c>
      <c r="L524" t="b">
        <f>+ISNUMBER(SEARCH('F-COMPRA'!$F$31,Tabla11[[#This Row],[Cuenta]],1))</f>
        <v>1</v>
      </c>
      <c r="M524" t="b">
        <f>+ISNUMBER(SEARCH('F-COMPRA'!$G$25,Tabla11[[#This Row],[Cuenta]],1))</f>
        <v>0</v>
      </c>
      <c r="N524" t="b">
        <f>+ISNUMBER(SEARCH(#REF!,Tabla11[[#This Row],[Cuenta]],1))</f>
        <v>0</v>
      </c>
      <c r="O524" t="b">
        <f>+ISNUMBER(SEARCH(#REF!,Tabla11[[#This Row],[Cuenta]],1))</f>
        <v>0</v>
      </c>
      <c r="P524" t="b">
        <f>+ISNUMBER(SEARCH('F-COMPRA'!$F$32,Tabla11[[#This Row],[Cuenta]],1))</f>
        <v>1</v>
      </c>
      <c r="Q524" t="b">
        <f>+ISNUMBER(SEARCH('F-COMPRA'!$F$33,Tabla11[[#This Row],[Cuenta]],1))</f>
        <v>1</v>
      </c>
      <c r="R524" t="b">
        <f>+ISNUMBER(SEARCH('F-COMPRA'!$F$34,Tabla11[[#This Row],[Cuenta]],1))</f>
        <v>1</v>
      </c>
      <c r="S524" t="b">
        <f>+ISNUMBER(SEARCH('F-COMPRA'!$F$35,Tabla11[[#This Row],[Cuenta]],1))</f>
        <v>1</v>
      </c>
      <c r="T524" t="b">
        <f>+ISNUMBER(SEARCH('F-COMPRA'!$F$36,Tabla11[[#This Row],[Cuenta]],1))</f>
        <v>1</v>
      </c>
      <c r="U524" t="b">
        <f>+ISNUMBER(SEARCH('F-COMPRA'!$F$37,Tabla11[[#This Row],[Cuenta]],1))</f>
        <v>1</v>
      </c>
      <c r="V524" t="b">
        <f>+ISNUMBER(SEARCH(#REF!,Tabla11[[#This Row],[Cuenta]],1))</f>
        <v>0</v>
      </c>
      <c r="W524" t="b">
        <f>+ISNUMBER(SEARCH('F-COMPRA'!#REF!,Tabla11[[#This Row],[Cuenta]],1))</f>
        <v>0</v>
      </c>
      <c r="X524" t="b">
        <f>+ISNUMBER(SEARCH('F-COMPRA'!#REF!,Tabla11[[#This Row],[Cuenta]],1))</f>
        <v>0</v>
      </c>
      <c r="Y524" t="b">
        <f>+ISNUMBER(SEARCH('F-COMPRA'!#REF!,Tabla11[[#This Row],[Cuenta]],1))</f>
        <v>0</v>
      </c>
      <c r="Z524" t="b">
        <f>+ISNUMBER(SEARCH('F-COMPRA'!#REF!,Tabla11[[#This Row],[Cuenta]],1))</f>
        <v>0</v>
      </c>
      <c r="AA524" t="b">
        <f>+ISNUMBER(SEARCH('F-COMPRA'!#REF!,Tabla11[[#This Row],[Cuenta]],1))</f>
        <v>0</v>
      </c>
      <c r="AB524" t="b">
        <f>+ISNUMBER(SEARCH('F-COMPRA'!#REF!,Tabla11[[#This Row],[Cuenta]],1))</f>
        <v>0</v>
      </c>
      <c r="AC524" t="b">
        <f>+ISNUMBER(SEARCH('F-COMPRA'!#REF!,Tabla11[[#This Row],[Cuenta]],1))</f>
        <v>0</v>
      </c>
      <c r="AD524" t="b">
        <f>+ISNUMBER(SEARCH('F-COMPRA'!#REF!,Tabla11[[#This Row],[Cuenta]],1))</f>
        <v>0</v>
      </c>
      <c r="AE524" t="b">
        <f>+ISNUMBER(SEARCH('F-COMPRA'!#REF!,Tabla11[[#This Row],[Cuenta]],1))</f>
        <v>0</v>
      </c>
      <c r="AF524" t="b">
        <f>+ISNUMBER(SEARCH('F-VTA'!$G$23,Tabla11[[#This Row],[Cuenta]],1))</f>
        <v>0</v>
      </c>
      <c r="AG524" t="b">
        <f>+ISNUMBER(SEARCH('F-VTA'!$G$24,Tabla11[[#This Row],[Cuenta]],1))</f>
        <v>0</v>
      </c>
      <c r="AH524" t="b">
        <f>+ISNUMBER(SEARCH('F-VTA'!$G$25,Tabla11[[#This Row],[Cuenta]],1))</f>
        <v>0</v>
      </c>
      <c r="AI524" t="b">
        <f>+ISNUMBER(SEARCH('F-VTA'!$F$28,Tabla11[[#This Row],[Cuenta]],1))</f>
        <v>1</v>
      </c>
      <c r="AJ524" t="b">
        <f>+ISNUMBER(SEARCH('F-VTA'!$F$29,Tabla11[[#This Row],[Cuenta]],1))</f>
        <v>1</v>
      </c>
      <c r="AK524" t="b">
        <f>+ISNUMBER(SEARCH('F-VTA'!$F$30,Tabla11[[#This Row],[Cuenta]],1))</f>
        <v>1</v>
      </c>
      <c r="AL524" t="b">
        <f>+ISNUMBER(SEARCH('F-VTA'!$F$31,Tabla11[[#This Row],[Cuenta]],1))</f>
        <v>1</v>
      </c>
      <c r="AM524" t="b">
        <f>+ISNUMBER(SEARCH('F-VTA'!$F$32,Tabla11[[#This Row],[Cuenta]],1))</f>
        <v>1</v>
      </c>
      <c r="AN524" t="b">
        <f>+ISNUMBER(SEARCH('F-VTA'!$F$33,Tabla11[[#This Row],[Cuenta]],1))</f>
        <v>1</v>
      </c>
      <c r="AO524" t="b">
        <f>+ISNUMBER(SEARCH('F-VTA'!$F$34,Tabla11[[#This Row],[Cuenta]],1))</f>
        <v>1</v>
      </c>
      <c r="AP524" t="b">
        <f>+ISNUMBER(SEARCH('F-VTA'!$F$35,Tabla11[[#This Row],[Cuenta]],1))</f>
        <v>1</v>
      </c>
      <c r="AQ524" t="b">
        <f>+ISNUMBER(SEARCH('F-VTA'!$F$36,Tabla11[[#This Row],[Cuenta]],1))</f>
        <v>1</v>
      </c>
      <c r="AR524" t="b">
        <f>+ISNUMBER(SEARCH(#REF!,Tabla11[[#This Row],[Cuenta]],1))</f>
        <v>0</v>
      </c>
      <c r="AS524" t="b">
        <f>+ISNUMBER(SEARCH(#REF!,Tabla11[[#This Row],[Cuenta]],1))</f>
        <v>0</v>
      </c>
      <c r="AT524" t="b">
        <f>+ISNUMBER(SEARCH(#REF!,Tabla11[[#This Row],[Cuenta]],1))</f>
        <v>0</v>
      </c>
      <c r="AU524" t="b">
        <f>+ISNUMBER(SEARCH('Conc. Ban.1'!$I$9,Tabla11[[#This Row],[Cuenta]],1))</f>
        <v>0</v>
      </c>
      <c r="AV524" t="b">
        <f>+ISNUMBER(SEARCH(CompConta!$F$21,Tabla11[[#This Row],[Cuenta]],1))</f>
        <v>1</v>
      </c>
      <c r="AW524" t="b">
        <f>+ISNUMBER(SEARCH(CompConta!$F$22,Tabla11[[#This Row],[Cuenta]],1))</f>
        <v>1</v>
      </c>
      <c r="AX524" t="b">
        <f>+ISNUMBER(SEARCH(CompConta!$F$23,Tabla11[[#This Row],[Cuenta]],1))</f>
        <v>1</v>
      </c>
      <c r="AY524" t="b">
        <f>+ISNUMBER(SEARCH(CompConta!$F$24,Tabla11[[#This Row],[Cuenta]],1))</f>
        <v>1</v>
      </c>
      <c r="AZ524" t="b">
        <f>+ISNUMBER(SEARCH(CompConta!$F$25,Tabla11[[#This Row],[Cuenta]],1))</f>
        <v>1</v>
      </c>
      <c r="BA524" t="b">
        <f>+ISNUMBER(SEARCH(CompConta!$F$26,Tabla11[[#This Row],[Cuenta]],1))</f>
        <v>1</v>
      </c>
      <c r="BB524" t="b">
        <f>+ISNUMBER(SEARCH(CompConta!$F$27,Tabla11[[#This Row],[Cuenta]],1))</f>
        <v>1</v>
      </c>
      <c r="BC524" t="b">
        <f>+ISNUMBER(SEARCH(CompConta!$F$28,Tabla11[[#This Row],[Cuenta]],1))</f>
        <v>1</v>
      </c>
      <c r="BD524" t="b">
        <f>+ISNUMBER(SEARCH(CompConta!$F$29,Tabla11[[#This Row],[Cuenta]],1))</f>
        <v>1</v>
      </c>
      <c r="BE524" t="b">
        <f>+ISNUMBER(SEARCH(CompConta!$F$30,Tabla11[[#This Row],[Cuenta]],1))</f>
        <v>1</v>
      </c>
      <c r="BF524" t="b">
        <f>+ISNUMBER(SEARCH('PAGO Compras'!$E$11,Tabla11[[#This Row],[Cuenta]],1))</f>
        <v>1</v>
      </c>
      <c r="BG524" t="b">
        <f>+ISNUMBER(SEARCH(#REF!,Tabla11[[#This Row],[Cuenta]],1))</f>
        <v>0</v>
      </c>
      <c r="BH524" t="b">
        <f>+ISNUMBER(SEARCH(#REF!,Tabla11[[#This Row],[Cuenta]],1))</f>
        <v>0</v>
      </c>
      <c r="BI524" t="b">
        <f>+ISNUMBER(SEARCH(#REF!,Tabla11[[#This Row],[Cuenta]],1))</f>
        <v>0</v>
      </c>
      <c r="BJ524" t="b">
        <f>+ISNUMBER(SEARCH(#REF!,Tabla11[[#This Row],[Cuenta]],1))</f>
        <v>0</v>
      </c>
      <c r="BS524" t="str">
        <v>260545 Garantías</v>
      </c>
      <c r="BT524" t="str">
        <v>260545 Garantías</v>
      </c>
      <c r="BU524" t="str">
        <v>260545 Garantías</v>
      </c>
      <c r="BV524" t="str">
        <v>260545 Garantías</v>
      </c>
      <c r="BZ524" t="str">
        <v>260545 Garantías</v>
      </c>
      <c r="CA524" t="str">
        <v>260545 Garantías</v>
      </c>
      <c r="CB524" t="str">
        <v>260545 Garantías</v>
      </c>
      <c r="CC524" t="str">
        <v>260545 Garantías</v>
      </c>
      <c r="CD524" t="str">
        <v>260545 Garantías</v>
      </c>
      <c r="CE524" t="str">
        <v>260545 Garantías</v>
      </c>
      <c r="CS524" s="141" t="str">
        <v>260545 Garantías</v>
      </c>
      <c r="CT524" s="141" t="str">
        <v>260545 Garantías</v>
      </c>
      <c r="CU524" s="141" t="str">
        <v>260545 Garantías</v>
      </c>
      <c r="CV524" s="141" t="str">
        <v>260545 Garantías</v>
      </c>
      <c r="CW524" s="141" t="str">
        <v>260545 Garantías</v>
      </c>
      <c r="CX524" s="141" t="str">
        <v>260545 Garantías</v>
      </c>
      <c r="CY524" s="141" t="str">
        <v>260545 Garantías</v>
      </c>
      <c r="CZ524" s="141" t="str">
        <v>260545 Garantías</v>
      </c>
      <c r="DA524" s="141" t="str">
        <v>260545 Garantías</v>
      </c>
      <c r="DF524" t="str">
        <v>260545 Garantías</v>
      </c>
      <c r="DG524" t="str">
        <v>260545 Garantías</v>
      </c>
      <c r="DH524" t="str">
        <v>260545 Garantías</v>
      </c>
      <c r="DI524" t="str">
        <v>260545 Garantías</v>
      </c>
      <c r="DJ524" t="str">
        <v>260545 Garantías</v>
      </c>
      <c r="DK524" t="str">
        <v>260545 Garantías</v>
      </c>
      <c r="DL524" t="str">
        <v>260545 Garantías</v>
      </c>
      <c r="DM524" t="str">
        <v>260545 Garantías</v>
      </c>
      <c r="DN524" t="str">
        <v>260545 Garantías</v>
      </c>
      <c r="DO524" t="str">
        <v>260545 Garantías</v>
      </c>
      <c r="DP524" t="str">
        <v>260545 Garantías</v>
      </c>
    </row>
    <row r="525" spans="4:120" ht="12.75">
      <c r="D525" s="7">
        <v>260550</v>
      </c>
      <c r="E525" s="6" t="s">
        <v>395</v>
      </c>
      <c r="F525" s="5">
        <v>4</v>
      </c>
      <c r="G525" s="34" t="s">
        <v>824</v>
      </c>
      <c r="H525" s="26" t="s">
        <v>765</v>
      </c>
      <c r="I525" t="b">
        <f>+ISNUMBER(SEARCH('F-COMPRA'!$F$28,Tabla11[[#This Row],[Cuenta]],1))</f>
        <v>1</v>
      </c>
      <c r="J525" t="b">
        <f>+ISNUMBER(SEARCH('F-COMPRA'!$F$29,Tabla11[[#This Row],[Cuenta]],1))</f>
        <v>1</v>
      </c>
      <c r="K525" t="b">
        <f>+ISNUMBER(SEARCH('F-COMPRA'!$F$30,Tabla11[[#This Row],[Cuenta]],1))</f>
        <v>1</v>
      </c>
      <c r="L525" t="b">
        <f>+ISNUMBER(SEARCH('F-COMPRA'!$F$31,Tabla11[[#This Row],[Cuenta]],1))</f>
        <v>1</v>
      </c>
      <c r="M525" t="b">
        <f>+ISNUMBER(SEARCH('F-COMPRA'!$G$25,Tabla11[[#This Row],[Cuenta]],1))</f>
        <v>0</v>
      </c>
      <c r="N525" t="b">
        <f>+ISNUMBER(SEARCH(#REF!,Tabla11[[#This Row],[Cuenta]],1))</f>
        <v>0</v>
      </c>
      <c r="O525" t="b">
        <f>+ISNUMBER(SEARCH(#REF!,Tabla11[[#This Row],[Cuenta]],1))</f>
        <v>0</v>
      </c>
      <c r="P525" t="b">
        <f>+ISNUMBER(SEARCH('F-COMPRA'!$F$32,Tabla11[[#This Row],[Cuenta]],1))</f>
        <v>1</v>
      </c>
      <c r="Q525" t="b">
        <f>+ISNUMBER(SEARCH('F-COMPRA'!$F$33,Tabla11[[#This Row],[Cuenta]],1))</f>
        <v>1</v>
      </c>
      <c r="R525" t="b">
        <f>+ISNUMBER(SEARCH('F-COMPRA'!$F$34,Tabla11[[#This Row],[Cuenta]],1))</f>
        <v>1</v>
      </c>
      <c r="S525" t="b">
        <f>+ISNUMBER(SEARCH('F-COMPRA'!$F$35,Tabla11[[#This Row],[Cuenta]],1))</f>
        <v>1</v>
      </c>
      <c r="T525" t="b">
        <f>+ISNUMBER(SEARCH('F-COMPRA'!$F$36,Tabla11[[#This Row],[Cuenta]],1))</f>
        <v>1</v>
      </c>
      <c r="U525" t="b">
        <f>+ISNUMBER(SEARCH('F-COMPRA'!$F$37,Tabla11[[#This Row],[Cuenta]],1))</f>
        <v>1</v>
      </c>
      <c r="V525" t="b">
        <f>+ISNUMBER(SEARCH(#REF!,Tabla11[[#This Row],[Cuenta]],1))</f>
        <v>0</v>
      </c>
      <c r="W525" t="b">
        <f>+ISNUMBER(SEARCH('F-COMPRA'!#REF!,Tabla11[[#This Row],[Cuenta]],1))</f>
        <v>0</v>
      </c>
      <c r="X525" t="b">
        <f>+ISNUMBER(SEARCH('F-COMPRA'!#REF!,Tabla11[[#This Row],[Cuenta]],1))</f>
        <v>0</v>
      </c>
      <c r="Y525" t="b">
        <f>+ISNUMBER(SEARCH('F-COMPRA'!#REF!,Tabla11[[#This Row],[Cuenta]],1))</f>
        <v>0</v>
      </c>
      <c r="Z525" t="b">
        <f>+ISNUMBER(SEARCH('F-COMPRA'!#REF!,Tabla11[[#This Row],[Cuenta]],1))</f>
        <v>0</v>
      </c>
      <c r="AA525" t="b">
        <f>+ISNUMBER(SEARCH('F-COMPRA'!#REF!,Tabla11[[#This Row],[Cuenta]],1))</f>
        <v>0</v>
      </c>
      <c r="AB525" t="b">
        <f>+ISNUMBER(SEARCH('F-COMPRA'!#REF!,Tabla11[[#This Row],[Cuenta]],1))</f>
        <v>0</v>
      </c>
      <c r="AC525" t="b">
        <f>+ISNUMBER(SEARCH('F-COMPRA'!#REF!,Tabla11[[#This Row],[Cuenta]],1))</f>
        <v>0</v>
      </c>
      <c r="AD525" t="b">
        <f>+ISNUMBER(SEARCH('F-COMPRA'!#REF!,Tabla11[[#This Row],[Cuenta]],1))</f>
        <v>0</v>
      </c>
      <c r="AE525" t="b">
        <f>+ISNUMBER(SEARCH('F-COMPRA'!#REF!,Tabla11[[#This Row],[Cuenta]],1))</f>
        <v>0</v>
      </c>
      <c r="AF525" t="b">
        <f>+ISNUMBER(SEARCH('F-VTA'!$G$23,Tabla11[[#This Row],[Cuenta]],1))</f>
        <v>0</v>
      </c>
      <c r="AG525" t="b">
        <f>+ISNUMBER(SEARCH('F-VTA'!$G$24,Tabla11[[#This Row],[Cuenta]],1))</f>
        <v>0</v>
      </c>
      <c r="AH525" t="b">
        <f>+ISNUMBER(SEARCH('F-VTA'!$G$25,Tabla11[[#This Row],[Cuenta]],1))</f>
        <v>0</v>
      </c>
      <c r="AI525" t="b">
        <f>+ISNUMBER(SEARCH('F-VTA'!$F$28,Tabla11[[#This Row],[Cuenta]],1))</f>
        <v>1</v>
      </c>
      <c r="AJ525" t="b">
        <f>+ISNUMBER(SEARCH('F-VTA'!$F$29,Tabla11[[#This Row],[Cuenta]],1))</f>
        <v>1</v>
      </c>
      <c r="AK525" t="b">
        <f>+ISNUMBER(SEARCH('F-VTA'!$F$30,Tabla11[[#This Row],[Cuenta]],1))</f>
        <v>1</v>
      </c>
      <c r="AL525" t="b">
        <f>+ISNUMBER(SEARCH('F-VTA'!$F$31,Tabla11[[#This Row],[Cuenta]],1))</f>
        <v>1</v>
      </c>
      <c r="AM525" t="b">
        <f>+ISNUMBER(SEARCH('F-VTA'!$F$32,Tabla11[[#This Row],[Cuenta]],1))</f>
        <v>1</v>
      </c>
      <c r="AN525" t="b">
        <f>+ISNUMBER(SEARCH('F-VTA'!$F$33,Tabla11[[#This Row],[Cuenta]],1))</f>
        <v>1</v>
      </c>
      <c r="AO525" t="b">
        <f>+ISNUMBER(SEARCH('F-VTA'!$F$34,Tabla11[[#This Row],[Cuenta]],1))</f>
        <v>1</v>
      </c>
      <c r="AP525" t="b">
        <f>+ISNUMBER(SEARCH('F-VTA'!$F$35,Tabla11[[#This Row],[Cuenta]],1))</f>
        <v>1</v>
      </c>
      <c r="AQ525" t="b">
        <f>+ISNUMBER(SEARCH('F-VTA'!$F$36,Tabla11[[#This Row],[Cuenta]],1))</f>
        <v>1</v>
      </c>
      <c r="AR525" t="b">
        <f>+ISNUMBER(SEARCH(#REF!,Tabla11[[#This Row],[Cuenta]],1))</f>
        <v>0</v>
      </c>
      <c r="AS525" t="b">
        <f>+ISNUMBER(SEARCH(#REF!,Tabla11[[#This Row],[Cuenta]],1))</f>
        <v>0</v>
      </c>
      <c r="AT525" t="b">
        <f>+ISNUMBER(SEARCH(#REF!,Tabla11[[#This Row],[Cuenta]],1))</f>
        <v>0</v>
      </c>
      <c r="AU525" t="b">
        <f>+ISNUMBER(SEARCH('Conc. Ban.1'!$I$9,Tabla11[[#This Row],[Cuenta]],1))</f>
        <v>0</v>
      </c>
      <c r="AV525" t="b">
        <f>+ISNUMBER(SEARCH(CompConta!$F$21,Tabla11[[#This Row],[Cuenta]],1))</f>
        <v>1</v>
      </c>
      <c r="AW525" t="b">
        <f>+ISNUMBER(SEARCH(CompConta!$F$22,Tabla11[[#This Row],[Cuenta]],1))</f>
        <v>1</v>
      </c>
      <c r="AX525" t="b">
        <f>+ISNUMBER(SEARCH(CompConta!$F$23,Tabla11[[#This Row],[Cuenta]],1))</f>
        <v>1</v>
      </c>
      <c r="AY525" t="b">
        <f>+ISNUMBER(SEARCH(CompConta!$F$24,Tabla11[[#This Row],[Cuenta]],1))</f>
        <v>1</v>
      </c>
      <c r="AZ525" t="b">
        <f>+ISNUMBER(SEARCH(CompConta!$F$25,Tabla11[[#This Row],[Cuenta]],1))</f>
        <v>1</v>
      </c>
      <c r="BA525" t="b">
        <f>+ISNUMBER(SEARCH(CompConta!$F$26,Tabla11[[#This Row],[Cuenta]],1))</f>
        <v>1</v>
      </c>
      <c r="BB525" t="b">
        <f>+ISNUMBER(SEARCH(CompConta!$F$27,Tabla11[[#This Row],[Cuenta]],1))</f>
        <v>1</v>
      </c>
      <c r="BC525" t="b">
        <f>+ISNUMBER(SEARCH(CompConta!$F$28,Tabla11[[#This Row],[Cuenta]],1))</f>
        <v>1</v>
      </c>
      <c r="BD525" t="b">
        <f>+ISNUMBER(SEARCH(CompConta!$F$29,Tabla11[[#This Row],[Cuenta]],1))</f>
        <v>1</v>
      </c>
      <c r="BE525" t="b">
        <f>+ISNUMBER(SEARCH(CompConta!$F$30,Tabla11[[#This Row],[Cuenta]],1))</f>
        <v>1</v>
      </c>
      <c r="BF525" t="b">
        <f>+ISNUMBER(SEARCH('PAGO Compras'!$E$11,Tabla11[[#This Row],[Cuenta]],1))</f>
        <v>1</v>
      </c>
      <c r="BG525" t="b">
        <f>+ISNUMBER(SEARCH(#REF!,Tabla11[[#This Row],[Cuenta]],1))</f>
        <v>0</v>
      </c>
      <c r="BH525" t="b">
        <f>+ISNUMBER(SEARCH(#REF!,Tabla11[[#This Row],[Cuenta]],1))</f>
        <v>0</v>
      </c>
      <c r="BI525" t="b">
        <f>+ISNUMBER(SEARCH(#REF!,Tabla11[[#This Row],[Cuenta]],1))</f>
        <v>0</v>
      </c>
      <c r="BJ525" t="b">
        <f>+ISNUMBER(SEARCH(#REF!,Tabla11[[#This Row],[Cuenta]],1))</f>
        <v>0</v>
      </c>
      <c r="BS525" t="str">
        <v>260550 Materiales y repuestos</v>
      </c>
      <c r="BT525" t="str">
        <v>260550 Materiales y repuestos</v>
      </c>
      <c r="BU525" t="str">
        <v>260550 Materiales y repuestos</v>
      </c>
      <c r="BV525" t="str">
        <v>260550 Materiales y repuestos</v>
      </c>
      <c r="BZ525" t="str">
        <v>260550 Materiales y repuestos</v>
      </c>
      <c r="CA525" t="str">
        <v>260550 Materiales y repuestos</v>
      </c>
      <c r="CB525" t="str">
        <v>260550 Materiales y repuestos</v>
      </c>
      <c r="CC525" t="str">
        <v>260550 Materiales y repuestos</v>
      </c>
      <c r="CD525" t="str">
        <v>260550 Materiales y repuestos</v>
      </c>
      <c r="CE525" t="str">
        <v>260550 Materiales y repuestos</v>
      </c>
      <c r="CS525" s="141" t="str">
        <v>260550 Materiales y repuestos</v>
      </c>
      <c r="CT525" s="141" t="str">
        <v>260550 Materiales y repuestos</v>
      </c>
      <c r="CU525" s="141" t="str">
        <v>260550 Materiales y repuestos</v>
      </c>
      <c r="CV525" s="141" t="str">
        <v>260550 Materiales y repuestos</v>
      </c>
      <c r="CW525" s="141" t="str">
        <v>260550 Materiales y repuestos</v>
      </c>
      <c r="CX525" s="141" t="str">
        <v>260550 Materiales y repuestos</v>
      </c>
      <c r="CY525" s="141" t="str">
        <v>260550 Materiales y repuestos</v>
      </c>
      <c r="CZ525" s="141" t="str">
        <v>260550 Materiales y repuestos</v>
      </c>
      <c r="DA525" s="141" t="str">
        <v>260550 Materiales y repuestos</v>
      </c>
      <c r="DF525" t="str">
        <v>260550 Materiales y repuestos</v>
      </c>
      <c r="DG525" t="str">
        <v>260550 Materiales y repuestos</v>
      </c>
      <c r="DH525" t="str">
        <v>260550 Materiales y repuestos</v>
      </c>
      <c r="DI525" t="str">
        <v>260550 Materiales y repuestos</v>
      </c>
      <c r="DJ525" t="str">
        <v>260550 Materiales y repuestos</v>
      </c>
      <c r="DK525" t="str">
        <v>260550 Materiales y repuestos</v>
      </c>
      <c r="DL525" t="str">
        <v>260550 Materiales y repuestos</v>
      </c>
      <c r="DM525" t="str">
        <v>260550 Materiales y repuestos</v>
      </c>
      <c r="DN525" t="str">
        <v>260550 Materiales y repuestos</v>
      </c>
      <c r="DO525" t="str">
        <v>260550 Materiales y repuestos</v>
      </c>
      <c r="DP525" t="str">
        <v>260550 Materiales y repuestos</v>
      </c>
    </row>
    <row r="526" spans="4:120" ht="12.75">
      <c r="D526" s="7">
        <v>260595</v>
      </c>
      <c r="E526" s="6" t="s">
        <v>45</v>
      </c>
      <c r="F526" s="5">
        <v>4</v>
      </c>
      <c r="G526" s="34" t="s">
        <v>824</v>
      </c>
      <c r="H526" s="26" t="s">
        <v>765</v>
      </c>
      <c r="I526" t="b">
        <f>+ISNUMBER(SEARCH('F-COMPRA'!$F$28,Tabla11[[#This Row],[Cuenta]],1))</f>
        <v>1</v>
      </c>
      <c r="J526" t="b">
        <f>+ISNUMBER(SEARCH('F-COMPRA'!$F$29,Tabla11[[#This Row],[Cuenta]],1))</f>
        <v>1</v>
      </c>
      <c r="K526" t="b">
        <f>+ISNUMBER(SEARCH('F-COMPRA'!$F$30,Tabla11[[#This Row],[Cuenta]],1))</f>
        <v>1</v>
      </c>
      <c r="L526" t="b">
        <f>+ISNUMBER(SEARCH('F-COMPRA'!$F$31,Tabla11[[#This Row],[Cuenta]],1))</f>
        <v>1</v>
      </c>
      <c r="M526" t="b">
        <f>+ISNUMBER(SEARCH('F-COMPRA'!$G$25,Tabla11[[#This Row],[Cuenta]],1))</f>
        <v>0</v>
      </c>
      <c r="N526" t="b">
        <f>+ISNUMBER(SEARCH(#REF!,Tabla11[[#This Row],[Cuenta]],1))</f>
        <v>0</v>
      </c>
      <c r="O526" t="b">
        <f>+ISNUMBER(SEARCH(#REF!,Tabla11[[#This Row],[Cuenta]],1))</f>
        <v>0</v>
      </c>
      <c r="P526" t="b">
        <f>+ISNUMBER(SEARCH('F-COMPRA'!$F$32,Tabla11[[#This Row],[Cuenta]],1))</f>
        <v>1</v>
      </c>
      <c r="Q526" t="b">
        <f>+ISNUMBER(SEARCH('F-COMPRA'!$F$33,Tabla11[[#This Row],[Cuenta]],1))</f>
        <v>1</v>
      </c>
      <c r="R526" t="b">
        <f>+ISNUMBER(SEARCH('F-COMPRA'!$F$34,Tabla11[[#This Row],[Cuenta]],1))</f>
        <v>1</v>
      </c>
      <c r="S526" t="b">
        <f>+ISNUMBER(SEARCH('F-COMPRA'!$F$35,Tabla11[[#This Row],[Cuenta]],1))</f>
        <v>1</v>
      </c>
      <c r="T526" t="b">
        <f>+ISNUMBER(SEARCH('F-COMPRA'!$F$36,Tabla11[[#This Row],[Cuenta]],1))</f>
        <v>1</v>
      </c>
      <c r="U526" t="b">
        <f>+ISNUMBER(SEARCH('F-COMPRA'!$F$37,Tabla11[[#This Row],[Cuenta]],1))</f>
        <v>1</v>
      </c>
      <c r="V526" t="b">
        <f>+ISNUMBER(SEARCH(#REF!,Tabla11[[#This Row],[Cuenta]],1))</f>
        <v>0</v>
      </c>
      <c r="W526" t="b">
        <f>+ISNUMBER(SEARCH('F-COMPRA'!#REF!,Tabla11[[#This Row],[Cuenta]],1))</f>
        <v>0</v>
      </c>
      <c r="X526" t="b">
        <f>+ISNUMBER(SEARCH('F-COMPRA'!#REF!,Tabla11[[#This Row],[Cuenta]],1))</f>
        <v>0</v>
      </c>
      <c r="Y526" t="b">
        <f>+ISNUMBER(SEARCH('F-COMPRA'!#REF!,Tabla11[[#This Row],[Cuenta]],1))</f>
        <v>0</v>
      </c>
      <c r="Z526" t="b">
        <f>+ISNUMBER(SEARCH('F-COMPRA'!#REF!,Tabla11[[#This Row],[Cuenta]],1))</f>
        <v>0</v>
      </c>
      <c r="AA526" t="b">
        <f>+ISNUMBER(SEARCH('F-COMPRA'!#REF!,Tabla11[[#This Row],[Cuenta]],1))</f>
        <v>0</v>
      </c>
      <c r="AB526" t="b">
        <f>+ISNUMBER(SEARCH('F-COMPRA'!#REF!,Tabla11[[#This Row],[Cuenta]],1))</f>
        <v>0</v>
      </c>
      <c r="AC526" t="b">
        <f>+ISNUMBER(SEARCH('F-COMPRA'!#REF!,Tabla11[[#This Row],[Cuenta]],1))</f>
        <v>0</v>
      </c>
      <c r="AD526" t="b">
        <f>+ISNUMBER(SEARCH('F-COMPRA'!#REF!,Tabla11[[#This Row],[Cuenta]],1))</f>
        <v>0</v>
      </c>
      <c r="AE526" t="b">
        <f>+ISNUMBER(SEARCH('F-COMPRA'!#REF!,Tabla11[[#This Row],[Cuenta]],1))</f>
        <v>0</v>
      </c>
      <c r="AF526" t="b">
        <f>+ISNUMBER(SEARCH('F-VTA'!$G$23,Tabla11[[#This Row],[Cuenta]],1))</f>
        <v>0</v>
      </c>
      <c r="AG526" t="b">
        <f>+ISNUMBER(SEARCH('F-VTA'!$G$24,Tabla11[[#This Row],[Cuenta]],1))</f>
        <v>0</v>
      </c>
      <c r="AH526" t="b">
        <f>+ISNUMBER(SEARCH('F-VTA'!$G$25,Tabla11[[#This Row],[Cuenta]],1))</f>
        <v>0</v>
      </c>
      <c r="AI526" t="b">
        <f>+ISNUMBER(SEARCH('F-VTA'!$F$28,Tabla11[[#This Row],[Cuenta]],1))</f>
        <v>1</v>
      </c>
      <c r="AJ526" t="b">
        <f>+ISNUMBER(SEARCH('F-VTA'!$F$29,Tabla11[[#This Row],[Cuenta]],1))</f>
        <v>1</v>
      </c>
      <c r="AK526" t="b">
        <f>+ISNUMBER(SEARCH('F-VTA'!$F$30,Tabla11[[#This Row],[Cuenta]],1))</f>
        <v>1</v>
      </c>
      <c r="AL526" t="b">
        <f>+ISNUMBER(SEARCH('F-VTA'!$F$31,Tabla11[[#This Row],[Cuenta]],1))</f>
        <v>1</v>
      </c>
      <c r="AM526" t="b">
        <f>+ISNUMBER(SEARCH('F-VTA'!$F$32,Tabla11[[#This Row],[Cuenta]],1))</f>
        <v>1</v>
      </c>
      <c r="AN526" t="b">
        <f>+ISNUMBER(SEARCH('F-VTA'!$F$33,Tabla11[[#This Row],[Cuenta]],1))</f>
        <v>1</v>
      </c>
      <c r="AO526" t="b">
        <f>+ISNUMBER(SEARCH('F-VTA'!$F$34,Tabla11[[#This Row],[Cuenta]],1))</f>
        <v>1</v>
      </c>
      <c r="AP526" t="b">
        <f>+ISNUMBER(SEARCH('F-VTA'!$F$35,Tabla11[[#This Row],[Cuenta]],1))</f>
        <v>1</v>
      </c>
      <c r="AQ526" t="b">
        <f>+ISNUMBER(SEARCH('F-VTA'!$F$36,Tabla11[[#This Row],[Cuenta]],1))</f>
        <v>1</v>
      </c>
      <c r="AR526" t="b">
        <f>+ISNUMBER(SEARCH(#REF!,Tabla11[[#This Row],[Cuenta]],1))</f>
        <v>0</v>
      </c>
      <c r="AS526" t="b">
        <f>+ISNUMBER(SEARCH(#REF!,Tabla11[[#This Row],[Cuenta]],1))</f>
        <v>0</v>
      </c>
      <c r="AT526" t="b">
        <f>+ISNUMBER(SEARCH(#REF!,Tabla11[[#This Row],[Cuenta]],1))</f>
        <v>0</v>
      </c>
      <c r="AU526" t="b">
        <f>+ISNUMBER(SEARCH('Conc. Ban.1'!$I$9,Tabla11[[#This Row],[Cuenta]],1))</f>
        <v>0</v>
      </c>
      <c r="AV526" t="b">
        <f>+ISNUMBER(SEARCH(CompConta!$F$21,Tabla11[[#This Row],[Cuenta]],1))</f>
        <v>1</v>
      </c>
      <c r="AW526" t="b">
        <f>+ISNUMBER(SEARCH(CompConta!$F$22,Tabla11[[#This Row],[Cuenta]],1))</f>
        <v>1</v>
      </c>
      <c r="AX526" t="b">
        <f>+ISNUMBER(SEARCH(CompConta!$F$23,Tabla11[[#This Row],[Cuenta]],1))</f>
        <v>1</v>
      </c>
      <c r="AY526" t="b">
        <f>+ISNUMBER(SEARCH(CompConta!$F$24,Tabla11[[#This Row],[Cuenta]],1))</f>
        <v>1</v>
      </c>
      <c r="AZ526" t="b">
        <f>+ISNUMBER(SEARCH(CompConta!$F$25,Tabla11[[#This Row],[Cuenta]],1))</f>
        <v>1</v>
      </c>
      <c r="BA526" t="b">
        <f>+ISNUMBER(SEARCH(CompConta!$F$26,Tabla11[[#This Row],[Cuenta]],1))</f>
        <v>1</v>
      </c>
      <c r="BB526" t="b">
        <f>+ISNUMBER(SEARCH(CompConta!$F$27,Tabla11[[#This Row],[Cuenta]],1))</f>
        <v>1</v>
      </c>
      <c r="BC526" t="b">
        <f>+ISNUMBER(SEARCH(CompConta!$F$28,Tabla11[[#This Row],[Cuenta]],1))</f>
        <v>1</v>
      </c>
      <c r="BD526" t="b">
        <f>+ISNUMBER(SEARCH(CompConta!$F$29,Tabla11[[#This Row],[Cuenta]],1))</f>
        <v>1</v>
      </c>
      <c r="BE526" t="b">
        <f>+ISNUMBER(SEARCH(CompConta!$F$30,Tabla11[[#This Row],[Cuenta]],1))</f>
        <v>1</v>
      </c>
      <c r="BF526" t="b">
        <f>+ISNUMBER(SEARCH('PAGO Compras'!$E$11,Tabla11[[#This Row],[Cuenta]],1))</f>
        <v>1</v>
      </c>
      <c r="BG526" t="b">
        <f>+ISNUMBER(SEARCH(#REF!,Tabla11[[#This Row],[Cuenta]],1))</f>
        <v>0</v>
      </c>
      <c r="BH526" t="b">
        <f>+ISNUMBER(SEARCH(#REF!,Tabla11[[#This Row],[Cuenta]],1))</f>
        <v>0</v>
      </c>
      <c r="BI526" t="b">
        <f>+ISNUMBER(SEARCH(#REF!,Tabla11[[#This Row],[Cuenta]],1))</f>
        <v>0</v>
      </c>
      <c r="BJ526" t="b">
        <f>+ISNUMBER(SEARCH(#REF!,Tabla11[[#This Row],[Cuenta]],1))</f>
        <v>0</v>
      </c>
      <c r="BS526" t="str">
        <v>260595 Otros</v>
      </c>
      <c r="BT526" t="str">
        <v>260595 Otros</v>
      </c>
      <c r="BU526" t="str">
        <v>260595 Otros</v>
      </c>
      <c r="BV526" t="str">
        <v>260595 Otros</v>
      </c>
      <c r="BZ526" t="str">
        <v>260595 Otros</v>
      </c>
      <c r="CA526" t="str">
        <v>260595 Otros</v>
      </c>
      <c r="CB526" t="str">
        <v>260595 Otros</v>
      </c>
      <c r="CC526" t="str">
        <v>260595 Otros</v>
      </c>
      <c r="CD526" t="str">
        <v>260595 Otros</v>
      </c>
      <c r="CE526" t="str">
        <v>260595 Otros</v>
      </c>
      <c r="CS526" s="141" t="str">
        <v>260595 Otros</v>
      </c>
      <c r="CT526" s="141" t="str">
        <v>260595 Otros</v>
      </c>
      <c r="CU526" s="141" t="str">
        <v>260595 Otros</v>
      </c>
      <c r="CV526" s="141" t="str">
        <v>260595 Otros</v>
      </c>
      <c r="CW526" s="141" t="str">
        <v>260595 Otros</v>
      </c>
      <c r="CX526" s="141" t="str">
        <v>260595 Otros</v>
      </c>
      <c r="CY526" s="141" t="str">
        <v>260595 Otros</v>
      </c>
      <c r="CZ526" s="141" t="str">
        <v>260595 Otros</v>
      </c>
      <c r="DA526" s="141" t="str">
        <v>260595 Otros</v>
      </c>
      <c r="DF526" t="str">
        <v>260595 Otros</v>
      </c>
      <c r="DG526" t="str">
        <v>260595 Otros</v>
      </c>
      <c r="DH526" t="str">
        <v>260595 Otros</v>
      </c>
      <c r="DI526" t="str">
        <v>260595 Otros</v>
      </c>
      <c r="DJ526" t="str">
        <v>260595 Otros</v>
      </c>
      <c r="DK526" t="str">
        <v>260595 Otros</v>
      </c>
      <c r="DL526" t="str">
        <v>260595 Otros</v>
      </c>
      <c r="DM526" t="str">
        <v>260595 Otros</v>
      </c>
      <c r="DN526" t="str">
        <v>260595 Otros</v>
      </c>
      <c r="DO526" t="str">
        <v>260595 Otros</v>
      </c>
      <c r="DP526" t="str">
        <v>260595 Otros</v>
      </c>
    </row>
    <row r="527" spans="4:120" ht="12.75">
      <c r="D527" s="7">
        <v>2610</v>
      </c>
      <c r="E527" s="6" t="s">
        <v>396</v>
      </c>
      <c r="F527" s="5">
        <v>3</v>
      </c>
      <c r="G527" s="34" t="s">
        <v>824</v>
      </c>
      <c r="H527" s="26" t="s">
        <v>765</v>
      </c>
      <c r="I527" t="b">
        <f>+ISNUMBER(SEARCH('F-COMPRA'!$F$28,Tabla11[[#This Row],[Cuenta]],1))</f>
        <v>1</v>
      </c>
      <c r="J527" t="b">
        <f>+ISNUMBER(SEARCH('F-COMPRA'!$F$29,Tabla11[[#This Row],[Cuenta]],1))</f>
        <v>1</v>
      </c>
      <c r="K527" t="b">
        <f>+ISNUMBER(SEARCH('F-COMPRA'!$F$30,Tabla11[[#This Row],[Cuenta]],1))</f>
        <v>1</v>
      </c>
      <c r="L527" t="b">
        <f>+ISNUMBER(SEARCH('F-COMPRA'!$F$31,Tabla11[[#This Row],[Cuenta]],1))</f>
        <v>1</v>
      </c>
      <c r="M527" t="b">
        <f>+ISNUMBER(SEARCH('F-COMPRA'!$G$25,Tabla11[[#This Row],[Cuenta]],1))</f>
        <v>0</v>
      </c>
      <c r="N527" t="b">
        <f>+ISNUMBER(SEARCH(#REF!,Tabla11[[#This Row],[Cuenta]],1))</f>
        <v>0</v>
      </c>
      <c r="O527" t="b">
        <f>+ISNUMBER(SEARCH(#REF!,Tabla11[[#This Row],[Cuenta]],1))</f>
        <v>0</v>
      </c>
      <c r="P527" t="b">
        <f>+ISNUMBER(SEARCH('F-COMPRA'!$F$32,Tabla11[[#This Row],[Cuenta]],1))</f>
        <v>1</v>
      </c>
      <c r="Q527" t="b">
        <f>+ISNUMBER(SEARCH('F-COMPRA'!$F$33,Tabla11[[#This Row],[Cuenta]],1))</f>
        <v>1</v>
      </c>
      <c r="R527" t="b">
        <f>+ISNUMBER(SEARCH('F-COMPRA'!$F$34,Tabla11[[#This Row],[Cuenta]],1))</f>
        <v>1</v>
      </c>
      <c r="S527" t="b">
        <f>+ISNUMBER(SEARCH('F-COMPRA'!$F$35,Tabla11[[#This Row],[Cuenta]],1))</f>
        <v>1</v>
      </c>
      <c r="T527" t="b">
        <f>+ISNUMBER(SEARCH('F-COMPRA'!$F$36,Tabla11[[#This Row],[Cuenta]],1))</f>
        <v>1</v>
      </c>
      <c r="U527" t="b">
        <f>+ISNUMBER(SEARCH('F-COMPRA'!$F$37,Tabla11[[#This Row],[Cuenta]],1))</f>
        <v>1</v>
      </c>
      <c r="V527" t="b">
        <f>+ISNUMBER(SEARCH(#REF!,Tabla11[[#This Row],[Cuenta]],1))</f>
        <v>0</v>
      </c>
      <c r="W527" t="b">
        <f>+ISNUMBER(SEARCH('F-COMPRA'!#REF!,Tabla11[[#This Row],[Cuenta]],1))</f>
        <v>0</v>
      </c>
      <c r="X527" t="b">
        <f>+ISNUMBER(SEARCH('F-COMPRA'!#REF!,Tabla11[[#This Row],[Cuenta]],1))</f>
        <v>0</v>
      </c>
      <c r="Y527" t="b">
        <f>+ISNUMBER(SEARCH('F-COMPRA'!#REF!,Tabla11[[#This Row],[Cuenta]],1))</f>
        <v>0</v>
      </c>
      <c r="Z527" t="b">
        <f>+ISNUMBER(SEARCH('F-COMPRA'!#REF!,Tabla11[[#This Row],[Cuenta]],1))</f>
        <v>0</v>
      </c>
      <c r="AA527" t="b">
        <f>+ISNUMBER(SEARCH('F-COMPRA'!#REF!,Tabla11[[#This Row],[Cuenta]],1))</f>
        <v>0</v>
      </c>
      <c r="AB527" t="b">
        <f>+ISNUMBER(SEARCH('F-COMPRA'!#REF!,Tabla11[[#This Row],[Cuenta]],1))</f>
        <v>0</v>
      </c>
      <c r="AC527" t="b">
        <f>+ISNUMBER(SEARCH('F-COMPRA'!#REF!,Tabla11[[#This Row],[Cuenta]],1))</f>
        <v>0</v>
      </c>
      <c r="AD527" t="b">
        <f>+ISNUMBER(SEARCH('F-COMPRA'!#REF!,Tabla11[[#This Row],[Cuenta]],1))</f>
        <v>0</v>
      </c>
      <c r="AE527" t="b">
        <f>+ISNUMBER(SEARCH('F-COMPRA'!#REF!,Tabla11[[#This Row],[Cuenta]],1))</f>
        <v>0</v>
      </c>
      <c r="AF527" t="b">
        <f>+ISNUMBER(SEARCH('F-VTA'!$G$23,Tabla11[[#This Row],[Cuenta]],1))</f>
        <v>0</v>
      </c>
      <c r="AG527" t="b">
        <f>+ISNUMBER(SEARCH('F-VTA'!$G$24,Tabla11[[#This Row],[Cuenta]],1))</f>
        <v>0</v>
      </c>
      <c r="AH527" t="b">
        <f>+ISNUMBER(SEARCH('F-VTA'!$G$25,Tabla11[[#This Row],[Cuenta]],1))</f>
        <v>0</v>
      </c>
      <c r="AI527" t="b">
        <f>+ISNUMBER(SEARCH('F-VTA'!$F$28,Tabla11[[#This Row],[Cuenta]],1))</f>
        <v>1</v>
      </c>
      <c r="AJ527" t="b">
        <f>+ISNUMBER(SEARCH('F-VTA'!$F$29,Tabla11[[#This Row],[Cuenta]],1))</f>
        <v>1</v>
      </c>
      <c r="AK527" t="b">
        <f>+ISNUMBER(SEARCH('F-VTA'!$F$30,Tabla11[[#This Row],[Cuenta]],1))</f>
        <v>1</v>
      </c>
      <c r="AL527" t="b">
        <f>+ISNUMBER(SEARCH('F-VTA'!$F$31,Tabla11[[#This Row],[Cuenta]],1))</f>
        <v>1</v>
      </c>
      <c r="AM527" t="b">
        <f>+ISNUMBER(SEARCH('F-VTA'!$F$32,Tabla11[[#This Row],[Cuenta]],1))</f>
        <v>1</v>
      </c>
      <c r="AN527" t="b">
        <f>+ISNUMBER(SEARCH('F-VTA'!$F$33,Tabla11[[#This Row],[Cuenta]],1))</f>
        <v>1</v>
      </c>
      <c r="AO527" t="b">
        <f>+ISNUMBER(SEARCH('F-VTA'!$F$34,Tabla11[[#This Row],[Cuenta]],1))</f>
        <v>1</v>
      </c>
      <c r="AP527" t="b">
        <f>+ISNUMBER(SEARCH('F-VTA'!$F$35,Tabla11[[#This Row],[Cuenta]],1))</f>
        <v>1</v>
      </c>
      <c r="AQ527" t="b">
        <f>+ISNUMBER(SEARCH('F-VTA'!$F$36,Tabla11[[#This Row],[Cuenta]],1))</f>
        <v>1</v>
      </c>
      <c r="AR527" t="b">
        <f>+ISNUMBER(SEARCH(#REF!,Tabla11[[#This Row],[Cuenta]],1))</f>
        <v>0</v>
      </c>
      <c r="AS527" t="b">
        <f>+ISNUMBER(SEARCH(#REF!,Tabla11[[#This Row],[Cuenta]],1))</f>
        <v>0</v>
      </c>
      <c r="AT527" t="b">
        <f>+ISNUMBER(SEARCH(#REF!,Tabla11[[#This Row],[Cuenta]],1))</f>
        <v>0</v>
      </c>
      <c r="AU527" t="b">
        <f>+ISNUMBER(SEARCH('Conc. Ban.1'!$I$9,Tabla11[[#This Row],[Cuenta]],1))</f>
        <v>0</v>
      </c>
      <c r="AV527" t="b">
        <f>+ISNUMBER(SEARCH(CompConta!$F$21,Tabla11[[#This Row],[Cuenta]],1))</f>
        <v>1</v>
      </c>
      <c r="AW527" t="b">
        <f>+ISNUMBER(SEARCH(CompConta!$F$22,Tabla11[[#This Row],[Cuenta]],1))</f>
        <v>1</v>
      </c>
      <c r="AX527" t="b">
        <f>+ISNUMBER(SEARCH(CompConta!$F$23,Tabla11[[#This Row],[Cuenta]],1))</f>
        <v>1</v>
      </c>
      <c r="AY527" t="b">
        <f>+ISNUMBER(SEARCH(CompConta!$F$24,Tabla11[[#This Row],[Cuenta]],1))</f>
        <v>1</v>
      </c>
      <c r="AZ527" t="b">
        <f>+ISNUMBER(SEARCH(CompConta!$F$25,Tabla11[[#This Row],[Cuenta]],1))</f>
        <v>1</v>
      </c>
      <c r="BA527" t="b">
        <f>+ISNUMBER(SEARCH(CompConta!$F$26,Tabla11[[#This Row],[Cuenta]],1))</f>
        <v>1</v>
      </c>
      <c r="BB527" t="b">
        <f>+ISNUMBER(SEARCH(CompConta!$F$27,Tabla11[[#This Row],[Cuenta]],1))</f>
        <v>1</v>
      </c>
      <c r="BC527" t="b">
        <f>+ISNUMBER(SEARCH(CompConta!$F$28,Tabla11[[#This Row],[Cuenta]],1))</f>
        <v>1</v>
      </c>
      <c r="BD527" t="b">
        <f>+ISNUMBER(SEARCH(CompConta!$F$29,Tabla11[[#This Row],[Cuenta]],1))</f>
        <v>1</v>
      </c>
      <c r="BE527" t="b">
        <f>+ISNUMBER(SEARCH(CompConta!$F$30,Tabla11[[#This Row],[Cuenta]],1))</f>
        <v>1</v>
      </c>
      <c r="BF527" t="b">
        <f>+ISNUMBER(SEARCH('PAGO Compras'!$E$11,Tabla11[[#This Row],[Cuenta]],1))</f>
        <v>1</v>
      </c>
      <c r="BG527" t="b">
        <f>+ISNUMBER(SEARCH(#REF!,Tabla11[[#This Row],[Cuenta]],1))</f>
        <v>0</v>
      </c>
      <c r="BH527" t="b">
        <f>+ISNUMBER(SEARCH(#REF!,Tabla11[[#This Row],[Cuenta]],1))</f>
        <v>0</v>
      </c>
      <c r="BI527" t="b">
        <f>+ISNUMBER(SEARCH(#REF!,Tabla11[[#This Row],[Cuenta]],1))</f>
        <v>0</v>
      </c>
      <c r="BJ527" t="b">
        <f>+ISNUMBER(SEARCH(#REF!,Tabla11[[#This Row],[Cuenta]],1))</f>
        <v>0</v>
      </c>
      <c r="BS527" t="str">
        <v>2610 PARA OBLIGACIONES LABORALES</v>
      </c>
      <c r="BT527" t="str">
        <v>2610 PARA OBLIGACIONES LABORALES</v>
      </c>
      <c r="BU527" t="str">
        <v>2610 PARA OBLIGACIONES LABORALES</v>
      </c>
      <c r="BV527" t="str">
        <v>2610 PARA OBLIGACIONES LABORALES</v>
      </c>
      <c r="BZ527" t="str">
        <v>2610 PARA OBLIGACIONES LABORALES</v>
      </c>
      <c r="CA527" t="str">
        <v>2610 PARA OBLIGACIONES LABORALES</v>
      </c>
      <c r="CB527" t="str">
        <v>2610 PARA OBLIGACIONES LABORALES</v>
      </c>
      <c r="CC527" t="str">
        <v>2610 PARA OBLIGACIONES LABORALES</v>
      </c>
      <c r="CD527" t="str">
        <v>2610 PARA OBLIGACIONES LABORALES</v>
      </c>
      <c r="CE527" t="str">
        <v>2610 PARA OBLIGACIONES LABORALES</v>
      </c>
      <c r="CS527" s="141" t="str">
        <v>2610 PARA OBLIGACIONES LABORALES</v>
      </c>
      <c r="CT527" s="141" t="str">
        <v>2610 PARA OBLIGACIONES LABORALES</v>
      </c>
      <c r="CU527" s="141" t="str">
        <v>2610 PARA OBLIGACIONES LABORALES</v>
      </c>
      <c r="CV527" s="141" t="str">
        <v>2610 PARA OBLIGACIONES LABORALES</v>
      </c>
      <c r="CW527" s="141" t="str">
        <v>2610 PARA OBLIGACIONES LABORALES</v>
      </c>
      <c r="CX527" s="141" t="str">
        <v>2610 PARA OBLIGACIONES LABORALES</v>
      </c>
      <c r="CY527" s="141" t="str">
        <v>2610 PARA OBLIGACIONES LABORALES</v>
      </c>
      <c r="CZ527" s="141" t="str">
        <v>2610 PARA OBLIGACIONES LABORALES</v>
      </c>
      <c r="DA527" s="141" t="str">
        <v>2610 PARA OBLIGACIONES LABORALES</v>
      </c>
      <c r="DF527" t="str">
        <v>2610 PARA OBLIGACIONES LABORALES</v>
      </c>
      <c r="DG527" t="str">
        <v>2610 PARA OBLIGACIONES LABORALES</v>
      </c>
      <c r="DH527" t="str">
        <v>2610 PARA OBLIGACIONES LABORALES</v>
      </c>
      <c r="DI527" t="str">
        <v>2610 PARA OBLIGACIONES LABORALES</v>
      </c>
      <c r="DJ527" t="str">
        <v>2610 PARA OBLIGACIONES LABORALES</v>
      </c>
      <c r="DK527" t="str">
        <v>2610 PARA OBLIGACIONES LABORALES</v>
      </c>
      <c r="DL527" t="str">
        <v>2610 PARA OBLIGACIONES LABORALES</v>
      </c>
      <c r="DM527" t="str">
        <v>2610 PARA OBLIGACIONES LABORALES</v>
      </c>
      <c r="DN527" t="str">
        <v>2610 PARA OBLIGACIONES LABORALES</v>
      </c>
      <c r="DO527" t="str">
        <v>2610 PARA OBLIGACIONES LABORALES</v>
      </c>
      <c r="DP527" t="str">
        <v>2610 PARA OBLIGACIONES LABORALES</v>
      </c>
    </row>
    <row r="528" spans="4:120" ht="12.75">
      <c r="D528" s="7">
        <v>261005</v>
      </c>
      <c r="E528" s="6" t="s">
        <v>397</v>
      </c>
      <c r="F528" s="5">
        <v>4</v>
      </c>
      <c r="G528" s="34" t="s">
        <v>824</v>
      </c>
      <c r="H528" s="26" t="s">
        <v>765</v>
      </c>
      <c r="I528" t="b">
        <f>+ISNUMBER(SEARCH('F-COMPRA'!$F$28,Tabla11[[#This Row],[Cuenta]],1))</f>
        <v>1</v>
      </c>
      <c r="J528" t="b">
        <f>+ISNUMBER(SEARCH('F-COMPRA'!$F$29,Tabla11[[#This Row],[Cuenta]],1))</f>
        <v>1</v>
      </c>
      <c r="K528" t="b">
        <f>+ISNUMBER(SEARCH('F-COMPRA'!$F$30,Tabla11[[#This Row],[Cuenta]],1))</f>
        <v>1</v>
      </c>
      <c r="L528" t="b">
        <f>+ISNUMBER(SEARCH('F-COMPRA'!$F$31,Tabla11[[#This Row],[Cuenta]],1))</f>
        <v>1</v>
      </c>
      <c r="M528" t="b">
        <f>+ISNUMBER(SEARCH('F-COMPRA'!$G$25,Tabla11[[#This Row],[Cuenta]],1))</f>
        <v>0</v>
      </c>
      <c r="N528" t="b">
        <f>+ISNUMBER(SEARCH(#REF!,Tabla11[[#This Row],[Cuenta]],1))</f>
        <v>0</v>
      </c>
      <c r="O528" t="b">
        <f>+ISNUMBER(SEARCH(#REF!,Tabla11[[#This Row],[Cuenta]],1))</f>
        <v>0</v>
      </c>
      <c r="P528" t="b">
        <f>+ISNUMBER(SEARCH('F-COMPRA'!$F$32,Tabla11[[#This Row],[Cuenta]],1))</f>
        <v>1</v>
      </c>
      <c r="Q528" t="b">
        <f>+ISNUMBER(SEARCH('F-COMPRA'!$F$33,Tabla11[[#This Row],[Cuenta]],1))</f>
        <v>1</v>
      </c>
      <c r="R528" t="b">
        <f>+ISNUMBER(SEARCH('F-COMPRA'!$F$34,Tabla11[[#This Row],[Cuenta]],1))</f>
        <v>1</v>
      </c>
      <c r="S528" t="b">
        <f>+ISNUMBER(SEARCH('F-COMPRA'!$F$35,Tabla11[[#This Row],[Cuenta]],1))</f>
        <v>1</v>
      </c>
      <c r="T528" t="b">
        <f>+ISNUMBER(SEARCH('F-COMPRA'!$F$36,Tabla11[[#This Row],[Cuenta]],1))</f>
        <v>1</v>
      </c>
      <c r="U528" t="b">
        <f>+ISNUMBER(SEARCH('F-COMPRA'!$F$37,Tabla11[[#This Row],[Cuenta]],1))</f>
        <v>1</v>
      </c>
      <c r="V528" t="b">
        <f>+ISNUMBER(SEARCH(#REF!,Tabla11[[#This Row],[Cuenta]],1))</f>
        <v>0</v>
      </c>
      <c r="W528" t="b">
        <f>+ISNUMBER(SEARCH('F-COMPRA'!#REF!,Tabla11[[#This Row],[Cuenta]],1))</f>
        <v>0</v>
      </c>
      <c r="X528" t="b">
        <f>+ISNUMBER(SEARCH('F-COMPRA'!#REF!,Tabla11[[#This Row],[Cuenta]],1))</f>
        <v>0</v>
      </c>
      <c r="Y528" t="b">
        <f>+ISNUMBER(SEARCH('F-COMPRA'!#REF!,Tabla11[[#This Row],[Cuenta]],1))</f>
        <v>0</v>
      </c>
      <c r="Z528" t="b">
        <f>+ISNUMBER(SEARCH('F-COMPRA'!#REF!,Tabla11[[#This Row],[Cuenta]],1))</f>
        <v>0</v>
      </c>
      <c r="AA528" t="b">
        <f>+ISNUMBER(SEARCH('F-COMPRA'!#REF!,Tabla11[[#This Row],[Cuenta]],1))</f>
        <v>0</v>
      </c>
      <c r="AB528" t="b">
        <f>+ISNUMBER(SEARCH('F-COMPRA'!#REF!,Tabla11[[#This Row],[Cuenta]],1))</f>
        <v>0</v>
      </c>
      <c r="AC528" t="b">
        <f>+ISNUMBER(SEARCH('F-COMPRA'!#REF!,Tabla11[[#This Row],[Cuenta]],1))</f>
        <v>0</v>
      </c>
      <c r="AD528" t="b">
        <f>+ISNUMBER(SEARCH('F-COMPRA'!#REF!,Tabla11[[#This Row],[Cuenta]],1))</f>
        <v>0</v>
      </c>
      <c r="AE528" t="b">
        <f>+ISNUMBER(SEARCH('F-COMPRA'!#REF!,Tabla11[[#This Row],[Cuenta]],1))</f>
        <v>0</v>
      </c>
      <c r="AF528" t="b">
        <f>+ISNUMBER(SEARCH('F-VTA'!$G$23,Tabla11[[#This Row],[Cuenta]],1))</f>
        <v>0</v>
      </c>
      <c r="AG528" t="b">
        <f>+ISNUMBER(SEARCH('F-VTA'!$G$24,Tabla11[[#This Row],[Cuenta]],1))</f>
        <v>0</v>
      </c>
      <c r="AH528" t="b">
        <f>+ISNUMBER(SEARCH('F-VTA'!$G$25,Tabla11[[#This Row],[Cuenta]],1))</f>
        <v>0</v>
      </c>
      <c r="AI528" t="b">
        <f>+ISNUMBER(SEARCH('F-VTA'!$F$28,Tabla11[[#This Row],[Cuenta]],1))</f>
        <v>1</v>
      </c>
      <c r="AJ528" t="b">
        <f>+ISNUMBER(SEARCH('F-VTA'!$F$29,Tabla11[[#This Row],[Cuenta]],1))</f>
        <v>1</v>
      </c>
      <c r="AK528" t="b">
        <f>+ISNUMBER(SEARCH('F-VTA'!$F$30,Tabla11[[#This Row],[Cuenta]],1))</f>
        <v>1</v>
      </c>
      <c r="AL528" t="b">
        <f>+ISNUMBER(SEARCH('F-VTA'!$F$31,Tabla11[[#This Row],[Cuenta]],1))</f>
        <v>1</v>
      </c>
      <c r="AM528" t="b">
        <f>+ISNUMBER(SEARCH('F-VTA'!$F$32,Tabla11[[#This Row],[Cuenta]],1))</f>
        <v>1</v>
      </c>
      <c r="AN528" t="b">
        <f>+ISNUMBER(SEARCH('F-VTA'!$F$33,Tabla11[[#This Row],[Cuenta]],1))</f>
        <v>1</v>
      </c>
      <c r="AO528" t="b">
        <f>+ISNUMBER(SEARCH('F-VTA'!$F$34,Tabla11[[#This Row],[Cuenta]],1))</f>
        <v>1</v>
      </c>
      <c r="AP528" t="b">
        <f>+ISNUMBER(SEARCH('F-VTA'!$F$35,Tabla11[[#This Row],[Cuenta]],1))</f>
        <v>1</v>
      </c>
      <c r="AQ528" t="b">
        <f>+ISNUMBER(SEARCH('F-VTA'!$F$36,Tabla11[[#This Row],[Cuenta]],1))</f>
        <v>1</v>
      </c>
      <c r="AR528" t="b">
        <f>+ISNUMBER(SEARCH(#REF!,Tabla11[[#This Row],[Cuenta]],1))</f>
        <v>0</v>
      </c>
      <c r="AS528" t="b">
        <f>+ISNUMBER(SEARCH(#REF!,Tabla11[[#This Row],[Cuenta]],1))</f>
        <v>0</v>
      </c>
      <c r="AT528" t="b">
        <f>+ISNUMBER(SEARCH(#REF!,Tabla11[[#This Row],[Cuenta]],1))</f>
        <v>0</v>
      </c>
      <c r="AU528" t="b">
        <f>+ISNUMBER(SEARCH('Conc. Ban.1'!$I$9,Tabla11[[#This Row],[Cuenta]],1))</f>
        <v>0</v>
      </c>
      <c r="AV528" t="b">
        <f>+ISNUMBER(SEARCH(CompConta!$F$21,Tabla11[[#This Row],[Cuenta]],1))</f>
        <v>1</v>
      </c>
      <c r="AW528" t="b">
        <f>+ISNUMBER(SEARCH(CompConta!$F$22,Tabla11[[#This Row],[Cuenta]],1))</f>
        <v>1</v>
      </c>
      <c r="AX528" t="b">
        <f>+ISNUMBER(SEARCH(CompConta!$F$23,Tabla11[[#This Row],[Cuenta]],1))</f>
        <v>1</v>
      </c>
      <c r="AY528" t="b">
        <f>+ISNUMBER(SEARCH(CompConta!$F$24,Tabla11[[#This Row],[Cuenta]],1))</f>
        <v>1</v>
      </c>
      <c r="AZ528" t="b">
        <f>+ISNUMBER(SEARCH(CompConta!$F$25,Tabla11[[#This Row],[Cuenta]],1))</f>
        <v>1</v>
      </c>
      <c r="BA528" t="b">
        <f>+ISNUMBER(SEARCH(CompConta!$F$26,Tabla11[[#This Row],[Cuenta]],1))</f>
        <v>1</v>
      </c>
      <c r="BB528" t="b">
        <f>+ISNUMBER(SEARCH(CompConta!$F$27,Tabla11[[#This Row],[Cuenta]],1))</f>
        <v>1</v>
      </c>
      <c r="BC528" t="b">
        <f>+ISNUMBER(SEARCH(CompConta!$F$28,Tabla11[[#This Row],[Cuenta]],1))</f>
        <v>1</v>
      </c>
      <c r="BD528" t="b">
        <f>+ISNUMBER(SEARCH(CompConta!$F$29,Tabla11[[#This Row],[Cuenta]],1))</f>
        <v>1</v>
      </c>
      <c r="BE528" t="b">
        <f>+ISNUMBER(SEARCH(CompConta!$F$30,Tabla11[[#This Row],[Cuenta]],1))</f>
        <v>1</v>
      </c>
      <c r="BF528" t="b">
        <f>+ISNUMBER(SEARCH('PAGO Compras'!$E$11,Tabla11[[#This Row],[Cuenta]],1))</f>
        <v>1</v>
      </c>
      <c r="BG528" t="b">
        <f>+ISNUMBER(SEARCH(#REF!,Tabla11[[#This Row],[Cuenta]],1))</f>
        <v>0</v>
      </c>
      <c r="BH528" t="b">
        <f>+ISNUMBER(SEARCH(#REF!,Tabla11[[#This Row],[Cuenta]],1))</f>
        <v>0</v>
      </c>
      <c r="BI528" t="b">
        <f>+ISNUMBER(SEARCH(#REF!,Tabla11[[#This Row],[Cuenta]],1))</f>
        <v>0</v>
      </c>
      <c r="BJ528" t="b">
        <f>+ISNUMBER(SEARCH(#REF!,Tabla11[[#This Row],[Cuenta]],1))</f>
        <v>0</v>
      </c>
      <c r="BS528" t="str">
        <v>261005 Cesantías</v>
      </c>
      <c r="BT528" t="str">
        <v>261005 Cesantías</v>
      </c>
      <c r="BU528" t="str">
        <v>261005 Cesantías</v>
      </c>
      <c r="BV528" t="str">
        <v>261005 Cesantías</v>
      </c>
      <c r="BZ528" t="str">
        <v>261005 Cesantías</v>
      </c>
      <c r="CA528" t="str">
        <v>261005 Cesantías</v>
      </c>
      <c r="CB528" t="str">
        <v>261005 Cesantías</v>
      </c>
      <c r="CC528" t="str">
        <v>261005 Cesantías</v>
      </c>
      <c r="CD528" t="str">
        <v>261005 Cesantías</v>
      </c>
      <c r="CE528" t="str">
        <v>261005 Cesantías</v>
      </c>
      <c r="CS528" s="141" t="str">
        <v>261005 Cesantías</v>
      </c>
      <c r="CT528" s="141" t="str">
        <v>261005 Cesantías</v>
      </c>
      <c r="CU528" s="141" t="str">
        <v>261005 Cesantías</v>
      </c>
      <c r="CV528" s="141" t="str">
        <v>261005 Cesantías</v>
      </c>
      <c r="CW528" s="141" t="str">
        <v>261005 Cesantías</v>
      </c>
      <c r="CX528" s="141" t="str">
        <v>261005 Cesantías</v>
      </c>
      <c r="CY528" s="141" t="str">
        <v>261005 Cesantías</v>
      </c>
      <c r="CZ528" s="141" t="str">
        <v>261005 Cesantías</v>
      </c>
      <c r="DA528" s="141" t="str">
        <v>261005 Cesantías</v>
      </c>
      <c r="DF528" t="str">
        <v>261005 Cesantías</v>
      </c>
      <c r="DG528" t="str">
        <v>261005 Cesantías</v>
      </c>
      <c r="DH528" t="str">
        <v>261005 Cesantías</v>
      </c>
      <c r="DI528" t="str">
        <v>261005 Cesantías</v>
      </c>
      <c r="DJ528" t="str">
        <v>261005 Cesantías</v>
      </c>
      <c r="DK528" t="str">
        <v>261005 Cesantías</v>
      </c>
      <c r="DL528" t="str">
        <v>261005 Cesantías</v>
      </c>
      <c r="DM528" t="str">
        <v>261005 Cesantías</v>
      </c>
      <c r="DN528" t="str">
        <v>261005 Cesantías</v>
      </c>
      <c r="DO528" t="str">
        <v>261005 Cesantías</v>
      </c>
      <c r="DP528" t="str">
        <v>261005 Cesantías</v>
      </c>
    </row>
    <row r="529" spans="4:120" ht="12.75">
      <c r="D529" s="7">
        <v>261010</v>
      </c>
      <c r="E529" s="6" t="s">
        <v>398</v>
      </c>
      <c r="F529" s="5">
        <v>4</v>
      </c>
      <c r="G529" s="34" t="s">
        <v>824</v>
      </c>
      <c r="H529" s="26" t="s">
        <v>765</v>
      </c>
      <c r="I529" t="b">
        <f>+ISNUMBER(SEARCH('F-COMPRA'!$F$28,Tabla11[[#This Row],[Cuenta]],1))</f>
        <v>1</v>
      </c>
      <c r="J529" t="b">
        <f>+ISNUMBER(SEARCH('F-COMPRA'!$F$29,Tabla11[[#This Row],[Cuenta]],1))</f>
        <v>1</v>
      </c>
      <c r="K529" t="b">
        <f>+ISNUMBER(SEARCH('F-COMPRA'!$F$30,Tabla11[[#This Row],[Cuenta]],1))</f>
        <v>1</v>
      </c>
      <c r="L529" t="b">
        <f>+ISNUMBER(SEARCH('F-COMPRA'!$F$31,Tabla11[[#This Row],[Cuenta]],1))</f>
        <v>1</v>
      </c>
      <c r="M529" t="b">
        <f>+ISNUMBER(SEARCH('F-COMPRA'!$G$25,Tabla11[[#This Row],[Cuenta]],1))</f>
        <v>0</v>
      </c>
      <c r="N529" t="b">
        <f>+ISNUMBER(SEARCH(#REF!,Tabla11[[#This Row],[Cuenta]],1))</f>
        <v>0</v>
      </c>
      <c r="O529" t="b">
        <f>+ISNUMBER(SEARCH(#REF!,Tabla11[[#This Row],[Cuenta]],1))</f>
        <v>0</v>
      </c>
      <c r="P529" t="b">
        <f>+ISNUMBER(SEARCH('F-COMPRA'!$F$32,Tabla11[[#This Row],[Cuenta]],1))</f>
        <v>1</v>
      </c>
      <c r="Q529" t="b">
        <f>+ISNUMBER(SEARCH('F-COMPRA'!$F$33,Tabla11[[#This Row],[Cuenta]],1))</f>
        <v>1</v>
      </c>
      <c r="R529" t="b">
        <f>+ISNUMBER(SEARCH('F-COMPRA'!$F$34,Tabla11[[#This Row],[Cuenta]],1))</f>
        <v>1</v>
      </c>
      <c r="S529" t="b">
        <f>+ISNUMBER(SEARCH('F-COMPRA'!$F$35,Tabla11[[#This Row],[Cuenta]],1))</f>
        <v>1</v>
      </c>
      <c r="T529" t="b">
        <f>+ISNUMBER(SEARCH('F-COMPRA'!$F$36,Tabla11[[#This Row],[Cuenta]],1))</f>
        <v>1</v>
      </c>
      <c r="U529" t="b">
        <f>+ISNUMBER(SEARCH('F-COMPRA'!$F$37,Tabla11[[#This Row],[Cuenta]],1))</f>
        <v>1</v>
      </c>
      <c r="V529" t="b">
        <f>+ISNUMBER(SEARCH(#REF!,Tabla11[[#This Row],[Cuenta]],1))</f>
        <v>0</v>
      </c>
      <c r="W529" t="b">
        <f>+ISNUMBER(SEARCH('F-COMPRA'!#REF!,Tabla11[[#This Row],[Cuenta]],1))</f>
        <v>0</v>
      </c>
      <c r="X529" t="b">
        <f>+ISNUMBER(SEARCH('F-COMPRA'!#REF!,Tabla11[[#This Row],[Cuenta]],1))</f>
        <v>0</v>
      </c>
      <c r="Y529" t="b">
        <f>+ISNUMBER(SEARCH('F-COMPRA'!#REF!,Tabla11[[#This Row],[Cuenta]],1))</f>
        <v>0</v>
      </c>
      <c r="Z529" t="b">
        <f>+ISNUMBER(SEARCH('F-COMPRA'!#REF!,Tabla11[[#This Row],[Cuenta]],1))</f>
        <v>0</v>
      </c>
      <c r="AA529" t="b">
        <f>+ISNUMBER(SEARCH('F-COMPRA'!#REF!,Tabla11[[#This Row],[Cuenta]],1))</f>
        <v>0</v>
      </c>
      <c r="AB529" t="b">
        <f>+ISNUMBER(SEARCH('F-COMPRA'!#REF!,Tabla11[[#This Row],[Cuenta]],1))</f>
        <v>0</v>
      </c>
      <c r="AC529" t="b">
        <f>+ISNUMBER(SEARCH('F-COMPRA'!#REF!,Tabla11[[#This Row],[Cuenta]],1))</f>
        <v>0</v>
      </c>
      <c r="AD529" t="b">
        <f>+ISNUMBER(SEARCH('F-COMPRA'!#REF!,Tabla11[[#This Row],[Cuenta]],1))</f>
        <v>0</v>
      </c>
      <c r="AE529" t="b">
        <f>+ISNUMBER(SEARCH('F-COMPRA'!#REF!,Tabla11[[#This Row],[Cuenta]],1))</f>
        <v>0</v>
      </c>
      <c r="AF529" t="b">
        <f>+ISNUMBER(SEARCH('F-VTA'!$G$23,Tabla11[[#This Row],[Cuenta]],1))</f>
        <v>0</v>
      </c>
      <c r="AG529" t="b">
        <f>+ISNUMBER(SEARCH('F-VTA'!$G$24,Tabla11[[#This Row],[Cuenta]],1))</f>
        <v>0</v>
      </c>
      <c r="AH529" t="b">
        <f>+ISNUMBER(SEARCH('F-VTA'!$G$25,Tabla11[[#This Row],[Cuenta]],1))</f>
        <v>0</v>
      </c>
      <c r="AI529" t="b">
        <f>+ISNUMBER(SEARCH('F-VTA'!$F$28,Tabla11[[#This Row],[Cuenta]],1))</f>
        <v>1</v>
      </c>
      <c r="AJ529" t="b">
        <f>+ISNUMBER(SEARCH('F-VTA'!$F$29,Tabla11[[#This Row],[Cuenta]],1))</f>
        <v>1</v>
      </c>
      <c r="AK529" t="b">
        <f>+ISNUMBER(SEARCH('F-VTA'!$F$30,Tabla11[[#This Row],[Cuenta]],1))</f>
        <v>1</v>
      </c>
      <c r="AL529" t="b">
        <f>+ISNUMBER(SEARCH('F-VTA'!$F$31,Tabla11[[#This Row],[Cuenta]],1))</f>
        <v>1</v>
      </c>
      <c r="AM529" t="b">
        <f>+ISNUMBER(SEARCH('F-VTA'!$F$32,Tabla11[[#This Row],[Cuenta]],1))</f>
        <v>1</v>
      </c>
      <c r="AN529" t="b">
        <f>+ISNUMBER(SEARCH('F-VTA'!$F$33,Tabla11[[#This Row],[Cuenta]],1))</f>
        <v>1</v>
      </c>
      <c r="AO529" t="b">
        <f>+ISNUMBER(SEARCH('F-VTA'!$F$34,Tabla11[[#This Row],[Cuenta]],1))</f>
        <v>1</v>
      </c>
      <c r="AP529" t="b">
        <f>+ISNUMBER(SEARCH('F-VTA'!$F$35,Tabla11[[#This Row],[Cuenta]],1))</f>
        <v>1</v>
      </c>
      <c r="AQ529" t="b">
        <f>+ISNUMBER(SEARCH('F-VTA'!$F$36,Tabla11[[#This Row],[Cuenta]],1))</f>
        <v>1</v>
      </c>
      <c r="AR529" t="b">
        <f>+ISNUMBER(SEARCH(#REF!,Tabla11[[#This Row],[Cuenta]],1))</f>
        <v>0</v>
      </c>
      <c r="AS529" t="b">
        <f>+ISNUMBER(SEARCH(#REF!,Tabla11[[#This Row],[Cuenta]],1))</f>
        <v>0</v>
      </c>
      <c r="AT529" t="b">
        <f>+ISNUMBER(SEARCH(#REF!,Tabla11[[#This Row],[Cuenta]],1))</f>
        <v>0</v>
      </c>
      <c r="AU529" t="b">
        <f>+ISNUMBER(SEARCH('Conc. Ban.1'!$I$9,Tabla11[[#This Row],[Cuenta]],1))</f>
        <v>0</v>
      </c>
      <c r="AV529" t="b">
        <f>+ISNUMBER(SEARCH(CompConta!$F$21,Tabla11[[#This Row],[Cuenta]],1))</f>
        <v>1</v>
      </c>
      <c r="AW529" t="b">
        <f>+ISNUMBER(SEARCH(CompConta!$F$22,Tabla11[[#This Row],[Cuenta]],1))</f>
        <v>1</v>
      </c>
      <c r="AX529" t="b">
        <f>+ISNUMBER(SEARCH(CompConta!$F$23,Tabla11[[#This Row],[Cuenta]],1))</f>
        <v>1</v>
      </c>
      <c r="AY529" t="b">
        <f>+ISNUMBER(SEARCH(CompConta!$F$24,Tabla11[[#This Row],[Cuenta]],1))</f>
        <v>1</v>
      </c>
      <c r="AZ529" t="b">
        <f>+ISNUMBER(SEARCH(CompConta!$F$25,Tabla11[[#This Row],[Cuenta]],1))</f>
        <v>1</v>
      </c>
      <c r="BA529" t="b">
        <f>+ISNUMBER(SEARCH(CompConta!$F$26,Tabla11[[#This Row],[Cuenta]],1))</f>
        <v>1</v>
      </c>
      <c r="BB529" t="b">
        <f>+ISNUMBER(SEARCH(CompConta!$F$27,Tabla11[[#This Row],[Cuenta]],1))</f>
        <v>1</v>
      </c>
      <c r="BC529" t="b">
        <f>+ISNUMBER(SEARCH(CompConta!$F$28,Tabla11[[#This Row],[Cuenta]],1))</f>
        <v>1</v>
      </c>
      <c r="BD529" t="b">
        <f>+ISNUMBER(SEARCH(CompConta!$F$29,Tabla11[[#This Row],[Cuenta]],1))</f>
        <v>1</v>
      </c>
      <c r="BE529" t="b">
        <f>+ISNUMBER(SEARCH(CompConta!$F$30,Tabla11[[#This Row],[Cuenta]],1))</f>
        <v>1</v>
      </c>
      <c r="BF529" t="b">
        <f>+ISNUMBER(SEARCH('PAGO Compras'!$E$11,Tabla11[[#This Row],[Cuenta]],1))</f>
        <v>1</v>
      </c>
      <c r="BG529" t="b">
        <f>+ISNUMBER(SEARCH(#REF!,Tabla11[[#This Row],[Cuenta]],1))</f>
        <v>0</v>
      </c>
      <c r="BH529" t="b">
        <f>+ISNUMBER(SEARCH(#REF!,Tabla11[[#This Row],[Cuenta]],1))</f>
        <v>0</v>
      </c>
      <c r="BI529" t="b">
        <f>+ISNUMBER(SEARCH(#REF!,Tabla11[[#This Row],[Cuenta]],1))</f>
        <v>0</v>
      </c>
      <c r="BJ529" t="b">
        <f>+ISNUMBER(SEARCH(#REF!,Tabla11[[#This Row],[Cuenta]],1))</f>
        <v>0</v>
      </c>
      <c r="BS529" t="str">
        <v>261010 Intereses sobre cesantías</v>
      </c>
      <c r="BT529" t="str">
        <v>261010 Intereses sobre cesantías</v>
      </c>
      <c r="BU529" t="str">
        <v>261010 Intereses sobre cesantías</v>
      </c>
      <c r="BV529" t="str">
        <v>261010 Intereses sobre cesantías</v>
      </c>
      <c r="BZ529" t="str">
        <v>261010 Intereses sobre cesantías</v>
      </c>
      <c r="CA529" t="str">
        <v>261010 Intereses sobre cesantías</v>
      </c>
      <c r="CB529" t="str">
        <v>261010 Intereses sobre cesantías</v>
      </c>
      <c r="CC529" t="str">
        <v>261010 Intereses sobre cesantías</v>
      </c>
      <c r="CD529" t="str">
        <v>261010 Intereses sobre cesantías</v>
      </c>
      <c r="CE529" t="str">
        <v>261010 Intereses sobre cesantías</v>
      </c>
      <c r="CS529" s="141" t="str">
        <v>261010 Intereses sobre cesantías</v>
      </c>
      <c r="CT529" s="141" t="str">
        <v>261010 Intereses sobre cesantías</v>
      </c>
      <c r="CU529" s="141" t="str">
        <v>261010 Intereses sobre cesantías</v>
      </c>
      <c r="CV529" s="141" t="str">
        <v>261010 Intereses sobre cesantías</v>
      </c>
      <c r="CW529" s="141" t="str">
        <v>261010 Intereses sobre cesantías</v>
      </c>
      <c r="CX529" s="141" t="str">
        <v>261010 Intereses sobre cesantías</v>
      </c>
      <c r="CY529" s="141" t="str">
        <v>261010 Intereses sobre cesantías</v>
      </c>
      <c r="CZ529" s="141" t="str">
        <v>261010 Intereses sobre cesantías</v>
      </c>
      <c r="DA529" s="141" t="str">
        <v>261010 Intereses sobre cesantías</v>
      </c>
      <c r="DF529" t="str">
        <v>261010 Intereses sobre cesantías</v>
      </c>
      <c r="DG529" t="str">
        <v>261010 Intereses sobre cesantías</v>
      </c>
      <c r="DH529" t="str">
        <v>261010 Intereses sobre cesantías</v>
      </c>
      <c r="DI529" t="str">
        <v>261010 Intereses sobre cesantías</v>
      </c>
      <c r="DJ529" t="str">
        <v>261010 Intereses sobre cesantías</v>
      </c>
      <c r="DK529" t="str">
        <v>261010 Intereses sobre cesantías</v>
      </c>
      <c r="DL529" t="str">
        <v>261010 Intereses sobre cesantías</v>
      </c>
      <c r="DM529" t="str">
        <v>261010 Intereses sobre cesantías</v>
      </c>
      <c r="DN529" t="str">
        <v>261010 Intereses sobre cesantías</v>
      </c>
      <c r="DO529" t="str">
        <v>261010 Intereses sobre cesantías</v>
      </c>
      <c r="DP529" t="str">
        <v>261010 Intereses sobre cesantías</v>
      </c>
    </row>
    <row r="530" spans="4:120" ht="12.75">
      <c r="D530" s="7">
        <v>261015</v>
      </c>
      <c r="E530" s="6" t="s">
        <v>399</v>
      </c>
      <c r="F530" s="5">
        <v>4</v>
      </c>
      <c r="G530" s="34" t="s">
        <v>824</v>
      </c>
      <c r="H530" s="26" t="s">
        <v>765</v>
      </c>
      <c r="I530" t="b">
        <f>+ISNUMBER(SEARCH('F-COMPRA'!$F$28,Tabla11[[#This Row],[Cuenta]],1))</f>
        <v>1</v>
      </c>
      <c r="J530" t="b">
        <f>+ISNUMBER(SEARCH('F-COMPRA'!$F$29,Tabla11[[#This Row],[Cuenta]],1))</f>
        <v>1</v>
      </c>
      <c r="K530" t="b">
        <f>+ISNUMBER(SEARCH('F-COMPRA'!$F$30,Tabla11[[#This Row],[Cuenta]],1))</f>
        <v>1</v>
      </c>
      <c r="L530" t="b">
        <f>+ISNUMBER(SEARCH('F-COMPRA'!$F$31,Tabla11[[#This Row],[Cuenta]],1))</f>
        <v>1</v>
      </c>
      <c r="M530" t="b">
        <f>+ISNUMBER(SEARCH('F-COMPRA'!$G$25,Tabla11[[#This Row],[Cuenta]],1))</f>
        <v>0</v>
      </c>
      <c r="N530" t="b">
        <f>+ISNUMBER(SEARCH(#REF!,Tabla11[[#This Row],[Cuenta]],1))</f>
        <v>0</v>
      </c>
      <c r="O530" t="b">
        <f>+ISNUMBER(SEARCH(#REF!,Tabla11[[#This Row],[Cuenta]],1))</f>
        <v>0</v>
      </c>
      <c r="P530" t="b">
        <f>+ISNUMBER(SEARCH('F-COMPRA'!$F$32,Tabla11[[#This Row],[Cuenta]],1))</f>
        <v>1</v>
      </c>
      <c r="Q530" t="b">
        <f>+ISNUMBER(SEARCH('F-COMPRA'!$F$33,Tabla11[[#This Row],[Cuenta]],1))</f>
        <v>1</v>
      </c>
      <c r="R530" t="b">
        <f>+ISNUMBER(SEARCH('F-COMPRA'!$F$34,Tabla11[[#This Row],[Cuenta]],1))</f>
        <v>1</v>
      </c>
      <c r="S530" t="b">
        <f>+ISNUMBER(SEARCH('F-COMPRA'!$F$35,Tabla11[[#This Row],[Cuenta]],1))</f>
        <v>1</v>
      </c>
      <c r="T530" t="b">
        <f>+ISNUMBER(SEARCH('F-COMPRA'!$F$36,Tabla11[[#This Row],[Cuenta]],1))</f>
        <v>1</v>
      </c>
      <c r="U530" t="b">
        <f>+ISNUMBER(SEARCH('F-COMPRA'!$F$37,Tabla11[[#This Row],[Cuenta]],1))</f>
        <v>1</v>
      </c>
      <c r="V530" t="b">
        <f>+ISNUMBER(SEARCH(#REF!,Tabla11[[#This Row],[Cuenta]],1))</f>
        <v>0</v>
      </c>
      <c r="W530" t="b">
        <f>+ISNUMBER(SEARCH('F-COMPRA'!#REF!,Tabla11[[#This Row],[Cuenta]],1))</f>
        <v>0</v>
      </c>
      <c r="X530" t="b">
        <f>+ISNUMBER(SEARCH('F-COMPRA'!#REF!,Tabla11[[#This Row],[Cuenta]],1))</f>
        <v>0</v>
      </c>
      <c r="Y530" t="b">
        <f>+ISNUMBER(SEARCH('F-COMPRA'!#REF!,Tabla11[[#This Row],[Cuenta]],1))</f>
        <v>0</v>
      </c>
      <c r="Z530" t="b">
        <f>+ISNUMBER(SEARCH('F-COMPRA'!#REF!,Tabla11[[#This Row],[Cuenta]],1))</f>
        <v>0</v>
      </c>
      <c r="AA530" t="b">
        <f>+ISNUMBER(SEARCH('F-COMPRA'!#REF!,Tabla11[[#This Row],[Cuenta]],1))</f>
        <v>0</v>
      </c>
      <c r="AB530" t="b">
        <f>+ISNUMBER(SEARCH('F-COMPRA'!#REF!,Tabla11[[#This Row],[Cuenta]],1))</f>
        <v>0</v>
      </c>
      <c r="AC530" t="b">
        <f>+ISNUMBER(SEARCH('F-COMPRA'!#REF!,Tabla11[[#This Row],[Cuenta]],1))</f>
        <v>0</v>
      </c>
      <c r="AD530" t="b">
        <f>+ISNUMBER(SEARCH('F-COMPRA'!#REF!,Tabla11[[#This Row],[Cuenta]],1))</f>
        <v>0</v>
      </c>
      <c r="AE530" t="b">
        <f>+ISNUMBER(SEARCH('F-COMPRA'!#REF!,Tabla11[[#This Row],[Cuenta]],1))</f>
        <v>0</v>
      </c>
      <c r="AF530" t="b">
        <f>+ISNUMBER(SEARCH('F-VTA'!$G$23,Tabla11[[#This Row],[Cuenta]],1))</f>
        <v>0</v>
      </c>
      <c r="AG530" t="b">
        <f>+ISNUMBER(SEARCH('F-VTA'!$G$24,Tabla11[[#This Row],[Cuenta]],1))</f>
        <v>0</v>
      </c>
      <c r="AH530" t="b">
        <f>+ISNUMBER(SEARCH('F-VTA'!$G$25,Tabla11[[#This Row],[Cuenta]],1))</f>
        <v>0</v>
      </c>
      <c r="AI530" t="b">
        <f>+ISNUMBER(SEARCH('F-VTA'!$F$28,Tabla11[[#This Row],[Cuenta]],1))</f>
        <v>1</v>
      </c>
      <c r="AJ530" t="b">
        <f>+ISNUMBER(SEARCH('F-VTA'!$F$29,Tabla11[[#This Row],[Cuenta]],1))</f>
        <v>1</v>
      </c>
      <c r="AK530" t="b">
        <f>+ISNUMBER(SEARCH('F-VTA'!$F$30,Tabla11[[#This Row],[Cuenta]],1))</f>
        <v>1</v>
      </c>
      <c r="AL530" t="b">
        <f>+ISNUMBER(SEARCH('F-VTA'!$F$31,Tabla11[[#This Row],[Cuenta]],1))</f>
        <v>1</v>
      </c>
      <c r="AM530" t="b">
        <f>+ISNUMBER(SEARCH('F-VTA'!$F$32,Tabla11[[#This Row],[Cuenta]],1))</f>
        <v>1</v>
      </c>
      <c r="AN530" t="b">
        <f>+ISNUMBER(SEARCH('F-VTA'!$F$33,Tabla11[[#This Row],[Cuenta]],1))</f>
        <v>1</v>
      </c>
      <c r="AO530" t="b">
        <f>+ISNUMBER(SEARCH('F-VTA'!$F$34,Tabla11[[#This Row],[Cuenta]],1))</f>
        <v>1</v>
      </c>
      <c r="AP530" t="b">
        <f>+ISNUMBER(SEARCH('F-VTA'!$F$35,Tabla11[[#This Row],[Cuenta]],1))</f>
        <v>1</v>
      </c>
      <c r="AQ530" t="b">
        <f>+ISNUMBER(SEARCH('F-VTA'!$F$36,Tabla11[[#This Row],[Cuenta]],1))</f>
        <v>1</v>
      </c>
      <c r="AR530" t="b">
        <f>+ISNUMBER(SEARCH(#REF!,Tabla11[[#This Row],[Cuenta]],1))</f>
        <v>0</v>
      </c>
      <c r="AS530" t="b">
        <f>+ISNUMBER(SEARCH(#REF!,Tabla11[[#This Row],[Cuenta]],1))</f>
        <v>0</v>
      </c>
      <c r="AT530" t="b">
        <f>+ISNUMBER(SEARCH(#REF!,Tabla11[[#This Row],[Cuenta]],1))</f>
        <v>0</v>
      </c>
      <c r="AU530" t="b">
        <f>+ISNUMBER(SEARCH('Conc. Ban.1'!$I$9,Tabla11[[#This Row],[Cuenta]],1))</f>
        <v>0</v>
      </c>
      <c r="AV530" t="b">
        <f>+ISNUMBER(SEARCH(CompConta!$F$21,Tabla11[[#This Row],[Cuenta]],1))</f>
        <v>1</v>
      </c>
      <c r="AW530" t="b">
        <f>+ISNUMBER(SEARCH(CompConta!$F$22,Tabla11[[#This Row],[Cuenta]],1))</f>
        <v>1</v>
      </c>
      <c r="AX530" t="b">
        <f>+ISNUMBER(SEARCH(CompConta!$F$23,Tabla11[[#This Row],[Cuenta]],1))</f>
        <v>1</v>
      </c>
      <c r="AY530" t="b">
        <f>+ISNUMBER(SEARCH(CompConta!$F$24,Tabla11[[#This Row],[Cuenta]],1))</f>
        <v>1</v>
      </c>
      <c r="AZ530" t="b">
        <f>+ISNUMBER(SEARCH(CompConta!$F$25,Tabla11[[#This Row],[Cuenta]],1))</f>
        <v>1</v>
      </c>
      <c r="BA530" t="b">
        <f>+ISNUMBER(SEARCH(CompConta!$F$26,Tabla11[[#This Row],[Cuenta]],1))</f>
        <v>1</v>
      </c>
      <c r="BB530" t="b">
        <f>+ISNUMBER(SEARCH(CompConta!$F$27,Tabla11[[#This Row],[Cuenta]],1))</f>
        <v>1</v>
      </c>
      <c r="BC530" t="b">
        <f>+ISNUMBER(SEARCH(CompConta!$F$28,Tabla11[[#This Row],[Cuenta]],1))</f>
        <v>1</v>
      </c>
      <c r="BD530" t="b">
        <f>+ISNUMBER(SEARCH(CompConta!$F$29,Tabla11[[#This Row],[Cuenta]],1))</f>
        <v>1</v>
      </c>
      <c r="BE530" t="b">
        <f>+ISNUMBER(SEARCH(CompConta!$F$30,Tabla11[[#This Row],[Cuenta]],1))</f>
        <v>1</v>
      </c>
      <c r="BF530" t="b">
        <f>+ISNUMBER(SEARCH('PAGO Compras'!$E$11,Tabla11[[#This Row],[Cuenta]],1))</f>
        <v>1</v>
      </c>
      <c r="BG530" t="b">
        <f>+ISNUMBER(SEARCH(#REF!,Tabla11[[#This Row],[Cuenta]],1))</f>
        <v>0</v>
      </c>
      <c r="BH530" t="b">
        <f>+ISNUMBER(SEARCH(#REF!,Tabla11[[#This Row],[Cuenta]],1))</f>
        <v>0</v>
      </c>
      <c r="BI530" t="b">
        <f>+ISNUMBER(SEARCH(#REF!,Tabla11[[#This Row],[Cuenta]],1))</f>
        <v>0</v>
      </c>
      <c r="BJ530" t="b">
        <f>+ISNUMBER(SEARCH(#REF!,Tabla11[[#This Row],[Cuenta]],1))</f>
        <v>0</v>
      </c>
      <c r="BS530" t="str">
        <v>261015 Vacaciones</v>
      </c>
      <c r="BT530" t="str">
        <v>261015 Vacaciones</v>
      </c>
      <c r="BU530" t="str">
        <v>261015 Vacaciones</v>
      </c>
      <c r="BV530" t="str">
        <v>261015 Vacaciones</v>
      </c>
      <c r="BZ530" t="str">
        <v>261015 Vacaciones</v>
      </c>
      <c r="CA530" t="str">
        <v>261015 Vacaciones</v>
      </c>
      <c r="CB530" t="str">
        <v>261015 Vacaciones</v>
      </c>
      <c r="CC530" t="str">
        <v>261015 Vacaciones</v>
      </c>
      <c r="CD530" t="str">
        <v>261015 Vacaciones</v>
      </c>
      <c r="CE530" t="str">
        <v>261015 Vacaciones</v>
      </c>
      <c r="CS530" s="141" t="str">
        <v>261015 Vacaciones</v>
      </c>
      <c r="CT530" s="141" t="str">
        <v>261015 Vacaciones</v>
      </c>
      <c r="CU530" s="141" t="str">
        <v>261015 Vacaciones</v>
      </c>
      <c r="CV530" s="141" t="str">
        <v>261015 Vacaciones</v>
      </c>
      <c r="CW530" s="141" t="str">
        <v>261015 Vacaciones</v>
      </c>
      <c r="CX530" s="141" t="str">
        <v>261015 Vacaciones</v>
      </c>
      <c r="CY530" s="141" t="str">
        <v>261015 Vacaciones</v>
      </c>
      <c r="CZ530" s="141" t="str">
        <v>261015 Vacaciones</v>
      </c>
      <c r="DA530" s="141" t="str">
        <v>261015 Vacaciones</v>
      </c>
      <c r="DF530" t="str">
        <v>261015 Vacaciones</v>
      </c>
      <c r="DG530" t="str">
        <v>261015 Vacaciones</v>
      </c>
      <c r="DH530" t="str">
        <v>261015 Vacaciones</v>
      </c>
      <c r="DI530" t="str">
        <v>261015 Vacaciones</v>
      </c>
      <c r="DJ530" t="str">
        <v>261015 Vacaciones</v>
      </c>
      <c r="DK530" t="str">
        <v>261015 Vacaciones</v>
      </c>
      <c r="DL530" t="str">
        <v>261015 Vacaciones</v>
      </c>
      <c r="DM530" t="str">
        <v>261015 Vacaciones</v>
      </c>
      <c r="DN530" t="str">
        <v>261015 Vacaciones</v>
      </c>
      <c r="DO530" t="str">
        <v>261015 Vacaciones</v>
      </c>
      <c r="DP530" t="str">
        <v>261015 Vacaciones</v>
      </c>
    </row>
    <row r="531" spans="4:120" ht="12.75">
      <c r="D531" s="7">
        <v>261020</v>
      </c>
      <c r="E531" s="6" t="s">
        <v>400</v>
      </c>
      <c r="F531" s="5">
        <v>4</v>
      </c>
      <c r="G531" s="34" t="s">
        <v>824</v>
      </c>
      <c r="H531" s="26" t="s">
        <v>765</v>
      </c>
      <c r="I531" t="b">
        <f>+ISNUMBER(SEARCH('F-COMPRA'!$F$28,Tabla11[[#This Row],[Cuenta]],1))</f>
        <v>1</v>
      </c>
      <c r="J531" t="b">
        <f>+ISNUMBER(SEARCH('F-COMPRA'!$F$29,Tabla11[[#This Row],[Cuenta]],1))</f>
        <v>1</v>
      </c>
      <c r="K531" t="b">
        <f>+ISNUMBER(SEARCH('F-COMPRA'!$F$30,Tabla11[[#This Row],[Cuenta]],1))</f>
        <v>1</v>
      </c>
      <c r="L531" t="b">
        <f>+ISNUMBER(SEARCH('F-COMPRA'!$F$31,Tabla11[[#This Row],[Cuenta]],1))</f>
        <v>1</v>
      </c>
      <c r="M531" t="b">
        <f>+ISNUMBER(SEARCH('F-COMPRA'!$G$25,Tabla11[[#This Row],[Cuenta]],1))</f>
        <v>0</v>
      </c>
      <c r="N531" t="b">
        <f>+ISNUMBER(SEARCH(#REF!,Tabla11[[#This Row],[Cuenta]],1))</f>
        <v>0</v>
      </c>
      <c r="O531" t="b">
        <f>+ISNUMBER(SEARCH(#REF!,Tabla11[[#This Row],[Cuenta]],1))</f>
        <v>0</v>
      </c>
      <c r="P531" t="b">
        <f>+ISNUMBER(SEARCH('F-COMPRA'!$F$32,Tabla11[[#This Row],[Cuenta]],1))</f>
        <v>1</v>
      </c>
      <c r="Q531" t="b">
        <f>+ISNUMBER(SEARCH('F-COMPRA'!$F$33,Tabla11[[#This Row],[Cuenta]],1))</f>
        <v>1</v>
      </c>
      <c r="R531" t="b">
        <f>+ISNUMBER(SEARCH('F-COMPRA'!$F$34,Tabla11[[#This Row],[Cuenta]],1))</f>
        <v>1</v>
      </c>
      <c r="S531" t="b">
        <f>+ISNUMBER(SEARCH('F-COMPRA'!$F$35,Tabla11[[#This Row],[Cuenta]],1))</f>
        <v>1</v>
      </c>
      <c r="T531" t="b">
        <f>+ISNUMBER(SEARCH('F-COMPRA'!$F$36,Tabla11[[#This Row],[Cuenta]],1))</f>
        <v>1</v>
      </c>
      <c r="U531" t="b">
        <f>+ISNUMBER(SEARCH('F-COMPRA'!$F$37,Tabla11[[#This Row],[Cuenta]],1))</f>
        <v>1</v>
      </c>
      <c r="V531" t="b">
        <f>+ISNUMBER(SEARCH(#REF!,Tabla11[[#This Row],[Cuenta]],1))</f>
        <v>0</v>
      </c>
      <c r="W531" t="b">
        <f>+ISNUMBER(SEARCH('F-COMPRA'!#REF!,Tabla11[[#This Row],[Cuenta]],1))</f>
        <v>0</v>
      </c>
      <c r="X531" t="b">
        <f>+ISNUMBER(SEARCH('F-COMPRA'!#REF!,Tabla11[[#This Row],[Cuenta]],1))</f>
        <v>0</v>
      </c>
      <c r="Y531" t="b">
        <f>+ISNUMBER(SEARCH('F-COMPRA'!#REF!,Tabla11[[#This Row],[Cuenta]],1))</f>
        <v>0</v>
      </c>
      <c r="Z531" t="b">
        <f>+ISNUMBER(SEARCH('F-COMPRA'!#REF!,Tabla11[[#This Row],[Cuenta]],1))</f>
        <v>0</v>
      </c>
      <c r="AA531" t="b">
        <f>+ISNUMBER(SEARCH('F-COMPRA'!#REF!,Tabla11[[#This Row],[Cuenta]],1))</f>
        <v>0</v>
      </c>
      <c r="AB531" t="b">
        <f>+ISNUMBER(SEARCH('F-COMPRA'!#REF!,Tabla11[[#This Row],[Cuenta]],1))</f>
        <v>0</v>
      </c>
      <c r="AC531" t="b">
        <f>+ISNUMBER(SEARCH('F-COMPRA'!#REF!,Tabla11[[#This Row],[Cuenta]],1))</f>
        <v>0</v>
      </c>
      <c r="AD531" t="b">
        <f>+ISNUMBER(SEARCH('F-COMPRA'!#REF!,Tabla11[[#This Row],[Cuenta]],1))</f>
        <v>0</v>
      </c>
      <c r="AE531" t="b">
        <f>+ISNUMBER(SEARCH('F-COMPRA'!#REF!,Tabla11[[#This Row],[Cuenta]],1))</f>
        <v>0</v>
      </c>
      <c r="AF531" t="b">
        <f>+ISNUMBER(SEARCH('F-VTA'!$G$23,Tabla11[[#This Row],[Cuenta]],1))</f>
        <v>0</v>
      </c>
      <c r="AG531" t="b">
        <f>+ISNUMBER(SEARCH('F-VTA'!$G$24,Tabla11[[#This Row],[Cuenta]],1))</f>
        <v>0</v>
      </c>
      <c r="AH531" t="b">
        <f>+ISNUMBER(SEARCH('F-VTA'!$G$25,Tabla11[[#This Row],[Cuenta]],1))</f>
        <v>0</v>
      </c>
      <c r="AI531" t="b">
        <f>+ISNUMBER(SEARCH('F-VTA'!$F$28,Tabla11[[#This Row],[Cuenta]],1))</f>
        <v>1</v>
      </c>
      <c r="AJ531" t="b">
        <f>+ISNUMBER(SEARCH('F-VTA'!$F$29,Tabla11[[#This Row],[Cuenta]],1))</f>
        <v>1</v>
      </c>
      <c r="AK531" t="b">
        <f>+ISNUMBER(SEARCH('F-VTA'!$F$30,Tabla11[[#This Row],[Cuenta]],1))</f>
        <v>1</v>
      </c>
      <c r="AL531" t="b">
        <f>+ISNUMBER(SEARCH('F-VTA'!$F$31,Tabla11[[#This Row],[Cuenta]],1))</f>
        <v>1</v>
      </c>
      <c r="AM531" t="b">
        <f>+ISNUMBER(SEARCH('F-VTA'!$F$32,Tabla11[[#This Row],[Cuenta]],1))</f>
        <v>1</v>
      </c>
      <c r="AN531" t="b">
        <f>+ISNUMBER(SEARCH('F-VTA'!$F$33,Tabla11[[#This Row],[Cuenta]],1))</f>
        <v>1</v>
      </c>
      <c r="AO531" t="b">
        <f>+ISNUMBER(SEARCH('F-VTA'!$F$34,Tabla11[[#This Row],[Cuenta]],1))</f>
        <v>1</v>
      </c>
      <c r="AP531" t="b">
        <f>+ISNUMBER(SEARCH('F-VTA'!$F$35,Tabla11[[#This Row],[Cuenta]],1))</f>
        <v>1</v>
      </c>
      <c r="AQ531" t="b">
        <f>+ISNUMBER(SEARCH('F-VTA'!$F$36,Tabla11[[#This Row],[Cuenta]],1))</f>
        <v>1</v>
      </c>
      <c r="AR531" t="b">
        <f>+ISNUMBER(SEARCH(#REF!,Tabla11[[#This Row],[Cuenta]],1))</f>
        <v>0</v>
      </c>
      <c r="AS531" t="b">
        <f>+ISNUMBER(SEARCH(#REF!,Tabla11[[#This Row],[Cuenta]],1))</f>
        <v>0</v>
      </c>
      <c r="AT531" t="b">
        <f>+ISNUMBER(SEARCH(#REF!,Tabla11[[#This Row],[Cuenta]],1))</f>
        <v>0</v>
      </c>
      <c r="AU531" t="b">
        <f>+ISNUMBER(SEARCH('Conc. Ban.1'!$I$9,Tabla11[[#This Row],[Cuenta]],1))</f>
        <v>0</v>
      </c>
      <c r="AV531" t="b">
        <f>+ISNUMBER(SEARCH(CompConta!$F$21,Tabla11[[#This Row],[Cuenta]],1))</f>
        <v>1</v>
      </c>
      <c r="AW531" t="b">
        <f>+ISNUMBER(SEARCH(CompConta!$F$22,Tabla11[[#This Row],[Cuenta]],1))</f>
        <v>1</v>
      </c>
      <c r="AX531" t="b">
        <f>+ISNUMBER(SEARCH(CompConta!$F$23,Tabla11[[#This Row],[Cuenta]],1))</f>
        <v>1</v>
      </c>
      <c r="AY531" t="b">
        <f>+ISNUMBER(SEARCH(CompConta!$F$24,Tabla11[[#This Row],[Cuenta]],1))</f>
        <v>1</v>
      </c>
      <c r="AZ531" t="b">
        <f>+ISNUMBER(SEARCH(CompConta!$F$25,Tabla11[[#This Row],[Cuenta]],1))</f>
        <v>1</v>
      </c>
      <c r="BA531" t="b">
        <f>+ISNUMBER(SEARCH(CompConta!$F$26,Tabla11[[#This Row],[Cuenta]],1))</f>
        <v>1</v>
      </c>
      <c r="BB531" t="b">
        <f>+ISNUMBER(SEARCH(CompConta!$F$27,Tabla11[[#This Row],[Cuenta]],1))</f>
        <v>1</v>
      </c>
      <c r="BC531" t="b">
        <f>+ISNUMBER(SEARCH(CompConta!$F$28,Tabla11[[#This Row],[Cuenta]],1))</f>
        <v>1</v>
      </c>
      <c r="BD531" t="b">
        <f>+ISNUMBER(SEARCH(CompConta!$F$29,Tabla11[[#This Row],[Cuenta]],1))</f>
        <v>1</v>
      </c>
      <c r="BE531" t="b">
        <f>+ISNUMBER(SEARCH(CompConta!$F$30,Tabla11[[#This Row],[Cuenta]],1))</f>
        <v>1</v>
      </c>
      <c r="BF531" t="b">
        <f>+ISNUMBER(SEARCH('PAGO Compras'!$E$11,Tabla11[[#This Row],[Cuenta]],1))</f>
        <v>1</v>
      </c>
      <c r="BG531" t="b">
        <f>+ISNUMBER(SEARCH(#REF!,Tabla11[[#This Row],[Cuenta]],1))</f>
        <v>0</v>
      </c>
      <c r="BH531" t="b">
        <f>+ISNUMBER(SEARCH(#REF!,Tabla11[[#This Row],[Cuenta]],1))</f>
        <v>0</v>
      </c>
      <c r="BI531" t="b">
        <f>+ISNUMBER(SEARCH(#REF!,Tabla11[[#This Row],[Cuenta]],1))</f>
        <v>0</v>
      </c>
      <c r="BJ531" t="b">
        <f>+ISNUMBER(SEARCH(#REF!,Tabla11[[#This Row],[Cuenta]],1))</f>
        <v>0</v>
      </c>
      <c r="BS531" t="str">
        <v>261020 Prima de servicios</v>
      </c>
      <c r="BT531" t="str">
        <v>261020 Prima de servicios</v>
      </c>
      <c r="BU531" t="str">
        <v>261020 Prima de servicios</v>
      </c>
      <c r="BV531" t="str">
        <v>261020 Prima de servicios</v>
      </c>
      <c r="BZ531" t="str">
        <v>261020 Prima de servicios</v>
      </c>
      <c r="CA531" t="str">
        <v>261020 Prima de servicios</v>
      </c>
      <c r="CB531" t="str">
        <v>261020 Prima de servicios</v>
      </c>
      <c r="CC531" t="str">
        <v>261020 Prima de servicios</v>
      </c>
      <c r="CD531" t="str">
        <v>261020 Prima de servicios</v>
      </c>
      <c r="CE531" t="str">
        <v>261020 Prima de servicios</v>
      </c>
      <c r="CS531" s="141" t="str">
        <v>261020 Prima de servicios</v>
      </c>
      <c r="CT531" s="141" t="str">
        <v>261020 Prima de servicios</v>
      </c>
      <c r="CU531" s="141" t="str">
        <v>261020 Prima de servicios</v>
      </c>
      <c r="CV531" s="141" t="str">
        <v>261020 Prima de servicios</v>
      </c>
      <c r="CW531" s="141" t="str">
        <v>261020 Prima de servicios</v>
      </c>
      <c r="CX531" s="141" t="str">
        <v>261020 Prima de servicios</v>
      </c>
      <c r="CY531" s="141" t="str">
        <v>261020 Prima de servicios</v>
      </c>
      <c r="CZ531" s="141" t="str">
        <v>261020 Prima de servicios</v>
      </c>
      <c r="DA531" s="141" t="str">
        <v>261020 Prima de servicios</v>
      </c>
      <c r="DF531" t="str">
        <v>261020 Prima de servicios</v>
      </c>
      <c r="DG531" t="str">
        <v>261020 Prima de servicios</v>
      </c>
      <c r="DH531" t="str">
        <v>261020 Prima de servicios</v>
      </c>
      <c r="DI531" t="str">
        <v>261020 Prima de servicios</v>
      </c>
      <c r="DJ531" t="str">
        <v>261020 Prima de servicios</v>
      </c>
      <c r="DK531" t="str">
        <v>261020 Prima de servicios</v>
      </c>
      <c r="DL531" t="str">
        <v>261020 Prima de servicios</v>
      </c>
      <c r="DM531" t="str">
        <v>261020 Prima de servicios</v>
      </c>
      <c r="DN531" t="str">
        <v>261020 Prima de servicios</v>
      </c>
      <c r="DO531" t="str">
        <v>261020 Prima de servicios</v>
      </c>
      <c r="DP531" t="str">
        <v>261020 Prima de servicios</v>
      </c>
    </row>
    <row r="532" spans="4:120" ht="12.75">
      <c r="D532" s="7">
        <v>261025</v>
      </c>
      <c r="E532" s="6" t="s">
        <v>401</v>
      </c>
      <c r="F532" s="5">
        <v>4</v>
      </c>
      <c r="G532" s="34" t="s">
        <v>824</v>
      </c>
      <c r="H532" s="26" t="s">
        <v>765</v>
      </c>
      <c r="I532" t="b">
        <f>+ISNUMBER(SEARCH('F-COMPRA'!$F$28,Tabla11[[#This Row],[Cuenta]],1))</f>
        <v>1</v>
      </c>
      <c r="J532" t="b">
        <f>+ISNUMBER(SEARCH('F-COMPRA'!$F$29,Tabla11[[#This Row],[Cuenta]],1))</f>
        <v>1</v>
      </c>
      <c r="K532" t="b">
        <f>+ISNUMBER(SEARCH('F-COMPRA'!$F$30,Tabla11[[#This Row],[Cuenta]],1))</f>
        <v>1</v>
      </c>
      <c r="L532" t="b">
        <f>+ISNUMBER(SEARCH('F-COMPRA'!$F$31,Tabla11[[#This Row],[Cuenta]],1))</f>
        <v>1</v>
      </c>
      <c r="M532" t="b">
        <f>+ISNUMBER(SEARCH('F-COMPRA'!$G$25,Tabla11[[#This Row],[Cuenta]],1))</f>
        <v>0</v>
      </c>
      <c r="N532" t="b">
        <f>+ISNUMBER(SEARCH(#REF!,Tabla11[[#This Row],[Cuenta]],1))</f>
        <v>0</v>
      </c>
      <c r="O532" t="b">
        <f>+ISNUMBER(SEARCH(#REF!,Tabla11[[#This Row],[Cuenta]],1))</f>
        <v>0</v>
      </c>
      <c r="P532" t="b">
        <f>+ISNUMBER(SEARCH('F-COMPRA'!$F$32,Tabla11[[#This Row],[Cuenta]],1))</f>
        <v>1</v>
      </c>
      <c r="Q532" t="b">
        <f>+ISNUMBER(SEARCH('F-COMPRA'!$F$33,Tabla11[[#This Row],[Cuenta]],1))</f>
        <v>1</v>
      </c>
      <c r="R532" t="b">
        <f>+ISNUMBER(SEARCH('F-COMPRA'!$F$34,Tabla11[[#This Row],[Cuenta]],1))</f>
        <v>1</v>
      </c>
      <c r="S532" t="b">
        <f>+ISNUMBER(SEARCH('F-COMPRA'!$F$35,Tabla11[[#This Row],[Cuenta]],1))</f>
        <v>1</v>
      </c>
      <c r="T532" t="b">
        <f>+ISNUMBER(SEARCH('F-COMPRA'!$F$36,Tabla11[[#This Row],[Cuenta]],1))</f>
        <v>1</v>
      </c>
      <c r="U532" t="b">
        <f>+ISNUMBER(SEARCH('F-COMPRA'!$F$37,Tabla11[[#This Row],[Cuenta]],1))</f>
        <v>1</v>
      </c>
      <c r="V532" t="b">
        <f>+ISNUMBER(SEARCH(#REF!,Tabla11[[#This Row],[Cuenta]],1))</f>
        <v>0</v>
      </c>
      <c r="W532" t="b">
        <f>+ISNUMBER(SEARCH('F-COMPRA'!#REF!,Tabla11[[#This Row],[Cuenta]],1))</f>
        <v>0</v>
      </c>
      <c r="X532" t="b">
        <f>+ISNUMBER(SEARCH('F-COMPRA'!#REF!,Tabla11[[#This Row],[Cuenta]],1))</f>
        <v>0</v>
      </c>
      <c r="Y532" t="b">
        <f>+ISNUMBER(SEARCH('F-COMPRA'!#REF!,Tabla11[[#This Row],[Cuenta]],1))</f>
        <v>0</v>
      </c>
      <c r="Z532" t="b">
        <f>+ISNUMBER(SEARCH('F-COMPRA'!#REF!,Tabla11[[#This Row],[Cuenta]],1))</f>
        <v>0</v>
      </c>
      <c r="AA532" t="b">
        <f>+ISNUMBER(SEARCH('F-COMPRA'!#REF!,Tabla11[[#This Row],[Cuenta]],1))</f>
        <v>0</v>
      </c>
      <c r="AB532" t="b">
        <f>+ISNUMBER(SEARCH('F-COMPRA'!#REF!,Tabla11[[#This Row],[Cuenta]],1))</f>
        <v>0</v>
      </c>
      <c r="AC532" t="b">
        <f>+ISNUMBER(SEARCH('F-COMPRA'!#REF!,Tabla11[[#This Row],[Cuenta]],1))</f>
        <v>0</v>
      </c>
      <c r="AD532" t="b">
        <f>+ISNUMBER(SEARCH('F-COMPRA'!#REF!,Tabla11[[#This Row],[Cuenta]],1))</f>
        <v>0</v>
      </c>
      <c r="AE532" t="b">
        <f>+ISNUMBER(SEARCH('F-COMPRA'!#REF!,Tabla11[[#This Row],[Cuenta]],1))</f>
        <v>0</v>
      </c>
      <c r="AF532" t="b">
        <f>+ISNUMBER(SEARCH('F-VTA'!$G$23,Tabla11[[#This Row],[Cuenta]],1))</f>
        <v>0</v>
      </c>
      <c r="AG532" t="b">
        <f>+ISNUMBER(SEARCH('F-VTA'!$G$24,Tabla11[[#This Row],[Cuenta]],1))</f>
        <v>0</v>
      </c>
      <c r="AH532" t="b">
        <f>+ISNUMBER(SEARCH('F-VTA'!$G$25,Tabla11[[#This Row],[Cuenta]],1))</f>
        <v>0</v>
      </c>
      <c r="AI532" t="b">
        <f>+ISNUMBER(SEARCH('F-VTA'!$F$28,Tabla11[[#This Row],[Cuenta]],1))</f>
        <v>1</v>
      </c>
      <c r="AJ532" t="b">
        <f>+ISNUMBER(SEARCH('F-VTA'!$F$29,Tabla11[[#This Row],[Cuenta]],1))</f>
        <v>1</v>
      </c>
      <c r="AK532" t="b">
        <f>+ISNUMBER(SEARCH('F-VTA'!$F$30,Tabla11[[#This Row],[Cuenta]],1))</f>
        <v>1</v>
      </c>
      <c r="AL532" t="b">
        <f>+ISNUMBER(SEARCH('F-VTA'!$F$31,Tabla11[[#This Row],[Cuenta]],1))</f>
        <v>1</v>
      </c>
      <c r="AM532" t="b">
        <f>+ISNUMBER(SEARCH('F-VTA'!$F$32,Tabla11[[#This Row],[Cuenta]],1))</f>
        <v>1</v>
      </c>
      <c r="AN532" t="b">
        <f>+ISNUMBER(SEARCH('F-VTA'!$F$33,Tabla11[[#This Row],[Cuenta]],1))</f>
        <v>1</v>
      </c>
      <c r="AO532" t="b">
        <f>+ISNUMBER(SEARCH('F-VTA'!$F$34,Tabla11[[#This Row],[Cuenta]],1))</f>
        <v>1</v>
      </c>
      <c r="AP532" t="b">
        <f>+ISNUMBER(SEARCH('F-VTA'!$F$35,Tabla11[[#This Row],[Cuenta]],1))</f>
        <v>1</v>
      </c>
      <c r="AQ532" t="b">
        <f>+ISNUMBER(SEARCH('F-VTA'!$F$36,Tabla11[[#This Row],[Cuenta]],1))</f>
        <v>1</v>
      </c>
      <c r="AR532" t="b">
        <f>+ISNUMBER(SEARCH(#REF!,Tabla11[[#This Row],[Cuenta]],1))</f>
        <v>0</v>
      </c>
      <c r="AS532" t="b">
        <f>+ISNUMBER(SEARCH(#REF!,Tabla11[[#This Row],[Cuenta]],1))</f>
        <v>0</v>
      </c>
      <c r="AT532" t="b">
        <f>+ISNUMBER(SEARCH(#REF!,Tabla11[[#This Row],[Cuenta]],1))</f>
        <v>0</v>
      </c>
      <c r="AU532" t="b">
        <f>+ISNUMBER(SEARCH('Conc. Ban.1'!$I$9,Tabla11[[#This Row],[Cuenta]],1))</f>
        <v>0</v>
      </c>
      <c r="AV532" t="b">
        <f>+ISNUMBER(SEARCH(CompConta!$F$21,Tabla11[[#This Row],[Cuenta]],1))</f>
        <v>1</v>
      </c>
      <c r="AW532" t="b">
        <f>+ISNUMBER(SEARCH(CompConta!$F$22,Tabla11[[#This Row],[Cuenta]],1))</f>
        <v>1</v>
      </c>
      <c r="AX532" t="b">
        <f>+ISNUMBER(SEARCH(CompConta!$F$23,Tabla11[[#This Row],[Cuenta]],1))</f>
        <v>1</v>
      </c>
      <c r="AY532" t="b">
        <f>+ISNUMBER(SEARCH(CompConta!$F$24,Tabla11[[#This Row],[Cuenta]],1))</f>
        <v>1</v>
      </c>
      <c r="AZ532" t="b">
        <f>+ISNUMBER(SEARCH(CompConta!$F$25,Tabla11[[#This Row],[Cuenta]],1))</f>
        <v>1</v>
      </c>
      <c r="BA532" t="b">
        <f>+ISNUMBER(SEARCH(CompConta!$F$26,Tabla11[[#This Row],[Cuenta]],1))</f>
        <v>1</v>
      </c>
      <c r="BB532" t="b">
        <f>+ISNUMBER(SEARCH(CompConta!$F$27,Tabla11[[#This Row],[Cuenta]],1))</f>
        <v>1</v>
      </c>
      <c r="BC532" t="b">
        <f>+ISNUMBER(SEARCH(CompConta!$F$28,Tabla11[[#This Row],[Cuenta]],1))</f>
        <v>1</v>
      </c>
      <c r="BD532" t="b">
        <f>+ISNUMBER(SEARCH(CompConta!$F$29,Tabla11[[#This Row],[Cuenta]],1))</f>
        <v>1</v>
      </c>
      <c r="BE532" t="b">
        <f>+ISNUMBER(SEARCH(CompConta!$F$30,Tabla11[[#This Row],[Cuenta]],1))</f>
        <v>1</v>
      </c>
      <c r="BF532" t="b">
        <f>+ISNUMBER(SEARCH('PAGO Compras'!$E$11,Tabla11[[#This Row],[Cuenta]],1))</f>
        <v>1</v>
      </c>
      <c r="BG532" t="b">
        <f>+ISNUMBER(SEARCH(#REF!,Tabla11[[#This Row],[Cuenta]],1))</f>
        <v>0</v>
      </c>
      <c r="BH532" t="b">
        <f>+ISNUMBER(SEARCH(#REF!,Tabla11[[#This Row],[Cuenta]],1))</f>
        <v>0</v>
      </c>
      <c r="BI532" t="b">
        <f>+ISNUMBER(SEARCH(#REF!,Tabla11[[#This Row],[Cuenta]],1))</f>
        <v>0</v>
      </c>
      <c r="BJ532" t="b">
        <f>+ISNUMBER(SEARCH(#REF!,Tabla11[[#This Row],[Cuenta]],1))</f>
        <v>0</v>
      </c>
      <c r="BS532" t="str">
        <v>261025 Prestaciones extralegales</v>
      </c>
      <c r="BT532" t="str">
        <v>261025 Prestaciones extralegales</v>
      </c>
      <c r="BU532" t="str">
        <v>261025 Prestaciones extralegales</v>
      </c>
      <c r="BV532" t="str">
        <v>261025 Prestaciones extralegales</v>
      </c>
      <c r="BZ532" t="str">
        <v>261025 Prestaciones extralegales</v>
      </c>
      <c r="CA532" t="str">
        <v>261025 Prestaciones extralegales</v>
      </c>
      <c r="CB532" t="str">
        <v>261025 Prestaciones extralegales</v>
      </c>
      <c r="CC532" t="str">
        <v>261025 Prestaciones extralegales</v>
      </c>
      <c r="CD532" t="str">
        <v>261025 Prestaciones extralegales</v>
      </c>
      <c r="CE532" t="str">
        <v>261025 Prestaciones extralegales</v>
      </c>
      <c r="CS532" s="141" t="str">
        <v>261025 Prestaciones extralegales</v>
      </c>
      <c r="CT532" s="141" t="str">
        <v>261025 Prestaciones extralegales</v>
      </c>
      <c r="CU532" s="141" t="str">
        <v>261025 Prestaciones extralegales</v>
      </c>
      <c r="CV532" s="141" t="str">
        <v>261025 Prestaciones extralegales</v>
      </c>
      <c r="CW532" s="141" t="str">
        <v>261025 Prestaciones extralegales</v>
      </c>
      <c r="CX532" s="141" t="str">
        <v>261025 Prestaciones extralegales</v>
      </c>
      <c r="CY532" s="141" t="str">
        <v>261025 Prestaciones extralegales</v>
      </c>
      <c r="CZ532" s="141" t="str">
        <v>261025 Prestaciones extralegales</v>
      </c>
      <c r="DA532" s="141" t="str">
        <v>261025 Prestaciones extralegales</v>
      </c>
      <c r="DF532" t="str">
        <v>261025 Prestaciones extralegales</v>
      </c>
      <c r="DG532" t="str">
        <v>261025 Prestaciones extralegales</v>
      </c>
      <c r="DH532" t="str">
        <v>261025 Prestaciones extralegales</v>
      </c>
      <c r="DI532" t="str">
        <v>261025 Prestaciones extralegales</v>
      </c>
      <c r="DJ532" t="str">
        <v>261025 Prestaciones extralegales</v>
      </c>
      <c r="DK532" t="str">
        <v>261025 Prestaciones extralegales</v>
      </c>
      <c r="DL532" t="str">
        <v>261025 Prestaciones extralegales</v>
      </c>
      <c r="DM532" t="str">
        <v>261025 Prestaciones extralegales</v>
      </c>
      <c r="DN532" t="str">
        <v>261025 Prestaciones extralegales</v>
      </c>
      <c r="DO532" t="str">
        <v>261025 Prestaciones extralegales</v>
      </c>
      <c r="DP532" t="str">
        <v>261025 Prestaciones extralegales</v>
      </c>
    </row>
    <row r="533" spans="4:120" ht="12.75">
      <c r="D533" s="7">
        <v>261030</v>
      </c>
      <c r="E533" s="6" t="s">
        <v>402</v>
      </c>
      <c r="F533" s="5">
        <v>4</v>
      </c>
      <c r="G533" s="34" t="s">
        <v>824</v>
      </c>
      <c r="H533" s="26" t="s">
        <v>765</v>
      </c>
      <c r="I533" t="b">
        <f>+ISNUMBER(SEARCH('F-COMPRA'!$F$28,Tabla11[[#This Row],[Cuenta]],1))</f>
        <v>1</v>
      </c>
      <c r="J533" t="b">
        <f>+ISNUMBER(SEARCH('F-COMPRA'!$F$29,Tabla11[[#This Row],[Cuenta]],1))</f>
        <v>1</v>
      </c>
      <c r="K533" t="b">
        <f>+ISNUMBER(SEARCH('F-COMPRA'!$F$30,Tabla11[[#This Row],[Cuenta]],1))</f>
        <v>1</v>
      </c>
      <c r="L533" t="b">
        <f>+ISNUMBER(SEARCH('F-COMPRA'!$F$31,Tabla11[[#This Row],[Cuenta]],1))</f>
        <v>1</v>
      </c>
      <c r="M533" t="b">
        <f>+ISNUMBER(SEARCH('F-COMPRA'!$G$25,Tabla11[[#This Row],[Cuenta]],1))</f>
        <v>0</v>
      </c>
      <c r="N533" t="b">
        <f>+ISNUMBER(SEARCH(#REF!,Tabla11[[#This Row],[Cuenta]],1))</f>
        <v>0</v>
      </c>
      <c r="O533" t="b">
        <f>+ISNUMBER(SEARCH(#REF!,Tabla11[[#This Row],[Cuenta]],1))</f>
        <v>0</v>
      </c>
      <c r="P533" t="b">
        <f>+ISNUMBER(SEARCH('F-COMPRA'!$F$32,Tabla11[[#This Row],[Cuenta]],1))</f>
        <v>1</v>
      </c>
      <c r="Q533" t="b">
        <f>+ISNUMBER(SEARCH('F-COMPRA'!$F$33,Tabla11[[#This Row],[Cuenta]],1))</f>
        <v>1</v>
      </c>
      <c r="R533" t="b">
        <f>+ISNUMBER(SEARCH('F-COMPRA'!$F$34,Tabla11[[#This Row],[Cuenta]],1))</f>
        <v>1</v>
      </c>
      <c r="S533" t="b">
        <f>+ISNUMBER(SEARCH('F-COMPRA'!$F$35,Tabla11[[#This Row],[Cuenta]],1))</f>
        <v>1</v>
      </c>
      <c r="T533" t="b">
        <f>+ISNUMBER(SEARCH('F-COMPRA'!$F$36,Tabla11[[#This Row],[Cuenta]],1))</f>
        <v>1</v>
      </c>
      <c r="U533" t="b">
        <f>+ISNUMBER(SEARCH('F-COMPRA'!$F$37,Tabla11[[#This Row],[Cuenta]],1))</f>
        <v>1</v>
      </c>
      <c r="V533" t="b">
        <f>+ISNUMBER(SEARCH(#REF!,Tabla11[[#This Row],[Cuenta]],1))</f>
        <v>0</v>
      </c>
      <c r="W533" t="b">
        <f>+ISNUMBER(SEARCH('F-COMPRA'!#REF!,Tabla11[[#This Row],[Cuenta]],1))</f>
        <v>0</v>
      </c>
      <c r="X533" t="b">
        <f>+ISNUMBER(SEARCH('F-COMPRA'!#REF!,Tabla11[[#This Row],[Cuenta]],1))</f>
        <v>0</v>
      </c>
      <c r="Y533" t="b">
        <f>+ISNUMBER(SEARCH('F-COMPRA'!#REF!,Tabla11[[#This Row],[Cuenta]],1))</f>
        <v>0</v>
      </c>
      <c r="Z533" t="b">
        <f>+ISNUMBER(SEARCH('F-COMPRA'!#REF!,Tabla11[[#This Row],[Cuenta]],1))</f>
        <v>0</v>
      </c>
      <c r="AA533" t="b">
        <f>+ISNUMBER(SEARCH('F-COMPRA'!#REF!,Tabla11[[#This Row],[Cuenta]],1))</f>
        <v>0</v>
      </c>
      <c r="AB533" t="b">
        <f>+ISNUMBER(SEARCH('F-COMPRA'!#REF!,Tabla11[[#This Row],[Cuenta]],1))</f>
        <v>0</v>
      </c>
      <c r="AC533" t="b">
        <f>+ISNUMBER(SEARCH('F-COMPRA'!#REF!,Tabla11[[#This Row],[Cuenta]],1))</f>
        <v>0</v>
      </c>
      <c r="AD533" t="b">
        <f>+ISNUMBER(SEARCH('F-COMPRA'!#REF!,Tabla11[[#This Row],[Cuenta]],1))</f>
        <v>0</v>
      </c>
      <c r="AE533" t="b">
        <f>+ISNUMBER(SEARCH('F-COMPRA'!#REF!,Tabla11[[#This Row],[Cuenta]],1))</f>
        <v>0</v>
      </c>
      <c r="AF533" t="b">
        <f>+ISNUMBER(SEARCH('F-VTA'!$G$23,Tabla11[[#This Row],[Cuenta]],1))</f>
        <v>0</v>
      </c>
      <c r="AG533" t="b">
        <f>+ISNUMBER(SEARCH('F-VTA'!$G$24,Tabla11[[#This Row],[Cuenta]],1))</f>
        <v>0</v>
      </c>
      <c r="AH533" t="b">
        <f>+ISNUMBER(SEARCH('F-VTA'!$G$25,Tabla11[[#This Row],[Cuenta]],1))</f>
        <v>0</v>
      </c>
      <c r="AI533" t="b">
        <f>+ISNUMBER(SEARCH('F-VTA'!$F$28,Tabla11[[#This Row],[Cuenta]],1))</f>
        <v>1</v>
      </c>
      <c r="AJ533" t="b">
        <f>+ISNUMBER(SEARCH('F-VTA'!$F$29,Tabla11[[#This Row],[Cuenta]],1))</f>
        <v>1</v>
      </c>
      <c r="AK533" t="b">
        <f>+ISNUMBER(SEARCH('F-VTA'!$F$30,Tabla11[[#This Row],[Cuenta]],1))</f>
        <v>1</v>
      </c>
      <c r="AL533" t="b">
        <f>+ISNUMBER(SEARCH('F-VTA'!$F$31,Tabla11[[#This Row],[Cuenta]],1))</f>
        <v>1</v>
      </c>
      <c r="AM533" t="b">
        <f>+ISNUMBER(SEARCH('F-VTA'!$F$32,Tabla11[[#This Row],[Cuenta]],1))</f>
        <v>1</v>
      </c>
      <c r="AN533" t="b">
        <f>+ISNUMBER(SEARCH('F-VTA'!$F$33,Tabla11[[#This Row],[Cuenta]],1))</f>
        <v>1</v>
      </c>
      <c r="AO533" t="b">
        <f>+ISNUMBER(SEARCH('F-VTA'!$F$34,Tabla11[[#This Row],[Cuenta]],1))</f>
        <v>1</v>
      </c>
      <c r="AP533" t="b">
        <f>+ISNUMBER(SEARCH('F-VTA'!$F$35,Tabla11[[#This Row],[Cuenta]],1))</f>
        <v>1</v>
      </c>
      <c r="AQ533" t="b">
        <f>+ISNUMBER(SEARCH('F-VTA'!$F$36,Tabla11[[#This Row],[Cuenta]],1))</f>
        <v>1</v>
      </c>
      <c r="AR533" t="b">
        <f>+ISNUMBER(SEARCH(#REF!,Tabla11[[#This Row],[Cuenta]],1))</f>
        <v>0</v>
      </c>
      <c r="AS533" t="b">
        <f>+ISNUMBER(SEARCH(#REF!,Tabla11[[#This Row],[Cuenta]],1))</f>
        <v>0</v>
      </c>
      <c r="AT533" t="b">
        <f>+ISNUMBER(SEARCH(#REF!,Tabla11[[#This Row],[Cuenta]],1))</f>
        <v>0</v>
      </c>
      <c r="AU533" t="b">
        <f>+ISNUMBER(SEARCH('Conc. Ban.1'!$I$9,Tabla11[[#This Row],[Cuenta]],1))</f>
        <v>0</v>
      </c>
      <c r="AV533" t="b">
        <f>+ISNUMBER(SEARCH(CompConta!$F$21,Tabla11[[#This Row],[Cuenta]],1))</f>
        <v>1</v>
      </c>
      <c r="AW533" t="b">
        <f>+ISNUMBER(SEARCH(CompConta!$F$22,Tabla11[[#This Row],[Cuenta]],1))</f>
        <v>1</v>
      </c>
      <c r="AX533" t="b">
        <f>+ISNUMBER(SEARCH(CompConta!$F$23,Tabla11[[#This Row],[Cuenta]],1))</f>
        <v>1</v>
      </c>
      <c r="AY533" t="b">
        <f>+ISNUMBER(SEARCH(CompConta!$F$24,Tabla11[[#This Row],[Cuenta]],1))</f>
        <v>1</v>
      </c>
      <c r="AZ533" t="b">
        <f>+ISNUMBER(SEARCH(CompConta!$F$25,Tabla11[[#This Row],[Cuenta]],1))</f>
        <v>1</v>
      </c>
      <c r="BA533" t="b">
        <f>+ISNUMBER(SEARCH(CompConta!$F$26,Tabla11[[#This Row],[Cuenta]],1))</f>
        <v>1</v>
      </c>
      <c r="BB533" t="b">
        <f>+ISNUMBER(SEARCH(CompConta!$F$27,Tabla11[[#This Row],[Cuenta]],1))</f>
        <v>1</v>
      </c>
      <c r="BC533" t="b">
        <f>+ISNUMBER(SEARCH(CompConta!$F$28,Tabla11[[#This Row],[Cuenta]],1))</f>
        <v>1</v>
      </c>
      <c r="BD533" t="b">
        <f>+ISNUMBER(SEARCH(CompConta!$F$29,Tabla11[[#This Row],[Cuenta]],1))</f>
        <v>1</v>
      </c>
      <c r="BE533" t="b">
        <f>+ISNUMBER(SEARCH(CompConta!$F$30,Tabla11[[#This Row],[Cuenta]],1))</f>
        <v>1</v>
      </c>
      <c r="BF533" t="b">
        <f>+ISNUMBER(SEARCH('PAGO Compras'!$E$11,Tabla11[[#This Row],[Cuenta]],1))</f>
        <v>1</v>
      </c>
      <c r="BG533" t="b">
        <f>+ISNUMBER(SEARCH(#REF!,Tabla11[[#This Row],[Cuenta]],1))</f>
        <v>0</v>
      </c>
      <c r="BH533" t="b">
        <f>+ISNUMBER(SEARCH(#REF!,Tabla11[[#This Row],[Cuenta]],1))</f>
        <v>0</v>
      </c>
      <c r="BI533" t="b">
        <f>+ISNUMBER(SEARCH(#REF!,Tabla11[[#This Row],[Cuenta]],1))</f>
        <v>0</v>
      </c>
      <c r="BJ533" t="b">
        <f>+ISNUMBER(SEARCH(#REF!,Tabla11[[#This Row],[Cuenta]],1))</f>
        <v>0</v>
      </c>
      <c r="BS533" t="str">
        <v>261030 Viáticos</v>
      </c>
      <c r="BT533" t="str">
        <v>261030 Viáticos</v>
      </c>
      <c r="BU533" t="str">
        <v>261030 Viáticos</v>
      </c>
      <c r="BV533" t="str">
        <v>261030 Viáticos</v>
      </c>
      <c r="BZ533" t="str">
        <v>261030 Viáticos</v>
      </c>
      <c r="CA533" t="str">
        <v>261030 Viáticos</v>
      </c>
      <c r="CB533" t="str">
        <v>261030 Viáticos</v>
      </c>
      <c r="CC533" t="str">
        <v>261030 Viáticos</v>
      </c>
      <c r="CD533" t="str">
        <v>261030 Viáticos</v>
      </c>
      <c r="CE533" t="str">
        <v>261030 Viáticos</v>
      </c>
      <c r="CS533" s="141" t="str">
        <v>261030 Viáticos</v>
      </c>
      <c r="CT533" s="141" t="str">
        <v>261030 Viáticos</v>
      </c>
      <c r="CU533" s="141" t="str">
        <v>261030 Viáticos</v>
      </c>
      <c r="CV533" s="141" t="str">
        <v>261030 Viáticos</v>
      </c>
      <c r="CW533" s="141" t="str">
        <v>261030 Viáticos</v>
      </c>
      <c r="CX533" s="141" t="str">
        <v>261030 Viáticos</v>
      </c>
      <c r="CY533" s="141" t="str">
        <v>261030 Viáticos</v>
      </c>
      <c r="CZ533" s="141" t="str">
        <v>261030 Viáticos</v>
      </c>
      <c r="DA533" s="141" t="str">
        <v>261030 Viáticos</v>
      </c>
      <c r="DF533" t="str">
        <v>261030 Viáticos</v>
      </c>
      <c r="DG533" t="str">
        <v>261030 Viáticos</v>
      </c>
      <c r="DH533" t="str">
        <v>261030 Viáticos</v>
      </c>
      <c r="DI533" t="str">
        <v>261030 Viáticos</v>
      </c>
      <c r="DJ533" t="str">
        <v>261030 Viáticos</v>
      </c>
      <c r="DK533" t="str">
        <v>261030 Viáticos</v>
      </c>
      <c r="DL533" t="str">
        <v>261030 Viáticos</v>
      </c>
      <c r="DM533" t="str">
        <v>261030 Viáticos</v>
      </c>
      <c r="DN533" t="str">
        <v>261030 Viáticos</v>
      </c>
      <c r="DO533" t="str">
        <v>261030 Viáticos</v>
      </c>
      <c r="DP533" t="str">
        <v>261030 Viáticos</v>
      </c>
    </row>
    <row r="534" spans="4:120" ht="12.75">
      <c r="D534" s="7">
        <v>261095</v>
      </c>
      <c r="E534" s="6" t="s">
        <v>46</v>
      </c>
      <c r="F534" s="5">
        <v>4</v>
      </c>
      <c r="G534" s="34" t="s">
        <v>824</v>
      </c>
      <c r="H534" s="26" t="s">
        <v>765</v>
      </c>
      <c r="I534" t="b">
        <f>+ISNUMBER(SEARCH('F-COMPRA'!$F$28,Tabla11[[#This Row],[Cuenta]],1))</f>
        <v>1</v>
      </c>
      <c r="J534" t="b">
        <f>+ISNUMBER(SEARCH('F-COMPRA'!$F$29,Tabla11[[#This Row],[Cuenta]],1))</f>
        <v>1</v>
      </c>
      <c r="K534" t="b">
        <f>+ISNUMBER(SEARCH('F-COMPRA'!$F$30,Tabla11[[#This Row],[Cuenta]],1))</f>
        <v>1</v>
      </c>
      <c r="L534" t="b">
        <f>+ISNUMBER(SEARCH('F-COMPRA'!$F$31,Tabla11[[#This Row],[Cuenta]],1))</f>
        <v>1</v>
      </c>
      <c r="M534" t="b">
        <f>+ISNUMBER(SEARCH('F-COMPRA'!$G$25,Tabla11[[#This Row],[Cuenta]],1))</f>
        <v>0</v>
      </c>
      <c r="N534" t="b">
        <f>+ISNUMBER(SEARCH(#REF!,Tabla11[[#This Row],[Cuenta]],1))</f>
        <v>0</v>
      </c>
      <c r="O534" t="b">
        <f>+ISNUMBER(SEARCH(#REF!,Tabla11[[#This Row],[Cuenta]],1))</f>
        <v>0</v>
      </c>
      <c r="P534" t="b">
        <f>+ISNUMBER(SEARCH('F-COMPRA'!$F$32,Tabla11[[#This Row],[Cuenta]],1))</f>
        <v>1</v>
      </c>
      <c r="Q534" t="b">
        <f>+ISNUMBER(SEARCH('F-COMPRA'!$F$33,Tabla11[[#This Row],[Cuenta]],1))</f>
        <v>1</v>
      </c>
      <c r="R534" t="b">
        <f>+ISNUMBER(SEARCH('F-COMPRA'!$F$34,Tabla11[[#This Row],[Cuenta]],1))</f>
        <v>1</v>
      </c>
      <c r="S534" t="b">
        <f>+ISNUMBER(SEARCH('F-COMPRA'!$F$35,Tabla11[[#This Row],[Cuenta]],1))</f>
        <v>1</v>
      </c>
      <c r="T534" t="b">
        <f>+ISNUMBER(SEARCH('F-COMPRA'!$F$36,Tabla11[[#This Row],[Cuenta]],1))</f>
        <v>1</v>
      </c>
      <c r="U534" t="b">
        <f>+ISNUMBER(SEARCH('F-COMPRA'!$F$37,Tabla11[[#This Row],[Cuenta]],1))</f>
        <v>1</v>
      </c>
      <c r="V534" t="b">
        <f>+ISNUMBER(SEARCH(#REF!,Tabla11[[#This Row],[Cuenta]],1))</f>
        <v>0</v>
      </c>
      <c r="W534" t="b">
        <f>+ISNUMBER(SEARCH('F-COMPRA'!#REF!,Tabla11[[#This Row],[Cuenta]],1))</f>
        <v>0</v>
      </c>
      <c r="X534" t="b">
        <f>+ISNUMBER(SEARCH('F-COMPRA'!#REF!,Tabla11[[#This Row],[Cuenta]],1))</f>
        <v>0</v>
      </c>
      <c r="Y534" t="b">
        <f>+ISNUMBER(SEARCH('F-COMPRA'!#REF!,Tabla11[[#This Row],[Cuenta]],1))</f>
        <v>0</v>
      </c>
      <c r="Z534" t="b">
        <f>+ISNUMBER(SEARCH('F-COMPRA'!#REF!,Tabla11[[#This Row],[Cuenta]],1))</f>
        <v>0</v>
      </c>
      <c r="AA534" t="b">
        <f>+ISNUMBER(SEARCH('F-COMPRA'!#REF!,Tabla11[[#This Row],[Cuenta]],1))</f>
        <v>0</v>
      </c>
      <c r="AB534" t="b">
        <f>+ISNUMBER(SEARCH('F-COMPRA'!#REF!,Tabla11[[#This Row],[Cuenta]],1))</f>
        <v>0</v>
      </c>
      <c r="AC534" t="b">
        <f>+ISNUMBER(SEARCH('F-COMPRA'!#REF!,Tabla11[[#This Row],[Cuenta]],1))</f>
        <v>0</v>
      </c>
      <c r="AD534" t="b">
        <f>+ISNUMBER(SEARCH('F-COMPRA'!#REF!,Tabla11[[#This Row],[Cuenta]],1))</f>
        <v>0</v>
      </c>
      <c r="AE534" t="b">
        <f>+ISNUMBER(SEARCH('F-COMPRA'!#REF!,Tabla11[[#This Row],[Cuenta]],1))</f>
        <v>0</v>
      </c>
      <c r="AF534" t="b">
        <f>+ISNUMBER(SEARCH('F-VTA'!$G$23,Tabla11[[#This Row],[Cuenta]],1))</f>
        <v>0</v>
      </c>
      <c r="AG534" t="b">
        <f>+ISNUMBER(SEARCH('F-VTA'!$G$24,Tabla11[[#This Row],[Cuenta]],1))</f>
        <v>0</v>
      </c>
      <c r="AH534" t="b">
        <f>+ISNUMBER(SEARCH('F-VTA'!$G$25,Tabla11[[#This Row],[Cuenta]],1))</f>
        <v>0</v>
      </c>
      <c r="AI534" t="b">
        <f>+ISNUMBER(SEARCH('F-VTA'!$F$28,Tabla11[[#This Row],[Cuenta]],1))</f>
        <v>1</v>
      </c>
      <c r="AJ534" t="b">
        <f>+ISNUMBER(SEARCH('F-VTA'!$F$29,Tabla11[[#This Row],[Cuenta]],1))</f>
        <v>1</v>
      </c>
      <c r="AK534" t="b">
        <f>+ISNUMBER(SEARCH('F-VTA'!$F$30,Tabla11[[#This Row],[Cuenta]],1))</f>
        <v>1</v>
      </c>
      <c r="AL534" t="b">
        <f>+ISNUMBER(SEARCH('F-VTA'!$F$31,Tabla11[[#This Row],[Cuenta]],1))</f>
        <v>1</v>
      </c>
      <c r="AM534" t="b">
        <f>+ISNUMBER(SEARCH('F-VTA'!$F$32,Tabla11[[#This Row],[Cuenta]],1))</f>
        <v>1</v>
      </c>
      <c r="AN534" t="b">
        <f>+ISNUMBER(SEARCH('F-VTA'!$F$33,Tabla11[[#This Row],[Cuenta]],1))</f>
        <v>1</v>
      </c>
      <c r="AO534" t="b">
        <f>+ISNUMBER(SEARCH('F-VTA'!$F$34,Tabla11[[#This Row],[Cuenta]],1))</f>
        <v>1</v>
      </c>
      <c r="AP534" t="b">
        <f>+ISNUMBER(SEARCH('F-VTA'!$F$35,Tabla11[[#This Row],[Cuenta]],1))</f>
        <v>1</v>
      </c>
      <c r="AQ534" t="b">
        <f>+ISNUMBER(SEARCH('F-VTA'!$F$36,Tabla11[[#This Row],[Cuenta]],1))</f>
        <v>1</v>
      </c>
      <c r="AR534" t="b">
        <f>+ISNUMBER(SEARCH(#REF!,Tabla11[[#This Row],[Cuenta]],1))</f>
        <v>0</v>
      </c>
      <c r="AS534" t="b">
        <f>+ISNUMBER(SEARCH(#REF!,Tabla11[[#This Row],[Cuenta]],1))</f>
        <v>0</v>
      </c>
      <c r="AT534" t="b">
        <f>+ISNUMBER(SEARCH(#REF!,Tabla11[[#This Row],[Cuenta]],1))</f>
        <v>0</v>
      </c>
      <c r="AU534" t="b">
        <f>+ISNUMBER(SEARCH('Conc. Ban.1'!$I$9,Tabla11[[#This Row],[Cuenta]],1))</f>
        <v>0</v>
      </c>
      <c r="AV534" t="b">
        <f>+ISNUMBER(SEARCH(CompConta!$F$21,Tabla11[[#This Row],[Cuenta]],1))</f>
        <v>1</v>
      </c>
      <c r="AW534" t="b">
        <f>+ISNUMBER(SEARCH(CompConta!$F$22,Tabla11[[#This Row],[Cuenta]],1))</f>
        <v>1</v>
      </c>
      <c r="AX534" t="b">
        <f>+ISNUMBER(SEARCH(CompConta!$F$23,Tabla11[[#This Row],[Cuenta]],1))</f>
        <v>1</v>
      </c>
      <c r="AY534" t="b">
        <f>+ISNUMBER(SEARCH(CompConta!$F$24,Tabla11[[#This Row],[Cuenta]],1))</f>
        <v>1</v>
      </c>
      <c r="AZ534" t="b">
        <f>+ISNUMBER(SEARCH(CompConta!$F$25,Tabla11[[#This Row],[Cuenta]],1))</f>
        <v>1</v>
      </c>
      <c r="BA534" t="b">
        <f>+ISNUMBER(SEARCH(CompConta!$F$26,Tabla11[[#This Row],[Cuenta]],1))</f>
        <v>1</v>
      </c>
      <c r="BB534" t="b">
        <f>+ISNUMBER(SEARCH(CompConta!$F$27,Tabla11[[#This Row],[Cuenta]],1))</f>
        <v>1</v>
      </c>
      <c r="BC534" t="b">
        <f>+ISNUMBER(SEARCH(CompConta!$F$28,Tabla11[[#This Row],[Cuenta]],1))</f>
        <v>1</v>
      </c>
      <c r="BD534" t="b">
        <f>+ISNUMBER(SEARCH(CompConta!$F$29,Tabla11[[#This Row],[Cuenta]],1))</f>
        <v>1</v>
      </c>
      <c r="BE534" t="b">
        <f>+ISNUMBER(SEARCH(CompConta!$F$30,Tabla11[[#This Row],[Cuenta]],1))</f>
        <v>1</v>
      </c>
      <c r="BF534" t="b">
        <f>+ISNUMBER(SEARCH('PAGO Compras'!$E$11,Tabla11[[#This Row],[Cuenta]],1))</f>
        <v>1</v>
      </c>
      <c r="BG534" t="b">
        <f>+ISNUMBER(SEARCH(#REF!,Tabla11[[#This Row],[Cuenta]],1))</f>
        <v>0</v>
      </c>
      <c r="BH534" t="b">
        <f>+ISNUMBER(SEARCH(#REF!,Tabla11[[#This Row],[Cuenta]],1))</f>
        <v>0</v>
      </c>
      <c r="BI534" t="b">
        <f>+ISNUMBER(SEARCH(#REF!,Tabla11[[#This Row],[Cuenta]],1))</f>
        <v>0</v>
      </c>
      <c r="BJ534" t="b">
        <f>+ISNUMBER(SEARCH(#REF!,Tabla11[[#This Row],[Cuenta]],1))</f>
        <v>0</v>
      </c>
      <c r="BS534" t="str">
        <v>261095 Otras</v>
      </c>
      <c r="BT534" t="str">
        <v>261095 Otras</v>
      </c>
      <c r="BU534" t="str">
        <v>261095 Otras</v>
      </c>
      <c r="BV534" t="str">
        <v>261095 Otras</v>
      </c>
      <c r="BZ534" t="str">
        <v>261095 Otras</v>
      </c>
      <c r="CA534" t="str">
        <v>261095 Otras</v>
      </c>
      <c r="CB534" t="str">
        <v>261095 Otras</v>
      </c>
      <c r="CC534" t="str">
        <v>261095 Otras</v>
      </c>
      <c r="CD534" t="str">
        <v>261095 Otras</v>
      </c>
      <c r="CE534" t="str">
        <v>261095 Otras</v>
      </c>
      <c r="CS534" s="141" t="str">
        <v>261095 Otras</v>
      </c>
      <c r="CT534" s="141" t="str">
        <v>261095 Otras</v>
      </c>
      <c r="CU534" s="141" t="str">
        <v>261095 Otras</v>
      </c>
      <c r="CV534" s="141" t="str">
        <v>261095 Otras</v>
      </c>
      <c r="CW534" s="141" t="str">
        <v>261095 Otras</v>
      </c>
      <c r="CX534" s="141" t="str">
        <v>261095 Otras</v>
      </c>
      <c r="CY534" s="141" t="str">
        <v>261095 Otras</v>
      </c>
      <c r="CZ534" s="141" t="str">
        <v>261095 Otras</v>
      </c>
      <c r="DA534" s="141" t="str">
        <v>261095 Otras</v>
      </c>
      <c r="DF534" t="str">
        <v>261095 Otras</v>
      </c>
      <c r="DG534" t="str">
        <v>261095 Otras</v>
      </c>
      <c r="DH534" t="str">
        <v>261095 Otras</v>
      </c>
      <c r="DI534" t="str">
        <v>261095 Otras</v>
      </c>
      <c r="DJ534" t="str">
        <v>261095 Otras</v>
      </c>
      <c r="DK534" t="str">
        <v>261095 Otras</v>
      </c>
      <c r="DL534" t="str">
        <v>261095 Otras</v>
      </c>
      <c r="DM534" t="str">
        <v>261095 Otras</v>
      </c>
      <c r="DN534" t="str">
        <v>261095 Otras</v>
      </c>
      <c r="DO534" t="str">
        <v>261095 Otras</v>
      </c>
      <c r="DP534" t="str">
        <v>261095 Otras</v>
      </c>
    </row>
    <row r="535" spans="4:120" ht="12.75">
      <c r="D535" s="7">
        <v>2615</v>
      </c>
      <c r="E535" s="6" t="s">
        <v>403</v>
      </c>
      <c r="F535" s="5">
        <v>3</v>
      </c>
      <c r="G535" s="34" t="s">
        <v>824</v>
      </c>
      <c r="H535" s="26" t="s">
        <v>765</v>
      </c>
      <c r="I535" t="b">
        <f>+ISNUMBER(SEARCH('F-COMPRA'!$F$28,Tabla11[[#This Row],[Cuenta]],1))</f>
        <v>1</v>
      </c>
      <c r="J535" t="b">
        <f>+ISNUMBER(SEARCH('F-COMPRA'!$F$29,Tabla11[[#This Row],[Cuenta]],1))</f>
        <v>1</v>
      </c>
      <c r="K535" t="b">
        <f>+ISNUMBER(SEARCH('F-COMPRA'!$F$30,Tabla11[[#This Row],[Cuenta]],1))</f>
        <v>1</v>
      </c>
      <c r="L535" t="b">
        <f>+ISNUMBER(SEARCH('F-COMPRA'!$F$31,Tabla11[[#This Row],[Cuenta]],1))</f>
        <v>1</v>
      </c>
      <c r="M535" t="b">
        <f>+ISNUMBER(SEARCH('F-COMPRA'!$G$25,Tabla11[[#This Row],[Cuenta]],1))</f>
        <v>0</v>
      </c>
      <c r="N535" t="b">
        <f>+ISNUMBER(SEARCH(#REF!,Tabla11[[#This Row],[Cuenta]],1))</f>
        <v>0</v>
      </c>
      <c r="O535" t="b">
        <f>+ISNUMBER(SEARCH(#REF!,Tabla11[[#This Row],[Cuenta]],1))</f>
        <v>0</v>
      </c>
      <c r="P535" t="b">
        <f>+ISNUMBER(SEARCH('F-COMPRA'!$F$32,Tabla11[[#This Row],[Cuenta]],1))</f>
        <v>1</v>
      </c>
      <c r="Q535" t="b">
        <f>+ISNUMBER(SEARCH('F-COMPRA'!$F$33,Tabla11[[#This Row],[Cuenta]],1))</f>
        <v>1</v>
      </c>
      <c r="R535" t="b">
        <f>+ISNUMBER(SEARCH('F-COMPRA'!$F$34,Tabla11[[#This Row],[Cuenta]],1))</f>
        <v>1</v>
      </c>
      <c r="S535" t="b">
        <f>+ISNUMBER(SEARCH('F-COMPRA'!$F$35,Tabla11[[#This Row],[Cuenta]],1))</f>
        <v>1</v>
      </c>
      <c r="T535" t="b">
        <f>+ISNUMBER(SEARCH('F-COMPRA'!$F$36,Tabla11[[#This Row],[Cuenta]],1))</f>
        <v>1</v>
      </c>
      <c r="U535" t="b">
        <f>+ISNUMBER(SEARCH('F-COMPRA'!$F$37,Tabla11[[#This Row],[Cuenta]],1))</f>
        <v>1</v>
      </c>
      <c r="V535" t="b">
        <f>+ISNUMBER(SEARCH(#REF!,Tabla11[[#This Row],[Cuenta]],1))</f>
        <v>0</v>
      </c>
      <c r="W535" t="b">
        <f>+ISNUMBER(SEARCH('F-COMPRA'!#REF!,Tabla11[[#This Row],[Cuenta]],1))</f>
        <v>0</v>
      </c>
      <c r="X535" t="b">
        <f>+ISNUMBER(SEARCH('F-COMPRA'!#REF!,Tabla11[[#This Row],[Cuenta]],1))</f>
        <v>0</v>
      </c>
      <c r="Y535" t="b">
        <f>+ISNUMBER(SEARCH('F-COMPRA'!#REF!,Tabla11[[#This Row],[Cuenta]],1))</f>
        <v>0</v>
      </c>
      <c r="Z535" t="b">
        <f>+ISNUMBER(SEARCH('F-COMPRA'!#REF!,Tabla11[[#This Row],[Cuenta]],1))</f>
        <v>0</v>
      </c>
      <c r="AA535" t="b">
        <f>+ISNUMBER(SEARCH('F-COMPRA'!#REF!,Tabla11[[#This Row],[Cuenta]],1))</f>
        <v>0</v>
      </c>
      <c r="AB535" t="b">
        <f>+ISNUMBER(SEARCH('F-COMPRA'!#REF!,Tabla11[[#This Row],[Cuenta]],1))</f>
        <v>0</v>
      </c>
      <c r="AC535" t="b">
        <f>+ISNUMBER(SEARCH('F-COMPRA'!#REF!,Tabla11[[#This Row],[Cuenta]],1))</f>
        <v>0</v>
      </c>
      <c r="AD535" t="b">
        <f>+ISNUMBER(SEARCH('F-COMPRA'!#REF!,Tabla11[[#This Row],[Cuenta]],1))</f>
        <v>0</v>
      </c>
      <c r="AE535" t="b">
        <f>+ISNUMBER(SEARCH('F-COMPRA'!#REF!,Tabla11[[#This Row],[Cuenta]],1))</f>
        <v>0</v>
      </c>
      <c r="AF535" t="b">
        <f>+ISNUMBER(SEARCH('F-VTA'!$G$23,Tabla11[[#This Row],[Cuenta]],1))</f>
        <v>0</v>
      </c>
      <c r="AG535" t="b">
        <f>+ISNUMBER(SEARCH('F-VTA'!$G$24,Tabla11[[#This Row],[Cuenta]],1))</f>
        <v>0</v>
      </c>
      <c r="AH535" t="b">
        <f>+ISNUMBER(SEARCH('F-VTA'!$G$25,Tabla11[[#This Row],[Cuenta]],1))</f>
        <v>0</v>
      </c>
      <c r="AI535" t="b">
        <f>+ISNUMBER(SEARCH('F-VTA'!$F$28,Tabla11[[#This Row],[Cuenta]],1))</f>
        <v>1</v>
      </c>
      <c r="AJ535" t="b">
        <f>+ISNUMBER(SEARCH('F-VTA'!$F$29,Tabla11[[#This Row],[Cuenta]],1))</f>
        <v>1</v>
      </c>
      <c r="AK535" t="b">
        <f>+ISNUMBER(SEARCH('F-VTA'!$F$30,Tabla11[[#This Row],[Cuenta]],1))</f>
        <v>1</v>
      </c>
      <c r="AL535" t="b">
        <f>+ISNUMBER(SEARCH('F-VTA'!$F$31,Tabla11[[#This Row],[Cuenta]],1))</f>
        <v>1</v>
      </c>
      <c r="AM535" t="b">
        <f>+ISNUMBER(SEARCH('F-VTA'!$F$32,Tabla11[[#This Row],[Cuenta]],1))</f>
        <v>1</v>
      </c>
      <c r="AN535" t="b">
        <f>+ISNUMBER(SEARCH('F-VTA'!$F$33,Tabla11[[#This Row],[Cuenta]],1))</f>
        <v>1</v>
      </c>
      <c r="AO535" t="b">
        <f>+ISNUMBER(SEARCH('F-VTA'!$F$34,Tabla11[[#This Row],[Cuenta]],1))</f>
        <v>1</v>
      </c>
      <c r="AP535" t="b">
        <f>+ISNUMBER(SEARCH('F-VTA'!$F$35,Tabla11[[#This Row],[Cuenta]],1))</f>
        <v>1</v>
      </c>
      <c r="AQ535" t="b">
        <f>+ISNUMBER(SEARCH('F-VTA'!$F$36,Tabla11[[#This Row],[Cuenta]],1))</f>
        <v>1</v>
      </c>
      <c r="AR535" t="b">
        <f>+ISNUMBER(SEARCH(#REF!,Tabla11[[#This Row],[Cuenta]],1))</f>
        <v>0</v>
      </c>
      <c r="AS535" t="b">
        <f>+ISNUMBER(SEARCH(#REF!,Tabla11[[#This Row],[Cuenta]],1))</f>
        <v>0</v>
      </c>
      <c r="AT535" t="b">
        <f>+ISNUMBER(SEARCH(#REF!,Tabla11[[#This Row],[Cuenta]],1))</f>
        <v>0</v>
      </c>
      <c r="AU535" t="b">
        <f>+ISNUMBER(SEARCH('Conc. Ban.1'!$I$9,Tabla11[[#This Row],[Cuenta]],1))</f>
        <v>0</v>
      </c>
      <c r="AV535" t="b">
        <f>+ISNUMBER(SEARCH(CompConta!$F$21,Tabla11[[#This Row],[Cuenta]],1))</f>
        <v>1</v>
      </c>
      <c r="AW535" t="b">
        <f>+ISNUMBER(SEARCH(CompConta!$F$22,Tabla11[[#This Row],[Cuenta]],1))</f>
        <v>1</v>
      </c>
      <c r="AX535" t="b">
        <f>+ISNUMBER(SEARCH(CompConta!$F$23,Tabla11[[#This Row],[Cuenta]],1))</f>
        <v>1</v>
      </c>
      <c r="AY535" t="b">
        <f>+ISNUMBER(SEARCH(CompConta!$F$24,Tabla11[[#This Row],[Cuenta]],1))</f>
        <v>1</v>
      </c>
      <c r="AZ535" t="b">
        <f>+ISNUMBER(SEARCH(CompConta!$F$25,Tabla11[[#This Row],[Cuenta]],1))</f>
        <v>1</v>
      </c>
      <c r="BA535" t="b">
        <f>+ISNUMBER(SEARCH(CompConta!$F$26,Tabla11[[#This Row],[Cuenta]],1))</f>
        <v>1</v>
      </c>
      <c r="BB535" t="b">
        <f>+ISNUMBER(SEARCH(CompConta!$F$27,Tabla11[[#This Row],[Cuenta]],1))</f>
        <v>1</v>
      </c>
      <c r="BC535" t="b">
        <f>+ISNUMBER(SEARCH(CompConta!$F$28,Tabla11[[#This Row],[Cuenta]],1))</f>
        <v>1</v>
      </c>
      <c r="BD535" t="b">
        <f>+ISNUMBER(SEARCH(CompConta!$F$29,Tabla11[[#This Row],[Cuenta]],1))</f>
        <v>1</v>
      </c>
      <c r="BE535" t="b">
        <f>+ISNUMBER(SEARCH(CompConta!$F$30,Tabla11[[#This Row],[Cuenta]],1))</f>
        <v>1</v>
      </c>
      <c r="BF535" t="b">
        <f>+ISNUMBER(SEARCH('PAGO Compras'!$E$11,Tabla11[[#This Row],[Cuenta]],1))</f>
        <v>1</v>
      </c>
      <c r="BG535" t="b">
        <f>+ISNUMBER(SEARCH(#REF!,Tabla11[[#This Row],[Cuenta]],1))</f>
        <v>0</v>
      </c>
      <c r="BH535" t="b">
        <f>+ISNUMBER(SEARCH(#REF!,Tabla11[[#This Row],[Cuenta]],1))</f>
        <v>0</v>
      </c>
      <c r="BI535" t="b">
        <f>+ISNUMBER(SEARCH(#REF!,Tabla11[[#This Row],[Cuenta]],1))</f>
        <v>0</v>
      </c>
      <c r="BJ535" t="b">
        <f>+ISNUMBER(SEARCH(#REF!,Tabla11[[#This Row],[Cuenta]],1))</f>
        <v>0</v>
      </c>
      <c r="BS535" t="str">
        <v>2615 PARA OBLIGACIONES FISCALES</v>
      </c>
      <c r="BT535" t="str">
        <v>2615 PARA OBLIGACIONES FISCALES</v>
      </c>
      <c r="BU535" t="str">
        <v>2615 PARA OBLIGACIONES FISCALES</v>
      </c>
      <c r="BV535" t="str">
        <v>2615 PARA OBLIGACIONES FISCALES</v>
      </c>
      <c r="BZ535" t="str">
        <v>2615 PARA OBLIGACIONES FISCALES</v>
      </c>
      <c r="CA535" t="str">
        <v>2615 PARA OBLIGACIONES FISCALES</v>
      </c>
      <c r="CB535" t="str">
        <v>2615 PARA OBLIGACIONES FISCALES</v>
      </c>
      <c r="CC535" t="str">
        <v>2615 PARA OBLIGACIONES FISCALES</v>
      </c>
      <c r="CD535" t="str">
        <v>2615 PARA OBLIGACIONES FISCALES</v>
      </c>
      <c r="CE535" t="str">
        <v>2615 PARA OBLIGACIONES FISCALES</v>
      </c>
      <c r="CS535" s="141" t="str">
        <v>2615 PARA OBLIGACIONES FISCALES</v>
      </c>
      <c r="CT535" s="141" t="str">
        <v>2615 PARA OBLIGACIONES FISCALES</v>
      </c>
      <c r="CU535" s="141" t="str">
        <v>2615 PARA OBLIGACIONES FISCALES</v>
      </c>
      <c r="CV535" s="141" t="str">
        <v>2615 PARA OBLIGACIONES FISCALES</v>
      </c>
      <c r="CW535" s="141" t="str">
        <v>2615 PARA OBLIGACIONES FISCALES</v>
      </c>
      <c r="CX535" s="141" t="str">
        <v>2615 PARA OBLIGACIONES FISCALES</v>
      </c>
      <c r="CY535" s="141" t="str">
        <v>2615 PARA OBLIGACIONES FISCALES</v>
      </c>
      <c r="CZ535" s="141" t="str">
        <v>2615 PARA OBLIGACIONES FISCALES</v>
      </c>
      <c r="DA535" s="141" t="str">
        <v>2615 PARA OBLIGACIONES FISCALES</v>
      </c>
      <c r="DF535" t="str">
        <v>2615 PARA OBLIGACIONES FISCALES</v>
      </c>
      <c r="DG535" t="str">
        <v>2615 PARA OBLIGACIONES FISCALES</v>
      </c>
      <c r="DH535" t="str">
        <v>2615 PARA OBLIGACIONES FISCALES</v>
      </c>
      <c r="DI535" t="str">
        <v>2615 PARA OBLIGACIONES FISCALES</v>
      </c>
      <c r="DJ535" t="str">
        <v>2615 PARA OBLIGACIONES FISCALES</v>
      </c>
      <c r="DK535" t="str">
        <v>2615 PARA OBLIGACIONES FISCALES</v>
      </c>
      <c r="DL535" t="str">
        <v>2615 PARA OBLIGACIONES FISCALES</v>
      </c>
      <c r="DM535" t="str">
        <v>2615 PARA OBLIGACIONES FISCALES</v>
      </c>
      <c r="DN535" t="str">
        <v>2615 PARA OBLIGACIONES FISCALES</v>
      </c>
      <c r="DO535" t="str">
        <v>2615 PARA OBLIGACIONES FISCALES</v>
      </c>
      <c r="DP535" t="str">
        <v>2615 PARA OBLIGACIONES FISCALES</v>
      </c>
    </row>
    <row r="536" spans="4:120" ht="12.75">
      <c r="D536" s="7">
        <v>261505</v>
      </c>
      <c r="E536" s="6" t="s">
        <v>404</v>
      </c>
      <c r="F536" s="5">
        <v>4</v>
      </c>
      <c r="G536" s="34" t="s">
        <v>824</v>
      </c>
      <c r="H536" s="26" t="s">
        <v>765</v>
      </c>
      <c r="I536" t="b">
        <f>+ISNUMBER(SEARCH('F-COMPRA'!$F$28,Tabla11[[#This Row],[Cuenta]],1))</f>
        <v>1</v>
      </c>
      <c r="J536" t="b">
        <f>+ISNUMBER(SEARCH('F-COMPRA'!$F$29,Tabla11[[#This Row],[Cuenta]],1))</f>
        <v>1</v>
      </c>
      <c r="K536" t="b">
        <f>+ISNUMBER(SEARCH('F-COMPRA'!$F$30,Tabla11[[#This Row],[Cuenta]],1))</f>
        <v>1</v>
      </c>
      <c r="L536" t="b">
        <f>+ISNUMBER(SEARCH('F-COMPRA'!$F$31,Tabla11[[#This Row],[Cuenta]],1))</f>
        <v>1</v>
      </c>
      <c r="M536" t="b">
        <f>+ISNUMBER(SEARCH('F-COMPRA'!$G$25,Tabla11[[#This Row],[Cuenta]],1))</f>
        <v>0</v>
      </c>
      <c r="N536" t="b">
        <f>+ISNUMBER(SEARCH(#REF!,Tabla11[[#This Row],[Cuenta]],1))</f>
        <v>0</v>
      </c>
      <c r="O536" t="b">
        <f>+ISNUMBER(SEARCH(#REF!,Tabla11[[#This Row],[Cuenta]],1))</f>
        <v>0</v>
      </c>
      <c r="P536" t="b">
        <f>+ISNUMBER(SEARCH('F-COMPRA'!$F$32,Tabla11[[#This Row],[Cuenta]],1))</f>
        <v>1</v>
      </c>
      <c r="Q536" t="b">
        <f>+ISNUMBER(SEARCH('F-COMPRA'!$F$33,Tabla11[[#This Row],[Cuenta]],1))</f>
        <v>1</v>
      </c>
      <c r="R536" t="b">
        <f>+ISNUMBER(SEARCH('F-COMPRA'!$F$34,Tabla11[[#This Row],[Cuenta]],1))</f>
        <v>1</v>
      </c>
      <c r="S536" t="b">
        <f>+ISNUMBER(SEARCH('F-COMPRA'!$F$35,Tabla11[[#This Row],[Cuenta]],1))</f>
        <v>1</v>
      </c>
      <c r="T536" t="b">
        <f>+ISNUMBER(SEARCH('F-COMPRA'!$F$36,Tabla11[[#This Row],[Cuenta]],1))</f>
        <v>1</v>
      </c>
      <c r="U536" t="b">
        <f>+ISNUMBER(SEARCH('F-COMPRA'!$F$37,Tabla11[[#This Row],[Cuenta]],1))</f>
        <v>1</v>
      </c>
      <c r="V536" t="b">
        <f>+ISNUMBER(SEARCH(#REF!,Tabla11[[#This Row],[Cuenta]],1))</f>
        <v>0</v>
      </c>
      <c r="W536" t="b">
        <f>+ISNUMBER(SEARCH('F-COMPRA'!#REF!,Tabla11[[#This Row],[Cuenta]],1))</f>
        <v>0</v>
      </c>
      <c r="X536" t="b">
        <f>+ISNUMBER(SEARCH('F-COMPRA'!#REF!,Tabla11[[#This Row],[Cuenta]],1))</f>
        <v>0</v>
      </c>
      <c r="Y536" t="b">
        <f>+ISNUMBER(SEARCH('F-COMPRA'!#REF!,Tabla11[[#This Row],[Cuenta]],1))</f>
        <v>0</v>
      </c>
      <c r="Z536" t="b">
        <f>+ISNUMBER(SEARCH('F-COMPRA'!#REF!,Tabla11[[#This Row],[Cuenta]],1))</f>
        <v>0</v>
      </c>
      <c r="AA536" t="b">
        <f>+ISNUMBER(SEARCH('F-COMPRA'!#REF!,Tabla11[[#This Row],[Cuenta]],1))</f>
        <v>0</v>
      </c>
      <c r="AB536" t="b">
        <f>+ISNUMBER(SEARCH('F-COMPRA'!#REF!,Tabla11[[#This Row],[Cuenta]],1))</f>
        <v>0</v>
      </c>
      <c r="AC536" t="b">
        <f>+ISNUMBER(SEARCH('F-COMPRA'!#REF!,Tabla11[[#This Row],[Cuenta]],1))</f>
        <v>0</v>
      </c>
      <c r="AD536" t="b">
        <f>+ISNUMBER(SEARCH('F-COMPRA'!#REF!,Tabla11[[#This Row],[Cuenta]],1))</f>
        <v>0</v>
      </c>
      <c r="AE536" t="b">
        <f>+ISNUMBER(SEARCH('F-COMPRA'!#REF!,Tabla11[[#This Row],[Cuenta]],1))</f>
        <v>0</v>
      </c>
      <c r="AF536" t="b">
        <f>+ISNUMBER(SEARCH('F-VTA'!$G$23,Tabla11[[#This Row],[Cuenta]],1))</f>
        <v>0</v>
      </c>
      <c r="AG536" t="b">
        <f>+ISNUMBER(SEARCH('F-VTA'!$G$24,Tabla11[[#This Row],[Cuenta]],1))</f>
        <v>0</v>
      </c>
      <c r="AH536" t="b">
        <f>+ISNUMBER(SEARCH('F-VTA'!$G$25,Tabla11[[#This Row],[Cuenta]],1))</f>
        <v>0</v>
      </c>
      <c r="AI536" t="b">
        <f>+ISNUMBER(SEARCH('F-VTA'!$F$28,Tabla11[[#This Row],[Cuenta]],1))</f>
        <v>1</v>
      </c>
      <c r="AJ536" t="b">
        <f>+ISNUMBER(SEARCH('F-VTA'!$F$29,Tabla11[[#This Row],[Cuenta]],1))</f>
        <v>1</v>
      </c>
      <c r="AK536" t="b">
        <f>+ISNUMBER(SEARCH('F-VTA'!$F$30,Tabla11[[#This Row],[Cuenta]],1))</f>
        <v>1</v>
      </c>
      <c r="AL536" t="b">
        <f>+ISNUMBER(SEARCH('F-VTA'!$F$31,Tabla11[[#This Row],[Cuenta]],1))</f>
        <v>1</v>
      </c>
      <c r="AM536" t="b">
        <f>+ISNUMBER(SEARCH('F-VTA'!$F$32,Tabla11[[#This Row],[Cuenta]],1))</f>
        <v>1</v>
      </c>
      <c r="AN536" t="b">
        <f>+ISNUMBER(SEARCH('F-VTA'!$F$33,Tabla11[[#This Row],[Cuenta]],1))</f>
        <v>1</v>
      </c>
      <c r="AO536" t="b">
        <f>+ISNUMBER(SEARCH('F-VTA'!$F$34,Tabla11[[#This Row],[Cuenta]],1))</f>
        <v>1</v>
      </c>
      <c r="AP536" t="b">
        <f>+ISNUMBER(SEARCH('F-VTA'!$F$35,Tabla11[[#This Row],[Cuenta]],1))</f>
        <v>1</v>
      </c>
      <c r="AQ536" t="b">
        <f>+ISNUMBER(SEARCH('F-VTA'!$F$36,Tabla11[[#This Row],[Cuenta]],1))</f>
        <v>1</v>
      </c>
      <c r="AR536" t="b">
        <f>+ISNUMBER(SEARCH(#REF!,Tabla11[[#This Row],[Cuenta]],1))</f>
        <v>0</v>
      </c>
      <c r="AS536" t="b">
        <f>+ISNUMBER(SEARCH(#REF!,Tabla11[[#This Row],[Cuenta]],1))</f>
        <v>0</v>
      </c>
      <c r="AT536" t="b">
        <f>+ISNUMBER(SEARCH(#REF!,Tabla11[[#This Row],[Cuenta]],1))</f>
        <v>0</v>
      </c>
      <c r="AU536" t="b">
        <f>+ISNUMBER(SEARCH('Conc. Ban.1'!$I$9,Tabla11[[#This Row],[Cuenta]],1))</f>
        <v>0</v>
      </c>
      <c r="AV536" t="b">
        <f>+ISNUMBER(SEARCH(CompConta!$F$21,Tabla11[[#This Row],[Cuenta]],1))</f>
        <v>1</v>
      </c>
      <c r="AW536" t="b">
        <f>+ISNUMBER(SEARCH(CompConta!$F$22,Tabla11[[#This Row],[Cuenta]],1))</f>
        <v>1</v>
      </c>
      <c r="AX536" t="b">
        <f>+ISNUMBER(SEARCH(CompConta!$F$23,Tabla11[[#This Row],[Cuenta]],1))</f>
        <v>1</v>
      </c>
      <c r="AY536" t="b">
        <f>+ISNUMBER(SEARCH(CompConta!$F$24,Tabla11[[#This Row],[Cuenta]],1))</f>
        <v>1</v>
      </c>
      <c r="AZ536" t="b">
        <f>+ISNUMBER(SEARCH(CompConta!$F$25,Tabla11[[#This Row],[Cuenta]],1))</f>
        <v>1</v>
      </c>
      <c r="BA536" t="b">
        <f>+ISNUMBER(SEARCH(CompConta!$F$26,Tabla11[[#This Row],[Cuenta]],1))</f>
        <v>1</v>
      </c>
      <c r="BB536" t="b">
        <f>+ISNUMBER(SEARCH(CompConta!$F$27,Tabla11[[#This Row],[Cuenta]],1))</f>
        <v>1</v>
      </c>
      <c r="BC536" t="b">
        <f>+ISNUMBER(SEARCH(CompConta!$F$28,Tabla11[[#This Row],[Cuenta]],1))</f>
        <v>1</v>
      </c>
      <c r="BD536" t="b">
        <f>+ISNUMBER(SEARCH(CompConta!$F$29,Tabla11[[#This Row],[Cuenta]],1))</f>
        <v>1</v>
      </c>
      <c r="BE536" t="b">
        <f>+ISNUMBER(SEARCH(CompConta!$F$30,Tabla11[[#This Row],[Cuenta]],1))</f>
        <v>1</v>
      </c>
      <c r="BF536" t="b">
        <f>+ISNUMBER(SEARCH('PAGO Compras'!$E$11,Tabla11[[#This Row],[Cuenta]],1))</f>
        <v>1</v>
      </c>
      <c r="BG536" t="b">
        <f>+ISNUMBER(SEARCH(#REF!,Tabla11[[#This Row],[Cuenta]],1))</f>
        <v>0</v>
      </c>
      <c r="BH536" t="b">
        <f>+ISNUMBER(SEARCH(#REF!,Tabla11[[#This Row],[Cuenta]],1))</f>
        <v>0</v>
      </c>
      <c r="BI536" t="b">
        <f>+ISNUMBER(SEARCH(#REF!,Tabla11[[#This Row],[Cuenta]],1))</f>
        <v>0</v>
      </c>
      <c r="BJ536" t="b">
        <f>+ISNUMBER(SEARCH(#REF!,Tabla11[[#This Row],[Cuenta]],1))</f>
        <v>0</v>
      </c>
      <c r="BS536" t="str">
        <v>261505 De renta y complementarios</v>
      </c>
      <c r="BT536" t="str">
        <v>261505 De renta y complementarios</v>
      </c>
      <c r="BU536" t="str">
        <v>261505 De renta y complementarios</v>
      </c>
      <c r="BV536" t="str">
        <v>261505 De renta y complementarios</v>
      </c>
      <c r="BZ536" t="str">
        <v>261505 De renta y complementarios</v>
      </c>
      <c r="CA536" t="str">
        <v>261505 De renta y complementarios</v>
      </c>
      <c r="CB536" t="str">
        <v>261505 De renta y complementarios</v>
      </c>
      <c r="CC536" t="str">
        <v>261505 De renta y complementarios</v>
      </c>
      <c r="CD536" t="str">
        <v>261505 De renta y complementarios</v>
      </c>
      <c r="CE536" t="str">
        <v>261505 De renta y complementarios</v>
      </c>
      <c r="CS536" s="141" t="str">
        <v>261505 De renta y complementarios</v>
      </c>
      <c r="CT536" s="141" t="str">
        <v>261505 De renta y complementarios</v>
      </c>
      <c r="CU536" s="141" t="str">
        <v>261505 De renta y complementarios</v>
      </c>
      <c r="CV536" s="141" t="str">
        <v>261505 De renta y complementarios</v>
      </c>
      <c r="CW536" s="141" t="str">
        <v>261505 De renta y complementarios</v>
      </c>
      <c r="CX536" s="141" t="str">
        <v>261505 De renta y complementarios</v>
      </c>
      <c r="CY536" s="141" t="str">
        <v>261505 De renta y complementarios</v>
      </c>
      <c r="CZ536" s="141" t="str">
        <v>261505 De renta y complementarios</v>
      </c>
      <c r="DA536" s="141" t="str">
        <v>261505 De renta y complementarios</v>
      </c>
      <c r="DF536" t="str">
        <v>261505 De renta y complementarios</v>
      </c>
      <c r="DG536" t="str">
        <v>261505 De renta y complementarios</v>
      </c>
      <c r="DH536" t="str">
        <v>261505 De renta y complementarios</v>
      </c>
      <c r="DI536" t="str">
        <v>261505 De renta y complementarios</v>
      </c>
      <c r="DJ536" t="str">
        <v>261505 De renta y complementarios</v>
      </c>
      <c r="DK536" t="str">
        <v>261505 De renta y complementarios</v>
      </c>
      <c r="DL536" t="str">
        <v>261505 De renta y complementarios</v>
      </c>
      <c r="DM536" t="str">
        <v>261505 De renta y complementarios</v>
      </c>
      <c r="DN536" t="str">
        <v>261505 De renta y complementarios</v>
      </c>
      <c r="DO536" t="str">
        <v>261505 De renta y complementarios</v>
      </c>
      <c r="DP536" t="str">
        <v>261505 De renta y complementarios</v>
      </c>
    </row>
    <row r="537" spans="4:120" ht="12.75">
      <c r="D537" s="7">
        <v>261510</v>
      </c>
      <c r="E537" s="6" t="s">
        <v>405</v>
      </c>
      <c r="F537" s="5">
        <v>4</v>
      </c>
      <c r="G537" s="34" t="s">
        <v>824</v>
      </c>
      <c r="H537" s="26" t="s">
        <v>765</v>
      </c>
      <c r="I537" t="b">
        <f>+ISNUMBER(SEARCH('F-COMPRA'!$F$28,Tabla11[[#This Row],[Cuenta]],1))</f>
        <v>1</v>
      </c>
      <c r="J537" t="b">
        <f>+ISNUMBER(SEARCH('F-COMPRA'!$F$29,Tabla11[[#This Row],[Cuenta]],1))</f>
        <v>1</v>
      </c>
      <c r="K537" t="b">
        <f>+ISNUMBER(SEARCH('F-COMPRA'!$F$30,Tabla11[[#This Row],[Cuenta]],1))</f>
        <v>1</v>
      </c>
      <c r="L537" t="b">
        <f>+ISNUMBER(SEARCH('F-COMPRA'!$F$31,Tabla11[[#This Row],[Cuenta]],1))</f>
        <v>1</v>
      </c>
      <c r="M537" t="b">
        <f>+ISNUMBER(SEARCH('F-COMPRA'!$G$25,Tabla11[[#This Row],[Cuenta]],1))</f>
        <v>0</v>
      </c>
      <c r="N537" t="b">
        <f>+ISNUMBER(SEARCH(#REF!,Tabla11[[#This Row],[Cuenta]],1))</f>
        <v>0</v>
      </c>
      <c r="O537" t="b">
        <f>+ISNUMBER(SEARCH(#REF!,Tabla11[[#This Row],[Cuenta]],1))</f>
        <v>0</v>
      </c>
      <c r="P537" t="b">
        <f>+ISNUMBER(SEARCH('F-COMPRA'!$F$32,Tabla11[[#This Row],[Cuenta]],1))</f>
        <v>1</v>
      </c>
      <c r="Q537" t="b">
        <f>+ISNUMBER(SEARCH('F-COMPRA'!$F$33,Tabla11[[#This Row],[Cuenta]],1))</f>
        <v>1</v>
      </c>
      <c r="R537" t="b">
        <f>+ISNUMBER(SEARCH('F-COMPRA'!$F$34,Tabla11[[#This Row],[Cuenta]],1))</f>
        <v>1</v>
      </c>
      <c r="S537" t="b">
        <f>+ISNUMBER(SEARCH('F-COMPRA'!$F$35,Tabla11[[#This Row],[Cuenta]],1))</f>
        <v>1</v>
      </c>
      <c r="T537" t="b">
        <f>+ISNUMBER(SEARCH('F-COMPRA'!$F$36,Tabla11[[#This Row],[Cuenta]],1))</f>
        <v>1</v>
      </c>
      <c r="U537" t="b">
        <f>+ISNUMBER(SEARCH('F-COMPRA'!$F$37,Tabla11[[#This Row],[Cuenta]],1))</f>
        <v>1</v>
      </c>
      <c r="V537" t="b">
        <f>+ISNUMBER(SEARCH(#REF!,Tabla11[[#This Row],[Cuenta]],1))</f>
        <v>0</v>
      </c>
      <c r="W537" t="b">
        <f>+ISNUMBER(SEARCH('F-COMPRA'!#REF!,Tabla11[[#This Row],[Cuenta]],1))</f>
        <v>0</v>
      </c>
      <c r="X537" t="b">
        <f>+ISNUMBER(SEARCH('F-COMPRA'!#REF!,Tabla11[[#This Row],[Cuenta]],1))</f>
        <v>0</v>
      </c>
      <c r="Y537" t="b">
        <f>+ISNUMBER(SEARCH('F-COMPRA'!#REF!,Tabla11[[#This Row],[Cuenta]],1))</f>
        <v>0</v>
      </c>
      <c r="Z537" t="b">
        <f>+ISNUMBER(SEARCH('F-COMPRA'!#REF!,Tabla11[[#This Row],[Cuenta]],1))</f>
        <v>0</v>
      </c>
      <c r="AA537" t="b">
        <f>+ISNUMBER(SEARCH('F-COMPRA'!#REF!,Tabla11[[#This Row],[Cuenta]],1))</f>
        <v>0</v>
      </c>
      <c r="AB537" t="b">
        <f>+ISNUMBER(SEARCH('F-COMPRA'!#REF!,Tabla11[[#This Row],[Cuenta]],1))</f>
        <v>0</v>
      </c>
      <c r="AC537" t="b">
        <f>+ISNUMBER(SEARCH('F-COMPRA'!#REF!,Tabla11[[#This Row],[Cuenta]],1))</f>
        <v>0</v>
      </c>
      <c r="AD537" t="b">
        <f>+ISNUMBER(SEARCH('F-COMPRA'!#REF!,Tabla11[[#This Row],[Cuenta]],1))</f>
        <v>0</v>
      </c>
      <c r="AE537" t="b">
        <f>+ISNUMBER(SEARCH('F-COMPRA'!#REF!,Tabla11[[#This Row],[Cuenta]],1))</f>
        <v>0</v>
      </c>
      <c r="AF537" t="b">
        <f>+ISNUMBER(SEARCH('F-VTA'!$G$23,Tabla11[[#This Row],[Cuenta]],1))</f>
        <v>0</v>
      </c>
      <c r="AG537" t="b">
        <f>+ISNUMBER(SEARCH('F-VTA'!$G$24,Tabla11[[#This Row],[Cuenta]],1))</f>
        <v>0</v>
      </c>
      <c r="AH537" t="b">
        <f>+ISNUMBER(SEARCH('F-VTA'!$G$25,Tabla11[[#This Row],[Cuenta]],1))</f>
        <v>0</v>
      </c>
      <c r="AI537" t="b">
        <f>+ISNUMBER(SEARCH('F-VTA'!$F$28,Tabla11[[#This Row],[Cuenta]],1))</f>
        <v>1</v>
      </c>
      <c r="AJ537" t="b">
        <f>+ISNUMBER(SEARCH('F-VTA'!$F$29,Tabla11[[#This Row],[Cuenta]],1))</f>
        <v>1</v>
      </c>
      <c r="AK537" t="b">
        <f>+ISNUMBER(SEARCH('F-VTA'!$F$30,Tabla11[[#This Row],[Cuenta]],1))</f>
        <v>1</v>
      </c>
      <c r="AL537" t="b">
        <f>+ISNUMBER(SEARCH('F-VTA'!$F$31,Tabla11[[#This Row],[Cuenta]],1))</f>
        <v>1</v>
      </c>
      <c r="AM537" t="b">
        <f>+ISNUMBER(SEARCH('F-VTA'!$F$32,Tabla11[[#This Row],[Cuenta]],1))</f>
        <v>1</v>
      </c>
      <c r="AN537" t="b">
        <f>+ISNUMBER(SEARCH('F-VTA'!$F$33,Tabla11[[#This Row],[Cuenta]],1))</f>
        <v>1</v>
      </c>
      <c r="AO537" t="b">
        <f>+ISNUMBER(SEARCH('F-VTA'!$F$34,Tabla11[[#This Row],[Cuenta]],1))</f>
        <v>1</v>
      </c>
      <c r="AP537" t="b">
        <f>+ISNUMBER(SEARCH('F-VTA'!$F$35,Tabla11[[#This Row],[Cuenta]],1))</f>
        <v>1</v>
      </c>
      <c r="AQ537" t="b">
        <f>+ISNUMBER(SEARCH('F-VTA'!$F$36,Tabla11[[#This Row],[Cuenta]],1))</f>
        <v>1</v>
      </c>
      <c r="AR537" t="b">
        <f>+ISNUMBER(SEARCH(#REF!,Tabla11[[#This Row],[Cuenta]],1))</f>
        <v>0</v>
      </c>
      <c r="AS537" t="b">
        <f>+ISNUMBER(SEARCH(#REF!,Tabla11[[#This Row],[Cuenta]],1))</f>
        <v>0</v>
      </c>
      <c r="AT537" t="b">
        <f>+ISNUMBER(SEARCH(#REF!,Tabla11[[#This Row],[Cuenta]],1))</f>
        <v>0</v>
      </c>
      <c r="AU537" t="b">
        <f>+ISNUMBER(SEARCH('Conc. Ban.1'!$I$9,Tabla11[[#This Row],[Cuenta]],1))</f>
        <v>0</v>
      </c>
      <c r="AV537" t="b">
        <f>+ISNUMBER(SEARCH(CompConta!$F$21,Tabla11[[#This Row],[Cuenta]],1))</f>
        <v>1</v>
      </c>
      <c r="AW537" t="b">
        <f>+ISNUMBER(SEARCH(CompConta!$F$22,Tabla11[[#This Row],[Cuenta]],1))</f>
        <v>1</v>
      </c>
      <c r="AX537" t="b">
        <f>+ISNUMBER(SEARCH(CompConta!$F$23,Tabla11[[#This Row],[Cuenta]],1))</f>
        <v>1</v>
      </c>
      <c r="AY537" t="b">
        <f>+ISNUMBER(SEARCH(CompConta!$F$24,Tabla11[[#This Row],[Cuenta]],1))</f>
        <v>1</v>
      </c>
      <c r="AZ537" t="b">
        <f>+ISNUMBER(SEARCH(CompConta!$F$25,Tabla11[[#This Row],[Cuenta]],1))</f>
        <v>1</v>
      </c>
      <c r="BA537" t="b">
        <f>+ISNUMBER(SEARCH(CompConta!$F$26,Tabla11[[#This Row],[Cuenta]],1))</f>
        <v>1</v>
      </c>
      <c r="BB537" t="b">
        <f>+ISNUMBER(SEARCH(CompConta!$F$27,Tabla11[[#This Row],[Cuenta]],1))</f>
        <v>1</v>
      </c>
      <c r="BC537" t="b">
        <f>+ISNUMBER(SEARCH(CompConta!$F$28,Tabla11[[#This Row],[Cuenta]],1))</f>
        <v>1</v>
      </c>
      <c r="BD537" t="b">
        <f>+ISNUMBER(SEARCH(CompConta!$F$29,Tabla11[[#This Row],[Cuenta]],1))</f>
        <v>1</v>
      </c>
      <c r="BE537" t="b">
        <f>+ISNUMBER(SEARCH(CompConta!$F$30,Tabla11[[#This Row],[Cuenta]],1))</f>
        <v>1</v>
      </c>
      <c r="BF537" t="b">
        <f>+ISNUMBER(SEARCH('PAGO Compras'!$E$11,Tabla11[[#This Row],[Cuenta]],1))</f>
        <v>1</v>
      </c>
      <c r="BG537" t="b">
        <f>+ISNUMBER(SEARCH(#REF!,Tabla11[[#This Row],[Cuenta]],1))</f>
        <v>0</v>
      </c>
      <c r="BH537" t="b">
        <f>+ISNUMBER(SEARCH(#REF!,Tabla11[[#This Row],[Cuenta]],1))</f>
        <v>0</v>
      </c>
      <c r="BI537" t="b">
        <f>+ISNUMBER(SEARCH(#REF!,Tabla11[[#This Row],[Cuenta]],1))</f>
        <v>0</v>
      </c>
      <c r="BJ537" t="b">
        <f>+ISNUMBER(SEARCH(#REF!,Tabla11[[#This Row],[Cuenta]],1))</f>
        <v>0</v>
      </c>
      <c r="BS537" t="str">
        <v>261510 De industria y comercio</v>
      </c>
      <c r="BT537" t="str">
        <v>261510 De industria y comercio</v>
      </c>
      <c r="BU537" t="str">
        <v>261510 De industria y comercio</v>
      </c>
      <c r="BV537" t="str">
        <v>261510 De industria y comercio</v>
      </c>
      <c r="BZ537" t="str">
        <v>261510 De industria y comercio</v>
      </c>
      <c r="CA537" t="str">
        <v>261510 De industria y comercio</v>
      </c>
      <c r="CB537" t="str">
        <v>261510 De industria y comercio</v>
      </c>
      <c r="CC537" t="str">
        <v>261510 De industria y comercio</v>
      </c>
      <c r="CD537" t="str">
        <v>261510 De industria y comercio</v>
      </c>
      <c r="CE537" t="str">
        <v>261510 De industria y comercio</v>
      </c>
      <c r="CS537" s="141" t="str">
        <v>261510 De industria y comercio</v>
      </c>
      <c r="CT537" s="141" t="str">
        <v>261510 De industria y comercio</v>
      </c>
      <c r="CU537" s="141" t="str">
        <v>261510 De industria y comercio</v>
      </c>
      <c r="CV537" s="141" t="str">
        <v>261510 De industria y comercio</v>
      </c>
      <c r="CW537" s="141" t="str">
        <v>261510 De industria y comercio</v>
      </c>
      <c r="CX537" s="141" t="str">
        <v>261510 De industria y comercio</v>
      </c>
      <c r="CY537" s="141" t="str">
        <v>261510 De industria y comercio</v>
      </c>
      <c r="CZ537" s="141" t="str">
        <v>261510 De industria y comercio</v>
      </c>
      <c r="DA537" s="141" t="str">
        <v>261510 De industria y comercio</v>
      </c>
      <c r="DF537" t="str">
        <v>261510 De industria y comercio</v>
      </c>
      <c r="DG537" t="str">
        <v>261510 De industria y comercio</v>
      </c>
      <c r="DH537" t="str">
        <v>261510 De industria y comercio</v>
      </c>
      <c r="DI537" t="str">
        <v>261510 De industria y comercio</v>
      </c>
      <c r="DJ537" t="str">
        <v>261510 De industria y comercio</v>
      </c>
      <c r="DK537" t="str">
        <v>261510 De industria y comercio</v>
      </c>
      <c r="DL537" t="str">
        <v>261510 De industria y comercio</v>
      </c>
      <c r="DM537" t="str">
        <v>261510 De industria y comercio</v>
      </c>
      <c r="DN537" t="str">
        <v>261510 De industria y comercio</v>
      </c>
      <c r="DO537" t="str">
        <v>261510 De industria y comercio</v>
      </c>
      <c r="DP537" t="str">
        <v>261510 De industria y comercio</v>
      </c>
    </row>
    <row r="538" spans="4:120" ht="12.75">
      <c r="D538" s="7">
        <v>261515</v>
      </c>
      <c r="E538" s="6" t="s">
        <v>406</v>
      </c>
      <c r="F538" s="5">
        <v>4</v>
      </c>
      <c r="G538" s="34" t="s">
        <v>824</v>
      </c>
      <c r="H538" s="26" t="s">
        <v>765</v>
      </c>
      <c r="I538" t="b">
        <f>+ISNUMBER(SEARCH('F-COMPRA'!$F$28,Tabla11[[#This Row],[Cuenta]],1))</f>
        <v>1</v>
      </c>
      <c r="J538" t="b">
        <f>+ISNUMBER(SEARCH('F-COMPRA'!$F$29,Tabla11[[#This Row],[Cuenta]],1))</f>
        <v>1</v>
      </c>
      <c r="K538" t="b">
        <f>+ISNUMBER(SEARCH('F-COMPRA'!$F$30,Tabla11[[#This Row],[Cuenta]],1))</f>
        <v>1</v>
      </c>
      <c r="L538" t="b">
        <f>+ISNUMBER(SEARCH('F-COMPRA'!$F$31,Tabla11[[#This Row],[Cuenta]],1))</f>
        <v>1</v>
      </c>
      <c r="M538" t="b">
        <f>+ISNUMBER(SEARCH('F-COMPRA'!$G$25,Tabla11[[#This Row],[Cuenta]],1))</f>
        <v>0</v>
      </c>
      <c r="N538" t="b">
        <f>+ISNUMBER(SEARCH(#REF!,Tabla11[[#This Row],[Cuenta]],1))</f>
        <v>0</v>
      </c>
      <c r="O538" t="b">
        <f>+ISNUMBER(SEARCH(#REF!,Tabla11[[#This Row],[Cuenta]],1))</f>
        <v>0</v>
      </c>
      <c r="P538" t="b">
        <f>+ISNUMBER(SEARCH('F-COMPRA'!$F$32,Tabla11[[#This Row],[Cuenta]],1))</f>
        <v>1</v>
      </c>
      <c r="Q538" t="b">
        <f>+ISNUMBER(SEARCH('F-COMPRA'!$F$33,Tabla11[[#This Row],[Cuenta]],1))</f>
        <v>1</v>
      </c>
      <c r="R538" t="b">
        <f>+ISNUMBER(SEARCH('F-COMPRA'!$F$34,Tabla11[[#This Row],[Cuenta]],1))</f>
        <v>1</v>
      </c>
      <c r="S538" t="b">
        <f>+ISNUMBER(SEARCH('F-COMPRA'!$F$35,Tabla11[[#This Row],[Cuenta]],1))</f>
        <v>1</v>
      </c>
      <c r="T538" t="b">
        <f>+ISNUMBER(SEARCH('F-COMPRA'!$F$36,Tabla11[[#This Row],[Cuenta]],1))</f>
        <v>1</v>
      </c>
      <c r="U538" t="b">
        <f>+ISNUMBER(SEARCH('F-COMPRA'!$F$37,Tabla11[[#This Row],[Cuenta]],1))</f>
        <v>1</v>
      </c>
      <c r="V538" t="b">
        <f>+ISNUMBER(SEARCH(#REF!,Tabla11[[#This Row],[Cuenta]],1))</f>
        <v>0</v>
      </c>
      <c r="W538" t="b">
        <f>+ISNUMBER(SEARCH('F-COMPRA'!#REF!,Tabla11[[#This Row],[Cuenta]],1))</f>
        <v>0</v>
      </c>
      <c r="X538" t="b">
        <f>+ISNUMBER(SEARCH('F-COMPRA'!#REF!,Tabla11[[#This Row],[Cuenta]],1))</f>
        <v>0</v>
      </c>
      <c r="Y538" t="b">
        <f>+ISNUMBER(SEARCH('F-COMPRA'!#REF!,Tabla11[[#This Row],[Cuenta]],1))</f>
        <v>0</v>
      </c>
      <c r="Z538" t="b">
        <f>+ISNUMBER(SEARCH('F-COMPRA'!#REF!,Tabla11[[#This Row],[Cuenta]],1))</f>
        <v>0</v>
      </c>
      <c r="AA538" t="b">
        <f>+ISNUMBER(SEARCH('F-COMPRA'!#REF!,Tabla11[[#This Row],[Cuenta]],1))</f>
        <v>0</v>
      </c>
      <c r="AB538" t="b">
        <f>+ISNUMBER(SEARCH('F-COMPRA'!#REF!,Tabla11[[#This Row],[Cuenta]],1))</f>
        <v>0</v>
      </c>
      <c r="AC538" t="b">
        <f>+ISNUMBER(SEARCH('F-COMPRA'!#REF!,Tabla11[[#This Row],[Cuenta]],1))</f>
        <v>0</v>
      </c>
      <c r="AD538" t="b">
        <f>+ISNUMBER(SEARCH('F-COMPRA'!#REF!,Tabla11[[#This Row],[Cuenta]],1))</f>
        <v>0</v>
      </c>
      <c r="AE538" t="b">
        <f>+ISNUMBER(SEARCH('F-COMPRA'!#REF!,Tabla11[[#This Row],[Cuenta]],1))</f>
        <v>0</v>
      </c>
      <c r="AF538" t="b">
        <f>+ISNUMBER(SEARCH('F-VTA'!$G$23,Tabla11[[#This Row],[Cuenta]],1))</f>
        <v>0</v>
      </c>
      <c r="AG538" t="b">
        <f>+ISNUMBER(SEARCH('F-VTA'!$G$24,Tabla11[[#This Row],[Cuenta]],1))</f>
        <v>0</v>
      </c>
      <c r="AH538" t="b">
        <f>+ISNUMBER(SEARCH('F-VTA'!$G$25,Tabla11[[#This Row],[Cuenta]],1))</f>
        <v>0</v>
      </c>
      <c r="AI538" t="b">
        <f>+ISNUMBER(SEARCH('F-VTA'!$F$28,Tabla11[[#This Row],[Cuenta]],1))</f>
        <v>1</v>
      </c>
      <c r="AJ538" t="b">
        <f>+ISNUMBER(SEARCH('F-VTA'!$F$29,Tabla11[[#This Row],[Cuenta]],1))</f>
        <v>1</v>
      </c>
      <c r="AK538" t="b">
        <f>+ISNUMBER(SEARCH('F-VTA'!$F$30,Tabla11[[#This Row],[Cuenta]],1))</f>
        <v>1</v>
      </c>
      <c r="AL538" t="b">
        <f>+ISNUMBER(SEARCH('F-VTA'!$F$31,Tabla11[[#This Row],[Cuenta]],1))</f>
        <v>1</v>
      </c>
      <c r="AM538" t="b">
        <f>+ISNUMBER(SEARCH('F-VTA'!$F$32,Tabla11[[#This Row],[Cuenta]],1))</f>
        <v>1</v>
      </c>
      <c r="AN538" t="b">
        <f>+ISNUMBER(SEARCH('F-VTA'!$F$33,Tabla11[[#This Row],[Cuenta]],1))</f>
        <v>1</v>
      </c>
      <c r="AO538" t="b">
        <f>+ISNUMBER(SEARCH('F-VTA'!$F$34,Tabla11[[#This Row],[Cuenta]],1))</f>
        <v>1</v>
      </c>
      <c r="AP538" t="b">
        <f>+ISNUMBER(SEARCH('F-VTA'!$F$35,Tabla11[[#This Row],[Cuenta]],1))</f>
        <v>1</v>
      </c>
      <c r="AQ538" t="b">
        <f>+ISNUMBER(SEARCH('F-VTA'!$F$36,Tabla11[[#This Row],[Cuenta]],1))</f>
        <v>1</v>
      </c>
      <c r="AR538" t="b">
        <f>+ISNUMBER(SEARCH(#REF!,Tabla11[[#This Row],[Cuenta]],1))</f>
        <v>0</v>
      </c>
      <c r="AS538" t="b">
        <f>+ISNUMBER(SEARCH(#REF!,Tabla11[[#This Row],[Cuenta]],1))</f>
        <v>0</v>
      </c>
      <c r="AT538" t="b">
        <f>+ISNUMBER(SEARCH(#REF!,Tabla11[[#This Row],[Cuenta]],1))</f>
        <v>0</v>
      </c>
      <c r="AU538" t="b">
        <f>+ISNUMBER(SEARCH('Conc. Ban.1'!$I$9,Tabla11[[#This Row],[Cuenta]],1))</f>
        <v>0</v>
      </c>
      <c r="AV538" t="b">
        <f>+ISNUMBER(SEARCH(CompConta!$F$21,Tabla11[[#This Row],[Cuenta]],1))</f>
        <v>1</v>
      </c>
      <c r="AW538" t="b">
        <f>+ISNUMBER(SEARCH(CompConta!$F$22,Tabla11[[#This Row],[Cuenta]],1))</f>
        <v>1</v>
      </c>
      <c r="AX538" t="b">
        <f>+ISNUMBER(SEARCH(CompConta!$F$23,Tabla11[[#This Row],[Cuenta]],1))</f>
        <v>1</v>
      </c>
      <c r="AY538" t="b">
        <f>+ISNUMBER(SEARCH(CompConta!$F$24,Tabla11[[#This Row],[Cuenta]],1))</f>
        <v>1</v>
      </c>
      <c r="AZ538" t="b">
        <f>+ISNUMBER(SEARCH(CompConta!$F$25,Tabla11[[#This Row],[Cuenta]],1))</f>
        <v>1</v>
      </c>
      <c r="BA538" t="b">
        <f>+ISNUMBER(SEARCH(CompConta!$F$26,Tabla11[[#This Row],[Cuenta]],1))</f>
        <v>1</v>
      </c>
      <c r="BB538" t="b">
        <f>+ISNUMBER(SEARCH(CompConta!$F$27,Tabla11[[#This Row],[Cuenta]],1))</f>
        <v>1</v>
      </c>
      <c r="BC538" t="b">
        <f>+ISNUMBER(SEARCH(CompConta!$F$28,Tabla11[[#This Row],[Cuenta]],1))</f>
        <v>1</v>
      </c>
      <c r="BD538" t="b">
        <f>+ISNUMBER(SEARCH(CompConta!$F$29,Tabla11[[#This Row],[Cuenta]],1))</f>
        <v>1</v>
      </c>
      <c r="BE538" t="b">
        <f>+ISNUMBER(SEARCH(CompConta!$F$30,Tabla11[[#This Row],[Cuenta]],1))</f>
        <v>1</v>
      </c>
      <c r="BF538" t="b">
        <f>+ISNUMBER(SEARCH('PAGO Compras'!$E$11,Tabla11[[#This Row],[Cuenta]],1))</f>
        <v>1</v>
      </c>
      <c r="BG538" t="b">
        <f>+ISNUMBER(SEARCH(#REF!,Tabla11[[#This Row],[Cuenta]],1))</f>
        <v>0</v>
      </c>
      <c r="BH538" t="b">
        <f>+ISNUMBER(SEARCH(#REF!,Tabla11[[#This Row],[Cuenta]],1))</f>
        <v>0</v>
      </c>
      <c r="BI538" t="b">
        <f>+ISNUMBER(SEARCH(#REF!,Tabla11[[#This Row],[Cuenta]],1))</f>
        <v>0</v>
      </c>
      <c r="BJ538" t="b">
        <f>+ISNUMBER(SEARCH(#REF!,Tabla11[[#This Row],[Cuenta]],1))</f>
        <v>0</v>
      </c>
      <c r="BS538" t="str">
        <v>261515 Tasa por utilización de puertos</v>
      </c>
      <c r="BT538" t="str">
        <v>261515 Tasa por utilización de puertos</v>
      </c>
      <c r="BU538" t="str">
        <v>261515 Tasa por utilización de puertos</v>
      </c>
      <c r="BV538" t="str">
        <v>261515 Tasa por utilización de puertos</v>
      </c>
      <c r="BZ538" t="str">
        <v>261515 Tasa por utilización de puertos</v>
      </c>
      <c r="CA538" t="str">
        <v>261515 Tasa por utilización de puertos</v>
      </c>
      <c r="CB538" t="str">
        <v>261515 Tasa por utilización de puertos</v>
      </c>
      <c r="CC538" t="str">
        <v>261515 Tasa por utilización de puertos</v>
      </c>
      <c r="CD538" t="str">
        <v>261515 Tasa por utilización de puertos</v>
      </c>
      <c r="CE538" t="str">
        <v>261515 Tasa por utilización de puertos</v>
      </c>
      <c r="CS538" s="141" t="str">
        <v>261515 Tasa por utilización de puertos</v>
      </c>
      <c r="CT538" s="141" t="str">
        <v>261515 Tasa por utilización de puertos</v>
      </c>
      <c r="CU538" s="141" t="str">
        <v>261515 Tasa por utilización de puertos</v>
      </c>
      <c r="CV538" s="141" t="str">
        <v>261515 Tasa por utilización de puertos</v>
      </c>
      <c r="CW538" s="141" t="str">
        <v>261515 Tasa por utilización de puertos</v>
      </c>
      <c r="CX538" s="141" t="str">
        <v>261515 Tasa por utilización de puertos</v>
      </c>
      <c r="CY538" s="141" t="str">
        <v>261515 Tasa por utilización de puertos</v>
      </c>
      <c r="CZ538" s="141" t="str">
        <v>261515 Tasa por utilización de puertos</v>
      </c>
      <c r="DA538" s="141" t="str">
        <v>261515 Tasa por utilización de puertos</v>
      </c>
      <c r="DF538" t="str">
        <v>261515 Tasa por utilización de puertos</v>
      </c>
      <c r="DG538" t="str">
        <v>261515 Tasa por utilización de puertos</v>
      </c>
      <c r="DH538" t="str">
        <v>261515 Tasa por utilización de puertos</v>
      </c>
      <c r="DI538" t="str">
        <v>261515 Tasa por utilización de puertos</v>
      </c>
      <c r="DJ538" t="str">
        <v>261515 Tasa por utilización de puertos</v>
      </c>
      <c r="DK538" t="str">
        <v>261515 Tasa por utilización de puertos</v>
      </c>
      <c r="DL538" t="str">
        <v>261515 Tasa por utilización de puertos</v>
      </c>
      <c r="DM538" t="str">
        <v>261515 Tasa por utilización de puertos</v>
      </c>
      <c r="DN538" t="str">
        <v>261515 Tasa por utilización de puertos</v>
      </c>
      <c r="DO538" t="str">
        <v>261515 Tasa por utilización de puertos</v>
      </c>
      <c r="DP538" t="str">
        <v>261515 Tasa por utilización de puertos</v>
      </c>
    </row>
    <row r="539" spans="4:120" ht="12.75">
      <c r="D539" s="7">
        <v>261520</v>
      </c>
      <c r="E539" s="6" t="s">
        <v>407</v>
      </c>
      <c r="F539" s="5">
        <v>4</v>
      </c>
      <c r="G539" s="34" t="s">
        <v>824</v>
      </c>
      <c r="H539" s="26" t="s">
        <v>765</v>
      </c>
      <c r="I539" t="b">
        <f>+ISNUMBER(SEARCH('F-COMPRA'!$F$28,Tabla11[[#This Row],[Cuenta]],1))</f>
        <v>1</v>
      </c>
      <c r="J539" t="b">
        <f>+ISNUMBER(SEARCH('F-COMPRA'!$F$29,Tabla11[[#This Row],[Cuenta]],1))</f>
        <v>1</v>
      </c>
      <c r="K539" t="b">
        <f>+ISNUMBER(SEARCH('F-COMPRA'!$F$30,Tabla11[[#This Row],[Cuenta]],1))</f>
        <v>1</v>
      </c>
      <c r="L539" t="b">
        <f>+ISNUMBER(SEARCH('F-COMPRA'!$F$31,Tabla11[[#This Row],[Cuenta]],1))</f>
        <v>1</v>
      </c>
      <c r="M539" t="b">
        <f>+ISNUMBER(SEARCH('F-COMPRA'!$G$25,Tabla11[[#This Row],[Cuenta]],1))</f>
        <v>0</v>
      </c>
      <c r="N539" t="b">
        <f>+ISNUMBER(SEARCH(#REF!,Tabla11[[#This Row],[Cuenta]],1))</f>
        <v>0</v>
      </c>
      <c r="O539" t="b">
        <f>+ISNUMBER(SEARCH(#REF!,Tabla11[[#This Row],[Cuenta]],1))</f>
        <v>0</v>
      </c>
      <c r="P539" t="b">
        <f>+ISNUMBER(SEARCH('F-COMPRA'!$F$32,Tabla11[[#This Row],[Cuenta]],1))</f>
        <v>1</v>
      </c>
      <c r="Q539" t="b">
        <f>+ISNUMBER(SEARCH('F-COMPRA'!$F$33,Tabla11[[#This Row],[Cuenta]],1))</f>
        <v>1</v>
      </c>
      <c r="R539" t="b">
        <f>+ISNUMBER(SEARCH('F-COMPRA'!$F$34,Tabla11[[#This Row],[Cuenta]],1))</f>
        <v>1</v>
      </c>
      <c r="S539" t="b">
        <f>+ISNUMBER(SEARCH('F-COMPRA'!$F$35,Tabla11[[#This Row],[Cuenta]],1))</f>
        <v>1</v>
      </c>
      <c r="T539" t="b">
        <f>+ISNUMBER(SEARCH('F-COMPRA'!$F$36,Tabla11[[#This Row],[Cuenta]],1))</f>
        <v>1</v>
      </c>
      <c r="U539" t="b">
        <f>+ISNUMBER(SEARCH('F-COMPRA'!$F$37,Tabla11[[#This Row],[Cuenta]],1))</f>
        <v>1</v>
      </c>
      <c r="V539" t="b">
        <f>+ISNUMBER(SEARCH(#REF!,Tabla11[[#This Row],[Cuenta]],1))</f>
        <v>0</v>
      </c>
      <c r="W539" t="b">
        <f>+ISNUMBER(SEARCH('F-COMPRA'!#REF!,Tabla11[[#This Row],[Cuenta]],1))</f>
        <v>0</v>
      </c>
      <c r="X539" t="b">
        <f>+ISNUMBER(SEARCH('F-COMPRA'!#REF!,Tabla11[[#This Row],[Cuenta]],1))</f>
        <v>0</v>
      </c>
      <c r="Y539" t="b">
        <f>+ISNUMBER(SEARCH('F-COMPRA'!#REF!,Tabla11[[#This Row],[Cuenta]],1))</f>
        <v>0</v>
      </c>
      <c r="Z539" t="b">
        <f>+ISNUMBER(SEARCH('F-COMPRA'!#REF!,Tabla11[[#This Row],[Cuenta]],1))</f>
        <v>0</v>
      </c>
      <c r="AA539" t="b">
        <f>+ISNUMBER(SEARCH('F-COMPRA'!#REF!,Tabla11[[#This Row],[Cuenta]],1))</f>
        <v>0</v>
      </c>
      <c r="AB539" t="b">
        <f>+ISNUMBER(SEARCH('F-COMPRA'!#REF!,Tabla11[[#This Row],[Cuenta]],1))</f>
        <v>0</v>
      </c>
      <c r="AC539" t="b">
        <f>+ISNUMBER(SEARCH('F-COMPRA'!#REF!,Tabla11[[#This Row],[Cuenta]],1))</f>
        <v>0</v>
      </c>
      <c r="AD539" t="b">
        <f>+ISNUMBER(SEARCH('F-COMPRA'!#REF!,Tabla11[[#This Row],[Cuenta]],1))</f>
        <v>0</v>
      </c>
      <c r="AE539" t="b">
        <f>+ISNUMBER(SEARCH('F-COMPRA'!#REF!,Tabla11[[#This Row],[Cuenta]],1))</f>
        <v>0</v>
      </c>
      <c r="AF539" t="b">
        <f>+ISNUMBER(SEARCH('F-VTA'!$G$23,Tabla11[[#This Row],[Cuenta]],1))</f>
        <v>0</v>
      </c>
      <c r="AG539" t="b">
        <f>+ISNUMBER(SEARCH('F-VTA'!$G$24,Tabla11[[#This Row],[Cuenta]],1))</f>
        <v>0</v>
      </c>
      <c r="AH539" t="b">
        <f>+ISNUMBER(SEARCH('F-VTA'!$G$25,Tabla11[[#This Row],[Cuenta]],1))</f>
        <v>0</v>
      </c>
      <c r="AI539" t="b">
        <f>+ISNUMBER(SEARCH('F-VTA'!$F$28,Tabla11[[#This Row],[Cuenta]],1))</f>
        <v>1</v>
      </c>
      <c r="AJ539" t="b">
        <f>+ISNUMBER(SEARCH('F-VTA'!$F$29,Tabla11[[#This Row],[Cuenta]],1))</f>
        <v>1</v>
      </c>
      <c r="AK539" t="b">
        <f>+ISNUMBER(SEARCH('F-VTA'!$F$30,Tabla11[[#This Row],[Cuenta]],1))</f>
        <v>1</v>
      </c>
      <c r="AL539" t="b">
        <f>+ISNUMBER(SEARCH('F-VTA'!$F$31,Tabla11[[#This Row],[Cuenta]],1))</f>
        <v>1</v>
      </c>
      <c r="AM539" t="b">
        <f>+ISNUMBER(SEARCH('F-VTA'!$F$32,Tabla11[[#This Row],[Cuenta]],1))</f>
        <v>1</v>
      </c>
      <c r="AN539" t="b">
        <f>+ISNUMBER(SEARCH('F-VTA'!$F$33,Tabla11[[#This Row],[Cuenta]],1))</f>
        <v>1</v>
      </c>
      <c r="AO539" t="b">
        <f>+ISNUMBER(SEARCH('F-VTA'!$F$34,Tabla11[[#This Row],[Cuenta]],1))</f>
        <v>1</v>
      </c>
      <c r="AP539" t="b">
        <f>+ISNUMBER(SEARCH('F-VTA'!$F$35,Tabla11[[#This Row],[Cuenta]],1))</f>
        <v>1</v>
      </c>
      <c r="AQ539" t="b">
        <f>+ISNUMBER(SEARCH('F-VTA'!$F$36,Tabla11[[#This Row],[Cuenta]],1))</f>
        <v>1</v>
      </c>
      <c r="AR539" t="b">
        <f>+ISNUMBER(SEARCH(#REF!,Tabla11[[#This Row],[Cuenta]],1))</f>
        <v>0</v>
      </c>
      <c r="AS539" t="b">
        <f>+ISNUMBER(SEARCH(#REF!,Tabla11[[#This Row],[Cuenta]],1))</f>
        <v>0</v>
      </c>
      <c r="AT539" t="b">
        <f>+ISNUMBER(SEARCH(#REF!,Tabla11[[#This Row],[Cuenta]],1))</f>
        <v>0</v>
      </c>
      <c r="AU539" t="b">
        <f>+ISNUMBER(SEARCH('Conc. Ban.1'!$I$9,Tabla11[[#This Row],[Cuenta]],1))</f>
        <v>0</v>
      </c>
      <c r="AV539" t="b">
        <f>+ISNUMBER(SEARCH(CompConta!$F$21,Tabla11[[#This Row],[Cuenta]],1))</f>
        <v>1</v>
      </c>
      <c r="AW539" t="b">
        <f>+ISNUMBER(SEARCH(CompConta!$F$22,Tabla11[[#This Row],[Cuenta]],1))</f>
        <v>1</v>
      </c>
      <c r="AX539" t="b">
        <f>+ISNUMBER(SEARCH(CompConta!$F$23,Tabla11[[#This Row],[Cuenta]],1))</f>
        <v>1</v>
      </c>
      <c r="AY539" t="b">
        <f>+ISNUMBER(SEARCH(CompConta!$F$24,Tabla11[[#This Row],[Cuenta]],1))</f>
        <v>1</v>
      </c>
      <c r="AZ539" t="b">
        <f>+ISNUMBER(SEARCH(CompConta!$F$25,Tabla11[[#This Row],[Cuenta]],1))</f>
        <v>1</v>
      </c>
      <c r="BA539" t="b">
        <f>+ISNUMBER(SEARCH(CompConta!$F$26,Tabla11[[#This Row],[Cuenta]],1))</f>
        <v>1</v>
      </c>
      <c r="BB539" t="b">
        <f>+ISNUMBER(SEARCH(CompConta!$F$27,Tabla11[[#This Row],[Cuenta]],1))</f>
        <v>1</v>
      </c>
      <c r="BC539" t="b">
        <f>+ISNUMBER(SEARCH(CompConta!$F$28,Tabla11[[#This Row],[Cuenta]],1))</f>
        <v>1</v>
      </c>
      <c r="BD539" t="b">
        <f>+ISNUMBER(SEARCH(CompConta!$F$29,Tabla11[[#This Row],[Cuenta]],1))</f>
        <v>1</v>
      </c>
      <c r="BE539" t="b">
        <f>+ISNUMBER(SEARCH(CompConta!$F$30,Tabla11[[#This Row],[Cuenta]],1))</f>
        <v>1</v>
      </c>
      <c r="BF539" t="b">
        <f>+ISNUMBER(SEARCH('PAGO Compras'!$E$11,Tabla11[[#This Row],[Cuenta]],1))</f>
        <v>1</v>
      </c>
      <c r="BG539" t="b">
        <f>+ISNUMBER(SEARCH(#REF!,Tabla11[[#This Row],[Cuenta]],1))</f>
        <v>0</v>
      </c>
      <c r="BH539" t="b">
        <f>+ISNUMBER(SEARCH(#REF!,Tabla11[[#This Row],[Cuenta]],1))</f>
        <v>0</v>
      </c>
      <c r="BI539" t="b">
        <f>+ISNUMBER(SEARCH(#REF!,Tabla11[[#This Row],[Cuenta]],1))</f>
        <v>0</v>
      </c>
      <c r="BJ539" t="b">
        <f>+ISNUMBER(SEARCH(#REF!,Tabla11[[#This Row],[Cuenta]],1))</f>
        <v>0</v>
      </c>
      <c r="BS539" t="str">
        <v>261520 De vehículos</v>
      </c>
      <c r="BT539" t="str">
        <v>261520 De vehículos</v>
      </c>
      <c r="BU539" t="str">
        <v>261520 De vehículos</v>
      </c>
      <c r="BV539" t="str">
        <v>261520 De vehículos</v>
      </c>
      <c r="BZ539" t="str">
        <v>261520 De vehículos</v>
      </c>
      <c r="CA539" t="str">
        <v>261520 De vehículos</v>
      </c>
      <c r="CB539" t="str">
        <v>261520 De vehículos</v>
      </c>
      <c r="CC539" t="str">
        <v>261520 De vehículos</v>
      </c>
      <c r="CD539" t="str">
        <v>261520 De vehículos</v>
      </c>
      <c r="CE539" t="str">
        <v>261520 De vehículos</v>
      </c>
      <c r="CS539" s="141" t="str">
        <v>261520 De vehículos</v>
      </c>
      <c r="CT539" s="141" t="str">
        <v>261520 De vehículos</v>
      </c>
      <c r="CU539" s="141" t="str">
        <v>261520 De vehículos</v>
      </c>
      <c r="CV539" s="141" t="str">
        <v>261520 De vehículos</v>
      </c>
      <c r="CW539" s="141" t="str">
        <v>261520 De vehículos</v>
      </c>
      <c r="CX539" s="141" t="str">
        <v>261520 De vehículos</v>
      </c>
      <c r="CY539" s="141" t="str">
        <v>261520 De vehículos</v>
      </c>
      <c r="CZ539" s="141" t="str">
        <v>261520 De vehículos</v>
      </c>
      <c r="DA539" s="141" t="str">
        <v>261520 De vehículos</v>
      </c>
      <c r="DF539" t="str">
        <v>261520 De vehículos</v>
      </c>
      <c r="DG539" t="str">
        <v>261520 De vehículos</v>
      </c>
      <c r="DH539" t="str">
        <v>261520 De vehículos</v>
      </c>
      <c r="DI539" t="str">
        <v>261520 De vehículos</v>
      </c>
      <c r="DJ539" t="str">
        <v>261520 De vehículos</v>
      </c>
      <c r="DK539" t="str">
        <v>261520 De vehículos</v>
      </c>
      <c r="DL539" t="str">
        <v>261520 De vehículos</v>
      </c>
      <c r="DM539" t="str">
        <v>261520 De vehículos</v>
      </c>
      <c r="DN539" t="str">
        <v>261520 De vehículos</v>
      </c>
      <c r="DO539" t="str">
        <v>261520 De vehículos</v>
      </c>
      <c r="DP539" t="str">
        <v>261520 De vehículos</v>
      </c>
    </row>
    <row r="540" spans="4:120" ht="12.75">
      <c r="D540" s="7">
        <v>261525</v>
      </c>
      <c r="E540" s="6" t="s">
        <v>408</v>
      </c>
      <c r="F540" s="5">
        <v>4</v>
      </c>
      <c r="G540" s="34" t="s">
        <v>824</v>
      </c>
      <c r="H540" s="26" t="s">
        <v>765</v>
      </c>
      <c r="I540" t="b">
        <f>+ISNUMBER(SEARCH('F-COMPRA'!$F$28,Tabla11[[#This Row],[Cuenta]],1))</f>
        <v>1</v>
      </c>
      <c r="J540" t="b">
        <f>+ISNUMBER(SEARCH('F-COMPRA'!$F$29,Tabla11[[#This Row],[Cuenta]],1))</f>
        <v>1</v>
      </c>
      <c r="K540" t="b">
        <f>+ISNUMBER(SEARCH('F-COMPRA'!$F$30,Tabla11[[#This Row],[Cuenta]],1))</f>
        <v>1</v>
      </c>
      <c r="L540" t="b">
        <f>+ISNUMBER(SEARCH('F-COMPRA'!$F$31,Tabla11[[#This Row],[Cuenta]],1))</f>
        <v>1</v>
      </c>
      <c r="M540" t="b">
        <f>+ISNUMBER(SEARCH('F-COMPRA'!$G$25,Tabla11[[#This Row],[Cuenta]],1))</f>
        <v>0</v>
      </c>
      <c r="N540" t="b">
        <f>+ISNUMBER(SEARCH(#REF!,Tabla11[[#This Row],[Cuenta]],1))</f>
        <v>0</v>
      </c>
      <c r="O540" t="b">
        <f>+ISNUMBER(SEARCH(#REF!,Tabla11[[#This Row],[Cuenta]],1))</f>
        <v>0</v>
      </c>
      <c r="P540" t="b">
        <f>+ISNUMBER(SEARCH('F-COMPRA'!$F$32,Tabla11[[#This Row],[Cuenta]],1))</f>
        <v>1</v>
      </c>
      <c r="Q540" t="b">
        <f>+ISNUMBER(SEARCH('F-COMPRA'!$F$33,Tabla11[[#This Row],[Cuenta]],1))</f>
        <v>1</v>
      </c>
      <c r="R540" t="b">
        <f>+ISNUMBER(SEARCH('F-COMPRA'!$F$34,Tabla11[[#This Row],[Cuenta]],1))</f>
        <v>1</v>
      </c>
      <c r="S540" t="b">
        <f>+ISNUMBER(SEARCH('F-COMPRA'!$F$35,Tabla11[[#This Row],[Cuenta]],1))</f>
        <v>1</v>
      </c>
      <c r="T540" t="b">
        <f>+ISNUMBER(SEARCH('F-COMPRA'!$F$36,Tabla11[[#This Row],[Cuenta]],1))</f>
        <v>1</v>
      </c>
      <c r="U540" t="b">
        <f>+ISNUMBER(SEARCH('F-COMPRA'!$F$37,Tabla11[[#This Row],[Cuenta]],1))</f>
        <v>1</v>
      </c>
      <c r="V540" t="b">
        <f>+ISNUMBER(SEARCH(#REF!,Tabla11[[#This Row],[Cuenta]],1))</f>
        <v>0</v>
      </c>
      <c r="W540" t="b">
        <f>+ISNUMBER(SEARCH('F-COMPRA'!#REF!,Tabla11[[#This Row],[Cuenta]],1))</f>
        <v>0</v>
      </c>
      <c r="X540" t="b">
        <f>+ISNUMBER(SEARCH('F-COMPRA'!#REF!,Tabla11[[#This Row],[Cuenta]],1))</f>
        <v>0</v>
      </c>
      <c r="Y540" t="b">
        <f>+ISNUMBER(SEARCH('F-COMPRA'!#REF!,Tabla11[[#This Row],[Cuenta]],1))</f>
        <v>0</v>
      </c>
      <c r="Z540" t="b">
        <f>+ISNUMBER(SEARCH('F-COMPRA'!#REF!,Tabla11[[#This Row],[Cuenta]],1))</f>
        <v>0</v>
      </c>
      <c r="AA540" t="b">
        <f>+ISNUMBER(SEARCH('F-COMPRA'!#REF!,Tabla11[[#This Row],[Cuenta]],1))</f>
        <v>0</v>
      </c>
      <c r="AB540" t="b">
        <f>+ISNUMBER(SEARCH('F-COMPRA'!#REF!,Tabla11[[#This Row],[Cuenta]],1))</f>
        <v>0</v>
      </c>
      <c r="AC540" t="b">
        <f>+ISNUMBER(SEARCH('F-COMPRA'!#REF!,Tabla11[[#This Row],[Cuenta]],1))</f>
        <v>0</v>
      </c>
      <c r="AD540" t="b">
        <f>+ISNUMBER(SEARCH('F-COMPRA'!#REF!,Tabla11[[#This Row],[Cuenta]],1))</f>
        <v>0</v>
      </c>
      <c r="AE540" t="b">
        <f>+ISNUMBER(SEARCH('F-COMPRA'!#REF!,Tabla11[[#This Row],[Cuenta]],1))</f>
        <v>0</v>
      </c>
      <c r="AF540" t="b">
        <f>+ISNUMBER(SEARCH('F-VTA'!$G$23,Tabla11[[#This Row],[Cuenta]],1))</f>
        <v>0</v>
      </c>
      <c r="AG540" t="b">
        <f>+ISNUMBER(SEARCH('F-VTA'!$G$24,Tabla11[[#This Row],[Cuenta]],1))</f>
        <v>0</v>
      </c>
      <c r="AH540" t="b">
        <f>+ISNUMBER(SEARCH('F-VTA'!$G$25,Tabla11[[#This Row],[Cuenta]],1))</f>
        <v>0</v>
      </c>
      <c r="AI540" t="b">
        <f>+ISNUMBER(SEARCH('F-VTA'!$F$28,Tabla11[[#This Row],[Cuenta]],1))</f>
        <v>1</v>
      </c>
      <c r="AJ540" t="b">
        <f>+ISNUMBER(SEARCH('F-VTA'!$F$29,Tabla11[[#This Row],[Cuenta]],1))</f>
        <v>1</v>
      </c>
      <c r="AK540" t="b">
        <f>+ISNUMBER(SEARCH('F-VTA'!$F$30,Tabla11[[#This Row],[Cuenta]],1))</f>
        <v>1</v>
      </c>
      <c r="AL540" t="b">
        <f>+ISNUMBER(SEARCH('F-VTA'!$F$31,Tabla11[[#This Row],[Cuenta]],1))</f>
        <v>1</v>
      </c>
      <c r="AM540" t="b">
        <f>+ISNUMBER(SEARCH('F-VTA'!$F$32,Tabla11[[#This Row],[Cuenta]],1))</f>
        <v>1</v>
      </c>
      <c r="AN540" t="b">
        <f>+ISNUMBER(SEARCH('F-VTA'!$F$33,Tabla11[[#This Row],[Cuenta]],1))</f>
        <v>1</v>
      </c>
      <c r="AO540" t="b">
        <f>+ISNUMBER(SEARCH('F-VTA'!$F$34,Tabla11[[#This Row],[Cuenta]],1))</f>
        <v>1</v>
      </c>
      <c r="AP540" t="b">
        <f>+ISNUMBER(SEARCH('F-VTA'!$F$35,Tabla11[[#This Row],[Cuenta]],1))</f>
        <v>1</v>
      </c>
      <c r="AQ540" t="b">
        <f>+ISNUMBER(SEARCH('F-VTA'!$F$36,Tabla11[[#This Row],[Cuenta]],1))</f>
        <v>1</v>
      </c>
      <c r="AR540" t="b">
        <f>+ISNUMBER(SEARCH(#REF!,Tabla11[[#This Row],[Cuenta]],1))</f>
        <v>0</v>
      </c>
      <c r="AS540" t="b">
        <f>+ISNUMBER(SEARCH(#REF!,Tabla11[[#This Row],[Cuenta]],1))</f>
        <v>0</v>
      </c>
      <c r="AT540" t="b">
        <f>+ISNUMBER(SEARCH(#REF!,Tabla11[[#This Row],[Cuenta]],1))</f>
        <v>0</v>
      </c>
      <c r="AU540" t="b">
        <f>+ISNUMBER(SEARCH('Conc. Ban.1'!$I$9,Tabla11[[#This Row],[Cuenta]],1))</f>
        <v>0</v>
      </c>
      <c r="AV540" t="b">
        <f>+ISNUMBER(SEARCH(CompConta!$F$21,Tabla11[[#This Row],[Cuenta]],1))</f>
        <v>1</v>
      </c>
      <c r="AW540" t="b">
        <f>+ISNUMBER(SEARCH(CompConta!$F$22,Tabla11[[#This Row],[Cuenta]],1))</f>
        <v>1</v>
      </c>
      <c r="AX540" t="b">
        <f>+ISNUMBER(SEARCH(CompConta!$F$23,Tabla11[[#This Row],[Cuenta]],1))</f>
        <v>1</v>
      </c>
      <c r="AY540" t="b">
        <f>+ISNUMBER(SEARCH(CompConta!$F$24,Tabla11[[#This Row],[Cuenta]],1))</f>
        <v>1</v>
      </c>
      <c r="AZ540" t="b">
        <f>+ISNUMBER(SEARCH(CompConta!$F$25,Tabla11[[#This Row],[Cuenta]],1))</f>
        <v>1</v>
      </c>
      <c r="BA540" t="b">
        <f>+ISNUMBER(SEARCH(CompConta!$F$26,Tabla11[[#This Row],[Cuenta]],1))</f>
        <v>1</v>
      </c>
      <c r="BB540" t="b">
        <f>+ISNUMBER(SEARCH(CompConta!$F$27,Tabla11[[#This Row],[Cuenta]],1))</f>
        <v>1</v>
      </c>
      <c r="BC540" t="b">
        <f>+ISNUMBER(SEARCH(CompConta!$F$28,Tabla11[[#This Row],[Cuenta]],1))</f>
        <v>1</v>
      </c>
      <c r="BD540" t="b">
        <f>+ISNUMBER(SEARCH(CompConta!$F$29,Tabla11[[#This Row],[Cuenta]],1))</f>
        <v>1</v>
      </c>
      <c r="BE540" t="b">
        <f>+ISNUMBER(SEARCH(CompConta!$F$30,Tabla11[[#This Row],[Cuenta]],1))</f>
        <v>1</v>
      </c>
      <c r="BF540" t="b">
        <f>+ISNUMBER(SEARCH('PAGO Compras'!$E$11,Tabla11[[#This Row],[Cuenta]],1))</f>
        <v>1</v>
      </c>
      <c r="BG540" t="b">
        <f>+ISNUMBER(SEARCH(#REF!,Tabla11[[#This Row],[Cuenta]],1))</f>
        <v>0</v>
      </c>
      <c r="BH540" t="b">
        <f>+ISNUMBER(SEARCH(#REF!,Tabla11[[#This Row],[Cuenta]],1))</f>
        <v>0</v>
      </c>
      <c r="BI540" t="b">
        <f>+ISNUMBER(SEARCH(#REF!,Tabla11[[#This Row],[Cuenta]],1))</f>
        <v>0</v>
      </c>
      <c r="BJ540" t="b">
        <f>+ISNUMBER(SEARCH(#REF!,Tabla11[[#This Row],[Cuenta]],1))</f>
        <v>0</v>
      </c>
      <c r="BS540" t="str">
        <v>261525 De hidrocarburos y minas</v>
      </c>
      <c r="BT540" t="str">
        <v>261525 De hidrocarburos y minas</v>
      </c>
      <c r="BU540" t="str">
        <v>261525 De hidrocarburos y minas</v>
      </c>
      <c r="BV540" t="str">
        <v>261525 De hidrocarburos y minas</v>
      </c>
      <c r="BZ540" t="str">
        <v>261525 De hidrocarburos y minas</v>
      </c>
      <c r="CA540" t="str">
        <v>261525 De hidrocarburos y minas</v>
      </c>
      <c r="CB540" t="str">
        <v>261525 De hidrocarburos y minas</v>
      </c>
      <c r="CC540" t="str">
        <v>261525 De hidrocarburos y minas</v>
      </c>
      <c r="CD540" t="str">
        <v>261525 De hidrocarburos y minas</v>
      </c>
      <c r="CE540" t="str">
        <v>261525 De hidrocarburos y minas</v>
      </c>
      <c r="CS540" s="141" t="str">
        <v>261525 De hidrocarburos y minas</v>
      </c>
      <c r="CT540" s="141" t="str">
        <v>261525 De hidrocarburos y minas</v>
      </c>
      <c r="CU540" s="141" t="str">
        <v>261525 De hidrocarburos y minas</v>
      </c>
      <c r="CV540" s="141" t="str">
        <v>261525 De hidrocarburos y minas</v>
      </c>
      <c r="CW540" s="141" t="str">
        <v>261525 De hidrocarburos y minas</v>
      </c>
      <c r="CX540" s="141" t="str">
        <v>261525 De hidrocarburos y minas</v>
      </c>
      <c r="CY540" s="141" t="str">
        <v>261525 De hidrocarburos y minas</v>
      </c>
      <c r="CZ540" s="141" t="str">
        <v>261525 De hidrocarburos y minas</v>
      </c>
      <c r="DA540" s="141" t="str">
        <v>261525 De hidrocarburos y minas</v>
      </c>
      <c r="DF540" t="str">
        <v>261525 De hidrocarburos y minas</v>
      </c>
      <c r="DG540" t="str">
        <v>261525 De hidrocarburos y minas</v>
      </c>
      <c r="DH540" t="str">
        <v>261525 De hidrocarburos y minas</v>
      </c>
      <c r="DI540" t="str">
        <v>261525 De hidrocarburos y minas</v>
      </c>
      <c r="DJ540" t="str">
        <v>261525 De hidrocarburos y minas</v>
      </c>
      <c r="DK540" t="str">
        <v>261525 De hidrocarburos y minas</v>
      </c>
      <c r="DL540" t="str">
        <v>261525 De hidrocarburos y minas</v>
      </c>
      <c r="DM540" t="str">
        <v>261525 De hidrocarburos y minas</v>
      </c>
      <c r="DN540" t="str">
        <v>261525 De hidrocarburos y minas</v>
      </c>
      <c r="DO540" t="str">
        <v>261525 De hidrocarburos y minas</v>
      </c>
      <c r="DP540" t="str">
        <v>261525 De hidrocarburos y minas</v>
      </c>
    </row>
    <row r="541" spans="4:120" ht="12.75">
      <c r="D541" s="7">
        <v>261595</v>
      </c>
      <c r="E541" s="6" t="s">
        <v>45</v>
      </c>
      <c r="F541" s="5">
        <v>4</v>
      </c>
      <c r="G541" s="34" t="s">
        <v>824</v>
      </c>
      <c r="H541" s="26" t="s">
        <v>765</v>
      </c>
      <c r="I541" t="b">
        <f>+ISNUMBER(SEARCH('F-COMPRA'!$F$28,Tabla11[[#This Row],[Cuenta]],1))</f>
        <v>1</v>
      </c>
      <c r="J541" t="b">
        <f>+ISNUMBER(SEARCH('F-COMPRA'!$F$29,Tabla11[[#This Row],[Cuenta]],1))</f>
        <v>1</v>
      </c>
      <c r="K541" t="b">
        <f>+ISNUMBER(SEARCH('F-COMPRA'!$F$30,Tabla11[[#This Row],[Cuenta]],1))</f>
        <v>1</v>
      </c>
      <c r="L541" t="b">
        <f>+ISNUMBER(SEARCH('F-COMPRA'!$F$31,Tabla11[[#This Row],[Cuenta]],1))</f>
        <v>1</v>
      </c>
      <c r="M541" t="b">
        <f>+ISNUMBER(SEARCH('F-COMPRA'!$G$25,Tabla11[[#This Row],[Cuenta]],1))</f>
        <v>0</v>
      </c>
      <c r="N541" t="b">
        <f>+ISNUMBER(SEARCH(#REF!,Tabla11[[#This Row],[Cuenta]],1))</f>
        <v>0</v>
      </c>
      <c r="O541" t="b">
        <f>+ISNUMBER(SEARCH(#REF!,Tabla11[[#This Row],[Cuenta]],1))</f>
        <v>0</v>
      </c>
      <c r="P541" t="b">
        <f>+ISNUMBER(SEARCH('F-COMPRA'!$F$32,Tabla11[[#This Row],[Cuenta]],1))</f>
        <v>1</v>
      </c>
      <c r="Q541" t="b">
        <f>+ISNUMBER(SEARCH('F-COMPRA'!$F$33,Tabla11[[#This Row],[Cuenta]],1))</f>
        <v>1</v>
      </c>
      <c r="R541" t="b">
        <f>+ISNUMBER(SEARCH('F-COMPRA'!$F$34,Tabla11[[#This Row],[Cuenta]],1))</f>
        <v>1</v>
      </c>
      <c r="S541" t="b">
        <f>+ISNUMBER(SEARCH('F-COMPRA'!$F$35,Tabla11[[#This Row],[Cuenta]],1))</f>
        <v>1</v>
      </c>
      <c r="T541" t="b">
        <f>+ISNUMBER(SEARCH('F-COMPRA'!$F$36,Tabla11[[#This Row],[Cuenta]],1))</f>
        <v>1</v>
      </c>
      <c r="U541" t="b">
        <f>+ISNUMBER(SEARCH('F-COMPRA'!$F$37,Tabla11[[#This Row],[Cuenta]],1))</f>
        <v>1</v>
      </c>
      <c r="V541" t="b">
        <f>+ISNUMBER(SEARCH(#REF!,Tabla11[[#This Row],[Cuenta]],1))</f>
        <v>0</v>
      </c>
      <c r="W541" t="b">
        <f>+ISNUMBER(SEARCH('F-COMPRA'!#REF!,Tabla11[[#This Row],[Cuenta]],1))</f>
        <v>0</v>
      </c>
      <c r="X541" t="b">
        <f>+ISNUMBER(SEARCH('F-COMPRA'!#REF!,Tabla11[[#This Row],[Cuenta]],1))</f>
        <v>0</v>
      </c>
      <c r="Y541" t="b">
        <f>+ISNUMBER(SEARCH('F-COMPRA'!#REF!,Tabla11[[#This Row],[Cuenta]],1))</f>
        <v>0</v>
      </c>
      <c r="Z541" t="b">
        <f>+ISNUMBER(SEARCH('F-COMPRA'!#REF!,Tabla11[[#This Row],[Cuenta]],1))</f>
        <v>0</v>
      </c>
      <c r="AA541" t="b">
        <f>+ISNUMBER(SEARCH('F-COMPRA'!#REF!,Tabla11[[#This Row],[Cuenta]],1))</f>
        <v>0</v>
      </c>
      <c r="AB541" t="b">
        <f>+ISNUMBER(SEARCH('F-COMPRA'!#REF!,Tabla11[[#This Row],[Cuenta]],1))</f>
        <v>0</v>
      </c>
      <c r="AC541" t="b">
        <f>+ISNUMBER(SEARCH('F-COMPRA'!#REF!,Tabla11[[#This Row],[Cuenta]],1))</f>
        <v>0</v>
      </c>
      <c r="AD541" t="b">
        <f>+ISNUMBER(SEARCH('F-COMPRA'!#REF!,Tabla11[[#This Row],[Cuenta]],1))</f>
        <v>0</v>
      </c>
      <c r="AE541" t="b">
        <f>+ISNUMBER(SEARCH('F-COMPRA'!#REF!,Tabla11[[#This Row],[Cuenta]],1))</f>
        <v>0</v>
      </c>
      <c r="AF541" t="b">
        <f>+ISNUMBER(SEARCH('F-VTA'!$G$23,Tabla11[[#This Row],[Cuenta]],1))</f>
        <v>0</v>
      </c>
      <c r="AG541" t="b">
        <f>+ISNUMBER(SEARCH('F-VTA'!$G$24,Tabla11[[#This Row],[Cuenta]],1))</f>
        <v>0</v>
      </c>
      <c r="AH541" t="b">
        <f>+ISNUMBER(SEARCH('F-VTA'!$G$25,Tabla11[[#This Row],[Cuenta]],1))</f>
        <v>0</v>
      </c>
      <c r="AI541" t="b">
        <f>+ISNUMBER(SEARCH('F-VTA'!$F$28,Tabla11[[#This Row],[Cuenta]],1))</f>
        <v>1</v>
      </c>
      <c r="AJ541" t="b">
        <f>+ISNUMBER(SEARCH('F-VTA'!$F$29,Tabla11[[#This Row],[Cuenta]],1))</f>
        <v>1</v>
      </c>
      <c r="AK541" t="b">
        <f>+ISNUMBER(SEARCH('F-VTA'!$F$30,Tabla11[[#This Row],[Cuenta]],1))</f>
        <v>1</v>
      </c>
      <c r="AL541" t="b">
        <f>+ISNUMBER(SEARCH('F-VTA'!$F$31,Tabla11[[#This Row],[Cuenta]],1))</f>
        <v>1</v>
      </c>
      <c r="AM541" t="b">
        <f>+ISNUMBER(SEARCH('F-VTA'!$F$32,Tabla11[[#This Row],[Cuenta]],1))</f>
        <v>1</v>
      </c>
      <c r="AN541" t="b">
        <f>+ISNUMBER(SEARCH('F-VTA'!$F$33,Tabla11[[#This Row],[Cuenta]],1))</f>
        <v>1</v>
      </c>
      <c r="AO541" t="b">
        <f>+ISNUMBER(SEARCH('F-VTA'!$F$34,Tabla11[[#This Row],[Cuenta]],1))</f>
        <v>1</v>
      </c>
      <c r="AP541" t="b">
        <f>+ISNUMBER(SEARCH('F-VTA'!$F$35,Tabla11[[#This Row],[Cuenta]],1))</f>
        <v>1</v>
      </c>
      <c r="AQ541" t="b">
        <f>+ISNUMBER(SEARCH('F-VTA'!$F$36,Tabla11[[#This Row],[Cuenta]],1))</f>
        <v>1</v>
      </c>
      <c r="AR541" t="b">
        <f>+ISNUMBER(SEARCH(#REF!,Tabla11[[#This Row],[Cuenta]],1))</f>
        <v>0</v>
      </c>
      <c r="AS541" t="b">
        <f>+ISNUMBER(SEARCH(#REF!,Tabla11[[#This Row],[Cuenta]],1))</f>
        <v>0</v>
      </c>
      <c r="AT541" t="b">
        <f>+ISNUMBER(SEARCH(#REF!,Tabla11[[#This Row],[Cuenta]],1))</f>
        <v>0</v>
      </c>
      <c r="AU541" t="b">
        <f>+ISNUMBER(SEARCH('Conc. Ban.1'!$I$9,Tabla11[[#This Row],[Cuenta]],1))</f>
        <v>0</v>
      </c>
      <c r="AV541" t="b">
        <f>+ISNUMBER(SEARCH(CompConta!$F$21,Tabla11[[#This Row],[Cuenta]],1))</f>
        <v>1</v>
      </c>
      <c r="AW541" t="b">
        <f>+ISNUMBER(SEARCH(CompConta!$F$22,Tabla11[[#This Row],[Cuenta]],1))</f>
        <v>1</v>
      </c>
      <c r="AX541" t="b">
        <f>+ISNUMBER(SEARCH(CompConta!$F$23,Tabla11[[#This Row],[Cuenta]],1))</f>
        <v>1</v>
      </c>
      <c r="AY541" t="b">
        <f>+ISNUMBER(SEARCH(CompConta!$F$24,Tabla11[[#This Row],[Cuenta]],1))</f>
        <v>1</v>
      </c>
      <c r="AZ541" t="b">
        <f>+ISNUMBER(SEARCH(CompConta!$F$25,Tabla11[[#This Row],[Cuenta]],1))</f>
        <v>1</v>
      </c>
      <c r="BA541" t="b">
        <f>+ISNUMBER(SEARCH(CompConta!$F$26,Tabla11[[#This Row],[Cuenta]],1))</f>
        <v>1</v>
      </c>
      <c r="BB541" t="b">
        <f>+ISNUMBER(SEARCH(CompConta!$F$27,Tabla11[[#This Row],[Cuenta]],1))</f>
        <v>1</v>
      </c>
      <c r="BC541" t="b">
        <f>+ISNUMBER(SEARCH(CompConta!$F$28,Tabla11[[#This Row],[Cuenta]],1))</f>
        <v>1</v>
      </c>
      <c r="BD541" t="b">
        <f>+ISNUMBER(SEARCH(CompConta!$F$29,Tabla11[[#This Row],[Cuenta]],1))</f>
        <v>1</v>
      </c>
      <c r="BE541" t="b">
        <f>+ISNUMBER(SEARCH(CompConta!$F$30,Tabla11[[#This Row],[Cuenta]],1))</f>
        <v>1</v>
      </c>
      <c r="BF541" t="b">
        <f>+ISNUMBER(SEARCH('PAGO Compras'!$E$11,Tabla11[[#This Row],[Cuenta]],1))</f>
        <v>1</v>
      </c>
      <c r="BG541" t="b">
        <f>+ISNUMBER(SEARCH(#REF!,Tabla11[[#This Row],[Cuenta]],1))</f>
        <v>0</v>
      </c>
      <c r="BH541" t="b">
        <f>+ISNUMBER(SEARCH(#REF!,Tabla11[[#This Row],[Cuenta]],1))</f>
        <v>0</v>
      </c>
      <c r="BI541" t="b">
        <f>+ISNUMBER(SEARCH(#REF!,Tabla11[[#This Row],[Cuenta]],1))</f>
        <v>0</v>
      </c>
      <c r="BJ541" t="b">
        <f>+ISNUMBER(SEARCH(#REF!,Tabla11[[#This Row],[Cuenta]],1))</f>
        <v>0</v>
      </c>
      <c r="BS541" t="str">
        <v>261595 Otros</v>
      </c>
      <c r="BT541" t="str">
        <v>261595 Otros</v>
      </c>
      <c r="BU541" t="str">
        <v>261595 Otros</v>
      </c>
      <c r="BV541" t="str">
        <v>261595 Otros</v>
      </c>
      <c r="BZ541" t="str">
        <v>261595 Otros</v>
      </c>
      <c r="CA541" t="str">
        <v>261595 Otros</v>
      </c>
      <c r="CB541" t="str">
        <v>261595 Otros</v>
      </c>
      <c r="CC541" t="str">
        <v>261595 Otros</v>
      </c>
      <c r="CD541" t="str">
        <v>261595 Otros</v>
      </c>
      <c r="CE541" t="str">
        <v>261595 Otros</v>
      </c>
      <c r="CS541" s="141" t="str">
        <v>261595 Otros</v>
      </c>
      <c r="CT541" s="141" t="str">
        <v>261595 Otros</v>
      </c>
      <c r="CU541" s="141" t="str">
        <v>261595 Otros</v>
      </c>
      <c r="CV541" s="141" t="str">
        <v>261595 Otros</v>
      </c>
      <c r="CW541" s="141" t="str">
        <v>261595 Otros</v>
      </c>
      <c r="CX541" s="141" t="str">
        <v>261595 Otros</v>
      </c>
      <c r="CY541" s="141" t="str">
        <v>261595 Otros</v>
      </c>
      <c r="CZ541" s="141" t="str">
        <v>261595 Otros</v>
      </c>
      <c r="DA541" s="141" t="str">
        <v>261595 Otros</v>
      </c>
      <c r="DF541" t="str">
        <v>261595 Otros</v>
      </c>
      <c r="DG541" t="str">
        <v>261595 Otros</v>
      </c>
      <c r="DH541" t="str">
        <v>261595 Otros</v>
      </c>
      <c r="DI541" t="str">
        <v>261595 Otros</v>
      </c>
      <c r="DJ541" t="str">
        <v>261595 Otros</v>
      </c>
      <c r="DK541" t="str">
        <v>261595 Otros</v>
      </c>
      <c r="DL541" t="str">
        <v>261595 Otros</v>
      </c>
      <c r="DM541" t="str">
        <v>261595 Otros</v>
      </c>
      <c r="DN541" t="str">
        <v>261595 Otros</v>
      </c>
      <c r="DO541" t="str">
        <v>261595 Otros</v>
      </c>
      <c r="DP541" t="str">
        <v>261595 Otros</v>
      </c>
    </row>
    <row r="542" spans="4:120" ht="12.75">
      <c r="D542" s="7">
        <v>2620</v>
      </c>
      <c r="E542" s="6" t="s">
        <v>409</v>
      </c>
      <c r="F542" s="5">
        <v>3</v>
      </c>
      <c r="G542" s="34" t="s">
        <v>824</v>
      </c>
      <c r="H542" s="26" t="s">
        <v>765</v>
      </c>
      <c r="I542" t="b">
        <f>+ISNUMBER(SEARCH('F-COMPRA'!$F$28,Tabla11[[#This Row],[Cuenta]],1))</f>
        <v>1</v>
      </c>
      <c r="J542" t="b">
        <f>+ISNUMBER(SEARCH('F-COMPRA'!$F$29,Tabla11[[#This Row],[Cuenta]],1))</f>
        <v>1</v>
      </c>
      <c r="K542" t="b">
        <f>+ISNUMBER(SEARCH('F-COMPRA'!$F$30,Tabla11[[#This Row],[Cuenta]],1))</f>
        <v>1</v>
      </c>
      <c r="L542" t="b">
        <f>+ISNUMBER(SEARCH('F-COMPRA'!$F$31,Tabla11[[#This Row],[Cuenta]],1))</f>
        <v>1</v>
      </c>
      <c r="M542" t="b">
        <f>+ISNUMBER(SEARCH('F-COMPRA'!$G$25,Tabla11[[#This Row],[Cuenta]],1))</f>
        <v>0</v>
      </c>
      <c r="N542" t="b">
        <f>+ISNUMBER(SEARCH(#REF!,Tabla11[[#This Row],[Cuenta]],1))</f>
        <v>0</v>
      </c>
      <c r="O542" t="b">
        <f>+ISNUMBER(SEARCH(#REF!,Tabla11[[#This Row],[Cuenta]],1))</f>
        <v>0</v>
      </c>
      <c r="P542" t="b">
        <f>+ISNUMBER(SEARCH('F-COMPRA'!$F$32,Tabla11[[#This Row],[Cuenta]],1))</f>
        <v>1</v>
      </c>
      <c r="Q542" t="b">
        <f>+ISNUMBER(SEARCH('F-COMPRA'!$F$33,Tabla11[[#This Row],[Cuenta]],1))</f>
        <v>1</v>
      </c>
      <c r="R542" t="b">
        <f>+ISNUMBER(SEARCH('F-COMPRA'!$F$34,Tabla11[[#This Row],[Cuenta]],1))</f>
        <v>1</v>
      </c>
      <c r="S542" t="b">
        <f>+ISNUMBER(SEARCH('F-COMPRA'!$F$35,Tabla11[[#This Row],[Cuenta]],1))</f>
        <v>1</v>
      </c>
      <c r="T542" t="b">
        <f>+ISNUMBER(SEARCH('F-COMPRA'!$F$36,Tabla11[[#This Row],[Cuenta]],1))</f>
        <v>1</v>
      </c>
      <c r="U542" t="b">
        <f>+ISNUMBER(SEARCH('F-COMPRA'!$F$37,Tabla11[[#This Row],[Cuenta]],1))</f>
        <v>1</v>
      </c>
      <c r="V542" t="b">
        <f>+ISNUMBER(SEARCH(#REF!,Tabla11[[#This Row],[Cuenta]],1))</f>
        <v>0</v>
      </c>
      <c r="W542" t="b">
        <f>+ISNUMBER(SEARCH('F-COMPRA'!#REF!,Tabla11[[#This Row],[Cuenta]],1))</f>
        <v>0</v>
      </c>
      <c r="X542" t="b">
        <f>+ISNUMBER(SEARCH('F-COMPRA'!#REF!,Tabla11[[#This Row],[Cuenta]],1))</f>
        <v>0</v>
      </c>
      <c r="Y542" t="b">
        <f>+ISNUMBER(SEARCH('F-COMPRA'!#REF!,Tabla11[[#This Row],[Cuenta]],1))</f>
        <v>0</v>
      </c>
      <c r="Z542" t="b">
        <f>+ISNUMBER(SEARCH('F-COMPRA'!#REF!,Tabla11[[#This Row],[Cuenta]],1))</f>
        <v>0</v>
      </c>
      <c r="AA542" t="b">
        <f>+ISNUMBER(SEARCH('F-COMPRA'!#REF!,Tabla11[[#This Row],[Cuenta]],1))</f>
        <v>0</v>
      </c>
      <c r="AB542" t="b">
        <f>+ISNUMBER(SEARCH('F-COMPRA'!#REF!,Tabla11[[#This Row],[Cuenta]],1))</f>
        <v>0</v>
      </c>
      <c r="AC542" t="b">
        <f>+ISNUMBER(SEARCH('F-COMPRA'!#REF!,Tabla11[[#This Row],[Cuenta]],1))</f>
        <v>0</v>
      </c>
      <c r="AD542" t="b">
        <f>+ISNUMBER(SEARCH('F-COMPRA'!#REF!,Tabla11[[#This Row],[Cuenta]],1))</f>
        <v>0</v>
      </c>
      <c r="AE542" t="b">
        <f>+ISNUMBER(SEARCH('F-COMPRA'!#REF!,Tabla11[[#This Row],[Cuenta]],1))</f>
        <v>0</v>
      </c>
      <c r="AF542" t="b">
        <f>+ISNUMBER(SEARCH('F-VTA'!$G$23,Tabla11[[#This Row],[Cuenta]],1))</f>
        <v>0</v>
      </c>
      <c r="AG542" t="b">
        <f>+ISNUMBER(SEARCH('F-VTA'!$G$24,Tabla11[[#This Row],[Cuenta]],1))</f>
        <v>0</v>
      </c>
      <c r="AH542" t="b">
        <f>+ISNUMBER(SEARCH('F-VTA'!$G$25,Tabla11[[#This Row],[Cuenta]],1))</f>
        <v>0</v>
      </c>
      <c r="AI542" t="b">
        <f>+ISNUMBER(SEARCH('F-VTA'!$F$28,Tabla11[[#This Row],[Cuenta]],1))</f>
        <v>1</v>
      </c>
      <c r="AJ542" t="b">
        <f>+ISNUMBER(SEARCH('F-VTA'!$F$29,Tabla11[[#This Row],[Cuenta]],1))</f>
        <v>1</v>
      </c>
      <c r="AK542" t="b">
        <f>+ISNUMBER(SEARCH('F-VTA'!$F$30,Tabla11[[#This Row],[Cuenta]],1))</f>
        <v>1</v>
      </c>
      <c r="AL542" t="b">
        <f>+ISNUMBER(SEARCH('F-VTA'!$F$31,Tabla11[[#This Row],[Cuenta]],1))</f>
        <v>1</v>
      </c>
      <c r="AM542" t="b">
        <f>+ISNUMBER(SEARCH('F-VTA'!$F$32,Tabla11[[#This Row],[Cuenta]],1))</f>
        <v>1</v>
      </c>
      <c r="AN542" t="b">
        <f>+ISNUMBER(SEARCH('F-VTA'!$F$33,Tabla11[[#This Row],[Cuenta]],1))</f>
        <v>1</v>
      </c>
      <c r="AO542" t="b">
        <f>+ISNUMBER(SEARCH('F-VTA'!$F$34,Tabla11[[#This Row],[Cuenta]],1))</f>
        <v>1</v>
      </c>
      <c r="AP542" t="b">
        <f>+ISNUMBER(SEARCH('F-VTA'!$F$35,Tabla11[[#This Row],[Cuenta]],1))</f>
        <v>1</v>
      </c>
      <c r="AQ542" t="b">
        <f>+ISNUMBER(SEARCH('F-VTA'!$F$36,Tabla11[[#This Row],[Cuenta]],1))</f>
        <v>1</v>
      </c>
      <c r="AR542" t="b">
        <f>+ISNUMBER(SEARCH(#REF!,Tabla11[[#This Row],[Cuenta]],1))</f>
        <v>0</v>
      </c>
      <c r="AS542" t="b">
        <f>+ISNUMBER(SEARCH(#REF!,Tabla11[[#This Row],[Cuenta]],1))</f>
        <v>0</v>
      </c>
      <c r="AT542" t="b">
        <f>+ISNUMBER(SEARCH(#REF!,Tabla11[[#This Row],[Cuenta]],1))</f>
        <v>0</v>
      </c>
      <c r="AU542" t="b">
        <f>+ISNUMBER(SEARCH('Conc. Ban.1'!$I$9,Tabla11[[#This Row],[Cuenta]],1))</f>
        <v>0</v>
      </c>
      <c r="AV542" t="b">
        <f>+ISNUMBER(SEARCH(CompConta!$F$21,Tabla11[[#This Row],[Cuenta]],1))</f>
        <v>1</v>
      </c>
      <c r="AW542" t="b">
        <f>+ISNUMBER(SEARCH(CompConta!$F$22,Tabla11[[#This Row],[Cuenta]],1))</f>
        <v>1</v>
      </c>
      <c r="AX542" t="b">
        <f>+ISNUMBER(SEARCH(CompConta!$F$23,Tabla11[[#This Row],[Cuenta]],1))</f>
        <v>1</v>
      </c>
      <c r="AY542" t="b">
        <f>+ISNUMBER(SEARCH(CompConta!$F$24,Tabla11[[#This Row],[Cuenta]],1))</f>
        <v>1</v>
      </c>
      <c r="AZ542" t="b">
        <f>+ISNUMBER(SEARCH(CompConta!$F$25,Tabla11[[#This Row],[Cuenta]],1))</f>
        <v>1</v>
      </c>
      <c r="BA542" t="b">
        <f>+ISNUMBER(SEARCH(CompConta!$F$26,Tabla11[[#This Row],[Cuenta]],1))</f>
        <v>1</v>
      </c>
      <c r="BB542" t="b">
        <f>+ISNUMBER(SEARCH(CompConta!$F$27,Tabla11[[#This Row],[Cuenta]],1))</f>
        <v>1</v>
      </c>
      <c r="BC542" t="b">
        <f>+ISNUMBER(SEARCH(CompConta!$F$28,Tabla11[[#This Row],[Cuenta]],1))</f>
        <v>1</v>
      </c>
      <c r="BD542" t="b">
        <f>+ISNUMBER(SEARCH(CompConta!$F$29,Tabla11[[#This Row],[Cuenta]],1))</f>
        <v>1</v>
      </c>
      <c r="BE542" t="b">
        <f>+ISNUMBER(SEARCH(CompConta!$F$30,Tabla11[[#This Row],[Cuenta]],1))</f>
        <v>1</v>
      </c>
      <c r="BF542" t="b">
        <f>+ISNUMBER(SEARCH('PAGO Compras'!$E$11,Tabla11[[#This Row],[Cuenta]],1))</f>
        <v>1</v>
      </c>
      <c r="BG542" t="b">
        <f>+ISNUMBER(SEARCH(#REF!,Tabla11[[#This Row],[Cuenta]],1))</f>
        <v>0</v>
      </c>
      <c r="BH542" t="b">
        <f>+ISNUMBER(SEARCH(#REF!,Tabla11[[#This Row],[Cuenta]],1))</f>
        <v>0</v>
      </c>
      <c r="BI542" t="b">
        <f>+ISNUMBER(SEARCH(#REF!,Tabla11[[#This Row],[Cuenta]],1))</f>
        <v>0</v>
      </c>
      <c r="BJ542" t="b">
        <f>+ISNUMBER(SEARCH(#REF!,Tabla11[[#This Row],[Cuenta]],1))</f>
        <v>0</v>
      </c>
      <c r="BS542" t="str">
        <v>2620 PENSIONES DE JUBILACIÓN</v>
      </c>
      <c r="BT542" t="str">
        <v>2620 PENSIONES DE JUBILACIÓN</v>
      </c>
      <c r="BU542" t="str">
        <v>2620 PENSIONES DE JUBILACIÓN</v>
      </c>
      <c r="BV542" t="str">
        <v>2620 PENSIONES DE JUBILACIÓN</v>
      </c>
      <c r="BZ542" t="str">
        <v>2620 PENSIONES DE JUBILACIÓN</v>
      </c>
      <c r="CA542" t="str">
        <v>2620 PENSIONES DE JUBILACIÓN</v>
      </c>
      <c r="CB542" t="str">
        <v>2620 PENSIONES DE JUBILACIÓN</v>
      </c>
      <c r="CC542" t="str">
        <v>2620 PENSIONES DE JUBILACIÓN</v>
      </c>
      <c r="CD542" t="str">
        <v>2620 PENSIONES DE JUBILACIÓN</v>
      </c>
      <c r="CE542" t="str">
        <v>2620 PENSIONES DE JUBILACIÓN</v>
      </c>
      <c r="CS542" s="141" t="str">
        <v>2620 PENSIONES DE JUBILACIÓN</v>
      </c>
      <c r="CT542" s="141" t="str">
        <v>2620 PENSIONES DE JUBILACIÓN</v>
      </c>
      <c r="CU542" s="141" t="str">
        <v>2620 PENSIONES DE JUBILACIÓN</v>
      </c>
      <c r="CV542" s="141" t="str">
        <v>2620 PENSIONES DE JUBILACIÓN</v>
      </c>
      <c r="CW542" s="141" t="str">
        <v>2620 PENSIONES DE JUBILACIÓN</v>
      </c>
      <c r="CX542" s="141" t="str">
        <v>2620 PENSIONES DE JUBILACIÓN</v>
      </c>
      <c r="CY542" s="141" t="str">
        <v>2620 PENSIONES DE JUBILACIÓN</v>
      </c>
      <c r="CZ542" s="141" t="str">
        <v>2620 PENSIONES DE JUBILACIÓN</v>
      </c>
      <c r="DA542" s="141" t="str">
        <v>2620 PENSIONES DE JUBILACIÓN</v>
      </c>
      <c r="DF542" t="str">
        <v>2620 PENSIONES DE JUBILACIÓN</v>
      </c>
      <c r="DG542" t="str">
        <v>2620 PENSIONES DE JUBILACIÓN</v>
      </c>
      <c r="DH542" t="str">
        <v>2620 PENSIONES DE JUBILACIÓN</v>
      </c>
      <c r="DI542" t="str">
        <v>2620 PENSIONES DE JUBILACIÓN</v>
      </c>
      <c r="DJ542" t="str">
        <v>2620 PENSIONES DE JUBILACIÓN</v>
      </c>
      <c r="DK542" t="str">
        <v>2620 PENSIONES DE JUBILACIÓN</v>
      </c>
      <c r="DL542" t="str">
        <v>2620 PENSIONES DE JUBILACIÓN</v>
      </c>
      <c r="DM542" t="str">
        <v>2620 PENSIONES DE JUBILACIÓN</v>
      </c>
      <c r="DN542" t="str">
        <v>2620 PENSIONES DE JUBILACIÓN</v>
      </c>
      <c r="DO542" t="str">
        <v>2620 PENSIONES DE JUBILACIÓN</v>
      </c>
      <c r="DP542" t="str">
        <v>2620 PENSIONES DE JUBILACIÓN</v>
      </c>
    </row>
    <row r="543" spans="4:120" ht="12.75">
      <c r="D543" s="7">
        <v>262005</v>
      </c>
      <c r="E543" s="6" t="s">
        <v>410</v>
      </c>
      <c r="F543" s="5">
        <v>4</v>
      </c>
      <c r="G543" s="34" t="s">
        <v>824</v>
      </c>
      <c r="H543" s="26" t="s">
        <v>765</v>
      </c>
      <c r="I543" t="b">
        <f>+ISNUMBER(SEARCH('F-COMPRA'!$F$28,Tabla11[[#This Row],[Cuenta]],1))</f>
        <v>1</v>
      </c>
      <c r="J543" t="b">
        <f>+ISNUMBER(SEARCH('F-COMPRA'!$F$29,Tabla11[[#This Row],[Cuenta]],1))</f>
        <v>1</v>
      </c>
      <c r="K543" t="b">
        <f>+ISNUMBER(SEARCH('F-COMPRA'!$F$30,Tabla11[[#This Row],[Cuenta]],1))</f>
        <v>1</v>
      </c>
      <c r="L543" t="b">
        <f>+ISNUMBER(SEARCH('F-COMPRA'!$F$31,Tabla11[[#This Row],[Cuenta]],1))</f>
        <v>1</v>
      </c>
      <c r="M543" t="b">
        <f>+ISNUMBER(SEARCH('F-COMPRA'!$G$25,Tabla11[[#This Row],[Cuenta]],1))</f>
        <v>0</v>
      </c>
      <c r="N543" t="b">
        <f>+ISNUMBER(SEARCH(#REF!,Tabla11[[#This Row],[Cuenta]],1))</f>
        <v>0</v>
      </c>
      <c r="O543" t="b">
        <f>+ISNUMBER(SEARCH(#REF!,Tabla11[[#This Row],[Cuenta]],1))</f>
        <v>0</v>
      </c>
      <c r="P543" t="b">
        <f>+ISNUMBER(SEARCH('F-COMPRA'!$F$32,Tabla11[[#This Row],[Cuenta]],1))</f>
        <v>1</v>
      </c>
      <c r="Q543" t="b">
        <f>+ISNUMBER(SEARCH('F-COMPRA'!$F$33,Tabla11[[#This Row],[Cuenta]],1))</f>
        <v>1</v>
      </c>
      <c r="R543" t="b">
        <f>+ISNUMBER(SEARCH('F-COMPRA'!$F$34,Tabla11[[#This Row],[Cuenta]],1))</f>
        <v>1</v>
      </c>
      <c r="S543" t="b">
        <f>+ISNUMBER(SEARCH('F-COMPRA'!$F$35,Tabla11[[#This Row],[Cuenta]],1))</f>
        <v>1</v>
      </c>
      <c r="T543" t="b">
        <f>+ISNUMBER(SEARCH('F-COMPRA'!$F$36,Tabla11[[#This Row],[Cuenta]],1))</f>
        <v>1</v>
      </c>
      <c r="U543" t="b">
        <f>+ISNUMBER(SEARCH('F-COMPRA'!$F$37,Tabla11[[#This Row],[Cuenta]],1))</f>
        <v>1</v>
      </c>
      <c r="V543" t="b">
        <f>+ISNUMBER(SEARCH(#REF!,Tabla11[[#This Row],[Cuenta]],1))</f>
        <v>0</v>
      </c>
      <c r="W543" t="b">
        <f>+ISNUMBER(SEARCH('F-COMPRA'!#REF!,Tabla11[[#This Row],[Cuenta]],1))</f>
        <v>0</v>
      </c>
      <c r="X543" t="b">
        <f>+ISNUMBER(SEARCH('F-COMPRA'!#REF!,Tabla11[[#This Row],[Cuenta]],1))</f>
        <v>0</v>
      </c>
      <c r="Y543" t="b">
        <f>+ISNUMBER(SEARCH('F-COMPRA'!#REF!,Tabla11[[#This Row],[Cuenta]],1))</f>
        <v>0</v>
      </c>
      <c r="Z543" t="b">
        <f>+ISNUMBER(SEARCH('F-COMPRA'!#REF!,Tabla11[[#This Row],[Cuenta]],1))</f>
        <v>0</v>
      </c>
      <c r="AA543" t="b">
        <f>+ISNUMBER(SEARCH('F-COMPRA'!#REF!,Tabla11[[#This Row],[Cuenta]],1))</f>
        <v>0</v>
      </c>
      <c r="AB543" t="b">
        <f>+ISNUMBER(SEARCH('F-COMPRA'!#REF!,Tabla11[[#This Row],[Cuenta]],1))</f>
        <v>0</v>
      </c>
      <c r="AC543" t="b">
        <f>+ISNUMBER(SEARCH('F-COMPRA'!#REF!,Tabla11[[#This Row],[Cuenta]],1))</f>
        <v>0</v>
      </c>
      <c r="AD543" t="b">
        <f>+ISNUMBER(SEARCH('F-COMPRA'!#REF!,Tabla11[[#This Row],[Cuenta]],1))</f>
        <v>0</v>
      </c>
      <c r="AE543" t="b">
        <f>+ISNUMBER(SEARCH('F-COMPRA'!#REF!,Tabla11[[#This Row],[Cuenta]],1))</f>
        <v>0</v>
      </c>
      <c r="AF543" t="b">
        <f>+ISNUMBER(SEARCH('F-VTA'!$G$23,Tabla11[[#This Row],[Cuenta]],1))</f>
        <v>0</v>
      </c>
      <c r="AG543" t="b">
        <f>+ISNUMBER(SEARCH('F-VTA'!$G$24,Tabla11[[#This Row],[Cuenta]],1))</f>
        <v>0</v>
      </c>
      <c r="AH543" t="b">
        <f>+ISNUMBER(SEARCH('F-VTA'!$G$25,Tabla11[[#This Row],[Cuenta]],1))</f>
        <v>0</v>
      </c>
      <c r="AI543" t="b">
        <f>+ISNUMBER(SEARCH('F-VTA'!$F$28,Tabla11[[#This Row],[Cuenta]],1))</f>
        <v>1</v>
      </c>
      <c r="AJ543" t="b">
        <f>+ISNUMBER(SEARCH('F-VTA'!$F$29,Tabla11[[#This Row],[Cuenta]],1))</f>
        <v>1</v>
      </c>
      <c r="AK543" t="b">
        <f>+ISNUMBER(SEARCH('F-VTA'!$F$30,Tabla11[[#This Row],[Cuenta]],1))</f>
        <v>1</v>
      </c>
      <c r="AL543" t="b">
        <f>+ISNUMBER(SEARCH('F-VTA'!$F$31,Tabla11[[#This Row],[Cuenta]],1))</f>
        <v>1</v>
      </c>
      <c r="AM543" t="b">
        <f>+ISNUMBER(SEARCH('F-VTA'!$F$32,Tabla11[[#This Row],[Cuenta]],1))</f>
        <v>1</v>
      </c>
      <c r="AN543" t="b">
        <f>+ISNUMBER(SEARCH('F-VTA'!$F$33,Tabla11[[#This Row],[Cuenta]],1))</f>
        <v>1</v>
      </c>
      <c r="AO543" t="b">
        <f>+ISNUMBER(SEARCH('F-VTA'!$F$34,Tabla11[[#This Row],[Cuenta]],1))</f>
        <v>1</v>
      </c>
      <c r="AP543" t="b">
        <f>+ISNUMBER(SEARCH('F-VTA'!$F$35,Tabla11[[#This Row],[Cuenta]],1))</f>
        <v>1</v>
      </c>
      <c r="AQ543" t="b">
        <f>+ISNUMBER(SEARCH('F-VTA'!$F$36,Tabla11[[#This Row],[Cuenta]],1))</f>
        <v>1</v>
      </c>
      <c r="AR543" t="b">
        <f>+ISNUMBER(SEARCH(#REF!,Tabla11[[#This Row],[Cuenta]],1))</f>
        <v>0</v>
      </c>
      <c r="AS543" t="b">
        <f>+ISNUMBER(SEARCH(#REF!,Tabla11[[#This Row],[Cuenta]],1))</f>
        <v>0</v>
      </c>
      <c r="AT543" t="b">
        <f>+ISNUMBER(SEARCH(#REF!,Tabla11[[#This Row],[Cuenta]],1))</f>
        <v>0</v>
      </c>
      <c r="AU543" t="b">
        <f>+ISNUMBER(SEARCH('Conc. Ban.1'!$I$9,Tabla11[[#This Row],[Cuenta]],1))</f>
        <v>0</v>
      </c>
      <c r="AV543" t="b">
        <f>+ISNUMBER(SEARCH(CompConta!$F$21,Tabla11[[#This Row],[Cuenta]],1))</f>
        <v>1</v>
      </c>
      <c r="AW543" t="b">
        <f>+ISNUMBER(SEARCH(CompConta!$F$22,Tabla11[[#This Row],[Cuenta]],1))</f>
        <v>1</v>
      </c>
      <c r="AX543" t="b">
        <f>+ISNUMBER(SEARCH(CompConta!$F$23,Tabla11[[#This Row],[Cuenta]],1))</f>
        <v>1</v>
      </c>
      <c r="AY543" t="b">
        <f>+ISNUMBER(SEARCH(CompConta!$F$24,Tabla11[[#This Row],[Cuenta]],1))</f>
        <v>1</v>
      </c>
      <c r="AZ543" t="b">
        <f>+ISNUMBER(SEARCH(CompConta!$F$25,Tabla11[[#This Row],[Cuenta]],1))</f>
        <v>1</v>
      </c>
      <c r="BA543" t="b">
        <f>+ISNUMBER(SEARCH(CompConta!$F$26,Tabla11[[#This Row],[Cuenta]],1))</f>
        <v>1</v>
      </c>
      <c r="BB543" t="b">
        <f>+ISNUMBER(SEARCH(CompConta!$F$27,Tabla11[[#This Row],[Cuenta]],1))</f>
        <v>1</v>
      </c>
      <c r="BC543" t="b">
        <f>+ISNUMBER(SEARCH(CompConta!$F$28,Tabla11[[#This Row],[Cuenta]],1))</f>
        <v>1</v>
      </c>
      <c r="BD543" t="b">
        <f>+ISNUMBER(SEARCH(CompConta!$F$29,Tabla11[[#This Row],[Cuenta]],1))</f>
        <v>1</v>
      </c>
      <c r="BE543" t="b">
        <f>+ISNUMBER(SEARCH(CompConta!$F$30,Tabla11[[#This Row],[Cuenta]],1))</f>
        <v>1</v>
      </c>
      <c r="BF543" t="b">
        <f>+ISNUMBER(SEARCH('PAGO Compras'!$E$11,Tabla11[[#This Row],[Cuenta]],1))</f>
        <v>1</v>
      </c>
      <c r="BG543" t="b">
        <f>+ISNUMBER(SEARCH(#REF!,Tabla11[[#This Row],[Cuenta]],1))</f>
        <v>0</v>
      </c>
      <c r="BH543" t="b">
        <f>+ISNUMBER(SEARCH(#REF!,Tabla11[[#This Row],[Cuenta]],1))</f>
        <v>0</v>
      </c>
      <c r="BI543" t="b">
        <f>+ISNUMBER(SEARCH(#REF!,Tabla11[[#This Row],[Cuenta]],1))</f>
        <v>0</v>
      </c>
      <c r="BJ543" t="b">
        <f>+ISNUMBER(SEARCH(#REF!,Tabla11[[#This Row],[Cuenta]],1))</f>
        <v>0</v>
      </c>
      <c r="BS543" t="str">
        <v>262005 Cálculo actuarial pensiones de jubilación</v>
      </c>
      <c r="BT543" t="str">
        <v>262005 Cálculo actuarial pensiones de jubilación</v>
      </c>
      <c r="BU543" t="str">
        <v>262005 Cálculo actuarial pensiones de jubilación</v>
      </c>
      <c r="BV543" t="str">
        <v>262005 Cálculo actuarial pensiones de jubilación</v>
      </c>
      <c r="BZ543" t="str">
        <v>262005 Cálculo actuarial pensiones de jubilación</v>
      </c>
      <c r="CA543" t="str">
        <v>262005 Cálculo actuarial pensiones de jubilación</v>
      </c>
      <c r="CB543" t="str">
        <v>262005 Cálculo actuarial pensiones de jubilación</v>
      </c>
      <c r="CC543" t="str">
        <v>262005 Cálculo actuarial pensiones de jubilación</v>
      </c>
      <c r="CD543" t="str">
        <v>262005 Cálculo actuarial pensiones de jubilación</v>
      </c>
      <c r="CE543" t="str">
        <v>262005 Cálculo actuarial pensiones de jubilación</v>
      </c>
      <c r="CS543" s="141" t="str">
        <v>262005 Cálculo actuarial pensiones de jubilación</v>
      </c>
      <c r="CT543" s="141" t="str">
        <v>262005 Cálculo actuarial pensiones de jubilación</v>
      </c>
      <c r="CU543" s="141" t="str">
        <v>262005 Cálculo actuarial pensiones de jubilación</v>
      </c>
      <c r="CV543" s="141" t="str">
        <v>262005 Cálculo actuarial pensiones de jubilación</v>
      </c>
      <c r="CW543" s="141" t="str">
        <v>262005 Cálculo actuarial pensiones de jubilación</v>
      </c>
      <c r="CX543" s="141" t="str">
        <v>262005 Cálculo actuarial pensiones de jubilación</v>
      </c>
      <c r="CY543" s="141" t="str">
        <v>262005 Cálculo actuarial pensiones de jubilación</v>
      </c>
      <c r="CZ543" s="141" t="str">
        <v>262005 Cálculo actuarial pensiones de jubilación</v>
      </c>
      <c r="DA543" s="141" t="str">
        <v>262005 Cálculo actuarial pensiones de jubilación</v>
      </c>
      <c r="DF543" t="str">
        <v>262005 Cálculo actuarial pensiones de jubilación</v>
      </c>
      <c r="DG543" t="str">
        <v>262005 Cálculo actuarial pensiones de jubilación</v>
      </c>
      <c r="DH543" t="str">
        <v>262005 Cálculo actuarial pensiones de jubilación</v>
      </c>
      <c r="DI543" t="str">
        <v>262005 Cálculo actuarial pensiones de jubilación</v>
      </c>
      <c r="DJ543" t="str">
        <v>262005 Cálculo actuarial pensiones de jubilación</v>
      </c>
      <c r="DK543" t="str">
        <v>262005 Cálculo actuarial pensiones de jubilación</v>
      </c>
      <c r="DL543" t="str">
        <v>262005 Cálculo actuarial pensiones de jubilación</v>
      </c>
      <c r="DM543" t="str">
        <v>262005 Cálculo actuarial pensiones de jubilación</v>
      </c>
      <c r="DN543" t="str">
        <v>262005 Cálculo actuarial pensiones de jubilación</v>
      </c>
      <c r="DO543" t="str">
        <v>262005 Cálculo actuarial pensiones de jubilación</v>
      </c>
      <c r="DP543" t="str">
        <v>262005 Cálculo actuarial pensiones de jubilación</v>
      </c>
    </row>
    <row r="544" spans="4:120" ht="12.75">
      <c r="D544" s="7">
        <v>262010</v>
      </c>
      <c r="E544" s="6" t="s">
        <v>411</v>
      </c>
      <c r="F544" s="5">
        <v>4</v>
      </c>
      <c r="G544" s="34" t="s">
        <v>824</v>
      </c>
      <c r="H544" s="26" t="s">
        <v>765</v>
      </c>
      <c r="I544" t="b">
        <f>+ISNUMBER(SEARCH('F-COMPRA'!$F$28,Tabla11[[#This Row],[Cuenta]],1))</f>
        <v>1</v>
      </c>
      <c r="J544" t="b">
        <f>+ISNUMBER(SEARCH('F-COMPRA'!$F$29,Tabla11[[#This Row],[Cuenta]],1))</f>
        <v>1</v>
      </c>
      <c r="K544" t="b">
        <f>+ISNUMBER(SEARCH('F-COMPRA'!$F$30,Tabla11[[#This Row],[Cuenta]],1))</f>
        <v>1</v>
      </c>
      <c r="L544" t="b">
        <f>+ISNUMBER(SEARCH('F-COMPRA'!$F$31,Tabla11[[#This Row],[Cuenta]],1))</f>
        <v>1</v>
      </c>
      <c r="M544" t="b">
        <f>+ISNUMBER(SEARCH('F-COMPRA'!$G$25,Tabla11[[#This Row],[Cuenta]],1))</f>
        <v>0</v>
      </c>
      <c r="N544" t="b">
        <f>+ISNUMBER(SEARCH(#REF!,Tabla11[[#This Row],[Cuenta]],1))</f>
        <v>0</v>
      </c>
      <c r="O544" t="b">
        <f>+ISNUMBER(SEARCH(#REF!,Tabla11[[#This Row],[Cuenta]],1))</f>
        <v>0</v>
      </c>
      <c r="P544" t="b">
        <f>+ISNUMBER(SEARCH('F-COMPRA'!$F$32,Tabla11[[#This Row],[Cuenta]],1))</f>
        <v>1</v>
      </c>
      <c r="Q544" t="b">
        <f>+ISNUMBER(SEARCH('F-COMPRA'!$F$33,Tabla11[[#This Row],[Cuenta]],1))</f>
        <v>1</v>
      </c>
      <c r="R544" t="b">
        <f>+ISNUMBER(SEARCH('F-COMPRA'!$F$34,Tabla11[[#This Row],[Cuenta]],1))</f>
        <v>1</v>
      </c>
      <c r="S544" t="b">
        <f>+ISNUMBER(SEARCH('F-COMPRA'!$F$35,Tabla11[[#This Row],[Cuenta]],1))</f>
        <v>1</v>
      </c>
      <c r="T544" t="b">
        <f>+ISNUMBER(SEARCH('F-COMPRA'!$F$36,Tabla11[[#This Row],[Cuenta]],1))</f>
        <v>1</v>
      </c>
      <c r="U544" t="b">
        <f>+ISNUMBER(SEARCH('F-COMPRA'!$F$37,Tabla11[[#This Row],[Cuenta]],1))</f>
        <v>1</v>
      </c>
      <c r="V544" t="b">
        <f>+ISNUMBER(SEARCH(#REF!,Tabla11[[#This Row],[Cuenta]],1))</f>
        <v>0</v>
      </c>
      <c r="W544" t="b">
        <f>+ISNUMBER(SEARCH('F-COMPRA'!#REF!,Tabla11[[#This Row],[Cuenta]],1))</f>
        <v>0</v>
      </c>
      <c r="X544" t="b">
        <f>+ISNUMBER(SEARCH('F-COMPRA'!#REF!,Tabla11[[#This Row],[Cuenta]],1))</f>
        <v>0</v>
      </c>
      <c r="Y544" t="b">
        <f>+ISNUMBER(SEARCH('F-COMPRA'!#REF!,Tabla11[[#This Row],[Cuenta]],1))</f>
        <v>0</v>
      </c>
      <c r="Z544" t="b">
        <f>+ISNUMBER(SEARCH('F-COMPRA'!#REF!,Tabla11[[#This Row],[Cuenta]],1))</f>
        <v>0</v>
      </c>
      <c r="AA544" t="b">
        <f>+ISNUMBER(SEARCH('F-COMPRA'!#REF!,Tabla11[[#This Row],[Cuenta]],1))</f>
        <v>0</v>
      </c>
      <c r="AB544" t="b">
        <f>+ISNUMBER(SEARCH('F-COMPRA'!#REF!,Tabla11[[#This Row],[Cuenta]],1))</f>
        <v>0</v>
      </c>
      <c r="AC544" t="b">
        <f>+ISNUMBER(SEARCH('F-COMPRA'!#REF!,Tabla11[[#This Row],[Cuenta]],1))</f>
        <v>0</v>
      </c>
      <c r="AD544" t="b">
        <f>+ISNUMBER(SEARCH('F-COMPRA'!#REF!,Tabla11[[#This Row],[Cuenta]],1))</f>
        <v>0</v>
      </c>
      <c r="AE544" t="b">
        <f>+ISNUMBER(SEARCH('F-COMPRA'!#REF!,Tabla11[[#This Row],[Cuenta]],1))</f>
        <v>0</v>
      </c>
      <c r="AF544" t="b">
        <f>+ISNUMBER(SEARCH('F-VTA'!$G$23,Tabla11[[#This Row],[Cuenta]],1))</f>
        <v>0</v>
      </c>
      <c r="AG544" t="b">
        <f>+ISNUMBER(SEARCH('F-VTA'!$G$24,Tabla11[[#This Row],[Cuenta]],1))</f>
        <v>0</v>
      </c>
      <c r="AH544" t="b">
        <f>+ISNUMBER(SEARCH('F-VTA'!$G$25,Tabla11[[#This Row],[Cuenta]],1))</f>
        <v>0</v>
      </c>
      <c r="AI544" t="b">
        <f>+ISNUMBER(SEARCH('F-VTA'!$F$28,Tabla11[[#This Row],[Cuenta]],1))</f>
        <v>1</v>
      </c>
      <c r="AJ544" t="b">
        <f>+ISNUMBER(SEARCH('F-VTA'!$F$29,Tabla11[[#This Row],[Cuenta]],1))</f>
        <v>1</v>
      </c>
      <c r="AK544" t="b">
        <f>+ISNUMBER(SEARCH('F-VTA'!$F$30,Tabla11[[#This Row],[Cuenta]],1))</f>
        <v>1</v>
      </c>
      <c r="AL544" t="b">
        <f>+ISNUMBER(SEARCH('F-VTA'!$F$31,Tabla11[[#This Row],[Cuenta]],1))</f>
        <v>1</v>
      </c>
      <c r="AM544" t="b">
        <f>+ISNUMBER(SEARCH('F-VTA'!$F$32,Tabla11[[#This Row],[Cuenta]],1))</f>
        <v>1</v>
      </c>
      <c r="AN544" t="b">
        <f>+ISNUMBER(SEARCH('F-VTA'!$F$33,Tabla11[[#This Row],[Cuenta]],1))</f>
        <v>1</v>
      </c>
      <c r="AO544" t="b">
        <f>+ISNUMBER(SEARCH('F-VTA'!$F$34,Tabla11[[#This Row],[Cuenta]],1))</f>
        <v>1</v>
      </c>
      <c r="AP544" t="b">
        <f>+ISNUMBER(SEARCH('F-VTA'!$F$35,Tabla11[[#This Row],[Cuenta]],1))</f>
        <v>1</v>
      </c>
      <c r="AQ544" t="b">
        <f>+ISNUMBER(SEARCH('F-VTA'!$F$36,Tabla11[[#This Row],[Cuenta]],1))</f>
        <v>1</v>
      </c>
      <c r="AR544" t="b">
        <f>+ISNUMBER(SEARCH(#REF!,Tabla11[[#This Row],[Cuenta]],1))</f>
        <v>0</v>
      </c>
      <c r="AS544" t="b">
        <f>+ISNUMBER(SEARCH(#REF!,Tabla11[[#This Row],[Cuenta]],1))</f>
        <v>0</v>
      </c>
      <c r="AT544" t="b">
        <f>+ISNUMBER(SEARCH(#REF!,Tabla11[[#This Row],[Cuenta]],1))</f>
        <v>0</v>
      </c>
      <c r="AU544" t="b">
        <f>+ISNUMBER(SEARCH('Conc. Ban.1'!$I$9,Tabla11[[#This Row],[Cuenta]],1))</f>
        <v>0</v>
      </c>
      <c r="AV544" t="b">
        <f>+ISNUMBER(SEARCH(CompConta!$F$21,Tabla11[[#This Row],[Cuenta]],1))</f>
        <v>1</v>
      </c>
      <c r="AW544" t="b">
        <f>+ISNUMBER(SEARCH(CompConta!$F$22,Tabla11[[#This Row],[Cuenta]],1))</f>
        <v>1</v>
      </c>
      <c r="AX544" t="b">
        <f>+ISNUMBER(SEARCH(CompConta!$F$23,Tabla11[[#This Row],[Cuenta]],1))</f>
        <v>1</v>
      </c>
      <c r="AY544" t="b">
        <f>+ISNUMBER(SEARCH(CompConta!$F$24,Tabla11[[#This Row],[Cuenta]],1))</f>
        <v>1</v>
      </c>
      <c r="AZ544" t="b">
        <f>+ISNUMBER(SEARCH(CompConta!$F$25,Tabla11[[#This Row],[Cuenta]],1))</f>
        <v>1</v>
      </c>
      <c r="BA544" t="b">
        <f>+ISNUMBER(SEARCH(CompConta!$F$26,Tabla11[[#This Row],[Cuenta]],1))</f>
        <v>1</v>
      </c>
      <c r="BB544" t="b">
        <f>+ISNUMBER(SEARCH(CompConta!$F$27,Tabla11[[#This Row],[Cuenta]],1))</f>
        <v>1</v>
      </c>
      <c r="BC544" t="b">
        <f>+ISNUMBER(SEARCH(CompConta!$F$28,Tabla11[[#This Row],[Cuenta]],1))</f>
        <v>1</v>
      </c>
      <c r="BD544" t="b">
        <f>+ISNUMBER(SEARCH(CompConta!$F$29,Tabla11[[#This Row],[Cuenta]],1))</f>
        <v>1</v>
      </c>
      <c r="BE544" t="b">
        <f>+ISNUMBER(SEARCH(CompConta!$F$30,Tabla11[[#This Row],[Cuenta]],1))</f>
        <v>1</v>
      </c>
      <c r="BF544" t="b">
        <f>+ISNUMBER(SEARCH('PAGO Compras'!$E$11,Tabla11[[#This Row],[Cuenta]],1))</f>
        <v>1</v>
      </c>
      <c r="BG544" t="b">
        <f>+ISNUMBER(SEARCH(#REF!,Tabla11[[#This Row],[Cuenta]],1))</f>
        <v>0</v>
      </c>
      <c r="BH544" t="b">
        <f>+ISNUMBER(SEARCH(#REF!,Tabla11[[#This Row],[Cuenta]],1))</f>
        <v>0</v>
      </c>
      <c r="BI544" t="b">
        <f>+ISNUMBER(SEARCH(#REF!,Tabla11[[#This Row],[Cuenta]],1))</f>
        <v>0</v>
      </c>
      <c r="BJ544" t="b">
        <f>+ISNUMBER(SEARCH(#REF!,Tabla11[[#This Row],[Cuenta]],1))</f>
        <v>0</v>
      </c>
      <c r="BS544" t="str">
        <v>262010 Pensiones de jubilación por amortizar (DB)</v>
      </c>
      <c r="BT544" t="str">
        <v>262010 Pensiones de jubilación por amortizar (DB)</v>
      </c>
      <c r="BU544" t="str">
        <v>262010 Pensiones de jubilación por amortizar (DB)</v>
      </c>
      <c r="BV544" t="str">
        <v>262010 Pensiones de jubilación por amortizar (DB)</v>
      </c>
      <c r="BZ544" t="str">
        <v>262010 Pensiones de jubilación por amortizar (DB)</v>
      </c>
      <c r="CA544" t="str">
        <v>262010 Pensiones de jubilación por amortizar (DB)</v>
      </c>
      <c r="CB544" t="str">
        <v>262010 Pensiones de jubilación por amortizar (DB)</v>
      </c>
      <c r="CC544" t="str">
        <v>262010 Pensiones de jubilación por amortizar (DB)</v>
      </c>
      <c r="CD544" t="str">
        <v>262010 Pensiones de jubilación por amortizar (DB)</v>
      </c>
      <c r="CE544" t="str">
        <v>262010 Pensiones de jubilación por amortizar (DB)</v>
      </c>
      <c r="CS544" s="141" t="str">
        <v>262010 Pensiones de jubilación por amortizar (DB)</v>
      </c>
      <c r="CT544" s="141" t="str">
        <v>262010 Pensiones de jubilación por amortizar (DB)</v>
      </c>
      <c r="CU544" s="141" t="str">
        <v>262010 Pensiones de jubilación por amortizar (DB)</v>
      </c>
      <c r="CV544" s="141" t="str">
        <v>262010 Pensiones de jubilación por amortizar (DB)</v>
      </c>
      <c r="CW544" s="141" t="str">
        <v>262010 Pensiones de jubilación por amortizar (DB)</v>
      </c>
      <c r="CX544" s="141" t="str">
        <v>262010 Pensiones de jubilación por amortizar (DB)</v>
      </c>
      <c r="CY544" s="141" t="str">
        <v>262010 Pensiones de jubilación por amortizar (DB)</v>
      </c>
      <c r="CZ544" s="141" t="str">
        <v>262010 Pensiones de jubilación por amortizar (DB)</v>
      </c>
      <c r="DA544" s="141" t="str">
        <v>262010 Pensiones de jubilación por amortizar (DB)</v>
      </c>
      <c r="DF544" t="str">
        <v>262010 Pensiones de jubilación por amortizar (DB)</v>
      </c>
      <c r="DG544" t="str">
        <v>262010 Pensiones de jubilación por amortizar (DB)</v>
      </c>
      <c r="DH544" t="str">
        <v>262010 Pensiones de jubilación por amortizar (DB)</v>
      </c>
      <c r="DI544" t="str">
        <v>262010 Pensiones de jubilación por amortizar (DB)</v>
      </c>
      <c r="DJ544" t="str">
        <v>262010 Pensiones de jubilación por amortizar (DB)</v>
      </c>
      <c r="DK544" t="str">
        <v>262010 Pensiones de jubilación por amortizar (DB)</v>
      </c>
      <c r="DL544" t="str">
        <v>262010 Pensiones de jubilación por amortizar (DB)</v>
      </c>
      <c r="DM544" t="str">
        <v>262010 Pensiones de jubilación por amortizar (DB)</v>
      </c>
      <c r="DN544" t="str">
        <v>262010 Pensiones de jubilación por amortizar (DB)</v>
      </c>
      <c r="DO544" t="str">
        <v>262010 Pensiones de jubilación por amortizar (DB)</v>
      </c>
      <c r="DP544" t="str">
        <v>262010 Pensiones de jubilación por amortizar (DB)</v>
      </c>
    </row>
    <row r="545" spans="4:120" ht="12.75">
      <c r="D545" s="7">
        <v>2625</v>
      </c>
      <c r="E545" s="6" t="s">
        <v>412</v>
      </c>
      <c r="F545" s="5">
        <v>3</v>
      </c>
      <c r="G545" s="34" t="s">
        <v>824</v>
      </c>
      <c r="H545" s="26" t="s">
        <v>765</v>
      </c>
      <c r="I545" t="b">
        <f>+ISNUMBER(SEARCH('F-COMPRA'!$F$28,Tabla11[[#This Row],[Cuenta]],1))</f>
        <v>1</v>
      </c>
      <c r="J545" t="b">
        <f>+ISNUMBER(SEARCH('F-COMPRA'!$F$29,Tabla11[[#This Row],[Cuenta]],1))</f>
        <v>1</v>
      </c>
      <c r="K545" t="b">
        <f>+ISNUMBER(SEARCH('F-COMPRA'!$F$30,Tabla11[[#This Row],[Cuenta]],1))</f>
        <v>1</v>
      </c>
      <c r="L545" t="b">
        <f>+ISNUMBER(SEARCH('F-COMPRA'!$F$31,Tabla11[[#This Row],[Cuenta]],1))</f>
        <v>1</v>
      </c>
      <c r="M545" t="b">
        <f>+ISNUMBER(SEARCH('F-COMPRA'!$G$25,Tabla11[[#This Row],[Cuenta]],1))</f>
        <v>0</v>
      </c>
      <c r="N545" t="b">
        <f>+ISNUMBER(SEARCH(#REF!,Tabla11[[#This Row],[Cuenta]],1))</f>
        <v>0</v>
      </c>
      <c r="O545" t="b">
        <f>+ISNUMBER(SEARCH(#REF!,Tabla11[[#This Row],[Cuenta]],1))</f>
        <v>0</v>
      </c>
      <c r="P545" t="b">
        <f>+ISNUMBER(SEARCH('F-COMPRA'!$F$32,Tabla11[[#This Row],[Cuenta]],1))</f>
        <v>1</v>
      </c>
      <c r="Q545" t="b">
        <f>+ISNUMBER(SEARCH('F-COMPRA'!$F$33,Tabla11[[#This Row],[Cuenta]],1))</f>
        <v>1</v>
      </c>
      <c r="R545" t="b">
        <f>+ISNUMBER(SEARCH('F-COMPRA'!$F$34,Tabla11[[#This Row],[Cuenta]],1))</f>
        <v>1</v>
      </c>
      <c r="S545" t="b">
        <f>+ISNUMBER(SEARCH('F-COMPRA'!$F$35,Tabla11[[#This Row],[Cuenta]],1))</f>
        <v>1</v>
      </c>
      <c r="T545" t="b">
        <f>+ISNUMBER(SEARCH('F-COMPRA'!$F$36,Tabla11[[#This Row],[Cuenta]],1))</f>
        <v>1</v>
      </c>
      <c r="U545" t="b">
        <f>+ISNUMBER(SEARCH('F-COMPRA'!$F$37,Tabla11[[#This Row],[Cuenta]],1))</f>
        <v>1</v>
      </c>
      <c r="V545" t="b">
        <f>+ISNUMBER(SEARCH(#REF!,Tabla11[[#This Row],[Cuenta]],1))</f>
        <v>0</v>
      </c>
      <c r="W545" t="b">
        <f>+ISNUMBER(SEARCH('F-COMPRA'!#REF!,Tabla11[[#This Row],[Cuenta]],1))</f>
        <v>0</v>
      </c>
      <c r="X545" t="b">
        <f>+ISNUMBER(SEARCH('F-COMPRA'!#REF!,Tabla11[[#This Row],[Cuenta]],1))</f>
        <v>0</v>
      </c>
      <c r="Y545" t="b">
        <f>+ISNUMBER(SEARCH('F-COMPRA'!#REF!,Tabla11[[#This Row],[Cuenta]],1))</f>
        <v>0</v>
      </c>
      <c r="Z545" t="b">
        <f>+ISNUMBER(SEARCH('F-COMPRA'!#REF!,Tabla11[[#This Row],[Cuenta]],1))</f>
        <v>0</v>
      </c>
      <c r="AA545" t="b">
        <f>+ISNUMBER(SEARCH('F-COMPRA'!#REF!,Tabla11[[#This Row],[Cuenta]],1))</f>
        <v>0</v>
      </c>
      <c r="AB545" t="b">
        <f>+ISNUMBER(SEARCH('F-COMPRA'!#REF!,Tabla11[[#This Row],[Cuenta]],1))</f>
        <v>0</v>
      </c>
      <c r="AC545" t="b">
        <f>+ISNUMBER(SEARCH('F-COMPRA'!#REF!,Tabla11[[#This Row],[Cuenta]],1))</f>
        <v>0</v>
      </c>
      <c r="AD545" t="b">
        <f>+ISNUMBER(SEARCH('F-COMPRA'!#REF!,Tabla11[[#This Row],[Cuenta]],1))</f>
        <v>0</v>
      </c>
      <c r="AE545" t="b">
        <f>+ISNUMBER(SEARCH('F-COMPRA'!#REF!,Tabla11[[#This Row],[Cuenta]],1))</f>
        <v>0</v>
      </c>
      <c r="AF545" t="b">
        <f>+ISNUMBER(SEARCH('F-VTA'!$G$23,Tabla11[[#This Row],[Cuenta]],1))</f>
        <v>0</v>
      </c>
      <c r="AG545" t="b">
        <f>+ISNUMBER(SEARCH('F-VTA'!$G$24,Tabla11[[#This Row],[Cuenta]],1))</f>
        <v>0</v>
      </c>
      <c r="AH545" t="b">
        <f>+ISNUMBER(SEARCH('F-VTA'!$G$25,Tabla11[[#This Row],[Cuenta]],1))</f>
        <v>0</v>
      </c>
      <c r="AI545" t="b">
        <f>+ISNUMBER(SEARCH('F-VTA'!$F$28,Tabla11[[#This Row],[Cuenta]],1))</f>
        <v>1</v>
      </c>
      <c r="AJ545" t="b">
        <f>+ISNUMBER(SEARCH('F-VTA'!$F$29,Tabla11[[#This Row],[Cuenta]],1))</f>
        <v>1</v>
      </c>
      <c r="AK545" t="b">
        <f>+ISNUMBER(SEARCH('F-VTA'!$F$30,Tabla11[[#This Row],[Cuenta]],1))</f>
        <v>1</v>
      </c>
      <c r="AL545" t="b">
        <f>+ISNUMBER(SEARCH('F-VTA'!$F$31,Tabla11[[#This Row],[Cuenta]],1))</f>
        <v>1</v>
      </c>
      <c r="AM545" t="b">
        <f>+ISNUMBER(SEARCH('F-VTA'!$F$32,Tabla11[[#This Row],[Cuenta]],1))</f>
        <v>1</v>
      </c>
      <c r="AN545" t="b">
        <f>+ISNUMBER(SEARCH('F-VTA'!$F$33,Tabla11[[#This Row],[Cuenta]],1))</f>
        <v>1</v>
      </c>
      <c r="AO545" t="b">
        <f>+ISNUMBER(SEARCH('F-VTA'!$F$34,Tabla11[[#This Row],[Cuenta]],1))</f>
        <v>1</v>
      </c>
      <c r="AP545" t="b">
        <f>+ISNUMBER(SEARCH('F-VTA'!$F$35,Tabla11[[#This Row],[Cuenta]],1))</f>
        <v>1</v>
      </c>
      <c r="AQ545" t="b">
        <f>+ISNUMBER(SEARCH('F-VTA'!$F$36,Tabla11[[#This Row],[Cuenta]],1))</f>
        <v>1</v>
      </c>
      <c r="AR545" t="b">
        <f>+ISNUMBER(SEARCH(#REF!,Tabla11[[#This Row],[Cuenta]],1))</f>
        <v>0</v>
      </c>
      <c r="AS545" t="b">
        <f>+ISNUMBER(SEARCH(#REF!,Tabla11[[#This Row],[Cuenta]],1))</f>
        <v>0</v>
      </c>
      <c r="AT545" t="b">
        <f>+ISNUMBER(SEARCH(#REF!,Tabla11[[#This Row],[Cuenta]],1))</f>
        <v>0</v>
      </c>
      <c r="AU545" t="b">
        <f>+ISNUMBER(SEARCH('Conc. Ban.1'!$I$9,Tabla11[[#This Row],[Cuenta]],1))</f>
        <v>0</v>
      </c>
      <c r="AV545" t="b">
        <f>+ISNUMBER(SEARCH(CompConta!$F$21,Tabla11[[#This Row],[Cuenta]],1))</f>
        <v>1</v>
      </c>
      <c r="AW545" t="b">
        <f>+ISNUMBER(SEARCH(CompConta!$F$22,Tabla11[[#This Row],[Cuenta]],1))</f>
        <v>1</v>
      </c>
      <c r="AX545" t="b">
        <f>+ISNUMBER(SEARCH(CompConta!$F$23,Tabla11[[#This Row],[Cuenta]],1))</f>
        <v>1</v>
      </c>
      <c r="AY545" t="b">
        <f>+ISNUMBER(SEARCH(CompConta!$F$24,Tabla11[[#This Row],[Cuenta]],1))</f>
        <v>1</v>
      </c>
      <c r="AZ545" t="b">
        <f>+ISNUMBER(SEARCH(CompConta!$F$25,Tabla11[[#This Row],[Cuenta]],1))</f>
        <v>1</v>
      </c>
      <c r="BA545" t="b">
        <f>+ISNUMBER(SEARCH(CompConta!$F$26,Tabla11[[#This Row],[Cuenta]],1))</f>
        <v>1</v>
      </c>
      <c r="BB545" t="b">
        <f>+ISNUMBER(SEARCH(CompConta!$F$27,Tabla11[[#This Row],[Cuenta]],1))</f>
        <v>1</v>
      </c>
      <c r="BC545" t="b">
        <f>+ISNUMBER(SEARCH(CompConta!$F$28,Tabla11[[#This Row],[Cuenta]],1))</f>
        <v>1</v>
      </c>
      <c r="BD545" t="b">
        <f>+ISNUMBER(SEARCH(CompConta!$F$29,Tabla11[[#This Row],[Cuenta]],1))</f>
        <v>1</v>
      </c>
      <c r="BE545" t="b">
        <f>+ISNUMBER(SEARCH(CompConta!$F$30,Tabla11[[#This Row],[Cuenta]],1))</f>
        <v>1</v>
      </c>
      <c r="BF545" t="b">
        <f>+ISNUMBER(SEARCH('PAGO Compras'!$E$11,Tabla11[[#This Row],[Cuenta]],1))</f>
        <v>1</v>
      </c>
      <c r="BG545" t="b">
        <f>+ISNUMBER(SEARCH(#REF!,Tabla11[[#This Row],[Cuenta]],1))</f>
        <v>0</v>
      </c>
      <c r="BH545" t="b">
        <f>+ISNUMBER(SEARCH(#REF!,Tabla11[[#This Row],[Cuenta]],1))</f>
        <v>0</v>
      </c>
      <c r="BI545" t="b">
        <f>+ISNUMBER(SEARCH(#REF!,Tabla11[[#This Row],[Cuenta]],1))</f>
        <v>0</v>
      </c>
      <c r="BJ545" t="b">
        <f>+ISNUMBER(SEARCH(#REF!,Tabla11[[#This Row],[Cuenta]],1))</f>
        <v>0</v>
      </c>
      <c r="BS545" t="str">
        <v>2625 PARA OBRAS DE URBANISMO</v>
      </c>
      <c r="BT545" t="str">
        <v>2625 PARA OBRAS DE URBANISMO</v>
      </c>
      <c r="BU545" t="str">
        <v>2625 PARA OBRAS DE URBANISMO</v>
      </c>
      <c r="BV545" t="str">
        <v>2625 PARA OBRAS DE URBANISMO</v>
      </c>
      <c r="BZ545" t="str">
        <v>2625 PARA OBRAS DE URBANISMO</v>
      </c>
      <c r="CA545" t="str">
        <v>2625 PARA OBRAS DE URBANISMO</v>
      </c>
      <c r="CB545" t="str">
        <v>2625 PARA OBRAS DE URBANISMO</v>
      </c>
      <c r="CC545" t="str">
        <v>2625 PARA OBRAS DE URBANISMO</v>
      </c>
      <c r="CD545" t="str">
        <v>2625 PARA OBRAS DE URBANISMO</v>
      </c>
      <c r="CE545" t="str">
        <v>2625 PARA OBRAS DE URBANISMO</v>
      </c>
      <c r="CS545" s="141" t="str">
        <v>2625 PARA OBRAS DE URBANISMO</v>
      </c>
      <c r="CT545" s="141" t="str">
        <v>2625 PARA OBRAS DE URBANISMO</v>
      </c>
      <c r="CU545" s="141" t="str">
        <v>2625 PARA OBRAS DE URBANISMO</v>
      </c>
      <c r="CV545" s="141" t="str">
        <v>2625 PARA OBRAS DE URBANISMO</v>
      </c>
      <c r="CW545" s="141" t="str">
        <v>2625 PARA OBRAS DE URBANISMO</v>
      </c>
      <c r="CX545" s="141" t="str">
        <v>2625 PARA OBRAS DE URBANISMO</v>
      </c>
      <c r="CY545" s="141" t="str">
        <v>2625 PARA OBRAS DE URBANISMO</v>
      </c>
      <c r="CZ545" s="141" t="str">
        <v>2625 PARA OBRAS DE URBANISMO</v>
      </c>
      <c r="DA545" s="141" t="str">
        <v>2625 PARA OBRAS DE URBANISMO</v>
      </c>
      <c r="DF545" t="str">
        <v>2625 PARA OBRAS DE URBANISMO</v>
      </c>
      <c r="DG545" t="str">
        <v>2625 PARA OBRAS DE URBANISMO</v>
      </c>
      <c r="DH545" t="str">
        <v>2625 PARA OBRAS DE URBANISMO</v>
      </c>
      <c r="DI545" t="str">
        <v>2625 PARA OBRAS DE URBANISMO</v>
      </c>
      <c r="DJ545" t="str">
        <v>2625 PARA OBRAS DE URBANISMO</v>
      </c>
      <c r="DK545" t="str">
        <v>2625 PARA OBRAS DE URBANISMO</v>
      </c>
      <c r="DL545" t="str">
        <v>2625 PARA OBRAS DE URBANISMO</v>
      </c>
      <c r="DM545" t="str">
        <v>2625 PARA OBRAS DE URBANISMO</v>
      </c>
      <c r="DN545" t="str">
        <v>2625 PARA OBRAS DE URBANISMO</v>
      </c>
      <c r="DO545" t="str">
        <v>2625 PARA OBRAS DE URBANISMO</v>
      </c>
      <c r="DP545" t="str">
        <v>2625 PARA OBRAS DE URBANISMO</v>
      </c>
    </row>
    <row r="546" spans="4:120" ht="12.75">
      <c r="D546" s="7">
        <v>262505</v>
      </c>
      <c r="E546" s="6" t="s">
        <v>413</v>
      </c>
      <c r="F546" s="5">
        <v>4</v>
      </c>
      <c r="G546" s="34" t="s">
        <v>824</v>
      </c>
      <c r="H546" s="26" t="s">
        <v>765</v>
      </c>
      <c r="I546" t="b">
        <f>+ISNUMBER(SEARCH('F-COMPRA'!$F$28,Tabla11[[#This Row],[Cuenta]],1))</f>
        <v>1</v>
      </c>
      <c r="J546" t="b">
        <f>+ISNUMBER(SEARCH('F-COMPRA'!$F$29,Tabla11[[#This Row],[Cuenta]],1))</f>
        <v>1</v>
      </c>
      <c r="K546" t="b">
        <f>+ISNUMBER(SEARCH('F-COMPRA'!$F$30,Tabla11[[#This Row],[Cuenta]],1))</f>
        <v>1</v>
      </c>
      <c r="L546" t="b">
        <f>+ISNUMBER(SEARCH('F-COMPRA'!$F$31,Tabla11[[#This Row],[Cuenta]],1))</f>
        <v>1</v>
      </c>
      <c r="M546" t="b">
        <f>+ISNUMBER(SEARCH('F-COMPRA'!$G$25,Tabla11[[#This Row],[Cuenta]],1))</f>
        <v>0</v>
      </c>
      <c r="N546" t="b">
        <f>+ISNUMBER(SEARCH(#REF!,Tabla11[[#This Row],[Cuenta]],1))</f>
        <v>0</v>
      </c>
      <c r="O546" t="b">
        <f>+ISNUMBER(SEARCH(#REF!,Tabla11[[#This Row],[Cuenta]],1))</f>
        <v>0</v>
      </c>
      <c r="P546" t="b">
        <f>+ISNUMBER(SEARCH('F-COMPRA'!$F$32,Tabla11[[#This Row],[Cuenta]],1))</f>
        <v>1</v>
      </c>
      <c r="Q546" t="b">
        <f>+ISNUMBER(SEARCH('F-COMPRA'!$F$33,Tabla11[[#This Row],[Cuenta]],1))</f>
        <v>1</v>
      </c>
      <c r="R546" t="b">
        <f>+ISNUMBER(SEARCH('F-COMPRA'!$F$34,Tabla11[[#This Row],[Cuenta]],1))</f>
        <v>1</v>
      </c>
      <c r="S546" t="b">
        <f>+ISNUMBER(SEARCH('F-COMPRA'!$F$35,Tabla11[[#This Row],[Cuenta]],1))</f>
        <v>1</v>
      </c>
      <c r="T546" t="b">
        <f>+ISNUMBER(SEARCH('F-COMPRA'!$F$36,Tabla11[[#This Row],[Cuenta]],1))</f>
        <v>1</v>
      </c>
      <c r="U546" t="b">
        <f>+ISNUMBER(SEARCH('F-COMPRA'!$F$37,Tabla11[[#This Row],[Cuenta]],1))</f>
        <v>1</v>
      </c>
      <c r="V546" t="b">
        <f>+ISNUMBER(SEARCH(#REF!,Tabla11[[#This Row],[Cuenta]],1))</f>
        <v>0</v>
      </c>
      <c r="W546" t="b">
        <f>+ISNUMBER(SEARCH('F-COMPRA'!#REF!,Tabla11[[#This Row],[Cuenta]],1))</f>
        <v>0</v>
      </c>
      <c r="X546" t="b">
        <f>+ISNUMBER(SEARCH('F-COMPRA'!#REF!,Tabla11[[#This Row],[Cuenta]],1))</f>
        <v>0</v>
      </c>
      <c r="Y546" t="b">
        <f>+ISNUMBER(SEARCH('F-COMPRA'!#REF!,Tabla11[[#This Row],[Cuenta]],1))</f>
        <v>0</v>
      </c>
      <c r="Z546" t="b">
        <f>+ISNUMBER(SEARCH('F-COMPRA'!#REF!,Tabla11[[#This Row],[Cuenta]],1))</f>
        <v>0</v>
      </c>
      <c r="AA546" t="b">
        <f>+ISNUMBER(SEARCH('F-COMPRA'!#REF!,Tabla11[[#This Row],[Cuenta]],1))</f>
        <v>0</v>
      </c>
      <c r="AB546" t="b">
        <f>+ISNUMBER(SEARCH('F-COMPRA'!#REF!,Tabla11[[#This Row],[Cuenta]],1))</f>
        <v>0</v>
      </c>
      <c r="AC546" t="b">
        <f>+ISNUMBER(SEARCH('F-COMPRA'!#REF!,Tabla11[[#This Row],[Cuenta]],1))</f>
        <v>0</v>
      </c>
      <c r="AD546" t="b">
        <f>+ISNUMBER(SEARCH('F-COMPRA'!#REF!,Tabla11[[#This Row],[Cuenta]],1))</f>
        <v>0</v>
      </c>
      <c r="AE546" t="b">
        <f>+ISNUMBER(SEARCH('F-COMPRA'!#REF!,Tabla11[[#This Row],[Cuenta]],1))</f>
        <v>0</v>
      </c>
      <c r="AF546" t="b">
        <f>+ISNUMBER(SEARCH('F-VTA'!$G$23,Tabla11[[#This Row],[Cuenta]],1))</f>
        <v>0</v>
      </c>
      <c r="AG546" t="b">
        <f>+ISNUMBER(SEARCH('F-VTA'!$G$24,Tabla11[[#This Row],[Cuenta]],1))</f>
        <v>0</v>
      </c>
      <c r="AH546" t="b">
        <f>+ISNUMBER(SEARCH('F-VTA'!$G$25,Tabla11[[#This Row],[Cuenta]],1))</f>
        <v>0</v>
      </c>
      <c r="AI546" t="b">
        <f>+ISNUMBER(SEARCH('F-VTA'!$F$28,Tabla11[[#This Row],[Cuenta]],1))</f>
        <v>1</v>
      </c>
      <c r="AJ546" t="b">
        <f>+ISNUMBER(SEARCH('F-VTA'!$F$29,Tabla11[[#This Row],[Cuenta]],1))</f>
        <v>1</v>
      </c>
      <c r="AK546" t="b">
        <f>+ISNUMBER(SEARCH('F-VTA'!$F$30,Tabla11[[#This Row],[Cuenta]],1))</f>
        <v>1</v>
      </c>
      <c r="AL546" t="b">
        <f>+ISNUMBER(SEARCH('F-VTA'!$F$31,Tabla11[[#This Row],[Cuenta]],1))</f>
        <v>1</v>
      </c>
      <c r="AM546" t="b">
        <f>+ISNUMBER(SEARCH('F-VTA'!$F$32,Tabla11[[#This Row],[Cuenta]],1))</f>
        <v>1</v>
      </c>
      <c r="AN546" t="b">
        <f>+ISNUMBER(SEARCH('F-VTA'!$F$33,Tabla11[[#This Row],[Cuenta]],1))</f>
        <v>1</v>
      </c>
      <c r="AO546" t="b">
        <f>+ISNUMBER(SEARCH('F-VTA'!$F$34,Tabla11[[#This Row],[Cuenta]],1))</f>
        <v>1</v>
      </c>
      <c r="AP546" t="b">
        <f>+ISNUMBER(SEARCH('F-VTA'!$F$35,Tabla11[[#This Row],[Cuenta]],1))</f>
        <v>1</v>
      </c>
      <c r="AQ546" t="b">
        <f>+ISNUMBER(SEARCH('F-VTA'!$F$36,Tabla11[[#This Row],[Cuenta]],1))</f>
        <v>1</v>
      </c>
      <c r="AR546" t="b">
        <f>+ISNUMBER(SEARCH(#REF!,Tabla11[[#This Row],[Cuenta]],1))</f>
        <v>0</v>
      </c>
      <c r="AS546" t="b">
        <f>+ISNUMBER(SEARCH(#REF!,Tabla11[[#This Row],[Cuenta]],1))</f>
        <v>0</v>
      </c>
      <c r="AT546" t="b">
        <f>+ISNUMBER(SEARCH(#REF!,Tabla11[[#This Row],[Cuenta]],1))</f>
        <v>0</v>
      </c>
      <c r="AU546" t="b">
        <f>+ISNUMBER(SEARCH('Conc. Ban.1'!$I$9,Tabla11[[#This Row],[Cuenta]],1))</f>
        <v>0</v>
      </c>
      <c r="AV546" t="b">
        <f>+ISNUMBER(SEARCH(CompConta!$F$21,Tabla11[[#This Row],[Cuenta]],1))</f>
        <v>1</v>
      </c>
      <c r="AW546" t="b">
        <f>+ISNUMBER(SEARCH(CompConta!$F$22,Tabla11[[#This Row],[Cuenta]],1))</f>
        <v>1</v>
      </c>
      <c r="AX546" t="b">
        <f>+ISNUMBER(SEARCH(CompConta!$F$23,Tabla11[[#This Row],[Cuenta]],1))</f>
        <v>1</v>
      </c>
      <c r="AY546" t="b">
        <f>+ISNUMBER(SEARCH(CompConta!$F$24,Tabla11[[#This Row],[Cuenta]],1))</f>
        <v>1</v>
      </c>
      <c r="AZ546" t="b">
        <f>+ISNUMBER(SEARCH(CompConta!$F$25,Tabla11[[#This Row],[Cuenta]],1))</f>
        <v>1</v>
      </c>
      <c r="BA546" t="b">
        <f>+ISNUMBER(SEARCH(CompConta!$F$26,Tabla11[[#This Row],[Cuenta]],1))</f>
        <v>1</v>
      </c>
      <c r="BB546" t="b">
        <f>+ISNUMBER(SEARCH(CompConta!$F$27,Tabla11[[#This Row],[Cuenta]],1))</f>
        <v>1</v>
      </c>
      <c r="BC546" t="b">
        <f>+ISNUMBER(SEARCH(CompConta!$F$28,Tabla11[[#This Row],[Cuenta]],1))</f>
        <v>1</v>
      </c>
      <c r="BD546" t="b">
        <f>+ISNUMBER(SEARCH(CompConta!$F$29,Tabla11[[#This Row],[Cuenta]],1))</f>
        <v>1</v>
      </c>
      <c r="BE546" t="b">
        <f>+ISNUMBER(SEARCH(CompConta!$F$30,Tabla11[[#This Row],[Cuenta]],1))</f>
        <v>1</v>
      </c>
      <c r="BF546" t="b">
        <f>+ISNUMBER(SEARCH('PAGO Compras'!$E$11,Tabla11[[#This Row],[Cuenta]],1))</f>
        <v>1</v>
      </c>
      <c r="BG546" t="b">
        <f>+ISNUMBER(SEARCH(#REF!,Tabla11[[#This Row],[Cuenta]],1))</f>
        <v>0</v>
      </c>
      <c r="BH546" t="b">
        <f>+ISNUMBER(SEARCH(#REF!,Tabla11[[#This Row],[Cuenta]],1))</f>
        <v>0</v>
      </c>
      <c r="BI546" t="b">
        <f>+ISNUMBER(SEARCH(#REF!,Tabla11[[#This Row],[Cuenta]],1))</f>
        <v>0</v>
      </c>
      <c r="BJ546" t="b">
        <f>+ISNUMBER(SEARCH(#REF!,Tabla11[[#This Row],[Cuenta]],1))</f>
        <v>0</v>
      </c>
      <c r="BS546" t="str">
        <v>262505 Acueducto y alcantarillado</v>
      </c>
      <c r="BT546" t="str">
        <v>262505 Acueducto y alcantarillado</v>
      </c>
      <c r="BU546" t="str">
        <v>262505 Acueducto y alcantarillado</v>
      </c>
      <c r="BV546" t="str">
        <v>262505 Acueducto y alcantarillado</v>
      </c>
      <c r="BZ546" t="str">
        <v>262505 Acueducto y alcantarillado</v>
      </c>
      <c r="CA546" t="str">
        <v>262505 Acueducto y alcantarillado</v>
      </c>
      <c r="CB546" t="str">
        <v>262505 Acueducto y alcantarillado</v>
      </c>
      <c r="CC546" t="str">
        <v>262505 Acueducto y alcantarillado</v>
      </c>
      <c r="CD546" t="str">
        <v>262505 Acueducto y alcantarillado</v>
      </c>
      <c r="CE546" t="str">
        <v>262505 Acueducto y alcantarillado</v>
      </c>
      <c r="CS546" s="141" t="str">
        <v>262505 Acueducto y alcantarillado</v>
      </c>
      <c r="CT546" s="141" t="str">
        <v>262505 Acueducto y alcantarillado</v>
      </c>
      <c r="CU546" s="141" t="str">
        <v>262505 Acueducto y alcantarillado</v>
      </c>
      <c r="CV546" s="141" t="str">
        <v>262505 Acueducto y alcantarillado</v>
      </c>
      <c r="CW546" s="141" t="str">
        <v>262505 Acueducto y alcantarillado</v>
      </c>
      <c r="CX546" s="141" t="str">
        <v>262505 Acueducto y alcantarillado</v>
      </c>
      <c r="CY546" s="141" t="str">
        <v>262505 Acueducto y alcantarillado</v>
      </c>
      <c r="CZ546" s="141" t="str">
        <v>262505 Acueducto y alcantarillado</v>
      </c>
      <c r="DA546" s="141" t="str">
        <v>262505 Acueducto y alcantarillado</v>
      </c>
      <c r="DF546" t="str">
        <v>262505 Acueducto y alcantarillado</v>
      </c>
      <c r="DG546" t="str">
        <v>262505 Acueducto y alcantarillado</v>
      </c>
      <c r="DH546" t="str">
        <v>262505 Acueducto y alcantarillado</v>
      </c>
      <c r="DI546" t="str">
        <v>262505 Acueducto y alcantarillado</v>
      </c>
      <c r="DJ546" t="str">
        <v>262505 Acueducto y alcantarillado</v>
      </c>
      <c r="DK546" t="str">
        <v>262505 Acueducto y alcantarillado</v>
      </c>
      <c r="DL546" t="str">
        <v>262505 Acueducto y alcantarillado</v>
      </c>
      <c r="DM546" t="str">
        <v>262505 Acueducto y alcantarillado</v>
      </c>
      <c r="DN546" t="str">
        <v>262505 Acueducto y alcantarillado</v>
      </c>
      <c r="DO546" t="str">
        <v>262505 Acueducto y alcantarillado</v>
      </c>
      <c r="DP546" t="str">
        <v>262505 Acueducto y alcantarillado</v>
      </c>
    </row>
    <row r="547" spans="4:120" ht="12.75">
      <c r="D547" s="7">
        <v>262510</v>
      </c>
      <c r="E547" s="6" t="s">
        <v>414</v>
      </c>
      <c r="F547" s="5">
        <v>4</v>
      </c>
      <c r="G547" s="34" t="s">
        <v>824</v>
      </c>
      <c r="H547" s="26" t="s">
        <v>765</v>
      </c>
      <c r="I547" t="b">
        <f>+ISNUMBER(SEARCH('F-COMPRA'!$F$28,Tabla11[[#This Row],[Cuenta]],1))</f>
        <v>1</v>
      </c>
      <c r="J547" t="b">
        <f>+ISNUMBER(SEARCH('F-COMPRA'!$F$29,Tabla11[[#This Row],[Cuenta]],1))</f>
        <v>1</v>
      </c>
      <c r="K547" t="b">
        <f>+ISNUMBER(SEARCH('F-COMPRA'!$F$30,Tabla11[[#This Row],[Cuenta]],1))</f>
        <v>1</v>
      </c>
      <c r="L547" t="b">
        <f>+ISNUMBER(SEARCH('F-COMPRA'!$F$31,Tabla11[[#This Row],[Cuenta]],1))</f>
        <v>1</v>
      </c>
      <c r="M547" t="b">
        <f>+ISNUMBER(SEARCH('F-COMPRA'!$G$25,Tabla11[[#This Row],[Cuenta]],1))</f>
        <v>0</v>
      </c>
      <c r="N547" t="b">
        <f>+ISNUMBER(SEARCH(#REF!,Tabla11[[#This Row],[Cuenta]],1))</f>
        <v>0</v>
      </c>
      <c r="O547" t="b">
        <f>+ISNUMBER(SEARCH(#REF!,Tabla11[[#This Row],[Cuenta]],1))</f>
        <v>0</v>
      </c>
      <c r="P547" t="b">
        <f>+ISNUMBER(SEARCH('F-COMPRA'!$F$32,Tabla11[[#This Row],[Cuenta]],1))</f>
        <v>1</v>
      </c>
      <c r="Q547" t="b">
        <f>+ISNUMBER(SEARCH('F-COMPRA'!$F$33,Tabla11[[#This Row],[Cuenta]],1))</f>
        <v>1</v>
      </c>
      <c r="R547" t="b">
        <f>+ISNUMBER(SEARCH('F-COMPRA'!$F$34,Tabla11[[#This Row],[Cuenta]],1))</f>
        <v>1</v>
      </c>
      <c r="S547" t="b">
        <f>+ISNUMBER(SEARCH('F-COMPRA'!$F$35,Tabla11[[#This Row],[Cuenta]],1))</f>
        <v>1</v>
      </c>
      <c r="T547" t="b">
        <f>+ISNUMBER(SEARCH('F-COMPRA'!$F$36,Tabla11[[#This Row],[Cuenta]],1))</f>
        <v>1</v>
      </c>
      <c r="U547" t="b">
        <f>+ISNUMBER(SEARCH('F-COMPRA'!$F$37,Tabla11[[#This Row],[Cuenta]],1))</f>
        <v>1</v>
      </c>
      <c r="V547" t="b">
        <f>+ISNUMBER(SEARCH(#REF!,Tabla11[[#This Row],[Cuenta]],1))</f>
        <v>0</v>
      </c>
      <c r="W547" t="b">
        <f>+ISNUMBER(SEARCH('F-COMPRA'!#REF!,Tabla11[[#This Row],[Cuenta]],1))</f>
        <v>0</v>
      </c>
      <c r="X547" t="b">
        <f>+ISNUMBER(SEARCH('F-COMPRA'!#REF!,Tabla11[[#This Row],[Cuenta]],1))</f>
        <v>0</v>
      </c>
      <c r="Y547" t="b">
        <f>+ISNUMBER(SEARCH('F-COMPRA'!#REF!,Tabla11[[#This Row],[Cuenta]],1))</f>
        <v>0</v>
      </c>
      <c r="Z547" t="b">
        <f>+ISNUMBER(SEARCH('F-COMPRA'!#REF!,Tabla11[[#This Row],[Cuenta]],1))</f>
        <v>0</v>
      </c>
      <c r="AA547" t="b">
        <f>+ISNUMBER(SEARCH('F-COMPRA'!#REF!,Tabla11[[#This Row],[Cuenta]],1))</f>
        <v>0</v>
      </c>
      <c r="AB547" t="b">
        <f>+ISNUMBER(SEARCH('F-COMPRA'!#REF!,Tabla11[[#This Row],[Cuenta]],1))</f>
        <v>0</v>
      </c>
      <c r="AC547" t="b">
        <f>+ISNUMBER(SEARCH('F-COMPRA'!#REF!,Tabla11[[#This Row],[Cuenta]],1))</f>
        <v>0</v>
      </c>
      <c r="AD547" t="b">
        <f>+ISNUMBER(SEARCH('F-COMPRA'!#REF!,Tabla11[[#This Row],[Cuenta]],1))</f>
        <v>0</v>
      </c>
      <c r="AE547" t="b">
        <f>+ISNUMBER(SEARCH('F-COMPRA'!#REF!,Tabla11[[#This Row],[Cuenta]],1))</f>
        <v>0</v>
      </c>
      <c r="AF547" t="b">
        <f>+ISNUMBER(SEARCH('F-VTA'!$G$23,Tabla11[[#This Row],[Cuenta]],1))</f>
        <v>0</v>
      </c>
      <c r="AG547" t="b">
        <f>+ISNUMBER(SEARCH('F-VTA'!$G$24,Tabla11[[#This Row],[Cuenta]],1))</f>
        <v>0</v>
      </c>
      <c r="AH547" t="b">
        <f>+ISNUMBER(SEARCH('F-VTA'!$G$25,Tabla11[[#This Row],[Cuenta]],1))</f>
        <v>0</v>
      </c>
      <c r="AI547" t="b">
        <f>+ISNUMBER(SEARCH('F-VTA'!$F$28,Tabla11[[#This Row],[Cuenta]],1))</f>
        <v>1</v>
      </c>
      <c r="AJ547" t="b">
        <f>+ISNUMBER(SEARCH('F-VTA'!$F$29,Tabla11[[#This Row],[Cuenta]],1))</f>
        <v>1</v>
      </c>
      <c r="AK547" t="b">
        <f>+ISNUMBER(SEARCH('F-VTA'!$F$30,Tabla11[[#This Row],[Cuenta]],1))</f>
        <v>1</v>
      </c>
      <c r="AL547" t="b">
        <f>+ISNUMBER(SEARCH('F-VTA'!$F$31,Tabla11[[#This Row],[Cuenta]],1))</f>
        <v>1</v>
      </c>
      <c r="AM547" t="b">
        <f>+ISNUMBER(SEARCH('F-VTA'!$F$32,Tabla11[[#This Row],[Cuenta]],1))</f>
        <v>1</v>
      </c>
      <c r="AN547" t="b">
        <f>+ISNUMBER(SEARCH('F-VTA'!$F$33,Tabla11[[#This Row],[Cuenta]],1))</f>
        <v>1</v>
      </c>
      <c r="AO547" t="b">
        <f>+ISNUMBER(SEARCH('F-VTA'!$F$34,Tabla11[[#This Row],[Cuenta]],1))</f>
        <v>1</v>
      </c>
      <c r="AP547" t="b">
        <f>+ISNUMBER(SEARCH('F-VTA'!$F$35,Tabla11[[#This Row],[Cuenta]],1))</f>
        <v>1</v>
      </c>
      <c r="AQ547" t="b">
        <f>+ISNUMBER(SEARCH('F-VTA'!$F$36,Tabla11[[#This Row],[Cuenta]],1))</f>
        <v>1</v>
      </c>
      <c r="AR547" t="b">
        <f>+ISNUMBER(SEARCH(#REF!,Tabla11[[#This Row],[Cuenta]],1))</f>
        <v>0</v>
      </c>
      <c r="AS547" t="b">
        <f>+ISNUMBER(SEARCH(#REF!,Tabla11[[#This Row],[Cuenta]],1))</f>
        <v>0</v>
      </c>
      <c r="AT547" t="b">
        <f>+ISNUMBER(SEARCH(#REF!,Tabla11[[#This Row],[Cuenta]],1))</f>
        <v>0</v>
      </c>
      <c r="AU547" t="b">
        <f>+ISNUMBER(SEARCH('Conc. Ban.1'!$I$9,Tabla11[[#This Row],[Cuenta]],1))</f>
        <v>0</v>
      </c>
      <c r="AV547" t="b">
        <f>+ISNUMBER(SEARCH(CompConta!$F$21,Tabla11[[#This Row],[Cuenta]],1))</f>
        <v>1</v>
      </c>
      <c r="AW547" t="b">
        <f>+ISNUMBER(SEARCH(CompConta!$F$22,Tabla11[[#This Row],[Cuenta]],1))</f>
        <v>1</v>
      </c>
      <c r="AX547" t="b">
        <f>+ISNUMBER(SEARCH(CompConta!$F$23,Tabla11[[#This Row],[Cuenta]],1))</f>
        <v>1</v>
      </c>
      <c r="AY547" t="b">
        <f>+ISNUMBER(SEARCH(CompConta!$F$24,Tabla11[[#This Row],[Cuenta]],1))</f>
        <v>1</v>
      </c>
      <c r="AZ547" t="b">
        <f>+ISNUMBER(SEARCH(CompConta!$F$25,Tabla11[[#This Row],[Cuenta]],1))</f>
        <v>1</v>
      </c>
      <c r="BA547" t="b">
        <f>+ISNUMBER(SEARCH(CompConta!$F$26,Tabla11[[#This Row],[Cuenta]],1))</f>
        <v>1</v>
      </c>
      <c r="BB547" t="b">
        <f>+ISNUMBER(SEARCH(CompConta!$F$27,Tabla11[[#This Row],[Cuenta]],1))</f>
        <v>1</v>
      </c>
      <c r="BC547" t="b">
        <f>+ISNUMBER(SEARCH(CompConta!$F$28,Tabla11[[#This Row],[Cuenta]],1))</f>
        <v>1</v>
      </c>
      <c r="BD547" t="b">
        <f>+ISNUMBER(SEARCH(CompConta!$F$29,Tabla11[[#This Row],[Cuenta]],1))</f>
        <v>1</v>
      </c>
      <c r="BE547" t="b">
        <f>+ISNUMBER(SEARCH(CompConta!$F$30,Tabla11[[#This Row],[Cuenta]],1))</f>
        <v>1</v>
      </c>
      <c r="BF547" t="b">
        <f>+ISNUMBER(SEARCH('PAGO Compras'!$E$11,Tabla11[[#This Row],[Cuenta]],1))</f>
        <v>1</v>
      </c>
      <c r="BG547" t="b">
        <f>+ISNUMBER(SEARCH(#REF!,Tabla11[[#This Row],[Cuenta]],1))</f>
        <v>0</v>
      </c>
      <c r="BH547" t="b">
        <f>+ISNUMBER(SEARCH(#REF!,Tabla11[[#This Row],[Cuenta]],1))</f>
        <v>0</v>
      </c>
      <c r="BI547" t="b">
        <f>+ISNUMBER(SEARCH(#REF!,Tabla11[[#This Row],[Cuenta]],1))</f>
        <v>0</v>
      </c>
      <c r="BJ547" t="b">
        <f>+ISNUMBER(SEARCH(#REF!,Tabla11[[#This Row],[Cuenta]],1))</f>
        <v>0</v>
      </c>
      <c r="BS547" t="str">
        <v>262510 Energía eléctrica</v>
      </c>
      <c r="BT547" t="str">
        <v>262510 Energía eléctrica</v>
      </c>
      <c r="BU547" t="str">
        <v>262510 Energía eléctrica</v>
      </c>
      <c r="BV547" t="str">
        <v>262510 Energía eléctrica</v>
      </c>
      <c r="BZ547" t="str">
        <v>262510 Energía eléctrica</v>
      </c>
      <c r="CA547" t="str">
        <v>262510 Energía eléctrica</v>
      </c>
      <c r="CB547" t="str">
        <v>262510 Energía eléctrica</v>
      </c>
      <c r="CC547" t="str">
        <v>262510 Energía eléctrica</v>
      </c>
      <c r="CD547" t="str">
        <v>262510 Energía eléctrica</v>
      </c>
      <c r="CE547" t="str">
        <v>262510 Energía eléctrica</v>
      </c>
      <c r="CS547" s="141" t="str">
        <v>262510 Energía eléctrica</v>
      </c>
      <c r="CT547" s="141" t="str">
        <v>262510 Energía eléctrica</v>
      </c>
      <c r="CU547" s="141" t="str">
        <v>262510 Energía eléctrica</v>
      </c>
      <c r="CV547" s="141" t="str">
        <v>262510 Energía eléctrica</v>
      </c>
      <c r="CW547" s="141" t="str">
        <v>262510 Energía eléctrica</v>
      </c>
      <c r="CX547" s="141" t="str">
        <v>262510 Energía eléctrica</v>
      </c>
      <c r="CY547" s="141" t="str">
        <v>262510 Energía eléctrica</v>
      </c>
      <c r="CZ547" s="141" t="str">
        <v>262510 Energía eléctrica</v>
      </c>
      <c r="DA547" s="141" t="str">
        <v>262510 Energía eléctrica</v>
      </c>
      <c r="DF547" t="str">
        <v>262510 Energía eléctrica</v>
      </c>
      <c r="DG547" t="str">
        <v>262510 Energía eléctrica</v>
      </c>
      <c r="DH547" t="str">
        <v>262510 Energía eléctrica</v>
      </c>
      <c r="DI547" t="str">
        <v>262510 Energía eléctrica</v>
      </c>
      <c r="DJ547" t="str">
        <v>262510 Energía eléctrica</v>
      </c>
      <c r="DK547" t="str">
        <v>262510 Energía eléctrica</v>
      </c>
      <c r="DL547" t="str">
        <v>262510 Energía eléctrica</v>
      </c>
      <c r="DM547" t="str">
        <v>262510 Energía eléctrica</v>
      </c>
      <c r="DN547" t="str">
        <v>262510 Energía eléctrica</v>
      </c>
      <c r="DO547" t="str">
        <v>262510 Energía eléctrica</v>
      </c>
      <c r="DP547" t="str">
        <v>262510 Energía eléctrica</v>
      </c>
    </row>
    <row r="548" spans="4:120" ht="12.75">
      <c r="D548" s="7">
        <v>262515</v>
      </c>
      <c r="E548" s="6" t="s">
        <v>415</v>
      </c>
      <c r="F548" s="5">
        <v>4</v>
      </c>
      <c r="G548" s="34" t="s">
        <v>824</v>
      </c>
      <c r="H548" s="26" t="s">
        <v>765</v>
      </c>
      <c r="I548" t="b">
        <f>+ISNUMBER(SEARCH('F-COMPRA'!$F$28,Tabla11[[#This Row],[Cuenta]],1))</f>
        <v>1</v>
      </c>
      <c r="J548" t="b">
        <f>+ISNUMBER(SEARCH('F-COMPRA'!$F$29,Tabla11[[#This Row],[Cuenta]],1))</f>
        <v>1</v>
      </c>
      <c r="K548" t="b">
        <f>+ISNUMBER(SEARCH('F-COMPRA'!$F$30,Tabla11[[#This Row],[Cuenta]],1))</f>
        <v>1</v>
      </c>
      <c r="L548" t="b">
        <f>+ISNUMBER(SEARCH('F-COMPRA'!$F$31,Tabla11[[#This Row],[Cuenta]],1))</f>
        <v>1</v>
      </c>
      <c r="M548" t="b">
        <f>+ISNUMBER(SEARCH('F-COMPRA'!$G$25,Tabla11[[#This Row],[Cuenta]],1))</f>
        <v>0</v>
      </c>
      <c r="N548" t="b">
        <f>+ISNUMBER(SEARCH(#REF!,Tabla11[[#This Row],[Cuenta]],1))</f>
        <v>0</v>
      </c>
      <c r="O548" t="b">
        <f>+ISNUMBER(SEARCH(#REF!,Tabla11[[#This Row],[Cuenta]],1))</f>
        <v>0</v>
      </c>
      <c r="P548" t="b">
        <f>+ISNUMBER(SEARCH('F-COMPRA'!$F$32,Tabla11[[#This Row],[Cuenta]],1))</f>
        <v>1</v>
      </c>
      <c r="Q548" t="b">
        <f>+ISNUMBER(SEARCH('F-COMPRA'!$F$33,Tabla11[[#This Row],[Cuenta]],1))</f>
        <v>1</v>
      </c>
      <c r="R548" t="b">
        <f>+ISNUMBER(SEARCH('F-COMPRA'!$F$34,Tabla11[[#This Row],[Cuenta]],1))</f>
        <v>1</v>
      </c>
      <c r="S548" t="b">
        <f>+ISNUMBER(SEARCH('F-COMPRA'!$F$35,Tabla11[[#This Row],[Cuenta]],1))</f>
        <v>1</v>
      </c>
      <c r="T548" t="b">
        <f>+ISNUMBER(SEARCH('F-COMPRA'!$F$36,Tabla11[[#This Row],[Cuenta]],1))</f>
        <v>1</v>
      </c>
      <c r="U548" t="b">
        <f>+ISNUMBER(SEARCH('F-COMPRA'!$F$37,Tabla11[[#This Row],[Cuenta]],1))</f>
        <v>1</v>
      </c>
      <c r="V548" t="b">
        <f>+ISNUMBER(SEARCH(#REF!,Tabla11[[#This Row],[Cuenta]],1))</f>
        <v>0</v>
      </c>
      <c r="W548" t="b">
        <f>+ISNUMBER(SEARCH('F-COMPRA'!#REF!,Tabla11[[#This Row],[Cuenta]],1))</f>
        <v>0</v>
      </c>
      <c r="X548" t="b">
        <f>+ISNUMBER(SEARCH('F-COMPRA'!#REF!,Tabla11[[#This Row],[Cuenta]],1))</f>
        <v>0</v>
      </c>
      <c r="Y548" t="b">
        <f>+ISNUMBER(SEARCH('F-COMPRA'!#REF!,Tabla11[[#This Row],[Cuenta]],1))</f>
        <v>0</v>
      </c>
      <c r="Z548" t="b">
        <f>+ISNUMBER(SEARCH('F-COMPRA'!#REF!,Tabla11[[#This Row],[Cuenta]],1))</f>
        <v>0</v>
      </c>
      <c r="AA548" t="b">
        <f>+ISNUMBER(SEARCH('F-COMPRA'!#REF!,Tabla11[[#This Row],[Cuenta]],1))</f>
        <v>0</v>
      </c>
      <c r="AB548" t="b">
        <f>+ISNUMBER(SEARCH('F-COMPRA'!#REF!,Tabla11[[#This Row],[Cuenta]],1))</f>
        <v>0</v>
      </c>
      <c r="AC548" t="b">
        <f>+ISNUMBER(SEARCH('F-COMPRA'!#REF!,Tabla11[[#This Row],[Cuenta]],1))</f>
        <v>0</v>
      </c>
      <c r="AD548" t="b">
        <f>+ISNUMBER(SEARCH('F-COMPRA'!#REF!,Tabla11[[#This Row],[Cuenta]],1))</f>
        <v>0</v>
      </c>
      <c r="AE548" t="b">
        <f>+ISNUMBER(SEARCH('F-COMPRA'!#REF!,Tabla11[[#This Row],[Cuenta]],1))</f>
        <v>0</v>
      </c>
      <c r="AF548" t="b">
        <f>+ISNUMBER(SEARCH('F-VTA'!$G$23,Tabla11[[#This Row],[Cuenta]],1))</f>
        <v>0</v>
      </c>
      <c r="AG548" t="b">
        <f>+ISNUMBER(SEARCH('F-VTA'!$G$24,Tabla11[[#This Row],[Cuenta]],1))</f>
        <v>0</v>
      </c>
      <c r="AH548" t="b">
        <f>+ISNUMBER(SEARCH('F-VTA'!$G$25,Tabla11[[#This Row],[Cuenta]],1))</f>
        <v>0</v>
      </c>
      <c r="AI548" t="b">
        <f>+ISNUMBER(SEARCH('F-VTA'!$F$28,Tabla11[[#This Row],[Cuenta]],1))</f>
        <v>1</v>
      </c>
      <c r="AJ548" t="b">
        <f>+ISNUMBER(SEARCH('F-VTA'!$F$29,Tabla11[[#This Row],[Cuenta]],1))</f>
        <v>1</v>
      </c>
      <c r="AK548" t="b">
        <f>+ISNUMBER(SEARCH('F-VTA'!$F$30,Tabla11[[#This Row],[Cuenta]],1))</f>
        <v>1</v>
      </c>
      <c r="AL548" t="b">
        <f>+ISNUMBER(SEARCH('F-VTA'!$F$31,Tabla11[[#This Row],[Cuenta]],1))</f>
        <v>1</v>
      </c>
      <c r="AM548" t="b">
        <f>+ISNUMBER(SEARCH('F-VTA'!$F$32,Tabla11[[#This Row],[Cuenta]],1))</f>
        <v>1</v>
      </c>
      <c r="AN548" t="b">
        <f>+ISNUMBER(SEARCH('F-VTA'!$F$33,Tabla11[[#This Row],[Cuenta]],1))</f>
        <v>1</v>
      </c>
      <c r="AO548" t="b">
        <f>+ISNUMBER(SEARCH('F-VTA'!$F$34,Tabla11[[#This Row],[Cuenta]],1))</f>
        <v>1</v>
      </c>
      <c r="AP548" t="b">
        <f>+ISNUMBER(SEARCH('F-VTA'!$F$35,Tabla11[[#This Row],[Cuenta]],1))</f>
        <v>1</v>
      </c>
      <c r="AQ548" t="b">
        <f>+ISNUMBER(SEARCH('F-VTA'!$F$36,Tabla11[[#This Row],[Cuenta]],1))</f>
        <v>1</v>
      </c>
      <c r="AR548" t="b">
        <f>+ISNUMBER(SEARCH(#REF!,Tabla11[[#This Row],[Cuenta]],1))</f>
        <v>0</v>
      </c>
      <c r="AS548" t="b">
        <f>+ISNUMBER(SEARCH(#REF!,Tabla11[[#This Row],[Cuenta]],1))</f>
        <v>0</v>
      </c>
      <c r="AT548" t="b">
        <f>+ISNUMBER(SEARCH(#REF!,Tabla11[[#This Row],[Cuenta]],1))</f>
        <v>0</v>
      </c>
      <c r="AU548" t="b">
        <f>+ISNUMBER(SEARCH('Conc. Ban.1'!$I$9,Tabla11[[#This Row],[Cuenta]],1))</f>
        <v>0</v>
      </c>
      <c r="AV548" t="b">
        <f>+ISNUMBER(SEARCH(CompConta!$F$21,Tabla11[[#This Row],[Cuenta]],1))</f>
        <v>1</v>
      </c>
      <c r="AW548" t="b">
        <f>+ISNUMBER(SEARCH(CompConta!$F$22,Tabla11[[#This Row],[Cuenta]],1))</f>
        <v>1</v>
      </c>
      <c r="AX548" t="b">
        <f>+ISNUMBER(SEARCH(CompConta!$F$23,Tabla11[[#This Row],[Cuenta]],1))</f>
        <v>1</v>
      </c>
      <c r="AY548" t="b">
        <f>+ISNUMBER(SEARCH(CompConta!$F$24,Tabla11[[#This Row],[Cuenta]],1))</f>
        <v>1</v>
      </c>
      <c r="AZ548" t="b">
        <f>+ISNUMBER(SEARCH(CompConta!$F$25,Tabla11[[#This Row],[Cuenta]],1))</f>
        <v>1</v>
      </c>
      <c r="BA548" t="b">
        <f>+ISNUMBER(SEARCH(CompConta!$F$26,Tabla11[[#This Row],[Cuenta]],1))</f>
        <v>1</v>
      </c>
      <c r="BB548" t="b">
        <f>+ISNUMBER(SEARCH(CompConta!$F$27,Tabla11[[#This Row],[Cuenta]],1))</f>
        <v>1</v>
      </c>
      <c r="BC548" t="b">
        <f>+ISNUMBER(SEARCH(CompConta!$F$28,Tabla11[[#This Row],[Cuenta]],1))</f>
        <v>1</v>
      </c>
      <c r="BD548" t="b">
        <f>+ISNUMBER(SEARCH(CompConta!$F$29,Tabla11[[#This Row],[Cuenta]],1))</f>
        <v>1</v>
      </c>
      <c r="BE548" t="b">
        <f>+ISNUMBER(SEARCH(CompConta!$F$30,Tabla11[[#This Row],[Cuenta]],1))</f>
        <v>1</v>
      </c>
      <c r="BF548" t="b">
        <f>+ISNUMBER(SEARCH('PAGO Compras'!$E$11,Tabla11[[#This Row],[Cuenta]],1))</f>
        <v>1</v>
      </c>
      <c r="BG548" t="b">
        <f>+ISNUMBER(SEARCH(#REF!,Tabla11[[#This Row],[Cuenta]],1))</f>
        <v>0</v>
      </c>
      <c r="BH548" t="b">
        <f>+ISNUMBER(SEARCH(#REF!,Tabla11[[#This Row],[Cuenta]],1))</f>
        <v>0</v>
      </c>
      <c r="BI548" t="b">
        <f>+ISNUMBER(SEARCH(#REF!,Tabla11[[#This Row],[Cuenta]],1))</f>
        <v>0</v>
      </c>
      <c r="BJ548" t="b">
        <f>+ISNUMBER(SEARCH(#REF!,Tabla11[[#This Row],[Cuenta]],1))</f>
        <v>0</v>
      </c>
      <c r="BS548" t="str">
        <v>262515 Teléfonos</v>
      </c>
      <c r="BT548" t="str">
        <v>262515 Teléfonos</v>
      </c>
      <c r="BU548" t="str">
        <v>262515 Teléfonos</v>
      </c>
      <c r="BV548" t="str">
        <v>262515 Teléfonos</v>
      </c>
      <c r="BZ548" t="str">
        <v>262515 Teléfonos</v>
      </c>
      <c r="CA548" t="str">
        <v>262515 Teléfonos</v>
      </c>
      <c r="CB548" t="str">
        <v>262515 Teléfonos</v>
      </c>
      <c r="CC548" t="str">
        <v>262515 Teléfonos</v>
      </c>
      <c r="CD548" t="str">
        <v>262515 Teléfonos</v>
      </c>
      <c r="CE548" t="str">
        <v>262515 Teléfonos</v>
      </c>
      <c r="CS548" s="141" t="str">
        <v>262515 Teléfonos</v>
      </c>
      <c r="CT548" s="141" t="str">
        <v>262515 Teléfonos</v>
      </c>
      <c r="CU548" s="141" t="str">
        <v>262515 Teléfonos</v>
      </c>
      <c r="CV548" s="141" t="str">
        <v>262515 Teléfonos</v>
      </c>
      <c r="CW548" s="141" t="str">
        <v>262515 Teléfonos</v>
      </c>
      <c r="CX548" s="141" t="str">
        <v>262515 Teléfonos</v>
      </c>
      <c r="CY548" s="141" t="str">
        <v>262515 Teléfonos</v>
      </c>
      <c r="CZ548" s="141" t="str">
        <v>262515 Teléfonos</v>
      </c>
      <c r="DA548" s="141" t="str">
        <v>262515 Teléfonos</v>
      </c>
      <c r="DF548" t="str">
        <v>262515 Teléfonos</v>
      </c>
      <c r="DG548" t="str">
        <v>262515 Teléfonos</v>
      </c>
      <c r="DH548" t="str">
        <v>262515 Teléfonos</v>
      </c>
      <c r="DI548" t="str">
        <v>262515 Teléfonos</v>
      </c>
      <c r="DJ548" t="str">
        <v>262515 Teléfonos</v>
      </c>
      <c r="DK548" t="str">
        <v>262515 Teléfonos</v>
      </c>
      <c r="DL548" t="str">
        <v>262515 Teléfonos</v>
      </c>
      <c r="DM548" t="str">
        <v>262515 Teléfonos</v>
      </c>
      <c r="DN548" t="str">
        <v>262515 Teléfonos</v>
      </c>
      <c r="DO548" t="str">
        <v>262515 Teléfonos</v>
      </c>
      <c r="DP548" t="str">
        <v>262515 Teléfonos</v>
      </c>
    </row>
    <row r="549" spans="4:120" ht="12.75">
      <c r="D549" s="7">
        <v>262595</v>
      </c>
      <c r="E549" s="6" t="s">
        <v>45</v>
      </c>
      <c r="F549" s="5">
        <v>4</v>
      </c>
      <c r="G549" s="34" t="s">
        <v>824</v>
      </c>
      <c r="H549" s="26" t="s">
        <v>765</v>
      </c>
      <c r="I549" t="b">
        <f>+ISNUMBER(SEARCH('F-COMPRA'!$F$28,Tabla11[[#This Row],[Cuenta]],1))</f>
        <v>1</v>
      </c>
      <c r="J549" t="b">
        <f>+ISNUMBER(SEARCH('F-COMPRA'!$F$29,Tabla11[[#This Row],[Cuenta]],1))</f>
        <v>1</v>
      </c>
      <c r="K549" t="b">
        <f>+ISNUMBER(SEARCH('F-COMPRA'!$F$30,Tabla11[[#This Row],[Cuenta]],1))</f>
        <v>1</v>
      </c>
      <c r="L549" t="b">
        <f>+ISNUMBER(SEARCH('F-COMPRA'!$F$31,Tabla11[[#This Row],[Cuenta]],1))</f>
        <v>1</v>
      </c>
      <c r="M549" t="b">
        <f>+ISNUMBER(SEARCH('F-COMPRA'!$G$25,Tabla11[[#This Row],[Cuenta]],1))</f>
        <v>0</v>
      </c>
      <c r="N549" t="b">
        <f>+ISNUMBER(SEARCH(#REF!,Tabla11[[#This Row],[Cuenta]],1))</f>
        <v>0</v>
      </c>
      <c r="O549" t="b">
        <f>+ISNUMBER(SEARCH(#REF!,Tabla11[[#This Row],[Cuenta]],1))</f>
        <v>0</v>
      </c>
      <c r="P549" t="b">
        <f>+ISNUMBER(SEARCH('F-COMPRA'!$F$32,Tabla11[[#This Row],[Cuenta]],1))</f>
        <v>1</v>
      </c>
      <c r="Q549" t="b">
        <f>+ISNUMBER(SEARCH('F-COMPRA'!$F$33,Tabla11[[#This Row],[Cuenta]],1))</f>
        <v>1</v>
      </c>
      <c r="R549" t="b">
        <f>+ISNUMBER(SEARCH('F-COMPRA'!$F$34,Tabla11[[#This Row],[Cuenta]],1))</f>
        <v>1</v>
      </c>
      <c r="S549" t="b">
        <f>+ISNUMBER(SEARCH('F-COMPRA'!$F$35,Tabla11[[#This Row],[Cuenta]],1))</f>
        <v>1</v>
      </c>
      <c r="T549" t="b">
        <f>+ISNUMBER(SEARCH('F-COMPRA'!$F$36,Tabla11[[#This Row],[Cuenta]],1))</f>
        <v>1</v>
      </c>
      <c r="U549" t="b">
        <f>+ISNUMBER(SEARCH('F-COMPRA'!$F$37,Tabla11[[#This Row],[Cuenta]],1))</f>
        <v>1</v>
      </c>
      <c r="V549" t="b">
        <f>+ISNUMBER(SEARCH(#REF!,Tabla11[[#This Row],[Cuenta]],1))</f>
        <v>0</v>
      </c>
      <c r="W549" t="b">
        <f>+ISNUMBER(SEARCH('F-COMPRA'!#REF!,Tabla11[[#This Row],[Cuenta]],1))</f>
        <v>0</v>
      </c>
      <c r="X549" t="b">
        <f>+ISNUMBER(SEARCH('F-COMPRA'!#REF!,Tabla11[[#This Row],[Cuenta]],1))</f>
        <v>0</v>
      </c>
      <c r="Y549" t="b">
        <f>+ISNUMBER(SEARCH('F-COMPRA'!#REF!,Tabla11[[#This Row],[Cuenta]],1))</f>
        <v>0</v>
      </c>
      <c r="Z549" t="b">
        <f>+ISNUMBER(SEARCH('F-COMPRA'!#REF!,Tabla11[[#This Row],[Cuenta]],1))</f>
        <v>0</v>
      </c>
      <c r="AA549" t="b">
        <f>+ISNUMBER(SEARCH('F-COMPRA'!#REF!,Tabla11[[#This Row],[Cuenta]],1))</f>
        <v>0</v>
      </c>
      <c r="AB549" t="b">
        <f>+ISNUMBER(SEARCH('F-COMPRA'!#REF!,Tabla11[[#This Row],[Cuenta]],1))</f>
        <v>0</v>
      </c>
      <c r="AC549" t="b">
        <f>+ISNUMBER(SEARCH('F-COMPRA'!#REF!,Tabla11[[#This Row],[Cuenta]],1))</f>
        <v>0</v>
      </c>
      <c r="AD549" t="b">
        <f>+ISNUMBER(SEARCH('F-COMPRA'!#REF!,Tabla11[[#This Row],[Cuenta]],1))</f>
        <v>0</v>
      </c>
      <c r="AE549" t="b">
        <f>+ISNUMBER(SEARCH('F-COMPRA'!#REF!,Tabla11[[#This Row],[Cuenta]],1))</f>
        <v>0</v>
      </c>
      <c r="AF549" t="b">
        <f>+ISNUMBER(SEARCH('F-VTA'!$G$23,Tabla11[[#This Row],[Cuenta]],1))</f>
        <v>0</v>
      </c>
      <c r="AG549" t="b">
        <f>+ISNUMBER(SEARCH('F-VTA'!$G$24,Tabla11[[#This Row],[Cuenta]],1))</f>
        <v>0</v>
      </c>
      <c r="AH549" t="b">
        <f>+ISNUMBER(SEARCH('F-VTA'!$G$25,Tabla11[[#This Row],[Cuenta]],1))</f>
        <v>0</v>
      </c>
      <c r="AI549" t="b">
        <f>+ISNUMBER(SEARCH('F-VTA'!$F$28,Tabla11[[#This Row],[Cuenta]],1))</f>
        <v>1</v>
      </c>
      <c r="AJ549" t="b">
        <f>+ISNUMBER(SEARCH('F-VTA'!$F$29,Tabla11[[#This Row],[Cuenta]],1))</f>
        <v>1</v>
      </c>
      <c r="AK549" t="b">
        <f>+ISNUMBER(SEARCH('F-VTA'!$F$30,Tabla11[[#This Row],[Cuenta]],1))</f>
        <v>1</v>
      </c>
      <c r="AL549" t="b">
        <f>+ISNUMBER(SEARCH('F-VTA'!$F$31,Tabla11[[#This Row],[Cuenta]],1))</f>
        <v>1</v>
      </c>
      <c r="AM549" t="b">
        <f>+ISNUMBER(SEARCH('F-VTA'!$F$32,Tabla11[[#This Row],[Cuenta]],1))</f>
        <v>1</v>
      </c>
      <c r="AN549" t="b">
        <f>+ISNUMBER(SEARCH('F-VTA'!$F$33,Tabla11[[#This Row],[Cuenta]],1))</f>
        <v>1</v>
      </c>
      <c r="AO549" t="b">
        <f>+ISNUMBER(SEARCH('F-VTA'!$F$34,Tabla11[[#This Row],[Cuenta]],1))</f>
        <v>1</v>
      </c>
      <c r="AP549" t="b">
        <f>+ISNUMBER(SEARCH('F-VTA'!$F$35,Tabla11[[#This Row],[Cuenta]],1))</f>
        <v>1</v>
      </c>
      <c r="AQ549" t="b">
        <f>+ISNUMBER(SEARCH('F-VTA'!$F$36,Tabla11[[#This Row],[Cuenta]],1))</f>
        <v>1</v>
      </c>
      <c r="AR549" t="b">
        <f>+ISNUMBER(SEARCH(#REF!,Tabla11[[#This Row],[Cuenta]],1))</f>
        <v>0</v>
      </c>
      <c r="AS549" t="b">
        <f>+ISNUMBER(SEARCH(#REF!,Tabla11[[#This Row],[Cuenta]],1))</f>
        <v>0</v>
      </c>
      <c r="AT549" t="b">
        <f>+ISNUMBER(SEARCH(#REF!,Tabla11[[#This Row],[Cuenta]],1))</f>
        <v>0</v>
      </c>
      <c r="AU549" t="b">
        <f>+ISNUMBER(SEARCH('Conc. Ban.1'!$I$9,Tabla11[[#This Row],[Cuenta]],1))</f>
        <v>0</v>
      </c>
      <c r="AV549" t="b">
        <f>+ISNUMBER(SEARCH(CompConta!$F$21,Tabla11[[#This Row],[Cuenta]],1))</f>
        <v>1</v>
      </c>
      <c r="AW549" t="b">
        <f>+ISNUMBER(SEARCH(CompConta!$F$22,Tabla11[[#This Row],[Cuenta]],1))</f>
        <v>1</v>
      </c>
      <c r="AX549" t="b">
        <f>+ISNUMBER(SEARCH(CompConta!$F$23,Tabla11[[#This Row],[Cuenta]],1))</f>
        <v>1</v>
      </c>
      <c r="AY549" t="b">
        <f>+ISNUMBER(SEARCH(CompConta!$F$24,Tabla11[[#This Row],[Cuenta]],1))</f>
        <v>1</v>
      </c>
      <c r="AZ549" t="b">
        <f>+ISNUMBER(SEARCH(CompConta!$F$25,Tabla11[[#This Row],[Cuenta]],1))</f>
        <v>1</v>
      </c>
      <c r="BA549" t="b">
        <f>+ISNUMBER(SEARCH(CompConta!$F$26,Tabla11[[#This Row],[Cuenta]],1))</f>
        <v>1</v>
      </c>
      <c r="BB549" t="b">
        <f>+ISNUMBER(SEARCH(CompConta!$F$27,Tabla11[[#This Row],[Cuenta]],1))</f>
        <v>1</v>
      </c>
      <c r="BC549" t="b">
        <f>+ISNUMBER(SEARCH(CompConta!$F$28,Tabla11[[#This Row],[Cuenta]],1))</f>
        <v>1</v>
      </c>
      <c r="BD549" t="b">
        <f>+ISNUMBER(SEARCH(CompConta!$F$29,Tabla11[[#This Row],[Cuenta]],1))</f>
        <v>1</v>
      </c>
      <c r="BE549" t="b">
        <f>+ISNUMBER(SEARCH(CompConta!$F$30,Tabla11[[#This Row],[Cuenta]],1))</f>
        <v>1</v>
      </c>
      <c r="BF549" t="b">
        <f>+ISNUMBER(SEARCH('PAGO Compras'!$E$11,Tabla11[[#This Row],[Cuenta]],1))</f>
        <v>1</v>
      </c>
      <c r="BG549" t="b">
        <f>+ISNUMBER(SEARCH(#REF!,Tabla11[[#This Row],[Cuenta]],1))</f>
        <v>0</v>
      </c>
      <c r="BH549" t="b">
        <f>+ISNUMBER(SEARCH(#REF!,Tabla11[[#This Row],[Cuenta]],1))</f>
        <v>0</v>
      </c>
      <c r="BI549" t="b">
        <f>+ISNUMBER(SEARCH(#REF!,Tabla11[[#This Row],[Cuenta]],1))</f>
        <v>0</v>
      </c>
      <c r="BJ549" t="b">
        <f>+ISNUMBER(SEARCH(#REF!,Tabla11[[#This Row],[Cuenta]],1))</f>
        <v>0</v>
      </c>
      <c r="BS549" t="str">
        <v>262595 Otros</v>
      </c>
      <c r="BT549" t="str">
        <v>262595 Otros</v>
      </c>
      <c r="BU549" t="str">
        <v>262595 Otros</v>
      </c>
      <c r="BV549" t="str">
        <v>262595 Otros</v>
      </c>
      <c r="BZ549" t="str">
        <v>262595 Otros</v>
      </c>
      <c r="CA549" t="str">
        <v>262595 Otros</v>
      </c>
      <c r="CB549" t="str">
        <v>262595 Otros</v>
      </c>
      <c r="CC549" t="str">
        <v>262595 Otros</v>
      </c>
      <c r="CD549" t="str">
        <v>262595 Otros</v>
      </c>
      <c r="CE549" t="str">
        <v>262595 Otros</v>
      </c>
      <c r="CS549" s="141" t="str">
        <v>262595 Otros</v>
      </c>
      <c r="CT549" s="141" t="str">
        <v>262595 Otros</v>
      </c>
      <c r="CU549" s="141" t="str">
        <v>262595 Otros</v>
      </c>
      <c r="CV549" s="141" t="str">
        <v>262595 Otros</v>
      </c>
      <c r="CW549" s="141" t="str">
        <v>262595 Otros</v>
      </c>
      <c r="CX549" s="141" t="str">
        <v>262595 Otros</v>
      </c>
      <c r="CY549" s="141" t="str">
        <v>262595 Otros</v>
      </c>
      <c r="CZ549" s="141" t="str">
        <v>262595 Otros</v>
      </c>
      <c r="DA549" s="141" t="str">
        <v>262595 Otros</v>
      </c>
      <c r="DF549" t="str">
        <v>262595 Otros</v>
      </c>
      <c r="DG549" t="str">
        <v>262595 Otros</v>
      </c>
      <c r="DH549" t="str">
        <v>262595 Otros</v>
      </c>
      <c r="DI549" t="str">
        <v>262595 Otros</v>
      </c>
      <c r="DJ549" t="str">
        <v>262595 Otros</v>
      </c>
      <c r="DK549" t="str">
        <v>262595 Otros</v>
      </c>
      <c r="DL549" t="str">
        <v>262595 Otros</v>
      </c>
      <c r="DM549" t="str">
        <v>262595 Otros</v>
      </c>
      <c r="DN549" t="str">
        <v>262595 Otros</v>
      </c>
      <c r="DO549" t="str">
        <v>262595 Otros</v>
      </c>
      <c r="DP549" t="str">
        <v>262595 Otros</v>
      </c>
    </row>
    <row r="550" spans="4:120" ht="12.75">
      <c r="D550" s="7">
        <v>2630</v>
      </c>
      <c r="E550" s="6" t="s">
        <v>416</v>
      </c>
      <c r="F550" s="5">
        <v>3</v>
      </c>
      <c r="G550" s="34" t="s">
        <v>824</v>
      </c>
      <c r="H550" s="26" t="s">
        <v>765</v>
      </c>
      <c r="I550" t="b">
        <f>+ISNUMBER(SEARCH('F-COMPRA'!$F$28,Tabla11[[#This Row],[Cuenta]],1))</f>
        <v>1</v>
      </c>
      <c r="J550" t="b">
        <f>+ISNUMBER(SEARCH('F-COMPRA'!$F$29,Tabla11[[#This Row],[Cuenta]],1))</f>
        <v>1</v>
      </c>
      <c r="K550" t="b">
        <f>+ISNUMBER(SEARCH('F-COMPRA'!$F$30,Tabla11[[#This Row],[Cuenta]],1))</f>
        <v>1</v>
      </c>
      <c r="L550" t="b">
        <f>+ISNUMBER(SEARCH('F-COMPRA'!$F$31,Tabla11[[#This Row],[Cuenta]],1))</f>
        <v>1</v>
      </c>
      <c r="M550" t="b">
        <f>+ISNUMBER(SEARCH('F-COMPRA'!$G$25,Tabla11[[#This Row],[Cuenta]],1))</f>
        <v>0</v>
      </c>
      <c r="N550" t="b">
        <f>+ISNUMBER(SEARCH(#REF!,Tabla11[[#This Row],[Cuenta]],1))</f>
        <v>0</v>
      </c>
      <c r="O550" t="b">
        <f>+ISNUMBER(SEARCH(#REF!,Tabla11[[#This Row],[Cuenta]],1))</f>
        <v>0</v>
      </c>
      <c r="P550" t="b">
        <f>+ISNUMBER(SEARCH('F-COMPRA'!$F$32,Tabla11[[#This Row],[Cuenta]],1))</f>
        <v>1</v>
      </c>
      <c r="Q550" t="b">
        <f>+ISNUMBER(SEARCH('F-COMPRA'!$F$33,Tabla11[[#This Row],[Cuenta]],1))</f>
        <v>1</v>
      </c>
      <c r="R550" t="b">
        <f>+ISNUMBER(SEARCH('F-COMPRA'!$F$34,Tabla11[[#This Row],[Cuenta]],1))</f>
        <v>1</v>
      </c>
      <c r="S550" t="b">
        <f>+ISNUMBER(SEARCH('F-COMPRA'!$F$35,Tabla11[[#This Row],[Cuenta]],1))</f>
        <v>1</v>
      </c>
      <c r="T550" t="b">
        <f>+ISNUMBER(SEARCH('F-COMPRA'!$F$36,Tabla11[[#This Row],[Cuenta]],1))</f>
        <v>1</v>
      </c>
      <c r="U550" t="b">
        <f>+ISNUMBER(SEARCH('F-COMPRA'!$F$37,Tabla11[[#This Row],[Cuenta]],1))</f>
        <v>1</v>
      </c>
      <c r="V550" t="b">
        <f>+ISNUMBER(SEARCH(#REF!,Tabla11[[#This Row],[Cuenta]],1))</f>
        <v>0</v>
      </c>
      <c r="W550" t="b">
        <f>+ISNUMBER(SEARCH('F-COMPRA'!#REF!,Tabla11[[#This Row],[Cuenta]],1))</f>
        <v>0</v>
      </c>
      <c r="X550" t="b">
        <f>+ISNUMBER(SEARCH('F-COMPRA'!#REF!,Tabla11[[#This Row],[Cuenta]],1))</f>
        <v>0</v>
      </c>
      <c r="Y550" t="b">
        <f>+ISNUMBER(SEARCH('F-COMPRA'!#REF!,Tabla11[[#This Row],[Cuenta]],1))</f>
        <v>0</v>
      </c>
      <c r="Z550" t="b">
        <f>+ISNUMBER(SEARCH('F-COMPRA'!#REF!,Tabla11[[#This Row],[Cuenta]],1))</f>
        <v>0</v>
      </c>
      <c r="AA550" t="b">
        <f>+ISNUMBER(SEARCH('F-COMPRA'!#REF!,Tabla11[[#This Row],[Cuenta]],1))</f>
        <v>0</v>
      </c>
      <c r="AB550" t="b">
        <f>+ISNUMBER(SEARCH('F-COMPRA'!#REF!,Tabla11[[#This Row],[Cuenta]],1))</f>
        <v>0</v>
      </c>
      <c r="AC550" t="b">
        <f>+ISNUMBER(SEARCH('F-COMPRA'!#REF!,Tabla11[[#This Row],[Cuenta]],1))</f>
        <v>0</v>
      </c>
      <c r="AD550" t="b">
        <f>+ISNUMBER(SEARCH('F-COMPRA'!#REF!,Tabla11[[#This Row],[Cuenta]],1))</f>
        <v>0</v>
      </c>
      <c r="AE550" t="b">
        <f>+ISNUMBER(SEARCH('F-COMPRA'!#REF!,Tabla11[[#This Row],[Cuenta]],1))</f>
        <v>0</v>
      </c>
      <c r="AF550" t="b">
        <f>+ISNUMBER(SEARCH('F-VTA'!$G$23,Tabla11[[#This Row],[Cuenta]],1))</f>
        <v>0</v>
      </c>
      <c r="AG550" t="b">
        <f>+ISNUMBER(SEARCH('F-VTA'!$G$24,Tabla11[[#This Row],[Cuenta]],1))</f>
        <v>0</v>
      </c>
      <c r="AH550" t="b">
        <f>+ISNUMBER(SEARCH('F-VTA'!$G$25,Tabla11[[#This Row],[Cuenta]],1))</f>
        <v>0</v>
      </c>
      <c r="AI550" t="b">
        <f>+ISNUMBER(SEARCH('F-VTA'!$F$28,Tabla11[[#This Row],[Cuenta]],1))</f>
        <v>1</v>
      </c>
      <c r="AJ550" t="b">
        <f>+ISNUMBER(SEARCH('F-VTA'!$F$29,Tabla11[[#This Row],[Cuenta]],1))</f>
        <v>1</v>
      </c>
      <c r="AK550" t="b">
        <f>+ISNUMBER(SEARCH('F-VTA'!$F$30,Tabla11[[#This Row],[Cuenta]],1))</f>
        <v>1</v>
      </c>
      <c r="AL550" t="b">
        <f>+ISNUMBER(SEARCH('F-VTA'!$F$31,Tabla11[[#This Row],[Cuenta]],1))</f>
        <v>1</v>
      </c>
      <c r="AM550" t="b">
        <f>+ISNUMBER(SEARCH('F-VTA'!$F$32,Tabla11[[#This Row],[Cuenta]],1))</f>
        <v>1</v>
      </c>
      <c r="AN550" t="b">
        <f>+ISNUMBER(SEARCH('F-VTA'!$F$33,Tabla11[[#This Row],[Cuenta]],1))</f>
        <v>1</v>
      </c>
      <c r="AO550" t="b">
        <f>+ISNUMBER(SEARCH('F-VTA'!$F$34,Tabla11[[#This Row],[Cuenta]],1))</f>
        <v>1</v>
      </c>
      <c r="AP550" t="b">
        <f>+ISNUMBER(SEARCH('F-VTA'!$F$35,Tabla11[[#This Row],[Cuenta]],1))</f>
        <v>1</v>
      </c>
      <c r="AQ550" t="b">
        <f>+ISNUMBER(SEARCH('F-VTA'!$F$36,Tabla11[[#This Row],[Cuenta]],1))</f>
        <v>1</v>
      </c>
      <c r="AR550" t="b">
        <f>+ISNUMBER(SEARCH(#REF!,Tabla11[[#This Row],[Cuenta]],1))</f>
        <v>0</v>
      </c>
      <c r="AS550" t="b">
        <f>+ISNUMBER(SEARCH(#REF!,Tabla11[[#This Row],[Cuenta]],1))</f>
        <v>0</v>
      </c>
      <c r="AT550" t="b">
        <f>+ISNUMBER(SEARCH(#REF!,Tabla11[[#This Row],[Cuenta]],1))</f>
        <v>0</v>
      </c>
      <c r="AU550" t="b">
        <f>+ISNUMBER(SEARCH('Conc. Ban.1'!$I$9,Tabla11[[#This Row],[Cuenta]],1))</f>
        <v>0</v>
      </c>
      <c r="AV550" t="b">
        <f>+ISNUMBER(SEARCH(CompConta!$F$21,Tabla11[[#This Row],[Cuenta]],1))</f>
        <v>1</v>
      </c>
      <c r="AW550" t="b">
        <f>+ISNUMBER(SEARCH(CompConta!$F$22,Tabla11[[#This Row],[Cuenta]],1))</f>
        <v>1</v>
      </c>
      <c r="AX550" t="b">
        <f>+ISNUMBER(SEARCH(CompConta!$F$23,Tabla11[[#This Row],[Cuenta]],1))</f>
        <v>1</v>
      </c>
      <c r="AY550" t="b">
        <f>+ISNUMBER(SEARCH(CompConta!$F$24,Tabla11[[#This Row],[Cuenta]],1))</f>
        <v>1</v>
      </c>
      <c r="AZ550" t="b">
        <f>+ISNUMBER(SEARCH(CompConta!$F$25,Tabla11[[#This Row],[Cuenta]],1))</f>
        <v>1</v>
      </c>
      <c r="BA550" t="b">
        <f>+ISNUMBER(SEARCH(CompConta!$F$26,Tabla11[[#This Row],[Cuenta]],1))</f>
        <v>1</v>
      </c>
      <c r="BB550" t="b">
        <f>+ISNUMBER(SEARCH(CompConta!$F$27,Tabla11[[#This Row],[Cuenta]],1))</f>
        <v>1</v>
      </c>
      <c r="BC550" t="b">
        <f>+ISNUMBER(SEARCH(CompConta!$F$28,Tabla11[[#This Row],[Cuenta]],1))</f>
        <v>1</v>
      </c>
      <c r="BD550" t="b">
        <f>+ISNUMBER(SEARCH(CompConta!$F$29,Tabla11[[#This Row],[Cuenta]],1))</f>
        <v>1</v>
      </c>
      <c r="BE550" t="b">
        <f>+ISNUMBER(SEARCH(CompConta!$F$30,Tabla11[[#This Row],[Cuenta]],1))</f>
        <v>1</v>
      </c>
      <c r="BF550" t="b">
        <f>+ISNUMBER(SEARCH('PAGO Compras'!$E$11,Tabla11[[#This Row],[Cuenta]],1))</f>
        <v>1</v>
      </c>
      <c r="BG550" t="b">
        <f>+ISNUMBER(SEARCH(#REF!,Tabla11[[#This Row],[Cuenta]],1))</f>
        <v>0</v>
      </c>
      <c r="BH550" t="b">
        <f>+ISNUMBER(SEARCH(#REF!,Tabla11[[#This Row],[Cuenta]],1))</f>
        <v>0</v>
      </c>
      <c r="BI550" t="b">
        <f>+ISNUMBER(SEARCH(#REF!,Tabla11[[#This Row],[Cuenta]],1))</f>
        <v>0</v>
      </c>
      <c r="BJ550" t="b">
        <f>+ISNUMBER(SEARCH(#REF!,Tabla11[[#This Row],[Cuenta]],1))</f>
        <v>0</v>
      </c>
      <c r="BS550" t="str">
        <v>2630 PARA MANTENIMIENTO Y REPARACIONES</v>
      </c>
      <c r="BT550" t="str">
        <v>2630 PARA MANTENIMIENTO Y REPARACIONES</v>
      </c>
      <c r="BU550" t="str">
        <v>2630 PARA MANTENIMIENTO Y REPARACIONES</v>
      </c>
      <c r="BV550" t="str">
        <v>2630 PARA MANTENIMIENTO Y REPARACIONES</v>
      </c>
      <c r="BZ550" t="str">
        <v>2630 PARA MANTENIMIENTO Y REPARACIONES</v>
      </c>
      <c r="CA550" t="str">
        <v>2630 PARA MANTENIMIENTO Y REPARACIONES</v>
      </c>
      <c r="CB550" t="str">
        <v>2630 PARA MANTENIMIENTO Y REPARACIONES</v>
      </c>
      <c r="CC550" t="str">
        <v>2630 PARA MANTENIMIENTO Y REPARACIONES</v>
      </c>
      <c r="CD550" t="str">
        <v>2630 PARA MANTENIMIENTO Y REPARACIONES</v>
      </c>
      <c r="CE550" t="str">
        <v>2630 PARA MANTENIMIENTO Y REPARACIONES</v>
      </c>
      <c r="CS550" s="141" t="str">
        <v>2630 PARA MANTENIMIENTO Y REPARACIONES</v>
      </c>
      <c r="CT550" s="141" t="str">
        <v>2630 PARA MANTENIMIENTO Y REPARACIONES</v>
      </c>
      <c r="CU550" s="141" t="str">
        <v>2630 PARA MANTENIMIENTO Y REPARACIONES</v>
      </c>
      <c r="CV550" s="141" t="str">
        <v>2630 PARA MANTENIMIENTO Y REPARACIONES</v>
      </c>
      <c r="CW550" s="141" t="str">
        <v>2630 PARA MANTENIMIENTO Y REPARACIONES</v>
      </c>
      <c r="CX550" s="141" t="str">
        <v>2630 PARA MANTENIMIENTO Y REPARACIONES</v>
      </c>
      <c r="CY550" s="141" t="str">
        <v>2630 PARA MANTENIMIENTO Y REPARACIONES</v>
      </c>
      <c r="CZ550" s="141" t="str">
        <v>2630 PARA MANTENIMIENTO Y REPARACIONES</v>
      </c>
      <c r="DA550" s="141" t="str">
        <v>2630 PARA MANTENIMIENTO Y REPARACIONES</v>
      </c>
      <c r="DF550" t="str">
        <v>2630 PARA MANTENIMIENTO Y REPARACIONES</v>
      </c>
      <c r="DG550" t="str">
        <v>2630 PARA MANTENIMIENTO Y REPARACIONES</v>
      </c>
      <c r="DH550" t="str">
        <v>2630 PARA MANTENIMIENTO Y REPARACIONES</v>
      </c>
      <c r="DI550" t="str">
        <v>2630 PARA MANTENIMIENTO Y REPARACIONES</v>
      </c>
      <c r="DJ550" t="str">
        <v>2630 PARA MANTENIMIENTO Y REPARACIONES</v>
      </c>
      <c r="DK550" t="str">
        <v>2630 PARA MANTENIMIENTO Y REPARACIONES</v>
      </c>
      <c r="DL550" t="str">
        <v>2630 PARA MANTENIMIENTO Y REPARACIONES</v>
      </c>
      <c r="DM550" t="str">
        <v>2630 PARA MANTENIMIENTO Y REPARACIONES</v>
      </c>
      <c r="DN550" t="str">
        <v>2630 PARA MANTENIMIENTO Y REPARACIONES</v>
      </c>
      <c r="DO550" t="str">
        <v>2630 PARA MANTENIMIENTO Y REPARACIONES</v>
      </c>
      <c r="DP550" t="str">
        <v>2630 PARA MANTENIMIENTO Y REPARACIONES</v>
      </c>
    </row>
    <row r="551" spans="4:120" ht="12.75">
      <c r="D551" s="7">
        <v>263005</v>
      </c>
      <c r="E551" s="6" t="s">
        <v>223</v>
      </c>
      <c r="F551" s="5">
        <v>4</v>
      </c>
      <c r="G551" s="34" t="s">
        <v>824</v>
      </c>
      <c r="H551" s="26" t="s">
        <v>765</v>
      </c>
      <c r="I551" t="b">
        <f>+ISNUMBER(SEARCH('F-COMPRA'!$F$28,Tabla11[[#This Row],[Cuenta]],1))</f>
        <v>1</v>
      </c>
      <c r="J551" t="b">
        <f>+ISNUMBER(SEARCH('F-COMPRA'!$F$29,Tabla11[[#This Row],[Cuenta]],1))</f>
        <v>1</v>
      </c>
      <c r="K551" t="b">
        <f>+ISNUMBER(SEARCH('F-COMPRA'!$F$30,Tabla11[[#This Row],[Cuenta]],1))</f>
        <v>1</v>
      </c>
      <c r="L551" t="b">
        <f>+ISNUMBER(SEARCH('F-COMPRA'!$F$31,Tabla11[[#This Row],[Cuenta]],1))</f>
        <v>1</v>
      </c>
      <c r="M551" t="b">
        <f>+ISNUMBER(SEARCH('F-COMPRA'!$G$25,Tabla11[[#This Row],[Cuenta]],1))</f>
        <v>0</v>
      </c>
      <c r="N551" t="b">
        <f>+ISNUMBER(SEARCH(#REF!,Tabla11[[#This Row],[Cuenta]],1))</f>
        <v>0</v>
      </c>
      <c r="O551" t="b">
        <f>+ISNUMBER(SEARCH(#REF!,Tabla11[[#This Row],[Cuenta]],1))</f>
        <v>0</v>
      </c>
      <c r="P551" t="b">
        <f>+ISNUMBER(SEARCH('F-COMPRA'!$F$32,Tabla11[[#This Row],[Cuenta]],1))</f>
        <v>1</v>
      </c>
      <c r="Q551" t="b">
        <f>+ISNUMBER(SEARCH('F-COMPRA'!$F$33,Tabla11[[#This Row],[Cuenta]],1))</f>
        <v>1</v>
      </c>
      <c r="R551" t="b">
        <f>+ISNUMBER(SEARCH('F-COMPRA'!$F$34,Tabla11[[#This Row],[Cuenta]],1))</f>
        <v>1</v>
      </c>
      <c r="S551" t="b">
        <f>+ISNUMBER(SEARCH('F-COMPRA'!$F$35,Tabla11[[#This Row],[Cuenta]],1))</f>
        <v>1</v>
      </c>
      <c r="T551" t="b">
        <f>+ISNUMBER(SEARCH('F-COMPRA'!$F$36,Tabla11[[#This Row],[Cuenta]],1))</f>
        <v>1</v>
      </c>
      <c r="U551" t="b">
        <f>+ISNUMBER(SEARCH('F-COMPRA'!$F$37,Tabla11[[#This Row],[Cuenta]],1))</f>
        <v>1</v>
      </c>
      <c r="V551" t="b">
        <f>+ISNUMBER(SEARCH(#REF!,Tabla11[[#This Row],[Cuenta]],1))</f>
        <v>0</v>
      </c>
      <c r="W551" t="b">
        <f>+ISNUMBER(SEARCH('F-COMPRA'!#REF!,Tabla11[[#This Row],[Cuenta]],1))</f>
        <v>0</v>
      </c>
      <c r="X551" t="b">
        <f>+ISNUMBER(SEARCH('F-COMPRA'!#REF!,Tabla11[[#This Row],[Cuenta]],1))</f>
        <v>0</v>
      </c>
      <c r="Y551" t="b">
        <f>+ISNUMBER(SEARCH('F-COMPRA'!#REF!,Tabla11[[#This Row],[Cuenta]],1))</f>
        <v>0</v>
      </c>
      <c r="Z551" t="b">
        <f>+ISNUMBER(SEARCH('F-COMPRA'!#REF!,Tabla11[[#This Row],[Cuenta]],1))</f>
        <v>0</v>
      </c>
      <c r="AA551" t="b">
        <f>+ISNUMBER(SEARCH('F-COMPRA'!#REF!,Tabla11[[#This Row],[Cuenta]],1))</f>
        <v>0</v>
      </c>
      <c r="AB551" t="b">
        <f>+ISNUMBER(SEARCH('F-COMPRA'!#REF!,Tabla11[[#This Row],[Cuenta]],1))</f>
        <v>0</v>
      </c>
      <c r="AC551" t="b">
        <f>+ISNUMBER(SEARCH('F-COMPRA'!#REF!,Tabla11[[#This Row],[Cuenta]],1))</f>
        <v>0</v>
      </c>
      <c r="AD551" t="b">
        <f>+ISNUMBER(SEARCH('F-COMPRA'!#REF!,Tabla11[[#This Row],[Cuenta]],1))</f>
        <v>0</v>
      </c>
      <c r="AE551" t="b">
        <f>+ISNUMBER(SEARCH('F-COMPRA'!#REF!,Tabla11[[#This Row],[Cuenta]],1))</f>
        <v>0</v>
      </c>
      <c r="AF551" t="b">
        <f>+ISNUMBER(SEARCH('F-VTA'!$G$23,Tabla11[[#This Row],[Cuenta]],1))</f>
        <v>0</v>
      </c>
      <c r="AG551" t="b">
        <f>+ISNUMBER(SEARCH('F-VTA'!$G$24,Tabla11[[#This Row],[Cuenta]],1))</f>
        <v>0</v>
      </c>
      <c r="AH551" t="b">
        <f>+ISNUMBER(SEARCH('F-VTA'!$G$25,Tabla11[[#This Row],[Cuenta]],1))</f>
        <v>0</v>
      </c>
      <c r="AI551" t="b">
        <f>+ISNUMBER(SEARCH('F-VTA'!$F$28,Tabla11[[#This Row],[Cuenta]],1))</f>
        <v>1</v>
      </c>
      <c r="AJ551" t="b">
        <f>+ISNUMBER(SEARCH('F-VTA'!$F$29,Tabla11[[#This Row],[Cuenta]],1))</f>
        <v>1</v>
      </c>
      <c r="AK551" t="b">
        <f>+ISNUMBER(SEARCH('F-VTA'!$F$30,Tabla11[[#This Row],[Cuenta]],1))</f>
        <v>1</v>
      </c>
      <c r="AL551" t="b">
        <f>+ISNUMBER(SEARCH('F-VTA'!$F$31,Tabla11[[#This Row],[Cuenta]],1))</f>
        <v>1</v>
      </c>
      <c r="AM551" t="b">
        <f>+ISNUMBER(SEARCH('F-VTA'!$F$32,Tabla11[[#This Row],[Cuenta]],1))</f>
        <v>1</v>
      </c>
      <c r="AN551" t="b">
        <f>+ISNUMBER(SEARCH('F-VTA'!$F$33,Tabla11[[#This Row],[Cuenta]],1))</f>
        <v>1</v>
      </c>
      <c r="AO551" t="b">
        <f>+ISNUMBER(SEARCH('F-VTA'!$F$34,Tabla11[[#This Row],[Cuenta]],1))</f>
        <v>1</v>
      </c>
      <c r="AP551" t="b">
        <f>+ISNUMBER(SEARCH('F-VTA'!$F$35,Tabla11[[#This Row],[Cuenta]],1))</f>
        <v>1</v>
      </c>
      <c r="AQ551" t="b">
        <f>+ISNUMBER(SEARCH('F-VTA'!$F$36,Tabla11[[#This Row],[Cuenta]],1))</f>
        <v>1</v>
      </c>
      <c r="AR551" t="b">
        <f>+ISNUMBER(SEARCH(#REF!,Tabla11[[#This Row],[Cuenta]],1))</f>
        <v>0</v>
      </c>
      <c r="AS551" t="b">
        <f>+ISNUMBER(SEARCH(#REF!,Tabla11[[#This Row],[Cuenta]],1))</f>
        <v>0</v>
      </c>
      <c r="AT551" t="b">
        <f>+ISNUMBER(SEARCH(#REF!,Tabla11[[#This Row],[Cuenta]],1))</f>
        <v>0</v>
      </c>
      <c r="AU551" t="b">
        <f>+ISNUMBER(SEARCH('Conc. Ban.1'!$I$9,Tabla11[[#This Row],[Cuenta]],1))</f>
        <v>0</v>
      </c>
      <c r="AV551" t="b">
        <f>+ISNUMBER(SEARCH(CompConta!$F$21,Tabla11[[#This Row],[Cuenta]],1))</f>
        <v>1</v>
      </c>
      <c r="AW551" t="b">
        <f>+ISNUMBER(SEARCH(CompConta!$F$22,Tabla11[[#This Row],[Cuenta]],1))</f>
        <v>1</v>
      </c>
      <c r="AX551" t="b">
        <f>+ISNUMBER(SEARCH(CompConta!$F$23,Tabla11[[#This Row],[Cuenta]],1))</f>
        <v>1</v>
      </c>
      <c r="AY551" t="b">
        <f>+ISNUMBER(SEARCH(CompConta!$F$24,Tabla11[[#This Row],[Cuenta]],1))</f>
        <v>1</v>
      </c>
      <c r="AZ551" t="b">
        <f>+ISNUMBER(SEARCH(CompConta!$F$25,Tabla11[[#This Row],[Cuenta]],1))</f>
        <v>1</v>
      </c>
      <c r="BA551" t="b">
        <f>+ISNUMBER(SEARCH(CompConta!$F$26,Tabla11[[#This Row],[Cuenta]],1))</f>
        <v>1</v>
      </c>
      <c r="BB551" t="b">
        <f>+ISNUMBER(SEARCH(CompConta!$F$27,Tabla11[[#This Row],[Cuenta]],1))</f>
        <v>1</v>
      </c>
      <c r="BC551" t="b">
        <f>+ISNUMBER(SEARCH(CompConta!$F$28,Tabla11[[#This Row],[Cuenta]],1))</f>
        <v>1</v>
      </c>
      <c r="BD551" t="b">
        <f>+ISNUMBER(SEARCH(CompConta!$F$29,Tabla11[[#This Row],[Cuenta]],1))</f>
        <v>1</v>
      </c>
      <c r="BE551" t="b">
        <f>+ISNUMBER(SEARCH(CompConta!$F$30,Tabla11[[#This Row],[Cuenta]],1))</f>
        <v>1</v>
      </c>
      <c r="BF551" t="b">
        <f>+ISNUMBER(SEARCH('PAGO Compras'!$E$11,Tabla11[[#This Row],[Cuenta]],1))</f>
        <v>1</v>
      </c>
      <c r="BG551" t="b">
        <f>+ISNUMBER(SEARCH(#REF!,Tabla11[[#This Row],[Cuenta]],1))</f>
        <v>0</v>
      </c>
      <c r="BH551" t="b">
        <f>+ISNUMBER(SEARCH(#REF!,Tabla11[[#This Row],[Cuenta]],1))</f>
        <v>0</v>
      </c>
      <c r="BI551" t="b">
        <f>+ISNUMBER(SEARCH(#REF!,Tabla11[[#This Row],[Cuenta]],1))</f>
        <v>0</v>
      </c>
      <c r="BJ551" t="b">
        <f>+ISNUMBER(SEARCH(#REF!,Tabla11[[#This Row],[Cuenta]],1))</f>
        <v>0</v>
      </c>
      <c r="BS551" t="str">
        <v>263005 Terrenos</v>
      </c>
      <c r="BT551" t="str">
        <v>263005 Terrenos</v>
      </c>
      <c r="BU551" t="str">
        <v>263005 Terrenos</v>
      </c>
      <c r="BV551" t="str">
        <v>263005 Terrenos</v>
      </c>
      <c r="BZ551" t="str">
        <v>263005 Terrenos</v>
      </c>
      <c r="CA551" t="str">
        <v>263005 Terrenos</v>
      </c>
      <c r="CB551" t="str">
        <v>263005 Terrenos</v>
      </c>
      <c r="CC551" t="str">
        <v>263005 Terrenos</v>
      </c>
      <c r="CD551" t="str">
        <v>263005 Terrenos</v>
      </c>
      <c r="CE551" t="str">
        <v>263005 Terrenos</v>
      </c>
      <c r="CS551" s="141" t="str">
        <v>263005 Terrenos</v>
      </c>
      <c r="CT551" s="141" t="str">
        <v>263005 Terrenos</v>
      </c>
      <c r="CU551" s="141" t="str">
        <v>263005 Terrenos</v>
      </c>
      <c r="CV551" s="141" t="str">
        <v>263005 Terrenos</v>
      </c>
      <c r="CW551" s="141" t="str">
        <v>263005 Terrenos</v>
      </c>
      <c r="CX551" s="141" t="str">
        <v>263005 Terrenos</v>
      </c>
      <c r="CY551" s="141" t="str">
        <v>263005 Terrenos</v>
      </c>
      <c r="CZ551" s="141" t="str">
        <v>263005 Terrenos</v>
      </c>
      <c r="DA551" s="141" t="str">
        <v>263005 Terrenos</v>
      </c>
      <c r="DF551" t="str">
        <v>263005 Terrenos</v>
      </c>
      <c r="DG551" t="str">
        <v>263005 Terrenos</v>
      </c>
      <c r="DH551" t="str">
        <v>263005 Terrenos</v>
      </c>
      <c r="DI551" t="str">
        <v>263005 Terrenos</v>
      </c>
      <c r="DJ551" t="str">
        <v>263005 Terrenos</v>
      </c>
      <c r="DK551" t="str">
        <v>263005 Terrenos</v>
      </c>
      <c r="DL551" t="str">
        <v>263005 Terrenos</v>
      </c>
      <c r="DM551" t="str">
        <v>263005 Terrenos</v>
      </c>
      <c r="DN551" t="str">
        <v>263005 Terrenos</v>
      </c>
      <c r="DO551" t="str">
        <v>263005 Terrenos</v>
      </c>
      <c r="DP551" t="str">
        <v>263005 Terrenos</v>
      </c>
    </row>
    <row r="552" spans="4:120" ht="12.75">
      <c r="D552" s="7">
        <v>263010</v>
      </c>
      <c r="E552" s="6" t="s">
        <v>121</v>
      </c>
      <c r="F552" s="5">
        <v>4</v>
      </c>
      <c r="G552" s="34" t="s">
        <v>824</v>
      </c>
      <c r="H552" s="26" t="s">
        <v>765</v>
      </c>
      <c r="I552" t="b">
        <f>+ISNUMBER(SEARCH('F-COMPRA'!$F$28,Tabla11[[#This Row],[Cuenta]],1))</f>
        <v>1</v>
      </c>
      <c r="J552" t="b">
        <f>+ISNUMBER(SEARCH('F-COMPRA'!$F$29,Tabla11[[#This Row],[Cuenta]],1))</f>
        <v>1</v>
      </c>
      <c r="K552" t="b">
        <f>+ISNUMBER(SEARCH('F-COMPRA'!$F$30,Tabla11[[#This Row],[Cuenta]],1))</f>
        <v>1</v>
      </c>
      <c r="L552" t="b">
        <f>+ISNUMBER(SEARCH('F-COMPRA'!$F$31,Tabla11[[#This Row],[Cuenta]],1))</f>
        <v>1</v>
      </c>
      <c r="M552" t="b">
        <f>+ISNUMBER(SEARCH('F-COMPRA'!$G$25,Tabla11[[#This Row],[Cuenta]],1))</f>
        <v>0</v>
      </c>
      <c r="N552" t="b">
        <f>+ISNUMBER(SEARCH(#REF!,Tabla11[[#This Row],[Cuenta]],1))</f>
        <v>0</v>
      </c>
      <c r="O552" t="b">
        <f>+ISNUMBER(SEARCH(#REF!,Tabla11[[#This Row],[Cuenta]],1))</f>
        <v>0</v>
      </c>
      <c r="P552" t="b">
        <f>+ISNUMBER(SEARCH('F-COMPRA'!$F$32,Tabla11[[#This Row],[Cuenta]],1))</f>
        <v>1</v>
      </c>
      <c r="Q552" t="b">
        <f>+ISNUMBER(SEARCH('F-COMPRA'!$F$33,Tabla11[[#This Row],[Cuenta]],1))</f>
        <v>1</v>
      </c>
      <c r="R552" t="b">
        <f>+ISNUMBER(SEARCH('F-COMPRA'!$F$34,Tabla11[[#This Row],[Cuenta]],1))</f>
        <v>1</v>
      </c>
      <c r="S552" t="b">
        <f>+ISNUMBER(SEARCH('F-COMPRA'!$F$35,Tabla11[[#This Row],[Cuenta]],1))</f>
        <v>1</v>
      </c>
      <c r="T552" t="b">
        <f>+ISNUMBER(SEARCH('F-COMPRA'!$F$36,Tabla11[[#This Row],[Cuenta]],1))</f>
        <v>1</v>
      </c>
      <c r="U552" t="b">
        <f>+ISNUMBER(SEARCH('F-COMPRA'!$F$37,Tabla11[[#This Row],[Cuenta]],1))</f>
        <v>1</v>
      </c>
      <c r="V552" t="b">
        <f>+ISNUMBER(SEARCH(#REF!,Tabla11[[#This Row],[Cuenta]],1))</f>
        <v>0</v>
      </c>
      <c r="W552" t="b">
        <f>+ISNUMBER(SEARCH('F-COMPRA'!#REF!,Tabla11[[#This Row],[Cuenta]],1))</f>
        <v>0</v>
      </c>
      <c r="X552" t="b">
        <f>+ISNUMBER(SEARCH('F-COMPRA'!#REF!,Tabla11[[#This Row],[Cuenta]],1))</f>
        <v>0</v>
      </c>
      <c r="Y552" t="b">
        <f>+ISNUMBER(SEARCH('F-COMPRA'!#REF!,Tabla11[[#This Row],[Cuenta]],1))</f>
        <v>0</v>
      </c>
      <c r="Z552" t="b">
        <f>+ISNUMBER(SEARCH('F-COMPRA'!#REF!,Tabla11[[#This Row],[Cuenta]],1))</f>
        <v>0</v>
      </c>
      <c r="AA552" t="b">
        <f>+ISNUMBER(SEARCH('F-COMPRA'!#REF!,Tabla11[[#This Row],[Cuenta]],1))</f>
        <v>0</v>
      </c>
      <c r="AB552" t="b">
        <f>+ISNUMBER(SEARCH('F-COMPRA'!#REF!,Tabla11[[#This Row],[Cuenta]],1))</f>
        <v>0</v>
      </c>
      <c r="AC552" t="b">
        <f>+ISNUMBER(SEARCH('F-COMPRA'!#REF!,Tabla11[[#This Row],[Cuenta]],1))</f>
        <v>0</v>
      </c>
      <c r="AD552" t="b">
        <f>+ISNUMBER(SEARCH('F-COMPRA'!#REF!,Tabla11[[#This Row],[Cuenta]],1))</f>
        <v>0</v>
      </c>
      <c r="AE552" t="b">
        <f>+ISNUMBER(SEARCH('F-COMPRA'!#REF!,Tabla11[[#This Row],[Cuenta]],1))</f>
        <v>0</v>
      </c>
      <c r="AF552" t="b">
        <f>+ISNUMBER(SEARCH('F-VTA'!$G$23,Tabla11[[#This Row],[Cuenta]],1))</f>
        <v>0</v>
      </c>
      <c r="AG552" t="b">
        <f>+ISNUMBER(SEARCH('F-VTA'!$G$24,Tabla11[[#This Row],[Cuenta]],1))</f>
        <v>0</v>
      </c>
      <c r="AH552" t="b">
        <f>+ISNUMBER(SEARCH('F-VTA'!$G$25,Tabla11[[#This Row],[Cuenta]],1))</f>
        <v>0</v>
      </c>
      <c r="AI552" t="b">
        <f>+ISNUMBER(SEARCH('F-VTA'!$F$28,Tabla11[[#This Row],[Cuenta]],1))</f>
        <v>1</v>
      </c>
      <c r="AJ552" t="b">
        <f>+ISNUMBER(SEARCH('F-VTA'!$F$29,Tabla11[[#This Row],[Cuenta]],1))</f>
        <v>1</v>
      </c>
      <c r="AK552" t="b">
        <f>+ISNUMBER(SEARCH('F-VTA'!$F$30,Tabla11[[#This Row],[Cuenta]],1))</f>
        <v>1</v>
      </c>
      <c r="AL552" t="b">
        <f>+ISNUMBER(SEARCH('F-VTA'!$F$31,Tabla11[[#This Row],[Cuenta]],1))</f>
        <v>1</v>
      </c>
      <c r="AM552" t="b">
        <f>+ISNUMBER(SEARCH('F-VTA'!$F$32,Tabla11[[#This Row],[Cuenta]],1))</f>
        <v>1</v>
      </c>
      <c r="AN552" t="b">
        <f>+ISNUMBER(SEARCH('F-VTA'!$F$33,Tabla11[[#This Row],[Cuenta]],1))</f>
        <v>1</v>
      </c>
      <c r="AO552" t="b">
        <f>+ISNUMBER(SEARCH('F-VTA'!$F$34,Tabla11[[#This Row],[Cuenta]],1))</f>
        <v>1</v>
      </c>
      <c r="AP552" t="b">
        <f>+ISNUMBER(SEARCH('F-VTA'!$F$35,Tabla11[[#This Row],[Cuenta]],1))</f>
        <v>1</v>
      </c>
      <c r="AQ552" t="b">
        <f>+ISNUMBER(SEARCH('F-VTA'!$F$36,Tabla11[[#This Row],[Cuenta]],1))</f>
        <v>1</v>
      </c>
      <c r="AR552" t="b">
        <f>+ISNUMBER(SEARCH(#REF!,Tabla11[[#This Row],[Cuenta]],1))</f>
        <v>0</v>
      </c>
      <c r="AS552" t="b">
        <f>+ISNUMBER(SEARCH(#REF!,Tabla11[[#This Row],[Cuenta]],1))</f>
        <v>0</v>
      </c>
      <c r="AT552" t="b">
        <f>+ISNUMBER(SEARCH(#REF!,Tabla11[[#This Row],[Cuenta]],1))</f>
        <v>0</v>
      </c>
      <c r="AU552" t="b">
        <f>+ISNUMBER(SEARCH('Conc. Ban.1'!$I$9,Tabla11[[#This Row],[Cuenta]],1))</f>
        <v>0</v>
      </c>
      <c r="AV552" t="b">
        <f>+ISNUMBER(SEARCH(CompConta!$F$21,Tabla11[[#This Row],[Cuenta]],1))</f>
        <v>1</v>
      </c>
      <c r="AW552" t="b">
        <f>+ISNUMBER(SEARCH(CompConta!$F$22,Tabla11[[#This Row],[Cuenta]],1))</f>
        <v>1</v>
      </c>
      <c r="AX552" t="b">
        <f>+ISNUMBER(SEARCH(CompConta!$F$23,Tabla11[[#This Row],[Cuenta]],1))</f>
        <v>1</v>
      </c>
      <c r="AY552" t="b">
        <f>+ISNUMBER(SEARCH(CompConta!$F$24,Tabla11[[#This Row],[Cuenta]],1))</f>
        <v>1</v>
      </c>
      <c r="AZ552" t="b">
        <f>+ISNUMBER(SEARCH(CompConta!$F$25,Tabla11[[#This Row],[Cuenta]],1))</f>
        <v>1</v>
      </c>
      <c r="BA552" t="b">
        <f>+ISNUMBER(SEARCH(CompConta!$F$26,Tabla11[[#This Row],[Cuenta]],1))</f>
        <v>1</v>
      </c>
      <c r="BB552" t="b">
        <f>+ISNUMBER(SEARCH(CompConta!$F$27,Tabla11[[#This Row],[Cuenta]],1))</f>
        <v>1</v>
      </c>
      <c r="BC552" t="b">
        <f>+ISNUMBER(SEARCH(CompConta!$F$28,Tabla11[[#This Row],[Cuenta]],1))</f>
        <v>1</v>
      </c>
      <c r="BD552" t="b">
        <f>+ISNUMBER(SEARCH(CompConta!$F$29,Tabla11[[#This Row],[Cuenta]],1))</f>
        <v>1</v>
      </c>
      <c r="BE552" t="b">
        <f>+ISNUMBER(SEARCH(CompConta!$F$30,Tabla11[[#This Row],[Cuenta]],1))</f>
        <v>1</v>
      </c>
      <c r="BF552" t="b">
        <f>+ISNUMBER(SEARCH('PAGO Compras'!$E$11,Tabla11[[#This Row],[Cuenta]],1))</f>
        <v>1</v>
      </c>
      <c r="BG552" t="b">
        <f>+ISNUMBER(SEARCH(#REF!,Tabla11[[#This Row],[Cuenta]],1))</f>
        <v>0</v>
      </c>
      <c r="BH552" t="b">
        <f>+ISNUMBER(SEARCH(#REF!,Tabla11[[#This Row],[Cuenta]],1))</f>
        <v>0</v>
      </c>
      <c r="BI552" t="b">
        <f>+ISNUMBER(SEARCH(#REF!,Tabla11[[#This Row],[Cuenta]],1))</f>
        <v>0</v>
      </c>
      <c r="BJ552" t="b">
        <f>+ISNUMBER(SEARCH(#REF!,Tabla11[[#This Row],[Cuenta]],1))</f>
        <v>0</v>
      </c>
      <c r="BS552" t="str">
        <v>263010 Construcciones y edificaciones</v>
      </c>
      <c r="BT552" t="str">
        <v>263010 Construcciones y edificaciones</v>
      </c>
      <c r="BU552" t="str">
        <v>263010 Construcciones y edificaciones</v>
      </c>
      <c r="BV552" t="str">
        <v>263010 Construcciones y edificaciones</v>
      </c>
      <c r="BZ552" t="str">
        <v>263010 Construcciones y edificaciones</v>
      </c>
      <c r="CA552" t="str">
        <v>263010 Construcciones y edificaciones</v>
      </c>
      <c r="CB552" t="str">
        <v>263010 Construcciones y edificaciones</v>
      </c>
      <c r="CC552" t="str">
        <v>263010 Construcciones y edificaciones</v>
      </c>
      <c r="CD552" t="str">
        <v>263010 Construcciones y edificaciones</v>
      </c>
      <c r="CE552" t="str">
        <v>263010 Construcciones y edificaciones</v>
      </c>
      <c r="CS552" s="141" t="str">
        <v>263010 Construcciones y edificaciones</v>
      </c>
      <c r="CT552" s="141" t="str">
        <v>263010 Construcciones y edificaciones</v>
      </c>
      <c r="CU552" s="141" t="str">
        <v>263010 Construcciones y edificaciones</v>
      </c>
      <c r="CV552" s="141" t="str">
        <v>263010 Construcciones y edificaciones</v>
      </c>
      <c r="CW552" s="141" t="str">
        <v>263010 Construcciones y edificaciones</v>
      </c>
      <c r="CX552" s="141" t="str">
        <v>263010 Construcciones y edificaciones</v>
      </c>
      <c r="CY552" s="141" t="str">
        <v>263010 Construcciones y edificaciones</v>
      </c>
      <c r="CZ552" s="141" t="str">
        <v>263010 Construcciones y edificaciones</v>
      </c>
      <c r="DA552" s="141" t="str">
        <v>263010 Construcciones y edificaciones</v>
      </c>
      <c r="DF552" t="str">
        <v>263010 Construcciones y edificaciones</v>
      </c>
      <c r="DG552" t="str">
        <v>263010 Construcciones y edificaciones</v>
      </c>
      <c r="DH552" t="str">
        <v>263010 Construcciones y edificaciones</v>
      </c>
      <c r="DI552" t="str">
        <v>263010 Construcciones y edificaciones</v>
      </c>
      <c r="DJ552" t="str">
        <v>263010 Construcciones y edificaciones</v>
      </c>
      <c r="DK552" t="str">
        <v>263010 Construcciones y edificaciones</v>
      </c>
      <c r="DL552" t="str">
        <v>263010 Construcciones y edificaciones</v>
      </c>
      <c r="DM552" t="str">
        <v>263010 Construcciones y edificaciones</v>
      </c>
      <c r="DN552" t="str">
        <v>263010 Construcciones y edificaciones</v>
      </c>
      <c r="DO552" t="str">
        <v>263010 Construcciones y edificaciones</v>
      </c>
      <c r="DP552" t="str">
        <v>263010 Construcciones y edificaciones</v>
      </c>
    </row>
    <row r="553" spans="4:120" ht="12.75">
      <c r="D553" s="7">
        <v>263015</v>
      </c>
      <c r="E553" s="6" t="s">
        <v>128</v>
      </c>
      <c r="F553" s="5">
        <v>4</v>
      </c>
      <c r="G553" s="34" t="s">
        <v>824</v>
      </c>
      <c r="H553" s="26" t="s">
        <v>765</v>
      </c>
      <c r="I553" t="b">
        <f>+ISNUMBER(SEARCH('F-COMPRA'!$F$28,Tabla11[[#This Row],[Cuenta]],1))</f>
        <v>1</v>
      </c>
      <c r="J553" t="b">
        <f>+ISNUMBER(SEARCH('F-COMPRA'!$F$29,Tabla11[[#This Row],[Cuenta]],1))</f>
        <v>1</v>
      </c>
      <c r="K553" t="b">
        <f>+ISNUMBER(SEARCH('F-COMPRA'!$F$30,Tabla11[[#This Row],[Cuenta]],1))</f>
        <v>1</v>
      </c>
      <c r="L553" t="b">
        <f>+ISNUMBER(SEARCH('F-COMPRA'!$F$31,Tabla11[[#This Row],[Cuenta]],1))</f>
        <v>1</v>
      </c>
      <c r="M553" t="b">
        <f>+ISNUMBER(SEARCH('F-COMPRA'!$G$25,Tabla11[[#This Row],[Cuenta]],1))</f>
        <v>0</v>
      </c>
      <c r="N553" t="b">
        <f>+ISNUMBER(SEARCH(#REF!,Tabla11[[#This Row],[Cuenta]],1))</f>
        <v>0</v>
      </c>
      <c r="O553" t="b">
        <f>+ISNUMBER(SEARCH(#REF!,Tabla11[[#This Row],[Cuenta]],1))</f>
        <v>0</v>
      </c>
      <c r="P553" t="b">
        <f>+ISNUMBER(SEARCH('F-COMPRA'!$F$32,Tabla11[[#This Row],[Cuenta]],1))</f>
        <v>1</v>
      </c>
      <c r="Q553" t="b">
        <f>+ISNUMBER(SEARCH('F-COMPRA'!$F$33,Tabla11[[#This Row],[Cuenta]],1))</f>
        <v>1</v>
      </c>
      <c r="R553" t="b">
        <f>+ISNUMBER(SEARCH('F-COMPRA'!$F$34,Tabla11[[#This Row],[Cuenta]],1))</f>
        <v>1</v>
      </c>
      <c r="S553" t="b">
        <f>+ISNUMBER(SEARCH('F-COMPRA'!$F$35,Tabla11[[#This Row],[Cuenta]],1))</f>
        <v>1</v>
      </c>
      <c r="T553" t="b">
        <f>+ISNUMBER(SEARCH('F-COMPRA'!$F$36,Tabla11[[#This Row],[Cuenta]],1))</f>
        <v>1</v>
      </c>
      <c r="U553" t="b">
        <f>+ISNUMBER(SEARCH('F-COMPRA'!$F$37,Tabla11[[#This Row],[Cuenta]],1))</f>
        <v>1</v>
      </c>
      <c r="V553" t="b">
        <f>+ISNUMBER(SEARCH(#REF!,Tabla11[[#This Row],[Cuenta]],1))</f>
        <v>0</v>
      </c>
      <c r="W553" t="b">
        <f>+ISNUMBER(SEARCH('F-COMPRA'!#REF!,Tabla11[[#This Row],[Cuenta]],1))</f>
        <v>0</v>
      </c>
      <c r="X553" t="b">
        <f>+ISNUMBER(SEARCH('F-COMPRA'!#REF!,Tabla11[[#This Row],[Cuenta]],1))</f>
        <v>0</v>
      </c>
      <c r="Y553" t="b">
        <f>+ISNUMBER(SEARCH('F-COMPRA'!#REF!,Tabla11[[#This Row],[Cuenta]],1))</f>
        <v>0</v>
      </c>
      <c r="Z553" t="b">
        <f>+ISNUMBER(SEARCH('F-COMPRA'!#REF!,Tabla11[[#This Row],[Cuenta]],1))</f>
        <v>0</v>
      </c>
      <c r="AA553" t="b">
        <f>+ISNUMBER(SEARCH('F-COMPRA'!#REF!,Tabla11[[#This Row],[Cuenta]],1))</f>
        <v>0</v>
      </c>
      <c r="AB553" t="b">
        <f>+ISNUMBER(SEARCH('F-COMPRA'!#REF!,Tabla11[[#This Row],[Cuenta]],1))</f>
        <v>0</v>
      </c>
      <c r="AC553" t="b">
        <f>+ISNUMBER(SEARCH('F-COMPRA'!#REF!,Tabla11[[#This Row],[Cuenta]],1))</f>
        <v>0</v>
      </c>
      <c r="AD553" t="b">
        <f>+ISNUMBER(SEARCH('F-COMPRA'!#REF!,Tabla11[[#This Row],[Cuenta]],1))</f>
        <v>0</v>
      </c>
      <c r="AE553" t="b">
        <f>+ISNUMBER(SEARCH('F-COMPRA'!#REF!,Tabla11[[#This Row],[Cuenta]],1))</f>
        <v>0</v>
      </c>
      <c r="AF553" t="b">
        <f>+ISNUMBER(SEARCH('F-VTA'!$G$23,Tabla11[[#This Row],[Cuenta]],1))</f>
        <v>0</v>
      </c>
      <c r="AG553" t="b">
        <f>+ISNUMBER(SEARCH('F-VTA'!$G$24,Tabla11[[#This Row],[Cuenta]],1))</f>
        <v>0</v>
      </c>
      <c r="AH553" t="b">
        <f>+ISNUMBER(SEARCH('F-VTA'!$G$25,Tabla11[[#This Row],[Cuenta]],1))</f>
        <v>0</v>
      </c>
      <c r="AI553" t="b">
        <f>+ISNUMBER(SEARCH('F-VTA'!$F$28,Tabla11[[#This Row],[Cuenta]],1))</f>
        <v>1</v>
      </c>
      <c r="AJ553" t="b">
        <f>+ISNUMBER(SEARCH('F-VTA'!$F$29,Tabla11[[#This Row],[Cuenta]],1))</f>
        <v>1</v>
      </c>
      <c r="AK553" t="b">
        <f>+ISNUMBER(SEARCH('F-VTA'!$F$30,Tabla11[[#This Row],[Cuenta]],1))</f>
        <v>1</v>
      </c>
      <c r="AL553" t="b">
        <f>+ISNUMBER(SEARCH('F-VTA'!$F$31,Tabla11[[#This Row],[Cuenta]],1))</f>
        <v>1</v>
      </c>
      <c r="AM553" t="b">
        <f>+ISNUMBER(SEARCH('F-VTA'!$F$32,Tabla11[[#This Row],[Cuenta]],1))</f>
        <v>1</v>
      </c>
      <c r="AN553" t="b">
        <f>+ISNUMBER(SEARCH('F-VTA'!$F$33,Tabla11[[#This Row],[Cuenta]],1))</f>
        <v>1</v>
      </c>
      <c r="AO553" t="b">
        <f>+ISNUMBER(SEARCH('F-VTA'!$F$34,Tabla11[[#This Row],[Cuenta]],1))</f>
        <v>1</v>
      </c>
      <c r="AP553" t="b">
        <f>+ISNUMBER(SEARCH('F-VTA'!$F$35,Tabla11[[#This Row],[Cuenta]],1))</f>
        <v>1</v>
      </c>
      <c r="AQ553" t="b">
        <f>+ISNUMBER(SEARCH('F-VTA'!$F$36,Tabla11[[#This Row],[Cuenta]],1))</f>
        <v>1</v>
      </c>
      <c r="AR553" t="b">
        <f>+ISNUMBER(SEARCH(#REF!,Tabla11[[#This Row],[Cuenta]],1))</f>
        <v>0</v>
      </c>
      <c r="AS553" t="b">
        <f>+ISNUMBER(SEARCH(#REF!,Tabla11[[#This Row],[Cuenta]],1))</f>
        <v>0</v>
      </c>
      <c r="AT553" t="b">
        <f>+ISNUMBER(SEARCH(#REF!,Tabla11[[#This Row],[Cuenta]],1))</f>
        <v>0</v>
      </c>
      <c r="AU553" t="b">
        <f>+ISNUMBER(SEARCH('Conc. Ban.1'!$I$9,Tabla11[[#This Row],[Cuenta]],1))</f>
        <v>0</v>
      </c>
      <c r="AV553" t="b">
        <f>+ISNUMBER(SEARCH(CompConta!$F$21,Tabla11[[#This Row],[Cuenta]],1))</f>
        <v>1</v>
      </c>
      <c r="AW553" t="b">
        <f>+ISNUMBER(SEARCH(CompConta!$F$22,Tabla11[[#This Row],[Cuenta]],1))</f>
        <v>1</v>
      </c>
      <c r="AX553" t="b">
        <f>+ISNUMBER(SEARCH(CompConta!$F$23,Tabla11[[#This Row],[Cuenta]],1))</f>
        <v>1</v>
      </c>
      <c r="AY553" t="b">
        <f>+ISNUMBER(SEARCH(CompConta!$F$24,Tabla11[[#This Row],[Cuenta]],1))</f>
        <v>1</v>
      </c>
      <c r="AZ553" t="b">
        <f>+ISNUMBER(SEARCH(CompConta!$F$25,Tabla11[[#This Row],[Cuenta]],1))</f>
        <v>1</v>
      </c>
      <c r="BA553" t="b">
        <f>+ISNUMBER(SEARCH(CompConta!$F$26,Tabla11[[#This Row],[Cuenta]],1))</f>
        <v>1</v>
      </c>
      <c r="BB553" t="b">
        <f>+ISNUMBER(SEARCH(CompConta!$F$27,Tabla11[[#This Row],[Cuenta]],1))</f>
        <v>1</v>
      </c>
      <c r="BC553" t="b">
        <f>+ISNUMBER(SEARCH(CompConta!$F$28,Tabla11[[#This Row],[Cuenta]],1))</f>
        <v>1</v>
      </c>
      <c r="BD553" t="b">
        <f>+ISNUMBER(SEARCH(CompConta!$F$29,Tabla11[[#This Row],[Cuenta]],1))</f>
        <v>1</v>
      </c>
      <c r="BE553" t="b">
        <f>+ISNUMBER(SEARCH(CompConta!$F$30,Tabla11[[#This Row],[Cuenta]],1))</f>
        <v>1</v>
      </c>
      <c r="BF553" t="b">
        <f>+ISNUMBER(SEARCH('PAGO Compras'!$E$11,Tabla11[[#This Row],[Cuenta]],1))</f>
        <v>1</v>
      </c>
      <c r="BG553" t="b">
        <f>+ISNUMBER(SEARCH(#REF!,Tabla11[[#This Row],[Cuenta]],1))</f>
        <v>0</v>
      </c>
      <c r="BH553" t="b">
        <f>+ISNUMBER(SEARCH(#REF!,Tabla11[[#This Row],[Cuenta]],1))</f>
        <v>0</v>
      </c>
      <c r="BI553" t="b">
        <f>+ISNUMBER(SEARCH(#REF!,Tabla11[[#This Row],[Cuenta]],1))</f>
        <v>0</v>
      </c>
      <c r="BJ553" t="b">
        <f>+ISNUMBER(SEARCH(#REF!,Tabla11[[#This Row],[Cuenta]],1))</f>
        <v>0</v>
      </c>
      <c r="BS553" t="str">
        <v>263015 Maquinaria y equipo</v>
      </c>
      <c r="BT553" t="str">
        <v>263015 Maquinaria y equipo</v>
      </c>
      <c r="BU553" t="str">
        <v>263015 Maquinaria y equipo</v>
      </c>
      <c r="BV553" t="str">
        <v>263015 Maquinaria y equipo</v>
      </c>
      <c r="BZ553" t="str">
        <v>263015 Maquinaria y equipo</v>
      </c>
      <c r="CA553" t="str">
        <v>263015 Maquinaria y equipo</v>
      </c>
      <c r="CB553" t="str">
        <v>263015 Maquinaria y equipo</v>
      </c>
      <c r="CC553" t="str">
        <v>263015 Maquinaria y equipo</v>
      </c>
      <c r="CD553" t="str">
        <v>263015 Maquinaria y equipo</v>
      </c>
      <c r="CE553" t="str">
        <v>263015 Maquinaria y equipo</v>
      </c>
      <c r="CS553" s="141" t="str">
        <v>263015 Maquinaria y equipo</v>
      </c>
      <c r="CT553" s="141" t="str">
        <v>263015 Maquinaria y equipo</v>
      </c>
      <c r="CU553" s="141" t="str">
        <v>263015 Maquinaria y equipo</v>
      </c>
      <c r="CV553" s="141" t="str">
        <v>263015 Maquinaria y equipo</v>
      </c>
      <c r="CW553" s="141" t="str">
        <v>263015 Maquinaria y equipo</v>
      </c>
      <c r="CX553" s="141" t="str">
        <v>263015 Maquinaria y equipo</v>
      </c>
      <c r="CY553" s="141" t="str">
        <v>263015 Maquinaria y equipo</v>
      </c>
      <c r="CZ553" s="141" t="str">
        <v>263015 Maquinaria y equipo</v>
      </c>
      <c r="DA553" s="141" t="str">
        <v>263015 Maquinaria y equipo</v>
      </c>
      <c r="DF553" t="str">
        <v>263015 Maquinaria y equipo</v>
      </c>
      <c r="DG553" t="str">
        <v>263015 Maquinaria y equipo</v>
      </c>
      <c r="DH553" t="str">
        <v>263015 Maquinaria y equipo</v>
      </c>
      <c r="DI553" t="str">
        <v>263015 Maquinaria y equipo</v>
      </c>
      <c r="DJ553" t="str">
        <v>263015 Maquinaria y equipo</v>
      </c>
      <c r="DK553" t="str">
        <v>263015 Maquinaria y equipo</v>
      </c>
      <c r="DL553" t="str">
        <v>263015 Maquinaria y equipo</v>
      </c>
      <c r="DM553" t="str">
        <v>263015 Maquinaria y equipo</v>
      </c>
      <c r="DN553" t="str">
        <v>263015 Maquinaria y equipo</v>
      </c>
      <c r="DO553" t="str">
        <v>263015 Maquinaria y equipo</v>
      </c>
      <c r="DP553" t="str">
        <v>263015 Maquinaria y equipo</v>
      </c>
    </row>
    <row r="554" spans="4:120" ht="12.75">
      <c r="D554" s="7">
        <v>263020</v>
      </c>
      <c r="E554" s="6" t="s">
        <v>129</v>
      </c>
      <c r="F554" s="5">
        <v>4</v>
      </c>
      <c r="G554" s="34" t="s">
        <v>824</v>
      </c>
      <c r="H554" s="26" t="s">
        <v>765</v>
      </c>
      <c r="I554" t="b">
        <f>+ISNUMBER(SEARCH('F-COMPRA'!$F$28,Tabla11[[#This Row],[Cuenta]],1))</f>
        <v>1</v>
      </c>
      <c r="J554" t="b">
        <f>+ISNUMBER(SEARCH('F-COMPRA'!$F$29,Tabla11[[#This Row],[Cuenta]],1))</f>
        <v>1</v>
      </c>
      <c r="K554" t="b">
        <f>+ISNUMBER(SEARCH('F-COMPRA'!$F$30,Tabla11[[#This Row],[Cuenta]],1))</f>
        <v>1</v>
      </c>
      <c r="L554" t="b">
        <f>+ISNUMBER(SEARCH('F-COMPRA'!$F$31,Tabla11[[#This Row],[Cuenta]],1))</f>
        <v>1</v>
      </c>
      <c r="M554" t="b">
        <f>+ISNUMBER(SEARCH('F-COMPRA'!$G$25,Tabla11[[#This Row],[Cuenta]],1))</f>
        <v>0</v>
      </c>
      <c r="N554" t="b">
        <f>+ISNUMBER(SEARCH(#REF!,Tabla11[[#This Row],[Cuenta]],1))</f>
        <v>0</v>
      </c>
      <c r="O554" t="b">
        <f>+ISNUMBER(SEARCH(#REF!,Tabla11[[#This Row],[Cuenta]],1))</f>
        <v>0</v>
      </c>
      <c r="P554" t="b">
        <f>+ISNUMBER(SEARCH('F-COMPRA'!$F$32,Tabla11[[#This Row],[Cuenta]],1))</f>
        <v>1</v>
      </c>
      <c r="Q554" t="b">
        <f>+ISNUMBER(SEARCH('F-COMPRA'!$F$33,Tabla11[[#This Row],[Cuenta]],1))</f>
        <v>1</v>
      </c>
      <c r="R554" t="b">
        <f>+ISNUMBER(SEARCH('F-COMPRA'!$F$34,Tabla11[[#This Row],[Cuenta]],1))</f>
        <v>1</v>
      </c>
      <c r="S554" t="b">
        <f>+ISNUMBER(SEARCH('F-COMPRA'!$F$35,Tabla11[[#This Row],[Cuenta]],1))</f>
        <v>1</v>
      </c>
      <c r="T554" t="b">
        <f>+ISNUMBER(SEARCH('F-COMPRA'!$F$36,Tabla11[[#This Row],[Cuenta]],1))</f>
        <v>1</v>
      </c>
      <c r="U554" t="b">
        <f>+ISNUMBER(SEARCH('F-COMPRA'!$F$37,Tabla11[[#This Row],[Cuenta]],1))</f>
        <v>1</v>
      </c>
      <c r="V554" t="b">
        <f>+ISNUMBER(SEARCH(#REF!,Tabla11[[#This Row],[Cuenta]],1))</f>
        <v>0</v>
      </c>
      <c r="W554" t="b">
        <f>+ISNUMBER(SEARCH('F-COMPRA'!#REF!,Tabla11[[#This Row],[Cuenta]],1))</f>
        <v>0</v>
      </c>
      <c r="X554" t="b">
        <f>+ISNUMBER(SEARCH('F-COMPRA'!#REF!,Tabla11[[#This Row],[Cuenta]],1))</f>
        <v>0</v>
      </c>
      <c r="Y554" t="b">
        <f>+ISNUMBER(SEARCH('F-COMPRA'!#REF!,Tabla11[[#This Row],[Cuenta]],1))</f>
        <v>0</v>
      </c>
      <c r="Z554" t="b">
        <f>+ISNUMBER(SEARCH('F-COMPRA'!#REF!,Tabla11[[#This Row],[Cuenta]],1))</f>
        <v>0</v>
      </c>
      <c r="AA554" t="b">
        <f>+ISNUMBER(SEARCH('F-COMPRA'!#REF!,Tabla11[[#This Row],[Cuenta]],1))</f>
        <v>0</v>
      </c>
      <c r="AB554" t="b">
        <f>+ISNUMBER(SEARCH('F-COMPRA'!#REF!,Tabla11[[#This Row],[Cuenta]],1))</f>
        <v>0</v>
      </c>
      <c r="AC554" t="b">
        <f>+ISNUMBER(SEARCH('F-COMPRA'!#REF!,Tabla11[[#This Row],[Cuenta]],1))</f>
        <v>0</v>
      </c>
      <c r="AD554" t="b">
        <f>+ISNUMBER(SEARCH('F-COMPRA'!#REF!,Tabla11[[#This Row],[Cuenta]],1))</f>
        <v>0</v>
      </c>
      <c r="AE554" t="b">
        <f>+ISNUMBER(SEARCH('F-COMPRA'!#REF!,Tabla11[[#This Row],[Cuenta]],1))</f>
        <v>0</v>
      </c>
      <c r="AF554" t="b">
        <f>+ISNUMBER(SEARCH('F-VTA'!$G$23,Tabla11[[#This Row],[Cuenta]],1))</f>
        <v>0</v>
      </c>
      <c r="AG554" t="b">
        <f>+ISNUMBER(SEARCH('F-VTA'!$G$24,Tabla11[[#This Row],[Cuenta]],1))</f>
        <v>0</v>
      </c>
      <c r="AH554" t="b">
        <f>+ISNUMBER(SEARCH('F-VTA'!$G$25,Tabla11[[#This Row],[Cuenta]],1))</f>
        <v>0</v>
      </c>
      <c r="AI554" t="b">
        <f>+ISNUMBER(SEARCH('F-VTA'!$F$28,Tabla11[[#This Row],[Cuenta]],1))</f>
        <v>1</v>
      </c>
      <c r="AJ554" t="b">
        <f>+ISNUMBER(SEARCH('F-VTA'!$F$29,Tabla11[[#This Row],[Cuenta]],1))</f>
        <v>1</v>
      </c>
      <c r="AK554" t="b">
        <f>+ISNUMBER(SEARCH('F-VTA'!$F$30,Tabla11[[#This Row],[Cuenta]],1))</f>
        <v>1</v>
      </c>
      <c r="AL554" t="b">
        <f>+ISNUMBER(SEARCH('F-VTA'!$F$31,Tabla11[[#This Row],[Cuenta]],1))</f>
        <v>1</v>
      </c>
      <c r="AM554" t="b">
        <f>+ISNUMBER(SEARCH('F-VTA'!$F$32,Tabla11[[#This Row],[Cuenta]],1))</f>
        <v>1</v>
      </c>
      <c r="AN554" t="b">
        <f>+ISNUMBER(SEARCH('F-VTA'!$F$33,Tabla11[[#This Row],[Cuenta]],1))</f>
        <v>1</v>
      </c>
      <c r="AO554" t="b">
        <f>+ISNUMBER(SEARCH('F-VTA'!$F$34,Tabla11[[#This Row],[Cuenta]],1))</f>
        <v>1</v>
      </c>
      <c r="AP554" t="b">
        <f>+ISNUMBER(SEARCH('F-VTA'!$F$35,Tabla11[[#This Row],[Cuenta]],1))</f>
        <v>1</v>
      </c>
      <c r="AQ554" t="b">
        <f>+ISNUMBER(SEARCH('F-VTA'!$F$36,Tabla11[[#This Row],[Cuenta]],1))</f>
        <v>1</v>
      </c>
      <c r="AR554" t="b">
        <f>+ISNUMBER(SEARCH(#REF!,Tabla11[[#This Row],[Cuenta]],1))</f>
        <v>0</v>
      </c>
      <c r="AS554" t="b">
        <f>+ISNUMBER(SEARCH(#REF!,Tabla11[[#This Row],[Cuenta]],1))</f>
        <v>0</v>
      </c>
      <c r="AT554" t="b">
        <f>+ISNUMBER(SEARCH(#REF!,Tabla11[[#This Row],[Cuenta]],1))</f>
        <v>0</v>
      </c>
      <c r="AU554" t="b">
        <f>+ISNUMBER(SEARCH('Conc. Ban.1'!$I$9,Tabla11[[#This Row],[Cuenta]],1))</f>
        <v>0</v>
      </c>
      <c r="AV554" t="b">
        <f>+ISNUMBER(SEARCH(CompConta!$F$21,Tabla11[[#This Row],[Cuenta]],1))</f>
        <v>1</v>
      </c>
      <c r="AW554" t="b">
        <f>+ISNUMBER(SEARCH(CompConta!$F$22,Tabla11[[#This Row],[Cuenta]],1))</f>
        <v>1</v>
      </c>
      <c r="AX554" t="b">
        <f>+ISNUMBER(SEARCH(CompConta!$F$23,Tabla11[[#This Row],[Cuenta]],1))</f>
        <v>1</v>
      </c>
      <c r="AY554" t="b">
        <f>+ISNUMBER(SEARCH(CompConta!$F$24,Tabla11[[#This Row],[Cuenta]],1))</f>
        <v>1</v>
      </c>
      <c r="AZ554" t="b">
        <f>+ISNUMBER(SEARCH(CompConta!$F$25,Tabla11[[#This Row],[Cuenta]],1))</f>
        <v>1</v>
      </c>
      <c r="BA554" t="b">
        <f>+ISNUMBER(SEARCH(CompConta!$F$26,Tabla11[[#This Row],[Cuenta]],1))</f>
        <v>1</v>
      </c>
      <c r="BB554" t="b">
        <f>+ISNUMBER(SEARCH(CompConta!$F$27,Tabla11[[#This Row],[Cuenta]],1))</f>
        <v>1</v>
      </c>
      <c r="BC554" t="b">
        <f>+ISNUMBER(SEARCH(CompConta!$F$28,Tabla11[[#This Row],[Cuenta]],1))</f>
        <v>1</v>
      </c>
      <c r="BD554" t="b">
        <f>+ISNUMBER(SEARCH(CompConta!$F$29,Tabla11[[#This Row],[Cuenta]],1))</f>
        <v>1</v>
      </c>
      <c r="BE554" t="b">
        <f>+ISNUMBER(SEARCH(CompConta!$F$30,Tabla11[[#This Row],[Cuenta]],1))</f>
        <v>1</v>
      </c>
      <c r="BF554" t="b">
        <f>+ISNUMBER(SEARCH('PAGO Compras'!$E$11,Tabla11[[#This Row],[Cuenta]],1))</f>
        <v>1</v>
      </c>
      <c r="BG554" t="b">
        <f>+ISNUMBER(SEARCH(#REF!,Tabla11[[#This Row],[Cuenta]],1))</f>
        <v>0</v>
      </c>
      <c r="BH554" t="b">
        <f>+ISNUMBER(SEARCH(#REF!,Tabla11[[#This Row],[Cuenta]],1))</f>
        <v>0</v>
      </c>
      <c r="BI554" t="b">
        <f>+ISNUMBER(SEARCH(#REF!,Tabla11[[#This Row],[Cuenta]],1))</f>
        <v>0</v>
      </c>
      <c r="BJ554" t="b">
        <f>+ISNUMBER(SEARCH(#REF!,Tabla11[[#This Row],[Cuenta]],1))</f>
        <v>0</v>
      </c>
      <c r="BS554" t="str">
        <v>263020 Equipo de oficina</v>
      </c>
      <c r="BT554" t="str">
        <v>263020 Equipo de oficina</v>
      </c>
      <c r="BU554" t="str">
        <v>263020 Equipo de oficina</v>
      </c>
      <c r="BV554" t="str">
        <v>263020 Equipo de oficina</v>
      </c>
      <c r="BZ554" t="str">
        <v>263020 Equipo de oficina</v>
      </c>
      <c r="CA554" t="str">
        <v>263020 Equipo de oficina</v>
      </c>
      <c r="CB554" t="str">
        <v>263020 Equipo de oficina</v>
      </c>
      <c r="CC554" t="str">
        <v>263020 Equipo de oficina</v>
      </c>
      <c r="CD554" t="str">
        <v>263020 Equipo de oficina</v>
      </c>
      <c r="CE554" t="str">
        <v>263020 Equipo de oficina</v>
      </c>
      <c r="CS554" s="141" t="str">
        <v>263020 Equipo de oficina</v>
      </c>
      <c r="CT554" s="141" t="str">
        <v>263020 Equipo de oficina</v>
      </c>
      <c r="CU554" s="141" t="str">
        <v>263020 Equipo de oficina</v>
      </c>
      <c r="CV554" s="141" t="str">
        <v>263020 Equipo de oficina</v>
      </c>
      <c r="CW554" s="141" t="str">
        <v>263020 Equipo de oficina</v>
      </c>
      <c r="CX554" s="141" t="str">
        <v>263020 Equipo de oficina</v>
      </c>
      <c r="CY554" s="141" t="str">
        <v>263020 Equipo de oficina</v>
      </c>
      <c r="CZ554" s="141" t="str">
        <v>263020 Equipo de oficina</v>
      </c>
      <c r="DA554" s="141" t="str">
        <v>263020 Equipo de oficina</v>
      </c>
      <c r="DF554" t="str">
        <v>263020 Equipo de oficina</v>
      </c>
      <c r="DG554" t="str">
        <v>263020 Equipo de oficina</v>
      </c>
      <c r="DH554" t="str">
        <v>263020 Equipo de oficina</v>
      </c>
      <c r="DI554" t="str">
        <v>263020 Equipo de oficina</v>
      </c>
      <c r="DJ554" t="str">
        <v>263020 Equipo de oficina</v>
      </c>
      <c r="DK554" t="str">
        <v>263020 Equipo de oficina</v>
      </c>
      <c r="DL554" t="str">
        <v>263020 Equipo de oficina</v>
      </c>
      <c r="DM554" t="str">
        <v>263020 Equipo de oficina</v>
      </c>
      <c r="DN554" t="str">
        <v>263020 Equipo de oficina</v>
      </c>
      <c r="DO554" t="str">
        <v>263020 Equipo de oficina</v>
      </c>
      <c r="DP554" t="str">
        <v>263020 Equipo de oficina</v>
      </c>
    </row>
    <row r="555" spans="4:120" ht="12.75">
      <c r="D555" s="7">
        <v>263025</v>
      </c>
      <c r="E555" s="6" t="s">
        <v>130</v>
      </c>
      <c r="F555" s="5">
        <v>4</v>
      </c>
      <c r="G555" s="34" t="s">
        <v>824</v>
      </c>
      <c r="H555" s="26" t="s">
        <v>765</v>
      </c>
      <c r="I555" t="b">
        <f>+ISNUMBER(SEARCH('F-COMPRA'!$F$28,Tabla11[[#This Row],[Cuenta]],1))</f>
        <v>1</v>
      </c>
      <c r="J555" t="b">
        <f>+ISNUMBER(SEARCH('F-COMPRA'!$F$29,Tabla11[[#This Row],[Cuenta]],1))</f>
        <v>1</v>
      </c>
      <c r="K555" t="b">
        <f>+ISNUMBER(SEARCH('F-COMPRA'!$F$30,Tabla11[[#This Row],[Cuenta]],1))</f>
        <v>1</v>
      </c>
      <c r="L555" t="b">
        <f>+ISNUMBER(SEARCH('F-COMPRA'!$F$31,Tabla11[[#This Row],[Cuenta]],1))</f>
        <v>1</v>
      </c>
      <c r="M555" t="b">
        <f>+ISNUMBER(SEARCH('F-COMPRA'!$G$25,Tabla11[[#This Row],[Cuenta]],1))</f>
        <v>0</v>
      </c>
      <c r="N555" t="b">
        <f>+ISNUMBER(SEARCH(#REF!,Tabla11[[#This Row],[Cuenta]],1))</f>
        <v>0</v>
      </c>
      <c r="O555" t="b">
        <f>+ISNUMBER(SEARCH(#REF!,Tabla11[[#This Row],[Cuenta]],1))</f>
        <v>0</v>
      </c>
      <c r="P555" t="b">
        <f>+ISNUMBER(SEARCH('F-COMPRA'!$F$32,Tabla11[[#This Row],[Cuenta]],1))</f>
        <v>1</v>
      </c>
      <c r="Q555" t="b">
        <f>+ISNUMBER(SEARCH('F-COMPRA'!$F$33,Tabla11[[#This Row],[Cuenta]],1))</f>
        <v>1</v>
      </c>
      <c r="R555" t="b">
        <f>+ISNUMBER(SEARCH('F-COMPRA'!$F$34,Tabla11[[#This Row],[Cuenta]],1))</f>
        <v>1</v>
      </c>
      <c r="S555" t="b">
        <f>+ISNUMBER(SEARCH('F-COMPRA'!$F$35,Tabla11[[#This Row],[Cuenta]],1))</f>
        <v>1</v>
      </c>
      <c r="T555" t="b">
        <f>+ISNUMBER(SEARCH('F-COMPRA'!$F$36,Tabla11[[#This Row],[Cuenta]],1))</f>
        <v>1</v>
      </c>
      <c r="U555" t="b">
        <f>+ISNUMBER(SEARCH('F-COMPRA'!$F$37,Tabla11[[#This Row],[Cuenta]],1))</f>
        <v>1</v>
      </c>
      <c r="V555" t="b">
        <f>+ISNUMBER(SEARCH(#REF!,Tabla11[[#This Row],[Cuenta]],1))</f>
        <v>0</v>
      </c>
      <c r="W555" t="b">
        <f>+ISNUMBER(SEARCH('F-COMPRA'!#REF!,Tabla11[[#This Row],[Cuenta]],1))</f>
        <v>0</v>
      </c>
      <c r="X555" t="b">
        <f>+ISNUMBER(SEARCH('F-COMPRA'!#REF!,Tabla11[[#This Row],[Cuenta]],1))</f>
        <v>0</v>
      </c>
      <c r="Y555" t="b">
        <f>+ISNUMBER(SEARCH('F-COMPRA'!#REF!,Tabla11[[#This Row],[Cuenta]],1))</f>
        <v>0</v>
      </c>
      <c r="Z555" t="b">
        <f>+ISNUMBER(SEARCH('F-COMPRA'!#REF!,Tabla11[[#This Row],[Cuenta]],1))</f>
        <v>0</v>
      </c>
      <c r="AA555" t="b">
        <f>+ISNUMBER(SEARCH('F-COMPRA'!#REF!,Tabla11[[#This Row],[Cuenta]],1))</f>
        <v>0</v>
      </c>
      <c r="AB555" t="b">
        <f>+ISNUMBER(SEARCH('F-COMPRA'!#REF!,Tabla11[[#This Row],[Cuenta]],1))</f>
        <v>0</v>
      </c>
      <c r="AC555" t="b">
        <f>+ISNUMBER(SEARCH('F-COMPRA'!#REF!,Tabla11[[#This Row],[Cuenta]],1))</f>
        <v>0</v>
      </c>
      <c r="AD555" t="b">
        <f>+ISNUMBER(SEARCH('F-COMPRA'!#REF!,Tabla11[[#This Row],[Cuenta]],1))</f>
        <v>0</v>
      </c>
      <c r="AE555" t="b">
        <f>+ISNUMBER(SEARCH('F-COMPRA'!#REF!,Tabla11[[#This Row],[Cuenta]],1))</f>
        <v>0</v>
      </c>
      <c r="AF555" t="b">
        <f>+ISNUMBER(SEARCH('F-VTA'!$G$23,Tabla11[[#This Row],[Cuenta]],1))</f>
        <v>0</v>
      </c>
      <c r="AG555" t="b">
        <f>+ISNUMBER(SEARCH('F-VTA'!$G$24,Tabla11[[#This Row],[Cuenta]],1))</f>
        <v>0</v>
      </c>
      <c r="AH555" t="b">
        <f>+ISNUMBER(SEARCH('F-VTA'!$G$25,Tabla11[[#This Row],[Cuenta]],1))</f>
        <v>0</v>
      </c>
      <c r="AI555" t="b">
        <f>+ISNUMBER(SEARCH('F-VTA'!$F$28,Tabla11[[#This Row],[Cuenta]],1))</f>
        <v>1</v>
      </c>
      <c r="AJ555" t="b">
        <f>+ISNUMBER(SEARCH('F-VTA'!$F$29,Tabla11[[#This Row],[Cuenta]],1))</f>
        <v>1</v>
      </c>
      <c r="AK555" t="b">
        <f>+ISNUMBER(SEARCH('F-VTA'!$F$30,Tabla11[[#This Row],[Cuenta]],1))</f>
        <v>1</v>
      </c>
      <c r="AL555" t="b">
        <f>+ISNUMBER(SEARCH('F-VTA'!$F$31,Tabla11[[#This Row],[Cuenta]],1))</f>
        <v>1</v>
      </c>
      <c r="AM555" t="b">
        <f>+ISNUMBER(SEARCH('F-VTA'!$F$32,Tabla11[[#This Row],[Cuenta]],1))</f>
        <v>1</v>
      </c>
      <c r="AN555" t="b">
        <f>+ISNUMBER(SEARCH('F-VTA'!$F$33,Tabla11[[#This Row],[Cuenta]],1))</f>
        <v>1</v>
      </c>
      <c r="AO555" t="b">
        <f>+ISNUMBER(SEARCH('F-VTA'!$F$34,Tabla11[[#This Row],[Cuenta]],1))</f>
        <v>1</v>
      </c>
      <c r="AP555" t="b">
        <f>+ISNUMBER(SEARCH('F-VTA'!$F$35,Tabla11[[#This Row],[Cuenta]],1))</f>
        <v>1</v>
      </c>
      <c r="AQ555" t="b">
        <f>+ISNUMBER(SEARCH('F-VTA'!$F$36,Tabla11[[#This Row],[Cuenta]],1))</f>
        <v>1</v>
      </c>
      <c r="AR555" t="b">
        <f>+ISNUMBER(SEARCH(#REF!,Tabla11[[#This Row],[Cuenta]],1))</f>
        <v>0</v>
      </c>
      <c r="AS555" t="b">
        <f>+ISNUMBER(SEARCH(#REF!,Tabla11[[#This Row],[Cuenta]],1))</f>
        <v>0</v>
      </c>
      <c r="AT555" t="b">
        <f>+ISNUMBER(SEARCH(#REF!,Tabla11[[#This Row],[Cuenta]],1))</f>
        <v>0</v>
      </c>
      <c r="AU555" t="b">
        <f>+ISNUMBER(SEARCH('Conc. Ban.1'!$I$9,Tabla11[[#This Row],[Cuenta]],1))</f>
        <v>0</v>
      </c>
      <c r="AV555" t="b">
        <f>+ISNUMBER(SEARCH(CompConta!$F$21,Tabla11[[#This Row],[Cuenta]],1))</f>
        <v>1</v>
      </c>
      <c r="AW555" t="b">
        <f>+ISNUMBER(SEARCH(CompConta!$F$22,Tabla11[[#This Row],[Cuenta]],1))</f>
        <v>1</v>
      </c>
      <c r="AX555" t="b">
        <f>+ISNUMBER(SEARCH(CompConta!$F$23,Tabla11[[#This Row],[Cuenta]],1))</f>
        <v>1</v>
      </c>
      <c r="AY555" t="b">
        <f>+ISNUMBER(SEARCH(CompConta!$F$24,Tabla11[[#This Row],[Cuenta]],1))</f>
        <v>1</v>
      </c>
      <c r="AZ555" t="b">
        <f>+ISNUMBER(SEARCH(CompConta!$F$25,Tabla11[[#This Row],[Cuenta]],1))</f>
        <v>1</v>
      </c>
      <c r="BA555" t="b">
        <f>+ISNUMBER(SEARCH(CompConta!$F$26,Tabla11[[#This Row],[Cuenta]],1))</f>
        <v>1</v>
      </c>
      <c r="BB555" t="b">
        <f>+ISNUMBER(SEARCH(CompConta!$F$27,Tabla11[[#This Row],[Cuenta]],1))</f>
        <v>1</v>
      </c>
      <c r="BC555" t="b">
        <f>+ISNUMBER(SEARCH(CompConta!$F$28,Tabla11[[#This Row],[Cuenta]],1))</f>
        <v>1</v>
      </c>
      <c r="BD555" t="b">
        <f>+ISNUMBER(SEARCH(CompConta!$F$29,Tabla11[[#This Row],[Cuenta]],1))</f>
        <v>1</v>
      </c>
      <c r="BE555" t="b">
        <f>+ISNUMBER(SEARCH(CompConta!$F$30,Tabla11[[#This Row],[Cuenta]],1))</f>
        <v>1</v>
      </c>
      <c r="BF555" t="b">
        <f>+ISNUMBER(SEARCH('PAGO Compras'!$E$11,Tabla11[[#This Row],[Cuenta]],1))</f>
        <v>1</v>
      </c>
      <c r="BG555" t="b">
        <f>+ISNUMBER(SEARCH(#REF!,Tabla11[[#This Row],[Cuenta]],1))</f>
        <v>0</v>
      </c>
      <c r="BH555" t="b">
        <f>+ISNUMBER(SEARCH(#REF!,Tabla11[[#This Row],[Cuenta]],1))</f>
        <v>0</v>
      </c>
      <c r="BI555" t="b">
        <f>+ISNUMBER(SEARCH(#REF!,Tabla11[[#This Row],[Cuenta]],1))</f>
        <v>0</v>
      </c>
      <c r="BJ555" t="b">
        <f>+ISNUMBER(SEARCH(#REF!,Tabla11[[#This Row],[Cuenta]],1))</f>
        <v>0</v>
      </c>
      <c r="BS555" t="str">
        <v>263025 Equipo de computación y comunicación</v>
      </c>
      <c r="BT555" t="str">
        <v>263025 Equipo de computación y comunicación</v>
      </c>
      <c r="BU555" t="str">
        <v>263025 Equipo de computación y comunicación</v>
      </c>
      <c r="BV555" t="str">
        <v>263025 Equipo de computación y comunicación</v>
      </c>
      <c r="BZ555" t="str">
        <v>263025 Equipo de computación y comunicación</v>
      </c>
      <c r="CA555" t="str">
        <v>263025 Equipo de computación y comunicación</v>
      </c>
      <c r="CB555" t="str">
        <v>263025 Equipo de computación y comunicación</v>
      </c>
      <c r="CC555" t="str">
        <v>263025 Equipo de computación y comunicación</v>
      </c>
      <c r="CD555" t="str">
        <v>263025 Equipo de computación y comunicación</v>
      </c>
      <c r="CE555" t="str">
        <v>263025 Equipo de computación y comunicación</v>
      </c>
      <c r="CS555" s="141" t="str">
        <v>263025 Equipo de computación y comunicación</v>
      </c>
      <c r="CT555" s="141" t="str">
        <v>263025 Equipo de computación y comunicación</v>
      </c>
      <c r="CU555" s="141" t="str">
        <v>263025 Equipo de computación y comunicación</v>
      </c>
      <c r="CV555" s="141" t="str">
        <v>263025 Equipo de computación y comunicación</v>
      </c>
      <c r="CW555" s="141" t="str">
        <v>263025 Equipo de computación y comunicación</v>
      </c>
      <c r="CX555" s="141" t="str">
        <v>263025 Equipo de computación y comunicación</v>
      </c>
      <c r="CY555" s="141" t="str">
        <v>263025 Equipo de computación y comunicación</v>
      </c>
      <c r="CZ555" s="141" t="str">
        <v>263025 Equipo de computación y comunicación</v>
      </c>
      <c r="DA555" s="141" t="str">
        <v>263025 Equipo de computación y comunicación</v>
      </c>
      <c r="DF555" t="str">
        <v>263025 Equipo de computación y comunicación</v>
      </c>
      <c r="DG555" t="str">
        <v>263025 Equipo de computación y comunicación</v>
      </c>
      <c r="DH555" t="str">
        <v>263025 Equipo de computación y comunicación</v>
      </c>
      <c r="DI555" t="str">
        <v>263025 Equipo de computación y comunicación</v>
      </c>
      <c r="DJ555" t="str">
        <v>263025 Equipo de computación y comunicación</v>
      </c>
      <c r="DK555" t="str">
        <v>263025 Equipo de computación y comunicación</v>
      </c>
      <c r="DL555" t="str">
        <v>263025 Equipo de computación y comunicación</v>
      </c>
      <c r="DM555" t="str">
        <v>263025 Equipo de computación y comunicación</v>
      </c>
      <c r="DN555" t="str">
        <v>263025 Equipo de computación y comunicación</v>
      </c>
      <c r="DO555" t="str">
        <v>263025 Equipo de computación y comunicación</v>
      </c>
      <c r="DP555" t="str">
        <v>263025 Equipo de computación y comunicación</v>
      </c>
    </row>
    <row r="556" spans="4:120" ht="12.75">
      <c r="D556" s="7">
        <v>263030</v>
      </c>
      <c r="E556" s="6" t="s">
        <v>131</v>
      </c>
      <c r="F556" s="5">
        <v>4</v>
      </c>
      <c r="G556" s="34" t="s">
        <v>824</v>
      </c>
      <c r="H556" s="26" t="s">
        <v>765</v>
      </c>
      <c r="I556" t="b">
        <f>+ISNUMBER(SEARCH('F-COMPRA'!$F$28,Tabla11[[#This Row],[Cuenta]],1))</f>
        <v>1</v>
      </c>
      <c r="J556" t="b">
        <f>+ISNUMBER(SEARCH('F-COMPRA'!$F$29,Tabla11[[#This Row],[Cuenta]],1))</f>
        <v>1</v>
      </c>
      <c r="K556" t="b">
        <f>+ISNUMBER(SEARCH('F-COMPRA'!$F$30,Tabla11[[#This Row],[Cuenta]],1))</f>
        <v>1</v>
      </c>
      <c r="L556" t="b">
        <f>+ISNUMBER(SEARCH('F-COMPRA'!$F$31,Tabla11[[#This Row],[Cuenta]],1))</f>
        <v>1</v>
      </c>
      <c r="M556" t="b">
        <f>+ISNUMBER(SEARCH('F-COMPRA'!$G$25,Tabla11[[#This Row],[Cuenta]],1))</f>
        <v>0</v>
      </c>
      <c r="N556" t="b">
        <f>+ISNUMBER(SEARCH(#REF!,Tabla11[[#This Row],[Cuenta]],1))</f>
        <v>0</v>
      </c>
      <c r="O556" t="b">
        <f>+ISNUMBER(SEARCH(#REF!,Tabla11[[#This Row],[Cuenta]],1))</f>
        <v>0</v>
      </c>
      <c r="P556" t="b">
        <f>+ISNUMBER(SEARCH('F-COMPRA'!$F$32,Tabla11[[#This Row],[Cuenta]],1))</f>
        <v>1</v>
      </c>
      <c r="Q556" t="b">
        <f>+ISNUMBER(SEARCH('F-COMPRA'!$F$33,Tabla11[[#This Row],[Cuenta]],1))</f>
        <v>1</v>
      </c>
      <c r="R556" t="b">
        <f>+ISNUMBER(SEARCH('F-COMPRA'!$F$34,Tabla11[[#This Row],[Cuenta]],1))</f>
        <v>1</v>
      </c>
      <c r="S556" t="b">
        <f>+ISNUMBER(SEARCH('F-COMPRA'!$F$35,Tabla11[[#This Row],[Cuenta]],1))</f>
        <v>1</v>
      </c>
      <c r="T556" t="b">
        <f>+ISNUMBER(SEARCH('F-COMPRA'!$F$36,Tabla11[[#This Row],[Cuenta]],1))</f>
        <v>1</v>
      </c>
      <c r="U556" t="b">
        <f>+ISNUMBER(SEARCH('F-COMPRA'!$F$37,Tabla11[[#This Row],[Cuenta]],1))</f>
        <v>1</v>
      </c>
      <c r="V556" t="b">
        <f>+ISNUMBER(SEARCH(#REF!,Tabla11[[#This Row],[Cuenta]],1))</f>
        <v>0</v>
      </c>
      <c r="W556" t="b">
        <f>+ISNUMBER(SEARCH('F-COMPRA'!#REF!,Tabla11[[#This Row],[Cuenta]],1))</f>
        <v>0</v>
      </c>
      <c r="X556" t="b">
        <f>+ISNUMBER(SEARCH('F-COMPRA'!#REF!,Tabla11[[#This Row],[Cuenta]],1))</f>
        <v>0</v>
      </c>
      <c r="Y556" t="b">
        <f>+ISNUMBER(SEARCH('F-COMPRA'!#REF!,Tabla11[[#This Row],[Cuenta]],1))</f>
        <v>0</v>
      </c>
      <c r="Z556" t="b">
        <f>+ISNUMBER(SEARCH('F-COMPRA'!#REF!,Tabla11[[#This Row],[Cuenta]],1))</f>
        <v>0</v>
      </c>
      <c r="AA556" t="b">
        <f>+ISNUMBER(SEARCH('F-COMPRA'!#REF!,Tabla11[[#This Row],[Cuenta]],1))</f>
        <v>0</v>
      </c>
      <c r="AB556" t="b">
        <f>+ISNUMBER(SEARCH('F-COMPRA'!#REF!,Tabla11[[#This Row],[Cuenta]],1))</f>
        <v>0</v>
      </c>
      <c r="AC556" t="b">
        <f>+ISNUMBER(SEARCH('F-COMPRA'!#REF!,Tabla11[[#This Row],[Cuenta]],1))</f>
        <v>0</v>
      </c>
      <c r="AD556" t="b">
        <f>+ISNUMBER(SEARCH('F-COMPRA'!#REF!,Tabla11[[#This Row],[Cuenta]],1))</f>
        <v>0</v>
      </c>
      <c r="AE556" t="b">
        <f>+ISNUMBER(SEARCH('F-COMPRA'!#REF!,Tabla11[[#This Row],[Cuenta]],1))</f>
        <v>0</v>
      </c>
      <c r="AF556" t="b">
        <f>+ISNUMBER(SEARCH('F-VTA'!$G$23,Tabla11[[#This Row],[Cuenta]],1))</f>
        <v>0</v>
      </c>
      <c r="AG556" t="b">
        <f>+ISNUMBER(SEARCH('F-VTA'!$G$24,Tabla11[[#This Row],[Cuenta]],1))</f>
        <v>0</v>
      </c>
      <c r="AH556" t="b">
        <f>+ISNUMBER(SEARCH('F-VTA'!$G$25,Tabla11[[#This Row],[Cuenta]],1))</f>
        <v>0</v>
      </c>
      <c r="AI556" t="b">
        <f>+ISNUMBER(SEARCH('F-VTA'!$F$28,Tabla11[[#This Row],[Cuenta]],1))</f>
        <v>1</v>
      </c>
      <c r="AJ556" t="b">
        <f>+ISNUMBER(SEARCH('F-VTA'!$F$29,Tabla11[[#This Row],[Cuenta]],1))</f>
        <v>1</v>
      </c>
      <c r="AK556" t="b">
        <f>+ISNUMBER(SEARCH('F-VTA'!$F$30,Tabla11[[#This Row],[Cuenta]],1))</f>
        <v>1</v>
      </c>
      <c r="AL556" t="b">
        <f>+ISNUMBER(SEARCH('F-VTA'!$F$31,Tabla11[[#This Row],[Cuenta]],1))</f>
        <v>1</v>
      </c>
      <c r="AM556" t="b">
        <f>+ISNUMBER(SEARCH('F-VTA'!$F$32,Tabla11[[#This Row],[Cuenta]],1))</f>
        <v>1</v>
      </c>
      <c r="AN556" t="b">
        <f>+ISNUMBER(SEARCH('F-VTA'!$F$33,Tabla11[[#This Row],[Cuenta]],1))</f>
        <v>1</v>
      </c>
      <c r="AO556" t="b">
        <f>+ISNUMBER(SEARCH('F-VTA'!$F$34,Tabla11[[#This Row],[Cuenta]],1))</f>
        <v>1</v>
      </c>
      <c r="AP556" t="b">
        <f>+ISNUMBER(SEARCH('F-VTA'!$F$35,Tabla11[[#This Row],[Cuenta]],1))</f>
        <v>1</v>
      </c>
      <c r="AQ556" t="b">
        <f>+ISNUMBER(SEARCH('F-VTA'!$F$36,Tabla11[[#This Row],[Cuenta]],1))</f>
        <v>1</v>
      </c>
      <c r="AR556" t="b">
        <f>+ISNUMBER(SEARCH(#REF!,Tabla11[[#This Row],[Cuenta]],1))</f>
        <v>0</v>
      </c>
      <c r="AS556" t="b">
        <f>+ISNUMBER(SEARCH(#REF!,Tabla11[[#This Row],[Cuenta]],1))</f>
        <v>0</v>
      </c>
      <c r="AT556" t="b">
        <f>+ISNUMBER(SEARCH(#REF!,Tabla11[[#This Row],[Cuenta]],1))</f>
        <v>0</v>
      </c>
      <c r="AU556" t="b">
        <f>+ISNUMBER(SEARCH('Conc. Ban.1'!$I$9,Tabla11[[#This Row],[Cuenta]],1))</f>
        <v>0</v>
      </c>
      <c r="AV556" t="b">
        <f>+ISNUMBER(SEARCH(CompConta!$F$21,Tabla11[[#This Row],[Cuenta]],1))</f>
        <v>1</v>
      </c>
      <c r="AW556" t="b">
        <f>+ISNUMBER(SEARCH(CompConta!$F$22,Tabla11[[#This Row],[Cuenta]],1))</f>
        <v>1</v>
      </c>
      <c r="AX556" t="b">
        <f>+ISNUMBER(SEARCH(CompConta!$F$23,Tabla11[[#This Row],[Cuenta]],1))</f>
        <v>1</v>
      </c>
      <c r="AY556" t="b">
        <f>+ISNUMBER(SEARCH(CompConta!$F$24,Tabla11[[#This Row],[Cuenta]],1))</f>
        <v>1</v>
      </c>
      <c r="AZ556" t="b">
        <f>+ISNUMBER(SEARCH(CompConta!$F$25,Tabla11[[#This Row],[Cuenta]],1))</f>
        <v>1</v>
      </c>
      <c r="BA556" t="b">
        <f>+ISNUMBER(SEARCH(CompConta!$F$26,Tabla11[[#This Row],[Cuenta]],1))</f>
        <v>1</v>
      </c>
      <c r="BB556" t="b">
        <f>+ISNUMBER(SEARCH(CompConta!$F$27,Tabla11[[#This Row],[Cuenta]],1))</f>
        <v>1</v>
      </c>
      <c r="BC556" t="b">
        <f>+ISNUMBER(SEARCH(CompConta!$F$28,Tabla11[[#This Row],[Cuenta]],1))</f>
        <v>1</v>
      </c>
      <c r="BD556" t="b">
        <f>+ISNUMBER(SEARCH(CompConta!$F$29,Tabla11[[#This Row],[Cuenta]],1))</f>
        <v>1</v>
      </c>
      <c r="BE556" t="b">
        <f>+ISNUMBER(SEARCH(CompConta!$F$30,Tabla11[[#This Row],[Cuenta]],1))</f>
        <v>1</v>
      </c>
      <c r="BF556" t="b">
        <f>+ISNUMBER(SEARCH('PAGO Compras'!$E$11,Tabla11[[#This Row],[Cuenta]],1))</f>
        <v>1</v>
      </c>
      <c r="BG556" t="b">
        <f>+ISNUMBER(SEARCH(#REF!,Tabla11[[#This Row],[Cuenta]],1))</f>
        <v>0</v>
      </c>
      <c r="BH556" t="b">
        <f>+ISNUMBER(SEARCH(#REF!,Tabla11[[#This Row],[Cuenta]],1))</f>
        <v>0</v>
      </c>
      <c r="BI556" t="b">
        <f>+ISNUMBER(SEARCH(#REF!,Tabla11[[#This Row],[Cuenta]],1))</f>
        <v>0</v>
      </c>
      <c r="BJ556" t="b">
        <f>+ISNUMBER(SEARCH(#REF!,Tabla11[[#This Row],[Cuenta]],1))</f>
        <v>0</v>
      </c>
      <c r="BS556" t="str">
        <v>263030 Equipo médico-científico</v>
      </c>
      <c r="BT556" t="str">
        <v>263030 Equipo médico-científico</v>
      </c>
      <c r="BU556" t="str">
        <v>263030 Equipo médico-científico</v>
      </c>
      <c r="BV556" t="str">
        <v>263030 Equipo médico-científico</v>
      </c>
      <c r="BZ556" t="str">
        <v>263030 Equipo médico-científico</v>
      </c>
      <c r="CA556" t="str">
        <v>263030 Equipo médico-científico</v>
      </c>
      <c r="CB556" t="str">
        <v>263030 Equipo médico-científico</v>
      </c>
      <c r="CC556" t="str">
        <v>263030 Equipo médico-científico</v>
      </c>
      <c r="CD556" t="str">
        <v>263030 Equipo médico-científico</v>
      </c>
      <c r="CE556" t="str">
        <v>263030 Equipo médico-científico</v>
      </c>
      <c r="CS556" s="141" t="str">
        <v>263030 Equipo médico-científico</v>
      </c>
      <c r="CT556" s="141" t="str">
        <v>263030 Equipo médico-científico</v>
      </c>
      <c r="CU556" s="141" t="str">
        <v>263030 Equipo médico-científico</v>
      </c>
      <c r="CV556" s="141" t="str">
        <v>263030 Equipo médico-científico</v>
      </c>
      <c r="CW556" s="141" t="str">
        <v>263030 Equipo médico-científico</v>
      </c>
      <c r="CX556" s="141" t="str">
        <v>263030 Equipo médico-científico</v>
      </c>
      <c r="CY556" s="141" t="str">
        <v>263030 Equipo médico-científico</v>
      </c>
      <c r="CZ556" s="141" t="str">
        <v>263030 Equipo médico-científico</v>
      </c>
      <c r="DA556" s="141" t="str">
        <v>263030 Equipo médico-científico</v>
      </c>
      <c r="DF556" t="str">
        <v>263030 Equipo médico-científico</v>
      </c>
      <c r="DG556" t="str">
        <v>263030 Equipo médico-científico</v>
      </c>
      <c r="DH556" t="str">
        <v>263030 Equipo médico-científico</v>
      </c>
      <c r="DI556" t="str">
        <v>263030 Equipo médico-científico</v>
      </c>
      <c r="DJ556" t="str">
        <v>263030 Equipo médico-científico</v>
      </c>
      <c r="DK556" t="str">
        <v>263030 Equipo médico-científico</v>
      </c>
      <c r="DL556" t="str">
        <v>263030 Equipo médico-científico</v>
      </c>
      <c r="DM556" t="str">
        <v>263030 Equipo médico-científico</v>
      </c>
      <c r="DN556" t="str">
        <v>263030 Equipo médico-científico</v>
      </c>
      <c r="DO556" t="str">
        <v>263030 Equipo médico-científico</v>
      </c>
      <c r="DP556" t="str">
        <v>263030 Equipo médico-científico</v>
      </c>
    </row>
    <row r="557" spans="4:120" ht="12.75">
      <c r="D557" s="7">
        <v>263035</v>
      </c>
      <c r="E557" s="6" t="s">
        <v>132</v>
      </c>
      <c r="F557" s="5">
        <v>4</v>
      </c>
      <c r="G557" s="34" t="s">
        <v>824</v>
      </c>
      <c r="H557" s="26" t="s">
        <v>765</v>
      </c>
      <c r="I557" t="b">
        <f>+ISNUMBER(SEARCH('F-COMPRA'!$F$28,Tabla11[[#This Row],[Cuenta]],1))</f>
        <v>1</v>
      </c>
      <c r="J557" t="b">
        <f>+ISNUMBER(SEARCH('F-COMPRA'!$F$29,Tabla11[[#This Row],[Cuenta]],1))</f>
        <v>1</v>
      </c>
      <c r="K557" t="b">
        <f>+ISNUMBER(SEARCH('F-COMPRA'!$F$30,Tabla11[[#This Row],[Cuenta]],1))</f>
        <v>1</v>
      </c>
      <c r="L557" t="b">
        <f>+ISNUMBER(SEARCH('F-COMPRA'!$F$31,Tabla11[[#This Row],[Cuenta]],1))</f>
        <v>1</v>
      </c>
      <c r="M557" t="b">
        <f>+ISNUMBER(SEARCH('F-COMPRA'!$G$25,Tabla11[[#This Row],[Cuenta]],1))</f>
        <v>0</v>
      </c>
      <c r="N557" t="b">
        <f>+ISNUMBER(SEARCH(#REF!,Tabla11[[#This Row],[Cuenta]],1))</f>
        <v>0</v>
      </c>
      <c r="O557" t="b">
        <f>+ISNUMBER(SEARCH(#REF!,Tabla11[[#This Row],[Cuenta]],1))</f>
        <v>0</v>
      </c>
      <c r="P557" t="b">
        <f>+ISNUMBER(SEARCH('F-COMPRA'!$F$32,Tabla11[[#This Row],[Cuenta]],1))</f>
        <v>1</v>
      </c>
      <c r="Q557" t="b">
        <f>+ISNUMBER(SEARCH('F-COMPRA'!$F$33,Tabla11[[#This Row],[Cuenta]],1))</f>
        <v>1</v>
      </c>
      <c r="R557" t="b">
        <f>+ISNUMBER(SEARCH('F-COMPRA'!$F$34,Tabla11[[#This Row],[Cuenta]],1))</f>
        <v>1</v>
      </c>
      <c r="S557" t="b">
        <f>+ISNUMBER(SEARCH('F-COMPRA'!$F$35,Tabla11[[#This Row],[Cuenta]],1))</f>
        <v>1</v>
      </c>
      <c r="T557" t="b">
        <f>+ISNUMBER(SEARCH('F-COMPRA'!$F$36,Tabla11[[#This Row],[Cuenta]],1))</f>
        <v>1</v>
      </c>
      <c r="U557" t="b">
        <f>+ISNUMBER(SEARCH('F-COMPRA'!$F$37,Tabla11[[#This Row],[Cuenta]],1))</f>
        <v>1</v>
      </c>
      <c r="V557" t="b">
        <f>+ISNUMBER(SEARCH(#REF!,Tabla11[[#This Row],[Cuenta]],1))</f>
        <v>0</v>
      </c>
      <c r="W557" t="b">
        <f>+ISNUMBER(SEARCH('F-COMPRA'!#REF!,Tabla11[[#This Row],[Cuenta]],1))</f>
        <v>0</v>
      </c>
      <c r="X557" t="b">
        <f>+ISNUMBER(SEARCH('F-COMPRA'!#REF!,Tabla11[[#This Row],[Cuenta]],1))</f>
        <v>0</v>
      </c>
      <c r="Y557" t="b">
        <f>+ISNUMBER(SEARCH('F-COMPRA'!#REF!,Tabla11[[#This Row],[Cuenta]],1))</f>
        <v>0</v>
      </c>
      <c r="Z557" t="b">
        <f>+ISNUMBER(SEARCH('F-COMPRA'!#REF!,Tabla11[[#This Row],[Cuenta]],1))</f>
        <v>0</v>
      </c>
      <c r="AA557" t="b">
        <f>+ISNUMBER(SEARCH('F-COMPRA'!#REF!,Tabla11[[#This Row],[Cuenta]],1))</f>
        <v>0</v>
      </c>
      <c r="AB557" t="b">
        <f>+ISNUMBER(SEARCH('F-COMPRA'!#REF!,Tabla11[[#This Row],[Cuenta]],1))</f>
        <v>0</v>
      </c>
      <c r="AC557" t="b">
        <f>+ISNUMBER(SEARCH('F-COMPRA'!#REF!,Tabla11[[#This Row],[Cuenta]],1))</f>
        <v>0</v>
      </c>
      <c r="AD557" t="b">
        <f>+ISNUMBER(SEARCH('F-COMPRA'!#REF!,Tabla11[[#This Row],[Cuenta]],1))</f>
        <v>0</v>
      </c>
      <c r="AE557" t="b">
        <f>+ISNUMBER(SEARCH('F-COMPRA'!#REF!,Tabla11[[#This Row],[Cuenta]],1))</f>
        <v>0</v>
      </c>
      <c r="AF557" t="b">
        <f>+ISNUMBER(SEARCH('F-VTA'!$G$23,Tabla11[[#This Row],[Cuenta]],1))</f>
        <v>0</v>
      </c>
      <c r="AG557" t="b">
        <f>+ISNUMBER(SEARCH('F-VTA'!$G$24,Tabla11[[#This Row],[Cuenta]],1))</f>
        <v>0</v>
      </c>
      <c r="AH557" t="b">
        <f>+ISNUMBER(SEARCH('F-VTA'!$G$25,Tabla11[[#This Row],[Cuenta]],1))</f>
        <v>0</v>
      </c>
      <c r="AI557" t="b">
        <f>+ISNUMBER(SEARCH('F-VTA'!$F$28,Tabla11[[#This Row],[Cuenta]],1))</f>
        <v>1</v>
      </c>
      <c r="AJ557" t="b">
        <f>+ISNUMBER(SEARCH('F-VTA'!$F$29,Tabla11[[#This Row],[Cuenta]],1))</f>
        <v>1</v>
      </c>
      <c r="AK557" t="b">
        <f>+ISNUMBER(SEARCH('F-VTA'!$F$30,Tabla11[[#This Row],[Cuenta]],1))</f>
        <v>1</v>
      </c>
      <c r="AL557" t="b">
        <f>+ISNUMBER(SEARCH('F-VTA'!$F$31,Tabla11[[#This Row],[Cuenta]],1))</f>
        <v>1</v>
      </c>
      <c r="AM557" t="b">
        <f>+ISNUMBER(SEARCH('F-VTA'!$F$32,Tabla11[[#This Row],[Cuenta]],1))</f>
        <v>1</v>
      </c>
      <c r="AN557" t="b">
        <f>+ISNUMBER(SEARCH('F-VTA'!$F$33,Tabla11[[#This Row],[Cuenta]],1))</f>
        <v>1</v>
      </c>
      <c r="AO557" t="b">
        <f>+ISNUMBER(SEARCH('F-VTA'!$F$34,Tabla11[[#This Row],[Cuenta]],1))</f>
        <v>1</v>
      </c>
      <c r="AP557" t="b">
        <f>+ISNUMBER(SEARCH('F-VTA'!$F$35,Tabla11[[#This Row],[Cuenta]],1))</f>
        <v>1</v>
      </c>
      <c r="AQ557" t="b">
        <f>+ISNUMBER(SEARCH('F-VTA'!$F$36,Tabla11[[#This Row],[Cuenta]],1))</f>
        <v>1</v>
      </c>
      <c r="AR557" t="b">
        <f>+ISNUMBER(SEARCH(#REF!,Tabla11[[#This Row],[Cuenta]],1))</f>
        <v>0</v>
      </c>
      <c r="AS557" t="b">
        <f>+ISNUMBER(SEARCH(#REF!,Tabla11[[#This Row],[Cuenta]],1))</f>
        <v>0</v>
      </c>
      <c r="AT557" t="b">
        <f>+ISNUMBER(SEARCH(#REF!,Tabla11[[#This Row],[Cuenta]],1))</f>
        <v>0</v>
      </c>
      <c r="AU557" t="b">
        <f>+ISNUMBER(SEARCH('Conc. Ban.1'!$I$9,Tabla11[[#This Row],[Cuenta]],1))</f>
        <v>0</v>
      </c>
      <c r="AV557" t="b">
        <f>+ISNUMBER(SEARCH(CompConta!$F$21,Tabla11[[#This Row],[Cuenta]],1))</f>
        <v>1</v>
      </c>
      <c r="AW557" t="b">
        <f>+ISNUMBER(SEARCH(CompConta!$F$22,Tabla11[[#This Row],[Cuenta]],1))</f>
        <v>1</v>
      </c>
      <c r="AX557" t="b">
        <f>+ISNUMBER(SEARCH(CompConta!$F$23,Tabla11[[#This Row],[Cuenta]],1))</f>
        <v>1</v>
      </c>
      <c r="AY557" t="b">
        <f>+ISNUMBER(SEARCH(CompConta!$F$24,Tabla11[[#This Row],[Cuenta]],1))</f>
        <v>1</v>
      </c>
      <c r="AZ557" t="b">
        <f>+ISNUMBER(SEARCH(CompConta!$F$25,Tabla11[[#This Row],[Cuenta]],1))</f>
        <v>1</v>
      </c>
      <c r="BA557" t="b">
        <f>+ISNUMBER(SEARCH(CompConta!$F$26,Tabla11[[#This Row],[Cuenta]],1))</f>
        <v>1</v>
      </c>
      <c r="BB557" t="b">
        <f>+ISNUMBER(SEARCH(CompConta!$F$27,Tabla11[[#This Row],[Cuenta]],1))</f>
        <v>1</v>
      </c>
      <c r="BC557" t="b">
        <f>+ISNUMBER(SEARCH(CompConta!$F$28,Tabla11[[#This Row],[Cuenta]],1))</f>
        <v>1</v>
      </c>
      <c r="BD557" t="b">
        <f>+ISNUMBER(SEARCH(CompConta!$F$29,Tabla11[[#This Row],[Cuenta]],1))</f>
        <v>1</v>
      </c>
      <c r="BE557" t="b">
        <f>+ISNUMBER(SEARCH(CompConta!$F$30,Tabla11[[#This Row],[Cuenta]],1))</f>
        <v>1</v>
      </c>
      <c r="BF557" t="b">
        <f>+ISNUMBER(SEARCH('PAGO Compras'!$E$11,Tabla11[[#This Row],[Cuenta]],1))</f>
        <v>1</v>
      </c>
      <c r="BG557" t="b">
        <f>+ISNUMBER(SEARCH(#REF!,Tabla11[[#This Row],[Cuenta]],1))</f>
        <v>0</v>
      </c>
      <c r="BH557" t="b">
        <f>+ISNUMBER(SEARCH(#REF!,Tabla11[[#This Row],[Cuenta]],1))</f>
        <v>0</v>
      </c>
      <c r="BI557" t="b">
        <f>+ISNUMBER(SEARCH(#REF!,Tabla11[[#This Row],[Cuenta]],1))</f>
        <v>0</v>
      </c>
      <c r="BJ557" t="b">
        <f>+ISNUMBER(SEARCH(#REF!,Tabla11[[#This Row],[Cuenta]],1))</f>
        <v>0</v>
      </c>
      <c r="BS557" t="str">
        <v>263035 Equipo de hoteles y restaurantes</v>
      </c>
      <c r="BT557" t="str">
        <v>263035 Equipo de hoteles y restaurantes</v>
      </c>
      <c r="BU557" t="str">
        <v>263035 Equipo de hoteles y restaurantes</v>
      </c>
      <c r="BV557" t="str">
        <v>263035 Equipo de hoteles y restaurantes</v>
      </c>
      <c r="BZ557" t="str">
        <v>263035 Equipo de hoteles y restaurantes</v>
      </c>
      <c r="CA557" t="str">
        <v>263035 Equipo de hoteles y restaurantes</v>
      </c>
      <c r="CB557" t="str">
        <v>263035 Equipo de hoteles y restaurantes</v>
      </c>
      <c r="CC557" t="str">
        <v>263035 Equipo de hoteles y restaurantes</v>
      </c>
      <c r="CD557" t="str">
        <v>263035 Equipo de hoteles y restaurantes</v>
      </c>
      <c r="CE557" t="str">
        <v>263035 Equipo de hoteles y restaurantes</v>
      </c>
      <c r="CS557" s="141" t="str">
        <v>263035 Equipo de hoteles y restaurantes</v>
      </c>
      <c r="CT557" s="141" t="str">
        <v>263035 Equipo de hoteles y restaurantes</v>
      </c>
      <c r="CU557" s="141" t="str">
        <v>263035 Equipo de hoteles y restaurantes</v>
      </c>
      <c r="CV557" s="141" t="str">
        <v>263035 Equipo de hoteles y restaurantes</v>
      </c>
      <c r="CW557" s="141" t="str">
        <v>263035 Equipo de hoteles y restaurantes</v>
      </c>
      <c r="CX557" s="141" t="str">
        <v>263035 Equipo de hoteles y restaurantes</v>
      </c>
      <c r="CY557" s="141" t="str">
        <v>263035 Equipo de hoteles y restaurantes</v>
      </c>
      <c r="CZ557" s="141" t="str">
        <v>263035 Equipo de hoteles y restaurantes</v>
      </c>
      <c r="DA557" s="141" t="str">
        <v>263035 Equipo de hoteles y restaurantes</v>
      </c>
      <c r="DF557" t="str">
        <v>263035 Equipo de hoteles y restaurantes</v>
      </c>
      <c r="DG557" t="str">
        <v>263035 Equipo de hoteles y restaurantes</v>
      </c>
      <c r="DH557" t="str">
        <v>263035 Equipo de hoteles y restaurantes</v>
      </c>
      <c r="DI557" t="str">
        <v>263035 Equipo de hoteles y restaurantes</v>
      </c>
      <c r="DJ557" t="str">
        <v>263035 Equipo de hoteles y restaurantes</v>
      </c>
      <c r="DK557" t="str">
        <v>263035 Equipo de hoteles y restaurantes</v>
      </c>
      <c r="DL557" t="str">
        <v>263035 Equipo de hoteles y restaurantes</v>
      </c>
      <c r="DM557" t="str">
        <v>263035 Equipo de hoteles y restaurantes</v>
      </c>
      <c r="DN557" t="str">
        <v>263035 Equipo de hoteles y restaurantes</v>
      </c>
      <c r="DO557" t="str">
        <v>263035 Equipo de hoteles y restaurantes</v>
      </c>
      <c r="DP557" t="str">
        <v>263035 Equipo de hoteles y restaurantes</v>
      </c>
    </row>
    <row r="558" spans="4:120" ht="12.75">
      <c r="D558" s="7">
        <v>263040</v>
      </c>
      <c r="E558" s="6" t="s">
        <v>133</v>
      </c>
      <c r="F558" s="5">
        <v>4</v>
      </c>
      <c r="G558" s="34" t="s">
        <v>824</v>
      </c>
      <c r="H558" s="26" t="s">
        <v>765</v>
      </c>
      <c r="I558" t="b">
        <f>+ISNUMBER(SEARCH('F-COMPRA'!$F$28,Tabla11[[#This Row],[Cuenta]],1))</f>
        <v>1</v>
      </c>
      <c r="J558" t="b">
        <f>+ISNUMBER(SEARCH('F-COMPRA'!$F$29,Tabla11[[#This Row],[Cuenta]],1))</f>
        <v>1</v>
      </c>
      <c r="K558" t="b">
        <f>+ISNUMBER(SEARCH('F-COMPRA'!$F$30,Tabla11[[#This Row],[Cuenta]],1))</f>
        <v>1</v>
      </c>
      <c r="L558" t="b">
        <f>+ISNUMBER(SEARCH('F-COMPRA'!$F$31,Tabla11[[#This Row],[Cuenta]],1))</f>
        <v>1</v>
      </c>
      <c r="M558" t="b">
        <f>+ISNUMBER(SEARCH('F-COMPRA'!$G$25,Tabla11[[#This Row],[Cuenta]],1))</f>
        <v>0</v>
      </c>
      <c r="N558" t="b">
        <f>+ISNUMBER(SEARCH(#REF!,Tabla11[[#This Row],[Cuenta]],1))</f>
        <v>0</v>
      </c>
      <c r="O558" t="b">
        <f>+ISNUMBER(SEARCH(#REF!,Tabla11[[#This Row],[Cuenta]],1))</f>
        <v>0</v>
      </c>
      <c r="P558" t="b">
        <f>+ISNUMBER(SEARCH('F-COMPRA'!$F$32,Tabla11[[#This Row],[Cuenta]],1))</f>
        <v>1</v>
      </c>
      <c r="Q558" t="b">
        <f>+ISNUMBER(SEARCH('F-COMPRA'!$F$33,Tabla11[[#This Row],[Cuenta]],1))</f>
        <v>1</v>
      </c>
      <c r="R558" t="b">
        <f>+ISNUMBER(SEARCH('F-COMPRA'!$F$34,Tabla11[[#This Row],[Cuenta]],1))</f>
        <v>1</v>
      </c>
      <c r="S558" t="b">
        <f>+ISNUMBER(SEARCH('F-COMPRA'!$F$35,Tabla11[[#This Row],[Cuenta]],1))</f>
        <v>1</v>
      </c>
      <c r="T558" t="b">
        <f>+ISNUMBER(SEARCH('F-COMPRA'!$F$36,Tabla11[[#This Row],[Cuenta]],1))</f>
        <v>1</v>
      </c>
      <c r="U558" t="b">
        <f>+ISNUMBER(SEARCH('F-COMPRA'!$F$37,Tabla11[[#This Row],[Cuenta]],1))</f>
        <v>1</v>
      </c>
      <c r="V558" t="b">
        <f>+ISNUMBER(SEARCH(#REF!,Tabla11[[#This Row],[Cuenta]],1))</f>
        <v>0</v>
      </c>
      <c r="W558" t="b">
        <f>+ISNUMBER(SEARCH('F-COMPRA'!#REF!,Tabla11[[#This Row],[Cuenta]],1))</f>
        <v>0</v>
      </c>
      <c r="X558" t="b">
        <f>+ISNUMBER(SEARCH('F-COMPRA'!#REF!,Tabla11[[#This Row],[Cuenta]],1))</f>
        <v>0</v>
      </c>
      <c r="Y558" t="b">
        <f>+ISNUMBER(SEARCH('F-COMPRA'!#REF!,Tabla11[[#This Row],[Cuenta]],1))</f>
        <v>0</v>
      </c>
      <c r="Z558" t="b">
        <f>+ISNUMBER(SEARCH('F-COMPRA'!#REF!,Tabla11[[#This Row],[Cuenta]],1))</f>
        <v>0</v>
      </c>
      <c r="AA558" t="b">
        <f>+ISNUMBER(SEARCH('F-COMPRA'!#REF!,Tabla11[[#This Row],[Cuenta]],1))</f>
        <v>0</v>
      </c>
      <c r="AB558" t="b">
        <f>+ISNUMBER(SEARCH('F-COMPRA'!#REF!,Tabla11[[#This Row],[Cuenta]],1))</f>
        <v>0</v>
      </c>
      <c r="AC558" t="b">
        <f>+ISNUMBER(SEARCH('F-COMPRA'!#REF!,Tabla11[[#This Row],[Cuenta]],1))</f>
        <v>0</v>
      </c>
      <c r="AD558" t="b">
        <f>+ISNUMBER(SEARCH('F-COMPRA'!#REF!,Tabla11[[#This Row],[Cuenta]],1))</f>
        <v>0</v>
      </c>
      <c r="AE558" t="b">
        <f>+ISNUMBER(SEARCH('F-COMPRA'!#REF!,Tabla11[[#This Row],[Cuenta]],1))</f>
        <v>0</v>
      </c>
      <c r="AF558" t="b">
        <f>+ISNUMBER(SEARCH('F-VTA'!$G$23,Tabla11[[#This Row],[Cuenta]],1))</f>
        <v>0</v>
      </c>
      <c r="AG558" t="b">
        <f>+ISNUMBER(SEARCH('F-VTA'!$G$24,Tabla11[[#This Row],[Cuenta]],1))</f>
        <v>0</v>
      </c>
      <c r="AH558" t="b">
        <f>+ISNUMBER(SEARCH('F-VTA'!$G$25,Tabla11[[#This Row],[Cuenta]],1))</f>
        <v>0</v>
      </c>
      <c r="AI558" t="b">
        <f>+ISNUMBER(SEARCH('F-VTA'!$F$28,Tabla11[[#This Row],[Cuenta]],1))</f>
        <v>1</v>
      </c>
      <c r="AJ558" t="b">
        <f>+ISNUMBER(SEARCH('F-VTA'!$F$29,Tabla11[[#This Row],[Cuenta]],1))</f>
        <v>1</v>
      </c>
      <c r="AK558" t="b">
        <f>+ISNUMBER(SEARCH('F-VTA'!$F$30,Tabla11[[#This Row],[Cuenta]],1))</f>
        <v>1</v>
      </c>
      <c r="AL558" t="b">
        <f>+ISNUMBER(SEARCH('F-VTA'!$F$31,Tabla11[[#This Row],[Cuenta]],1))</f>
        <v>1</v>
      </c>
      <c r="AM558" t="b">
        <f>+ISNUMBER(SEARCH('F-VTA'!$F$32,Tabla11[[#This Row],[Cuenta]],1))</f>
        <v>1</v>
      </c>
      <c r="AN558" t="b">
        <f>+ISNUMBER(SEARCH('F-VTA'!$F$33,Tabla11[[#This Row],[Cuenta]],1))</f>
        <v>1</v>
      </c>
      <c r="AO558" t="b">
        <f>+ISNUMBER(SEARCH('F-VTA'!$F$34,Tabla11[[#This Row],[Cuenta]],1))</f>
        <v>1</v>
      </c>
      <c r="AP558" t="b">
        <f>+ISNUMBER(SEARCH('F-VTA'!$F$35,Tabla11[[#This Row],[Cuenta]],1))</f>
        <v>1</v>
      </c>
      <c r="AQ558" t="b">
        <f>+ISNUMBER(SEARCH('F-VTA'!$F$36,Tabla11[[#This Row],[Cuenta]],1))</f>
        <v>1</v>
      </c>
      <c r="AR558" t="b">
        <f>+ISNUMBER(SEARCH(#REF!,Tabla11[[#This Row],[Cuenta]],1))</f>
        <v>0</v>
      </c>
      <c r="AS558" t="b">
        <f>+ISNUMBER(SEARCH(#REF!,Tabla11[[#This Row],[Cuenta]],1))</f>
        <v>0</v>
      </c>
      <c r="AT558" t="b">
        <f>+ISNUMBER(SEARCH(#REF!,Tabla11[[#This Row],[Cuenta]],1))</f>
        <v>0</v>
      </c>
      <c r="AU558" t="b">
        <f>+ISNUMBER(SEARCH('Conc. Ban.1'!$I$9,Tabla11[[#This Row],[Cuenta]],1))</f>
        <v>0</v>
      </c>
      <c r="AV558" t="b">
        <f>+ISNUMBER(SEARCH(CompConta!$F$21,Tabla11[[#This Row],[Cuenta]],1))</f>
        <v>1</v>
      </c>
      <c r="AW558" t="b">
        <f>+ISNUMBER(SEARCH(CompConta!$F$22,Tabla11[[#This Row],[Cuenta]],1))</f>
        <v>1</v>
      </c>
      <c r="AX558" t="b">
        <f>+ISNUMBER(SEARCH(CompConta!$F$23,Tabla11[[#This Row],[Cuenta]],1))</f>
        <v>1</v>
      </c>
      <c r="AY558" t="b">
        <f>+ISNUMBER(SEARCH(CompConta!$F$24,Tabla11[[#This Row],[Cuenta]],1))</f>
        <v>1</v>
      </c>
      <c r="AZ558" t="b">
        <f>+ISNUMBER(SEARCH(CompConta!$F$25,Tabla11[[#This Row],[Cuenta]],1))</f>
        <v>1</v>
      </c>
      <c r="BA558" t="b">
        <f>+ISNUMBER(SEARCH(CompConta!$F$26,Tabla11[[#This Row],[Cuenta]],1))</f>
        <v>1</v>
      </c>
      <c r="BB558" t="b">
        <f>+ISNUMBER(SEARCH(CompConta!$F$27,Tabla11[[#This Row],[Cuenta]],1))</f>
        <v>1</v>
      </c>
      <c r="BC558" t="b">
        <f>+ISNUMBER(SEARCH(CompConta!$F$28,Tabla11[[#This Row],[Cuenta]],1))</f>
        <v>1</v>
      </c>
      <c r="BD558" t="b">
        <f>+ISNUMBER(SEARCH(CompConta!$F$29,Tabla11[[#This Row],[Cuenta]],1))</f>
        <v>1</v>
      </c>
      <c r="BE558" t="b">
        <f>+ISNUMBER(SEARCH(CompConta!$F$30,Tabla11[[#This Row],[Cuenta]],1))</f>
        <v>1</v>
      </c>
      <c r="BF558" t="b">
        <f>+ISNUMBER(SEARCH('PAGO Compras'!$E$11,Tabla11[[#This Row],[Cuenta]],1))</f>
        <v>1</v>
      </c>
      <c r="BG558" t="b">
        <f>+ISNUMBER(SEARCH(#REF!,Tabla11[[#This Row],[Cuenta]],1))</f>
        <v>0</v>
      </c>
      <c r="BH558" t="b">
        <f>+ISNUMBER(SEARCH(#REF!,Tabla11[[#This Row],[Cuenta]],1))</f>
        <v>0</v>
      </c>
      <c r="BI558" t="b">
        <f>+ISNUMBER(SEARCH(#REF!,Tabla11[[#This Row],[Cuenta]],1))</f>
        <v>0</v>
      </c>
      <c r="BJ558" t="b">
        <f>+ISNUMBER(SEARCH(#REF!,Tabla11[[#This Row],[Cuenta]],1))</f>
        <v>0</v>
      </c>
      <c r="BS558" t="str">
        <v>263040 Flota y equipo de transporte</v>
      </c>
      <c r="BT558" t="str">
        <v>263040 Flota y equipo de transporte</v>
      </c>
      <c r="BU558" t="str">
        <v>263040 Flota y equipo de transporte</v>
      </c>
      <c r="BV558" t="str">
        <v>263040 Flota y equipo de transporte</v>
      </c>
      <c r="BZ558" t="str">
        <v>263040 Flota y equipo de transporte</v>
      </c>
      <c r="CA558" t="str">
        <v>263040 Flota y equipo de transporte</v>
      </c>
      <c r="CB558" t="str">
        <v>263040 Flota y equipo de transporte</v>
      </c>
      <c r="CC558" t="str">
        <v>263040 Flota y equipo de transporte</v>
      </c>
      <c r="CD558" t="str">
        <v>263040 Flota y equipo de transporte</v>
      </c>
      <c r="CE558" t="str">
        <v>263040 Flota y equipo de transporte</v>
      </c>
      <c r="CS558" s="141" t="str">
        <v>263040 Flota y equipo de transporte</v>
      </c>
      <c r="CT558" s="141" t="str">
        <v>263040 Flota y equipo de transporte</v>
      </c>
      <c r="CU558" s="141" t="str">
        <v>263040 Flota y equipo de transporte</v>
      </c>
      <c r="CV558" s="141" t="str">
        <v>263040 Flota y equipo de transporte</v>
      </c>
      <c r="CW558" s="141" t="str">
        <v>263040 Flota y equipo de transporte</v>
      </c>
      <c r="CX558" s="141" t="str">
        <v>263040 Flota y equipo de transporte</v>
      </c>
      <c r="CY558" s="141" t="str">
        <v>263040 Flota y equipo de transporte</v>
      </c>
      <c r="CZ558" s="141" t="str">
        <v>263040 Flota y equipo de transporte</v>
      </c>
      <c r="DA558" s="141" t="str">
        <v>263040 Flota y equipo de transporte</v>
      </c>
      <c r="DF558" t="str">
        <v>263040 Flota y equipo de transporte</v>
      </c>
      <c r="DG558" t="str">
        <v>263040 Flota y equipo de transporte</v>
      </c>
      <c r="DH558" t="str">
        <v>263040 Flota y equipo de transporte</v>
      </c>
      <c r="DI558" t="str">
        <v>263040 Flota y equipo de transporte</v>
      </c>
      <c r="DJ558" t="str">
        <v>263040 Flota y equipo de transporte</v>
      </c>
      <c r="DK558" t="str">
        <v>263040 Flota y equipo de transporte</v>
      </c>
      <c r="DL558" t="str">
        <v>263040 Flota y equipo de transporte</v>
      </c>
      <c r="DM558" t="str">
        <v>263040 Flota y equipo de transporte</v>
      </c>
      <c r="DN558" t="str">
        <v>263040 Flota y equipo de transporte</v>
      </c>
      <c r="DO558" t="str">
        <v>263040 Flota y equipo de transporte</v>
      </c>
      <c r="DP558" t="str">
        <v>263040 Flota y equipo de transporte</v>
      </c>
    </row>
    <row r="559" spans="4:120" ht="12.75">
      <c r="D559" s="7">
        <v>263045</v>
      </c>
      <c r="E559" s="6" t="s">
        <v>134</v>
      </c>
      <c r="F559" s="5">
        <v>4</v>
      </c>
      <c r="G559" s="34" t="s">
        <v>824</v>
      </c>
      <c r="H559" s="26" t="s">
        <v>765</v>
      </c>
      <c r="I559" t="b">
        <f>+ISNUMBER(SEARCH('F-COMPRA'!$F$28,Tabla11[[#This Row],[Cuenta]],1))</f>
        <v>1</v>
      </c>
      <c r="J559" t="b">
        <f>+ISNUMBER(SEARCH('F-COMPRA'!$F$29,Tabla11[[#This Row],[Cuenta]],1))</f>
        <v>1</v>
      </c>
      <c r="K559" t="b">
        <f>+ISNUMBER(SEARCH('F-COMPRA'!$F$30,Tabla11[[#This Row],[Cuenta]],1))</f>
        <v>1</v>
      </c>
      <c r="L559" t="b">
        <f>+ISNUMBER(SEARCH('F-COMPRA'!$F$31,Tabla11[[#This Row],[Cuenta]],1))</f>
        <v>1</v>
      </c>
      <c r="M559" t="b">
        <f>+ISNUMBER(SEARCH('F-COMPRA'!$G$25,Tabla11[[#This Row],[Cuenta]],1))</f>
        <v>0</v>
      </c>
      <c r="N559" t="b">
        <f>+ISNUMBER(SEARCH(#REF!,Tabla11[[#This Row],[Cuenta]],1))</f>
        <v>0</v>
      </c>
      <c r="O559" t="b">
        <f>+ISNUMBER(SEARCH(#REF!,Tabla11[[#This Row],[Cuenta]],1))</f>
        <v>0</v>
      </c>
      <c r="P559" t="b">
        <f>+ISNUMBER(SEARCH('F-COMPRA'!$F$32,Tabla11[[#This Row],[Cuenta]],1))</f>
        <v>1</v>
      </c>
      <c r="Q559" t="b">
        <f>+ISNUMBER(SEARCH('F-COMPRA'!$F$33,Tabla11[[#This Row],[Cuenta]],1))</f>
        <v>1</v>
      </c>
      <c r="R559" t="b">
        <f>+ISNUMBER(SEARCH('F-COMPRA'!$F$34,Tabla11[[#This Row],[Cuenta]],1))</f>
        <v>1</v>
      </c>
      <c r="S559" t="b">
        <f>+ISNUMBER(SEARCH('F-COMPRA'!$F$35,Tabla11[[#This Row],[Cuenta]],1))</f>
        <v>1</v>
      </c>
      <c r="T559" t="b">
        <f>+ISNUMBER(SEARCH('F-COMPRA'!$F$36,Tabla11[[#This Row],[Cuenta]],1))</f>
        <v>1</v>
      </c>
      <c r="U559" t="b">
        <f>+ISNUMBER(SEARCH('F-COMPRA'!$F$37,Tabla11[[#This Row],[Cuenta]],1))</f>
        <v>1</v>
      </c>
      <c r="V559" t="b">
        <f>+ISNUMBER(SEARCH(#REF!,Tabla11[[#This Row],[Cuenta]],1))</f>
        <v>0</v>
      </c>
      <c r="W559" t="b">
        <f>+ISNUMBER(SEARCH('F-COMPRA'!#REF!,Tabla11[[#This Row],[Cuenta]],1))</f>
        <v>0</v>
      </c>
      <c r="X559" t="b">
        <f>+ISNUMBER(SEARCH('F-COMPRA'!#REF!,Tabla11[[#This Row],[Cuenta]],1))</f>
        <v>0</v>
      </c>
      <c r="Y559" t="b">
        <f>+ISNUMBER(SEARCH('F-COMPRA'!#REF!,Tabla11[[#This Row],[Cuenta]],1))</f>
        <v>0</v>
      </c>
      <c r="Z559" t="b">
        <f>+ISNUMBER(SEARCH('F-COMPRA'!#REF!,Tabla11[[#This Row],[Cuenta]],1))</f>
        <v>0</v>
      </c>
      <c r="AA559" t="b">
        <f>+ISNUMBER(SEARCH('F-COMPRA'!#REF!,Tabla11[[#This Row],[Cuenta]],1))</f>
        <v>0</v>
      </c>
      <c r="AB559" t="b">
        <f>+ISNUMBER(SEARCH('F-COMPRA'!#REF!,Tabla11[[#This Row],[Cuenta]],1))</f>
        <v>0</v>
      </c>
      <c r="AC559" t="b">
        <f>+ISNUMBER(SEARCH('F-COMPRA'!#REF!,Tabla11[[#This Row],[Cuenta]],1))</f>
        <v>0</v>
      </c>
      <c r="AD559" t="b">
        <f>+ISNUMBER(SEARCH('F-COMPRA'!#REF!,Tabla11[[#This Row],[Cuenta]],1))</f>
        <v>0</v>
      </c>
      <c r="AE559" t="b">
        <f>+ISNUMBER(SEARCH('F-COMPRA'!#REF!,Tabla11[[#This Row],[Cuenta]],1))</f>
        <v>0</v>
      </c>
      <c r="AF559" t="b">
        <f>+ISNUMBER(SEARCH('F-VTA'!$G$23,Tabla11[[#This Row],[Cuenta]],1))</f>
        <v>0</v>
      </c>
      <c r="AG559" t="b">
        <f>+ISNUMBER(SEARCH('F-VTA'!$G$24,Tabla11[[#This Row],[Cuenta]],1))</f>
        <v>0</v>
      </c>
      <c r="AH559" t="b">
        <f>+ISNUMBER(SEARCH('F-VTA'!$G$25,Tabla11[[#This Row],[Cuenta]],1))</f>
        <v>0</v>
      </c>
      <c r="AI559" t="b">
        <f>+ISNUMBER(SEARCH('F-VTA'!$F$28,Tabla11[[#This Row],[Cuenta]],1))</f>
        <v>1</v>
      </c>
      <c r="AJ559" t="b">
        <f>+ISNUMBER(SEARCH('F-VTA'!$F$29,Tabla11[[#This Row],[Cuenta]],1))</f>
        <v>1</v>
      </c>
      <c r="AK559" t="b">
        <f>+ISNUMBER(SEARCH('F-VTA'!$F$30,Tabla11[[#This Row],[Cuenta]],1))</f>
        <v>1</v>
      </c>
      <c r="AL559" t="b">
        <f>+ISNUMBER(SEARCH('F-VTA'!$F$31,Tabla11[[#This Row],[Cuenta]],1))</f>
        <v>1</v>
      </c>
      <c r="AM559" t="b">
        <f>+ISNUMBER(SEARCH('F-VTA'!$F$32,Tabla11[[#This Row],[Cuenta]],1))</f>
        <v>1</v>
      </c>
      <c r="AN559" t="b">
        <f>+ISNUMBER(SEARCH('F-VTA'!$F$33,Tabla11[[#This Row],[Cuenta]],1))</f>
        <v>1</v>
      </c>
      <c r="AO559" t="b">
        <f>+ISNUMBER(SEARCH('F-VTA'!$F$34,Tabla11[[#This Row],[Cuenta]],1))</f>
        <v>1</v>
      </c>
      <c r="AP559" t="b">
        <f>+ISNUMBER(SEARCH('F-VTA'!$F$35,Tabla11[[#This Row],[Cuenta]],1))</f>
        <v>1</v>
      </c>
      <c r="AQ559" t="b">
        <f>+ISNUMBER(SEARCH('F-VTA'!$F$36,Tabla11[[#This Row],[Cuenta]],1))</f>
        <v>1</v>
      </c>
      <c r="AR559" t="b">
        <f>+ISNUMBER(SEARCH(#REF!,Tabla11[[#This Row],[Cuenta]],1))</f>
        <v>0</v>
      </c>
      <c r="AS559" t="b">
        <f>+ISNUMBER(SEARCH(#REF!,Tabla11[[#This Row],[Cuenta]],1))</f>
        <v>0</v>
      </c>
      <c r="AT559" t="b">
        <f>+ISNUMBER(SEARCH(#REF!,Tabla11[[#This Row],[Cuenta]],1))</f>
        <v>0</v>
      </c>
      <c r="AU559" t="b">
        <f>+ISNUMBER(SEARCH('Conc. Ban.1'!$I$9,Tabla11[[#This Row],[Cuenta]],1))</f>
        <v>0</v>
      </c>
      <c r="AV559" t="b">
        <f>+ISNUMBER(SEARCH(CompConta!$F$21,Tabla11[[#This Row],[Cuenta]],1))</f>
        <v>1</v>
      </c>
      <c r="AW559" t="b">
        <f>+ISNUMBER(SEARCH(CompConta!$F$22,Tabla11[[#This Row],[Cuenta]],1))</f>
        <v>1</v>
      </c>
      <c r="AX559" t="b">
        <f>+ISNUMBER(SEARCH(CompConta!$F$23,Tabla11[[#This Row],[Cuenta]],1))</f>
        <v>1</v>
      </c>
      <c r="AY559" t="b">
        <f>+ISNUMBER(SEARCH(CompConta!$F$24,Tabla11[[#This Row],[Cuenta]],1))</f>
        <v>1</v>
      </c>
      <c r="AZ559" t="b">
        <f>+ISNUMBER(SEARCH(CompConta!$F$25,Tabla11[[#This Row],[Cuenta]],1))</f>
        <v>1</v>
      </c>
      <c r="BA559" t="b">
        <f>+ISNUMBER(SEARCH(CompConta!$F$26,Tabla11[[#This Row],[Cuenta]],1))</f>
        <v>1</v>
      </c>
      <c r="BB559" t="b">
        <f>+ISNUMBER(SEARCH(CompConta!$F$27,Tabla11[[#This Row],[Cuenta]],1))</f>
        <v>1</v>
      </c>
      <c r="BC559" t="b">
        <f>+ISNUMBER(SEARCH(CompConta!$F$28,Tabla11[[#This Row],[Cuenta]],1))</f>
        <v>1</v>
      </c>
      <c r="BD559" t="b">
        <f>+ISNUMBER(SEARCH(CompConta!$F$29,Tabla11[[#This Row],[Cuenta]],1))</f>
        <v>1</v>
      </c>
      <c r="BE559" t="b">
        <f>+ISNUMBER(SEARCH(CompConta!$F$30,Tabla11[[#This Row],[Cuenta]],1))</f>
        <v>1</v>
      </c>
      <c r="BF559" t="b">
        <f>+ISNUMBER(SEARCH('PAGO Compras'!$E$11,Tabla11[[#This Row],[Cuenta]],1))</f>
        <v>1</v>
      </c>
      <c r="BG559" t="b">
        <f>+ISNUMBER(SEARCH(#REF!,Tabla11[[#This Row],[Cuenta]],1))</f>
        <v>0</v>
      </c>
      <c r="BH559" t="b">
        <f>+ISNUMBER(SEARCH(#REF!,Tabla11[[#This Row],[Cuenta]],1))</f>
        <v>0</v>
      </c>
      <c r="BI559" t="b">
        <f>+ISNUMBER(SEARCH(#REF!,Tabla11[[#This Row],[Cuenta]],1))</f>
        <v>0</v>
      </c>
      <c r="BJ559" t="b">
        <f>+ISNUMBER(SEARCH(#REF!,Tabla11[[#This Row],[Cuenta]],1))</f>
        <v>0</v>
      </c>
      <c r="BS559" t="str">
        <v>263045 Flota y equipo fluvial y/o marítimo</v>
      </c>
      <c r="BT559" t="str">
        <v>263045 Flota y equipo fluvial y/o marítimo</v>
      </c>
      <c r="BU559" t="str">
        <v>263045 Flota y equipo fluvial y/o marítimo</v>
      </c>
      <c r="BV559" t="str">
        <v>263045 Flota y equipo fluvial y/o marítimo</v>
      </c>
      <c r="BZ559" t="str">
        <v>263045 Flota y equipo fluvial y/o marítimo</v>
      </c>
      <c r="CA559" t="str">
        <v>263045 Flota y equipo fluvial y/o marítimo</v>
      </c>
      <c r="CB559" t="str">
        <v>263045 Flota y equipo fluvial y/o marítimo</v>
      </c>
      <c r="CC559" t="str">
        <v>263045 Flota y equipo fluvial y/o marítimo</v>
      </c>
      <c r="CD559" t="str">
        <v>263045 Flota y equipo fluvial y/o marítimo</v>
      </c>
      <c r="CE559" t="str">
        <v>263045 Flota y equipo fluvial y/o marítimo</v>
      </c>
      <c r="CS559" s="141" t="str">
        <v>263045 Flota y equipo fluvial y/o marítimo</v>
      </c>
      <c r="CT559" s="141" t="str">
        <v>263045 Flota y equipo fluvial y/o marítimo</v>
      </c>
      <c r="CU559" s="141" t="str">
        <v>263045 Flota y equipo fluvial y/o marítimo</v>
      </c>
      <c r="CV559" s="141" t="str">
        <v>263045 Flota y equipo fluvial y/o marítimo</v>
      </c>
      <c r="CW559" s="141" t="str">
        <v>263045 Flota y equipo fluvial y/o marítimo</v>
      </c>
      <c r="CX559" s="141" t="str">
        <v>263045 Flota y equipo fluvial y/o marítimo</v>
      </c>
      <c r="CY559" s="141" t="str">
        <v>263045 Flota y equipo fluvial y/o marítimo</v>
      </c>
      <c r="CZ559" s="141" t="str">
        <v>263045 Flota y equipo fluvial y/o marítimo</v>
      </c>
      <c r="DA559" s="141" t="str">
        <v>263045 Flota y equipo fluvial y/o marítimo</v>
      </c>
      <c r="DF559" t="str">
        <v>263045 Flota y equipo fluvial y/o marítimo</v>
      </c>
      <c r="DG559" t="str">
        <v>263045 Flota y equipo fluvial y/o marítimo</v>
      </c>
      <c r="DH559" t="str">
        <v>263045 Flota y equipo fluvial y/o marítimo</v>
      </c>
      <c r="DI559" t="str">
        <v>263045 Flota y equipo fluvial y/o marítimo</v>
      </c>
      <c r="DJ559" t="str">
        <v>263045 Flota y equipo fluvial y/o marítimo</v>
      </c>
      <c r="DK559" t="str">
        <v>263045 Flota y equipo fluvial y/o marítimo</v>
      </c>
      <c r="DL559" t="str">
        <v>263045 Flota y equipo fluvial y/o marítimo</v>
      </c>
      <c r="DM559" t="str">
        <v>263045 Flota y equipo fluvial y/o marítimo</v>
      </c>
      <c r="DN559" t="str">
        <v>263045 Flota y equipo fluvial y/o marítimo</v>
      </c>
      <c r="DO559" t="str">
        <v>263045 Flota y equipo fluvial y/o marítimo</v>
      </c>
      <c r="DP559" t="str">
        <v>263045 Flota y equipo fluvial y/o marítimo</v>
      </c>
    </row>
    <row r="560" spans="4:120" ht="12.75">
      <c r="D560" s="7">
        <v>263050</v>
      </c>
      <c r="E560" s="6" t="s">
        <v>135</v>
      </c>
      <c r="F560" s="5">
        <v>4</v>
      </c>
      <c r="G560" s="34" t="s">
        <v>824</v>
      </c>
      <c r="H560" s="26" t="s">
        <v>765</v>
      </c>
      <c r="I560" t="b">
        <f>+ISNUMBER(SEARCH('F-COMPRA'!$F$28,Tabla11[[#This Row],[Cuenta]],1))</f>
        <v>1</v>
      </c>
      <c r="J560" t="b">
        <f>+ISNUMBER(SEARCH('F-COMPRA'!$F$29,Tabla11[[#This Row],[Cuenta]],1))</f>
        <v>1</v>
      </c>
      <c r="K560" t="b">
        <f>+ISNUMBER(SEARCH('F-COMPRA'!$F$30,Tabla11[[#This Row],[Cuenta]],1))</f>
        <v>1</v>
      </c>
      <c r="L560" t="b">
        <f>+ISNUMBER(SEARCH('F-COMPRA'!$F$31,Tabla11[[#This Row],[Cuenta]],1))</f>
        <v>1</v>
      </c>
      <c r="M560" t="b">
        <f>+ISNUMBER(SEARCH('F-COMPRA'!$G$25,Tabla11[[#This Row],[Cuenta]],1))</f>
        <v>0</v>
      </c>
      <c r="N560" t="b">
        <f>+ISNUMBER(SEARCH(#REF!,Tabla11[[#This Row],[Cuenta]],1))</f>
        <v>0</v>
      </c>
      <c r="O560" t="b">
        <f>+ISNUMBER(SEARCH(#REF!,Tabla11[[#This Row],[Cuenta]],1))</f>
        <v>0</v>
      </c>
      <c r="P560" t="b">
        <f>+ISNUMBER(SEARCH('F-COMPRA'!$F$32,Tabla11[[#This Row],[Cuenta]],1))</f>
        <v>1</v>
      </c>
      <c r="Q560" t="b">
        <f>+ISNUMBER(SEARCH('F-COMPRA'!$F$33,Tabla11[[#This Row],[Cuenta]],1))</f>
        <v>1</v>
      </c>
      <c r="R560" t="b">
        <f>+ISNUMBER(SEARCH('F-COMPRA'!$F$34,Tabla11[[#This Row],[Cuenta]],1))</f>
        <v>1</v>
      </c>
      <c r="S560" t="b">
        <f>+ISNUMBER(SEARCH('F-COMPRA'!$F$35,Tabla11[[#This Row],[Cuenta]],1))</f>
        <v>1</v>
      </c>
      <c r="T560" t="b">
        <f>+ISNUMBER(SEARCH('F-COMPRA'!$F$36,Tabla11[[#This Row],[Cuenta]],1))</f>
        <v>1</v>
      </c>
      <c r="U560" t="b">
        <f>+ISNUMBER(SEARCH('F-COMPRA'!$F$37,Tabla11[[#This Row],[Cuenta]],1))</f>
        <v>1</v>
      </c>
      <c r="V560" t="b">
        <f>+ISNUMBER(SEARCH(#REF!,Tabla11[[#This Row],[Cuenta]],1))</f>
        <v>0</v>
      </c>
      <c r="W560" t="b">
        <f>+ISNUMBER(SEARCH('F-COMPRA'!#REF!,Tabla11[[#This Row],[Cuenta]],1))</f>
        <v>0</v>
      </c>
      <c r="X560" t="b">
        <f>+ISNUMBER(SEARCH('F-COMPRA'!#REF!,Tabla11[[#This Row],[Cuenta]],1))</f>
        <v>0</v>
      </c>
      <c r="Y560" t="b">
        <f>+ISNUMBER(SEARCH('F-COMPRA'!#REF!,Tabla11[[#This Row],[Cuenta]],1))</f>
        <v>0</v>
      </c>
      <c r="Z560" t="b">
        <f>+ISNUMBER(SEARCH('F-COMPRA'!#REF!,Tabla11[[#This Row],[Cuenta]],1))</f>
        <v>0</v>
      </c>
      <c r="AA560" t="b">
        <f>+ISNUMBER(SEARCH('F-COMPRA'!#REF!,Tabla11[[#This Row],[Cuenta]],1))</f>
        <v>0</v>
      </c>
      <c r="AB560" t="b">
        <f>+ISNUMBER(SEARCH('F-COMPRA'!#REF!,Tabla11[[#This Row],[Cuenta]],1))</f>
        <v>0</v>
      </c>
      <c r="AC560" t="b">
        <f>+ISNUMBER(SEARCH('F-COMPRA'!#REF!,Tabla11[[#This Row],[Cuenta]],1))</f>
        <v>0</v>
      </c>
      <c r="AD560" t="b">
        <f>+ISNUMBER(SEARCH('F-COMPRA'!#REF!,Tabla11[[#This Row],[Cuenta]],1))</f>
        <v>0</v>
      </c>
      <c r="AE560" t="b">
        <f>+ISNUMBER(SEARCH('F-COMPRA'!#REF!,Tabla11[[#This Row],[Cuenta]],1))</f>
        <v>0</v>
      </c>
      <c r="AF560" t="b">
        <f>+ISNUMBER(SEARCH('F-VTA'!$G$23,Tabla11[[#This Row],[Cuenta]],1))</f>
        <v>0</v>
      </c>
      <c r="AG560" t="b">
        <f>+ISNUMBER(SEARCH('F-VTA'!$G$24,Tabla11[[#This Row],[Cuenta]],1))</f>
        <v>0</v>
      </c>
      <c r="AH560" t="b">
        <f>+ISNUMBER(SEARCH('F-VTA'!$G$25,Tabla11[[#This Row],[Cuenta]],1))</f>
        <v>0</v>
      </c>
      <c r="AI560" t="b">
        <f>+ISNUMBER(SEARCH('F-VTA'!$F$28,Tabla11[[#This Row],[Cuenta]],1))</f>
        <v>1</v>
      </c>
      <c r="AJ560" t="b">
        <f>+ISNUMBER(SEARCH('F-VTA'!$F$29,Tabla11[[#This Row],[Cuenta]],1))</f>
        <v>1</v>
      </c>
      <c r="AK560" t="b">
        <f>+ISNUMBER(SEARCH('F-VTA'!$F$30,Tabla11[[#This Row],[Cuenta]],1))</f>
        <v>1</v>
      </c>
      <c r="AL560" t="b">
        <f>+ISNUMBER(SEARCH('F-VTA'!$F$31,Tabla11[[#This Row],[Cuenta]],1))</f>
        <v>1</v>
      </c>
      <c r="AM560" t="b">
        <f>+ISNUMBER(SEARCH('F-VTA'!$F$32,Tabla11[[#This Row],[Cuenta]],1))</f>
        <v>1</v>
      </c>
      <c r="AN560" t="b">
        <f>+ISNUMBER(SEARCH('F-VTA'!$F$33,Tabla11[[#This Row],[Cuenta]],1))</f>
        <v>1</v>
      </c>
      <c r="AO560" t="b">
        <f>+ISNUMBER(SEARCH('F-VTA'!$F$34,Tabla11[[#This Row],[Cuenta]],1))</f>
        <v>1</v>
      </c>
      <c r="AP560" t="b">
        <f>+ISNUMBER(SEARCH('F-VTA'!$F$35,Tabla11[[#This Row],[Cuenta]],1))</f>
        <v>1</v>
      </c>
      <c r="AQ560" t="b">
        <f>+ISNUMBER(SEARCH('F-VTA'!$F$36,Tabla11[[#This Row],[Cuenta]],1))</f>
        <v>1</v>
      </c>
      <c r="AR560" t="b">
        <f>+ISNUMBER(SEARCH(#REF!,Tabla11[[#This Row],[Cuenta]],1))</f>
        <v>0</v>
      </c>
      <c r="AS560" t="b">
        <f>+ISNUMBER(SEARCH(#REF!,Tabla11[[#This Row],[Cuenta]],1))</f>
        <v>0</v>
      </c>
      <c r="AT560" t="b">
        <f>+ISNUMBER(SEARCH(#REF!,Tabla11[[#This Row],[Cuenta]],1))</f>
        <v>0</v>
      </c>
      <c r="AU560" t="b">
        <f>+ISNUMBER(SEARCH('Conc. Ban.1'!$I$9,Tabla11[[#This Row],[Cuenta]],1))</f>
        <v>0</v>
      </c>
      <c r="AV560" t="b">
        <f>+ISNUMBER(SEARCH(CompConta!$F$21,Tabla11[[#This Row],[Cuenta]],1))</f>
        <v>1</v>
      </c>
      <c r="AW560" t="b">
        <f>+ISNUMBER(SEARCH(CompConta!$F$22,Tabla11[[#This Row],[Cuenta]],1))</f>
        <v>1</v>
      </c>
      <c r="AX560" t="b">
        <f>+ISNUMBER(SEARCH(CompConta!$F$23,Tabla11[[#This Row],[Cuenta]],1))</f>
        <v>1</v>
      </c>
      <c r="AY560" t="b">
        <f>+ISNUMBER(SEARCH(CompConta!$F$24,Tabla11[[#This Row],[Cuenta]],1))</f>
        <v>1</v>
      </c>
      <c r="AZ560" t="b">
        <f>+ISNUMBER(SEARCH(CompConta!$F$25,Tabla11[[#This Row],[Cuenta]],1))</f>
        <v>1</v>
      </c>
      <c r="BA560" t="b">
        <f>+ISNUMBER(SEARCH(CompConta!$F$26,Tabla11[[#This Row],[Cuenta]],1))</f>
        <v>1</v>
      </c>
      <c r="BB560" t="b">
        <f>+ISNUMBER(SEARCH(CompConta!$F$27,Tabla11[[#This Row],[Cuenta]],1))</f>
        <v>1</v>
      </c>
      <c r="BC560" t="b">
        <f>+ISNUMBER(SEARCH(CompConta!$F$28,Tabla11[[#This Row],[Cuenta]],1))</f>
        <v>1</v>
      </c>
      <c r="BD560" t="b">
        <f>+ISNUMBER(SEARCH(CompConta!$F$29,Tabla11[[#This Row],[Cuenta]],1))</f>
        <v>1</v>
      </c>
      <c r="BE560" t="b">
        <f>+ISNUMBER(SEARCH(CompConta!$F$30,Tabla11[[#This Row],[Cuenta]],1))</f>
        <v>1</v>
      </c>
      <c r="BF560" t="b">
        <f>+ISNUMBER(SEARCH('PAGO Compras'!$E$11,Tabla11[[#This Row],[Cuenta]],1))</f>
        <v>1</v>
      </c>
      <c r="BG560" t="b">
        <f>+ISNUMBER(SEARCH(#REF!,Tabla11[[#This Row],[Cuenta]],1))</f>
        <v>0</v>
      </c>
      <c r="BH560" t="b">
        <f>+ISNUMBER(SEARCH(#REF!,Tabla11[[#This Row],[Cuenta]],1))</f>
        <v>0</v>
      </c>
      <c r="BI560" t="b">
        <f>+ISNUMBER(SEARCH(#REF!,Tabla11[[#This Row],[Cuenta]],1))</f>
        <v>0</v>
      </c>
      <c r="BJ560" t="b">
        <f>+ISNUMBER(SEARCH(#REF!,Tabla11[[#This Row],[Cuenta]],1))</f>
        <v>0</v>
      </c>
      <c r="BS560" t="str">
        <v>263050 Flota y equipo aéreo</v>
      </c>
      <c r="BT560" t="str">
        <v>263050 Flota y equipo aéreo</v>
      </c>
      <c r="BU560" t="str">
        <v>263050 Flota y equipo aéreo</v>
      </c>
      <c r="BV560" t="str">
        <v>263050 Flota y equipo aéreo</v>
      </c>
      <c r="BZ560" t="str">
        <v>263050 Flota y equipo aéreo</v>
      </c>
      <c r="CA560" t="str">
        <v>263050 Flota y equipo aéreo</v>
      </c>
      <c r="CB560" t="str">
        <v>263050 Flota y equipo aéreo</v>
      </c>
      <c r="CC560" t="str">
        <v>263050 Flota y equipo aéreo</v>
      </c>
      <c r="CD560" t="str">
        <v>263050 Flota y equipo aéreo</v>
      </c>
      <c r="CE560" t="str">
        <v>263050 Flota y equipo aéreo</v>
      </c>
      <c r="CS560" s="141" t="str">
        <v>263050 Flota y equipo aéreo</v>
      </c>
      <c r="CT560" s="141" t="str">
        <v>263050 Flota y equipo aéreo</v>
      </c>
      <c r="CU560" s="141" t="str">
        <v>263050 Flota y equipo aéreo</v>
      </c>
      <c r="CV560" s="141" t="str">
        <v>263050 Flota y equipo aéreo</v>
      </c>
      <c r="CW560" s="141" t="str">
        <v>263050 Flota y equipo aéreo</v>
      </c>
      <c r="CX560" s="141" t="str">
        <v>263050 Flota y equipo aéreo</v>
      </c>
      <c r="CY560" s="141" t="str">
        <v>263050 Flota y equipo aéreo</v>
      </c>
      <c r="CZ560" s="141" t="str">
        <v>263050 Flota y equipo aéreo</v>
      </c>
      <c r="DA560" s="141" t="str">
        <v>263050 Flota y equipo aéreo</v>
      </c>
      <c r="DF560" t="str">
        <v>263050 Flota y equipo aéreo</v>
      </c>
      <c r="DG560" t="str">
        <v>263050 Flota y equipo aéreo</v>
      </c>
      <c r="DH560" t="str">
        <v>263050 Flota y equipo aéreo</v>
      </c>
      <c r="DI560" t="str">
        <v>263050 Flota y equipo aéreo</v>
      </c>
      <c r="DJ560" t="str">
        <v>263050 Flota y equipo aéreo</v>
      </c>
      <c r="DK560" t="str">
        <v>263050 Flota y equipo aéreo</v>
      </c>
      <c r="DL560" t="str">
        <v>263050 Flota y equipo aéreo</v>
      </c>
      <c r="DM560" t="str">
        <v>263050 Flota y equipo aéreo</v>
      </c>
      <c r="DN560" t="str">
        <v>263050 Flota y equipo aéreo</v>
      </c>
      <c r="DO560" t="str">
        <v>263050 Flota y equipo aéreo</v>
      </c>
      <c r="DP560" t="str">
        <v>263050 Flota y equipo aéreo</v>
      </c>
    </row>
    <row r="561" spans="4:120" ht="12.75">
      <c r="D561" s="7">
        <v>263055</v>
      </c>
      <c r="E561" s="6" t="s">
        <v>136</v>
      </c>
      <c r="F561" s="5">
        <v>4</v>
      </c>
      <c r="G561" s="34" t="s">
        <v>824</v>
      </c>
      <c r="H561" s="26" t="s">
        <v>765</v>
      </c>
      <c r="I561" t="b">
        <f>+ISNUMBER(SEARCH('F-COMPRA'!$F$28,Tabla11[[#This Row],[Cuenta]],1))</f>
        <v>1</v>
      </c>
      <c r="J561" t="b">
        <f>+ISNUMBER(SEARCH('F-COMPRA'!$F$29,Tabla11[[#This Row],[Cuenta]],1))</f>
        <v>1</v>
      </c>
      <c r="K561" t="b">
        <f>+ISNUMBER(SEARCH('F-COMPRA'!$F$30,Tabla11[[#This Row],[Cuenta]],1))</f>
        <v>1</v>
      </c>
      <c r="L561" t="b">
        <f>+ISNUMBER(SEARCH('F-COMPRA'!$F$31,Tabla11[[#This Row],[Cuenta]],1))</f>
        <v>1</v>
      </c>
      <c r="M561" t="b">
        <f>+ISNUMBER(SEARCH('F-COMPRA'!$G$25,Tabla11[[#This Row],[Cuenta]],1))</f>
        <v>0</v>
      </c>
      <c r="N561" t="b">
        <f>+ISNUMBER(SEARCH(#REF!,Tabla11[[#This Row],[Cuenta]],1))</f>
        <v>0</v>
      </c>
      <c r="O561" t="b">
        <f>+ISNUMBER(SEARCH(#REF!,Tabla11[[#This Row],[Cuenta]],1))</f>
        <v>0</v>
      </c>
      <c r="P561" t="b">
        <f>+ISNUMBER(SEARCH('F-COMPRA'!$F$32,Tabla11[[#This Row],[Cuenta]],1))</f>
        <v>1</v>
      </c>
      <c r="Q561" t="b">
        <f>+ISNUMBER(SEARCH('F-COMPRA'!$F$33,Tabla11[[#This Row],[Cuenta]],1))</f>
        <v>1</v>
      </c>
      <c r="R561" t="b">
        <f>+ISNUMBER(SEARCH('F-COMPRA'!$F$34,Tabla11[[#This Row],[Cuenta]],1))</f>
        <v>1</v>
      </c>
      <c r="S561" t="b">
        <f>+ISNUMBER(SEARCH('F-COMPRA'!$F$35,Tabla11[[#This Row],[Cuenta]],1))</f>
        <v>1</v>
      </c>
      <c r="T561" t="b">
        <f>+ISNUMBER(SEARCH('F-COMPRA'!$F$36,Tabla11[[#This Row],[Cuenta]],1))</f>
        <v>1</v>
      </c>
      <c r="U561" t="b">
        <f>+ISNUMBER(SEARCH('F-COMPRA'!$F$37,Tabla11[[#This Row],[Cuenta]],1))</f>
        <v>1</v>
      </c>
      <c r="V561" t="b">
        <f>+ISNUMBER(SEARCH(#REF!,Tabla11[[#This Row],[Cuenta]],1))</f>
        <v>0</v>
      </c>
      <c r="W561" t="b">
        <f>+ISNUMBER(SEARCH('F-COMPRA'!#REF!,Tabla11[[#This Row],[Cuenta]],1))</f>
        <v>0</v>
      </c>
      <c r="X561" t="b">
        <f>+ISNUMBER(SEARCH('F-COMPRA'!#REF!,Tabla11[[#This Row],[Cuenta]],1))</f>
        <v>0</v>
      </c>
      <c r="Y561" t="b">
        <f>+ISNUMBER(SEARCH('F-COMPRA'!#REF!,Tabla11[[#This Row],[Cuenta]],1))</f>
        <v>0</v>
      </c>
      <c r="Z561" t="b">
        <f>+ISNUMBER(SEARCH('F-COMPRA'!#REF!,Tabla11[[#This Row],[Cuenta]],1))</f>
        <v>0</v>
      </c>
      <c r="AA561" t="b">
        <f>+ISNUMBER(SEARCH('F-COMPRA'!#REF!,Tabla11[[#This Row],[Cuenta]],1))</f>
        <v>0</v>
      </c>
      <c r="AB561" t="b">
        <f>+ISNUMBER(SEARCH('F-COMPRA'!#REF!,Tabla11[[#This Row],[Cuenta]],1))</f>
        <v>0</v>
      </c>
      <c r="AC561" t="b">
        <f>+ISNUMBER(SEARCH('F-COMPRA'!#REF!,Tabla11[[#This Row],[Cuenta]],1))</f>
        <v>0</v>
      </c>
      <c r="AD561" t="b">
        <f>+ISNUMBER(SEARCH('F-COMPRA'!#REF!,Tabla11[[#This Row],[Cuenta]],1))</f>
        <v>0</v>
      </c>
      <c r="AE561" t="b">
        <f>+ISNUMBER(SEARCH('F-COMPRA'!#REF!,Tabla11[[#This Row],[Cuenta]],1))</f>
        <v>0</v>
      </c>
      <c r="AF561" t="b">
        <f>+ISNUMBER(SEARCH('F-VTA'!$G$23,Tabla11[[#This Row],[Cuenta]],1))</f>
        <v>0</v>
      </c>
      <c r="AG561" t="b">
        <f>+ISNUMBER(SEARCH('F-VTA'!$G$24,Tabla11[[#This Row],[Cuenta]],1))</f>
        <v>0</v>
      </c>
      <c r="AH561" t="b">
        <f>+ISNUMBER(SEARCH('F-VTA'!$G$25,Tabla11[[#This Row],[Cuenta]],1))</f>
        <v>0</v>
      </c>
      <c r="AI561" t="b">
        <f>+ISNUMBER(SEARCH('F-VTA'!$F$28,Tabla11[[#This Row],[Cuenta]],1))</f>
        <v>1</v>
      </c>
      <c r="AJ561" t="b">
        <f>+ISNUMBER(SEARCH('F-VTA'!$F$29,Tabla11[[#This Row],[Cuenta]],1))</f>
        <v>1</v>
      </c>
      <c r="AK561" t="b">
        <f>+ISNUMBER(SEARCH('F-VTA'!$F$30,Tabla11[[#This Row],[Cuenta]],1))</f>
        <v>1</v>
      </c>
      <c r="AL561" t="b">
        <f>+ISNUMBER(SEARCH('F-VTA'!$F$31,Tabla11[[#This Row],[Cuenta]],1))</f>
        <v>1</v>
      </c>
      <c r="AM561" t="b">
        <f>+ISNUMBER(SEARCH('F-VTA'!$F$32,Tabla11[[#This Row],[Cuenta]],1))</f>
        <v>1</v>
      </c>
      <c r="AN561" t="b">
        <f>+ISNUMBER(SEARCH('F-VTA'!$F$33,Tabla11[[#This Row],[Cuenta]],1))</f>
        <v>1</v>
      </c>
      <c r="AO561" t="b">
        <f>+ISNUMBER(SEARCH('F-VTA'!$F$34,Tabla11[[#This Row],[Cuenta]],1))</f>
        <v>1</v>
      </c>
      <c r="AP561" t="b">
        <f>+ISNUMBER(SEARCH('F-VTA'!$F$35,Tabla11[[#This Row],[Cuenta]],1))</f>
        <v>1</v>
      </c>
      <c r="AQ561" t="b">
        <f>+ISNUMBER(SEARCH('F-VTA'!$F$36,Tabla11[[#This Row],[Cuenta]],1))</f>
        <v>1</v>
      </c>
      <c r="AR561" t="b">
        <f>+ISNUMBER(SEARCH(#REF!,Tabla11[[#This Row],[Cuenta]],1))</f>
        <v>0</v>
      </c>
      <c r="AS561" t="b">
        <f>+ISNUMBER(SEARCH(#REF!,Tabla11[[#This Row],[Cuenta]],1))</f>
        <v>0</v>
      </c>
      <c r="AT561" t="b">
        <f>+ISNUMBER(SEARCH(#REF!,Tabla11[[#This Row],[Cuenta]],1))</f>
        <v>0</v>
      </c>
      <c r="AU561" t="b">
        <f>+ISNUMBER(SEARCH('Conc. Ban.1'!$I$9,Tabla11[[#This Row],[Cuenta]],1))</f>
        <v>0</v>
      </c>
      <c r="AV561" t="b">
        <f>+ISNUMBER(SEARCH(CompConta!$F$21,Tabla11[[#This Row],[Cuenta]],1))</f>
        <v>1</v>
      </c>
      <c r="AW561" t="b">
        <f>+ISNUMBER(SEARCH(CompConta!$F$22,Tabla11[[#This Row],[Cuenta]],1))</f>
        <v>1</v>
      </c>
      <c r="AX561" t="b">
        <f>+ISNUMBER(SEARCH(CompConta!$F$23,Tabla11[[#This Row],[Cuenta]],1))</f>
        <v>1</v>
      </c>
      <c r="AY561" t="b">
        <f>+ISNUMBER(SEARCH(CompConta!$F$24,Tabla11[[#This Row],[Cuenta]],1))</f>
        <v>1</v>
      </c>
      <c r="AZ561" t="b">
        <f>+ISNUMBER(SEARCH(CompConta!$F$25,Tabla11[[#This Row],[Cuenta]],1))</f>
        <v>1</v>
      </c>
      <c r="BA561" t="b">
        <f>+ISNUMBER(SEARCH(CompConta!$F$26,Tabla11[[#This Row],[Cuenta]],1))</f>
        <v>1</v>
      </c>
      <c r="BB561" t="b">
        <f>+ISNUMBER(SEARCH(CompConta!$F$27,Tabla11[[#This Row],[Cuenta]],1))</f>
        <v>1</v>
      </c>
      <c r="BC561" t="b">
        <f>+ISNUMBER(SEARCH(CompConta!$F$28,Tabla11[[#This Row],[Cuenta]],1))</f>
        <v>1</v>
      </c>
      <c r="BD561" t="b">
        <f>+ISNUMBER(SEARCH(CompConta!$F$29,Tabla11[[#This Row],[Cuenta]],1))</f>
        <v>1</v>
      </c>
      <c r="BE561" t="b">
        <f>+ISNUMBER(SEARCH(CompConta!$F$30,Tabla11[[#This Row],[Cuenta]],1))</f>
        <v>1</v>
      </c>
      <c r="BF561" t="b">
        <f>+ISNUMBER(SEARCH('PAGO Compras'!$E$11,Tabla11[[#This Row],[Cuenta]],1))</f>
        <v>1</v>
      </c>
      <c r="BG561" t="b">
        <f>+ISNUMBER(SEARCH(#REF!,Tabla11[[#This Row],[Cuenta]],1))</f>
        <v>0</v>
      </c>
      <c r="BH561" t="b">
        <f>+ISNUMBER(SEARCH(#REF!,Tabla11[[#This Row],[Cuenta]],1))</f>
        <v>0</v>
      </c>
      <c r="BI561" t="b">
        <f>+ISNUMBER(SEARCH(#REF!,Tabla11[[#This Row],[Cuenta]],1))</f>
        <v>0</v>
      </c>
      <c r="BJ561" t="b">
        <f>+ISNUMBER(SEARCH(#REF!,Tabla11[[#This Row],[Cuenta]],1))</f>
        <v>0</v>
      </c>
      <c r="BS561" t="str">
        <v>263055 Flota y equipo férreo</v>
      </c>
      <c r="BT561" t="str">
        <v>263055 Flota y equipo férreo</v>
      </c>
      <c r="BU561" t="str">
        <v>263055 Flota y equipo férreo</v>
      </c>
      <c r="BV561" t="str">
        <v>263055 Flota y equipo férreo</v>
      </c>
      <c r="BZ561" t="str">
        <v>263055 Flota y equipo férreo</v>
      </c>
      <c r="CA561" t="str">
        <v>263055 Flota y equipo férreo</v>
      </c>
      <c r="CB561" t="str">
        <v>263055 Flota y equipo férreo</v>
      </c>
      <c r="CC561" t="str">
        <v>263055 Flota y equipo férreo</v>
      </c>
      <c r="CD561" t="str">
        <v>263055 Flota y equipo férreo</v>
      </c>
      <c r="CE561" t="str">
        <v>263055 Flota y equipo férreo</v>
      </c>
      <c r="CS561" s="141" t="str">
        <v>263055 Flota y equipo férreo</v>
      </c>
      <c r="CT561" s="141" t="str">
        <v>263055 Flota y equipo férreo</v>
      </c>
      <c r="CU561" s="141" t="str">
        <v>263055 Flota y equipo férreo</v>
      </c>
      <c r="CV561" s="141" t="str">
        <v>263055 Flota y equipo férreo</v>
      </c>
      <c r="CW561" s="141" t="str">
        <v>263055 Flota y equipo férreo</v>
      </c>
      <c r="CX561" s="141" t="str">
        <v>263055 Flota y equipo férreo</v>
      </c>
      <c r="CY561" s="141" t="str">
        <v>263055 Flota y equipo férreo</v>
      </c>
      <c r="CZ561" s="141" t="str">
        <v>263055 Flota y equipo férreo</v>
      </c>
      <c r="DA561" s="141" t="str">
        <v>263055 Flota y equipo férreo</v>
      </c>
      <c r="DF561" t="str">
        <v>263055 Flota y equipo férreo</v>
      </c>
      <c r="DG561" t="str">
        <v>263055 Flota y equipo férreo</v>
      </c>
      <c r="DH561" t="str">
        <v>263055 Flota y equipo férreo</v>
      </c>
      <c r="DI561" t="str">
        <v>263055 Flota y equipo férreo</v>
      </c>
      <c r="DJ561" t="str">
        <v>263055 Flota y equipo férreo</v>
      </c>
      <c r="DK561" t="str">
        <v>263055 Flota y equipo férreo</v>
      </c>
      <c r="DL561" t="str">
        <v>263055 Flota y equipo férreo</v>
      </c>
      <c r="DM561" t="str">
        <v>263055 Flota y equipo férreo</v>
      </c>
      <c r="DN561" t="str">
        <v>263055 Flota y equipo férreo</v>
      </c>
      <c r="DO561" t="str">
        <v>263055 Flota y equipo férreo</v>
      </c>
      <c r="DP561" t="str">
        <v>263055 Flota y equipo férreo</v>
      </c>
    </row>
    <row r="562" spans="4:120" ht="12.75">
      <c r="D562" s="7">
        <v>263060</v>
      </c>
      <c r="E562" s="6" t="s">
        <v>122</v>
      </c>
      <c r="F562" s="5">
        <v>4</v>
      </c>
      <c r="G562" s="34" t="s">
        <v>824</v>
      </c>
      <c r="H562" s="26" t="s">
        <v>765</v>
      </c>
      <c r="I562" t="b">
        <f>+ISNUMBER(SEARCH('F-COMPRA'!$F$28,Tabla11[[#This Row],[Cuenta]],1))</f>
        <v>1</v>
      </c>
      <c r="J562" t="b">
        <f>+ISNUMBER(SEARCH('F-COMPRA'!$F$29,Tabla11[[#This Row],[Cuenta]],1))</f>
        <v>1</v>
      </c>
      <c r="K562" t="b">
        <f>+ISNUMBER(SEARCH('F-COMPRA'!$F$30,Tabla11[[#This Row],[Cuenta]],1))</f>
        <v>1</v>
      </c>
      <c r="L562" t="b">
        <f>+ISNUMBER(SEARCH('F-COMPRA'!$F$31,Tabla11[[#This Row],[Cuenta]],1))</f>
        <v>1</v>
      </c>
      <c r="M562" t="b">
        <f>+ISNUMBER(SEARCH('F-COMPRA'!$G$25,Tabla11[[#This Row],[Cuenta]],1))</f>
        <v>0</v>
      </c>
      <c r="N562" t="b">
        <f>+ISNUMBER(SEARCH(#REF!,Tabla11[[#This Row],[Cuenta]],1))</f>
        <v>0</v>
      </c>
      <c r="O562" t="b">
        <f>+ISNUMBER(SEARCH(#REF!,Tabla11[[#This Row],[Cuenta]],1))</f>
        <v>0</v>
      </c>
      <c r="P562" t="b">
        <f>+ISNUMBER(SEARCH('F-COMPRA'!$F$32,Tabla11[[#This Row],[Cuenta]],1))</f>
        <v>1</v>
      </c>
      <c r="Q562" t="b">
        <f>+ISNUMBER(SEARCH('F-COMPRA'!$F$33,Tabla11[[#This Row],[Cuenta]],1))</f>
        <v>1</v>
      </c>
      <c r="R562" t="b">
        <f>+ISNUMBER(SEARCH('F-COMPRA'!$F$34,Tabla11[[#This Row],[Cuenta]],1))</f>
        <v>1</v>
      </c>
      <c r="S562" t="b">
        <f>+ISNUMBER(SEARCH('F-COMPRA'!$F$35,Tabla11[[#This Row],[Cuenta]],1))</f>
        <v>1</v>
      </c>
      <c r="T562" t="b">
        <f>+ISNUMBER(SEARCH('F-COMPRA'!$F$36,Tabla11[[#This Row],[Cuenta]],1))</f>
        <v>1</v>
      </c>
      <c r="U562" t="b">
        <f>+ISNUMBER(SEARCH('F-COMPRA'!$F$37,Tabla11[[#This Row],[Cuenta]],1))</f>
        <v>1</v>
      </c>
      <c r="V562" t="b">
        <f>+ISNUMBER(SEARCH(#REF!,Tabla11[[#This Row],[Cuenta]],1))</f>
        <v>0</v>
      </c>
      <c r="W562" t="b">
        <f>+ISNUMBER(SEARCH('F-COMPRA'!#REF!,Tabla11[[#This Row],[Cuenta]],1))</f>
        <v>0</v>
      </c>
      <c r="X562" t="b">
        <f>+ISNUMBER(SEARCH('F-COMPRA'!#REF!,Tabla11[[#This Row],[Cuenta]],1))</f>
        <v>0</v>
      </c>
      <c r="Y562" t="b">
        <f>+ISNUMBER(SEARCH('F-COMPRA'!#REF!,Tabla11[[#This Row],[Cuenta]],1))</f>
        <v>0</v>
      </c>
      <c r="Z562" t="b">
        <f>+ISNUMBER(SEARCH('F-COMPRA'!#REF!,Tabla11[[#This Row],[Cuenta]],1))</f>
        <v>0</v>
      </c>
      <c r="AA562" t="b">
        <f>+ISNUMBER(SEARCH('F-COMPRA'!#REF!,Tabla11[[#This Row],[Cuenta]],1))</f>
        <v>0</v>
      </c>
      <c r="AB562" t="b">
        <f>+ISNUMBER(SEARCH('F-COMPRA'!#REF!,Tabla11[[#This Row],[Cuenta]],1))</f>
        <v>0</v>
      </c>
      <c r="AC562" t="b">
        <f>+ISNUMBER(SEARCH('F-COMPRA'!#REF!,Tabla11[[#This Row],[Cuenta]],1))</f>
        <v>0</v>
      </c>
      <c r="AD562" t="b">
        <f>+ISNUMBER(SEARCH('F-COMPRA'!#REF!,Tabla11[[#This Row],[Cuenta]],1))</f>
        <v>0</v>
      </c>
      <c r="AE562" t="b">
        <f>+ISNUMBER(SEARCH('F-COMPRA'!#REF!,Tabla11[[#This Row],[Cuenta]],1))</f>
        <v>0</v>
      </c>
      <c r="AF562" t="b">
        <f>+ISNUMBER(SEARCH('F-VTA'!$G$23,Tabla11[[#This Row],[Cuenta]],1))</f>
        <v>0</v>
      </c>
      <c r="AG562" t="b">
        <f>+ISNUMBER(SEARCH('F-VTA'!$G$24,Tabla11[[#This Row],[Cuenta]],1))</f>
        <v>0</v>
      </c>
      <c r="AH562" t="b">
        <f>+ISNUMBER(SEARCH('F-VTA'!$G$25,Tabla11[[#This Row],[Cuenta]],1))</f>
        <v>0</v>
      </c>
      <c r="AI562" t="b">
        <f>+ISNUMBER(SEARCH('F-VTA'!$F$28,Tabla11[[#This Row],[Cuenta]],1))</f>
        <v>1</v>
      </c>
      <c r="AJ562" t="b">
        <f>+ISNUMBER(SEARCH('F-VTA'!$F$29,Tabla11[[#This Row],[Cuenta]],1))</f>
        <v>1</v>
      </c>
      <c r="AK562" t="b">
        <f>+ISNUMBER(SEARCH('F-VTA'!$F$30,Tabla11[[#This Row],[Cuenta]],1))</f>
        <v>1</v>
      </c>
      <c r="AL562" t="b">
        <f>+ISNUMBER(SEARCH('F-VTA'!$F$31,Tabla11[[#This Row],[Cuenta]],1))</f>
        <v>1</v>
      </c>
      <c r="AM562" t="b">
        <f>+ISNUMBER(SEARCH('F-VTA'!$F$32,Tabla11[[#This Row],[Cuenta]],1))</f>
        <v>1</v>
      </c>
      <c r="AN562" t="b">
        <f>+ISNUMBER(SEARCH('F-VTA'!$F$33,Tabla11[[#This Row],[Cuenta]],1))</f>
        <v>1</v>
      </c>
      <c r="AO562" t="b">
        <f>+ISNUMBER(SEARCH('F-VTA'!$F$34,Tabla11[[#This Row],[Cuenta]],1))</f>
        <v>1</v>
      </c>
      <c r="AP562" t="b">
        <f>+ISNUMBER(SEARCH('F-VTA'!$F$35,Tabla11[[#This Row],[Cuenta]],1))</f>
        <v>1</v>
      </c>
      <c r="AQ562" t="b">
        <f>+ISNUMBER(SEARCH('F-VTA'!$F$36,Tabla11[[#This Row],[Cuenta]],1))</f>
        <v>1</v>
      </c>
      <c r="AR562" t="b">
        <f>+ISNUMBER(SEARCH(#REF!,Tabla11[[#This Row],[Cuenta]],1))</f>
        <v>0</v>
      </c>
      <c r="AS562" t="b">
        <f>+ISNUMBER(SEARCH(#REF!,Tabla11[[#This Row],[Cuenta]],1))</f>
        <v>0</v>
      </c>
      <c r="AT562" t="b">
        <f>+ISNUMBER(SEARCH(#REF!,Tabla11[[#This Row],[Cuenta]],1))</f>
        <v>0</v>
      </c>
      <c r="AU562" t="b">
        <f>+ISNUMBER(SEARCH('Conc. Ban.1'!$I$9,Tabla11[[#This Row],[Cuenta]],1))</f>
        <v>0</v>
      </c>
      <c r="AV562" t="b">
        <f>+ISNUMBER(SEARCH(CompConta!$F$21,Tabla11[[#This Row],[Cuenta]],1))</f>
        <v>1</v>
      </c>
      <c r="AW562" t="b">
        <f>+ISNUMBER(SEARCH(CompConta!$F$22,Tabla11[[#This Row],[Cuenta]],1))</f>
        <v>1</v>
      </c>
      <c r="AX562" t="b">
        <f>+ISNUMBER(SEARCH(CompConta!$F$23,Tabla11[[#This Row],[Cuenta]],1))</f>
        <v>1</v>
      </c>
      <c r="AY562" t="b">
        <f>+ISNUMBER(SEARCH(CompConta!$F$24,Tabla11[[#This Row],[Cuenta]],1))</f>
        <v>1</v>
      </c>
      <c r="AZ562" t="b">
        <f>+ISNUMBER(SEARCH(CompConta!$F$25,Tabla11[[#This Row],[Cuenta]],1))</f>
        <v>1</v>
      </c>
      <c r="BA562" t="b">
        <f>+ISNUMBER(SEARCH(CompConta!$F$26,Tabla11[[#This Row],[Cuenta]],1))</f>
        <v>1</v>
      </c>
      <c r="BB562" t="b">
        <f>+ISNUMBER(SEARCH(CompConta!$F$27,Tabla11[[#This Row],[Cuenta]],1))</f>
        <v>1</v>
      </c>
      <c r="BC562" t="b">
        <f>+ISNUMBER(SEARCH(CompConta!$F$28,Tabla11[[#This Row],[Cuenta]],1))</f>
        <v>1</v>
      </c>
      <c r="BD562" t="b">
        <f>+ISNUMBER(SEARCH(CompConta!$F$29,Tabla11[[#This Row],[Cuenta]],1))</f>
        <v>1</v>
      </c>
      <c r="BE562" t="b">
        <f>+ISNUMBER(SEARCH(CompConta!$F$30,Tabla11[[#This Row],[Cuenta]],1))</f>
        <v>1</v>
      </c>
      <c r="BF562" t="b">
        <f>+ISNUMBER(SEARCH('PAGO Compras'!$E$11,Tabla11[[#This Row],[Cuenta]],1))</f>
        <v>1</v>
      </c>
      <c r="BG562" t="b">
        <f>+ISNUMBER(SEARCH(#REF!,Tabla11[[#This Row],[Cuenta]],1))</f>
        <v>0</v>
      </c>
      <c r="BH562" t="b">
        <f>+ISNUMBER(SEARCH(#REF!,Tabla11[[#This Row],[Cuenta]],1))</f>
        <v>0</v>
      </c>
      <c r="BI562" t="b">
        <f>+ISNUMBER(SEARCH(#REF!,Tabla11[[#This Row],[Cuenta]],1))</f>
        <v>0</v>
      </c>
      <c r="BJ562" t="b">
        <f>+ISNUMBER(SEARCH(#REF!,Tabla11[[#This Row],[Cuenta]],1))</f>
        <v>0</v>
      </c>
      <c r="BS562" t="str">
        <v>263060 Acueductos, plantas y redes</v>
      </c>
      <c r="BT562" t="str">
        <v>263060 Acueductos, plantas y redes</v>
      </c>
      <c r="BU562" t="str">
        <v>263060 Acueductos, plantas y redes</v>
      </c>
      <c r="BV562" t="str">
        <v>263060 Acueductos, plantas y redes</v>
      </c>
      <c r="BZ562" t="str">
        <v>263060 Acueductos, plantas y redes</v>
      </c>
      <c r="CA562" t="str">
        <v>263060 Acueductos, plantas y redes</v>
      </c>
      <c r="CB562" t="str">
        <v>263060 Acueductos, plantas y redes</v>
      </c>
      <c r="CC562" t="str">
        <v>263060 Acueductos, plantas y redes</v>
      </c>
      <c r="CD562" t="str">
        <v>263060 Acueductos, plantas y redes</v>
      </c>
      <c r="CE562" t="str">
        <v>263060 Acueductos, plantas y redes</v>
      </c>
      <c r="CS562" s="141" t="str">
        <v>263060 Acueductos, plantas y redes</v>
      </c>
      <c r="CT562" s="141" t="str">
        <v>263060 Acueductos, plantas y redes</v>
      </c>
      <c r="CU562" s="141" t="str">
        <v>263060 Acueductos, plantas y redes</v>
      </c>
      <c r="CV562" s="141" t="str">
        <v>263060 Acueductos, plantas y redes</v>
      </c>
      <c r="CW562" s="141" t="str">
        <v>263060 Acueductos, plantas y redes</v>
      </c>
      <c r="CX562" s="141" t="str">
        <v>263060 Acueductos, plantas y redes</v>
      </c>
      <c r="CY562" s="141" t="str">
        <v>263060 Acueductos, plantas y redes</v>
      </c>
      <c r="CZ562" s="141" t="str">
        <v>263060 Acueductos, plantas y redes</v>
      </c>
      <c r="DA562" s="141" t="str">
        <v>263060 Acueductos, plantas y redes</v>
      </c>
      <c r="DF562" t="str">
        <v>263060 Acueductos, plantas y redes</v>
      </c>
      <c r="DG562" t="str">
        <v>263060 Acueductos, plantas y redes</v>
      </c>
      <c r="DH562" t="str">
        <v>263060 Acueductos, plantas y redes</v>
      </c>
      <c r="DI562" t="str">
        <v>263060 Acueductos, plantas y redes</v>
      </c>
      <c r="DJ562" t="str">
        <v>263060 Acueductos, plantas y redes</v>
      </c>
      <c r="DK562" t="str">
        <v>263060 Acueductos, plantas y redes</v>
      </c>
      <c r="DL562" t="str">
        <v>263060 Acueductos, plantas y redes</v>
      </c>
      <c r="DM562" t="str">
        <v>263060 Acueductos, plantas y redes</v>
      </c>
      <c r="DN562" t="str">
        <v>263060 Acueductos, plantas y redes</v>
      </c>
      <c r="DO562" t="str">
        <v>263060 Acueductos, plantas y redes</v>
      </c>
      <c r="DP562" t="str">
        <v>263060 Acueductos, plantas y redes</v>
      </c>
    </row>
    <row r="563" spans="4:120" ht="12.75">
      <c r="D563" s="7">
        <v>263065</v>
      </c>
      <c r="E563" s="6" t="s">
        <v>211</v>
      </c>
      <c r="F563" s="5">
        <v>4</v>
      </c>
      <c r="G563" s="34" t="s">
        <v>824</v>
      </c>
      <c r="H563" s="26" t="s">
        <v>765</v>
      </c>
      <c r="I563" t="b">
        <f>+ISNUMBER(SEARCH('F-COMPRA'!$F$28,Tabla11[[#This Row],[Cuenta]],1))</f>
        <v>1</v>
      </c>
      <c r="J563" t="b">
        <f>+ISNUMBER(SEARCH('F-COMPRA'!$F$29,Tabla11[[#This Row],[Cuenta]],1))</f>
        <v>1</v>
      </c>
      <c r="K563" t="b">
        <f>+ISNUMBER(SEARCH('F-COMPRA'!$F$30,Tabla11[[#This Row],[Cuenta]],1))</f>
        <v>1</v>
      </c>
      <c r="L563" t="b">
        <f>+ISNUMBER(SEARCH('F-COMPRA'!$F$31,Tabla11[[#This Row],[Cuenta]],1))</f>
        <v>1</v>
      </c>
      <c r="M563" t="b">
        <f>+ISNUMBER(SEARCH('F-COMPRA'!$G$25,Tabla11[[#This Row],[Cuenta]],1))</f>
        <v>0</v>
      </c>
      <c r="N563" t="b">
        <f>+ISNUMBER(SEARCH(#REF!,Tabla11[[#This Row],[Cuenta]],1))</f>
        <v>0</v>
      </c>
      <c r="O563" t="b">
        <f>+ISNUMBER(SEARCH(#REF!,Tabla11[[#This Row],[Cuenta]],1))</f>
        <v>0</v>
      </c>
      <c r="P563" t="b">
        <f>+ISNUMBER(SEARCH('F-COMPRA'!$F$32,Tabla11[[#This Row],[Cuenta]],1))</f>
        <v>1</v>
      </c>
      <c r="Q563" t="b">
        <f>+ISNUMBER(SEARCH('F-COMPRA'!$F$33,Tabla11[[#This Row],[Cuenta]],1))</f>
        <v>1</v>
      </c>
      <c r="R563" t="b">
        <f>+ISNUMBER(SEARCH('F-COMPRA'!$F$34,Tabla11[[#This Row],[Cuenta]],1))</f>
        <v>1</v>
      </c>
      <c r="S563" t="b">
        <f>+ISNUMBER(SEARCH('F-COMPRA'!$F$35,Tabla11[[#This Row],[Cuenta]],1))</f>
        <v>1</v>
      </c>
      <c r="T563" t="b">
        <f>+ISNUMBER(SEARCH('F-COMPRA'!$F$36,Tabla11[[#This Row],[Cuenta]],1))</f>
        <v>1</v>
      </c>
      <c r="U563" t="b">
        <f>+ISNUMBER(SEARCH('F-COMPRA'!$F$37,Tabla11[[#This Row],[Cuenta]],1))</f>
        <v>1</v>
      </c>
      <c r="V563" t="b">
        <f>+ISNUMBER(SEARCH(#REF!,Tabla11[[#This Row],[Cuenta]],1))</f>
        <v>0</v>
      </c>
      <c r="W563" t="b">
        <f>+ISNUMBER(SEARCH('F-COMPRA'!#REF!,Tabla11[[#This Row],[Cuenta]],1))</f>
        <v>0</v>
      </c>
      <c r="X563" t="b">
        <f>+ISNUMBER(SEARCH('F-COMPRA'!#REF!,Tabla11[[#This Row],[Cuenta]],1))</f>
        <v>0</v>
      </c>
      <c r="Y563" t="b">
        <f>+ISNUMBER(SEARCH('F-COMPRA'!#REF!,Tabla11[[#This Row],[Cuenta]],1))</f>
        <v>0</v>
      </c>
      <c r="Z563" t="b">
        <f>+ISNUMBER(SEARCH('F-COMPRA'!#REF!,Tabla11[[#This Row],[Cuenta]],1))</f>
        <v>0</v>
      </c>
      <c r="AA563" t="b">
        <f>+ISNUMBER(SEARCH('F-COMPRA'!#REF!,Tabla11[[#This Row],[Cuenta]],1))</f>
        <v>0</v>
      </c>
      <c r="AB563" t="b">
        <f>+ISNUMBER(SEARCH('F-COMPRA'!#REF!,Tabla11[[#This Row],[Cuenta]],1))</f>
        <v>0</v>
      </c>
      <c r="AC563" t="b">
        <f>+ISNUMBER(SEARCH('F-COMPRA'!#REF!,Tabla11[[#This Row],[Cuenta]],1))</f>
        <v>0</v>
      </c>
      <c r="AD563" t="b">
        <f>+ISNUMBER(SEARCH('F-COMPRA'!#REF!,Tabla11[[#This Row],[Cuenta]],1))</f>
        <v>0</v>
      </c>
      <c r="AE563" t="b">
        <f>+ISNUMBER(SEARCH('F-COMPRA'!#REF!,Tabla11[[#This Row],[Cuenta]],1))</f>
        <v>0</v>
      </c>
      <c r="AF563" t="b">
        <f>+ISNUMBER(SEARCH('F-VTA'!$G$23,Tabla11[[#This Row],[Cuenta]],1))</f>
        <v>0</v>
      </c>
      <c r="AG563" t="b">
        <f>+ISNUMBER(SEARCH('F-VTA'!$G$24,Tabla11[[#This Row],[Cuenta]],1))</f>
        <v>0</v>
      </c>
      <c r="AH563" t="b">
        <f>+ISNUMBER(SEARCH('F-VTA'!$G$25,Tabla11[[#This Row],[Cuenta]],1))</f>
        <v>0</v>
      </c>
      <c r="AI563" t="b">
        <f>+ISNUMBER(SEARCH('F-VTA'!$F$28,Tabla11[[#This Row],[Cuenta]],1))</f>
        <v>1</v>
      </c>
      <c r="AJ563" t="b">
        <f>+ISNUMBER(SEARCH('F-VTA'!$F$29,Tabla11[[#This Row],[Cuenta]],1))</f>
        <v>1</v>
      </c>
      <c r="AK563" t="b">
        <f>+ISNUMBER(SEARCH('F-VTA'!$F$30,Tabla11[[#This Row],[Cuenta]],1))</f>
        <v>1</v>
      </c>
      <c r="AL563" t="b">
        <f>+ISNUMBER(SEARCH('F-VTA'!$F$31,Tabla11[[#This Row],[Cuenta]],1))</f>
        <v>1</v>
      </c>
      <c r="AM563" t="b">
        <f>+ISNUMBER(SEARCH('F-VTA'!$F$32,Tabla11[[#This Row],[Cuenta]],1))</f>
        <v>1</v>
      </c>
      <c r="AN563" t="b">
        <f>+ISNUMBER(SEARCH('F-VTA'!$F$33,Tabla11[[#This Row],[Cuenta]],1))</f>
        <v>1</v>
      </c>
      <c r="AO563" t="b">
        <f>+ISNUMBER(SEARCH('F-VTA'!$F$34,Tabla11[[#This Row],[Cuenta]],1))</f>
        <v>1</v>
      </c>
      <c r="AP563" t="b">
        <f>+ISNUMBER(SEARCH('F-VTA'!$F$35,Tabla11[[#This Row],[Cuenta]],1))</f>
        <v>1</v>
      </c>
      <c r="AQ563" t="b">
        <f>+ISNUMBER(SEARCH('F-VTA'!$F$36,Tabla11[[#This Row],[Cuenta]],1))</f>
        <v>1</v>
      </c>
      <c r="AR563" t="b">
        <f>+ISNUMBER(SEARCH(#REF!,Tabla11[[#This Row],[Cuenta]],1))</f>
        <v>0</v>
      </c>
      <c r="AS563" t="b">
        <f>+ISNUMBER(SEARCH(#REF!,Tabla11[[#This Row],[Cuenta]],1))</f>
        <v>0</v>
      </c>
      <c r="AT563" t="b">
        <f>+ISNUMBER(SEARCH(#REF!,Tabla11[[#This Row],[Cuenta]],1))</f>
        <v>0</v>
      </c>
      <c r="AU563" t="b">
        <f>+ISNUMBER(SEARCH('Conc. Ban.1'!$I$9,Tabla11[[#This Row],[Cuenta]],1))</f>
        <v>0</v>
      </c>
      <c r="AV563" t="b">
        <f>+ISNUMBER(SEARCH(CompConta!$F$21,Tabla11[[#This Row],[Cuenta]],1))</f>
        <v>1</v>
      </c>
      <c r="AW563" t="b">
        <f>+ISNUMBER(SEARCH(CompConta!$F$22,Tabla11[[#This Row],[Cuenta]],1))</f>
        <v>1</v>
      </c>
      <c r="AX563" t="b">
        <f>+ISNUMBER(SEARCH(CompConta!$F$23,Tabla11[[#This Row],[Cuenta]],1))</f>
        <v>1</v>
      </c>
      <c r="AY563" t="b">
        <f>+ISNUMBER(SEARCH(CompConta!$F$24,Tabla11[[#This Row],[Cuenta]],1))</f>
        <v>1</v>
      </c>
      <c r="AZ563" t="b">
        <f>+ISNUMBER(SEARCH(CompConta!$F$25,Tabla11[[#This Row],[Cuenta]],1))</f>
        <v>1</v>
      </c>
      <c r="BA563" t="b">
        <f>+ISNUMBER(SEARCH(CompConta!$F$26,Tabla11[[#This Row],[Cuenta]],1))</f>
        <v>1</v>
      </c>
      <c r="BB563" t="b">
        <f>+ISNUMBER(SEARCH(CompConta!$F$27,Tabla11[[#This Row],[Cuenta]],1))</f>
        <v>1</v>
      </c>
      <c r="BC563" t="b">
        <f>+ISNUMBER(SEARCH(CompConta!$F$28,Tabla11[[#This Row],[Cuenta]],1))</f>
        <v>1</v>
      </c>
      <c r="BD563" t="b">
        <f>+ISNUMBER(SEARCH(CompConta!$F$29,Tabla11[[#This Row],[Cuenta]],1))</f>
        <v>1</v>
      </c>
      <c r="BE563" t="b">
        <f>+ISNUMBER(SEARCH(CompConta!$F$30,Tabla11[[#This Row],[Cuenta]],1))</f>
        <v>1</v>
      </c>
      <c r="BF563" t="b">
        <f>+ISNUMBER(SEARCH('PAGO Compras'!$E$11,Tabla11[[#This Row],[Cuenta]],1))</f>
        <v>1</v>
      </c>
      <c r="BG563" t="b">
        <f>+ISNUMBER(SEARCH(#REF!,Tabla11[[#This Row],[Cuenta]],1))</f>
        <v>0</v>
      </c>
      <c r="BH563" t="b">
        <f>+ISNUMBER(SEARCH(#REF!,Tabla11[[#This Row],[Cuenta]],1))</f>
        <v>0</v>
      </c>
      <c r="BI563" t="b">
        <f>+ISNUMBER(SEARCH(#REF!,Tabla11[[#This Row],[Cuenta]],1))</f>
        <v>0</v>
      </c>
      <c r="BJ563" t="b">
        <f>+ISNUMBER(SEARCH(#REF!,Tabla11[[#This Row],[Cuenta]],1))</f>
        <v>0</v>
      </c>
      <c r="BS563" t="str">
        <v>263065 Armamento de vigilancia</v>
      </c>
      <c r="BT563" t="str">
        <v>263065 Armamento de vigilancia</v>
      </c>
      <c r="BU563" t="str">
        <v>263065 Armamento de vigilancia</v>
      </c>
      <c r="BV563" t="str">
        <v>263065 Armamento de vigilancia</v>
      </c>
      <c r="BZ563" t="str">
        <v>263065 Armamento de vigilancia</v>
      </c>
      <c r="CA563" t="str">
        <v>263065 Armamento de vigilancia</v>
      </c>
      <c r="CB563" t="str">
        <v>263065 Armamento de vigilancia</v>
      </c>
      <c r="CC563" t="str">
        <v>263065 Armamento de vigilancia</v>
      </c>
      <c r="CD563" t="str">
        <v>263065 Armamento de vigilancia</v>
      </c>
      <c r="CE563" t="str">
        <v>263065 Armamento de vigilancia</v>
      </c>
      <c r="CS563" s="141" t="str">
        <v>263065 Armamento de vigilancia</v>
      </c>
      <c r="CT563" s="141" t="str">
        <v>263065 Armamento de vigilancia</v>
      </c>
      <c r="CU563" s="141" t="str">
        <v>263065 Armamento de vigilancia</v>
      </c>
      <c r="CV563" s="141" t="str">
        <v>263065 Armamento de vigilancia</v>
      </c>
      <c r="CW563" s="141" t="str">
        <v>263065 Armamento de vigilancia</v>
      </c>
      <c r="CX563" s="141" t="str">
        <v>263065 Armamento de vigilancia</v>
      </c>
      <c r="CY563" s="141" t="str">
        <v>263065 Armamento de vigilancia</v>
      </c>
      <c r="CZ563" s="141" t="str">
        <v>263065 Armamento de vigilancia</v>
      </c>
      <c r="DA563" s="141" t="str">
        <v>263065 Armamento de vigilancia</v>
      </c>
      <c r="DF563" t="str">
        <v>263065 Armamento de vigilancia</v>
      </c>
      <c r="DG563" t="str">
        <v>263065 Armamento de vigilancia</v>
      </c>
      <c r="DH563" t="str">
        <v>263065 Armamento de vigilancia</v>
      </c>
      <c r="DI563" t="str">
        <v>263065 Armamento de vigilancia</v>
      </c>
      <c r="DJ563" t="str">
        <v>263065 Armamento de vigilancia</v>
      </c>
      <c r="DK563" t="str">
        <v>263065 Armamento de vigilancia</v>
      </c>
      <c r="DL563" t="str">
        <v>263065 Armamento de vigilancia</v>
      </c>
      <c r="DM563" t="str">
        <v>263065 Armamento de vigilancia</v>
      </c>
      <c r="DN563" t="str">
        <v>263065 Armamento de vigilancia</v>
      </c>
      <c r="DO563" t="str">
        <v>263065 Armamento de vigilancia</v>
      </c>
      <c r="DP563" t="str">
        <v>263065 Armamento de vigilancia</v>
      </c>
    </row>
    <row r="564" spans="4:120" ht="12.75">
      <c r="D564" s="7">
        <v>263070</v>
      </c>
      <c r="E564" s="6" t="s">
        <v>213</v>
      </c>
      <c r="F564" s="5">
        <v>4</v>
      </c>
      <c r="G564" s="34" t="s">
        <v>824</v>
      </c>
      <c r="H564" s="26" t="s">
        <v>765</v>
      </c>
      <c r="I564" t="b">
        <f>+ISNUMBER(SEARCH('F-COMPRA'!$F$28,Tabla11[[#This Row],[Cuenta]],1))</f>
        <v>1</v>
      </c>
      <c r="J564" t="b">
        <f>+ISNUMBER(SEARCH('F-COMPRA'!$F$29,Tabla11[[#This Row],[Cuenta]],1))</f>
        <v>1</v>
      </c>
      <c r="K564" t="b">
        <f>+ISNUMBER(SEARCH('F-COMPRA'!$F$30,Tabla11[[#This Row],[Cuenta]],1))</f>
        <v>1</v>
      </c>
      <c r="L564" t="b">
        <f>+ISNUMBER(SEARCH('F-COMPRA'!$F$31,Tabla11[[#This Row],[Cuenta]],1))</f>
        <v>1</v>
      </c>
      <c r="M564" t="b">
        <f>+ISNUMBER(SEARCH('F-COMPRA'!$G$25,Tabla11[[#This Row],[Cuenta]],1))</f>
        <v>0</v>
      </c>
      <c r="N564" t="b">
        <f>+ISNUMBER(SEARCH(#REF!,Tabla11[[#This Row],[Cuenta]],1))</f>
        <v>0</v>
      </c>
      <c r="O564" t="b">
        <f>+ISNUMBER(SEARCH(#REF!,Tabla11[[#This Row],[Cuenta]],1))</f>
        <v>0</v>
      </c>
      <c r="P564" t="b">
        <f>+ISNUMBER(SEARCH('F-COMPRA'!$F$32,Tabla11[[#This Row],[Cuenta]],1))</f>
        <v>1</v>
      </c>
      <c r="Q564" t="b">
        <f>+ISNUMBER(SEARCH('F-COMPRA'!$F$33,Tabla11[[#This Row],[Cuenta]],1))</f>
        <v>1</v>
      </c>
      <c r="R564" t="b">
        <f>+ISNUMBER(SEARCH('F-COMPRA'!$F$34,Tabla11[[#This Row],[Cuenta]],1))</f>
        <v>1</v>
      </c>
      <c r="S564" t="b">
        <f>+ISNUMBER(SEARCH('F-COMPRA'!$F$35,Tabla11[[#This Row],[Cuenta]],1))</f>
        <v>1</v>
      </c>
      <c r="T564" t="b">
        <f>+ISNUMBER(SEARCH('F-COMPRA'!$F$36,Tabla11[[#This Row],[Cuenta]],1))</f>
        <v>1</v>
      </c>
      <c r="U564" t="b">
        <f>+ISNUMBER(SEARCH('F-COMPRA'!$F$37,Tabla11[[#This Row],[Cuenta]],1))</f>
        <v>1</v>
      </c>
      <c r="V564" t="b">
        <f>+ISNUMBER(SEARCH(#REF!,Tabla11[[#This Row],[Cuenta]],1))</f>
        <v>0</v>
      </c>
      <c r="W564" t="b">
        <f>+ISNUMBER(SEARCH('F-COMPRA'!#REF!,Tabla11[[#This Row],[Cuenta]],1))</f>
        <v>0</v>
      </c>
      <c r="X564" t="b">
        <f>+ISNUMBER(SEARCH('F-COMPRA'!#REF!,Tabla11[[#This Row],[Cuenta]],1))</f>
        <v>0</v>
      </c>
      <c r="Y564" t="b">
        <f>+ISNUMBER(SEARCH('F-COMPRA'!#REF!,Tabla11[[#This Row],[Cuenta]],1))</f>
        <v>0</v>
      </c>
      <c r="Z564" t="b">
        <f>+ISNUMBER(SEARCH('F-COMPRA'!#REF!,Tabla11[[#This Row],[Cuenta]],1))</f>
        <v>0</v>
      </c>
      <c r="AA564" t="b">
        <f>+ISNUMBER(SEARCH('F-COMPRA'!#REF!,Tabla11[[#This Row],[Cuenta]],1))</f>
        <v>0</v>
      </c>
      <c r="AB564" t="b">
        <f>+ISNUMBER(SEARCH('F-COMPRA'!#REF!,Tabla11[[#This Row],[Cuenta]],1))</f>
        <v>0</v>
      </c>
      <c r="AC564" t="b">
        <f>+ISNUMBER(SEARCH('F-COMPRA'!#REF!,Tabla11[[#This Row],[Cuenta]],1))</f>
        <v>0</v>
      </c>
      <c r="AD564" t="b">
        <f>+ISNUMBER(SEARCH('F-COMPRA'!#REF!,Tabla11[[#This Row],[Cuenta]],1))</f>
        <v>0</v>
      </c>
      <c r="AE564" t="b">
        <f>+ISNUMBER(SEARCH('F-COMPRA'!#REF!,Tabla11[[#This Row],[Cuenta]],1))</f>
        <v>0</v>
      </c>
      <c r="AF564" t="b">
        <f>+ISNUMBER(SEARCH('F-VTA'!$G$23,Tabla11[[#This Row],[Cuenta]],1))</f>
        <v>0</v>
      </c>
      <c r="AG564" t="b">
        <f>+ISNUMBER(SEARCH('F-VTA'!$G$24,Tabla11[[#This Row],[Cuenta]],1))</f>
        <v>0</v>
      </c>
      <c r="AH564" t="b">
        <f>+ISNUMBER(SEARCH('F-VTA'!$G$25,Tabla11[[#This Row],[Cuenta]],1))</f>
        <v>0</v>
      </c>
      <c r="AI564" t="b">
        <f>+ISNUMBER(SEARCH('F-VTA'!$F$28,Tabla11[[#This Row],[Cuenta]],1))</f>
        <v>1</v>
      </c>
      <c r="AJ564" t="b">
        <f>+ISNUMBER(SEARCH('F-VTA'!$F$29,Tabla11[[#This Row],[Cuenta]],1))</f>
        <v>1</v>
      </c>
      <c r="AK564" t="b">
        <f>+ISNUMBER(SEARCH('F-VTA'!$F$30,Tabla11[[#This Row],[Cuenta]],1))</f>
        <v>1</v>
      </c>
      <c r="AL564" t="b">
        <f>+ISNUMBER(SEARCH('F-VTA'!$F$31,Tabla11[[#This Row],[Cuenta]],1))</f>
        <v>1</v>
      </c>
      <c r="AM564" t="b">
        <f>+ISNUMBER(SEARCH('F-VTA'!$F$32,Tabla11[[#This Row],[Cuenta]],1))</f>
        <v>1</v>
      </c>
      <c r="AN564" t="b">
        <f>+ISNUMBER(SEARCH('F-VTA'!$F$33,Tabla11[[#This Row],[Cuenta]],1))</f>
        <v>1</v>
      </c>
      <c r="AO564" t="b">
        <f>+ISNUMBER(SEARCH('F-VTA'!$F$34,Tabla11[[#This Row],[Cuenta]],1))</f>
        <v>1</v>
      </c>
      <c r="AP564" t="b">
        <f>+ISNUMBER(SEARCH('F-VTA'!$F$35,Tabla11[[#This Row],[Cuenta]],1))</f>
        <v>1</v>
      </c>
      <c r="AQ564" t="b">
        <f>+ISNUMBER(SEARCH('F-VTA'!$F$36,Tabla11[[#This Row],[Cuenta]],1))</f>
        <v>1</v>
      </c>
      <c r="AR564" t="b">
        <f>+ISNUMBER(SEARCH(#REF!,Tabla11[[#This Row],[Cuenta]],1))</f>
        <v>0</v>
      </c>
      <c r="AS564" t="b">
        <f>+ISNUMBER(SEARCH(#REF!,Tabla11[[#This Row],[Cuenta]],1))</f>
        <v>0</v>
      </c>
      <c r="AT564" t="b">
        <f>+ISNUMBER(SEARCH(#REF!,Tabla11[[#This Row],[Cuenta]],1))</f>
        <v>0</v>
      </c>
      <c r="AU564" t="b">
        <f>+ISNUMBER(SEARCH('Conc. Ban.1'!$I$9,Tabla11[[#This Row],[Cuenta]],1))</f>
        <v>0</v>
      </c>
      <c r="AV564" t="b">
        <f>+ISNUMBER(SEARCH(CompConta!$F$21,Tabla11[[#This Row],[Cuenta]],1))</f>
        <v>1</v>
      </c>
      <c r="AW564" t="b">
        <f>+ISNUMBER(SEARCH(CompConta!$F$22,Tabla11[[#This Row],[Cuenta]],1))</f>
        <v>1</v>
      </c>
      <c r="AX564" t="b">
        <f>+ISNUMBER(SEARCH(CompConta!$F$23,Tabla11[[#This Row],[Cuenta]],1))</f>
        <v>1</v>
      </c>
      <c r="AY564" t="b">
        <f>+ISNUMBER(SEARCH(CompConta!$F$24,Tabla11[[#This Row],[Cuenta]],1))</f>
        <v>1</v>
      </c>
      <c r="AZ564" t="b">
        <f>+ISNUMBER(SEARCH(CompConta!$F$25,Tabla11[[#This Row],[Cuenta]],1))</f>
        <v>1</v>
      </c>
      <c r="BA564" t="b">
        <f>+ISNUMBER(SEARCH(CompConta!$F$26,Tabla11[[#This Row],[Cuenta]],1))</f>
        <v>1</v>
      </c>
      <c r="BB564" t="b">
        <f>+ISNUMBER(SEARCH(CompConta!$F$27,Tabla11[[#This Row],[Cuenta]],1))</f>
        <v>1</v>
      </c>
      <c r="BC564" t="b">
        <f>+ISNUMBER(SEARCH(CompConta!$F$28,Tabla11[[#This Row],[Cuenta]],1))</f>
        <v>1</v>
      </c>
      <c r="BD564" t="b">
        <f>+ISNUMBER(SEARCH(CompConta!$F$29,Tabla11[[#This Row],[Cuenta]],1))</f>
        <v>1</v>
      </c>
      <c r="BE564" t="b">
        <f>+ISNUMBER(SEARCH(CompConta!$F$30,Tabla11[[#This Row],[Cuenta]],1))</f>
        <v>1</v>
      </c>
      <c r="BF564" t="b">
        <f>+ISNUMBER(SEARCH('PAGO Compras'!$E$11,Tabla11[[#This Row],[Cuenta]],1))</f>
        <v>1</v>
      </c>
      <c r="BG564" t="b">
        <f>+ISNUMBER(SEARCH(#REF!,Tabla11[[#This Row],[Cuenta]],1))</f>
        <v>0</v>
      </c>
      <c r="BH564" t="b">
        <f>+ISNUMBER(SEARCH(#REF!,Tabla11[[#This Row],[Cuenta]],1))</f>
        <v>0</v>
      </c>
      <c r="BI564" t="b">
        <f>+ISNUMBER(SEARCH(#REF!,Tabla11[[#This Row],[Cuenta]],1))</f>
        <v>0</v>
      </c>
      <c r="BJ564" t="b">
        <f>+ISNUMBER(SEARCH(#REF!,Tabla11[[#This Row],[Cuenta]],1))</f>
        <v>0</v>
      </c>
      <c r="BS564" t="str">
        <v>263070 Envases y empaques</v>
      </c>
      <c r="BT564" t="str">
        <v>263070 Envases y empaques</v>
      </c>
      <c r="BU564" t="str">
        <v>263070 Envases y empaques</v>
      </c>
      <c r="BV564" t="str">
        <v>263070 Envases y empaques</v>
      </c>
      <c r="BZ564" t="str">
        <v>263070 Envases y empaques</v>
      </c>
      <c r="CA564" t="str">
        <v>263070 Envases y empaques</v>
      </c>
      <c r="CB564" t="str">
        <v>263070 Envases y empaques</v>
      </c>
      <c r="CC564" t="str">
        <v>263070 Envases y empaques</v>
      </c>
      <c r="CD564" t="str">
        <v>263070 Envases y empaques</v>
      </c>
      <c r="CE564" t="str">
        <v>263070 Envases y empaques</v>
      </c>
      <c r="CS564" s="141" t="str">
        <v>263070 Envases y empaques</v>
      </c>
      <c r="CT564" s="141" t="str">
        <v>263070 Envases y empaques</v>
      </c>
      <c r="CU564" s="141" t="str">
        <v>263070 Envases y empaques</v>
      </c>
      <c r="CV564" s="141" t="str">
        <v>263070 Envases y empaques</v>
      </c>
      <c r="CW564" s="141" t="str">
        <v>263070 Envases y empaques</v>
      </c>
      <c r="CX564" s="141" t="str">
        <v>263070 Envases y empaques</v>
      </c>
      <c r="CY564" s="141" t="str">
        <v>263070 Envases y empaques</v>
      </c>
      <c r="CZ564" s="141" t="str">
        <v>263070 Envases y empaques</v>
      </c>
      <c r="DA564" s="141" t="str">
        <v>263070 Envases y empaques</v>
      </c>
      <c r="DF564" t="str">
        <v>263070 Envases y empaques</v>
      </c>
      <c r="DG564" t="str">
        <v>263070 Envases y empaques</v>
      </c>
      <c r="DH564" t="str">
        <v>263070 Envases y empaques</v>
      </c>
      <c r="DI564" t="str">
        <v>263070 Envases y empaques</v>
      </c>
      <c r="DJ564" t="str">
        <v>263070 Envases y empaques</v>
      </c>
      <c r="DK564" t="str">
        <v>263070 Envases y empaques</v>
      </c>
      <c r="DL564" t="str">
        <v>263070 Envases y empaques</v>
      </c>
      <c r="DM564" t="str">
        <v>263070 Envases y empaques</v>
      </c>
      <c r="DN564" t="str">
        <v>263070 Envases y empaques</v>
      </c>
      <c r="DO564" t="str">
        <v>263070 Envases y empaques</v>
      </c>
      <c r="DP564" t="str">
        <v>263070 Envases y empaques</v>
      </c>
    </row>
    <row r="565" spans="4:120" ht="12.75">
      <c r="D565" s="7">
        <v>263075</v>
      </c>
      <c r="E565" s="6" t="s">
        <v>219</v>
      </c>
      <c r="F565" s="5">
        <v>4</v>
      </c>
      <c r="G565" s="34" t="s">
        <v>824</v>
      </c>
      <c r="H565" s="26" t="s">
        <v>765</v>
      </c>
      <c r="I565" t="b">
        <f>+ISNUMBER(SEARCH('F-COMPRA'!$F$28,Tabla11[[#This Row],[Cuenta]],1))</f>
        <v>1</v>
      </c>
      <c r="J565" t="b">
        <f>+ISNUMBER(SEARCH('F-COMPRA'!$F$29,Tabla11[[#This Row],[Cuenta]],1))</f>
        <v>1</v>
      </c>
      <c r="K565" t="b">
        <f>+ISNUMBER(SEARCH('F-COMPRA'!$F$30,Tabla11[[#This Row],[Cuenta]],1))</f>
        <v>1</v>
      </c>
      <c r="L565" t="b">
        <f>+ISNUMBER(SEARCH('F-COMPRA'!$F$31,Tabla11[[#This Row],[Cuenta]],1))</f>
        <v>1</v>
      </c>
      <c r="M565" t="b">
        <f>+ISNUMBER(SEARCH('F-COMPRA'!$G$25,Tabla11[[#This Row],[Cuenta]],1))</f>
        <v>0</v>
      </c>
      <c r="N565" t="b">
        <f>+ISNUMBER(SEARCH(#REF!,Tabla11[[#This Row],[Cuenta]],1))</f>
        <v>0</v>
      </c>
      <c r="O565" t="b">
        <f>+ISNUMBER(SEARCH(#REF!,Tabla11[[#This Row],[Cuenta]],1))</f>
        <v>0</v>
      </c>
      <c r="P565" t="b">
        <f>+ISNUMBER(SEARCH('F-COMPRA'!$F$32,Tabla11[[#This Row],[Cuenta]],1))</f>
        <v>1</v>
      </c>
      <c r="Q565" t="b">
        <f>+ISNUMBER(SEARCH('F-COMPRA'!$F$33,Tabla11[[#This Row],[Cuenta]],1))</f>
        <v>1</v>
      </c>
      <c r="R565" t="b">
        <f>+ISNUMBER(SEARCH('F-COMPRA'!$F$34,Tabla11[[#This Row],[Cuenta]],1))</f>
        <v>1</v>
      </c>
      <c r="S565" t="b">
        <f>+ISNUMBER(SEARCH('F-COMPRA'!$F$35,Tabla11[[#This Row],[Cuenta]],1))</f>
        <v>1</v>
      </c>
      <c r="T565" t="b">
        <f>+ISNUMBER(SEARCH('F-COMPRA'!$F$36,Tabla11[[#This Row],[Cuenta]],1))</f>
        <v>1</v>
      </c>
      <c r="U565" t="b">
        <f>+ISNUMBER(SEARCH('F-COMPRA'!$F$37,Tabla11[[#This Row],[Cuenta]],1))</f>
        <v>1</v>
      </c>
      <c r="V565" t="b">
        <f>+ISNUMBER(SEARCH(#REF!,Tabla11[[#This Row],[Cuenta]],1))</f>
        <v>0</v>
      </c>
      <c r="W565" t="b">
        <f>+ISNUMBER(SEARCH('F-COMPRA'!#REF!,Tabla11[[#This Row],[Cuenta]],1))</f>
        <v>0</v>
      </c>
      <c r="X565" t="b">
        <f>+ISNUMBER(SEARCH('F-COMPRA'!#REF!,Tabla11[[#This Row],[Cuenta]],1))</f>
        <v>0</v>
      </c>
      <c r="Y565" t="b">
        <f>+ISNUMBER(SEARCH('F-COMPRA'!#REF!,Tabla11[[#This Row],[Cuenta]],1))</f>
        <v>0</v>
      </c>
      <c r="Z565" t="b">
        <f>+ISNUMBER(SEARCH('F-COMPRA'!#REF!,Tabla11[[#This Row],[Cuenta]],1))</f>
        <v>0</v>
      </c>
      <c r="AA565" t="b">
        <f>+ISNUMBER(SEARCH('F-COMPRA'!#REF!,Tabla11[[#This Row],[Cuenta]],1))</f>
        <v>0</v>
      </c>
      <c r="AB565" t="b">
        <f>+ISNUMBER(SEARCH('F-COMPRA'!#REF!,Tabla11[[#This Row],[Cuenta]],1))</f>
        <v>0</v>
      </c>
      <c r="AC565" t="b">
        <f>+ISNUMBER(SEARCH('F-COMPRA'!#REF!,Tabla11[[#This Row],[Cuenta]],1))</f>
        <v>0</v>
      </c>
      <c r="AD565" t="b">
        <f>+ISNUMBER(SEARCH('F-COMPRA'!#REF!,Tabla11[[#This Row],[Cuenta]],1))</f>
        <v>0</v>
      </c>
      <c r="AE565" t="b">
        <f>+ISNUMBER(SEARCH('F-COMPRA'!#REF!,Tabla11[[#This Row],[Cuenta]],1))</f>
        <v>0</v>
      </c>
      <c r="AF565" t="b">
        <f>+ISNUMBER(SEARCH('F-VTA'!$G$23,Tabla11[[#This Row],[Cuenta]],1))</f>
        <v>0</v>
      </c>
      <c r="AG565" t="b">
        <f>+ISNUMBER(SEARCH('F-VTA'!$G$24,Tabla11[[#This Row],[Cuenta]],1))</f>
        <v>0</v>
      </c>
      <c r="AH565" t="b">
        <f>+ISNUMBER(SEARCH('F-VTA'!$G$25,Tabla11[[#This Row],[Cuenta]],1))</f>
        <v>0</v>
      </c>
      <c r="AI565" t="b">
        <f>+ISNUMBER(SEARCH('F-VTA'!$F$28,Tabla11[[#This Row],[Cuenta]],1))</f>
        <v>1</v>
      </c>
      <c r="AJ565" t="b">
        <f>+ISNUMBER(SEARCH('F-VTA'!$F$29,Tabla11[[#This Row],[Cuenta]],1))</f>
        <v>1</v>
      </c>
      <c r="AK565" t="b">
        <f>+ISNUMBER(SEARCH('F-VTA'!$F$30,Tabla11[[#This Row],[Cuenta]],1))</f>
        <v>1</v>
      </c>
      <c r="AL565" t="b">
        <f>+ISNUMBER(SEARCH('F-VTA'!$F$31,Tabla11[[#This Row],[Cuenta]],1))</f>
        <v>1</v>
      </c>
      <c r="AM565" t="b">
        <f>+ISNUMBER(SEARCH('F-VTA'!$F$32,Tabla11[[#This Row],[Cuenta]],1))</f>
        <v>1</v>
      </c>
      <c r="AN565" t="b">
        <f>+ISNUMBER(SEARCH('F-VTA'!$F$33,Tabla11[[#This Row],[Cuenta]],1))</f>
        <v>1</v>
      </c>
      <c r="AO565" t="b">
        <f>+ISNUMBER(SEARCH('F-VTA'!$F$34,Tabla11[[#This Row],[Cuenta]],1))</f>
        <v>1</v>
      </c>
      <c r="AP565" t="b">
        <f>+ISNUMBER(SEARCH('F-VTA'!$F$35,Tabla11[[#This Row],[Cuenta]],1))</f>
        <v>1</v>
      </c>
      <c r="AQ565" t="b">
        <f>+ISNUMBER(SEARCH('F-VTA'!$F$36,Tabla11[[#This Row],[Cuenta]],1))</f>
        <v>1</v>
      </c>
      <c r="AR565" t="b">
        <f>+ISNUMBER(SEARCH(#REF!,Tabla11[[#This Row],[Cuenta]],1))</f>
        <v>0</v>
      </c>
      <c r="AS565" t="b">
        <f>+ISNUMBER(SEARCH(#REF!,Tabla11[[#This Row],[Cuenta]],1))</f>
        <v>0</v>
      </c>
      <c r="AT565" t="b">
        <f>+ISNUMBER(SEARCH(#REF!,Tabla11[[#This Row],[Cuenta]],1))</f>
        <v>0</v>
      </c>
      <c r="AU565" t="b">
        <f>+ISNUMBER(SEARCH('Conc. Ban.1'!$I$9,Tabla11[[#This Row],[Cuenta]],1))</f>
        <v>0</v>
      </c>
      <c r="AV565" t="b">
        <f>+ISNUMBER(SEARCH(CompConta!$F$21,Tabla11[[#This Row],[Cuenta]],1))</f>
        <v>1</v>
      </c>
      <c r="AW565" t="b">
        <f>+ISNUMBER(SEARCH(CompConta!$F$22,Tabla11[[#This Row],[Cuenta]],1))</f>
        <v>1</v>
      </c>
      <c r="AX565" t="b">
        <f>+ISNUMBER(SEARCH(CompConta!$F$23,Tabla11[[#This Row],[Cuenta]],1))</f>
        <v>1</v>
      </c>
      <c r="AY565" t="b">
        <f>+ISNUMBER(SEARCH(CompConta!$F$24,Tabla11[[#This Row],[Cuenta]],1))</f>
        <v>1</v>
      </c>
      <c r="AZ565" t="b">
        <f>+ISNUMBER(SEARCH(CompConta!$F$25,Tabla11[[#This Row],[Cuenta]],1))</f>
        <v>1</v>
      </c>
      <c r="BA565" t="b">
        <f>+ISNUMBER(SEARCH(CompConta!$F$26,Tabla11[[#This Row],[Cuenta]],1))</f>
        <v>1</v>
      </c>
      <c r="BB565" t="b">
        <f>+ISNUMBER(SEARCH(CompConta!$F$27,Tabla11[[#This Row],[Cuenta]],1))</f>
        <v>1</v>
      </c>
      <c r="BC565" t="b">
        <f>+ISNUMBER(SEARCH(CompConta!$F$28,Tabla11[[#This Row],[Cuenta]],1))</f>
        <v>1</v>
      </c>
      <c r="BD565" t="b">
        <f>+ISNUMBER(SEARCH(CompConta!$F$29,Tabla11[[#This Row],[Cuenta]],1))</f>
        <v>1</v>
      </c>
      <c r="BE565" t="b">
        <f>+ISNUMBER(SEARCH(CompConta!$F$30,Tabla11[[#This Row],[Cuenta]],1))</f>
        <v>1</v>
      </c>
      <c r="BF565" t="b">
        <f>+ISNUMBER(SEARCH('PAGO Compras'!$E$11,Tabla11[[#This Row],[Cuenta]],1))</f>
        <v>1</v>
      </c>
      <c r="BG565" t="b">
        <f>+ISNUMBER(SEARCH(#REF!,Tabla11[[#This Row],[Cuenta]],1))</f>
        <v>0</v>
      </c>
      <c r="BH565" t="b">
        <f>+ISNUMBER(SEARCH(#REF!,Tabla11[[#This Row],[Cuenta]],1))</f>
        <v>0</v>
      </c>
      <c r="BI565" t="b">
        <f>+ISNUMBER(SEARCH(#REF!,Tabla11[[#This Row],[Cuenta]],1))</f>
        <v>0</v>
      </c>
      <c r="BJ565" t="b">
        <f>+ISNUMBER(SEARCH(#REF!,Tabla11[[#This Row],[Cuenta]],1))</f>
        <v>0</v>
      </c>
      <c r="BS565" t="str">
        <v>263075 Plantaciones agrícolas y forestales</v>
      </c>
      <c r="BT565" t="str">
        <v>263075 Plantaciones agrícolas y forestales</v>
      </c>
      <c r="BU565" t="str">
        <v>263075 Plantaciones agrícolas y forestales</v>
      </c>
      <c r="BV565" t="str">
        <v>263075 Plantaciones agrícolas y forestales</v>
      </c>
      <c r="BZ565" t="str">
        <v>263075 Plantaciones agrícolas y forestales</v>
      </c>
      <c r="CA565" t="str">
        <v>263075 Plantaciones agrícolas y forestales</v>
      </c>
      <c r="CB565" t="str">
        <v>263075 Plantaciones agrícolas y forestales</v>
      </c>
      <c r="CC565" t="str">
        <v>263075 Plantaciones agrícolas y forestales</v>
      </c>
      <c r="CD565" t="str">
        <v>263075 Plantaciones agrícolas y forestales</v>
      </c>
      <c r="CE565" t="str">
        <v>263075 Plantaciones agrícolas y forestales</v>
      </c>
      <c r="CS565" s="141" t="str">
        <v>263075 Plantaciones agrícolas y forestales</v>
      </c>
      <c r="CT565" s="141" t="str">
        <v>263075 Plantaciones agrícolas y forestales</v>
      </c>
      <c r="CU565" s="141" t="str">
        <v>263075 Plantaciones agrícolas y forestales</v>
      </c>
      <c r="CV565" s="141" t="str">
        <v>263075 Plantaciones agrícolas y forestales</v>
      </c>
      <c r="CW565" s="141" t="str">
        <v>263075 Plantaciones agrícolas y forestales</v>
      </c>
      <c r="CX565" s="141" t="str">
        <v>263075 Plantaciones agrícolas y forestales</v>
      </c>
      <c r="CY565" s="141" t="str">
        <v>263075 Plantaciones agrícolas y forestales</v>
      </c>
      <c r="CZ565" s="141" t="str">
        <v>263075 Plantaciones agrícolas y forestales</v>
      </c>
      <c r="DA565" s="141" t="str">
        <v>263075 Plantaciones agrícolas y forestales</v>
      </c>
      <c r="DF565" t="str">
        <v>263075 Plantaciones agrícolas y forestales</v>
      </c>
      <c r="DG565" t="str">
        <v>263075 Plantaciones agrícolas y forestales</v>
      </c>
      <c r="DH565" t="str">
        <v>263075 Plantaciones agrícolas y forestales</v>
      </c>
      <c r="DI565" t="str">
        <v>263075 Plantaciones agrícolas y forestales</v>
      </c>
      <c r="DJ565" t="str">
        <v>263075 Plantaciones agrícolas y forestales</v>
      </c>
      <c r="DK565" t="str">
        <v>263075 Plantaciones agrícolas y forestales</v>
      </c>
      <c r="DL565" t="str">
        <v>263075 Plantaciones agrícolas y forestales</v>
      </c>
      <c r="DM565" t="str">
        <v>263075 Plantaciones agrícolas y forestales</v>
      </c>
      <c r="DN565" t="str">
        <v>263075 Plantaciones agrícolas y forestales</v>
      </c>
      <c r="DO565" t="str">
        <v>263075 Plantaciones agrícolas y forestales</v>
      </c>
      <c r="DP565" t="str">
        <v>263075 Plantaciones agrícolas y forestales</v>
      </c>
    </row>
    <row r="566" spans="4:120" ht="12.75">
      <c r="D566" s="7">
        <v>263080</v>
      </c>
      <c r="E566" s="6" t="s">
        <v>123</v>
      </c>
      <c r="F566" s="5">
        <v>4</v>
      </c>
      <c r="G566" s="34" t="s">
        <v>824</v>
      </c>
      <c r="H566" s="26" t="s">
        <v>765</v>
      </c>
      <c r="I566" t="b">
        <f>+ISNUMBER(SEARCH('F-COMPRA'!$F$28,Tabla11[[#This Row],[Cuenta]],1))</f>
        <v>1</v>
      </c>
      <c r="J566" t="b">
        <f>+ISNUMBER(SEARCH('F-COMPRA'!$F$29,Tabla11[[#This Row],[Cuenta]],1))</f>
        <v>1</v>
      </c>
      <c r="K566" t="b">
        <f>+ISNUMBER(SEARCH('F-COMPRA'!$F$30,Tabla11[[#This Row],[Cuenta]],1))</f>
        <v>1</v>
      </c>
      <c r="L566" t="b">
        <f>+ISNUMBER(SEARCH('F-COMPRA'!$F$31,Tabla11[[#This Row],[Cuenta]],1))</f>
        <v>1</v>
      </c>
      <c r="M566" t="b">
        <f>+ISNUMBER(SEARCH('F-COMPRA'!$G$25,Tabla11[[#This Row],[Cuenta]],1))</f>
        <v>0</v>
      </c>
      <c r="N566" t="b">
        <f>+ISNUMBER(SEARCH(#REF!,Tabla11[[#This Row],[Cuenta]],1))</f>
        <v>0</v>
      </c>
      <c r="O566" t="b">
        <f>+ISNUMBER(SEARCH(#REF!,Tabla11[[#This Row],[Cuenta]],1))</f>
        <v>0</v>
      </c>
      <c r="P566" t="b">
        <f>+ISNUMBER(SEARCH('F-COMPRA'!$F$32,Tabla11[[#This Row],[Cuenta]],1))</f>
        <v>1</v>
      </c>
      <c r="Q566" t="b">
        <f>+ISNUMBER(SEARCH('F-COMPRA'!$F$33,Tabla11[[#This Row],[Cuenta]],1))</f>
        <v>1</v>
      </c>
      <c r="R566" t="b">
        <f>+ISNUMBER(SEARCH('F-COMPRA'!$F$34,Tabla11[[#This Row],[Cuenta]],1))</f>
        <v>1</v>
      </c>
      <c r="S566" t="b">
        <f>+ISNUMBER(SEARCH('F-COMPRA'!$F$35,Tabla11[[#This Row],[Cuenta]],1))</f>
        <v>1</v>
      </c>
      <c r="T566" t="b">
        <f>+ISNUMBER(SEARCH('F-COMPRA'!$F$36,Tabla11[[#This Row],[Cuenta]],1))</f>
        <v>1</v>
      </c>
      <c r="U566" t="b">
        <f>+ISNUMBER(SEARCH('F-COMPRA'!$F$37,Tabla11[[#This Row],[Cuenta]],1))</f>
        <v>1</v>
      </c>
      <c r="V566" t="b">
        <f>+ISNUMBER(SEARCH(#REF!,Tabla11[[#This Row],[Cuenta]],1))</f>
        <v>0</v>
      </c>
      <c r="W566" t="b">
        <f>+ISNUMBER(SEARCH('F-COMPRA'!#REF!,Tabla11[[#This Row],[Cuenta]],1))</f>
        <v>0</v>
      </c>
      <c r="X566" t="b">
        <f>+ISNUMBER(SEARCH('F-COMPRA'!#REF!,Tabla11[[#This Row],[Cuenta]],1))</f>
        <v>0</v>
      </c>
      <c r="Y566" t="b">
        <f>+ISNUMBER(SEARCH('F-COMPRA'!#REF!,Tabla11[[#This Row],[Cuenta]],1))</f>
        <v>0</v>
      </c>
      <c r="Z566" t="b">
        <f>+ISNUMBER(SEARCH('F-COMPRA'!#REF!,Tabla11[[#This Row],[Cuenta]],1))</f>
        <v>0</v>
      </c>
      <c r="AA566" t="b">
        <f>+ISNUMBER(SEARCH('F-COMPRA'!#REF!,Tabla11[[#This Row],[Cuenta]],1))</f>
        <v>0</v>
      </c>
      <c r="AB566" t="b">
        <f>+ISNUMBER(SEARCH('F-COMPRA'!#REF!,Tabla11[[#This Row],[Cuenta]],1))</f>
        <v>0</v>
      </c>
      <c r="AC566" t="b">
        <f>+ISNUMBER(SEARCH('F-COMPRA'!#REF!,Tabla11[[#This Row],[Cuenta]],1))</f>
        <v>0</v>
      </c>
      <c r="AD566" t="b">
        <f>+ISNUMBER(SEARCH('F-COMPRA'!#REF!,Tabla11[[#This Row],[Cuenta]],1))</f>
        <v>0</v>
      </c>
      <c r="AE566" t="b">
        <f>+ISNUMBER(SEARCH('F-COMPRA'!#REF!,Tabla11[[#This Row],[Cuenta]],1))</f>
        <v>0</v>
      </c>
      <c r="AF566" t="b">
        <f>+ISNUMBER(SEARCH('F-VTA'!$G$23,Tabla11[[#This Row],[Cuenta]],1))</f>
        <v>0</v>
      </c>
      <c r="AG566" t="b">
        <f>+ISNUMBER(SEARCH('F-VTA'!$G$24,Tabla11[[#This Row],[Cuenta]],1))</f>
        <v>0</v>
      </c>
      <c r="AH566" t="b">
        <f>+ISNUMBER(SEARCH('F-VTA'!$G$25,Tabla11[[#This Row],[Cuenta]],1))</f>
        <v>0</v>
      </c>
      <c r="AI566" t="b">
        <f>+ISNUMBER(SEARCH('F-VTA'!$F$28,Tabla11[[#This Row],[Cuenta]],1))</f>
        <v>1</v>
      </c>
      <c r="AJ566" t="b">
        <f>+ISNUMBER(SEARCH('F-VTA'!$F$29,Tabla11[[#This Row],[Cuenta]],1))</f>
        <v>1</v>
      </c>
      <c r="AK566" t="b">
        <f>+ISNUMBER(SEARCH('F-VTA'!$F$30,Tabla11[[#This Row],[Cuenta]],1))</f>
        <v>1</v>
      </c>
      <c r="AL566" t="b">
        <f>+ISNUMBER(SEARCH('F-VTA'!$F$31,Tabla11[[#This Row],[Cuenta]],1))</f>
        <v>1</v>
      </c>
      <c r="AM566" t="b">
        <f>+ISNUMBER(SEARCH('F-VTA'!$F$32,Tabla11[[#This Row],[Cuenta]],1))</f>
        <v>1</v>
      </c>
      <c r="AN566" t="b">
        <f>+ISNUMBER(SEARCH('F-VTA'!$F$33,Tabla11[[#This Row],[Cuenta]],1))</f>
        <v>1</v>
      </c>
      <c r="AO566" t="b">
        <f>+ISNUMBER(SEARCH('F-VTA'!$F$34,Tabla11[[#This Row],[Cuenta]],1))</f>
        <v>1</v>
      </c>
      <c r="AP566" t="b">
        <f>+ISNUMBER(SEARCH('F-VTA'!$F$35,Tabla11[[#This Row],[Cuenta]],1))</f>
        <v>1</v>
      </c>
      <c r="AQ566" t="b">
        <f>+ISNUMBER(SEARCH('F-VTA'!$F$36,Tabla11[[#This Row],[Cuenta]],1))</f>
        <v>1</v>
      </c>
      <c r="AR566" t="b">
        <f>+ISNUMBER(SEARCH(#REF!,Tabla11[[#This Row],[Cuenta]],1))</f>
        <v>0</v>
      </c>
      <c r="AS566" t="b">
        <f>+ISNUMBER(SEARCH(#REF!,Tabla11[[#This Row],[Cuenta]],1))</f>
        <v>0</v>
      </c>
      <c r="AT566" t="b">
        <f>+ISNUMBER(SEARCH(#REF!,Tabla11[[#This Row],[Cuenta]],1))</f>
        <v>0</v>
      </c>
      <c r="AU566" t="b">
        <f>+ISNUMBER(SEARCH('Conc. Ban.1'!$I$9,Tabla11[[#This Row],[Cuenta]],1))</f>
        <v>0</v>
      </c>
      <c r="AV566" t="b">
        <f>+ISNUMBER(SEARCH(CompConta!$F$21,Tabla11[[#This Row],[Cuenta]],1))</f>
        <v>1</v>
      </c>
      <c r="AW566" t="b">
        <f>+ISNUMBER(SEARCH(CompConta!$F$22,Tabla11[[#This Row],[Cuenta]],1))</f>
        <v>1</v>
      </c>
      <c r="AX566" t="b">
        <f>+ISNUMBER(SEARCH(CompConta!$F$23,Tabla11[[#This Row],[Cuenta]],1))</f>
        <v>1</v>
      </c>
      <c r="AY566" t="b">
        <f>+ISNUMBER(SEARCH(CompConta!$F$24,Tabla11[[#This Row],[Cuenta]],1))</f>
        <v>1</v>
      </c>
      <c r="AZ566" t="b">
        <f>+ISNUMBER(SEARCH(CompConta!$F$25,Tabla11[[#This Row],[Cuenta]],1))</f>
        <v>1</v>
      </c>
      <c r="BA566" t="b">
        <f>+ISNUMBER(SEARCH(CompConta!$F$26,Tabla11[[#This Row],[Cuenta]],1))</f>
        <v>1</v>
      </c>
      <c r="BB566" t="b">
        <f>+ISNUMBER(SEARCH(CompConta!$F$27,Tabla11[[#This Row],[Cuenta]],1))</f>
        <v>1</v>
      </c>
      <c r="BC566" t="b">
        <f>+ISNUMBER(SEARCH(CompConta!$F$28,Tabla11[[#This Row],[Cuenta]],1))</f>
        <v>1</v>
      </c>
      <c r="BD566" t="b">
        <f>+ISNUMBER(SEARCH(CompConta!$F$29,Tabla11[[#This Row],[Cuenta]],1))</f>
        <v>1</v>
      </c>
      <c r="BE566" t="b">
        <f>+ISNUMBER(SEARCH(CompConta!$F$30,Tabla11[[#This Row],[Cuenta]],1))</f>
        <v>1</v>
      </c>
      <c r="BF566" t="b">
        <f>+ISNUMBER(SEARCH('PAGO Compras'!$E$11,Tabla11[[#This Row],[Cuenta]],1))</f>
        <v>1</v>
      </c>
      <c r="BG566" t="b">
        <f>+ISNUMBER(SEARCH(#REF!,Tabla11[[#This Row],[Cuenta]],1))</f>
        <v>0</v>
      </c>
      <c r="BH566" t="b">
        <f>+ISNUMBER(SEARCH(#REF!,Tabla11[[#This Row],[Cuenta]],1))</f>
        <v>0</v>
      </c>
      <c r="BI566" t="b">
        <f>+ISNUMBER(SEARCH(#REF!,Tabla11[[#This Row],[Cuenta]],1))</f>
        <v>0</v>
      </c>
      <c r="BJ566" t="b">
        <f>+ISNUMBER(SEARCH(#REF!,Tabla11[[#This Row],[Cuenta]],1))</f>
        <v>0</v>
      </c>
      <c r="BS566" t="str">
        <v>263080 Vías de comunicación</v>
      </c>
      <c r="BT566" t="str">
        <v>263080 Vías de comunicación</v>
      </c>
      <c r="BU566" t="str">
        <v>263080 Vías de comunicación</v>
      </c>
      <c r="BV566" t="str">
        <v>263080 Vías de comunicación</v>
      </c>
      <c r="BZ566" t="str">
        <v>263080 Vías de comunicación</v>
      </c>
      <c r="CA566" t="str">
        <v>263080 Vías de comunicación</v>
      </c>
      <c r="CB566" t="str">
        <v>263080 Vías de comunicación</v>
      </c>
      <c r="CC566" t="str">
        <v>263080 Vías de comunicación</v>
      </c>
      <c r="CD566" t="str">
        <v>263080 Vías de comunicación</v>
      </c>
      <c r="CE566" t="str">
        <v>263080 Vías de comunicación</v>
      </c>
      <c r="CS566" s="141" t="str">
        <v>263080 Vías de comunicación</v>
      </c>
      <c r="CT566" s="141" t="str">
        <v>263080 Vías de comunicación</v>
      </c>
      <c r="CU566" s="141" t="str">
        <v>263080 Vías de comunicación</v>
      </c>
      <c r="CV566" s="141" t="str">
        <v>263080 Vías de comunicación</v>
      </c>
      <c r="CW566" s="141" t="str">
        <v>263080 Vías de comunicación</v>
      </c>
      <c r="CX566" s="141" t="str">
        <v>263080 Vías de comunicación</v>
      </c>
      <c r="CY566" s="141" t="str">
        <v>263080 Vías de comunicación</v>
      </c>
      <c r="CZ566" s="141" t="str">
        <v>263080 Vías de comunicación</v>
      </c>
      <c r="DA566" s="141" t="str">
        <v>263080 Vías de comunicación</v>
      </c>
      <c r="DF566" t="str">
        <v>263080 Vías de comunicación</v>
      </c>
      <c r="DG566" t="str">
        <v>263080 Vías de comunicación</v>
      </c>
      <c r="DH566" t="str">
        <v>263080 Vías de comunicación</v>
      </c>
      <c r="DI566" t="str">
        <v>263080 Vías de comunicación</v>
      </c>
      <c r="DJ566" t="str">
        <v>263080 Vías de comunicación</v>
      </c>
      <c r="DK566" t="str">
        <v>263080 Vías de comunicación</v>
      </c>
      <c r="DL566" t="str">
        <v>263080 Vías de comunicación</v>
      </c>
      <c r="DM566" t="str">
        <v>263080 Vías de comunicación</v>
      </c>
      <c r="DN566" t="str">
        <v>263080 Vías de comunicación</v>
      </c>
      <c r="DO566" t="str">
        <v>263080 Vías de comunicación</v>
      </c>
      <c r="DP566" t="str">
        <v>263080 Vías de comunicación</v>
      </c>
    </row>
    <row r="567" spans="4:120" ht="12.75">
      <c r="D567" s="7">
        <v>263085</v>
      </c>
      <c r="E567" s="6" t="s">
        <v>124</v>
      </c>
      <c r="F567" s="5">
        <v>4</v>
      </c>
      <c r="G567" s="34" t="s">
        <v>824</v>
      </c>
      <c r="H567" s="26" t="s">
        <v>765</v>
      </c>
      <c r="I567" t="b">
        <f>+ISNUMBER(SEARCH('F-COMPRA'!$F$28,Tabla11[[#This Row],[Cuenta]],1))</f>
        <v>1</v>
      </c>
      <c r="J567" t="b">
        <f>+ISNUMBER(SEARCH('F-COMPRA'!$F$29,Tabla11[[#This Row],[Cuenta]],1))</f>
        <v>1</v>
      </c>
      <c r="K567" t="b">
        <f>+ISNUMBER(SEARCH('F-COMPRA'!$F$30,Tabla11[[#This Row],[Cuenta]],1))</f>
        <v>1</v>
      </c>
      <c r="L567" t="b">
        <f>+ISNUMBER(SEARCH('F-COMPRA'!$F$31,Tabla11[[#This Row],[Cuenta]],1))</f>
        <v>1</v>
      </c>
      <c r="M567" t="b">
        <f>+ISNUMBER(SEARCH('F-COMPRA'!$G$25,Tabla11[[#This Row],[Cuenta]],1))</f>
        <v>0</v>
      </c>
      <c r="N567" t="b">
        <f>+ISNUMBER(SEARCH(#REF!,Tabla11[[#This Row],[Cuenta]],1))</f>
        <v>0</v>
      </c>
      <c r="O567" t="b">
        <f>+ISNUMBER(SEARCH(#REF!,Tabla11[[#This Row],[Cuenta]],1))</f>
        <v>0</v>
      </c>
      <c r="P567" t="b">
        <f>+ISNUMBER(SEARCH('F-COMPRA'!$F$32,Tabla11[[#This Row],[Cuenta]],1))</f>
        <v>1</v>
      </c>
      <c r="Q567" t="b">
        <f>+ISNUMBER(SEARCH('F-COMPRA'!$F$33,Tabla11[[#This Row],[Cuenta]],1))</f>
        <v>1</v>
      </c>
      <c r="R567" t="b">
        <f>+ISNUMBER(SEARCH('F-COMPRA'!$F$34,Tabla11[[#This Row],[Cuenta]],1))</f>
        <v>1</v>
      </c>
      <c r="S567" t="b">
        <f>+ISNUMBER(SEARCH('F-COMPRA'!$F$35,Tabla11[[#This Row],[Cuenta]],1))</f>
        <v>1</v>
      </c>
      <c r="T567" t="b">
        <f>+ISNUMBER(SEARCH('F-COMPRA'!$F$36,Tabla11[[#This Row],[Cuenta]],1))</f>
        <v>1</v>
      </c>
      <c r="U567" t="b">
        <f>+ISNUMBER(SEARCH('F-COMPRA'!$F$37,Tabla11[[#This Row],[Cuenta]],1))</f>
        <v>1</v>
      </c>
      <c r="V567" t="b">
        <f>+ISNUMBER(SEARCH(#REF!,Tabla11[[#This Row],[Cuenta]],1))</f>
        <v>0</v>
      </c>
      <c r="W567" t="b">
        <f>+ISNUMBER(SEARCH('F-COMPRA'!#REF!,Tabla11[[#This Row],[Cuenta]],1))</f>
        <v>0</v>
      </c>
      <c r="X567" t="b">
        <f>+ISNUMBER(SEARCH('F-COMPRA'!#REF!,Tabla11[[#This Row],[Cuenta]],1))</f>
        <v>0</v>
      </c>
      <c r="Y567" t="b">
        <f>+ISNUMBER(SEARCH('F-COMPRA'!#REF!,Tabla11[[#This Row],[Cuenta]],1))</f>
        <v>0</v>
      </c>
      <c r="Z567" t="b">
        <f>+ISNUMBER(SEARCH('F-COMPRA'!#REF!,Tabla11[[#This Row],[Cuenta]],1))</f>
        <v>0</v>
      </c>
      <c r="AA567" t="b">
        <f>+ISNUMBER(SEARCH('F-COMPRA'!#REF!,Tabla11[[#This Row],[Cuenta]],1))</f>
        <v>0</v>
      </c>
      <c r="AB567" t="b">
        <f>+ISNUMBER(SEARCH('F-COMPRA'!#REF!,Tabla11[[#This Row],[Cuenta]],1))</f>
        <v>0</v>
      </c>
      <c r="AC567" t="b">
        <f>+ISNUMBER(SEARCH('F-COMPRA'!#REF!,Tabla11[[#This Row],[Cuenta]],1))</f>
        <v>0</v>
      </c>
      <c r="AD567" t="b">
        <f>+ISNUMBER(SEARCH('F-COMPRA'!#REF!,Tabla11[[#This Row],[Cuenta]],1))</f>
        <v>0</v>
      </c>
      <c r="AE567" t="b">
        <f>+ISNUMBER(SEARCH('F-COMPRA'!#REF!,Tabla11[[#This Row],[Cuenta]],1))</f>
        <v>0</v>
      </c>
      <c r="AF567" t="b">
        <f>+ISNUMBER(SEARCH('F-VTA'!$G$23,Tabla11[[#This Row],[Cuenta]],1))</f>
        <v>0</v>
      </c>
      <c r="AG567" t="b">
        <f>+ISNUMBER(SEARCH('F-VTA'!$G$24,Tabla11[[#This Row],[Cuenta]],1))</f>
        <v>0</v>
      </c>
      <c r="AH567" t="b">
        <f>+ISNUMBER(SEARCH('F-VTA'!$G$25,Tabla11[[#This Row],[Cuenta]],1))</f>
        <v>0</v>
      </c>
      <c r="AI567" t="b">
        <f>+ISNUMBER(SEARCH('F-VTA'!$F$28,Tabla11[[#This Row],[Cuenta]],1))</f>
        <v>1</v>
      </c>
      <c r="AJ567" t="b">
        <f>+ISNUMBER(SEARCH('F-VTA'!$F$29,Tabla11[[#This Row],[Cuenta]],1))</f>
        <v>1</v>
      </c>
      <c r="AK567" t="b">
        <f>+ISNUMBER(SEARCH('F-VTA'!$F$30,Tabla11[[#This Row],[Cuenta]],1))</f>
        <v>1</v>
      </c>
      <c r="AL567" t="b">
        <f>+ISNUMBER(SEARCH('F-VTA'!$F$31,Tabla11[[#This Row],[Cuenta]],1))</f>
        <v>1</v>
      </c>
      <c r="AM567" t="b">
        <f>+ISNUMBER(SEARCH('F-VTA'!$F$32,Tabla11[[#This Row],[Cuenta]],1))</f>
        <v>1</v>
      </c>
      <c r="AN567" t="b">
        <f>+ISNUMBER(SEARCH('F-VTA'!$F$33,Tabla11[[#This Row],[Cuenta]],1))</f>
        <v>1</v>
      </c>
      <c r="AO567" t="b">
        <f>+ISNUMBER(SEARCH('F-VTA'!$F$34,Tabla11[[#This Row],[Cuenta]],1))</f>
        <v>1</v>
      </c>
      <c r="AP567" t="b">
        <f>+ISNUMBER(SEARCH('F-VTA'!$F$35,Tabla11[[#This Row],[Cuenta]],1))</f>
        <v>1</v>
      </c>
      <c r="AQ567" t="b">
        <f>+ISNUMBER(SEARCH('F-VTA'!$F$36,Tabla11[[#This Row],[Cuenta]],1))</f>
        <v>1</v>
      </c>
      <c r="AR567" t="b">
        <f>+ISNUMBER(SEARCH(#REF!,Tabla11[[#This Row],[Cuenta]],1))</f>
        <v>0</v>
      </c>
      <c r="AS567" t="b">
        <f>+ISNUMBER(SEARCH(#REF!,Tabla11[[#This Row],[Cuenta]],1))</f>
        <v>0</v>
      </c>
      <c r="AT567" t="b">
        <f>+ISNUMBER(SEARCH(#REF!,Tabla11[[#This Row],[Cuenta]],1))</f>
        <v>0</v>
      </c>
      <c r="AU567" t="b">
        <f>+ISNUMBER(SEARCH('Conc. Ban.1'!$I$9,Tabla11[[#This Row],[Cuenta]],1))</f>
        <v>0</v>
      </c>
      <c r="AV567" t="b">
        <f>+ISNUMBER(SEARCH(CompConta!$F$21,Tabla11[[#This Row],[Cuenta]],1))</f>
        <v>1</v>
      </c>
      <c r="AW567" t="b">
        <f>+ISNUMBER(SEARCH(CompConta!$F$22,Tabla11[[#This Row],[Cuenta]],1))</f>
        <v>1</v>
      </c>
      <c r="AX567" t="b">
        <f>+ISNUMBER(SEARCH(CompConta!$F$23,Tabla11[[#This Row],[Cuenta]],1))</f>
        <v>1</v>
      </c>
      <c r="AY567" t="b">
        <f>+ISNUMBER(SEARCH(CompConta!$F$24,Tabla11[[#This Row],[Cuenta]],1))</f>
        <v>1</v>
      </c>
      <c r="AZ567" t="b">
        <f>+ISNUMBER(SEARCH(CompConta!$F$25,Tabla11[[#This Row],[Cuenta]],1))</f>
        <v>1</v>
      </c>
      <c r="BA567" t="b">
        <f>+ISNUMBER(SEARCH(CompConta!$F$26,Tabla11[[#This Row],[Cuenta]],1))</f>
        <v>1</v>
      </c>
      <c r="BB567" t="b">
        <f>+ISNUMBER(SEARCH(CompConta!$F$27,Tabla11[[#This Row],[Cuenta]],1))</f>
        <v>1</v>
      </c>
      <c r="BC567" t="b">
        <f>+ISNUMBER(SEARCH(CompConta!$F$28,Tabla11[[#This Row],[Cuenta]],1))</f>
        <v>1</v>
      </c>
      <c r="BD567" t="b">
        <f>+ISNUMBER(SEARCH(CompConta!$F$29,Tabla11[[#This Row],[Cuenta]],1))</f>
        <v>1</v>
      </c>
      <c r="BE567" t="b">
        <f>+ISNUMBER(SEARCH(CompConta!$F$30,Tabla11[[#This Row],[Cuenta]],1))</f>
        <v>1</v>
      </c>
      <c r="BF567" t="b">
        <f>+ISNUMBER(SEARCH('PAGO Compras'!$E$11,Tabla11[[#This Row],[Cuenta]],1))</f>
        <v>1</v>
      </c>
      <c r="BG567" t="b">
        <f>+ISNUMBER(SEARCH(#REF!,Tabla11[[#This Row],[Cuenta]],1))</f>
        <v>0</v>
      </c>
      <c r="BH567" t="b">
        <f>+ISNUMBER(SEARCH(#REF!,Tabla11[[#This Row],[Cuenta]],1))</f>
        <v>0</v>
      </c>
      <c r="BI567" t="b">
        <f>+ISNUMBER(SEARCH(#REF!,Tabla11[[#This Row],[Cuenta]],1))</f>
        <v>0</v>
      </c>
      <c r="BJ567" t="b">
        <f>+ISNUMBER(SEARCH(#REF!,Tabla11[[#This Row],[Cuenta]],1))</f>
        <v>0</v>
      </c>
      <c r="BS567" t="str">
        <v>263085 Pozos artesianos</v>
      </c>
      <c r="BT567" t="str">
        <v>263085 Pozos artesianos</v>
      </c>
      <c r="BU567" t="str">
        <v>263085 Pozos artesianos</v>
      </c>
      <c r="BV567" t="str">
        <v>263085 Pozos artesianos</v>
      </c>
      <c r="BZ567" t="str">
        <v>263085 Pozos artesianos</v>
      </c>
      <c r="CA567" t="str">
        <v>263085 Pozos artesianos</v>
      </c>
      <c r="CB567" t="str">
        <v>263085 Pozos artesianos</v>
      </c>
      <c r="CC567" t="str">
        <v>263085 Pozos artesianos</v>
      </c>
      <c r="CD567" t="str">
        <v>263085 Pozos artesianos</v>
      </c>
      <c r="CE567" t="str">
        <v>263085 Pozos artesianos</v>
      </c>
      <c r="CS567" s="141" t="str">
        <v>263085 Pozos artesianos</v>
      </c>
      <c r="CT567" s="141" t="str">
        <v>263085 Pozos artesianos</v>
      </c>
      <c r="CU567" s="141" t="str">
        <v>263085 Pozos artesianos</v>
      </c>
      <c r="CV567" s="141" t="str">
        <v>263085 Pozos artesianos</v>
      </c>
      <c r="CW567" s="141" t="str">
        <v>263085 Pozos artesianos</v>
      </c>
      <c r="CX567" s="141" t="str">
        <v>263085 Pozos artesianos</v>
      </c>
      <c r="CY567" s="141" t="str">
        <v>263085 Pozos artesianos</v>
      </c>
      <c r="CZ567" s="141" t="str">
        <v>263085 Pozos artesianos</v>
      </c>
      <c r="DA567" s="141" t="str">
        <v>263085 Pozos artesianos</v>
      </c>
      <c r="DF567" t="str">
        <v>263085 Pozos artesianos</v>
      </c>
      <c r="DG567" t="str">
        <v>263085 Pozos artesianos</v>
      </c>
      <c r="DH567" t="str">
        <v>263085 Pozos artesianos</v>
      </c>
      <c r="DI567" t="str">
        <v>263085 Pozos artesianos</v>
      </c>
      <c r="DJ567" t="str">
        <v>263085 Pozos artesianos</v>
      </c>
      <c r="DK567" t="str">
        <v>263085 Pozos artesianos</v>
      </c>
      <c r="DL567" t="str">
        <v>263085 Pozos artesianos</v>
      </c>
      <c r="DM567" t="str">
        <v>263085 Pozos artesianos</v>
      </c>
      <c r="DN567" t="str">
        <v>263085 Pozos artesianos</v>
      </c>
      <c r="DO567" t="str">
        <v>263085 Pozos artesianos</v>
      </c>
      <c r="DP567" t="str">
        <v>263085 Pozos artesianos</v>
      </c>
    </row>
    <row r="568" spans="4:120" ht="12.75">
      <c r="D568" s="7">
        <v>263095</v>
      </c>
      <c r="E568" s="6" t="s">
        <v>45</v>
      </c>
      <c r="F568" s="5">
        <v>4</v>
      </c>
      <c r="G568" s="34" t="s">
        <v>824</v>
      </c>
      <c r="H568" s="26" t="s">
        <v>765</v>
      </c>
      <c r="I568" t="b">
        <f>+ISNUMBER(SEARCH('F-COMPRA'!$F$28,Tabla11[[#This Row],[Cuenta]],1))</f>
        <v>1</v>
      </c>
      <c r="J568" t="b">
        <f>+ISNUMBER(SEARCH('F-COMPRA'!$F$29,Tabla11[[#This Row],[Cuenta]],1))</f>
        <v>1</v>
      </c>
      <c r="K568" t="b">
        <f>+ISNUMBER(SEARCH('F-COMPRA'!$F$30,Tabla11[[#This Row],[Cuenta]],1))</f>
        <v>1</v>
      </c>
      <c r="L568" t="b">
        <f>+ISNUMBER(SEARCH('F-COMPRA'!$F$31,Tabla11[[#This Row],[Cuenta]],1))</f>
        <v>1</v>
      </c>
      <c r="M568" t="b">
        <f>+ISNUMBER(SEARCH('F-COMPRA'!$G$25,Tabla11[[#This Row],[Cuenta]],1))</f>
        <v>0</v>
      </c>
      <c r="N568" t="b">
        <f>+ISNUMBER(SEARCH(#REF!,Tabla11[[#This Row],[Cuenta]],1))</f>
        <v>0</v>
      </c>
      <c r="O568" t="b">
        <f>+ISNUMBER(SEARCH(#REF!,Tabla11[[#This Row],[Cuenta]],1))</f>
        <v>0</v>
      </c>
      <c r="P568" t="b">
        <f>+ISNUMBER(SEARCH('F-COMPRA'!$F$32,Tabla11[[#This Row],[Cuenta]],1))</f>
        <v>1</v>
      </c>
      <c r="Q568" t="b">
        <f>+ISNUMBER(SEARCH('F-COMPRA'!$F$33,Tabla11[[#This Row],[Cuenta]],1))</f>
        <v>1</v>
      </c>
      <c r="R568" t="b">
        <f>+ISNUMBER(SEARCH('F-COMPRA'!$F$34,Tabla11[[#This Row],[Cuenta]],1))</f>
        <v>1</v>
      </c>
      <c r="S568" t="b">
        <f>+ISNUMBER(SEARCH('F-COMPRA'!$F$35,Tabla11[[#This Row],[Cuenta]],1))</f>
        <v>1</v>
      </c>
      <c r="T568" t="b">
        <f>+ISNUMBER(SEARCH('F-COMPRA'!$F$36,Tabla11[[#This Row],[Cuenta]],1))</f>
        <v>1</v>
      </c>
      <c r="U568" t="b">
        <f>+ISNUMBER(SEARCH('F-COMPRA'!$F$37,Tabla11[[#This Row],[Cuenta]],1))</f>
        <v>1</v>
      </c>
      <c r="V568" t="b">
        <f>+ISNUMBER(SEARCH(#REF!,Tabla11[[#This Row],[Cuenta]],1))</f>
        <v>0</v>
      </c>
      <c r="W568" t="b">
        <f>+ISNUMBER(SEARCH('F-COMPRA'!#REF!,Tabla11[[#This Row],[Cuenta]],1))</f>
        <v>0</v>
      </c>
      <c r="X568" t="b">
        <f>+ISNUMBER(SEARCH('F-COMPRA'!#REF!,Tabla11[[#This Row],[Cuenta]],1))</f>
        <v>0</v>
      </c>
      <c r="Y568" t="b">
        <f>+ISNUMBER(SEARCH('F-COMPRA'!#REF!,Tabla11[[#This Row],[Cuenta]],1))</f>
        <v>0</v>
      </c>
      <c r="Z568" t="b">
        <f>+ISNUMBER(SEARCH('F-COMPRA'!#REF!,Tabla11[[#This Row],[Cuenta]],1))</f>
        <v>0</v>
      </c>
      <c r="AA568" t="b">
        <f>+ISNUMBER(SEARCH('F-COMPRA'!#REF!,Tabla11[[#This Row],[Cuenta]],1))</f>
        <v>0</v>
      </c>
      <c r="AB568" t="b">
        <f>+ISNUMBER(SEARCH('F-COMPRA'!#REF!,Tabla11[[#This Row],[Cuenta]],1))</f>
        <v>0</v>
      </c>
      <c r="AC568" t="b">
        <f>+ISNUMBER(SEARCH('F-COMPRA'!#REF!,Tabla11[[#This Row],[Cuenta]],1))</f>
        <v>0</v>
      </c>
      <c r="AD568" t="b">
        <f>+ISNUMBER(SEARCH('F-COMPRA'!#REF!,Tabla11[[#This Row],[Cuenta]],1))</f>
        <v>0</v>
      </c>
      <c r="AE568" t="b">
        <f>+ISNUMBER(SEARCH('F-COMPRA'!#REF!,Tabla11[[#This Row],[Cuenta]],1))</f>
        <v>0</v>
      </c>
      <c r="AF568" t="b">
        <f>+ISNUMBER(SEARCH('F-VTA'!$G$23,Tabla11[[#This Row],[Cuenta]],1))</f>
        <v>0</v>
      </c>
      <c r="AG568" t="b">
        <f>+ISNUMBER(SEARCH('F-VTA'!$G$24,Tabla11[[#This Row],[Cuenta]],1))</f>
        <v>0</v>
      </c>
      <c r="AH568" t="b">
        <f>+ISNUMBER(SEARCH('F-VTA'!$G$25,Tabla11[[#This Row],[Cuenta]],1))</f>
        <v>0</v>
      </c>
      <c r="AI568" t="b">
        <f>+ISNUMBER(SEARCH('F-VTA'!$F$28,Tabla11[[#This Row],[Cuenta]],1))</f>
        <v>1</v>
      </c>
      <c r="AJ568" t="b">
        <f>+ISNUMBER(SEARCH('F-VTA'!$F$29,Tabla11[[#This Row],[Cuenta]],1))</f>
        <v>1</v>
      </c>
      <c r="AK568" t="b">
        <f>+ISNUMBER(SEARCH('F-VTA'!$F$30,Tabla11[[#This Row],[Cuenta]],1))</f>
        <v>1</v>
      </c>
      <c r="AL568" t="b">
        <f>+ISNUMBER(SEARCH('F-VTA'!$F$31,Tabla11[[#This Row],[Cuenta]],1))</f>
        <v>1</v>
      </c>
      <c r="AM568" t="b">
        <f>+ISNUMBER(SEARCH('F-VTA'!$F$32,Tabla11[[#This Row],[Cuenta]],1))</f>
        <v>1</v>
      </c>
      <c r="AN568" t="b">
        <f>+ISNUMBER(SEARCH('F-VTA'!$F$33,Tabla11[[#This Row],[Cuenta]],1))</f>
        <v>1</v>
      </c>
      <c r="AO568" t="b">
        <f>+ISNUMBER(SEARCH('F-VTA'!$F$34,Tabla11[[#This Row],[Cuenta]],1))</f>
        <v>1</v>
      </c>
      <c r="AP568" t="b">
        <f>+ISNUMBER(SEARCH('F-VTA'!$F$35,Tabla11[[#This Row],[Cuenta]],1))</f>
        <v>1</v>
      </c>
      <c r="AQ568" t="b">
        <f>+ISNUMBER(SEARCH('F-VTA'!$F$36,Tabla11[[#This Row],[Cuenta]],1))</f>
        <v>1</v>
      </c>
      <c r="AR568" t="b">
        <f>+ISNUMBER(SEARCH(#REF!,Tabla11[[#This Row],[Cuenta]],1))</f>
        <v>0</v>
      </c>
      <c r="AS568" t="b">
        <f>+ISNUMBER(SEARCH(#REF!,Tabla11[[#This Row],[Cuenta]],1))</f>
        <v>0</v>
      </c>
      <c r="AT568" t="b">
        <f>+ISNUMBER(SEARCH(#REF!,Tabla11[[#This Row],[Cuenta]],1))</f>
        <v>0</v>
      </c>
      <c r="AU568" t="b">
        <f>+ISNUMBER(SEARCH('Conc. Ban.1'!$I$9,Tabla11[[#This Row],[Cuenta]],1))</f>
        <v>0</v>
      </c>
      <c r="AV568" t="b">
        <f>+ISNUMBER(SEARCH(CompConta!$F$21,Tabla11[[#This Row],[Cuenta]],1))</f>
        <v>1</v>
      </c>
      <c r="AW568" t="b">
        <f>+ISNUMBER(SEARCH(CompConta!$F$22,Tabla11[[#This Row],[Cuenta]],1))</f>
        <v>1</v>
      </c>
      <c r="AX568" t="b">
        <f>+ISNUMBER(SEARCH(CompConta!$F$23,Tabla11[[#This Row],[Cuenta]],1))</f>
        <v>1</v>
      </c>
      <c r="AY568" t="b">
        <f>+ISNUMBER(SEARCH(CompConta!$F$24,Tabla11[[#This Row],[Cuenta]],1))</f>
        <v>1</v>
      </c>
      <c r="AZ568" t="b">
        <f>+ISNUMBER(SEARCH(CompConta!$F$25,Tabla11[[#This Row],[Cuenta]],1))</f>
        <v>1</v>
      </c>
      <c r="BA568" t="b">
        <f>+ISNUMBER(SEARCH(CompConta!$F$26,Tabla11[[#This Row],[Cuenta]],1))</f>
        <v>1</v>
      </c>
      <c r="BB568" t="b">
        <f>+ISNUMBER(SEARCH(CompConta!$F$27,Tabla11[[#This Row],[Cuenta]],1))</f>
        <v>1</v>
      </c>
      <c r="BC568" t="b">
        <f>+ISNUMBER(SEARCH(CompConta!$F$28,Tabla11[[#This Row],[Cuenta]],1))</f>
        <v>1</v>
      </c>
      <c r="BD568" t="b">
        <f>+ISNUMBER(SEARCH(CompConta!$F$29,Tabla11[[#This Row],[Cuenta]],1))</f>
        <v>1</v>
      </c>
      <c r="BE568" t="b">
        <f>+ISNUMBER(SEARCH(CompConta!$F$30,Tabla11[[#This Row],[Cuenta]],1))</f>
        <v>1</v>
      </c>
      <c r="BF568" t="b">
        <f>+ISNUMBER(SEARCH('PAGO Compras'!$E$11,Tabla11[[#This Row],[Cuenta]],1))</f>
        <v>1</v>
      </c>
      <c r="BG568" t="b">
        <f>+ISNUMBER(SEARCH(#REF!,Tabla11[[#This Row],[Cuenta]],1))</f>
        <v>0</v>
      </c>
      <c r="BH568" t="b">
        <f>+ISNUMBER(SEARCH(#REF!,Tabla11[[#This Row],[Cuenta]],1))</f>
        <v>0</v>
      </c>
      <c r="BI568" t="b">
        <f>+ISNUMBER(SEARCH(#REF!,Tabla11[[#This Row],[Cuenta]],1))</f>
        <v>0</v>
      </c>
      <c r="BJ568" t="b">
        <f>+ISNUMBER(SEARCH(#REF!,Tabla11[[#This Row],[Cuenta]],1))</f>
        <v>0</v>
      </c>
      <c r="BS568" t="str">
        <v>263095 Otros</v>
      </c>
      <c r="BT568" t="str">
        <v>263095 Otros</v>
      </c>
      <c r="BU568" t="str">
        <v>263095 Otros</v>
      </c>
      <c r="BV568" t="str">
        <v>263095 Otros</v>
      </c>
      <c r="BZ568" t="str">
        <v>263095 Otros</v>
      </c>
      <c r="CA568" t="str">
        <v>263095 Otros</v>
      </c>
      <c r="CB568" t="str">
        <v>263095 Otros</v>
      </c>
      <c r="CC568" t="str">
        <v>263095 Otros</v>
      </c>
      <c r="CD568" t="str">
        <v>263095 Otros</v>
      </c>
      <c r="CE568" t="str">
        <v>263095 Otros</v>
      </c>
      <c r="CS568" s="141" t="str">
        <v>263095 Otros</v>
      </c>
      <c r="CT568" s="141" t="str">
        <v>263095 Otros</v>
      </c>
      <c r="CU568" s="141" t="str">
        <v>263095 Otros</v>
      </c>
      <c r="CV568" s="141" t="str">
        <v>263095 Otros</v>
      </c>
      <c r="CW568" s="141" t="str">
        <v>263095 Otros</v>
      </c>
      <c r="CX568" s="141" t="str">
        <v>263095 Otros</v>
      </c>
      <c r="CY568" s="141" t="str">
        <v>263095 Otros</v>
      </c>
      <c r="CZ568" s="141" t="str">
        <v>263095 Otros</v>
      </c>
      <c r="DA568" s="141" t="str">
        <v>263095 Otros</v>
      </c>
      <c r="DF568" t="str">
        <v>263095 Otros</v>
      </c>
      <c r="DG568" t="str">
        <v>263095 Otros</v>
      </c>
      <c r="DH568" t="str">
        <v>263095 Otros</v>
      </c>
      <c r="DI568" t="str">
        <v>263095 Otros</v>
      </c>
      <c r="DJ568" t="str">
        <v>263095 Otros</v>
      </c>
      <c r="DK568" t="str">
        <v>263095 Otros</v>
      </c>
      <c r="DL568" t="str">
        <v>263095 Otros</v>
      </c>
      <c r="DM568" t="str">
        <v>263095 Otros</v>
      </c>
      <c r="DN568" t="str">
        <v>263095 Otros</v>
      </c>
      <c r="DO568" t="str">
        <v>263095 Otros</v>
      </c>
      <c r="DP568" t="str">
        <v>263095 Otros</v>
      </c>
    </row>
    <row r="569" spans="4:120" ht="12.75">
      <c r="D569" s="7">
        <v>2635</v>
      </c>
      <c r="E569" s="6" t="s">
        <v>417</v>
      </c>
      <c r="F569" s="5">
        <v>3</v>
      </c>
      <c r="G569" s="34" t="s">
        <v>824</v>
      </c>
      <c r="H569" s="26" t="s">
        <v>765</v>
      </c>
      <c r="I569" t="b">
        <f>+ISNUMBER(SEARCH('F-COMPRA'!$F$28,Tabla11[[#This Row],[Cuenta]],1))</f>
        <v>1</v>
      </c>
      <c r="J569" t="b">
        <f>+ISNUMBER(SEARCH('F-COMPRA'!$F$29,Tabla11[[#This Row],[Cuenta]],1))</f>
        <v>1</v>
      </c>
      <c r="K569" t="b">
        <f>+ISNUMBER(SEARCH('F-COMPRA'!$F$30,Tabla11[[#This Row],[Cuenta]],1))</f>
        <v>1</v>
      </c>
      <c r="L569" t="b">
        <f>+ISNUMBER(SEARCH('F-COMPRA'!$F$31,Tabla11[[#This Row],[Cuenta]],1))</f>
        <v>1</v>
      </c>
      <c r="M569" t="b">
        <f>+ISNUMBER(SEARCH('F-COMPRA'!$G$25,Tabla11[[#This Row],[Cuenta]],1))</f>
        <v>0</v>
      </c>
      <c r="N569" t="b">
        <f>+ISNUMBER(SEARCH(#REF!,Tabla11[[#This Row],[Cuenta]],1))</f>
        <v>0</v>
      </c>
      <c r="O569" t="b">
        <f>+ISNUMBER(SEARCH(#REF!,Tabla11[[#This Row],[Cuenta]],1))</f>
        <v>0</v>
      </c>
      <c r="P569" t="b">
        <f>+ISNUMBER(SEARCH('F-COMPRA'!$F$32,Tabla11[[#This Row],[Cuenta]],1))</f>
        <v>1</v>
      </c>
      <c r="Q569" t="b">
        <f>+ISNUMBER(SEARCH('F-COMPRA'!$F$33,Tabla11[[#This Row],[Cuenta]],1))</f>
        <v>1</v>
      </c>
      <c r="R569" t="b">
        <f>+ISNUMBER(SEARCH('F-COMPRA'!$F$34,Tabla11[[#This Row],[Cuenta]],1))</f>
        <v>1</v>
      </c>
      <c r="S569" t="b">
        <f>+ISNUMBER(SEARCH('F-COMPRA'!$F$35,Tabla11[[#This Row],[Cuenta]],1))</f>
        <v>1</v>
      </c>
      <c r="T569" t="b">
        <f>+ISNUMBER(SEARCH('F-COMPRA'!$F$36,Tabla11[[#This Row],[Cuenta]],1))</f>
        <v>1</v>
      </c>
      <c r="U569" t="b">
        <f>+ISNUMBER(SEARCH('F-COMPRA'!$F$37,Tabla11[[#This Row],[Cuenta]],1))</f>
        <v>1</v>
      </c>
      <c r="V569" t="b">
        <f>+ISNUMBER(SEARCH(#REF!,Tabla11[[#This Row],[Cuenta]],1))</f>
        <v>0</v>
      </c>
      <c r="W569" t="b">
        <f>+ISNUMBER(SEARCH('F-COMPRA'!#REF!,Tabla11[[#This Row],[Cuenta]],1))</f>
        <v>0</v>
      </c>
      <c r="X569" t="b">
        <f>+ISNUMBER(SEARCH('F-COMPRA'!#REF!,Tabla11[[#This Row],[Cuenta]],1))</f>
        <v>0</v>
      </c>
      <c r="Y569" t="b">
        <f>+ISNUMBER(SEARCH('F-COMPRA'!#REF!,Tabla11[[#This Row],[Cuenta]],1))</f>
        <v>0</v>
      </c>
      <c r="Z569" t="b">
        <f>+ISNUMBER(SEARCH('F-COMPRA'!#REF!,Tabla11[[#This Row],[Cuenta]],1))</f>
        <v>0</v>
      </c>
      <c r="AA569" t="b">
        <f>+ISNUMBER(SEARCH('F-COMPRA'!#REF!,Tabla11[[#This Row],[Cuenta]],1))</f>
        <v>0</v>
      </c>
      <c r="AB569" t="b">
        <f>+ISNUMBER(SEARCH('F-COMPRA'!#REF!,Tabla11[[#This Row],[Cuenta]],1))</f>
        <v>0</v>
      </c>
      <c r="AC569" t="b">
        <f>+ISNUMBER(SEARCH('F-COMPRA'!#REF!,Tabla11[[#This Row],[Cuenta]],1))</f>
        <v>0</v>
      </c>
      <c r="AD569" t="b">
        <f>+ISNUMBER(SEARCH('F-COMPRA'!#REF!,Tabla11[[#This Row],[Cuenta]],1))</f>
        <v>0</v>
      </c>
      <c r="AE569" t="b">
        <f>+ISNUMBER(SEARCH('F-COMPRA'!#REF!,Tabla11[[#This Row],[Cuenta]],1))</f>
        <v>0</v>
      </c>
      <c r="AF569" t="b">
        <f>+ISNUMBER(SEARCH('F-VTA'!$G$23,Tabla11[[#This Row],[Cuenta]],1))</f>
        <v>0</v>
      </c>
      <c r="AG569" t="b">
        <f>+ISNUMBER(SEARCH('F-VTA'!$G$24,Tabla11[[#This Row],[Cuenta]],1))</f>
        <v>0</v>
      </c>
      <c r="AH569" t="b">
        <f>+ISNUMBER(SEARCH('F-VTA'!$G$25,Tabla11[[#This Row],[Cuenta]],1))</f>
        <v>0</v>
      </c>
      <c r="AI569" t="b">
        <f>+ISNUMBER(SEARCH('F-VTA'!$F$28,Tabla11[[#This Row],[Cuenta]],1))</f>
        <v>1</v>
      </c>
      <c r="AJ569" t="b">
        <f>+ISNUMBER(SEARCH('F-VTA'!$F$29,Tabla11[[#This Row],[Cuenta]],1))</f>
        <v>1</v>
      </c>
      <c r="AK569" t="b">
        <f>+ISNUMBER(SEARCH('F-VTA'!$F$30,Tabla11[[#This Row],[Cuenta]],1))</f>
        <v>1</v>
      </c>
      <c r="AL569" t="b">
        <f>+ISNUMBER(SEARCH('F-VTA'!$F$31,Tabla11[[#This Row],[Cuenta]],1))</f>
        <v>1</v>
      </c>
      <c r="AM569" t="b">
        <f>+ISNUMBER(SEARCH('F-VTA'!$F$32,Tabla11[[#This Row],[Cuenta]],1))</f>
        <v>1</v>
      </c>
      <c r="AN569" t="b">
        <f>+ISNUMBER(SEARCH('F-VTA'!$F$33,Tabla11[[#This Row],[Cuenta]],1))</f>
        <v>1</v>
      </c>
      <c r="AO569" t="b">
        <f>+ISNUMBER(SEARCH('F-VTA'!$F$34,Tabla11[[#This Row],[Cuenta]],1))</f>
        <v>1</v>
      </c>
      <c r="AP569" t="b">
        <f>+ISNUMBER(SEARCH('F-VTA'!$F$35,Tabla11[[#This Row],[Cuenta]],1))</f>
        <v>1</v>
      </c>
      <c r="AQ569" t="b">
        <f>+ISNUMBER(SEARCH('F-VTA'!$F$36,Tabla11[[#This Row],[Cuenta]],1))</f>
        <v>1</v>
      </c>
      <c r="AR569" t="b">
        <f>+ISNUMBER(SEARCH(#REF!,Tabla11[[#This Row],[Cuenta]],1))</f>
        <v>0</v>
      </c>
      <c r="AS569" t="b">
        <f>+ISNUMBER(SEARCH(#REF!,Tabla11[[#This Row],[Cuenta]],1))</f>
        <v>0</v>
      </c>
      <c r="AT569" t="b">
        <f>+ISNUMBER(SEARCH(#REF!,Tabla11[[#This Row],[Cuenta]],1))</f>
        <v>0</v>
      </c>
      <c r="AU569" t="b">
        <f>+ISNUMBER(SEARCH('Conc. Ban.1'!$I$9,Tabla11[[#This Row],[Cuenta]],1))</f>
        <v>0</v>
      </c>
      <c r="AV569" t="b">
        <f>+ISNUMBER(SEARCH(CompConta!$F$21,Tabla11[[#This Row],[Cuenta]],1))</f>
        <v>1</v>
      </c>
      <c r="AW569" t="b">
        <f>+ISNUMBER(SEARCH(CompConta!$F$22,Tabla11[[#This Row],[Cuenta]],1))</f>
        <v>1</v>
      </c>
      <c r="AX569" t="b">
        <f>+ISNUMBER(SEARCH(CompConta!$F$23,Tabla11[[#This Row],[Cuenta]],1))</f>
        <v>1</v>
      </c>
      <c r="AY569" t="b">
        <f>+ISNUMBER(SEARCH(CompConta!$F$24,Tabla11[[#This Row],[Cuenta]],1))</f>
        <v>1</v>
      </c>
      <c r="AZ569" t="b">
        <f>+ISNUMBER(SEARCH(CompConta!$F$25,Tabla11[[#This Row],[Cuenta]],1))</f>
        <v>1</v>
      </c>
      <c r="BA569" t="b">
        <f>+ISNUMBER(SEARCH(CompConta!$F$26,Tabla11[[#This Row],[Cuenta]],1))</f>
        <v>1</v>
      </c>
      <c r="BB569" t="b">
        <f>+ISNUMBER(SEARCH(CompConta!$F$27,Tabla11[[#This Row],[Cuenta]],1))</f>
        <v>1</v>
      </c>
      <c r="BC569" t="b">
        <f>+ISNUMBER(SEARCH(CompConta!$F$28,Tabla11[[#This Row],[Cuenta]],1))</f>
        <v>1</v>
      </c>
      <c r="BD569" t="b">
        <f>+ISNUMBER(SEARCH(CompConta!$F$29,Tabla11[[#This Row],[Cuenta]],1))</f>
        <v>1</v>
      </c>
      <c r="BE569" t="b">
        <f>+ISNUMBER(SEARCH(CompConta!$F$30,Tabla11[[#This Row],[Cuenta]],1))</f>
        <v>1</v>
      </c>
      <c r="BF569" t="b">
        <f>+ISNUMBER(SEARCH('PAGO Compras'!$E$11,Tabla11[[#This Row],[Cuenta]],1))</f>
        <v>1</v>
      </c>
      <c r="BG569" t="b">
        <f>+ISNUMBER(SEARCH(#REF!,Tabla11[[#This Row],[Cuenta]],1))</f>
        <v>0</v>
      </c>
      <c r="BH569" t="b">
        <f>+ISNUMBER(SEARCH(#REF!,Tabla11[[#This Row],[Cuenta]],1))</f>
        <v>0</v>
      </c>
      <c r="BI569" t="b">
        <f>+ISNUMBER(SEARCH(#REF!,Tabla11[[#This Row],[Cuenta]],1))</f>
        <v>0</v>
      </c>
      <c r="BJ569" t="b">
        <f>+ISNUMBER(SEARCH(#REF!,Tabla11[[#This Row],[Cuenta]],1))</f>
        <v>0</v>
      </c>
      <c r="BS569" t="str">
        <v>2635 PARA CONTINGENCIAS</v>
      </c>
      <c r="BT569" t="str">
        <v>2635 PARA CONTINGENCIAS</v>
      </c>
      <c r="BU569" t="str">
        <v>2635 PARA CONTINGENCIAS</v>
      </c>
      <c r="BV569" t="str">
        <v>2635 PARA CONTINGENCIAS</v>
      </c>
      <c r="BZ569" t="str">
        <v>2635 PARA CONTINGENCIAS</v>
      </c>
      <c r="CA569" t="str">
        <v>2635 PARA CONTINGENCIAS</v>
      </c>
      <c r="CB569" t="str">
        <v>2635 PARA CONTINGENCIAS</v>
      </c>
      <c r="CC569" t="str">
        <v>2635 PARA CONTINGENCIAS</v>
      </c>
      <c r="CD569" t="str">
        <v>2635 PARA CONTINGENCIAS</v>
      </c>
      <c r="CE569" t="str">
        <v>2635 PARA CONTINGENCIAS</v>
      </c>
      <c r="CS569" s="141" t="str">
        <v>2635 PARA CONTINGENCIAS</v>
      </c>
      <c r="CT569" s="141" t="str">
        <v>2635 PARA CONTINGENCIAS</v>
      </c>
      <c r="CU569" s="141" t="str">
        <v>2635 PARA CONTINGENCIAS</v>
      </c>
      <c r="CV569" s="141" t="str">
        <v>2635 PARA CONTINGENCIAS</v>
      </c>
      <c r="CW569" s="141" t="str">
        <v>2635 PARA CONTINGENCIAS</v>
      </c>
      <c r="CX569" s="141" t="str">
        <v>2635 PARA CONTINGENCIAS</v>
      </c>
      <c r="CY569" s="141" t="str">
        <v>2635 PARA CONTINGENCIAS</v>
      </c>
      <c r="CZ569" s="141" t="str">
        <v>2635 PARA CONTINGENCIAS</v>
      </c>
      <c r="DA569" s="141" t="str">
        <v>2635 PARA CONTINGENCIAS</v>
      </c>
      <c r="DF569" t="str">
        <v>2635 PARA CONTINGENCIAS</v>
      </c>
      <c r="DG569" t="str">
        <v>2635 PARA CONTINGENCIAS</v>
      </c>
      <c r="DH569" t="str">
        <v>2635 PARA CONTINGENCIAS</v>
      </c>
      <c r="DI569" t="str">
        <v>2635 PARA CONTINGENCIAS</v>
      </c>
      <c r="DJ569" t="str">
        <v>2635 PARA CONTINGENCIAS</v>
      </c>
      <c r="DK569" t="str">
        <v>2635 PARA CONTINGENCIAS</v>
      </c>
      <c r="DL569" t="str">
        <v>2635 PARA CONTINGENCIAS</v>
      </c>
      <c r="DM569" t="str">
        <v>2635 PARA CONTINGENCIAS</v>
      </c>
      <c r="DN569" t="str">
        <v>2635 PARA CONTINGENCIAS</v>
      </c>
      <c r="DO569" t="str">
        <v>2635 PARA CONTINGENCIAS</v>
      </c>
      <c r="DP569" t="str">
        <v>2635 PARA CONTINGENCIAS</v>
      </c>
    </row>
    <row r="570" spans="4:120" ht="12.75">
      <c r="D570" s="7">
        <v>263505</v>
      </c>
      <c r="E570" s="6" t="s">
        <v>418</v>
      </c>
      <c r="F570" s="5">
        <v>4</v>
      </c>
      <c r="G570" s="34" t="s">
        <v>824</v>
      </c>
      <c r="H570" s="26" t="s">
        <v>765</v>
      </c>
      <c r="I570" t="b">
        <f>+ISNUMBER(SEARCH('F-COMPRA'!$F$28,Tabla11[[#This Row],[Cuenta]],1))</f>
        <v>1</v>
      </c>
      <c r="J570" t="b">
        <f>+ISNUMBER(SEARCH('F-COMPRA'!$F$29,Tabla11[[#This Row],[Cuenta]],1))</f>
        <v>1</v>
      </c>
      <c r="K570" t="b">
        <f>+ISNUMBER(SEARCH('F-COMPRA'!$F$30,Tabla11[[#This Row],[Cuenta]],1))</f>
        <v>1</v>
      </c>
      <c r="L570" t="b">
        <f>+ISNUMBER(SEARCH('F-COMPRA'!$F$31,Tabla11[[#This Row],[Cuenta]],1))</f>
        <v>1</v>
      </c>
      <c r="M570" t="b">
        <f>+ISNUMBER(SEARCH('F-COMPRA'!$G$25,Tabla11[[#This Row],[Cuenta]],1))</f>
        <v>0</v>
      </c>
      <c r="N570" t="b">
        <f>+ISNUMBER(SEARCH(#REF!,Tabla11[[#This Row],[Cuenta]],1))</f>
        <v>0</v>
      </c>
      <c r="O570" t="b">
        <f>+ISNUMBER(SEARCH(#REF!,Tabla11[[#This Row],[Cuenta]],1))</f>
        <v>0</v>
      </c>
      <c r="P570" t="b">
        <f>+ISNUMBER(SEARCH('F-COMPRA'!$F$32,Tabla11[[#This Row],[Cuenta]],1))</f>
        <v>1</v>
      </c>
      <c r="Q570" t="b">
        <f>+ISNUMBER(SEARCH('F-COMPRA'!$F$33,Tabla11[[#This Row],[Cuenta]],1))</f>
        <v>1</v>
      </c>
      <c r="R570" t="b">
        <f>+ISNUMBER(SEARCH('F-COMPRA'!$F$34,Tabla11[[#This Row],[Cuenta]],1))</f>
        <v>1</v>
      </c>
      <c r="S570" t="b">
        <f>+ISNUMBER(SEARCH('F-COMPRA'!$F$35,Tabla11[[#This Row],[Cuenta]],1))</f>
        <v>1</v>
      </c>
      <c r="T570" t="b">
        <f>+ISNUMBER(SEARCH('F-COMPRA'!$F$36,Tabla11[[#This Row],[Cuenta]],1))</f>
        <v>1</v>
      </c>
      <c r="U570" t="b">
        <f>+ISNUMBER(SEARCH('F-COMPRA'!$F$37,Tabla11[[#This Row],[Cuenta]],1))</f>
        <v>1</v>
      </c>
      <c r="V570" t="b">
        <f>+ISNUMBER(SEARCH(#REF!,Tabla11[[#This Row],[Cuenta]],1))</f>
        <v>0</v>
      </c>
      <c r="W570" t="b">
        <f>+ISNUMBER(SEARCH('F-COMPRA'!#REF!,Tabla11[[#This Row],[Cuenta]],1))</f>
        <v>0</v>
      </c>
      <c r="X570" t="b">
        <f>+ISNUMBER(SEARCH('F-COMPRA'!#REF!,Tabla11[[#This Row],[Cuenta]],1))</f>
        <v>0</v>
      </c>
      <c r="Y570" t="b">
        <f>+ISNUMBER(SEARCH('F-COMPRA'!#REF!,Tabla11[[#This Row],[Cuenta]],1))</f>
        <v>0</v>
      </c>
      <c r="Z570" t="b">
        <f>+ISNUMBER(SEARCH('F-COMPRA'!#REF!,Tabla11[[#This Row],[Cuenta]],1))</f>
        <v>0</v>
      </c>
      <c r="AA570" t="b">
        <f>+ISNUMBER(SEARCH('F-COMPRA'!#REF!,Tabla11[[#This Row],[Cuenta]],1))</f>
        <v>0</v>
      </c>
      <c r="AB570" t="b">
        <f>+ISNUMBER(SEARCH('F-COMPRA'!#REF!,Tabla11[[#This Row],[Cuenta]],1))</f>
        <v>0</v>
      </c>
      <c r="AC570" t="b">
        <f>+ISNUMBER(SEARCH('F-COMPRA'!#REF!,Tabla11[[#This Row],[Cuenta]],1))</f>
        <v>0</v>
      </c>
      <c r="AD570" t="b">
        <f>+ISNUMBER(SEARCH('F-COMPRA'!#REF!,Tabla11[[#This Row],[Cuenta]],1))</f>
        <v>0</v>
      </c>
      <c r="AE570" t="b">
        <f>+ISNUMBER(SEARCH('F-COMPRA'!#REF!,Tabla11[[#This Row],[Cuenta]],1))</f>
        <v>0</v>
      </c>
      <c r="AF570" t="b">
        <f>+ISNUMBER(SEARCH('F-VTA'!$G$23,Tabla11[[#This Row],[Cuenta]],1))</f>
        <v>0</v>
      </c>
      <c r="AG570" t="b">
        <f>+ISNUMBER(SEARCH('F-VTA'!$G$24,Tabla11[[#This Row],[Cuenta]],1))</f>
        <v>0</v>
      </c>
      <c r="AH570" t="b">
        <f>+ISNUMBER(SEARCH('F-VTA'!$G$25,Tabla11[[#This Row],[Cuenta]],1))</f>
        <v>0</v>
      </c>
      <c r="AI570" t="b">
        <f>+ISNUMBER(SEARCH('F-VTA'!$F$28,Tabla11[[#This Row],[Cuenta]],1))</f>
        <v>1</v>
      </c>
      <c r="AJ570" t="b">
        <f>+ISNUMBER(SEARCH('F-VTA'!$F$29,Tabla11[[#This Row],[Cuenta]],1))</f>
        <v>1</v>
      </c>
      <c r="AK570" t="b">
        <f>+ISNUMBER(SEARCH('F-VTA'!$F$30,Tabla11[[#This Row],[Cuenta]],1))</f>
        <v>1</v>
      </c>
      <c r="AL570" t="b">
        <f>+ISNUMBER(SEARCH('F-VTA'!$F$31,Tabla11[[#This Row],[Cuenta]],1))</f>
        <v>1</v>
      </c>
      <c r="AM570" t="b">
        <f>+ISNUMBER(SEARCH('F-VTA'!$F$32,Tabla11[[#This Row],[Cuenta]],1))</f>
        <v>1</v>
      </c>
      <c r="AN570" t="b">
        <f>+ISNUMBER(SEARCH('F-VTA'!$F$33,Tabla11[[#This Row],[Cuenta]],1))</f>
        <v>1</v>
      </c>
      <c r="AO570" t="b">
        <f>+ISNUMBER(SEARCH('F-VTA'!$F$34,Tabla11[[#This Row],[Cuenta]],1))</f>
        <v>1</v>
      </c>
      <c r="AP570" t="b">
        <f>+ISNUMBER(SEARCH('F-VTA'!$F$35,Tabla11[[#This Row],[Cuenta]],1))</f>
        <v>1</v>
      </c>
      <c r="AQ570" t="b">
        <f>+ISNUMBER(SEARCH('F-VTA'!$F$36,Tabla11[[#This Row],[Cuenta]],1))</f>
        <v>1</v>
      </c>
      <c r="AR570" t="b">
        <f>+ISNUMBER(SEARCH(#REF!,Tabla11[[#This Row],[Cuenta]],1))</f>
        <v>0</v>
      </c>
      <c r="AS570" t="b">
        <f>+ISNUMBER(SEARCH(#REF!,Tabla11[[#This Row],[Cuenta]],1))</f>
        <v>0</v>
      </c>
      <c r="AT570" t="b">
        <f>+ISNUMBER(SEARCH(#REF!,Tabla11[[#This Row],[Cuenta]],1))</f>
        <v>0</v>
      </c>
      <c r="AU570" t="b">
        <f>+ISNUMBER(SEARCH('Conc. Ban.1'!$I$9,Tabla11[[#This Row],[Cuenta]],1))</f>
        <v>0</v>
      </c>
      <c r="AV570" t="b">
        <f>+ISNUMBER(SEARCH(CompConta!$F$21,Tabla11[[#This Row],[Cuenta]],1))</f>
        <v>1</v>
      </c>
      <c r="AW570" t="b">
        <f>+ISNUMBER(SEARCH(CompConta!$F$22,Tabla11[[#This Row],[Cuenta]],1))</f>
        <v>1</v>
      </c>
      <c r="AX570" t="b">
        <f>+ISNUMBER(SEARCH(CompConta!$F$23,Tabla11[[#This Row],[Cuenta]],1))</f>
        <v>1</v>
      </c>
      <c r="AY570" t="b">
        <f>+ISNUMBER(SEARCH(CompConta!$F$24,Tabla11[[#This Row],[Cuenta]],1))</f>
        <v>1</v>
      </c>
      <c r="AZ570" t="b">
        <f>+ISNUMBER(SEARCH(CompConta!$F$25,Tabla11[[#This Row],[Cuenta]],1))</f>
        <v>1</v>
      </c>
      <c r="BA570" t="b">
        <f>+ISNUMBER(SEARCH(CompConta!$F$26,Tabla11[[#This Row],[Cuenta]],1))</f>
        <v>1</v>
      </c>
      <c r="BB570" t="b">
        <f>+ISNUMBER(SEARCH(CompConta!$F$27,Tabla11[[#This Row],[Cuenta]],1))</f>
        <v>1</v>
      </c>
      <c r="BC570" t="b">
        <f>+ISNUMBER(SEARCH(CompConta!$F$28,Tabla11[[#This Row],[Cuenta]],1))</f>
        <v>1</v>
      </c>
      <c r="BD570" t="b">
        <f>+ISNUMBER(SEARCH(CompConta!$F$29,Tabla11[[#This Row],[Cuenta]],1))</f>
        <v>1</v>
      </c>
      <c r="BE570" t="b">
        <f>+ISNUMBER(SEARCH(CompConta!$F$30,Tabla11[[#This Row],[Cuenta]],1))</f>
        <v>1</v>
      </c>
      <c r="BF570" t="b">
        <f>+ISNUMBER(SEARCH('PAGO Compras'!$E$11,Tabla11[[#This Row],[Cuenta]],1))</f>
        <v>1</v>
      </c>
      <c r="BG570" t="b">
        <f>+ISNUMBER(SEARCH(#REF!,Tabla11[[#This Row],[Cuenta]],1))</f>
        <v>0</v>
      </c>
      <c r="BH570" t="b">
        <f>+ISNUMBER(SEARCH(#REF!,Tabla11[[#This Row],[Cuenta]],1))</f>
        <v>0</v>
      </c>
      <c r="BI570" t="b">
        <f>+ISNUMBER(SEARCH(#REF!,Tabla11[[#This Row],[Cuenta]],1))</f>
        <v>0</v>
      </c>
      <c r="BJ570" t="b">
        <f>+ISNUMBER(SEARCH(#REF!,Tabla11[[#This Row],[Cuenta]],1))</f>
        <v>0</v>
      </c>
      <c r="BS570" t="str">
        <v>263505 Multas y sanciones autoridades administrativa</v>
      </c>
      <c r="BT570" t="str">
        <v>263505 Multas y sanciones autoridades administrativa</v>
      </c>
      <c r="BU570" t="str">
        <v>263505 Multas y sanciones autoridades administrativa</v>
      </c>
      <c r="BV570" t="str">
        <v>263505 Multas y sanciones autoridades administrativa</v>
      </c>
      <c r="BZ570" t="str">
        <v>263505 Multas y sanciones autoridades administrativa</v>
      </c>
      <c r="CA570" t="str">
        <v>263505 Multas y sanciones autoridades administrativa</v>
      </c>
      <c r="CB570" t="str">
        <v>263505 Multas y sanciones autoridades administrativa</v>
      </c>
      <c r="CC570" t="str">
        <v>263505 Multas y sanciones autoridades administrativa</v>
      </c>
      <c r="CD570" t="str">
        <v>263505 Multas y sanciones autoridades administrativa</v>
      </c>
      <c r="CE570" t="str">
        <v>263505 Multas y sanciones autoridades administrativa</v>
      </c>
      <c r="CS570" s="141" t="str">
        <v>263505 Multas y sanciones autoridades administrativa</v>
      </c>
      <c r="CT570" s="141" t="str">
        <v>263505 Multas y sanciones autoridades administrativa</v>
      </c>
      <c r="CU570" s="141" t="str">
        <v>263505 Multas y sanciones autoridades administrativa</v>
      </c>
      <c r="CV570" s="141" t="str">
        <v>263505 Multas y sanciones autoridades administrativa</v>
      </c>
      <c r="CW570" s="141" t="str">
        <v>263505 Multas y sanciones autoridades administrativa</v>
      </c>
      <c r="CX570" s="141" t="str">
        <v>263505 Multas y sanciones autoridades administrativa</v>
      </c>
      <c r="CY570" s="141" t="str">
        <v>263505 Multas y sanciones autoridades administrativa</v>
      </c>
      <c r="CZ570" s="141" t="str">
        <v>263505 Multas y sanciones autoridades administrativa</v>
      </c>
      <c r="DA570" s="141" t="str">
        <v>263505 Multas y sanciones autoridades administrativa</v>
      </c>
      <c r="DF570" t="str">
        <v>263505 Multas y sanciones autoridades administrativa</v>
      </c>
      <c r="DG570" t="str">
        <v>263505 Multas y sanciones autoridades administrativa</v>
      </c>
      <c r="DH570" t="str">
        <v>263505 Multas y sanciones autoridades administrativa</v>
      </c>
      <c r="DI570" t="str">
        <v>263505 Multas y sanciones autoridades administrativa</v>
      </c>
      <c r="DJ570" t="str">
        <v>263505 Multas y sanciones autoridades administrativa</v>
      </c>
      <c r="DK570" t="str">
        <v>263505 Multas y sanciones autoridades administrativa</v>
      </c>
      <c r="DL570" t="str">
        <v>263505 Multas y sanciones autoridades administrativa</v>
      </c>
      <c r="DM570" t="str">
        <v>263505 Multas y sanciones autoridades administrativa</v>
      </c>
      <c r="DN570" t="str">
        <v>263505 Multas y sanciones autoridades administrativa</v>
      </c>
      <c r="DO570" t="str">
        <v>263505 Multas y sanciones autoridades administrativa</v>
      </c>
      <c r="DP570" t="str">
        <v>263505 Multas y sanciones autoridades administrativa</v>
      </c>
    </row>
    <row r="571" spans="4:120" ht="12.75">
      <c r="D571" s="7">
        <v>263510</v>
      </c>
      <c r="E571" s="6" t="s">
        <v>419</v>
      </c>
      <c r="F571" s="5">
        <v>4</v>
      </c>
      <c r="G571" s="34" t="s">
        <v>824</v>
      </c>
      <c r="H571" s="26" t="s">
        <v>765</v>
      </c>
      <c r="I571" t="b">
        <f>+ISNUMBER(SEARCH('F-COMPRA'!$F$28,Tabla11[[#This Row],[Cuenta]],1))</f>
        <v>1</v>
      </c>
      <c r="J571" t="b">
        <f>+ISNUMBER(SEARCH('F-COMPRA'!$F$29,Tabla11[[#This Row],[Cuenta]],1))</f>
        <v>1</v>
      </c>
      <c r="K571" t="b">
        <f>+ISNUMBER(SEARCH('F-COMPRA'!$F$30,Tabla11[[#This Row],[Cuenta]],1))</f>
        <v>1</v>
      </c>
      <c r="L571" t="b">
        <f>+ISNUMBER(SEARCH('F-COMPRA'!$F$31,Tabla11[[#This Row],[Cuenta]],1))</f>
        <v>1</v>
      </c>
      <c r="M571" t="b">
        <f>+ISNUMBER(SEARCH('F-COMPRA'!$G$25,Tabla11[[#This Row],[Cuenta]],1))</f>
        <v>0</v>
      </c>
      <c r="N571" t="b">
        <f>+ISNUMBER(SEARCH(#REF!,Tabla11[[#This Row],[Cuenta]],1))</f>
        <v>0</v>
      </c>
      <c r="O571" t="b">
        <f>+ISNUMBER(SEARCH(#REF!,Tabla11[[#This Row],[Cuenta]],1))</f>
        <v>0</v>
      </c>
      <c r="P571" t="b">
        <f>+ISNUMBER(SEARCH('F-COMPRA'!$F$32,Tabla11[[#This Row],[Cuenta]],1))</f>
        <v>1</v>
      </c>
      <c r="Q571" t="b">
        <f>+ISNUMBER(SEARCH('F-COMPRA'!$F$33,Tabla11[[#This Row],[Cuenta]],1))</f>
        <v>1</v>
      </c>
      <c r="R571" t="b">
        <f>+ISNUMBER(SEARCH('F-COMPRA'!$F$34,Tabla11[[#This Row],[Cuenta]],1))</f>
        <v>1</v>
      </c>
      <c r="S571" t="b">
        <f>+ISNUMBER(SEARCH('F-COMPRA'!$F$35,Tabla11[[#This Row],[Cuenta]],1))</f>
        <v>1</v>
      </c>
      <c r="T571" t="b">
        <f>+ISNUMBER(SEARCH('F-COMPRA'!$F$36,Tabla11[[#This Row],[Cuenta]],1))</f>
        <v>1</v>
      </c>
      <c r="U571" t="b">
        <f>+ISNUMBER(SEARCH('F-COMPRA'!$F$37,Tabla11[[#This Row],[Cuenta]],1))</f>
        <v>1</v>
      </c>
      <c r="V571" t="b">
        <f>+ISNUMBER(SEARCH(#REF!,Tabla11[[#This Row],[Cuenta]],1))</f>
        <v>0</v>
      </c>
      <c r="W571" t="b">
        <f>+ISNUMBER(SEARCH('F-COMPRA'!#REF!,Tabla11[[#This Row],[Cuenta]],1))</f>
        <v>0</v>
      </c>
      <c r="X571" t="b">
        <f>+ISNUMBER(SEARCH('F-COMPRA'!#REF!,Tabla11[[#This Row],[Cuenta]],1))</f>
        <v>0</v>
      </c>
      <c r="Y571" t="b">
        <f>+ISNUMBER(SEARCH('F-COMPRA'!#REF!,Tabla11[[#This Row],[Cuenta]],1))</f>
        <v>0</v>
      </c>
      <c r="Z571" t="b">
        <f>+ISNUMBER(SEARCH('F-COMPRA'!#REF!,Tabla11[[#This Row],[Cuenta]],1))</f>
        <v>0</v>
      </c>
      <c r="AA571" t="b">
        <f>+ISNUMBER(SEARCH('F-COMPRA'!#REF!,Tabla11[[#This Row],[Cuenta]],1))</f>
        <v>0</v>
      </c>
      <c r="AB571" t="b">
        <f>+ISNUMBER(SEARCH('F-COMPRA'!#REF!,Tabla11[[#This Row],[Cuenta]],1))</f>
        <v>0</v>
      </c>
      <c r="AC571" t="b">
        <f>+ISNUMBER(SEARCH('F-COMPRA'!#REF!,Tabla11[[#This Row],[Cuenta]],1))</f>
        <v>0</v>
      </c>
      <c r="AD571" t="b">
        <f>+ISNUMBER(SEARCH('F-COMPRA'!#REF!,Tabla11[[#This Row],[Cuenta]],1))</f>
        <v>0</v>
      </c>
      <c r="AE571" t="b">
        <f>+ISNUMBER(SEARCH('F-COMPRA'!#REF!,Tabla11[[#This Row],[Cuenta]],1))</f>
        <v>0</v>
      </c>
      <c r="AF571" t="b">
        <f>+ISNUMBER(SEARCH('F-VTA'!$G$23,Tabla11[[#This Row],[Cuenta]],1))</f>
        <v>0</v>
      </c>
      <c r="AG571" t="b">
        <f>+ISNUMBER(SEARCH('F-VTA'!$G$24,Tabla11[[#This Row],[Cuenta]],1))</f>
        <v>0</v>
      </c>
      <c r="AH571" t="b">
        <f>+ISNUMBER(SEARCH('F-VTA'!$G$25,Tabla11[[#This Row],[Cuenta]],1))</f>
        <v>0</v>
      </c>
      <c r="AI571" t="b">
        <f>+ISNUMBER(SEARCH('F-VTA'!$F$28,Tabla11[[#This Row],[Cuenta]],1))</f>
        <v>1</v>
      </c>
      <c r="AJ571" t="b">
        <f>+ISNUMBER(SEARCH('F-VTA'!$F$29,Tabla11[[#This Row],[Cuenta]],1))</f>
        <v>1</v>
      </c>
      <c r="AK571" t="b">
        <f>+ISNUMBER(SEARCH('F-VTA'!$F$30,Tabla11[[#This Row],[Cuenta]],1))</f>
        <v>1</v>
      </c>
      <c r="AL571" t="b">
        <f>+ISNUMBER(SEARCH('F-VTA'!$F$31,Tabla11[[#This Row],[Cuenta]],1))</f>
        <v>1</v>
      </c>
      <c r="AM571" t="b">
        <f>+ISNUMBER(SEARCH('F-VTA'!$F$32,Tabla11[[#This Row],[Cuenta]],1))</f>
        <v>1</v>
      </c>
      <c r="AN571" t="b">
        <f>+ISNUMBER(SEARCH('F-VTA'!$F$33,Tabla11[[#This Row],[Cuenta]],1))</f>
        <v>1</v>
      </c>
      <c r="AO571" t="b">
        <f>+ISNUMBER(SEARCH('F-VTA'!$F$34,Tabla11[[#This Row],[Cuenta]],1))</f>
        <v>1</v>
      </c>
      <c r="AP571" t="b">
        <f>+ISNUMBER(SEARCH('F-VTA'!$F$35,Tabla11[[#This Row],[Cuenta]],1))</f>
        <v>1</v>
      </c>
      <c r="AQ571" t="b">
        <f>+ISNUMBER(SEARCH('F-VTA'!$F$36,Tabla11[[#This Row],[Cuenta]],1))</f>
        <v>1</v>
      </c>
      <c r="AR571" t="b">
        <f>+ISNUMBER(SEARCH(#REF!,Tabla11[[#This Row],[Cuenta]],1))</f>
        <v>0</v>
      </c>
      <c r="AS571" t="b">
        <f>+ISNUMBER(SEARCH(#REF!,Tabla11[[#This Row],[Cuenta]],1))</f>
        <v>0</v>
      </c>
      <c r="AT571" t="b">
        <f>+ISNUMBER(SEARCH(#REF!,Tabla11[[#This Row],[Cuenta]],1))</f>
        <v>0</v>
      </c>
      <c r="AU571" t="b">
        <f>+ISNUMBER(SEARCH('Conc. Ban.1'!$I$9,Tabla11[[#This Row],[Cuenta]],1))</f>
        <v>0</v>
      </c>
      <c r="AV571" t="b">
        <f>+ISNUMBER(SEARCH(CompConta!$F$21,Tabla11[[#This Row],[Cuenta]],1))</f>
        <v>1</v>
      </c>
      <c r="AW571" t="b">
        <f>+ISNUMBER(SEARCH(CompConta!$F$22,Tabla11[[#This Row],[Cuenta]],1))</f>
        <v>1</v>
      </c>
      <c r="AX571" t="b">
        <f>+ISNUMBER(SEARCH(CompConta!$F$23,Tabla11[[#This Row],[Cuenta]],1))</f>
        <v>1</v>
      </c>
      <c r="AY571" t="b">
        <f>+ISNUMBER(SEARCH(CompConta!$F$24,Tabla11[[#This Row],[Cuenta]],1))</f>
        <v>1</v>
      </c>
      <c r="AZ571" t="b">
        <f>+ISNUMBER(SEARCH(CompConta!$F$25,Tabla11[[#This Row],[Cuenta]],1))</f>
        <v>1</v>
      </c>
      <c r="BA571" t="b">
        <f>+ISNUMBER(SEARCH(CompConta!$F$26,Tabla11[[#This Row],[Cuenta]],1))</f>
        <v>1</v>
      </c>
      <c r="BB571" t="b">
        <f>+ISNUMBER(SEARCH(CompConta!$F$27,Tabla11[[#This Row],[Cuenta]],1))</f>
        <v>1</v>
      </c>
      <c r="BC571" t="b">
        <f>+ISNUMBER(SEARCH(CompConta!$F$28,Tabla11[[#This Row],[Cuenta]],1))</f>
        <v>1</v>
      </c>
      <c r="BD571" t="b">
        <f>+ISNUMBER(SEARCH(CompConta!$F$29,Tabla11[[#This Row],[Cuenta]],1))</f>
        <v>1</v>
      </c>
      <c r="BE571" t="b">
        <f>+ISNUMBER(SEARCH(CompConta!$F$30,Tabla11[[#This Row],[Cuenta]],1))</f>
        <v>1</v>
      </c>
      <c r="BF571" t="b">
        <f>+ISNUMBER(SEARCH('PAGO Compras'!$E$11,Tabla11[[#This Row],[Cuenta]],1))</f>
        <v>1</v>
      </c>
      <c r="BG571" t="b">
        <f>+ISNUMBER(SEARCH(#REF!,Tabla11[[#This Row],[Cuenta]],1))</f>
        <v>0</v>
      </c>
      <c r="BH571" t="b">
        <f>+ISNUMBER(SEARCH(#REF!,Tabla11[[#This Row],[Cuenta]],1))</f>
        <v>0</v>
      </c>
      <c r="BI571" t="b">
        <f>+ISNUMBER(SEARCH(#REF!,Tabla11[[#This Row],[Cuenta]],1))</f>
        <v>0</v>
      </c>
      <c r="BJ571" t="b">
        <f>+ISNUMBER(SEARCH(#REF!,Tabla11[[#This Row],[Cuenta]],1))</f>
        <v>0</v>
      </c>
      <c r="BS571" t="str">
        <v>263510 Intereses por multas y sanciones</v>
      </c>
      <c r="BT571" t="str">
        <v>263510 Intereses por multas y sanciones</v>
      </c>
      <c r="BU571" t="str">
        <v>263510 Intereses por multas y sanciones</v>
      </c>
      <c r="BV571" t="str">
        <v>263510 Intereses por multas y sanciones</v>
      </c>
      <c r="BZ571" t="str">
        <v>263510 Intereses por multas y sanciones</v>
      </c>
      <c r="CA571" t="str">
        <v>263510 Intereses por multas y sanciones</v>
      </c>
      <c r="CB571" t="str">
        <v>263510 Intereses por multas y sanciones</v>
      </c>
      <c r="CC571" t="str">
        <v>263510 Intereses por multas y sanciones</v>
      </c>
      <c r="CD571" t="str">
        <v>263510 Intereses por multas y sanciones</v>
      </c>
      <c r="CE571" t="str">
        <v>263510 Intereses por multas y sanciones</v>
      </c>
      <c r="CS571" s="141" t="str">
        <v>263510 Intereses por multas y sanciones</v>
      </c>
      <c r="CT571" s="141" t="str">
        <v>263510 Intereses por multas y sanciones</v>
      </c>
      <c r="CU571" s="141" t="str">
        <v>263510 Intereses por multas y sanciones</v>
      </c>
      <c r="CV571" s="141" t="str">
        <v>263510 Intereses por multas y sanciones</v>
      </c>
      <c r="CW571" s="141" t="str">
        <v>263510 Intereses por multas y sanciones</v>
      </c>
      <c r="CX571" s="141" t="str">
        <v>263510 Intereses por multas y sanciones</v>
      </c>
      <c r="CY571" s="141" t="str">
        <v>263510 Intereses por multas y sanciones</v>
      </c>
      <c r="CZ571" s="141" t="str">
        <v>263510 Intereses por multas y sanciones</v>
      </c>
      <c r="DA571" s="141" t="str">
        <v>263510 Intereses por multas y sanciones</v>
      </c>
      <c r="DF571" t="str">
        <v>263510 Intereses por multas y sanciones</v>
      </c>
      <c r="DG571" t="str">
        <v>263510 Intereses por multas y sanciones</v>
      </c>
      <c r="DH571" t="str">
        <v>263510 Intereses por multas y sanciones</v>
      </c>
      <c r="DI571" t="str">
        <v>263510 Intereses por multas y sanciones</v>
      </c>
      <c r="DJ571" t="str">
        <v>263510 Intereses por multas y sanciones</v>
      </c>
      <c r="DK571" t="str">
        <v>263510 Intereses por multas y sanciones</v>
      </c>
      <c r="DL571" t="str">
        <v>263510 Intereses por multas y sanciones</v>
      </c>
      <c r="DM571" t="str">
        <v>263510 Intereses por multas y sanciones</v>
      </c>
      <c r="DN571" t="str">
        <v>263510 Intereses por multas y sanciones</v>
      </c>
      <c r="DO571" t="str">
        <v>263510 Intereses por multas y sanciones</v>
      </c>
      <c r="DP571" t="str">
        <v>263510 Intereses por multas y sanciones</v>
      </c>
    </row>
    <row r="572" spans="4:120" ht="12.75">
      <c r="D572" s="7">
        <v>263515</v>
      </c>
      <c r="E572" s="6" t="s">
        <v>420</v>
      </c>
      <c r="F572" s="5">
        <v>4</v>
      </c>
      <c r="G572" s="34" t="s">
        <v>824</v>
      </c>
      <c r="H572" s="26" t="s">
        <v>765</v>
      </c>
      <c r="I572" t="b">
        <f>+ISNUMBER(SEARCH('F-COMPRA'!$F$28,Tabla11[[#This Row],[Cuenta]],1))</f>
        <v>1</v>
      </c>
      <c r="J572" t="b">
        <f>+ISNUMBER(SEARCH('F-COMPRA'!$F$29,Tabla11[[#This Row],[Cuenta]],1))</f>
        <v>1</v>
      </c>
      <c r="K572" t="b">
        <f>+ISNUMBER(SEARCH('F-COMPRA'!$F$30,Tabla11[[#This Row],[Cuenta]],1))</f>
        <v>1</v>
      </c>
      <c r="L572" t="b">
        <f>+ISNUMBER(SEARCH('F-COMPRA'!$F$31,Tabla11[[#This Row],[Cuenta]],1))</f>
        <v>1</v>
      </c>
      <c r="M572" t="b">
        <f>+ISNUMBER(SEARCH('F-COMPRA'!$G$25,Tabla11[[#This Row],[Cuenta]],1))</f>
        <v>0</v>
      </c>
      <c r="N572" t="b">
        <f>+ISNUMBER(SEARCH(#REF!,Tabla11[[#This Row],[Cuenta]],1))</f>
        <v>0</v>
      </c>
      <c r="O572" t="b">
        <f>+ISNUMBER(SEARCH(#REF!,Tabla11[[#This Row],[Cuenta]],1))</f>
        <v>0</v>
      </c>
      <c r="P572" t="b">
        <f>+ISNUMBER(SEARCH('F-COMPRA'!$F$32,Tabla11[[#This Row],[Cuenta]],1))</f>
        <v>1</v>
      </c>
      <c r="Q572" t="b">
        <f>+ISNUMBER(SEARCH('F-COMPRA'!$F$33,Tabla11[[#This Row],[Cuenta]],1))</f>
        <v>1</v>
      </c>
      <c r="R572" t="b">
        <f>+ISNUMBER(SEARCH('F-COMPRA'!$F$34,Tabla11[[#This Row],[Cuenta]],1))</f>
        <v>1</v>
      </c>
      <c r="S572" t="b">
        <f>+ISNUMBER(SEARCH('F-COMPRA'!$F$35,Tabla11[[#This Row],[Cuenta]],1))</f>
        <v>1</v>
      </c>
      <c r="T572" t="b">
        <f>+ISNUMBER(SEARCH('F-COMPRA'!$F$36,Tabla11[[#This Row],[Cuenta]],1))</f>
        <v>1</v>
      </c>
      <c r="U572" t="b">
        <f>+ISNUMBER(SEARCH('F-COMPRA'!$F$37,Tabla11[[#This Row],[Cuenta]],1))</f>
        <v>1</v>
      </c>
      <c r="V572" t="b">
        <f>+ISNUMBER(SEARCH(#REF!,Tabla11[[#This Row],[Cuenta]],1))</f>
        <v>0</v>
      </c>
      <c r="W572" t="b">
        <f>+ISNUMBER(SEARCH('F-COMPRA'!#REF!,Tabla11[[#This Row],[Cuenta]],1))</f>
        <v>0</v>
      </c>
      <c r="X572" t="b">
        <f>+ISNUMBER(SEARCH('F-COMPRA'!#REF!,Tabla11[[#This Row],[Cuenta]],1))</f>
        <v>0</v>
      </c>
      <c r="Y572" t="b">
        <f>+ISNUMBER(SEARCH('F-COMPRA'!#REF!,Tabla11[[#This Row],[Cuenta]],1))</f>
        <v>0</v>
      </c>
      <c r="Z572" t="b">
        <f>+ISNUMBER(SEARCH('F-COMPRA'!#REF!,Tabla11[[#This Row],[Cuenta]],1))</f>
        <v>0</v>
      </c>
      <c r="AA572" t="b">
        <f>+ISNUMBER(SEARCH('F-COMPRA'!#REF!,Tabla11[[#This Row],[Cuenta]],1))</f>
        <v>0</v>
      </c>
      <c r="AB572" t="b">
        <f>+ISNUMBER(SEARCH('F-COMPRA'!#REF!,Tabla11[[#This Row],[Cuenta]],1))</f>
        <v>0</v>
      </c>
      <c r="AC572" t="b">
        <f>+ISNUMBER(SEARCH('F-COMPRA'!#REF!,Tabla11[[#This Row],[Cuenta]],1))</f>
        <v>0</v>
      </c>
      <c r="AD572" t="b">
        <f>+ISNUMBER(SEARCH('F-COMPRA'!#REF!,Tabla11[[#This Row],[Cuenta]],1))</f>
        <v>0</v>
      </c>
      <c r="AE572" t="b">
        <f>+ISNUMBER(SEARCH('F-COMPRA'!#REF!,Tabla11[[#This Row],[Cuenta]],1))</f>
        <v>0</v>
      </c>
      <c r="AF572" t="b">
        <f>+ISNUMBER(SEARCH('F-VTA'!$G$23,Tabla11[[#This Row],[Cuenta]],1))</f>
        <v>0</v>
      </c>
      <c r="AG572" t="b">
        <f>+ISNUMBER(SEARCH('F-VTA'!$G$24,Tabla11[[#This Row],[Cuenta]],1))</f>
        <v>0</v>
      </c>
      <c r="AH572" t="b">
        <f>+ISNUMBER(SEARCH('F-VTA'!$G$25,Tabla11[[#This Row],[Cuenta]],1))</f>
        <v>0</v>
      </c>
      <c r="AI572" t="b">
        <f>+ISNUMBER(SEARCH('F-VTA'!$F$28,Tabla11[[#This Row],[Cuenta]],1))</f>
        <v>1</v>
      </c>
      <c r="AJ572" t="b">
        <f>+ISNUMBER(SEARCH('F-VTA'!$F$29,Tabla11[[#This Row],[Cuenta]],1))</f>
        <v>1</v>
      </c>
      <c r="AK572" t="b">
        <f>+ISNUMBER(SEARCH('F-VTA'!$F$30,Tabla11[[#This Row],[Cuenta]],1))</f>
        <v>1</v>
      </c>
      <c r="AL572" t="b">
        <f>+ISNUMBER(SEARCH('F-VTA'!$F$31,Tabla11[[#This Row],[Cuenta]],1))</f>
        <v>1</v>
      </c>
      <c r="AM572" t="b">
        <f>+ISNUMBER(SEARCH('F-VTA'!$F$32,Tabla11[[#This Row],[Cuenta]],1))</f>
        <v>1</v>
      </c>
      <c r="AN572" t="b">
        <f>+ISNUMBER(SEARCH('F-VTA'!$F$33,Tabla11[[#This Row],[Cuenta]],1))</f>
        <v>1</v>
      </c>
      <c r="AO572" t="b">
        <f>+ISNUMBER(SEARCH('F-VTA'!$F$34,Tabla11[[#This Row],[Cuenta]],1))</f>
        <v>1</v>
      </c>
      <c r="AP572" t="b">
        <f>+ISNUMBER(SEARCH('F-VTA'!$F$35,Tabla11[[#This Row],[Cuenta]],1))</f>
        <v>1</v>
      </c>
      <c r="AQ572" t="b">
        <f>+ISNUMBER(SEARCH('F-VTA'!$F$36,Tabla11[[#This Row],[Cuenta]],1))</f>
        <v>1</v>
      </c>
      <c r="AR572" t="b">
        <f>+ISNUMBER(SEARCH(#REF!,Tabla11[[#This Row],[Cuenta]],1))</f>
        <v>0</v>
      </c>
      <c r="AS572" t="b">
        <f>+ISNUMBER(SEARCH(#REF!,Tabla11[[#This Row],[Cuenta]],1))</f>
        <v>0</v>
      </c>
      <c r="AT572" t="b">
        <f>+ISNUMBER(SEARCH(#REF!,Tabla11[[#This Row],[Cuenta]],1))</f>
        <v>0</v>
      </c>
      <c r="AU572" t="b">
        <f>+ISNUMBER(SEARCH('Conc. Ban.1'!$I$9,Tabla11[[#This Row],[Cuenta]],1))</f>
        <v>0</v>
      </c>
      <c r="AV572" t="b">
        <f>+ISNUMBER(SEARCH(CompConta!$F$21,Tabla11[[#This Row],[Cuenta]],1))</f>
        <v>1</v>
      </c>
      <c r="AW572" t="b">
        <f>+ISNUMBER(SEARCH(CompConta!$F$22,Tabla11[[#This Row],[Cuenta]],1))</f>
        <v>1</v>
      </c>
      <c r="AX572" t="b">
        <f>+ISNUMBER(SEARCH(CompConta!$F$23,Tabla11[[#This Row],[Cuenta]],1))</f>
        <v>1</v>
      </c>
      <c r="AY572" t="b">
        <f>+ISNUMBER(SEARCH(CompConta!$F$24,Tabla11[[#This Row],[Cuenta]],1))</f>
        <v>1</v>
      </c>
      <c r="AZ572" t="b">
        <f>+ISNUMBER(SEARCH(CompConta!$F$25,Tabla11[[#This Row],[Cuenta]],1))</f>
        <v>1</v>
      </c>
      <c r="BA572" t="b">
        <f>+ISNUMBER(SEARCH(CompConta!$F$26,Tabla11[[#This Row],[Cuenta]],1))</f>
        <v>1</v>
      </c>
      <c r="BB572" t="b">
        <f>+ISNUMBER(SEARCH(CompConta!$F$27,Tabla11[[#This Row],[Cuenta]],1))</f>
        <v>1</v>
      </c>
      <c r="BC572" t="b">
        <f>+ISNUMBER(SEARCH(CompConta!$F$28,Tabla11[[#This Row],[Cuenta]],1))</f>
        <v>1</v>
      </c>
      <c r="BD572" t="b">
        <f>+ISNUMBER(SEARCH(CompConta!$F$29,Tabla11[[#This Row],[Cuenta]],1))</f>
        <v>1</v>
      </c>
      <c r="BE572" t="b">
        <f>+ISNUMBER(SEARCH(CompConta!$F$30,Tabla11[[#This Row],[Cuenta]],1))</f>
        <v>1</v>
      </c>
      <c r="BF572" t="b">
        <f>+ISNUMBER(SEARCH('PAGO Compras'!$E$11,Tabla11[[#This Row],[Cuenta]],1))</f>
        <v>1</v>
      </c>
      <c r="BG572" t="b">
        <f>+ISNUMBER(SEARCH(#REF!,Tabla11[[#This Row],[Cuenta]],1))</f>
        <v>0</v>
      </c>
      <c r="BH572" t="b">
        <f>+ISNUMBER(SEARCH(#REF!,Tabla11[[#This Row],[Cuenta]],1))</f>
        <v>0</v>
      </c>
      <c r="BI572" t="b">
        <f>+ISNUMBER(SEARCH(#REF!,Tabla11[[#This Row],[Cuenta]],1))</f>
        <v>0</v>
      </c>
      <c r="BJ572" t="b">
        <f>+ISNUMBER(SEARCH(#REF!,Tabla11[[#This Row],[Cuenta]],1))</f>
        <v>0</v>
      </c>
      <c r="BS572" t="str">
        <v>263515 Reclamos</v>
      </c>
      <c r="BT572" t="str">
        <v>263515 Reclamos</v>
      </c>
      <c r="BU572" t="str">
        <v>263515 Reclamos</v>
      </c>
      <c r="BV572" t="str">
        <v>263515 Reclamos</v>
      </c>
      <c r="BZ572" t="str">
        <v>263515 Reclamos</v>
      </c>
      <c r="CA572" t="str">
        <v>263515 Reclamos</v>
      </c>
      <c r="CB572" t="str">
        <v>263515 Reclamos</v>
      </c>
      <c r="CC572" t="str">
        <v>263515 Reclamos</v>
      </c>
      <c r="CD572" t="str">
        <v>263515 Reclamos</v>
      </c>
      <c r="CE572" t="str">
        <v>263515 Reclamos</v>
      </c>
      <c r="CS572" s="141" t="str">
        <v>263515 Reclamos</v>
      </c>
      <c r="CT572" s="141" t="str">
        <v>263515 Reclamos</v>
      </c>
      <c r="CU572" s="141" t="str">
        <v>263515 Reclamos</v>
      </c>
      <c r="CV572" s="141" t="str">
        <v>263515 Reclamos</v>
      </c>
      <c r="CW572" s="141" t="str">
        <v>263515 Reclamos</v>
      </c>
      <c r="CX572" s="141" t="str">
        <v>263515 Reclamos</v>
      </c>
      <c r="CY572" s="141" t="str">
        <v>263515 Reclamos</v>
      </c>
      <c r="CZ572" s="141" t="str">
        <v>263515 Reclamos</v>
      </c>
      <c r="DA572" s="141" t="str">
        <v>263515 Reclamos</v>
      </c>
      <c r="DF572" t="str">
        <v>263515 Reclamos</v>
      </c>
      <c r="DG572" t="str">
        <v>263515 Reclamos</v>
      </c>
      <c r="DH572" t="str">
        <v>263515 Reclamos</v>
      </c>
      <c r="DI572" t="str">
        <v>263515 Reclamos</v>
      </c>
      <c r="DJ572" t="str">
        <v>263515 Reclamos</v>
      </c>
      <c r="DK572" t="str">
        <v>263515 Reclamos</v>
      </c>
      <c r="DL572" t="str">
        <v>263515 Reclamos</v>
      </c>
      <c r="DM572" t="str">
        <v>263515 Reclamos</v>
      </c>
      <c r="DN572" t="str">
        <v>263515 Reclamos</v>
      </c>
      <c r="DO572" t="str">
        <v>263515 Reclamos</v>
      </c>
      <c r="DP572" t="str">
        <v>263515 Reclamos</v>
      </c>
    </row>
    <row r="573" spans="4:120" ht="12.75">
      <c r="D573" s="7">
        <v>263520</v>
      </c>
      <c r="E573" s="6" t="s">
        <v>421</v>
      </c>
      <c r="F573" s="5">
        <v>4</v>
      </c>
      <c r="G573" s="34" t="s">
        <v>824</v>
      </c>
      <c r="H573" s="26" t="s">
        <v>765</v>
      </c>
      <c r="I573" t="b">
        <f>+ISNUMBER(SEARCH('F-COMPRA'!$F$28,Tabla11[[#This Row],[Cuenta]],1))</f>
        <v>1</v>
      </c>
      <c r="J573" t="b">
        <f>+ISNUMBER(SEARCH('F-COMPRA'!$F$29,Tabla11[[#This Row],[Cuenta]],1))</f>
        <v>1</v>
      </c>
      <c r="K573" t="b">
        <f>+ISNUMBER(SEARCH('F-COMPRA'!$F$30,Tabla11[[#This Row],[Cuenta]],1))</f>
        <v>1</v>
      </c>
      <c r="L573" t="b">
        <f>+ISNUMBER(SEARCH('F-COMPRA'!$F$31,Tabla11[[#This Row],[Cuenta]],1))</f>
        <v>1</v>
      </c>
      <c r="M573" t="b">
        <f>+ISNUMBER(SEARCH('F-COMPRA'!$G$25,Tabla11[[#This Row],[Cuenta]],1))</f>
        <v>0</v>
      </c>
      <c r="N573" t="b">
        <f>+ISNUMBER(SEARCH(#REF!,Tabla11[[#This Row],[Cuenta]],1))</f>
        <v>0</v>
      </c>
      <c r="O573" t="b">
        <f>+ISNUMBER(SEARCH(#REF!,Tabla11[[#This Row],[Cuenta]],1))</f>
        <v>0</v>
      </c>
      <c r="P573" t="b">
        <f>+ISNUMBER(SEARCH('F-COMPRA'!$F$32,Tabla11[[#This Row],[Cuenta]],1))</f>
        <v>1</v>
      </c>
      <c r="Q573" t="b">
        <f>+ISNUMBER(SEARCH('F-COMPRA'!$F$33,Tabla11[[#This Row],[Cuenta]],1))</f>
        <v>1</v>
      </c>
      <c r="R573" t="b">
        <f>+ISNUMBER(SEARCH('F-COMPRA'!$F$34,Tabla11[[#This Row],[Cuenta]],1))</f>
        <v>1</v>
      </c>
      <c r="S573" t="b">
        <f>+ISNUMBER(SEARCH('F-COMPRA'!$F$35,Tabla11[[#This Row],[Cuenta]],1))</f>
        <v>1</v>
      </c>
      <c r="T573" t="b">
        <f>+ISNUMBER(SEARCH('F-COMPRA'!$F$36,Tabla11[[#This Row],[Cuenta]],1))</f>
        <v>1</v>
      </c>
      <c r="U573" t="b">
        <f>+ISNUMBER(SEARCH('F-COMPRA'!$F$37,Tabla11[[#This Row],[Cuenta]],1))</f>
        <v>1</v>
      </c>
      <c r="V573" t="b">
        <f>+ISNUMBER(SEARCH(#REF!,Tabla11[[#This Row],[Cuenta]],1))</f>
        <v>0</v>
      </c>
      <c r="W573" t="b">
        <f>+ISNUMBER(SEARCH('F-COMPRA'!#REF!,Tabla11[[#This Row],[Cuenta]],1))</f>
        <v>0</v>
      </c>
      <c r="X573" t="b">
        <f>+ISNUMBER(SEARCH('F-COMPRA'!#REF!,Tabla11[[#This Row],[Cuenta]],1))</f>
        <v>0</v>
      </c>
      <c r="Y573" t="b">
        <f>+ISNUMBER(SEARCH('F-COMPRA'!#REF!,Tabla11[[#This Row],[Cuenta]],1))</f>
        <v>0</v>
      </c>
      <c r="Z573" t="b">
        <f>+ISNUMBER(SEARCH('F-COMPRA'!#REF!,Tabla11[[#This Row],[Cuenta]],1))</f>
        <v>0</v>
      </c>
      <c r="AA573" t="b">
        <f>+ISNUMBER(SEARCH('F-COMPRA'!#REF!,Tabla11[[#This Row],[Cuenta]],1))</f>
        <v>0</v>
      </c>
      <c r="AB573" t="b">
        <f>+ISNUMBER(SEARCH('F-COMPRA'!#REF!,Tabla11[[#This Row],[Cuenta]],1))</f>
        <v>0</v>
      </c>
      <c r="AC573" t="b">
        <f>+ISNUMBER(SEARCH('F-COMPRA'!#REF!,Tabla11[[#This Row],[Cuenta]],1))</f>
        <v>0</v>
      </c>
      <c r="AD573" t="b">
        <f>+ISNUMBER(SEARCH('F-COMPRA'!#REF!,Tabla11[[#This Row],[Cuenta]],1))</f>
        <v>0</v>
      </c>
      <c r="AE573" t="b">
        <f>+ISNUMBER(SEARCH('F-COMPRA'!#REF!,Tabla11[[#This Row],[Cuenta]],1))</f>
        <v>0</v>
      </c>
      <c r="AF573" t="b">
        <f>+ISNUMBER(SEARCH('F-VTA'!$G$23,Tabla11[[#This Row],[Cuenta]],1))</f>
        <v>0</v>
      </c>
      <c r="AG573" t="b">
        <f>+ISNUMBER(SEARCH('F-VTA'!$G$24,Tabla11[[#This Row],[Cuenta]],1))</f>
        <v>0</v>
      </c>
      <c r="AH573" t="b">
        <f>+ISNUMBER(SEARCH('F-VTA'!$G$25,Tabla11[[#This Row],[Cuenta]],1))</f>
        <v>0</v>
      </c>
      <c r="AI573" t="b">
        <f>+ISNUMBER(SEARCH('F-VTA'!$F$28,Tabla11[[#This Row],[Cuenta]],1))</f>
        <v>1</v>
      </c>
      <c r="AJ573" t="b">
        <f>+ISNUMBER(SEARCH('F-VTA'!$F$29,Tabla11[[#This Row],[Cuenta]],1))</f>
        <v>1</v>
      </c>
      <c r="AK573" t="b">
        <f>+ISNUMBER(SEARCH('F-VTA'!$F$30,Tabla11[[#This Row],[Cuenta]],1))</f>
        <v>1</v>
      </c>
      <c r="AL573" t="b">
        <f>+ISNUMBER(SEARCH('F-VTA'!$F$31,Tabla11[[#This Row],[Cuenta]],1))</f>
        <v>1</v>
      </c>
      <c r="AM573" t="b">
        <f>+ISNUMBER(SEARCH('F-VTA'!$F$32,Tabla11[[#This Row],[Cuenta]],1))</f>
        <v>1</v>
      </c>
      <c r="AN573" t="b">
        <f>+ISNUMBER(SEARCH('F-VTA'!$F$33,Tabla11[[#This Row],[Cuenta]],1))</f>
        <v>1</v>
      </c>
      <c r="AO573" t="b">
        <f>+ISNUMBER(SEARCH('F-VTA'!$F$34,Tabla11[[#This Row],[Cuenta]],1))</f>
        <v>1</v>
      </c>
      <c r="AP573" t="b">
        <f>+ISNUMBER(SEARCH('F-VTA'!$F$35,Tabla11[[#This Row],[Cuenta]],1))</f>
        <v>1</v>
      </c>
      <c r="AQ573" t="b">
        <f>+ISNUMBER(SEARCH('F-VTA'!$F$36,Tabla11[[#This Row],[Cuenta]],1))</f>
        <v>1</v>
      </c>
      <c r="AR573" t="b">
        <f>+ISNUMBER(SEARCH(#REF!,Tabla11[[#This Row],[Cuenta]],1))</f>
        <v>0</v>
      </c>
      <c r="AS573" t="b">
        <f>+ISNUMBER(SEARCH(#REF!,Tabla11[[#This Row],[Cuenta]],1))</f>
        <v>0</v>
      </c>
      <c r="AT573" t="b">
        <f>+ISNUMBER(SEARCH(#REF!,Tabla11[[#This Row],[Cuenta]],1))</f>
        <v>0</v>
      </c>
      <c r="AU573" t="b">
        <f>+ISNUMBER(SEARCH('Conc. Ban.1'!$I$9,Tabla11[[#This Row],[Cuenta]],1))</f>
        <v>0</v>
      </c>
      <c r="AV573" t="b">
        <f>+ISNUMBER(SEARCH(CompConta!$F$21,Tabla11[[#This Row],[Cuenta]],1))</f>
        <v>1</v>
      </c>
      <c r="AW573" t="b">
        <f>+ISNUMBER(SEARCH(CompConta!$F$22,Tabla11[[#This Row],[Cuenta]],1))</f>
        <v>1</v>
      </c>
      <c r="AX573" t="b">
        <f>+ISNUMBER(SEARCH(CompConta!$F$23,Tabla11[[#This Row],[Cuenta]],1))</f>
        <v>1</v>
      </c>
      <c r="AY573" t="b">
        <f>+ISNUMBER(SEARCH(CompConta!$F$24,Tabla11[[#This Row],[Cuenta]],1))</f>
        <v>1</v>
      </c>
      <c r="AZ573" t="b">
        <f>+ISNUMBER(SEARCH(CompConta!$F$25,Tabla11[[#This Row],[Cuenta]],1))</f>
        <v>1</v>
      </c>
      <c r="BA573" t="b">
        <f>+ISNUMBER(SEARCH(CompConta!$F$26,Tabla11[[#This Row],[Cuenta]],1))</f>
        <v>1</v>
      </c>
      <c r="BB573" t="b">
        <f>+ISNUMBER(SEARCH(CompConta!$F$27,Tabla11[[#This Row],[Cuenta]],1))</f>
        <v>1</v>
      </c>
      <c r="BC573" t="b">
        <f>+ISNUMBER(SEARCH(CompConta!$F$28,Tabla11[[#This Row],[Cuenta]],1))</f>
        <v>1</v>
      </c>
      <c r="BD573" t="b">
        <f>+ISNUMBER(SEARCH(CompConta!$F$29,Tabla11[[#This Row],[Cuenta]],1))</f>
        <v>1</v>
      </c>
      <c r="BE573" t="b">
        <f>+ISNUMBER(SEARCH(CompConta!$F$30,Tabla11[[#This Row],[Cuenta]],1))</f>
        <v>1</v>
      </c>
      <c r="BF573" t="b">
        <f>+ISNUMBER(SEARCH('PAGO Compras'!$E$11,Tabla11[[#This Row],[Cuenta]],1))</f>
        <v>1</v>
      </c>
      <c r="BG573" t="b">
        <f>+ISNUMBER(SEARCH(#REF!,Tabla11[[#This Row],[Cuenta]],1))</f>
        <v>0</v>
      </c>
      <c r="BH573" t="b">
        <f>+ISNUMBER(SEARCH(#REF!,Tabla11[[#This Row],[Cuenta]],1))</f>
        <v>0</v>
      </c>
      <c r="BI573" t="b">
        <f>+ISNUMBER(SEARCH(#REF!,Tabla11[[#This Row],[Cuenta]],1))</f>
        <v>0</v>
      </c>
      <c r="BJ573" t="b">
        <f>+ISNUMBER(SEARCH(#REF!,Tabla11[[#This Row],[Cuenta]],1))</f>
        <v>0</v>
      </c>
      <c r="BS573" t="str">
        <v>263520 Laborales</v>
      </c>
      <c r="BT573" t="str">
        <v>263520 Laborales</v>
      </c>
      <c r="BU573" t="str">
        <v>263520 Laborales</v>
      </c>
      <c r="BV573" t="str">
        <v>263520 Laborales</v>
      </c>
      <c r="BZ573" t="str">
        <v>263520 Laborales</v>
      </c>
      <c r="CA573" t="str">
        <v>263520 Laborales</v>
      </c>
      <c r="CB573" t="str">
        <v>263520 Laborales</v>
      </c>
      <c r="CC573" t="str">
        <v>263520 Laborales</v>
      </c>
      <c r="CD573" t="str">
        <v>263520 Laborales</v>
      </c>
      <c r="CE573" t="str">
        <v>263520 Laborales</v>
      </c>
      <c r="CS573" s="141" t="str">
        <v>263520 Laborales</v>
      </c>
      <c r="CT573" s="141" t="str">
        <v>263520 Laborales</v>
      </c>
      <c r="CU573" s="141" t="str">
        <v>263520 Laborales</v>
      </c>
      <c r="CV573" s="141" t="str">
        <v>263520 Laborales</v>
      </c>
      <c r="CW573" s="141" t="str">
        <v>263520 Laborales</v>
      </c>
      <c r="CX573" s="141" t="str">
        <v>263520 Laborales</v>
      </c>
      <c r="CY573" s="141" t="str">
        <v>263520 Laborales</v>
      </c>
      <c r="CZ573" s="141" t="str">
        <v>263520 Laborales</v>
      </c>
      <c r="DA573" s="141" t="str">
        <v>263520 Laborales</v>
      </c>
      <c r="DF573" t="str">
        <v>263520 Laborales</v>
      </c>
      <c r="DG573" t="str">
        <v>263520 Laborales</v>
      </c>
      <c r="DH573" t="str">
        <v>263520 Laborales</v>
      </c>
      <c r="DI573" t="str">
        <v>263520 Laborales</v>
      </c>
      <c r="DJ573" t="str">
        <v>263520 Laborales</v>
      </c>
      <c r="DK573" t="str">
        <v>263520 Laborales</v>
      </c>
      <c r="DL573" t="str">
        <v>263520 Laborales</v>
      </c>
      <c r="DM573" t="str">
        <v>263520 Laborales</v>
      </c>
      <c r="DN573" t="str">
        <v>263520 Laborales</v>
      </c>
      <c r="DO573" t="str">
        <v>263520 Laborales</v>
      </c>
      <c r="DP573" t="str">
        <v>263520 Laborales</v>
      </c>
    </row>
    <row r="574" spans="4:120" ht="12.75">
      <c r="D574" s="7">
        <v>263525</v>
      </c>
      <c r="E574" s="6" t="s">
        <v>422</v>
      </c>
      <c r="F574" s="5">
        <v>4</v>
      </c>
      <c r="G574" s="34" t="s">
        <v>824</v>
      </c>
      <c r="H574" s="26" t="s">
        <v>765</v>
      </c>
      <c r="I574" t="b">
        <f>+ISNUMBER(SEARCH('F-COMPRA'!$F$28,Tabla11[[#This Row],[Cuenta]],1))</f>
        <v>1</v>
      </c>
      <c r="J574" t="b">
        <f>+ISNUMBER(SEARCH('F-COMPRA'!$F$29,Tabla11[[#This Row],[Cuenta]],1))</f>
        <v>1</v>
      </c>
      <c r="K574" t="b">
        <f>+ISNUMBER(SEARCH('F-COMPRA'!$F$30,Tabla11[[#This Row],[Cuenta]],1))</f>
        <v>1</v>
      </c>
      <c r="L574" t="b">
        <f>+ISNUMBER(SEARCH('F-COMPRA'!$F$31,Tabla11[[#This Row],[Cuenta]],1))</f>
        <v>1</v>
      </c>
      <c r="M574" t="b">
        <f>+ISNUMBER(SEARCH('F-COMPRA'!$G$25,Tabla11[[#This Row],[Cuenta]],1))</f>
        <v>0</v>
      </c>
      <c r="N574" t="b">
        <f>+ISNUMBER(SEARCH(#REF!,Tabla11[[#This Row],[Cuenta]],1))</f>
        <v>0</v>
      </c>
      <c r="O574" t="b">
        <f>+ISNUMBER(SEARCH(#REF!,Tabla11[[#This Row],[Cuenta]],1))</f>
        <v>0</v>
      </c>
      <c r="P574" t="b">
        <f>+ISNUMBER(SEARCH('F-COMPRA'!$F$32,Tabla11[[#This Row],[Cuenta]],1))</f>
        <v>1</v>
      </c>
      <c r="Q574" t="b">
        <f>+ISNUMBER(SEARCH('F-COMPRA'!$F$33,Tabla11[[#This Row],[Cuenta]],1))</f>
        <v>1</v>
      </c>
      <c r="R574" t="b">
        <f>+ISNUMBER(SEARCH('F-COMPRA'!$F$34,Tabla11[[#This Row],[Cuenta]],1))</f>
        <v>1</v>
      </c>
      <c r="S574" t="b">
        <f>+ISNUMBER(SEARCH('F-COMPRA'!$F$35,Tabla11[[#This Row],[Cuenta]],1))</f>
        <v>1</v>
      </c>
      <c r="T574" t="b">
        <f>+ISNUMBER(SEARCH('F-COMPRA'!$F$36,Tabla11[[#This Row],[Cuenta]],1))</f>
        <v>1</v>
      </c>
      <c r="U574" t="b">
        <f>+ISNUMBER(SEARCH('F-COMPRA'!$F$37,Tabla11[[#This Row],[Cuenta]],1))</f>
        <v>1</v>
      </c>
      <c r="V574" t="b">
        <f>+ISNUMBER(SEARCH(#REF!,Tabla11[[#This Row],[Cuenta]],1))</f>
        <v>0</v>
      </c>
      <c r="W574" t="b">
        <f>+ISNUMBER(SEARCH('F-COMPRA'!#REF!,Tabla11[[#This Row],[Cuenta]],1))</f>
        <v>0</v>
      </c>
      <c r="X574" t="b">
        <f>+ISNUMBER(SEARCH('F-COMPRA'!#REF!,Tabla11[[#This Row],[Cuenta]],1))</f>
        <v>0</v>
      </c>
      <c r="Y574" t="b">
        <f>+ISNUMBER(SEARCH('F-COMPRA'!#REF!,Tabla11[[#This Row],[Cuenta]],1))</f>
        <v>0</v>
      </c>
      <c r="Z574" t="b">
        <f>+ISNUMBER(SEARCH('F-COMPRA'!#REF!,Tabla11[[#This Row],[Cuenta]],1))</f>
        <v>0</v>
      </c>
      <c r="AA574" t="b">
        <f>+ISNUMBER(SEARCH('F-COMPRA'!#REF!,Tabla11[[#This Row],[Cuenta]],1))</f>
        <v>0</v>
      </c>
      <c r="AB574" t="b">
        <f>+ISNUMBER(SEARCH('F-COMPRA'!#REF!,Tabla11[[#This Row],[Cuenta]],1))</f>
        <v>0</v>
      </c>
      <c r="AC574" t="b">
        <f>+ISNUMBER(SEARCH('F-COMPRA'!#REF!,Tabla11[[#This Row],[Cuenta]],1))</f>
        <v>0</v>
      </c>
      <c r="AD574" t="b">
        <f>+ISNUMBER(SEARCH('F-COMPRA'!#REF!,Tabla11[[#This Row],[Cuenta]],1))</f>
        <v>0</v>
      </c>
      <c r="AE574" t="b">
        <f>+ISNUMBER(SEARCH('F-COMPRA'!#REF!,Tabla11[[#This Row],[Cuenta]],1))</f>
        <v>0</v>
      </c>
      <c r="AF574" t="b">
        <f>+ISNUMBER(SEARCH('F-VTA'!$G$23,Tabla11[[#This Row],[Cuenta]],1))</f>
        <v>0</v>
      </c>
      <c r="AG574" t="b">
        <f>+ISNUMBER(SEARCH('F-VTA'!$G$24,Tabla11[[#This Row],[Cuenta]],1))</f>
        <v>0</v>
      </c>
      <c r="AH574" t="b">
        <f>+ISNUMBER(SEARCH('F-VTA'!$G$25,Tabla11[[#This Row],[Cuenta]],1))</f>
        <v>0</v>
      </c>
      <c r="AI574" t="b">
        <f>+ISNUMBER(SEARCH('F-VTA'!$F$28,Tabla11[[#This Row],[Cuenta]],1))</f>
        <v>1</v>
      </c>
      <c r="AJ574" t="b">
        <f>+ISNUMBER(SEARCH('F-VTA'!$F$29,Tabla11[[#This Row],[Cuenta]],1))</f>
        <v>1</v>
      </c>
      <c r="AK574" t="b">
        <f>+ISNUMBER(SEARCH('F-VTA'!$F$30,Tabla11[[#This Row],[Cuenta]],1))</f>
        <v>1</v>
      </c>
      <c r="AL574" t="b">
        <f>+ISNUMBER(SEARCH('F-VTA'!$F$31,Tabla11[[#This Row],[Cuenta]],1))</f>
        <v>1</v>
      </c>
      <c r="AM574" t="b">
        <f>+ISNUMBER(SEARCH('F-VTA'!$F$32,Tabla11[[#This Row],[Cuenta]],1))</f>
        <v>1</v>
      </c>
      <c r="AN574" t="b">
        <f>+ISNUMBER(SEARCH('F-VTA'!$F$33,Tabla11[[#This Row],[Cuenta]],1))</f>
        <v>1</v>
      </c>
      <c r="AO574" t="b">
        <f>+ISNUMBER(SEARCH('F-VTA'!$F$34,Tabla11[[#This Row],[Cuenta]],1))</f>
        <v>1</v>
      </c>
      <c r="AP574" t="b">
        <f>+ISNUMBER(SEARCH('F-VTA'!$F$35,Tabla11[[#This Row],[Cuenta]],1))</f>
        <v>1</v>
      </c>
      <c r="AQ574" t="b">
        <f>+ISNUMBER(SEARCH('F-VTA'!$F$36,Tabla11[[#This Row],[Cuenta]],1))</f>
        <v>1</v>
      </c>
      <c r="AR574" t="b">
        <f>+ISNUMBER(SEARCH(#REF!,Tabla11[[#This Row],[Cuenta]],1))</f>
        <v>0</v>
      </c>
      <c r="AS574" t="b">
        <f>+ISNUMBER(SEARCH(#REF!,Tabla11[[#This Row],[Cuenta]],1))</f>
        <v>0</v>
      </c>
      <c r="AT574" t="b">
        <f>+ISNUMBER(SEARCH(#REF!,Tabla11[[#This Row],[Cuenta]],1))</f>
        <v>0</v>
      </c>
      <c r="AU574" t="b">
        <f>+ISNUMBER(SEARCH('Conc. Ban.1'!$I$9,Tabla11[[#This Row],[Cuenta]],1))</f>
        <v>0</v>
      </c>
      <c r="AV574" t="b">
        <f>+ISNUMBER(SEARCH(CompConta!$F$21,Tabla11[[#This Row],[Cuenta]],1))</f>
        <v>1</v>
      </c>
      <c r="AW574" t="b">
        <f>+ISNUMBER(SEARCH(CompConta!$F$22,Tabla11[[#This Row],[Cuenta]],1))</f>
        <v>1</v>
      </c>
      <c r="AX574" t="b">
        <f>+ISNUMBER(SEARCH(CompConta!$F$23,Tabla11[[#This Row],[Cuenta]],1))</f>
        <v>1</v>
      </c>
      <c r="AY574" t="b">
        <f>+ISNUMBER(SEARCH(CompConta!$F$24,Tabla11[[#This Row],[Cuenta]],1))</f>
        <v>1</v>
      </c>
      <c r="AZ574" t="b">
        <f>+ISNUMBER(SEARCH(CompConta!$F$25,Tabla11[[#This Row],[Cuenta]],1))</f>
        <v>1</v>
      </c>
      <c r="BA574" t="b">
        <f>+ISNUMBER(SEARCH(CompConta!$F$26,Tabla11[[#This Row],[Cuenta]],1))</f>
        <v>1</v>
      </c>
      <c r="BB574" t="b">
        <f>+ISNUMBER(SEARCH(CompConta!$F$27,Tabla11[[#This Row],[Cuenta]],1))</f>
        <v>1</v>
      </c>
      <c r="BC574" t="b">
        <f>+ISNUMBER(SEARCH(CompConta!$F$28,Tabla11[[#This Row],[Cuenta]],1))</f>
        <v>1</v>
      </c>
      <c r="BD574" t="b">
        <f>+ISNUMBER(SEARCH(CompConta!$F$29,Tabla11[[#This Row],[Cuenta]],1))</f>
        <v>1</v>
      </c>
      <c r="BE574" t="b">
        <f>+ISNUMBER(SEARCH(CompConta!$F$30,Tabla11[[#This Row],[Cuenta]],1))</f>
        <v>1</v>
      </c>
      <c r="BF574" t="b">
        <f>+ISNUMBER(SEARCH('PAGO Compras'!$E$11,Tabla11[[#This Row],[Cuenta]],1))</f>
        <v>1</v>
      </c>
      <c r="BG574" t="b">
        <f>+ISNUMBER(SEARCH(#REF!,Tabla11[[#This Row],[Cuenta]],1))</f>
        <v>0</v>
      </c>
      <c r="BH574" t="b">
        <f>+ISNUMBER(SEARCH(#REF!,Tabla11[[#This Row],[Cuenta]],1))</f>
        <v>0</v>
      </c>
      <c r="BI574" t="b">
        <f>+ISNUMBER(SEARCH(#REF!,Tabla11[[#This Row],[Cuenta]],1))</f>
        <v>0</v>
      </c>
      <c r="BJ574" t="b">
        <f>+ISNUMBER(SEARCH(#REF!,Tabla11[[#This Row],[Cuenta]],1))</f>
        <v>0</v>
      </c>
      <c r="BS574" t="str">
        <v>263525 Civiles</v>
      </c>
      <c r="BT574" t="str">
        <v>263525 Civiles</v>
      </c>
      <c r="BU574" t="str">
        <v>263525 Civiles</v>
      </c>
      <c r="BV574" t="str">
        <v>263525 Civiles</v>
      </c>
      <c r="BZ574" t="str">
        <v>263525 Civiles</v>
      </c>
      <c r="CA574" t="str">
        <v>263525 Civiles</v>
      </c>
      <c r="CB574" t="str">
        <v>263525 Civiles</v>
      </c>
      <c r="CC574" t="str">
        <v>263525 Civiles</v>
      </c>
      <c r="CD574" t="str">
        <v>263525 Civiles</v>
      </c>
      <c r="CE574" t="str">
        <v>263525 Civiles</v>
      </c>
      <c r="CS574" s="141" t="str">
        <v>263525 Civiles</v>
      </c>
      <c r="CT574" s="141" t="str">
        <v>263525 Civiles</v>
      </c>
      <c r="CU574" s="141" t="str">
        <v>263525 Civiles</v>
      </c>
      <c r="CV574" s="141" t="str">
        <v>263525 Civiles</v>
      </c>
      <c r="CW574" s="141" t="str">
        <v>263525 Civiles</v>
      </c>
      <c r="CX574" s="141" t="str">
        <v>263525 Civiles</v>
      </c>
      <c r="CY574" s="141" t="str">
        <v>263525 Civiles</v>
      </c>
      <c r="CZ574" s="141" t="str">
        <v>263525 Civiles</v>
      </c>
      <c r="DA574" s="141" t="str">
        <v>263525 Civiles</v>
      </c>
      <c r="DF574" t="str">
        <v>263525 Civiles</v>
      </c>
      <c r="DG574" t="str">
        <v>263525 Civiles</v>
      </c>
      <c r="DH574" t="str">
        <v>263525 Civiles</v>
      </c>
      <c r="DI574" t="str">
        <v>263525 Civiles</v>
      </c>
      <c r="DJ574" t="str">
        <v>263525 Civiles</v>
      </c>
      <c r="DK574" t="str">
        <v>263525 Civiles</v>
      </c>
      <c r="DL574" t="str">
        <v>263525 Civiles</v>
      </c>
      <c r="DM574" t="str">
        <v>263525 Civiles</v>
      </c>
      <c r="DN574" t="str">
        <v>263525 Civiles</v>
      </c>
      <c r="DO574" t="str">
        <v>263525 Civiles</v>
      </c>
      <c r="DP574" t="str">
        <v>263525 Civiles</v>
      </c>
    </row>
    <row r="575" spans="4:120" ht="12.75">
      <c r="D575" s="7">
        <v>263530</v>
      </c>
      <c r="E575" s="6" t="s">
        <v>423</v>
      </c>
      <c r="F575" s="5">
        <v>4</v>
      </c>
      <c r="G575" s="34" t="s">
        <v>824</v>
      </c>
      <c r="H575" s="26" t="s">
        <v>765</v>
      </c>
      <c r="I575" t="b">
        <f>+ISNUMBER(SEARCH('F-COMPRA'!$F$28,Tabla11[[#This Row],[Cuenta]],1))</f>
        <v>1</v>
      </c>
      <c r="J575" t="b">
        <f>+ISNUMBER(SEARCH('F-COMPRA'!$F$29,Tabla11[[#This Row],[Cuenta]],1))</f>
        <v>1</v>
      </c>
      <c r="K575" t="b">
        <f>+ISNUMBER(SEARCH('F-COMPRA'!$F$30,Tabla11[[#This Row],[Cuenta]],1))</f>
        <v>1</v>
      </c>
      <c r="L575" t="b">
        <f>+ISNUMBER(SEARCH('F-COMPRA'!$F$31,Tabla11[[#This Row],[Cuenta]],1))</f>
        <v>1</v>
      </c>
      <c r="M575" t="b">
        <f>+ISNUMBER(SEARCH('F-COMPRA'!$G$25,Tabla11[[#This Row],[Cuenta]],1))</f>
        <v>0</v>
      </c>
      <c r="N575" t="b">
        <f>+ISNUMBER(SEARCH(#REF!,Tabla11[[#This Row],[Cuenta]],1))</f>
        <v>0</v>
      </c>
      <c r="O575" t="b">
        <f>+ISNUMBER(SEARCH(#REF!,Tabla11[[#This Row],[Cuenta]],1))</f>
        <v>0</v>
      </c>
      <c r="P575" t="b">
        <f>+ISNUMBER(SEARCH('F-COMPRA'!$F$32,Tabla11[[#This Row],[Cuenta]],1))</f>
        <v>1</v>
      </c>
      <c r="Q575" t="b">
        <f>+ISNUMBER(SEARCH('F-COMPRA'!$F$33,Tabla11[[#This Row],[Cuenta]],1))</f>
        <v>1</v>
      </c>
      <c r="R575" t="b">
        <f>+ISNUMBER(SEARCH('F-COMPRA'!$F$34,Tabla11[[#This Row],[Cuenta]],1))</f>
        <v>1</v>
      </c>
      <c r="S575" t="b">
        <f>+ISNUMBER(SEARCH('F-COMPRA'!$F$35,Tabla11[[#This Row],[Cuenta]],1))</f>
        <v>1</v>
      </c>
      <c r="T575" t="b">
        <f>+ISNUMBER(SEARCH('F-COMPRA'!$F$36,Tabla11[[#This Row],[Cuenta]],1))</f>
        <v>1</v>
      </c>
      <c r="U575" t="b">
        <f>+ISNUMBER(SEARCH('F-COMPRA'!$F$37,Tabla11[[#This Row],[Cuenta]],1))</f>
        <v>1</v>
      </c>
      <c r="V575" t="b">
        <f>+ISNUMBER(SEARCH(#REF!,Tabla11[[#This Row],[Cuenta]],1))</f>
        <v>0</v>
      </c>
      <c r="W575" t="b">
        <f>+ISNUMBER(SEARCH('F-COMPRA'!#REF!,Tabla11[[#This Row],[Cuenta]],1))</f>
        <v>0</v>
      </c>
      <c r="X575" t="b">
        <f>+ISNUMBER(SEARCH('F-COMPRA'!#REF!,Tabla11[[#This Row],[Cuenta]],1))</f>
        <v>0</v>
      </c>
      <c r="Y575" t="b">
        <f>+ISNUMBER(SEARCH('F-COMPRA'!#REF!,Tabla11[[#This Row],[Cuenta]],1))</f>
        <v>0</v>
      </c>
      <c r="Z575" t="b">
        <f>+ISNUMBER(SEARCH('F-COMPRA'!#REF!,Tabla11[[#This Row],[Cuenta]],1))</f>
        <v>0</v>
      </c>
      <c r="AA575" t="b">
        <f>+ISNUMBER(SEARCH('F-COMPRA'!#REF!,Tabla11[[#This Row],[Cuenta]],1))</f>
        <v>0</v>
      </c>
      <c r="AB575" t="b">
        <f>+ISNUMBER(SEARCH('F-COMPRA'!#REF!,Tabla11[[#This Row],[Cuenta]],1))</f>
        <v>0</v>
      </c>
      <c r="AC575" t="b">
        <f>+ISNUMBER(SEARCH('F-COMPRA'!#REF!,Tabla11[[#This Row],[Cuenta]],1))</f>
        <v>0</v>
      </c>
      <c r="AD575" t="b">
        <f>+ISNUMBER(SEARCH('F-COMPRA'!#REF!,Tabla11[[#This Row],[Cuenta]],1))</f>
        <v>0</v>
      </c>
      <c r="AE575" t="b">
        <f>+ISNUMBER(SEARCH('F-COMPRA'!#REF!,Tabla11[[#This Row],[Cuenta]],1))</f>
        <v>0</v>
      </c>
      <c r="AF575" t="b">
        <f>+ISNUMBER(SEARCH('F-VTA'!$G$23,Tabla11[[#This Row],[Cuenta]],1))</f>
        <v>0</v>
      </c>
      <c r="AG575" t="b">
        <f>+ISNUMBER(SEARCH('F-VTA'!$G$24,Tabla11[[#This Row],[Cuenta]],1))</f>
        <v>0</v>
      </c>
      <c r="AH575" t="b">
        <f>+ISNUMBER(SEARCH('F-VTA'!$G$25,Tabla11[[#This Row],[Cuenta]],1))</f>
        <v>0</v>
      </c>
      <c r="AI575" t="b">
        <f>+ISNUMBER(SEARCH('F-VTA'!$F$28,Tabla11[[#This Row],[Cuenta]],1))</f>
        <v>1</v>
      </c>
      <c r="AJ575" t="b">
        <f>+ISNUMBER(SEARCH('F-VTA'!$F$29,Tabla11[[#This Row],[Cuenta]],1))</f>
        <v>1</v>
      </c>
      <c r="AK575" t="b">
        <f>+ISNUMBER(SEARCH('F-VTA'!$F$30,Tabla11[[#This Row],[Cuenta]],1))</f>
        <v>1</v>
      </c>
      <c r="AL575" t="b">
        <f>+ISNUMBER(SEARCH('F-VTA'!$F$31,Tabla11[[#This Row],[Cuenta]],1))</f>
        <v>1</v>
      </c>
      <c r="AM575" t="b">
        <f>+ISNUMBER(SEARCH('F-VTA'!$F$32,Tabla11[[#This Row],[Cuenta]],1))</f>
        <v>1</v>
      </c>
      <c r="AN575" t="b">
        <f>+ISNUMBER(SEARCH('F-VTA'!$F$33,Tabla11[[#This Row],[Cuenta]],1))</f>
        <v>1</v>
      </c>
      <c r="AO575" t="b">
        <f>+ISNUMBER(SEARCH('F-VTA'!$F$34,Tabla11[[#This Row],[Cuenta]],1))</f>
        <v>1</v>
      </c>
      <c r="AP575" t="b">
        <f>+ISNUMBER(SEARCH('F-VTA'!$F$35,Tabla11[[#This Row],[Cuenta]],1))</f>
        <v>1</v>
      </c>
      <c r="AQ575" t="b">
        <f>+ISNUMBER(SEARCH('F-VTA'!$F$36,Tabla11[[#This Row],[Cuenta]],1))</f>
        <v>1</v>
      </c>
      <c r="AR575" t="b">
        <f>+ISNUMBER(SEARCH(#REF!,Tabla11[[#This Row],[Cuenta]],1))</f>
        <v>0</v>
      </c>
      <c r="AS575" t="b">
        <f>+ISNUMBER(SEARCH(#REF!,Tabla11[[#This Row],[Cuenta]],1))</f>
        <v>0</v>
      </c>
      <c r="AT575" t="b">
        <f>+ISNUMBER(SEARCH(#REF!,Tabla11[[#This Row],[Cuenta]],1))</f>
        <v>0</v>
      </c>
      <c r="AU575" t="b">
        <f>+ISNUMBER(SEARCH('Conc. Ban.1'!$I$9,Tabla11[[#This Row],[Cuenta]],1))</f>
        <v>0</v>
      </c>
      <c r="AV575" t="b">
        <f>+ISNUMBER(SEARCH(CompConta!$F$21,Tabla11[[#This Row],[Cuenta]],1))</f>
        <v>1</v>
      </c>
      <c r="AW575" t="b">
        <f>+ISNUMBER(SEARCH(CompConta!$F$22,Tabla11[[#This Row],[Cuenta]],1))</f>
        <v>1</v>
      </c>
      <c r="AX575" t="b">
        <f>+ISNUMBER(SEARCH(CompConta!$F$23,Tabla11[[#This Row],[Cuenta]],1))</f>
        <v>1</v>
      </c>
      <c r="AY575" t="b">
        <f>+ISNUMBER(SEARCH(CompConta!$F$24,Tabla11[[#This Row],[Cuenta]],1))</f>
        <v>1</v>
      </c>
      <c r="AZ575" t="b">
        <f>+ISNUMBER(SEARCH(CompConta!$F$25,Tabla11[[#This Row],[Cuenta]],1))</f>
        <v>1</v>
      </c>
      <c r="BA575" t="b">
        <f>+ISNUMBER(SEARCH(CompConta!$F$26,Tabla11[[#This Row],[Cuenta]],1))</f>
        <v>1</v>
      </c>
      <c r="BB575" t="b">
        <f>+ISNUMBER(SEARCH(CompConta!$F$27,Tabla11[[#This Row],[Cuenta]],1))</f>
        <v>1</v>
      </c>
      <c r="BC575" t="b">
        <f>+ISNUMBER(SEARCH(CompConta!$F$28,Tabla11[[#This Row],[Cuenta]],1))</f>
        <v>1</v>
      </c>
      <c r="BD575" t="b">
        <f>+ISNUMBER(SEARCH(CompConta!$F$29,Tabla11[[#This Row],[Cuenta]],1))</f>
        <v>1</v>
      </c>
      <c r="BE575" t="b">
        <f>+ISNUMBER(SEARCH(CompConta!$F$30,Tabla11[[#This Row],[Cuenta]],1))</f>
        <v>1</v>
      </c>
      <c r="BF575" t="b">
        <f>+ISNUMBER(SEARCH('PAGO Compras'!$E$11,Tabla11[[#This Row],[Cuenta]],1))</f>
        <v>1</v>
      </c>
      <c r="BG575" t="b">
        <f>+ISNUMBER(SEARCH(#REF!,Tabla11[[#This Row],[Cuenta]],1))</f>
        <v>0</v>
      </c>
      <c r="BH575" t="b">
        <f>+ISNUMBER(SEARCH(#REF!,Tabla11[[#This Row],[Cuenta]],1))</f>
        <v>0</v>
      </c>
      <c r="BI575" t="b">
        <f>+ISNUMBER(SEARCH(#REF!,Tabla11[[#This Row],[Cuenta]],1))</f>
        <v>0</v>
      </c>
      <c r="BJ575" t="b">
        <f>+ISNUMBER(SEARCH(#REF!,Tabla11[[#This Row],[Cuenta]],1))</f>
        <v>0</v>
      </c>
      <c r="BS575" t="str">
        <v>263530 Penales</v>
      </c>
      <c r="BT575" t="str">
        <v>263530 Penales</v>
      </c>
      <c r="BU575" t="str">
        <v>263530 Penales</v>
      </c>
      <c r="BV575" t="str">
        <v>263530 Penales</v>
      </c>
      <c r="BZ575" t="str">
        <v>263530 Penales</v>
      </c>
      <c r="CA575" t="str">
        <v>263530 Penales</v>
      </c>
      <c r="CB575" t="str">
        <v>263530 Penales</v>
      </c>
      <c r="CC575" t="str">
        <v>263530 Penales</v>
      </c>
      <c r="CD575" t="str">
        <v>263530 Penales</v>
      </c>
      <c r="CE575" t="str">
        <v>263530 Penales</v>
      </c>
      <c r="CS575" s="141" t="str">
        <v>263530 Penales</v>
      </c>
      <c r="CT575" s="141" t="str">
        <v>263530 Penales</v>
      </c>
      <c r="CU575" s="141" t="str">
        <v>263530 Penales</v>
      </c>
      <c r="CV575" s="141" t="str">
        <v>263530 Penales</v>
      </c>
      <c r="CW575" s="141" t="str">
        <v>263530 Penales</v>
      </c>
      <c r="CX575" s="141" t="str">
        <v>263530 Penales</v>
      </c>
      <c r="CY575" s="141" t="str">
        <v>263530 Penales</v>
      </c>
      <c r="CZ575" s="141" t="str">
        <v>263530 Penales</v>
      </c>
      <c r="DA575" s="141" t="str">
        <v>263530 Penales</v>
      </c>
      <c r="DF575" t="str">
        <v>263530 Penales</v>
      </c>
      <c r="DG575" t="str">
        <v>263530 Penales</v>
      </c>
      <c r="DH575" t="str">
        <v>263530 Penales</v>
      </c>
      <c r="DI575" t="str">
        <v>263530 Penales</v>
      </c>
      <c r="DJ575" t="str">
        <v>263530 Penales</v>
      </c>
      <c r="DK575" t="str">
        <v>263530 Penales</v>
      </c>
      <c r="DL575" t="str">
        <v>263530 Penales</v>
      </c>
      <c r="DM575" t="str">
        <v>263530 Penales</v>
      </c>
      <c r="DN575" t="str">
        <v>263530 Penales</v>
      </c>
      <c r="DO575" t="str">
        <v>263530 Penales</v>
      </c>
      <c r="DP575" t="str">
        <v>263530 Penales</v>
      </c>
    </row>
    <row r="576" spans="4:120" ht="12.75">
      <c r="D576" s="7">
        <v>263535</v>
      </c>
      <c r="E576" s="6" t="s">
        <v>424</v>
      </c>
      <c r="F576" s="5">
        <v>4</v>
      </c>
      <c r="G576" s="34" t="s">
        <v>824</v>
      </c>
      <c r="H576" s="26" t="s">
        <v>765</v>
      </c>
      <c r="I576" t="b">
        <f>+ISNUMBER(SEARCH('F-COMPRA'!$F$28,Tabla11[[#This Row],[Cuenta]],1))</f>
        <v>1</v>
      </c>
      <c r="J576" t="b">
        <f>+ISNUMBER(SEARCH('F-COMPRA'!$F$29,Tabla11[[#This Row],[Cuenta]],1))</f>
        <v>1</v>
      </c>
      <c r="K576" t="b">
        <f>+ISNUMBER(SEARCH('F-COMPRA'!$F$30,Tabla11[[#This Row],[Cuenta]],1))</f>
        <v>1</v>
      </c>
      <c r="L576" t="b">
        <f>+ISNUMBER(SEARCH('F-COMPRA'!$F$31,Tabla11[[#This Row],[Cuenta]],1))</f>
        <v>1</v>
      </c>
      <c r="M576" t="b">
        <f>+ISNUMBER(SEARCH('F-COMPRA'!$G$25,Tabla11[[#This Row],[Cuenta]],1))</f>
        <v>0</v>
      </c>
      <c r="N576" t="b">
        <f>+ISNUMBER(SEARCH(#REF!,Tabla11[[#This Row],[Cuenta]],1))</f>
        <v>0</v>
      </c>
      <c r="O576" t="b">
        <f>+ISNUMBER(SEARCH(#REF!,Tabla11[[#This Row],[Cuenta]],1))</f>
        <v>0</v>
      </c>
      <c r="P576" t="b">
        <f>+ISNUMBER(SEARCH('F-COMPRA'!$F$32,Tabla11[[#This Row],[Cuenta]],1))</f>
        <v>1</v>
      </c>
      <c r="Q576" t="b">
        <f>+ISNUMBER(SEARCH('F-COMPRA'!$F$33,Tabla11[[#This Row],[Cuenta]],1))</f>
        <v>1</v>
      </c>
      <c r="R576" t="b">
        <f>+ISNUMBER(SEARCH('F-COMPRA'!$F$34,Tabla11[[#This Row],[Cuenta]],1))</f>
        <v>1</v>
      </c>
      <c r="S576" t="b">
        <f>+ISNUMBER(SEARCH('F-COMPRA'!$F$35,Tabla11[[#This Row],[Cuenta]],1))</f>
        <v>1</v>
      </c>
      <c r="T576" t="b">
        <f>+ISNUMBER(SEARCH('F-COMPRA'!$F$36,Tabla11[[#This Row],[Cuenta]],1))</f>
        <v>1</v>
      </c>
      <c r="U576" t="b">
        <f>+ISNUMBER(SEARCH('F-COMPRA'!$F$37,Tabla11[[#This Row],[Cuenta]],1))</f>
        <v>1</v>
      </c>
      <c r="V576" t="b">
        <f>+ISNUMBER(SEARCH(#REF!,Tabla11[[#This Row],[Cuenta]],1))</f>
        <v>0</v>
      </c>
      <c r="W576" t="b">
        <f>+ISNUMBER(SEARCH('F-COMPRA'!#REF!,Tabla11[[#This Row],[Cuenta]],1))</f>
        <v>0</v>
      </c>
      <c r="X576" t="b">
        <f>+ISNUMBER(SEARCH('F-COMPRA'!#REF!,Tabla11[[#This Row],[Cuenta]],1))</f>
        <v>0</v>
      </c>
      <c r="Y576" t="b">
        <f>+ISNUMBER(SEARCH('F-COMPRA'!#REF!,Tabla11[[#This Row],[Cuenta]],1))</f>
        <v>0</v>
      </c>
      <c r="Z576" t="b">
        <f>+ISNUMBER(SEARCH('F-COMPRA'!#REF!,Tabla11[[#This Row],[Cuenta]],1))</f>
        <v>0</v>
      </c>
      <c r="AA576" t="b">
        <f>+ISNUMBER(SEARCH('F-COMPRA'!#REF!,Tabla11[[#This Row],[Cuenta]],1))</f>
        <v>0</v>
      </c>
      <c r="AB576" t="b">
        <f>+ISNUMBER(SEARCH('F-COMPRA'!#REF!,Tabla11[[#This Row],[Cuenta]],1))</f>
        <v>0</v>
      </c>
      <c r="AC576" t="b">
        <f>+ISNUMBER(SEARCH('F-COMPRA'!#REF!,Tabla11[[#This Row],[Cuenta]],1))</f>
        <v>0</v>
      </c>
      <c r="AD576" t="b">
        <f>+ISNUMBER(SEARCH('F-COMPRA'!#REF!,Tabla11[[#This Row],[Cuenta]],1))</f>
        <v>0</v>
      </c>
      <c r="AE576" t="b">
        <f>+ISNUMBER(SEARCH('F-COMPRA'!#REF!,Tabla11[[#This Row],[Cuenta]],1))</f>
        <v>0</v>
      </c>
      <c r="AF576" t="b">
        <f>+ISNUMBER(SEARCH('F-VTA'!$G$23,Tabla11[[#This Row],[Cuenta]],1))</f>
        <v>0</v>
      </c>
      <c r="AG576" t="b">
        <f>+ISNUMBER(SEARCH('F-VTA'!$G$24,Tabla11[[#This Row],[Cuenta]],1))</f>
        <v>0</v>
      </c>
      <c r="AH576" t="b">
        <f>+ISNUMBER(SEARCH('F-VTA'!$G$25,Tabla11[[#This Row],[Cuenta]],1))</f>
        <v>0</v>
      </c>
      <c r="AI576" t="b">
        <f>+ISNUMBER(SEARCH('F-VTA'!$F$28,Tabla11[[#This Row],[Cuenta]],1))</f>
        <v>1</v>
      </c>
      <c r="AJ576" t="b">
        <f>+ISNUMBER(SEARCH('F-VTA'!$F$29,Tabla11[[#This Row],[Cuenta]],1))</f>
        <v>1</v>
      </c>
      <c r="AK576" t="b">
        <f>+ISNUMBER(SEARCH('F-VTA'!$F$30,Tabla11[[#This Row],[Cuenta]],1))</f>
        <v>1</v>
      </c>
      <c r="AL576" t="b">
        <f>+ISNUMBER(SEARCH('F-VTA'!$F$31,Tabla11[[#This Row],[Cuenta]],1))</f>
        <v>1</v>
      </c>
      <c r="AM576" t="b">
        <f>+ISNUMBER(SEARCH('F-VTA'!$F$32,Tabla11[[#This Row],[Cuenta]],1))</f>
        <v>1</v>
      </c>
      <c r="AN576" t="b">
        <f>+ISNUMBER(SEARCH('F-VTA'!$F$33,Tabla11[[#This Row],[Cuenta]],1))</f>
        <v>1</v>
      </c>
      <c r="AO576" t="b">
        <f>+ISNUMBER(SEARCH('F-VTA'!$F$34,Tabla11[[#This Row],[Cuenta]],1))</f>
        <v>1</v>
      </c>
      <c r="AP576" t="b">
        <f>+ISNUMBER(SEARCH('F-VTA'!$F$35,Tabla11[[#This Row],[Cuenta]],1))</f>
        <v>1</v>
      </c>
      <c r="AQ576" t="b">
        <f>+ISNUMBER(SEARCH('F-VTA'!$F$36,Tabla11[[#This Row],[Cuenta]],1))</f>
        <v>1</v>
      </c>
      <c r="AR576" t="b">
        <f>+ISNUMBER(SEARCH(#REF!,Tabla11[[#This Row],[Cuenta]],1))</f>
        <v>0</v>
      </c>
      <c r="AS576" t="b">
        <f>+ISNUMBER(SEARCH(#REF!,Tabla11[[#This Row],[Cuenta]],1))</f>
        <v>0</v>
      </c>
      <c r="AT576" t="b">
        <f>+ISNUMBER(SEARCH(#REF!,Tabla11[[#This Row],[Cuenta]],1))</f>
        <v>0</v>
      </c>
      <c r="AU576" t="b">
        <f>+ISNUMBER(SEARCH('Conc. Ban.1'!$I$9,Tabla11[[#This Row],[Cuenta]],1))</f>
        <v>0</v>
      </c>
      <c r="AV576" t="b">
        <f>+ISNUMBER(SEARCH(CompConta!$F$21,Tabla11[[#This Row],[Cuenta]],1))</f>
        <v>1</v>
      </c>
      <c r="AW576" t="b">
        <f>+ISNUMBER(SEARCH(CompConta!$F$22,Tabla11[[#This Row],[Cuenta]],1))</f>
        <v>1</v>
      </c>
      <c r="AX576" t="b">
        <f>+ISNUMBER(SEARCH(CompConta!$F$23,Tabla11[[#This Row],[Cuenta]],1))</f>
        <v>1</v>
      </c>
      <c r="AY576" t="b">
        <f>+ISNUMBER(SEARCH(CompConta!$F$24,Tabla11[[#This Row],[Cuenta]],1))</f>
        <v>1</v>
      </c>
      <c r="AZ576" t="b">
        <f>+ISNUMBER(SEARCH(CompConta!$F$25,Tabla11[[#This Row],[Cuenta]],1))</f>
        <v>1</v>
      </c>
      <c r="BA576" t="b">
        <f>+ISNUMBER(SEARCH(CompConta!$F$26,Tabla11[[#This Row],[Cuenta]],1))</f>
        <v>1</v>
      </c>
      <c r="BB576" t="b">
        <f>+ISNUMBER(SEARCH(CompConta!$F$27,Tabla11[[#This Row],[Cuenta]],1))</f>
        <v>1</v>
      </c>
      <c r="BC576" t="b">
        <f>+ISNUMBER(SEARCH(CompConta!$F$28,Tabla11[[#This Row],[Cuenta]],1))</f>
        <v>1</v>
      </c>
      <c r="BD576" t="b">
        <f>+ISNUMBER(SEARCH(CompConta!$F$29,Tabla11[[#This Row],[Cuenta]],1))</f>
        <v>1</v>
      </c>
      <c r="BE576" t="b">
        <f>+ISNUMBER(SEARCH(CompConta!$F$30,Tabla11[[#This Row],[Cuenta]],1))</f>
        <v>1</v>
      </c>
      <c r="BF576" t="b">
        <f>+ISNUMBER(SEARCH('PAGO Compras'!$E$11,Tabla11[[#This Row],[Cuenta]],1))</f>
        <v>1</v>
      </c>
      <c r="BG576" t="b">
        <f>+ISNUMBER(SEARCH(#REF!,Tabla11[[#This Row],[Cuenta]],1))</f>
        <v>0</v>
      </c>
      <c r="BH576" t="b">
        <f>+ISNUMBER(SEARCH(#REF!,Tabla11[[#This Row],[Cuenta]],1))</f>
        <v>0</v>
      </c>
      <c r="BI576" t="b">
        <f>+ISNUMBER(SEARCH(#REF!,Tabla11[[#This Row],[Cuenta]],1))</f>
        <v>0</v>
      </c>
      <c r="BJ576" t="b">
        <f>+ISNUMBER(SEARCH(#REF!,Tabla11[[#This Row],[Cuenta]],1))</f>
        <v>0</v>
      </c>
      <c r="BS576" t="str">
        <v>263535 Administrativos</v>
      </c>
      <c r="BT576" t="str">
        <v>263535 Administrativos</v>
      </c>
      <c r="BU576" t="str">
        <v>263535 Administrativos</v>
      </c>
      <c r="BV576" t="str">
        <v>263535 Administrativos</v>
      </c>
      <c r="BZ576" t="str">
        <v>263535 Administrativos</v>
      </c>
      <c r="CA576" t="str">
        <v>263535 Administrativos</v>
      </c>
      <c r="CB576" t="str">
        <v>263535 Administrativos</v>
      </c>
      <c r="CC576" t="str">
        <v>263535 Administrativos</v>
      </c>
      <c r="CD576" t="str">
        <v>263535 Administrativos</v>
      </c>
      <c r="CE576" t="str">
        <v>263535 Administrativos</v>
      </c>
      <c r="CS576" s="141" t="str">
        <v>263535 Administrativos</v>
      </c>
      <c r="CT576" s="141" t="str">
        <v>263535 Administrativos</v>
      </c>
      <c r="CU576" s="141" t="str">
        <v>263535 Administrativos</v>
      </c>
      <c r="CV576" s="141" t="str">
        <v>263535 Administrativos</v>
      </c>
      <c r="CW576" s="141" t="str">
        <v>263535 Administrativos</v>
      </c>
      <c r="CX576" s="141" t="str">
        <v>263535 Administrativos</v>
      </c>
      <c r="CY576" s="141" t="str">
        <v>263535 Administrativos</v>
      </c>
      <c r="CZ576" s="141" t="str">
        <v>263535 Administrativos</v>
      </c>
      <c r="DA576" s="141" t="str">
        <v>263535 Administrativos</v>
      </c>
      <c r="DF576" t="str">
        <v>263535 Administrativos</v>
      </c>
      <c r="DG576" t="str">
        <v>263535 Administrativos</v>
      </c>
      <c r="DH576" t="str">
        <v>263535 Administrativos</v>
      </c>
      <c r="DI576" t="str">
        <v>263535 Administrativos</v>
      </c>
      <c r="DJ576" t="str">
        <v>263535 Administrativos</v>
      </c>
      <c r="DK576" t="str">
        <v>263535 Administrativos</v>
      </c>
      <c r="DL576" t="str">
        <v>263535 Administrativos</v>
      </c>
      <c r="DM576" t="str">
        <v>263535 Administrativos</v>
      </c>
      <c r="DN576" t="str">
        <v>263535 Administrativos</v>
      </c>
      <c r="DO576" t="str">
        <v>263535 Administrativos</v>
      </c>
      <c r="DP576" t="str">
        <v>263535 Administrativos</v>
      </c>
    </row>
    <row r="577" spans="4:120" ht="12.75">
      <c r="D577" s="7">
        <v>263540</v>
      </c>
      <c r="E577" s="6" t="s">
        <v>425</v>
      </c>
      <c r="F577" s="5">
        <v>4</v>
      </c>
      <c r="G577" s="34" t="s">
        <v>824</v>
      </c>
      <c r="H577" s="26" t="s">
        <v>765</v>
      </c>
      <c r="I577" t="b">
        <f>+ISNUMBER(SEARCH('F-COMPRA'!$F$28,Tabla11[[#This Row],[Cuenta]],1))</f>
        <v>1</v>
      </c>
      <c r="J577" t="b">
        <f>+ISNUMBER(SEARCH('F-COMPRA'!$F$29,Tabla11[[#This Row],[Cuenta]],1))</f>
        <v>1</v>
      </c>
      <c r="K577" t="b">
        <f>+ISNUMBER(SEARCH('F-COMPRA'!$F$30,Tabla11[[#This Row],[Cuenta]],1))</f>
        <v>1</v>
      </c>
      <c r="L577" t="b">
        <f>+ISNUMBER(SEARCH('F-COMPRA'!$F$31,Tabla11[[#This Row],[Cuenta]],1))</f>
        <v>1</v>
      </c>
      <c r="M577" t="b">
        <f>+ISNUMBER(SEARCH('F-COMPRA'!$G$25,Tabla11[[#This Row],[Cuenta]],1))</f>
        <v>0</v>
      </c>
      <c r="N577" t="b">
        <f>+ISNUMBER(SEARCH(#REF!,Tabla11[[#This Row],[Cuenta]],1))</f>
        <v>0</v>
      </c>
      <c r="O577" t="b">
        <f>+ISNUMBER(SEARCH(#REF!,Tabla11[[#This Row],[Cuenta]],1))</f>
        <v>0</v>
      </c>
      <c r="P577" t="b">
        <f>+ISNUMBER(SEARCH('F-COMPRA'!$F$32,Tabla11[[#This Row],[Cuenta]],1))</f>
        <v>1</v>
      </c>
      <c r="Q577" t="b">
        <f>+ISNUMBER(SEARCH('F-COMPRA'!$F$33,Tabla11[[#This Row],[Cuenta]],1))</f>
        <v>1</v>
      </c>
      <c r="R577" t="b">
        <f>+ISNUMBER(SEARCH('F-COMPRA'!$F$34,Tabla11[[#This Row],[Cuenta]],1))</f>
        <v>1</v>
      </c>
      <c r="S577" t="b">
        <f>+ISNUMBER(SEARCH('F-COMPRA'!$F$35,Tabla11[[#This Row],[Cuenta]],1))</f>
        <v>1</v>
      </c>
      <c r="T577" t="b">
        <f>+ISNUMBER(SEARCH('F-COMPRA'!$F$36,Tabla11[[#This Row],[Cuenta]],1))</f>
        <v>1</v>
      </c>
      <c r="U577" t="b">
        <f>+ISNUMBER(SEARCH('F-COMPRA'!$F$37,Tabla11[[#This Row],[Cuenta]],1))</f>
        <v>1</v>
      </c>
      <c r="V577" t="b">
        <f>+ISNUMBER(SEARCH(#REF!,Tabla11[[#This Row],[Cuenta]],1))</f>
        <v>0</v>
      </c>
      <c r="W577" t="b">
        <f>+ISNUMBER(SEARCH('F-COMPRA'!#REF!,Tabla11[[#This Row],[Cuenta]],1))</f>
        <v>0</v>
      </c>
      <c r="X577" t="b">
        <f>+ISNUMBER(SEARCH('F-COMPRA'!#REF!,Tabla11[[#This Row],[Cuenta]],1))</f>
        <v>0</v>
      </c>
      <c r="Y577" t="b">
        <f>+ISNUMBER(SEARCH('F-COMPRA'!#REF!,Tabla11[[#This Row],[Cuenta]],1))</f>
        <v>0</v>
      </c>
      <c r="Z577" t="b">
        <f>+ISNUMBER(SEARCH('F-COMPRA'!#REF!,Tabla11[[#This Row],[Cuenta]],1))</f>
        <v>0</v>
      </c>
      <c r="AA577" t="b">
        <f>+ISNUMBER(SEARCH('F-COMPRA'!#REF!,Tabla11[[#This Row],[Cuenta]],1))</f>
        <v>0</v>
      </c>
      <c r="AB577" t="b">
        <f>+ISNUMBER(SEARCH('F-COMPRA'!#REF!,Tabla11[[#This Row],[Cuenta]],1))</f>
        <v>0</v>
      </c>
      <c r="AC577" t="b">
        <f>+ISNUMBER(SEARCH('F-COMPRA'!#REF!,Tabla11[[#This Row],[Cuenta]],1))</f>
        <v>0</v>
      </c>
      <c r="AD577" t="b">
        <f>+ISNUMBER(SEARCH('F-COMPRA'!#REF!,Tabla11[[#This Row],[Cuenta]],1))</f>
        <v>0</v>
      </c>
      <c r="AE577" t="b">
        <f>+ISNUMBER(SEARCH('F-COMPRA'!#REF!,Tabla11[[#This Row],[Cuenta]],1))</f>
        <v>0</v>
      </c>
      <c r="AF577" t="b">
        <f>+ISNUMBER(SEARCH('F-VTA'!$G$23,Tabla11[[#This Row],[Cuenta]],1))</f>
        <v>0</v>
      </c>
      <c r="AG577" t="b">
        <f>+ISNUMBER(SEARCH('F-VTA'!$G$24,Tabla11[[#This Row],[Cuenta]],1))</f>
        <v>0</v>
      </c>
      <c r="AH577" t="b">
        <f>+ISNUMBER(SEARCH('F-VTA'!$G$25,Tabla11[[#This Row],[Cuenta]],1))</f>
        <v>0</v>
      </c>
      <c r="AI577" t="b">
        <f>+ISNUMBER(SEARCH('F-VTA'!$F$28,Tabla11[[#This Row],[Cuenta]],1))</f>
        <v>1</v>
      </c>
      <c r="AJ577" t="b">
        <f>+ISNUMBER(SEARCH('F-VTA'!$F$29,Tabla11[[#This Row],[Cuenta]],1))</f>
        <v>1</v>
      </c>
      <c r="AK577" t="b">
        <f>+ISNUMBER(SEARCH('F-VTA'!$F$30,Tabla11[[#This Row],[Cuenta]],1))</f>
        <v>1</v>
      </c>
      <c r="AL577" t="b">
        <f>+ISNUMBER(SEARCH('F-VTA'!$F$31,Tabla11[[#This Row],[Cuenta]],1))</f>
        <v>1</v>
      </c>
      <c r="AM577" t="b">
        <f>+ISNUMBER(SEARCH('F-VTA'!$F$32,Tabla11[[#This Row],[Cuenta]],1))</f>
        <v>1</v>
      </c>
      <c r="AN577" t="b">
        <f>+ISNUMBER(SEARCH('F-VTA'!$F$33,Tabla11[[#This Row],[Cuenta]],1))</f>
        <v>1</v>
      </c>
      <c r="AO577" t="b">
        <f>+ISNUMBER(SEARCH('F-VTA'!$F$34,Tabla11[[#This Row],[Cuenta]],1))</f>
        <v>1</v>
      </c>
      <c r="AP577" t="b">
        <f>+ISNUMBER(SEARCH('F-VTA'!$F$35,Tabla11[[#This Row],[Cuenta]],1))</f>
        <v>1</v>
      </c>
      <c r="AQ577" t="b">
        <f>+ISNUMBER(SEARCH('F-VTA'!$F$36,Tabla11[[#This Row],[Cuenta]],1))</f>
        <v>1</v>
      </c>
      <c r="AR577" t="b">
        <f>+ISNUMBER(SEARCH(#REF!,Tabla11[[#This Row],[Cuenta]],1))</f>
        <v>0</v>
      </c>
      <c r="AS577" t="b">
        <f>+ISNUMBER(SEARCH(#REF!,Tabla11[[#This Row],[Cuenta]],1))</f>
        <v>0</v>
      </c>
      <c r="AT577" t="b">
        <f>+ISNUMBER(SEARCH(#REF!,Tabla11[[#This Row],[Cuenta]],1))</f>
        <v>0</v>
      </c>
      <c r="AU577" t="b">
        <f>+ISNUMBER(SEARCH('Conc. Ban.1'!$I$9,Tabla11[[#This Row],[Cuenta]],1))</f>
        <v>0</v>
      </c>
      <c r="AV577" t="b">
        <f>+ISNUMBER(SEARCH(CompConta!$F$21,Tabla11[[#This Row],[Cuenta]],1))</f>
        <v>1</v>
      </c>
      <c r="AW577" t="b">
        <f>+ISNUMBER(SEARCH(CompConta!$F$22,Tabla11[[#This Row],[Cuenta]],1))</f>
        <v>1</v>
      </c>
      <c r="AX577" t="b">
        <f>+ISNUMBER(SEARCH(CompConta!$F$23,Tabla11[[#This Row],[Cuenta]],1))</f>
        <v>1</v>
      </c>
      <c r="AY577" t="b">
        <f>+ISNUMBER(SEARCH(CompConta!$F$24,Tabla11[[#This Row],[Cuenta]],1))</f>
        <v>1</v>
      </c>
      <c r="AZ577" t="b">
        <f>+ISNUMBER(SEARCH(CompConta!$F$25,Tabla11[[#This Row],[Cuenta]],1))</f>
        <v>1</v>
      </c>
      <c r="BA577" t="b">
        <f>+ISNUMBER(SEARCH(CompConta!$F$26,Tabla11[[#This Row],[Cuenta]],1))</f>
        <v>1</v>
      </c>
      <c r="BB577" t="b">
        <f>+ISNUMBER(SEARCH(CompConta!$F$27,Tabla11[[#This Row],[Cuenta]],1))</f>
        <v>1</v>
      </c>
      <c r="BC577" t="b">
        <f>+ISNUMBER(SEARCH(CompConta!$F$28,Tabla11[[#This Row],[Cuenta]],1))</f>
        <v>1</v>
      </c>
      <c r="BD577" t="b">
        <f>+ISNUMBER(SEARCH(CompConta!$F$29,Tabla11[[#This Row],[Cuenta]],1))</f>
        <v>1</v>
      </c>
      <c r="BE577" t="b">
        <f>+ISNUMBER(SEARCH(CompConta!$F$30,Tabla11[[#This Row],[Cuenta]],1))</f>
        <v>1</v>
      </c>
      <c r="BF577" t="b">
        <f>+ISNUMBER(SEARCH('PAGO Compras'!$E$11,Tabla11[[#This Row],[Cuenta]],1))</f>
        <v>1</v>
      </c>
      <c r="BG577" t="b">
        <f>+ISNUMBER(SEARCH(#REF!,Tabla11[[#This Row],[Cuenta]],1))</f>
        <v>0</v>
      </c>
      <c r="BH577" t="b">
        <f>+ISNUMBER(SEARCH(#REF!,Tabla11[[#This Row],[Cuenta]],1))</f>
        <v>0</v>
      </c>
      <c r="BI577" t="b">
        <f>+ISNUMBER(SEARCH(#REF!,Tabla11[[#This Row],[Cuenta]],1))</f>
        <v>0</v>
      </c>
      <c r="BJ577" t="b">
        <f>+ISNUMBER(SEARCH(#REF!,Tabla11[[#This Row],[Cuenta]],1))</f>
        <v>0</v>
      </c>
      <c r="BS577" t="str">
        <v>263540 Comerciales</v>
      </c>
      <c r="BT577" t="str">
        <v>263540 Comerciales</v>
      </c>
      <c r="BU577" t="str">
        <v>263540 Comerciales</v>
      </c>
      <c r="BV577" t="str">
        <v>263540 Comerciales</v>
      </c>
      <c r="BZ577" t="str">
        <v>263540 Comerciales</v>
      </c>
      <c r="CA577" t="str">
        <v>263540 Comerciales</v>
      </c>
      <c r="CB577" t="str">
        <v>263540 Comerciales</v>
      </c>
      <c r="CC577" t="str">
        <v>263540 Comerciales</v>
      </c>
      <c r="CD577" t="str">
        <v>263540 Comerciales</v>
      </c>
      <c r="CE577" t="str">
        <v>263540 Comerciales</v>
      </c>
      <c r="CS577" s="141" t="str">
        <v>263540 Comerciales</v>
      </c>
      <c r="CT577" s="141" t="str">
        <v>263540 Comerciales</v>
      </c>
      <c r="CU577" s="141" t="str">
        <v>263540 Comerciales</v>
      </c>
      <c r="CV577" s="141" t="str">
        <v>263540 Comerciales</v>
      </c>
      <c r="CW577" s="141" t="str">
        <v>263540 Comerciales</v>
      </c>
      <c r="CX577" s="141" t="str">
        <v>263540 Comerciales</v>
      </c>
      <c r="CY577" s="141" t="str">
        <v>263540 Comerciales</v>
      </c>
      <c r="CZ577" s="141" t="str">
        <v>263540 Comerciales</v>
      </c>
      <c r="DA577" s="141" t="str">
        <v>263540 Comerciales</v>
      </c>
      <c r="DF577" t="str">
        <v>263540 Comerciales</v>
      </c>
      <c r="DG577" t="str">
        <v>263540 Comerciales</v>
      </c>
      <c r="DH577" t="str">
        <v>263540 Comerciales</v>
      </c>
      <c r="DI577" t="str">
        <v>263540 Comerciales</v>
      </c>
      <c r="DJ577" t="str">
        <v>263540 Comerciales</v>
      </c>
      <c r="DK577" t="str">
        <v>263540 Comerciales</v>
      </c>
      <c r="DL577" t="str">
        <v>263540 Comerciales</v>
      </c>
      <c r="DM577" t="str">
        <v>263540 Comerciales</v>
      </c>
      <c r="DN577" t="str">
        <v>263540 Comerciales</v>
      </c>
      <c r="DO577" t="str">
        <v>263540 Comerciales</v>
      </c>
      <c r="DP577" t="str">
        <v>263540 Comerciales</v>
      </c>
    </row>
    <row r="578" spans="4:120" ht="12.75">
      <c r="D578" s="7">
        <v>263595</v>
      </c>
      <c r="E578" s="6" t="s">
        <v>46</v>
      </c>
      <c r="F578" s="5">
        <v>4</v>
      </c>
      <c r="G578" s="34" t="s">
        <v>824</v>
      </c>
      <c r="H578" s="26" t="s">
        <v>765</v>
      </c>
      <c r="I578" t="b">
        <f>+ISNUMBER(SEARCH('F-COMPRA'!$F$28,Tabla11[[#This Row],[Cuenta]],1))</f>
        <v>1</v>
      </c>
      <c r="J578" t="b">
        <f>+ISNUMBER(SEARCH('F-COMPRA'!$F$29,Tabla11[[#This Row],[Cuenta]],1))</f>
        <v>1</v>
      </c>
      <c r="K578" t="b">
        <f>+ISNUMBER(SEARCH('F-COMPRA'!$F$30,Tabla11[[#This Row],[Cuenta]],1))</f>
        <v>1</v>
      </c>
      <c r="L578" t="b">
        <f>+ISNUMBER(SEARCH('F-COMPRA'!$F$31,Tabla11[[#This Row],[Cuenta]],1))</f>
        <v>1</v>
      </c>
      <c r="M578" t="b">
        <f>+ISNUMBER(SEARCH('F-COMPRA'!$G$25,Tabla11[[#This Row],[Cuenta]],1))</f>
        <v>0</v>
      </c>
      <c r="N578" t="b">
        <f>+ISNUMBER(SEARCH(#REF!,Tabla11[[#This Row],[Cuenta]],1))</f>
        <v>0</v>
      </c>
      <c r="O578" t="b">
        <f>+ISNUMBER(SEARCH(#REF!,Tabla11[[#This Row],[Cuenta]],1))</f>
        <v>0</v>
      </c>
      <c r="P578" t="b">
        <f>+ISNUMBER(SEARCH('F-COMPRA'!$F$32,Tabla11[[#This Row],[Cuenta]],1))</f>
        <v>1</v>
      </c>
      <c r="Q578" t="b">
        <f>+ISNUMBER(SEARCH('F-COMPRA'!$F$33,Tabla11[[#This Row],[Cuenta]],1))</f>
        <v>1</v>
      </c>
      <c r="R578" t="b">
        <f>+ISNUMBER(SEARCH('F-COMPRA'!$F$34,Tabla11[[#This Row],[Cuenta]],1))</f>
        <v>1</v>
      </c>
      <c r="S578" t="b">
        <f>+ISNUMBER(SEARCH('F-COMPRA'!$F$35,Tabla11[[#This Row],[Cuenta]],1))</f>
        <v>1</v>
      </c>
      <c r="T578" t="b">
        <f>+ISNUMBER(SEARCH('F-COMPRA'!$F$36,Tabla11[[#This Row],[Cuenta]],1))</f>
        <v>1</v>
      </c>
      <c r="U578" t="b">
        <f>+ISNUMBER(SEARCH('F-COMPRA'!$F$37,Tabla11[[#This Row],[Cuenta]],1))</f>
        <v>1</v>
      </c>
      <c r="V578" t="b">
        <f>+ISNUMBER(SEARCH(#REF!,Tabla11[[#This Row],[Cuenta]],1))</f>
        <v>0</v>
      </c>
      <c r="W578" t="b">
        <f>+ISNUMBER(SEARCH('F-COMPRA'!#REF!,Tabla11[[#This Row],[Cuenta]],1))</f>
        <v>0</v>
      </c>
      <c r="X578" t="b">
        <f>+ISNUMBER(SEARCH('F-COMPRA'!#REF!,Tabla11[[#This Row],[Cuenta]],1))</f>
        <v>0</v>
      </c>
      <c r="Y578" t="b">
        <f>+ISNUMBER(SEARCH('F-COMPRA'!#REF!,Tabla11[[#This Row],[Cuenta]],1))</f>
        <v>0</v>
      </c>
      <c r="Z578" t="b">
        <f>+ISNUMBER(SEARCH('F-COMPRA'!#REF!,Tabla11[[#This Row],[Cuenta]],1))</f>
        <v>0</v>
      </c>
      <c r="AA578" t="b">
        <f>+ISNUMBER(SEARCH('F-COMPRA'!#REF!,Tabla11[[#This Row],[Cuenta]],1))</f>
        <v>0</v>
      </c>
      <c r="AB578" t="b">
        <f>+ISNUMBER(SEARCH('F-COMPRA'!#REF!,Tabla11[[#This Row],[Cuenta]],1))</f>
        <v>0</v>
      </c>
      <c r="AC578" t="b">
        <f>+ISNUMBER(SEARCH('F-COMPRA'!#REF!,Tabla11[[#This Row],[Cuenta]],1))</f>
        <v>0</v>
      </c>
      <c r="AD578" t="b">
        <f>+ISNUMBER(SEARCH('F-COMPRA'!#REF!,Tabla11[[#This Row],[Cuenta]],1))</f>
        <v>0</v>
      </c>
      <c r="AE578" t="b">
        <f>+ISNUMBER(SEARCH('F-COMPRA'!#REF!,Tabla11[[#This Row],[Cuenta]],1))</f>
        <v>0</v>
      </c>
      <c r="AF578" t="b">
        <f>+ISNUMBER(SEARCH('F-VTA'!$G$23,Tabla11[[#This Row],[Cuenta]],1))</f>
        <v>0</v>
      </c>
      <c r="AG578" t="b">
        <f>+ISNUMBER(SEARCH('F-VTA'!$G$24,Tabla11[[#This Row],[Cuenta]],1))</f>
        <v>0</v>
      </c>
      <c r="AH578" t="b">
        <f>+ISNUMBER(SEARCH('F-VTA'!$G$25,Tabla11[[#This Row],[Cuenta]],1))</f>
        <v>0</v>
      </c>
      <c r="AI578" t="b">
        <f>+ISNUMBER(SEARCH('F-VTA'!$F$28,Tabla11[[#This Row],[Cuenta]],1))</f>
        <v>1</v>
      </c>
      <c r="AJ578" t="b">
        <f>+ISNUMBER(SEARCH('F-VTA'!$F$29,Tabla11[[#This Row],[Cuenta]],1))</f>
        <v>1</v>
      </c>
      <c r="AK578" t="b">
        <f>+ISNUMBER(SEARCH('F-VTA'!$F$30,Tabla11[[#This Row],[Cuenta]],1))</f>
        <v>1</v>
      </c>
      <c r="AL578" t="b">
        <f>+ISNUMBER(SEARCH('F-VTA'!$F$31,Tabla11[[#This Row],[Cuenta]],1))</f>
        <v>1</v>
      </c>
      <c r="AM578" t="b">
        <f>+ISNUMBER(SEARCH('F-VTA'!$F$32,Tabla11[[#This Row],[Cuenta]],1))</f>
        <v>1</v>
      </c>
      <c r="AN578" t="b">
        <f>+ISNUMBER(SEARCH('F-VTA'!$F$33,Tabla11[[#This Row],[Cuenta]],1))</f>
        <v>1</v>
      </c>
      <c r="AO578" t="b">
        <f>+ISNUMBER(SEARCH('F-VTA'!$F$34,Tabla11[[#This Row],[Cuenta]],1))</f>
        <v>1</v>
      </c>
      <c r="AP578" t="b">
        <f>+ISNUMBER(SEARCH('F-VTA'!$F$35,Tabla11[[#This Row],[Cuenta]],1))</f>
        <v>1</v>
      </c>
      <c r="AQ578" t="b">
        <f>+ISNUMBER(SEARCH('F-VTA'!$F$36,Tabla11[[#This Row],[Cuenta]],1))</f>
        <v>1</v>
      </c>
      <c r="AR578" t="b">
        <f>+ISNUMBER(SEARCH(#REF!,Tabla11[[#This Row],[Cuenta]],1))</f>
        <v>0</v>
      </c>
      <c r="AS578" t="b">
        <f>+ISNUMBER(SEARCH(#REF!,Tabla11[[#This Row],[Cuenta]],1))</f>
        <v>0</v>
      </c>
      <c r="AT578" t="b">
        <f>+ISNUMBER(SEARCH(#REF!,Tabla11[[#This Row],[Cuenta]],1))</f>
        <v>0</v>
      </c>
      <c r="AU578" t="b">
        <f>+ISNUMBER(SEARCH('Conc. Ban.1'!$I$9,Tabla11[[#This Row],[Cuenta]],1))</f>
        <v>0</v>
      </c>
      <c r="AV578" t="b">
        <f>+ISNUMBER(SEARCH(CompConta!$F$21,Tabla11[[#This Row],[Cuenta]],1))</f>
        <v>1</v>
      </c>
      <c r="AW578" t="b">
        <f>+ISNUMBER(SEARCH(CompConta!$F$22,Tabla11[[#This Row],[Cuenta]],1))</f>
        <v>1</v>
      </c>
      <c r="AX578" t="b">
        <f>+ISNUMBER(SEARCH(CompConta!$F$23,Tabla11[[#This Row],[Cuenta]],1))</f>
        <v>1</v>
      </c>
      <c r="AY578" t="b">
        <f>+ISNUMBER(SEARCH(CompConta!$F$24,Tabla11[[#This Row],[Cuenta]],1))</f>
        <v>1</v>
      </c>
      <c r="AZ578" t="b">
        <f>+ISNUMBER(SEARCH(CompConta!$F$25,Tabla11[[#This Row],[Cuenta]],1))</f>
        <v>1</v>
      </c>
      <c r="BA578" t="b">
        <f>+ISNUMBER(SEARCH(CompConta!$F$26,Tabla11[[#This Row],[Cuenta]],1))</f>
        <v>1</v>
      </c>
      <c r="BB578" t="b">
        <f>+ISNUMBER(SEARCH(CompConta!$F$27,Tabla11[[#This Row],[Cuenta]],1))</f>
        <v>1</v>
      </c>
      <c r="BC578" t="b">
        <f>+ISNUMBER(SEARCH(CompConta!$F$28,Tabla11[[#This Row],[Cuenta]],1))</f>
        <v>1</v>
      </c>
      <c r="BD578" t="b">
        <f>+ISNUMBER(SEARCH(CompConta!$F$29,Tabla11[[#This Row],[Cuenta]],1))</f>
        <v>1</v>
      </c>
      <c r="BE578" t="b">
        <f>+ISNUMBER(SEARCH(CompConta!$F$30,Tabla11[[#This Row],[Cuenta]],1))</f>
        <v>1</v>
      </c>
      <c r="BF578" t="b">
        <f>+ISNUMBER(SEARCH('PAGO Compras'!$E$11,Tabla11[[#This Row],[Cuenta]],1))</f>
        <v>1</v>
      </c>
      <c r="BG578" t="b">
        <f>+ISNUMBER(SEARCH(#REF!,Tabla11[[#This Row],[Cuenta]],1))</f>
        <v>0</v>
      </c>
      <c r="BH578" t="b">
        <f>+ISNUMBER(SEARCH(#REF!,Tabla11[[#This Row],[Cuenta]],1))</f>
        <v>0</v>
      </c>
      <c r="BI578" t="b">
        <f>+ISNUMBER(SEARCH(#REF!,Tabla11[[#This Row],[Cuenta]],1))</f>
        <v>0</v>
      </c>
      <c r="BJ578" t="b">
        <f>+ISNUMBER(SEARCH(#REF!,Tabla11[[#This Row],[Cuenta]],1))</f>
        <v>0</v>
      </c>
      <c r="BS578" t="str">
        <v>263595 Otras</v>
      </c>
      <c r="BT578" t="str">
        <v>263595 Otras</v>
      </c>
      <c r="BU578" t="str">
        <v>263595 Otras</v>
      </c>
      <c r="BV578" t="str">
        <v>263595 Otras</v>
      </c>
      <c r="BZ578" t="str">
        <v>263595 Otras</v>
      </c>
      <c r="CA578" t="str">
        <v>263595 Otras</v>
      </c>
      <c r="CB578" t="str">
        <v>263595 Otras</v>
      </c>
      <c r="CC578" t="str">
        <v>263595 Otras</v>
      </c>
      <c r="CD578" t="str">
        <v>263595 Otras</v>
      </c>
      <c r="CE578" t="str">
        <v>263595 Otras</v>
      </c>
      <c r="CS578" s="141" t="str">
        <v>263595 Otras</v>
      </c>
      <c r="CT578" s="141" t="str">
        <v>263595 Otras</v>
      </c>
      <c r="CU578" s="141" t="str">
        <v>263595 Otras</v>
      </c>
      <c r="CV578" s="141" t="str">
        <v>263595 Otras</v>
      </c>
      <c r="CW578" s="141" t="str">
        <v>263595 Otras</v>
      </c>
      <c r="CX578" s="141" t="str">
        <v>263595 Otras</v>
      </c>
      <c r="CY578" s="141" t="str">
        <v>263595 Otras</v>
      </c>
      <c r="CZ578" s="141" t="str">
        <v>263595 Otras</v>
      </c>
      <c r="DA578" s="141" t="str">
        <v>263595 Otras</v>
      </c>
      <c r="DF578" t="str">
        <v>263595 Otras</v>
      </c>
      <c r="DG578" t="str">
        <v>263595 Otras</v>
      </c>
      <c r="DH578" t="str">
        <v>263595 Otras</v>
      </c>
      <c r="DI578" t="str">
        <v>263595 Otras</v>
      </c>
      <c r="DJ578" t="str">
        <v>263595 Otras</v>
      </c>
      <c r="DK578" t="str">
        <v>263595 Otras</v>
      </c>
      <c r="DL578" t="str">
        <v>263595 Otras</v>
      </c>
      <c r="DM578" t="str">
        <v>263595 Otras</v>
      </c>
      <c r="DN578" t="str">
        <v>263595 Otras</v>
      </c>
      <c r="DO578" t="str">
        <v>263595 Otras</v>
      </c>
      <c r="DP578" t="str">
        <v>263595 Otras</v>
      </c>
    </row>
    <row r="579" spans="4:120" ht="12.75">
      <c r="D579" s="7">
        <v>27</v>
      </c>
      <c r="E579" s="6" t="s">
        <v>257</v>
      </c>
      <c r="F579" s="5">
        <v>2</v>
      </c>
      <c r="G579" s="34"/>
      <c r="H579" s="26" t="s">
        <v>765</v>
      </c>
      <c r="I579" t="b">
        <f>+ISNUMBER(SEARCH('F-COMPRA'!$F$28,Tabla11[[#This Row],[Cuenta]],1))</f>
        <v>1</v>
      </c>
      <c r="J579" t="b">
        <f>+ISNUMBER(SEARCH('F-COMPRA'!$F$29,Tabla11[[#This Row],[Cuenta]],1))</f>
        <v>1</v>
      </c>
      <c r="K579" t="b">
        <f>+ISNUMBER(SEARCH('F-COMPRA'!$F$30,Tabla11[[#This Row],[Cuenta]],1))</f>
        <v>1</v>
      </c>
      <c r="L579" t="b">
        <f>+ISNUMBER(SEARCH('F-COMPRA'!$F$31,Tabla11[[#This Row],[Cuenta]],1))</f>
        <v>1</v>
      </c>
      <c r="M579" t="b">
        <f>+ISNUMBER(SEARCH('F-COMPRA'!$G$25,Tabla11[[#This Row],[Cuenta]],1))</f>
        <v>0</v>
      </c>
      <c r="N579" t="b">
        <f>+ISNUMBER(SEARCH(#REF!,Tabla11[[#This Row],[Cuenta]],1))</f>
        <v>0</v>
      </c>
      <c r="O579" t="b">
        <f>+ISNUMBER(SEARCH(#REF!,Tabla11[[#This Row],[Cuenta]],1))</f>
        <v>0</v>
      </c>
      <c r="P579" t="b">
        <f>+ISNUMBER(SEARCH('F-COMPRA'!$F$32,Tabla11[[#This Row],[Cuenta]],1))</f>
        <v>1</v>
      </c>
      <c r="Q579" t="b">
        <f>+ISNUMBER(SEARCH('F-COMPRA'!$F$33,Tabla11[[#This Row],[Cuenta]],1))</f>
        <v>1</v>
      </c>
      <c r="R579" t="b">
        <f>+ISNUMBER(SEARCH('F-COMPRA'!$F$34,Tabla11[[#This Row],[Cuenta]],1))</f>
        <v>1</v>
      </c>
      <c r="S579" t="b">
        <f>+ISNUMBER(SEARCH('F-COMPRA'!$F$35,Tabla11[[#This Row],[Cuenta]],1))</f>
        <v>1</v>
      </c>
      <c r="T579" t="b">
        <f>+ISNUMBER(SEARCH('F-COMPRA'!$F$36,Tabla11[[#This Row],[Cuenta]],1))</f>
        <v>1</v>
      </c>
      <c r="U579" t="b">
        <f>+ISNUMBER(SEARCH('F-COMPRA'!$F$37,Tabla11[[#This Row],[Cuenta]],1))</f>
        <v>1</v>
      </c>
      <c r="V579" t="b">
        <f>+ISNUMBER(SEARCH(#REF!,Tabla11[[#This Row],[Cuenta]],1))</f>
        <v>0</v>
      </c>
      <c r="W579" t="b">
        <f>+ISNUMBER(SEARCH('F-COMPRA'!#REF!,Tabla11[[#This Row],[Cuenta]],1))</f>
        <v>0</v>
      </c>
      <c r="X579" t="b">
        <f>+ISNUMBER(SEARCH('F-COMPRA'!#REF!,Tabla11[[#This Row],[Cuenta]],1))</f>
        <v>0</v>
      </c>
      <c r="Y579" t="b">
        <f>+ISNUMBER(SEARCH('F-COMPRA'!#REF!,Tabla11[[#This Row],[Cuenta]],1))</f>
        <v>0</v>
      </c>
      <c r="Z579" t="b">
        <f>+ISNUMBER(SEARCH('F-COMPRA'!#REF!,Tabla11[[#This Row],[Cuenta]],1))</f>
        <v>0</v>
      </c>
      <c r="AA579" t="b">
        <f>+ISNUMBER(SEARCH('F-COMPRA'!#REF!,Tabla11[[#This Row],[Cuenta]],1))</f>
        <v>0</v>
      </c>
      <c r="AB579" t="b">
        <f>+ISNUMBER(SEARCH('F-COMPRA'!#REF!,Tabla11[[#This Row],[Cuenta]],1))</f>
        <v>0</v>
      </c>
      <c r="AC579" t="b">
        <f>+ISNUMBER(SEARCH('F-COMPRA'!#REF!,Tabla11[[#This Row],[Cuenta]],1))</f>
        <v>0</v>
      </c>
      <c r="AD579" t="b">
        <f>+ISNUMBER(SEARCH('F-COMPRA'!#REF!,Tabla11[[#This Row],[Cuenta]],1))</f>
        <v>0</v>
      </c>
      <c r="AE579" t="b">
        <f>+ISNUMBER(SEARCH('F-COMPRA'!#REF!,Tabla11[[#This Row],[Cuenta]],1))</f>
        <v>0</v>
      </c>
      <c r="AF579" t="b">
        <f>+ISNUMBER(SEARCH('F-VTA'!$G$23,Tabla11[[#This Row],[Cuenta]],1))</f>
        <v>0</v>
      </c>
      <c r="AG579" t="b">
        <f>+ISNUMBER(SEARCH('F-VTA'!$G$24,Tabla11[[#This Row],[Cuenta]],1))</f>
        <v>0</v>
      </c>
      <c r="AH579" t="b">
        <f>+ISNUMBER(SEARCH('F-VTA'!$G$25,Tabla11[[#This Row],[Cuenta]],1))</f>
        <v>0</v>
      </c>
      <c r="AI579" t="b">
        <f>+ISNUMBER(SEARCH('F-VTA'!$F$28,Tabla11[[#This Row],[Cuenta]],1))</f>
        <v>1</v>
      </c>
      <c r="AJ579" t="b">
        <f>+ISNUMBER(SEARCH('F-VTA'!$F$29,Tabla11[[#This Row],[Cuenta]],1))</f>
        <v>1</v>
      </c>
      <c r="AK579" t="b">
        <f>+ISNUMBER(SEARCH('F-VTA'!$F$30,Tabla11[[#This Row],[Cuenta]],1))</f>
        <v>1</v>
      </c>
      <c r="AL579" t="b">
        <f>+ISNUMBER(SEARCH('F-VTA'!$F$31,Tabla11[[#This Row],[Cuenta]],1))</f>
        <v>1</v>
      </c>
      <c r="AM579" t="b">
        <f>+ISNUMBER(SEARCH('F-VTA'!$F$32,Tabla11[[#This Row],[Cuenta]],1))</f>
        <v>1</v>
      </c>
      <c r="AN579" t="b">
        <f>+ISNUMBER(SEARCH('F-VTA'!$F$33,Tabla11[[#This Row],[Cuenta]],1))</f>
        <v>1</v>
      </c>
      <c r="AO579" t="b">
        <f>+ISNUMBER(SEARCH('F-VTA'!$F$34,Tabla11[[#This Row],[Cuenta]],1))</f>
        <v>1</v>
      </c>
      <c r="AP579" t="b">
        <f>+ISNUMBER(SEARCH('F-VTA'!$F$35,Tabla11[[#This Row],[Cuenta]],1))</f>
        <v>1</v>
      </c>
      <c r="AQ579" t="b">
        <f>+ISNUMBER(SEARCH('F-VTA'!$F$36,Tabla11[[#This Row],[Cuenta]],1))</f>
        <v>1</v>
      </c>
      <c r="AR579" t="b">
        <f>+ISNUMBER(SEARCH(#REF!,Tabla11[[#This Row],[Cuenta]],1))</f>
        <v>0</v>
      </c>
      <c r="AS579" t="b">
        <f>+ISNUMBER(SEARCH(#REF!,Tabla11[[#This Row],[Cuenta]],1))</f>
        <v>0</v>
      </c>
      <c r="AT579" t="b">
        <f>+ISNUMBER(SEARCH(#REF!,Tabla11[[#This Row],[Cuenta]],1))</f>
        <v>0</v>
      </c>
      <c r="AU579" t="b">
        <f>+ISNUMBER(SEARCH('Conc. Ban.1'!$I$9,Tabla11[[#This Row],[Cuenta]],1))</f>
        <v>0</v>
      </c>
      <c r="AV579" t="b">
        <f>+ISNUMBER(SEARCH(CompConta!$F$21,Tabla11[[#This Row],[Cuenta]],1))</f>
        <v>1</v>
      </c>
      <c r="AW579" t="b">
        <f>+ISNUMBER(SEARCH(CompConta!$F$22,Tabla11[[#This Row],[Cuenta]],1))</f>
        <v>1</v>
      </c>
      <c r="AX579" t="b">
        <f>+ISNUMBER(SEARCH(CompConta!$F$23,Tabla11[[#This Row],[Cuenta]],1))</f>
        <v>1</v>
      </c>
      <c r="AY579" t="b">
        <f>+ISNUMBER(SEARCH(CompConta!$F$24,Tabla11[[#This Row],[Cuenta]],1))</f>
        <v>1</v>
      </c>
      <c r="AZ579" t="b">
        <f>+ISNUMBER(SEARCH(CompConta!$F$25,Tabla11[[#This Row],[Cuenta]],1))</f>
        <v>1</v>
      </c>
      <c r="BA579" t="b">
        <f>+ISNUMBER(SEARCH(CompConta!$F$26,Tabla11[[#This Row],[Cuenta]],1))</f>
        <v>1</v>
      </c>
      <c r="BB579" t="b">
        <f>+ISNUMBER(SEARCH(CompConta!$F$27,Tabla11[[#This Row],[Cuenta]],1))</f>
        <v>1</v>
      </c>
      <c r="BC579" t="b">
        <f>+ISNUMBER(SEARCH(CompConta!$F$28,Tabla11[[#This Row],[Cuenta]],1))</f>
        <v>1</v>
      </c>
      <c r="BD579" t="b">
        <f>+ISNUMBER(SEARCH(CompConta!$F$29,Tabla11[[#This Row],[Cuenta]],1))</f>
        <v>1</v>
      </c>
      <c r="BE579" t="b">
        <f>+ISNUMBER(SEARCH(CompConta!$F$30,Tabla11[[#This Row],[Cuenta]],1))</f>
        <v>1</v>
      </c>
      <c r="BF579" t="b">
        <f>+ISNUMBER(SEARCH('PAGO Compras'!$E$11,Tabla11[[#This Row],[Cuenta]],1))</f>
        <v>1</v>
      </c>
      <c r="BG579" t="b">
        <f>+ISNUMBER(SEARCH(#REF!,Tabla11[[#This Row],[Cuenta]],1))</f>
        <v>0</v>
      </c>
      <c r="BH579" t="b">
        <f>+ISNUMBER(SEARCH(#REF!,Tabla11[[#This Row],[Cuenta]],1))</f>
        <v>0</v>
      </c>
      <c r="BI579" t="b">
        <f>+ISNUMBER(SEARCH(#REF!,Tabla11[[#This Row],[Cuenta]],1))</f>
        <v>0</v>
      </c>
      <c r="BJ579" t="b">
        <f>+ISNUMBER(SEARCH(#REF!,Tabla11[[#This Row],[Cuenta]],1))</f>
        <v>0</v>
      </c>
      <c r="BS579" t="str">
        <v>27 DIFERIDOS</v>
      </c>
      <c r="BT579" t="str">
        <v>27 DIFERIDOS</v>
      </c>
      <c r="BU579" t="str">
        <v>27 DIFERIDOS</v>
      </c>
      <c r="BV579" t="str">
        <v>27 DIFERIDOS</v>
      </c>
      <c r="BZ579" t="str">
        <v>27 DIFERIDOS</v>
      </c>
      <c r="CA579" t="str">
        <v>27 DIFERIDOS</v>
      </c>
      <c r="CB579" t="str">
        <v>27 DIFERIDOS</v>
      </c>
      <c r="CC579" t="str">
        <v>27 DIFERIDOS</v>
      </c>
      <c r="CD579" t="str">
        <v>27 DIFERIDOS</v>
      </c>
      <c r="CE579" t="str">
        <v>27 DIFERIDOS</v>
      </c>
      <c r="CS579" s="141" t="str">
        <v>27 DIFERIDOS</v>
      </c>
      <c r="CT579" s="141" t="str">
        <v>27 DIFERIDOS</v>
      </c>
      <c r="CU579" s="141" t="str">
        <v>27 DIFERIDOS</v>
      </c>
      <c r="CV579" s="141" t="str">
        <v>27 DIFERIDOS</v>
      </c>
      <c r="CW579" s="141" t="str">
        <v>27 DIFERIDOS</v>
      </c>
      <c r="CX579" s="141" t="str">
        <v>27 DIFERIDOS</v>
      </c>
      <c r="CY579" s="141" t="str">
        <v>27 DIFERIDOS</v>
      </c>
      <c r="CZ579" s="141" t="str">
        <v>27 DIFERIDOS</v>
      </c>
      <c r="DA579" s="141" t="str">
        <v>27 DIFERIDOS</v>
      </c>
      <c r="DF579" t="str">
        <v>27 DIFERIDOS</v>
      </c>
      <c r="DG579" t="str">
        <v>27 DIFERIDOS</v>
      </c>
      <c r="DH579" t="str">
        <v>27 DIFERIDOS</v>
      </c>
      <c r="DI579" t="str">
        <v>27 DIFERIDOS</v>
      </c>
      <c r="DJ579" t="str">
        <v>27 DIFERIDOS</v>
      </c>
      <c r="DK579" t="str">
        <v>27 DIFERIDOS</v>
      </c>
      <c r="DL579" t="str">
        <v>27 DIFERIDOS</v>
      </c>
      <c r="DM579" t="str">
        <v>27 DIFERIDOS</v>
      </c>
      <c r="DN579" t="str">
        <v>27 DIFERIDOS</v>
      </c>
      <c r="DO579" t="str">
        <v>27 DIFERIDOS</v>
      </c>
      <c r="DP579" t="str">
        <v>27 DIFERIDOS</v>
      </c>
    </row>
    <row r="580" spans="4:120" ht="12.75">
      <c r="D580" s="7">
        <v>2705</v>
      </c>
      <c r="E580" s="6" t="s">
        <v>426</v>
      </c>
      <c r="F580" s="5">
        <v>3</v>
      </c>
      <c r="G580" s="34" t="s">
        <v>823</v>
      </c>
      <c r="H580" s="26" t="s">
        <v>765</v>
      </c>
      <c r="I580" t="b">
        <f>+ISNUMBER(SEARCH('F-COMPRA'!$F$28,Tabla11[[#This Row],[Cuenta]],1))</f>
        <v>1</v>
      </c>
      <c r="J580" t="b">
        <f>+ISNUMBER(SEARCH('F-COMPRA'!$F$29,Tabla11[[#This Row],[Cuenta]],1))</f>
        <v>1</v>
      </c>
      <c r="K580" t="b">
        <f>+ISNUMBER(SEARCH('F-COMPRA'!$F$30,Tabla11[[#This Row],[Cuenta]],1))</f>
        <v>1</v>
      </c>
      <c r="L580" t="b">
        <f>+ISNUMBER(SEARCH('F-COMPRA'!$F$31,Tabla11[[#This Row],[Cuenta]],1))</f>
        <v>1</v>
      </c>
      <c r="M580" t="b">
        <f>+ISNUMBER(SEARCH('F-COMPRA'!$G$25,Tabla11[[#This Row],[Cuenta]],1))</f>
        <v>0</v>
      </c>
      <c r="N580" t="b">
        <f>+ISNUMBER(SEARCH(#REF!,Tabla11[[#This Row],[Cuenta]],1))</f>
        <v>0</v>
      </c>
      <c r="O580" t="b">
        <f>+ISNUMBER(SEARCH(#REF!,Tabla11[[#This Row],[Cuenta]],1))</f>
        <v>0</v>
      </c>
      <c r="P580" t="b">
        <f>+ISNUMBER(SEARCH('F-COMPRA'!$F$32,Tabla11[[#This Row],[Cuenta]],1))</f>
        <v>1</v>
      </c>
      <c r="Q580" t="b">
        <f>+ISNUMBER(SEARCH('F-COMPRA'!$F$33,Tabla11[[#This Row],[Cuenta]],1))</f>
        <v>1</v>
      </c>
      <c r="R580" t="b">
        <f>+ISNUMBER(SEARCH('F-COMPRA'!$F$34,Tabla11[[#This Row],[Cuenta]],1))</f>
        <v>1</v>
      </c>
      <c r="S580" t="b">
        <f>+ISNUMBER(SEARCH('F-COMPRA'!$F$35,Tabla11[[#This Row],[Cuenta]],1))</f>
        <v>1</v>
      </c>
      <c r="T580" t="b">
        <f>+ISNUMBER(SEARCH('F-COMPRA'!$F$36,Tabla11[[#This Row],[Cuenta]],1))</f>
        <v>1</v>
      </c>
      <c r="U580" t="b">
        <f>+ISNUMBER(SEARCH('F-COMPRA'!$F$37,Tabla11[[#This Row],[Cuenta]],1))</f>
        <v>1</v>
      </c>
      <c r="V580" t="b">
        <f>+ISNUMBER(SEARCH(#REF!,Tabla11[[#This Row],[Cuenta]],1))</f>
        <v>0</v>
      </c>
      <c r="W580" t="b">
        <f>+ISNUMBER(SEARCH('F-COMPRA'!#REF!,Tabla11[[#This Row],[Cuenta]],1))</f>
        <v>0</v>
      </c>
      <c r="X580" t="b">
        <f>+ISNUMBER(SEARCH('F-COMPRA'!#REF!,Tabla11[[#This Row],[Cuenta]],1))</f>
        <v>0</v>
      </c>
      <c r="Y580" t="b">
        <f>+ISNUMBER(SEARCH('F-COMPRA'!#REF!,Tabla11[[#This Row],[Cuenta]],1))</f>
        <v>0</v>
      </c>
      <c r="Z580" t="b">
        <f>+ISNUMBER(SEARCH('F-COMPRA'!#REF!,Tabla11[[#This Row],[Cuenta]],1))</f>
        <v>0</v>
      </c>
      <c r="AA580" t="b">
        <f>+ISNUMBER(SEARCH('F-COMPRA'!#REF!,Tabla11[[#This Row],[Cuenta]],1))</f>
        <v>0</v>
      </c>
      <c r="AB580" t="b">
        <f>+ISNUMBER(SEARCH('F-COMPRA'!#REF!,Tabla11[[#This Row],[Cuenta]],1))</f>
        <v>0</v>
      </c>
      <c r="AC580" t="b">
        <f>+ISNUMBER(SEARCH('F-COMPRA'!#REF!,Tabla11[[#This Row],[Cuenta]],1))</f>
        <v>0</v>
      </c>
      <c r="AD580" t="b">
        <f>+ISNUMBER(SEARCH('F-COMPRA'!#REF!,Tabla11[[#This Row],[Cuenta]],1))</f>
        <v>0</v>
      </c>
      <c r="AE580" t="b">
        <f>+ISNUMBER(SEARCH('F-COMPRA'!#REF!,Tabla11[[#This Row],[Cuenta]],1))</f>
        <v>0</v>
      </c>
      <c r="AF580" t="b">
        <f>+ISNUMBER(SEARCH('F-VTA'!$G$23,Tabla11[[#This Row],[Cuenta]],1))</f>
        <v>0</v>
      </c>
      <c r="AG580" t="b">
        <f>+ISNUMBER(SEARCH('F-VTA'!$G$24,Tabla11[[#This Row],[Cuenta]],1))</f>
        <v>0</v>
      </c>
      <c r="AH580" t="b">
        <f>+ISNUMBER(SEARCH('F-VTA'!$G$25,Tabla11[[#This Row],[Cuenta]],1))</f>
        <v>0</v>
      </c>
      <c r="AI580" t="b">
        <f>+ISNUMBER(SEARCH('F-VTA'!$F$28,Tabla11[[#This Row],[Cuenta]],1))</f>
        <v>1</v>
      </c>
      <c r="AJ580" t="b">
        <f>+ISNUMBER(SEARCH('F-VTA'!$F$29,Tabla11[[#This Row],[Cuenta]],1))</f>
        <v>1</v>
      </c>
      <c r="AK580" t="b">
        <f>+ISNUMBER(SEARCH('F-VTA'!$F$30,Tabla11[[#This Row],[Cuenta]],1))</f>
        <v>1</v>
      </c>
      <c r="AL580" t="b">
        <f>+ISNUMBER(SEARCH('F-VTA'!$F$31,Tabla11[[#This Row],[Cuenta]],1))</f>
        <v>1</v>
      </c>
      <c r="AM580" t="b">
        <f>+ISNUMBER(SEARCH('F-VTA'!$F$32,Tabla11[[#This Row],[Cuenta]],1))</f>
        <v>1</v>
      </c>
      <c r="AN580" t="b">
        <f>+ISNUMBER(SEARCH('F-VTA'!$F$33,Tabla11[[#This Row],[Cuenta]],1))</f>
        <v>1</v>
      </c>
      <c r="AO580" t="b">
        <f>+ISNUMBER(SEARCH('F-VTA'!$F$34,Tabla11[[#This Row],[Cuenta]],1))</f>
        <v>1</v>
      </c>
      <c r="AP580" t="b">
        <f>+ISNUMBER(SEARCH('F-VTA'!$F$35,Tabla11[[#This Row],[Cuenta]],1))</f>
        <v>1</v>
      </c>
      <c r="AQ580" t="b">
        <f>+ISNUMBER(SEARCH('F-VTA'!$F$36,Tabla11[[#This Row],[Cuenta]],1))</f>
        <v>1</v>
      </c>
      <c r="AR580" t="b">
        <f>+ISNUMBER(SEARCH(#REF!,Tabla11[[#This Row],[Cuenta]],1))</f>
        <v>0</v>
      </c>
      <c r="AS580" t="b">
        <f>+ISNUMBER(SEARCH(#REF!,Tabla11[[#This Row],[Cuenta]],1))</f>
        <v>0</v>
      </c>
      <c r="AT580" t="b">
        <f>+ISNUMBER(SEARCH(#REF!,Tabla11[[#This Row],[Cuenta]],1))</f>
        <v>0</v>
      </c>
      <c r="AU580" t="b">
        <f>+ISNUMBER(SEARCH('Conc. Ban.1'!$I$9,Tabla11[[#This Row],[Cuenta]],1))</f>
        <v>0</v>
      </c>
      <c r="AV580" t="b">
        <f>+ISNUMBER(SEARCH(CompConta!$F$21,Tabla11[[#This Row],[Cuenta]],1))</f>
        <v>1</v>
      </c>
      <c r="AW580" t="b">
        <f>+ISNUMBER(SEARCH(CompConta!$F$22,Tabla11[[#This Row],[Cuenta]],1))</f>
        <v>1</v>
      </c>
      <c r="AX580" t="b">
        <f>+ISNUMBER(SEARCH(CompConta!$F$23,Tabla11[[#This Row],[Cuenta]],1))</f>
        <v>1</v>
      </c>
      <c r="AY580" t="b">
        <f>+ISNUMBER(SEARCH(CompConta!$F$24,Tabla11[[#This Row],[Cuenta]],1))</f>
        <v>1</v>
      </c>
      <c r="AZ580" t="b">
        <f>+ISNUMBER(SEARCH(CompConta!$F$25,Tabla11[[#This Row],[Cuenta]],1))</f>
        <v>1</v>
      </c>
      <c r="BA580" t="b">
        <f>+ISNUMBER(SEARCH(CompConta!$F$26,Tabla11[[#This Row],[Cuenta]],1))</f>
        <v>1</v>
      </c>
      <c r="BB580" t="b">
        <f>+ISNUMBER(SEARCH(CompConta!$F$27,Tabla11[[#This Row],[Cuenta]],1))</f>
        <v>1</v>
      </c>
      <c r="BC580" t="b">
        <f>+ISNUMBER(SEARCH(CompConta!$F$28,Tabla11[[#This Row],[Cuenta]],1))</f>
        <v>1</v>
      </c>
      <c r="BD580" t="b">
        <f>+ISNUMBER(SEARCH(CompConta!$F$29,Tabla11[[#This Row],[Cuenta]],1))</f>
        <v>1</v>
      </c>
      <c r="BE580" t="b">
        <f>+ISNUMBER(SEARCH(CompConta!$F$30,Tabla11[[#This Row],[Cuenta]],1))</f>
        <v>1</v>
      </c>
      <c r="BF580" t="b">
        <f>+ISNUMBER(SEARCH('PAGO Compras'!$E$11,Tabla11[[#This Row],[Cuenta]],1))</f>
        <v>1</v>
      </c>
      <c r="BG580" t="b">
        <f>+ISNUMBER(SEARCH(#REF!,Tabla11[[#This Row],[Cuenta]],1))</f>
        <v>0</v>
      </c>
      <c r="BH580" t="b">
        <f>+ISNUMBER(SEARCH(#REF!,Tabla11[[#This Row],[Cuenta]],1))</f>
        <v>0</v>
      </c>
      <c r="BI580" t="b">
        <f>+ISNUMBER(SEARCH(#REF!,Tabla11[[#This Row],[Cuenta]],1))</f>
        <v>0</v>
      </c>
      <c r="BJ580" t="b">
        <f>+ISNUMBER(SEARCH(#REF!,Tabla11[[#This Row],[Cuenta]],1))</f>
        <v>0</v>
      </c>
      <c r="BS580" t="str">
        <v>2705 INGRESOS RECIBIDOS POR ANTICIPADO</v>
      </c>
      <c r="BT580" t="str">
        <v>2705 INGRESOS RECIBIDOS POR ANTICIPADO</v>
      </c>
      <c r="BU580" t="str">
        <v>2705 INGRESOS RECIBIDOS POR ANTICIPADO</v>
      </c>
      <c r="BV580" t="str">
        <v>2705 INGRESOS RECIBIDOS POR ANTICIPADO</v>
      </c>
      <c r="BZ580" t="str">
        <v>2705 INGRESOS RECIBIDOS POR ANTICIPADO</v>
      </c>
      <c r="CA580" t="str">
        <v>2705 INGRESOS RECIBIDOS POR ANTICIPADO</v>
      </c>
      <c r="CB580" t="str">
        <v>2705 INGRESOS RECIBIDOS POR ANTICIPADO</v>
      </c>
      <c r="CC580" t="str">
        <v>2705 INGRESOS RECIBIDOS POR ANTICIPADO</v>
      </c>
      <c r="CD580" t="str">
        <v>2705 INGRESOS RECIBIDOS POR ANTICIPADO</v>
      </c>
      <c r="CE580" t="str">
        <v>2705 INGRESOS RECIBIDOS POR ANTICIPADO</v>
      </c>
      <c r="CS580" s="141" t="str">
        <v>2705 INGRESOS RECIBIDOS POR ANTICIPADO</v>
      </c>
      <c r="CT580" s="141" t="str">
        <v>2705 INGRESOS RECIBIDOS POR ANTICIPADO</v>
      </c>
      <c r="CU580" s="141" t="str">
        <v>2705 INGRESOS RECIBIDOS POR ANTICIPADO</v>
      </c>
      <c r="CV580" s="141" t="str">
        <v>2705 INGRESOS RECIBIDOS POR ANTICIPADO</v>
      </c>
      <c r="CW580" s="141" t="str">
        <v>2705 INGRESOS RECIBIDOS POR ANTICIPADO</v>
      </c>
      <c r="CX580" s="141" t="str">
        <v>2705 INGRESOS RECIBIDOS POR ANTICIPADO</v>
      </c>
      <c r="CY580" s="141" t="str">
        <v>2705 INGRESOS RECIBIDOS POR ANTICIPADO</v>
      </c>
      <c r="CZ580" s="141" t="str">
        <v>2705 INGRESOS RECIBIDOS POR ANTICIPADO</v>
      </c>
      <c r="DA580" s="141" t="str">
        <v>2705 INGRESOS RECIBIDOS POR ANTICIPADO</v>
      </c>
      <c r="DF580" t="str">
        <v>2705 INGRESOS RECIBIDOS POR ANTICIPADO</v>
      </c>
      <c r="DG580" t="str">
        <v>2705 INGRESOS RECIBIDOS POR ANTICIPADO</v>
      </c>
      <c r="DH580" t="str">
        <v>2705 INGRESOS RECIBIDOS POR ANTICIPADO</v>
      </c>
      <c r="DI580" t="str">
        <v>2705 INGRESOS RECIBIDOS POR ANTICIPADO</v>
      </c>
      <c r="DJ580" t="str">
        <v>2705 INGRESOS RECIBIDOS POR ANTICIPADO</v>
      </c>
      <c r="DK580" t="str">
        <v>2705 INGRESOS RECIBIDOS POR ANTICIPADO</v>
      </c>
      <c r="DL580" t="str">
        <v>2705 INGRESOS RECIBIDOS POR ANTICIPADO</v>
      </c>
      <c r="DM580" t="str">
        <v>2705 INGRESOS RECIBIDOS POR ANTICIPADO</v>
      </c>
      <c r="DN580" t="str">
        <v>2705 INGRESOS RECIBIDOS POR ANTICIPADO</v>
      </c>
      <c r="DO580" t="str">
        <v>2705 INGRESOS RECIBIDOS POR ANTICIPADO</v>
      </c>
      <c r="DP580" t="str">
        <v>2705 INGRESOS RECIBIDOS POR ANTICIPADO</v>
      </c>
    </row>
    <row r="581" spans="4:120" ht="12.75">
      <c r="D581" s="7">
        <v>270505</v>
      </c>
      <c r="E581" s="6" t="s">
        <v>73</v>
      </c>
      <c r="F581" s="5">
        <v>4</v>
      </c>
      <c r="G581" s="34" t="s">
        <v>823</v>
      </c>
      <c r="H581" s="26" t="s">
        <v>765</v>
      </c>
      <c r="I581" t="b">
        <f>+ISNUMBER(SEARCH('F-COMPRA'!$F$28,Tabla11[[#This Row],[Cuenta]],1))</f>
        <v>1</v>
      </c>
      <c r="J581" t="b">
        <f>+ISNUMBER(SEARCH('F-COMPRA'!$F$29,Tabla11[[#This Row],[Cuenta]],1))</f>
        <v>1</v>
      </c>
      <c r="K581" t="b">
        <f>+ISNUMBER(SEARCH('F-COMPRA'!$F$30,Tabla11[[#This Row],[Cuenta]],1))</f>
        <v>1</v>
      </c>
      <c r="L581" t="b">
        <f>+ISNUMBER(SEARCH('F-COMPRA'!$F$31,Tabla11[[#This Row],[Cuenta]],1))</f>
        <v>1</v>
      </c>
      <c r="M581" t="b">
        <f>+ISNUMBER(SEARCH('F-COMPRA'!$G$25,Tabla11[[#This Row],[Cuenta]],1))</f>
        <v>0</v>
      </c>
      <c r="N581" t="b">
        <f>+ISNUMBER(SEARCH(#REF!,Tabla11[[#This Row],[Cuenta]],1))</f>
        <v>0</v>
      </c>
      <c r="O581" t="b">
        <f>+ISNUMBER(SEARCH(#REF!,Tabla11[[#This Row],[Cuenta]],1))</f>
        <v>0</v>
      </c>
      <c r="P581" t="b">
        <f>+ISNUMBER(SEARCH('F-COMPRA'!$F$32,Tabla11[[#This Row],[Cuenta]],1))</f>
        <v>1</v>
      </c>
      <c r="Q581" t="b">
        <f>+ISNUMBER(SEARCH('F-COMPRA'!$F$33,Tabla11[[#This Row],[Cuenta]],1))</f>
        <v>1</v>
      </c>
      <c r="R581" t="b">
        <f>+ISNUMBER(SEARCH('F-COMPRA'!$F$34,Tabla11[[#This Row],[Cuenta]],1))</f>
        <v>1</v>
      </c>
      <c r="S581" t="b">
        <f>+ISNUMBER(SEARCH('F-COMPRA'!$F$35,Tabla11[[#This Row],[Cuenta]],1))</f>
        <v>1</v>
      </c>
      <c r="T581" t="b">
        <f>+ISNUMBER(SEARCH('F-COMPRA'!$F$36,Tabla11[[#This Row],[Cuenta]],1))</f>
        <v>1</v>
      </c>
      <c r="U581" t="b">
        <f>+ISNUMBER(SEARCH('F-COMPRA'!$F$37,Tabla11[[#This Row],[Cuenta]],1))</f>
        <v>1</v>
      </c>
      <c r="V581" t="b">
        <f>+ISNUMBER(SEARCH(#REF!,Tabla11[[#This Row],[Cuenta]],1))</f>
        <v>0</v>
      </c>
      <c r="W581" t="b">
        <f>+ISNUMBER(SEARCH('F-COMPRA'!#REF!,Tabla11[[#This Row],[Cuenta]],1))</f>
        <v>0</v>
      </c>
      <c r="X581" t="b">
        <f>+ISNUMBER(SEARCH('F-COMPRA'!#REF!,Tabla11[[#This Row],[Cuenta]],1))</f>
        <v>0</v>
      </c>
      <c r="Y581" t="b">
        <f>+ISNUMBER(SEARCH('F-COMPRA'!#REF!,Tabla11[[#This Row],[Cuenta]],1))</f>
        <v>0</v>
      </c>
      <c r="Z581" t="b">
        <f>+ISNUMBER(SEARCH('F-COMPRA'!#REF!,Tabla11[[#This Row],[Cuenta]],1))</f>
        <v>0</v>
      </c>
      <c r="AA581" t="b">
        <f>+ISNUMBER(SEARCH('F-COMPRA'!#REF!,Tabla11[[#This Row],[Cuenta]],1))</f>
        <v>0</v>
      </c>
      <c r="AB581" t="b">
        <f>+ISNUMBER(SEARCH('F-COMPRA'!#REF!,Tabla11[[#This Row],[Cuenta]],1))</f>
        <v>0</v>
      </c>
      <c r="AC581" t="b">
        <f>+ISNUMBER(SEARCH('F-COMPRA'!#REF!,Tabla11[[#This Row],[Cuenta]],1))</f>
        <v>0</v>
      </c>
      <c r="AD581" t="b">
        <f>+ISNUMBER(SEARCH('F-COMPRA'!#REF!,Tabla11[[#This Row],[Cuenta]],1))</f>
        <v>0</v>
      </c>
      <c r="AE581" t="b">
        <f>+ISNUMBER(SEARCH('F-COMPRA'!#REF!,Tabla11[[#This Row],[Cuenta]],1))</f>
        <v>0</v>
      </c>
      <c r="AF581" t="b">
        <f>+ISNUMBER(SEARCH('F-VTA'!$G$23,Tabla11[[#This Row],[Cuenta]],1))</f>
        <v>0</v>
      </c>
      <c r="AG581" t="b">
        <f>+ISNUMBER(SEARCH('F-VTA'!$G$24,Tabla11[[#This Row],[Cuenta]],1))</f>
        <v>0</v>
      </c>
      <c r="AH581" t="b">
        <f>+ISNUMBER(SEARCH('F-VTA'!$G$25,Tabla11[[#This Row],[Cuenta]],1))</f>
        <v>0</v>
      </c>
      <c r="AI581" t="b">
        <f>+ISNUMBER(SEARCH('F-VTA'!$F$28,Tabla11[[#This Row],[Cuenta]],1))</f>
        <v>1</v>
      </c>
      <c r="AJ581" t="b">
        <f>+ISNUMBER(SEARCH('F-VTA'!$F$29,Tabla11[[#This Row],[Cuenta]],1))</f>
        <v>1</v>
      </c>
      <c r="AK581" t="b">
        <f>+ISNUMBER(SEARCH('F-VTA'!$F$30,Tabla11[[#This Row],[Cuenta]],1))</f>
        <v>1</v>
      </c>
      <c r="AL581" t="b">
        <f>+ISNUMBER(SEARCH('F-VTA'!$F$31,Tabla11[[#This Row],[Cuenta]],1))</f>
        <v>1</v>
      </c>
      <c r="AM581" t="b">
        <f>+ISNUMBER(SEARCH('F-VTA'!$F$32,Tabla11[[#This Row],[Cuenta]],1))</f>
        <v>1</v>
      </c>
      <c r="AN581" t="b">
        <f>+ISNUMBER(SEARCH('F-VTA'!$F$33,Tabla11[[#This Row],[Cuenta]],1))</f>
        <v>1</v>
      </c>
      <c r="AO581" t="b">
        <f>+ISNUMBER(SEARCH('F-VTA'!$F$34,Tabla11[[#This Row],[Cuenta]],1))</f>
        <v>1</v>
      </c>
      <c r="AP581" t="b">
        <f>+ISNUMBER(SEARCH('F-VTA'!$F$35,Tabla11[[#This Row],[Cuenta]],1))</f>
        <v>1</v>
      </c>
      <c r="AQ581" t="b">
        <f>+ISNUMBER(SEARCH('F-VTA'!$F$36,Tabla11[[#This Row],[Cuenta]],1))</f>
        <v>1</v>
      </c>
      <c r="AR581" t="b">
        <f>+ISNUMBER(SEARCH(#REF!,Tabla11[[#This Row],[Cuenta]],1))</f>
        <v>0</v>
      </c>
      <c r="AS581" t="b">
        <f>+ISNUMBER(SEARCH(#REF!,Tabla11[[#This Row],[Cuenta]],1))</f>
        <v>0</v>
      </c>
      <c r="AT581" t="b">
        <f>+ISNUMBER(SEARCH(#REF!,Tabla11[[#This Row],[Cuenta]],1))</f>
        <v>0</v>
      </c>
      <c r="AU581" t="b">
        <f>+ISNUMBER(SEARCH('Conc. Ban.1'!$I$9,Tabla11[[#This Row],[Cuenta]],1))</f>
        <v>0</v>
      </c>
      <c r="AV581" t="b">
        <f>+ISNUMBER(SEARCH(CompConta!$F$21,Tabla11[[#This Row],[Cuenta]],1))</f>
        <v>1</v>
      </c>
      <c r="AW581" t="b">
        <f>+ISNUMBER(SEARCH(CompConta!$F$22,Tabla11[[#This Row],[Cuenta]],1))</f>
        <v>1</v>
      </c>
      <c r="AX581" t="b">
        <f>+ISNUMBER(SEARCH(CompConta!$F$23,Tabla11[[#This Row],[Cuenta]],1))</f>
        <v>1</v>
      </c>
      <c r="AY581" t="b">
        <f>+ISNUMBER(SEARCH(CompConta!$F$24,Tabla11[[#This Row],[Cuenta]],1))</f>
        <v>1</v>
      </c>
      <c r="AZ581" t="b">
        <f>+ISNUMBER(SEARCH(CompConta!$F$25,Tabla11[[#This Row],[Cuenta]],1))</f>
        <v>1</v>
      </c>
      <c r="BA581" t="b">
        <f>+ISNUMBER(SEARCH(CompConta!$F$26,Tabla11[[#This Row],[Cuenta]],1))</f>
        <v>1</v>
      </c>
      <c r="BB581" t="b">
        <f>+ISNUMBER(SEARCH(CompConta!$F$27,Tabla11[[#This Row],[Cuenta]],1))</f>
        <v>1</v>
      </c>
      <c r="BC581" t="b">
        <f>+ISNUMBER(SEARCH(CompConta!$F$28,Tabla11[[#This Row],[Cuenta]],1))</f>
        <v>1</v>
      </c>
      <c r="BD581" t="b">
        <f>+ISNUMBER(SEARCH(CompConta!$F$29,Tabla11[[#This Row],[Cuenta]],1))</f>
        <v>1</v>
      </c>
      <c r="BE581" t="b">
        <f>+ISNUMBER(SEARCH(CompConta!$F$30,Tabla11[[#This Row],[Cuenta]],1))</f>
        <v>1</v>
      </c>
      <c r="BF581" t="b">
        <f>+ISNUMBER(SEARCH('PAGO Compras'!$E$11,Tabla11[[#This Row],[Cuenta]],1))</f>
        <v>1</v>
      </c>
      <c r="BG581" t="b">
        <f>+ISNUMBER(SEARCH(#REF!,Tabla11[[#This Row],[Cuenta]],1))</f>
        <v>0</v>
      </c>
      <c r="BH581" t="b">
        <f>+ISNUMBER(SEARCH(#REF!,Tabla11[[#This Row],[Cuenta]],1))</f>
        <v>0</v>
      </c>
      <c r="BI581" t="b">
        <f>+ISNUMBER(SEARCH(#REF!,Tabla11[[#This Row],[Cuenta]],1))</f>
        <v>0</v>
      </c>
      <c r="BJ581" t="b">
        <f>+ISNUMBER(SEARCH(#REF!,Tabla11[[#This Row],[Cuenta]],1))</f>
        <v>0</v>
      </c>
      <c r="BS581" t="str">
        <v>270505 Intereses</v>
      </c>
      <c r="BT581" t="str">
        <v>270505 Intereses</v>
      </c>
      <c r="BU581" t="str">
        <v>270505 Intereses</v>
      </c>
      <c r="BV581" t="str">
        <v>270505 Intereses</v>
      </c>
      <c r="BZ581" t="str">
        <v>270505 Intereses</v>
      </c>
      <c r="CA581" t="str">
        <v>270505 Intereses</v>
      </c>
      <c r="CB581" t="str">
        <v>270505 Intereses</v>
      </c>
      <c r="CC581" t="str">
        <v>270505 Intereses</v>
      </c>
      <c r="CD581" t="str">
        <v>270505 Intereses</v>
      </c>
      <c r="CE581" t="str">
        <v>270505 Intereses</v>
      </c>
      <c r="CS581" s="141" t="str">
        <v>270505 Intereses</v>
      </c>
      <c r="CT581" s="141" t="str">
        <v>270505 Intereses</v>
      </c>
      <c r="CU581" s="141" t="str">
        <v>270505 Intereses</v>
      </c>
      <c r="CV581" s="141" t="str">
        <v>270505 Intereses</v>
      </c>
      <c r="CW581" s="141" t="str">
        <v>270505 Intereses</v>
      </c>
      <c r="CX581" s="141" t="str">
        <v>270505 Intereses</v>
      </c>
      <c r="CY581" s="141" t="str">
        <v>270505 Intereses</v>
      </c>
      <c r="CZ581" s="141" t="str">
        <v>270505 Intereses</v>
      </c>
      <c r="DA581" s="141" t="str">
        <v>270505 Intereses</v>
      </c>
      <c r="DF581" t="str">
        <v>270505 Intereses</v>
      </c>
      <c r="DG581" t="str">
        <v>270505 Intereses</v>
      </c>
      <c r="DH581" t="str">
        <v>270505 Intereses</v>
      </c>
      <c r="DI581" t="str">
        <v>270505 Intereses</v>
      </c>
      <c r="DJ581" t="str">
        <v>270505 Intereses</v>
      </c>
      <c r="DK581" t="str">
        <v>270505 Intereses</v>
      </c>
      <c r="DL581" t="str">
        <v>270505 Intereses</v>
      </c>
      <c r="DM581" t="str">
        <v>270505 Intereses</v>
      </c>
      <c r="DN581" t="str">
        <v>270505 Intereses</v>
      </c>
      <c r="DO581" t="str">
        <v>270505 Intereses</v>
      </c>
      <c r="DP581" t="str">
        <v>270505 Intereses</v>
      </c>
    </row>
    <row r="582" spans="4:120" ht="12.75">
      <c r="D582" s="7">
        <v>270510</v>
      </c>
      <c r="E582" s="6" t="s">
        <v>74</v>
      </c>
      <c r="F582" s="5">
        <v>4</v>
      </c>
      <c r="G582" s="34" t="s">
        <v>823</v>
      </c>
      <c r="H582" s="26" t="s">
        <v>765</v>
      </c>
      <c r="I582" t="b">
        <f>+ISNUMBER(SEARCH('F-COMPRA'!$F$28,Tabla11[[#This Row],[Cuenta]],1))</f>
        <v>1</v>
      </c>
      <c r="J582" t="b">
        <f>+ISNUMBER(SEARCH('F-COMPRA'!$F$29,Tabla11[[#This Row],[Cuenta]],1))</f>
        <v>1</v>
      </c>
      <c r="K582" t="b">
        <f>+ISNUMBER(SEARCH('F-COMPRA'!$F$30,Tabla11[[#This Row],[Cuenta]],1))</f>
        <v>1</v>
      </c>
      <c r="L582" t="b">
        <f>+ISNUMBER(SEARCH('F-COMPRA'!$F$31,Tabla11[[#This Row],[Cuenta]],1))</f>
        <v>1</v>
      </c>
      <c r="M582" t="b">
        <f>+ISNUMBER(SEARCH('F-COMPRA'!$G$25,Tabla11[[#This Row],[Cuenta]],1))</f>
        <v>0</v>
      </c>
      <c r="N582" t="b">
        <f>+ISNUMBER(SEARCH(#REF!,Tabla11[[#This Row],[Cuenta]],1))</f>
        <v>0</v>
      </c>
      <c r="O582" t="b">
        <f>+ISNUMBER(SEARCH(#REF!,Tabla11[[#This Row],[Cuenta]],1))</f>
        <v>0</v>
      </c>
      <c r="P582" t="b">
        <f>+ISNUMBER(SEARCH('F-COMPRA'!$F$32,Tabla11[[#This Row],[Cuenta]],1))</f>
        <v>1</v>
      </c>
      <c r="Q582" t="b">
        <f>+ISNUMBER(SEARCH('F-COMPRA'!$F$33,Tabla11[[#This Row],[Cuenta]],1))</f>
        <v>1</v>
      </c>
      <c r="R582" t="b">
        <f>+ISNUMBER(SEARCH('F-COMPRA'!$F$34,Tabla11[[#This Row],[Cuenta]],1))</f>
        <v>1</v>
      </c>
      <c r="S582" t="b">
        <f>+ISNUMBER(SEARCH('F-COMPRA'!$F$35,Tabla11[[#This Row],[Cuenta]],1))</f>
        <v>1</v>
      </c>
      <c r="T582" t="b">
        <f>+ISNUMBER(SEARCH('F-COMPRA'!$F$36,Tabla11[[#This Row],[Cuenta]],1))</f>
        <v>1</v>
      </c>
      <c r="U582" t="b">
        <f>+ISNUMBER(SEARCH('F-COMPRA'!$F$37,Tabla11[[#This Row],[Cuenta]],1))</f>
        <v>1</v>
      </c>
      <c r="V582" t="b">
        <f>+ISNUMBER(SEARCH(#REF!,Tabla11[[#This Row],[Cuenta]],1))</f>
        <v>0</v>
      </c>
      <c r="W582" t="b">
        <f>+ISNUMBER(SEARCH('F-COMPRA'!#REF!,Tabla11[[#This Row],[Cuenta]],1))</f>
        <v>0</v>
      </c>
      <c r="X582" t="b">
        <f>+ISNUMBER(SEARCH('F-COMPRA'!#REF!,Tabla11[[#This Row],[Cuenta]],1))</f>
        <v>0</v>
      </c>
      <c r="Y582" t="b">
        <f>+ISNUMBER(SEARCH('F-COMPRA'!#REF!,Tabla11[[#This Row],[Cuenta]],1))</f>
        <v>0</v>
      </c>
      <c r="Z582" t="b">
        <f>+ISNUMBER(SEARCH('F-COMPRA'!#REF!,Tabla11[[#This Row],[Cuenta]],1))</f>
        <v>0</v>
      </c>
      <c r="AA582" t="b">
        <f>+ISNUMBER(SEARCH('F-COMPRA'!#REF!,Tabla11[[#This Row],[Cuenta]],1))</f>
        <v>0</v>
      </c>
      <c r="AB582" t="b">
        <f>+ISNUMBER(SEARCH('F-COMPRA'!#REF!,Tabla11[[#This Row],[Cuenta]],1))</f>
        <v>0</v>
      </c>
      <c r="AC582" t="b">
        <f>+ISNUMBER(SEARCH('F-COMPRA'!#REF!,Tabla11[[#This Row],[Cuenta]],1))</f>
        <v>0</v>
      </c>
      <c r="AD582" t="b">
        <f>+ISNUMBER(SEARCH('F-COMPRA'!#REF!,Tabla11[[#This Row],[Cuenta]],1))</f>
        <v>0</v>
      </c>
      <c r="AE582" t="b">
        <f>+ISNUMBER(SEARCH('F-COMPRA'!#REF!,Tabla11[[#This Row],[Cuenta]],1))</f>
        <v>0</v>
      </c>
      <c r="AF582" t="b">
        <f>+ISNUMBER(SEARCH('F-VTA'!$G$23,Tabla11[[#This Row],[Cuenta]],1))</f>
        <v>0</v>
      </c>
      <c r="AG582" t="b">
        <f>+ISNUMBER(SEARCH('F-VTA'!$G$24,Tabla11[[#This Row],[Cuenta]],1))</f>
        <v>0</v>
      </c>
      <c r="AH582" t="b">
        <f>+ISNUMBER(SEARCH('F-VTA'!$G$25,Tabla11[[#This Row],[Cuenta]],1))</f>
        <v>0</v>
      </c>
      <c r="AI582" t="b">
        <f>+ISNUMBER(SEARCH('F-VTA'!$F$28,Tabla11[[#This Row],[Cuenta]],1))</f>
        <v>1</v>
      </c>
      <c r="AJ582" t="b">
        <f>+ISNUMBER(SEARCH('F-VTA'!$F$29,Tabla11[[#This Row],[Cuenta]],1))</f>
        <v>1</v>
      </c>
      <c r="AK582" t="b">
        <f>+ISNUMBER(SEARCH('F-VTA'!$F$30,Tabla11[[#This Row],[Cuenta]],1))</f>
        <v>1</v>
      </c>
      <c r="AL582" t="b">
        <f>+ISNUMBER(SEARCH('F-VTA'!$F$31,Tabla11[[#This Row],[Cuenta]],1))</f>
        <v>1</v>
      </c>
      <c r="AM582" t="b">
        <f>+ISNUMBER(SEARCH('F-VTA'!$F$32,Tabla11[[#This Row],[Cuenta]],1))</f>
        <v>1</v>
      </c>
      <c r="AN582" t="b">
        <f>+ISNUMBER(SEARCH('F-VTA'!$F$33,Tabla11[[#This Row],[Cuenta]],1))</f>
        <v>1</v>
      </c>
      <c r="AO582" t="b">
        <f>+ISNUMBER(SEARCH('F-VTA'!$F$34,Tabla11[[#This Row],[Cuenta]],1))</f>
        <v>1</v>
      </c>
      <c r="AP582" t="b">
        <f>+ISNUMBER(SEARCH('F-VTA'!$F$35,Tabla11[[#This Row],[Cuenta]],1))</f>
        <v>1</v>
      </c>
      <c r="AQ582" t="b">
        <f>+ISNUMBER(SEARCH('F-VTA'!$F$36,Tabla11[[#This Row],[Cuenta]],1))</f>
        <v>1</v>
      </c>
      <c r="AR582" t="b">
        <f>+ISNUMBER(SEARCH(#REF!,Tabla11[[#This Row],[Cuenta]],1))</f>
        <v>0</v>
      </c>
      <c r="AS582" t="b">
        <f>+ISNUMBER(SEARCH(#REF!,Tabla11[[#This Row],[Cuenta]],1))</f>
        <v>0</v>
      </c>
      <c r="AT582" t="b">
        <f>+ISNUMBER(SEARCH(#REF!,Tabla11[[#This Row],[Cuenta]],1))</f>
        <v>0</v>
      </c>
      <c r="AU582" t="b">
        <f>+ISNUMBER(SEARCH('Conc. Ban.1'!$I$9,Tabla11[[#This Row],[Cuenta]],1))</f>
        <v>0</v>
      </c>
      <c r="AV582" t="b">
        <f>+ISNUMBER(SEARCH(CompConta!$F$21,Tabla11[[#This Row],[Cuenta]],1))</f>
        <v>1</v>
      </c>
      <c r="AW582" t="b">
        <f>+ISNUMBER(SEARCH(CompConta!$F$22,Tabla11[[#This Row],[Cuenta]],1))</f>
        <v>1</v>
      </c>
      <c r="AX582" t="b">
        <f>+ISNUMBER(SEARCH(CompConta!$F$23,Tabla11[[#This Row],[Cuenta]],1))</f>
        <v>1</v>
      </c>
      <c r="AY582" t="b">
        <f>+ISNUMBER(SEARCH(CompConta!$F$24,Tabla11[[#This Row],[Cuenta]],1))</f>
        <v>1</v>
      </c>
      <c r="AZ582" t="b">
        <f>+ISNUMBER(SEARCH(CompConta!$F$25,Tabla11[[#This Row],[Cuenta]],1))</f>
        <v>1</v>
      </c>
      <c r="BA582" t="b">
        <f>+ISNUMBER(SEARCH(CompConta!$F$26,Tabla11[[#This Row],[Cuenta]],1))</f>
        <v>1</v>
      </c>
      <c r="BB582" t="b">
        <f>+ISNUMBER(SEARCH(CompConta!$F$27,Tabla11[[#This Row],[Cuenta]],1))</f>
        <v>1</v>
      </c>
      <c r="BC582" t="b">
        <f>+ISNUMBER(SEARCH(CompConta!$F$28,Tabla11[[#This Row],[Cuenta]],1))</f>
        <v>1</v>
      </c>
      <c r="BD582" t="b">
        <f>+ISNUMBER(SEARCH(CompConta!$F$29,Tabla11[[#This Row],[Cuenta]],1))</f>
        <v>1</v>
      </c>
      <c r="BE582" t="b">
        <f>+ISNUMBER(SEARCH(CompConta!$F$30,Tabla11[[#This Row],[Cuenta]],1))</f>
        <v>1</v>
      </c>
      <c r="BF582" t="b">
        <f>+ISNUMBER(SEARCH('PAGO Compras'!$E$11,Tabla11[[#This Row],[Cuenta]],1))</f>
        <v>1</v>
      </c>
      <c r="BG582" t="b">
        <f>+ISNUMBER(SEARCH(#REF!,Tabla11[[#This Row],[Cuenta]],1))</f>
        <v>0</v>
      </c>
      <c r="BH582" t="b">
        <f>+ISNUMBER(SEARCH(#REF!,Tabla11[[#This Row],[Cuenta]],1))</f>
        <v>0</v>
      </c>
      <c r="BI582" t="b">
        <f>+ISNUMBER(SEARCH(#REF!,Tabla11[[#This Row],[Cuenta]],1))</f>
        <v>0</v>
      </c>
      <c r="BJ582" t="b">
        <f>+ISNUMBER(SEARCH(#REF!,Tabla11[[#This Row],[Cuenta]],1))</f>
        <v>0</v>
      </c>
      <c r="BS582" t="str">
        <v>270510 Comisiones</v>
      </c>
      <c r="BT582" t="str">
        <v>270510 Comisiones</v>
      </c>
      <c r="BU582" t="str">
        <v>270510 Comisiones</v>
      </c>
      <c r="BV582" t="str">
        <v>270510 Comisiones</v>
      </c>
      <c r="BZ582" t="str">
        <v>270510 Comisiones</v>
      </c>
      <c r="CA582" t="str">
        <v>270510 Comisiones</v>
      </c>
      <c r="CB582" t="str">
        <v>270510 Comisiones</v>
      </c>
      <c r="CC582" t="str">
        <v>270510 Comisiones</v>
      </c>
      <c r="CD582" t="str">
        <v>270510 Comisiones</v>
      </c>
      <c r="CE582" t="str">
        <v>270510 Comisiones</v>
      </c>
      <c r="CS582" s="141" t="str">
        <v>270510 Comisiones</v>
      </c>
      <c r="CT582" s="141" t="str">
        <v>270510 Comisiones</v>
      </c>
      <c r="CU582" s="141" t="str">
        <v>270510 Comisiones</v>
      </c>
      <c r="CV582" s="141" t="str">
        <v>270510 Comisiones</v>
      </c>
      <c r="CW582" s="141" t="str">
        <v>270510 Comisiones</v>
      </c>
      <c r="CX582" s="141" t="str">
        <v>270510 Comisiones</v>
      </c>
      <c r="CY582" s="141" t="str">
        <v>270510 Comisiones</v>
      </c>
      <c r="CZ582" s="141" t="str">
        <v>270510 Comisiones</v>
      </c>
      <c r="DA582" s="141" t="str">
        <v>270510 Comisiones</v>
      </c>
      <c r="DF582" t="str">
        <v>270510 Comisiones</v>
      </c>
      <c r="DG582" t="str">
        <v>270510 Comisiones</v>
      </c>
      <c r="DH582" t="str">
        <v>270510 Comisiones</v>
      </c>
      <c r="DI582" t="str">
        <v>270510 Comisiones</v>
      </c>
      <c r="DJ582" t="str">
        <v>270510 Comisiones</v>
      </c>
      <c r="DK582" t="str">
        <v>270510 Comisiones</v>
      </c>
      <c r="DL582" t="str">
        <v>270510 Comisiones</v>
      </c>
      <c r="DM582" t="str">
        <v>270510 Comisiones</v>
      </c>
      <c r="DN582" t="str">
        <v>270510 Comisiones</v>
      </c>
      <c r="DO582" t="str">
        <v>270510 Comisiones</v>
      </c>
      <c r="DP582" t="str">
        <v>270510 Comisiones</v>
      </c>
    </row>
    <row r="583" spans="4:120" ht="12.75">
      <c r="D583" s="7">
        <v>270515</v>
      </c>
      <c r="E583" s="6" t="s">
        <v>77</v>
      </c>
      <c r="F583" s="5">
        <v>4</v>
      </c>
      <c r="G583" s="34" t="s">
        <v>823</v>
      </c>
      <c r="H583" s="26" t="s">
        <v>765</v>
      </c>
      <c r="I583" t="b">
        <f>+ISNUMBER(SEARCH('F-COMPRA'!$F$28,Tabla11[[#This Row],[Cuenta]],1))</f>
        <v>1</v>
      </c>
      <c r="J583" t="b">
        <f>+ISNUMBER(SEARCH('F-COMPRA'!$F$29,Tabla11[[#This Row],[Cuenta]],1))</f>
        <v>1</v>
      </c>
      <c r="K583" t="b">
        <f>+ISNUMBER(SEARCH('F-COMPRA'!$F$30,Tabla11[[#This Row],[Cuenta]],1))</f>
        <v>1</v>
      </c>
      <c r="L583" t="b">
        <f>+ISNUMBER(SEARCH('F-COMPRA'!$F$31,Tabla11[[#This Row],[Cuenta]],1))</f>
        <v>1</v>
      </c>
      <c r="M583" t="b">
        <f>+ISNUMBER(SEARCH('F-COMPRA'!$G$25,Tabla11[[#This Row],[Cuenta]],1))</f>
        <v>0</v>
      </c>
      <c r="N583" t="b">
        <f>+ISNUMBER(SEARCH(#REF!,Tabla11[[#This Row],[Cuenta]],1))</f>
        <v>0</v>
      </c>
      <c r="O583" t="b">
        <f>+ISNUMBER(SEARCH(#REF!,Tabla11[[#This Row],[Cuenta]],1))</f>
        <v>0</v>
      </c>
      <c r="P583" t="b">
        <f>+ISNUMBER(SEARCH('F-COMPRA'!$F$32,Tabla11[[#This Row],[Cuenta]],1))</f>
        <v>1</v>
      </c>
      <c r="Q583" t="b">
        <f>+ISNUMBER(SEARCH('F-COMPRA'!$F$33,Tabla11[[#This Row],[Cuenta]],1))</f>
        <v>1</v>
      </c>
      <c r="R583" t="b">
        <f>+ISNUMBER(SEARCH('F-COMPRA'!$F$34,Tabla11[[#This Row],[Cuenta]],1))</f>
        <v>1</v>
      </c>
      <c r="S583" t="b">
        <f>+ISNUMBER(SEARCH('F-COMPRA'!$F$35,Tabla11[[#This Row],[Cuenta]],1))</f>
        <v>1</v>
      </c>
      <c r="T583" t="b">
        <f>+ISNUMBER(SEARCH('F-COMPRA'!$F$36,Tabla11[[#This Row],[Cuenta]],1))</f>
        <v>1</v>
      </c>
      <c r="U583" t="b">
        <f>+ISNUMBER(SEARCH('F-COMPRA'!$F$37,Tabla11[[#This Row],[Cuenta]],1))</f>
        <v>1</v>
      </c>
      <c r="V583" t="b">
        <f>+ISNUMBER(SEARCH(#REF!,Tabla11[[#This Row],[Cuenta]],1))</f>
        <v>0</v>
      </c>
      <c r="W583" t="b">
        <f>+ISNUMBER(SEARCH('F-COMPRA'!#REF!,Tabla11[[#This Row],[Cuenta]],1))</f>
        <v>0</v>
      </c>
      <c r="X583" t="b">
        <f>+ISNUMBER(SEARCH('F-COMPRA'!#REF!,Tabla11[[#This Row],[Cuenta]],1))</f>
        <v>0</v>
      </c>
      <c r="Y583" t="b">
        <f>+ISNUMBER(SEARCH('F-COMPRA'!#REF!,Tabla11[[#This Row],[Cuenta]],1))</f>
        <v>0</v>
      </c>
      <c r="Z583" t="b">
        <f>+ISNUMBER(SEARCH('F-COMPRA'!#REF!,Tabla11[[#This Row],[Cuenta]],1))</f>
        <v>0</v>
      </c>
      <c r="AA583" t="b">
        <f>+ISNUMBER(SEARCH('F-COMPRA'!#REF!,Tabla11[[#This Row],[Cuenta]],1))</f>
        <v>0</v>
      </c>
      <c r="AB583" t="b">
        <f>+ISNUMBER(SEARCH('F-COMPRA'!#REF!,Tabla11[[#This Row],[Cuenta]],1))</f>
        <v>0</v>
      </c>
      <c r="AC583" t="b">
        <f>+ISNUMBER(SEARCH('F-COMPRA'!#REF!,Tabla11[[#This Row],[Cuenta]],1))</f>
        <v>0</v>
      </c>
      <c r="AD583" t="b">
        <f>+ISNUMBER(SEARCH('F-COMPRA'!#REF!,Tabla11[[#This Row],[Cuenta]],1))</f>
        <v>0</v>
      </c>
      <c r="AE583" t="b">
        <f>+ISNUMBER(SEARCH('F-COMPRA'!#REF!,Tabla11[[#This Row],[Cuenta]],1))</f>
        <v>0</v>
      </c>
      <c r="AF583" t="b">
        <f>+ISNUMBER(SEARCH('F-VTA'!$G$23,Tabla11[[#This Row],[Cuenta]],1))</f>
        <v>0</v>
      </c>
      <c r="AG583" t="b">
        <f>+ISNUMBER(SEARCH('F-VTA'!$G$24,Tabla11[[#This Row],[Cuenta]],1))</f>
        <v>0</v>
      </c>
      <c r="AH583" t="b">
        <f>+ISNUMBER(SEARCH('F-VTA'!$G$25,Tabla11[[#This Row],[Cuenta]],1))</f>
        <v>0</v>
      </c>
      <c r="AI583" t="b">
        <f>+ISNUMBER(SEARCH('F-VTA'!$F$28,Tabla11[[#This Row],[Cuenta]],1))</f>
        <v>1</v>
      </c>
      <c r="AJ583" t="b">
        <f>+ISNUMBER(SEARCH('F-VTA'!$F$29,Tabla11[[#This Row],[Cuenta]],1))</f>
        <v>1</v>
      </c>
      <c r="AK583" t="b">
        <f>+ISNUMBER(SEARCH('F-VTA'!$F$30,Tabla11[[#This Row],[Cuenta]],1))</f>
        <v>1</v>
      </c>
      <c r="AL583" t="b">
        <f>+ISNUMBER(SEARCH('F-VTA'!$F$31,Tabla11[[#This Row],[Cuenta]],1))</f>
        <v>1</v>
      </c>
      <c r="AM583" t="b">
        <f>+ISNUMBER(SEARCH('F-VTA'!$F$32,Tabla11[[#This Row],[Cuenta]],1))</f>
        <v>1</v>
      </c>
      <c r="AN583" t="b">
        <f>+ISNUMBER(SEARCH('F-VTA'!$F$33,Tabla11[[#This Row],[Cuenta]],1))</f>
        <v>1</v>
      </c>
      <c r="AO583" t="b">
        <f>+ISNUMBER(SEARCH('F-VTA'!$F$34,Tabla11[[#This Row],[Cuenta]],1))</f>
        <v>1</v>
      </c>
      <c r="AP583" t="b">
        <f>+ISNUMBER(SEARCH('F-VTA'!$F$35,Tabla11[[#This Row],[Cuenta]],1))</f>
        <v>1</v>
      </c>
      <c r="AQ583" t="b">
        <f>+ISNUMBER(SEARCH('F-VTA'!$F$36,Tabla11[[#This Row],[Cuenta]],1))</f>
        <v>1</v>
      </c>
      <c r="AR583" t="b">
        <f>+ISNUMBER(SEARCH(#REF!,Tabla11[[#This Row],[Cuenta]],1))</f>
        <v>0</v>
      </c>
      <c r="AS583" t="b">
        <f>+ISNUMBER(SEARCH(#REF!,Tabla11[[#This Row],[Cuenta]],1))</f>
        <v>0</v>
      </c>
      <c r="AT583" t="b">
        <f>+ISNUMBER(SEARCH(#REF!,Tabla11[[#This Row],[Cuenta]],1))</f>
        <v>0</v>
      </c>
      <c r="AU583" t="b">
        <f>+ISNUMBER(SEARCH('Conc. Ban.1'!$I$9,Tabla11[[#This Row],[Cuenta]],1))</f>
        <v>0</v>
      </c>
      <c r="AV583" t="b">
        <f>+ISNUMBER(SEARCH(CompConta!$F$21,Tabla11[[#This Row],[Cuenta]],1))</f>
        <v>1</v>
      </c>
      <c r="AW583" t="b">
        <f>+ISNUMBER(SEARCH(CompConta!$F$22,Tabla11[[#This Row],[Cuenta]],1))</f>
        <v>1</v>
      </c>
      <c r="AX583" t="b">
        <f>+ISNUMBER(SEARCH(CompConta!$F$23,Tabla11[[#This Row],[Cuenta]],1))</f>
        <v>1</v>
      </c>
      <c r="AY583" t="b">
        <f>+ISNUMBER(SEARCH(CompConta!$F$24,Tabla11[[#This Row],[Cuenta]],1))</f>
        <v>1</v>
      </c>
      <c r="AZ583" t="b">
        <f>+ISNUMBER(SEARCH(CompConta!$F$25,Tabla11[[#This Row],[Cuenta]],1))</f>
        <v>1</v>
      </c>
      <c r="BA583" t="b">
        <f>+ISNUMBER(SEARCH(CompConta!$F$26,Tabla11[[#This Row],[Cuenta]],1))</f>
        <v>1</v>
      </c>
      <c r="BB583" t="b">
        <f>+ISNUMBER(SEARCH(CompConta!$F$27,Tabla11[[#This Row],[Cuenta]],1))</f>
        <v>1</v>
      </c>
      <c r="BC583" t="b">
        <f>+ISNUMBER(SEARCH(CompConta!$F$28,Tabla11[[#This Row],[Cuenta]],1))</f>
        <v>1</v>
      </c>
      <c r="BD583" t="b">
        <f>+ISNUMBER(SEARCH(CompConta!$F$29,Tabla11[[#This Row],[Cuenta]],1))</f>
        <v>1</v>
      </c>
      <c r="BE583" t="b">
        <f>+ISNUMBER(SEARCH(CompConta!$F$30,Tabla11[[#This Row],[Cuenta]],1))</f>
        <v>1</v>
      </c>
      <c r="BF583" t="b">
        <f>+ISNUMBER(SEARCH('PAGO Compras'!$E$11,Tabla11[[#This Row],[Cuenta]],1))</f>
        <v>1</v>
      </c>
      <c r="BG583" t="b">
        <f>+ISNUMBER(SEARCH(#REF!,Tabla11[[#This Row],[Cuenta]],1))</f>
        <v>0</v>
      </c>
      <c r="BH583" t="b">
        <f>+ISNUMBER(SEARCH(#REF!,Tabla11[[#This Row],[Cuenta]],1))</f>
        <v>0</v>
      </c>
      <c r="BI583" t="b">
        <f>+ISNUMBER(SEARCH(#REF!,Tabla11[[#This Row],[Cuenta]],1))</f>
        <v>0</v>
      </c>
      <c r="BJ583" t="b">
        <f>+ISNUMBER(SEARCH(#REF!,Tabla11[[#This Row],[Cuenta]],1))</f>
        <v>0</v>
      </c>
      <c r="BS583" t="str">
        <v>270515 Arrendamientos</v>
      </c>
      <c r="BT583" t="str">
        <v>270515 Arrendamientos</v>
      </c>
      <c r="BU583" t="str">
        <v>270515 Arrendamientos</v>
      </c>
      <c r="BV583" t="str">
        <v>270515 Arrendamientos</v>
      </c>
      <c r="BZ583" t="str">
        <v>270515 Arrendamientos</v>
      </c>
      <c r="CA583" t="str">
        <v>270515 Arrendamientos</v>
      </c>
      <c r="CB583" t="str">
        <v>270515 Arrendamientos</v>
      </c>
      <c r="CC583" t="str">
        <v>270515 Arrendamientos</v>
      </c>
      <c r="CD583" t="str">
        <v>270515 Arrendamientos</v>
      </c>
      <c r="CE583" t="str">
        <v>270515 Arrendamientos</v>
      </c>
      <c r="CS583" s="141" t="str">
        <v>270515 Arrendamientos</v>
      </c>
      <c r="CT583" s="141" t="str">
        <v>270515 Arrendamientos</v>
      </c>
      <c r="CU583" s="141" t="str">
        <v>270515 Arrendamientos</v>
      </c>
      <c r="CV583" s="141" t="str">
        <v>270515 Arrendamientos</v>
      </c>
      <c r="CW583" s="141" t="str">
        <v>270515 Arrendamientos</v>
      </c>
      <c r="CX583" s="141" t="str">
        <v>270515 Arrendamientos</v>
      </c>
      <c r="CY583" s="141" t="str">
        <v>270515 Arrendamientos</v>
      </c>
      <c r="CZ583" s="141" t="str">
        <v>270515 Arrendamientos</v>
      </c>
      <c r="DA583" s="141" t="str">
        <v>270515 Arrendamientos</v>
      </c>
      <c r="DF583" t="str">
        <v>270515 Arrendamientos</v>
      </c>
      <c r="DG583" t="str">
        <v>270515 Arrendamientos</v>
      </c>
      <c r="DH583" t="str">
        <v>270515 Arrendamientos</v>
      </c>
      <c r="DI583" t="str">
        <v>270515 Arrendamientos</v>
      </c>
      <c r="DJ583" t="str">
        <v>270515 Arrendamientos</v>
      </c>
      <c r="DK583" t="str">
        <v>270515 Arrendamientos</v>
      </c>
      <c r="DL583" t="str">
        <v>270515 Arrendamientos</v>
      </c>
      <c r="DM583" t="str">
        <v>270515 Arrendamientos</v>
      </c>
      <c r="DN583" t="str">
        <v>270515 Arrendamientos</v>
      </c>
      <c r="DO583" t="str">
        <v>270515 Arrendamientos</v>
      </c>
      <c r="DP583" t="str">
        <v>270515 Arrendamientos</v>
      </c>
    </row>
    <row r="584" spans="4:120" ht="12.75">
      <c r="D584" s="7">
        <v>270520</v>
      </c>
      <c r="E584" s="6" t="s">
        <v>75</v>
      </c>
      <c r="F584" s="5">
        <v>4</v>
      </c>
      <c r="G584" s="34" t="s">
        <v>823</v>
      </c>
      <c r="H584" s="26" t="s">
        <v>765</v>
      </c>
      <c r="I584" t="b">
        <f>+ISNUMBER(SEARCH('F-COMPRA'!$F$28,Tabla11[[#This Row],[Cuenta]],1))</f>
        <v>1</v>
      </c>
      <c r="J584" t="b">
        <f>+ISNUMBER(SEARCH('F-COMPRA'!$F$29,Tabla11[[#This Row],[Cuenta]],1))</f>
        <v>1</v>
      </c>
      <c r="K584" t="b">
        <f>+ISNUMBER(SEARCH('F-COMPRA'!$F$30,Tabla11[[#This Row],[Cuenta]],1))</f>
        <v>1</v>
      </c>
      <c r="L584" t="b">
        <f>+ISNUMBER(SEARCH('F-COMPRA'!$F$31,Tabla11[[#This Row],[Cuenta]],1))</f>
        <v>1</v>
      </c>
      <c r="M584" t="b">
        <f>+ISNUMBER(SEARCH('F-COMPRA'!$G$25,Tabla11[[#This Row],[Cuenta]],1))</f>
        <v>0</v>
      </c>
      <c r="N584" t="b">
        <f>+ISNUMBER(SEARCH(#REF!,Tabla11[[#This Row],[Cuenta]],1))</f>
        <v>0</v>
      </c>
      <c r="O584" t="b">
        <f>+ISNUMBER(SEARCH(#REF!,Tabla11[[#This Row],[Cuenta]],1))</f>
        <v>0</v>
      </c>
      <c r="P584" t="b">
        <f>+ISNUMBER(SEARCH('F-COMPRA'!$F$32,Tabla11[[#This Row],[Cuenta]],1))</f>
        <v>1</v>
      </c>
      <c r="Q584" t="b">
        <f>+ISNUMBER(SEARCH('F-COMPRA'!$F$33,Tabla11[[#This Row],[Cuenta]],1))</f>
        <v>1</v>
      </c>
      <c r="R584" t="b">
        <f>+ISNUMBER(SEARCH('F-COMPRA'!$F$34,Tabla11[[#This Row],[Cuenta]],1))</f>
        <v>1</v>
      </c>
      <c r="S584" t="b">
        <f>+ISNUMBER(SEARCH('F-COMPRA'!$F$35,Tabla11[[#This Row],[Cuenta]],1))</f>
        <v>1</v>
      </c>
      <c r="T584" t="b">
        <f>+ISNUMBER(SEARCH('F-COMPRA'!$F$36,Tabla11[[#This Row],[Cuenta]],1))</f>
        <v>1</v>
      </c>
      <c r="U584" t="b">
        <f>+ISNUMBER(SEARCH('F-COMPRA'!$F$37,Tabla11[[#This Row],[Cuenta]],1))</f>
        <v>1</v>
      </c>
      <c r="V584" t="b">
        <f>+ISNUMBER(SEARCH(#REF!,Tabla11[[#This Row],[Cuenta]],1))</f>
        <v>0</v>
      </c>
      <c r="W584" t="b">
        <f>+ISNUMBER(SEARCH('F-COMPRA'!#REF!,Tabla11[[#This Row],[Cuenta]],1))</f>
        <v>0</v>
      </c>
      <c r="X584" t="b">
        <f>+ISNUMBER(SEARCH('F-COMPRA'!#REF!,Tabla11[[#This Row],[Cuenta]],1))</f>
        <v>0</v>
      </c>
      <c r="Y584" t="b">
        <f>+ISNUMBER(SEARCH('F-COMPRA'!#REF!,Tabla11[[#This Row],[Cuenta]],1))</f>
        <v>0</v>
      </c>
      <c r="Z584" t="b">
        <f>+ISNUMBER(SEARCH('F-COMPRA'!#REF!,Tabla11[[#This Row],[Cuenta]],1))</f>
        <v>0</v>
      </c>
      <c r="AA584" t="b">
        <f>+ISNUMBER(SEARCH('F-COMPRA'!#REF!,Tabla11[[#This Row],[Cuenta]],1))</f>
        <v>0</v>
      </c>
      <c r="AB584" t="b">
        <f>+ISNUMBER(SEARCH('F-COMPRA'!#REF!,Tabla11[[#This Row],[Cuenta]],1))</f>
        <v>0</v>
      </c>
      <c r="AC584" t="b">
        <f>+ISNUMBER(SEARCH('F-COMPRA'!#REF!,Tabla11[[#This Row],[Cuenta]],1))</f>
        <v>0</v>
      </c>
      <c r="AD584" t="b">
        <f>+ISNUMBER(SEARCH('F-COMPRA'!#REF!,Tabla11[[#This Row],[Cuenta]],1))</f>
        <v>0</v>
      </c>
      <c r="AE584" t="b">
        <f>+ISNUMBER(SEARCH('F-COMPRA'!#REF!,Tabla11[[#This Row],[Cuenta]],1))</f>
        <v>0</v>
      </c>
      <c r="AF584" t="b">
        <f>+ISNUMBER(SEARCH('F-VTA'!$G$23,Tabla11[[#This Row],[Cuenta]],1))</f>
        <v>0</v>
      </c>
      <c r="AG584" t="b">
        <f>+ISNUMBER(SEARCH('F-VTA'!$G$24,Tabla11[[#This Row],[Cuenta]],1))</f>
        <v>0</v>
      </c>
      <c r="AH584" t="b">
        <f>+ISNUMBER(SEARCH('F-VTA'!$G$25,Tabla11[[#This Row],[Cuenta]],1))</f>
        <v>0</v>
      </c>
      <c r="AI584" t="b">
        <f>+ISNUMBER(SEARCH('F-VTA'!$F$28,Tabla11[[#This Row],[Cuenta]],1))</f>
        <v>1</v>
      </c>
      <c r="AJ584" t="b">
        <f>+ISNUMBER(SEARCH('F-VTA'!$F$29,Tabla11[[#This Row],[Cuenta]],1))</f>
        <v>1</v>
      </c>
      <c r="AK584" t="b">
        <f>+ISNUMBER(SEARCH('F-VTA'!$F$30,Tabla11[[#This Row],[Cuenta]],1))</f>
        <v>1</v>
      </c>
      <c r="AL584" t="b">
        <f>+ISNUMBER(SEARCH('F-VTA'!$F$31,Tabla11[[#This Row],[Cuenta]],1))</f>
        <v>1</v>
      </c>
      <c r="AM584" t="b">
        <f>+ISNUMBER(SEARCH('F-VTA'!$F$32,Tabla11[[#This Row],[Cuenta]],1))</f>
        <v>1</v>
      </c>
      <c r="AN584" t="b">
        <f>+ISNUMBER(SEARCH('F-VTA'!$F$33,Tabla11[[#This Row],[Cuenta]],1))</f>
        <v>1</v>
      </c>
      <c r="AO584" t="b">
        <f>+ISNUMBER(SEARCH('F-VTA'!$F$34,Tabla11[[#This Row],[Cuenta]],1))</f>
        <v>1</v>
      </c>
      <c r="AP584" t="b">
        <f>+ISNUMBER(SEARCH('F-VTA'!$F$35,Tabla11[[#This Row],[Cuenta]],1))</f>
        <v>1</v>
      </c>
      <c r="AQ584" t="b">
        <f>+ISNUMBER(SEARCH('F-VTA'!$F$36,Tabla11[[#This Row],[Cuenta]],1))</f>
        <v>1</v>
      </c>
      <c r="AR584" t="b">
        <f>+ISNUMBER(SEARCH(#REF!,Tabla11[[#This Row],[Cuenta]],1))</f>
        <v>0</v>
      </c>
      <c r="AS584" t="b">
        <f>+ISNUMBER(SEARCH(#REF!,Tabla11[[#This Row],[Cuenta]],1))</f>
        <v>0</v>
      </c>
      <c r="AT584" t="b">
        <f>+ISNUMBER(SEARCH(#REF!,Tabla11[[#This Row],[Cuenta]],1))</f>
        <v>0</v>
      </c>
      <c r="AU584" t="b">
        <f>+ISNUMBER(SEARCH('Conc. Ban.1'!$I$9,Tabla11[[#This Row],[Cuenta]],1))</f>
        <v>0</v>
      </c>
      <c r="AV584" t="b">
        <f>+ISNUMBER(SEARCH(CompConta!$F$21,Tabla11[[#This Row],[Cuenta]],1))</f>
        <v>1</v>
      </c>
      <c r="AW584" t="b">
        <f>+ISNUMBER(SEARCH(CompConta!$F$22,Tabla11[[#This Row],[Cuenta]],1))</f>
        <v>1</v>
      </c>
      <c r="AX584" t="b">
        <f>+ISNUMBER(SEARCH(CompConta!$F$23,Tabla11[[#This Row],[Cuenta]],1))</f>
        <v>1</v>
      </c>
      <c r="AY584" t="b">
        <f>+ISNUMBER(SEARCH(CompConta!$F$24,Tabla11[[#This Row],[Cuenta]],1))</f>
        <v>1</v>
      </c>
      <c r="AZ584" t="b">
        <f>+ISNUMBER(SEARCH(CompConta!$F$25,Tabla11[[#This Row],[Cuenta]],1))</f>
        <v>1</v>
      </c>
      <c r="BA584" t="b">
        <f>+ISNUMBER(SEARCH(CompConta!$F$26,Tabla11[[#This Row],[Cuenta]],1))</f>
        <v>1</v>
      </c>
      <c r="BB584" t="b">
        <f>+ISNUMBER(SEARCH(CompConta!$F$27,Tabla11[[#This Row],[Cuenta]],1))</f>
        <v>1</v>
      </c>
      <c r="BC584" t="b">
        <f>+ISNUMBER(SEARCH(CompConta!$F$28,Tabla11[[#This Row],[Cuenta]],1))</f>
        <v>1</v>
      </c>
      <c r="BD584" t="b">
        <f>+ISNUMBER(SEARCH(CompConta!$F$29,Tabla11[[#This Row],[Cuenta]],1))</f>
        <v>1</v>
      </c>
      <c r="BE584" t="b">
        <f>+ISNUMBER(SEARCH(CompConta!$F$30,Tabla11[[#This Row],[Cuenta]],1))</f>
        <v>1</v>
      </c>
      <c r="BF584" t="b">
        <f>+ISNUMBER(SEARCH('PAGO Compras'!$E$11,Tabla11[[#This Row],[Cuenta]],1))</f>
        <v>1</v>
      </c>
      <c r="BG584" t="b">
        <f>+ISNUMBER(SEARCH(#REF!,Tabla11[[#This Row],[Cuenta]],1))</f>
        <v>0</v>
      </c>
      <c r="BH584" t="b">
        <f>+ISNUMBER(SEARCH(#REF!,Tabla11[[#This Row],[Cuenta]],1))</f>
        <v>0</v>
      </c>
      <c r="BI584" t="b">
        <f>+ISNUMBER(SEARCH(#REF!,Tabla11[[#This Row],[Cuenta]],1))</f>
        <v>0</v>
      </c>
      <c r="BJ584" t="b">
        <f>+ISNUMBER(SEARCH(#REF!,Tabla11[[#This Row],[Cuenta]],1))</f>
        <v>0</v>
      </c>
      <c r="BS584" t="str">
        <v>270520 Honorarios</v>
      </c>
      <c r="BT584" t="str">
        <v>270520 Honorarios</v>
      </c>
      <c r="BU584" t="str">
        <v>270520 Honorarios</v>
      </c>
      <c r="BV584" t="str">
        <v>270520 Honorarios</v>
      </c>
      <c r="BZ584" t="str">
        <v>270520 Honorarios</v>
      </c>
      <c r="CA584" t="str">
        <v>270520 Honorarios</v>
      </c>
      <c r="CB584" t="str">
        <v>270520 Honorarios</v>
      </c>
      <c r="CC584" t="str">
        <v>270520 Honorarios</v>
      </c>
      <c r="CD584" t="str">
        <v>270520 Honorarios</v>
      </c>
      <c r="CE584" t="str">
        <v>270520 Honorarios</v>
      </c>
      <c r="CS584" s="141" t="str">
        <v>270520 Honorarios</v>
      </c>
      <c r="CT584" s="141" t="str">
        <v>270520 Honorarios</v>
      </c>
      <c r="CU584" s="141" t="str">
        <v>270520 Honorarios</v>
      </c>
      <c r="CV584" s="141" t="str">
        <v>270520 Honorarios</v>
      </c>
      <c r="CW584" s="141" t="str">
        <v>270520 Honorarios</v>
      </c>
      <c r="CX584" s="141" t="str">
        <v>270520 Honorarios</v>
      </c>
      <c r="CY584" s="141" t="str">
        <v>270520 Honorarios</v>
      </c>
      <c r="CZ584" s="141" t="str">
        <v>270520 Honorarios</v>
      </c>
      <c r="DA584" s="141" t="str">
        <v>270520 Honorarios</v>
      </c>
      <c r="DF584" t="str">
        <v>270520 Honorarios</v>
      </c>
      <c r="DG584" t="str">
        <v>270520 Honorarios</v>
      </c>
      <c r="DH584" t="str">
        <v>270520 Honorarios</v>
      </c>
      <c r="DI584" t="str">
        <v>270520 Honorarios</v>
      </c>
      <c r="DJ584" t="str">
        <v>270520 Honorarios</v>
      </c>
      <c r="DK584" t="str">
        <v>270520 Honorarios</v>
      </c>
      <c r="DL584" t="str">
        <v>270520 Honorarios</v>
      </c>
      <c r="DM584" t="str">
        <v>270520 Honorarios</v>
      </c>
      <c r="DN584" t="str">
        <v>270520 Honorarios</v>
      </c>
      <c r="DO584" t="str">
        <v>270520 Honorarios</v>
      </c>
      <c r="DP584" t="str">
        <v>270520 Honorarios</v>
      </c>
    </row>
    <row r="585" spans="4:120" ht="12.75">
      <c r="D585" s="7">
        <v>270525</v>
      </c>
      <c r="E585" s="6" t="s">
        <v>317</v>
      </c>
      <c r="F585" s="5">
        <v>4</v>
      </c>
      <c r="G585" s="34" t="s">
        <v>823</v>
      </c>
      <c r="H585" s="26" t="s">
        <v>765</v>
      </c>
      <c r="I585" t="b">
        <f>+ISNUMBER(SEARCH('F-COMPRA'!$F$28,Tabla11[[#This Row],[Cuenta]],1))</f>
        <v>1</v>
      </c>
      <c r="J585" t="b">
        <f>+ISNUMBER(SEARCH('F-COMPRA'!$F$29,Tabla11[[#This Row],[Cuenta]],1))</f>
        <v>1</v>
      </c>
      <c r="K585" t="b">
        <f>+ISNUMBER(SEARCH('F-COMPRA'!$F$30,Tabla11[[#This Row],[Cuenta]],1))</f>
        <v>1</v>
      </c>
      <c r="L585" t="b">
        <f>+ISNUMBER(SEARCH('F-COMPRA'!$F$31,Tabla11[[#This Row],[Cuenta]],1))</f>
        <v>1</v>
      </c>
      <c r="M585" t="b">
        <f>+ISNUMBER(SEARCH('F-COMPRA'!$G$25,Tabla11[[#This Row],[Cuenta]],1))</f>
        <v>0</v>
      </c>
      <c r="N585" t="b">
        <f>+ISNUMBER(SEARCH(#REF!,Tabla11[[#This Row],[Cuenta]],1))</f>
        <v>0</v>
      </c>
      <c r="O585" t="b">
        <f>+ISNUMBER(SEARCH(#REF!,Tabla11[[#This Row],[Cuenta]],1))</f>
        <v>0</v>
      </c>
      <c r="P585" t="b">
        <f>+ISNUMBER(SEARCH('F-COMPRA'!$F$32,Tabla11[[#This Row],[Cuenta]],1))</f>
        <v>1</v>
      </c>
      <c r="Q585" t="b">
        <f>+ISNUMBER(SEARCH('F-COMPRA'!$F$33,Tabla11[[#This Row],[Cuenta]],1))</f>
        <v>1</v>
      </c>
      <c r="R585" t="b">
        <f>+ISNUMBER(SEARCH('F-COMPRA'!$F$34,Tabla11[[#This Row],[Cuenta]],1))</f>
        <v>1</v>
      </c>
      <c r="S585" t="b">
        <f>+ISNUMBER(SEARCH('F-COMPRA'!$F$35,Tabla11[[#This Row],[Cuenta]],1))</f>
        <v>1</v>
      </c>
      <c r="T585" t="b">
        <f>+ISNUMBER(SEARCH('F-COMPRA'!$F$36,Tabla11[[#This Row],[Cuenta]],1))</f>
        <v>1</v>
      </c>
      <c r="U585" t="b">
        <f>+ISNUMBER(SEARCH('F-COMPRA'!$F$37,Tabla11[[#This Row],[Cuenta]],1))</f>
        <v>1</v>
      </c>
      <c r="V585" t="b">
        <f>+ISNUMBER(SEARCH(#REF!,Tabla11[[#This Row],[Cuenta]],1))</f>
        <v>0</v>
      </c>
      <c r="W585" t="b">
        <f>+ISNUMBER(SEARCH('F-COMPRA'!#REF!,Tabla11[[#This Row],[Cuenta]],1))</f>
        <v>0</v>
      </c>
      <c r="X585" t="b">
        <f>+ISNUMBER(SEARCH('F-COMPRA'!#REF!,Tabla11[[#This Row],[Cuenta]],1))</f>
        <v>0</v>
      </c>
      <c r="Y585" t="b">
        <f>+ISNUMBER(SEARCH('F-COMPRA'!#REF!,Tabla11[[#This Row],[Cuenta]],1))</f>
        <v>0</v>
      </c>
      <c r="Z585" t="b">
        <f>+ISNUMBER(SEARCH('F-COMPRA'!#REF!,Tabla11[[#This Row],[Cuenta]],1))</f>
        <v>0</v>
      </c>
      <c r="AA585" t="b">
        <f>+ISNUMBER(SEARCH('F-COMPRA'!#REF!,Tabla11[[#This Row],[Cuenta]],1))</f>
        <v>0</v>
      </c>
      <c r="AB585" t="b">
        <f>+ISNUMBER(SEARCH('F-COMPRA'!#REF!,Tabla11[[#This Row],[Cuenta]],1))</f>
        <v>0</v>
      </c>
      <c r="AC585" t="b">
        <f>+ISNUMBER(SEARCH('F-COMPRA'!#REF!,Tabla11[[#This Row],[Cuenta]],1))</f>
        <v>0</v>
      </c>
      <c r="AD585" t="b">
        <f>+ISNUMBER(SEARCH('F-COMPRA'!#REF!,Tabla11[[#This Row],[Cuenta]],1))</f>
        <v>0</v>
      </c>
      <c r="AE585" t="b">
        <f>+ISNUMBER(SEARCH('F-COMPRA'!#REF!,Tabla11[[#This Row],[Cuenta]],1))</f>
        <v>0</v>
      </c>
      <c r="AF585" t="b">
        <f>+ISNUMBER(SEARCH('F-VTA'!$G$23,Tabla11[[#This Row],[Cuenta]],1))</f>
        <v>0</v>
      </c>
      <c r="AG585" t="b">
        <f>+ISNUMBER(SEARCH('F-VTA'!$G$24,Tabla11[[#This Row],[Cuenta]],1))</f>
        <v>0</v>
      </c>
      <c r="AH585" t="b">
        <f>+ISNUMBER(SEARCH('F-VTA'!$G$25,Tabla11[[#This Row],[Cuenta]],1))</f>
        <v>0</v>
      </c>
      <c r="AI585" t="b">
        <f>+ISNUMBER(SEARCH('F-VTA'!$F$28,Tabla11[[#This Row],[Cuenta]],1))</f>
        <v>1</v>
      </c>
      <c r="AJ585" t="b">
        <f>+ISNUMBER(SEARCH('F-VTA'!$F$29,Tabla11[[#This Row],[Cuenta]],1))</f>
        <v>1</v>
      </c>
      <c r="AK585" t="b">
        <f>+ISNUMBER(SEARCH('F-VTA'!$F$30,Tabla11[[#This Row],[Cuenta]],1))</f>
        <v>1</v>
      </c>
      <c r="AL585" t="b">
        <f>+ISNUMBER(SEARCH('F-VTA'!$F$31,Tabla11[[#This Row],[Cuenta]],1))</f>
        <v>1</v>
      </c>
      <c r="AM585" t="b">
        <f>+ISNUMBER(SEARCH('F-VTA'!$F$32,Tabla11[[#This Row],[Cuenta]],1))</f>
        <v>1</v>
      </c>
      <c r="AN585" t="b">
        <f>+ISNUMBER(SEARCH('F-VTA'!$F$33,Tabla11[[#This Row],[Cuenta]],1))</f>
        <v>1</v>
      </c>
      <c r="AO585" t="b">
        <f>+ISNUMBER(SEARCH('F-VTA'!$F$34,Tabla11[[#This Row],[Cuenta]],1))</f>
        <v>1</v>
      </c>
      <c r="AP585" t="b">
        <f>+ISNUMBER(SEARCH('F-VTA'!$F$35,Tabla11[[#This Row],[Cuenta]],1))</f>
        <v>1</v>
      </c>
      <c r="AQ585" t="b">
        <f>+ISNUMBER(SEARCH('F-VTA'!$F$36,Tabla11[[#This Row],[Cuenta]],1))</f>
        <v>1</v>
      </c>
      <c r="AR585" t="b">
        <f>+ISNUMBER(SEARCH(#REF!,Tabla11[[#This Row],[Cuenta]],1))</f>
        <v>0</v>
      </c>
      <c r="AS585" t="b">
        <f>+ISNUMBER(SEARCH(#REF!,Tabla11[[#This Row],[Cuenta]],1))</f>
        <v>0</v>
      </c>
      <c r="AT585" t="b">
        <f>+ISNUMBER(SEARCH(#REF!,Tabla11[[#This Row],[Cuenta]],1))</f>
        <v>0</v>
      </c>
      <c r="AU585" t="b">
        <f>+ISNUMBER(SEARCH('Conc. Ban.1'!$I$9,Tabla11[[#This Row],[Cuenta]],1))</f>
        <v>0</v>
      </c>
      <c r="AV585" t="b">
        <f>+ISNUMBER(SEARCH(CompConta!$F$21,Tabla11[[#This Row],[Cuenta]],1))</f>
        <v>1</v>
      </c>
      <c r="AW585" t="b">
        <f>+ISNUMBER(SEARCH(CompConta!$F$22,Tabla11[[#This Row],[Cuenta]],1))</f>
        <v>1</v>
      </c>
      <c r="AX585" t="b">
        <f>+ISNUMBER(SEARCH(CompConta!$F$23,Tabla11[[#This Row],[Cuenta]],1))</f>
        <v>1</v>
      </c>
      <c r="AY585" t="b">
        <f>+ISNUMBER(SEARCH(CompConta!$F$24,Tabla11[[#This Row],[Cuenta]],1))</f>
        <v>1</v>
      </c>
      <c r="AZ585" t="b">
        <f>+ISNUMBER(SEARCH(CompConta!$F$25,Tabla11[[#This Row],[Cuenta]],1))</f>
        <v>1</v>
      </c>
      <c r="BA585" t="b">
        <f>+ISNUMBER(SEARCH(CompConta!$F$26,Tabla11[[#This Row],[Cuenta]],1))</f>
        <v>1</v>
      </c>
      <c r="BB585" t="b">
        <f>+ISNUMBER(SEARCH(CompConta!$F$27,Tabla11[[#This Row],[Cuenta]],1))</f>
        <v>1</v>
      </c>
      <c r="BC585" t="b">
        <f>+ISNUMBER(SEARCH(CompConta!$F$28,Tabla11[[#This Row],[Cuenta]],1))</f>
        <v>1</v>
      </c>
      <c r="BD585" t="b">
        <f>+ISNUMBER(SEARCH(CompConta!$F$29,Tabla11[[#This Row],[Cuenta]],1))</f>
        <v>1</v>
      </c>
      <c r="BE585" t="b">
        <f>+ISNUMBER(SEARCH(CompConta!$F$30,Tabla11[[#This Row],[Cuenta]],1))</f>
        <v>1</v>
      </c>
      <c r="BF585" t="b">
        <f>+ISNUMBER(SEARCH('PAGO Compras'!$E$11,Tabla11[[#This Row],[Cuenta]],1))</f>
        <v>1</v>
      </c>
      <c r="BG585" t="b">
        <f>+ISNUMBER(SEARCH(#REF!,Tabla11[[#This Row],[Cuenta]],1))</f>
        <v>0</v>
      </c>
      <c r="BH585" t="b">
        <f>+ISNUMBER(SEARCH(#REF!,Tabla11[[#This Row],[Cuenta]],1))</f>
        <v>0</v>
      </c>
      <c r="BI585" t="b">
        <f>+ISNUMBER(SEARCH(#REF!,Tabla11[[#This Row],[Cuenta]],1))</f>
        <v>0</v>
      </c>
      <c r="BJ585" t="b">
        <f>+ISNUMBER(SEARCH(#REF!,Tabla11[[#This Row],[Cuenta]],1))</f>
        <v>0</v>
      </c>
      <c r="BS585" t="str">
        <v>270525 Servicios técnicos</v>
      </c>
      <c r="BT585" t="str">
        <v>270525 Servicios técnicos</v>
      </c>
      <c r="BU585" t="str">
        <v>270525 Servicios técnicos</v>
      </c>
      <c r="BV585" t="str">
        <v>270525 Servicios técnicos</v>
      </c>
      <c r="BZ585" t="str">
        <v>270525 Servicios técnicos</v>
      </c>
      <c r="CA585" t="str">
        <v>270525 Servicios técnicos</v>
      </c>
      <c r="CB585" t="str">
        <v>270525 Servicios técnicos</v>
      </c>
      <c r="CC585" t="str">
        <v>270525 Servicios técnicos</v>
      </c>
      <c r="CD585" t="str">
        <v>270525 Servicios técnicos</v>
      </c>
      <c r="CE585" t="str">
        <v>270525 Servicios técnicos</v>
      </c>
      <c r="CS585" s="141" t="str">
        <v>270525 Servicios técnicos</v>
      </c>
      <c r="CT585" s="141" t="str">
        <v>270525 Servicios técnicos</v>
      </c>
      <c r="CU585" s="141" t="str">
        <v>270525 Servicios técnicos</v>
      </c>
      <c r="CV585" s="141" t="str">
        <v>270525 Servicios técnicos</v>
      </c>
      <c r="CW585" s="141" t="str">
        <v>270525 Servicios técnicos</v>
      </c>
      <c r="CX585" s="141" t="str">
        <v>270525 Servicios técnicos</v>
      </c>
      <c r="CY585" s="141" t="str">
        <v>270525 Servicios técnicos</v>
      </c>
      <c r="CZ585" s="141" t="str">
        <v>270525 Servicios técnicos</v>
      </c>
      <c r="DA585" s="141" t="str">
        <v>270525 Servicios técnicos</v>
      </c>
      <c r="DF585" t="str">
        <v>270525 Servicios técnicos</v>
      </c>
      <c r="DG585" t="str">
        <v>270525 Servicios técnicos</v>
      </c>
      <c r="DH585" t="str">
        <v>270525 Servicios técnicos</v>
      </c>
      <c r="DI585" t="str">
        <v>270525 Servicios técnicos</v>
      </c>
      <c r="DJ585" t="str">
        <v>270525 Servicios técnicos</v>
      </c>
      <c r="DK585" t="str">
        <v>270525 Servicios técnicos</v>
      </c>
      <c r="DL585" t="str">
        <v>270525 Servicios técnicos</v>
      </c>
      <c r="DM585" t="str">
        <v>270525 Servicios técnicos</v>
      </c>
      <c r="DN585" t="str">
        <v>270525 Servicios técnicos</v>
      </c>
      <c r="DO585" t="str">
        <v>270525 Servicios técnicos</v>
      </c>
      <c r="DP585" t="str">
        <v>270525 Servicios técnicos</v>
      </c>
    </row>
    <row r="586" spans="4:120" ht="12.75">
      <c r="D586" s="7">
        <v>270530</v>
      </c>
      <c r="E586" s="6" t="s">
        <v>427</v>
      </c>
      <c r="F586" s="5">
        <v>4</v>
      </c>
      <c r="G586" s="34" t="s">
        <v>823</v>
      </c>
      <c r="H586" s="26" t="s">
        <v>765</v>
      </c>
      <c r="I586" t="b">
        <f>+ISNUMBER(SEARCH('F-COMPRA'!$F$28,Tabla11[[#This Row],[Cuenta]],1))</f>
        <v>1</v>
      </c>
      <c r="J586" t="b">
        <f>+ISNUMBER(SEARCH('F-COMPRA'!$F$29,Tabla11[[#This Row],[Cuenta]],1))</f>
        <v>1</v>
      </c>
      <c r="K586" t="b">
        <f>+ISNUMBER(SEARCH('F-COMPRA'!$F$30,Tabla11[[#This Row],[Cuenta]],1))</f>
        <v>1</v>
      </c>
      <c r="L586" t="b">
        <f>+ISNUMBER(SEARCH('F-COMPRA'!$F$31,Tabla11[[#This Row],[Cuenta]],1))</f>
        <v>1</v>
      </c>
      <c r="M586" t="b">
        <f>+ISNUMBER(SEARCH('F-COMPRA'!$G$25,Tabla11[[#This Row],[Cuenta]],1))</f>
        <v>0</v>
      </c>
      <c r="N586" t="b">
        <f>+ISNUMBER(SEARCH(#REF!,Tabla11[[#This Row],[Cuenta]],1))</f>
        <v>0</v>
      </c>
      <c r="O586" t="b">
        <f>+ISNUMBER(SEARCH(#REF!,Tabla11[[#This Row],[Cuenta]],1))</f>
        <v>0</v>
      </c>
      <c r="P586" t="b">
        <f>+ISNUMBER(SEARCH('F-COMPRA'!$F$32,Tabla11[[#This Row],[Cuenta]],1))</f>
        <v>1</v>
      </c>
      <c r="Q586" t="b">
        <f>+ISNUMBER(SEARCH('F-COMPRA'!$F$33,Tabla11[[#This Row],[Cuenta]],1))</f>
        <v>1</v>
      </c>
      <c r="R586" t="b">
        <f>+ISNUMBER(SEARCH('F-COMPRA'!$F$34,Tabla11[[#This Row],[Cuenta]],1))</f>
        <v>1</v>
      </c>
      <c r="S586" t="b">
        <f>+ISNUMBER(SEARCH('F-COMPRA'!$F$35,Tabla11[[#This Row],[Cuenta]],1))</f>
        <v>1</v>
      </c>
      <c r="T586" t="b">
        <f>+ISNUMBER(SEARCH('F-COMPRA'!$F$36,Tabla11[[#This Row],[Cuenta]],1))</f>
        <v>1</v>
      </c>
      <c r="U586" t="b">
        <f>+ISNUMBER(SEARCH('F-COMPRA'!$F$37,Tabla11[[#This Row],[Cuenta]],1))</f>
        <v>1</v>
      </c>
      <c r="V586" t="b">
        <f>+ISNUMBER(SEARCH(#REF!,Tabla11[[#This Row],[Cuenta]],1))</f>
        <v>0</v>
      </c>
      <c r="W586" t="b">
        <f>+ISNUMBER(SEARCH('F-COMPRA'!#REF!,Tabla11[[#This Row],[Cuenta]],1))</f>
        <v>0</v>
      </c>
      <c r="X586" t="b">
        <f>+ISNUMBER(SEARCH('F-COMPRA'!#REF!,Tabla11[[#This Row],[Cuenta]],1))</f>
        <v>0</v>
      </c>
      <c r="Y586" t="b">
        <f>+ISNUMBER(SEARCH('F-COMPRA'!#REF!,Tabla11[[#This Row],[Cuenta]],1))</f>
        <v>0</v>
      </c>
      <c r="Z586" t="b">
        <f>+ISNUMBER(SEARCH('F-COMPRA'!#REF!,Tabla11[[#This Row],[Cuenta]],1))</f>
        <v>0</v>
      </c>
      <c r="AA586" t="b">
        <f>+ISNUMBER(SEARCH('F-COMPRA'!#REF!,Tabla11[[#This Row],[Cuenta]],1))</f>
        <v>0</v>
      </c>
      <c r="AB586" t="b">
        <f>+ISNUMBER(SEARCH('F-COMPRA'!#REF!,Tabla11[[#This Row],[Cuenta]],1))</f>
        <v>0</v>
      </c>
      <c r="AC586" t="b">
        <f>+ISNUMBER(SEARCH('F-COMPRA'!#REF!,Tabla11[[#This Row],[Cuenta]],1))</f>
        <v>0</v>
      </c>
      <c r="AD586" t="b">
        <f>+ISNUMBER(SEARCH('F-COMPRA'!#REF!,Tabla11[[#This Row],[Cuenta]],1))</f>
        <v>0</v>
      </c>
      <c r="AE586" t="b">
        <f>+ISNUMBER(SEARCH('F-COMPRA'!#REF!,Tabla11[[#This Row],[Cuenta]],1))</f>
        <v>0</v>
      </c>
      <c r="AF586" t="b">
        <f>+ISNUMBER(SEARCH('F-VTA'!$G$23,Tabla11[[#This Row],[Cuenta]],1))</f>
        <v>0</v>
      </c>
      <c r="AG586" t="b">
        <f>+ISNUMBER(SEARCH('F-VTA'!$G$24,Tabla11[[#This Row],[Cuenta]],1))</f>
        <v>0</v>
      </c>
      <c r="AH586" t="b">
        <f>+ISNUMBER(SEARCH('F-VTA'!$G$25,Tabla11[[#This Row],[Cuenta]],1))</f>
        <v>0</v>
      </c>
      <c r="AI586" t="b">
        <f>+ISNUMBER(SEARCH('F-VTA'!$F$28,Tabla11[[#This Row],[Cuenta]],1))</f>
        <v>1</v>
      </c>
      <c r="AJ586" t="b">
        <f>+ISNUMBER(SEARCH('F-VTA'!$F$29,Tabla11[[#This Row],[Cuenta]],1))</f>
        <v>1</v>
      </c>
      <c r="AK586" t="b">
        <f>+ISNUMBER(SEARCH('F-VTA'!$F$30,Tabla11[[#This Row],[Cuenta]],1))</f>
        <v>1</v>
      </c>
      <c r="AL586" t="b">
        <f>+ISNUMBER(SEARCH('F-VTA'!$F$31,Tabla11[[#This Row],[Cuenta]],1))</f>
        <v>1</v>
      </c>
      <c r="AM586" t="b">
        <f>+ISNUMBER(SEARCH('F-VTA'!$F$32,Tabla11[[#This Row],[Cuenta]],1))</f>
        <v>1</v>
      </c>
      <c r="AN586" t="b">
        <f>+ISNUMBER(SEARCH('F-VTA'!$F$33,Tabla11[[#This Row],[Cuenta]],1))</f>
        <v>1</v>
      </c>
      <c r="AO586" t="b">
        <f>+ISNUMBER(SEARCH('F-VTA'!$F$34,Tabla11[[#This Row],[Cuenta]],1))</f>
        <v>1</v>
      </c>
      <c r="AP586" t="b">
        <f>+ISNUMBER(SEARCH('F-VTA'!$F$35,Tabla11[[#This Row],[Cuenta]],1))</f>
        <v>1</v>
      </c>
      <c r="AQ586" t="b">
        <f>+ISNUMBER(SEARCH('F-VTA'!$F$36,Tabla11[[#This Row],[Cuenta]],1))</f>
        <v>1</v>
      </c>
      <c r="AR586" t="b">
        <f>+ISNUMBER(SEARCH(#REF!,Tabla11[[#This Row],[Cuenta]],1))</f>
        <v>0</v>
      </c>
      <c r="AS586" t="b">
        <f>+ISNUMBER(SEARCH(#REF!,Tabla11[[#This Row],[Cuenta]],1))</f>
        <v>0</v>
      </c>
      <c r="AT586" t="b">
        <f>+ISNUMBER(SEARCH(#REF!,Tabla11[[#This Row],[Cuenta]],1))</f>
        <v>0</v>
      </c>
      <c r="AU586" t="b">
        <f>+ISNUMBER(SEARCH('Conc. Ban.1'!$I$9,Tabla11[[#This Row],[Cuenta]],1))</f>
        <v>0</v>
      </c>
      <c r="AV586" t="b">
        <f>+ISNUMBER(SEARCH(CompConta!$F$21,Tabla11[[#This Row],[Cuenta]],1))</f>
        <v>1</v>
      </c>
      <c r="AW586" t="b">
        <f>+ISNUMBER(SEARCH(CompConta!$F$22,Tabla11[[#This Row],[Cuenta]],1))</f>
        <v>1</v>
      </c>
      <c r="AX586" t="b">
        <f>+ISNUMBER(SEARCH(CompConta!$F$23,Tabla11[[#This Row],[Cuenta]],1))</f>
        <v>1</v>
      </c>
      <c r="AY586" t="b">
        <f>+ISNUMBER(SEARCH(CompConta!$F$24,Tabla11[[#This Row],[Cuenta]],1))</f>
        <v>1</v>
      </c>
      <c r="AZ586" t="b">
        <f>+ISNUMBER(SEARCH(CompConta!$F$25,Tabla11[[#This Row],[Cuenta]],1))</f>
        <v>1</v>
      </c>
      <c r="BA586" t="b">
        <f>+ISNUMBER(SEARCH(CompConta!$F$26,Tabla11[[#This Row],[Cuenta]],1))</f>
        <v>1</v>
      </c>
      <c r="BB586" t="b">
        <f>+ISNUMBER(SEARCH(CompConta!$F$27,Tabla11[[#This Row],[Cuenta]],1))</f>
        <v>1</v>
      </c>
      <c r="BC586" t="b">
        <f>+ISNUMBER(SEARCH(CompConta!$F$28,Tabla11[[#This Row],[Cuenta]],1))</f>
        <v>1</v>
      </c>
      <c r="BD586" t="b">
        <f>+ISNUMBER(SEARCH(CompConta!$F$29,Tabla11[[#This Row],[Cuenta]],1))</f>
        <v>1</v>
      </c>
      <c r="BE586" t="b">
        <f>+ISNUMBER(SEARCH(CompConta!$F$30,Tabla11[[#This Row],[Cuenta]],1))</f>
        <v>1</v>
      </c>
      <c r="BF586" t="b">
        <f>+ISNUMBER(SEARCH('PAGO Compras'!$E$11,Tabla11[[#This Row],[Cuenta]],1))</f>
        <v>1</v>
      </c>
      <c r="BG586" t="b">
        <f>+ISNUMBER(SEARCH(#REF!,Tabla11[[#This Row],[Cuenta]],1))</f>
        <v>0</v>
      </c>
      <c r="BH586" t="b">
        <f>+ISNUMBER(SEARCH(#REF!,Tabla11[[#This Row],[Cuenta]],1))</f>
        <v>0</v>
      </c>
      <c r="BI586" t="b">
        <f>+ISNUMBER(SEARCH(#REF!,Tabla11[[#This Row],[Cuenta]],1))</f>
        <v>0</v>
      </c>
      <c r="BJ586" t="b">
        <f>+ISNUMBER(SEARCH(#REF!,Tabla11[[#This Row],[Cuenta]],1))</f>
        <v>0</v>
      </c>
      <c r="BS586" t="str">
        <v>270530 De suscriptores</v>
      </c>
      <c r="BT586" t="str">
        <v>270530 De suscriptores</v>
      </c>
      <c r="BU586" t="str">
        <v>270530 De suscriptores</v>
      </c>
      <c r="BV586" t="str">
        <v>270530 De suscriptores</v>
      </c>
      <c r="BZ586" t="str">
        <v>270530 De suscriptores</v>
      </c>
      <c r="CA586" t="str">
        <v>270530 De suscriptores</v>
      </c>
      <c r="CB586" t="str">
        <v>270530 De suscriptores</v>
      </c>
      <c r="CC586" t="str">
        <v>270530 De suscriptores</v>
      </c>
      <c r="CD586" t="str">
        <v>270530 De suscriptores</v>
      </c>
      <c r="CE586" t="str">
        <v>270530 De suscriptores</v>
      </c>
      <c r="CS586" s="141" t="str">
        <v>270530 De suscriptores</v>
      </c>
      <c r="CT586" s="141" t="str">
        <v>270530 De suscriptores</v>
      </c>
      <c r="CU586" s="141" t="str">
        <v>270530 De suscriptores</v>
      </c>
      <c r="CV586" s="141" t="str">
        <v>270530 De suscriptores</v>
      </c>
      <c r="CW586" s="141" t="str">
        <v>270530 De suscriptores</v>
      </c>
      <c r="CX586" s="141" t="str">
        <v>270530 De suscriptores</v>
      </c>
      <c r="CY586" s="141" t="str">
        <v>270530 De suscriptores</v>
      </c>
      <c r="CZ586" s="141" t="str">
        <v>270530 De suscriptores</v>
      </c>
      <c r="DA586" s="141" t="str">
        <v>270530 De suscriptores</v>
      </c>
      <c r="DF586" t="str">
        <v>270530 De suscriptores</v>
      </c>
      <c r="DG586" t="str">
        <v>270530 De suscriptores</v>
      </c>
      <c r="DH586" t="str">
        <v>270530 De suscriptores</v>
      </c>
      <c r="DI586" t="str">
        <v>270530 De suscriptores</v>
      </c>
      <c r="DJ586" t="str">
        <v>270530 De suscriptores</v>
      </c>
      <c r="DK586" t="str">
        <v>270530 De suscriptores</v>
      </c>
      <c r="DL586" t="str">
        <v>270530 De suscriptores</v>
      </c>
      <c r="DM586" t="str">
        <v>270530 De suscriptores</v>
      </c>
      <c r="DN586" t="str">
        <v>270530 De suscriptores</v>
      </c>
      <c r="DO586" t="str">
        <v>270530 De suscriptores</v>
      </c>
      <c r="DP586" t="str">
        <v>270530 De suscriptores</v>
      </c>
    </row>
    <row r="587" spans="4:120" ht="12.75">
      <c r="D587" s="7">
        <v>270535</v>
      </c>
      <c r="E587" s="6" t="s">
        <v>319</v>
      </c>
      <c r="F587" s="5">
        <v>4</v>
      </c>
      <c r="G587" s="34" t="s">
        <v>823</v>
      </c>
      <c r="H587" s="26" t="s">
        <v>765</v>
      </c>
      <c r="I587" t="b">
        <f>+ISNUMBER(SEARCH('F-COMPRA'!$F$28,Tabla11[[#This Row],[Cuenta]],1))</f>
        <v>1</v>
      </c>
      <c r="J587" t="b">
        <f>+ISNUMBER(SEARCH('F-COMPRA'!$F$29,Tabla11[[#This Row],[Cuenta]],1))</f>
        <v>1</v>
      </c>
      <c r="K587" t="b">
        <f>+ISNUMBER(SEARCH('F-COMPRA'!$F$30,Tabla11[[#This Row],[Cuenta]],1))</f>
        <v>1</v>
      </c>
      <c r="L587" t="b">
        <f>+ISNUMBER(SEARCH('F-COMPRA'!$F$31,Tabla11[[#This Row],[Cuenta]],1))</f>
        <v>1</v>
      </c>
      <c r="M587" t="b">
        <f>+ISNUMBER(SEARCH('F-COMPRA'!$G$25,Tabla11[[#This Row],[Cuenta]],1))</f>
        <v>0</v>
      </c>
      <c r="N587" t="b">
        <f>+ISNUMBER(SEARCH(#REF!,Tabla11[[#This Row],[Cuenta]],1))</f>
        <v>0</v>
      </c>
      <c r="O587" t="b">
        <f>+ISNUMBER(SEARCH(#REF!,Tabla11[[#This Row],[Cuenta]],1))</f>
        <v>0</v>
      </c>
      <c r="P587" t="b">
        <f>+ISNUMBER(SEARCH('F-COMPRA'!$F$32,Tabla11[[#This Row],[Cuenta]],1))</f>
        <v>1</v>
      </c>
      <c r="Q587" t="b">
        <f>+ISNUMBER(SEARCH('F-COMPRA'!$F$33,Tabla11[[#This Row],[Cuenta]],1))</f>
        <v>1</v>
      </c>
      <c r="R587" t="b">
        <f>+ISNUMBER(SEARCH('F-COMPRA'!$F$34,Tabla11[[#This Row],[Cuenta]],1))</f>
        <v>1</v>
      </c>
      <c r="S587" t="b">
        <f>+ISNUMBER(SEARCH('F-COMPRA'!$F$35,Tabla11[[#This Row],[Cuenta]],1))</f>
        <v>1</v>
      </c>
      <c r="T587" t="b">
        <f>+ISNUMBER(SEARCH('F-COMPRA'!$F$36,Tabla11[[#This Row],[Cuenta]],1))</f>
        <v>1</v>
      </c>
      <c r="U587" t="b">
        <f>+ISNUMBER(SEARCH('F-COMPRA'!$F$37,Tabla11[[#This Row],[Cuenta]],1))</f>
        <v>1</v>
      </c>
      <c r="V587" t="b">
        <f>+ISNUMBER(SEARCH(#REF!,Tabla11[[#This Row],[Cuenta]],1))</f>
        <v>0</v>
      </c>
      <c r="W587" t="b">
        <f>+ISNUMBER(SEARCH('F-COMPRA'!#REF!,Tabla11[[#This Row],[Cuenta]],1))</f>
        <v>0</v>
      </c>
      <c r="X587" t="b">
        <f>+ISNUMBER(SEARCH('F-COMPRA'!#REF!,Tabla11[[#This Row],[Cuenta]],1))</f>
        <v>0</v>
      </c>
      <c r="Y587" t="b">
        <f>+ISNUMBER(SEARCH('F-COMPRA'!#REF!,Tabla11[[#This Row],[Cuenta]],1))</f>
        <v>0</v>
      </c>
      <c r="Z587" t="b">
        <f>+ISNUMBER(SEARCH('F-COMPRA'!#REF!,Tabla11[[#This Row],[Cuenta]],1))</f>
        <v>0</v>
      </c>
      <c r="AA587" t="b">
        <f>+ISNUMBER(SEARCH('F-COMPRA'!#REF!,Tabla11[[#This Row],[Cuenta]],1))</f>
        <v>0</v>
      </c>
      <c r="AB587" t="b">
        <f>+ISNUMBER(SEARCH('F-COMPRA'!#REF!,Tabla11[[#This Row],[Cuenta]],1))</f>
        <v>0</v>
      </c>
      <c r="AC587" t="b">
        <f>+ISNUMBER(SEARCH('F-COMPRA'!#REF!,Tabla11[[#This Row],[Cuenta]],1))</f>
        <v>0</v>
      </c>
      <c r="AD587" t="b">
        <f>+ISNUMBER(SEARCH('F-COMPRA'!#REF!,Tabla11[[#This Row],[Cuenta]],1))</f>
        <v>0</v>
      </c>
      <c r="AE587" t="b">
        <f>+ISNUMBER(SEARCH('F-COMPRA'!#REF!,Tabla11[[#This Row],[Cuenta]],1))</f>
        <v>0</v>
      </c>
      <c r="AF587" t="b">
        <f>+ISNUMBER(SEARCH('F-VTA'!$G$23,Tabla11[[#This Row],[Cuenta]],1))</f>
        <v>0</v>
      </c>
      <c r="AG587" t="b">
        <f>+ISNUMBER(SEARCH('F-VTA'!$G$24,Tabla11[[#This Row],[Cuenta]],1))</f>
        <v>0</v>
      </c>
      <c r="AH587" t="b">
        <f>+ISNUMBER(SEARCH('F-VTA'!$G$25,Tabla11[[#This Row],[Cuenta]],1))</f>
        <v>0</v>
      </c>
      <c r="AI587" t="b">
        <f>+ISNUMBER(SEARCH('F-VTA'!$F$28,Tabla11[[#This Row],[Cuenta]],1))</f>
        <v>1</v>
      </c>
      <c r="AJ587" t="b">
        <f>+ISNUMBER(SEARCH('F-VTA'!$F$29,Tabla11[[#This Row],[Cuenta]],1))</f>
        <v>1</v>
      </c>
      <c r="AK587" t="b">
        <f>+ISNUMBER(SEARCH('F-VTA'!$F$30,Tabla11[[#This Row],[Cuenta]],1))</f>
        <v>1</v>
      </c>
      <c r="AL587" t="b">
        <f>+ISNUMBER(SEARCH('F-VTA'!$F$31,Tabla11[[#This Row],[Cuenta]],1))</f>
        <v>1</v>
      </c>
      <c r="AM587" t="b">
        <f>+ISNUMBER(SEARCH('F-VTA'!$F$32,Tabla11[[#This Row],[Cuenta]],1))</f>
        <v>1</v>
      </c>
      <c r="AN587" t="b">
        <f>+ISNUMBER(SEARCH('F-VTA'!$F$33,Tabla11[[#This Row],[Cuenta]],1))</f>
        <v>1</v>
      </c>
      <c r="AO587" t="b">
        <f>+ISNUMBER(SEARCH('F-VTA'!$F$34,Tabla11[[#This Row],[Cuenta]],1))</f>
        <v>1</v>
      </c>
      <c r="AP587" t="b">
        <f>+ISNUMBER(SEARCH('F-VTA'!$F$35,Tabla11[[#This Row],[Cuenta]],1))</f>
        <v>1</v>
      </c>
      <c r="AQ587" t="b">
        <f>+ISNUMBER(SEARCH('F-VTA'!$F$36,Tabla11[[#This Row],[Cuenta]],1))</f>
        <v>1</v>
      </c>
      <c r="AR587" t="b">
        <f>+ISNUMBER(SEARCH(#REF!,Tabla11[[#This Row],[Cuenta]],1))</f>
        <v>0</v>
      </c>
      <c r="AS587" t="b">
        <f>+ISNUMBER(SEARCH(#REF!,Tabla11[[#This Row],[Cuenta]],1))</f>
        <v>0</v>
      </c>
      <c r="AT587" t="b">
        <f>+ISNUMBER(SEARCH(#REF!,Tabla11[[#This Row],[Cuenta]],1))</f>
        <v>0</v>
      </c>
      <c r="AU587" t="b">
        <f>+ISNUMBER(SEARCH('Conc. Ban.1'!$I$9,Tabla11[[#This Row],[Cuenta]],1))</f>
        <v>0</v>
      </c>
      <c r="AV587" t="b">
        <f>+ISNUMBER(SEARCH(CompConta!$F$21,Tabla11[[#This Row],[Cuenta]],1))</f>
        <v>1</v>
      </c>
      <c r="AW587" t="b">
        <f>+ISNUMBER(SEARCH(CompConta!$F$22,Tabla11[[#This Row],[Cuenta]],1))</f>
        <v>1</v>
      </c>
      <c r="AX587" t="b">
        <f>+ISNUMBER(SEARCH(CompConta!$F$23,Tabla11[[#This Row],[Cuenta]],1))</f>
        <v>1</v>
      </c>
      <c r="AY587" t="b">
        <f>+ISNUMBER(SEARCH(CompConta!$F$24,Tabla11[[#This Row],[Cuenta]],1))</f>
        <v>1</v>
      </c>
      <c r="AZ587" t="b">
        <f>+ISNUMBER(SEARCH(CompConta!$F$25,Tabla11[[#This Row],[Cuenta]],1))</f>
        <v>1</v>
      </c>
      <c r="BA587" t="b">
        <f>+ISNUMBER(SEARCH(CompConta!$F$26,Tabla11[[#This Row],[Cuenta]],1))</f>
        <v>1</v>
      </c>
      <c r="BB587" t="b">
        <f>+ISNUMBER(SEARCH(CompConta!$F$27,Tabla11[[#This Row],[Cuenta]],1))</f>
        <v>1</v>
      </c>
      <c r="BC587" t="b">
        <f>+ISNUMBER(SEARCH(CompConta!$F$28,Tabla11[[#This Row],[Cuenta]],1))</f>
        <v>1</v>
      </c>
      <c r="BD587" t="b">
        <f>+ISNUMBER(SEARCH(CompConta!$F$29,Tabla11[[#This Row],[Cuenta]],1))</f>
        <v>1</v>
      </c>
      <c r="BE587" t="b">
        <f>+ISNUMBER(SEARCH(CompConta!$F$30,Tabla11[[#This Row],[Cuenta]],1))</f>
        <v>1</v>
      </c>
      <c r="BF587" t="b">
        <f>+ISNUMBER(SEARCH('PAGO Compras'!$E$11,Tabla11[[#This Row],[Cuenta]],1))</f>
        <v>1</v>
      </c>
      <c r="BG587" t="b">
        <f>+ISNUMBER(SEARCH(#REF!,Tabla11[[#This Row],[Cuenta]],1))</f>
        <v>0</v>
      </c>
      <c r="BH587" t="b">
        <f>+ISNUMBER(SEARCH(#REF!,Tabla11[[#This Row],[Cuenta]],1))</f>
        <v>0</v>
      </c>
      <c r="BI587" t="b">
        <f>+ISNUMBER(SEARCH(#REF!,Tabla11[[#This Row],[Cuenta]],1))</f>
        <v>0</v>
      </c>
      <c r="BJ587" t="b">
        <f>+ISNUMBER(SEARCH(#REF!,Tabla11[[#This Row],[Cuenta]],1))</f>
        <v>0</v>
      </c>
      <c r="BS587" t="str">
        <v>270535 Transportes, fletes y acarreos</v>
      </c>
      <c r="BT587" t="str">
        <v>270535 Transportes, fletes y acarreos</v>
      </c>
      <c r="BU587" t="str">
        <v>270535 Transportes, fletes y acarreos</v>
      </c>
      <c r="BV587" t="str">
        <v>270535 Transportes, fletes y acarreos</v>
      </c>
      <c r="BZ587" t="str">
        <v>270535 Transportes, fletes y acarreos</v>
      </c>
      <c r="CA587" t="str">
        <v>270535 Transportes, fletes y acarreos</v>
      </c>
      <c r="CB587" t="str">
        <v>270535 Transportes, fletes y acarreos</v>
      </c>
      <c r="CC587" t="str">
        <v>270535 Transportes, fletes y acarreos</v>
      </c>
      <c r="CD587" t="str">
        <v>270535 Transportes, fletes y acarreos</v>
      </c>
      <c r="CE587" t="str">
        <v>270535 Transportes, fletes y acarreos</v>
      </c>
      <c r="CS587" s="141" t="str">
        <v>270535 Transportes, fletes y acarreos</v>
      </c>
      <c r="CT587" s="141" t="str">
        <v>270535 Transportes, fletes y acarreos</v>
      </c>
      <c r="CU587" s="141" t="str">
        <v>270535 Transportes, fletes y acarreos</v>
      </c>
      <c r="CV587" s="141" t="str">
        <v>270535 Transportes, fletes y acarreos</v>
      </c>
      <c r="CW587" s="141" t="str">
        <v>270535 Transportes, fletes y acarreos</v>
      </c>
      <c r="CX587" s="141" t="str">
        <v>270535 Transportes, fletes y acarreos</v>
      </c>
      <c r="CY587" s="141" t="str">
        <v>270535 Transportes, fletes y acarreos</v>
      </c>
      <c r="CZ587" s="141" t="str">
        <v>270535 Transportes, fletes y acarreos</v>
      </c>
      <c r="DA587" s="141" t="str">
        <v>270535 Transportes, fletes y acarreos</v>
      </c>
      <c r="DF587" t="str">
        <v>270535 Transportes, fletes y acarreos</v>
      </c>
      <c r="DG587" t="str">
        <v>270535 Transportes, fletes y acarreos</v>
      </c>
      <c r="DH587" t="str">
        <v>270535 Transportes, fletes y acarreos</v>
      </c>
      <c r="DI587" t="str">
        <v>270535 Transportes, fletes y acarreos</v>
      </c>
      <c r="DJ587" t="str">
        <v>270535 Transportes, fletes y acarreos</v>
      </c>
      <c r="DK587" t="str">
        <v>270535 Transportes, fletes y acarreos</v>
      </c>
      <c r="DL587" t="str">
        <v>270535 Transportes, fletes y acarreos</v>
      </c>
      <c r="DM587" t="str">
        <v>270535 Transportes, fletes y acarreos</v>
      </c>
      <c r="DN587" t="str">
        <v>270535 Transportes, fletes y acarreos</v>
      </c>
      <c r="DO587" t="str">
        <v>270535 Transportes, fletes y acarreos</v>
      </c>
      <c r="DP587" t="str">
        <v>270535 Transportes, fletes y acarreos</v>
      </c>
    </row>
    <row r="588" spans="4:120" ht="12.75">
      <c r="D588" s="7">
        <v>270540</v>
      </c>
      <c r="E588" s="6" t="s">
        <v>428</v>
      </c>
      <c r="F588" s="5">
        <v>4</v>
      </c>
      <c r="G588" s="34" t="s">
        <v>823</v>
      </c>
      <c r="H588" s="26" t="s">
        <v>765</v>
      </c>
      <c r="I588" t="b">
        <f>+ISNUMBER(SEARCH('F-COMPRA'!$F$28,Tabla11[[#This Row],[Cuenta]],1))</f>
        <v>1</v>
      </c>
      <c r="J588" t="b">
        <f>+ISNUMBER(SEARCH('F-COMPRA'!$F$29,Tabla11[[#This Row],[Cuenta]],1))</f>
        <v>1</v>
      </c>
      <c r="K588" t="b">
        <f>+ISNUMBER(SEARCH('F-COMPRA'!$F$30,Tabla11[[#This Row],[Cuenta]],1))</f>
        <v>1</v>
      </c>
      <c r="L588" t="b">
        <f>+ISNUMBER(SEARCH('F-COMPRA'!$F$31,Tabla11[[#This Row],[Cuenta]],1))</f>
        <v>1</v>
      </c>
      <c r="M588" t="b">
        <f>+ISNUMBER(SEARCH('F-COMPRA'!$G$25,Tabla11[[#This Row],[Cuenta]],1))</f>
        <v>0</v>
      </c>
      <c r="N588" t="b">
        <f>+ISNUMBER(SEARCH(#REF!,Tabla11[[#This Row],[Cuenta]],1))</f>
        <v>0</v>
      </c>
      <c r="O588" t="b">
        <f>+ISNUMBER(SEARCH(#REF!,Tabla11[[#This Row],[Cuenta]],1))</f>
        <v>0</v>
      </c>
      <c r="P588" t="b">
        <f>+ISNUMBER(SEARCH('F-COMPRA'!$F$32,Tabla11[[#This Row],[Cuenta]],1))</f>
        <v>1</v>
      </c>
      <c r="Q588" t="b">
        <f>+ISNUMBER(SEARCH('F-COMPRA'!$F$33,Tabla11[[#This Row],[Cuenta]],1))</f>
        <v>1</v>
      </c>
      <c r="R588" t="b">
        <f>+ISNUMBER(SEARCH('F-COMPRA'!$F$34,Tabla11[[#This Row],[Cuenta]],1))</f>
        <v>1</v>
      </c>
      <c r="S588" t="b">
        <f>+ISNUMBER(SEARCH('F-COMPRA'!$F$35,Tabla11[[#This Row],[Cuenta]],1))</f>
        <v>1</v>
      </c>
      <c r="T588" t="b">
        <f>+ISNUMBER(SEARCH('F-COMPRA'!$F$36,Tabla11[[#This Row],[Cuenta]],1))</f>
        <v>1</v>
      </c>
      <c r="U588" t="b">
        <f>+ISNUMBER(SEARCH('F-COMPRA'!$F$37,Tabla11[[#This Row],[Cuenta]],1))</f>
        <v>1</v>
      </c>
      <c r="V588" t="b">
        <f>+ISNUMBER(SEARCH(#REF!,Tabla11[[#This Row],[Cuenta]],1))</f>
        <v>0</v>
      </c>
      <c r="W588" t="b">
        <f>+ISNUMBER(SEARCH('F-COMPRA'!#REF!,Tabla11[[#This Row],[Cuenta]],1))</f>
        <v>0</v>
      </c>
      <c r="X588" t="b">
        <f>+ISNUMBER(SEARCH('F-COMPRA'!#REF!,Tabla11[[#This Row],[Cuenta]],1))</f>
        <v>0</v>
      </c>
      <c r="Y588" t="b">
        <f>+ISNUMBER(SEARCH('F-COMPRA'!#REF!,Tabla11[[#This Row],[Cuenta]],1))</f>
        <v>0</v>
      </c>
      <c r="Z588" t="b">
        <f>+ISNUMBER(SEARCH('F-COMPRA'!#REF!,Tabla11[[#This Row],[Cuenta]],1))</f>
        <v>0</v>
      </c>
      <c r="AA588" t="b">
        <f>+ISNUMBER(SEARCH('F-COMPRA'!#REF!,Tabla11[[#This Row],[Cuenta]],1))</f>
        <v>0</v>
      </c>
      <c r="AB588" t="b">
        <f>+ISNUMBER(SEARCH('F-COMPRA'!#REF!,Tabla11[[#This Row],[Cuenta]],1))</f>
        <v>0</v>
      </c>
      <c r="AC588" t="b">
        <f>+ISNUMBER(SEARCH('F-COMPRA'!#REF!,Tabla11[[#This Row],[Cuenta]],1))</f>
        <v>0</v>
      </c>
      <c r="AD588" t="b">
        <f>+ISNUMBER(SEARCH('F-COMPRA'!#REF!,Tabla11[[#This Row],[Cuenta]],1))</f>
        <v>0</v>
      </c>
      <c r="AE588" t="b">
        <f>+ISNUMBER(SEARCH('F-COMPRA'!#REF!,Tabla11[[#This Row],[Cuenta]],1))</f>
        <v>0</v>
      </c>
      <c r="AF588" t="b">
        <f>+ISNUMBER(SEARCH('F-VTA'!$G$23,Tabla11[[#This Row],[Cuenta]],1))</f>
        <v>0</v>
      </c>
      <c r="AG588" t="b">
        <f>+ISNUMBER(SEARCH('F-VTA'!$G$24,Tabla11[[#This Row],[Cuenta]],1))</f>
        <v>0</v>
      </c>
      <c r="AH588" t="b">
        <f>+ISNUMBER(SEARCH('F-VTA'!$G$25,Tabla11[[#This Row],[Cuenta]],1))</f>
        <v>0</v>
      </c>
      <c r="AI588" t="b">
        <f>+ISNUMBER(SEARCH('F-VTA'!$F$28,Tabla11[[#This Row],[Cuenta]],1))</f>
        <v>1</v>
      </c>
      <c r="AJ588" t="b">
        <f>+ISNUMBER(SEARCH('F-VTA'!$F$29,Tabla11[[#This Row],[Cuenta]],1))</f>
        <v>1</v>
      </c>
      <c r="AK588" t="b">
        <f>+ISNUMBER(SEARCH('F-VTA'!$F$30,Tabla11[[#This Row],[Cuenta]],1))</f>
        <v>1</v>
      </c>
      <c r="AL588" t="b">
        <f>+ISNUMBER(SEARCH('F-VTA'!$F$31,Tabla11[[#This Row],[Cuenta]],1))</f>
        <v>1</v>
      </c>
      <c r="AM588" t="b">
        <f>+ISNUMBER(SEARCH('F-VTA'!$F$32,Tabla11[[#This Row],[Cuenta]],1))</f>
        <v>1</v>
      </c>
      <c r="AN588" t="b">
        <f>+ISNUMBER(SEARCH('F-VTA'!$F$33,Tabla11[[#This Row],[Cuenta]],1))</f>
        <v>1</v>
      </c>
      <c r="AO588" t="b">
        <f>+ISNUMBER(SEARCH('F-VTA'!$F$34,Tabla11[[#This Row],[Cuenta]],1))</f>
        <v>1</v>
      </c>
      <c r="AP588" t="b">
        <f>+ISNUMBER(SEARCH('F-VTA'!$F$35,Tabla11[[#This Row],[Cuenta]],1))</f>
        <v>1</v>
      </c>
      <c r="AQ588" t="b">
        <f>+ISNUMBER(SEARCH('F-VTA'!$F$36,Tabla11[[#This Row],[Cuenta]],1))</f>
        <v>1</v>
      </c>
      <c r="AR588" t="b">
        <f>+ISNUMBER(SEARCH(#REF!,Tabla11[[#This Row],[Cuenta]],1))</f>
        <v>0</v>
      </c>
      <c r="AS588" t="b">
        <f>+ISNUMBER(SEARCH(#REF!,Tabla11[[#This Row],[Cuenta]],1))</f>
        <v>0</v>
      </c>
      <c r="AT588" t="b">
        <f>+ISNUMBER(SEARCH(#REF!,Tabla11[[#This Row],[Cuenta]],1))</f>
        <v>0</v>
      </c>
      <c r="AU588" t="b">
        <f>+ISNUMBER(SEARCH('Conc. Ban.1'!$I$9,Tabla11[[#This Row],[Cuenta]],1))</f>
        <v>0</v>
      </c>
      <c r="AV588" t="b">
        <f>+ISNUMBER(SEARCH(CompConta!$F$21,Tabla11[[#This Row],[Cuenta]],1))</f>
        <v>1</v>
      </c>
      <c r="AW588" t="b">
        <f>+ISNUMBER(SEARCH(CompConta!$F$22,Tabla11[[#This Row],[Cuenta]],1))</f>
        <v>1</v>
      </c>
      <c r="AX588" t="b">
        <f>+ISNUMBER(SEARCH(CompConta!$F$23,Tabla11[[#This Row],[Cuenta]],1))</f>
        <v>1</v>
      </c>
      <c r="AY588" t="b">
        <f>+ISNUMBER(SEARCH(CompConta!$F$24,Tabla11[[#This Row],[Cuenta]],1))</f>
        <v>1</v>
      </c>
      <c r="AZ588" t="b">
        <f>+ISNUMBER(SEARCH(CompConta!$F$25,Tabla11[[#This Row],[Cuenta]],1))</f>
        <v>1</v>
      </c>
      <c r="BA588" t="b">
        <f>+ISNUMBER(SEARCH(CompConta!$F$26,Tabla11[[#This Row],[Cuenta]],1))</f>
        <v>1</v>
      </c>
      <c r="BB588" t="b">
        <f>+ISNUMBER(SEARCH(CompConta!$F$27,Tabla11[[#This Row],[Cuenta]],1))</f>
        <v>1</v>
      </c>
      <c r="BC588" t="b">
        <f>+ISNUMBER(SEARCH(CompConta!$F$28,Tabla11[[#This Row],[Cuenta]],1))</f>
        <v>1</v>
      </c>
      <c r="BD588" t="b">
        <f>+ISNUMBER(SEARCH(CompConta!$F$29,Tabla11[[#This Row],[Cuenta]],1))</f>
        <v>1</v>
      </c>
      <c r="BE588" t="b">
        <f>+ISNUMBER(SEARCH(CompConta!$F$30,Tabla11[[#This Row],[Cuenta]],1))</f>
        <v>1</v>
      </c>
      <c r="BF588" t="b">
        <f>+ISNUMBER(SEARCH('PAGO Compras'!$E$11,Tabla11[[#This Row],[Cuenta]],1))</f>
        <v>1</v>
      </c>
      <c r="BG588" t="b">
        <f>+ISNUMBER(SEARCH(#REF!,Tabla11[[#This Row],[Cuenta]],1))</f>
        <v>0</v>
      </c>
      <c r="BH588" t="b">
        <f>+ISNUMBER(SEARCH(#REF!,Tabla11[[#This Row],[Cuenta]],1))</f>
        <v>0</v>
      </c>
      <c r="BI588" t="b">
        <f>+ISNUMBER(SEARCH(#REF!,Tabla11[[#This Row],[Cuenta]],1))</f>
        <v>0</v>
      </c>
      <c r="BJ588" t="b">
        <f>+ISNUMBER(SEARCH(#REF!,Tabla11[[#This Row],[Cuenta]],1))</f>
        <v>0</v>
      </c>
      <c r="BS588" t="str">
        <v>270540 Mercancía en transito ya vendida</v>
      </c>
      <c r="BT588" t="str">
        <v>270540 Mercancía en transito ya vendida</v>
      </c>
      <c r="BU588" t="str">
        <v>270540 Mercancía en transito ya vendida</v>
      </c>
      <c r="BV588" t="str">
        <v>270540 Mercancía en transito ya vendida</v>
      </c>
      <c r="BZ588" t="str">
        <v>270540 Mercancía en transito ya vendida</v>
      </c>
      <c r="CA588" t="str">
        <v>270540 Mercancía en transito ya vendida</v>
      </c>
      <c r="CB588" t="str">
        <v>270540 Mercancía en transito ya vendida</v>
      </c>
      <c r="CC588" t="str">
        <v>270540 Mercancía en transito ya vendida</v>
      </c>
      <c r="CD588" t="str">
        <v>270540 Mercancía en transito ya vendida</v>
      </c>
      <c r="CE588" t="str">
        <v>270540 Mercancía en transito ya vendida</v>
      </c>
      <c r="CS588" s="141" t="str">
        <v>270540 Mercancía en transito ya vendida</v>
      </c>
      <c r="CT588" s="141" t="str">
        <v>270540 Mercancía en transito ya vendida</v>
      </c>
      <c r="CU588" s="141" t="str">
        <v>270540 Mercancía en transito ya vendida</v>
      </c>
      <c r="CV588" s="141" t="str">
        <v>270540 Mercancía en transito ya vendida</v>
      </c>
      <c r="CW588" s="141" t="str">
        <v>270540 Mercancía en transito ya vendida</v>
      </c>
      <c r="CX588" s="141" t="str">
        <v>270540 Mercancía en transito ya vendida</v>
      </c>
      <c r="CY588" s="141" t="str">
        <v>270540 Mercancía en transito ya vendida</v>
      </c>
      <c r="CZ588" s="141" t="str">
        <v>270540 Mercancía en transito ya vendida</v>
      </c>
      <c r="DA588" s="141" t="str">
        <v>270540 Mercancía en transito ya vendida</v>
      </c>
      <c r="DF588" t="str">
        <v>270540 Mercancía en transito ya vendida</v>
      </c>
      <c r="DG588" t="str">
        <v>270540 Mercancía en transito ya vendida</v>
      </c>
      <c r="DH588" t="str">
        <v>270540 Mercancía en transito ya vendida</v>
      </c>
      <c r="DI588" t="str">
        <v>270540 Mercancía en transito ya vendida</v>
      </c>
      <c r="DJ588" t="str">
        <v>270540 Mercancía en transito ya vendida</v>
      </c>
      <c r="DK588" t="str">
        <v>270540 Mercancía en transito ya vendida</v>
      </c>
      <c r="DL588" t="str">
        <v>270540 Mercancía en transito ya vendida</v>
      </c>
      <c r="DM588" t="str">
        <v>270540 Mercancía en transito ya vendida</v>
      </c>
      <c r="DN588" t="str">
        <v>270540 Mercancía en transito ya vendida</v>
      </c>
      <c r="DO588" t="str">
        <v>270540 Mercancía en transito ya vendida</v>
      </c>
      <c r="DP588" t="str">
        <v>270540 Mercancía en transito ya vendida</v>
      </c>
    </row>
    <row r="589" spans="4:120" ht="12.75">
      <c r="D589" s="7">
        <v>270545</v>
      </c>
      <c r="E589" s="6" t="s">
        <v>429</v>
      </c>
      <c r="F589" s="5">
        <v>4</v>
      </c>
      <c r="G589" s="34" t="s">
        <v>823</v>
      </c>
      <c r="H589" s="26" t="s">
        <v>765</v>
      </c>
      <c r="I589" t="b">
        <f>+ISNUMBER(SEARCH('F-COMPRA'!$F$28,Tabla11[[#This Row],[Cuenta]],1))</f>
        <v>1</v>
      </c>
      <c r="J589" t="b">
        <f>+ISNUMBER(SEARCH('F-COMPRA'!$F$29,Tabla11[[#This Row],[Cuenta]],1))</f>
        <v>1</v>
      </c>
      <c r="K589" t="b">
        <f>+ISNUMBER(SEARCH('F-COMPRA'!$F$30,Tabla11[[#This Row],[Cuenta]],1))</f>
        <v>1</v>
      </c>
      <c r="L589" t="b">
        <f>+ISNUMBER(SEARCH('F-COMPRA'!$F$31,Tabla11[[#This Row],[Cuenta]],1))</f>
        <v>1</v>
      </c>
      <c r="M589" t="b">
        <f>+ISNUMBER(SEARCH('F-COMPRA'!$G$25,Tabla11[[#This Row],[Cuenta]],1))</f>
        <v>0</v>
      </c>
      <c r="N589" t="b">
        <f>+ISNUMBER(SEARCH(#REF!,Tabla11[[#This Row],[Cuenta]],1))</f>
        <v>0</v>
      </c>
      <c r="O589" t="b">
        <f>+ISNUMBER(SEARCH(#REF!,Tabla11[[#This Row],[Cuenta]],1))</f>
        <v>0</v>
      </c>
      <c r="P589" t="b">
        <f>+ISNUMBER(SEARCH('F-COMPRA'!$F$32,Tabla11[[#This Row],[Cuenta]],1))</f>
        <v>1</v>
      </c>
      <c r="Q589" t="b">
        <f>+ISNUMBER(SEARCH('F-COMPRA'!$F$33,Tabla11[[#This Row],[Cuenta]],1))</f>
        <v>1</v>
      </c>
      <c r="R589" t="b">
        <f>+ISNUMBER(SEARCH('F-COMPRA'!$F$34,Tabla11[[#This Row],[Cuenta]],1))</f>
        <v>1</v>
      </c>
      <c r="S589" t="b">
        <f>+ISNUMBER(SEARCH('F-COMPRA'!$F$35,Tabla11[[#This Row],[Cuenta]],1))</f>
        <v>1</v>
      </c>
      <c r="T589" t="b">
        <f>+ISNUMBER(SEARCH('F-COMPRA'!$F$36,Tabla11[[#This Row],[Cuenta]],1))</f>
        <v>1</v>
      </c>
      <c r="U589" t="b">
        <f>+ISNUMBER(SEARCH('F-COMPRA'!$F$37,Tabla11[[#This Row],[Cuenta]],1))</f>
        <v>1</v>
      </c>
      <c r="V589" t="b">
        <f>+ISNUMBER(SEARCH(#REF!,Tabla11[[#This Row],[Cuenta]],1))</f>
        <v>0</v>
      </c>
      <c r="W589" t="b">
        <f>+ISNUMBER(SEARCH('F-COMPRA'!#REF!,Tabla11[[#This Row],[Cuenta]],1))</f>
        <v>0</v>
      </c>
      <c r="X589" t="b">
        <f>+ISNUMBER(SEARCH('F-COMPRA'!#REF!,Tabla11[[#This Row],[Cuenta]],1))</f>
        <v>0</v>
      </c>
      <c r="Y589" t="b">
        <f>+ISNUMBER(SEARCH('F-COMPRA'!#REF!,Tabla11[[#This Row],[Cuenta]],1))</f>
        <v>0</v>
      </c>
      <c r="Z589" t="b">
        <f>+ISNUMBER(SEARCH('F-COMPRA'!#REF!,Tabla11[[#This Row],[Cuenta]],1))</f>
        <v>0</v>
      </c>
      <c r="AA589" t="b">
        <f>+ISNUMBER(SEARCH('F-COMPRA'!#REF!,Tabla11[[#This Row],[Cuenta]],1))</f>
        <v>0</v>
      </c>
      <c r="AB589" t="b">
        <f>+ISNUMBER(SEARCH('F-COMPRA'!#REF!,Tabla11[[#This Row],[Cuenta]],1))</f>
        <v>0</v>
      </c>
      <c r="AC589" t="b">
        <f>+ISNUMBER(SEARCH('F-COMPRA'!#REF!,Tabla11[[#This Row],[Cuenta]],1))</f>
        <v>0</v>
      </c>
      <c r="AD589" t="b">
        <f>+ISNUMBER(SEARCH('F-COMPRA'!#REF!,Tabla11[[#This Row],[Cuenta]],1))</f>
        <v>0</v>
      </c>
      <c r="AE589" t="b">
        <f>+ISNUMBER(SEARCH('F-COMPRA'!#REF!,Tabla11[[#This Row],[Cuenta]],1))</f>
        <v>0</v>
      </c>
      <c r="AF589" t="b">
        <f>+ISNUMBER(SEARCH('F-VTA'!$G$23,Tabla11[[#This Row],[Cuenta]],1))</f>
        <v>0</v>
      </c>
      <c r="AG589" t="b">
        <f>+ISNUMBER(SEARCH('F-VTA'!$G$24,Tabla11[[#This Row],[Cuenta]],1))</f>
        <v>0</v>
      </c>
      <c r="AH589" t="b">
        <f>+ISNUMBER(SEARCH('F-VTA'!$G$25,Tabla11[[#This Row],[Cuenta]],1))</f>
        <v>0</v>
      </c>
      <c r="AI589" t="b">
        <f>+ISNUMBER(SEARCH('F-VTA'!$F$28,Tabla11[[#This Row],[Cuenta]],1))</f>
        <v>1</v>
      </c>
      <c r="AJ589" t="b">
        <f>+ISNUMBER(SEARCH('F-VTA'!$F$29,Tabla11[[#This Row],[Cuenta]],1))</f>
        <v>1</v>
      </c>
      <c r="AK589" t="b">
        <f>+ISNUMBER(SEARCH('F-VTA'!$F$30,Tabla11[[#This Row],[Cuenta]],1))</f>
        <v>1</v>
      </c>
      <c r="AL589" t="b">
        <f>+ISNUMBER(SEARCH('F-VTA'!$F$31,Tabla11[[#This Row],[Cuenta]],1))</f>
        <v>1</v>
      </c>
      <c r="AM589" t="b">
        <f>+ISNUMBER(SEARCH('F-VTA'!$F$32,Tabla11[[#This Row],[Cuenta]],1))</f>
        <v>1</v>
      </c>
      <c r="AN589" t="b">
        <f>+ISNUMBER(SEARCH('F-VTA'!$F$33,Tabla11[[#This Row],[Cuenta]],1))</f>
        <v>1</v>
      </c>
      <c r="AO589" t="b">
        <f>+ISNUMBER(SEARCH('F-VTA'!$F$34,Tabla11[[#This Row],[Cuenta]],1))</f>
        <v>1</v>
      </c>
      <c r="AP589" t="b">
        <f>+ISNUMBER(SEARCH('F-VTA'!$F$35,Tabla11[[#This Row],[Cuenta]],1))</f>
        <v>1</v>
      </c>
      <c r="AQ589" t="b">
        <f>+ISNUMBER(SEARCH('F-VTA'!$F$36,Tabla11[[#This Row],[Cuenta]],1))</f>
        <v>1</v>
      </c>
      <c r="AR589" t="b">
        <f>+ISNUMBER(SEARCH(#REF!,Tabla11[[#This Row],[Cuenta]],1))</f>
        <v>0</v>
      </c>
      <c r="AS589" t="b">
        <f>+ISNUMBER(SEARCH(#REF!,Tabla11[[#This Row],[Cuenta]],1))</f>
        <v>0</v>
      </c>
      <c r="AT589" t="b">
        <f>+ISNUMBER(SEARCH(#REF!,Tabla11[[#This Row],[Cuenta]],1))</f>
        <v>0</v>
      </c>
      <c r="AU589" t="b">
        <f>+ISNUMBER(SEARCH('Conc. Ban.1'!$I$9,Tabla11[[#This Row],[Cuenta]],1))</f>
        <v>0</v>
      </c>
      <c r="AV589" t="b">
        <f>+ISNUMBER(SEARCH(CompConta!$F$21,Tabla11[[#This Row],[Cuenta]],1))</f>
        <v>1</v>
      </c>
      <c r="AW589" t="b">
        <f>+ISNUMBER(SEARCH(CompConta!$F$22,Tabla11[[#This Row],[Cuenta]],1))</f>
        <v>1</v>
      </c>
      <c r="AX589" t="b">
        <f>+ISNUMBER(SEARCH(CompConta!$F$23,Tabla11[[#This Row],[Cuenta]],1))</f>
        <v>1</v>
      </c>
      <c r="AY589" t="b">
        <f>+ISNUMBER(SEARCH(CompConta!$F$24,Tabla11[[#This Row],[Cuenta]],1))</f>
        <v>1</v>
      </c>
      <c r="AZ589" t="b">
        <f>+ISNUMBER(SEARCH(CompConta!$F$25,Tabla11[[#This Row],[Cuenta]],1))</f>
        <v>1</v>
      </c>
      <c r="BA589" t="b">
        <f>+ISNUMBER(SEARCH(CompConta!$F$26,Tabla11[[#This Row],[Cuenta]],1))</f>
        <v>1</v>
      </c>
      <c r="BB589" t="b">
        <f>+ISNUMBER(SEARCH(CompConta!$F$27,Tabla11[[#This Row],[Cuenta]],1))</f>
        <v>1</v>
      </c>
      <c r="BC589" t="b">
        <f>+ISNUMBER(SEARCH(CompConta!$F$28,Tabla11[[#This Row],[Cuenta]],1))</f>
        <v>1</v>
      </c>
      <c r="BD589" t="b">
        <f>+ISNUMBER(SEARCH(CompConta!$F$29,Tabla11[[#This Row],[Cuenta]],1))</f>
        <v>1</v>
      </c>
      <c r="BE589" t="b">
        <f>+ISNUMBER(SEARCH(CompConta!$F$30,Tabla11[[#This Row],[Cuenta]],1))</f>
        <v>1</v>
      </c>
      <c r="BF589" t="b">
        <f>+ISNUMBER(SEARCH('PAGO Compras'!$E$11,Tabla11[[#This Row],[Cuenta]],1))</f>
        <v>1</v>
      </c>
      <c r="BG589" t="b">
        <f>+ISNUMBER(SEARCH(#REF!,Tabla11[[#This Row],[Cuenta]],1))</f>
        <v>0</v>
      </c>
      <c r="BH589" t="b">
        <f>+ISNUMBER(SEARCH(#REF!,Tabla11[[#This Row],[Cuenta]],1))</f>
        <v>0</v>
      </c>
      <c r="BI589" t="b">
        <f>+ISNUMBER(SEARCH(#REF!,Tabla11[[#This Row],[Cuenta]],1))</f>
        <v>0</v>
      </c>
      <c r="BJ589" t="b">
        <f>+ISNUMBER(SEARCH(#REF!,Tabla11[[#This Row],[Cuenta]],1))</f>
        <v>0</v>
      </c>
      <c r="BS589" t="str">
        <v>270545 Matriculas y pensiones</v>
      </c>
      <c r="BT589" t="str">
        <v>270545 Matriculas y pensiones</v>
      </c>
      <c r="BU589" t="str">
        <v>270545 Matriculas y pensiones</v>
      </c>
      <c r="BV589" t="str">
        <v>270545 Matriculas y pensiones</v>
      </c>
      <c r="BZ589" t="str">
        <v>270545 Matriculas y pensiones</v>
      </c>
      <c r="CA589" t="str">
        <v>270545 Matriculas y pensiones</v>
      </c>
      <c r="CB589" t="str">
        <v>270545 Matriculas y pensiones</v>
      </c>
      <c r="CC589" t="str">
        <v>270545 Matriculas y pensiones</v>
      </c>
      <c r="CD589" t="str">
        <v>270545 Matriculas y pensiones</v>
      </c>
      <c r="CE589" t="str">
        <v>270545 Matriculas y pensiones</v>
      </c>
      <c r="CS589" s="141" t="str">
        <v>270545 Matriculas y pensiones</v>
      </c>
      <c r="CT589" s="141" t="str">
        <v>270545 Matriculas y pensiones</v>
      </c>
      <c r="CU589" s="141" t="str">
        <v>270545 Matriculas y pensiones</v>
      </c>
      <c r="CV589" s="141" t="str">
        <v>270545 Matriculas y pensiones</v>
      </c>
      <c r="CW589" s="141" t="str">
        <v>270545 Matriculas y pensiones</v>
      </c>
      <c r="CX589" s="141" t="str">
        <v>270545 Matriculas y pensiones</v>
      </c>
      <c r="CY589" s="141" t="str">
        <v>270545 Matriculas y pensiones</v>
      </c>
      <c r="CZ589" s="141" t="str">
        <v>270545 Matriculas y pensiones</v>
      </c>
      <c r="DA589" s="141" t="str">
        <v>270545 Matriculas y pensiones</v>
      </c>
      <c r="DF589" t="str">
        <v>270545 Matriculas y pensiones</v>
      </c>
      <c r="DG589" t="str">
        <v>270545 Matriculas y pensiones</v>
      </c>
      <c r="DH589" t="str">
        <v>270545 Matriculas y pensiones</v>
      </c>
      <c r="DI589" t="str">
        <v>270545 Matriculas y pensiones</v>
      </c>
      <c r="DJ589" t="str">
        <v>270545 Matriculas y pensiones</v>
      </c>
      <c r="DK589" t="str">
        <v>270545 Matriculas y pensiones</v>
      </c>
      <c r="DL589" t="str">
        <v>270545 Matriculas y pensiones</v>
      </c>
      <c r="DM589" t="str">
        <v>270545 Matriculas y pensiones</v>
      </c>
      <c r="DN589" t="str">
        <v>270545 Matriculas y pensiones</v>
      </c>
      <c r="DO589" t="str">
        <v>270545 Matriculas y pensiones</v>
      </c>
      <c r="DP589" t="str">
        <v>270545 Matriculas y pensiones</v>
      </c>
    </row>
    <row r="590" spans="4:120" ht="12.75">
      <c r="D590" s="7">
        <v>270550</v>
      </c>
      <c r="E590" s="6" t="s">
        <v>430</v>
      </c>
      <c r="F590" s="5">
        <v>4</v>
      </c>
      <c r="G590" s="34" t="s">
        <v>823</v>
      </c>
      <c r="H590" s="26" t="s">
        <v>765</v>
      </c>
      <c r="I590" t="b">
        <f>+ISNUMBER(SEARCH('F-COMPRA'!$F$28,Tabla11[[#This Row],[Cuenta]],1))</f>
        <v>1</v>
      </c>
      <c r="J590" t="b">
        <f>+ISNUMBER(SEARCH('F-COMPRA'!$F$29,Tabla11[[#This Row],[Cuenta]],1))</f>
        <v>1</v>
      </c>
      <c r="K590" t="b">
        <f>+ISNUMBER(SEARCH('F-COMPRA'!$F$30,Tabla11[[#This Row],[Cuenta]],1))</f>
        <v>1</v>
      </c>
      <c r="L590" t="b">
        <f>+ISNUMBER(SEARCH('F-COMPRA'!$F$31,Tabla11[[#This Row],[Cuenta]],1))</f>
        <v>1</v>
      </c>
      <c r="M590" t="b">
        <f>+ISNUMBER(SEARCH('F-COMPRA'!$G$25,Tabla11[[#This Row],[Cuenta]],1))</f>
        <v>0</v>
      </c>
      <c r="N590" t="b">
        <f>+ISNUMBER(SEARCH(#REF!,Tabla11[[#This Row],[Cuenta]],1))</f>
        <v>0</v>
      </c>
      <c r="O590" t="b">
        <f>+ISNUMBER(SEARCH(#REF!,Tabla11[[#This Row],[Cuenta]],1))</f>
        <v>0</v>
      </c>
      <c r="P590" t="b">
        <f>+ISNUMBER(SEARCH('F-COMPRA'!$F$32,Tabla11[[#This Row],[Cuenta]],1))</f>
        <v>1</v>
      </c>
      <c r="Q590" t="b">
        <f>+ISNUMBER(SEARCH('F-COMPRA'!$F$33,Tabla11[[#This Row],[Cuenta]],1))</f>
        <v>1</v>
      </c>
      <c r="R590" t="b">
        <f>+ISNUMBER(SEARCH('F-COMPRA'!$F$34,Tabla11[[#This Row],[Cuenta]],1))</f>
        <v>1</v>
      </c>
      <c r="S590" t="b">
        <f>+ISNUMBER(SEARCH('F-COMPRA'!$F$35,Tabla11[[#This Row],[Cuenta]],1))</f>
        <v>1</v>
      </c>
      <c r="T590" t="b">
        <f>+ISNUMBER(SEARCH('F-COMPRA'!$F$36,Tabla11[[#This Row],[Cuenta]],1))</f>
        <v>1</v>
      </c>
      <c r="U590" t="b">
        <f>+ISNUMBER(SEARCH('F-COMPRA'!$F$37,Tabla11[[#This Row],[Cuenta]],1))</f>
        <v>1</v>
      </c>
      <c r="V590" t="b">
        <f>+ISNUMBER(SEARCH(#REF!,Tabla11[[#This Row],[Cuenta]],1))</f>
        <v>0</v>
      </c>
      <c r="W590" t="b">
        <f>+ISNUMBER(SEARCH('F-COMPRA'!#REF!,Tabla11[[#This Row],[Cuenta]],1))</f>
        <v>0</v>
      </c>
      <c r="X590" t="b">
        <f>+ISNUMBER(SEARCH('F-COMPRA'!#REF!,Tabla11[[#This Row],[Cuenta]],1))</f>
        <v>0</v>
      </c>
      <c r="Y590" t="b">
        <f>+ISNUMBER(SEARCH('F-COMPRA'!#REF!,Tabla11[[#This Row],[Cuenta]],1))</f>
        <v>0</v>
      </c>
      <c r="Z590" t="b">
        <f>+ISNUMBER(SEARCH('F-COMPRA'!#REF!,Tabla11[[#This Row],[Cuenta]],1))</f>
        <v>0</v>
      </c>
      <c r="AA590" t="b">
        <f>+ISNUMBER(SEARCH('F-COMPRA'!#REF!,Tabla11[[#This Row],[Cuenta]],1))</f>
        <v>0</v>
      </c>
      <c r="AB590" t="b">
        <f>+ISNUMBER(SEARCH('F-COMPRA'!#REF!,Tabla11[[#This Row],[Cuenta]],1))</f>
        <v>0</v>
      </c>
      <c r="AC590" t="b">
        <f>+ISNUMBER(SEARCH('F-COMPRA'!#REF!,Tabla11[[#This Row],[Cuenta]],1))</f>
        <v>0</v>
      </c>
      <c r="AD590" t="b">
        <f>+ISNUMBER(SEARCH('F-COMPRA'!#REF!,Tabla11[[#This Row],[Cuenta]],1))</f>
        <v>0</v>
      </c>
      <c r="AE590" t="b">
        <f>+ISNUMBER(SEARCH('F-COMPRA'!#REF!,Tabla11[[#This Row],[Cuenta]],1))</f>
        <v>0</v>
      </c>
      <c r="AF590" t="b">
        <f>+ISNUMBER(SEARCH('F-VTA'!$G$23,Tabla11[[#This Row],[Cuenta]],1))</f>
        <v>0</v>
      </c>
      <c r="AG590" t="b">
        <f>+ISNUMBER(SEARCH('F-VTA'!$G$24,Tabla11[[#This Row],[Cuenta]],1))</f>
        <v>0</v>
      </c>
      <c r="AH590" t="b">
        <f>+ISNUMBER(SEARCH('F-VTA'!$G$25,Tabla11[[#This Row],[Cuenta]],1))</f>
        <v>0</v>
      </c>
      <c r="AI590" t="b">
        <f>+ISNUMBER(SEARCH('F-VTA'!$F$28,Tabla11[[#This Row],[Cuenta]],1))</f>
        <v>1</v>
      </c>
      <c r="AJ590" t="b">
        <f>+ISNUMBER(SEARCH('F-VTA'!$F$29,Tabla11[[#This Row],[Cuenta]],1))</f>
        <v>1</v>
      </c>
      <c r="AK590" t="b">
        <f>+ISNUMBER(SEARCH('F-VTA'!$F$30,Tabla11[[#This Row],[Cuenta]],1))</f>
        <v>1</v>
      </c>
      <c r="AL590" t="b">
        <f>+ISNUMBER(SEARCH('F-VTA'!$F$31,Tabla11[[#This Row],[Cuenta]],1))</f>
        <v>1</v>
      </c>
      <c r="AM590" t="b">
        <f>+ISNUMBER(SEARCH('F-VTA'!$F$32,Tabla11[[#This Row],[Cuenta]],1))</f>
        <v>1</v>
      </c>
      <c r="AN590" t="b">
        <f>+ISNUMBER(SEARCH('F-VTA'!$F$33,Tabla11[[#This Row],[Cuenta]],1))</f>
        <v>1</v>
      </c>
      <c r="AO590" t="b">
        <f>+ISNUMBER(SEARCH('F-VTA'!$F$34,Tabla11[[#This Row],[Cuenta]],1))</f>
        <v>1</v>
      </c>
      <c r="AP590" t="b">
        <f>+ISNUMBER(SEARCH('F-VTA'!$F$35,Tabla11[[#This Row],[Cuenta]],1))</f>
        <v>1</v>
      </c>
      <c r="AQ590" t="b">
        <f>+ISNUMBER(SEARCH('F-VTA'!$F$36,Tabla11[[#This Row],[Cuenta]],1))</f>
        <v>1</v>
      </c>
      <c r="AR590" t="b">
        <f>+ISNUMBER(SEARCH(#REF!,Tabla11[[#This Row],[Cuenta]],1))</f>
        <v>0</v>
      </c>
      <c r="AS590" t="b">
        <f>+ISNUMBER(SEARCH(#REF!,Tabla11[[#This Row],[Cuenta]],1))</f>
        <v>0</v>
      </c>
      <c r="AT590" t="b">
        <f>+ISNUMBER(SEARCH(#REF!,Tabla11[[#This Row],[Cuenta]],1))</f>
        <v>0</v>
      </c>
      <c r="AU590" t="b">
        <f>+ISNUMBER(SEARCH('Conc. Ban.1'!$I$9,Tabla11[[#This Row],[Cuenta]],1))</f>
        <v>0</v>
      </c>
      <c r="AV590" t="b">
        <f>+ISNUMBER(SEARCH(CompConta!$F$21,Tabla11[[#This Row],[Cuenta]],1))</f>
        <v>1</v>
      </c>
      <c r="AW590" t="b">
        <f>+ISNUMBER(SEARCH(CompConta!$F$22,Tabla11[[#This Row],[Cuenta]],1))</f>
        <v>1</v>
      </c>
      <c r="AX590" t="b">
        <f>+ISNUMBER(SEARCH(CompConta!$F$23,Tabla11[[#This Row],[Cuenta]],1))</f>
        <v>1</v>
      </c>
      <c r="AY590" t="b">
        <f>+ISNUMBER(SEARCH(CompConta!$F$24,Tabla11[[#This Row],[Cuenta]],1))</f>
        <v>1</v>
      </c>
      <c r="AZ590" t="b">
        <f>+ISNUMBER(SEARCH(CompConta!$F$25,Tabla11[[#This Row],[Cuenta]],1))</f>
        <v>1</v>
      </c>
      <c r="BA590" t="b">
        <f>+ISNUMBER(SEARCH(CompConta!$F$26,Tabla11[[#This Row],[Cuenta]],1))</f>
        <v>1</v>
      </c>
      <c r="BB590" t="b">
        <f>+ISNUMBER(SEARCH(CompConta!$F$27,Tabla11[[#This Row],[Cuenta]],1))</f>
        <v>1</v>
      </c>
      <c r="BC590" t="b">
        <f>+ISNUMBER(SEARCH(CompConta!$F$28,Tabla11[[#This Row],[Cuenta]],1))</f>
        <v>1</v>
      </c>
      <c r="BD590" t="b">
        <f>+ISNUMBER(SEARCH(CompConta!$F$29,Tabla11[[#This Row],[Cuenta]],1))</f>
        <v>1</v>
      </c>
      <c r="BE590" t="b">
        <f>+ISNUMBER(SEARCH(CompConta!$F$30,Tabla11[[#This Row],[Cuenta]],1))</f>
        <v>1</v>
      </c>
      <c r="BF590" t="b">
        <f>+ISNUMBER(SEARCH('PAGO Compras'!$E$11,Tabla11[[#This Row],[Cuenta]],1))</f>
        <v>1</v>
      </c>
      <c r="BG590" t="b">
        <f>+ISNUMBER(SEARCH(#REF!,Tabla11[[#This Row],[Cuenta]],1))</f>
        <v>0</v>
      </c>
      <c r="BH590" t="b">
        <f>+ISNUMBER(SEARCH(#REF!,Tabla11[[#This Row],[Cuenta]],1))</f>
        <v>0</v>
      </c>
      <c r="BI590" t="b">
        <f>+ISNUMBER(SEARCH(#REF!,Tabla11[[#This Row],[Cuenta]],1))</f>
        <v>0</v>
      </c>
      <c r="BJ590" t="b">
        <f>+ISNUMBER(SEARCH(#REF!,Tabla11[[#This Row],[Cuenta]],1))</f>
        <v>0</v>
      </c>
      <c r="BS590" t="str">
        <v>270550 Cuotas de administración</v>
      </c>
      <c r="BT590" t="str">
        <v>270550 Cuotas de administración</v>
      </c>
      <c r="BU590" t="str">
        <v>270550 Cuotas de administración</v>
      </c>
      <c r="BV590" t="str">
        <v>270550 Cuotas de administración</v>
      </c>
      <c r="BZ590" t="str">
        <v>270550 Cuotas de administración</v>
      </c>
      <c r="CA590" t="str">
        <v>270550 Cuotas de administración</v>
      </c>
      <c r="CB590" t="str">
        <v>270550 Cuotas de administración</v>
      </c>
      <c r="CC590" t="str">
        <v>270550 Cuotas de administración</v>
      </c>
      <c r="CD590" t="str">
        <v>270550 Cuotas de administración</v>
      </c>
      <c r="CE590" t="str">
        <v>270550 Cuotas de administración</v>
      </c>
      <c r="CS590" s="141" t="str">
        <v>270550 Cuotas de administración</v>
      </c>
      <c r="CT590" s="141" t="str">
        <v>270550 Cuotas de administración</v>
      </c>
      <c r="CU590" s="141" t="str">
        <v>270550 Cuotas de administración</v>
      </c>
      <c r="CV590" s="141" t="str">
        <v>270550 Cuotas de administración</v>
      </c>
      <c r="CW590" s="141" t="str">
        <v>270550 Cuotas de administración</v>
      </c>
      <c r="CX590" s="141" t="str">
        <v>270550 Cuotas de administración</v>
      </c>
      <c r="CY590" s="141" t="str">
        <v>270550 Cuotas de administración</v>
      </c>
      <c r="CZ590" s="141" t="str">
        <v>270550 Cuotas de administración</v>
      </c>
      <c r="DA590" s="141" t="str">
        <v>270550 Cuotas de administración</v>
      </c>
      <c r="DF590" t="str">
        <v>270550 Cuotas de administración</v>
      </c>
      <c r="DG590" t="str">
        <v>270550 Cuotas de administración</v>
      </c>
      <c r="DH590" t="str">
        <v>270550 Cuotas de administración</v>
      </c>
      <c r="DI590" t="str">
        <v>270550 Cuotas de administración</v>
      </c>
      <c r="DJ590" t="str">
        <v>270550 Cuotas de administración</v>
      </c>
      <c r="DK590" t="str">
        <v>270550 Cuotas de administración</v>
      </c>
      <c r="DL590" t="str">
        <v>270550 Cuotas de administración</v>
      </c>
      <c r="DM590" t="str">
        <v>270550 Cuotas de administración</v>
      </c>
      <c r="DN590" t="str">
        <v>270550 Cuotas de administración</v>
      </c>
      <c r="DO590" t="str">
        <v>270550 Cuotas de administración</v>
      </c>
      <c r="DP590" t="str">
        <v>270550 Cuotas de administración</v>
      </c>
    </row>
    <row r="591" spans="4:120" ht="12.75">
      <c r="D591" s="7">
        <v>270595</v>
      </c>
      <c r="E591" s="6" t="s">
        <v>45</v>
      </c>
      <c r="F591" s="5">
        <v>4</v>
      </c>
      <c r="G591" s="34" t="s">
        <v>823</v>
      </c>
      <c r="H591" s="26" t="s">
        <v>765</v>
      </c>
      <c r="I591" t="b">
        <f>+ISNUMBER(SEARCH('F-COMPRA'!$F$28,Tabla11[[#This Row],[Cuenta]],1))</f>
        <v>1</v>
      </c>
      <c r="J591" t="b">
        <f>+ISNUMBER(SEARCH('F-COMPRA'!$F$29,Tabla11[[#This Row],[Cuenta]],1))</f>
        <v>1</v>
      </c>
      <c r="K591" t="b">
        <f>+ISNUMBER(SEARCH('F-COMPRA'!$F$30,Tabla11[[#This Row],[Cuenta]],1))</f>
        <v>1</v>
      </c>
      <c r="L591" t="b">
        <f>+ISNUMBER(SEARCH('F-COMPRA'!$F$31,Tabla11[[#This Row],[Cuenta]],1))</f>
        <v>1</v>
      </c>
      <c r="M591" t="b">
        <f>+ISNUMBER(SEARCH('F-COMPRA'!$G$25,Tabla11[[#This Row],[Cuenta]],1))</f>
        <v>0</v>
      </c>
      <c r="N591" t="b">
        <f>+ISNUMBER(SEARCH(#REF!,Tabla11[[#This Row],[Cuenta]],1))</f>
        <v>0</v>
      </c>
      <c r="O591" t="b">
        <f>+ISNUMBER(SEARCH(#REF!,Tabla11[[#This Row],[Cuenta]],1))</f>
        <v>0</v>
      </c>
      <c r="P591" t="b">
        <f>+ISNUMBER(SEARCH('F-COMPRA'!$F$32,Tabla11[[#This Row],[Cuenta]],1))</f>
        <v>1</v>
      </c>
      <c r="Q591" t="b">
        <f>+ISNUMBER(SEARCH('F-COMPRA'!$F$33,Tabla11[[#This Row],[Cuenta]],1))</f>
        <v>1</v>
      </c>
      <c r="R591" t="b">
        <f>+ISNUMBER(SEARCH('F-COMPRA'!$F$34,Tabla11[[#This Row],[Cuenta]],1))</f>
        <v>1</v>
      </c>
      <c r="S591" t="b">
        <f>+ISNUMBER(SEARCH('F-COMPRA'!$F$35,Tabla11[[#This Row],[Cuenta]],1))</f>
        <v>1</v>
      </c>
      <c r="T591" t="b">
        <f>+ISNUMBER(SEARCH('F-COMPRA'!$F$36,Tabla11[[#This Row],[Cuenta]],1))</f>
        <v>1</v>
      </c>
      <c r="U591" t="b">
        <f>+ISNUMBER(SEARCH('F-COMPRA'!$F$37,Tabla11[[#This Row],[Cuenta]],1))</f>
        <v>1</v>
      </c>
      <c r="V591" t="b">
        <f>+ISNUMBER(SEARCH(#REF!,Tabla11[[#This Row],[Cuenta]],1))</f>
        <v>0</v>
      </c>
      <c r="W591" t="b">
        <f>+ISNUMBER(SEARCH('F-COMPRA'!#REF!,Tabla11[[#This Row],[Cuenta]],1))</f>
        <v>0</v>
      </c>
      <c r="X591" t="b">
        <f>+ISNUMBER(SEARCH('F-COMPRA'!#REF!,Tabla11[[#This Row],[Cuenta]],1))</f>
        <v>0</v>
      </c>
      <c r="Y591" t="b">
        <f>+ISNUMBER(SEARCH('F-COMPRA'!#REF!,Tabla11[[#This Row],[Cuenta]],1))</f>
        <v>0</v>
      </c>
      <c r="Z591" t="b">
        <f>+ISNUMBER(SEARCH('F-COMPRA'!#REF!,Tabla11[[#This Row],[Cuenta]],1))</f>
        <v>0</v>
      </c>
      <c r="AA591" t="b">
        <f>+ISNUMBER(SEARCH('F-COMPRA'!#REF!,Tabla11[[#This Row],[Cuenta]],1))</f>
        <v>0</v>
      </c>
      <c r="AB591" t="b">
        <f>+ISNUMBER(SEARCH('F-COMPRA'!#REF!,Tabla11[[#This Row],[Cuenta]],1))</f>
        <v>0</v>
      </c>
      <c r="AC591" t="b">
        <f>+ISNUMBER(SEARCH('F-COMPRA'!#REF!,Tabla11[[#This Row],[Cuenta]],1))</f>
        <v>0</v>
      </c>
      <c r="AD591" t="b">
        <f>+ISNUMBER(SEARCH('F-COMPRA'!#REF!,Tabla11[[#This Row],[Cuenta]],1))</f>
        <v>0</v>
      </c>
      <c r="AE591" t="b">
        <f>+ISNUMBER(SEARCH('F-COMPRA'!#REF!,Tabla11[[#This Row],[Cuenta]],1))</f>
        <v>0</v>
      </c>
      <c r="AF591" t="b">
        <f>+ISNUMBER(SEARCH('F-VTA'!$G$23,Tabla11[[#This Row],[Cuenta]],1))</f>
        <v>0</v>
      </c>
      <c r="AG591" t="b">
        <f>+ISNUMBER(SEARCH('F-VTA'!$G$24,Tabla11[[#This Row],[Cuenta]],1))</f>
        <v>0</v>
      </c>
      <c r="AH591" t="b">
        <f>+ISNUMBER(SEARCH('F-VTA'!$G$25,Tabla11[[#This Row],[Cuenta]],1))</f>
        <v>0</v>
      </c>
      <c r="AI591" t="b">
        <f>+ISNUMBER(SEARCH('F-VTA'!$F$28,Tabla11[[#This Row],[Cuenta]],1))</f>
        <v>1</v>
      </c>
      <c r="AJ591" t="b">
        <f>+ISNUMBER(SEARCH('F-VTA'!$F$29,Tabla11[[#This Row],[Cuenta]],1))</f>
        <v>1</v>
      </c>
      <c r="AK591" t="b">
        <f>+ISNUMBER(SEARCH('F-VTA'!$F$30,Tabla11[[#This Row],[Cuenta]],1))</f>
        <v>1</v>
      </c>
      <c r="AL591" t="b">
        <f>+ISNUMBER(SEARCH('F-VTA'!$F$31,Tabla11[[#This Row],[Cuenta]],1))</f>
        <v>1</v>
      </c>
      <c r="AM591" t="b">
        <f>+ISNUMBER(SEARCH('F-VTA'!$F$32,Tabla11[[#This Row],[Cuenta]],1))</f>
        <v>1</v>
      </c>
      <c r="AN591" t="b">
        <f>+ISNUMBER(SEARCH('F-VTA'!$F$33,Tabla11[[#This Row],[Cuenta]],1))</f>
        <v>1</v>
      </c>
      <c r="AO591" t="b">
        <f>+ISNUMBER(SEARCH('F-VTA'!$F$34,Tabla11[[#This Row],[Cuenta]],1))</f>
        <v>1</v>
      </c>
      <c r="AP591" t="b">
        <f>+ISNUMBER(SEARCH('F-VTA'!$F$35,Tabla11[[#This Row],[Cuenta]],1))</f>
        <v>1</v>
      </c>
      <c r="AQ591" t="b">
        <f>+ISNUMBER(SEARCH('F-VTA'!$F$36,Tabla11[[#This Row],[Cuenta]],1))</f>
        <v>1</v>
      </c>
      <c r="AR591" t="b">
        <f>+ISNUMBER(SEARCH(#REF!,Tabla11[[#This Row],[Cuenta]],1))</f>
        <v>0</v>
      </c>
      <c r="AS591" t="b">
        <f>+ISNUMBER(SEARCH(#REF!,Tabla11[[#This Row],[Cuenta]],1))</f>
        <v>0</v>
      </c>
      <c r="AT591" t="b">
        <f>+ISNUMBER(SEARCH(#REF!,Tabla11[[#This Row],[Cuenta]],1))</f>
        <v>0</v>
      </c>
      <c r="AU591" t="b">
        <f>+ISNUMBER(SEARCH('Conc. Ban.1'!$I$9,Tabla11[[#This Row],[Cuenta]],1))</f>
        <v>0</v>
      </c>
      <c r="AV591" t="b">
        <f>+ISNUMBER(SEARCH(CompConta!$F$21,Tabla11[[#This Row],[Cuenta]],1))</f>
        <v>1</v>
      </c>
      <c r="AW591" t="b">
        <f>+ISNUMBER(SEARCH(CompConta!$F$22,Tabla11[[#This Row],[Cuenta]],1))</f>
        <v>1</v>
      </c>
      <c r="AX591" t="b">
        <f>+ISNUMBER(SEARCH(CompConta!$F$23,Tabla11[[#This Row],[Cuenta]],1))</f>
        <v>1</v>
      </c>
      <c r="AY591" t="b">
        <f>+ISNUMBER(SEARCH(CompConta!$F$24,Tabla11[[#This Row],[Cuenta]],1))</f>
        <v>1</v>
      </c>
      <c r="AZ591" t="b">
        <f>+ISNUMBER(SEARCH(CompConta!$F$25,Tabla11[[#This Row],[Cuenta]],1))</f>
        <v>1</v>
      </c>
      <c r="BA591" t="b">
        <f>+ISNUMBER(SEARCH(CompConta!$F$26,Tabla11[[#This Row],[Cuenta]],1))</f>
        <v>1</v>
      </c>
      <c r="BB591" t="b">
        <f>+ISNUMBER(SEARCH(CompConta!$F$27,Tabla11[[#This Row],[Cuenta]],1))</f>
        <v>1</v>
      </c>
      <c r="BC591" t="b">
        <f>+ISNUMBER(SEARCH(CompConta!$F$28,Tabla11[[#This Row],[Cuenta]],1))</f>
        <v>1</v>
      </c>
      <c r="BD591" t="b">
        <f>+ISNUMBER(SEARCH(CompConta!$F$29,Tabla11[[#This Row],[Cuenta]],1))</f>
        <v>1</v>
      </c>
      <c r="BE591" t="b">
        <f>+ISNUMBER(SEARCH(CompConta!$F$30,Tabla11[[#This Row],[Cuenta]],1))</f>
        <v>1</v>
      </c>
      <c r="BF591" t="b">
        <f>+ISNUMBER(SEARCH('PAGO Compras'!$E$11,Tabla11[[#This Row],[Cuenta]],1))</f>
        <v>1</v>
      </c>
      <c r="BG591" t="b">
        <f>+ISNUMBER(SEARCH(#REF!,Tabla11[[#This Row],[Cuenta]],1))</f>
        <v>0</v>
      </c>
      <c r="BH591" t="b">
        <f>+ISNUMBER(SEARCH(#REF!,Tabla11[[#This Row],[Cuenta]],1))</f>
        <v>0</v>
      </c>
      <c r="BI591" t="b">
        <f>+ISNUMBER(SEARCH(#REF!,Tabla11[[#This Row],[Cuenta]],1))</f>
        <v>0</v>
      </c>
      <c r="BJ591" t="b">
        <f>+ISNUMBER(SEARCH(#REF!,Tabla11[[#This Row],[Cuenta]],1))</f>
        <v>0</v>
      </c>
      <c r="BS591" t="str">
        <v>270595 Otros</v>
      </c>
      <c r="BT591" t="str">
        <v>270595 Otros</v>
      </c>
      <c r="BU591" t="str">
        <v>270595 Otros</v>
      </c>
      <c r="BV591" t="str">
        <v>270595 Otros</v>
      </c>
      <c r="BZ591" t="str">
        <v>270595 Otros</v>
      </c>
      <c r="CA591" t="str">
        <v>270595 Otros</v>
      </c>
      <c r="CB591" t="str">
        <v>270595 Otros</v>
      </c>
      <c r="CC591" t="str">
        <v>270595 Otros</v>
      </c>
      <c r="CD591" t="str">
        <v>270595 Otros</v>
      </c>
      <c r="CE591" t="str">
        <v>270595 Otros</v>
      </c>
      <c r="CS591" s="141" t="str">
        <v>270595 Otros</v>
      </c>
      <c r="CT591" s="141" t="str">
        <v>270595 Otros</v>
      </c>
      <c r="CU591" s="141" t="str">
        <v>270595 Otros</v>
      </c>
      <c r="CV591" s="141" t="str">
        <v>270595 Otros</v>
      </c>
      <c r="CW591" s="141" t="str">
        <v>270595 Otros</v>
      </c>
      <c r="CX591" s="141" t="str">
        <v>270595 Otros</v>
      </c>
      <c r="CY591" s="141" t="str">
        <v>270595 Otros</v>
      </c>
      <c r="CZ591" s="141" t="str">
        <v>270595 Otros</v>
      </c>
      <c r="DA591" s="141" t="str">
        <v>270595 Otros</v>
      </c>
      <c r="DF591" t="str">
        <v>270595 Otros</v>
      </c>
      <c r="DG591" t="str">
        <v>270595 Otros</v>
      </c>
      <c r="DH591" t="str">
        <v>270595 Otros</v>
      </c>
      <c r="DI591" t="str">
        <v>270595 Otros</v>
      </c>
      <c r="DJ591" t="str">
        <v>270595 Otros</v>
      </c>
      <c r="DK591" t="str">
        <v>270595 Otros</v>
      </c>
      <c r="DL591" t="str">
        <v>270595 Otros</v>
      </c>
      <c r="DM591" t="str">
        <v>270595 Otros</v>
      </c>
      <c r="DN591" t="str">
        <v>270595 Otros</v>
      </c>
      <c r="DO591" t="str">
        <v>270595 Otros</v>
      </c>
      <c r="DP591" t="str">
        <v>270595 Otros</v>
      </c>
    </row>
    <row r="592" spans="4:120" ht="12.75">
      <c r="D592" s="7">
        <v>2710</v>
      </c>
      <c r="E592" s="6" t="s">
        <v>431</v>
      </c>
      <c r="F592" s="5">
        <v>3</v>
      </c>
      <c r="G592" s="34" t="s">
        <v>823</v>
      </c>
      <c r="H592" s="26" t="s">
        <v>765</v>
      </c>
      <c r="I592" t="b">
        <f>+ISNUMBER(SEARCH('F-COMPRA'!$F$28,Tabla11[[#This Row],[Cuenta]],1))</f>
        <v>1</v>
      </c>
      <c r="J592" t="b">
        <f>+ISNUMBER(SEARCH('F-COMPRA'!$F$29,Tabla11[[#This Row],[Cuenta]],1))</f>
        <v>1</v>
      </c>
      <c r="K592" t="b">
        <f>+ISNUMBER(SEARCH('F-COMPRA'!$F$30,Tabla11[[#This Row],[Cuenta]],1))</f>
        <v>1</v>
      </c>
      <c r="L592" t="b">
        <f>+ISNUMBER(SEARCH('F-COMPRA'!$F$31,Tabla11[[#This Row],[Cuenta]],1))</f>
        <v>1</v>
      </c>
      <c r="M592" t="b">
        <f>+ISNUMBER(SEARCH('F-COMPRA'!$G$25,Tabla11[[#This Row],[Cuenta]],1))</f>
        <v>0</v>
      </c>
      <c r="N592" t="b">
        <f>+ISNUMBER(SEARCH(#REF!,Tabla11[[#This Row],[Cuenta]],1))</f>
        <v>0</v>
      </c>
      <c r="O592" t="b">
        <f>+ISNUMBER(SEARCH(#REF!,Tabla11[[#This Row],[Cuenta]],1))</f>
        <v>0</v>
      </c>
      <c r="P592" t="b">
        <f>+ISNUMBER(SEARCH('F-COMPRA'!$F$32,Tabla11[[#This Row],[Cuenta]],1))</f>
        <v>1</v>
      </c>
      <c r="Q592" t="b">
        <f>+ISNUMBER(SEARCH('F-COMPRA'!$F$33,Tabla11[[#This Row],[Cuenta]],1))</f>
        <v>1</v>
      </c>
      <c r="R592" t="b">
        <f>+ISNUMBER(SEARCH('F-COMPRA'!$F$34,Tabla11[[#This Row],[Cuenta]],1))</f>
        <v>1</v>
      </c>
      <c r="S592" t="b">
        <f>+ISNUMBER(SEARCH('F-COMPRA'!$F$35,Tabla11[[#This Row],[Cuenta]],1))</f>
        <v>1</v>
      </c>
      <c r="T592" t="b">
        <f>+ISNUMBER(SEARCH('F-COMPRA'!$F$36,Tabla11[[#This Row],[Cuenta]],1))</f>
        <v>1</v>
      </c>
      <c r="U592" t="b">
        <f>+ISNUMBER(SEARCH('F-COMPRA'!$F$37,Tabla11[[#This Row],[Cuenta]],1))</f>
        <v>1</v>
      </c>
      <c r="V592" t="b">
        <f>+ISNUMBER(SEARCH(#REF!,Tabla11[[#This Row],[Cuenta]],1))</f>
        <v>0</v>
      </c>
      <c r="W592" t="b">
        <f>+ISNUMBER(SEARCH('F-COMPRA'!#REF!,Tabla11[[#This Row],[Cuenta]],1))</f>
        <v>0</v>
      </c>
      <c r="X592" t="b">
        <f>+ISNUMBER(SEARCH('F-COMPRA'!#REF!,Tabla11[[#This Row],[Cuenta]],1))</f>
        <v>0</v>
      </c>
      <c r="Y592" t="b">
        <f>+ISNUMBER(SEARCH('F-COMPRA'!#REF!,Tabla11[[#This Row],[Cuenta]],1))</f>
        <v>0</v>
      </c>
      <c r="Z592" t="b">
        <f>+ISNUMBER(SEARCH('F-COMPRA'!#REF!,Tabla11[[#This Row],[Cuenta]],1))</f>
        <v>0</v>
      </c>
      <c r="AA592" t="b">
        <f>+ISNUMBER(SEARCH('F-COMPRA'!#REF!,Tabla11[[#This Row],[Cuenta]],1))</f>
        <v>0</v>
      </c>
      <c r="AB592" t="b">
        <f>+ISNUMBER(SEARCH('F-COMPRA'!#REF!,Tabla11[[#This Row],[Cuenta]],1))</f>
        <v>0</v>
      </c>
      <c r="AC592" t="b">
        <f>+ISNUMBER(SEARCH('F-COMPRA'!#REF!,Tabla11[[#This Row],[Cuenta]],1))</f>
        <v>0</v>
      </c>
      <c r="AD592" t="b">
        <f>+ISNUMBER(SEARCH('F-COMPRA'!#REF!,Tabla11[[#This Row],[Cuenta]],1))</f>
        <v>0</v>
      </c>
      <c r="AE592" t="b">
        <f>+ISNUMBER(SEARCH('F-COMPRA'!#REF!,Tabla11[[#This Row],[Cuenta]],1))</f>
        <v>0</v>
      </c>
      <c r="AF592" t="b">
        <f>+ISNUMBER(SEARCH('F-VTA'!$G$23,Tabla11[[#This Row],[Cuenta]],1))</f>
        <v>0</v>
      </c>
      <c r="AG592" t="b">
        <f>+ISNUMBER(SEARCH('F-VTA'!$G$24,Tabla11[[#This Row],[Cuenta]],1))</f>
        <v>0</v>
      </c>
      <c r="AH592" t="b">
        <f>+ISNUMBER(SEARCH('F-VTA'!$G$25,Tabla11[[#This Row],[Cuenta]],1))</f>
        <v>0</v>
      </c>
      <c r="AI592" t="b">
        <f>+ISNUMBER(SEARCH('F-VTA'!$F$28,Tabla11[[#This Row],[Cuenta]],1))</f>
        <v>1</v>
      </c>
      <c r="AJ592" t="b">
        <f>+ISNUMBER(SEARCH('F-VTA'!$F$29,Tabla11[[#This Row],[Cuenta]],1))</f>
        <v>1</v>
      </c>
      <c r="AK592" t="b">
        <f>+ISNUMBER(SEARCH('F-VTA'!$F$30,Tabla11[[#This Row],[Cuenta]],1))</f>
        <v>1</v>
      </c>
      <c r="AL592" t="b">
        <f>+ISNUMBER(SEARCH('F-VTA'!$F$31,Tabla11[[#This Row],[Cuenta]],1))</f>
        <v>1</v>
      </c>
      <c r="AM592" t="b">
        <f>+ISNUMBER(SEARCH('F-VTA'!$F$32,Tabla11[[#This Row],[Cuenta]],1))</f>
        <v>1</v>
      </c>
      <c r="AN592" t="b">
        <f>+ISNUMBER(SEARCH('F-VTA'!$F$33,Tabla11[[#This Row],[Cuenta]],1))</f>
        <v>1</v>
      </c>
      <c r="AO592" t="b">
        <f>+ISNUMBER(SEARCH('F-VTA'!$F$34,Tabla11[[#This Row],[Cuenta]],1))</f>
        <v>1</v>
      </c>
      <c r="AP592" t="b">
        <f>+ISNUMBER(SEARCH('F-VTA'!$F$35,Tabla11[[#This Row],[Cuenta]],1))</f>
        <v>1</v>
      </c>
      <c r="AQ592" t="b">
        <f>+ISNUMBER(SEARCH('F-VTA'!$F$36,Tabla11[[#This Row],[Cuenta]],1))</f>
        <v>1</v>
      </c>
      <c r="AR592" t="b">
        <f>+ISNUMBER(SEARCH(#REF!,Tabla11[[#This Row],[Cuenta]],1))</f>
        <v>0</v>
      </c>
      <c r="AS592" t="b">
        <f>+ISNUMBER(SEARCH(#REF!,Tabla11[[#This Row],[Cuenta]],1))</f>
        <v>0</v>
      </c>
      <c r="AT592" t="b">
        <f>+ISNUMBER(SEARCH(#REF!,Tabla11[[#This Row],[Cuenta]],1))</f>
        <v>0</v>
      </c>
      <c r="AU592" t="b">
        <f>+ISNUMBER(SEARCH('Conc. Ban.1'!$I$9,Tabla11[[#This Row],[Cuenta]],1))</f>
        <v>0</v>
      </c>
      <c r="AV592" t="b">
        <f>+ISNUMBER(SEARCH(CompConta!$F$21,Tabla11[[#This Row],[Cuenta]],1))</f>
        <v>1</v>
      </c>
      <c r="AW592" t="b">
        <f>+ISNUMBER(SEARCH(CompConta!$F$22,Tabla11[[#This Row],[Cuenta]],1))</f>
        <v>1</v>
      </c>
      <c r="AX592" t="b">
        <f>+ISNUMBER(SEARCH(CompConta!$F$23,Tabla11[[#This Row],[Cuenta]],1))</f>
        <v>1</v>
      </c>
      <c r="AY592" t="b">
        <f>+ISNUMBER(SEARCH(CompConta!$F$24,Tabla11[[#This Row],[Cuenta]],1))</f>
        <v>1</v>
      </c>
      <c r="AZ592" t="b">
        <f>+ISNUMBER(SEARCH(CompConta!$F$25,Tabla11[[#This Row],[Cuenta]],1))</f>
        <v>1</v>
      </c>
      <c r="BA592" t="b">
        <f>+ISNUMBER(SEARCH(CompConta!$F$26,Tabla11[[#This Row],[Cuenta]],1))</f>
        <v>1</v>
      </c>
      <c r="BB592" t="b">
        <f>+ISNUMBER(SEARCH(CompConta!$F$27,Tabla11[[#This Row],[Cuenta]],1))</f>
        <v>1</v>
      </c>
      <c r="BC592" t="b">
        <f>+ISNUMBER(SEARCH(CompConta!$F$28,Tabla11[[#This Row],[Cuenta]],1))</f>
        <v>1</v>
      </c>
      <c r="BD592" t="b">
        <f>+ISNUMBER(SEARCH(CompConta!$F$29,Tabla11[[#This Row],[Cuenta]],1))</f>
        <v>1</v>
      </c>
      <c r="BE592" t="b">
        <f>+ISNUMBER(SEARCH(CompConta!$F$30,Tabla11[[#This Row],[Cuenta]],1))</f>
        <v>1</v>
      </c>
      <c r="BF592" t="b">
        <f>+ISNUMBER(SEARCH('PAGO Compras'!$E$11,Tabla11[[#This Row],[Cuenta]],1))</f>
        <v>1</v>
      </c>
      <c r="BG592" t="b">
        <f>+ISNUMBER(SEARCH(#REF!,Tabla11[[#This Row],[Cuenta]],1))</f>
        <v>0</v>
      </c>
      <c r="BH592" t="b">
        <f>+ISNUMBER(SEARCH(#REF!,Tabla11[[#This Row],[Cuenta]],1))</f>
        <v>0</v>
      </c>
      <c r="BI592" t="b">
        <f>+ISNUMBER(SEARCH(#REF!,Tabla11[[#This Row],[Cuenta]],1))</f>
        <v>0</v>
      </c>
      <c r="BJ592" t="b">
        <f>+ISNUMBER(SEARCH(#REF!,Tabla11[[#This Row],[Cuenta]],1))</f>
        <v>0</v>
      </c>
      <c r="BS592" t="str">
        <v>2710 ABONOS DIFERIDOS</v>
      </c>
      <c r="BT592" t="str">
        <v>2710 ABONOS DIFERIDOS</v>
      </c>
      <c r="BU592" t="str">
        <v>2710 ABONOS DIFERIDOS</v>
      </c>
      <c r="BV592" t="str">
        <v>2710 ABONOS DIFERIDOS</v>
      </c>
      <c r="BZ592" t="str">
        <v>2710 ABONOS DIFERIDOS</v>
      </c>
      <c r="CA592" t="str">
        <v>2710 ABONOS DIFERIDOS</v>
      </c>
      <c r="CB592" t="str">
        <v>2710 ABONOS DIFERIDOS</v>
      </c>
      <c r="CC592" t="str">
        <v>2710 ABONOS DIFERIDOS</v>
      </c>
      <c r="CD592" t="str">
        <v>2710 ABONOS DIFERIDOS</v>
      </c>
      <c r="CE592" t="str">
        <v>2710 ABONOS DIFERIDOS</v>
      </c>
      <c r="CS592" s="141" t="str">
        <v>2710 ABONOS DIFERIDOS</v>
      </c>
      <c r="CT592" s="141" t="str">
        <v>2710 ABONOS DIFERIDOS</v>
      </c>
      <c r="CU592" s="141" t="str">
        <v>2710 ABONOS DIFERIDOS</v>
      </c>
      <c r="CV592" s="141" t="str">
        <v>2710 ABONOS DIFERIDOS</v>
      </c>
      <c r="CW592" s="141" t="str">
        <v>2710 ABONOS DIFERIDOS</v>
      </c>
      <c r="CX592" s="141" t="str">
        <v>2710 ABONOS DIFERIDOS</v>
      </c>
      <c r="CY592" s="141" t="str">
        <v>2710 ABONOS DIFERIDOS</v>
      </c>
      <c r="CZ592" s="141" t="str">
        <v>2710 ABONOS DIFERIDOS</v>
      </c>
      <c r="DA592" s="141" t="str">
        <v>2710 ABONOS DIFERIDOS</v>
      </c>
      <c r="DF592" t="str">
        <v>2710 ABONOS DIFERIDOS</v>
      </c>
      <c r="DG592" t="str">
        <v>2710 ABONOS DIFERIDOS</v>
      </c>
      <c r="DH592" t="str">
        <v>2710 ABONOS DIFERIDOS</v>
      </c>
      <c r="DI592" t="str">
        <v>2710 ABONOS DIFERIDOS</v>
      </c>
      <c r="DJ592" t="str">
        <v>2710 ABONOS DIFERIDOS</v>
      </c>
      <c r="DK592" t="str">
        <v>2710 ABONOS DIFERIDOS</v>
      </c>
      <c r="DL592" t="str">
        <v>2710 ABONOS DIFERIDOS</v>
      </c>
      <c r="DM592" t="str">
        <v>2710 ABONOS DIFERIDOS</v>
      </c>
      <c r="DN592" t="str">
        <v>2710 ABONOS DIFERIDOS</v>
      </c>
      <c r="DO592" t="str">
        <v>2710 ABONOS DIFERIDOS</v>
      </c>
      <c r="DP592" t="str">
        <v>2710 ABONOS DIFERIDOS</v>
      </c>
    </row>
    <row r="593" spans="4:120" ht="12.75">
      <c r="D593" s="7">
        <v>271005</v>
      </c>
      <c r="E593" s="6" t="s">
        <v>432</v>
      </c>
      <c r="F593" s="5">
        <v>4</v>
      </c>
      <c r="G593" s="34" t="s">
        <v>823</v>
      </c>
      <c r="H593" s="26" t="s">
        <v>765</v>
      </c>
      <c r="I593" t="b">
        <f>+ISNUMBER(SEARCH('F-COMPRA'!$F$28,Tabla11[[#This Row],[Cuenta]],1))</f>
        <v>1</v>
      </c>
      <c r="J593" t="b">
        <f>+ISNUMBER(SEARCH('F-COMPRA'!$F$29,Tabla11[[#This Row],[Cuenta]],1))</f>
        <v>1</v>
      </c>
      <c r="K593" t="b">
        <f>+ISNUMBER(SEARCH('F-COMPRA'!$F$30,Tabla11[[#This Row],[Cuenta]],1))</f>
        <v>1</v>
      </c>
      <c r="L593" t="b">
        <f>+ISNUMBER(SEARCH('F-COMPRA'!$F$31,Tabla11[[#This Row],[Cuenta]],1))</f>
        <v>1</v>
      </c>
      <c r="M593" t="b">
        <f>+ISNUMBER(SEARCH('F-COMPRA'!$G$25,Tabla11[[#This Row],[Cuenta]],1))</f>
        <v>0</v>
      </c>
      <c r="N593" t="b">
        <f>+ISNUMBER(SEARCH(#REF!,Tabla11[[#This Row],[Cuenta]],1))</f>
        <v>0</v>
      </c>
      <c r="O593" t="b">
        <f>+ISNUMBER(SEARCH(#REF!,Tabla11[[#This Row],[Cuenta]],1))</f>
        <v>0</v>
      </c>
      <c r="P593" t="b">
        <f>+ISNUMBER(SEARCH('F-COMPRA'!$F$32,Tabla11[[#This Row],[Cuenta]],1))</f>
        <v>1</v>
      </c>
      <c r="Q593" t="b">
        <f>+ISNUMBER(SEARCH('F-COMPRA'!$F$33,Tabla11[[#This Row],[Cuenta]],1))</f>
        <v>1</v>
      </c>
      <c r="R593" t="b">
        <f>+ISNUMBER(SEARCH('F-COMPRA'!$F$34,Tabla11[[#This Row],[Cuenta]],1))</f>
        <v>1</v>
      </c>
      <c r="S593" t="b">
        <f>+ISNUMBER(SEARCH('F-COMPRA'!$F$35,Tabla11[[#This Row],[Cuenta]],1))</f>
        <v>1</v>
      </c>
      <c r="T593" t="b">
        <f>+ISNUMBER(SEARCH('F-COMPRA'!$F$36,Tabla11[[#This Row],[Cuenta]],1))</f>
        <v>1</v>
      </c>
      <c r="U593" t="b">
        <f>+ISNUMBER(SEARCH('F-COMPRA'!$F$37,Tabla11[[#This Row],[Cuenta]],1))</f>
        <v>1</v>
      </c>
      <c r="V593" t="b">
        <f>+ISNUMBER(SEARCH(#REF!,Tabla11[[#This Row],[Cuenta]],1))</f>
        <v>0</v>
      </c>
      <c r="W593" t="b">
        <f>+ISNUMBER(SEARCH('F-COMPRA'!#REF!,Tabla11[[#This Row],[Cuenta]],1))</f>
        <v>0</v>
      </c>
      <c r="X593" t="b">
        <f>+ISNUMBER(SEARCH('F-COMPRA'!#REF!,Tabla11[[#This Row],[Cuenta]],1))</f>
        <v>0</v>
      </c>
      <c r="Y593" t="b">
        <f>+ISNUMBER(SEARCH('F-COMPRA'!#REF!,Tabla11[[#This Row],[Cuenta]],1))</f>
        <v>0</v>
      </c>
      <c r="Z593" t="b">
        <f>+ISNUMBER(SEARCH('F-COMPRA'!#REF!,Tabla11[[#This Row],[Cuenta]],1))</f>
        <v>0</v>
      </c>
      <c r="AA593" t="b">
        <f>+ISNUMBER(SEARCH('F-COMPRA'!#REF!,Tabla11[[#This Row],[Cuenta]],1))</f>
        <v>0</v>
      </c>
      <c r="AB593" t="b">
        <f>+ISNUMBER(SEARCH('F-COMPRA'!#REF!,Tabla11[[#This Row],[Cuenta]],1))</f>
        <v>0</v>
      </c>
      <c r="AC593" t="b">
        <f>+ISNUMBER(SEARCH('F-COMPRA'!#REF!,Tabla11[[#This Row],[Cuenta]],1))</f>
        <v>0</v>
      </c>
      <c r="AD593" t="b">
        <f>+ISNUMBER(SEARCH('F-COMPRA'!#REF!,Tabla11[[#This Row],[Cuenta]],1))</f>
        <v>0</v>
      </c>
      <c r="AE593" t="b">
        <f>+ISNUMBER(SEARCH('F-COMPRA'!#REF!,Tabla11[[#This Row],[Cuenta]],1))</f>
        <v>0</v>
      </c>
      <c r="AF593" t="b">
        <f>+ISNUMBER(SEARCH('F-VTA'!$G$23,Tabla11[[#This Row],[Cuenta]],1))</f>
        <v>0</v>
      </c>
      <c r="AG593" t="b">
        <f>+ISNUMBER(SEARCH('F-VTA'!$G$24,Tabla11[[#This Row],[Cuenta]],1))</f>
        <v>0</v>
      </c>
      <c r="AH593" t="b">
        <f>+ISNUMBER(SEARCH('F-VTA'!$G$25,Tabla11[[#This Row],[Cuenta]],1))</f>
        <v>0</v>
      </c>
      <c r="AI593" t="b">
        <f>+ISNUMBER(SEARCH('F-VTA'!$F$28,Tabla11[[#This Row],[Cuenta]],1))</f>
        <v>1</v>
      </c>
      <c r="AJ593" t="b">
        <f>+ISNUMBER(SEARCH('F-VTA'!$F$29,Tabla11[[#This Row],[Cuenta]],1))</f>
        <v>1</v>
      </c>
      <c r="AK593" t="b">
        <f>+ISNUMBER(SEARCH('F-VTA'!$F$30,Tabla11[[#This Row],[Cuenta]],1))</f>
        <v>1</v>
      </c>
      <c r="AL593" t="b">
        <f>+ISNUMBER(SEARCH('F-VTA'!$F$31,Tabla11[[#This Row],[Cuenta]],1))</f>
        <v>1</v>
      </c>
      <c r="AM593" t="b">
        <f>+ISNUMBER(SEARCH('F-VTA'!$F$32,Tabla11[[#This Row],[Cuenta]],1))</f>
        <v>1</v>
      </c>
      <c r="AN593" t="b">
        <f>+ISNUMBER(SEARCH('F-VTA'!$F$33,Tabla11[[#This Row],[Cuenta]],1))</f>
        <v>1</v>
      </c>
      <c r="AO593" t="b">
        <f>+ISNUMBER(SEARCH('F-VTA'!$F$34,Tabla11[[#This Row],[Cuenta]],1))</f>
        <v>1</v>
      </c>
      <c r="AP593" t="b">
        <f>+ISNUMBER(SEARCH('F-VTA'!$F$35,Tabla11[[#This Row],[Cuenta]],1))</f>
        <v>1</v>
      </c>
      <c r="AQ593" t="b">
        <f>+ISNUMBER(SEARCH('F-VTA'!$F$36,Tabla11[[#This Row],[Cuenta]],1))</f>
        <v>1</v>
      </c>
      <c r="AR593" t="b">
        <f>+ISNUMBER(SEARCH(#REF!,Tabla11[[#This Row],[Cuenta]],1))</f>
        <v>0</v>
      </c>
      <c r="AS593" t="b">
        <f>+ISNUMBER(SEARCH(#REF!,Tabla11[[#This Row],[Cuenta]],1))</f>
        <v>0</v>
      </c>
      <c r="AT593" t="b">
        <f>+ISNUMBER(SEARCH(#REF!,Tabla11[[#This Row],[Cuenta]],1))</f>
        <v>0</v>
      </c>
      <c r="AU593" t="b">
        <f>+ISNUMBER(SEARCH('Conc. Ban.1'!$I$9,Tabla11[[#This Row],[Cuenta]],1))</f>
        <v>0</v>
      </c>
      <c r="AV593" t="b">
        <f>+ISNUMBER(SEARCH(CompConta!$F$21,Tabla11[[#This Row],[Cuenta]],1))</f>
        <v>1</v>
      </c>
      <c r="AW593" t="b">
        <f>+ISNUMBER(SEARCH(CompConta!$F$22,Tabla11[[#This Row],[Cuenta]],1))</f>
        <v>1</v>
      </c>
      <c r="AX593" t="b">
        <f>+ISNUMBER(SEARCH(CompConta!$F$23,Tabla11[[#This Row],[Cuenta]],1))</f>
        <v>1</v>
      </c>
      <c r="AY593" t="b">
        <f>+ISNUMBER(SEARCH(CompConta!$F$24,Tabla11[[#This Row],[Cuenta]],1))</f>
        <v>1</v>
      </c>
      <c r="AZ593" t="b">
        <f>+ISNUMBER(SEARCH(CompConta!$F$25,Tabla11[[#This Row],[Cuenta]],1))</f>
        <v>1</v>
      </c>
      <c r="BA593" t="b">
        <f>+ISNUMBER(SEARCH(CompConta!$F$26,Tabla11[[#This Row],[Cuenta]],1))</f>
        <v>1</v>
      </c>
      <c r="BB593" t="b">
        <f>+ISNUMBER(SEARCH(CompConta!$F$27,Tabla11[[#This Row],[Cuenta]],1))</f>
        <v>1</v>
      </c>
      <c r="BC593" t="b">
        <f>+ISNUMBER(SEARCH(CompConta!$F$28,Tabla11[[#This Row],[Cuenta]],1))</f>
        <v>1</v>
      </c>
      <c r="BD593" t="b">
        <f>+ISNUMBER(SEARCH(CompConta!$F$29,Tabla11[[#This Row],[Cuenta]],1))</f>
        <v>1</v>
      </c>
      <c r="BE593" t="b">
        <f>+ISNUMBER(SEARCH(CompConta!$F$30,Tabla11[[#This Row],[Cuenta]],1))</f>
        <v>1</v>
      </c>
      <c r="BF593" t="b">
        <f>+ISNUMBER(SEARCH('PAGO Compras'!$E$11,Tabla11[[#This Row],[Cuenta]],1))</f>
        <v>1</v>
      </c>
      <c r="BG593" t="b">
        <f>+ISNUMBER(SEARCH(#REF!,Tabla11[[#This Row],[Cuenta]],1))</f>
        <v>0</v>
      </c>
      <c r="BH593" t="b">
        <f>+ISNUMBER(SEARCH(#REF!,Tabla11[[#This Row],[Cuenta]],1))</f>
        <v>0</v>
      </c>
      <c r="BI593" t="b">
        <f>+ISNUMBER(SEARCH(#REF!,Tabla11[[#This Row],[Cuenta]],1))</f>
        <v>0</v>
      </c>
      <c r="BJ593" t="b">
        <f>+ISNUMBER(SEARCH(#REF!,Tabla11[[#This Row],[Cuenta]],1))</f>
        <v>0</v>
      </c>
      <c r="BS593" t="str">
        <v>271005 Reajuste del sistema</v>
      </c>
      <c r="BT593" t="str">
        <v>271005 Reajuste del sistema</v>
      </c>
      <c r="BU593" t="str">
        <v>271005 Reajuste del sistema</v>
      </c>
      <c r="BV593" t="str">
        <v>271005 Reajuste del sistema</v>
      </c>
      <c r="BZ593" t="str">
        <v>271005 Reajuste del sistema</v>
      </c>
      <c r="CA593" t="str">
        <v>271005 Reajuste del sistema</v>
      </c>
      <c r="CB593" t="str">
        <v>271005 Reajuste del sistema</v>
      </c>
      <c r="CC593" t="str">
        <v>271005 Reajuste del sistema</v>
      </c>
      <c r="CD593" t="str">
        <v>271005 Reajuste del sistema</v>
      </c>
      <c r="CE593" t="str">
        <v>271005 Reajuste del sistema</v>
      </c>
      <c r="CS593" s="141" t="str">
        <v>271005 Reajuste del sistema</v>
      </c>
      <c r="CT593" s="141" t="str">
        <v>271005 Reajuste del sistema</v>
      </c>
      <c r="CU593" s="141" t="str">
        <v>271005 Reajuste del sistema</v>
      </c>
      <c r="CV593" s="141" t="str">
        <v>271005 Reajuste del sistema</v>
      </c>
      <c r="CW593" s="141" t="str">
        <v>271005 Reajuste del sistema</v>
      </c>
      <c r="CX593" s="141" t="str">
        <v>271005 Reajuste del sistema</v>
      </c>
      <c r="CY593" s="141" t="str">
        <v>271005 Reajuste del sistema</v>
      </c>
      <c r="CZ593" s="141" t="str">
        <v>271005 Reajuste del sistema</v>
      </c>
      <c r="DA593" s="141" t="str">
        <v>271005 Reajuste del sistema</v>
      </c>
      <c r="DF593" t="str">
        <v>271005 Reajuste del sistema</v>
      </c>
      <c r="DG593" t="str">
        <v>271005 Reajuste del sistema</v>
      </c>
      <c r="DH593" t="str">
        <v>271005 Reajuste del sistema</v>
      </c>
      <c r="DI593" t="str">
        <v>271005 Reajuste del sistema</v>
      </c>
      <c r="DJ593" t="str">
        <v>271005 Reajuste del sistema</v>
      </c>
      <c r="DK593" t="str">
        <v>271005 Reajuste del sistema</v>
      </c>
      <c r="DL593" t="str">
        <v>271005 Reajuste del sistema</v>
      </c>
      <c r="DM593" t="str">
        <v>271005 Reajuste del sistema</v>
      </c>
      <c r="DN593" t="str">
        <v>271005 Reajuste del sistema</v>
      </c>
      <c r="DO593" t="str">
        <v>271005 Reajuste del sistema</v>
      </c>
      <c r="DP593" t="str">
        <v>271005 Reajuste del sistema</v>
      </c>
    </row>
    <row r="594" spans="4:120" ht="12.75">
      <c r="D594" s="7">
        <v>2715</v>
      </c>
      <c r="E594" s="6" t="s">
        <v>433</v>
      </c>
      <c r="F594" s="5">
        <v>3</v>
      </c>
      <c r="G594" s="34" t="s">
        <v>823</v>
      </c>
      <c r="H594" s="26" t="s">
        <v>765</v>
      </c>
      <c r="I594" t="b">
        <f>+ISNUMBER(SEARCH('F-COMPRA'!$F$28,Tabla11[[#This Row],[Cuenta]],1))</f>
        <v>1</v>
      </c>
      <c r="J594" t="b">
        <f>+ISNUMBER(SEARCH('F-COMPRA'!$F$29,Tabla11[[#This Row],[Cuenta]],1))</f>
        <v>1</v>
      </c>
      <c r="K594" t="b">
        <f>+ISNUMBER(SEARCH('F-COMPRA'!$F$30,Tabla11[[#This Row],[Cuenta]],1))</f>
        <v>1</v>
      </c>
      <c r="L594" t="b">
        <f>+ISNUMBER(SEARCH('F-COMPRA'!$F$31,Tabla11[[#This Row],[Cuenta]],1))</f>
        <v>1</v>
      </c>
      <c r="M594" t="b">
        <f>+ISNUMBER(SEARCH('F-COMPRA'!$G$25,Tabla11[[#This Row],[Cuenta]],1))</f>
        <v>0</v>
      </c>
      <c r="N594" t="b">
        <f>+ISNUMBER(SEARCH(#REF!,Tabla11[[#This Row],[Cuenta]],1))</f>
        <v>0</v>
      </c>
      <c r="O594" t="b">
        <f>+ISNUMBER(SEARCH(#REF!,Tabla11[[#This Row],[Cuenta]],1))</f>
        <v>0</v>
      </c>
      <c r="P594" t="b">
        <f>+ISNUMBER(SEARCH('F-COMPRA'!$F$32,Tabla11[[#This Row],[Cuenta]],1))</f>
        <v>1</v>
      </c>
      <c r="Q594" t="b">
        <f>+ISNUMBER(SEARCH('F-COMPRA'!$F$33,Tabla11[[#This Row],[Cuenta]],1))</f>
        <v>1</v>
      </c>
      <c r="R594" t="b">
        <f>+ISNUMBER(SEARCH('F-COMPRA'!$F$34,Tabla11[[#This Row],[Cuenta]],1))</f>
        <v>1</v>
      </c>
      <c r="S594" t="b">
        <f>+ISNUMBER(SEARCH('F-COMPRA'!$F$35,Tabla11[[#This Row],[Cuenta]],1))</f>
        <v>1</v>
      </c>
      <c r="T594" t="b">
        <f>+ISNUMBER(SEARCH('F-COMPRA'!$F$36,Tabla11[[#This Row],[Cuenta]],1))</f>
        <v>1</v>
      </c>
      <c r="U594" t="b">
        <f>+ISNUMBER(SEARCH('F-COMPRA'!$F$37,Tabla11[[#This Row],[Cuenta]],1))</f>
        <v>1</v>
      </c>
      <c r="V594" t="b">
        <f>+ISNUMBER(SEARCH(#REF!,Tabla11[[#This Row],[Cuenta]],1))</f>
        <v>0</v>
      </c>
      <c r="W594" t="b">
        <f>+ISNUMBER(SEARCH('F-COMPRA'!#REF!,Tabla11[[#This Row],[Cuenta]],1))</f>
        <v>0</v>
      </c>
      <c r="X594" t="b">
        <f>+ISNUMBER(SEARCH('F-COMPRA'!#REF!,Tabla11[[#This Row],[Cuenta]],1))</f>
        <v>0</v>
      </c>
      <c r="Y594" t="b">
        <f>+ISNUMBER(SEARCH('F-COMPRA'!#REF!,Tabla11[[#This Row],[Cuenta]],1))</f>
        <v>0</v>
      </c>
      <c r="Z594" t="b">
        <f>+ISNUMBER(SEARCH('F-COMPRA'!#REF!,Tabla11[[#This Row],[Cuenta]],1))</f>
        <v>0</v>
      </c>
      <c r="AA594" t="b">
        <f>+ISNUMBER(SEARCH('F-COMPRA'!#REF!,Tabla11[[#This Row],[Cuenta]],1))</f>
        <v>0</v>
      </c>
      <c r="AB594" t="b">
        <f>+ISNUMBER(SEARCH('F-COMPRA'!#REF!,Tabla11[[#This Row],[Cuenta]],1))</f>
        <v>0</v>
      </c>
      <c r="AC594" t="b">
        <f>+ISNUMBER(SEARCH('F-COMPRA'!#REF!,Tabla11[[#This Row],[Cuenta]],1))</f>
        <v>0</v>
      </c>
      <c r="AD594" t="b">
        <f>+ISNUMBER(SEARCH('F-COMPRA'!#REF!,Tabla11[[#This Row],[Cuenta]],1))</f>
        <v>0</v>
      </c>
      <c r="AE594" t="b">
        <f>+ISNUMBER(SEARCH('F-COMPRA'!#REF!,Tabla11[[#This Row],[Cuenta]],1))</f>
        <v>0</v>
      </c>
      <c r="AF594" t="b">
        <f>+ISNUMBER(SEARCH('F-VTA'!$G$23,Tabla11[[#This Row],[Cuenta]],1))</f>
        <v>0</v>
      </c>
      <c r="AG594" t="b">
        <f>+ISNUMBER(SEARCH('F-VTA'!$G$24,Tabla11[[#This Row],[Cuenta]],1))</f>
        <v>0</v>
      </c>
      <c r="AH594" t="b">
        <f>+ISNUMBER(SEARCH('F-VTA'!$G$25,Tabla11[[#This Row],[Cuenta]],1))</f>
        <v>0</v>
      </c>
      <c r="AI594" t="b">
        <f>+ISNUMBER(SEARCH('F-VTA'!$F$28,Tabla11[[#This Row],[Cuenta]],1))</f>
        <v>1</v>
      </c>
      <c r="AJ594" t="b">
        <f>+ISNUMBER(SEARCH('F-VTA'!$F$29,Tabla11[[#This Row],[Cuenta]],1))</f>
        <v>1</v>
      </c>
      <c r="AK594" t="b">
        <f>+ISNUMBER(SEARCH('F-VTA'!$F$30,Tabla11[[#This Row],[Cuenta]],1))</f>
        <v>1</v>
      </c>
      <c r="AL594" t="b">
        <f>+ISNUMBER(SEARCH('F-VTA'!$F$31,Tabla11[[#This Row],[Cuenta]],1))</f>
        <v>1</v>
      </c>
      <c r="AM594" t="b">
        <f>+ISNUMBER(SEARCH('F-VTA'!$F$32,Tabla11[[#This Row],[Cuenta]],1))</f>
        <v>1</v>
      </c>
      <c r="AN594" t="b">
        <f>+ISNUMBER(SEARCH('F-VTA'!$F$33,Tabla11[[#This Row],[Cuenta]],1))</f>
        <v>1</v>
      </c>
      <c r="AO594" t="b">
        <f>+ISNUMBER(SEARCH('F-VTA'!$F$34,Tabla11[[#This Row],[Cuenta]],1))</f>
        <v>1</v>
      </c>
      <c r="AP594" t="b">
        <f>+ISNUMBER(SEARCH('F-VTA'!$F$35,Tabla11[[#This Row],[Cuenta]],1))</f>
        <v>1</v>
      </c>
      <c r="AQ594" t="b">
        <f>+ISNUMBER(SEARCH('F-VTA'!$F$36,Tabla11[[#This Row],[Cuenta]],1))</f>
        <v>1</v>
      </c>
      <c r="AR594" t="b">
        <f>+ISNUMBER(SEARCH(#REF!,Tabla11[[#This Row],[Cuenta]],1))</f>
        <v>0</v>
      </c>
      <c r="AS594" t="b">
        <f>+ISNUMBER(SEARCH(#REF!,Tabla11[[#This Row],[Cuenta]],1))</f>
        <v>0</v>
      </c>
      <c r="AT594" t="b">
        <f>+ISNUMBER(SEARCH(#REF!,Tabla11[[#This Row],[Cuenta]],1))</f>
        <v>0</v>
      </c>
      <c r="AU594" t="b">
        <f>+ISNUMBER(SEARCH('Conc. Ban.1'!$I$9,Tabla11[[#This Row],[Cuenta]],1))</f>
        <v>0</v>
      </c>
      <c r="AV594" t="b">
        <f>+ISNUMBER(SEARCH(CompConta!$F$21,Tabla11[[#This Row],[Cuenta]],1))</f>
        <v>1</v>
      </c>
      <c r="AW594" t="b">
        <f>+ISNUMBER(SEARCH(CompConta!$F$22,Tabla11[[#This Row],[Cuenta]],1))</f>
        <v>1</v>
      </c>
      <c r="AX594" t="b">
        <f>+ISNUMBER(SEARCH(CompConta!$F$23,Tabla11[[#This Row],[Cuenta]],1))</f>
        <v>1</v>
      </c>
      <c r="AY594" t="b">
        <f>+ISNUMBER(SEARCH(CompConta!$F$24,Tabla11[[#This Row],[Cuenta]],1))</f>
        <v>1</v>
      </c>
      <c r="AZ594" t="b">
        <f>+ISNUMBER(SEARCH(CompConta!$F$25,Tabla11[[#This Row],[Cuenta]],1))</f>
        <v>1</v>
      </c>
      <c r="BA594" t="b">
        <f>+ISNUMBER(SEARCH(CompConta!$F$26,Tabla11[[#This Row],[Cuenta]],1))</f>
        <v>1</v>
      </c>
      <c r="BB594" t="b">
        <f>+ISNUMBER(SEARCH(CompConta!$F$27,Tabla11[[#This Row],[Cuenta]],1))</f>
        <v>1</v>
      </c>
      <c r="BC594" t="b">
        <f>+ISNUMBER(SEARCH(CompConta!$F$28,Tabla11[[#This Row],[Cuenta]],1))</f>
        <v>1</v>
      </c>
      <c r="BD594" t="b">
        <f>+ISNUMBER(SEARCH(CompConta!$F$29,Tabla11[[#This Row],[Cuenta]],1))</f>
        <v>1</v>
      </c>
      <c r="BE594" t="b">
        <f>+ISNUMBER(SEARCH(CompConta!$F$30,Tabla11[[#This Row],[Cuenta]],1))</f>
        <v>1</v>
      </c>
      <c r="BF594" t="b">
        <f>+ISNUMBER(SEARCH('PAGO Compras'!$E$11,Tabla11[[#This Row],[Cuenta]],1))</f>
        <v>1</v>
      </c>
      <c r="BG594" t="b">
        <f>+ISNUMBER(SEARCH(#REF!,Tabla11[[#This Row],[Cuenta]],1))</f>
        <v>0</v>
      </c>
      <c r="BH594" t="b">
        <f>+ISNUMBER(SEARCH(#REF!,Tabla11[[#This Row],[Cuenta]],1))</f>
        <v>0</v>
      </c>
      <c r="BI594" t="b">
        <f>+ISNUMBER(SEARCH(#REF!,Tabla11[[#This Row],[Cuenta]],1))</f>
        <v>0</v>
      </c>
      <c r="BJ594" t="b">
        <f>+ISNUMBER(SEARCH(#REF!,Tabla11[[#This Row],[Cuenta]],1))</f>
        <v>0</v>
      </c>
      <c r="BS594" t="str">
        <v>2715 UTILIDAD DIFERIDA EN VENTAS A PLAZOS</v>
      </c>
      <c r="BT594" t="str">
        <v>2715 UTILIDAD DIFERIDA EN VENTAS A PLAZOS</v>
      </c>
      <c r="BU594" t="str">
        <v>2715 UTILIDAD DIFERIDA EN VENTAS A PLAZOS</v>
      </c>
      <c r="BV594" t="str">
        <v>2715 UTILIDAD DIFERIDA EN VENTAS A PLAZOS</v>
      </c>
      <c r="BZ594" t="str">
        <v>2715 UTILIDAD DIFERIDA EN VENTAS A PLAZOS</v>
      </c>
      <c r="CA594" t="str">
        <v>2715 UTILIDAD DIFERIDA EN VENTAS A PLAZOS</v>
      </c>
      <c r="CB594" t="str">
        <v>2715 UTILIDAD DIFERIDA EN VENTAS A PLAZOS</v>
      </c>
      <c r="CC594" t="str">
        <v>2715 UTILIDAD DIFERIDA EN VENTAS A PLAZOS</v>
      </c>
      <c r="CD594" t="str">
        <v>2715 UTILIDAD DIFERIDA EN VENTAS A PLAZOS</v>
      </c>
      <c r="CE594" t="str">
        <v>2715 UTILIDAD DIFERIDA EN VENTAS A PLAZOS</v>
      </c>
      <c r="CS594" s="141" t="str">
        <v>2715 UTILIDAD DIFERIDA EN VENTAS A PLAZOS</v>
      </c>
      <c r="CT594" s="141" t="str">
        <v>2715 UTILIDAD DIFERIDA EN VENTAS A PLAZOS</v>
      </c>
      <c r="CU594" s="141" t="str">
        <v>2715 UTILIDAD DIFERIDA EN VENTAS A PLAZOS</v>
      </c>
      <c r="CV594" s="141" t="str">
        <v>2715 UTILIDAD DIFERIDA EN VENTAS A PLAZOS</v>
      </c>
      <c r="CW594" s="141" t="str">
        <v>2715 UTILIDAD DIFERIDA EN VENTAS A PLAZOS</v>
      </c>
      <c r="CX594" s="141" t="str">
        <v>2715 UTILIDAD DIFERIDA EN VENTAS A PLAZOS</v>
      </c>
      <c r="CY594" s="141" t="str">
        <v>2715 UTILIDAD DIFERIDA EN VENTAS A PLAZOS</v>
      </c>
      <c r="CZ594" s="141" t="str">
        <v>2715 UTILIDAD DIFERIDA EN VENTAS A PLAZOS</v>
      </c>
      <c r="DA594" s="141" t="str">
        <v>2715 UTILIDAD DIFERIDA EN VENTAS A PLAZOS</v>
      </c>
      <c r="DF594" t="str">
        <v>2715 UTILIDAD DIFERIDA EN VENTAS A PLAZOS</v>
      </c>
      <c r="DG594" t="str">
        <v>2715 UTILIDAD DIFERIDA EN VENTAS A PLAZOS</v>
      </c>
      <c r="DH594" t="str">
        <v>2715 UTILIDAD DIFERIDA EN VENTAS A PLAZOS</v>
      </c>
      <c r="DI594" t="str">
        <v>2715 UTILIDAD DIFERIDA EN VENTAS A PLAZOS</v>
      </c>
      <c r="DJ594" t="str">
        <v>2715 UTILIDAD DIFERIDA EN VENTAS A PLAZOS</v>
      </c>
      <c r="DK594" t="str">
        <v>2715 UTILIDAD DIFERIDA EN VENTAS A PLAZOS</v>
      </c>
      <c r="DL594" t="str">
        <v>2715 UTILIDAD DIFERIDA EN VENTAS A PLAZOS</v>
      </c>
      <c r="DM594" t="str">
        <v>2715 UTILIDAD DIFERIDA EN VENTAS A PLAZOS</v>
      </c>
      <c r="DN594" t="str">
        <v>2715 UTILIDAD DIFERIDA EN VENTAS A PLAZOS</v>
      </c>
      <c r="DO594" t="str">
        <v>2715 UTILIDAD DIFERIDA EN VENTAS A PLAZOS</v>
      </c>
      <c r="DP594" t="str">
        <v>2715 UTILIDAD DIFERIDA EN VENTAS A PLAZOS</v>
      </c>
    </row>
    <row r="595" spans="4:120" ht="12.75">
      <c r="D595" s="7">
        <v>2720</v>
      </c>
      <c r="E595" s="6" t="s">
        <v>434</v>
      </c>
      <c r="F595" s="5">
        <v>3</v>
      </c>
      <c r="G595" s="34" t="s">
        <v>823</v>
      </c>
      <c r="H595" s="26" t="s">
        <v>765</v>
      </c>
      <c r="I595" t="b">
        <f>+ISNUMBER(SEARCH('F-COMPRA'!$F$28,Tabla11[[#This Row],[Cuenta]],1))</f>
        <v>1</v>
      </c>
      <c r="J595" t="b">
        <f>+ISNUMBER(SEARCH('F-COMPRA'!$F$29,Tabla11[[#This Row],[Cuenta]],1))</f>
        <v>1</v>
      </c>
      <c r="K595" t="b">
        <f>+ISNUMBER(SEARCH('F-COMPRA'!$F$30,Tabla11[[#This Row],[Cuenta]],1))</f>
        <v>1</v>
      </c>
      <c r="L595" t="b">
        <f>+ISNUMBER(SEARCH('F-COMPRA'!$F$31,Tabla11[[#This Row],[Cuenta]],1))</f>
        <v>1</v>
      </c>
      <c r="M595" t="b">
        <f>+ISNUMBER(SEARCH('F-COMPRA'!$G$25,Tabla11[[#This Row],[Cuenta]],1))</f>
        <v>0</v>
      </c>
      <c r="N595" t="b">
        <f>+ISNUMBER(SEARCH(#REF!,Tabla11[[#This Row],[Cuenta]],1))</f>
        <v>0</v>
      </c>
      <c r="O595" t="b">
        <f>+ISNUMBER(SEARCH(#REF!,Tabla11[[#This Row],[Cuenta]],1))</f>
        <v>0</v>
      </c>
      <c r="P595" t="b">
        <f>+ISNUMBER(SEARCH('F-COMPRA'!$F$32,Tabla11[[#This Row],[Cuenta]],1))</f>
        <v>1</v>
      </c>
      <c r="Q595" t="b">
        <f>+ISNUMBER(SEARCH('F-COMPRA'!$F$33,Tabla11[[#This Row],[Cuenta]],1))</f>
        <v>1</v>
      </c>
      <c r="R595" t="b">
        <f>+ISNUMBER(SEARCH('F-COMPRA'!$F$34,Tabla11[[#This Row],[Cuenta]],1))</f>
        <v>1</v>
      </c>
      <c r="S595" t="b">
        <f>+ISNUMBER(SEARCH('F-COMPRA'!$F$35,Tabla11[[#This Row],[Cuenta]],1))</f>
        <v>1</v>
      </c>
      <c r="T595" t="b">
        <f>+ISNUMBER(SEARCH('F-COMPRA'!$F$36,Tabla11[[#This Row],[Cuenta]],1))</f>
        <v>1</v>
      </c>
      <c r="U595" t="b">
        <f>+ISNUMBER(SEARCH('F-COMPRA'!$F$37,Tabla11[[#This Row],[Cuenta]],1))</f>
        <v>1</v>
      </c>
      <c r="V595" t="b">
        <f>+ISNUMBER(SEARCH(#REF!,Tabla11[[#This Row],[Cuenta]],1))</f>
        <v>0</v>
      </c>
      <c r="W595" t="b">
        <f>+ISNUMBER(SEARCH('F-COMPRA'!#REF!,Tabla11[[#This Row],[Cuenta]],1))</f>
        <v>0</v>
      </c>
      <c r="X595" t="b">
        <f>+ISNUMBER(SEARCH('F-COMPRA'!#REF!,Tabla11[[#This Row],[Cuenta]],1))</f>
        <v>0</v>
      </c>
      <c r="Y595" t="b">
        <f>+ISNUMBER(SEARCH('F-COMPRA'!#REF!,Tabla11[[#This Row],[Cuenta]],1))</f>
        <v>0</v>
      </c>
      <c r="Z595" t="b">
        <f>+ISNUMBER(SEARCH('F-COMPRA'!#REF!,Tabla11[[#This Row],[Cuenta]],1))</f>
        <v>0</v>
      </c>
      <c r="AA595" t="b">
        <f>+ISNUMBER(SEARCH('F-COMPRA'!#REF!,Tabla11[[#This Row],[Cuenta]],1))</f>
        <v>0</v>
      </c>
      <c r="AB595" t="b">
        <f>+ISNUMBER(SEARCH('F-COMPRA'!#REF!,Tabla11[[#This Row],[Cuenta]],1))</f>
        <v>0</v>
      </c>
      <c r="AC595" t="b">
        <f>+ISNUMBER(SEARCH('F-COMPRA'!#REF!,Tabla11[[#This Row],[Cuenta]],1))</f>
        <v>0</v>
      </c>
      <c r="AD595" t="b">
        <f>+ISNUMBER(SEARCH('F-COMPRA'!#REF!,Tabla11[[#This Row],[Cuenta]],1))</f>
        <v>0</v>
      </c>
      <c r="AE595" t="b">
        <f>+ISNUMBER(SEARCH('F-COMPRA'!#REF!,Tabla11[[#This Row],[Cuenta]],1))</f>
        <v>0</v>
      </c>
      <c r="AF595" t="b">
        <f>+ISNUMBER(SEARCH('F-VTA'!$G$23,Tabla11[[#This Row],[Cuenta]],1))</f>
        <v>0</v>
      </c>
      <c r="AG595" t="b">
        <f>+ISNUMBER(SEARCH('F-VTA'!$G$24,Tabla11[[#This Row],[Cuenta]],1))</f>
        <v>0</v>
      </c>
      <c r="AH595" t="b">
        <f>+ISNUMBER(SEARCH('F-VTA'!$G$25,Tabla11[[#This Row],[Cuenta]],1))</f>
        <v>0</v>
      </c>
      <c r="AI595" t="b">
        <f>+ISNUMBER(SEARCH('F-VTA'!$F$28,Tabla11[[#This Row],[Cuenta]],1))</f>
        <v>1</v>
      </c>
      <c r="AJ595" t="b">
        <f>+ISNUMBER(SEARCH('F-VTA'!$F$29,Tabla11[[#This Row],[Cuenta]],1))</f>
        <v>1</v>
      </c>
      <c r="AK595" t="b">
        <f>+ISNUMBER(SEARCH('F-VTA'!$F$30,Tabla11[[#This Row],[Cuenta]],1))</f>
        <v>1</v>
      </c>
      <c r="AL595" t="b">
        <f>+ISNUMBER(SEARCH('F-VTA'!$F$31,Tabla11[[#This Row],[Cuenta]],1))</f>
        <v>1</v>
      </c>
      <c r="AM595" t="b">
        <f>+ISNUMBER(SEARCH('F-VTA'!$F$32,Tabla11[[#This Row],[Cuenta]],1))</f>
        <v>1</v>
      </c>
      <c r="AN595" t="b">
        <f>+ISNUMBER(SEARCH('F-VTA'!$F$33,Tabla11[[#This Row],[Cuenta]],1))</f>
        <v>1</v>
      </c>
      <c r="AO595" t="b">
        <f>+ISNUMBER(SEARCH('F-VTA'!$F$34,Tabla11[[#This Row],[Cuenta]],1))</f>
        <v>1</v>
      </c>
      <c r="AP595" t="b">
        <f>+ISNUMBER(SEARCH('F-VTA'!$F$35,Tabla11[[#This Row],[Cuenta]],1))</f>
        <v>1</v>
      </c>
      <c r="AQ595" t="b">
        <f>+ISNUMBER(SEARCH('F-VTA'!$F$36,Tabla11[[#This Row],[Cuenta]],1))</f>
        <v>1</v>
      </c>
      <c r="AR595" t="b">
        <f>+ISNUMBER(SEARCH(#REF!,Tabla11[[#This Row],[Cuenta]],1))</f>
        <v>0</v>
      </c>
      <c r="AS595" t="b">
        <f>+ISNUMBER(SEARCH(#REF!,Tabla11[[#This Row],[Cuenta]],1))</f>
        <v>0</v>
      </c>
      <c r="AT595" t="b">
        <f>+ISNUMBER(SEARCH(#REF!,Tabla11[[#This Row],[Cuenta]],1))</f>
        <v>0</v>
      </c>
      <c r="AU595" t="b">
        <f>+ISNUMBER(SEARCH('Conc. Ban.1'!$I$9,Tabla11[[#This Row],[Cuenta]],1))</f>
        <v>0</v>
      </c>
      <c r="AV595" t="b">
        <f>+ISNUMBER(SEARCH(CompConta!$F$21,Tabla11[[#This Row],[Cuenta]],1))</f>
        <v>1</v>
      </c>
      <c r="AW595" t="b">
        <f>+ISNUMBER(SEARCH(CompConta!$F$22,Tabla11[[#This Row],[Cuenta]],1))</f>
        <v>1</v>
      </c>
      <c r="AX595" t="b">
        <f>+ISNUMBER(SEARCH(CompConta!$F$23,Tabla11[[#This Row],[Cuenta]],1))</f>
        <v>1</v>
      </c>
      <c r="AY595" t="b">
        <f>+ISNUMBER(SEARCH(CompConta!$F$24,Tabla11[[#This Row],[Cuenta]],1))</f>
        <v>1</v>
      </c>
      <c r="AZ595" t="b">
        <f>+ISNUMBER(SEARCH(CompConta!$F$25,Tabla11[[#This Row],[Cuenta]],1))</f>
        <v>1</v>
      </c>
      <c r="BA595" t="b">
        <f>+ISNUMBER(SEARCH(CompConta!$F$26,Tabla11[[#This Row],[Cuenta]],1))</f>
        <v>1</v>
      </c>
      <c r="BB595" t="b">
        <f>+ISNUMBER(SEARCH(CompConta!$F$27,Tabla11[[#This Row],[Cuenta]],1))</f>
        <v>1</v>
      </c>
      <c r="BC595" t="b">
        <f>+ISNUMBER(SEARCH(CompConta!$F$28,Tabla11[[#This Row],[Cuenta]],1))</f>
        <v>1</v>
      </c>
      <c r="BD595" t="b">
        <f>+ISNUMBER(SEARCH(CompConta!$F$29,Tabla11[[#This Row],[Cuenta]],1))</f>
        <v>1</v>
      </c>
      <c r="BE595" t="b">
        <f>+ISNUMBER(SEARCH(CompConta!$F$30,Tabla11[[#This Row],[Cuenta]],1))</f>
        <v>1</v>
      </c>
      <c r="BF595" t="b">
        <f>+ISNUMBER(SEARCH('PAGO Compras'!$E$11,Tabla11[[#This Row],[Cuenta]],1))</f>
        <v>1</v>
      </c>
      <c r="BG595" t="b">
        <f>+ISNUMBER(SEARCH(#REF!,Tabla11[[#This Row],[Cuenta]],1))</f>
        <v>0</v>
      </c>
      <c r="BH595" t="b">
        <f>+ISNUMBER(SEARCH(#REF!,Tabla11[[#This Row],[Cuenta]],1))</f>
        <v>0</v>
      </c>
      <c r="BI595" t="b">
        <f>+ISNUMBER(SEARCH(#REF!,Tabla11[[#This Row],[Cuenta]],1))</f>
        <v>0</v>
      </c>
      <c r="BJ595" t="b">
        <f>+ISNUMBER(SEARCH(#REF!,Tabla11[[#This Row],[Cuenta]],1))</f>
        <v>0</v>
      </c>
      <c r="BS595" t="str">
        <v>2720 CRÉDITO POR CORRECCIÓN MONETARIA DIFERI</v>
      </c>
      <c r="BT595" t="str">
        <v>2720 CRÉDITO POR CORRECCIÓN MONETARIA DIFERI</v>
      </c>
      <c r="BU595" t="str">
        <v>2720 CRÉDITO POR CORRECCIÓN MONETARIA DIFERI</v>
      </c>
      <c r="BV595" t="str">
        <v>2720 CRÉDITO POR CORRECCIÓN MONETARIA DIFERI</v>
      </c>
      <c r="BZ595" t="str">
        <v>2720 CRÉDITO POR CORRECCIÓN MONETARIA DIFERI</v>
      </c>
      <c r="CA595" t="str">
        <v>2720 CRÉDITO POR CORRECCIÓN MONETARIA DIFERI</v>
      </c>
      <c r="CB595" t="str">
        <v>2720 CRÉDITO POR CORRECCIÓN MONETARIA DIFERI</v>
      </c>
      <c r="CC595" t="str">
        <v>2720 CRÉDITO POR CORRECCIÓN MONETARIA DIFERI</v>
      </c>
      <c r="CD595" t="str">
        <v>2720 CRÉDITO POR CORRECCIÓN MONETARIA DIFERI</v>
      </c>
      <c r="CE595" t="str">
        <v>2720 CRÉDITO POR CORRECCIÓN MONETARIA DIFERI</v>
      </c>
      <c r="CS595" s="141" t="str">
        <v>2720 CRÉDITO POR CORRECCIÓN MONETARIA DIFERI</v>
      </c>
      <c r="CT595" s="141" t="str">
        <v>2720 CRÉDITO POR CORRECCIÓN MONETARIA DIFERI</v>
      </c>
      <c r="CU595" s="141" t="str">
        <v>2720 CRÉDITO POR CORRECCIÓN MONETARIA DIFERI</v>
      </c>
      <c r="CV595" s="141" t="str">
        <v>2720 CRÉDITO POR CORRECCIÓN MONETARIA DIFERI</v>
      </c>
      <c r="CW595" s="141" t="str">
        <v>2720 CRÉDITO POR CORRECCIÓN MONETARIA DIFERI</v>
      </c>
      <c r="CX595" s="141" t="str">
        <v>2720 CRÉDITO POR CORRECCIÓN MONETARIA DIFERI</v>
      </c>
      <c r="CY595" s="141" t="str">
        <v>2720 CRÉDITO POR CORRECCIÓN MONETARIA DIFERI</v>
      </c>
      <c r="CZ595" s="141" t="str">
        <v>2720 CRÉDITO POR CORRECCIÓN MONETARIA DIFERI</v>
      </c>
      <c r="DA595" s="141" t="str">
        <v>2720 CRÉDITO POR CORRECCIÓN MONETARIA DIFERI</v>
      </c>
      <c r="DF595" t="str">
        <v>2720 CRÉDITO POR CORRECCIÓN MONETARIA DIFERI</v>
      </c>
      <c r="DG595" t="str">
        <v>2720 CRÉDITO POR CORRECCIÓN MONETARIA DIFERI</v>
      </c>
      <c r="DH595" t="str">
        <v>2720 CRÉDITO POR CORRECCIÓN MONETARIA DIFERI</v>
      </c>
      <c r="DI595" t="str">
        <v>2720 CRÉDITO POR CORRECCIÓN MONETARIA DIFERI</v>
      </c>
      <c r="DJ595" t="str">
        <v>2720 CRÉDITO POR CORRECCIÓN MONETARIA DIFERI</v>
      </c>
      <c r="DK595" t="str">
        <v>2720 CRÉDITO POR CORRECCIÓN MONETARIA DIFERI</v>
      </c>
      <c r="DL595" t="str">
        <v>2720 CRÉDITO POR CORRECCIÓN MONETARIA DIFERI</v>
      </c>
      <c r="DM595" t="str">
        <v>2720 CRÉDITO POR CORRECCIÓN MONETARIA DIFERI</v>
      </c>
      <c r="DN595" t="str">
        <v>2720 CRÉDITO POR CORRECCIÓN MONETARIA DIFERI</v>
      </c>
      <c r="DO595" t="str">
        <v>2720 CRÉDITO POR CORRECCIÓN MONETARIA DIFERI</v>
      </c>
      <c r="DP595" t="str">
        <v>2720 CRÉDITO POR CORRECCIÓN MONETARIA DIFERI</v>
      </c>
    </row>
    <row r="596" spans="4:120" ht="12.75">
      <c r="D596" s="7">
        <v>2725</v>
      </c>
      <c r="E596" s="6" t="s">
        <v>435</v>
      </c>
      <c r="F596" s="5">
        <v>3</v>
      </c>
      <c r="G596" s="34" t="s">
        <v>823</v>
      </c>
      <c r="H596" s="26" t="s">
        <v>765</v>
      </c>
      <c r="I596" t="b">
        <f>+ISNUMBER(SEARCH('F-COMPRA'!$F$28,Tabla11[[#This Row],[Cuenta]],1))</f>
        <v>1</v>
      </c>
      <c r="J596" t="b">
        <f>+ISNUMBER(SEARCH('F-COMPRA'!$F$29,Tabla11[[#This Row],[Cuenta]],1))</f>
        <v>1</v>
      </c>
      <c r="K596" t="b">
        <f>+ISNUMBER(SEARCH('F-COMPRA'!$F$30,Tabla11[[#This Row],[Cuenta]],1))</f>
        <v>1</v>
      </c>
      <c r="L596" t="b">
        <f>+ISNUMBER(SEARCH('F-COMPRA'!$F$31,Tabla11[[#This Row],[Cuenta]],1))</f>
        <v>1</v>
      </c>
      <c r="M596" t="b">
        <f>+ISNUMBER(SEARCH('F-COMPRA'!$G$25,Tabla11[[#This Row],[Cuenta]],1))</f>
        <v>0</v>
      </c>
      <c r="N596" t="b">
        <f>+ISNUMBER(SEARCH(#REF!,Tabla11[[#This Row],[Cuenta]],1))</f>
        <v>0</v>
      </c>
      <c r="O596" t="b">
        <f>+ISNUMBER(SEARCH(#REF!,Tabla11[[#This Row],[Cuenta]],1))</f>
        <v>0</v>
      </c>
      <c r="P596" t="b">
        <f>+ISNUMBER(SEARCH('F-COMPRA'!$F$32,Tabla11[[#This Row],[Cuenta]],1))</f>
        <v>1</v>
      </c>
      <c r="Q596" t="b">
        <f>+ISNUMBER(SEARCH('F-COMPRA'!$F$33,Tabla11[[#This Row],[Cuenta]],1))</f>
        <v>1</v>
      </c>
      <c r="R596" t="b">
        <f>+ISNUMBER(SEARCH('F-COMPRA'!$F$34,Tabla11[[#This Row],[Cuenta]],1))</f>
        <v>1</v>
      </c>
      <c r="S596" t="b">
        <f>+ISNUMBER(SEARCH('F-COMPRA'!$F$35,Tabla11[[#This Row],[Cuenta]],1))</f>
        <v>1</v>
      </c>
      <c r="T596" t="b">
        <f>+ISNUMBER(SEARCH('F-COMPRA'!$F$36,Tabla11[[#This Row],[Cuenta]],1))</f>
        <v>1</v>
      </c>
      <c r="U596" t="b">
        <f>+ISNUMBER(SEARCH('F-COMPRA'!$F$37,Tabla11[[#This Row],[Cuenta]],1))</f>
        <v>1</v>
      </c>
      <c r="V596" t="b">
        <f>+ISNUMBER(SEARCH(#REF!,Tabla11[[#This Row],[Cuenta]],1))</f>
        <v>0</v>
      </c>
      <c r="W596" t="b">
        <f>+ISNUMBER(SEARCH('F-COMPRA'!#REF!,Tabla11[[#This Row],[Cuenta]],1))</f>
        <v>0</v>
      </c>
      <c r="X596" t="b">
        <f>+ISNUMBER(SEARCH('F-COMPRA'!#REF!,Tabla11[[#This Row],[Cuenta]],1))</f>
        <v>0</v>
      </c>
      <c r="Y596" t="b">
        <f>+ISNUMBER(SEARCH('F-COMPRA'!#REF!,Tabla11[[#This Row],[Cuenta]],1))</f>
        <v>0</v>
      </c>
      <c r="Z596" t="b">
        <f>+ISNUMBER(SEARCH('F-COMPRA'!#REF!,Tabla11[[#This Row],[Cuenta]],1))</f>
        <v>0</v>
      </c>
      <c r="AA596" t="b">
        <f>+ISNUMBER(SEARCH('F-COMPRA'!#REF!,Tabla11[[#This Row],[Cuenta]],1))</f>
        <v>0</v>
      </c>
      <c r="AB596" t="b">
        <f>+ISNUMBER(SEARCH('F-COMPRA'!#REF!,Tabla11[[#This Row],[Cuenta]],1))</f>
        <v>0</v>
      </c>
      <c r="AC596" t="b">
        <f>+ISNUMBER(SEARCH('F-COMPRA'!#REF!,Tabla11[[#This Row],[Cuenta]],1))</f>
        <v>0</v>
      </c>
      <c r="AD596" t="b">
        <f>+ISNUMBER(SEARCH('F-COMPRA'!#REF!,Tabla11[[#This Row],[Cuenta]],1))</f>
        <v>0</v>
      </c>
      <c r="AE596" t="b">
        <f>+ISNUMBER(SEARCH('F-COMPRA'!#REF!,Tabla11[[#This Row],[Cuenta]],1))</f>
        <v>0</v>
      </c>
      <c r="AF596" t="b">
        <f>+ISNUMBER(SEARCH('F-VTA'!$G$23,Tabla11[[#This Row],[Cuenta]],1))</f>
        <v>0</v>
      </c>
      <c r="AG596" t="b">
        <f>+ISNUMBER(SEARCH('F-VTA'!$G$24,Tabla11[[#This Row],[Cuenta]],1))</f>
        <v>0</v>
      </c>
      <c r="AH596" t="b">
        <f>+ISNUMBER(SEARCH('F-VTA'!$G$25,Tabla11[[#This Row],[Cuenta]],1))</f>
        <v>0</v>
      </c>
      <c r="AI596" t="b">
        <f>+ISNUMBER(SEARCH('F-VTA'!$F$28,Tabla11[[#This Row],[Cuenta]],1))</f>
        <v>1</v>
      </c>
      <c r="AJ596" t="b">
        <f>+ISNUMBER(SEARCH('F-VTA'!$F$29,Tabla11[[#This Row],[Cuenta]],1))</f>
        <v>1</v>
      </c>
      <c r="AK596" t="b">
        <f>+ISNUMBER(SEARCH('F-VTA'!$F$30,Tabla11[[#This Row],[Cuenta]],1))</f>
        <v>1</v>
      </c>
      <c r="AL596" t="b">
        <f>+ISNUMBER(SEARCH('F-VTA'!$F$31,Tabla11[[#This Row],[Cuenta]],1))</f>
        <v>1</v>
      </c>
      <c r="AM596" t="b">
        <f>+ISNUMBER(SEARCH('F-VTA'!$F$32,Tabla11[[#This Row],[Cuenta]],1))</f>
        <v>1</v>
      </c>
      <c r="AN596" t="b">
        <f>+ISNUMBER(SEARCH('F-VTA'!$F$33,Tabla11[[#This Row],[Cuenta]],1))</f>
        <v>1</v>
      </c>
      <c r="AO596" t="b">
        <f>+ISNUMBER(SEARCH('F-VTA'!$F$34,Tabla11[[#This Row],[Cuenta]],1))</f>
        <v>1</v>
      </c>
      <c r="AP596" t="b">
        <f>+ISNUMBER(SEARCH('F-VTA'!$F$35,Tabla11[[#This Row],[Cuenta]],1))</f>
        <v>1</v>
      </c>
      <c r="AQ596" t="b">
        <f>+ISNUMBER(SEARCH('F-VTA'!$F$36,Tabla11[[#This Row],[Cuenta]],1))</f>
        <v>1</v>
      </c>
      <c r="AR596" t="b">
        <f>+ISNUMBER(SEARCH(#REF!,Tabla11[[#This Row],[Cuenta]],1))</f>
        <v>0</v>
      </c>
      <c r="AS596" t="b">
        <f>+ISNUMBER(SEARCH(#REF!,Tabla11[[#This Row],[Cuenta]],1))</f>
        <v>0</v>
      </c>
      <c r="AT596" t="b">
        <f>+ISNUMBER(SEARCH(#REF!,Tabla11[[#This Row],[Cuenta]],1))</f>
        <v>0</v>
      </c>
      <c r="AU596" t="b">
        <f>+ISNUMBER(SEARCH('Conc. Ban.1'!$I$9,Tabla11[[#This Row],[Cuenta]],1))</f>
        <v>0</v>
      </c>
      <c r="AV596" t="b">
        <f>+ISNUMBER(SEARCH(CompConta!$F$21,Tabla11[[#This Row],[Cuenta]],1))</f>
        <v>1</v>
      </c>
      <c r="AW596" t="b">
        <f>+ISNUMBER(SEARCH(CompConta!$F$22,Tabla11[[#This Row],[Cuenta]],1))</f>
        <v>1</v>
      </c>
      <c r="AX596" t="b">
        <f>+ISNUMBER(SEARCH(CompConta!$F$23,Tabla11[[#This Row],[Cuenta]],1))</f>
        <v>1</v>
      </c>
      <c r="AY596" t="b">
        <f>+ISNUMBER(SEARCH(CompConta!$F$24,Tabla11[[#This Row],[Cuenta]],1))</f>
        <v>1</v>
      </c>
      <c r="AZ596" t="b">
        <f>+ISNUMBER(SEARCH(CompConta!$F$25,Tabla11[[#This Row],[Cuenta]],1))</f>
        <v>1</v>
      </c>
      <c r="BA596" t="b">
        <f>+ISNUMBER(SEARCH(CompConta!$F$26,Tabla11[[#This Row],[Cuenta]],1))</f>
        <v>1</v>
      </c>
      <c r="BB596" t="b">
        <f>+ISNUMBER(SEARCH(CompConta!$F$27,Tabla11[[#This Row],[Cuenta]],1))</f>
        <v>1</v>
      </c>
      <c r="BC596" t="b">
        <f>+ISNUMBER(SEARCH(CompConta!$F$28,Tabla11[[#This Row],[Cuenta]],1))</f>
        <v>1</v>
      </c>
      <c r="BD596" t="b">
        <f>+ISNUMBER(SEARCH(CompConta!$F$29,Tabla11[[#This Row],[Cuenta]],1))</f>
        <v>1</v>
      </c>
      <c r="BE596" t="b">
        <f>+ISNUMBER(SEARCH(CompConta!$F$30,Tabla11[[#This Row],[Cuenta]],1))</f>
        <v>1</v>
      </c>
      <c r="BF596" t="b">
        <f>+ISNUMBER(SEARCH('PAGO Compras'!$E$11,Tabla11[[#This Row],[Cuenta]],1))</f>
        <v>1</v>
      </c>
      <c r="BG596" t="b">
        <f>+ISNUMBER(SEARCH(#REF!,Tabla11[[#This Row],[Cuenta]],1))</f>
        <v>0</v>
      </c>
      <c r="BH596" t="b">
        <f>+ISNUMBER(SEARCH(#REF!,Tabla11[[#This Row],[Cuenta]],1))</f>
        <v>0</v>
      </c>
      <c r="BI596" t="b">
        <f>+ISNUMBER(SEARCH(#REF!,Tabla11[[#This Row],[Cuenta]],1))</f>
        <v>0</v>
      </c>
      <c r="BJ596" t="b">
        <f>+ISNUMBER(SEARCH(#REF!,Tabla11[[#This Row],[Cuenta]],1))</f>
        <v>0</v>
      </c>
      <c r="BS596" t="str">
        <v>2725 IMPUESTOS DIFERIDOS</v>
      </c>
      <c r="BT596" t="str">
        <v>2725 IMPUESTOS DIFERIDOS</v>
      </c>
      <c r="BU596" t="str">
        <v>2725 IMPUESTOS DIFERIDOS</v>
      </c>
      <c r="BV596" t="str">
        <v>2725 IMPUESTOS DIFERIDOS</v>
      </c>
      <c r="BZ596" t="str">
        <v>2725 IMPUESTOS DIFERIDOS</v>
      </c>
      <c r="CA596" t="str">
        <v>2725 IMPUESTOS DIFERIDOS</v>
      </c>
      <c r="CB596" t="str">
        <v>2725 IMPUESTOS DIFERIDOS</v>
      </c>
      <c r="CC596" t="str">
        <v>2725 IMPUESTOS DIFERIDOS</v>
      </c>
      <c r="CD596" t="str">
        <v>2725 IMPUESTOS DIFERIDOS</v>
      </c>
      <c r="CE596" t="str">
        <v>2725 IMPUESTOS DIFERIDOS</v>
      </c>
      <c r="CS596" s="141" t="str">
        <v>2725 IMPUESTOS DIFERIDOS</v>
      </c>
      <c r="CT596" s="141" t="str">
        <v>2725 IMPUESTOS DIFERIDOS</v>
      </c>
      <c r="CU596" s="141" t="str">
        <v>2725 IMPUESTOS DIFERIDOS</v>
      </c>
      <c r="CV596" s="141" t="str">
        <v>2725 IMPUESTOS DIFERIDOS</v>
      </c>
      <c r="CW596" s="141" t="str">
        <v>2725 IMPUESTOS DIFERIDOS</v>
      </c>
      <c r="CX596" s="141" t="str">
        <v>2725 IMPUESTOS DIFERIDOS</v>
      </c>
      <c r="CY596" s="141" t="str">
        <v>2725 IMPUESTOS DIFERIDOS</v>
      </c>
      <c r="CZ596" s="141" t="str">
        <v>2725 IMPUESTOS DIFERIDOS</v>
      </c>
      <c r="DA596" s="141" t="str">
        <v>2725 IMPUESTOS DIFERIDOS</v>
      </c>
      <c r="DF596" t="str">
        <v>2725 IMPUESTOS DIFERIDOS</v>
      </c>
      <c r="DG596" t="str">
        <v>2725 IMPUESTOS DIFERIDOS</v>
      </c>
      <c r="DH596" t="str">
        <v>2725 IMPUESTOS DIFERIDOS</v>
      </c>
      <c r="DI596" t="str">
        <v>2725 IMPUESTOS DIFERIDOS</v>
      </c>
      <c r="DJ596" t="str">
        <v>2725 IMPUESTOS DIFERIDOS</v>
      </c>
      <c r="DK596" t="str">
        <v>2725 IMPUESTOS DIFERIDOS</v>
      </c>
      <c r="DL596" t="str">
        <v>2725 IMPUESTOS DIFERIDOS</v>
      </c>
      <c r="DM596" t="str">
        <v>2725 IMPUESTOS DIFERIDOS</v>
      </c>
      <c r="DN596" t="str">
        <v>2725 IMPUESTOS DIFERIDOS</v>
      </c>
      <c r="DO596" t="str">
        <v>2725 IMPUESTOS DIFERIDOS</v>
      </c>
      <c r="DP596" t="str">
        <v>2725 IMPUESTOS DIFERIDOS</v>
      </c>
    </row>
    <row r="597" spans="4:120" ht="12.75">
      <c r="D597" s="7">
        <v>272505</v>
      </c>
      <c r="E597" s="6" t="s">
        <v>436</v>
      </c>
      <c r="F597" s="5">
        <v>4</v>
      </c>
      <c r="G597" s="34" t="s">
        <v>823</v>
      </c>
      <c r="H597" s="26" t="s">
        <v>765</v>
      </c>
      <c r="I597" t="b">
        <f>+ISNUMBER(SEARCH('F-COMPRA'!$F$28,Tabla11[[#This Row],[Cuenta]],1))</f>
        <v>1</v>
      </c>
      <c r="J597" t="b">
        <f>+ISNUMBER(SEARCH('F-COMPRA'!$F$29,Tabla11[[#This Row],[Cuenta]],1))</f>
        <v>1</v>
      </c>
      <c r="K597" t="b">
        <f>+ISNUMBER(SEARCH('F-COMPRA'!$F$30,Tabla11[[#This Row],[Cuenta]],1))</f>
        <v>1</v>
      </c>
      <c r="L597" t="b">
        <f>+ISNUMBER(SEARCH('F-COMPRA'!$F$31,Tabla11[[#This Row],[Cuenta]],1))</f>
        <v>1</v>
      </c>
      <c r="M597" t="b">
        <f>+ISNUMBER(SEARCH('F-COMPRA'!$G$25,Tabla11[[#This Row],[Cuenta]],1))</f>
        <v>0</v>
      </c>
      <c r="N597" t="b">
        <f>+ISNUMBER(SEARCH(#REF!,Tabla11[[#This Row],[Cuenta]],1))</f>
        <v>0</v>
      </c>
      <c r="O597" t="b">
        <f>+ISNUMBER(SEARCH(#REF!,Tabla11[[#This Row],[Cuenta]],1))</f>
        <v>0</v>
      </c>
      <c r="P597" t="b">
        <f>+ISNUMBER(SEARCH('F-COMPRA'!$F$32,Tabla11[[#This Row],[Cuenta]],1))</f>
        <v>1</v>
      </c>
      <c r="Q597" t="b">
        <f>+ISNUMBER(SEARCH('F-COMPRA'!$F$33,Tabla11[[#This Row],[Cuenta]],1))</f>
        <v>1</v>
      </c>
      <c r="R597" t="b">
        <f>+ISNUMBER(SEARCH('F-COMPRA'!$F$34,Tabla11[[#This Row],[Cuenta]],1))</f>
        <v>1</v>
      </c>
      <c r="S597" t="b">
        <f>+ISNUMBER(SEARCH('F-COMPRA'!$F$35,Tabla11[[#This Row],[Cuenta]],1))</f>
        <v>1</v>
      </c>
      <c r="T597" t="b">
        <f>+ISNUMBER(SEARCH('F-COMPRA'!$F$36,Tabla11[[#This Row],[Cuenta]],1))</f>
        <v>1</v>
      </c>
      <c r="U597" t="b">
        <f>+ISNUMBER(SEARCH('F-COMPRA'!$F$37,Tabla11[[#This Row],[Cuenta]],1))</f>
        <v>1</v>
      </c>
      <c r="V597" t="b">
        <f>+ISNUMBER(SEARCH(#REF!,Tabla11[[#This Row],[Cuenta]],1))</f>
        <v>0</v>
      </c>
      <c r="W597" t="b">
        <f>+ISNUMBER(SEARCH('F-COMPRA'!#REF!,Tabla11[[#This Row],[Cuenta]],1))</f>
        <v>0</v>
      </c>
      <c r="X597" t="b">
        <f>+ISNUMBER(SEARCH('F-COMPRA'!#REF!,Tabla11[[#This Row],[Cuenta]],1))</f>
        <v>0</v>
      </c>
      <c r="Y597" t="b">
        <f>+ISNUMBER(SEARCH('F-COMPRA'!#REF!,Tabla11[[#This Row],[Cuenta]],1))</f>
        <v>0</v>
      </c>
      <c r="Z597" t="b">
        <f>+ISNUMBER(SEARCH('F-COMPRA'!#REF!,Tabla11[[#This Row],[Cuenta]],1))</f>
        <v>0</v>
      </c>
      <c r="AA597" t="b">
        <f>+ISNUMBER(SEARCH('F-COMPRA'!#REF!,Tabla11[[#This Row],[Cuenta]],1))</f>
        <v>0</v>
      </c>
      <c r="AB597" t="b">
        <f>+ISNUMBER(SEARCH('F-COMPRA'!#REF!,Tabla11[[#This Row],[Cuenta]],1))</f>
        <v>0</v>
      </c>
      <c r="AC597" t="b">
        <f>+ISNUMBER(SEARCH('F-COMPRA'!#REF!,Tabla11[[#This Row],[Cuenta]],1))</f>
        <v>0</v>
      </c>
      <c r="AD597" t="b">
        <f>+ISNUMBER(SEARCH('F-COMPRA'!#REF!,Tabla11[[#This Row],[Cuenta]],1))</f>
        <v>0</v>
      </c>
      <c r="AE597" t="b">
        <f>+ISNUMBER(SEARCH('F-COMPRA'!#REF!,Tabla11[[#This Row],[Cuenta]],1))</f>
        <v>0</v>
      </c>
      <c r="AF597" t="b">
        <f>+ISNUMBER(SEARCH('F-VTA'!$G$23,Tabla11[[#This Row],[Cuenta]],1))</f>
        <v>0</v>
      </c>
      <c r="AG597" t="b">
        <f>+ISNUMBER(SEARCH('F-VTA'!$G$24,Tabla11[[#This Row],[Cuenta]],1))</f>
        <v>0</v>
      </c>
      <c r="AH597" t="b">
        <f>+ISNUMBER(SEARCH('F-VTA'!$G$25,Tabla11[[#This Row],[Cuenta]],1))</f>
        <v>0</v>
      </c>
      <c r="AI597" t="b">
        <f>+ISNUMBER(SEARCH('F-VTA'!$F$28,Tabla11[[#This Row],[Cuenta]],1))</f>
        <v>1</v>
      </c>
      <c r="AJ597" t="b">
        <f>+ISNUMBER(SEARCH('F-VTA'!$F$29,Tabla11[[#This Row],[Cuenta]],1))</f>
        <v>1</v>
      </c>
      <c r="AK597" t="b">
        <f>+ISNUMBER(SEARCH('F-VTA'!$F$30,Tabla11[[#This Row],[Cuenta]],1))</f>
        <v>1</v>
      </c>
      <c r="AL597" t="b">
        <f>+ISNUMBER(SEARCH('F-VTA'!$F$31,Tabla11[[#This Row],[Cuenta]],1))</f>
        <v>1</v>
      </c>
      <c r="AM597" t="b">
        <f>+ISNUMBER(SEARCH('F-VTA'!$F$32,Tabla11[[#This Row],[Cuenta]],1))</f>
        <v>1</v>
      </c>
      <c r="AN597" t="b">
        <f>+ISNUMBER(SEARCH('F-VTA'!$F$33,Tabla11[[#This Row],[Cuenta]],1))</f>
        <v>1</v>
      </c>
      <c r="AO597" t="b">
        <f>+ISNUMBER(SEARCH('F-VTA'!$F$34,Tabla11[[#This Row],[Cuenta]],1))</f>
        <v>1</v>
      </c>
      <c r="AP597" t="b">
        <f>+ISNUMBER(SEARCH('F-VTA'!$F$35,Tabla11[[#This Row],[Cuenta]],1))</f>
        <v>1</v>
      </c>
      <c r="AQ597" t="b">
        <f>+ISNUMBER(SEARCH('F-VTA'!$F$36,Tabla11[[#This Row],[Cuenta]],1))</f>
        <v>1</v>
      </c>
      <c r="AR597" t="b">
        <f>+ISNUMBER(SEARCH(#REF!,Tabla11[[#This Row],[Cuenta]],1))</f>
        <v>0</v>
      </c>
      <c r="AS597" t="b">
        <f>+ISNUMBER(SEARCH(#REF!,Tabla11[[#This Row],[Cuenta]],1))</f>
        <v>0</v>
      </c>
      <c r="AT597" t="b">
        <f>+ISNUMBER(SEARCH(#REF!,Tabla11[[#This Row],[Cuenta]],1))</f>
        <v>0</v>
      </c>
      <c r="AU597" t="b">
        <f>+ISNUMBER(SEARCH('Conc. Ban.1'!$I$9,Tabla11[[#This Row],[Cuenta]],1))</f>
        <v>0</v>
      </c>
      <c r="AV597" t="b">
        <f>+ISNUMBER(SEARCH(CompConta!$F$21,Tabla11[[#This Row],[Cuenta]],1))</f>
        <v>1</v>
      </c>
      <c r="AW597" t="b">
        <f>+ISNUMBER(SEARCH(CompConta!$F$22,Tabla11[[#This Row],[Cuenta]],1))</f>
        <v>1</v>
      </c>
      <c r="AX597" t="b">
        <f>+ISNUMBER(SEARCH(CompConta!$F$23,Tabla11[[#This Row],[Cuenta]],1))</f>
        <v>1</v>
      </c>
      <c r="AY597" t="b">
        <f>+ISNUMBER(SEARCH(CompConta!$F$24,Tabla11[[#This Row],[Cuenta]],1))</f>
        <v>1</v>
      </c>
      <c r="AZ597" t="b">
        <f>+ISNUMBER(SEARCH(CompConta!$F$25,Tabla11[[#This Row],[Cuenta]],1))</f>
        <v>1</v>
      </c>
      <c r="BA597" t="b">
        <f>+ISNUMBER(SEARCH(CompConta!$F$26,Tabla11[[#This Row],[Cuenta]],1))</f>
        <v>1</v>
      </c>
      <c r="BB597" t="b">
        <f>+ISNUMBER(SEARCH(CompConta!$F$27,Tabla11[[#This Row],[Cuenta]],1))</f>
        <v>1</v>
      </c>
      <c r="BC597" t="b">
        <f>+ISNUMBER(SEARCH(CompConta!$F$28,Tabla11[[#This Row],[Cuenta]],1))</f>
        <v>1</v>
      </c>
      <c r="BD597" t="b">
        <f>+ISNUMBER(SEARCH(CompConta!$F$29,Tabla11[[#This Row],[Cuenta]],1))</f>
        <v>1</v>
      </c>
      <c r="BE597" t="b">
        <f>+ISNUMBER(SEARCH(CompConta!$F$30,Tabla11[[#This Row],[Cuenta]],1))</f>
        <v>1</v>
      </c>
      <c r="BF597" t="b">
        <f>+ISNUMBER(SEARCH('PAGO Compras'!$E$11,Tabla11[[#This Row],[Cuenta]],1))</f>
        <v>1</v>
      </c>
      <c r="BG597" t="b">
        <f>+ISNUMBER(SEARCH(#REF!,Tabla11[[#This Row],[Cuenta]],1))</f>
        <v>0</v>
      </c>
      <c r="BH597" t="b">
        <f>+ISNUMBER(SEARCH(#REF!,Tabla11[[#This Row],[Cuenta]],1))</f>
        <v>0</v>
      </c>
      <c r="BI597" t="b">
        <f>+ISNUMBER(SEARCH(#REF!,Tabla11[[#This Row],[Cuenta]],1))</f>
        <v>0</v>
      </c>
      <c r="BJ597" t="b">
        <f>+ISNUMBER(SEARCH(#REF!,Tabla11[[#This Row],[Cuenta]],1))</f>
        <v>0</v>
      </c>
      <c r="BS597" t="str">
        <v>272505 Por depreciación flexible</v>
      </c>
      <c r="BT597" t="str">
        <v>272505 Por depreciación flexible</v>
      </c>
      <c r="BU597" t="str">
        <v>272505 Por depreciación flexible</v>
      </c>
      <c r="BV597" t="str">
        <v>272505 Por depreciación flexible</v>
      </c>
      <c r="BZ597" t="str">
        <v>272505 Por depreciación flexible</v>
      </c>
      <c r="CA597" t="str">
        <v>272505 Por depreciación flexible</v>
      </c>
      <c r="CB597" t="str">
        <v>272505 Por depreciación flexible</v>
      </c>
      <c r="CC597" t="str">
        <v>272505 Por depreciación flexible</v>
      </c>
      <c r="CD597" t="str">
        <v>272505 Por depreciación flexible</v>
      </c>
      <c r="CE597" t="str">
        <v>272505 Por depreciación flexible</v>
      </c>
      <c r="CS597" s="141" t="str">
        <v>272505 Por depreciación flexible</v>
      </c>
      <c r="CT597" s="141" t="str">
        <v>272505 Por depreciación flexible</v>
      </c>
      <c r="CU597" s="141" t="str">
        <v>272505 Por depreciación flexible</v>
      </c>
      <c r="CV597" s="141" t="str">
        <v>272505 Por depreciación flexible</v>
      </c>
      <c r="CW597" s="141" t="str">
        <v>272505 Por depreciación flexible</v>
      </c>
      <c r="CX597" s="141" t="str">
        <v>272505 Por depreciación flexible</v>
      </c>
      <c r="CY597" s="141" t="str">
        <v>272505 Por depreciación flexible</v>
      </c>
      <c r="CZ597" s="141" t="str">
        <v>272505 Por depreciación flexible</v>
      </c>
      <c r="DA597" s="141" t="str">
        <v>272505 Por depreciación flexible</v>
      </c>
      <c r="DF597" t="str">
        <v>272505 Por depreciación flexible</v>
      </c>
      <c r="DG597" t="str">
        <v>272505 Por depreciación flexible</v>
      </c>
      <c r="DH597" t="str">
        <v>272505 Por depreciación flexible</v>
      </c>
      <c r="DI597" t="str">
        <v>272505 Por depreciación flexible</v>
      </c>
      <c r="DJ597" t="str">
        <v>272505 Por depreciación flexible</v>
      </c>
      <c r="DK597" t="str">
        <v>272505 Por depreciación flexible</v>
      </c>
      <c r="DL597" t="str">
        <v>272505 Por depreciación flexible</v>
      </c>
      <c r="DM597" t="str">
        <v>272505 Por depreciación flexible</v>
      </c>
      <c r="DN597" t="str">
        <v>272505 Por depreciación flexible</v>
      </c>
      <c r="DO597" t="str">
        <v>272505 Por depreciación flexible</v>
      </c>
      <c r="DP597" t="str">
        <v>272505 Por depreciación flexible</v>
      </c>
    </row>
    <row r="598" spans="4:120" ht="12.75">
      <c r="D598" s="7">
        <v>272595</v>
      </c>
      <c r="E598" s="6" t="s">
        <v>287</v>
      </c>
      <c r="F598" s="5">
        <v>4</v>
      </c>
      <c r="G598" s="34" t="s">
        <v>823</v>
      </c>
      <c r="H598" s="26" t="s">
        <v>765</v>
      </c>
      <c r="I598" t="b">
        <f>+ISNUMBER(SEARCH('F-COMPRA'!$F$28,Tabla11[[#This Row],[Cuenta]],1))</f>
        <v>1</v>
      </c>
      <c r="J598" t="b">
        <f>+ISNUMBER(SEARCH('F-COMPRA'!$F$29,Tabla11[[#This Row],[Cuenta]],1))</f>
        <v>1</v>
      </c>
      <c r="K598" t="b">
        <f>+ISNUMBER(SEARCH('F-COMPRA'!$F$30,Tabla11[[#This Row],[Cuenta]],1))</f>
        <v>1</v>
      </c>
      <c r="L598" t="b">
        <f>+ISNUMBER(SEARCH('F-COMPRA'!$F$31,Tabla11[[#This Row],[Cuenta]],1))</f>
        <v>1</v>
      </c>
      <c r="M598" t="b">
        <f>+ISNUMBER(SEARCH('F-COMPRA'!$G$25,Tabla11[[#This Row],[Cuenta]],1))</f>
        <v>0</v>
      </c>
      <c r="N598" t="b">
        <f>+ISNUMBER(SEARCH(#REF!,Tabla11[[#This Row],[Cuenta]],1))</f>
        <v>0</v>
      </c>
      <c r="O598" t="b">
        <f>+ISNUMBER(SEARCH(#REF!,Tabla11[[#This Row],[Cuenta]],1))</f>
        <v>0</v>
      </c>
      <c r="P598" t="b">
        <f>+ISNUMBER(SEARCH('F-COMPRA'!$F$32,Tabla11[[#This Row],[Cuenta]],1))</f>
        <v>1</v>
      </c>
      <c r="Q598" t="b">
        <f>+ISNUMBER(SEARCH('F-COMPRA'!$F$33,Tabla11[[#This Row],[Cuenta]],1))</f>
        <v>1</v>
      </c>
      <c r="R598" t="b">
        <f>+ISNUMBER(SEARCH('F-COMPRA'!$F$34,Tabla11[[#This Row],[Cuenta]],1))</f>
        <v>1</v>
      </c>
      <c r="S598" t="b">
        <f>+ISNUMBER(SEARCH('F-COMPRA'!$F$35,Tabla11[[#This Row],[Cuenta]],1))</f>
        <v>1</v>
      </c>
      <c r="T598" t="b">
        <f>+ISNUMBER(SEARCH('F-COMPRA'!$F$36,Tabla11[[#This Row],[Cuenta]],1))</f>
        <v>1</v>
      </c>
      <c r="U598" t="b">
        <f>+ISNUMBER(SEARCH('F-COMPRA'!$F$37,Tabla11[[#This Row],[Cuenta]],1))</f>
        <v>1</v>
      </c>
      <c r="V598" t="b">
        <f>+ISNUMBER(SEARCH(#REF!,Tabla11[[#This Row],[Cuenta]],1))</f>
        <v>0</v>
      </c>
      <c r="W598" t="b">
        <f>+ISNUMBER(SEARCH('F-COMPRA'!#REF!,Tabla11[[#This Row],[Cuenta]],1))</f>
        <v>0</v>
      </c>
      <c r="X598" t="b">
        <f>+ISNUMBER(SEARCH('F-COMPRA'!#REF!,Tabla11[[#This Row],[Cuenta]],1))</f>
        <v>0</v>
      </c>
      <c r="Y598" t="b">
        <f>+ISNUMBER(SEARCH('F-COMPRA'!#REF!,Tabla11[[#This Row],[Cuenta]],1))</f>
        <v>0</v>
      </c>
      <c r="Z598" t="b">
        <f>+ISNUMBER(SEARCH('F-COMPRA'!#REF!,Tabla11[[#This Row],[Cuenta]],1))</f>
        <v>0</v>
      </c>
      <c r="AA598" t="b">
        <f>+ISNUMBER(SEARCH('F-COMPRA'!#REF!,Tabla11[[#This Row],[Cuenta]],1))</f>
        <v>0</v>
      </c>
      <c r="AB598" t="b">
        <f>+ISNUMBER(SEARCH('F-COMPRA'!#REF!,Tabla11[[#This Row],[Cuenta]],1))</f>
        <v>0</v>
      </c>
      <c r="AC598" t="b">
        <f>+ISNUMBER(SEARCH('F-COMPRA'!#REF!,Tabla11[[#This Row],[Cuenta]],1))</f>
        <v>0</v>
      </c>
      <c r="AD598" t="b">
        <f>+ISNUMBER(SEARCH('F-COMPRA'!#REF!,Tabla11[[#This Row],[Cuenta]],1))</f>
        <v>0</v>
      </c>
      <c r="AE598" t="b">
        <f>+ISNUMBER(SEARCH('F-COMPRA'!#REF!,Tabla11[[#This Row],[Cuenta]],1))</f>
        <v>0</v>
      </c>
      <c r="AF598" t="b">
        <f>+ISNUMBER(SEARCH('F-VTA'!$G$23,Tabla11[[#This Row],[Cuenta]],1))</f>
        <v>0</v>
      </c>
      <c r="AG598" t="b">
        <f>+ISNUMBER(SEARCH('F-VTA'!$G$24,Tabla11[[#This Row],[Cuenta]],1))</f>
        <v>0</v>
      </c>
      <c r="AH598" t="b">
        <f>+ISNUMBER(SEARCH('F-VTA'!$G$25,Tabla11[[#This Row],[Cuenta]],1))</f>
        <v>0</v>
      </c>
      <c r="AI598" t="b">
        <f>+ISNUMBER(SEARCH('F-VTA'!$F$28,Tabla11[[#This Row],[Cuenta]],1))</f>
        <v>1</v>
      </c>
      <c r="AJ598" t="b">
        <f>+ISNUMBER(SEARCH('F-VTA'!$F$29,Tabla11[[#This Row],[Cuenta]],1))</f>
        <v>1</v>
      </c>
      <c r="AK598" t="b">
        <f>+ISNUMBER(SEARCH('F-VTA'!$F$30,Tabla11[[#This Row],[Cuenta]],1))</f>
        <v>1</v>
      </c>
      <c r="AL598" t="b">
        <f>+ISNUMBER(SEARCH('F-VTA'!$F$31,Tabla11[[#This Row],[Cuenta]],1))</f>
        <v>1</v>
      </c>
      <c r="AM598" t="b">
        <f>+ISNUMBER(SEARCH('F-VTA'!$F$32,Tabla11[[#This Row],[Cuenta]],1))</f>
        <v>1</v>
      </c>
      <c r="AN598" t="b">
        <f>+ISNUMBER(SEARCH('F-VTA'!$F$33,Tabla11[[#This Row],[Cuenta]],1))</f>
        <v>1</v>
      </c>
      <c r="AO598" t="b">
        <f>+ISNUMBER(SEARCH('F-VTA'!$F$34,Tabla11[[#This Row],[Cuenta]],1))</f>
        <v>1</v>
      </c>
      <c r="AP598" t="b">
        <f>+ISNUMBER(SEARCH('F-VTA'!$F$35,Tabla11[[#This Row],[Cuenta]],1))</f>
        <v>1</v>
      </c>
      <c r="AQ598" t="b">
        <f>+ISNUMBER(SEARCH('F-VTA'!$F$36,Tabla11[[#This Row],[Cuenta]],1))</f>
        <v>1</v>
      </c>
      <c r="AR598" t="b">
        <f>+ISNUMBER(SEARCH(#REF!,Tabla11[[#This Row],[Cuenta]],1))</f>
        <v>0</v>
      </c>
      <c r="AS598" t="b">
        <f>+ISNUMBER(SEARCH(#REF!,Tabla11[[#This Row],[Cuenta]],1))</f>
        <v>0</v>
      </c>
      <c r="AT598" t="b">
        <f>+ISNUMBER(SEARCH(#REF!,Tabla11[[#This Row],[Cuenta]],1))</f>
        <v>0</v>
      </c>
      <c r="AU598" t="b">
        <f>+ISNUMBER(SEARCH('Conc. Ban.1'!$I$9,Tabla11[[#This Row],[Cuenta]],1))</f>
        <v>0</v>
      </c>
      <c r="AV598" t="b">
        <f>+ISNUMBER(SEARCH(CompConta!$F$21,Tabla11[[#This Row],[Cuenta]],1))</f>
        <v>1</v>
      </c>
      <c r="AW598" t="b">
        <f>+ISNUMBER(SEARCH(CompConta!$F$22,Tabla11[[#This Row],[Cuenta]],1))</f>
        <v>1</v>
      </c>
      <c r="AX598" t="b">
        <f>+ISNUMBER(SEARCH(CompConta!$F$23,Tabla11[[#This Row],[Cuenta]],1))</f>
        <v>1</v>
      </c>
      <c r="AY598" t="b">
        <f>+ISNUMBER(SEARCH(CompConta!$F$24,Tabla11[[#This Row],[Cuenta]],1))</f>
        <v>1</v>
      </c>
      <c r="AZ598" t="b">
        <f>+ISNUMBER(SEARCH(CompConta!$F$25,Tabla11[[#This Row],[Cuenta]],1))</f>
        <v>1</v>
      </c>
      <c r="BA598" t="b">
        <f>+ISNUMBER(SEARCH(CompConta!$F$26,Tabla11[[#This Row],[Cuenta]],1))</f>
        <v>1</v>
      </c>
      <c r="BB598" t="b">
        <f>+ISNUMBER(SEARCH(CompConta!$F$27,Tabla11[[#This Row],[Cuenta]],1))</f>
        <v>1</v>
      </c>
      <c r="BC598" t="b">
        <f>+ISNUMBER(SEARCH(CompConta!$F$28,Tabla11[[#This Row],[Cuenta]],1))</f>
        <v>1</v>
      </c>
      <c r="BD598" t="b">
        <f>+ISNUMBER(SEARCH(CompConta!$F$29,Tabla11[[#This Row],[Cuenta]],1))</f>
        <v>1</v>
      </c>
      <c r="BE598" t="b">
        <f>+ISNUMBER(SEARCH(CompConta!$F$30,Tabla11[[#This Row],[Cuenta]],1))</f>
        <v>1</v>
      </c>
      <c r="BF598" t="b">
        <f>+ISNUMBER(SEARCH('PAGO Compras'!$E$11,Tabla11[[#This Row],[Cuenta]],1))</f>
        <v>1</v>
      </c>
      <c r="BG598" t="b">
        <f>+ISNUMBER(SEARCH(#REF!,Tabla11[[#This Row],[Cuenta]],1))</f>
        <v>0</v>
      </c>
      <c r="BH598" t="b">
        <f>+ISNUMBER(SEARCH(#REF!,Tabla11[[#This Row],[Cuenta]],1))</f>
        <v>0</v>
      </c>
      <c r="BI598" t="b">
        <f>+ISNUMBER(SEARCH(#REF!,Tabla11[[#This Row],[Cuenta]],1))</f>
        <v>0</v>
      </c>
      <c r="BJ598" t="b">
        <f>+ISNUMBER(SEARCH(#REF!,Tabla11[[#This Row],[Cuenta]],1))</f>
        <v>0</v>
      </c>
      <c r="BS598" t="str">
        <v>272595 Diversos</v>
      </c>
      <c r="BT598" t="str">
        <v>272595 Diversos</v>
      </c>
      <c r="BU598" t="str">
        <v>272595 Diversos</v>
      </c>
      <c r="BV598" t="str">
        <v>272595 Diversos</v>
      </c>
      <c r="BZ598" t="str">
        <v>272595 Diversos</v>
      </c>
      <c r="CA598" t="str">
        <v>272595 Diversos</v>
      </c>
      <c r="CB598" t="str">
        <v>272595 Diversos</v>
      </c>
      <c r="CC598" t="str">
        <v>272595 Diversos</v>
      </c>
      <c r="CD598" t="str">
        <v>272595 Diversos</v>
      </c>
      <c r="CE598" t="str">
        <v>272595 Diversos</v>
      </c>
      <c r="CS598" s="141" t="str">
        <v>272595 Diversos</v>
      </c>
      <c r="CT598" s="141" t="str">
        <v>272595 Diversos</v>
      </c>
      <c r="CU598" s="141" t="str">
        <v>272595 Diversos</v>
      </c>
      <c r="CV598" s="141" t="str">
        <v>272595 Diversos</v>
      </c>
      <c r="CW598" s="141" t="str">
        <v>272595 Diversos</v>
      </c>
      <c r="CX598" s="141" t="str">
        <v>272595 Diversos</v>
      </c>
      <c r="CY598" s="141" t="str">
        <v>272595 Diversos</v>
      </c>
      <c r="CZ598" s="141" t="str">
        <v>272595 Diversos</v>
      </c>
      <c r="DA598" s="141" t="str">
        <v>272595 Diversos</v>
      </c>
      <c r="DF598" t="str">
        <v>272595 Diversos</v>
      </c>
      <c r="DG598" t="str">
        <v>272595 Diversos</v>
      </c>
      <c r="DH598" t="str">
        <v>272595 Diversos</v>
      </c>
      <c r="DI598" t="str">
        <v>272595 Diversos</v>
      </c>
      <c r="DJ598" t="str">
        <v>272595 Diversos</v>
      </c>
      <c r="DK598" t="str">
        <v>272595 Diversos</v>
      </c>
      <c r="DL598" t="str">
        <v>272595 Diversos</v>
      </c>
      <c r="DM598" t="str">
        <v>272595 Diversos</v>
      </c>
      <c r="DN598" t="str">
        <v>272595 Diversos</v>
      </c>
      <c r="DO598" t="str">
        <v>272595 Diversos</v>
      </c>
      <c r="DP598" t="str">
        <v>272595 Diversos</v>
      </c>
    </row>
    <row r="599" spans="4:120" ht="12.75">
      <c r="D599" s="7">
        <v>272599</v>
      </c>
      <c r="E599" s="6" t="s">
        <v>44</v>
      </c>
      <c r="F599" s="5">
        <v>4</v>
      </c>
      <c r="G599" s="34" t="s">
        <v>823</v>
      </c>
      <c r="H599" s="26" t="s">
        <v>765</v>
      </c>
      <c r="I599" t="b">
        <f>+ISNUMBER(SEARCH('F-COMPRA'!$F$28,Tabla11[[#This Row],[Cuenta]],1))</f>
        <v>1</v>
      </c>
      <c r="J599" t="b">
        <f>+ISNUMBER(SEARCH('F-COMPRA'!$F$29,Tabla11[[#This Row],[Cuenta]],1))</f>
        <v>1</v>
      </c>
      <c r="K599" t="b">
        <f>+ISNUMBER(SEARCH('F-COMPRA'!$F$30,Tabla11[[#This Row],[Cuenta]],1))</f>
        <v>1</v>
      </c>
      <c r="L599" t="b">
        <f>+ISNUMBER(SEARCH('F-COMPRA'!$F$31,Tabla11[[#This Row],[Cuenta]],1))</f>
        <v>1</v>
      </c>
      <c r="M599" t="b">
        <f>+ISNUMBER(SEARCH('F-COMPRA'!$G$25,Tabla11[[#This Row],[Cuenta]],1))</f>
        <v>0</v>
      </c>
      <c r="N599" t="b">
        <f>+ISNUMBER(SEARCH(#REF!,Tabla11[[#This Row],[Cuenta]],1))</f>
        <v>0</v>
      </c>
      <c r="O599" t="b">
        <f>+ISNUMBER(SEARCH(#REF!,Tabla11[[#This Row],[Cuenta]],1))</f>
        <v>0</v>
      </c>
      <c r="P599" t="b">
        <f>+ISNUMBER(SEARCH('F-COMPRA'!$F$32,Tabla11[[#This Row],[Cuenta]],1))</f>
        <v>1</v>
      </c>
      <c r="Q599" t="b">
        <f>+ISNUMBER(SEARCH('F-COMPRA'!$F$33,Tabla11[[#This Row],[Cuenta]],1))</f>
        <v>1</v>
      </c>
      <c r="R599" t="b">
        <f>+ISNUMBER(SEARCH('F-COMPRA'!$F$34,Tabla11[[#This Row],[Cuenta]],1))</f>
        <v>1</v>
      </c>
      <c r="S599" t="b">
        <f>+ISNUMBER(SEARCH('F-COMPRA'!$F$35,Tabla11[[#This Row],[Cuenta]],1))</f>
        <v>1</v>
      </c>
      <c r="T599" t="b">
        <f>+ISNUMBER(SEARCH('F-COMPRA'!$F$36,Tabla11[[#This Row],[Cuenta]],1))</f>
        <v>1</v>
      </c>
      <c r="U599" t="b">
        <f>+ISNUMBER(SEARCH('F-COMPRA'!$F$37,Tabla11[[#This Row],[Cuenta]],1))</f>
        <v>1</v>
      </c>
      <c r="V599" t="b">
        <f>+ISNUMBER(SEARCH(#REF!,Tabla11[[#This Row],[Cuenta]],1))</f>
        <v>0</v>
      </c>
      <c r="W599" t="b">
        <f>+ISNUMBER(SEARCH('F-COMPRA'!#REF!,Tabla11[[#This Row],[Cuenta]],1))</f>
        <v>0</v>
      </c>
      <c r="X599" t="b">
        <f>+ISNUMBER(SEARCH('F-COMPRA'!#REF!,Tabla11[[#This Row],[Cuenta]],1))</f>
        <v>0</v>
      </c>
      <c r="Y599" t="b">
        <f>+ISNUMBER(SEARCH('F-COMPRA'!#REF!,Tabla11[[#This Row],[Cuenta]],1))</f>
        <v>0</v>
      </c>
      <c r="Z599" t="b">
        <f>+ISNUMBER(SEARCH('F-COMPRA'!#REF!,Tabla11[[#This Row],[Cuenta]],1))</f>
        <v>0</v>
      </c>
      <c r="AA599" t="b">
        <f>+ISNUMBER(SEARCH('F-COMPRA'!#REF!,Tabla11[[#This Row],[Cuenta]],1))</f>
        <v>0</v>
      </c>
      <c r="AB599" t="b">
        <f>+ISNUMBER(SEARCH('F-COMPRA'!#REF!,Tabla11[[#This Row],[Cuenta]],1))</f>
        <v>0</v>
      </c>
      <c r="AC599" t="b">
        <f>+ISNUMBER(SEARCH('F-COMPRA'!#REF!,Tabla11[[#This Row],[Cuenta]],1))</f>
        <v>0</v>
      </c>
      <c r="AD599" t="b">
        <f>+ISNUMBER(SEARCH('F-COMPRA'!#REF!,Tabla11[[#This Row],[Cuenta]],1))</f>
        <v>0</v>
      </c>
      <c r="AE599" t="b">
        <f>+ISNUMBER(SEARCH('F-COMPRA'!#REF!,Tabla11[[#This Row],[Cuenta]],1))</f>
        <v>0</v>
      </c>
      <c r="AF599" t="b">
        <f>+ISNUMBER(SEARCH('F-VTA'!$G$23,Tabla11[[#This Row],[Cuenta]],1))</f>
        <v>0</v>
      </c>
      <c r="AG599" t="b">
        <f>+ISNUMBER(SEARCH('F-VTA'!$G$24,Tabla11[[#This Row],[Cuenta]],1))</f>
        <v>0</v>
      </c>
      <c r="AH599" t="b">
        <f>+ISNUMBER(SEARCH('F-VTA'!$G$25,Tabla11[[#This Row],[Cuenta]],1))</f>
        <v>0</v>
      </c>
      <c r="AI599" t="b">
        <f>+ISNUMBER(SEARCH('F-VTA'!$F$28,Tabla11[[#This Row],[Cuenta]],1))</f>
        <v>1</v>
      </c>
      <c r="AJ599" t="b">
        <f>+ISNUMBER(SEARCH('F-VTA'!$F$29,Tabla11[[#This Row],[Cuenta]],1))</f>
        <v>1</v>
      </c>
      <c r="AK599" t="b">
        <f>+ISNUMBER(SEARCH('F-VTA'!$F$30,Tabla11[[#This Row],[Cuenta]],1))</f>
        <v>1</v>
      </c>
      <c r="AL599" t="b">
        <f>+ISNUMBER(SEARCH('F-VTA'!$F$31,Tabla11[[#This Row],[Cuenta]],1))</f>
        <v>1</v>
      </c>
      <c r="AM599" t="b">
        <f>+ISNUMBER(SEARCH('F-VTA'!$F$32,Tabla11[[#This Row],[Cuenta]],1))</f>
        <v>1</v>
      </c>
      <c r="AN599" t="b">
        <f>+ISNUMBER(SEARCH('F-VTA'!$F$33,Tabla11[[#This Row],[Cuenta]],1))</f>
        <v>1</v>
      </c>
      <c r="AO599" t="b">
        <f>+ISNUMBER(SEARCH('F-VTA'!$F$34,Tabla11[[#This Row],[Cuenta]],1))</f>
        <v>1</v>
      </c>
      <c r="AP599" t="b">
        <f>+ISNUMBER(SEARCH('F-VTA'!$F$35,Tabla11[[#This Row],[Cuenta]],1))</f>
        <v>1</v>
      </c>
      <c r="AQ599" t="b">
        <f>+ISNUMBER(SEARCH('F-VTA'!$F$36,Tabla11[[#This Row],[Cuenta]],1))</f>
        <v>1</v>
      </c>
      <c r="AR599" t="b">
        <f>+ISNUMBER(SEARCH(#REF!,Tabla11[[#This Row],[Cuenta]],1))</f>
        <v>0</v>
      </c>
      <c r="AS599" t="b">
        <f>+ISNUMBER(SEARCH(#REF!,Tabla11[[#This Row],[Cuenta]],1))</f>
        <v>0</v>
      </c>
      <c r="AT599" t="b">
        <f>+ISNUMBER(SEARCH(#REF!,Tabla11[[#This Row],[Cuenta]],1))</f>
        <v>0</v>
      </c>
      <c r="AU599" t="b">
        <f>+ISNUMBER(SEARCH('Conc. Ban.1'!$I$9,Tabla11[[#This Row],[Cuenta]],1))</f>
        <v>0</v>
      </c>
      <c r="AV599" t="b">
        <f>+ISNUMBER(SEARCH(CompConta!$F$21,Tabla11[[#This Row],[Cuenta]],1))</f>
        <v>1</v>
      </c>
      <c r="AW599" t="b">
        <f>+ISNUMBER(SEARCH(CompConta!$F$22,Tabla11[[#This Row],[Cuenta]],1))</f>
        <v>1</v>
      </c>
      <c r="AX599" t="b">
        <f>+ISNUMBER(SEARCH(CompConta!$F$23,Tabla11[[#This Row],[Cuenta]],1))</f>
        <v>1</v>
      </c>
      <c r="AY599" t="b">
        <f>+ISNUMBER(SEARCH(CompConta!$F$24,Tabla11[[#This Row],[Cuenta]],1))</f>
        <v>1</v>
      </c>
      <c r="AZ599" t="b">
        <f>+ISNUMBER(SEARCH(CompConta!$F$25,Tabla11[[#This Row],[Cuenta]],1))</f>
        <v>1</v>
      </c>
      <c r="BA599" t="b">
        <f>+ISNUMBER(SEARCH(CompConta!$F$26,Tabla11[[#This Row],[Cuenta]],1))</f>
        <v>1</v>
      </c>
      <c r="BB599" t="b">
        <f>+ISNUMBER(SEARCH(CompConta!$F$27,Tabla11[[#This Row],[Cuenta]],1))</f>
        <v>1</v>
      </c>
      <c r="BC599" t="b">
        <f>+ISNUMBER(SEARCH(CompConta!$F$28,Tabla11[[#This Row],[Cuenta]],1))</f>
        <v>1</v>
      </c>
      <c r="BD599" t="b">
        <f>+ISNUMBER(SEARCH(CompConta!$F$29,Tabla11[[#This Row],[Cuenta]],1))</f>
        <v>1</v>
      </c>
      <c r="BE599" t="b">
        <f>+ISNUMBER(SEARCH(CompConta!$F$30,Tabla11[[#This Row],[Cuenta]],1))</f>
        <v>1</v>
      </c>
      <c r="BF599" t="b">
        <f>+ISNUMBER(SEARCH('PAGO Compras'!$E$11,Tabla11[[#This Row],[Cuenta]],1))</f>
        <v>1</v>
      </c>
      <c r="BG599" t="b">
        <f>+ISNUMBER(SEARCH(#REF!,Tabla11[[#This Row],[Cuenta]],1))</f>
        <v>0</v>
      </c>
      <c r="BH599" t="b">
        <f>+ISNUMBER(SEARCH(#REF!,Tabla11[[#This Row],[Cuenta]],1))</f>
        <v>0</v>
      </c>
      <c r="BI599" t="b">
        <f>+ISNUMBER(SEARCH(#REF!,Tabla11[[#This Row],[Cuenta]],1))</f>
        <v>0</v>
      </c>
      <c r="BJ599" t="b">
        <f>+ISNUMBER(SEARCH(#REF!,Tabla11[[#This Row],[Cuenta]],1))</f>
        <v>0</v>
      </c>
      <c r="BS599" t="str">
        <v>272599 Ajustes por inflación</v>
      </c>
      <c r="BT599" t="str">
        <v>272599 Ajustes por inflación</v>
      </c>
      <c r="BU599" t="str">
        <v>272599 Ajustes por inflación</v>
      </c>
      <c r="BV599" t="str">
        <v>272599 Ajustes por inflación</v>
      </c>
      <c r="BZ599" t="str">
        <v>272599 Ajustes por inflación</v>
      </c>
      <c r="CA599" t="str">
        <v>272599 Ajustes por inflación</v>
      </c>
      <c r="CB599" t="str">
        <v>272599 Ajustes por inflación</v>
      </c>
      <c r="CC599" t="str">
        <v>272599 Ajustes por inflación</v>
      </c>
      <c r="CD599" t="str">
        <v>272599 Ajustes por inflación</v>
      </c>
      <c r="CE599" t="str">
        <v>272599 Ajustes por inflación</v>
      </c>
      <c r="CS599" s="141" t="str">
        <v>272599 Ajustes por inflación</v>
      </c>
      <c r="CT599" s="141" t="str">
        <v>272599 Ajustes por inflación</v>
      </c>
      <c r="CU599" s="141" t="str">
        <v>272599 Ajustes por inflación</v>
      </c>
      <c r="CV599" s="141" t="str">
        <v>272599 Ajustes por inflación</v>
      </c>
      <c r="CW599" s="141" t="str">
        <v>272599 Ajustes por inflación</v>
      </c>
      <c r="CX599" s="141" t="str">
        <v>272599 Ajustes por inflación</v>
      </c>
      <c r="CY599" s="141" t="str">
        <v>272599 Ajustes por inflación</v>
      </c>
      <c r="CZ599" s="141" t="str">
        <v>272599 Ajustes por inflación</v>
      </c>
      <c r="DA599" s="141" t="str">
        <v>272599 Ajustes por inflación</v>
      </c>
      <c r="DF599" t="str">
        <v>272599 Ajustes por inflación</v>
      </c>
      <c r="DG599" t="str">
        <v>272599 Ajustes por inflación</v>
      </c>
      <c r="DH599" t="str">
        <v>272599 Ajustes por inflación</v>
      </c>
      <c r="DI599" t="str">
        <v>272599 Ajustes por inflación</v>
      </c>
      <c r="DJ599" t="str">
        <v>272599 Ajustes por inflación</v>
      </c>
      <c r="DK599" t="str">
        <v>272599 Ajustes por inflación</v>
      </c>
      <c r="DL599" t="str">
        <v>272599 Ajustes por inflación</v>
      </c>
      <c r="DM599" t="str">
        <v>272599 Ajustes por inflación</v>
      </c>
      <c r="DN599" t="str">
        <v>272599 Ajustes por inflación</v>
      </c>
      <c r="DO599" t="str">
        <v>272599 Ajustes por inflación</v>
      </c>
      <c r="DP599" t="str">
        <v>272599 Ajustes por inflación</v>
      </c>
    </row>
    <row r="600" spans="4:120" ht="12.75">
      <c r="D600" s="7">
        <v>28</v>
      </c>
      <c r="E600" s="6" t="s">
        <v>437</v>
      </c>
      <c r="F600" s="5">
        <v>2</v>
      </c>
      <c r="G600" s="34"/>
      <c r="H600" s="26" t="s">
        <v>765</v>
      </c>
      <c r="I600" t="b">
        <f>+ISNUMBER(SEARCH('F-COMPRA'!$F$28,Tabla11[[#This Row],[Cuenta]],1))</f>
        <v>1</v>
      </c>
      <c r="J600" t="b">
        <f>+ISNUMBER(SEARCH('F-COMPRA'!$F$29,Tabla11[[#This Row],[Cuenta]],1))</f>
        <v>1</v>
      </c>
      <c r="K600" t="b">
        <f>+ISNUMBER(SEARCH('F-COMPRA'!$F$30,Tabla11[[#This Row],[Cuenta]],1))</f>
        <v>1</v>
      </c>
      <c r="L600" t="b">
        <f>+ISNUMBER(SEARCH('F-COMPRA'!$F$31,Tabla11[[#This Row],[Cuenta]],1))</f>
        <v>1</v>
      </c>
      <c r="M600" t="b">
        <f>+ISNUMBER(SEARCH('F-COMPRA'!$G$25,Tabla11[[#This Row],[Cuenta]],1))</f>
        <v>0</v>
      </c>
      <c r="N600" t="b">
        <f>+ISNUMBER(SEARCH(#REF!,Tabla11[[#This Row],[Cuenta]],1))</f>
        <v>0</v>
      </c>
      <c r="O600" t="b">
        <f>+ISNUMBER(SEARCH(#REF!,Tabla11[[#This Row],[Cuenta]],1))</f>
        <v>0</v>
      </c>
      <c r="P600" t="b">
        <f>+ISNUMBER(SEARCH('F-COMPRA'!$F$32,Tabla11[[#This Row],[Cuenta]],1))</f>
        <v>1</v>
      </c>
      <c r="Q600" t="b">
        <f>+ISNUMBER(SEARCH('F-COMPRA'!$F$33,Tabla11[[#This Row],[Cuenta]],1))</f>
        <v>1</v>
      </c>
      <c r="R600" t="b">
        <f>+ISNUMBER(SEARCH('F-COMPRA'!$F$34,Tabla11[[#This Row],[Cuenta]],1))</f>
        <v>1</v>
      </c>
      <c r="S600" t="b">
        <f>+ISNUMBER(SEARCH('F-COMPRA'!$F$35,Tabla11[[#This Row],[Cuenta]],1))</f>
        <v>1</v>
      </c>
      <c r="T600" t="b">
        <f>+ISNUMBER(SEARCH('F-COMPRA'!$F$36,Tabla11[[#This Row],[Cuenta]],1))</f>
        <v>1</v>
      </c>
      <c r="U600" t="b">
        <f>+ISNUMBER(SEARCH('F-COMPRA'!$F$37,Tabla11[[#This Row],[Cuenta]],1))</f>
        <v>1</v>
      </c>
      <c r="V600" t="b">
        <f>+ISNUMBER(SEARCH(#REF!,Tabla11[[#This Row],[Cuenta]],1))</f>
        <v>0</v>
      </c>
      <c r="W600" t="b">
        <f>+ISNUMBER(SEARCH('F-COMPRA'!#REF!,Tabla11[[#This Row],[Cuenta]],1))</f>
        <v>0</v>
      </c>
      <c r="X600" t="b">
        <f>+ISNUMBER(SEARCH('F-COMPRA'!#REF!,Tabla11[[#This Row],[Cuenta]],1))</f>
        <v>0</v>
      </c>
      <c r="Y600" t="b">
        <f>+ISNUMBER(SEARCH('F-COMPRA'!#REF!,Tabla11[[#This Row],[Cuenta]],1))</f>
        <v>0</v>
      </c>
      <c r="Z600" t="b">
        <f>+ISNUMBER(SEARCH('F-COMPRA'!#REF!,Tabla11[[#This Row],[Cuenta]],1))</f>
        <v>0</v>
      </c>
      <c r="AA600" t="b">
        <f>+ISNUMBER(SEARCH('F-COMPRA'!#REF!,Tabla11[[#This Row],[Cuenta]],1))</f>
        <v>0</v>
      </c>
      <c r="AB600" t="b">
        <f>+ISNUMBER(SEARCH('F-COMPRA'!#REF!,Tabla11[[#This Row],[Cuenta]],1))</f>
        <v>0</v>
      </c>
      <c r="AC600" t="b">
        <f>+ISNUMBER(SEARCH('F-COMPRA'!#REF!,Tabla11[[#This Row],[Cuenta]],1))</f>
        <v>0</v>
      </c>
      <c r="AD600" t="b">
        <f>+ISNUMBER(SEARCH('F-COMPRA'!#REF!,Tabla11[[#This Row],[Cuenta]],1))</f>
        <v>0</v>
      </c>
      <c r="AE600" t="b">
        <f>+ISNUMBER(SEARCH('F-COMPRA'!#REF!,Tabla11[[#This Row],[Cuenta]],1))</f>
        <v>0</v>
      </c>
      <c r="AF600" t="b">
        <f>+ISNUMBER(SEARCH('F-VTA'!$G$23,Tabla11[[#This Row],[Cuenta]],1))</f>
        <v>0</v>
      </c>
      <c r="AG600" t="b">
        <f>+ISNUMBER(SEARCH('F-VTA'!$G$24,Tabla11[[#This Row],[Cuenta]],1))</f>
        <v>0</v>
      </c>
      <c r="AH600" t="b">
        <f>+ISNUMBER(SEARCH('F-VTA'!$G$25,Tabla11[[#This Row],[Cuenta]],1))</f>
        <v>0</v>
      </c>
      <c r="AI600" t="b">
        <f>+ISNUMBER(SEARCH('F-VTA'!$F$28,Tabla11[[#This Row],[Cuenta]],1))</f>
        <v>1</v>
      </c>
      <c r="AJ600" t="b">
        <f>+ISNUMBER(SEARCH('F-VTA'!$F$29,Tabla11[[#This Row],[Cuenta]],1))</f>
        <v>1</v>
      </c>
      <c r="AK600" t="b">
        <f>+ISNUMBER(SEARCH('F-VTA'!$F$30,Tabla11[[#This Row],[Cuenta]],1))</f>
        <v>1</v>
      </c>
      <c r="AL600" t="b">
        <f>+ISNUMBER(SEARCH('F-VTA'!$F$31,Tabla11[[#This Row],[Cuenta]],1))</f>
        <v>1</v>
      </c>
      <c r="AM600" t="b">
        <f>+ISNUMBER(SEARCH('F-VTA'!$F$32,Tabla11[[#This Row],[Cuenta]],1))</f>
        <v>1</v>
      </c>
      <c r="AN600" t="b">
        <f>+ISNUMBER(SEARCH('F-VTA'!$F$33,Tabla11[[#This Row],[Cuenta]],1))</f>
        <v>1</v>
      </c>
      <c r="AO600" t="b">
        <f>+ISNUMBER(SEARCH('F-VTA'!$F$34,Tabla11[[#This Row],[Cuenta]],1))</f>
        <v>1</v>
      </c>
      <c r="AP600" t="b">
        <f>+ISNUMBER(SEARCH('F-VTA'!$F$35,Tabla11[[#This Row],[Cuenta]],1))</f>
        <v>1</v>
      </c>
      <c r="AQ600" t="b">
        <f>+ISNUMBER(SEARCH('F-VTA'!$F$36,Tabla11[[#This Row],[Cuenta]],1))</f>
        <v>1</v>
      </c>
      <c r="AR600" t="b">
        <f>+ISNUMBER(SEARCH(#REF!,Tabla11[[#This Row],[Cuenta]],1))</f>
        <v>0</v>
      </c>
      <c r="AS600" t="b">
        <f>+ISNUMBER(SEARCH(#REF!,Tabla11[[#This Row],[Cuenta]],1))</f>
        <v>0</v>
      </c>
      <c r="AT600" t="b">
        <f>+ISNUMBER(SEARCH(#REF!,Tabla11[[#This Row],[Cuenta]],1))</f>
        <v>0</v>
      </c>
      <c r="AU600" t="b">
        <f>+ISNUMBER(SEARCH('Conc. Ban.1'!$I$9,Tabla11[[#This Row],[Cuenta]],1))</f>
        <v>0</v>
      </c>
      <c r="AV600" t="b">
        <f>+ISNUMBER(SEARCH(CompConta!$F$21,Tabla11[[#This Row],[Cuenta]],1))</f>
        <v>1</v>
      </c>
      <c r="AW600" t="b">
        <f>+ISNUMBER(SEARCH(CompConta!$F$22,Tabla11[[#This Row],[Cuenta]],1))</f>
        <v>1</v>
      </c>
      <c r="AX600" t="b">
        <f>+ISNUMBER(SEARCH(CompConta!$F$23,Tabla11[[#This Row],[Cuenta]],1))</f>
        <v>1</v>
      </c>
      <c r="AY600" t="b">
        <f>+ISNUMBER(SEARCH(CompConta!$F$24,Tabla11[[#This Row],[Cuenta]],1))</f>
        <v>1</v>
      </c>
      <c r="AZ600" t="b">
        <f>+ISNUMBER(SEARCH(CompConta!$F$25,Tabla11[[#This Row],[Cuenta]],1))</f>
        <v>1</v>
      </c>
      <c r="BA600" t="b">
        <f>+ISNUMBER(SEARCH(CompConta!$F$26,Tabla11[[#This Row],[Cuenta]],1))</f>
        <v>1</v>
      </c>
      <c r="BB600" t="b">
        <f>+ISNUMBER(SEARCH(CompConta!$F$27,Tabla11[[#This Row],[Cuenta]],1))</f>
        <v>1</v>
      </c>
      <c r="BC600" t="b">
        <f>+ISNUMBER(SEARCH(CompConta!$F$28,Tabla11[[#This Row],[Cuenta]],1))</f>
        <v>1</v>
      </c>
      <c r="BD600" t="b">
        <f>+ISNUMBER(SEARCH(CompConta!$F$29,Tabla11[[#This Row],[Cuenta]],1))</f>
        <v>1</v>
      </c>
      <c r="BE600" t="b">
        <f>+ISNUMBER(SEARCH(CompConta!$F$30,Tabla11[[#This Row],[Cuenta]],1))</f>
        <v>1</v>
      </c>
      <c r="BF600" t="b">
        <f>+ISNUMBER(SEARCH('PAGO Compras'!$E$11,Tabla11[[#This Row],[Cuenta]],1))</f>
        <v>1</v>
      </c>
      <c r="BG600" t="b">
        <f>+ISNUMBER(SEARCH(#REF!,Tabla11[[#This Row],[Cuenta]],1))</f>
        <v>0</v>
      </c>
      <c r="BH600" t="b">
        <f>+ISNUMBER(SEARCH(#REF!,Tabla11[[#This Row],[Cuenta]],1))</f>
        <v>0</v>
      </c>
      <c r="BI600" t="b">
        <f>+ISNUMBER(SEARCH(#REF!,Tabla11[[#This Row],[Cuenta]],1))</f>
        <v>0</v>
      </c>
      <c r="BJ600" t="b">
        <f>+ISNUMBER(SEARCH(#REF!,Tabla11[[#This Row],[Cuenta]],1))</f>
        <v>0</v>
      </c>
      <c r="BS600" t="str">
        <v>28 OTROS PASIVOS</v>
      </c>
      <c r="BT600" t="str">
        <v>28 OTROS PASIVOS</v>
      </c>
      <c r="BU600" t="str">
        <v>28 OTROS PASIVOS</v>
      </c>
      <c r="BV600" t="str">
        <v>28 OTROS PASIVOS</v>
      </c>
      <c r="BZ600" t="str">
        <v>28 OTROS PASIVOS</v>
      </c>
      <c r="CA600" t="str">
        <v>28 OTROS PASIVOS</v>
      </c>
      <c r="CB600" t="str">
        <v>28 OTROS PASIVOS</v>
      </c>
      <c r="CC600" t="str">
        <v>28 OTROS PASIVOS</v>
      </c>
      <c r="CD600" t="str">
        <v>28 OTROS PASIVOS</v>
      </c>
      <c r="CE600" t="str">
        <v>28 OTROS PASIVOS</v>
      </c>
      <c r="CS600" s="141" t="str">
        <v>28 OTROS PASIVOS</v>
      </c>
      <c r="CT600" s="141" t="str">
        <v>28 OTROS PASIVOS</v>
      </c>
      <c r="CU600" s="141" t="str">
        <v>28 OTROS PASIVOS</v>
      </c>
      <c r="CV600" s="141" t="str">
        <v>28 OTROS PASIVOS</v>
      </c>
      <c r="CW600" s="141" t="str">
        <v>28 OTROS PASIVOS</v>
      </c>
      <c r="CX600" s="141" t="str">
        <v>28 OTROS PASIVOS</v>
      </c>
      <c r="CY600" s="141" t="str">
        <v>28 OTROS PASIVOS</v>
      </c>
      <c r="CZ600" s="141" t="str">
        <v>28 OTROS PASIVOS</v>
      </c>
      <c r="DA600" s="141" t="str">
        <v>28 OTROS PASIVOS</v>
      </c>
      <c r="DF600" t="str">
        <v>28 OTROS PASIVOS</v>
      </c>
      <c r="DG600" t="str">
        <v>28 OTROS PASIVOS</v>
      </c>
      <c r="DH600" t="str">
        <v>28 OTROS PASIVOS</v>
      </c>
      <c r="DI600" t="str">
        <v>28 OTROS PASIVOS</v>
      </c>
      <c r="DJ600" t="str">
        <v>28 OTROS PASIVOS</v>
      </c>
      <c r="DK600" t="str">
        <v>28 OTROS PASIVOS</v>
      </c>
      <c r="DL600" t="str">
        <v>28 OTROS PASIVOS</v>
      </c>
      <c r="DM600" t="str">
        <v>28 OTROS PASIVOS</v>
      </c>
      <c r="DN600" t="str">
        <v>28 OTROS PASIVOS</v>
      </c>
      <c r="DO600" t="str">
        <v>28 OTROS PASIVOS</v>
      </c>
      <c r="DP600" t="str">
        <v>28 OTROS PASIVOS</v>
      </c>
    </row>
    <row r="601" spans="4:120" ht="12.75">
      <c r="D601" s="7">
        <v>2805</v>
      </c>
      <c r="E601" s="6" t="s">
        <v>438</v>
      </c>
      <c r="F601" s="5">
        <v>3</v>
      </c>
      <c r="G601" s="34" t="s">
        <v>823</v>
      </c>
      <c r="H601" s="26" t="s">
        <v>765</v>
      </c>
      <c r="I601" t="b">
        <f>+ISNUMBER(SEARCH('F-COMPRA'!$F$28,Tabla11[[#This Row],[Cuenta]],1))</f>
        <v>1</v>
      </c>
      <c r="J601" t="b">
        <f>+ISNUMBER(SEARCH('F-COMPRA'!$F$29,Tabla11[[#This Row],[Cuenta]],1))</f>
        <v>1</v>
      </c>
      <c r="K601" t="b">
        <f>+ISNUMBER(SEARCH('F-COMPRA'!$F$30,Tabla11[[#This Row],[Cuenta]],1))</f>
        <v>1</v>
      </c>
      <c r="L601" t="b">
        <f>+ISNUMBER(SEARCH('F-COMPRA'!$F$31,Tabla11[[#This Row],[Cuenta]],1))</f>
        <v>1</v>
      </c>
      <c r="M601" t="b">
        <f>+ISNUMBER(SEARCH('F-COMPRA'!$G$25,Tabla11[[#This Row],[Cuenta]],1))</f>
        <v>0</v>
      </c>
      <c r="N601" t="b">
        <f>+ISNUMBER(SEARCH(#REF!,Tabla11[[#This Row],[Cuenta]],1))</f>
        <v>0</v>
      </c>
      <c r="O601" t="b">
        <f>+ISNUMBER(SEARCH(#REF!,Tabla11[[#This Row],[Cuenta]],1))</f>
        <v>0</v>
      </c>
      <c r="P601" t="b">
        <f>+ISNUMBER(SEARCH('F-COMPRA'!$F$32,Tabla11[[#This Row],[Cuenta]],1))</f>
        <v>1</v>
      </c>
      <c r="Q601" t="b">
        <f>+ISNUMBER(SEARCH('F-COMPRA'!$F$33,Tabla11[[#This Row],[Cuenta]],1))</f>
        <v>1</v>
      </c>
      <c r="R601" t="b">
        <f>+ISNUMBER(SEARCH('F-COMPRA'!$F$34,Tabla11[[#This Row],[Cuenta]],1))</f>
        <v>1</v>
      </c>
      <c r="S601" t="b">
        <f>+ISNUMBER(SEARCH('F-COMPRA'!$F$35,Tabla11[[#This Row],[Cuenta]],1))</f>
        <v>1</v>
      </c>
      <c r="T601" t="b">
        <f>+ISNUMBER(SEARCH('F-COMPRA'!$F$36,Tabla11[[#This Row],[Cuenta]],1))</f>
        <v>1</v>
      </c>
      <c r="U601" t="b">
        <f>+ISNUMBER(SEARCH('F-COMPRA'!$F$37,Tabla11[[#This Row],[Cuenta]],1))</f>
        <v>1</v>
      </c>
      <c r="V601" t="b">
        <f>+ISNUMBER(SEARCH(#REF!,Tabla11[[#This Row],[Cuenta]],1))</f>
        <v>0</v>
      </c>
      <c r="W601" t="b">
        <f>+ISNUMBER(SEARCH('F-COMPRA'!#REF!,Tabla11[[#This Row],[Cuenta]],1))</f>
        <v>0</v>
      </c>
      <c r="X601" t="b">
        <f>+ISNUMBER(SEARCH('F-COMPRA'!#REF!,Tabla11[[#This Row],[Cuenta]],1))</f>
        <v>0</v>
      </c>
      <c r="Y601" t="b">
        <f>+ISNUMBER(SEARCH('F-COMPRA'!#REF!,Tabla11[[#This Row],[Cuenta]],1))</f>
        <v>0</v>
      </c>
      <c r="Z601" t="b">
        <f>+ISNUMBER(SEARCH('F-COMPRA'!#REF!,Tabla11[[#This Row],[Cuenta]],1))</f>
        <v>0</v>
      </c>
      <c r="AA601" t="b">
        <f>+ISNUMBER(SEARCH('F-COMPRA'!#REF!,Tabla11[[#This Row],[Cuenta]],1))</f>
        <v>0</v>
      </c>
      <c r="AB601" t="b">
        <f>+ISNUMBER(SEARCH('F-COMPRA'!#REF!,Tabla11[[#This Row],[Cuenta]],1))</f>
        <v>0</v>
      </c>
      <c r="AC601" t="b">
        <f>+ISNUMBER(SEARCH('F-COMPRA'!#REF!,Tabla11[[#This Row],[Cuenta]],1))</f>
        <v>0</v>
      </c>
      <c r="AD601" t="b">
        <f>+ISNUMBER(SEARCH('F-COMPRA'!#REF!,Tabla11[[#This Row],[Cuenta]],1))</f>
        <v>0</v>
      </c>
      <c r="AE601" t="b">
        <f>+ISNUMBER(SEARCH('F-COMPRA'!#REF!,Tabla11[[#This Row],[Cuenta]],1))</f>
        <v>0</v>
      </c>
      <c r="AF601" t="b">
        <f>+ISNUMBER(SEARCH('F-VTA'!$G$23,Tabla11[[#This Row],[Cuenta]],1))</f>
        <v>0</v>
      </c>
      <c r="AG601" t="b">
        <f>+ISNUMBER(SEARCH('F-VTA'!$G$24,Tabla11[[#This Row],[Cuenta]],1))</f>
        <v>0</v>
      </c>
      <c r="AH601" t="b">
        <f>+ISNUMBER(SEARCH('F-VTA'!$G$25,Tabla11[[#This Row],[Cuenta]],1))</f>
        <v>0</v>
      </c>
      <c r="AI601" t="b">
        <f>+ISNUMBER(SEARCH('F-VTA'!$F$28,Tabla11[[#This Row],[Cuenta]],1))</f>
        <v>1</v>
      </c>
      <c r="AJ601" t="b">
        <f>+ISNUMBER(SEARCH('F-VTA'!$F$29,Tabla11[[#This Row],[Cuenta]],1))</f>
        <v>1</v>
      </c>
      <c r="AK601" t="b">
        <f>+ISNUMBER(SEARCH('F-VTA'!$F$30,Tabla11[[#This Row],[Cuenta]],1))</f>
        <v>1</v>
      </c>
      <c r="AL601" t="b">
        <f>+ISNUMBER(SEARCH('F-VTA'!$F$31,Tabla11[[#This Row],[Cuenta]],1))</f>
        <v>1</v>
      </c>
      <c r="AM601" t="b">
        <f>+ISNUMBER(SEARCH('F-VTA'!$F$32,Tabla11[[#This Row],[Cuenta]],1))</f>
        <v>1</v>
      </c>
      <c r="AN601" t="b">
        <f>+ISNUMBER(SEARCH('F-VTA'!$F$33,Tabla11[[#This Row],[Cuenta]],1))</f>
        <v>1</v>
      </c>
      <c r="AO601" t="b">
        <f>+ISNUMBER(SEARCH('F-VTA'!$F$34,Tabla11[[#This Row],[Cuenta]],1))</f>
        <v>1</v>
      </c>
      <c r="AP601" t="b">
        <f>+ISNUMBER(SEARCH('F-VTA'!$F$35,Tabla11[[#This Row],[Cuenta]],1))</f>
        <v>1</v>
      </c>
      <c r="AQ601" t="b">
        <f>+ISNUMBER(SEARCH('F-VTA'!$F$36,Tabla11[[#This Row],[Cuenta]],1))</f>
        <v>1</v>
      </c>
      <c r="AR601" t="b">
        <f>+ISNUMBER(SEARCH(#REF!,Tabla11[[#This Row],[Cuenta]],1))</f>
        <v>0</v>
      </c>
      <c r="AS601" t="b">
        <f>+ISNUMBER(SEARCH(#REF!,Tabla11[[#This Row],[Cuenta]],1))</f>
        <v>0</v>
      </c>
      <c r="AT601" t="b">
        <f>+ISNUMBER(SEARCH(#REF!,Tabla11[[#This Row],[Cuenta]],1))</f>
        <v>0</v>
      </c>
      <c r="AU601" t="b">
        <f>+ISNUMBER(SEARCH('Conc. Ban.1'!$I$9,Tabla11[[#This Row],[Cuenta]],1))</f>
        <v>0</v>
      </c>
      <c r="AV601" t="b">
        <f>+ISNUMBER(SEARCH(CompConta!$F$21,Tabla11[[#This Row],[Cuenta]],1))</f>
        <v>1</v>
      </c>
      <c r="AW601" t="b">
        <f>+ISNUMBER(SEARCH(CompConta!$F$22,Tabla11[[#This Row],[Cuenta]],1))</f>
        <v>1</v>
      </c>
      <c r="AX601" t="b">
        <f>+ISNUMBER(SEARCH(CompConta!$F$23,Tabla11[[#This Row],[Cuenta]],1))</f>
        <v>1</v>
      </c>
      <c r="AY601" t="b">
        <f>+ISNUMBER(SEARCH(CompConta!$F$24,Tabla11[[#This Row],[Cuenta]],1))</f>
        <v>1</v>
      </c>
      <c r="AZ601" t="b">
        <f>+ISNUMBER(SEARCH(CompConta!$F$25,Tabla11[[#This Row],[Cuenta]],1))</f>
        <v>1</v>
      </c>
      <c r="BA601" t="b">
        <f>+ISNUMBER(SEARCH(CompConta!$F$26,Tabla11[[#This Row],[Cuenta]],1))</f>
        <v>1</v>
      </c>
      <c r="BB601" t="b">
        <f>+ISNUMBER(SEARCH(CompConta!$F$27,Tabla11[[#This Row],[Cuenta]],1))</f>
        <v>1</v>
      </c>
      <c r="BC601" t="b">
        <f>+ISNUMBER(SEARCH(CompConta!$F$28,Tabla11[[#This Row],[Cuenta]],1))</f>
        <v>1</v>
      </c>
      <c r="BD601" t="b">
        <f>+ISNUMBER(SEARCH(CompConta!$F$29,Tabla11[[#This Row],[Cuenta]],1))</f>
        <v>1</v>
      </c>
      <c r="BE601" t="b">
        <f>+ISNUMBER(SEARCH(CompConta!$F$30,Tabla11[[#This Row],[Cuenta]],1))</f>
        <v>1</v>
      </c>
      <c r="BF601" t="b">
        <f>+ISNUMBER(SEARCH('PAGO Compras'!$E$11,Tabla11[[#This Row],[Cuenta]],1))</f>
        <v>1</v>
      </c>
      <c r="BG601" t="b">
        <f>+ISNUMBER(SEARCH(#REF!,Tabla11[[#This Row],[Cuenta]],1))</f>
        <v>0</v>
      </c>
      <c r="BH601" t="b">
        <f>+ISNUMBER(SEARCH(#REF!,Tabla11[[#This Row],[Cuenta]],1))</f>
        <v>0</v>
      </c>
      <c r="BI601" t="b">
        <f>+ISNUMBER(SEARCH(#REF!,Tabla11[[#This Row],[Cuenta]],1))</f>
        <v>0</v>
      </c>
      <c r="BJ601" t="b">
        <f>+ISNUMBER(SEARCH(#REF!,Tabla11[[#This Row],[Cuenta]],1))</f>
        <v>0</v>
      </c>
      <c r="BS601" t="str">
        <v>2805 ANTICIPOS Y AVANCES RECIBIDOS</v>
      </c>
      <c r="BT601" t="str">
        <v>2805 ANTICIPOS Y AVANCES RECIBIDOS</v>
      </c>
      <c r="BU601" t="str">
        <v>2805 ANTICIPOS Y AVANCES RECIBIDOS</v>
      </c>
      <c r="BV601" t="str">
        <v>2805 ANTICIPOS Y AVANCES RECIBIDOS</v>
      </c>
      <c r="BZ601" t="str">
        <v>2805 ANTICIPOS Y AVANCES RECIBIDOS</v>
      </c>
      <c r="CA601" t="str">
        <v>2805 ANTICIPOS Y AVANCES RECIBIDOS</v>
      </c>
      <c r="CB601" t="str">
        <v>2805 ANTICIPOS Y AVANCES RECIBIDOS</v>
      </c>
      <c r="CC601" t="str">
        <v>2805 ANTICIPOS Y AVANCES RECIBIDOS</v>
      </c>
      <c r="CD601" t="str">
        <v>2805 ANTICIPOS Y AVANCES RECIBIDOS</v>
      </c>
      <c r="CE601" t="str">
        <v>2805 ANTICIPOS Y AVANCES RECIBIDOS</v>
      </c>
      <c r="CS601" s="141" t="str">
        <v>2805 ANTICIPOS Y AVANCES RECIBIDOS</v>
      </c>
      <c r="CT601" s="141" t="str">
        <v>2805 ANTICIPOS Y AVANCES RECIBIDOS</v>
      </c>
      <c r="CU601" s="141" t="str">
        <v>2805 ANTICIPOS Y AVANCES RECIBIDOS</v>
      </c>
      <c r="CV601" s="141" t="str">
        <v>2805 ANTICIPOS Y AVANCES RECIBIDOS</v>
      </c>
      <c r="CW601" s="141" t="str">
        <v>2805 ANTICIPOS Y AVANCES RECIBIDOS</v>
      </c>
      <c r="CX601" s="141" t="str">
        <v>2805 ANTICIPOS Y AVANCES RECIBIDOS</v>
      </c>
      <c r="CY601" s="141" t="str">
        <v>2805 ANTICIPOS Y AVANCES RECIBIDOS</v>
      </c>
      <c r="CZ601" s="141" t="str">
        <v>2805 ANTICIPOS Y AVANCES RECIBIDOS</v>
      </c>
      <c r="DA601" s="141" t="str">
        <v>2805 ANTICIPOS Y AVANCES RECIBIDOS</v>
      </c>
      <c r="DF601" t="str">
        <v>2805 ANTICIPOS Y AVANCES RECIBIDOS</v>
      </c>
      <c r="DG601" t="str">
        <v>2805 ANTICIPOS Y AVANCES RECIBIDOS</v>
      </c>
      <c r="DH601" t="str">
        <v>2805 ANTICIPOS Y AVANCES RECIBIDOS</v>
      </c>
      <c r="DI601" t="str">
        <v>2805 ANTICIPOS Y AVANCES RECIBIDOS</v>
      </c>
      <c r="DJ601" t="str">
        <v>2805 ANTICIPOS Y AVANCES RECIBIDOS</v>
      </c>
      <c r="DK601" t="str">
        <v>2805 ANTICIPOS Y AVANCES RECIBIDOS</v>
      </c>
      <c r="DL601" t="str">
        <v>2805 ANTICIPOS Y AVANCES RECIBIDOS</v>
      </c>
      <c r="DM601" t="str">
        <v>2805 ANTICIPOS Y AVANCES RECIBIDOS</v>
      </c>
      <c r="DN601" t="str">
        <v>2805 ANTICIPOS Y AVANCES RECIBIDOS</v>
      </c>
      <c r="DO601" t="str">
        <v>2805 ANTICIPOS Y AVANCES RECIBIDOS</v>
      </c>
      <c r="DP601" t="str">
        <v>2805 ANTICIPOS Y AVANCES RECIBIDOS</v>
      </c>
    </row>
    <row r="602" spans="4:120" ht="12.75">
      <c r="D602" s="7">
        <v>280505</v>
      </c>
      <c r="E602" s="6" t="s">
        <v>439</v>
      </c>
      <c r="F602" s="5">
        <v>4</v>
      </c>
      <c r="G602" s="34" t="s">
        <v>823</v>
      </c>
      <c r="H602" s="26" t="s">
        <v>765</v>
      </c>
      <c r="I602" t="b">
        <f>+ISNUMBER(SEARCH('F-COMPRA'!$F$28,Tabla11[[#This Row],[Cuenta]],1))</f>
        <v>1</v>
      </c>
      <c r="J602" t="b">
        <f>+ISNUMBER(SEARCH('F-COMPRA'!$F$29,Tabla11[[#This Row],[Cuenta]],1))</f>
        <v>1</v>
      </c>
      <c r="K602" t="b">
        <f>+ISNUMBER(SEARCH('F-COMPRA'!$F$30,Tabla11[[#This Row],[Cuenta]],1))</f>
        <v>1</v>
      </c>
      <c r="L602" t="b">
        <f>+ISNUMBER(SEARCH('F-COMPRA'!$F$31,Tabla11[[#This Row],[Cuenta]],1))</f>
        <v>1</v>
      </c>
      <c r="M602" t="b">
        <f>+ISNUMBER(SEARCH('F-COMPRA'!$G$25,Tabla11[[#This Row],[Cuenta]],1))</f>
        <v>0</v>
      </c>
      <c r="N602" t="b">
        <f>+ISNUMBER(SEARCH(#REF!,Tabla11[[#This Row],[Cuenta]],1))</f>
        <v>0</v>
      </c>
      <c r="O602" t="b">
        <f>+ISNUMBER(SEARCH(#REF!,Tabla11[[#This Row],[Cuenta]],1))</f>
        <v>0</v>
      </c>
      <c r="P602" t="b">
        <f>+ISNUMBER(SEARCH('F-COMPRA'!$F$32,Tabla11[[#This Row],[Cuenta]],1))</f>
        <v>1</v>
      </c>
      <c r="Q602" t="b">
        <f>+ISNUMBER(SEARCH('F-COMPRA'!$F$33,Tabla11[[#This Row],[Cuenta]],1))</f>
        <v>1</v>
      </c>
      <c r="R602" t="b">
        <f>+ISNUMBER(SEARCH('F-COMPRA'!$F$34,Tabla11[[#This Row],[Cuenta]],1))</f>
        <v>1</v>
      </c>
      <c r="S602" t="b">
        <f>+ISNUMBER(SEARCH('F-COMPRA'!$F$35,Tabla11[[#This Row],[Cuenta]],1))</f>
        <v>1</v>
      </c>
      <c r="T602" t="b">
        <f>+ISNUMBER(SEARCH('F-COMPRA'!$F$36,Tabla11[[#This Row],[Cuenta]],1))</f>
        <v>1</v>
      </c>
      <c r="U602" t="b">
        <f>+ISNUMBER(SEARCH('F-COMPRA'!$F$37,Tabla11[[#This Row],[Cuenta]],1))</f>
        <v>1</v>
      </c>
      <c r="V602" t="b">
        <f>+ISNUMBER(SEARCH(#REF!,Tabla11[[#This Row],[Cuenta]],1))</f>
        <v>0</v>
      </c>
      <c r="W602" t="b">
        <f>+ISNUMBER(SEARCH('F-COMPRA'!#REF!,Tabla11[[#This Row],[Cuenta]],1))</f>
        <v>0</v>
      </c>
      <c r="X602" t="b">
        <f>+ISNUMBER(SEARCH('F-COMPRA'!#REF!,Tabla11[[#This Row],[Cuenta]],1))</f>
        <v>0</v>
      </c>
      <c r="Y602" t="b">
        <f>+ISNUMBER(SEARCH('F-COMPRA'!#REF!,Tabla11[[#This Row],[Cuenta]],1))</f>
        <v>0</v>
      </c>
      <c r="Z602" t="b">
        <f>+ISNUMBER(SEARCH('F-COMPRA'!#REF!,Tabla11[[#This Row],[Cuenta]],1))</f>
        <v>0</v>
      </c>
      <c r="AA602" t="b">
        <f>+ISNUMBER(SEARCH('F-COMPRA'!#REF!,Tabla11[[#This Row],[Cuenta]],1))</f>
        <v>0</v>
      </c>
      <c r="AB602" t="b">
        <f>+ISNUMBER(SEARCH('F-COMPRA'!#REF!,Tabla11[[#This Row],[Cuenta]],1))</f>
        <v>0</v>
      </c>
      <c r="AC602" t="b">
        <f>+ISNUMBER(SEARCH('F-COMPRA'!#REF!,Tabla11[[#This Row],[Cuenta]],1))</f>
        <v>0</v>
      </c>
      <c r="AD602" t="b">
        <f>+ISNUMBER(SEARCH('F-COMPRA'!#REF!,Tabla11[[#This Row],[Cuenta]],1))</f>
        <v>0</v>
      </c>
      <c r="AE602" t="b">
        <f>+ISNUMBER(SEARCH('F-COMPRA'!#REF!,Tabla11[[#This Row],[Cuenta]],1))</f>
        <v>0</v>
      </c>
      <c r="AF602" t="b">
        <f>+ISNUMBER(SEARCH('F-VTA'!$G$23,Tabla11[[#This Row],[Cuenta]],1))</f>
        <v>0</v>
      </c>
      <c r="AG602" t="b">
        <f>+ISNUMBER(SEARCH('F-VTA'!$G$24,Tabla11[[#This Row],[Cuenta]],1))</f>
        <v>0</v>
      </c>
      <c r="AH602" t="b">
        <f>+ISNUMBER(SEARCH('F-VTA'!$G$25,Tabla11[[#This Row],[Cuenta]],1))</f>
        <v>0</v>
      </c>
      <c r="AI602" t="b">
        <f>+ISNUMBER(SEARCH('F-VTA'!$F$28,Tabla11[[#This Row],[Cuenta]],1))</f>
        <v>1</v>
      </c>
      <c r="AJ602" t="b">
        <f>+ISNUMBER(SEARCH('F-VTA'!$F$29,Tabla11[[#This Row],[Cuenta]],1))</f>
        <v>1</v>
      </c>
      <c r="AK602" t="b">
        <f>+ISNUMBER(SEARCH('F-VTA'!$F$30,Tabla11[[#This Row],[Cuenta]],1))</f>
        <v>1</v>
      </c>
      <c r="AL602" t="b">
        <f>+ISNUMBER(SEARCH('F-VTA'!$F$31,Tabla11[[#This Row],[Cuenta]],1))</f>
        <v>1</v>
      </c>
      <c r="AM602" t="b">
        <f>+ISNUMBER(SEARCH('F-VTA'!$F$32,Tabla11[[#This Row],[Cuenta]],1))</f>
        <v>1</v>
      </c>
      <c r="AN602" t="b">
        <f>+ISNUMBER(SEARCH('F-VTA'!$F$33,Tabla11[[#This Row],[Cuenta]],1))</f>
        <v>1</v>
      </c>
      <c r="AO602" t="b">
        <f>+ISNUMBER(SEARCH('F-VTA'!$F$34,Tabla11[[#This Row],[Cuenta]],1))</f>
        <v>1</v>
      </c>
      <c r="AP602" t="b">
        <f>+ISNUMBER(SEARCH('F-VTA'!$F$35,Tabla11[[#This Row],[Cuenta]],1))</f>
        <v>1</v>
      </c>
      <c r="AQ602" t="b">
        <f>+ISNUMBER(SEARCH('F-VTA'!$F$36,Tabla11[[#This Row],[Cuenta]],1))</f>
        <v>1</v>
      </c>
      <c r="AR602" t="b">
        <f>+ISNUMBER(SEARCH(#REF!,Tabla11[[#This Row],[Cuenta]],1))</f>
        <v>0</v>
      </c>
      <c r="AS602" t="b">
        <f>+ISNUMBER(SEARCH(#REF!,Tabla11[[#This Row],[Cuenta]],1))</f>
        <v>0</v>
      </c>
      <c r="AT602" t="b">
        <f>+ISNUMBER(SEARCH(#REF!,Tabla11[[#This Row],[Cuenta]],1))</f>
        <v>0</v>
      </c>
      <c r="AU602" t="b">
        <f>+ISNUMBER(SEARCH('Conc. Ban.1'!$I$9,Tabla11[[#This Row],[Cuenta]],1))</f>
        <v>0</v>
      </c>
      <c r="AV602" t="b">
        <f>+ISNUMBER(SEARCH(CompConta!$F$21,Tabla11[[#This Row],[Cuenta]],1))</f>
        <v>1</v>
      </c>
      <c r="AW602" t="b">
        <f>+ISNUMBER(SEARCH(CompConta!$F$22,Tabla11[[#This Row],[Cuenta]],1))</f>
        <v>1</v>
      </c>
      <c r="AX602" t="b">
        <f>+ISNUMBER(SEARCH(CompConta!$F$23,Tabla11[[#This Row],[Cuenta]],1))</f>
        <v>1</v>
      </c>
      <c r="AY602" t="b">
        <f>+ISNUMBER(SEARCH(CompConta!$F$24,Tabla11[[#This Row],[Cuenta]],1))</f>
        <v>1</v>
      </c>
      <c r="AZ602" t="b">
        <f>+ISNUMBER(SEARCH(CompConta!$F$25,Tabla11[[#This Row],[Cuenta]],1))</f>
        <v>1</v>
      </c>
      <c r="BA602" t="b">
        <f>+ISNUMBER(SEARCH(CompConta!$F$26,Tabla11[[#This Row],[Cuenta]],1))</f>
        <v>1</v>
      </c>
      <c r="BB602" t="b">
        <f>+ISNUMBER(SEARCH(CompConta!$F$27,Tabla11[[#This Row],[Cuenta]],1))</f>
        <v>1</v>
      </c>
      <c r="BC602" t="b">
        <f>+ISNUMBER(SEARCH(CompConta!$F$28,Tabla11[[#This Row],[Cuenta]],1))</f>
        <v>1</v>
      </c>
      <c r="BD602" t="b">
        <f>+ISNUMBER(SEARCH(CompConta!$F$29,Tabla11[[#This Row],[Cuenta]],1))</f>
        <v>1</v>
      </c>
      <c r="BE602" t="b">
        <f>+ISNUMBER(SEARCH(CompConta!$F$30,Tabla11[[#This Row],[Cuenta]],1))</f>
        <v>1</v>
      </c>
      <c r="BF602" t="b">
        <f>+ISNUMBER(SEARCH('PAGO Compras'!$E$11,Tabla11[[#This Row],[Cuenta]],1))</f>
        <v>1</v>
      </c>
      <c r="BG602" t="b">
        <f>+ISNUMBER(SEARCH(#REF!,Tabla11[[#This Row],[Cuenta]],1))</f>
        <v>0</v>
      </c>
      <c r="BH602" t="b">
        <f>+ISNUMBER(SEARCH(#REF!,Tabla11[[#This Row],[Cuenta]],1))</f>
        <v>0</v>
      </c>
      <c r="BI602" t="b">
        <f>+ISNUMBER(SEARCH(#REF!,Tabla11[[#This Row],[Cuenta]],1))</f>
        <v>0</v>
      </c>
      <c r="BJ602" t="b">
        <f>+ISNUMBER(SEARCH(#REF!,Tabla11[[#This Row],[Cuenta]],1))</f>
        <v>0</v>
      </c>
      <c r="BS602" t="str">
        <v>280505 De clientes</v>
      </c>
      <c r="BT602" t="str">
        <v>280505 De clientes</v>
      </c>
      <c r="BU602" t="str">
        <v>280505 De clientes</v>
      </c>
      <c r="BV602" t="str">
        <v>280505 De clientes</v>
      </c>
      <c r="BZ602" t="str">
        <v>280505 De clientes</v>
      </c>
      <c r="CA602" t="str">
        <v>280505 De clientes</v>
      </c>
      <c r="CB602" t="str">
        <v>280505 De clientes</v>
      </c>
      <c r="CC602" t="str">
        <v>280505 De clientes</v>
      </c>
      <c r="CD602" t="str">
        <v>280505 De clientes</v>
      </c>
      <c r="CE602" t="str">
        <v>280505 De clientes</v>
      </c>
      <c r="CS602" s="141" t="str">
        <v>280505 De clientes</v>
      </c>
      <c r="CT602" s="141" t="str">
        <v>280505 De clientes</v>
      </c>
      <c r="CU602" s="141" t="str">
        <v>280505 De clientes</v>
      </c>
      <c r="CV602" s="141" t="str">
        <v>280505 De clientes</v>
      </c>
      <c r="CW602" s="141" t="str">
        <v>280505 De clientes</v>
      </c>
      <c r="CX602" s="141" t="str">
        <v>280505 De clientes</v>
      </c>
      <c r="CY602" s="141" t="str">
        <v>280505 De clientes</v>
      </c>
      <c r="CZ602" s="141" t="str">
        <v>280505 De clientes</v>
      </c>
      <c r="DA602" s="141" t="str">
        <v>280505 De clientes</v>
      </c>
      <c r="DF602" t="str">
        <v>280505 De clientes</v>
      </c>
      <c r="DG602" t="str">
        <v>280505 De clientes</v>
      </c>
      <c r="DH602" t="str">
        <v>280505 De clientes</v>
      </c>
      <c r="DI602" t="str">
        <v>280505 De clientes</v>
      </c>
      <c r="DJ602" t="str">
        <v>280505 De clientes</v>
      </c>
      <c r="DK602" t="str">
        <v>280505 De clientes</v>
      </c>
      <c r="DL602" t="str">
        <v>280505 De clientes</v>
      </c>
      <c r="DM602" t="str">
        <v>280505 De clientes</v>
      </c>
      <c r="DN602" t="str">
        <v>280505 De clientes</v>
      </c>
      <c r="DO602" t="str">
        <v>280505 De clientes</v>
      </c>
      <c r="DP602" t="str">
        <v>280505 De clientes</v>
      </c>
    </row>
    <row r="603" spans="4:120" ht="12.75">
      <c r="D603" s="7">
        <v>280510</v>
      </c>
      <c r="E603" s="6" t="s">
        <v>440</v>
      </c>
      <c r="F603" s="5">
        <v>4</v>
      </c>
      <c r="G603" s="34" t="s">
        <v>823</v>
      </c>
      <c r="H603" s="26" t="s">
        <v>765</v>
      </c>
      <c r="I603" t="b">
        <f>+ISNUMBER(SEARCH('F-COMPRA'!$F$28,Tabla11[[#This Row],[Cuenta]],1))</f>
        <v>1</v>
      </c>
      <c r="J603" t="b">
        <f>+ISNUMBER(SEARCH('F-COMPRA'!$F$29,Tabla11[[#This Row],[Cuenta]],1))</f>
        <v>1</v>
      </c>
      <c r="K603" t="b">
        <f>+ISNUMBER(SEARCH('F-COMPRA'!$F$30,Tabla11[[#This Row],[Cuenta]],1))</f>
        <v>1</v>
      </c>
      <c r="L603" t="b">
        <f>+ISNUMBER(SEARCH('F-COMPRA'!$F$31,Tabla11[[#This Row],[Cuenta]],1))</f>
        <v>1</v>
      </c>
      <c r="M603" t="b">
        <f>+ISNUMBER(SEARCH('F-COMPRA'!$G$25,Tabla11[[#This Row],[Cuenta]],1))</f>
        <v>0</v>
      </c>
      <c r="N603" t="b">
        <f>+ISNUMBER(SEARCH(#REF!,Tabla11[[#This Row],[Cuenta]],1))</f>
        <v>0</v>
      </c>
      <c r="O603" t="b">
        <f>+ISNUMBER(SEARCH(#REF!,Tabla11[[#This Row],[Cuenta]],1))</f>
        <v>0</v>
      </c>
      <c r="P603" t="b">
        <f>+ISNUMBER(SEARCH('F-COMPRA'!$F$32,Tabla11[[#This Row],[Cuenta]],1))</f>
        <v>1</v>
      </c>
      <c r="Q603" t="b">
        <f>+ISNUMBER(SEARCH('F-COMPRA'!$F$33,Tabla11[[#This Row],[Cuenta]],1))</f>
        <v>1</v>
      </c>
      <c r="R603" t="b">
        <f>+ISNUMBER(SEARCH('F-COMPRA'!$F$34,Tabla11[[#This Row],[Cuenta]],1))</f>
        <v>1</v>
      </c>
      <c r="S603" t="b">
        <f>+ISNUMBER(SEARCH('F-COMPRA'!$F$35,Tabla11[[#This Row],[Cuenta]],1))</f>
        <v>1</v>
      </c>
      <c r="T603" t="b">
        <f>+ISNUMBER(SEARCH('F-COMPRA'!$F$36,Tabla11[[#This Row],[Cuenta]],1))</f>
        <v>1</v>
      </c>
      <c r="U603" t="b">
        <f>+ISNUMBER(SEARCH('F-COMPRA'!$F$37,Tabla11[[#This Row],[Cuenta]],1))</f>
        <v>1</v>
      </c>
      <c r="V603" t="b">
        <f>+ISNUMBER(SEARCH(#REF!,Tabla11[[#This Row],[Cuenta]],1))</f>
        <v>0</v>
      </c>
      <c r="W603" t="b">
        <f>+ISNUMBER(SEARCH('F-COMPRA'!#REF!,Tabla11[[#This Row],[Cuenta]],1))</f>
        <v>0</v>
      </c>
      <c r="X603" t="b">
        <f>+ISNUMBER(SEARCH('F-COMPRA'!#REF!,Tabla11[[#This Row],[Cuenta]],1))</f>
        <v>0</v>
      </c>
      <c r="Y603" t="b">
        <f>+ISNUMBER(SEARCH('F-COMPRA'!#REF!,Tabla11[[#This Row],[Cuenta]],1))</f>
        <v>0</v>
      </c>
      <c r="Z603" t="b">
        <f>+ISNUMBER(SEARCH('F-COMPRA'!#REF!,Tabla11[[#This Row],[Cuenta]],1))</f>
        <v>0</v>
      </c>
      <c r="AA603" t="b">
        <f>+ISNUMBER(SEARCH('F-COMPRA'!#REF!,Tabla11[[#This Row],[Cuenta]],1))</f>
        <v>0</v>
      </c>
      <c r="AB603" t="b">
        <f>+ISNUMBER(SEARCH('F-COMPRA'!#REF!,Tabla11[[#This Row],[Cuenta]],1))</f>
        <v>0</v>
      </c>
      <c r="AC603" t="b">
        <f>+ISNUMBER(SEARCH('F-COMPRA'!#REF!,Tabla11[[#This Row],[Cuenta]],1))</f>
        <v>0</v>
      </c>
      <c r="AD603" t="b">
        <f>+ISNUMBER(SEARCH('F-COMPRA'!#REF!,Tabla11[[#This Row],[Cuenta]],1))</f>
        <v>0</v>
      </c>
      <c r="AE603" t="b">
        <f>+ISNUMBER(SEARCH('F-COMPRA'!#REF!,Tabla11[[#This Row],[Cuenta]],1))</f>
        <v>0</v>
      </c>
      <c r="AF603" t="b">
        <f>+ISNUMBER(SEARCH('F-VTA'!$G$23,Tabla11[[#This Row],[Cuenta]],1))</f>
        <v>0</v>
      </c>
      <c r="AG603" t="b">
        <f>+ISNUMBER(SEARCH('F-VTA'!$G$24,Tabla11[[#This Row],[Cuenta]],1))</f>
        <v>0</v>
      </c>
      <c r="AH603" t="b">
        <f>+ISNUMBER(SEARCH('F-VTA'!$G$25,Tabla11[[#This Row],[Cuenta]],1))</f>
        <v>0</v>
      </c>
      <c r="AI603" t="b">
        <f>+ISNUMBER(SEARCH('F-VTA'!$F$28,Tabla11[[#This Row],[Cuenta]],1))</f>
        <v>1</v>
      </c>
      <c r="AJ603" t="b">
        <f>+ISNUMBER(SEARCH('F-VTA'!$F$29,Tabla11[[#This Row],[Cuenta]],1))</f>
        <v>1</v>
      </c>
      <c r="AK603" t="b">
        <f>+ISNUMBER(SEARCH('F-VTA'!$F$30,Tabla11[[#This Row],[Cuenta]],1))</f>
        <v>1</v>
      </c>
      <c r="AL603" t="b">
        <f>+ISNUMBER(SEARCH('F-VTA'!$F$31,Tabla11[[#This Row],[Cuenta]],1))</f>
        <v>1</v>
      </c>
      <c r="AM603" t="b">
        <f>+ISNUMBER(SEARCH('F-VTA'!$F$32,Tabla11[[#This Row],[Cuenta]],1))</f>
        <v>1</v>
      </c>
      <c r="AN603" t="b">
        <f>+ISNUMBER(SEARCH('F-VTA'!$F$33,Tabla11[[#This Row],[Cuenta]],1))</f>
        <v>1</v>
      </c>
      <c r="AO603" t="b">
        <f>+ISNUMBER(SEARCH('F-VTA'!$F$34,Tabla11[[#This Row],[Cuenta]],1))</f>
        <v>1</v>
      </c>
      <c r="AP603" t="b">
        <f>+ISNUMBER(SEARCH('F-VTA'!$F$35,Tabla11[[#This Row],[Cuenta]],1))</f>
        <v>1</v>
      </c>
      <c r="AQ603" t="b">
        <f>+ISNUMBER(SEARCH('F-VTA'!$F$36,Tabla11[[#This Row],[Cuenta]],1))</f>
        <v>1</v>
      </c>
      <c r="AR603" t="b">
        <f>+ISNUMBER(SEARCH(#REF!,Tabla11[[#This Row],[Cuenta]],1))</f>
        <v>0</v>
      </c>
      <c r="AS603" t="b">
        <f>+ISNUMBER(SEARCH(#REF!,Tabla11[[#This Row],[Cuenta]],1))</f>
        <v>0</v>
      </c>
      <c r="AT603" t="b">
        <f>+ISNUMBER(SEARCH(#REF!,Tabla11[[#This Row],[Cuenta]],1))</f>
        <v>0</v>
      </c>
      <c r="AU603" t="b">
        <f>+ISNUMBER(SEARCH('Conc. Ban.1'!$I$9,Tabla11[[#This Row],[Cuenta]],1))</f>
        <v>0</v>
      </c>
      <c r="AV603" t="b">
        <f>+ISNUMBER(SEARCH(CompConta!$F$21,Tabla11[[#This Row],[Cuenta]],1))</f>
        <v>1</v>
      </c>
      <c r="AW603" t="b">
        <f>+ISNUMBER(SEARCH(CompConta!$F$22,Tabla11[[#This Row],[Cuenta]],1))</f>
        <v>1</v>
      </c>
      <c r="AX603" t="b">
        <f>+ISNUMBER(SEARCH(CompConta!$F$23,Tabla11[[#This Row],[Cuenta]],1))</f>
        <v>1</v>
      </c>
      <c r="AY603" t="b">
        <f>+ISNUMBER(SEARCH(CompConta!$F$24,Tabla11[[#This Row],[Cuenta]],1))</f>
        <v>1</v>
      </c>
      <c r="AZ603" t="b">
        <f>+ISNUMBER(SEARCH(CompConta!$F$25,Tabla11[[#This Row],[Cuenta]],1))</f>
        <v>1</v>
      </c>
      <c r="BA603" t="b">
        <f>+ISNUMBER(SEARCH(CompConta!$F$26,Tabla11[[#This Row],[Cuenta]],1))</f>
        <v>1</v>
      </c>
      <c r="BB603" t="b">
        <f>+ISNUMBER(SEARCH(CompConta!$F$27,Tabla11[[#This Row],[Cuenta]],1))</f>
        <v>1</v>
      </c>
      <c r="BC603" t="b">
        <f>+ISNUMBER(SEARCH(CompConta!$F$28,Tabla11[[#This Row],[Cuenta]],1))</f>
        <v>1</v>
      </c>
      <c r="BD603" t="b">
        <f>+ISNUMBER(SEARCH(CompConta!$F$29,Tabla11[[#This Row],[Cuenta]],1))</f>
        <v>1</v>
      </c>
      <c r="BE603" t="b">
        <f>+ISNUMBER(SEARCH(CompConta!$F$30,Tabla11[[#This Row],[Cuenta]],1))</f>
        <v>1</v>
      </c>
      <c r="BF603" t="b">
        <f>+ISNUMBER(SEARCH('PAGO Compras'!$E$11,Tabla11[[#This Row],[Cuenta]],1))</f>
        <v>1</v>
      </c>
      <c r="BG603" t="b">
        <f>+ISNUMBER(SEARCH(#REF!,Tabla11[[#This Row],[Cuenta]],1))</f>
        <v>0</v>
      </c>
      <c r="BH603" t="b">
        <f>+ISNUMBER(SEARCH(#REF!,Tabla11[[#This Row],[Cuenta]],1))</f>
        <v>0</v>
      </c>
      <c r="BI603" t="b">
        <f>+ISNUMBER(SEARCH(#REF!,Tabla11[[#This Row],[Cuenta]],1))</f>
        <v>0</v>
      </c>
      <c r="BJ603" t="b">
        <f>+ISNUMBER(SEARCH(#REF!,Tabla11[[#This Row],[Cuenta]],1))</f>
        <v>0</v>
      </c>
      <c r="BS603" t="str">
        <v>280510 Sobre contratos</v>
      </c>
      <c r="BT603" t="str">
        <v>280510 Sobre contratos</v>
      </c>
      <c r="BU603" t="str">
        <v>280510 Sobre contratos</v>
      </c>
      <c r="BV603" t="str">
        <v>280510 Sobre contratos</v>
      </c>
      <c r="BZ603" t="str">
        <v>280510 Sobre contratos</v>
      </c>
      <c r="CA603" t="str">
        <v>280510 Sobre contratos</v>
      </c>
      <c r="CB603" t="str">
        <v>280510 Sobre contratos</v>
      </c>
      <c r="CC603" t="str">
        <v>280510 Sobre contratos</v>
      </c>
      <c r="CD603" t="str">
        <v>280510 Sobre contratos</v>
      </c>
      <c r="CE603" t="str">
        <v>280510 Sobre contratos</v>
      </c>
      <c r="CS603" s="141" t="str">
        <v>280510 Sobre contratos</v>
      </c>
      <c r="CT603" s="141" t="str">
        <v>280510 Sobre contratos</v>
      </c>
      <c r="CU603" s="141" t="str">
        <v>280510 Sobre contratos</v>
      </c>
      <c r="CV603" s="141" t="str">
        <v>280510 Sobre contratos</v>
      </c>
      <c r="CW603" s="141" t="str">
        <v>280510 Sobre contratos</v>
      </c>
      <c r="CX603" s="141" t="str">
        <v>280510 Sobre contratos</v>
      </c>
      <c r="CY603" s="141" t="str">
        <v>280510 Sobre contratos</v>
      </c>
      <c r="CZ603" s="141" t="str">
        <v>280510 Sobre contratos</v>
      </c>
      <c r="DA603" s="141" t="str">
        <v>280510 Sobre contratos</v>
      </c>
      <c r="DF603" t="str">
        <v>280510 Sobre contratos</v>
      </c>
      <c r="DG603" t="str">
        <v>280510 Sobre contratos</v>
      </c>
      <c r="DH603" t="str">
        <v>280510 Sobre contratos</v>
      </c>
      <c r="DI603" t="str">
        <v>280510 Sobre contratos</v>
      </c>
      <c r="DJ603" t="str">
        <v>280510 Sobre contratos</v>
      </c>
      <c r="DK603" t="str">
        <v>280510 Sobre contratos</v>
      </c>
      <c r="DL603" t="str">
        <v>280510 Sobre contratos</v>
      </c>
      <c r="DM603" t="str">
        <v>280510 Sobre contratos</v>
      </c>
      <c r="DN603" t="str">
        <v>280510 Sobre contratos</v>
      </c>
      <c r="DO603" t="str">
        <v>280510 Sobre contratos</v>
      </c>
      <c r="DP603" t="str">
        <v>280510 Sobre contratos</v>
      </c>
    </row>
    <row r="604" spans="4:120" ht="12.75">
      <c r="D604" s="7">
        <v>280515</v>
      </c>
      <c r="E604" s="6" t="s">
        <v>441</v>
      </c>
      <c r="F604" s="5">
        <v>4</v>
      </c>
      <c r="G604" s="34" t="s">
        <v>823</v>
      </c>
      <c r="H604" s="26" t="s">
        <v>765</v>
      </c>
      <c r="I604" t="b">
        <f>+ISNUMBER(SEARCH('F-COMPRA'!$F$28,Tabla11[[#This Row],[Cuenta]],1))</f>
        <v>1</v>
      </c>
      <c r="J604" t="b">
        <f>+ISNUMBER(SEARCH('F-COMPRA'!$F$29,Tabla11[[#This Row],[Cuenta]],1))</f>
        <v>1</v>
      </c>
      <c r="K604" t="b">
        <f>+ISNUMBER(SEARCH('F-COMPRA'!$F$30,Tabla11[[#This Row],[Cuenta]],1))</f>
        <v>1</v>
      </c>
      <c r="L604" t="b">
        <f>+ISNUMBER(SEARCH('F-COMPRA'!$F$31,Tabla11[[#This Row],[Cuenta]],1))</f>
        <v>1</v>
      </c>
      <c r="M604" t="b">
        <f>+ISNUMBER(SEARCH('F-COMPRA'!$G$25,Tabla11[[#This Row],[Cuenta]],1))</f>
        <v>0</v>
      </c>
      <c r="N604" t="b">
        <f>+ISNUMBER(SEARCH(#REF!,Tabla11[[#This Row],[Cuenta]],1))</f>
        <v>0</v>
      </c>
      <c r="O604" t="b">
        <f>+ISNUMBER(SEARCH(#REF!,Tabla11[[#This Row],[Cuenta]],1))</f>
        <v>0</v>
      </c>
      <c r="P604" t="b">
        <f>+ISNUMBER(SEARCH('F-COMPRA'!$F$32,Tabla11[[#This Row],[Cuenta]],1))</f>
        <v>1</v>
      </c>
      <c r="Q604" t="b">
        <f>+ISNUMBER(SEARCH('F-COMPRA'!$F$33,Tabla11[[#This Row],[Cuenta]],1))</f>
        <v>1</v>
      </c>
      <c r="R604" t="b">
        <f>+ISNUMBER(SEARCH('F-COMPRA'!$F$34,Tabla11[[#This Row],[Cuenta]],1))</f>
        <v>1</v>
      </c>
      <c r="S604" t="b">
        <f>+ISNUMBER(SEARCH('F-COMPRA'!$F$35,Tabla11[[#This Row],[Cuenta]],1))</f>
        <v>1</v>
      </c>
      <c r="T604" t="b">
        <f>+ISNUMBER(SEARCH('F-COMPRA'!$F$36,Tabla11[[#This Row],[Cuenta]],1))</f>
        <v>1</v>
      </c>
      <c r="U604" t="b">
        <f>+ISNUMBER(SEARCH('F-COMPRA'!$F$37,Tabla11[[#This Row],[Cuenta]],1))</f>
        <v>1</v>
      </c>
      <c r="V604" t="b">
        <f>+ISNUMBER(SEARCH(#REF!,Tabla11[[#This Row],[Cuenta]],1))</f>
        <v>0</v>
      </c>
      <c r="W604" t="b">
        <f>+ISNUMBER(SEARCH('F-COMPRA'!#REF!,Tabla11[[#This Row],[Cuenta]],1))</f>
        <v>0</v>
      </c>
      <c r="X604" t="b">
        <f>+ISNUMBER(SEARCH('F-COMPRA'!#REF!,Tabla11[[#This Row],[Cuenta]],1))</f>
        <v>0</v>
      </c>
      <c r="Y604" t="b">
        <f>+ISNUMBER(SEARCH('F-COMPRA'!#REF!,Tabla11[[#This Row],[Cuenta]],1))</f>
        <v>0</v>
      </c>
      <c r="Z604" t="b">
        <f>+ISNUMBER(SEARCH('F-COMPRA'!#REF!,Tabla11[[#This Row],[Cuenta]],1))</f>
        <v>0</v>
      </c>
      <c r="AA604" t="b">
        <f>+ISNUMBER(SEARCH('F-COMPRA'!#REF!,Tabla11[[#This Row],[Cuenta]],1))</f>
        <v>0</v>
      </c>
      <c r="AB604" t="b">
        <f>+ISNUMBER(SEARCH('F-COMPRA'!#REF!,Tabla11[[#This Row],[Cuenta]],1))</f>
        <v>0</v>
      </c>
      <c r="AC604" t="b">
        <f>+ISNUMBER(SEARCH('F-COMPRA'!#REF!,Tabla11[[#This Row],[Cuenta]],1))</f>
        <v>0</v>
      </c>
      <c r="AD604" t="b">
        <f>+ISNUMBER(SEARCH('F-COMPRA'!#REF!,Tabla11[[#This Row],[Cuenta]],1))</f>
        <v>0</v>
      </c>
      <c r="AE604" t="b">
        <f>+ISNUMBER(SEARCH('F-COMPRA'!#REF!,Tabla11[[#This Row],[Cuenta]],1))</f>
        <v>0</v>
      </c>
      <c r="AF604" t="b">
        <f>+ISNUMBER(SEARCH('F-VTA'!$G$23,Tabla11[[#This Row],[Cuenta]],1))</f>
        <v>0</v>
      </c>
      <c r="AG604" t="b">
        <f>+ISNUMBER(SEARCH('F-VTA'!$G$24,Tabla11[[#This Row],[Cuenta]],1))</f>
        <v>0</v>
      </c>
      <c r="AH604" t="b">
        <f>+ISNUMBER(SEARCH('F-VTA'!$G$25,Tabla11[[#This Row],[Cuenta]],1))</f>
        <v>0</v>
      </c>
      <c r="AI604" t="b">
        <f>+ISNUMBER(SEARCH('F-VTA'!$F$28,Tabla11[[#This Row],[Cuenta]],1))</f>
        <v>1</v>
      </c>
      <c r="AJ604" t="b">
        <f>+ISNUMBER(SEARCH('F-VTA'!$F$29,Tabla11[[#This Row],[Cuenta]],1))</f>
        <v>1</v>
      </c>
      <c r="AK604" t="b">
        <f>+ISNUMBER(SEARCH('F-VTA'!$F$30,Tabla11[[#This Row],[Cuenta]],1))</f>
        <v>1</v>
      </c>
      <c r="AL604" t="b">
        <f>+ISNUMBER(SEARCH('F-VTA'!$F$31,Tabla11[[#This Row],[Cuenta]],1))</f>
        <v>1</v>
      </c>
      <c r="AM604" t="b">
        <f>+ISNUMBER(SEARCH('F-VTA'!$F$32,Tabla11[[#This Row],[Cuenta]],1))</f>
        <v>1</v>
      </c>
      <c r="AN604" t="b">
        <f>+ISNUMBER(SEARCH('F-VTA'!$F$33,Tabla11[[#This Row],[Cuenta]],1))</f>
        <v>1</v>
      </c>
      <c r="AO604" t="b">
        <f>+ISNUMBER(SEARCH('F-VTA'!$F$34,Tabla11[[#This Row],[Cuenta]],1))</f>
        <v>1</v>
      </c>
      <c r="AP604" t="b">
        <f>+ISNUMBER(SEARCH('F-VTA'!$F$35,Tabla11[[#This Row],[Cuenta]],1))</f>
        <v>1</v>
      </c>
      <c r="AQ604" t="b">
        <f>+ISNUMBER(SEARCH('F-VTA'!$F$36,Tabla11[[#This Row],[Cuenta]],1))</f>
        <v>1</v>
      </c>
      <c r="AR604" t="b">
        <f>+ISNUMBER(SEARCH(#REF!,Tabla11[[#This Row],[Cuenta]],1))</f>
        <v>0</v>
      </c>
      <c r="AS604" t="b">
        <f>+ISNUMBER(SEARCH(#REF!,Tabla11[[#This Row],[Cuenta]],1))</f>
        <v>0</v>
      </c>
      <c r="AT604" t="b">
        <f>+ISNUMBER(SEARCH(#REF!,Tabla11[[#This Row],[Cuenta]],1))</f>
        <v>0</v>
      </c>
      <c r="AU604" t="b">
        <f>+ISNUMBER(SEARCH('Conc. Ban.1'!$I$9,Tabla11[[#This Row],[Cuenta]],1))</f>
        <v>0</v>
      </c>
      <c r="AV604" t="b">
        <f>+ISNUMBER(SEARCH(CompConta!$F$21,Tabla11[[#This Row],[Cuenta]],1))</f>
        <v>1</v>
      </c>
      <c r="AW604" t="b">
        <f>+ISNUMBER(SEARCH(CompConta!$F$22,Tabla11[[#This Row],[Cuenta]],1))</f>
        <v>1</v>
      </c>
      <c r="AX604" t="b">
        <f>+ISNUMBER(SEARCH(CompConta!$F$23,Tabla11[[#This Row],[Cuenta]],1))</f>
        <v>1</v>
      </c>
      <c r="AY604" t="b">
        <f>+ISNUMBER(SEARCH(CompConta!$F$24,Tabla11[[#This Row],[Cuenta]],1))</f>
        <v>1</v>
      </c>
      <c r="AZ604" t="b">
        <f>+ISNUMBER(SEARCH(CompConta!$F$25,Tabla11[[#This Row],[Cuenta]],1))</f>
        <v>1</v>
      </c>
      <c r="BA604" t="b">
        <f>+ISNUMBER(SEARCH(CompConta!$F$26,Tabla11[[#This Row],[Cuenta]],1))</f>
        <v>1</v>
      </c>
      <c r="BB604" t="b">
        <f>+ISNUMBER(SEARCH(CompConta!$F$27,Tabla11[[#This Row],[Cuenta]],1))</f>
        <v>1</v>
      </c>
      <c r="BC604" t="b">
        <f>+ISNUMBER(SEARCH(CompConta!$F$28,Tabla11[[#This Row],[Cuenta]],1))</f>
        <v>1</v>
      </c>
      <c r="BD604" t="b">
        <f>+ISNUMBER(SEARCH(CompConta!$F$29,Tabla11[[#This Row],[Cuenta]],1))</f>
        <v>1</v>
      </c>
      <c r="BE604" t="b">
        <f>+ISNUMBER(SEARCH(CompConta!$F$30,Tabla11[[#This Row],[Cuenta]],1))</f>
        <v>1</v>
      </c>
      <c r="BF604" t="b">
        <f>+ISNUMBER(SEARCH('PAGO Compras'!$E$11,Tabla11[[#This Row],[Cuenta]],1))</f>
        <v>1</v>
      </c>
      <c r="BG604" t="b">
        <f>+ISNUMBER(SEARCH(#REF!,Tabla11[[#This Row],[Cuenta]],1))</f>
        <v>0</v>
      </c>
      <c r="BH604" t="b">
        <f>+ISNUMBER(SEARCH(#REF!,Tabla11[[#This Row],[Cuenta]],1))</f>
        <v>0</v>
      </c>
      <c r="BI604" t="b">
        <f>+ISNUMBER(SEARCH(#REF!,Tabla11[[#This Row],[Cuenta]],1))</f>
        <v>0</v>
      </c>
      <c r="BJ604" t="b">
        <f>+ISNUMBER(SEARCH(#REF!,Tabla11[[#This Row],[Cuenta]],1))</f>
        <v>0</v>
      </c>
      <c r="BS604" t="str">
        <v>280515 Para obras en proceso</v>
      </c>
      <c r="BT604" t="str">
        <v>280515 Para obras en proceso</v>
      </c>
      <c r="BU604" t="str">
        <v>280515 Para obras en proceso</v>
      </c>
      <c r="BV604" t="str">
        <v>280515 Para obras en proceso</v>
      </c>
      <c r="BZ604" t="str">
        <v>280515 Para obras en proceso</v>
      </c>
      <c r="CA604" t="str">
        <v>280515 Para obras en proceso</v>
      </c>
      <c r="CB604" t="str">
        <v>280515 Para obras en proceso</v>
      </c>
      <c r="CC604" t="str">
        <v>280515 Para obras en proceso</v>
      </c>
      <c r="CD604" t="str">
        <v>280515 Para obras en proceso</v>
      </c>
      <c r="CE604" t="str">
        <v>280515 Para obras en proceso</v>
      </c>
      <c r="CS604" s="141" t="str">
        <v>280515 Para obras en proceso</v>
      </c>
      <c r="CT604" s="141" t="str">
        <v>280515 Para obras en proceso</v>
      </c>
      <c r="CU604" s="141" t="str">
        <v>280515 Para obras en proceso</v>
      </c>
      <c r="CV604" s="141" t="str">
        <v>280515 Para obras en proceso</v>
      </c>
      <c r="CW604" s="141" t="str">
        <v>280515 Para obras en proceso</v>
      </c>
      <c r="CX604" s="141" t="str">
        <v>280515 Para obras en proceso</v>
      </c>
      <c r="CY604" s="141" t="str">
        <v>280515 Para obras en proceso</v>
      </c>
      <c r="CZ604" s="141" t="str">
        <v>280515 Para obras en proceso</v>
      </c>
      <c r="DA604" s="141" t="str">
        <v>280515 Para obras en proceso</v>
      </c>
      <c r="DF604" t="str">
        <v>280515 Para obras en proceso</v>
      </c>
      <c r="DG604" t="str">
        <v>280515 Para obras en proceso</v>
      </c>
      <c r="DH604" t="str">
        <v>280515 Para obras en proceso</v>
      </c>
      <c r="DI604" t="str">
        <v>280515 Para obras en proceso</v>
      </c>
      <c r="DJ604" t="str">
        <v>280515 Para obras en proceso</v>
      </c>
      <c r="DK604" t="str">
        <v>280515 Para obras en proceso</v>
      </c>
      <c r="DL604" t="str">
        <v>280515 Para obras en proceso</v>
      </c>
      <c r="DM604" t="str">
        <v>280515 Para obras en proceso</v>
      </c>
      <c r="DN604" t="str">
        <v>280515 Para obras en proceso</v>
      </c>
      <c r="DO604" t="str">
        <v>280515 Para obras en proceso</v>
      </c>
      <c r="DP604" t="str">
        <v>280515 Para obras en proceso</v>
      </c>
    </row>
    <row r="605" spans="4:120" ht="12.75">
      <c r="D605" s="7">
        <v>280595</v>
      </c>
      <c r="E605" s="6" t="s">
        <v>45</v>
      </c>
      <c r="F605" s="5">
        <v>4</v>
      </c>
      <c r="G605" s="34" t="s">
        <v>823</v>
      </c>
      <c r="H605" s="26" t="s">
        <v>765</v>
      </c>
      <c r="I605" t="b">
        <f>+ISNUMBER(SEARCH('F-COMPRA'!$F$28,Tabla11[[#This Row],[Cuenta]],1))</f>
        <v>1</v>
      </c>
      <c r="J605" t="b">
        <f>+ISNUMBER(SEARCH('F-COMPRA'!$F$29,Tabla11[[#This Row],[Cuenta]],1))</f>
        <v>1</v>
      </c>
      <c r="K605" t="b">
        <f>+ISNUMBER(SEARCH('F-COMPRA'!$F$30,Tabla11[[#This Row],[Cuenta]],1))</f>
        <v>1</v>
      </c>
      <c r="L605" t="b">
        <f>+ISNUMBER(SEARCH('F-COMPRA'!$F$31,Tabla11[[#This Row],[Cuenta]],1))</f>
        <v>1</v>
      </c>
      <c r="M605" t="b">
        <f>+ISNUMBER(SEARCH('F-COMPRA'!$G$25,Tabla11[[#This Row],[Cuenta]],1))</f>
        <v>0</v>
      </c>
      <c r="N605" t="b">
        <f>+ISNUMBER(SEARCH(#REF!,Tabla11[[#This Row],[Cuenta]],1))</f>
        <v>0</v>
      </c>
      <c r="O605" t="b">
        <f>+ISNUMBER(SEARCH(#REF!,Tabla11[[#This Row],[Cuenta]],1))</f>
        <v>0</v>
      </c>
      <c r="P605" t="b">
        <f>+ISNUMBER(SEARCH('F-COMPRA'!$F$32,Tabla11[[#This Row],[Cuenta]],1))</f>
        <v>1</v>
      </c>
      <c r="Q605" t="b">
        <f>+ISNUMBER(SEARCH('F-COMPRA'!$F$33,Tabla11[[#This Row],[Cuenta]],1))</f>
        <v>1</v>
      </c>
      <c r="R605" t="b">
        <f>+ISNUMBER(SEARCH('F-COMPRA'!$F$34,Tabla11[[#This Row],[Cuenta]],1))</f>
        <v>1</v>
      </c>
      <c r="S605" t="b">
        <f>+ISNUMBER(SEARCH('F-COMPRA'!$F$35,Tabla11[[#This Row],[Cuenta]],1))</f>
        <v>1</v>
      </c>
      <c r="T605" t="b">
        <f>+ISNUMBER(SEARCH('F-COMPRA'!$F$36,Tabla11[[#This Row],[Cuenta]],1))</f>
        <v>1</v>
      </c>
      <c r="U605" t="b">
        <f>+ISNUMBER(SEARCH('F-COMPRA'!$F$37,Tabla11[[#This Row],[Cuenta]],1))</f>
        <v>1</v>
      </c>
      <c r="V605" t="b">
        <f>+ISNUMBER(SEARCH(#REF!,Tabla11[[#This Row],[Cuenta]],1))</f>
        <v>0</v>
      </c>
      <c r="W605" t="b">
        <f>+ISNUMBER(SEARCH('F-COMPRA'!#REF!,Tabla11[[#This Row],[Cuenta]],1))</f>
        <v>0</v>
      </c>
      <c r="X605" t="b">
        <f>+ISNUMBER(SEARCH('F-COMPRA'!#REF!,Tabla11[[#This Row],[Cuenta]],1))</f>
        <v>0</v>
      </c>
      <c r="Y605" t="b">
        <f>+ISNUMBER(SEARCH('F-COMPRA'!#REF!,Tabla11[[#This Row],[Cuenta]],1))</f>
        <v>0</v>
      </c>
      <c r="Z605" t="b">
        <f>+ISNUMBER(SEARCH('F-COMPRA'!#REF!,Tabla11[[#This Row],[Cuenta]],1))</f>
        <v>0</v>
      </c>
      <c r="AA605" t="b">
        <f>+ISNUMBER(SEARCH('F-COMPRA'!#REF!,Tabla11[[#This Row],[Cuenta]],1))</f>
        <v>0</v>
      </c>
      <c r="AB605" t="b">
        <f>+ISNUMBER(SEARCH('F-COMPRA'!#REF!,Tabla11[[#This Row],[Cuenta]],1))</f>
        <v>0</v>
      </c>
      <c r="AC605" t="b">
        <f>+ISNUMBER(SEARCH('F-COMPRA'!#REF!,Tabla11[[#This Row],[Cuenta]],1))</f>
        <v>0</v>
      </c>
      <c r="AD605" t="b">
        <f>+ISNUMBER(SEARCH('F-COMPRA'!#REF!,Tabla11[[#This Row],[Cuenta]],1))</f>
        <v>0</v>
      </c>
      <c r="AE605" t="b">
        <f>+ISNUMBER(SEARCH('F-COMPRA'!#REF!,Tabla11[[#This Row],[Cuenta]],1))</f>
        <v>0</v>
      </c>
      <c r="AF605" t="b">
        <f>+ISNUMBER(SEARCH('F-VTA'!$G$23,Tabla11[[#This Row],[Cuenta]],1))</f>
        <v>0</v>
      </c>
      <c r="AG605" t="b">
        <f>+ISNUMBER(SEARCH('F-VTA'!$G$24,Tabla11[[#This Row],[Cuenta]],1))</f>
        <v>0</v>
      </c>
      <c r="AH605" t="b">
        <f>+ISNUMBER(SEARCH('F-VTA'!$G$25,Tabla11[[#This Row],[Cuenta]],1))</f>
        <v>0</v>
      </c>
      <c r="AI605" t="b">
        <f>+ISNUMBER(SEARCH('F-VTA'!$F$28,Tabla11[[#This Row],[Cuenta]],1))</f>
        <v>1</v>
      </c>
      <c r="AJ605" t="b">
        <f>+ISNUMBER(SEARCH('F-VTA'!$F$29,Tabla11[[#This Row],[Cuenta]],1))</f>
        <v>1</v>
      </c>
      <c r="AK605" t="b">
        <f>+ISNUMBER(SEARCH('F-VTA'!$F$30,Tabla11[[#This Row],[Cuenta]],1))</f>
        <v>1</v>
      </c>
      <c r="AL605" t="b">
        <f>+ISNUMBER(SEARCH('F-VTA'!$F$31,Tabla11[[#This Row],[Cuenta]],1))</f>
        <v>1</v>
      </c>
      <c r="AM605" t="b">
        <f>+ISNUMBER(SEARCH('F-VTA'!$F$32,Tabla11[[#This Row],[Cuenta]],1))</f>
        <v>1</v>
      </c>
      <c r="AN605" t="b">
        <f>+ISNUMBER(SEARCH('F-VTA'!$F$33,Tabla11[[#This Row],[Cuenta]],1))</f>
        <v>1</v>
      </c>
      <c r="AO605" t="b">
        <f>+ISNUMBER(SEARCH('F-VTA'!$F$34,Tabla11[[#This Row],[Cuenta]],1))</f>
        <v>1</v>
      </c>
      <c r="AP605" t="b">
        <f>+ISNUMBER(SEARCH('F-VTA'!$F$35,Tabla11[[#This Row],[Cuenta]],1))</f>
        <v>1</v>
      </c>
      <c r="AQ605" t="b">
        <f>+ISNUMBER(SEARCH('F-VTA'!$F$36,Tabla11[[#This Row],[Cuenta]],1))</f>
        <v>1</v>
      </c>
      <c r="AR605" t="b">
        <f>+ISNUMBER(SEARCH(#REF!,Tabla11[[#This Row],[Cuenta]],1))</f>
        <v>0</v>
      </c>
      <c r="AS605" t="b">
        <f>+ISNUMBER(SEARCH(#REF!,Tabla11[[#This Row],[Cuenta]],1))</f>
        <v>0</v>
      </c>
      <c r="AT605" t="b">
        <f>+ISNUMBER(SEARCH(#REF!,Tabla11[[#This Row],[Cuenta]],1))</f>
        <v>0</v>
      </c>
      <c r="AU605" t="b">
        <f>+ISNUMBER(SEARCH('Conc. Ban.1'!$I$9,Tabla11[[#This Row],[Cuenta]],1))</f>
        <v>0</v>
      </c>
      <c r="AV605" t="b">
        <f>+ISNUMBER(SEARCH(CompConta!$F$21,Tabla11[[#This Row],[Cuenta]],1))</f>
        <v>1</v>
      </c>
      <c r="AW605" t="b">
        <f>+ISNUMBER(SEARCH(CompConta!$F$22,Tabla11[[#This Row],[Cuenta]],1))</f>
        <v>1</v>
      </c>
      <c r="AX605" t="b">
        <f>+ISNUMBER(SEARCH(CompConta!$F$23,Tabla11[[#This Row],[Cuenta]],1))</f>
        <v>1</v>
      </c>
      <c r="AY605" t="b">
        <f>+ISNUMBER(SEARCH(CompConta!$F$24,Tabla11[[#This Row],[Cuenta]],1))</f>
        <v>1</v>
      </c>
      <c r="AZ605" t="b">
        <f>+ISNUMBER(SEARCH(CompConta!$F$25,Tabla11[[#This Row],[Cuenta]],1))</f>
        <v>1</v>
      </c>
      <c r="BA605" t="b">
        <f>+ISNUMBER(SEARCH(CompConta!$F$26,Tabla11[[#This Row],[Cuenta]],1))</f>
        <v>1</v>
      </c>
      <c r="BB605" t="b">
        <f>+ISNUMBER(SEARCH(CompConta!$F$27,Tabla11[[#This Row],[Cuenta]],1))</f>
        <v>1</v>
      </c>
      <c r="BC605" t="b">
        <f>+ISNUMBER(SEARCH(CompConta!$F$28,Tabla11[[#This Row],[Cuenta]],1))</f>
        <v>1</v>
      </c>
      <c r="BD605" t="b">
        <f>+ISNUMBER(SEARCH(CompConta!$F$29,Tabla11[[#This Row],[Cuenta]],1))</f>
        <v>1</v>
      </c>
      <c r="BE605" t="b">
        <f>+ISNUMBER(SEARCH(CompConta!$F$30,Tabla11[[#This Row],[Cuenta]],1))</f>
        <v>1</v>
      </c>
      <c r="BF605" t="b">
        <f>+ISNUMBER(SEARCH('PAGO Compras'!$E$11,Tabla11[[#This Row],[Cuenta]],1))</f>
        <v>1</v>
      </c>
      <c r="BG605" t="b">
        <f>+ISNUMBER(SEARCH(#REF!,Tabla11[[#This Row],[Cuenta]],1))</f>
        <v>0</v>
      </c>
      <c r="BH605" t="b">
        <f>+ISNUMBER(SEARCH(#REF!,Tabla11[[#This Row],[Cuenta]],1))</f>
        <v>0</v>
      </c>
      <c r="BI605" t="b">
        <f>+ISNUMBER(SEARCH(#REF!,Tabla11[[#This Row],[Cuenta]],1))</f>
        <v>0</v>
      </c>
      <c r="BJ605" t="b">
        <f>+ISNUMBER(SEARCH(#REF!,Tabla11[[#This Row],[Cuenta]],1))</f>
        <v>0</v>
      </c>
      <c r="BS605" t="str">
        <v>280595 Otros</v>
      </c>
      <c r="BT605" t="str">
        <v>280595 Otros</v>
      </c>
      <c r="BU605" t="str">
        <v>280595 Otros</v>
      </c>
      <c r="BV605" t="str">
        <v>280595 Otros</v>
      </c>
      <c r="BZ605" t="str">
        <v>280595 Otros</v>
      </c>
      <c r="CA605" t="str">
        <v>280595 Otros</v>
      </c>
      <c r="CB605" t="str">
        <v>280595 Otros</v>
      </c>
      <c r="CC605" t="str">
        <v>280595 Otros</v>
      </c>
      <c r="CD605" t="str">
        <v>280595 Otros</v>
      </c>
      <c r="CE605" t="str">
        <v>280595 Otros</v>
      </c>
      <c r="CS605" s="141" t="str">
        <v>280595 Otros</v>
      </c>
      <c r="CT605" s="141" t="str">
        <v>280595 Otros</v>
      </c>
      <c r="CU605" s="141" t="str">
        <v>280595 Otros</v>
      </c>
      <c r="CV605" s="141" t="str">
        <v>280595 Otros</v>
      </c>
      <c r="CW605" s="141" t="str">
        <v>280595 Otros</v>
      </c>
      <c r="CX605" s="141" t="str">
        <v>280595 Otros</v>
      </c>
      <c r="CY605" s="141" t="str">
        <v>280595 Otros</v>
      </c>
      <c r="CZ605" s="141" t="str">
        <v>280595 Otros</v>
      </c>
      <c r="DA605" s="141" t="str">
        <v>280595 Otros</v>
      </c>
      <c r="DF605" t="str">
        <v>280595 Otros</v>
      </c>
      <c r="DG605" t="str">
        <v>280595 Otros</v>
      </c>
      <c r="DH605" t="str">
        <v>280595 Otros</v>
      </c>
      <c r="DI605" t="str">
        <v>280595 Otros</v>
      </c>
      <c r="DJ605" t="str">
        <v>280595 Otros</v>
      </c>
      <c r="DK605" t="str">
        <v>280595 Otros</v>
      </c>
      <c r="DL605" t="str">
        <v>280595 Otros</v>
      </c>
      <c r="DM605" t="str">
        <v>280595 Otros</v>
      </c>
      <c r="DN605" t="str">
        <v>280595 Otros</v>
      </c>
      <c r="DO605" t="str">
        <v>280595 Otros</v>
      </c>
      <c r="DP605" t="str">
        <v>280595 Otros</v>
      </c>
    </row>
    <row r="606" spans="4:120" ht="12.75">
      <c r="D606" s="7">
        <v>2810</v>
      </c>
      <c r="E606" s="6" t="s">
        <v>442</v>
      </c>
      <c r="F606" s="5">
        <v>3</v>
      </c>
      <c r="G606" s="34" t="s">
        <v>823</v>
      </c>
      <c r="H606" s="26" t="s">
        <v>765</v>
      </c>
      <c r="I606" t="b">
        <f>+ISNUMBER(SEARCH('F-COMPRA'!$F$28,Tabla11[[#This Row],[Cuenta]],1))</f>
        <v>1</v>
      </c>
      <c r="J606" t="b">
        <f>+ISNUMBER(SEARCH('F-COMPRA'!$F$29,Tabla11[[#This Row],[Cuenta]],1))</f>
        <v>1</v>
      </c>
      <c r="K606" t="b">
        <f>+ISNUMBER(SEARCH('F-COMPRA'!$F$30,Tabla11[[#This Row],[Cuenta]],1))</f>
        <v>1</v>
      </c>
      <c r="L606" t="b">
        <f>+ISNUMBER(SEARCH('F-COMPRA'!$F$31,Tabla11[[#This Row],[Cuenta]],1))</f>
        <v>1</v>
      </c>
      <c r="M606" t="b">
        <f>+ISNUMBER(SEARCH('F-COMPRA'!$G$25,Tabla11[[#This Row],[Cuenta]],1))</f>
        <v>0</v>
      </c>
      <c r="N606" t="b">
        <f>+ISNUMBER(SEARCH(#REF!,Tabla11[[#This Row],[Cuenta]],1))</f>
        <v>0</v>
      </c>
      <c r="O606" t="b">
        <f>+ISNUMBER(SEARCH(#REF!,Tabla11[[#This Row],[Cuenta]],1))</f>
        <v>0</v>
      </c>
      <c r="P606" t="b">
        <f>+ISNUMBER(SEARCH('F-COMPRA'!$F$32,Tabla11[[#This Row],[Cuenta]],1))</f>
        <v>1</v>
      </c>
      <c r="Q606" t="b">
        <f>+ISNUMBER(SEARCH('F-COMPRA'!$F$33,Tabla11[[#This Row],[Cuenta]],1))</f>
        <v>1</v>
      </c>
      <c r="R606" t="b">
        <f>+ISNUMBER(SEARCH('F-COMPRA'!$F$34,Tabla11[[#This Row],[Cuenta]],1))</f>
        <v>1</v>
      </c>
      <c r="S606" t="b">
        <f>+ISNUMBER(SEARCH('F-COMPRA'!$F$35,Tabla11[[#This Row],[Cuenta]],1))</f>
        <v>1</v>
      </c>
      <c r="T606" t="b">
        <f>+ISNUMBER(SEARCH('F-COMPRA'!$F$36,Tabla11[[#This Row],[Cuenta]],1))</f>
        <v>1</v>
      </c>
      <c r="U606" t="b">
        <f>+ISNUMBER(SEARCH('F-COMPRA'!$F$37,Tabla11[[#This Row],[Cuenta]],1))</f>
        <v>1</v>
      </c>
      <c r="V606" t="b">
        <f>+ISNUMBER(SEARCH(#REF!,Tabla11[[#This Row],[Cuenta]],1))</f>
        <v>0</v>
      </c>
      <c r="W606" t="b">
        <f>+ISNUMBER(SEARCH('F-COMPRA'!#REF!,Tabla11[[#This Row],[Cuenta]],1))</f>
        <v>0</v>
      </c>
      <c r="X606" t="b">
        <f>+ISNUMBER(SEARCH('F-COMPRA'!#REF!,Tabla11[[#This Row],[Cuenta]],1))</f>
        <v>0</v>
      </c>
      <c r="Y606" t="b">
        <f>+ISNUMBER(SEARCH('F-COMPRA'!#REF!,Tabla11[[#This Row],[Cuenta]],1))</f>
        <v>0</v>
      </c>
      <c r="Z606" t="b">
        <f>+ISNUMBER(SEARCH('F-COMPRA'!#REF!,Tabla11[[#This Row],[Cuenta]],1))</f>
        <v>0</v>
      </c>
      <c r="AA606" t="b">
        <f>+ISNUMBER(SEARCH('F-COMPRA'!#REF!,Tabla11[[#This Row],[Cuenta]],1))</f>
        <v>0</v>
      </c>
      <c r="AB606" t="b">
        <f>+ISNUMBER(SEARCH('F-COMPRA'!#REF!,Tabla11[[#This Row],[Cuenta]],1))</f>
        <v>0</v>
      </c>
      <c r="AC606" t="b">
        <f>+ISNUMBER(SEARCH('F-COMPRA'!#REF!,Tabla11[[#This Row],[Cuenta]],1))</f>
        <v>0</v>
      </c>
      <c r="AD606" t="b">
        <f>+ISNUMBER(SEARCH('F-COMPRA'!#REF!,Tabla11[[#This Row],[Cuenta]],1))</f>
        <v>0</v>
      </c>
      <c r="AE606" t="b">
        <f>+ISNUMBER(SEARCH('F-COMPRA'!#REF!,Tabla11[[#This Row],[Cuenta]],1))</f>
        <v>0</v>
      </c>
      <c r="AF606" t="b">
        <f>+ISNUMBER(SEARCH('F-VTA'!$G$23,Tabla11[[#This Row],[Cuenta]],1))</f>
        <v>0</v>
      </c>
      <c r="AG606" t="b">
        <f>+ISNUMBER(SEARCH('F-VTA'!$G$24,Tabla11[[#This Row],[Cuenta]],1))</f>
        <v>0</v>
      </c>
      <c r="AH606" t="b">
        <f>+ISNUMBER(SEARCH('F-VTA'!$G$25,Tabla11[[#This Row],[Cuenta]],1))</f>
        <v>0</v>
      </c>
      <c r="AI606" t="b">
        <f>+ISNUMBER(SEARCH('F-VTA'!$F$28,Tabla11[[#This Row],[Cuenta]],1))</f>
        <v>1</v>
      </c>
      <c r="AJ606" t="b">
        <f>+ISNUMBER(SEARCH('F-VTA'!$F$29,Tabla11[[#This Row],[Cuenta]],1))</f>
        <v>1</v>
      </c>
      <c r="AK606" t="b">
        <f>+ISNUMBER(SEARCH('F-VTA'!$F$30,Tabla11[[#This Row],[Cuenta]],1))</f>
        <v>1</v>
      </c>
      <c r="AL606" t="b">
        <f>+ISNUMBER(SEARCH('F-VTA'!$F$31,Tabla11[[#This Row],[Cuenta]],1))</f>
        <v>1</v>
      </c>
      <c r="AM606" t="b">
        <f>+ISNUMBER(SEARCH('F-VTA'!$F$32,Tabla11[[#This Row],[Cuenta]],1))</f>
        <v>1</v>
      </c>
      <c r="AN606" t="b">
        <f>+ISNUMBER(SEARCH('F-VTA'!$F$33,Tabla11[[#This Row],[Cuenta]],1))</f>
        <v>1</v>
      </c>
      <c r="AO606" t="b">
        <f>+ISNUMBER(SEARCH('F-VTA'!$F$34,Tabla11[[#This Row],[Cuenta]],1))</f>
        <v>1</v>
      </c>
      <c r="AP606" t="b">
        <f>+ISNUMBER(SEARCH('F-VTA'!$F$35,Tabla11[[#This Row],[Cuenta]],1))</f>
        <v>1</v>
      </c>
      <c r="AQ606" t="b">
        <f>+ISNUMBER(SEARCH('F-VTA'!$F$36,Tabla11[[#This Row],[Cuenta]],1))</f>
        <v>1</v>
      </c>
      <c r="AR606" t="b">
        <f>+ISNUMBER(SEARCH(#REF!,Tabla11[[#This Row],[Cuenta]],1))</f>
        <v>0</v>
      </c>
      <c r="AS606" t="b">
        <f>+ISNUMBER(SEARCH(#REF!,Tabla11[[#This Row],[Cuenta]],1))</f>
        <v>0</v>
      </c>
      <c r="AT606" t="b">
        <f>+ISNUMBER(SEARCH(#REF!,Tabla11[[#This Row],[Cuenta]],1))</f>
        <v>0</v>
      </c>
      <c r="AU606" t="b">
        <f>+ISNUMBER(SEARCH('Conc. Ban.1'!$I$9,Tabla11[[#This Row],[Cuenta]],1))</f>
        <v>0</v>
      </c>
      <c r="AV606" t="b">
        <f>+ISNUMBER(SEARCH(CompConta!$F$21,Tabla11[[#This Row],[Cuenta]],1))</f>
        <v>1</v>
      </c>
      <c r="AW606" t="b">
        <f>+ISNUMBER(SEARCH(CompConta!$F$22,Tabla11[[#This Row],[Cuenta]],1))</f>
        <v>1</v>
      </c>
      <c r="AX606" t="b">
        <f>+ISNUMBER(SEARCH(CompConta!$F$23,Tabla11[[#This Row],[Cuenta]],1))</f>
        <v>1</v>
      </c>
      <c r="AY606" t="b">
        <f>+ISNUMBER(SEARCH(CompConta!$F$24,Tabla11[[#This Row],[Cuenta]],1))</f>
        <v>1</v>
      </c>
      <c r="AZ606" t="b">
        <f>+ISNUMBER(SEARCH(CompConta!$F$25,Tabla11[[#This Row],[Cuenta]],1))</f>
        <v>1</v>
      </c>
      <c r="BA606" t="b">
        <f>+ISNUMBER(SEARCH(CompConta!$F$26,Tabla11[[#This Row],[Cuenta]],1))</f>
        <v>1</v>
      </c>
      <c r="BB606" t="b">
        <f>+ISNUMBER(SEARCH(CompConta!$F$27,Tabla11[[#This Row],[Cuenta]],1))</f>
        <v>1</v>
      </c>
      <c r="BC606" t="b">
        <f>+ISNUMBER(SEARCH(CompConta!$F$28,Tabla11[[#This Row],[Cuenta]],1))</f>
        <v>1</v>
      </c>
      <c r="BD606" t="b">
        <f>+ISNUMBER(SEARCH(CompConta!$F$29,Tabla11[[#This Row],[Cuenta]],1))</f>
        <v>1</v>
      </c>
      <c r="BE606" t="b">
        <f>+ISNUMBER(SEARCH(CompConta!$F$30,Tabla11[[#This Row],[Cuenta]],1))</f>
        <v>1</v>
      </c>
      <c r="BF606" t="b">
        <f>+ISNUMBER(SEARCH('PAGO Compras'!$E$11,Tabla11[[#This Row],[Cuenta]],1))</f>
        <v>1</v>
      </c>
      <c r="BG606" t="b">
        <f>+ISNUMBER(SEARCH(#REF!,Tabla11[[#This Row],[Cuenta]],1))</f>
        <v>0</v>
      </c>
      <c r="BH606" t="b">
        <f>+ISNUMBER(SEARCH(#REF!,Tabla11[[#This Row],[Cuenta]],1))</f>
        <v>0</v>
      </c>
      <c r="BI606" t="b">
        <f>+ISNUMBER(SEARCH(#REF!,Tabla11[[#This Row],[Cuenta]],1))</f>
        <v>0</v>
      </c>
      <c r="BJ606" t="b">
        <f>+ISNUMBER(SEARCH(#REF!,Tabla11[[#This Row],[Cuenta]],1))</f>
        <v>0</v>
      </c>
      <c r="BS606" t="str">
        <v>2810 DEPÓSITOS RECIBIDOS</v>
      </c>
      <c r="BT606" t="str">
        <v>2810 DEPÓSITOS RECIBIDOS</v>
      </c>
      <c r="BU606" t="str">
        <v>2810 DEPÓSITOS RECIBIDOS</v>
      </c>
      <c r="BV606" t="str">
        <v>2810 DEPÓSITOS RECIBIDOS</v>
      </c>
      <c r="BZ606" t="str">
        <v>2810 DEPÓSITOS RECIBIDOS</v>
      </c>
      <c r="CA606" t="str">
        <v>2810 DEPÓSITOS RECIBIDOS</v>
      </c>
      <c r="CB606" t="str">
        <v>2810 DEPÓSITOS RECIBIDOS</v>
      </c>
      <c r="CC606" t="str">
        <v>2810 DEPÓSITOS RECIBIDOS</v>
      </c>
      <c r="CD606" t="str">
        <v>2810 DEPÓSITOS RECIBIDOS</v>
      </c>
      <c r="CE606" t="str">
        <v>2810 DEPÓSITOS RECIBIDOS</v>
      </c>
      <c r="CS606" s="141" t="str">
        <v>2810 DEPÓSITOS RECIBIDOS</v>
      </c>
      <c r="CT606" s="141" t="str">
        <v>2810 DEPÓSITOS RECIBIDOS</v>
      </c>
      <c r="CU606" s="141" t="str">
        <v>2810 DEPÓSITOS RECIBIDOS</v>
      </c>
      <c r="CV606" s="141" t="str">
        <v>2810 DEPÓSITOS RECIBIDOS</v>
      </c>
      <c r="CW606" s="141" t="str">
        <v>2810 DEPÓSITOS RECIBIDOS</v>
      </c>
      <c r="CX606" s="141" t="str">
        <v>2810 DEPÓSITOS RECIBIDOS</v>
      </c>
      <c r="CY606" s="141" t="str">
        <v>2810 DEPÓSITOS RECIBIDOS</v>
      </c>
      <c r="CZ606" s="141" t="str">
        <v>2810 DEPÓSITOS RECIBIDOS</v>
      </c>
      <c r="DA606" s="141" t="str">
        <v>2810 DEPÓSITOS RECIBIDOS</v>
      </c>
      <c r="DF606" t="str">
        <v>2810 DEPÓSITOS RECIBIDOS</v>
      </c>
      <c r="DG606" t="str">
        <v>2810 DEPÓSITOS RECIBIDOS</v>
      </c>
      <c r="DH606" t="str">
        <v>2810 DEPÓSITOS RECIBIDOS</v>
      </c>
      <c r="DI606" t="str">
        <v>2810 DEPÓSITOS RECIBIDOS</v>
      </c>
      <c r="DJ606" t="str">
        <v>2810 DEPÓSITOS RECIBIDOS</v>
      </c>
      <c r="DK606" t="str">
        <v>2810 DEPÓSITOS RECIBIDOS</v>
      </c>
      <c r="DL606" t="str">
        <v>2810 DEPÓSITOS RECIBIDOS</v>
      </c>
      <c r="DM606" t="str">
        <v>2810 DEPÓSITOS RECIBIDOS</v>
      </c>
      <c r="DN606" t="str">
        <v>2810 DEPÓSITOS RECIBIDOS</v>
      </c>
      <c r="DO606" t="str">
        <v>2810 DEPÓSITOS RECIBIDOS</v>
      </c>
      <c r="DP606" t="str">
        <v>2810 DEPÓSITOS RECIBIDOS</v>
      </c>
    </row>
    <row r="607" spans="4:120" ht="12.75">
      <c r="D607" s="7">
        <v>281005</v>
      </c>
      <c r="E607" s="6" t="s">
        <v>443</v>
      </c>
      <c r="F607" s="5">
        <v>4</v>
      </c>
      <c r="G607" s="34" t="s">
        <v>823</v>
      </c>
      <c r="H607" s="26" t="s">
        <v>765</v>
      </c>
      <c r="I607" t="b">
        <f>+ISNUMBER(SEARCH('F-COMPRA'!$F$28,Tabla11[[#This Row],[Cuenta]],1))</f>
        <v>1</v>
      </c>
      <c r="J607" t="b">
        <f>+ISNUMBER(SEARCH('F-COMPRA'!$F$29,Tabla11[[#This Row],[Cuenta]],1))</f>
        <v>1</v>
      </c>
      <c r="K607" t="b">
        <f>+ISNUMBER(SEARCH('F-COMPRA'!$F$30,Tabla11[[#This Row],[Cuenta]],1))</f>
        <v>1</v>
      </c>
      <c r="L607" t="b">
        <f>+ISNUMBER(SEARCH('F-COMPRA'!$F$31,Tabla11[[#This Row],[Cuenta]],1))</f>
        <v>1</v>
      </c>
      <c r="M607" t="b">
        <f>+ISNUMBER(SEARCH('F-COMPRA'!$G$25,Tabla11[[#This Row],[Cuenta]],1))</f>
        <v>0</v>
      </c>
      <c r="N607" t="b">
        <f>+ISNUMBER(SEARCH(#REF!,Tabla11[[#This Row],[Cuenta]],1))</f>
        <v>0</v>
      </c>
      <c r="O607" t="b">
        <f>+ISNUMBER(SEARCH(#REF!,Tabla11[[#This Row],[Cuenta]],1))</f>
        <v>0</v>
      </c>
      <c r="P607" t="b">
        <f>+ISNUMBER(SEARCH('F-COMPRA'!$F$32,Tabla11[[#This Row],[Cuenta]],1))</f>
        <v>1</v>
      </c>
      <c r="Q607" t="b">
        <f>+ISNUMBER(SEARCH('F-COMPRA'!$F$33,Tabla11[[#This Row],[Cuenta]],1))</f>
        <v>1</v>
      </c>
      <c r="R607" t="b">
        <f>+ISNUMBER(SEARCH('F-COMPRA'!$F$34,Tabla11[[#This Row],[Cuenta]],1))</f>
        <v>1</v>
      </c>
      <c r="S607" t="b">
        <f>+ISNUMBER(SEARCH('F-COMPRA'!$F$35,Tabla11[[#This Row],[Cuenta]],1))</f>
        <v>1</v>
      </c>
      <c r="T607" t="b">
        <f>+ISNUMBER(SEARCH('F-COMPRA'!$F$36,Tabla11[[#This Row],[Cuenta]],1))</f>
        <v>1</v>
      </c>
      <c r="U607" t="b">
        <f>+ISNUMBER(SEARCH('F-COMPRA'!$F$37,Tabla11[[#This Row],[Cuenta]],1))</f>
        <v>1</v>
      </c>
      <c r="V607" t="b">
        <f>+ISNUMBER(SEARCH(#REF!,Tabla11[[#This Row],[Cuenta]],1))</f>
        <v>0</v>
      </c>
      <c r="W607" t="b">
        <f>+ISNUMBER(SEARCH('F-COMPRA'!#REF!,Tabla11[[#This Row],[Cuenta]],1))</f>
        <v>0</v>
      </c>
      <c r="X607" t="b">
        <f>+ISNUMBER(SEARCH('F-COMPRA'!#REF!,Tabla11[[#This Row],[Cuenta]],1))</f>
        <v>0</v>
      </c>
      <c r="Y607" t="b">
        <f>+ISNUMBER(SEARCH('F-COMPRA'!#REF!,Tabla11[[#This Row],[Cuenta]],1))</f>
        <v>0</v>
      </c>
      <c r="Z607" t="b">
        <f>+ISNUMBER(SEARCH('F-COMPRA'!#REF!,Tabla11[[#This Row],[Cuenta]],1))</f>
        <v>0</v>
      </c>
      <c r="AA607" t="b">
        <f>+ISNUMBER(SEARCH('F-COMPRA'!#REF!,Tabla11[[#This Row],[Cuenta]],1))</f>
        <v>0</v>
      </c>
      <c r="AB607" t="b">
        <f>+ISNUMBER(SEARCH('F-COMPRA'!#REF!,Tabla11[[#This Row],[Cuenta]],1))</f>
        <v>0</v>
      </c>
      <c r="AC607" t="b">
        <f>+ISNUMBER(SEARCH('F-COMPRA'!#REF!,Tabla11[[#This Row],[Cuenta]],1))</f>
        <v>0</v>
      </c>
      <c r="AD607" t="b">
        <f>+ISNUMBER(SEARCH('F-COMPRA'!#REF!,Tabla11[[#This Row],[Cuenta]],1))</f>
        <v>0</v>
      </c>
      <c r="AE607" t="b">
        <f>+ISNUMBER(SEARCH('F-COMPRA'!#REF!,Tabla11[[#This Row],[Cuenta]],1))</f>
        <v>0</v>
      </c>
      <c r="AF607" t="b">
        <f>+ISNUMBER(SEARCH('F-VTA'!$G$23,Tabla11[[#This Row],[Cuenta]],1))</f>
        <v>0</v>
      </c>
      <c r="AG607" t="b">
        <f>+ISNUMBER(SEARCH('F-VTA'!$G$24,Tabla11[[#This Row],[Cuenta]],1))</f>
        <v>0</v>
      </c>
      <c r="AH607" t="b">
        <f>+ISNUMBER(SEARCH('F-VTA'!$G$25,Tabla11[[#This Row],[Cuenta]],1))</f>
        <v>0</v>
      </c>
      <c r="AI607" t="b">
        <f>+ISNUMBER(SEARCH('F-VTA'!$F$28,Tabla11[[#This Row],[Cuenta]],1))</f>
        <v>1</v>
      </c>
      <c r="AJ607" t="b">
        <f>+ISNUMBER(SEARCH('F-VTA'!$F$29,Tabla11[[#This Row],[Cuenta]],1))</f>
        <v>1</v>
      </c>
      <c r="AK607" t="b">
        <f>+ISNUMBER(SEARCH('F-VTA'!$F$30,Tabla11[[#This Row],[Cuenta]],1))</f>
        <v>1</v>
      </c>
      <c r="AL607" t="b">
        <f>+ISNUMBER(SEARCH('F-VTA'!$F$31,Tabla11[[#This Row],[Cuenta]],1))</f>
        <v>1</v>
      </c>
      <c r="AM607" t="b">
        <f>+ISNUMBER(SEARCH('F-VTA'!$F$32,Tabla11[[#This Row],[Cuenta]],1))</f>
        <v>1</v>
      </c>
      <c r="AN607" t="b">
        <f>+ISNUMBER(SEARCH('F-VTA'!$F$33,Tabla11[[#This Row],[Cuenta]],1))</f>
        <v>1</v>
      </c>
      <c r="AO607" t="b">
        <f>+ISNUMBER(SEARCH('F-VTA'!$F$34,Tabla11[[#This Row],[Cuenta]],1))</f>
        <v>1</v>
      </c>
      <c r="AP607" t="b">
        <f>+ISNUMBER(SEARCH('F-VTA'!$F$35,Tabla11[[#This Row],[Cuenta]],1))</f>
        <v>1</v>
      </c>
      <c r="AQ607" t="b">
        <f>+ISNUMBER(SEARCH('F-VTA'!$F$36,Tabla11[[#This Row],[Cuenta]],1))</f>
        <v>1</v>
      </c>
      <c r="AR607" t="b">
        <f>+ISNUMBER(SEARCH(#REF!,Tabla11[[#This Row],[Cuenta]],1))</f>
        <v>0</v>
      </c>
      <c r="AS607" t="b">
        <f>+ISNUMBER(SEARCH(#REF!,Tabla11[[#This Row],[Cuenta]],1))</f>
        <v>0</v>
      </c>
      <c r="AT607" t="b">
        <f>+ISNUMBER(SEARCH(#REF!,Tabla11[[#This Row],[Cuenta]],1))</f>
        <v>0</v>
      </c>
      <c r="AU607" t="b">
        <f>+ISNUMBER(SEARCH('Conc. Ban.1'!$I$9,Tabla11[[#This Row],[Cuenta]],1))</f>
        <v>0</v>
      </c>
      <c r="AV607" t="b">
        <f>+ISNUMBER(SEARCH(CompConta!$F$21,Tabla11[[#This Row],[Cuenta]],1))</f>
        <v>1</v>
      </c>
      <c r="AW607" t="b">
        <f>+ISNUMBER(SEARCH(CompConta!$F$22,Tabla11[[#This Row],[Cuenta]],1))</f>
        <v>1</v>
      </c>
      <c r="AX607" t="b">
        <f>+ISNUMBER(SEARCH(CompConta!$F$23,Tabla11[[#This Row],[Cuenta]],1))</f>
        <v>1</v>
      </c>
      <c r="AY607" t="b">
        <f>+ISNUMBER(SEARCH(CompConta!$F$24,Tabla11[[#This Row],[Cuenta]],1))</f>
        <v>1</v>
      </c>
      <c r="AZ607" t="b">
        <f>+ISNUMBER(SEARCH(CompConta!$F$25,Tabla11[[#This Row],[Cuenta]],1))</f>
        <v>1</v>
      </c>
      <c r="BA607" t="b">
        <f>+ISNUMBER(SEARCH(CompConta!$F$26,Tabla11[[#This Row],[Cuenta]],1))</f>
        <v>1</v>
      </c>
      <c r="BB607" t="b">
        <f>+ISNUMBER(SEARCH(CompConta!$F$27,Tabla11[[#This Row],[Cuenta]],1))</f>
        <v>1</v>
      </c>
      <c r="BC607" t="b">
        <f>+ISNUMBER(SEARCH(CompConta!$F$28,Tabla11[[#This Row],[Cuenta]],1))</f>
        <v>1</v>
      </c>
      <c r="BD607" t="b">
        <f>+ISNUMBER(SEARCH(CompConta!$F$29,Tabla11[[#This Row],[Cuenta]],1))</f>
        <v>1</v>
      </c>
      <c r="BE607" t="b">
        <f>+ISNUMBER(SEARCH(CompConta!$F$30,Tabla11[[#This Row],[Cuenta]],1))</f>
        <v>1</v>
      </c>
      <c r="BF607" t="b">
        <f>+ISNUMBER(SEARCH('PAGO Compras'!$E$11,Tabla11[[#This Row],[Cuenta]],1))</f>
        <v>1</v>
      </c>
      <c r="BG607" t="b">
        <f>+ISNUMBER(SEARCH(#REF!,Tabla11[[#This Row],[Cuenta]],1))</f>
        <v>0</v>
      </c>
      <c r="BH607" t="b">
        <f>+ISNUMBER(SEARCH(#REF!,Tabla11[[#This Row],[Cuenta]],1))</f>
        <v>0</v>
      </c>
      <c r="BI607" t="b">
        <f>+ISNUMBER(SEARCH(#REF!,Tabla11[[#This Row],[Cuenta]],1))</f>
        <v>0</v>
      </c>
      <c r="BJ607" t="b">
        <f>+ISNUMBER(SEARCH(#REF!,Tabla11[[#This Row],[Cuenta]],1))</f>
        <v>0</v>
      </c>
      <c r="BS607" t="str">
        <v>281005 Para futura suscripción de acciones</v>
      </c>
      <c r="BT607" t="str">
        <v>281005 Para futura suscripción de acciones</v>
      </c>
      <c r="BU607" t="str">
        <v>281005 Para futura suscripción de acciones</v>
      </c>
      <c r="BV607" t="str">
        <v>281005 Para futura suscripción de acciones</v>
      </c>
      <c r="BZ607" t="str">
        <v>281005 Para futura suscripción de acciones</v>
      </c>
      <c r="CA607" t="str">
        <v>281005 Para futura suscripción de acciones</v>
      </c>
      <c r="CB607" t="str">
        <v>281005 Para futura suscripción de acciones</v>
      </c>
      <c r="CC607" t="str">
        <v>281005 Para futura suscripción de acciones</v>
      </c>
      <c r="CD607" t="str">
        <v>281005 Para futura suscripción de acciones</v>
      </c>
      <c r="CE607" t="str">
        <v>281005 Para futura suscripción de acciones</v>
      </c>
      <c r="CS607" s="141" t="str">
        <v>281005 Para futura suscripción de acciones</v>
      </c>
      <c r="CT607" s="141" t="str">
        <v>281005 Para futura suscripción de acciones</v>
      </c>
      <c r="CU607" s="141" t="str">
        <v>281005 Para futura suscripción de acciones</v>
      </c>
      <c r="CV607" s="141" t="str">
        <v>281005 Para futura suscripción de acciones</v>
      </c>
      <c r="CW607" s="141" t="str">
        <v>281005 Para futura suscripción de acciones</v>
      </c>
      <c r="CX607" s="141" t="str">
        <v>281005 Para futura suscripción de acciones</v>
      </c>
      <c r="CY607" s="141" t="str">
        <v>281005 Para futura suscripción de acciones</v>
      </c>
      <c r="CZ607" s="141" t="str">
        <v>281005 Para futura suscripción de acciones</v>
      </c>
      <c r="DA607" s="141" t="str">
        <v>281005 Para futura suscripción de acciones</v>
      </c>
      <c r="DF607" t="str">
        <v>281005 Para futura suscripción de acciones</v>
      </c>
      <c r="DG607" t="str">
        <v>281005 Para futura suscripción de acciones</v>
      </c>
      <c r="DH607" t="str">
        <v>281005 Para futura suscripción de acciones</v>
      </c>
      <c r="DI607" t="str">
        <v>281005 Para futura suscripción de acciones</v>
      </c>
      <c r="DJ607" t="str">
        <v>281005 Para futura suscripción de acciones</v>
      </c>
      <c r="DK607" t="str">
        <v>281005 Para futura suscripción de acciones</v>
      </c>
      <c r="DL607" t="str">
        <v>281005 Para futura suscripción de acciones</v>
      </c>
      <c r="DM607" t="str">
        <v>281005 Para futura suscripción de acciones</v>
      </c>
      <c r="DN607" t="str">
        <v>281005 Para futura suscripción de acciones</v>
      </c>
      <c r="DO607" t="str">
        <v>281005 Para futura suscripción de acciones</v>
      </c>
      <c r="DP607" t="str">
        <v>281005 Para futura suscripción de acciones</v>
      </c>
    </row>
    <row r="608" spans="4:120" ht="12.75">
      <c r="D608" s="7">
        <v>281010</v>
      </c>
      <c r="E608" s="6" t="s">
        <v>444</v>
      </c>
      <c r="F608" s="5">
        <v>4</v>
      </c>
      <c r="G608" s="34" t="s">
        <v>823</v>
      </c>
      <c r="H608" s="26" t="s">
        <v>765</v>
      </c>
      <c r="I608" t="b">
        <f>+ISNUMBER(SEARCH('F-COMPRA'!$F$28,Tabla11[[#This Row],[Cuenta]],1))</f>
        <v>1</v>
      </c>
      <c r="J608" t="b">
        <f>+ISNUMBER(SEARCH('F-COMPRA'!$F$29,Tabla11[[#This Row],[Cuenta]],1))</f>
        <v>1</v>
      </c>
      <c r="K608" t="b">
        <f>+ISNUMBER(SEARCH('F-COMPRA'!$F$30,Tabla11[[#This Row],[Cuenta]],1))</f>
        <v>1</v>
      </c>
      <c r="L608" t="b">
        <f>+ISNUMBER(SEARCH('F-COMPRA'!$F$31,Tabla11[[#This Row],[Cuenta]],1))</f>
        <v>1</v>
      </c>
      <c r="M608" t="b">
        <f>+ISNUMBER(SEARCH('F-COMPRA'!$G$25,Tabla11[[#This Row],[Cuenta]],1))</f>
        <v>0</v>
      </c>
      <c r="N608" t="b">
        <f>+ISNUMBER(SEARCH(#REF!,Tabla11[[#This Row],[Cuenta]],1))</f>
        <v>0</v>
      </c>
      <c r="O608" t="b">
        <f>+ISNUMBER(SEARCH(#REF!,Tabla11[[#This Row],[Cuenta]],1))</f>
        <v>0</v>
      </c>
      <c r="P608" t="b">
        <f>+ISNUMBER(SEARCH('F-COMPRA'!$F$32,Tabla11[[#This Row],[Cuenta]],1))</f>
        <v>1</v>
      </c>
      <c r="Q608" t="b">
        <f>+ISNUMBER(SEARCH('F-COMPRA'!$F$33,Tabla11[[#This Row],[Cuenta]],1))</f>
        <v>1</v>
      </c>
      <c r="R608" t="b">
        <f>+ISNUMBER(SEARCH('F-COMPRA'!$F$34,Tabla11[[#This Row],[Cuenta]],1))</f>
        <v>1</v>
      </c>
      <c r="S608" t="b">
        <f>+ISNUMBER(SEARCH('F-COMPRA'!$F$35,Tabla11[[#This Row],[Cuenta]],1))</f>
        <v>1</v>
      </c>
      <c r="T608" t="b">
        <f>+ISNUMBER(SEARCH('F-COMPRA'!$F$36,Tabla11[[#This Row],[Cuenta]],1))</f>
        <v>1</v>
      </c>
      <c r="U608" t="b">
        <f>+ISNUMBER(SEARCH('F-COMPRA'!$F$37,Tabla11[[#This Row],[Cuenta]],1))</f>
        <v>1</v>
      </c>
      <c r="V608" t="b">
        <f>+ISNUMBER(SEARCH(#REF!,Tabla11[[#This Row],[Cuenta]],1))</f>
        <v>0</v>
      </c>
      <c r="W608" t="b">
        <f>+ISNUMBER(SEARCH('F-COMPRA'!#REF!,Tabla11[[#This Row],[Cuenta]],1))</f>
        <v>0</v>
      </c>
      <c r="X608" t="b">
        <f>+ISNUMBER(SEARCH('F-COMPRA'!#REF!,Tabla11[[#This Row],[Cuenta]],1))</f>
        <v>0</v>
      </c>
      <c r="Y608" t="b">
        <f>+ISNUMBER(SEARCH('F-COMPRA'!#REF!,Tabla11[[#This Row],[Cuenta]],1))</f>
        <v>0</v>
      </c>
      <c r="Z608" t="b">
        <f>+ISNUMBER(SEARCH('F-COMPRA'!#REF!,Tabla11[[#This Row],[Cuenta]],1))</f>
        <v>0</v>
      </c>
      <c r="AA608" t="b">
        <f>+ISNUMBER(SEARCH('F-COMPRA'!#REF!,Tabla11[[#This Row],[Cuenta]],1))</f>
        <v>0</v>
      </c>
      <c r="AB608" t="b">
        <f>+ISNUMBER(SEARCH('F-COMPRA'!#REF!,Tabla11[[#This Row],[Cuenta]],1))</f>
        <v>0</v>
      </c>
      <c r="AC608" t="b">
        <f>+ISNUMBER(SEARCH('F-COMPRA'!#REF!,Tabla11[[#This Row],[Cuenta]],1))</f>
        <v>0</v>
      </c>
      <c r="AD608" t="b">
        <f>+ISNUMBER(SEARCH('F-COMPRA'!#REF!,Tabla11[[#This Row],[Cuenta]],1))</f>
        <v>0</v>
      </c>
      <c r="AE608" t="b">
        <f>+ISNUMBER(SEARCH('F-COMPRA'!#REF!,Tabla11[[#This Row],[Cuenta]],1))</f>
        <v>0</v>
      </c>
      <c r="AF608" t="b">
        <f>+ISNUMBER(SEARCH('F-VTA'!$G$23,Tabla11[[#This Row],[Cuenta]],1))</f>
        <v>0</v>
      </c>
      <c r="AG608" t="b">
        <f>+ISNUMBER(SEARCH('F-VTA'!$G$24,Tabla11[[#This Row],[Cuenta]],1))</f>
        <v>0</v>
      </c>
      <c r="AH608" t="b">
        <f>+ISNUMBER(SEARCH('F-VTA'!$G$25,Tabla11[[#This Row],[Cuenta]],1))</f>
        <v>0</v>
      </c>
      <c r="AI608" t="b">
        <f>+ISNUMBER(SEARCH('F-VTA'!$F$28,Tabla11[[#This Row],[Cuenta]],1))</f>
        <v>1</v>
      </c>
      <c r="AJ608" t="b">
        <f>+ISNUMBER(SEARCH('F-VTA'!$F$29,Tabla11[[#This Row],[Cuenta]],1))</f>
        <v>1</v>
      </c>
      <c r="AK608" t="b">
        <f>+ISNUMBER(SEARCH('F-VTA'!$F$30,Tabla11[[#This Row],[Cuenta]],1))</f>
        <v>1</v>
      </c>
      <c r="AL608" t="b">
        <f>+ISNUMBER(SEARCH('F-VTA'!$F$31,Tabla11[[#This Row],[Cuenta]],1))</f>
        <v>1</v>
      </c>
      <c r="AM608" t="b">
        <f>+ISNUMBER(SEARCH('F-VTA'!$F$32,Tabla11[[#This Row],[Cuenta]],1))</f>
        <v>1</v>
      </c>
      <c r="AN608" t="b">
        <f>+ISNUMBER(SEARCH('F-VTA'!$F$33,Tabla11[[#This Row],[Cuenta]],1))</f>
        <v>1</v>
      </c>
      <c r="AO608" t="b">
        <f>+ISNUMBER(SEARCH('F-VTA'!$F$34,Tabla11[[#This Row],[Cuenta]],1))</f>
        <v>1</v>
      </c>
      <c r="AP608" t="b">
        <f>+ISNUMBER(SEARCH('F-VTA'!$F$35,Tabla11[[#This Row],[Cuenta]],1))</f>
        <v>1</v>
      </c>
      <c r="AQ608" t="b">
        <f>+ISNUMBER(SEARCH('F-VTA'!$F$36,Tabla11[[#This Row],[Cuenta]],1))</f>
        <v>1</v>
      </c>
      <c r="AR608" t="b">
        <f>+ISNUMBER(SEARCH(#REF!,Tabla11[[#This Row],[Cuenta]],1))</f>
        <v>0</v>
      </c>
      <c r="AS608" t="b">
        <f>+ISNUMBER(SEARCH(#REF!,Tabla11[[#This Row],[Cuenta]],1))</f>
        <v>0</v>
      </c>
      <c r="AT608" t="b">
        <f>+ISNUMBER(SEARCH(#REF!,Tabla11[[#This Row],[Cuenta]],1))</f>
        <v>0</v>
      </c>
      <c r="AU608" t="b">
        <f>+ISNUMBER(SEARCH('Conc. Ban.1'!$I$9,Tabla11[[#This Row],[Cuenta]],1))</f>
        <v>0</v>
      </c>
      <c r="AV608" t="b">
        <f>+ISNUMBER(SEARCH(CompConta!$F$21,Tabla11[[#This Row],[Cuenta]],1))</f>
        <v>1</v>
      </c>
      <c r="AW608" t="b">
        <f>+ISNUMBER(SEARCH(CompConta!$F$22,Tabla11[[#This Row],[Cuenta]],1))</f>
        <v>1</v>
      </c>
      <c r="AX608" t="b">
        <f>+ISNUMBER(SEARCH(CompConta!$F$23,Tabla11[[#This Row],[Cuenta]],1))</f>
        <v>1</v>
      </c>
      <c r="AY608" t="b">
        <f>+ISNUMBER(SEARCH(CompConta!$F$24,Tabla11[[#This Row],[Cuenta]],1))</f>
        <v>1</v>
      </c>
      <c r="AZ608" t="b">
        <f>+ISNUMBER(SEARCH(CompConta!$F$25,Tabla11[[#This Row],[Cuenta]],1))</f>
        <v>1</v>
      </c>
      <c r="BA608" t="b">
        <f>+ISNUMBER(SEARCH(CompConta!$F$26,Tabla11[[#This Row],[Cuenta]],1))</f>
        <v>1</v>
      </c>
      <c r="BB608" t="b">
        <f>+ISNUMBER(SEARCH(CompConta!$F$27,Tabla11[[#This Row],[Cuenta]],1))</f>
        <v>1</v>
      </c>
      <c r="BC608" t="b">
        <f>+ISNUMBER(SEARCH(CompConta!$F$28,Tabla11[[#This Row],[Cuenta]],1))</f>
        <v>1</v>
      </c>
      <c r="BD608" t="b">
        <f>+ISNUMBER(SEARCH(CompConta!$F$29,Tabla11[[#This Row],[Cuenta]],1))</f>
        <v>1</v>
      </c>
      <c r="BE608" t="b">
        <f>+ISNUMBER(SEARCH(CompConta!$F$30,Tabla11[[#This Row],[Cuenta]],1))</f>
        <v>1</v>
      </c>
      <c r="BF608" t="b">
        <f>+ISNUMBER(SEARCH('PAGO Compras'!$E$11,Tabla11[[#This Row],[Cuenta]],1))</f>
        <v>1</v>
      </c>
      <c r="BG608" t="b">
        <f>+ISNUMBER(SEARCH(#REF!,Tabla11[[#This Row],[Cuenta]],1))</f>
        <v>0</v>
      </c>
      <c r="BH608" t="b">
        <f>+ISNUMBER(SEARCH(#REF!,Tabla11[[#This Row],[Cuenta]],1))</f>
        <v>0</v>
      </c>
      <c r="BI608" t="b">
        <f>+ISNUMBER(SEARCH(#REF!,Tabla11[[#This Row],[Cuenta]],1))</f>
        <v>0</v>
      </c>
      <c r="BJ608" t="b">
        <f>+ISNUMBER(SEARCH(#REF!,Tabla11[[#This Row],[Cuenta]],1))</f>
        <v>0</v>
      </c>
      <c r="BS608" t="str">
        <v>281010 Para futuro pago de cuotas o derechos soc/les</v>
      </c>
      <c r="BT608" t="str">
        <v>281010 Para futuro pago de cuotas o derechos soc/les</v>
      </c>
      <c r="BU608" t="str">
        <v>281010 Para futuro pago de cuotas o derechos soc/les</v>
      </c>
      <c r="BV608" t="str">
        <v>281010 Para futuro pago de cuotas o derechos soc/les</v>
      </c>
      <c r="BZ608" t="str">
        <v>281010 Para futuro pago de cuotas o derechos soc/les</v>
      </c>
      <c r="CA608" t="str">
        <v>281010 Para futuro pago de cuotas o derechos soc/les</v>
      </c>
      <c r="CB608" t="str">
        <v>281010 Para futuro pago de cuotas o derechos soc/les</v>
      </c>
      <c r="CC608" t="str">
        <v>281010 Para futuro pago de cuotas o derechos soc/les</v>
      </c>
      <c r="CD608" t="str">
        <v>281010 Para futuro pago de cuotas o derechos soc/les</v>
      </c>
      <c r="CE608" t="str">
        <v>281010 Para futuro pago de cuotas o derechos soc/les</v>
      </c>
      <c r="CS608" s="141" t="str">
        <v>281010 Para futuro pago de cuotas o derechos soc/les</v>
      </c>
      <c r="CT608" s="141" t="str">
        <v>281010 Para futuro pago de cuotas o derechos soc/les</v>
      </c>
      <c r="CU608" s="141" t="str">
        <v>281010 Para futuro pago de cuotas o derechos soc/les</v>
      </c>
      <c r="CV608" s="141" t="str">
        <v>281010 Para futuro pago de cuotas o derechos soc/les</v>
      </c>
      <c r="CW608" s="141" t="str">
        <v>281010 Para futuro pago de cuotas o derechos soc/les</v>
      </c>
      <c r="CX608" s="141" t="str">
        <v>281010 Para futuro pago de cuotas o derechos soc/les</v>
      </c>
      <c r="CY608" s="141" t="str">
        <v>281010 Para futuro pago de cuotas o derechos soc/les</v>
      </c>
      <c r="CZ608" s="141" t="str">
        <v>281010 Para futuro pago de cuotas o derechos soc/les</v>
      </c>
      <c r="DA608" s="141" t="str">
        <v>281010 Para futuro pago de cuotas o derechos soc/les</v>
      </c>
      <c r="DF608" t="str">
        <v>281010 Para futuro pago de cuotas o derechos soc/les</v>
      </c>
      <c r="DG608" t="str">
        <v>281010 Para futuro pago de cuotas o derechos soc/les</v>
      </c>
      <c r="DH608" t="str">
        <v>281010 Para futuro pago de cuotas o derechos soc/les</v>
      </c>
      <c r="DI608" t="str">
        <v>281010 Para futuro pago de cuotas o derechos soc/les</v>
      </c>
      <c r="DJ608" t="str">
        <v>281010 Para futuro pago de cuotas o derechos soc/les</v>
      </c>
      <c r="DK608" t="str">
        <v>281010 Para futuro pago de cuotas o derechos soc/les</v>
      </c>
      <c r="DL608" t="str">
        <v>281010 Para futuro pago de cuotas o derechos soc/les</v>
      </c>
      <c r="DM608" t="str">
        <v>281010 Para futuro pago de cuotas o derechos soc/les</v>
      </c>
      <c r="DN608" t="str">
        <v>281010 Para futuro pago de cuotas o derechos soc/les</v>
      </c>
      <c r="DO608" t="str">
        <v>281010 Para futuro pago de cuotas o derechos soc/les</v>
      </c>
      <c r="DP608" t="str">
        <v>281010 Para futuro pago de cuotas o derechos soc/les</v>
      </c>
    </row>
    <row r="609" spans="4:120" ht="12.75">
      <c r="D609" s="7">
        <v>281015</v>
      </c>
      <c r="E609" s="6" t="s">
        <v>445</v>
      </c>
      <c r="F609" s="5">
        <v>4</v>
      </c>
      <c r="G609" s="34" t="s">
        <v>823</v>
      </c>
      <c r="H609" s="26" t="s">
        <v>765</v>
      </c>
      <c r="I609" t="b">
        <f>+ISNUMBER(SEARCH('F-COMPRA'!$F$28,Tabla11[[#This Row],[Cuenta]],1))</f>
        <v>1</v>
      </c>
      <c r="J609" t="b">
        <f>+ISNUMBER(SEARCH('F-COMPRA'!$F$29,Tabla11[[#This Row],[Cuenta]],1))</f>
        <v>1</v>
      </c>
      <c r="K609" t="b">
        <f>+ISNUMBER(SEARCH('F-COMPRA'!$F$30,Tabla11[[#This Row],[Cuenta]],1))</f>
        <v>1</v>
      </c>
      <c r="L609" t="b">
        <f>+ISNUMBER(SEARCH('F-COMPRA'!$F$31,Tabla11[[#This Row],[Cuenta]],1))</f>
        <v>1</v>
      </c>
      <c r="M609" t="b">
        <f>+ISNUMBER(SEARCH('F-COMPRA'!$G$25,Tabla11[[#This Row],[Cuenta]],1))</f>
        <v>0</v>
      </c>
      <c r="N609" t="b">
        <f>+ISNUMBER(SEARCH(#REF!,Tabla11[[#This Row],[Cuenta]],1))</f>
        <v>0</v>
      </c>
      <c r="O609" t="b">
        <f>+ISNUMBER(SEARCH(#REF!,Tabla11[[#This Row],[Cuenta]],1))</f>
        <v>0</v>
      </c>
      <c r="P609" t="b">
        <f>+ISNUMBER(SEARCH('F-COMPRA'!$F$32,Tabla11[[#This Row],[Cuenta]],1))</f>
        <v>1</v>
      </c>
      <c r="Q609" t="b">
        <f>+ISNUMBER(SEARCH('F-COMPRA'!$F$33,Tabla11[[#This Row],[Cuenta]],1))</f>
        <v>1</v>
      </c>
      <c r="R609" t="b">
        <f>+ISNUMBER(SEARCH('F-COMPRA'!$F$34,Tabla11[[#This Row],[Cuenta]],1))</f>
        <v>1</v>
      </c>
      <c r="S609" t="b">
        <f>+ISNUMBER(SEARCH('F-COMPRA'!$F$35,Tabla11[[#This Row],[Cuenta]],1))</f>
        <v>1</v>
      </c>
      <c r="T609" t="b">
        <f>+ISNUMBER(SEARCH('F-COMPRA'!$F$36,Tabla11[[#This Row],[Cuenta]],1))</f>
        <v>1</v>
      </c>
      <c r="U609" t="b">
        <f>+ISNUMBER(SEARCH('F-COMPRA'!$F$37,Tabla11[[#This Row],[Cuenta]],1))</f>
        <v>1</v>
      </c>
      <c r="V609" t="b">
        <f>+ISNUMBER(SEARCH(#REF!,Tabla11[[#This Row],[Cuenta]],1))</f>
        <v>0</v>
      </c>
      <c r="W609" t="b">
        <f>+ISNUMBER(SEARCH('F-COMPRA'!#REF!,Tabla11[[#This Row],[Cuenta]],1))</f>
        <v>0</v>
      </c>
      <c r="X609" t="b">
        <f>+ISNUMBER(SEARCH('F-COMPRA'!#REF!,Tabla11[[#This Row],[Cuenta]],1))</f>
        <v>0</v>
      </c>
      <c r="Y609" t="b">
        <f>+ISNUMBER(SEARCH('F-COMPRA'!#REF!,Tabla11[[#This Row],[Cuenta]],1))</f>
        <v>0</v>
      </c>
      <c r="Z609" t="b">
        <f>+ISNUMBER(SEARCH('F-COMPRA'!#REF!,Tabla11[[#This Row],[Cuenta]],1))</f>
        <v>0</v>
      </c>
      <c r="AA609" t="b">
        <f>+ISNUMBER(SEARCH('F-COMPRA'!#REF!,Tabla11[[#This Row],[Cuenta]],1))</f>
        <v>0</v>
      </c>
      <c r="AB609" t="b">
        <f>+ISNUMBER(SEARCH('F-COMPRA'!#REF!,Tabla11[[#This Row],[Cuenta]],1))</f>
        <v>0</v>
      </c>
      <c r="AC609" t="b">
        <f>+ISNUMBER(SEARCH('F-COMPRA'!#REF!,Tabla11[[#This Row],[Cuenta]],1))</f>
        <v>0</v>
      </c>
      <c r="AD609" t="b">
        <f>+ISNUMBER(SEARCH('F-COMPRA'!#REF!,Tabla11[[#This Row],[Cuenta]],1))</f>
        <v>0</v>
      </c>
      <c r="AE609" t="b">
        <f>+ISNUMBER(SEARCH('F-COMPRA'!#REF!,Tabla11[[#This Row],[Cuenta]],1))</f>
        <v>0</v>
      </c>
      <c r="AF609" t="b">
        <f>+ISNUMBER(SEARCH('F-VTA'!$G$23,Tabla11[[#This Row],[Cuenta]],1))</f>
        <v>0</v>
      </c>
      <c r="AG609" t="b">
        <f>+ISNUMBER(SEARCH('F-VTA'!$G$24,Tabla11[[#This Row],[Cuenta]],1))</f>
        <v>0</v>
      </c>
      <c r="AH609" t="b">
        <f>+ISNUMBER(SEARCH('F-VTA'!$G$25,Tabla11[[#This Row],[Cuenta]],1))</f>
        <v>0</v>
      </c>
      <c r="AI609" t="b">
        <f>+ISNUMBER(SEARCH('F-VTA'!$F$28,Tabla11[[#This Row],[Cuenta]],1))</f>
        <v>1</v>
      </c>
      <c r="AJ609" t="b">
        <f>+ISNUMBER(SEARCH('F-VTA'!$F$29,Tabla11[[#This Row],[Cuenta]],1))</f>
        <v>1</v>
      </c>
      <c r="AK609" t="b">
        <f>+ISNUMBER(SEARCH('F-VTA'!$F$30,Tabla11[[#This Row],[Cuenta]],1))</f>
        <v>1</v>
      </c>
      <c r="AL609" t="b">
        <f>+ISNUMBER(SEARCH('F-VTA'!$F$31,Tabla11[[#This Row],[Cuenta]],1))</f>
        <v>1</v>
      </c>
      <c r="AM609" t="b">
        <f>+ISNUMBER(SEARCH('F-VTA'!$F$32,Tabla11[[#This Row],[Cuenta]],1))</f>
        <v>1</v>
      </c>
      <c r="AN609" t="b">
        <f>+ISNUMBER(SEARCH('F-VTA'!$F$33,Tabla11[[#This Row],[Cuenta]],1))</f>
        <v>1</v>
      </c>
      <c r="AO609" t="b">
        <f>+ISNUMBER(SEARCH('F-VTA'!$F$34,Tabla11[[#This Row],[Cuenta]],1))</f>
        <v>1</v>
      </c>
      <c r="AP609" t="b">
        <f>+ISNUMBER(SEARCH('F-VTA'!$F$35,Tabla11[[#This Row],[Cuenta]],1))</f>
        <v>1</v>
      </c>
      <c r="AQ609" t="b">
        <f>+ISNUMBER(SEARCH('F-VTA'!$F$36,Tabla11[[#This Row],[Cuenta]],1))</f>
        <v>1</v>
      </c>
      <c r="AR609" t="b">
        <f>+ISNUMBER(SEARCH(#REF!,Tabla11[[#This Row],[Cuenta]],1))</f>
        <v>0</v>
      </c>
      <c r="AS609" t="b">
        <f>+ISNUMBER(SEARCH(#REF!,Tabla11[[#This Row],[Cuenta]],1))</f>
        <v>0</v>
      </c>
      <c r="AT609" t="b">
        <f>+ISNUMBER(SEARCH(#REF!,Tabla11[[#This Row],[Cuenta]],1))</f>
        <v>0</v>
      </c>
      <c r="AU609" t="b">
        <f>+ISNUMBER(SEARCH('Conc. Ban.1'!$I$9,Tabla11[[#This Row],[Cuenta]],1))</f>
        <v>0</v>
      </c>
      <c r="AV609" t="b">
        <f>+ISNUMBER(SEARCH(CompConta!$F$21,Tabla11[[#This Row],[Cuenta]],1))</f>
        <v>1</v>
      </c>
      <c r="AW609" t="b">
        <f>+ISNUMBER(SEARCH(CompConta!$F$22,Tabla11[[#This Row],[Cuenta]],1))</f>
        <v>1</v>
      </c>
      <c r="AX609" t="b">
        <f>+ISNUMBER(SEARCH(CompConta!$F$23,Tabla11[[#This Row],[Cuenta]],1))</f>
        <v>1</v>
      </c>
      <c r="AY609" t="b">
        <f>+ISNUMBER(SEARCH(CompConta!$F$24,Tabla11[[#This Row],[Cuenta]],1))</f>
        <v>1</v>
      </c>
      <c r="AZ609" t="b">
        <f>+ISNUMBER(SEARCH(CompConta!$F$25,Tabla11[[#This Row],[Cuenta]],1))</f>
        <v>1</v>
      </c>
      <c r="BA609" t="b">
        <f>+ISNUMBER(SEARCH(CompConta!$F$26,Tabla11[[#This Row],[Cuenta]],1))</f>
        <v>1</v>
      </c>
      <c r="BB609" t="b">
        <f>+ISNUMBER(SEARCH(CompConta!$F$27,Tabla11[[#This Row],[Cuenta]],1))</f>
        <v>1</v>
      </c>
      <c r="BC609" t="b">
        <f>+ISNUMBER(SEARCH(CompConta!$F$28,Tabla11[[#This Row],[Cuenta]],1))</f>
        <v>1</v>
      </c>
      <c r="BD609" t="b">
        <f>+ISNUMBER(SEARCH(CompConta!$F$29,Tabla11[[#This Row],[Cuenta]],1))</f>
        <v>1</v>
      </c>
      <c r="BE609" t="b">
        <f>+ISNUMBER(SEARCH(CompConta!$F$30,Tabla11[[#This Row],[Cuenta]],1))</f>
        <v>1</v>
      </c>
      <c r="BF609" t="b">
        <f>+ISNUMBER(SEARCH('PAGO Compras'!$E$11,Tabla11[[#This Row],[Cuenta]],1))</f>
        <v>1</v>
      </c>
      <c r="BG609" t="b">
        <f>+ISNUMBER(SEARCH(#REF!,Tabla11[[#This Row],[Cuenta]],1))</f>
        <v>0</v>
      </c>
      <c r="BH609" t="b">
        <f>+ISNUMBER(SEARCH(#REF!,Tabla11[[#This Row],[Cuenta]],1))</f>
        <v>0</v>
      </c>
      <c r="BI609" t="b">
        <f>+ISNUMBER(SEARCH(#REF!,Tabla11[[#This Row],[Cuenta]],1))</f>
        <v>0</v>
      </c>
      <c r="BJ609" t="b">
        <f>+ISNUMBER(SEARCH(#REF!,Tabla11[[#This Row],[Cuenta]],1))</f>
        <v>0</v>
      </c>
      <c r="BS609" t="str">
        <v>281015 Para garantía en la prestación de servicios</v>
      </c>
      <c r="BT609" t="str">
        <v>281015 Para garantía en la prestación de servicios</v>
      </c>
      <c r="BU609" t="str">
        <v>281015 Para garantía en la prestación de servicios</v>
      </c>
      <c r="BV609" t="str">
        <v>281015 Para garantía en la prestación de servicios</v>
      </c>
      <c r="BZ609" t="str">
        <v>281015 Para garantía en la prestación de servicios</v>
      </c>
      <c r="CA609" t="str">
        <v>281015 Para garantía en la prestación de servicios</v>
      </c>
      <c r="CB609" t="str">
        <v>281015 Para garantía en la prestación de servicios</v>
      </c>
      <c r="CC609" t="str">
        <v>281015 Para garantía en la prestación de servicios</v>
      </c>
      <c r="CD609" t="str">
        <v>281015 Para garantía en la prestación de servicios</v>
      </c>
      <c r="CE609" t="str">
        <v>281015 Para garantía en la prestación de servicios</v>
      </c>
      <c r="CS609" s="141" t="str">
        <v>281015 Para garantía en la prestación de servicios</v>
      </c>
      <c r="CT609" s="141" t="str">
        <v>281015 Para garantía en la prestación de servicios</v>
      </c>
      <c r="CU609" s="141" t="str">
        <v>281015 Para garantía en la prestación de servicios</v>
      </c>
      <c r="CV609" s="141" t="str">
        <v>281015 Para garantía en la prestación de servicios</v>
      </c>
      <c r="CW609" s="141" t="str">
        <v>281015 Para garantía en la prestación de servicios</v>
      </c>
      <c r="CX609" s="141" t="str">
        <v>281015 Para garantía en la prestación de servicios</v>
      </c>
      <c r="CY609" s="141" t="str">
        <v>281015 Para garantía en la prestación de servicios</v>
      </c>
      <c r="CZ609" s="141" t="str">
        <v>281015 Para garantía en la prestación de servicios</v>
      </c>
      <c r="DA609" s="141" t="str">
        <v>281015 Para garantía en la prestación de servicios</v>
      </c>
      <c r="DF609" t="str">
        <v>281015 Para garantía en la prestación de servicios</v>
      </c>
      <c r="DG609" t="str">
        <v>281015 Para garantía en la prestación de servicios</v>
      </c>
      <c r="DH609" t="str">
        <v>281015 Para garantía en la prestación de servicios</v>
      </c>
      <c r="DI609" t="str">
        <v>281015 Para garantía en la prestación de servicios</v>
      </c>
      <c r="DJ609" t="str">
        <v>281015 Para garantía en la prestación de servicios</v>
      </c>
      <c r="DK609" t="str">
        <v>281015 Para garantía en la prestación de servicios</v>
      </c>
      <c r="DL609" t="str">
        <v>281015 Para garantía en la prestación de servicios</v>
      </c>
      <c r="DM609" t="str">
        <v>281015 Para garantía en la prestación de servicios</v>
      </c>
      <c r="DN609" t="str">
        <v>281015 Para garantía en la prestación de servicios</v>
      </c>
      <c r="DO609" t="str">
        <v>281015 Para garantía en la prestación de servicios</v>
      </c>
      <c r="DP609" t="str">
        <v>281015 Para garantía en la prestación de servicios</v>
      </c>
    </row>
    <row r="610" spans="4:120" ht="12.75">
      <c r="D610" s="7">
        <v>281020</v>
      </c>
      <c r="E610" s="6" t="s">
        <v>446</v>
      </c>
      <c r="F610" s="5">
        <v>4</v>
      </c>
      <c r="G610" s="34" t="s">
        <v>823</v>
      </c>
      <c r="H610" s="26" t="s">
        <v>765</v>
      </c>
      <c r="I610" t="b">
        <f>+ISNUMBER(SEARCH('F-COMPRA'!$F$28,Tabla11[[#This Row],[Cuenta]],1))</f>
        <v>1</v>
      </c>
      <c r="J610" t="b">
        <f>+ISNUMBER(SEARCH('F-COMPRA'!$F$29,Tabla11[[#This Row],[Cuenta]],1))</f>
        <v>1</v>
      </c>
      <c r="K610" t="b">
        <f>+ISNUMBER(SEARCH('F-COMPRA'!$F$30,Tabla11[[#This Row],[Cuenta]],1))</f>
        <v>1</v>
      </c>
      <c r="L610" t="b">
        <f>+ISNUMBER(SEARCH('F-COMPRA'!$F$31,Tabla11[[#This Row],[Cuenta]],1))</f>
        <v>1</v>
      </c>
      <c r="M610" t="b">
        <f>+ISNUMBER(SEARCH('F-COMPRA'!$G$25,Tabla11[[#This Row],[Cuenta]],1))</f>
        <v>0</v>
      </c>
      <c r="N610" t="b">
        <f>+ISNUMBER(SEARCH(#REF!,Tabla11[[#This Row],[Cuenta]],1))</f>
        <v>0</v>
      </c>
      <c r="O610" t="b">
        <f>+ISNUMBER(SEARCH(#REF!,Tabla11[[#This Row],[Cuenta]],1))</f>
        <v>0</v>
      </c>
      <c r="P610" t="b">
        <f>+ISNUMBER(SEARCH('F-COMPRA'!$F$32,Tabla11[[#This Row],[Cuenta]],1))</f>
        <v>1</v>
      </c>
      <c r="Q610" t="b">
        <f>+ISNUMBER(SEARCH('F-COMPRA'!$F$33,Tabla11[[#This Row],[Cuenta]],1))</f>
        <v>1</v>
      </c>
      <c r="R610" t="b">
        <f>+ISNUMBER(SEARCH('F-COMPRA'!$F$34,Tabla11[[#This Row],[Cuenta]],1))</f>
        <v>1</v>
      </c>
      <c r="S610" t="b">
        <f>+ISNUMBER(SEARCH('F-COMPRA'!$F$35,Tabla11[[#This Row],[Cuenta]],1))</f>
        <v>1</v>
      </c>
      <c r="T610" t="b">
        <f>+ISNUMBER(SEARCH('F-COMPRA'!$F$36,Tabla11[[#This Row],[Cuenta]],1))</f>
        <v>1</v>
      </c>
      <c r="U610" t="b">
        <f>+ISNUMBER(SEARCH('F-COMPRA'!$F$37,Tabla11[[#This Row],[Cuenta]],1))</f>
        <v>1</v>
      </c>
      <c r="V610" t="b">
        <f>+ISNUMBER(SEARCH(#REF!,Tabla11[[#This Row],[Cuenta]],1))</f>
        <v>0</v>
      </c>
      <c r="W610" t="b">
        <f>+ISNUMBER(SEARCH('F-COMPRA'!#REF!,Tabla11[[#This Row],[Cuenta]],1))</f>
        <v>0</v>
      </c>
      <c r="X610" t="b">
        <f>+ISNUMBER(SEARCH('F-COMPRA'!#REF!,Tabla11[[#This Row],[Cuenta]],1))</f>
        <v>0</v>
      </c>
      <c r="Y610" t="b">
        <f>+ISNUMBER(SEARCH('F-COMPRA'!#REF!,Tabla11[[#This Row],[Cuenta]],1))</f>
        <v>0</v>
      </c>
      <c r="Z610" t="b">
        <f>+ISNUMBER(SEARCH('F-COMPRA'!#REF!,Tabla11[[#This Row],[Cuenta]],1))</f>
        <v>0</v>
      </c>
      <c r="AA610" t="b">
        <f>+ISNUMBER(SEARCH('F-COMPRA'!#REF!,Tabla11[[#This Row],[Cuenta]],1))</f>
        <v>0</v>
      </c>
      <c r="AB610" t="b">
        <f>+ISNUMBER(SEARCH('F-COMPRA'!#REF!,Tabla11[[#This Row],[Cuenta]],1))</f>
        <v>0</v>
      </c>
      <c r="AC610" t="b">
        <f>+ISNUMBER(SEARCH('F-COMPRA'!#REF!,Tabla11[[#This Row],[Cuenta]],1))</f>
        <v>0</v>
      </c>
      <c r="AD610" t="b">
        <f>+ISNUMBER(SEARCH('F-COMPRA'!#REF!,Tabla11[[#This Row],[Cuenta]],1))</f>
        <v>0</v>
      </c>
      <c r="AE610" t="b">
        <f>+ISNUMBER(SEARCH('F-COMPRA'!#REF!,Tabla11[[#This Row],[Cuenta]],1))</f>
        <v>0</v>
      </c>
      <c r="AF610" t="b">
        <f>+ISNUMBER(SEARCH('F-VTA'!$G$23,Tabla11[[#This Row],[Cuenta]],1))</f>
        <v>0</v>
      </c>
      <c r="AG610" t="b">
        <f>+ISNUMBER(SEARCH('F-VTA'!$G$24,Tabla11[[#This Row],[Cuenta]],1))</f>
        <v>0</v>
      </c>
      <c r="AH610" t="b">
        <f>+ISNUMBER(SEARCH('F-VTA'!$G$25,Tabla11[[#This Row],[Cuenta]],1))</f>
        <v>0</v>
      </c>
      <c r="AI610" t="b">
        <f>+ISNUMBER(SEARCH('F-VTA'!$F$28,Tabla11[[#This Row],[Cuenta]],1))</f>
        <v>1</v>
      </c>
      <c r="AJ610" t="b">
        <f>+ISNUMBER(SEARCH('F-VTA'!$F$29,Tabla11[[#This Row],[Cuenta]],1))</f>
        <v>1</v>
      </c>
      <c r="AK610" t="b">
        <f>+ISNUMBER(SEARCH('F-VTA'!$F$30,Tabla11[[#This Row],[Cuenta]],1))</f>
        <v>1</v>
      </c>
      <c r="AL610" t="b">
        <f>+ISNUMBER(SEARCH('F-VTA'!$F$31,Tabla11[[#This Row],[Cuenta]],1))</f>
        <v>1</v>
      </c>
      <c r="AM610" t="b">
        <f>+ISNUMBER(SEARCH('F-VTA'!$F$32,Tabla11[[#This Row],[Cuenta]],1))</f>
        <v>1</v>
      </c>
      <c r="AN610" t="b">
        <f>+ISNUMBER(SEARCH('F-VTA'!$F$33,Tabla11[[#This Row],[Cuenta]],1))</f>
        <v>1</v>
      </c>
      <c r="AO610" t="b">
        <f>+ISNUMBER(SEARCH('F-VTA'!$F$34,Tabla11[[#This Row],[Cuenta]],1))</f>
        <v>1</v>
      </c>
      <c r="AP610" t="b">
        <f>+ISNUMBER(SEARCH('F-VTA'!$F$35,Tabla11[[#This Row],[Cuenta]],1))</f>
        <v>1</v>
      </c>
      <c r="AQ610" t="b">
        <f>+ISNUMBER(SEARCH('F-VTA'!$F$36,Tabla11[[#This Row],[Cuenta]],1))</f>
        <v>1</v>
      </c>
      <c r="AR610" t="b">
        <f>+ISNUMBER(SEARCH(#REF!,Tabla11[[#This Row],[Cuenta]],1))</f>
        <v>0</v>
      </c>
      <c r="AS610" t="b">
        <f>+ISNUMBER(SEARCH(#REF!,Tabla11[[#This Row],[Cuenta]],1))</f>
        <v>0</v>
      </c>
      <c r="AT610" t="b">
        <f>+ISNUMBER(SEARCH(#REF!,Tabla11[[#This Row],[Cuenta]],1))</f>
        <v>0</v>
      </c>
      <c r="AU610" t="b">
        <f>+ISNUMBER(SEARCH('Conc. Ban.1'!$I$9,Tabla11[[#This Row],[Cuenta]],1))</f>
        <v>0</v>
      </c>
      <c r="AV610" t="b">
        <f>+ISNUMBER(SEARCH(CompConta!$F$21,Tabla11[[#This Row],[Cuenta]],1))</f>
        <v>1</v>
      </c>
      <c r="AW610" t="b">
        <f>+ISNUMBER(SEARCH(CompConta!$F$22,Tabla11[[#This Row],[Cuenta]],1))</f>
        <v>1</v>
      </c>
      <c r="AX610" t="b">
        <f>+ISNUMBER(SEARCH(CompConta!$F$23,Tabla11[[#This Row],[Cuenta]],1))</f>
        <v>1</v>
      </c>
      <c r="AY610" t="b">
        <f>+ISNUMBER(SEARCH(CompConta!$F$24,Tabla11[[#This Row],[Cuenta]],1))</f>
        <v>1</v>
      </c>
      <c r="AZ610" t="b">
        <f>+ISNUMBER(SEARCH(CompConta!$F$25,Tabla11[[#This Row],[Cuenta]],1))</f>
        <v>1</v>
      </c>
      <c r="BA610" t="b">
        <f>+ISNUMBER(SEARCH(CompConta!$F$26,Tabla11[[#This Row],[Cuenta]],1))</f>
        <v>1</v>
      </c>
      <c r="BB610" t="b">
        <f>+ISNUMBER(SEARCH(CompConta!$F$27,Tabla11[[#This Row],[Cuenta]],1))</f>
        <v>1</v>
      </c>
      <c r="BC610" t="b">
        <f>+ISNUMBER(SEARCH(CompConta!$F$28,Tabla11[[#This Row],[Cuenta]],1))</f>
        <v>1</v>
      </c>
      <c r="BD610" t="b">
        <f>+ISNUMBER(SEARCH(CompConta!$F$29,Tabla11[[#This Row],[Cuenta]],1))</f>
        <v>1</v>
      </c>
      <c r="BE610" t="b">
        <f>+ISNUMBER(SEARCH(CompConta!$F$30,Tabla11[[#This Row],[Cuenta]],1))</f>
        <v>1</v>
      </c>
      <c r="BF610" t="b">
        <f>+ISNUMBER(SEARCH('PAGO Compras'!$E$11,Tabla11[[#This Row],[Cuenta]],1))</f>
        <v>1</v>
      </c>
      <c r="BG610" t="b">
        <f>+ISNUMBER(SEARCH(#REF!,Tabla11[[#This Row],[Cuenta]],1))</f>
        <v>0</v>
      </c>
      <c r="BH610" t="b">
        <f>+ISNUMBER(SEARCH(#REF!,Tabla11[[#This Row],[Cuenta]],1))</f>
        <v>0</v>
      </c>
      <c r="BI610" t="b">
        <f>+ISNUMBER(SEARCH(#REF!,Tabla11[[#This Row],[Cuenta]],1))</f>
        <v>0</v>
      </c>
      <c r="BJ610" t="b">
        <f>+ISNUMBER(SEARCH(#REF!,Tabla11[[#This Row],[Cuenta]],1))</f>
        <v>0</v>
      </c>
      <c r="BS610" t="str">
        <v>281020 Para garantía de contratos</v>
      </c>
      <c r="BT610" t="str">
        <v>281020 Para garantía de contratos</v>
      </c>
      <c r="BU610" t="str">
        <v>281020 Para garantía de contratos</v>
      </c>
      <c r="BV610" t="str">
        <v>281020 Para garantía de contratos</v>
      </c>
      <c r="BZ610" t="str">
        <v>281020 Para garantía de contratos</v>
      </c>
      <c r="CA610" t="str">
        <v>281020 Para garantía de contratos</v>
      </c>
      <c r="CB610" t="str">
        <v>281020 Para garantía de contratos</v>
      </c>
      <c r="CC610" t="str">
        <v>281020 Para garantía de contratos</v>
      </c>
      <c r="CD610" t="str">
        <v>281020 Para garantía de contratos</v>
      </c>
      <c r="CE610" t="str">
        <v>281020 Para garantía de contratos</v>
      </c>
      <c r="CS610" s="141" t="str">
        <v>281020 Para garantía de contratos</v>
      </c>
      <c r="CT610" s="141" t="str">
        <v>281020 Para garantía de contratos</v>
      </c>
      <c r="CU610" s="141" t="str">
        <v>281020 Para garantía de contratos</v>
      </c>
      <c r="CV610" s="141" t="str">
        <v>281020 Para garantía de contratos</v>
      </c>
      <c r="CW610" s="141" t="str">
        <v>281020 Para garantía de contratos</v>
      </c>
      <c r="CX610" s="141" t="str">
        <v>281020 Para garantía de contratos</v>
      </c>
      <c r="CY610" s="141" t="str">
        <v>281020 Para garantía de contratos</v>
      </c>
      <c r="CZ610" s="141" t="str">
        <v>281020 Para garantía de contratos</v>
      </c>
      <c r="DA610" s="141" t="str">
        <v>281020 Para garantía de contratos</v>
      </c>
      <c r="DF610" t="str">
        <v>281020 Para garantía de contratos</v>
      </c>
      <c r="DG610" t="str">
        <v>281020 Para garantía de contratos</v>
      </c>
      <c r="DH610" t="str">
        <v>281020 Para garantía de contratos</v>
      </c>
      <c r="DI610" t="str">
        <v>281020 Para garantía de contratos</v>
      </c>
      <c r="DJ610" t="str">
        <v>281020 Para garantía de contratos</v>
      </c>
      <c r="DK610" t="str">
        <v>281020 Para garantía de contratos</v>
      </c>
      <c r="DL610" t="str">
        <v>281020 Para garantía de contratos</v>
      </c>
      <c r="DM610" t="str">
        <v>281020 Para garantía de contratos</v>
      </c>
      <c r="DN610" t="str">
        <v>281020 Para garantía de contratos</v>
      </c>
      <c r="DO610" t="str">
        <v>281020 Para garantía de contratos</v>
      </c>
      <c r="DP610" t="str">
        <v>281020 Para garantía de contratos</v>
      </c>
    </row>
    <row r="611" spans="4:120" ht="12.75">
      <c r="D611" s="7">
        <v>281025</v>
      </c>
      <c r="E611" s="6" t="s">
        <v>447</v>
      </c>
      <c r="F611" s="5">
        <v>4</v>
      </c>
      <c r="G611" s="34" t="s">
        <v>823</v>
      </c>
      <c r="H611" s="26" t="s">
        <v>765</v>
      </c>
      <c r="I611" t="b">
        <f>+ISNUMBER(SEARCH('F-COMPRA'!$F$28,Tabla11[[#This Row],[Cuenta]],1))</f>
        <v>1</v>
      </c>
      <c r="J611" t="b">
        <f>+ISNUMBER(SEARCH('F-COMPRA'!$F$29,Tabla11[[#This Row],[Cuenta]],1))</f>
        <v>1</v>
      </c>
      <c r="K611" t="b">
        <f>+ISNUMBER(SEARCH('F-COMPRA'!$F$30,Tabla11[[#This Row],[Cuenta]],1))</f>
        <v>1</v>
      </c>
      <c r="L611" t="b">
        <f>+ISNUMBER(SEARCH('F-COMPRA'!$F$31,Tabla11[[#This Row],[Cuenta]],1))</f>
        <v>1</v>
      </c>
      <c r="M611" t="b">
        <f>+ISNUMBER(SEARCH('F-COMPRA'!$G$25,Tabla11[[#This Row],[Cuenta]],1))</f>
        <v>0</v>
      </c>
      <c r="N611" t="b">
        <f>+ISNUMBER(SEARCH(#REF!,Tabla11[[#This Row],[Cuenta]],1))</f>
        <v>0</v>
      </c>
      <c r="O611" t="b">
        <f>+ISNUMBER(SEARCH(#REF!,Tabla11[[#This Row],[Cuenta]],1))</f>
        <v>0</v>
      </c>
      <c r="P611" t="b">
        <f>+ISNUMBER(SEARCH('F-COMPRA'!$F$32,Tabla11[[#This Row],[Cuenta]],1))</f>
        <v>1</v>
      </c>
      <c r="Q611" t="b">
        <f>+ISNUMBER(SEARCH('F-COMPRA'!$F$33,Tabla11[[#This Row],[Cuenta]],1))</f>
        <v>1</v>
      </c>
      <c r="R611" t="b">
        <f>+ISNUMBER(SEARCH('F-COMPRA'!$F$34,Tabla11[[#This Row],[Cuenta]],1))</f>
        <v>1</v>
      </c>
      <c r="S611" t="b">
        <f>+ISNUMBER(SEARCH('F-COMPRA'!$F$35,Tabla11[[#This Row],[Cuenta]],1))</f>
        <v>1</v>
      </c>
      <c r="T611" t="b">
        <f>+ISNUMBER(SEARCH('F-COMPRA'!$F$36,Tabla11[[#This Row],[Cuenta]],1))</f>
        <v>1</v>
      </c>
      <c r="U611" t="b">
        <f>+ISNUMBER(SEARCH('F-COMPRA'!$F$37,Tabla11[[#This Row],[Cuenta]],1))</f>
        <v>1</v>
      </c>
      <c r="V611" t="b">
        <f>+ISNUMBER(SEARCH(#REF!,Tabla11[[#This Row],[Cuenta]],1))</f>
        <v>0</v>
      </c>
      <c r="W611" t="b">
        <f>+ISNUMBER(SEARCH('F-COMPRA'!#REF!,Tabla11[[#This Row],[Cuenta]],1))</f>
        <v>0</v>
      </c>
      <c r="X611" t="b">
        <f>+ISNUMBER(SEARCH('F-COMPRA'!#REF!,Tabla11[[#This Row],[Cuenta]],1))</f>
        <v>0</v>
      </c>
      <c r="Y611" t="b">
        <f>+ISNUMBER(SEARCH('F-COMPRA'!#REF!,Tabla11[[#This Row],[Cuenta]],1))</f>
        <v>0</v>
      </c>
      <c r="Z611" t="b">
        <f>+ISNUMBER(SEARCH('F-COMPRA'!#REF!,Tabla11[[#This Row],[Cuenta]],1))</f>
        <v>0</v>
      </c>
      <c r="AA611" t="b">
        <f>+ISNUMBER(SEARCH('F-COMPRA'!#REF!,Tabla11[[#This Row],[Cuenta]],1))</f>
        <v>0</v>
      </c>
      <c r="AB611" t="b">
        <f>+ISNUMBER(SEARCH('F-COMPRA'!#REF!,Tabla11[[#This Row],[Cuenta]],1))</f>
        <v>0</v>
      </c>
      <c r="AC611" t="b">
        <f>+ISNUMBER(SEARCH('F-COMPRA'!#REF!,Tabla11[[#This Row],[Cuenta]],1))</f>
        <v>0</v>
      </c>
      <c r="AD611" t="b">
        <f>+ISNUMBER(SEARCH('F-COMPRA'!#REF!,Tabla11[[#This Row],[Cuenta]],1))</f>
        <v>0</v>
      </c>
      <c r="AE611" t="b">
        <f>+ISNUMBER(SEARCH('F-COMPRA'!#REF!,Tabla11[[#This Row],[Cuenta]],1))</f>
        <v>0</v>
      </c>
      <c r="AF611" t="b">
        <f>+ISNUMBER(SEARCH('F-VTA'!$G$23,Tabla11[[#This Row],[Cuenta]],1))</f>
        <v>0</v>
      </c>
      <c r="AG611" t="b">
        <f>+ISNUMBER(SEARCH('F-VTA'!$G$24,Tabla11[[#This Row],[Cuenta]],1))</f>
        <v>0</v>
      </c>
      <c r="AH611" t="b">
        <f>+ISNUMBER(SEARCH('F-VTA'!$G$25,Tabla11[[#This Row],[Cuenta]],1))</f>
        <v>0</v>
      </c>
      <c r="AI611" t="b">
        <f>+ISNUMBER(SEARCH('F-VTA'!$F$28,Tabla11[[#This Row],[Cuenta]],1))</f>
        <v>1</v>
      </c>
      <c r="AJ611" t="b">
        <f>+ISNUMBER(SEARCH('F-VTA'!$F$29,Tabla11[[#This Row],[Cuenta]],1))</f>
        <v>1</v>
      </c>
      <c r="AK611" t="b">
        <f>+ISNUMBER(SEARCH('F-VTA'!$F$30,Tabla11[[#This Row],[Cuenta]],1))</f>
        <v>1</v>
      </c>
      <c r="AL611" t="b">
        <f>+ISNUMBER(SEARCH('F-VTA'!$F$31,Tabla11[[#This Row],[Cuenta]],1))</f>
        <v>1</v>
      </c>
      <c r="AM611" t="b">
        <f>+ISNUMBER(SEARCH('F-VTA'!$F$32,Tabla11[[#This Row],[Cuenta]],1))</f>
        <v>1</v>
      </c>
      <c r="AN611" t="b">
        <f>+ISNUMBER(SEARCH('F-VTA'!$F$33,Tabla11[[#This Row],[Cuenta]],1))</f>
        <v>1</v>
      </c>
      <c r="AO611" t="b">
        <f>+ISNUMBER(SEARCH('F-VTA'!$F$34,Tabla11[[#This Row],[Cuenta]],1))</f>
        <v>1</v>
      </c>
      <c r="AP611" t="b">
        <f>+ISNUMBER(SEARCH('F-VTA'!$F$35,Tabla11[[#This Row],[Cuenta]],1))</f>
        <v>1</v>
      </c>
      <c r="AQ611" t="b">
        <f>+ISNUMBER(SEARCH('F-VTA'!$F$36,Tabla11[[#This Row],[Cuenta]],1))</f>
        <v>1</v>
      </c>
      <c r="AR611" t="b">
        <f>+ISNUMBER(SEARCH(#REF!,Tabla11[[#This Row],[Cuenta]],1))</f>
        <v>0</v>
      </c>
      <c r="AS611" t="b">
        <f>+ISNUMBER(SEARCH(#REF!,Tabla11[[#This Row],[Cuenta]],1))</f>
        <v>0</v>
      </c>
      <c r="AT611" t="b">
        <f>+ISNUMBER(SEARCH(#REF!,Tabla11[[#This Row],[Cuenta]],1))</f>
        <v>0</v>
      </c>
      <c r="AU611" t="b">
        <f>+ISNUMBER(SEARCH('Conc. Ban.1'!$I$9,Tabla11[[#This Row],[Cuenta]],1))</f>
        <v>0</v>
      </c>
      <c r="AV611" t="b">
        <f>+ISNUMBER(SEARCH(CompConta!$F$21,Tabla11[[#This Row],[Cuenta]],1))</f>
        <v>1</v>
      </c>
      <c r="AW611" t="b">
        <f>+ISNUMBER(SEARCH(CompConta!$F$22,Tabla11[[#This Row],[Cuenta]],1))</f>
        <v>1</v>
      </c>
      <c r="AX611" t="b">
        <f>+ISNUMBER(SEARCH(CompConta!$F$23,Tabla11[[#This Row],[Cuenta]],1))</f>
        <v>1</v>
      </c>
      <c r="AY611" t="b">
        <f>+ISNUMBER(SEARCH(CompConta!$F$24,Tabla11[[#This Row],[Cuenta]],1))</f>
        <v>1</v>
      </c>
      <c r="AZ611" t="b">
        <f>+ISNUMBER(SEARCH(CompConta!$F$25,Tabla11[[#This Row],[Cuenta]],1))</f>
        <v>1</v>
      </c>
      <c r="BA611" t="b">
        <f>+ISNUMBER(SEARCH(CompConta!$F$26,Tabla11[[#This Row],[Cuenta]],1))</f>
        <v>1</v>
      </c>
      <c r="BB611" t="b">
        <f>+ISNUMBER(SEARCH(CompConta!$F$27,Tabla11[[#This Row],[Cuenta]],1))</f>
        <v>1</v>
      </c>
      <c r="BC611" t="b">
        <f>+ISNUMBER(SEARCH(CompConta!$F$28,Tabla11[[#This Row],[Cuenta]],1))</f>
        <v>1</v>
      </c>
      <c r="BD611" t="b">
        <f>+ISNUMBER(SEARCH(CompConta!$F$29,Tabla11[[#This Row],[Cuenta]],1))</f>
        <v>1</v>
      </c>
      <c r="BE611" t="b">
        <f>+ISNUMBER(SEARCH(CompConta!$F$30,Tabla11[[#This Row],[Cuenta]],1))</f>
        <v>1</v>
      </c>
      <c r="BF611" t="b">
        <f>+ISNUMBER(SEARCH('PAGO Compras'!$E$11,Tabla11[[#This Row],[Cuenta]],1))</f>
        <v>1</v>
      </c>
      <c r="BG611" t="b">
        <f>+ISNUMBER(SEARCH(#REF!,Tabla11[[#This Row],[Cuenta]],1))</f>
        <v>0</v>
      </c>
      <c r="BH611" t="b">
        <f>+ISNUMBER(SEARCH(#REF!,Tabla11[[#This Row],[Cuenta]],1))</f>
        <v>0</v>
      </c>
      <c r="BI611" t="b">
        <f>+ISNUMBER(SEARCH(#REF!,Tabla11[[#This Row],[Cuenta]],1))</f>
        <v>0</v>
      </c>
      <c r="BJ611" t="b">
        <f>+ISNUMBER(SEARCH(#REF!,Tabla11[[#This Row],[Cuenta]],1))</f>
        <v>0</v>
      </c>
      <c r="BS611" t="str">
        <v>281025 De licitaciones</v>
      </c>
      <c r="BT611" t="str">
        <v>281025 De licitaciones</v>
      </c>
      <c r="BU611" t="str">
        <v>281025 De licitaciones</v>
      </c>
      <c r="BV611" t="str">
        <v>281025 De licitaciones</v>
      </c>
      <c r="BZ611" t="str">
        <v>281025 De licitaciones</v>
      </c>
      <c r="CA611" t="str">
        <v>281025 De licitaciones</v>
      </c>
      <c r="CB611" t="str">
        <v>281025 De licitaciones</v>
      </c>
      <c r="CC611" t="str">
        <v>281025 De licitaciones</v>
      </c>
      <c r="CD611" t="str">
        <v>281025 De licitaciones</v>
      </c>
      <c r="CE611" t="str">
        <v>281025 De licitaciones</v>
      </c>
      <c r="CS611" s="141" t="str">
        <v>281025 De licitaciones</v>
      </c>
      <c r="CT611" s="141" t="str">
        <v>281025 De licitaciones</v>
      </c>
      <c r="CU611" s="141" t="str">
        <v>281025 De licitaciones</v>
      </c>
      <c r="CV611" s="141" t="str">
        <v>281025 De licitaciones</v>
      </c>
      <c r="CW611" s="141" t="str">
        <v>281025 De licitaciones</v>
      </c>
      <c r="CX611" s="141" t="str">
        <v>281025 De licitaciones</v>
      </c>
      <c r="CY611" s="141" t="str">
        <v>281025 De licitaciones</v>
      </c>
      <c r="CZ611" s="141" t="str">
        <v>281025 De licitaciones</v>
      </c>
      <c r="DA611" s="141" t="str">
        <v>281025 De licitaciones</v>
      </c>
      <c r="DF611" t="str">
        <v>281025 De licitaciones</v>
      </c>
      <c r="DG611" t="str">
        <v>281025 De licitaciones</v>
      </c>
      <c r="DH611" t="str">
        <v>281025 De licitaciones</v>
      </c>
      <c r="DI611" t="str">
        <v>281025 De licitaciones</v>
      </c>
      <c r="DJ611" t="str">
        <v>281025 De licitaciones</v>
      </c>
      <c r="DK611" t="str">
        <v>281025 De licitaciones</v>
      </c>
      <c r="DL611" t="str">
        <v>281025 De licitaciones</v>
      </c>
      <c r="DM611" t="str">
        <v>281025 De licitaciones</v>
      </c>
      <c r="DN611" t="str">
        <v>281025 De licitaciones</v>
      </c>
      <c r="DO611" t="str">
        <v>281025 De licitaciones</v>
      </c>
      <c r="DP611" t="str">
        <v>281025 De licitaciones</v>
      </c>
    </row>
    <row r="612" spans="4:120" ht="12.75">
      <c r="D612" s="7">
        <v>281030</v>
      </c>
      <c r="E612" s="6" t="s">
        <v>448</v>
      </c>
      <c r="F612" s="5">
        <v>4</v>
      </c>
      <c r="G612" s="34" t="s">
        <v>823</v>
      </c>
      <c r="H612" s="26" t="s">
        <v>765</v>
      </c>
      <c r="I612" t="b">
        <f>+ISNUMBER(SEARCH('F-COMPRA'!$F$28,Tabla11[[#This Row],[Cuenta]],1))</f>
        <v>1</v>
      </c>
      <c r="J612" t="b">
        <f>+ISNUMBER(SEARCH('F-COMPRA'!$F$29,Tabla11[[#This Row],[Cuenta]],1))</f>
        <v>1</v>
      </c>
      <c r="K612" t="b">
        <f>+ISNUMBER(SEARCH('F-COMPRA'!$F$30,Tabla11[[#This Row],[Cuenta]],1))</f>
        <v>1</v>
      </c>
      <c r="L612" t="b">
        <f>+ISNUMBER(SEARCH('F-COMPRA'!$F$31,Tabla11[[#This Row],[Cuenta]],1))</f>
        <v>1</v>
      </c>
      <c r="M612" t="b">
        <f>+ISNUMBER(SEARCH('F-COMPRA'!$G$25,Tabla11[[#This Row],[Cuenta]],1))</f>
        <v>0</v>
      </c>
      <c r="N612" t="b">
        <f>+ISNUMBER(SEARCH(#REF!,Tabla11[[#This Row],[Cuenta]],1))</f>
        <v>0</v>
      </c>
      <c r="O612" t="b">
        <f>+ISNUMBER(SEARCH(#REF!,Tabla11[[#This Row],[Cuenta]],1))</f>
        <v>0</v>
      </c>
      <c r="P612" t="b">
        <f>+ISNUMBER(SEARCH('F-COMPRA'!$F$32,Tabla11[[#This Row],[Cuenta]],1))</f>
        <v>1</v>
      </c>
      <c r="Q612" t="b">
        <f>+ISNUMBER(SEARCH('F-COMPRA'!$F$33,Tabla11[[#This Row],[Cuenta]],1))</f>
        <v>1</v>
      </c>
      <c r="R612" t="b">
        <f>+ISNUMBER(SEARCH('F-COMPRA'!$F$34,Tabla11[[#This Row],[Cuenta]],1))</f>
        <v>1</v>
      </c>
      <c r="S612" t="b">
        <f>+ISNUMBER(SEARCH('F-COMPRA'!$F$35,Tabla11[[#This Row],[Cuenta]],1))</f>
        <v>1</v>
      </c>
      <c r="T612" t="b">
        <f>+ISNUMBER(SEARCH('F-COMPRA'!$F$36,Tabla11[[#This Row],[Cuenta]],1))</f>
        <v>1</v>
      </c>
      <c r="U612" t="b">
        <f>+ISNUMBER(SEARCH('F-COMPRA'!$F$37,Tabla11[[#This Row],[Cuenta]],1))</f>
        <v>1</v>
      </c>
      <c r="V612" t="b">
        <f>+ISNUMBER(SEARCH(#REF!,Tabla11[[#This Row],[Cuenta]],1))</f>
        <v>0</v>
      </c>
      <c r="W612" t="b">
        <f>+ISNUMBER(SEARCH('F-COMPRA'!#REF!,Tabla11[[#This Row],[Cuenta]],1))</f>
        <v>0</v>
      </c>
      <c r="X612" t="b">
        <f>+ISNUMBER(SEARCH('F-COMPRA'!#REF!,Tabla11[[#This Row],[Cuenta]],1))</f>
        <v>0</v>
      </c>
      <c r="Y612" t="b">
        <f>+ISNUMBER(SEARCH('F-COMPRA'!#REF!,Tabla11[[#This Row],[Cuenta]],1))</f>
        <v>0</v>
      </c>
      <c r="Z612" t="b">
        <f>+ISNUMBER(SEARCH('F-COMPRA'!#REF!,Tabla11[[#This Row],[Cuenta]],1))</f>
        <v>0</v>
      </c>
      <c r="AA612" t="b">
        <f>+ISNUMBER(SEARCH('F-COMPRA'!#REF!,Tabla11[[#This Row],[Cuenta]],1))</f>
        <v>0</v>
      </c>
      <c r="AB612" t="b">
        <f>+ISNUMBER(SEARCH('F-COMPRA'!#REF!,Tabla11[[#This Row],[Cuenta]],1))</f>
        <v>0</v>
      </c>
      <c r="AC612" t="b">
        <f>+ISNUMBER(SEARCH('F-COMPRA'!#REF!,Tabla11[[#This Row],[Cuenta]],1))</f>
        <v>0</v>
      </c>
      <c r="AD612" t="b">
        <f>+ISNUMBER(SEARCH('F-COMPRA'!#REF!,Tabla11[[#This Row],[Cuenta]],1))</f>
        <v>0</v>
      </c>
      <c r="AE612" t="b">
        <f>+ISNUMBER(SEARCH('F-COMPRA'!#REF!,Tabla11[[#This Row],[Cuenta]],1))</f>
        <v>0</v>
      </c>
      <c r="AF612" t="b">
        <f>+ISNUMBER(SEARCH('F-VTA'!$G$23,Tabla11[[#This Row],[Cuenta]],1))</f>
        <v>0</v>
      </c>
      <c r="AG612" t="b">
        <f>+ISNUMBER(SEARCH('F-VTA'!$G$24,Tabla11[[#This Row],[Cuenta]],1))</f>
        <v>0</v>
      </c>
      <c r="AH612" t="b">
        <f>+ISNUMBER(SEARCH('F-VTA'!$G$25,Tabla11[[#This Row],[Cuenta]],1))</f>
        <v>0</v>
      </c>
      <c r="AI612" t="b">
        <f>+ISNUMBER(SEARCH('F-VTA'!$F$28,Tabla11[[#This Row],[Cuenta]],1))</f>
        <v>1</v>
      </c>
      <c r="AJ612" t="b">
        <f>+ISNUMBER(SEARCH('F-VTA'!$F$29,Tabla11[[#This Row],[Cuenta]],1))</f>
        <v>1</v>
      </c>
      <c r="AK612" t="b">
        <f>+ISNUMBER(SEARCH('F-VTA'!$F$30,Tabla11[[#This Row],[Cuenta]],1))</f>
        <v>1</v>
      </c>
      <c r="AL612" t="b">
        <f>+ISNUMBER(SEARCH('F-VTA'!$F$31,Tabla11[[#This Row],[Cuenta]],1))</f>
        <v>1</v>
      </c>
      <c r="AM612" t="b">
        <f>+ISNUMBER(SEARCH('F-VTA'!$F$32,Tabla11[[#This Row],[Cuenta]],1))</f>
        <v>1</v>
      </c>
      <c r="AN612" t="b">
        <f>+ISNUMBER(SEARCH('F-VTA'!$F$33,Tabla11[[#This Row],[Cuenta]],1))</f>
        <v>1</v>
      </c>
      <c r="AO612" t="b">
        <f>+ISNUMBER(SEARCH('F-VTA'!$F$34,Tabla11[[#This Row],[Cuenta]],1))</f>
        <v>1</v>
      </c>
      <c r="AP612" t="b">
        <f>+ISNUMBER(SEARCH('F-VTA'!$F$35,Tabla11[[#This Row],[Cuenta]],1))</f>
        <v>1</v>
      </c>
      <c r="AQ612" t="b">
        <f>+ISNUMBER(SEARCH('F-VTA'!$F$36,Tabla11[[#This Row],[Cuenta]],1))</f>
        <v>1</v>
      </c>
      <c r="AR612" t="b">
        <f>+ISNUMBER(SEARCH(#REF!,Tabla11[[#This Row],[Cuenta]],1))</f>
        <v>0</v>
      </c>
      <c r="AS612" t="b">
        <f>+ISNUMBER(SEARCH(#REF!,Tabla11[[#This Row],[Cuenta]],1))</f>
        <v>0</v>
      </c>
      <c r="AT612" t="b">
        <f>+ISNUMBER(SEARCH(#REF!,Tabla11[[#This Row],[Cuenta]],1))</f>
        <v>0</v>
      </c>
      <c r="AU612" t="b">
        <f>+ISNUMBER(SEARCH('Conc. Ban.1'!$I$9,Tabla11[[#This Row],[Cuenta]],1))</f>
        <v>0</v>
      </c>
      <c r="AV612" t="b">
        <f>+ISNUMBER(SEARCH(CompConta!$F$21,Tabla11[[#This Row],[Cuenta]],1))</f>
        <v>1</v>
      </c>
      <c r="AW612" t="b">
        <f>+ISNUMBER(SEARCH(CompConta!$F$22,Tabla11[[#This Row],[Cuenta]],1))</f>
        <v>1</v>
      </c>
      <c r="AX612" t="b">
        <f>+ISNUMBER(SEARCH(CompConta!$F$23,Tabla11[[#This Row],[Cuenta]],1))</f>
        <v>1</v>
      </c>
      <c r="AY612" t="b">
        <f>+ISNUMBER(SEARCH(CompConta!$F$24,Tabla11[[#This Row],[Cuenta]],1))</f>
        <v>1</v>
      </c>
      <c r="AZ612" t="b">
        <f>+ISNUMBER(SEARCH(CompConta!$F$25,Tabla11[[#This Row],[Cuenta]],1))</f>
        <v>1</v>
      </c>
      <c r="BA612" t="b">
        <f>+ISNUMBER(SEARCH(CompConta!$F$26,Tabla11[[#This Row],[Cuenta]],1))</f>
        <v>1</v>
      </c>
      <c r="BB612" t="b">
        <f>+ISNUMBER(SEARCH(CompConta!$F$27,Tabla11[[#This Row],[Cuenta]],1))</f>
        <v>1</v>
      </c>
      <c r="BC612" t="b">
        <f>+ISNUMBER(SEARCH(CompConta!$F$28,Tabla11[[#This Row],[Cuenta]],1))</f>
        <v>1</v>
      </c>
      <c r="BD612" t="b">
        <f>+ISNUMBER(SEARCH(CompConta!$F$29,Tabla11[[#This Row],[Cuenta]],1))</f>
        <v>1</v>
      </c>
      <c r="BE612" t="b">
        <f>+ISNUMBER(SEARCH(CompConta!$F$30,Tabla11[[#This Row],[Cuenta]],1))</f>
        <v>1</v>
      </c>
      <c r="BF612" t="b">
        <f>+ISNUMBER(SEARCH('PAGO Compras'!$E$11,Tabla11[[#This Row],[Cuenta]],1))</f>
        <v>1</v>
      </c>
      <c r="BG612" t="b">
        <f>+ISNUMBER(SEARCH(#REF!,Tabla11[[#This Row],[Cuenta]],1))</f>
        <v>0</v>
      </c>
      <c r="BH612" t="b">
        <f>+ISNUMBER(SEARCH(#REF!,Tabla11[[#This Row],[Cuenta]],1))</f>
        <v>0</v>
      </c>
      <c r="BI612" t="b">
        <f>+ISNUMBER(SEARCH(#REF!,Tabla11[[#This Row],[Cuenta]],1))</f>
        <v>0</v>
      </c>
      <c r="BJ612" t="b">
        <f>+ISNUMBER(SEARCH(#REF!,Tabla11[[#This Row],[Cuenta]],1))</f>
        <v>0</v>
      </c>
      <c r="BS612" t="str">
        <v>281030 De manejo de bienes</v>
      </c>
      <c r="BT612" t="str">
        <v>281030 De manejo de bienes</v>
      </c>
      <c r="BU612" t="str">
        <v>281030 De manejo de bienes</v>
      </c>
      <c r="BV612" t="str">
        <v>281030 De manejo de bienes</v>
      </c>
      <c r="BZ612" t="str">
        <v>281030 De manejo de bienes</v>
      </c>
      <c r="CA612" t="str">
        <v>281030 De manejo de bienes</v>
      </c>
      <c r="CB612" t="str">
        <v>281030 De manejo de bienes</v>
      </c>
      <c r="CC612" t="str">
        <v>281030 De manejo de bienes</v>
      </c>
      <c r="CD612" t="str">
        <v>281030 De manejo de bienes</v>
      </c>
      <c r="CE612" t="str">
        <v>281030 De manejo de bienes</v>
      </c>
      <c r="CS612" s="141" t="str">
        <v>281030 De manejo de bienes</v>
      </c>
      <c r="CT612" s="141" t="str">
        <v>281030 De manejo de bienes</v>
      </c>
      <c r="CU612" s="141" t="str">
        <v>281030 De manejo de bienes</v>
      </c>
      <c r="CV612" s="141" t="str">
        <v>281030 De manejo de bienes</v>
      </c>
      <c r="CW612" s="141" t="str">
        <v>281030 De manejo de bienes</v>
      </c>
      <c r="CX612" s="141" t="str">
        <v>281030 De manejo de bienes</v>
      </c>
      <c r="CY612" s="141" t="str">
        <v>281030 De manejo de bienes</v>
      </c>
      <c r="CZ612" s="141" t="str">
        <v>281030 De manejo de bienes</v>
      </c>
      <c r="DA612" s="141" t="str">
        <v>281030 De manejo de bienes</v>
      </c>
      <c r="DF612" t="str">
        <v>281030 De manejo de bienes</v>
      </c>
      <c r="DG612" t="str">
        <v>281030 De manejo de bienes</v>
      </c>
      <c r="DH612" t="str">
        <v>281030 De manejo de bienes</v>
      </c>
      <c r="DI612" t="str">
        <v>281030 De manejo de bienes</v>
      </c>
      <c r="DJ612" t="str">
        <v>281030 De manejo de bienes</v>
      </c>
      <c r="DK612" t="str">
        <v>281030 De manejo de bienes</v>
      </c>
      <c r="DL612" t="str">
        <v>281030 De manejo de bienes</v>
      </c>
      <c r="DM612" t="str">
        <v>281030 De manejo de bienes</v>
      </c>
      <c r="DN612" t="str">
        <v>281030 De manejo de bienes</v>
      </c>
      <c r="DO612" t="str">
        <v>281030 De manejo de bienes</v>
      </c>
      <c r="DP612" t="str">
        <v>281030 De manejo de bienes</v>
      </c>
    </row>
    <row r="613" spans="4:120" ht="12.75">
      <c r="D613" s="7">
        <v>281035</v>
      </c>
      <c r="E613" s="6" t="s">
        <v>449</v>
      </c>
      <c r="F613" s="5">
        <v>4</v>
      </c>
      <c r="G613" s="34" t="s">
        <v>823</v>
      </c>
      <c r="H613" s="26" t="s">
        <v>765</v>
      </c>
      <c r="I613" t="b">
        <f>+ISNUMBER(SEARCH('F-COMPRA'!$F$28,Tabla11[[#This Row],[Cuenta]],1))</f>
        <v>1</v>
      </c>
      <c r="J613" t="b">
        <f>+ISNUMBER(SEARCH('F-COMPRA'!$F$29,Tabla11[[#This Row],[Cuenta]],1))</f>
        <v>1</v>
      </c>
      <c r="K613" t="b">
        <f>+ISNUMBER(SEARCH('F-COMPRA'!$F$30,Tabla11[[#This Row],[Cuenta]],1))</f>
        <v>1</v>
      </c>
      <c r="L613" t="b">
        <f>+ISNUMBER(SEARCH('F-COMPRA'!$F$31,Tabla11[[#This Row],[Cuenta]],1))</f>
        <v>1</v>
      </c>
      <c r="M613" t="b">
        <f>+ISNUMBER(SEARCH('F-COMPRA'!$G$25,Tabla11[[#This Row],[Cuenta]],1))</f>
        <v>0</v>
      </c>
      <c r="N613" t="b">
        <f>+ISNUMBER(SEARCH(#REF!,Tabla11[[#This Row],[Cuenta]],1))</f>
        <v>0</v>
      </c>
      <c r="O613" t="b">
        <f>+ISNUMBER(SEARCH(#REF!,Tabla11[[#This Row],[Cuenta]],1))</f>
        <v>0</v>
      </c>
      <c r="P613" t="b">
        <f>+ISNUMBER(SEARCH('F-COMPRA'!$F$32,Tabla11[[#This Row],[Cuenta]],1))</f>
        <v>1</v>
      </c>
      <c r="Q613" t="b">
        <f>+ISNUMBER(SEARCH('F-COMPRA'!$F$33,Tabla11[[#This Row],[Cuenta]],1))</f>
        <v>1</v>
      </c>
      <c r="R613" t="b">
        <f>+ISNUMBER(SEARCH('F-COMPRA'!$F$34,Tabla11[[#This Row],[Cuenta]],1))</f>
        <v>1</v>
      </c>
      <c r="S613" t="b">
        <f>+ISNUMBER(SEARCH('F-COMPRA'!$F$35,Tabla11[[#This Row],[Cuenta]],1))</f>
        <v>1</v>
      </c>
      <c r="T613" t="b">
        <f>+ISNUMBER(SEARCH('F-COMPRA'!$F$36,Tabla11[[#This Row],[Cuenta]],1))</f>
        <v>1</v>
      </c>
      <c r="U613" t="b">
        <f>+ISNUMBER(SEARCH('F-COMPRA'!$F$37,Tabla11[[#This Row],[Cuenta]],1))</f>
        <v>1</v>
      </c>
      <c r="V613" t="b">
        <f>+ISNUMBER(SEARCH(#REF!,Tabla11[[#This Row],[Cuenta]],1))</f>
        <v>0</v>
      </c>
      <c r="W613" t="b">
        <f>+ISNUMBER(SEARCH('F-COMPRA'!#REF!,Tabla11[[#This Row],[Cuenta]],1))</f>
        <v>0</v>
      </c>
      <c r="X613" t="b">
        <f>+ISNUMBER(SEARCH('F-COMPRA'!#REF!,Tabla11[[#This Row],[Cuenta]],1))</f>
        <v>0</v>
      </c>
      <c r="Y613" t="b">
        <f>+ISNUMBER(SEARCH('F-COMPRA'!#REF!,Tabla11[[#This Row],[Cuenta]],1))</f>
        <v>0</v>
      </c>
      <c r="Z613" t="b">
        <f>+ISNUMBER(SEARCH('F-COMPRA'!#REF!,Tabla11[[#This Row],[Cuenta]],1))</f>
        <v>0</v>
      </c>
      <c r="AA613" t="b">
        <f>+ISNUMBER(SEARCH('F-COMPRA'!#REF!,Tabla11[[#This Row],[Cuenta]],1))</f>
        <v>0</v>
      </c>
      <c r="AB613" t="b">
        <f>+ISNUMBER(SEARCH('F-COMPRA'!#REF!,Tabla11[[#This Row],[Cuenta]],1))</f>
        <v>0</v>
      </c>
      <c r="AC613" t="b">
        <f>+ISNUMBER(SEARCH('F-COMPRA'!#REF!,Tabla11[[#This Row],[Cuenta]],1))</f>
        <v>0</v>
      </c>
      <c r="AD613" t="b">
        <f>+ISNUMBER(SEARCH('F-COMPRA'!#REF!,Tabla11[[#This Row],[Cuenta]],1))</f>
        <v>0</v>
      </c>
      <c r="AE613" t="b">
        <f>+ISNUMBER(SEARCH('F-COMPRA'!#REF!,Tabla11[[#This Row],[Cuenta]],1))</f>
        <v>0</v>
      </c>
      <c r="AF613" t="b">
        <f>+ISNUMBER(SEARCH('F-VTA'!$G$23,Tabla11[[#This Row],[Cuenta]],1))</f>
        <v>0</v>
      </c>
      <c r="AG613" t="b">
        <f>+ISNUMBER(SEARCH('F-VTA'!$G$24,Tabla11[[#This Row],[Cuenta]],1))</f>
        <v>0</v>
      </c>
      <c r="AH613" t="b">
        <f>+ISNUMBER(SEARCH('F-VTA'!$G$25,Tabla11[[#This Row],[Cuenta]],1))</f>
        <v>0</v>
      </c>
      <c r="AI613" t="b">
        <f>+ISNUMBER(SEARCH('F-VTA'!$F$28,Tabla11[[#This Row],[Cuenta]],1))</f>
        <v>1</v>
      </c>
      <c r="AJ613" t="b">
        <f>+ISNUMBER(SEARCH('F-VTA'!$F$29,Tabla11[[#This Row],[Cuenta]],1))</f>
        <v>1</v>
      </c>
      <c r="AK613" t="b">
        <f>+ISNUMBER(SEARCH('F-VTA'!$F$30,Tabla11[[#This Row],[Cuenta]],1))</f>
        <v>1</v>
      </c>
      <c r="AL613" t="b">
        <f>+ISNUMBER(SEARCH('F-VTA'!$F$31,Tabla11[[#This Row],[Cuenta]],1))</f>
        <v>1</v>
      </c>
      <c r="AM613" t="b">
        <f>+ISNUMBER(SEARCH('F-VTA'!$F$32,Tabla11[[#This Row],[Cuenta]],1))</f>
        <v>1</v>
      </c>
      <c r="AN613" t="b">
        <f>+ISNUMBER(SEARCH('F-VTA'!$F$33,Tabla11[[#This Row],[Cuenta]],1))</f>
        <v>1</v>
      </c>
      <c r="AO613" t="b">
        <f>+ISNUMBER(SEARCH('F-VTA'!$F$34,Tabla11[[#This Row],[Cuenta]],1))</f>
        <v>1</v>
      </c>
      <c r="AP613" t="b">
        <f>+ISNUMBER(SEARCH('F-VTA'!$F$35,Tabla11[[#This Row],[Cuenta]],1))</f>
        <v>1</v>
      </c>
      <c r="AQ613" t="b">
        <f>+ISNUMBER(SEARCH('F-VTA'!$F$36,Tabla11[[#This Row],[Cuenta]],1))</f>
        <v>1</v>
      </c>
      <c r="AR613" t="b">
        <f>+ISNUMBER(SEARCH(#REF!,Tabla11[[#This Row],[Cuenta]],1))</f>
        <v>0</v>
      </c>
      <c r="AS613" t="b">
        <f>+ISNUMBER(SEARCH(#REF!,Tabla11[[#This Row],[Cuenta]],1))</f>
        <v>0</v>
      </c>
      <c r="AT613" t="b">
        <f>+ISNUMBER(SEARCH(#REF!,Tabla11[[#This Row],[Cuenta]],1))</f>
        <v>0</v>
      </c>
      <c r="AU613" t="b">
        <f>+ISNUMBER(SEARCH('Conc. Ban.1'!$I$9,Tabla11[[#This Row],[Cuenta]],1))</f>
        <v>0</v>
      </c>
      <c r="AV613" t="b">
        <f>+ISNUMBER(SEARCH(CompConta!$F$21,Tabla11[[#This Row],[Cuenta]],1))</f>
        <v>1</v>
      </c>
      <c r="AW613" t="b">
        <f>+ISNUMBER(SEARCH(CompConta!$F$22,Tabla11[[#This Row],[Cuenta]],1))</f>
        <v>1</v>
      </c>
      <c r="AX613" t="b">
        <f>+ISNUMBER(SEARCH(CompConta!$F$23,Tabla11[[#This Row],[Cuenta]],1))</f>
        <v>1</v>
      </c>
      <c r="AY613" t="b">
        <f>+ISNUMBER(SEARCH(CompConta!$F$24,Tabla11[[#This Row],[Cuenta]],1))</f>
        <v>1</v>
      </c>
      <c r="AZ613" t="b">
        <f>+ISNUMBER(SEARCH(CompConta!$F$25,Tabla11[[#This Row],[Cuenta]],1))</f>
        <v>1</v>
      </c>
      <c r="BA613" t="b">
        <f>+ISNUMBER(SEARCH(CompConta!$F$26,Tabla11[[#This Row],[Cuenta]],1))</f>
        <v>1</v>
      </c>
      <c r="BB613" t="b">
        <f>+ISNUMBER(SEARCH(CompConta!$F$27,Tabla11[[#This Row],[Cuenta]],1))</f>
        <v>1</v>
      </c>
      <c r="BC613" t="b">
        <f>+ISNUMBER(SEARCH(CompConta!$F$28,Tabla11[[#This Row],[Cuenta]],1))</f>
        <v>1</v>
      </c>
      <c r="BD613" t="b">
        <f>+ISNUMBER(SEARCH(CompConta!$F$29,Tabla11[[#This Row],[Cuenta]],1))</f>
        <v>1</v>
      </c>
      <c r="BE613" t="b">
        <f>+ISNUMBER(SEARCH(CompConta!$F$30,Tabla11[[#This Row],[Cuenta]],1))</f>
        <v>1</v>
      </c>
      <c r="BF613" t="b">
        <f>+ISNUMBER(SEARCH('PAGO Compras'!$E$11,Tabla11[[#This Row],[Cuenta]],1))</f>
        <v>1</v>
      </c>
      <c r="BG613" t="b">
        <f>+ISNUMBER(SEARCH(#REF!,Tabla11[[#This Row],[Cuenta]],1))</f>
        <v>0</v>
      </c>
      <c r="BH613" t="b">
        <f>+ISNUMBER(SEARCH(#REF!,Tabla11[[#This Row],[Cuenta]],1))</f>
        <v>0</v>
      </c>
      <c r="BI613" t="b">
        <f>+ISNUMBER(SEARCH(#REF!,Tabla11[[#This Row],[Cuenta]],1))</f>
        <v>0</v>
      </c>
      <c r="BJ613" t="b">
        <f>+ISNUMBER(SEARCH(#REF!,Tabla11[[#This Row],[Cuenta]],1))</f>
        <v>0</v>
      </c>
      <c r="BS613" t="str">
        <v>281035 Fondo de reserva</v>
      </c>
      <c r="BT613" t="str">
        <v>281035 Fondo de reserva</v>
      </c>
      <c r="BU613" t="str">
        <v>281035 Fondo de reserva</v>
      </c>
      <c r="BV613" t="str">
        <v>281035 Fondo de reserva</v>
      </c>
      <c r="BZ613" t="str">
        <v>281035 Fondo de reserva</v>
      </c>
      <c r="CA613" t="str">
        <v>281035 Fondo de reserva</v>
      </c>
      <c r="CB613" t="str">
        <v>281035 Fondo de reserva</v>
      </c>
      <c r="CC613" t="str">
        <v>281035 Fondo de reserva</v>
      </c>
      <c r="CD613" t="str">
        <v>281035 Fondo de reserva</v>
      </c>
      <c r="CE613" t="str">
        <v>281035 Fondo de reserva</v>
      </c>
      <c r="CS613" s="141" t="str">
        <v>281035 Fondo de reserva</v>
      </c>
      <c r="CT613" s="141" t="str">
        <v>281035 Fondo de reserva</v>
      </c>
      <c r="CU613" s="141" t="str">
        <v>281035 Fondo de reserva</v>
      </c>
      <c r="CV613" s="141" t="str">
        <v>281035 Fondo de reserva</v>
      </c>
      <c r="CW613" s="141" t="str">
        <v>281035 Fondo de reserva</v>
      </c>
      <c r="CX613" s="141" t="str">
        <v>281035 Fondo de reserva</v>
      </c>
      <c r="CY613" s="141" t="str">
        <v>281035 Fondo de reserva</v>
      </c>
      <c r="CZ613" s="141" t="str">
        <v>281035 Fondo de reserva</v>
      </c>
      <c r="DA613" s="141" t="str">
        <v>281035 Fondo de reserva</v>
      </c>
      <c r="DF613" t="str">
        <v>281035 Fondo de reserva</v>
      </c>
      <c r="DG613" t="str">
        <v>281035 Fondo de reserva</v>
      </c>
      <c r="DH613" t="str">
        <v>281035 Fondo de reserva</v>
      </c>
      <c r="DI613" t="str">
        <v>281035 Fondo de reserva</v>
      </c>
      <c r="DJ613" t="str">
        <v>281035 Fondo de reserva</v>
      </c>
      <c r="DK613" t="str">
        <v>281035 Fondo de reserva</v>
      </c>
      <c r="DL613" t="str">
        <v>281035 Fondo de reserva</v>
      </c>
      <c r="DM613" t="str">
        <v>281035 Fondo de reserva</v>
      </c>
      <c r="DN613" t="str">
        <v>281035 Fondo de reserva</v>
      </c>
      <c r="DO613" t="str">
        <v>281035 Fondo de reserva</v>
      </c>
      <c r="DP613" t="str">
        <v>281035 Fondo de reserva</v>
      </c>
    </row>
    <row r="614" spans="4:120" ht="12.75">
      <c r="D614" s="7">
        <v>281095</v>
      </c>
      <c r="E614" s="6" t="s">
        <v>45</v>
      </c>
      <c r="F614" s="5">
        <v>4</v>
      </c>
      <c r="G614" s="34" t="s">
        <v>823</v>
      </c>
      <c r="H614" s="26" t="s">
        <v>765</v>
      </c>
      <c r="I614" t="b">
        <f>+ISNUMBER(SEARCH('F-COMPRA'!$F$28,Tabla11[[#This Row],[Cuenta]],1))</f>
        <v>1</v>
      </c>
      <c r="J614" t="b">
        <f>+ISNUMBER(SEARCH('F-COMPRA'!$F$29,Tabla11[[#This Row],[Cuenta]],1))</f>
        <v>1</v>
      </c>
      <c r="K614" t="b">
        <f>+ISNUMBER(SEARCH('F-COMPRA'!$F$30,Tabla11[[#This Row],[Cuenta]],1))</f>
        <v>1</v>
      </c>
      <c r="L614" t="b">
        <f>+ISNUMBER(SEARCH('F-COMPRA'!$F$31,Tabla11[[#This Row],[Cuenta]],1))</f>
        <v>1</v>
      </c>
      <c r="M614" t="b">
        <f>+ISNUMBER(SEARCH('F-COMPRA'!$G$25,Tabla11[[#This Row],[Cuenta]],1))</f>
        <v>0</v>
      </c>
      <c r="N614" t="b">
        <f>+ISNUMBER(SEARCH(#REF!,Tabla11[[#This Row],[Cuenta]],1))</f>
        <v>0</v>
      </c>
      <c r="O614" t="b">
        <f>+ISNUMBER(SEARCH(#REF!,Tabla11[[#This Row],[Cuenta]],1))</f>
        <v>0</v>
      </c>
      <c r="P614" t="b">
        <f>+ISNUMBER(SEARCH('F-COMPRA'!$F$32,Tabla11[[#This Row],[Cuenta]],1))</f>
        <v>1</v>
      </c>
      <c r="Q614" t="b">
        <f>+ISNUMBER(SEARCH('F-COMPRA'!$F$33,Tabla11[[#This Row],[Cuenta]],1))</f>
        <v>1</v>
      </c>
      <c r="R614" t="b">
        <f>+ISNUMBER(SEARCH('F-COMPRA'!$F$34,Tabla11[[#This Row],[Cuenta]],1))</f>
        <v>1</v>
      </c>
      <c r="S614" t="b">
        <f>+ISNUMBER(SEARCH('F-COMPRA'!$F$35,Tabla11[[#This Row],[Cuenta]],1))</f>
        <v>1</v>
      </c>
      <c r="T614" t="b">
        <f>+ISNUMBER(SEARCH('F-COMPRA'!$F$36,Tabla11[[#This Row],[Cuenta]],1))</f>
        <v>1</v>
      </c>
      <c r="U614" t="b">
        <f>+ISNUMBER(SEARCH('F-COMPRA'!$F$37,Tabla11[[#This Row],[Cuenta]],1))</f>
        <v>1</v>
      </c>
      <c r="V614" t="b">
        <f>+ISNUMBER(SEARCH(#REF!,Tabla11[[#This Row],[Cuenta]],1))</f>
        <v>0</v>
      </c>
      <c r="W614" t="b">
        <f>+ISNUMBER(SEARCH('F-COMPRA'!#REF!,Tabla11[[#This Row],[Cuenta]],1))</f>
        <v>0</v>
      </c>
      <c r="X614" t="b">
        <f>+ISNUMBER(SEARCH('F-COMPRA'!#REF!,Tabla11[[#This Row],[Cuenta]],1))</f>
        <v>0</v>
      </c>
      <c r="Y614" t="b">
        <f>+ISNUMBER(SEARCH('F-COMPRA'!#REF!,Tabla11[[#This Row],[Cuenta]],1))</f>
        <v>0</v>
      </c>
      <c r="Z614" t="b">
        <f>+ISNUMBER(SEARCH('F-COMPRA'!#REF!,Tabla11[[#This Row],[Cuenta]],1))</f>
        <v>0</v>
      </c>
      <c r="AA614" t="b">
        <f>+ISNUMBER(SEARCH('F-COMPRA'!#REF!,Tabla11[[#This Row],[Cuenta]],1))</f>
        <v>0</v>
      </c>
      <c r="AB614" t="b">
        <f>+ISNUMBER(SEARCH('F-COMPRA'!#REF!,Tabla11[[#This Row],[Cuenta]],1))</f>
        <v>0</v>
      </c>
      <c r="AC614" t="b">
        <f>+ISNUMBER(SEARCH('F-COMPRA'!#REF!,Tabla11[[#This Row],[Cuenta]],1))</f>
        <v>0</v>
      </c>
      <c r="AD614" t="b">
        <f>+ISNUMBER(SEARCH('F-COMPRA'!#REF!,Tabla11[[#This Row],[Cuenta]],1))</f>
        <v>0</v>
      </c>
      <c r="AE614" t="b">
        <f>+ISNUMBER(SEARCH('F-COMPRA'!#REF!,Tabla11[[#This Row],[Cuenta]],1))</f>
        <v>0</v>
      </c>
      <c r="AF614" t="b">
        <f>+ISNUMBER(SEARCH('F-VTA'!$G$23,Tabla11[[#This Row],[Cuenta]],1))</f>
        <v>0</v>
      </c>
      <c r="AG614" t="b">
        <f>+ISNUMBER(SEARCH('F-VTA'!$G$24,Tabla11[[#This Row],[Cuenta]],1))</f>
        <v>0</v>
      </c>
      <c r="AH614" t="b">
        <f>+ISNUMBER(SEARCH('F-VTA'!$G$25,Tabla11[[#This Row],[Cuenta]],1))</f>
        <v>0</v>
      </c>
      <c r="AI614" t="b">
        <f>+ISNUMBER(SEARCH('F-VTA'!$F$28,Tabla11[[#This Row],[Cuenta]],1))</f>
        <v>1</v>
      </c>
      <c r="AJ614" t="b">
        <f>+ISNUMBER(SEARCH('F-VTA'!$F$29,Tabla11[[#This Row],[Cuenta]],1))</f>
        <v>1</v>
      </c>
      <c r="AK614" t="b">
        <f>+ISNUMBER(SEARCH('F-VTA'!$F$30,Tabla11[[#This Row],[Cuenta]],1))</f>
        <v>1</v>
      </c>
      <c r="AL614" t="b">
        <f>+ISNUMBER(SEARCH('F-VTA'!$F$31,Tabla11[[#This Row],[Cuenta]],1))</f>
        <v>1</v>
      </c>
      <c r="AM614" t="b">
        <f>+ISNUMBER(SEARCH('F-VTA'!$F$32,Tabla11[[#This Row],[Cuenta]],1))</f>
        <v>1</v>
      </c>
      <c r="AN614" t="b">
        <f>+ISNUMBER(SEARCH('F-VTA'!$F$33,Tabla11[[#This Row],[Cuenta]],1))</f>
        <v>1</v>
      </c>
      <c r="AO614" t="b">
        <f>+ISNUMBER(SEARCH('F-VTA'!$F$34,Tabla11[[#This Row],[Cuenta]],1))</f>
        <v>1</v>
      </c>
      <c r="AP614" t="b">
        <f>+ISNUMBER(SEARCH('F-VTA'!$F$35,Tabla11[[#This Row],[Cuenta]],1))</f>
        <v>1</v>
      </c>
      <c r="AQ614" t="b">
        <f>+ISNUMBER(SEARCH('F-VTA'!$F$36,Tabla11[[#This Row],[Cuenta]],1))</f>
        <v>1</v>
      </c>
      <c r="AR614" t="b">
        <f>+ISNUMBER(SEARCH(#REF!,Tabla11[[#This Row],[Cuenta]],1))</f>
        <v>0</v>
      </c>
      <c r="AS614" t="b">
        <f>+ISNUMBER(SEARCH(#REF!,Tabla11[[#This Row],[Cuenta]],1))</f>
        <v>0</v>
      </c>
      <c r="AT614" t="b">
        <f>+ISNUMBER(SEARCH(#REF!,Tabla11[[#This Row],[Cuenta]],1))</f>
        <v>0</v>
      </c>
      <c r="AU614" t="b">
        <f>+ISNUMBER(SEARCH('Conc. Ban.1'!$I$9,Tabla11[[#This Row],[Cuenta]],1))</f>
        <v>0</v>
      </c>
      <c r="AV614" t="b">
        <f>+ISNUMBER(SEARCH(CompConta!$F$21,Tabla11[[#This Row],[Cuenta]],1))</f>
        <v>1</v>
      </c>
      <c r="AW614" t="b">
        <f>+ISNUMBER(SEARCH(CompConta!$F$22,Tabla11[[#This Row],[Cuenta]],1))</f>
        <v>1</v>
      </c>
      <c r="AX614" t="b">
        <f>+ISNUMBER(SEARCH(CompConta!$F$23,Tabla11[[#This Row],[Cuenta]],1))</f>
        <v>1</v>
      </c>
      <c r="AY614" t="b">
        <f>+ISNUMBER(SEARCH(CompConta!$F$24,Tabla11[[#This Row],[Cuenta]],1))</f>
        <v>1</v>
      </c>
      <c r="AZ614" t="b">
        <f>+ISNUMBER(SEARCH(CompConta!$F$25,Tabla11[[#This Row],[Cuenta]],1))</f>
        <v>1</v>
      </c>
      <c r="BA614" t="b">
        <f>+ISNUMBER(SEARCH(CompConta!$F$26,Tabla11[[#This Row],[Cuenta]],1))</f>
        <v>1</v>
      </c>
      <c r="BB614" t="b">
        <f>+ISNUMBER(SEARCH(CompConta!$F$27,Tabla11[[#This Row],[Cuenta]],1))</f>
        <v>1</v>
      </c>
      <c r="BC614" t="b">
        <f>+ISNUMBER(SEARCH(CompConta!$F$28,Tabla11[[#This Row],[Cuenta]],1))</f>
        <v>1</v>
      </c>
      <c r="BD614" t="b">
        <f>+ISNUMBER(SEARCH(CompConta!$F$29,Tabla11[[#This Row],[Cuenta]],1))</f>
        <v>1</v>
      </c>
      <c r="BE614" t="b">
        <f>+ISNUMBER(SEARCH(CompConta!$F$30,Tabla11[[#This Row],[Cuenta]],1))</f>
        <v>1</v>
      </c>
      <c r="BF614" t="b">
        <f>+ISNUMBER(SEARCH('PAGO Compras'!$E$11,Tabla11[[#This Row],[Cuenta]],1))</f>
        <v>1</v>
      </c>
      <c r="BG614" t="b">
        <f>+ISNUMBER(SEARCH(#REF!,Tabla11[[#This Row],[Cuenta]],1))</f>
        <v>0</v>
      </c>
      <c r="BH614" t="b">
        <f>+ISNUMBER(SEARCH(#REF!,Tabla11[[#This Row],[Cuenta]],1))</f>
        <v>0</v>
      </c>
      <c r="BI614" t="b">
        <f>+ISNUMBER(SEARCH(#REF!,Tabla11[[#This Row],[Cuenta]],1))</f>
        <v>0</v>
      </c>
      <c r="BJ614" t="b">
        <f>+ISNUMBER(SEARCH(#REF!,Tabla11[[#This Row],[Cuenta]],1))</f>
        <v>0</v>
      </c>
      <c r="BS614" t="str">
        <v>281095 Otros</v>
      </c>
      <c r="BT614" t="str">
        <v>281095 Otros</v>
      </c>
      <c r="BU614" t="str">
        <v>281095 Otros</v>
      </c>
      <c r="BV614" t="str">
        <v>281095 Otros</v>
      </c>
      <c r="BZ614" t="str">
        <v>281095 Otros</v>
      </c>
      <c r="CA614" t="str">
        <v>281095 Otros</v>
      </c>
      <c r="CB614" t="str">
        <v>281095 Otros</v>
      </c>
      <c r="CC614" t="str">
        <v>281095 Otros</v>
      </c>
      <c r="CD614" t="str">
        <v>281095 Otros</v>
      </c>
      <c r="CE614" t="str">
        <v>281095 Otros</v>
      </c>
      <c r="CS614" s="141" t="str">
        <v>281095 Otros</v>
      </c>
      <c r="CT614" s="141" t="str">
        <v>281095 Otros</v>
      </c>
      <c r="CU614" s="141" t="str">
        <v>281095 Otros</v>
      </c>
      <c r="CV614" s="141" t="str">
        <v>281095 Otros</v>
      </c>
      <c r="CW614" s="141" t="str">
        <v>281095 Otros</v>
      </c>
      <c r="CX614" s="141" t="str">
        <v>281095 Otros</v>
      </c>
      <c r="CY614" s="141" t="str">
        <v>281095 Otros</v>
      </c>
      <c r="CZ614" s="141" t="str">
        <v>281095 Otros</v>
      </c>
      <c r="DA614" s="141" t="str">
        <v>281095 Otros</v>
      </c>
      <c r="DF614" t="str">
        <v>281095 Otros</v>
      </c>
      <c r="DG614" t="str">
        <v>281095 Otros</v>
      </c>
      <c r="DH614" t="str">
        <v>281095 Otros</v>
      </c>
      <c r="DI614" t="str">
        <v>281095 Otros</v>
      </c>
      <c r="DJ614" t="str">
        <v>281095 Otros</v>
      </c>
      <c r="DK614" t="str">
        <v>281095 Otros</v>
      </c>
      <c r="DL614" t="str">
        <v>281095 Otros</v>
      </c>
      <c r="DM614" t="str">
        <v>281095 Otros</v>
      </c>
      <c r="DN614" t="str">
        <v>281095 Otros</v>
      </c>
      <c r="DO614" t="str">
        <v>281095 Otros</v>
      </c>
      <c r="DP614" t="str">
        <v>281095 Otros</v>
      </c>
    </row>
    <row r="615" spans="4:120" ht="12.75">
      <c r="D615" s="7">
        <v>2815</v>
      </c>
      <c r="E615" s="6" t="s">
        <v>450</v>
      </c>
      <c r="F615" s="5">
        <v>3</v>
      </c>
      <c r="G615" s="34" t="s">
        <v>823</v>
      </c>
      <c r="H615" s="26" t="s">
        <v>765</v>
      </c>
      <c r="I615" t="b">
        <f>+ISNUMBER(SEARCH('F-COMPRA'!$F$28,Tabla11[[#This Row],[Cuenta]],1))</f>
        <v>1</v>
      </c>
      <c r="J615" t="b">
        <f>+ISNUMBER(SEARCH('F-COMPRA'!$F$29,Tabla11[[#This Row],[Cuenta]],1))</f>
        <v>1</v>
      </c>
      <c r="K615" t="b">
        <f>+ISNUMBER(SEARCH('F-COMPRA'!$F$30,Tabla11[[#This Row],[Cuenta]],1))</f>
        <v>1</v>
      </c>
      <c r="L615" t="b">
        <f>+ISNUMBER(SEARCH('F-COMPRA'!$F$31,Tabla11[[#This Row],[Cuenta]],1))</f>
        <v>1</v>
      </c>
      <c r="M615" t="b">
        <f>+ISNUMBER(SEARCH('F-COMPRA'!$G$25,Tabla11[[#This Row],[Cuenta]],1))</f>
        <v>0</v>
      </c>
      <c r="N615" t="b">
        <f>+ISNUMBER(SEARCH(#REF!,Tabla11[[#This Row],[Cuenta]],1))</f>
        <v>0</v>
      </c>
      <c r="O615" t="b">
        <f>+ISNUMBER(SEARCH(#REF!,Tabla11[[#This Row],[Cuenta]],1))</f>
        <v>0</v>
      </c>
      <c r="P615" t="b">
        <f>+ISNUMBER(SEARCH('F-COMPRA'!$F$32,Tabla11[[#This Row],[Cuenta]],1))</f>
        <v>1</v>
      </c>
      <c r="Q615" t="b">
        <f>+ISNUMBER(SEARCH('F-COMPRA'!$F$33,Tabla11[[#This Row],[Cuenta]],1))</f>
        <v>1</v>
      </c>
      <c r="R615" t="b">
        <f>+ISNUMBER(SEARCH('F-COMPRA'!$F$34,Tabla11[[#This Row],[Cuenta]],1))</f>
        <v>1</v>
      </c>
      <c r="S615" t="b">
        <f>+ISNUMBER(SEARCH('F-COMPRA'!$F$35,Tabla11[[#This Row],[Cuenta]],1))</f>
        <v>1</v>
      </c>
      <c r="T615" t="b">
        <f>+ISNUMBER(SEARCH('F-COMPRA'!$F$36,Tabla11[[#This Row],[Cuenta]],1))</f>
        <v>1</v>
      </c>
      <c r="U615" t="b">
        <f>+ISNUMBER(SEARCH('F-COMPRA'!$F$37,Tabla11[[#This Row],[Cuenta]],1))</f>
        <v>1</v>
      </c>
      <c r="V615" t="b">
        <f>+ISNUMBER(SEARCH(#REF!,Tabla11[[#This Row],[Cuenta]],1))</f>
        <v>0</v>
      </c>
      <c r="W615" t="b">
        <f>+ISNUMBER(SEARCH('F-COMPRA'!#REF!,Tabla11[[#This Row],[Cuenta]],1))</f>
        <v>0</v>
      </c>
      <c r="X615" t="b">
        <f>+ISNUMBER(SEARCH('F-COMPRA'!#REF!,Tabla11[[#This Row],[Cuenta]],1))</f>
        <v>0</v>
      </c>
      <c r="Y615" t="b">
        <f>+ISNUMBER(SEARCH('F-COMPRA'!#REF!,Tabla11[[#This Row],[Cuenta]],1))</f>
        <v>0</v>
      </c>
      <c r="Z615" t="b">
        <f>+ISNUMBER(SEARCH('F-COMPRA'!#REF!,Tabla11[[#This Row],[Cuenta]],1))</f>
        <v>0</v>
      </c>
      <c r="AA615" t="b">
        <f>+ISNUMBER(SEARCH('F-COMPRA'!#REF!,Tabla11[[#This Row],[Cuenta]],1))</f>
        <v>0</v>
      </c>
      <c r="AB615" t="b">
        <f>+ISNUMBER(SEARCH('F-COMPRA'!#REF!,Tabla11[[#This Row],[Cuenta]],1))</f>
        <v>0</v>
      </c>
      <c r="AC615" t="b">
        <f>+ISNUMBER(SEARCH('F-COMPRA'!#REF!,Tabla11[[#This Row],[Cuenta]],1))</f>
        <v>0</v>
      </c>
      <c r="AD615" t="b">
        <f>+ISNUMBER(SEARCH('F-COMPRA'!#REF!,Tabla11[[#This Row],[Cuenta]],1))</f>
        <v>0</v>
      </c>
      <c r="AE615" t="b">
        <f>+ISNUMBER(SEARCH('F-COMPRA'!#REF!,Tabla11[[#This Row],[Cuenta]],1))</f>
        <v>0</v>
      </c>
      <c r="AF615" t="b">
        <f>+ISNUMBER(SEARCH('F-VTA'!$G$23,Tabla11[[#This Row],[Cuenta]],1))</f>
        <v>0</v>
      </c>
      <c r="AG615" t="b">
        <f>+ISNUMBER(SEARCH('F-VTA'!$G$24,Tabla11[[#This Row],[Cuenta]],1))</f>
        <v>0</v>
      </c>
      <c r="AH615" t="b">
        <f>+ISNUMBER(SEARCH('F-VTA'!$G$25,Tabla11[[#This Row],[Cuenta]],1))</f>
        <v>0</v>
      </c>
      <c r="AI615" t="b">
        <f>+ISNUMBER(SEARCH('F-VTA'!$F$28,Tabla11[[#This Row],[Cuenta]],1))</f>
        <v>1</v>
      </c>
      <c r="AJ615" t="b">
        <f>+ISNUMBER(SEARCH('F-VTA'!$F$29,Tabla11[[#This Row],[Cuenta]],1))</f>
        <v>1</v>
      </c>
      <c r="AK615" t="b">
        <f>+ISNUMBER(SEARCH('F-VTA'!$F$30,Tabla11[[#This Row],[Cuenta]],1))</f>
        <v>1</v>
      </c>
      <c r="AL615" t="b">
        <f>+ISNUMBER(SEARCH('F-VTA'!$F$31,Tabla11[[#This Row],[Cuenta]],1))</f>
        <v>1</v>
      </c>
      <c r="AM615" t="b">
        <f>+ISNUMBER(SEARCH('F-VTA'!$F$32,Tabla11[[#This Row],[Cuenta]],1))</f>
        <v>1</v>
      </c>
      <c r="AN615" t="b">
        <f>+ISNUMBER(SEARCH('F-VTA'!$F$33,Tabla11[[#This Row],[Cuenta]],1))</f>
        <v>1</v>
      </c>
      <c r="AO615" t="b">
        <f>+ISNUMBER(SEARCH('F-VTA'!$F$34,Tabla11[[#This Row],[Cuenta]],1))</f>
        <v>1</v>
      </c>
      <c r="AP615" t="b">
        <f>+ISNUMBER(SEARCH('F-VTA'!$F$35,Tabla11[[#This Row],[Cuenta]],1))</f>
        <v>1</v>
      </c>
      <c r="AQ615" t="b">
        <f>+ISNUMBER(SEARCH('F-VTA'!$F$36,Tabla11[[#This Row],[Cuenta]],1))</f>
        <v>1</v>
      </c>
      <c r="AR615" t="b">
        <f>+ISNUMBER(SEARCH(#REF!,Tabla11[[#This Row],[Cuenta]],1))</f>
        <v>0</v>
      </c>
      <c r="AS615" t="b">
        <f>+ISNUMBER(SEARCH(#REF!,Tabla11[[#This Row],[Cuenta]],1))</f>
        <v>0</v>
      </c>
      <c r="AT615" t="b">
        <f>+ISNUMBER(SEARCH(#REF!,Tabla11[[#This Row],[Cuenta]],1))</f>
        <v>0</v>
      </c>
      <c r="AU615" t="b">
        <f>+ISNUMBER(SEARCH('Conc. Ban.1'!$I$9,Tabla11[[#This Row],[Cuenta]],1))</f>
        <v>0</v>
      </c>
      <c r="AV615" t="b">
        <f>+ISNUMBER(SEARCH(CompConta!$F$21,Tabla11[[#This Row],[Cuenta]],1))</f>
        <v>1</v>
      </c>
      <c r="AW615" t="b">
        <f>+ISNUMBER(SEARCH(CompConta!$F$22,Tabla11[[#This Row],[Cuenta]],1))</f>
        <v>1</v>
      </c>
      <c r="AX615" t="b">
        <f>+ISNUMBER(SEARCH(CompConta!$F$23,Tabla11[[#This Row],[Cuenta]],1))</f>
        <v>1</v>
      </c>
      <c r="AY615" t="b">
        <f>+ISNUMBER(SEARCH(CompConta!$F$24,Tabla11[[#This Row],[Cuenta]],1))</f>
        <v>1</v>
      </c>
      <c r="AZ615" t="b">
        <f>+ISNUMBER(SEARCH(CompConta!$F$25,Tabla11[[#This Row],[Cuenta]],1))</f>
        <v>1</v>
      </c>
      <c r="BA615" t="b">
        <f>+ISNUMBER(SEARCH(CompConta!$F$26,Tabla11[[#This Row],[Cuenta]],1))</f>
        <v>1</v>
      </c>
      <c r="BB615" t="b">
        <f>+ISNUMBER(SEARCH(CompConta!$F$27,Tabla11[[#This Row],[Cuenta]],1))</f>
        <v>1</v>
      </c>
      <c r="BC615" t="b">
        <f>+ISNUMBER(SEARCH(CompConta!$F$28,Tabla11[[#This Row],[Cuenta]],1))</f>
        <v>1</v>
      </c>
      <c r="BD615" t="b">
        <f>+ISNUMBER(SEARCH(CompConta!$F$29,Tabla11[[#This Row],[Cuenta]],1))</f>
        <v>1</v>
      </c>
      <c r="BE615" t="b">
        <f>+ISNUMBER(SEARCH(CompConta!$F$30,Tabla11[[#This Row],[Cuenta]],1))</f>
        <v>1</v>
      </c>
      <c r="BF615" t="b">
        <f>+ISNUMBER(SEARCH('PAGO Compras'!$E$11,Tabla11[[#This Row],[Cuenta]],1))</f>
        <v>1</v>
      </c>
      <c r="BG615" t="b">
        <f>+ISNUMBER(SEARCH(#REF!,Tabla11[[#This Row],[Cuenta]],1))</f>
        <v>0</v>
      </c>
      <c r="BH615" t="b">
        <f>+ISNUMBER(SEARCH(#REF!,Tabla11[[#This Row],[Cuenta]],1))</f>
        <v>0</v>
      </c>
      <c r="BI615" t="b">
        <f>+ISNUMBER(SEARCH(#REF!,Tabla11[[#This Row],[Cuenta]],1))</f>
        <v>0</v>
      </c>
      <c r="BJ615" t="b">
        <f>+ISNUMBER(SEARCH(#REF!,Tabla11[[#This Row],[Cuenta]],1))</f>
        <v>0</v>
      </c>
      <c r="BS615" t="str">
        <v>2815 INGRESOS RECIBIDOS PARA TERCEROS</v>
      </c>
      <c r="BT615" t="str">
        <v>2815 INGRESOS RECIBIDOS PARA TERCEROS</v>
      </c>
      <c r="BU615" t="str">
        <v>2815 INGRESOS RECIBIDOS PARA TERCEROS</v>
      </c>
      <c r="BV615" t="str">
        <v>2815 INGRESOS RECIBIDOS PARA TERCEROS</v>
      </c>
      <c r="BZ615" t="str">
        <v>2815 INGRESOS RECIBIDOS PARA TERCEROS</v>
      </c>
      <c r="CA615" t="str">
        <v>2815 INGRESOS RECIBIDOS PARA TERCEROS</v>
      </c>
      <c r="CB615" t="str">
        <v>2815 INGRESOS RECIBIDOS PARA TERCEROS</v>
      </c>
      <c r="CC615" t="str">
        <v>2815 INGRESOS RECIBIDOS PARA TERCEROS</v>
      </c>
      <c r="CD615" t="str">
        <v>2815 INGRESOS RECIBIDOS PARA TERCEROS</v>
      </c>
      <c r="CE615" t="str">
        <v>2815 INGRESOS RECIBIDOS PARA TERCEROS</v>
      </c>
      <c r="CS615" s="141" t="str">
        <v>2815 INGRESOS RECIBIDOS PARA TERCEROS</v>
      </c>
      <c r="CT615" s="141" t="str">
        <v>2815 INGRESOS RECIBIDOS PARA TERCEROS</v>
      </c>
      <c r="CU615" s="141" t="str">
        <v>2815 INGRESOS RECIBIDOS PARA TERCEROS</v>
      </c>
      <c r="CV615" s="141" t="str">
        <v>2815 INGRESOS RECIBIDOS PARA TERCEROS</v>
      </c>
      <c r="CW615" s="141" t="str">
        <v>2815 INGRESOS RECIBIDOS PARA TERCEROS</v>
      </c>
      <c r="CX615" s="141" t="str">
        <v>2815 INGRESOS RECIBIDOS PARA TERCEROS</v>
      </c>
      <c r="CY615" s="141" t="str">
        <v>2815 INGRESOS RECIBIDOS PARA TERCEROS</v>
      </c>
      <c r="CZ615" s="141" t="str">
        <v>2815 INGRESOS RECIBIDOS PARA TERCEROS</v>
      </c>
      <c r="DA615" s="141" t="str">
        <v>2815 INGRESOS RECIBIDOS PARA TERCEROS</v>
      </c>
      <c r="DF615" t="str">
        <v>2815 INGRESOS RECIBIDOS PARA TERCEROS</v>
      </c>
      <c r="DG615" t="str">
        <v>2815 INGRESOS RECIBIDOS PARA TERCEROS</v>
      </c>
      <c r="DH615" t="str">
        <v>2815 INGRESOS RECIBIDOS PARA TERCEROS</v>
      </c>
      <c r="DI615" t="str">
        <v>2815 INGRESOS RECIBIDOS PARA TERCEROS</v>
      </c>
      <c r="DJ615" t="str">
        <v>2815 INGRESOS RECIBIDOS PARA TERCEROS</v>
      </c>
      <c r="DK615" t="str">
        <v>2815 INGRESOS RECIBIDOS PARA TERCEROS</v>
      </c>
      <c r="DL615" t="str">
        <v>2815 INGRESOS RECIBIDOS PARA TERCEROS</v>
      </c>
      <c r="DM615" t="str">
        <v>2815 INGRESOS RECIBIDOS PARA TERCEROS</v>
      </c>
      <c r="DN615" t="str">
        <v>2815 INGRESOS RECIBIDOS PARA TERCEROS</v>
      </c>
      <c r="DO615" t="str">
        <v>2815 INGRESOS RECIBIDOS PARA TERCEROS</v>
      </c>
      <c r="DP615" t="str">
        <v>2815 INGRESOS RECIBIDOS PARA TERCEROS</v>
      </c>
    </row>
    <row r="616" spans="4:120" ht="12.75">
      <c r="D616" s="7">
        <v>281505</v>
      </c>
      <c r="E616" s="6" t="s">
        <v>451</v>
      </c>
      <c r="F616" s="5">
        <v>4</v>
      </c>
      <c r="G616" s="34" t="s">
        <v>823</v>
      </c>
      <c r="H616" s="26" t="s">
        <v>765</v>
      </c>
      <c r="I616" t="b">
        <f>+ISNUMBER(SEARCH('F-COMPRA'!$F$28,Tabla11[[#This Row],[Cuenta]],1))</f>
        <v>1</v>
      </c>
      <c r="J616" t="b">
        <f>+ISNUMBER(SEARCH('F-COMPRA'!$F$29,Tabla11[[#This Row],[Cuenta]],1))</f>
        <v>1</v>
      </c>
      <c r="K616" t="b">
        <f>+ISNUMBER(SEARCH('F-COMPRA'!$F$30,Tabla11[[#This Row],[Cuenta]],1))</f>
        <v>1</v>
      </c>
      <c r="L616" t="b">
        <f>+ISNUMBER(SEARCH('F-COMPRA'!$F$31,Tabla11[[#This Row],[Cuenta]],1))</f>
        <v>1</v>
      </c>
      <c r="M616" t="b">
        <f>+ISNUMBER(SEARCH('F-COMPRA'!$G$25,Tabla11[[#This Row],[Cuenta]],1))</f>
        <v>0</v>
      </c>
      <c r="N616" t="b">
        <f>+ISNUMBER(SEARCH(#REF!,Tabla11[[#This Row],[Cuenta]],1))</f>
        <v>0</v>
      </c>
      <c r="O616" t="b">
        <f>+ISNUMBER(SEARCH(#REF!,Tabla11[[#This Row],[Cuenta]],1))</f>
        <v>0</v>
      </c>
      <c r="P616" t="b">
        <f>+ISNUMBER(SEARCH('F-COMPRA'!$F$32,Tabla11[[#This Row],[Cuenta]],1))</f>
        <v>1</v>
      </c>
      <c r="Q616" t="b">
        <f>+ISNUMBER(SEARCH('F-COMPRA'!$F$33,Tabla11[[#This Row],[Cuenta]],1))</f>
        <v>1</v>
      </c>
      <c r="R616" t="b">
        <f>+ISNUMBER(SEARCH('F-COMPRA'!$F$34,Tabla11[[#This Row],[Cuenta]],1))</f>
        <v>1</v>
      </c>
      <c r="S616" t="b">
        <f>+ISNUMBER(SEARCH('F-COMPRA'!$F$35,Tabla11[[#This Row],[Cuenta]],1))</f>
        <v>1</v>
      </c>
      <c r="T616" t="b">
        <f>+ISNUMBER(SEARCH('F-COMPRA'!$F$36,Tabla11[[#This Row],[Cuenta]],1))</f>
        <v>1</v>
      </c>
      <c r="U616" t="b">
        <f>+ISNUMBER(SEARCH('F-COMPRA'!$F$37,Tabla11[[#This Row],[Cuenta]],1))</f>
        <v>1</v>
      </c>
      <c r="V616" t="b">
        <f>+ISNUMBER(SEARCH(#REF!,Tabla11[[#This Row],[Cuenta]],1))</f>
        <v>0</v>
      </c>
      <c r="W616" t="b">
        <f>+ISNUMBER(SEARCH('F-COMPRA'!#REF!,Tabla11[[#This Row],[Cuenta]],1))</f>
        <v>0</v>
      </c>
      <c r="X616" t="b">
        <f>+ISNUMBER(SEARCH('F-COMPRA'!#REF!,Tabla11[[#This Row],[Cuenta]],1))</f>
        <v>0</v>
      </c>
      <c r="Y616" t="b">
        <f>+ISNUMBER(SEARCH('F-COMPRA'!#REF!,Tabla11[[#This Row],[Cuenta]],1))</f>
        <v>0</v>
      </c>
      <c r="Z616" t="b">
        <f>+ISNUMBER(SEARCH('F-COMPRA'!#REF!,Tabla11[[#This Row],[Cuenta]],1))</f>
        <v>0</v>
      </c>
      <c r="AA616" t="b">
        <f>+ISNUMBER(SEARCH('F-COMPRA'!#REF!,Tabla11[[#This Row],[Cuenta]],1))</f>
        <v>0</v>
      </c>
      <c r="AB616" t="b">
        <f>+ISNUMBER(SEARCH('F-COMPRA'!#REF!,Tabla11[[#This Row],[Cuenta]],1))</f>
        <v>0</v>
      </c>
      <c r="AC616" t="b">
        <f>+ISNUMBER(SEARCH('F-COMPRA'!#REF!,Tabla11[[#This Row],[Cuenta]],1))</f>
        <v>0</v>
      </c>
      <c r="AD616" t="b">
        <f>+ISNUMBER(SEARCH('F-COMPRA'!#REF!,Tabla11[[#This Row],[Cuenta]],1))</f>
        <v>0</v>
      </c>
      <c r="AE616" t="b">
        <f>+ISNUMBER(SEARCH('F-COMPRA'!#REF!,Tabla11[[#This Row],[Cuenta]],1))</f>
        <v>0</v>
      </c>
      <c r="AF616" t="b">
        <f>+ISNUMBER(SEARCH('F-VTA'!$G$23,Tabla11[[#This Row],[Cuenta]],1))</f>
        <v>0</v>
      </c>
      <c r="AG616" t="b">
        <f>+ISNUMBER(SEARCH('F-VTA'!$G$24,Tabla11[[#This Row],[Cuenta]],1))</f>
        <v>0</v>
      </c>
      <c r="AH616" t="b">
        <f>+ISNUMBER(SEARCH('F-VTA'!$G$25,Tabla11[[#This Row],[Cuenta]],1))</f>
        <v>0</v>
      </c>
      <c r="AI616" t="b">
        <f>+ISNUMBER(SEARCH('F-VTA'!$F$28,Tabla11[[#This Row],[Cuenta]],1))</f>
        <v>1</v>
      </c>
      <c r="AJ616" t="b">
        <f>+ISNUMBER(SEARCH('F-VTA'!$F$29,Tabla11[[#This Row],[Cuenta]],1))</f>
        <v>1</v>
      </c>
      <c r="AK616" t="b">
        <f>+ISNUMBER(SEARCH('F-VTA'!$F$30,Tabla11[[#This Row],[Cuenta]],1))</f>
        <v>1</v>
      </c>
      <c r="AL616" t="b">
        <f>+ISNUMBER(SEARCH('F-VTA'!$F$31,Tabla11[[#This Row],[Cuenta]],1))</f>
        <v>1</v>
      </c>
      <c r="AM616" t="b">
        <f>+ISNUMBER(SEARCH('F-VTA'!$F$32,Tabla11[[#This Row],[Cuenta]],1))</f>
        <v>1</v>
      </c>
      <c r="AN616" t="b">
        <f>+ISNUMBER(SEARCH('F-VTA'!$F$33,Tabla11[[#This Row],[Cuenta]],1))</f>
        <v>1</v>
      </c>
      <c r="AO616" t="b">
        <f>+ISNUMBER(SEARCH('F-VTA'!$F$34,Tabla11[[#This Row],[Cuenta]],1))</f>
        <v>1</v>
      </c>
      <c r="AP616" t="b">
        <f>+ISNUMBER(SEARCH('F-VTA'!$F$35,Tabla11[[#This Row],[Cuenta]],1))</f>
        <v>1</v>
      </c>
      <c r="AQ616" t="b">
        <f>+ISNUMBER(SEARCH('F-VTA'!$F$36,Tabla11[[#This Row],[Cuenta]],1))</f>
        <v>1</v>
      </c>
      <c r="AR616" t="b">
        <f>+ISNUMBER(SEARCH(#REF!,Tabla11[[#This Row],[Cuenta]],1))</f>
        <v>0</v>
      </c>
      <c r="AS616" t="b">
        <f>+ISNUMBER(SEARCH(#REF!,Tabla11[[#This Row],[Cuenta]],1))</f>
        <v>0</v>
      </c>
      <c r="AT616" t="b">
        <f>+ISNUMBER(SEARCH(#REF!,Tabla11[[#This Row],[Cuenta]],1))</f>
        <v>0</v>
      </c>
      <c r="AU616" t="b">
        <f>+ISNUMBER(SEARCH('Conc. Ban.1'!$I$9,Tabla11[[#This Row],[Cuenta]],1))</f>
        <v>0</v>
      </c>
      <c r="AV616" t="b">
        <f>+ISNUMBER(SEARCH(CompConta!$F$21,Tabla11[[#This Row],[Cuenta]],1))</f>
        <v>1</v>
      </c>
      <c r="AW616" t="b">
        <f>+ISNUMBER(SEARCH(CompConta!$F$22,Tabla11[[#This Row],[Cuenta]],1))</f>
        <v>1</v>
      </c>
      <c r="AX616" t="b">
        <f>+ISNUMBER(SEARCH(CompConta!$F$23,Tabla11[[#This Row],[Cuenta]],1))</f>
        <v>1</v>
      </c>
      <c r="AY616" t="b">
        <f>+ISNUMBER(SEARCH(CompConta!$F$24,Tabla11[[#This Row],[Cuenta]],1))</f>
        <v>1</v>
      </c>
      <c r="AZ616" t="b">
        <f>+ISNUMBER(SEARCH(CompConta!$F$25,Tabla11[[#This Row],[Cuenta]],1))</f>
        <v>1</v>
      </c>
      <c r="BA616" t="b">
        <f>+ISNUMBER(SEARCH(CompConta!$F$26,Tabla11[[#This Row],[Cuenta]],1))</f>
        <v>1</v>
      </c>
      <c r="BB616" t="b">
        <f>+ISNUMBER(SEARCH(CompConta!$F$27,Tabla11[[#This Row],[Cuenta]],1))</f>
        <v>1</v>
      </c>
      <c r="BC616" t="b">
        <f>+ISNUMBER(SEARCH(CompConta!$F$28,Tabla11[[#This Row],[Cuenta]],1))</f>
        <v>1</v>
      </c>
      <c r="BD616" t="b">
        <f>+ISNUMBER(SEARCH(CompConta!$F$29,Tabla11[[#This Row],[Cuenta]],1))</f>
        <v>1</v>
      </c>
      <c r="BE616" t="b">
        <f>+ISNUMBER(SEARCH(CompConta!$F$30,Tabla11[[#This Row],[Cuenta]],1))</f>
        <v>1</v>
      </c>
      <c r="BF616" t="b">
        <f>+ISNUMBER(SEARCH('PAGO Compras'!$E$11,Tabla11[[#This Row],[Cuenta]],1))</f>
        <v>1</v>
      </c>
      <c r="BG616" t="b">
        <f>+ISNUMBER(SEARCH(#REF!,Tabla11[[#This Row],[Cuenta]],1))</f>
        <v>0</v>
      </c>
      <c r="BH616" t="b">
        <f>+ISNUMBER(SEARCH(#REF!,Tabla11[[#This Row],[Cuenta]],1))</f>
        <v>0</v>
      </c>
      <c r="BI616" t="b">
        <f>+ISNUMBER(SEARCH(#REF!,Tabla11[[#This Row],[Cuenta]],1))</f>
        <v>0</v>
      </c>
      <c r="BJ616" t="b">
        <f>+ISNUMBER(SEARCH(#REF!,Tabla11[[#This Row],[Cuenta]],1))</f>
        <v>0</v>
      </c>
      <c r="BS616" t="str">
        <v>281505 Valores recibidos para terceros</v>
      </c>
      <c r="BT616" t="str">
        <v>281505 Valores recibidos para terceros</v>
      </c>
      <c r="BU616" t="str">
        <v>281505 Valores recibidos para terceros</v>
      </c>
      <c r="BV616" t="str">
        <v>281505 Valores recibidos para terceros</v>
      </c>
      <c r="BZ616" t="str">
        <v>281505 Valores recibidos para terceros</v>
      </c>
      <c r="CA616" t="str">
        <v>281505 Valores recibidos para terceros</v>
      </c>
      <c r="CB616" t="str">
        <v>281505 Valores recibidos para terceros</v>
      </c>
      <c r="CC616" t="str">
        <v>281505 Valores recibidos para terceros</v>
      </c>
      <c r="CD616" t="str">
        <v>281505 Valores recibidos para terceros</v>
      </c>
      <c r="CE616" t="str">
        <v>281505 Valores recibidos para terceros</v>
      </c>
      <c r="CS616" s="141" t="str">
        <v>281505 Valores recibidos para terceros</v>
      </c>
      <c r="CT616" s="141" t="str">
        <v>281505 Valores recibidos para terceros</v>
      </c>
      <c r="CU616" s="141" t="str">
        <v>281505 Valores recibidos para terceros</v>
      </c>
      <c r="CV616" s="141" t="str">
        <v>281505 Valores recibidos para terceros</v>
      </c>
      <c r="CW616" s="141" t="str">
        <v>281505 Valores recibidos para terceros</v>
      </c>
      <c r="CX616" s="141" t="str">
        <v>281505 Valores recibidos para terceros</v>
      </c>
      <c r="CY616" s="141" t="str">
        <v>281505 Valores recibidos para terceros</v>
      </c>
      <c r="CZ616" s="141" t="str">
        <v>281505 Valores recibidos para terceros</v>
      </c>
      <c r="DA616" s="141" t="str">
        <v>281505 Valores recibidos para terceros</v>
      </c>
      <c r="DF616" t="str">
        <v>281505 Valores recibidos para terceros</v>
      </c>
      <c r="DG616" t="str">
        <v>281505 Valores recibidos para terceros</v>
      </c>
      <c r="DH616" t="str">
        <v>281505 Valores recibidos para terceros</v>
      </c>
      <c r="DI616" t="str">
        <v>281505 Valores recibidos para terceros</v>
      </c>
      <c r="DJ616" t="str">
        <v>281505 Valores recibidos para terceros</v>
      </c>
      <c r="DK616" t="str">
        <v>281505 Valores recibidos para terceros</v>
      </c>
      <c r="DL616" t="str">
        <v>281505 Valores recibidos para terceros</v>
      </c>
      <c r="DM616" t="str">
        <v>281505 Valores recibidos para terceros</v>
      </c>
      <c r="DN616" t="str">
        <v>281505 Valores recibidos para terceros</v>
      </c>
      <c r="DO616" t="str">
        <v>281505 Valores recibidos para terceros</v>
      </c>
      <c r="DP616" t="str">
        <v>281505 Valores recibidos para terceros</v>
      </c>
    </row>
    <row r="617" spans="4:120" ht="12.75">
      <c r="D617" s="7">
        <v>281510</v>
      </c>
      <c r="E617" s="6" t="s">
        <v>452</v>
      </c>
      <c r="F617" s="5">
        <v>4</v>
      </c>
      <c r="G617" s="34" t="s">
        <v>823</v>
      </c>
      <c r="H617" s="26" t="s">
        <v>765</v>
      </c>
      <c r="I617" t="b">
        <f>+ISNUMBER(SEARCH('F-COMPRA'!$F$28,Tabla11[[#This Row],[Cuenta]],1))</f>
        <v>1</v>
      </c>
      <c r="J617" t="b">
        <f>+ISNUMBER(SEARCH('F-COMPRA'!$F$29,Tabla11[[#This Row],[Cuenta]],1))</f>
        <v>1</v>
      </c>
      <c r="K617" t="b">
        <f>+ISNUMBER(SEARCH('F-COMPRA'!$F$30,Tabla11[[#This Row],[Cuenta]],1))</f>
        <v>1</v>
      </c>
      <c r="L617" t="b">
        <f>+ISNUMBER(SEARCH('F-COMPRA'!$F$31,Tabla11[[#This Row],[Cuenta]],1))</f>
        <v>1</v>
      </c>
      <c r="M617" t="b">
        <f>+ISNUMBER(SEARCH('F-COMPRA'!$G$25,Tabla11[[#This Row],[Cuenta]],1))</f>
        <v>0</v>
      </c>
      <c r="N617" t="b">
        <f>+ISNUMBER(SEARCH(#REF!,Tabla11[[#This Row],[Cuenta]],1))</f>
        <v>0</v>
      </c>
      <c r="O617" t="b">
        <f>+ISNUMBER(SEARCH(#REF!,Tabla11[[#This Row],[Cuenta]],1))</f>
        <v>0</v>
      </c>
      <c r="P617" t="b">
        <f>+ISNUMBER(SEARCH('F-COMPRA'!$F$32,Tabla11[[#This Row],[Cuenta]],1))</f>
        <v>1</v>
      </c>
      <c r="Q617" t="b">
        <f>+ISNUMBER(SEARCH('F-COMPRA'!$F$33,Tabla11[[#This Row],[Cuenta]],1))</f>
        <v>1</v>
      </c>
      <c r="R617" t="b">
        <f>+ISNUMBER(SEARCH('F-COMPRA'!$F$34,Tabla11[[#This Row],[Cuenta]],1))</f>
        <v>1</v>
      </c>
      <c r="S617" t="b">
        <f>+ISNUMBER(SEARCH('F-COMPRA'!$F$35,Tabla11[[#This Row],[Cuenta]],1))</f>
        <v>1</v>
      </c>
      <c r="T617" t="b">
        <f>+ISNUMBER(SEARCH('F-COMPRA'!$F$36,Tabla11[[#This Row],[Cuenta]],1))</f>
        <v>1</v>
      </c>
      <c r="U617" t="b">
        <f>+ISNUMBER(SEARCH('F-COMPRA'!$F$37,Tabla11[[#This Row],[Cuenta]],1))</f>
        <v>1</v>
      </c>
      <c r="V617" t="b">
        <f>+ISNUMBER(SEARCH(#REF!,Tabla11[[#This Row],[Cuenta]],1))</f>
        <v>0</v>
      </c>
      <c r="W617" t="b">
        <f>+ISNUMBER(SEARCH('F-COMPRA'!#REF!,Tabla11[[#This Row],[Cuenta]],1))</f>
        <v>0</v>
      </c>
      <c r="X617" t="b">
        <f>+ISNUMBER(SEARCH('F-COMPRA'!#REF!,Tabla11[[#This Row],[Cuenta]],1))</f>
        <v>0</v>
      </c>
      <c r="Y617" t="b">
        <f>+ISNUMBER(SEARCH('F-COMPRA'!#REF!,Tabla11[[#This Row],[Cuenta]],1))</f>
        <v>0</v>
      </c>
      <c r="Z617" t="b">
        <f>+ISNUMBER(SEARCH('F-COMPRA'!#REF!,Tabla11[[#This Row],[Cuenta]],1))</f>
        <v>0</v>
      </c>
      <c r="AA617" t="b">
        <f>+ISNUMBER(SEARCH('F-COMPRA'!#REF!,Tabla11[[#This Row],[Cuenta]],1))</f>
        <v>0</v>
      </c>
      <c r="AB617" t="b">
        <f>+ISNUMBER(SEARCH('F-COMPRA'!#REF!,Tabla11[[#This Row],[Cuenta]],1))</f>
        <v>0</v>
      </c>
      <c r="AC617" t="b">
        <f>+ISNUMBER(SEARCH('F-COMPRA'!#REF!,Tabla11[[#This Row],[Cuenta]],1))</f>
        <v>0</v>
      </c>
      <c r="AD617" t="b">
        <f>+ISNUMBER(SEARCH('F-COMPRA'!#REF!,Tabla11[[#This Row],[Cuenta]],1))</f>
        <v>0</v>
      </c>
      <c r="AE617" t="b">
        <f>+ISNUMBER(SEARCH('F-COMPRA'!#REF!,Tabla11[[#This Row],[Cuenta]],1))</f>
        <v>0</v>
      </c>
      <c r="AF617" t="b">
        <f>+ISNUMBER(SEARCH('F-VTA'!$G$23,Tabla11[[#This Row],[Cuenta]],1))</f>
        <v>0</v>
      </c>
      <c r="AG617" t="b">
        <f>+ISNUMBER(SEARCH('F-VTA'!$G$24,Tabla11[[#This Row],[Cuenta]],1))</f>
        <v>0</v>
      </c>
      <c r="AH617" t="b">
        <f>+ISNUMBER(SEARCH('F-VTA'!$G$25,Tabla11[[#This Row],[Cuenta]],1))</f>
        <v>0</v>
      </c>
      <c r="AI617" t="b">
        <f>+ISNUMBER(SEARCH('F-VTA'!$F$28,Tabla11[[#This Row],[Cuenta]],1))</f>
        <v>1</v>
      </c>
      <c r="AJ617" t="b">
        <f>+ISNUMBER(SEARCH('F-VTA'!$F$29,Tabla11[[#This Row],[Cuenta]],1))</f>
        <v>1</v>
      </c>
      <c r="AK617" t="b">
        <f>+ISNUMBER(SEARCH('F-VTA'!$F$30,Tabla11[[#This Row],[Cuenta]],1))</f>
        <v>1</v>
      </c>
      <c r="AL617" t="b">
        <f>+ISNUMBER(SEARCH('F-VTA'!$F$31,Tabla11[[#This Row],[Cuenta]],1))</f>
        <v>1</v>
      </c>
      <c r="AM617" t="b">
        <f>+ISNUMBER(SEARCH('F-VTA'!$F$32,Tabla11[[#This Row],[Cuenta]],1))</f>
        <v>1</v>
      </c>
      <c r="AN617" t="b">
        <f>+ISNUMBER(SEARCH('F-VTA'!$F$33,Tabla11[[#This Row],[Cuenta]],1))</f>
        <v>1</v>
      </c>
      <c r="AO617" t="b">
        <f>+ISNUMBER(SEARCH('F-VTA'!$F$34,Tabla11[[#This Row],[Cuenta]],1))</f>
        <v>1</v>
      </c>
      <c r="AP617" t="b">
        <f>+ISNUMBER(SEARCH('F-VTA'!$F$35,Tabla11[[#This Row],[Cuenta]],1))</f>
        <v>1</v>
      </c>
      <c r="AQ617" t="b">
        <f>+ISNUMBER(SEARCH('F-VTA'!$F$36,Tabla11[[#This Row],[Cuenta]],1))</f>
        <v>1</v>
      </c>
      <c r="AR617" t="b">
        <f>+ISNUMBER(SEARCH(#REF!,Tabla11[[#This Row],[Cuenta]],1))</f>
        <v>0</v>
      </c>
      <c r="AS617" t="b">
        <f>+ISNUMBER(SEARCH(#REF!,Tabla11[[#This Row],[Cuenta]],1))</f>
        <v>0</v>
      </c>
      <c r="AT617" t="b">
        <f>+ISNUMBER(SEARCH(#REF!,Tabla11[[#This Row],[Cuenta]],1))</f>
        <v>0</v>
      </c>
      <c r="AU617" t="b">
        <f>+ISNUMBER(SEARCH('Conc. Ban.1'!$I$9,Tabla11[[#This Row],[Cuenta]],1))</f>
        <v>0</v>
      </c>
      <c r="AV617" t="b">
        <f>+ISNUMBER(SEARCH(CompConta!$F$21,Tabla11[[#This Row],[Cuenta]],1))</f>
        <v>1</v>
      </c>
      <c r="AW617" t="b">
        <f>+ISNUMBER(SEARCH(CompConta!$F$22,Tabla11[[#This Row],[Cuenta]],1))</f>
        <v>1</v>
      </c>
      <c r="AX617" t="b">
        <f>+ISNUMBER(SEARCH(CompConta!$F$23,Tabla11[[#This Row],[Cuenta]],1))</f>
        <v>1</v>
      </c>
      <c r="AY617" t="b">
        <f>+ISNUMBER(SEARCH(CompConta!$F$24,Tabla11[[#This Row],[Cuenta]],1))</f>
        <v>1</v>
      </c>
      <c r="AZ617" t="b">
        <f>+ISNUMBER(SEARCH(CompConta!$F$25,Tabla11[[#This Row],[Cuenta]],1))</f>
        <v>1</v>
      </c>
      <c r="BA617" t="b">
        <f>+ISNUMBER(SEARCH(CompConta!$F$26,Tabla11[[#This Row],[Cuenta]],1))</f>
        <v>1</v>
      </c>
      <c r="BB617" t="b">
        <f>+ISNUMBER(SEARCH(CompConta!$F$27,Tabla11[[#This Row],[Cuenta]],1))</f>
        <v>1</v>
      </c>
      <c r="BC617" t="b">
        <f>+ISNUMBER(SEARCH(CompConta!$F$28,Tabla11[[#This Row],[Cuenta]],1))</f>
        <v>1</v>
      </c>
      <c r="BD617" t="b">
        <f>+ISNUMBER(SEARCH(CompConta!$F$29,Tabla11[[#This Row],[Cuenta]],1))</f>
        <v>1</v>
      </c>
      <c r="BE617" t="b">
        <f>+ISNUMBER(SEARCH(CompConta!$F$30,Tabla11[[#This Row],[Cuenta]],1))</f>
        <v>1</v>
      </c>
      <c r="BF617" t="b">
        <f>+ISNUMBER(SEARCH('PAGO Compras'!$E$11,Tabla11[[#This Row],[Cuenta]],1))</f>
        <v>1</v>
      </c>
      <c r="BG617" t="b">
        <f>+ISNUMBER(SEARCH(#REF!,Tabla11[[#This Row],[Cuenta]],1))</f>
        <v>0</v>
      </c>
      <c r="BH617" t="b">
        <f>+ISNUMBER(SEARCH(#REF!,Tabla11[[#This Row],[Cuenta]],1))</f>
        <v>0</v>
      </c>
      <c r="BI617" t="b">
        <f>+ISNUMBER(SEARCH(#REF!,Tabla11[[#This Row],[Cuenta]],1))</f>
        <v>0</v>
      </c>
      <c r="BJ617" t="b">
        <f>+ISNUMBER(SEARCH(#REF!,Tabla11[[#This Row],[Cuenta]],1))</f>
        <v>0</v>
      </c>
      <c r="BS617" t="str">
        <v>281510 Venta por cuenta de terceros</v>
      </c>
      <c r="BT617" t="str">
        <v>281510 Venta por cuenta de terceros</v>
      </c>
      <c r="BU617" t="str">
        <v>281510 Venta por cuenta de terceros</v>
      </c>
      <c r="BV617" t="str">
        <v>281510 Venta por cuenta de terceros</v>
      </c>
      <c r="BZ617" t="str">
        <v>281510 Venta por cuenta de terceros</v>
      </c>
      <c r="CA617" t="str">
        <v>281510 Venta por cuenta de terceros</v>
      </c>
      <c r="CB617" t="str">
        <v>281510 Venta por cuenta de terceros</v>
      </c>
      <c r="CC617" t="str">
        <v>281510 Venta por cuenta de terceros</v>
      </c>
      <c r="CD617" t="str">
        <v>281510 Venta por cuenta de terceros</v>
      </c>
      <c r="CE617" t="str">
        <v>281510 Venta por cuenta de terceros</v>
      </c>
      <c r="CS617" s="141" t="str">
        <v>281510 Venta por cuenta de terceros</v>
      </c>
      <c r="CT617" s="141" t="str">
        <v>281510 Venta por cuenta de terceros</v>
      </c>
      <c r="CU617" s="141" t="str">
        <v>281510 Venta por cuenta de terceros</v>
      </c>
      <c r="CV617" s="141" t="str">
        <v>281510 Venta por cuenta de terceros</v>
      </c>
      <c r="CW617" s="141" t="str">
        <v>281510 Venta por cuenta de terceros</v>
      </c>
      <c r="CX617" s="141" t="str">
        <v>281510 Venta por cuenta de terceros</v>
      </c>
      <c r="CY617" s="141" t="str">
        <v>281510 Venta por cuenta de terceros</v>
      </c>
      <c r="CZ617" s="141" t="str">
        <v>281510 Venta por cuenta de terceros</v>
      </c>
      <c r="DA617" s="141" t="str">
        <v>281510 Venta por cuenta de terceros</v>
      </c>
      <c r="DF617" t="str">
        <v>281510 Venta por cuenta de terceros</v>
      </c>
      <c r="DG617" t="str">
        <v>281510 Venta por cuenta de terceros</v>
      </c>
      <c r="DH617" t="str">
        <v>281510 Venta por cuenta de terceros</v>
      </c>
      <c r="DI617" t="str">
        <v>281510 Venta por cuenta de terceros</v>
      </c>
      <c r="DJ617" t="str">
        <v>281510 Venta por cuenta de terceros</v>
      </c>
      <c r="DK617" t="str">
        <v>281510 Venta por cuenta de terceros</v>
      </c>
      <c r="DL617" t="str">
        <v>281510 Venta por cuenta de terceros</v>
      </c>
      <c r="DM617" t="str">
        <v>281510 Venta por cuenta de terceros</v>
      </c>
      <c r="DN617" t="str">
        <v>281510 Venta por cuenta de terceros</v>
      </c>
      <c r="DO617" t="str">
        <v>281510 Venta por cuenta de terceros</v>
      </c>
      <c r="DP617" t="str">
        <v>281510 Venta por cuenta de terceros</v>
      </c>
    </row>
    <row r="618" spans="4:120" ht="12.75">
      <c r="D618" s="7">
        <v>2820</v>
      </c>
      <c r="E618" s="6" t="s">
        <v>70</v>
      </c>
      <c r="F618" s="5">
        <v>3</v>
      </c>
      <c r="G618" s="34" t="s">
        <v>823</v>
      </c>
      <c r="H618" s="26" t="s">
        <v>765</v>
      </c>
      <c r="I618" t="b">
        <f>+ISNUMBER(SEARCH('F-COMPRA'!$F$28,Tabla11[[#This Row],[Cuenta]],1))</f>
        <v>1</v>
      </c>
      <c r="J618" t="b">
        <f>+ISNUMBER(SEARCH('F-COMPRA'!$F$29,Tabla11[[#This Row],[Cuenta]],1))</f>
        <v>1</v>
      </c>
      <c r="K618" t="b">
        <f>+ISNUMBER(SEARCH('F-COMPRA'!$F$30,Tabla11[[#This Row],[Cuenta]],1))</f>
        <v>1</v>
      </c>
      <c r="L618" t="b">
        <f>+ISNUMBER(SEARCH('F-COMPRA'!$F$31,Tabla11[[#This Row],[Cuenta]],1))</f>
        <v>1</v>
      </c>
      <c r="M618" t="b">
        <f>+ISNUMBER(SEARCH('F-COMPRA'!$G$25,Tabla11[[#This Row],[Cuenta]],1))</f>
        <v>0</v>
      </c>
      <c r="N618" t="b">
        <f>+ISNUMBER(SEARCH(#REF!,Tabla11[[#This Row],[Cuenta]],1))</f>
        <v>0</v>
      </c>
      <c r="O618" t="b">
        <f>+ISNUMBER(SEARCH(#REF!,Tabla11[[#This Row],[Cuenta]],1))</f>
        <v>0</v>
      </c>
      <c r="P618" t="b">
        <f>+ISNUMBER(SEARCH('F-COMPRA'!$F$32,Tabla11[[#This Row],[Cuenta]],1))</f>
        <v>1</v>
      </c>
      <c r="Q618" t="b">
        <f>+ISNUMBER(SEARCH('F-COMPRA'!$F$33,Tabla11[[#This Row],[Cuenta]],1))</f>
        <v>1</v>
      </c>
      <c r="R618" t="b">
        <f>+ISNUMBER(SEARCH('F-COMPRA'!$F$34,Tabla11[[#This Row],[Cuenta]],1))</f>
        <v>1</v>
      </c>
      <c r="S618" t="b">
        <f>+ISNUMBER(SEARCH('F-COMPRA'!$F$35,Tabla11[[#This Row],[Cuenta]],1))</f>
        <v>1</v>
      </c>
      <c r="T618" t="b">
        <f>+ISNUMBER(SEARCH('F-COMPRA'!$F$36,Tabla11[[#This Row],[Cuenta]],1))</f>
        <v>1</v>
      </c>
      <c r="U618" t="b">
        <f>+ISNUMBER(SEARCH('F-COMPRA'!$F$37,Tabla11[[#This Row],[Cuenta]],1))</f>
        <v>1</v>
      </c>
      <c r="V618" t="b">
        <f>+ISNUMBER(SEARCH(#REF!,Tabla11[[#This Row],[Cuenta]],1))</f>
        <v>0</v>
      </c>
      <c r="W618" t="b">
        <f>+ISNUMBER(SEARCH('F-COMPRA'!#REF!,Tabla11[[#This Row],[Cuenta]],1))</f>
        <v>0</v>
      </c>
      <c r="X618" t="b">
        <f>+ISNUMBER(SEARCH('F-COMPRA'!#REF!,Tabla11[[#This Row],[Cuenta]],1))</f>
        <v>0</v>
      </c>
      <c r="Y618" t="b">
        <f>+ISNUMBER(SEARCH('F-COMPRA'!#REF!,Tabla11[[#This Row],[Cuenta]],1))</f>
        <v>0</v>
      </c>
      <c r="Z618" t="b">
        <f>+ISNUMBER(SEARCH('F-COMPRA'!#REF!,Tabla11[[#This Row],[Cuenta]],1))</f>
        <v>0</v>
      </c>
      <c r="AA618" t="b">
        <f>+ISNUMBER(SEARCH('F-COMPRA'!#REF!,Tabla11[[#This Row],[Cuenta]],1))</f>
        <v>0</v>
      </c>
      <c r="AB618" t="b">
        <f>+ISNUMBER(SEARCH('F-COMPRA'!#REF!,Tabla11[[#This Row],[Cuenta]],1))</f>
        <v>0</v>
      </c>
      <c r="AC618" t="b">
        <f>+ISNUMBER(SEARCH('F-COMPRA'!#REF!,Tabla11[[#This Row],[Cuenta]],1))</f>
        <v>0</v>
      </c>
      <c r="AD618" t="b">
        <f>+ISNUMBER(SEARCH('F-COMPRA'!#REF!,Tabla11[[#This Row],[Cuenta]],1))</f>
        <v>0</v>
      </c>
      <c r="AE618" t="b">
        <f>+ISNUMBER(SEARCH('F-COMPRA'!#REF!,Tabla11[[#This Row],[Cuenta]],1))</f>
        <v>0</v>
      </c>
      <c r="AF618" t="b">
        <f>+ISNUMBER(SEARCH('F-VTA'!$G$23,Tabla11[[#This Row],[Cuenta]],1))</f>
        <v>0</v>
      </c>
      <c r="AG618" t="b">
        <f>+ISNUMBER(SEARCH('F-VTA'!$G$24,Tabla11[[#This Row],[Cuenta]],1))</f>
        <v>0</v>
      </c>
      <c r="AH618" t="b">
        <f>+ISNUMBER(SEARCH('F-VTA'!$G$25,Tabla11[[#This Row],[Cuenta]],1))</f>
        <v>0</v>
      </c>
      <c r="AI618" t="b">
        <f>+ISNUMBER(SEARCH('F-VTA'!$F$28,Tabla11[[#This Row],[Cuenta]],1))</f>
        <v>1</v>
      </c>
      <c r="AJ618" t="b">
        <f>+ISNUMBER(SEARCH('F-VTA'!$F$29,Tabla11[[#This Row],[Cuenta]],1))</f>
        <v>1</v>
      </c>
      <c r="AK618" t="b">
        <f>+ISNUMBER(SEARCH('F-VTA'!$F$30,Tabla11[[#This Row],[Cuenta]],1))</f>
        <v>1</v>
      </c>
      <c r="AL618" t="b">
        <f>+ISNUMBER(SEARCH('F-VTA'!$F$31,Tabla11[[#This Row],[Cuenta]],1))</f>
        <v>1</v>
      </c>
      <c r="AM618" t="b">
        <f>+ISNUMBER(SEARCH('F-VTA'!$F$32,Tabla11[[#This Row],[Cuenta]],1))</f>
        <v>1</v>
      </c>
      <c r="AN618" t="b">
        <f>+ISNUMBER(SEARCH('F-VTA'!$F$33,Tabla11[[#This Row],[Cuenta]],1))</f>
        <v>1</v>
      </c>
      <c r="AO618" t="b">
        <f>+ISNUMBER(SEARCH('F-VTA'!$F$34,Tabla11[[#This Row],[Cuenta]],1))</f>
        <v>1</v>
      </c>
      <c r="AP618" t="b">
        <f>+ISNUMBER(SEARCH('F-VTA'!$F$35,Tabla11[[#This Row],[Cuenta]],1))</f>
        <v>1</v>
      </c>
      <c r="AQ618" t="b">
        <f>+ISNUMBER(SEARCH('F-VTA'!$F$36,Tabla11[[#This Row],[Cuenta]],1))</f>
        <v>1</v>
      </c>
      <c r="AR618" t="b">
        <f>+ISNUMBER(SEARCH(#REF!,Tabla11[[#This Row],[Cuenta]],1))</f>
        <v>0</v>
      </c>
      <c r="AS618" t="b">
        <f>+ISNUMBER(SEARCH(#REF!,Tabla11[[#This Row],[Cuenta]],1))</f>
        <v>0</v>
      </c>
      <c r="AT618" t="b">
        <f>+ISNUMBER(SEARCH(#REF!,Tabla11[[#This Row],[Cuenta]],1))</f>
        <v>0</v>
      </c>
      <c r="AU618" t="b">
        <f>+ISNUMBER(SEARCH('Conc. Ban.1'!$I$9,Tabla11[[#This Row],[Cuenta]],1))</f>
        <v>0</v>
      </c>
      <c r="AV618" t="b">
        <f>+ISNUMBER(SEARCH(CompConta!$F$21,Tabla11[[#This Row],[Cuenta]],1))</f>
        <v>1</v>
      </c>
      <c r="AW618" t="b">
        <f>+ISNUMBER(SEARCH(CompConta!$F$22,Tabla11[[#This Row],[Cuenta]],1))</f>
        <v>1</v>
      </c>
      <c r="AX618" t="b">
        <f>+ISNUMBER(SEARCH(CompConta!$F$23,Tabla11[[#This Row],[Cuenta]],1))</f>
        <v>1</v>
      </c>
      <c r="AY618" t="b">
        <f>+ISNUMBER(SEARCH(CompConta!$F$24,Tabla11[[#This Row],[Cuenta]],1))</f>
        <v>1</v>
      </c>
      <c r="AZ618" t="b">
        <f>+ISNUMBER(SEARCH(CompConta!$F$25,Tabla11[[#This Row],[Cuenta]],1))</f>
        <v>1</v>
      </c>
      <c r="BA618" t="b">
        <f>+ISNUMBER(SEARCH(CompConta!$F$26,Tabla11[[#This Row],[Cuenta]],1))</f>
        <v>1</v>
      </c>
      <c r="BB618" t="b">
        <f>+ISNUMBER(SEARCH(CompConta!$F$27,Tabla11[[#This Row],[Cuenta]],1))</f>
        <v>1</v>
      </c>
      <c r="BC618" t="b">
        <f>+ISNUMBER(SEARCH(CompConta!$F$28,Tabla11[[#This Row],[Cuenta]],1))</f>
        <v>1</v>
      </c>
      <c r="BD618" t="b">
        <f>+ISNUMBER(SEARCH(CompConta!$F$29,Tabla11[[#This Row],[Cuenta]],1))</f>
        <v>1</v>
      </c>
      <c r="BE618" t="b">
        <f>+ISNUMBER(SEARCH(CompConta!$F$30,Tabla11[[#This Row],[Cuenta]],1))</f>
        <v>1</v>
      </c>
      <c r="BF618" t="b">
        <f>+ISNUMBER(SEARCH('PAGO Compras'!$E$11,Tabla11[[#This Row],[Cuenta]],1))</f>
        <v>1</v>
      </c>
      <c r="BG618" t="b">
        <f>+ISNUMBER(SEARCH(#REF!,Tabla11[[#This Row],[Cuenta]],1))</f>
        <v>0</v>
      </c>
      <c r="BH618" t="b">
        <f>+ISNUMBER(SEARCH(#REF!,Tabla11[[#This Row],[Cuenta]],1))</f>
        <v>0</v>
      </c>
      <c r="BI618" t="b">
        <f>+ISNUMBER(SEARCH(#REF!,Tabla11[[#This Row],[Cuenta]],1))</f>
        <v>0</v>
      </c>
      <c r="BJ618" t="b">
        <f>+ISNUMBER(SEARCH(#REF!,Tabla11[[#This Row],[Cuenta]],1))</f>
        <v>0</v>
      </c>
      <c r="BS618" t="str">
        <v>2820 CUENTAS DE OPERACIÓN CONJUNTA</v>
      </c>
      <c r="BT618" t="str">
        <v>2820 CUENTAS DE OPERACIÓN CONJUNTA</v>
      </c>
      <c r="BU618" t="str">
        <v>2820 CUENTAS DE OPERACIÓN CONJUNTA</v>
      </c>
      <c r="BV618" t="str">
        <v>2820 CUENTAS DE OPERACIÓN CONJUNTA</v>
      </c>
      <c r="BZ618" t="str">
        <v>2820 CUENTAS DE OPERACIÓN CONJUNTA</v>
      </c>
      <c r="CA618" t="str">
        <v>2820 CUENTAS DE OPERACIÓN CONJUNTA</v>
      </c>
      <c r="CB618" t="str">
        <v>2820 CUENTAS DE OPERACIÓN CONJUNTA</v>
      </c>
      <c r="CC618" t="str">
        <v>2820 CUENTAS DE OPERACIÓN CONJUNTA</v>
      </c>
      <c r="CD618" t="str">
        <v>2820 CUENTAS DE OPERACIÓN CONJUNTA</v>
      </c>
      <c r="CE618" t="str">
        <v>2820 CUENTAS DE OPERACIÓN CONJUNTA</v>
      </c>
      <c r="CS618" s="141" t="str">
        <v>2820 CUENTAS DE OPERACIÓN CONJUNTA</v>
      </c>
      <c r="CT618" s="141" t="str">
        <v>2820 CUENTAS DE OPERACIÓN CONJUNTA</v>
      </c>
      <c r="CU618" s="141" t="str">
        <v>2820 CUENTAS DE OPERACIÓN CONJUNTA</v>
      </c>
      <c r="CV618" s="141" t="str">
        <v>2820 CUENTAS DE OPERACIÓN CONJUNTA</v>
      </c>
      <c r="CW618" s="141" t="str">
        <v>2820 CUENTAS DE OPERACIÓN CONJUNTA</v>
      </c>
      <c r="CX618" s="141" t="str">
        <v>2820 CUENTAS DE OPERACIÓN CONJUNTA</v>
      </c>
      <c r="CY618" s="141" t="str">
        <v>2820 CUENTAS DE OPERACIÓN CONJUNTA</v>
      </c>
      <c r="CZ618" s="141" t="str">
        <v>2820 CUENTAS DE OPERACIÓN CONJUNTA</v>
      </c>
      <c r="DA618" s="141" t="str">
        <v>2820 CUENTAS DE OPERACIÓN CONJUNTA</v>
      </c>
      <c r="DF618" t="str">
        <v>2820 CUENTAS DE OPERACIÓN CONJUNTA</v>
      </c>
      <c r="DG618" t="str">
        <v>2820 CUENTAS DE OPERACIÓN CONJUNTA</v>
      </c>
      <c r="DH618" t="str">
        <v>2820 CUENTAS DE OPERACIÓN CONJUNTA</v>
      </c>
      <c r="DI618" t="str">
        <v>2820 CUENTAS DE OPERACIÓN CONJUNTA</v>
      </c>
      <c r="DJ618" t="str">
        <v>2820 CUENTAS DE OPERACIÓN CONJUNTA</v>
      </c>
      <c r="DK618" t="str">
        <v>2820 CUENTAS DE OPERACIÓN CONJUNTA</v>
      </c>
      <c r="DL618" t="str">
        <v>2820 CUENTAS DE OPERACIÓN CONJUNTA</v>
      </c>
      <c r="DM618" t="str">
        <v>2820 CUENTAS DE OPERACIÓN CONJUNTA</v>
      </c>
      <c r="DN618" t="str">
        <v>2820 CUENTAS DE OPERACIÓN CONJUNTA</v>
      </c>
      <c r="DO618" t="str">
        <v>2820 CUENTAS DE OPERACIÓN CONJUNTA</v>
      </c>
      <c r="DP618" t="str">
        <v>2820 CUENTAS DE OPERACIÓN CONJUNTA</v>
      </c>
    </row>
    <row r="619" spans="4:120" ht="12.75">
      <c r="D619" s="7">
        <v>2825</v>
      </c>
      <c r="E619" s="6" t="s">
        <v>453</v>
      </c>
      <c r="F619" s="5">
        <v>3</v>
      </c>
      <c r="G619" s="34" t="s">
        <v>823</v>
      </c>
      <c r="H619" s="26" t="s">
        <v>765</v>
      </c>
      <c r="I619" t="b">
        <f>+ISNUMBER(SEARCH('F-COMPRA'!$F$28,Tabla11[[#This Row],[Cuenta]],1))</f>
        <v>1</v>
      </c>
      <c r="J619" t="b">
        <f>+ISNUMBER(SEARCH('F-COMPRA'!$F$29,Tabla11[[#This Row],[Cuenta]],1))</f>
        <v>1</v>
      </c>
      <c r="K619" t="b">
        <f>+ISNUMBER(SEARCH('F-COMPRA'!$F$30,Tabla11[[#This Row],[Cuenta]],1))</f>
        <v>1</v>
      </c>
      <c r="L619" t="b">
        <f>+ISNUMBER(SEARCH('F-COMPRA'!$F$31,Tabla11[[#This Row],[Cuenta]],1))</f>
        <v>1</v>
      </c>
      <c r="M619" t="b">
        <f>+ISNUMBER(SEARCH('F-COMPRA'!$G$25,Tabla11[[#This Row],[Cuenta]],1))</f>
        <v>0</v>
      </c>
      <c r="N619" t="b">
        <f>+ISNUMBER(SEARCH(#REF!,Tabla11[[#This Row],[Cuenta]],1))</f>
        <v>0</v>
      </c>
      <c r="O619" t="b">
        <f>+ISNUMBER(SEARCH(#REF!,Tabla11[[#This Row],[Cuenta]],1))</f>
        <v>0</v>
      </c>
      <c r="P619" t="b">
        <f>+ISNUMBER(SEARCH('F-COMPRA'!$F$32,Tabla11[[#This Row],[Cuenta]],1))</f>
        <v>1</v>
      </c>
      <c r="Q619" t="b">
        <f>+ISNUMBER(SEARCH('F-COMPRA'!$F$33,Tabla11[[#This Row],[Cuenta]],1))</f>
        <v>1</v>
      </c>
      <c r="R619" t="b">
        <f>+ISNUMBER(SEARCH('F-COMPRA'!$F$34,Tabla11[[#This Row],[Cuenta]],1))</f>
        <v>1</v>
      </c>
      <c r="S619" t="b">
        <f>+ISNUMBER(SEARCH('F-COMPRA'!$F$35,Tabla11[[#This Row],[Cuenta]],1))</f>
        <v>1</v>
      </c>
      <c r="T619" t="b">
        <f>+ISNUMBER(SEARCH('F-COMPRA'!$F$36,Tabla11[[#This Row],[Cuenta]],1))</f>
        <v>1</v>
      </c>
      <c r="U619" t="b">
        <f>+ISNUMBER(SEARCH('F-COMPRA'!$F$37,Tabla11[[#This Row],[Cuenta]],1))</f>
        <v>1</v>
      </c>
      <c r="V619" t="b">
        <f>+ISNUMBER(SEARCH(#REF!,Tabla11[[#This Row],[Cuenta]],1))</f>
        <v>0</v>
      </c>
      <c r="W619" t="b">
        <f>+ISNUMBER(SEARCH('F-COMPRA'!#REF!,Tabla11[[#This Row],[Cuenta]],1))</f>
        <v>0</v>
      </c>
      <c r="X619" t="b">
        <f>+ISNUMBER(SEARCH('F-COMPRA'!#REF!,Tabla11[[#This Row],[Cuenta]],1))</f>
        <v>0</v>
      </c>
      <c r="Y619" t="b">
        <f>+ISNUMBER(SEARCH('F-COMPRA'!#REF!,Tabla11[[#This Row],[Cuenta]],1))</f>
        <v>0</v>
      </c>
      <c r="Z619" t="b">
        <f>+ISNUMBER(SEARCH('F-COMPRA'!#REF!,Tabla11[[#This Row],[Cuenta]],1))</f>
        <v>0</v>
      </c>
      <c r="AA619" t="b">
        <f>+ISNUMBER(SEARCH('F-COMPRA'!#REF!,Tabla11[[#This Row],[Cuenta]],1))</f>
        <v>0</v>
      </c>
      <c r="AB619" t="b">
        <f>+ISNUMBER(SEARCH('F-COMPRA'!#REF!,Tabla11[[#This Row],[Cuenta]],1))</f>
        <v>0</v>
      </c>
      <c r="AC619" t="b">
        <f>+ISNUMBER(SEARCH('F-COMPRA'!#REF!,Tabla11[[#This Row],[Cuenta]],1))</f>
        <v>0</v>
      </c>
      <c r="AD619" t="b">
        <f>+ISNUMBER(SEARCH('F-COMPRA'!#REF!,Tabla11[[#This Row],[Cuenta]],1))</f>
        <v>0</v>
      </c>
      <c r="AE619" t="b">
        <f>+ISNUMBER(SEARCH('F-COMPRA'!#REF!,Tabla11[[#This Row],[Cuenta]],1))</f>
        <v>0</v>
      </c>
      <c r="AF619" t="b">
        <f>+ISNUMBER(SEARCH('F-VTA'!$G$23,Tabla11[[#This Row],[Cuenta]],1))</f>
        <v>0</v>
      </c>
      <c r="AG619" t="b">
        <f>+ISNUMBER(SEARCH('F-VTA'!$G$24,Tabla11[[#This Row],[Cuenta]],1))</f>
        <v>0</v>
      </c>
      <c r="AH619" t="b">
        <f>+ISNUMBER(SEARCH('F-VTA'!$G$25,Tabla11[[#This Row],[Cuenta]],1))</f>
        <v>0</v>
      </c>
      <c r="AI619" t="b">
        <f>+ISNUMBER(SEARCH('F-VTA'!$F$28,Tabla11[[#This Row],[Cuenta]],1))</f>
        <v>1</v>
      </c>
      <c r="AJ619" t="b">
        <f>+ISNUMBER(SEARCH('F-VTA'!$F$29,Tabla11[[#This Row],[Cuenta]],1))</f>
        <v>1</v>
      </c>
      <c r="AK619" t="b">
        <f>+ISNUMBER(SEARCH('F-VTA'!$F$30,Tabla11[[#This Row],[Cuenta]],1))</f>
        <v>1</v>
      </c>
      <c r="AL619" t="b">
        <f>+ISNUMBER(SEARCH('F-VTA'!$F$31,Tabla11[[#This Row],[Cuenta]],1))</f>
        <v>1</v>
      </c>
      <c r="AM619" t="b">
        <f>+ISNUMBER(SEARCH('F-VTA'!$F$32,Tabla11[[#This Row],[Cuenta]],1))</f>
        <v>1</v>
      </c>
      <c r="AN619" t="b">
        <f>+ISNUMBER(SEARCH('F-VTA'!$F$33,Tabla11[[#This Row],[Cuenta]],1))</f>
        <v>1</v>
      </c>
      <c r="AO619" t="b">
        <f>+ISNUMBER(SEARCH('F-VTA'!$F$34,Tabla11[[#This Row],[Cuenta]],1))</f>
        <v>1</v>
      </c>
      <c r="AP619" t="b">
        <f>+ISNUMBER(SEARCH('F-VTA'!$F$35,Tabla11[[#This Row],[Cuenta]],1))</f>
        <v>1</v>
      </c>
      <c r="AQ619" t="b">
        <f>+ISNUMBER(SEARCH('F-VTA'!$F$36,Tabla11[[#This Row],[Cuenta]],1))</f>
        <v>1</v>
      </c>
      <c r="AR619" t="b">
        <f>+ISNUMBER(SEARCH(#REF!,Tabla11[[#This Row],[Cuenta]],1))</f>
        <v>0</v>
      </c>
      <c r="AS619" t="b">
        <f>+ISNUMBER(SEARCH(#REF!,Tabla11[[#This Row],[Cuenta]],1))</f>
        <v>0</v>
      </c>
      <c r="AT619" t="b">
        <f>+ISNUMBER(SEARCH(#REF!,Tabla11[[#This Row],[Cuenta]],1))</f>
        <v>0</v>
      </c>
      <c r="AU619" t="b">
        <f>+ISNUMBER(SEARCH('Conc. Ban.1'!$I$9,Tabla11[[#This Row],[Cuenta]],1))</f>
        <v>0</v>
      </c>
      <c r="AV619" t="b">
        <f>+ISNUMBER(SEARCH(CompConta!$F$21,Tabla11[[#This Row],[Cuenta]],1))</f>
        <v>1</v>
      </c>
      <c r="AW619" t="b">
        <f>+ISNUMBER(SEARCH(CompConta!$F$22,Tabla11[[#This Row],[Cuenta]],1))</f>
        <v>1</v>
      </c>
      <c r="AX619" t="b">
        <f>+ISNUMBER(SEARCH(CompConta!$F$23,Tabla11[[#This Row],[Cuenta]],1))</f>
        <v>1</v>
      </c>
      <c r="AY619" t="b">
        <f>+ISNUMBER(SEARCH(CompConta!$F$24,Tabla11[[#This Row],[Cuenta]],1))</f>
        <v>1</v>
      </c>
      <c r="AZ619" t="b">
        <f>+ISNUMBER(SEARCH(CompConta!$F$25,Tabla11[[#This Row],[Cuenta]],1))</f>
        <v>1</v>
      </c>
      <c r="BA619" t="b">
        <f>+ISNUMBER(SEARCH(CompConta!$F$26,Tabla11[[#This Row],[Cuenta]],1))</f>
        <v>1</v>
      </c>
      <c r="BB619" t="b">
        <f>+ISNUMBER(SEARCH(CompConta!$F$27,Tabla11[[#This Row],[Cuenta]],1))</f>
        <v>1</v>
      </c>
      <c r="BC619" t="b">
        <f>+ISNUMBER(SEARCH(CompConta!$F$28,Tabla11[[#This Row],[Cuenta]],1))</f>
        <v>1</v>
      </c>
      <c r="BD619" t="b">
        <f>+ISNUMBER(SEARCH(CompConta!$F$29,Tabla11[[#This Row],[Cuenta]],1))</f>
        <v>1</v>
      </c>
      <c r="BE619" t="b">
        <f>+ISNUMBER(SEARCH(CompConta!$F$30,Tabla11[[#This Row],[Cuenta]],1))</f>
        <v>1</v>
      </c>
      <c r="BF619" t="b">
        <f>+ISNUMBER(SEARCH('PAGO Compras'!$E$11,Tabla11[[#This Row],[Cuenta]],1))</f>
        <v>1</v>
      </c>
      <c r="BG619" t="b">
        <f>+ISNUMBER(SEARCH(#REF!,Tabla11[[#This Row],[Cuenta]],1))</f>
        <v>0</v>
      </c>
      <c r="BH619" t="b">
        <f>+ISNUMBER(SEARCH(#REF!,Tabla11[[#This Row],[Cuenta]],1))</f>
        <v>0</v>
      </c>
      <c r="BI619" t="b">
        <f>+ISNUMBER(SEARCH(#REF!,Tabla11[[#This Row],[Cuenta]],1))</f>
        <v>0</v>
      </c>
      <c r="BJ619" t="b">
        <f>+ISNUMBER(SEARCH(#REF!,Tabla11[[#This Row],[Cuenta]],1))</f>
        <v>0</v>
      </c>
      <c r="BS619" t="str">
        <v>2825 RETENCIONES A TERCEROS SOBRE CONTRATAT</v>
      </c>
      <c r="BT619" t="str">
        <v>2825 RETENCIONES A TERCEROS SOBRE CONTRATAT</v>
      </c>
      <c r="BU619" t="str">
        <v>2825 RETENCIONES A TERCEROS SOBRE CONTRATAT</v>
      </c>
      <c r="BV619" t="str">
        <v>2825 RETENCIONES A TERCEROS SOBRE CONTRATAT</v>
      </c>
      <c r="BZ619" t="str">
        <v>2825 RETENCIONES A TERCEROS SOBRE CONTRATAT</v>
      </c>
      <c r="CA619" t="str">
        <v>2825 RETENCIONES A TERCEROS SOBRE CONTRATAT</v>
      </c>
      <c r="CB619" t="str">
        <v>2825 RETENCIONES A TERCEROS SOBRE CONTRATAT</v>
      </c>
      <c r="CC619" t="str">
        <v>2825 RETENCIONES A TERCEROS SOBRE CONTRATAT</v>
      </c>
      <c r="CD619" t="str">
        <v>2825 RETENCIONES A TERCEROS SOBRE CONTRATAT</v>
      </c>
      <c r="CE619" t="str">
        <v>2825 RETENCIONES A TERCEROS SOBRE CONTRATAT</v>
      </c>
      <c r="CS619" s="141" t="str">
        <v>2825 RETENCIONES A TERCEROS SOBRE CONTRATAT</v>
      </c>
      <c r="CT619" s="141" t="str">
        <v>2825 RETENCIONES A TERCEROS SOBRE CONTRATAT</v>
      </c>
      <c r="CU619" s="141" t="str">
        <v>2825 RETENCIONES A TERCEROS SOBRE CONTRATAT</v>
      </c>
      <c r="CV619" s="141" t="str">
        <v>2825 RETENCIONES A TERCEROS SOBRE CONTRATAT</v>
      </c>
      <c r="CW619" s="141" t="str">
        <v>2825 RETENCIONES A TERCEROS SOBRE CONTRATAT</v>
      </c>
      <c r="CX619" s="141" t="str">
        <v>2825 RETENCIONES A TERCEROS SOBRE CONTRATAT</v>
      </c>
      <c r="CY619" s="141" t="str">
        <v>2825 RETENCIONES A TERCEROS SOBRE CONTRATAT</v>
      </c>
      <c r="CZ619" s="141" t="str">
        <v>2825 RETENCIONES A TERCEROS SOBRE CONTRATAT</v>
      </c>
      <c r="DA619" s="141" t="str">
        <v>2825 RETENCIONES A TERCEROS SOBRE CONTRATAT</v>
      </c>
      <c r="DF619" t="str">
        <v>2825 RETENCIONES A TERCEROS SOBRE CONTRATAT</v>
      </c>
      <c r="DG619" t="str">
        <v>2825 RETENCIONES A TERCEROS SOBRE CONTRATAT</v>
      </c>
      <c r="DH619" t="str">
        <v>2825 RETENCIONES A TERCEROS SOBRE CONTRATAT</v>
      </c>
      <c r="DI619" t="str">
        <v>2825 RETENCIONES A TERCEROS SOBRE CONTRATAT</v>
      </c>
      <c r="DJ619" t="str">
        <v>2825 RETENCIONES A TERCEROS SOBRE CONTRATAT</v>
      </c>
      <c r="DK619" t="str">
        <v>2825 RETENCIONES A TERCEROS SOBRE CONTRATAT</v>
      </c>
      <c r="DL619" t="str">
        <v>2825 RETENCIONES A TERCEROS SOBRE CONTRATAT</v>
      </c>
      <c r="DM619" t="str">
        <v>2825 RETENCIONES A TERCEROS SOBRE CONTRATAT</v>
      </c>
      <c r="DN619" t="str">
        <v>2825 RETENCIONES A TERCEROS SOBRE CONTRATAT</v>
      </c>
      <c r="DO619" t="str">
        <v>2825 RETENCIONES A TERCEROS SOBRE CONTRATAT</v>
      </c>
      <c r="DP619" t="str">
        <v>2825 RETENCIONES A TERCEROS SOBRE CONTRATAT</v>
      </c>
    </row>
    <row r="620" spans="4:120" ht="12.75">
      <c r="D620" s="7">
        <v>282505</v>
      </c>
      <c r="E620" s="6" t="s">
        <v>454</v>
      </c>
      <c r="F620" s="5">
        <v>4</v>
      </c>
      <c r="G620" s="34" t="s">
        <v>823</v>
      </c>
      <c r="H620" s="26" t="s">
        <v>765</v>
      </c>
      <c r="I620" t="b">
        <f>+ISNUMBER(SEARCH('F-COMPRA'!$F$28,Tabla11[[#This Row],[Cuenta]],1))</f>
        <v>1</v>
      </c>
      <c r="J620" t="b">
        <f>+ISNUMBER(SEARCH('F-COMPRA'!$F$29,Tabla11[[#This Row],[Cuenta]],1))</f>
        <v>1</v>
      </c>
      <c r="K620" t="b">
        <f>+ISNUMBER(SEARCH('F-COMPRA'!$F$30,Tabla11[[#This Row],[Cuenta]],1))</f>
        <v>1</v>
      </c>
      <c r="L620" t="b">
        <f>+ISNUMBER(SEARCH('F-COMPRA'!$F$31,Tabla11[[#This Row],[Cuenta]],1))</f>
        <v>1</v>
      </c>
      <c r="M620" t="b">
        <f>+ISNUMBER(SEARCH('F-COMPRA'!$G$25,Tabla11[[#This Row],[Cuenta]],1))</f>
        <v>0</v>
      </c>
      <c r="N620" t="b">
        <f>+ISNUMBER(SEARCH(#REF!,Tabla11[[#This Row],[Cuenta]],1))</f>
        <v>0</v>
      </c>
      <c r="O620" t="b">
        <f>+ISNUMBER(SEARCH(#REF!,Tabla11[[#This Row],[Cuenta]],1))</f>
        <v>0</v>
      </c>
      <c r="P620" t="b">
        <f>+ISNUMBER(SEARCH('F-COMPRA'!$F$32,Tabla11[[#This Row],[Cuenta]],1))</f>
        <v>1</v>
      </c>
      <c r="Q620" t="b">
        <f>+ISNUMBER(SEARCH('F-COMPRA'!$F$33,Tabla11[[#This Row],[Cuenta]],1))</f>
        <v>1</v>
      </c>
      <c r="R620" t="b">
        <f>+ISNUMBER(SEARCH('F-COMPRA'!$F$34,Tabla11[[#This Row],[Cuenta]],1))</f>
        <v>1</v>
      </c>
      <c r="S620" t="b">
        <f>+ISNUMBER(SEARCH('F-COMPRA'!$F$35,Tabla11[[#This Row],[Cuenta]],1))</f>
        <v>1</v>
      </c>
      <c r="T620" t="b">
        <f>+ISNUMBER(SEARCH('F-COMPRA'!$F$36,Tabla11[[#This Row],[Cuenta]],1))</f>
        <v>1</v>
      </c>
      <c r="U620" t="b">
        <f>+ISNUMBER(SEARCH('F-COMPRA'!$F$37,Tabla11[[#This Row],[Cuenta]],1))</f>
        <v>1</v>
      </c>
      <c r="V620" t="b">
        <f>+ISNUMBER(SEARCH(#REF!,Tabla11[[#This Row],[Cuenta]],1))</f>
        <v>0</v>
      </c>
      <c r="W620" t="b">
        <f>+ISNUMBER(SEARCH('F-COMPRA'!#REF!,Tabla11[[#This Row],[Cuenta]],1))</f>
        <v>0</v>
      </c>
      <c r="X620" t="b">
        <f>+ISNUMBER(SEARCH('F-COMPRA'!#REF!,Tabla11[[#This Row],[Cuenta]],1))</f>
        <v>0</v>
      </c>
      <c r="Y620" t="b">
        <f>+ISNUMBER(SEARCH('F-COMPRA'!#REF!,Tabla11[[#This Row],[Cuenta]],1))</f>
        <v>0</v>
      </c>
      <c r="Z620" t="b">
        <f>+ISNUMBER(SEARCH('F-COMPRA'!#REF!,Tabla11[[#This Row],[Cuenta]],1))</f>
        <v>0</v>
      </c>
      <c r="AA620" t="b">
        <f>+ISNUMBER(SEARCH('F-COMPRA'!#REF!,Tabla11[[#This Row],[Cuenta]],1))</f>
        <v>0</v>
      </c>
      <c r="AB620" t="b">
        <f>+ISNUMBER(SEARCH('F-COMPRA'!#REF!,Tabla11[[#This Row],[Cuenta]],1))</f>
        <v>0</v>
      </c>
      <c r="AC620" t="b">
        <f>+ISNUMBER(SEARCH('F-COMPRA'!#REF!,Tabla11[[#This Row],[Cuenta]],1))</f>
        <v>0</v>
      </c>
      <c r="AD620" t="b">
        <f>+ISNUMBER(SEARCH('F-COMPRA'!#REF!,Tabla11[[#This Row],[Cuenta]],1))</f>
        <v>0</v>
      </c>
      <c r="AE620" t="b">
        <f>+ISNUMBER(SEARCH('F-COMPRA'!#REF!,Tabla11[[#This Row],[Cuenta]],1))</f>
        <v>0</v>
      </c>
      <c r="AF620" t="b">
        <f>+ISNUMBER(SEARCH('F-VTA'!$G$23,Tabla11[[#This Row],[Cuenta]],1))</f>
        <v>0</v>
      </c>
      <c r="AG620" t="b">
        <f>+ISNUMBER(SEARCH('F-VTA'!$G$24,Tabla11[[#This Row],[Cuenta]],1))</f>
        <v>0</v>
      </c>
      <c r="AH620" t="b">
        <f>+ISNUMBER(SEARCH('F-VTA'!$G$25,Tabla11[[#This Row],[Cuenta]],1))</f>
        <v>0</v>
      </c>
      <c r="AI620" t="b">
        <f>+ISNUMBER(SEARCH('F-VTA'!$F$28,Tabla11[[#This Row],[Cuenta]],1))</f>
        <v>1</v>
      </c>
      <c r="AJ620" t="b">
        <f>+ISNUMBER(SEARCH('F-VTA'!$F$29,Tabla11[[#This Row],[Cuenta]],1))</f>
        <v>1</v>
      </c>
      <c r="AK620" t="b">
        <f>+ISNUMBER(SEARCH('F-VTA'!$F$30,Tabla11[[#This Row],[Cuenta]],1))</f>
        <v>1</v>
      </c>
      <c r="AL620" t="b">
        <f>+ISNUMBER(SEARCH('F-VTA'!$F$31,Tabla11[[#This Row],[Cuenta]],1))</f>
        <v>1</v>
      </c>
      <c r="AM620" t="b">
        <f>+ISNUMBER(SEARCH('F-VTA'!$F$32,Tabla11[[#This Row],[Cuenta]],1))</f>
        <v>1</v>
      </c>
      <c r="AN620" t="b">
        <f>+ISNUMBER(SEARCH('F-VTA'!$F$33,Tabla11[[#This Row],[Cuenta]],1))</f>
        <v>1</v>
      </c>
      <c r="AO620" t="b">
        <f>+ISNUMBER(SEARCH('F-VTA'!$F$34,Tabla11[[#This Row],[Cuenta]],1))</f>
        <v>1</v>
      </c>
      <c r="AP620" t="b">
        <f>+ISNUMBER(SEARCH('F-VTA'!$F$35,Tabla11[[#This Row],[Cuenta]],1))</f>
        <v>1</v>
      </c>
      <c r="AQ620" t="b">
        <f>+ISNUMBER(SEARCH('F-VTA'!$F$36,Tabla11[[#This Row],[Cuenta]],1))</f>
        <v>1</v>
      </c>
      <c r="AR620" t="b">
        <f>+ISNUMBER(SEARCH(#REF!,Tabla11[[#This Row],[Cuenta]],1))</f>
        <v>0</v>
      </c>
      <c r="AS620" t="b">
        <f>+ISNUMBER(SEARCH(#REF!,Tabla11[[#This Row],[Cuenta]],1))</f>
        <v>0</v>
      </c>
      <c r="AT620" t="b">
        <f>+ISNUMBER(SEARCH(#REF!,Tabla11[[#This Row],[Cuenta]],1))</f>
        <v>0</v>
      </c>
      <c r="AU620" t="b">
        <f>+ISNUMBER(SEARCH('Conc. Ban.1'!$I$9,Tabla11[[#This Row],[Cuenta]],1))</f>
        <v>0</v>
      </c>
      <c r="AV620" t="b">
        <f>+ISNUMBER(SEARCH(CompConta!$F$21,Tabla11[[#This Row],[Cuenta]],1))</f>
        <v>1</v>
      </c>
      <c r="AW620" t="b">
        <f>+ISNUMBER(SEARCH(CompConta!$F$22,Tabla11[[#This Row],[Cuenta]],1))</f>
        <v>1</v>
      </c>
      <c r="AX620" t="b">
        <f>+ISNUMBER(SEARCH(CompConta!$F$23,Tabla11[[#This Row],[Cuenta]],1))</f>
        <v>1</v>
      </c>
      <c r="AY620" t="b">
        <f>+ISNUMBER(SEARCH(CompConta!$F$24,Tabla11[[#This Row],[Cuenta]],1))</f>
        <v>1</v>
      </c>
      <c r="AZ620" t="b">
        <f>+ISNUMBER(SEARCH(CompConta!$F$25,Tabla11[[#This Row],[Cuenta]],1))</f>
        <v>1</v>
      </c>
      <c r="BA620" t="b">
        <f>+ISNUMBER(SEARCH(CompConta!$F$26,Tabla11[[#This Row],[Cuenta]],1))</f>
        <v>1</v>
      </c>
      <c r="BB620" t="b">
        <f>+ISNUMBER(SEARCH(CompConta!$F$27,Tabla11[[#This Row],[Cuenta]],1))</f>
        <v>1</v>
      </c>
      <c r="BC620" t="b">
        <f>+ISNUMBER(SEARCH(CompConta!$F$28,Tabla11[[#This Row],[Cuenta]],1))</f>
        <v>1</v>
      </c>
      <c r="BD620" t="b">
        <f>+ISNUMBER(SEARCH(CompConta!$F$29,Tabla11[[#This Row],[Cuenta]],1))</f>
        <v>1</v>
      </c>
      <c r="BE620" t="b">
        <f>+ISNUMBER(SEARCH(CompConta!$F$30,Tabla11[[#This Row],[Cuenta]],1))</f>
        <v>1</v>
      </c>
      <c r="BF620" t="b">
        <f>+ISNUMBER(SEARCH('PAGO Compras'!$E$11,Tabla11[[#This Row],[Cuenta]],1))</f>
        <v>1</v>
      </c>
      <c r="BG620" t="b">
        <f>+ISNUMBER(SEARCH(#REF!,Tabla11[[#This Row],[Cuenta]],1))</f>
        <v>0</v>
      </c>
      <c r="BH620" t="b">
        <f>+ISNUMBER(SEARCH(#REF!,Tabla11[[#This Row],[Cuenta]],1))</f>
        <v>0</v>
      </c>
      <c r="BI620" t="b">
        <f>+ISNUMBER(SEARCH(#REF!,Tabla11[[#This Row],[Cuenta]],1))</f>
        <v>0</v>
      </c>
      <c r="BJ620" t="b">
        <f>+ISNUMBER(SEARCH(#REF!,Tabla11[[#This Row],[Cuenta]],1))</f>
        <v>0</v>
      </c>
      <c r="BS620" t="str">
        <v>282505 Cumplimiento obligaciones laborales</v>
      </c>
      <c r="BT620" t="str">
        <v>282505 Cumplimiento obligaciones laborales</v>
      </c>
      <c r="BU620" t="str">
        <v>282505 Cumplimiento obligaciones laborales</v>
      </c>
      <c r="BV620" t="str">
        <v>282505 Cumplimiento obligaciones laborales</v>
      </c>
      <c r="BZ620" t="str">
        <v>282505 Cumplimiento obligaciones laborales</v>
      </c>
      <c r="CA620" t="str">
        <v>282505 Cumplimiento obligaciones laborales</v>
      </c>
      <c r="CB620" t="str">
        <v>282505 Cumplimiento obligaciones laborales</v>
      </c>
      <c r="CC620" t="str">
        <v>282505 Cumplimiento obligaciones laborales</v>
      </c>
      <c r="CD620" t="str">
        <v>282505 Cumplimiento obligaciones laborales</v>
      </c>
      <c r="CE620" t="str">
        <v>282505 Cumplimiento obligaciones laborales</v>
      </c>
      <c r="CS620" s="141" t="str">
        <v>282505 Cumplimiento obligaciones laborales</v>
      </c>
      <c r="CT620" s="141" t="str">
        <v>282505 Cumplimiento obligaciones laborales</v>
      </c>
      <c r="CU620" s="141" t="str">
        <v>282505 Cumplimiento obligaciones laborales</v>
      </c>
      <c r="CV620" s="141" t="str">
        <v>282505 Cumplimiento obligaciones laborales</v>
      </c>
      <c r="CW620" s="141" t="str">
        <v>282505 Cumplimiento obligaciones laborales</v>
      </c>
      <c r="CX620" s="141" t="str">
        <v>282505 Cumplimiento obligaciones laborales</v>
      </c>
      <c r="CY620" s="141" t="str">
        <v>282505 Cumplimiento obligaciones laborales</v>
      </c>
      <c r="CZ620" s="141" t="str">
        <v>282505 Cumplimiento obligaciones laborales</v>
      </c>
      <c r="DA620" s="141" t="str">
        <v>282505 Cumplimiento obligaciones laborales</v>
      </c>
      <c r="DF620" t="str">
        <v>282505 Cumplimiento obligaciones laborales</v>
      </c>
      <c r="DG620" t="str">
        <v>282505 Cumplimiento obligaciones laborales</v>
      </c>
      <c r="DH620" t="str">
        <v>282505 Cumplimiento obligaciones laborales</v>
      </c>
      <c r="DI620" t="str">
        <v>282505 Cumplimiento obligaciones laborales</v>
      </c>
      <c r="DJ620" t="str">
        <v>282505 Cumplimiento obligaciones laborales</v>
      </c>
      <c r="DK620" t="str">
        <v>282505 Cumplimiento obligaciones laborales</v>
      </c>
      <c r="DL620" t="str">
        <v>282505 Cumplimiento obligaciones laborales</v>
      </c>
      <c r="DM620" t="str">
        <v>282505 Cumplimiento obligaciones laborales</v>
      </c>
      <c r="DN620" t="str">
        <v>282505 Cumplimiento obligaciones laborales</v>
      </c>
      <c r="DO620" t="str">
        <v>282505 Cumplimiento obligaciones laborales</v>
      </c>
      <c r="DP620" t="str">
        <v>282505 Cumplimiento obligaciones laborales</v>
      </c>
    </row>
    <row r="621" spans="4:120" ht="12.75">
      <c r="D621" s="7">
        <v>282510</v>
      </c>
      <c r="E621" s="6" t="s">
        <v>455</v>
      </c>
      <c r="F621" s="5">
        <v>4</v>
      </c>
      <c r="G621" s="34" t="s">
        <v>823</v>
      </c>
      <c r="H621" s="26" t="s">
        <v>765</v>
      </c>
      <c r="I621" t="b">
        <f>+ISNUMBER(SEARCH('F-COMPRA'!$F$28,Tabla11[[#This Row],[Cuenta]],1))</f>
        <v>1</v>
      </c>
      <c r="J621" t="b">
        <f>+ISNUMBER(SEARCH('F-COMPRA'!$F$29,Tabla11[[#This Row],[Cuenta]],1))</f>
        <v>1</v>
      </c>
      <c r="K621" t="b">
        <f>+ISNUMBER(SEARCH('F-COMPRA'!$F$30,Tabla11[[#This Row],[Cuenta]],1))</f>
        <v>1</v>
      </c>
      <c r="L621" t="b">
        <f>+ISNUMBER(SEARCH('F-COMPRA'!$F$31,Tabla11[[#This Row],[Cuenta]],1))</f>
        <v>1</v>
      </c>
      <c r="M621" t="b">
        <f>+ISNUMBER(SEARCH('F-COMPRA'!$G$25,Tabla11[[#This Row],[Cuenta]],1))</f>
        <v>0</v>
      </c>
      <c r="N621" t="b">
        <f>+ISNUMBER(SEARCH(#REF!,Tabla11[[#This Row],[Cuenta]],1))</f>
        <v>0</v>
      </c>
      <c r="O621" t="b">
        <f>+ISNUMBER(SEARCH(#REF!,Tabla11[[#This Row],[Cuenta]],1))</f>
        <v>0</v>
      </c>
      <c r="P621" t="b">
        <f>+ISNUMBER(SEARCH('F-COMPRA'!$F$32,Tabla11[[#This Row],[Cuenta]],1))</f>
        <v>1</v>
      </c>
      <c r="Q621" t="b">
        <f>+ISNUMBER(SEARCH('F-COMPRA'!$F$33,Tabla11[[#This Row],[Cuenta]],1))</f>
        <v>1</v>
      </c>
      <c r="R621" t="b">
        <f>+ISNUMBER(SEARCH('F-COMPRA'!$F$34,Tabla11[[#This Row],[Cuenta]],1))</f>
        <v>1</v>
      </c>
      <c r="S621" t="b">
        <f>+ISNUMBER(SEARCH('F-COMPRA'!$F$35,Tabla11[[#This Row],[Cuenta]],1))</f>
        <v>1</v>
      </c>
      <c r="T621" t="b">
        <f>+ISNUMBER(SEARCH('F-COMPRA'!$F$36,Tabla11[[#This Row],[Cuenta]],1))</f>
        <v>1</v>
      </c>
      <c r="U621" t="b">
        <f>+ISNUMBER(SEARCH('F-COMPRA'!$F$37,Tabla11[[#This Row],[Cuenta]],1))</f>
        <v>1</v>
      </c>
      <c r="V621" t="b">
        <f>+ISNUMBER(SEARCH(#REF!,Tabla11[[#This Row],[Cuenta]],1))</f>
        <v>0</v>
      </c>
      <c r="W621" t="b">
        <f>+ISNUMBER(SEARCH('F-COMPRA'!#REF!,Tabla11[[#This Row],[Cuenta]],1))</f>
        <v>0</v>
      </c>
      <c r="X621" t="b">
        <f>+ISNUMBER(SEARCH('F-COMPRA'!#REF!,Tabla11[[#This Row],[Cuenta]],1))</f>
        <v>0</v>
      </c>
      <c r="Y621" t="b">
        <f>+ISNUMBER(SEARCH('F-COMPRA'!#REF!,Tabla11[[#This Row],[Cuenta]],1))</f>
        <v>0</v>
      </c>
      <c r="Z621" t="b">
        <f>+ISNUMBER(SEARCH('F-COMPRA'!#REF!,Tabla11[[#This Row],[Cuenta]],1))</f>
        <v>0</v>
      </c>
      <c r="AA621" t="b">
        <f>+ISNUMBER(SEARCH('F-COMPRA'!#REF!,Tabla11[[#This Row],[Cuenta]],1))</f>
        <v>0</v>
      </c>
      <c r="AB621" t="b">
        <f>+ISNUMBER(SEARCH('F-COMPRA'!#REF!,Tabla11[[#This Row],[Cuenta]],1))</f>
        <v>0</v>
      </c>
      <c r="AC621" t="b">
        <f>+ISNUMBER(SEARCH('F-COMPRA'!#REF!,Tabla11[[#This Row],[Cuenta]],1))</f>
        <v>0</v>
      </c>
      <c r="AD621" t="b">
        <f>+ISNUMBER(SEARCH('F-COMPRA'!#REF!,Tabla11[[#This Row],[Cuenta]],1))</f>
        <v>0</v>
      </c>
      <c r="AE621" t="b">
        <f>+ISNUMBER(SEARCH('F-COMPRA'!#REF!,Tabla11[[#This Row],[Cuenta]],1))</f>
        <v>0</v>
      </c>
      <c r="AF621" t="b">
        <f>+ISNUMBER(SEARCH('F-VTA'!$G$23,Tabla11[[#This Row],[Cuenta]],1))</f>
        <v>0</v>
      </c>
      <c r="AG621" t="b">
        <f>+ISNUMBER(SEARCH('F-VTA'!$G$24,Tabla11[[#This Row],[Cuenta]],1))</f>
        <v>0</v>
      </c>
      <c r="AH621" t="b">
        <f>+ISNUMBER(SEARCH('F-VTA'!$G$25,Tabla11[[#This Row],[Cuenta]],1))</f>
        <v>0</v>
      </c>
      <c r="AI621" t="b">
        <f>+ISNUMBER(SEARCH('F-VTA'!$F$28,Tabla11[[#This Row],[Cuenta]],1))</f>
        <v>1</v>
      </c>
      <c r="AJ621" t="b">
        <f>+ISNUMBER(SEARCH('F-VTA'!$F$29,Tabla11[[#This Row],[Cuenta]],1))</f>
        <v>1</v>
      </c>
      <c r="AK621" t="b">
        <f>+ISNUMBER(SEARCH('F-VTA'!$F$30,Tabla11[[#This Row],[Cuenta]],1))</f>
        <v>1</v>
      </c>
      <c r="AL621" t="b">
        <f>+ISNUMBER(SEARCH('F-VTA'!$F$31,Tabla11[[#This Row],[Cuenta]],1))</f>
        <v>1</v>
      </c>
      <c r="AM621" t="b">
        <f>+ISNUMBER(SEARCH('F-VTA'!$F$32,Tabla11[[#This Row],[Cuenta]],1))</f>
        <v>1</v>
      </c>
      <c r="AN621" t="b">
        <f>+ISNUMBER(SEARCH('F-VTA'!$F$33,Tabla11[[#This Row],[Cuenta]],1))</f>
        <v>1</v>
      </c>
      <c r="AO621" t="b">
        <f>+ISNUMBER(SEARCH('F-VTA'!$F$34,Tabla11[[#This Row],[Cuenta]],1))</f>
        <v>1</v>
      </c>
      <c r="AP621" t="b">
        <f>+ISNUMBER(SEARCH('F-VTA'!$F$35,Tabla11[[#This Row],[Cuenta]],1))</f>
        <v>1</v>
      </c>
      <c r="AQ621" t="b">
        <f>+ISNUMBER(SEARCH('F-VTA'!$F$36,Tabla11[[#This Row],[Cuenta]],1))</f>
        <v>1</v>
      </c>
      <c r="AR621" t="b">
        <f>+ISNUMBER(SEARCH(#REF!,Tabla11[[#This Row],[Cuenta]],1))</f>
        <v>0</v>
      </c>
      <c r="AS621" t="b">
        <f>+ISNUMBER(SEARCH(#REF!,Tabla11[[#This Row],[Cuenta]],1))</f>
        <v>0</v>
      </c>
      <c r="AT621" t="b">
        <f>+ISNUMBER(SEARCH(#REF!,Tabla11[[#This Row],[Cuenta]],1))</f>
        <v>0</v>
      </c>
      <c r="AU621" t="b">
        <f>+ISNUMBER(SEARCH('Conc. Ban.1'!$I$9,Tabla11[[#This Row],[Cuenta]],1))</f>
        <v>0</v>
      </c>
      <c r="AV621" t="b">
        <f>+ISNUMBER(SEARCH(CompConta!$F$21,Tabla11[[#This Row],[Cuenta]],1))</f>
        <v>1</v>
      </c>
      <c r="AW621" t="b">
        <f>+ISNUMBER(SEARCH(CompConta!$F$22,Tabla11[[#This Row],[Cuenta]],1))</f>
        <v>1</v>
      </c>
      <c r="AX621" t="b">
        <f>+ISNUMBER(SEARCH(CompConta!$F$23,Tabla11[[#This Row],[Cuenta]],1))</f>
        <v>1</v>
      </c>
      <c r="AY621" t="b">
        <f>+ISNUMBER(SEARCH(CompConta!$F$24,Tabla11[[#This Row],[Cuenta]],1))</f>
        <v>1</v>
      </c>
      <c r="AZ621" t="b">
        <f>+ISNUMBER(SEARCH(CompConta!$F$25,Tabla11[[#This Row],[Cuenta]],1))</f>
        <v>1</v>
      </c>
      <c r="BA621" t="b">
        <f>+ISNUMBER(SEARCH(CompConta!$F$26,Tabla11[[#This Row],[Cuenta]],1))</f>
        <v>1</v>
      </c>
      <c r="BB621" t="b">
        <f>+ISNUMBER(SEARCH(CompConta!$F$27,Tabla11[[#This Row],[Cuenta]],1))</f>
        <v>1</v>
      </c>
      <c r="BC621" t="b">
        <f>+ISNUMBER(SEARCH(CompConta!$F$28,Tabla11[[#This Row],[Cuenta]],1))</f>
        <v>1</v>
      </c>
      <c r="BD621" t="b">
        <f>+ISNUMBER(SEARCH(CompConta!$F$29,Tabla11[[#This Row],[Cuenta]],1))</f>
        <v>1</v>
      </c>
      <c r="BE621" t="b">
        <f>+ISNUMBER(SEARCH(CompConta!$F$30,Tabla11[[#This Row],[Cuenta]],1))</f>
        <v>1</v>
      </c>
      <c r="BF621" t="b">
        <f>+ISNUMBER(SEARCH('PAGO Compras'!$E$11,Tabla11[[#This Row],[Cuenta]],1))</f>
        <v>1</v>
      </c>
      <c r="BG621" t="b">
        <f>+ISNUMBER(SEARCH(#REF!,Tabla11[[#This Row],[Cuenta]],1))</f>
        <v>0</v>
      </c>
      <c r="BH621" t="b">
        <f>+ISNUMBER(SEARCH(#REF!,Tabla11[[#This Row],[Cuenta]],1))</f>
        <v>0</v>
      </c>
      <c r="BI621" t="b">
        <f>+ISNUMBER(SEARCH(#REF!,Tabla11[[#This Row],[Cuenta]],1))</f>
        <v>0</v>
      </c>
      <c r="BJ621" t="b">
        <f>+ISNUMBER(SEARCH(#REF!,Tabla11[[#This Row],[Cuenta]],1))</f>
        <v>0</v>
      </c>
      <c r="BS621" t="str">
        <v>282510 Para estabilidad de obra</v>
      </c>
      <c r="BT621" t="str">
        <v>282510 Para estabilidad de obra</v>
      </c>
      <c r="BU621" t="str">
        <v>282510 Para estabilidad de obra</v>
      </c>
      <c r="BV621" t="str">
        <v>282510 Para estabilidad de obra</v>
      </c>
      <c r="BZ621" t="str">
        <v>282510 Para estabilidad de obra</v>
      </c>
      <c r="CA621" t="str">
        <v>282510 Para estabilidad de obra</v>
      </c>
      <c r="CB621" t="str">
        <v>282510 Para estabilidad de obra</v>
      </c>
      <c r="CC621" t="str">
        <v>282510 Para estabilidad de obra</v>
      </c>
      <c r="CD621" t="str">
        <v>282510 Para estabilidad de obra</v>
      </c>
      <c r="CE621" t="str">
        <v>282510 Para estabilidad de obra</v>
      </c>
      <c r="CS621" s="141" t="str">
        <v>282510 Para estabilidad de obra</v>
      </c>
      <c r="CT621" s="141" t="str">
        <v>282510 Para estabilidad de obra</v>
      </c>
      <c r="CU621" s="141" t="str">
        <v>282510 Para estabilidad de obra</v>
      </c>
      <c r="CV621" s="141" t="str">
        <v>282510 Para estabilidad de obra</v>
      </c>
      <c r="CW621" s="141" t="str">
        <v>282510 Para estabilidad de obra</v>
      </c>
      <c r="CX621" s="141" t="str">
        <v>282510 Para estabilidad de obra</v>
      </c>
      <c r="CY621" s="141" t="str">
        <v>282510 Para estabilidad de obra</v>
      </c>
      <c r="CZ621" s="141" t="str">
        <v>282510 Para estabilidad de obra</v>
      </c>
      <c r="DA621" s="141" t="str">
        <v>282510 Para estabilidad de obra</v>
      </c>
      <c r="DF621" t="str">
        <v>282510 Para estabilidad de obra</v>
      </c>
      <c r="DG621" t="str">
        <v>282510 Para estabilidad de obra</v>
      </c>
      <c r="DH621" t="str">
        <v>282510 Para estabilidad de obra</v>
      </c>
      <c r="DI621" t="str">
        <v>282510 Para estabilidad de obra</v>
      </c>
      <c r="DJ621" t="str">
        <v>282510 Para estabilidad de obra</v>
      </c>
      <c r="DK621" t="str">
        <v>282510 Para estabilidad de obra</v>
      </c>
      <c r="DL621" t="str">
        <v>282510 Para estabilidad de obra</v>
      </c>
      <c r="DM621" t="str">
        <v>282510 Para estabilidad de obra</v>
      </c>
      <c r="DN621" t="str">
        <v>282510 Para estabilidad de obra</v>
      </c>
      <c r="DO621" t="str">
        <v>282510 Para estabilidad de obra</v>
      </c>
      <c r="DP621" t="str">
        <v>282510 Para estabilidad de obra</v>
      </c>
    </row>
    <row r="622" spans="4:120" ht="12.75">
      <c r="D622" s="7">
        <v>282515</v>
      </c>
      <c r="E622" s="6" t="s">
        <v>456</v>
      </c>
      <c r="F622" s="5">
        <v>4</v>
      </c>
      <c r="G622" s="34" t="s">
        <v>823</v>
      </c>
      <c r="H622" s="26" t="s">
        <v>765</v>
      </c>
      <c r="I622" t="b">
        <f>+ISNUMBER(SEARCH('F-COMPRA'!$F$28,Tabla11[[#This Row],[Cuenta]],1))</f>
        <v>1</v>
      </c>
      <c r="J622" t="b">
        <f>+ISNUMBER(SEARCH('F-COMPRA'!$F$29,Tabla11[[#This Row],[Cuenta]],1))</f>
        <v>1</v>
      </c>
      <c r="K622" t="b">
        <f>+ISNUMBER(SEARCH('F-COMPRA'!$F$30,Tabla11[[#This Row],[Cuenta]],1))</f>
        <v>1</v>
      </c>
      <c r="L622" t="b">
        <f>+ISNUMBER(SEARCH('F-COMPRA'!$F$31,Tabla11[[#This Row],[Cuenta]],1))</f>
        <v>1</v>
      </c>
      <c r="M622" t="b">
        <f>+ISNUMBER(SEARCH('F-COMPRA'!$G$25,Tabla11[[#This Row],[Cuenta]],1))</f>
        <v>0</v>
      </c>
      <c r="N622" t="b">
        <f>+ISNUMBER(SEARCH(#REF!,Tabla11[[#This Row],[Cuenta]],1))</f>
        <v>0</v>
      </c>
      <c r="O622" t="b">
        <f>+ISNUMBER(SEARCH(#REF!,Tabla11[[#This Row],[Cuenta]],1))</f>
        <v>0</v>
      </c>
      <c r="P622" t="b">
        <f>+ISNUMBER(SEARCH('F-COMPRA'!$F$32,Tabla11[[#This Row],[Cuenta]],1))</f>
        <v>1</v>
      </c>
      <c r="Q622" t="b">
        <f>+ISNUMBER(SEARCH('F-COMPRA'!$F$33,Tabla11[[#This Row],[Cuenta]],1))</f>
        <v>1</v>
      </c>
      <c r="R622" t="b">
        <f>+ISNUMBER(SEARCH('F-COMPRA'!$F$34,Tabla11[[#This Row],[Cuenta]],1))</f>
        <v>1</v>
      </c>
      <c r="S622" t="b">
        <f>+ISNUMBER(SEARCH('F-COMPRA'!$F$35,Tabla11[[#This Row],[Cuenta]],1))</f>
        <v>1</v>
      </c>
      <c r="T622" t="b">
        <f>+ISNUMBER(SEARCH('F-COMPRA'!$F$36,Tabla11[[#This Row],[Cuenta]],1))</f>
        <v>1</v>
      </c>
      <c r="U622" t="b">
        <f>+ISNUMBER(SEARCH('F-COMPRA'!$F$37,Tabla11[[#This Row],[Cuenta]],1))</f>
        <v>1</v>
      </c>
      <c r="V622" t="b">
        <f>+ISNUMBER(SEARCH(#REF!,Tabla11[[#This Row],[Cuenta]],1))</f>
        <v>0</v>
      </c>
      <c r="W622" t="b">
        <f>+ISNUMBER(SEARCH('F-COMPRA'!#REF!,Tabla11[[#This Row],[Cuenta]],1))</f>
        <v>0</v>
      </c>
      <c r="X622" t="b">
        <f>+ISNUMBER(SEARCH('F-COMPRA'!#REF!,Tabla11[[#This Row],[Cuenta]],1))</f>
        <v>0</v>
      </c>
      <c r="Y622" t="b">
        <f>+ISNUMBER(SEARCH('F-COMPRA'!#REF!,Tabla11[[#This Row],[Cuenta]],1))</f>
        <v>0</v>
      </c>
      <c r="Z622" t="b">
        <f>+ISNUMBER(SEARCH('F-COMPRA'!#REF!,Tabla11[[#This Row],[Cuenta]],1))</f>
        <v>0</v>
      </c>
      <c r="AA622" t="b">
        <f>+ISNUMBER(SEARCH('F-COMPRA'!#REF!,Tabla11[[#This Row],[Cuenta]],1))</f>
        <v>0</v>
      </c>
      <c r="AB622" t="b">
        <f>+ISNUMBER(SEARCH('F-COMPRA'!#REF!,Tabla11[[#This Row],[Cuenta]],1))</f>
        <v>0</v>
      </c>
      <c r="AC622" t="b">
        <f>+ISNUMBER(SEARCH('F-COMPRA'!#REF!,Tabla11[[#This Row],[Cuenta]],1))</f>
        <v>0</v>
      </c>
      <c r="AD622" t="b">
        <f>+ISNUMBER(SEARCH('F-COMPRA'!#REF!,Tabla11[[#This Row],[Cuenta]],1))</f>
        <v>0</v>
      </c>
      <c r="AE622" t="b">
        <f>+ISNUMBER(SEARCH('F-COMPRA'!#REF!,Tabla11[[#This Row],[Cuenta]],1))</f>
        <v>0</v>
      </c>
      <c r="AF622" t="b">
        <f>+ISNUMBER(SEARCH('F-VTA'!$G$23,Tabla11[[#This Row],[Cuenta]],1))</f>
        <v>0</v>
      </c>
      <c r="AG622" t="b">
        <f>+ISNUMBER(SEARCH('F-VTA'!$G$24,Tabla11[[#This Row],[Cuenta]],1))</f>
        <v>0</v>
      </c>
      <c r="AH622" t="b">
        <f>+ISNUMBER(SEARCH('F-VTA'!$G$25,Tabla11[[#This Row],[Cuenta]],1))</f>
        <v>0</v>
      </c>
      <c r="AI622" t="b">
        <f>+ISNUMBER(SEARCH('F-VTA'!$F$28,Tabla11[[#This Row],[Cuenta]],1))</f>
        <v>1</v>
      </c>
      <c r="AJ622" t="b">
        <f>+ISNUMBER(SEARCH('F-VTA'!$F$29,Tabla11[[#This Row],[Cuenta]],1))</f>
        <v>1</v>
      </c>
      <c r="AK622" t="b">
        <f>+ISNUMBER(SEARCH('F-VTA'!$F$30,Tabla11[[#This Row],[Cuenta]],1))</f>
        <v>1</v>
      </c>
      <c r="AL622" t="b">
        <f>+ISNUMBER(SEARCH('F-VTA'!$F$31,Tabla11[[#This Row],[Cuenta]],1))</f>
        <v>1</v>
      </c>
      <c r="AM622" t="b">
        <f>+ISNUMBER(SEARCH('F-VTA'!$F$32,Tabla11[[#This Row],[Cuenta]],1))</f>
        <v>1</v>
      </c>
      <c r="AN622" t="b">
        <f>+ISNUMBER(SEARCH('F-VTA'!$F$33,Tabla11[[#This Row],[Cuenta]],1))</f>
        <v>1</v>
      </c>
      <c r="AO622" t="b">
        <f>+ISNUMBER(SEARCH('F-VTA'!$F$34,Tabla11[[#This Row],[Cuenta]],1))</f>
        <v>1</v>
      </c>
      <c r="AP622" t="b">
        <f>+ISNUMBER(SEARCH('F-VTA'!$F$35,Tabla11[[#This Row],[Cuenta]],1))</f>
        <v>1</v>
      </c>
      <c r="AQ622" t="b">
        <f>+ISNUMBER(SEARCH('F-VTA'!$F$36,Tabla11[[#This Row],[Cuenta]],1))</f>
        <v>1</v>
      </c>
      <c r="AR622" t="b">
        <f>+ISNUMBER(SEARCH(#REF!,Tabla11[[#This Row],[Cuenta]],1))</f>
        <v>0</v>
      </c>
      <c r="AS622" t="b">
        <f>+ISNUMBER(SEARCH(#REF!,Tabla11[[#This Row],[Cuenta]],1))</f>
        <v>0</v>
      </c>
      <c r="AT622" t="b">
        <f>+ISNUMBER(SEARCH(#REF!,Tabla11[[#This Row],[Cuenta]],1))</f>
        <v>0</v>
      </c>
      <c r="AU622" t="b">
        <f>+ISNUMBER(SEARCH('Conc. Ban.1'!$I$9,Tabla11[[#This Row],[Cuenta]],1))</f>
        <v>0</v>
      </c>
      <c r="AV622" t="b">
        <f>+ISNUMBER(SEARCH(CompConta!$F$21,Tabla11[[#This Row],[Cuenta]],1))</f>
        <v>1</v>
      </c>
      <c r="AW622" t="b">
        <f>+ISNUMBER(SEARCH(CompConta!$F$22,Tabla11[[#This Row],[Cuenta]],1))</f>
        <v>1</v>
      </c>
      <c r="AX622" t="b">
        <f>+ISNUMBER(SEARCH(CompConta!$F$23,Tabla11[[#This Row],[Cuenta]],1))</f>
        <v>1</v>
      </c>
      <c r="AY622" t="b">
        <f>+ISNUMBER(SEARCH(CompConta!$F$24,Tabla11[[#This Row],[Cuenta]],1))</f>
        <v>1</v>
      </c>
      <c r="AZ622" t="b">
        <f>+ISNUMBER(SEARCH(CompConta!$F$25,Tabla11[[#This Row],[Cuenta]],1))</f>
        <v>1</v>
      </c>
      <c r="BA622" t="b">
        <f>+ISNUMBER(SEARCH(CompConta!$F$26,Tabla11[[#This Row],[Cuenta]],1))</f>
        <v>1</v>
      </c>
      <c r="BB622" t="b">
        <f>+ISNUMBER(SEARCH(CompConta!$F$27,Tabla11[[#This Row],[Cuenta]],1))</f>
        <v>1</v>
      </c>
      <c r="BC622" t="b">
        <f>+ISNUMBER(SEARCH(CompConta!$F$28,Tabla11[[#This Row],[Cuenta]],1))</f>
        <v>1</v>
      </c>
      <c r="BD622" t="b">
        <f>+ISNUMBER(SEARCH(CompConta!$F$29,Tabla11[[#This Row],[Cuenta]],1))</f>
        <v>1</v>
      </c>
      <c r="BE622" t="b">
        <f>+ISNUMBER(SEARCH(CompConta!$F$30,Tabla11[[#This Row],[Cuenta]],1))</f>
        <v>1</v>
      </c>
      <c r="BF622" t="b">
        <f>+ISNUMBER(SEARCH('PAGO Compras'!$E$11,Tabla11[[#This Row],[Cuenta]],1))</f>
        <v>1</v>
      </c>
      <c r="BG622" t="b">
        <f>+ISNUMBER(SEARCH(#REF!,Tabla11[[#This Row],[Cuenta]],1))</f>
        <v>0</v>
      </c>
      <c r="BH622" t="b">
        <f>+ISNUMBER(SEARCH(#REF!,Tabla11[[#This Row],[Cuenta]],1))</f>
        <v>0</v>
      </c>
      <c r="BI622" t="b">
        <f>+ISNUMBER(SEARCH(#REF!,Tabla11[[#This Row],[Cuenta]],1))</f>
        <v>0</v>
      </c>
      <c r="BJ622" t="b">
        <f>+ISNUMBER(SEARCH(#REF!,Tabla11[[#This Row],[Cuenta]],1))</f>
        <v>0</v>
      </c>
      <c r="BS622" t="str">
        <v>282515 Garantía cumplimiento de contratos</v>
      </c>
      <c r="BT622" t="str">
        <v>282515 Garantía cumplimiento de contratos</v>
      </c>
      <c r="BU622" t="str">
        <v>282515 Garantía cumplimiento de contratos</v>
      </c>
      <c r="BV622" t="str">
        <v>282515 Garantía cumplimiento de contratos</v>
      </c>
      <c r="BZ622" t="str">
        <v>282515 Garantía cumplimiento de contratos</v>
      </c>
      <c r="CA622" t="str">
        <v>282515 Garantía cumplimiento de contratos</v>
      </c>
      <c r="CB622" t="str">
        <v>282515 Garantía cumplimiento de contratos</v>
      </c>
      <c r="CC622" t="str">
        <v>282515 Garantía cumplimiento de contratos</v>
      </c>
      <c r="CD622" t="str">
        <v>282515 Garantía cumplimiento de contratos</v>
      </c>
      <c r="CE622" t="str">
        <v>282515 Garantía cumplimiento de contratos</v>
      </c>
      <c r="CS622" s="141" t="str">
        <v>282515 Garantía cumplimiento de contratos</v>
      </c>
      <c r="CT622" s="141" t="str">
        <v>282515 Garantía cumplimiento de contratos</v>
      </c>
      <c r="CU622" s="141" t="str">
        <v>282515 Garantía cumplimiento de contratos</v>
      </c>
      <c r="CV622" s="141" t="str">
        <v>282515 Garantía cumplimiento de contratos</v>
      </c>
      <c r="CW622" s="141" t="str">
        <v>282515 Garantía cumplimiento de contratos</v>
      </c>
      <c r="CX622" s="141" t="str">
        <v>282515 Garantía cumplimiento de contratos</v>
      </c>
      <c r="CY622" s="141" t="str">
        <v>282515 Garantía cumplimiento de contratos</v>
      </c>
      <c r="CZ622" s="141" t="str">
        <v>282515 Garantía cumplimiento de contratos</v>
      </c>
      <c r="DA622" s="141" t="str">
        <v>282515 Garantía cumplimiento de contratos</v>
      </c>
      <c r="DF622" t="str">
        <v>282515 Garantía cumplimiento de contratos</v>
      </c>
      <c r="DG622" t="str">
        <v>282515 Garantía cumplimiento de contratos</v>
      </c>
      <c r="DH622" t="str">
        <v>282515 Garantía cumplimiento de contratos</v>
      </c>
      <c r="DI622" t="str">
        <v>282515 Garantía cumplimiento de contratos</v>
      </c>
      <c r="DJ622" t="str">
        <v>282515 Garantía cumplimiento de contratos</v>
      </c>
      <c r="DK622" t="str">
        <v>282515 Garantía cumplimiento de contratos</v>
      </c>
      <c r="DL622" t="str">
        <v>282515 Garantía cumplimiento de contratos</v>
      </c>
      <c r="DM622" t="str">
        <v>282515 Garantía cumplimiento de contratos</v>
      </c>
      <c r="DN622" t="str">
        <v>282515 Garantía cumplimiento de contratos</v>
      </c>
      <c r="DO622" t="str">
        <v>282515 Garantía cumplimiento de contratos</v>
      </c>
      <c r="DP622" t="str">
        <v>282515 Garantía cumplimiento de contratos</v>
      </c>
    </row>
    <row r="623" spans="4:120" ht="12.75">
      <c r="D623" s="7">
        <v>2830</v>
      </c>
      <c r="E623" s="6" t="s">
        <v>457</v>
      </c>
      <c r="F623" s="5">
        <v>3</v>
      </c>
      <c r="G623" s="34" t="s">
        <v>823</v>
      </c>
      <c r="H623" s="26" t="s">
        <v>765</v>
      </c>
      <c r="I623" t="b">
        <f>+ISNUMBER(SEARCH('F-COMPRA'!$F$28,Tabla11[[#This Row],[Cuenta]],1))</f>
        <v>1</v>
      </c>
      <c r="J623" t="b">
        <f>+ISNUMBER(SEARCH('F-COMPRA'!$F$29,Tabla11[[#This Row],[Cuenta]],1))</f>
        <v>1</v>
      </c>
      <c r="K623" t="b">
        <f>+ISNUMBER(SEARCH('F-COMPRA'!$F$30,Tabla11[[#This Row],[Cuenta]],1))</f>
        <v>1</v>
      </c>
      <c r="L623" t="b">
        <f>+ISNUMBER(SEARCH('F-COMPRA'!$F$31,Tabla11[[#This Row],[Cuenta]],1))</f>
        <v>1</v>
      </c>
      <c r="M623" t="b">
        <f>+ISNUMBER(SEARCH('F-COMPRA'!$G$25,Tabla11[[#This Row],[Cuenta]],1))</f>
        <v>0</v>
      </c>
      <c r="N623" t="b">
        <f>+ISNUMBER(SEARCH(#REF!,Tabla11[[#This Row],[Cuenta]],1))</f>
        <v>0</v>
      </c>
      <c r="O623" t="b">
        <f>+ISNUMBER(SEARCH(#REF!,Tabla11[[#This Row],[Cuenta]],1))</f>
        <v>0</v>
      </c>
      <c r="P623" t="b">
        <f>+ISNUMBER(SEARCH('F-COMPRA'!$F$32,Tabla11[[#This Row],[Cuenta]],1))</f>
        <v>1</v>
      </c>
      <c r="Q623" t="b">
        <f>+ISNUMBER(SEARCH('F-COMPRA'!$F$33,Tabla11[[#This Row],[Cuenta]],1))</f>
        <v>1</v>
      </c>
      <c r="R623" t="b">
        <f>+ISNUMBER(SEARCH('F-COMPRA'!$F$34,Tabla11[[#This Row],[Cuenta]],1))</f>
        <v>1</v>
      </c>
      <c r="S623" t="b">
        <f>+ISNUMBER(SEARCH('F-COMPRA'!$F$35,Tabla11[[#This Row],[Cuenta]],1))</f>
        <v>1</v>
      </c>
      <c r="T623" t="b">
        <f>+ISNUMBER(SEARCH('F-COMPRA'!$F$36,Tabla11[[#This Row],[Cuenta]],1))</f>
        <v>1</v>
      </c>
      <c r="U623" t="b">
        <f>+ISNUMBER(SEARCH('F-COMPRA'!$F$37,Tabla11[[#This Row],[Cuenta]],1))</f>
        <v>1</v>
      </c>
      <c r="V623" t="b">
        <f>+ISNUMBER(SEARCH(#REF!,Tabla11[[#This Row],[Cuenta]],1))</f>
        <v>0</v>
      </c>
      <c r="W623" t="b">
        <f>+ISNUMBER(SEARCH('F-COMPRA'!#REF!,Tabla11[[#This Row],[Cuenta]],1))</f>
        <v>0</v>
      </c>
      <c r="X623" t="b">
        <f>+ISNUMBER(SEARCH('F-COMPRA'!#REF!,Tabla11[[#This Row],[Cuenta]],1))</f>
        <v>0</v>
      </c>
      <c r="Y623" t="b">
        <f>+ISNUMBER(SEARCH('F-COMPRA'!#REF!,Tabla11[[#This Row],[Cuenta]],1))</f>
        <v>0</v>
      </c>
      <c r="Z623" t="b">
        <f>+ISNUMBER(SEARCH('F-COMPRA'!#REF!,Tabla11[[#This Row],[Cuenta]],1))</f>
        <v>0</v>
      </c>
      <c r="AA623" t="b">
        <f>+ISNUMBER(SEARCH('F-COMPRA'!#REF!,Tabla11[[#This Row],[Cuenta]],1))</f>
        <v>0</v>
      </c>
      <c r="AB623" t="b">
        <f>+ISNUMBER(SEARCH('F-COMPRA'!#REF!,Tabla11[[#This Row],[Cuenta]],1))</f>
        <v>0</v>
      </c>
      <c r="AC623" t="b">
        <f>+ISNUMBER(SEARCH('F-COMPRA'!#REF!,Tabla11[[#This Row],[Cuenta]],1))</f>
        <v>0</v>
      </c>
      <c r="AD623" t="b">
        <f>+ISNUMBER(SEARCH('F-COMPRA'!#REF!,Tabla11[[#This Row],[Cuenta]],1))</f>
        <v>0</v>
      </c>
      <c r="AE623" t="b">
        <f>+ISNUMBER(SEARCH('F-COMPRA'!#REF!,Tabla11[[#This Row],[Cuenta]],1))</f>
        <v>0</v>
      </c>
      <c r="AF623" t="b">
        <f>+ISNUMBER(SEARCH('F-VTA'!$G$23,Tabla11[[#This Row],[Cuenta]],1))</f>
        <v>0</v>
      </c>
      <c r="AG623" t="b">
        <f>+ISNUMBER(SEARCH('F-VTA'!$G$24,Tabla11[[#This Row],[Cuenta]],1))</f>
        <v>0</v>
      </c>
      <c r="AH623" t="b">
        <f>+ISNUMBER(SEARCH('F-VTA'!$G$25,Tabla11[[#This Row],[Cuenta]],1))</f>
        <v>0</v>
      </c>
      <c r="AI623" t="b">
        <f>+ISNUMBER(SEARCH('F-VTA'!$F$28,Tabla11[[#This Row],[Cuenta]],1))</f>
        <v>1</v>
      </c>
      <c r="AJ623" t="b">
        <f>+ISNUMBER(SEARCH('F-VTA'!$F$29,Tabla11[[#This Row],[Cuenta]],1))</f>
        <v>1</v>
      </c>
      <c r="AK623" t="b">
        <f>+ISNUMBER(SEARCH('F-VTA'!$F$30,Tabla11[[#This Row],[Cuenta]],1))</f>
        <v>1</v>
      </c>
      <c r="AL623" t="b">
        <f>+ISNUMBER(SEARCH('F-VTA'!$F$31,Tabla11[[#This Row],[Cuenta]],1))</f>
        <v>1</v>
      </c>
      <c r="AM623" t="b">
        <f>+ISNUMBER(SEARCH('F-VTA'!$F$32,Tabla11[[#This Row],[Cuenta]],1))</f>
        <v>1</v>
      </c>
      <c r="AN623" t="b">
        <f>+ISNUMBER(SEARCH('F-VTA'!$F$33,Tabla11[[#This Row],[Cuenta]],1))</f>
        <v>1</v>
      </c>
      <c r="AO623" t="b">
        <f>+ISNUMBER(SEARCH('F-VTA'!$F$34,Tabla11[[#This Row],[Cuenta]],1))</f>
        <v>1</v>
      </c>
      <c r="AP623" t="b">
        <f>+ISNUMBER(SEARCH('F-VTA'!$F$35,Tabla11[[#This Row],[Cuenta]],1))</f>
        <v>1</v>
      </c>
      <c r="AQ623" t="b">
        <f>+ISNUMBER(SEARCH('F-VTA'!$F$36,Tabla11[[#This Row],[Cuenta]],1))</f>
        <v>1</v>
      </c>
      <c r="AR623" t="b">
        <f>+ISNUMBER(SEARCH(#REF!,Tabla11[[#This Row],[Cuenta]],1))</f>
        <v>0</v>
      </c>
      <c r="AS623" t="b">
        <f>+ISNUMBER(SEARCH(#REF!,Tabla11[[#This Row],[Cuenta]],1))</f>
        <v>0</v>
      </c>
      <c r="AT623" t="b">
        <f>+ISNUMBER(SEARCH(#REF!,Tabla11[[#This Row],[Cuenta]],1))</f>
        <v>0</v>
      </c>
      <c r="AU623" t="b">
        <f>+ISNUMBER(SEARCH('Conc. Ban.1'!$I$9,Tabla11[[#This Row],[Cuenta]],1))</f>
        <v>0</v>
      </c>
      <c r="AV623" t="b">
        <f>+ISNUMBER(SEARCH(CompConta!$F$21,Tabla11[[#This Row],[Cuenta]],1))</f>
        <v>1</v>
      </c>
      <c r="AW623" t="b">
        <f>+ISNUMBER(SEARCH(CompConta!$F$22,Tabla11[[#This Row],[Cuenta]],1))</f>
        <v>1</v>
      </c>
      <c r="AX623" t="b">
        <f>+ISNUMBER(SEARCH(CompConta!$F$23,Tabla11[[#This Row],[Cuenta]],1))</f>
        <v>1</v>
      </c>
      <c r="AY623" t="b">
        <f>+ISNUMBER(SEARCH(CompConta!$F$24,Tabla11[[#This Row],[Cuenta]],1))</f>
        <v>1</v>
      </c>
      <c r="AZ623" t="b">
        <f>+ISNUMBER(SEARCH(CompConta!$F$25,Tabla11[[#This Row],[Cuenta]],1))</f>
        <v>1</v>
      </c>
      <c r="BA623" t="b">
        <f>+ISNUMBER(SEARCH(CompConta!$F$26,Tabla11[[#This Row],[Cuenta]],1))</f>
        <v>1</v>
      </c>
      <c r="BB623" t="b">
        <f>+ISNUMBER(SEARCH(CompConta!$F$27,Tabla11[[#This Row],[Cuenta]],1))</f>
        <v>1</v>
      </c>
      <c r="BC623" t="b">
        <f>+ISNUMBER(SEARCH(CompConta!$F$28,Tabla11[[#This Row],[Cuenta]],1))</f>
        <v>1</v>
      </c>
      <c r="BD623" t="b">
        <f>+ISNUMBER(SEARCH(CompConta!$F$29,Tabla11[[#This Row],[Cuenta]],1))</f>
        <v>1</v>
      </c>
      <c r="BE623" t="b">
        <f>+ISNUMBER(SEARCH(CompConta!$F$30,Tabla11[[#This Row],[Cuenta]],1))</f>
        <v>1</v>
      </c>
      <c r="BF623" t="b">
        <f>+ISNUMBER(SEARCH('PAGO Compras'!$E$11,Tabla11[[#This Row],[Cuenta]],1))</f>
        <v>1</v>
      </c>
      <c r="BG623" t="b">
        <f>+ISNUMBER(SEARCH(#REF!,Tabla11[[#This Row],[Cuenta]],1))</f>
        <v>0</v>
      </c>
      <c r="BH623" t="b">
        <f>+ISNUMBER(SEARCH(#REF!,Tabla11[[#This Row],[Cuenta]],1))</f>
        <v>0</v>
      </c>
      <c r="BI623" t="b">
        <f>+ISNUMBER(SEARCH(#REF!,Tabla11[[#This Row],[Cuenta]],1))</f>
        <v>0</v>
      </c>
      <c r="BJ623" t="b">
        <f>+ISNUMBER(SEARCH(#REF!,Tabla11[[#This Row],[Cuenta]],1))</f>
        <v>0</v>
      </c>
      <c r="BS623" t="str">
        <v>2830 EMBARGOS JUDICIALES</v>
      </c>
      <c r="BT623" t="str">
        <v>2830 EMBARGOS JUDICIALES</v>
      </c>
      <c r="BU623" t="str">
        <v>2830 EMBARGOS JUDICIALES</v>
      </c>
      <c r="BV623" t="str">
        <v>2830 EMBARGOS JUDICIALES</v>
      </c>
      <c r="BZ623" t="str">
        <v>2830 EMBARGOS JUDICIALES</v>
      </c>
      <c r="CA623" t="str">
        <v>2830 EMBARGOS JUDICIALES</v>
      </c>
      <c r="CB623" t="str">
        <v>2830 EMBARGOS JUDICIALES</v>
      </c>
      <c r="CC623" t="str">
        <v>2830 EMBARGOS JUDICIALES</v>
      </c>
      <c r="CD623" t="str">
        <v>2830 EMBARGOS JUDICIALES</v>
      </c>
      <c r="CE623" t="str">
        <v>2830 EMBARGOS JUDICIALES</v>
      </c>
      <c r="CS623" s="141" t="str">
        <v>2830 EMBARGOS JUDICIALES</v>
      </c>
      <c r="CT623" s="141" t="str">
        <v>2830 EMBARGOS JUDICIALES</v>
      </c>
      <c r="CU623" s="141" t="str">
        <v>2830 EMBARGOS JUDICIALES</v>
      </c>
      <c r="CV623" s="141" t="str">
        <v>2830 EMBARGOS JUDICIALES</v>
      </c>
      <c r="CW623" s="141" t="str">
        <v>2830 EMBARGOS JUDICIALES</v>
      </c>
      <c r="CX623" s="141" t="str">
        <v>2830 EMBARGOS JUDICIALES</v>
      </c>
      <c r="CY623" s="141" t="str">
        <v>2830 EMBARGOS JUDICIALES</v>
      </c>
      <c r="CZ623" s="141" t="str">
        <v>2830 EMBARGOS JUDICIALES</v>
      </c>
      <c r="DA623" s="141" t="str">
        <v>2830 EMBARGOS JUDICIALES</v>
      </c>
      <c r="DF623" t="str">
        <v>2830 EMBARGOS JUDICIALES</v>
      </c>
      <c r="DG623" t="str">
        <v>2830 EMBARGOS JUDICIALES</v>
      </c>
      <c r="DH623" t="str">
        <v>2830 EMBARGOS JUDICIALES</v>
      </c>
      <c r="DI623" t="str">
        <v>2830 EMBARGOS JUDICIALES</v>
      </c>
      <c r="DJ623" t="str">
        <v>2830 EMBARGOS JUDICIALES</v>
      </c>
      <c r="DK623" t="str">
        <v>2830 EMBARGOS JUDICIALES</v>
      </c>
      <c r="DL623" t="str">
        <v>2830 EMBARGOS JUDICIALES</v>
      </c>
      <c r="DM623" t="str">
        <v>2830 EMBARGOS JUDICIALES</v>
      </c>
      <c r="DN623" t="str">
        <v>2830 EMBARGOS JUDICIALES</v>
      </c>
      <c r="DO623" t="str">
        <v>2830 EMBARGOS JUDICIALES</v>
      </c>
      <c r="DP623" t="str">
        <v>2830 EMBARGOS JUDICIALES</v>
      </c>
    </row>
    <row r="624" spans="4:120" ht="12.75">
      <c r="D624" s="7">
        <v>283005</v>
      </c>
      <c r="E624" s="6" t="s">
        <v>458</v>
      </c>
      <c r="F624" s="5">
        <v>4</v>
      </c>
      <c r="G624" s="34" t="s">
        <v>823</v>
      </c>
      <c r="H624" s="26" t="s">
        <v>765</v>
      </c>
      <c r="I624" t="b">
        <f>+ISNUMBER(SEARCH('F-COMPRA'!$F$28,Tabla11[[#This Row],[Cuenta]],1))</f>
        <v>1</v>
      </c>
      <c r="J624" t="b">
        <f>+ISNUMBER(SEARCH('F-COMPRA'!$F$29,Tabla11[[#This Row],[Cuenta]],1))</f>
        <v>1</v>
      </c>
      <c r="K624" t="b">
        <f>+ISNUMBER(SEARCH('F-COMPRA'!$F$30,Tabla11[[#This Row],[Cuenta]],1))</f>
        <v>1</v>
      </c>
      <c r="L624" t="b">
        <f>+ISNUMBER(SEARCH('F-COMPRA'!$F$31,Tabla11[[#This Row],[Cuenta]],1))</f>
        <v>1</v>
      </c>
      <c r="M624" t="b">
        <f>+ISNUMBER(SEARCH('F-COMPRA'!$G$25,Tabla11[[#This Row],[Cuenta]],1))</f>
        <v>0</v>
      </c>
      <c r="N624" t="b">
        <f>+ISNUMBER(SEARCH(#REF!,Tabla11[[#This Row],[Cuenta]],1))</f>
        <v>0</v>
      </c>
      <c r="O624" t="b">
        <f>+ISNUMBER(SEARCH(#REF!,Tabla11[[#This Row],[Cuenta]],1))</f>
        <v>0</v>
      </c>
      <c r="P624" t="b">
        <f>+ISNUMBER(SEARCH('F-COMPRA'!$F$32,Tabla11[[#This Row],[Cuenta]],1))</f>
        <v>1</v>
      </c>
      <c r="Q624" t="b">
        <f>+ISNUMBER(SEARCH('F-COMPRA'!$F$33,Tabla11[[#This Row],[Cuenta]],1))</f>
        <v>1</v>
      </c>
      <c r="R624" t="b">
        <f>+ISNUMBER(SEARCH('F-COMPRA'!$F$34,Tabla11[[#This Row],[Cuenta]],1))</f>
        <v>1</v>
      </c>
      <c r="S624" t="b">
        <f>+ISNUMBER(SEARCH('F-COMPRA'!$F$35,Tabla11[[#This Row],[Cuenta]],1))</f>
        <v>1</v>
      </c>
      <c r="T624" t="b">
        <f>+ISNUMBER(SEARCH('F-COMPRA'!$F$36,Tabla11[[#This Row],[Cuenta]],1))</f>
        <v>1</v>
      </c>
      <c r="U624" t="b">
        <f>+ISNUMBER(SEARCH('F-COMPRA'!$F$37,Tabla11[[#This Row],[Cuenta]],1))</f>
        <v>1</v>
      </c>
      <c r="V624" t="b">
        <f>+ISNUMBER(SEARCH(#REF!,Tabla11[[#This Row],[Cuenta]],1))</f>
        <v>0</v>
      </c>
      <c r="W624" t="b">
        <f>+ISNUMBER(SEARCH('F-COMPRA'!#REF!,Tabla11[[#This Row],[Cuenta]],1))</f>
        <v>0</v>
      </c>
      <c r="X624" t="b">
        <f>+ISNUMBER(SEARCH('F-COMPRA'!#REF!,Tabla11[[#This Row],[Cuenta]],1))</f>
        <v>0</v>
      </c>
      <c r="Y624" t="b">
        <f>+ISNUMBER(SEARCH('F-COMPRA'!#REF!,Tabla11[[#This Row],[Cuenta]],1))</f>
        <v>0</v>
      </c>
      <c r="Z624" t="b">
        <f>+ISNUMBER(SEARCH('F-COMPRA'!#REF!,Tabla11[[#This Row],[Cuenta]],1))</f>
        <v>0</v>
      </c>
      <c r="AA624" t="b">
        <f>+ISNUMBER(SEARCH('F-COMPRA'!#REF!,Tabla11[[#This Row],[Cuenta]],1))</f>
        <v>0</v>
      </c>
      <c r="AB624" t="b">
        <f>+ISNUMBER(SEARCH('F-COMPRA'!#REF!,Tabla11[[#This Row],[Cuenta]],1))</f>
        <v>0</v>
      </c>
      <c r="AC624" t="b">
        <f>+ISNUMBER(SEARCH('F-COMPRA'!#REF!,Tabla11[[#This Row],[Cuenta]],1))</f>
        <v>0</v>
      </c>
      <c r="AD624" t="b">
        <f>+ISNUMBER(SEARCH('F-COMPRA'!#REF!,Tabla11[[#This Row],[Cuenta]],1))</f>
        <v>0</v>
      </c>
      <c r="AE624" t="b">
        <f>+ISNUMBER(SEARCH('F-COMPRA'!#REF!,Tabla11[[#This Row],[Cuenta]],1))</f>
        <v>0</v>
      </c>
      <c r="AF624" t="b">
        <f>+ISNUMBER(SEARCH('F-VTA'!$G$23,Tabla11[[#This Row],[Cuenta]],1))</f>
        <v>0</v>
      </c>
      <c r="AG624" t="b">
        <f>+ISNUMBER(SEARCH('F-VTA'!$G$24,Tabla11[[#This Row],[Cuenta]],1))</f>
        <v>0</v>
      </c>
      <c r="AH624" t="b">
        <f>+ISNUMBER(SEARCH('F-VTA'!$G$25,Tabla11[[#This Row],[Cuenta]],1))</f>
        <v>0</v>
      </c>
      <c r="AI624" t="b">
        <f>+ISNUMBER(SEARCH('F-VTA'!$F$28,Tabla11[[#This Row],[Cuenta]],1))</f>
        <v>1</v>
      </c>
      <c r="AJ624" t="b">
        <f>+ISNUMBER(SEARCH('F-VTA'!$F$29,Tabla11[[#This Row],[Cuenta]],1))</f>
        <v>1</v>
      </c>
      <c r="AK624" t="b">
        <f>+ISNUMBER(SEARCH('F-VTA'!$F$30,Tabla11[[#This Row],[Cuenta]],1))</f>
        <v>1</v>
      </c>
      <c r="AL624" t="b">
        <f>+ISNUMBER(SEARCH('F-VTA'!$F$31,Tabla11[[#This Row],[Cuenta]],1))</f>
        <v>1</v>
      </c>
      <c r="AM624" t="b">
        <f>+ISNUMBER(SEARCH('F-VTA'!$F$32,Tabla11[[#This Row],[Cuenta]],1))</f>
        <v>1</v>
      </c>
      <c r="AN624" t="b">
        <f>+ISNUMBER(SEARCH('F-VTA'!$F$33,Tabla11[[#This Row],[Cuenta]],1))</f>
        <v>1</v>
      </c>
      <c r="AO624" t="b">
        <f>+ISNUMBER(SEARCH('F-VTA'!$F$34,Tabla11[[#This Row],[Cuenta]],1))</f>
        <v>1</v>
      </c>
      <c r="AP624" t="b">
        <f>+ISNUMBER(SEARCH('F-VTA'!$F$35,Tabla11[[#This Row],[Cuenta]],1))</f>
        <v>1</v>
      </c>
      <c r="AQ624" t="b">
        <f>+ISNUMBER(SEARCH('F-VTA'!$F$36,Tabla11[[#This Row],[Cuenta]],1))</f>
        <v>1</v>
      </c>
      <c r="AR624" t="b">
        <f>+ISNUMBER(SEARCH(#REF!,Tabla11[[#This Row],[Cuenta]],1))</f>
        <v>0</v>
      </c>
      <c r="AS624" t="b">
        <f>+ISNUMBER(SEARCH(#REF!,Tabla11[[#This Row],[Cuenta]],1))</f>
        <v>0</v>
      </c>
      <c r="AT624" t="b">
        <f>+ISNUMBER(SEARCH(#REF!,Tabla11[[#This Row],[Cuenta]],1))</f>
        <v>0</v>
      </c>
      <c r="AU624" t="b">
        <f>+ISNUMBER(SEARCH('Conc. Ban.1'!$I$9,Tabla11[[#This Row],[Cuenta]],1))</f>
        <v>0</v>
      </c>
      <c r="AV624" t="b">
        <f>+ISNUMBER(SEARCH(CompConta!$F$21,Tabla11[[#This Row],[Cuenta]],1))</f>
        <v>1</v>
      </c>
      <c r="AW624" t="b">
        <f>+ISNUMBER(SEARCH(CompConta!$F$22,Tabla11[[#This Row],[Cuenta]],1))</f>
        <v>1</v>
      </c>
      <c r="AX624" t="b">
        <f>+ISNUMBER(SEARCH(CompConta!$F$23,Tabla11[[#This Row],[Cuenta]],1))</f>
        <v>1</v>
      </c>
      <c r="AY624" t="b">
        <f>+ISNUMBER(SEARCH(CompConta!$F$24,Tabla11[[#This Row],[Cuenta]],1))</f>
        <v>1</v>
      </c>
      <c r="AZ624" t="b">
        <f>+ISNUMBER(SEARCH(CompConta!$F$25,Tabla11[[#This Row],[Cuenta]],1))</f>
        <v>1</v>
      </c>
      <c r="BA624" t="b">
        <f>+ISNUMBER(SEARCH(CompConta!$F$26,Tabla11[[#This Row],[Cuenta]],1))</f>
        <v>1</v>
      </c>
      <c r="BB624" t="b">
        <f>+ISNUMBER(SEARCH(CompConta!$F$27,Tabla11[[#This Row],[Cuenta]],1))</f>
        <v>1</v>
      </c>
      <c r="BC624" t="b">
        <f>+ISNUMBER(SEARCH(CompConta!$F$28,Tabla11[[#This Row],[Cuenta]],1))</f>
        <v>1</v>
      </c>
      <c r="BD624" t="b">
        <f>+ISNUMBER(SEARCH(CompConta!$F$29,Tabla11[[#This Row],[Cuenta]],1))</f>
        <v>1</v>
      </c>
      <c r="BE624" t="b">
        <f>+ISNUMBER(SEARCH(CompConta!$F$30,Tabla11[[#This Row],[Cuenta]],1))</f>
        <v>1</v>
      </c>
      <c r="BF624" t="b">
        <f>+ISNUMBER(SEARCH('PAGO Compras'!$E$11,Tabla11[[#This Row],[Cuenta]],1))</f>
        <v>1</v>
      </c>
      <c r="BG624" t="b">
        <f>+ISNUMBER(SEARCH(#REF!,Tabla11[[#This Row],[Cuenta]],1))</f>
        <v>0</v>
      </c>
      <c r="BH624" t="b">
        <f>+ISNUMBER(SEARCH(#REF!,Tabla11[[#This Row],[Cuenta]],1))</f>
        <v>0</v>
      </c>
      <c r="BI624" t="b">
        <f>+ISNUMBER(SEARCH(#REF!,Tabla11[[#This Row],[Cuenta]],1))</f>
        <v>0</v>
      </c>
      <c r="BJ624" t="b">
        <f>+ISNUMBER(SEARCH(#REF!,Tabla11[[#This Row],[Cuenta]],1))</f>
        <v>0</v>
      </c>
      <c r="BS624" t="str">
        <v>283005 Indemnizaciones</v>
      </c>
      <c r="BT624" t="str">
        <v>283005 Indemnizaciones</v>
      </c>
      <c r="BU624" t="str">
        <v>283005 Indemnizaciones</v>
      </c>
      <c r="BV624" t="str">
        <v>283005 Indemnizaciones</v>
      </c>
      <c r="BZ624" t="str">
        <v>283005 Indemnizaciones</v>
      </c>
      <c r="CA624" t="str">
        <v>283005 Indemnizaciones</v>
      </c>
      <c r="CB624" t="str">
        <v>283005 Indemnizaciones</v>
      </c>
      <c r="CC624" t="str">
        <v>283005 Indemnizaciones</v>
      </c>
      <c r="CD624" t="str">
        <v>283005 Indemnizaciones</v>
      </c>
      <c r="CE624" t="str">
        <v>283005 Indemnizaciones</v>
      </c>
      <c r="CS624" s="141" t="str">
        <v>283005 Indemnizaciones</v>
      </c>
      <c r="CT624" s="141" t="str">
        <v>283005 Indemnizaciones</v>
      </c>
      <c r="CU624" s="141" t="str">
        <v>283005 Indemnizaciones</v>
      </c>
      <c r="CV624" s="141" t="str">
        <v>283005 Indemnizaciones</v>
      </c>
      <c r="CW624" s="141" t="str">
        <v>283005 Indemnizaciones</v>
      </c>
      <c r="CX624" s="141" t="str">
        <v>283005 Indemnizaciones</v>
      </c>
      <c r="CY624" s="141" t="str">
        <v>283005 Indemnizaciones</v>
      </c>
      <c r="CZ624" s="141" t="str">
        <v>283005 Indemnizaciones</v>
      </c>
      <c r="DA624" s="141" t="str">
        <v>283005 Indemnizaciones</v>
      </c>
      <c r="DF624" t="str">
        <v>283005 Indemnizaciones</v>
      </c>
      <c r="DG624" t="str">
        <v>283005 Indemnizaciones</v>
      </c>
      <c r="DH624" t="str">
        <v>283005 Indemnizaciones</v>
      </c>
      <c r="DI624" t="str">
        <v>283005 Indemnizaciones</v>
      </c>
      <c r="DJ624" t="str">
        <v>283005 Indemnizaciones</v>
      </c>
      <c r="DK624" t="str">
        <v>283005 Indemnizaciones</v>
      </c>
      <c r="DL624" t="str">
        <v>283005 Indemnizaciones</v>
      </c>
      <c r="DM624" t="str">
        <v>283005 Indemnizaciones</v>
      </c>
      <c r="DN624" t="str">
        <v>283005 Indemnizaciones</v>
      </c>
      <c r="DO624" t="str">
        <v>283005 Indemnizaciones</v>
      </c>
      <c r="DP624" t="str">
        <v>283005 Indemnizaciones</v>
      </c>
    </row>
    <row r="625" spans="4:120" ht="12.75">
      <c r="D625" s="7">
        <v>283010</v>
      </c>
      <c r="E625" s="6" t="s">
        <v>459</v>
      </c>
      <c r="F625" s="5">
        <v>4</v>
      </c>
      <c r="G625" s="34" t="s">
        <v>823</v>
      </c>
      <c r="H625" s="26" t="s">
        <v>765</v>
      </c>
      <c r="I625" t="b">
        <f>+ISNUMBER(SEARCH('F-COMPRA'!$F$28,Tabla11[[#This Row],[Cuenta]],1))</f>
        <v>1</v>
      </c>
      <c r="J625" t="b">
        <f>+ISNUMBER(SEARCH('F-COMPRA'!$F$29,Tabla11[[#This Row],[Cuenta]],1))</f>
        <v>1</v>
      </c>
      <c r="K625" t="b">
        <f>+ISNUMBER(SEARCH('F-COMPRA'!$F$30,Tabla11[[#This Row],[Cuenta]],1))</f>
        <v>1</v>
      </c>
      <c r="L625" t="b">
        <f>+ISNUMBER(SEARCH('F-COMPRA'!$F$31,Tabla11[[#This Row],[Cuenta]],1))</f>
        <v>1</v>
      </c>
      <c r="M625" t="b">
        <f>+ISNUMBER(SEARCH('F-COMPRA'!$G$25,Tabla11[[#This Row],[Cuenta]],1))</f>
        <v>0</v>
      </c>
      <c r="N625" t="b">
        <f>+ISNUMBER(SEARCH(#REF!,Tabla11[[#This Row],[Cuenta]],1))</f>
        <v>0</v>
      </c>
      <c r="O625" t="b">
        <f>+ISNUMBER(SEARCH(#REF!,Tabla11[[#This Row],[Cuenta]],1))</f>
        <v>0</v>
      </c>
      <c r="P625" t="b">
        <f>+ISNUMBER(SEARCH('F-COMPRA'!$F$32,Tabla11[[#This Row],[Cuenta]],1))</f>
        <v>1</v>
      </c>
      <c r="Q625" t="b">
        <f>+ISNUMBER(SEARCH('F-COMPRA'!$F$33,Tabla11[[#This Row],[Cuenta]],1))</f>
        <v>1</v>
      </c>
      <c r="R625" t="b">
        <f>+ISNUMBER(SEARCH('F-COMPRA'!$F$34,Tabla11[[#This Row],[Cuenta]],1))</f>
        <v>1</v>
      </c>
      <c r="S625" t="b">
        <f>+ISNUMBER(SEARCH('F-COMPRA'!$F$35,Tabla11[[#This Row],[Cuenta]],1))</f>
        <v>1</v>
      </c>
      <c r="T625" t="b">
        <f>+ISNUMBER(SEARCH('F-COMPRA'!$F$36,Tabla11[[#This Row],[Cuenta]],1))</f>
        <v>1</v>
      </c>
      <c r="U625" t="b">
        <f>+ISNUMBER(SEARCH('F-COMPRA'!$F$37,Tabla11[[#This Row],[Cuenta]],1))</f>
        <v>1</v>
      </c>
      <c r="V625" t="b">
        <f>+ISNUMBER(SEARCH(#REF!,Tabla11[[#This Row],[Cuenta]],1))</f>
        <v>0</v>
      </c>
      <c r="W625" t="b">
        <f>+ISNUMBER(SEARCH('F-COMPRA'!#REF!,Tabla11[[#This Row],[Cuenta]],1))</f>
        <v>0</v>
      </c>
      <c r="X625" t="b">
        <f>+ISNUMBER(SEARCH('F-COMPRA'!#REF!,Tabla11[[#This Row],[Cuenta]],1))</f>
        <v>0</v>
      </c>
      <c r="Y625" t="b">
        <f>+ISNUMBER(SEARCH('F-COMPRA'!#REF!,Tabla11[[#This Row],[Cuenta]],1))</f>
        <v>0</v>
      </c>
      <c r="Z625" t="b">
        <f>+ISNUMBER(SEARCH('F-COMPRA'!#REF!,Tabla11[[#This Row],[Cuenta]],1))</f>
        <v>0</v>
      </c>
      <c r="AA625" t="b">
        <f>+ISNUMBER(SEARCH('F-COMPRA'!#REF!,Tabla11[[#This Row],[Cuenta]],1))</f>
        <v>0</v>
      </c>
      <c r="AB625" t="b">
        <f>+ISNUMBER(SEARCH('F-COMPRA'!#REF!,Tabla11[[#This Row],[Cuenta]],1))</f>
        <v>0</v>
      </c>
      <c r="AC625" t="b">
        <f>+ISNUMBER(SEARCH('F-COMPRA'!#REF!,Tabla11[[#This Row],[Cuenta]],1))</f>
        <v>0</v>
      </c>
      <c r="AD625" t="b">
        <f>+ISNUMBER(SEARCH('F-COMPRA'!#REF!,Tabla11[[#This Row],[Cuenta]],1))</f>
        <v>0</v>
      </c>
      <c r="AE625" t="b">
        <f>+ISNUMBER(SEARCH('F-COMPRA'!#REF!,Tabla11[[#This Row],[Cuenta]],1))</f>
        <v>0</v>
      </c>
      <c r="AF625" t="b">
        <f>+ISNUMBER(SEARCH('F-VTA'!$G$23,Tabla11[[#This Row],[Cuenta]],1))</f>
        <v>0</v>
      </c>
      <c r="AG625" t="b">
        <f>+ISNUMBER(SEARCH('F-VTA'!$G$24,Tabla11[[#This Row],[Cuenta]],1))</f>
        <v>0</v>
      </c>
      <c r="AH625" t="b">
        <f>+ISNUMBER(SEARCH('F-VTA'!$G$25,Tabla11[[#This Row],[Cuenta]],1))</f>
        <v>0</v>
      </c>
      <c r="AI625" t="b">
        <f>+ISNUMBER(SEARCH('F-VTA'!$F$28,Tabla11[[#This Row],[Cuenta]],1))</f>
        <v>1</v>
      </c>
      <c r="AJ625" t="b">
        <f>+ISNUMBER(SEARCH('F-VTA'!$F$29,Tabla11[[#This Row],[Cuenta]],1))</f>
        <v>1</v>
      </c>
      <c r="AK625" t="b">
        <f>+ISNUMBER(SEARCH('F-VTA'!$F$30,Tabla11[[#This Row],[Cuenta]],1))</f>
        <v>1</v>
      </c>
      <c r="AL625" t="b">
        <f>+ISNUMBER(SEARCH('F-VTA'!$F$31,Tabla11[[#This Row],[Cuenta]],1))</f>
        <v>1</v>
      </c>
      <c r="AM625" t="b">
        <f>+ISNUMBER(SEARCH('F-VTA'!$F$32,Tabla11[[#This Row],[Cuenta]],1))</f>
        <v>1</v>
      </c>
      <c r="AN625" t="b">
        <f>+ISNUMBER(SEARCH('F-VTA'!$F$33,Tabla11[[#This Row],[Cuenta]],1))</f>
        <v>1</v>
      </c>
      <c r="AO625" t="b">
        <f>+ISNUMBER(SEARCH('F-VTA'!$F$34,Tabla11[[#This Row],[Cuenta]],1))</f>
        <v>1</v>
      </c>
      <c r="AP625" t="b">
        <f>+ISNUMBER(SEARCH('F-VTA'!$F$35,Tabla11[[#This Row],[Cuenta]],1))</f>
        <v>1</v>
      </c>
      <c r="AQ625" t="b">
        <f>+ISNUMBER(SEARCH('F-VTA'!$F$36,Tabla11[[#This Row],[Cuenta]],1))</f>
        <v>1</v>
      </c>
      <c r="AR625" t="b">
        <f>+ISNUMBER(SEARCH(#REF!,Tabla11[[#This Row],[Cuenta]],1))</f>
        <v>0</v>
      </c>
      <c r="AS625" t="b">
        <f>+ISNUMBER(SEARCH(#REF!,Tabla11[[#This Row],[Cuenta]],1))</f>
        <v>0</v>
      </c>
      <c r="AT625" t="b">
        <f>+ISNUMBER(SEARCH(#REF!,Tabla11[[#This Row],[Cuenta]],1))</f>
        <v>0</v>
      </c>
      <c r="AU625" t="b">
        <f>+ISNUMBER(SEARCH('Conc. Ban.1'!$I$9,Tabla11[[#This Row],[Cuenta]],1))</f>
        <v>0</v>
      </c>
      <c r="AV625" t="b">
        <f>+ISNUMBER(SEARCH(CompConta!$F$21,Tabla11[[#This Row],[Cuenta]],1))</f>
        <v>1</v>
      </c>
      <c r="AW625" t="b">
        <f>+ISNUMBER(SEARCH(CompConta!$F$22,Tabla11[[#This Row],[Cuenta]],1))</f>
        <v>1</v>
      </c>
      <c r="AX625" t="b">
        <f>+ISNUMBER(SEARCH(CompConta!$F$23,Tabla11[[#This Row],[Cuenta]],1))</f>
        <v>1</v>
      </c>
      <c r="AY625" t="b">
        <f>+ISNUMBER(SEARCH(CompConta!$F$24,Tabla11[[#This Row],[Cuenta]],1))</f>
        <v>1</v>
      </c>
      <c r="AZ625" t="b">
        <f>+ISNUMBER(SEARCH(CompConta!$F$25,Tabla11[[#This Row],[Cuenta]],1))</f>
        <v>1</v>
      </c>
      <c r="BA625" t="b">
        <f>+ISNUMBER(SEARCH(CompConta!$F$26,Tabla11[[#This Row],[Cuenta]],1))</f>
        <v>1</v>
      </c>
      <c r="BB625" t="b">
        <f>+ISNUMBER(SEARCH(CompConta!$F$27,Tabla11[[#This Row],[Cuenta]],1))</f>
        <v>1</v>
      </c>
      <c r="BC625" t="b">
        <f>+ISNUMBER(SEARCH(CompConta!$F$28,Tabla11[[#This Row],[Cuenta]],1))</f>
        <v>1</v>
      </c>
      <c r="BD625" t="b">
        <f>+ISNUMBER(SEARCH(CompConta!$F$29,Tabla11[[#This Row],[Cuenta]],1))</f>
        <v>1</v>
      </c>
      <c r="BE625" t="b">
        <f>+ISNUMBER(SEARCH(CompConta!$F$30,Tabla11[[#This Row],[Cuenta]],1))</f>
        <v>1</v>
      </c>
      <c r="BF625" t="b">
        <f>+ISNUMBER(SEARCH('PAGO Compras'!$E$11,Tabla11[[#This Row],[Cuenta]],1))</f>
        <v>1</v>
      </c>
      <c r="BG625" t="b">
        <f>+ISNUMBER(SEARCH(#REF!,Tabla11[[#This Row],[Cuenta]],1))</f>
        <v>0</v>
      </c>
      <c r="BH625" t="b">
        <f>+ISNUMBER(SEARCH(#REF!,Tabla11[[#This Row],[Cuenta]],1))</f>
        <v>0</v>
      </c>
      <c r="BI625" t="b">
        <f>+ISNUMBER(SEARCH(#REF!,Tabla11[[#This Row],[Cuenta]],1))</f>
        <v>0</v>
      </c>
      <c r="BJ625" t="b">
        <f>+ISNUMBER(SEARCH(#REF!,Tabla11[[#This Row],[Cuenta]],1))</f>
        <v>0</v>
      </c>
      <c r="BS625" t="str">
        <v>283010 Depósitos judiciales</v>
      </c>
      <c r="BT625" t="str">
        <v>283010 Depósitos judiciales</v>
      </c>
      <c r="BU625" t="str">
        <v>283010 Depósitos judiciales</v>
      </c>
      <c r="BV625" t="str">
        <v>283010 Depósitos judiciales</v>
      </c>
      <c r="BZ625" t="str">
        <v>283010 Depósitos judiciales</v>
      </c>
      <c r="CA625" t="str">
        <v>283010 Depósitos judiciales</v>
      </c>
      <c r="CB625" t="str">
        <v>283010 Depósitos judiciales</v>
      </c>
      <c r="CC625" t="str">
        <v>283010 Depósitos judiciales</v>
      </c>
      <c r="CD625" t="str">
        <v>283010 Depósitos judiciales</v>
      </c>
      <c r="CE625" t="str">
        <v>283010 Depósitos judiciales</v>
      </c>
      <c r="CS625" s="141" t="str">
        <v>283010 Depósitos judiciales</v>
      </c>
      <c r="CT625" s="141" t="str">
        <v>283010 Depósitos judiciales</v>
      </c>
      <c r="CU625" s="141" t="str">
        <v>283010 Depósitos judiciales</v>
      </c>
      <c r="CV625" s="141" t="str">
        <v>283010 Depósitos judiciales</v>
      </c>
      <c r="CW625" s="141" t="str">
        <v>283010 Depósitos judiciales</v>
      </c>
      <c r="CX625" s="141" t="str">
        <v>283010 Depósitos judiciales</v>
      </c>
      <c r="CY625" s="141" t="str">
        <v>283010 Depósitos judiciales</v>
      </c>
      <c r="CZ625" s="141" t="str">
        <v>283010 Depósitos judiciales</v>
      </c>
      <c r="DA625" s="141" t="str">
        <v>283010 Depósitos judiciales</v>
      </c>
      <c r="DF625" t="str">
        <v>283010 Depósitos judiciales</v>
      </c>
      <c r="DG625" t="str">
        <v>283010 Depósitos judiciales</v>
      </c>
      <c r="DH625" t="str">
        <v>283010 Depósitos judiciales</v>
      </c>
      <c r="DI625" t="str">
        <v>283010 Depósitos judiciales</v>
      </c>
      <c r="DJ625" t="str">
        <v>283010 Depósitos judiciales</v>
      </c>
      <c r="DK625" t="str">
        <v>283010 Depósitos judiciales</v>
      </c>
      <c r="DL625" t="str">
        <v>283010 Depósitos judiciales</v>
      </c>
      <c r="DM625" t="str">
        <v>283010 Depósitos judiciales</v>
      </c>
      <c r="DN625" t="str">
        <v>283010 Depósitos judiciales</v>
      </c>
      <c r="DO625" t="str">
        <v>283010 Depósitos judiciales</v>
      </c>
      <c r="DP625" t="str">
        <v>283010 Depósitos judiciales</v>
      </c>
    </row>
    <row r="626" spans="4:120" ht="12.75">
      <c r="D626" s="7">
        <v>2895</v>
      </c>
      <c r="E626" s="6" t="s">
        <v>282</v>
      </c>
      <c r="F626" s="5">
        <v>3</v>
      </c>
      <c r="G626" s="34" t="s">
        <v>823</v>
      </c>
      <c r="H626" s="26" t="s">
        <v>765</v>
      </c>
      <c r="I626" t="b">
        <f>+ISNUMBER(SEARCH('F-COMPRA'!$F$28,Tabla11[[#This Row],[Cuenta]],1))</f>
        <v>1</v>
      </c>
      <c r="J626" t="b">
        <f>+ISNUMBER(SEARCH('F-COMPRA'!$F$29,Tabla11[[#This Row],[Cuenta]],1))</f>
        <v>1</v>
      </c>
      <c r="K626" t="b">
        <f>+ISNUMBER(SEARCH('F-COMPRA'!$F$30,Tabla11[[#This Row],[Cuenta]],1))</f>
        <v>1</v>
      </c>
      <c r="L626" t="b">
        <f>+ISNUMBER(SEARCH('F-COMPRA'!$F$31,Tabla11[[#This Row],[Cuenta]],1))</f>
        <v>1</v>
      </c>
      <c r="M626" t="b">
        <f>+ISNUMBER(SEARCH('F-COMPRA'!$G$25,Tabla11[[#This Row],[Cuenta]],1))</f>
        <v>0</v>
      </c>
      <c r="N626" t="b">
        <f>+ISNUMBER(SEARCH(#REF!,Tabla11[[#This Row],[Cuenta]],1))</f>
        <v>0</v>
      </c>
      <c r="O626" t="b">
        <f>+ISNUMBER(SEARCH(#REF!,Tabla11[[#This Row],[Cuenta]],1))</f>
        <v>0</v>
      </c>
      <c r="P626" t="b">
        <f>+ISNUMBER(SEARCH('F-COMPRA'!$F$32,Tabla11[[#This Row],[Cuenta]],1))</f>
        <v>1</v>
      </c>
      <c r="Q626" t="b">
        <f>+ISNUMBER(SEARCH('F-COMPRA'!$F$33,Tabla11[[#This Row],[Cuenta]],1))</f>
        <v>1</v>
      </c>
      <c r="R626" t="b">
        <f>+ISNUMBER(SEARCH('F-COMPRA'!$F$34,Tabla11[[#This Row],[Cuenta]],1))</f>
        <v>1</v>
      </c>
      <c r="S626" t="b">
        <f>+ISNUMBER(SEARCH('F-COMPRA'!$F$35,Tabla11[[#This Row],[Cuenta]],1))</f>
        <v>1</v>
      </c>
      <c r="T626" t="b">
        <f>+ISNUMBER(SEARCH('F-COMPRA'!$F$36,Tabla11[[#This Row],[Cuenta]],1))</f>
        <v>1</v>
      </c>
      <c r="U626" t="b">
        <f>+ISNUMBER(SEARCH('F-COMPRA'!$F$37,Tabla11[[#This Row],[Cuenta]],1))</f>
        <v>1</v>
      </c>
      <c r="V626" t="b">
        <f>+ISNUMBER(SEARCH(#REF!,Tabla11[[#This Row],[Cuenta]],1))</f>
        <v>0</v>
      </c>
      <c r="W626" t="b">
        <f>+ISNUMBER(SEARCH('F-COMPRA'!#REF!,Tabla11[[#This Row],[Cuenta]],1))</f>
        <v>0</v>
      </c>
      <c r="X626" t="b">
        <f>+ISNUMBER(SEARCH('F-COMPRA'!#REF!,Tabla11[[#This Row],[Cuenta]],1))</f>
        <v>0</v>
      </c>
      <c r="Y626" t="b">
        <f>+ISNUMBER(SEARCH('F-COMPRA'!#REF!,Tabla11[[#This Row],[Cuenta]],1))</f>
        <v>0</v>
      </c>
      <c r="Z626" t="b">
        <f>+ISNUMBER(SEARCH('F-COMPRA'!#REF!,Tabla11[[#This Row],[Cuenta]],1))</f>
        <v>0</v>
      </c>
      <c r="AA626" t="b">
        <f>+ISNUMBER(SEARCH('F-COMPRA'!#REF!,Tabla11[[#This Row],[Cuenta]],1))</f>
        <v>0</v>
      </c>
      <c r="AB626" t="b">
        <f>+ISNUMBER(SEARCH('F-COMPRA'!#REF!,Tabla11[[#This Row],[Cuenta]],1))</f>
        <v>0</v>
      </c>
      <c r="AC626" t="b">
        <f>+ISNUMBER(SEARCH('F-COMPRA'!#REF!,Tabla11[[#This Row],[Cuenta]],1))</f>
        <v>0</v>
      </c>
      <c r="AD626" t="b">
        <f>+ISNUMBER(SEARCH('F-COMPRA'!#REF!,Tabla11[[#This Row],[Cuenta]],1))</f>
        <v>0</v>
      </c>
      <c r="AE626" t="b">
        <f>+ISNUMBER(SEARCH('F-COMPRA'!#REF!,Tabla11[[#This Row],[Cuenta]],1))</f>
        <v>0</v>
      </c>
      <c r="AF626" t="b">
        <f>+ISNUMBER(SEARCH('F-VTA'!$G$23,Tabla11[[#This Row],[Cuenta]],1))</f>
        <v>0</v>
      </c>
      <c r="AG626" t="b">
        <f>+ISNUMBER(SEARCH('F-VTA'!$G$24,Tabla11[[#This Row],[Cuenta]],1))</f>
        <v>0</v>
      </c>
      <c r="AH626" t="b">
        <f>+ISNUMBER(SEARCH('F-VTA'!$G$25,Tabla11[[#This Row],[Cuenta]],1))</f>
        <v>0</v>
      </c>
      <c r="AI626" t="b">
        <f>+ISNUMBER(SEARCH('F-VTA'!$F$28,Tabla11[[#This Row],[Cuenta]],1))</f>
        <v>1</v>
      </c>
      <c r="AJ626" t="b">
        <f>+ISNUMBER(SEARCH('F-VTA'!$F$29,Tabla11[[#This Row],[Cuenta]],1))</f>
        <v>1</v>
      </c>
      <c r="AK626" t="b">
        <f>+ISNUMBER(SEARCH('F-VTA'!$F$30,Tabla11[[#This Row],[Cuenta]],1))</f>
        <v>1</v>
      </c>
      <c r="AL626" t="b">
        <f>+ISNUMBER(SEARCH('F-VTA'!$F$31,Tabla11[[#This Row],[Cuenta]],1))</f>
        <v>1</v>
      </c>
      <c r="AM626" t="b">
        <f>+ISNUMBER(SEARCH('F-VTA'!$F$32,Tabla11[[#This Row],[Cuenta]],1))</f>
        <v>1</v>
      </c>
      <c r="AN626" t="b">
        <f>+ISNUMBER(SEARCH('F-VTA'!$F$33,Tabla11[[#This Row],[Cuenta]],1))</f>
        <v>1</v>
      </c>
      <c r="AO626" t="b">
        <f>+ISNUMBER(SEARCH('F-VTA'!$F$34,Tabla11[[#This Row],[Cuenta]],1))</f>
        <v>1</v>
      </c>
      <c r="AP626" t="b">
        <f>+ISNUMBER(SEARCH('F-VTA'!$F$35,Tabla11[[#This Row],[Cuenta]],1))</f>
        <v>1</v>
      </c>
      <c r="AQ626" t="b">
        <f>+ISNUMBER(SEARCH('F-VTA'!$F$36,Tabla11[[#This Row],[Cuenta]],1))</f>
        <v>1</v>
      </c>
      <c r="AR626" t="b">
        <f>+ISNUMBER(SEARCH(#REF!,Tabla11[[#This Row],[Cuenta]],1))</f>
        <v>0</v>
      </c>
      <c r="AS626" t="b">
        <f>+ISNUMBER(SEARCH(#REF!,Tabla11[[#This Row],[Cuenta]],1))</f>
        <v>0</v>
      </c>
      <c r="AT626" t="b">
        <f>+ISNUMBER(SEARCH(#REF!,Tabla11[[#This Row],[Cuenta]],1))</f>
        <v>0</v>
      </c>
      <c r="AU626" t="b">
        <f>+ISNUMBER(SEARCH('Conc. Ban.1'!$I$9,Tabla11[[#This Row],[Cuenta]],1))</f>
        <v>0</v>
      </c>
      <c r="AV626" t="b">
        <f>+ISNUMBER(SEARCH(CompConta!$F$21,Tabla11[[#This Row],[Cuenta]],1))</f>
        <v>1</v>
      </c>
      <c r="AW626" t="b">
        <f>+ISNUMBER(SEARCH(CompConta!$F$22,Tabla11[[#This Row],[Cuenta]],1))</f>
        <v>1</v>
      </c>
      <c r="AX626" t="b">
        <f>+ISNUMBER(SEARCH(CompConta!$F$23,Tabla11[[#This Row],[Cuenta]],1))</f>
        <v>1</v>
      </c>
      <c r="AY626" t="b">
        <f>+ISNUMBER(SEARCH(CompConta!$F$24,Tabla11[[#This Row],[Cuenta]],1))</f>
        <v>1</v>
      </c>
      <c r="AZ626" t="b">
        <f>+ISNUMBER(SEARCH(CompConta!$F$25,Tabla11[[#This Row],[Cuenta]],1))</f>
        <v>1</v>
      </c>
      <c r="BA626" t="b">
        <f>+ISNUMBER(SEARCH(CompConta!$F$26,Tabla11[[#This Row],[Cuenta]],1))</f>
        <v>1</v>
      </c>
      <c r="BB626" t="b">
        <f>+ISNUMBER(SEARCH(CompConta!$F$27,Tabla11[[#This Row],[Cuenta]],1))</f>
        <v>1</v>
      </c>
      <c r="BC626" t="b">
        <f>+ISNUMBER(SEARCH(CompConta!$F$28,Tabla11[[#This Row],[Cuenta]],1))</f>
        <v>1</v>
      </c>
      <c r="BD626" t="b">
        <f>+ISNUMBER(SEARCH(CompConta!$F$29,Tabla11[[#This Row],[Cuenta]],1))</f>
        <v>1</v>
      </c>
      <c r="BE626" t="b">
        <f>+ISNUMBER(SEARCH(CompConta!$F$30,Tabla11[[#This Row],[Cuenta]],1))</f>
        <v>1</v>
      </c>
      <c r="BF626" t="b">
        <f>+ISNUMBER(SEARCH('PAGO Compras'!$E$11,Tabla11[[#This Row],[Cuenta]],1))</f>
        <v>1</v>
      </c>
      <c r="BG626" t="b">
        <f>+ISNUMBER(SEARCH(#REF!,Tabla11[[#This Row],[Cuenta]],1))</f>
        <v>0</v>
      </c>
      <c r="BH626" t="b">
        <f>+ISNUMBER(SEARCH(#REF!,Tabla11[[#This Row],[Cuenta]],1))</f>
        <v>0</v>
      </c>
      <c r="BI626" t="b">
        <f>+ISNUMBER(SEARCH(#REF!,Tabla11[[#This Row],[Cuenta]],1))</f>
        <v>0</v>
      </c>
      <c r="BJ626" t="b">
        <f>+ISNUMBER(SEARCH(#REF!,Tabla11[[#This Row],[Cuenta]],1))</f>
        <v>0</v>
      </c>
      <c r="BS626" t="str">
        <v>2895 DIVERSOS</v>
      </c>
      <c r="BT626" t="str">
        <v>2895 DIVERSOS</v>
      </c>
      <c r="BU626" t="str">
        <v>2895 DIVERSOS</v>
      </c>
      <c r="BV626" t="str">
        <v>2895 DIVERSOS</v>
      </c>
      <c r="BZ626" t="str">
        <v>2895 DIVERSOS</v>
      </c>
      <c r="CA626" t="str">
        <v>2895 DIVERSOS</v>
      </c>
      <c r="CB626" t="str">
        <v>2895 DIVERSOS</v>
      </c>
      <c r="CC626" t="str">
        <v>2895 DIVERSOS</v>
      </c>
      <c r="CD626" t="str">
        <v>2895 DIVERSOS</v>
      </c>
      <c r="CE626" t="str">
        <v>2895 DIVERSOS</v>
      </c>
      <c r="CS626" s="141" t="str">
        <v>2895 DIVERSOS</v>
      </c>
      <c r="CT626" s="141" t="str">
        <v>2895 DIVERSOS</v>
      </c>
      <c r="CU626" s="141" t="str">
        <v>2895 DIVERSOS</v>
      </c>
      <c r="CV626" s="141" t="str">
        <v>2895 DIVERSOS</v>
      </c>
      <c r="CW626" s="141" t="str">
        <v>2895 DIVERSOS</v>
      </c>
      <c r="CX626" s="141" t="str">
        <v>2895 DIVERSOS</v>
      </c>
      <c r="CY626" s="141" t="str">
        <v>2895 DIVERSOS</v>
      </c>
      <c r="CZ626" s="141" t="str">
        <v>2895 DIVERSOS</v>
      </c>
      <c r="DA626" s="141" t="str">
        <v>2895 DIVERSOS</v>
      </c>
      <c r="DF626" t="str">
        <v>2895 DIVERSOS</v>
      </c>
      <c r="DG626" t="str">
        <v>2895 DIVERSOS</v>
      </c>
      <c r="DH626" t="str">
        <v>2895 DIVERSOS</v>
      </c>
      <c r="DI626" t="str">
        <v>2895 DIVERSOS</v>
      </c>
      <c r="DJ626" t="str">
        <v>2895 DIVERSOS</v>
      </c>
      <c r="DK626" t="str">
        <v>2895 DIVERSOS</v>
      </c>
      <c r="DL626" t="str">
        <v>2895 DIVERSOS</v>
      </c>
      <c r="DM626" t="str">
        <v>2895 DIVERSOS</v>
      </c>
      <c r="DN626" t="str">
        <v>2895 DIVERSOS</v>
      </c>
      <c r="DO626" t="str">
        <v>2895 DIVERSOS</v>
      </c>
      <c r="DP626" t="str">
        <v>2895 DIVERSOS</v>
      </c>
    </row>
    <row r="627" spans="4:120" ht="12.75">
      <c r="D627" s="7">
        <v>289505</v>
      </c>
      <c r="E627" s="6" t="s">
        <v>460</v>
      </c>
      <c r="F627" s="5">
        <v>4</v>
      </c>
      <c r="G627" s="34" t="s">
        <v>823</v>
      </c>
      <c r="H627" s="26" t="s">
        <v>765</v>
      </c>
      <c r="I627" t="b">
        <f>+ISNUMBER(SEARCH('F-COMPRA'!$F$28,Tabla11[[#This Row],[Cuenta]],1))</f>
        <v>1</v>
      </c>
      <c r="J627" t="b">
        <f>+ISNUMBER(SEARCH('F-COMPRA'!$F$29,Tabla11[[#This Row],[Cuenta]],1))</f>
        <v>1</v>
      </c>
      <c r="K627" t="b">
        <f>+ISNUMBER(SEARCH('F-COMPRA'!$F$30,Tabla11[[#This Row],[Cuenta]],1))</f>
        <v>1</v>
      </c>
      <c r="L627" t="b">
        <f>+ISNUMBER(SEARCH('F-COMPRA'!$F$31,Tabla11[[#This Row],[Cuenta]],1))</f>
        <v>1</v>
      </c>
      <c r="M627" t="b">
        <f>+ISNUMBER(SEARCH('F-COMPRA'!$G$25,Tabla11[[#This Row],[Cuenta]],1))</f>
        <v>0</v>
      </c>
      <c r="N627" t="b">
        <f>+ISNUMBER(SEARCH(#REF!,Tabla11[[#This Row],[Cuenta]],1))</f>
        <v>0</v>
      </c>
      <c r="O627" t="b">
        <f>+ISNUMBER(SEARCH(#REF!,Tabla11[[#This Row],[Cuenta]],1))</f>
        <v>0</v>
      </c>
      <c r="P627" t="b">
        <f>+ISNUMBER(SEARCH('F-COMPRA'!$F$32,Tabla11[[#This Row],[Cuenta]],1))</f>
        <v>1</v>
      </c>
      <c r="Q627" t="b">
        <f>+ISNUMBER(SEARCH('F-COMPRA'!$F$33,Tabla11[[#This Row],[Cuenta]],1))</f>
        <v>1</v>
      </c>
      <c r="R627" t="b">
        <f>+ISNUMBER(SEARCH('F-COMPRA'!$F$34,Tabla11[[#This Row],[Cuenta]],1))</f>
        <v>1</v>
      </c>
      <c r="S627" t="b">
        <f>+ISNUMBER(SEARCH('F-COMPRA'!$F$35,Tabla11[[#This Row],[Cuenta]],1))</f>
        <v>1</v>
      </c>
      <c r="T627" t="b">
        <f>+ISNUMBER(SEARCH('F-COMPRA'!$F$36,Tabla11[[#This Row],[Cuenta]],1))</f>
        <v>1</v>
      </c>
      <c r="U627" t="b">
        <f>+ISNUMBER(SEARCH('F-COMPRA'!$F$37,Tabla11[[#This Row],[Cuenta]],1))</f>
        <v>1</v>
      </c>
      <c r="V627" t="b">
        <f>+ISNUMBER(SEARCH(#REF!,Tabla11[[#This Row],[Cuenta]],1))</f>
        <v>0</v>
      </c>
      <c r="W627" t="b">
        <f>+ISNUMBER(SEARCH('F-COMPRA'!#REF!,Tabla11[[#This Row],[Cuenta]],1))</f>
        <v>0</v>
      </c>
      <c r="X627" t="b">
        <f>+ISNUMBER(SEARCH('F-COMPRA'!#REF!,Tabla11[[#This Row],[Cuenta]],1))</f>
        <v>0</v>
      </c>
      <c r="Y627" t="b">
        <f>+ISNUMBER(SEARCH('F-COMPRA'!#REF!,Tabla11[[#This Row],[Cuenta]],1))</f>
        <v>0</v>
      </c>
      <c r="Z627" t="b">
        <f>+ISNUMBER(SEARCH('F-COMPRA'!#REF!,Tabla11[[#This Row],[Cuenta]],1))</f>
        <v>0</v>
      </c>
      <c r="AA627" t="b">
        <f>+ISNUMBER(SEARCH('F-COMPRA'!#REF!,Tabla11[[#This Row],[Cuenta]],1))</f>
        <v>0</v>
      </c>
      <c r="AB627" t="b">
        <f>+ISNUMBER(SEARCH('F-COMPRA'!#REF!,Tabla11[[#This Row],[Cuenta]],1))</f>
        <v>0</v>
      </c>
      <c r="AC627" t="b">
        <f>+ISNUMBER(SEARCH('F-COMPRA'!#REF!,Tabla11[[#This Row],[Cuenta]],1))</f>
        <v>0</v>
      </c>
      <c r="AD627" t="b">
        <f>+ISNUMBER(SEARCH('F-COMPRA'!#REF!,Tabla11[[#This Row],[Cuenta]],1))</f>
        <v>0</v>
      </c>
      <c r="AE627" t="b">
        <f>+ISNUMBER(SEARCH('F-COMPRA'!#REF!,Tabla11[[#This Row],[Cuenta]],1))</f>
        <v>0</v>
      </c>
      <c r="AF627" t="b">
        <f>+ISNUMBER(SEARCH('F-VTA'!$G$23,Tabla11[[#This Row],[Cuenta]],1))</f>
        <v>0</v>
      </c>
      <c r="AG627" t="b">
        <f>+ISNUMBER(SEARCH('F-VTA'!$G$24,Tabla11[[#This Row],[Cuenta]],1))</f>
        <v>0</v>
      </c>
      <c r="AH627" t="b">
        <f>+ISNUMBER(SEARCH('F-VTA'!$G$25,Tabla11[[#This Row],[Cuenta]],1))</f>
        <v>0</v>
      </c>
      <c r="AI627" t="b">
        <f>+ISNUMBER(SEARCH('F-VTA'!$F$28,Tabla11[[#This Row],[Cuenta]],1))</f>
        <v>1</v>
      </c>
      <c r="AJ627" t="b">
        <f>+ISNUMBER(SEARCH('F-VTA'!$F$29,Tabla11[[#This Row],[Cuenta]],1))</f>
        <v>1</v>
      </c>
      <c r="AK627" t="b">
        <f>+ISNUMBER(SEARCH('F-VTA'!$F$30,Tabla11[[#This Row],[Cuenta]],1))</f>
        <v>1</v>
      </c>
      <c r="AL627" t="b">
        <f>+ISNUMBER(SEARCH('F-VTA'!$F$31,Tabla11[[#This Row],[Cuenta]],1))</f>
        <v>1</v>
      </c>
      <c r="AM627" t="b">
        <f>+ISNUMBER(SEARCH('F-VTA'!$F$32,Tabla11[[#This Row],[Cuenta]],1))</f>
        <v>1</v>
      </c>
      <c r="AN627" t="b">
        <f>+ISNUMBER(SEARCH('F-VTA'!$F$33,Tabla11[[#This Row],[Cuenta]],1))</f>
        <v>1</v>
      </c>
      <c r="AO627" t="b">
        <f>+ISNUMBER(SEARCH('F-VTA'!$F$34,Tabla11[[#This Row],[Cuenta]],1))</f>
        <v>1</v>
      </c>
      <c r="AP627" t="b">
        <f>+ISNUMBER(SEARCH('F-VTA'!$F$35,Tabla11[[#This Row],[Cuenta]],1))</f>
        <v>1</v>
      </c>
      <c r="AQ627" t="b">
        <f>+ISNUMBER(SEARCH('F-VTA'!$F$36,Tabla11[[#This Row],[Cuenta]],1))</f>
        <v>1</v>
      </c>
      <c r="AR627" t="b">
        <f>+ISNUMBER(SEARCH(#REF!,Tabla11[[#This Row],[Cuenta]],1))</f>
        <v>0</v>
      </c>
      <c r="AS627" t="b">
        <f>+ISNUMBER(SEARCH(#REF!,Tabla11[[#This Row],[Cuenta]],1))</f>
        <v>0</v>
      </c>
      <c r="AT627" t="b">
        <f>+ISNUMBER(SEARCH(#REF!,Tabla11[[#This Row],[Cuenta]],1))</f>
        <v>0</v>
      </c>
      <c r="AU627" t="b">
        <f>+ISNUMBER(SEARCH('Conc. Ban.1'!$I$9,Tabla11[[#This Row],[Cuenta]],1))</f>
        <v>0</v>
      </c>
      <c r="AV627" t="b">
        <f>+ISNUMBER(SEARCH(CompConta!$F$21,Tabla11[[#This Row],[Cuenta]],1))</f>
        <v>1</v>
      </c>
      <c r="AW627" t="b">
        <f>+ISNUMBER(SEARCH(CompConta!$F$22,Tabla11[[#This Row],[Cuenta]],1))</f>
        <v>1</v>
      </c>
      <c r="AX627" t="b">
        <f>+ISNUMBER(SEARCH(CompConta!$F$23,Tabla11[[#This Row],[Cuenta]],1))</f>
        <v>1</v>
      </c>
      <c r="AY627" t="b">
        <f>+ISNUMBER(SEARCH(CompConta!$F$24,Tabla11[[#This Row],[Cuenta]],1))</f>
        <v>1</v>
      </c>
      <c r="AZ627" t="b">
        <f>+ISNUMBER(SEARCH(CompConta!$F$25,Tabla11[[#This Row],[Cuenta]],1))</f>
        <v>1</v>
      </c>
      <c r="BA627" t="b">
        <f>+ISNUMBER(SEARCH(CompConta!$F$26,Tabla11[[#This Row],[Cuenta]],1))</f>
        <v>1</v>
      </c>
      <c r="BB627" t="b">
        <f>+ISNUMBER(SEARCH(CompConta!$F$27,Tabla11[[#This Row],[Cuenta]],1))</f>
        <v>1</v>
      </c>
      <c r="BC627" t="b">
        <f>+ISNUMBER(SEARCH(CompConta!$F$28,Tabla11[[#This Row],[Cuenta]],1))</f>
        <v>1</v>
      </c>
      <c r="BD627" t="b">
        <f>+ISNUMBER(SEARCH(CompConta!$F$29,Tabla11[[#This Row],[Cuenta]],1))</f>
        <v>1</v>
      </c>
      <c r="BE627" t="b">
        <f>+ISNUMBER(SEARCH(CompConta!$F$30,Tabla11[[#This Row],[Cuenta]],1))</f>
        <v>1</v>
      </c>
      <c r="BF627" t="b">
        <f>+ISNUMBER(SEARCH('PAGO Compras'!$E$11,Tabla11[[#This Row],[Cuenta]],1))</f>
        <v>1</v>
      </c>
      <c r="BG627" t="b">
        <f>+ISNUMBER(SEARCH(#REF!,Tabla11[[#This Row],[Cuenta]],1))</f>
        <v>0</v>
      </c>
      <c r="BH627" t="b">
        <f>+ISNUMBER(SEARCH(#REF!,Tabla11[[#This Row],[Cuenta]],1))</f>
        <v>0</v>
      </c>
      <c r="BI627" t="b">
        <f>+ISNUMBER(SEARCH(#REF!,Tabla11[[#This Row],[Cuenta]],1))</f>
        <v>0</v>
      </c>
      <c r="BJ627" t="b">
        <f>+ISNUMBER(SEARCH(#REF!,Tabla11[[#This Row],[Cuenta]],1))</f>
        <v>0</v>
      </c>
      <c r="BS627" t="str">
        <v>289505 Préstamos de productos</v>
      </c>
      <c r="BT627" t="str">
        <v>289505 Préstamos de productos</v>
      </c>
      <c r="BU627" t="str">
        <v>289505 Préstamos de productos</v>
      </c>
      <c r="BV627" t="str">
        <v>289505 Préstamos de productos</v>
      </c>
      <c r="BZ627" t="str">
        <v>289505 Préstamos de productos</v>
      </c>
      <c r="CA627" t="str">
        <v>289505 Préstamos de productos</v>
      </c>
      <c r="CB627" t="str">
        <v>289505 Préstamos de productos</v>
      </c>
      <c r="CC627" t="str">
        <v>289505 Préstamos de productos</v>
      </c>
      <c r="CD627" t="str">
        <v>289505 Préstamos de productos</v>
      </c>
      <c r="CE627" t="str">
        <v>289505 Préstamos de productos</v>
      </c>
      <c r="CS627" s="141" t="str">
        <v>289505 Préstamos de productos</v>
      </c>
      <c r="CT627" s="141" t="str">
        <v>289505 Préstamos de productos</v>
      </c>
      <c r="CU627" s="141" t="str">
        <v>289505 Préstamos de productos</v>
      </c>
      <c r="CV627" s="141" t="str">
        <v>289505 Préstamos de productos</v>
      </c>
      <c r="CW627" s="141" t="str">
        <v>289505 Préstamos de productos</v>
      </c>
      <c r="CX627" s="141" t="str">
        <v>289505 Préstamos de productos</v>
      </c>
      <c r="CY627" s="141" t="str">
        <v>289505 Préstamos de productos</v>
      </c>
      <c r="CZ627" s="141" t="str">
        <v>289505 Préstamos de productos</v>
      </c>
      <c r="DA627" s="141" t="str">
        <v>289505 Préstamos de productos</v>
      </c>
      <c r="DF627" t="str">
        <v>289505 Préstamos de productos</v>
      </c>
      <c r="DG627" t="str">
        <v>289505 Préstamos de productos</v>
      </c>
      <c r="DH627" t="str">
        <v>289505 Préstamos de productos</v>
      </c>
      <c r="DI627" t="str">
        <v>289505 Préstamos de productos</v>
      </c>
      <c r="DJ627" t="str">
        <v>289505 Préstamos de productos</v>
      </c>
      <c r="DK627" t="str">
        <v>289505 Préstamos de productos</v>
      </c>
      <c r="DL627" t="str">
        <v>289505 Préstamos de productos</v>
      </c>
      <c r="DM627" t="str">
        <v>289505 Préstamos de productos</v>
      </c>
      <c r="DN627" t="str">
        <v>289505 Préstamos de productos</v>
      </c>
      <c r="DO627" t="str">
        <v>289505 Préstamos de productos</v>
      </c>
      <c r="DP627" t="str">
        <v>289505 Préstamos de productos</v>
      </c>
    </row>
    <row r="628" spans="4:120" ht="12.75">
      <c r="D628" s="7">
        <v>289510</v>
      </c>
      <c r="E628" s="6" t="s">
        <v>461</v>
      </c>
      <c r="F628" s="5">
        <v>4</v>
      </c>
      <c r="G628" s="34" t="s">
        <v>823</v>
      </c>
      <c r="H628" s="26" t="s">
        <v>765</v>
      </c>
      <c r="I628" t="b">
        <f>+ISNUMBER(SEARCH('F-COMPRA'!$F$28,Tabla11[[#This Row],[Cuenta]],1))</f>
        <v>1</v>
      </c>
      <c r="J628" t="b">
        <f>+ISNUMBER(SEARCH('F-COMPRA'!$F$29,Tabla11[[#This Row],[Cuenta]],1))</f>
        <v>1</v>
      </c>
      <c r="K628" t="b">
        <f>+ISNUMBER(SEARCH('F-COMPRA'!$F$30,Tabla11[[#This Row],[Cuenta]],1))</f>
        <v>1</v>
      </c>
      <c r="L628" t="b">
        <f>+ISNUMBER(SEARCH('F-COMPRA'!$F$31,Tabla11[[#This Row],[Cuenta]],1))</f>
        <v>1</v>
      </c>
      <c r="M628" t="b">
        <f>+ISNUMBER(SEARCH('F-COMPRA'!$G$25,Tabla11[[#This Row],[Cuenta]],1))</f>
        <v>0</v>
      </c>
      <c r="N628" t="b">
        <f>+ISNUMBER(SEARCH(#REF!,Tabla11[[#This Row],[Cuenta]],1))</f>
        <v>0</v>
      </c>
      <c r="O628" t="b">
        <f>+ISNUMBER(SEARCH(#REF!,Tabla11[[#This Row],[Cuenta]],1))</f>
        <v>0</v>
      </c>
      <c r="P628" t="b">
        <f>+ISNUMBER(SEARCH('F-COMPRA'!$F$32,Tabla11[[#This Row],[Cuenta]],1))</f>
        <v>1</v>
      </c>
      <c r="Q628" t="b">
        <f>+ISNUMBER(SEARCH('F-COMPRA'!$F$33,Tabla11[[#This Row],[Cuenta]],1))</f>
        <v>1</v>
      </c>
      <c r="R628" t="b">
        <f>+ISNUMBER(SEARCH('F-COMPRA'!$F$34,Tabla11[[#This Row],[Cuenta]],1))</f>
        <v>1</v>
      </c>
      <c r="S628" t="b">
        <f>+ISNUMBER(SEARCH('F-COMPRA'!$F$35,Tabla11[[#This Row],[Cuenta]],1))</f>
        <v>1</v>
      </c>
      <c r="T628" t="b">
        <f>+ISNUMBER(SEARCH('F-COMPRA'!$F$36,Tabla11[[#This Row],[Cuenta]],1))</f>
        <v>1</v>
      </c>
      <c r="U628" t="b">
        <f>+ISNUMBER(SEARCH('F-COMPRA'!$F$37,Tabla11[[#This Row],[Cuenta]],1))</f>
        <v>1</v>
      </c>
      <c r="V628" t="b">
        <f>+ISNUMBER(SEARCH(#REF!,Tabla11[[#This Row],[Cuenta]],1))</f>
        <v>0</v>
      </c>
      <c r="W628" t="b">
        <f>+ISNUMBER(SEARCH('F-COMPRA'!#REF!,Tabla11[[#This Row],[Cuenta]],1))</f>
        <v>0</v>
      </c>
      <c r="X628" t="b">
        <f>+ISNUMBER(SEARCH('F-COMPRA'!#REF!,Tabla11[[#This Row],[Cuenta]],1))</f>
        <v>0</v>
      </c>
      <c r="Y628" t="b">
        <f>+ISNUMBER(SEARCH('F-COMPRA'!#REF!,Tabla11[[#This Row],[Cuenta]],1))</f>
        <v>0</v>
      </c>
      <c r="Z628" t="b">
        <f>+ISNUMBER(SEARCH('F-COMPRA'!#REF!,Tabla11[[#This Row],[Cuenta]],1))</f>
        <v>0</v>
      </c>
      <c r="AA628" t="b">
        <f>+ISNUMBER(SEARCH('F-COMPRA'!#REF!,Tabla11[[#This Row],[Cuenta]],1))</f>
        <v>0</v>
      </c>
      <c r="AB628" t="b">
        <f>+ISNUMBER(SEARCH('F-COMPRA'!#REF!,Tabla11[[#This Row],[Cuenta]],1))</f>
        <v>0</v>
      </c>
      <c r="AC628" t="b">
        <f>+ISNUMBER(SEARCH('F-COMPRA'!#REF!,Tabla11[[#This Row],[Cuenta]],1))</f>
        <v>0</v>
      </c>
      <c r="AD628" t="b">
        <f>+ISNUMBER(SEARCH('F-COMPRA'!#REF!,Tabla11[[#This Row],[Cuenta]],1))</f>
        <v>0</v>
      </c>
      <c r="AE628" t="b">
        <f>+ISNUMBER(SEARCH('F-COMPRA'!#REF!,Tabla11[[#This Row],[Cuenta]],1))</f>
        <v>0</v>
      </c>
      <c r="AF628" t="b">
        <f>+ISNUMBER(SEARCH('F-VTA'!$G$23,Tabla11[[#This Row],[Cuenta]],1))</f>
        <v>0</v>
      </c>
      <c r="AG628" t="b">
        <f>+ISNUMBER(SEARCH('F-VTA'!$G$24,Tabla11[[#This Row],[Cuenta]],1))</f>
        <v>0</v>
      </c>
      <c r="AH628" t="b">
        <f>+ISNUMBER(SEARCH('F-VTA'!$G$25,Tabla11[[#This Row],[Cuenta]],1))</f>
        <v>0</v>
      </c>
      <c r="AI628" t="b">
        <f>+ISNUMBER(SEARCH('F-VTA'!$F$28,Tabla11[[#This Row],[Cuenta]],1))</f>
        <v>1</v>
      </c>
      <c r="AJ628" t="b">
        <f>+ISNUMBER(SEARCH('F-VTA'!$F$29,Tabla11[[#This Row],[Cuenta]],1))</f>
        <v>1</v>
      </c>
      <c r="AK628" t="b">
        <f>+ISNUMBER(SEARCH('F-VTA'!$F$30,Tabla11[[#This Row],[Cuenta]],1))</f>
        <v>1</v>
      </c>
      <c r="AL628" t="b">
        <f>+ISNUMBER(SEARCH('F-VTA'!$F$31,Tabla11[[#This Row],[Cuenta]],1))</f>
        <v>1</v>
      </c>
      <c r="AM628" t="b">
        <f>+ISNUMBER(SEARCH('F-VTA'!$F$32,Tabla11[[#This Row],[Cuenta]],1))</f>
        <v>1</v>
      </c>
      <c r="AN628" t="b">
        <f>+ISNUMBER(SEARCH('F-VTA'!$F$33,Tabla11[[#This Row],[Cuenta]],1))</f>
        <v>1</v>
      </c>
      <c r="AO628" t="b">
        <f>+ISNUMBER(SEARCH('F-VTA'!$F$34,Tabla11[[#This Row],[Cuenta]],1))</f>
        <v>1</v>
      </c>
      <c r="AP628" t="b">
        <f>+ISNUMBER(SEARCH('F-VTA'!$F$35,Tabla11[[#This Row],[Cuenta]],1))</f>
        <v>1</v>
      </c>
      <c r="AQ628" t="b">
        <f>+ISNUMBER(SEARCH('F-VTA'!$F$36,Tabla11[[#This Row],[Cuenta]],1))</f>
        <v>1</v>
      </c>
      <c r="AR628" t="b">
        <f>+ISNUMBER(SEARCH(#REF!,Tabla11[[#This Row],[Cuenta]],1))</f>
        <v>0</v>
      </c>
      <c r="AS628" t="b">
        <f>+ISNUMBER(SEARCH(#REF!,Tabla11[[#This Row],[Cuenta]],1))</f>
        <v>0</v>
      </c>
      <c r="AT628" t="b">
        <f>+ISNUMBER(SEARCH(#REF!,Tabla11[[#This Row],[Cuenta]],1))</f>
        <v>0</v>
      </c>
      <c r="AU628" t="b">
        <f>+ISNUMBER(SEARCH('Conc. Ban.1'!$I$9,Tabla11[[#This Row],[Cuenta]],1))</f>
        <v>0</v>
      </c>
      <c r="AV628" t="b">
        <f>+ISNUMBER(SEARCH(CompConta!$F$21,Tabla11[[#This Row],[Cuenta]],1))</f>
        <v>1</v>
      </c>
      <c r="AW628" t="b">
        <f>+ISNUMBER(SEARCH(CompConta!$F$22,Tabla11[[#This Row],[Cuenta]],1))</f>
        <v>1</v>
      </c>
      <c r="AX628" t="b">
        <f>+ISNUMBER(SEARCH(CompConta!$F$23,Tabla11[[#This Row],[Cuenta]],1))</f>
        <v>1</v>
      </c>
      <c r="AY628" t="b">
        <f>+ISNUMBER(SEARCH(CompConta!$F$24,Tabla11[[#This Row],[Cuenta]],1))</f>
        <v>1</v>
      </c>
      <c r="AZ628" t="b">
        <f>+ISNUMBER(SEARCH(CompConta!$F$25,Tabla11[[#This Row],[Cuenta]],1))</f>
        <v>1</v>
      </c>
      <c r="BA628" t="b">
        <f>+ISNUMBER(SEARCH(CompConta!$F$26,Tabla11[[#This Row],[Cuenta]],1))</f>
        <v>1</v>
      </c>
      <c r="BB628" t="b">
        <f>+ISNUMBER(SEARCH(CompConta!$F$27,Tabla11[[#This Row],[Cuenta]],1))</f>
        <v>1</v>
      </c>
      <c r="BC628" t="b">
        <f>+ISNUMBER(SEARCH(CompConta!$F$28,Tabla11[[#This Row],[Cuenta]],1))</f>
        <v>1</v>
      </c>
      <c r="BD628" t="b">
        <f>+ISNUMBER(SEARCH(CompConta!$F$29,Tabla11[[#This Row],[Cuenta]],1))</f>
        <v>1</v>
      </c>
      <c r="BE628" t="b">
        <f>+ISNUMBER(SEARCH(CompConta!$F$30,Tabla11[[#This Row],[Cuenta]],1))</f>
        <v>1</v>
      </c>
      <c r="BF628" t="b">
        <f>+ISNUMBER(SEARCH('PAGO Compras'!$E$11,Tabla11[[#This Row],[Cuenta]],1))</f>
        <v>1</v>
      </c>
      <c r="BG628" t="b">
        <f>+ISNUMBER(SEARCH(#REF!,Tabla11[[#This Row],[Cuenta]],1))</f>
        <v>0</v>
      </c>
      <c r="BH628" t="b">
        <f>+ISNUMBER(SEARCH(#REF!,Tabla11[[#This Row],[Cuenta]],1))</f>
        <v>0</v>
      </c>
      <c r="BI628" t="b">
        <f>+ISNUMBER(SEARCH(#REF!,Tabla11[[#This Row],[Cuenta]],1))</f>
        <v>0</v>
      </c>
      <c r="BJ628" t="b">
        <f>+ISNUMBER(SEARCH(#REF!,Tabla11[[#This Row],[Cuenta]],1))</f>
        <v>0</v>
      </c>
      <c r="BS628" t="str">
        <v>289510 Reembolso de costos exploratorios</v>
      </c>
      <c r="BT628" t="str">
        <v>289510 Reembolso de costos exploratorios</v>
      </c>
      <c r="BU628" t="str">
        <v>289510 Reembolso de costos exploratorios</v>
      </c>
      <c r="BV628" t="str">
        <v>289510 Reembolso de costos exploratorios</v>
      </c>
      <c r="BZ628" t="str">
        <v>289510 Reembolso de costos exploratorios</v>
      </c>
      <c r="CA628" t="str">
        <v>289510 Reembolso de costos exploratorios</v>
      </c>
      <c r="CB628" t="str">
        <v>289510 Reembolso de costos exploratorios</v>
      </c>
      <c r="CC628" t="str">
        <v>289510 Reembolso de costos exploratorios</v>
      </c>
      <c r="CD628" t="str">
        <v>289510 Reembolso de costos exploratorios</v>
      </c>
      <c r="CE628" t="str">
        <v>289510 Reembolso de costos exploratorios</v>
      </c>
      <c r="CS628" s="141" t="str">
        <v>289510 Reembolso de costos exploratorios</v>
      </c>
      <c r="CT628" s="141" t="str">
        <v>289510 Reembolso de costos exploratorios</v>
      </c>
      <c r="CU628" s="141" t="str">
        <v>289510 Reembolso de costos exploratorios</v>
      </c>
      <c r="CV628" s="141" t="str">
        <v>289510 Reembolso de costos exploratorios</v>
      </c>
      <c r="CW628" s="141" t="str">
        <v>289510 Reembolso de costos exploratorios</v>
      </c>
      <c r="CX628" s="141" t="str">
        <v>289510 Reembolso de costos exploratorios</v>
      </c>
      <c r="CY628" s="141" t="str">
        <v>289510 Reembolso de costos exploratorios</v>
      </c>
      <c r="CZ628" s="141" t="str">
        <v>289510 Reembolso de costos exploratorios</v>
      </c>
      <c r="DA628" s="141" t="str">
        <v>289510 Reembolso de costos exploratorios</v>
      </c>
      <c r="DF628" t="str">
        <v>289510 Reembolso de costos exploratorios</v>
      </c>
      <c r="DG628" t="str">
        <v>289510 Reembolso de costos exploratorios</v>
      </c>
      <c r="DH628" t="str">
        <v>289510 Reembolso de costos exploratorios</v>
      </c>
      <c r="DI628" t="str">
        <v>289510 Reembolso de costos exploratorios</v>
      </c>
      <c r="DJ628" t="str">
        <v>289510 Reembolso de costos exploratorios</v>
      </c>
      <c r="DK628" t="str">
        <v>289510 Reembolso de costos exploratorios</v>
      </c>
      <c r="DL628" t="str">
        <v>289510 Reembolso de costos exploratorios</v>
      </c>
      <c r="DM628" t="str">
        <v>289510 Reembolso de costos exploratorios</v>
      </c>
      <c r="DN628" t="str">
        <v>289510 Reembolso de costos exploratorios</v>
      </c>
      <c r="DO628" t="str">
        <v>289510 Reembolso de costos exploratorios</v>
      </c>
      <c r="DP628" t="str">
        <v>289510 Reembolso de costos exploratorios</v>
      </c>
    </row>
    <row r="629" spans="4:120" ht="12.75">
      <c r="D629" s="7">
        <v>289515</v>
      </c>
      <c r="E629" s="6" t="s">
        <v>462</v>
      </c>
      <c r="F629" s="5">
        <v>4</v>
      </c>
      <c r="G629" s="34" t="s">
        <v>823</v>
      </c>
      <c r="H629" s="26" t="s">
        <v>765</v>
      </c>
      <c r="I629" t="b">
        <f>+ISNUMBER(SEARCH('F-COMPRA'!$F$28,Tabla11[[#This Row],[Cuenta]],1))</f>
        <v>1</v>
      </c>
      <c r="J629" t="b">
        <f>+ISNUMBER(SEARCH('F-COMPRA'!$F$29,Tabla11[[#This Row],[Cuenta]],1))</f>
        <v>1</v>
      </c>
      <c r="K629" t="b">
        <f>+ISNUMBER(SEARCH('F-COMPRA'!$F$30,Tabla11[[#This Row],[Cuenta]],1))</f>
        <v>1</v>
      </c>
      <c r="L629" t="b">
        <f>+ISNUMBER(SEARCH('F-COMPRA'!$F$31,Tabla11[[#This Row],[Cuenta]],1))</f>
        <v>1</v>
      </c>
      <c r="M629" t="b">
        <f>+ISNUMBER(SEARCH('F-COMPRA'!$G$25,Tabla11[[#This Row],[Cuenta]],1))</f>
        <v>0</v>
      </c>
      <c r="N629" t="b">
        <f>+ISNUMBER(SEARCH(#REF!,Tabla11[[#This Row],[Cuenta]],1))</f>
        <v>0</v>
      </c>
      <c r="O629" t="b">
        <f>+ISNUMBER(SEARCH(#REF!,Tabla11[[#This Row],[Cuenta]],1))</f>
        <v>0</v>
      </c>
      <c r="P629" t="b">
        <f>+ISNUMBER(SEARCH('F-COMPRA'!$F$32,Tabla11[[#This Row],[Cuenta]],1))</f>
        <v>1</v>
      </c>
      <c r="Q629" t="b">
        <f>+ISNUMBER(SEARCH('F-COMPRA'!$F$33,Tabla11[[#This Row],[Cuenta]],1))</f>
        <v>1</v>
      </c>
      <c r="R629" t="b">
        <f>+ISNUMBER(SEARCH('F-COMPRA'!$F$34,Tabla11[[#This Row],[Cuenta]],1))</f>
        <v>1</v>
      </c>
      <c r="S629" t="b">
        <f>+ISNUMBER(SEARCH('F-COMPRA'!$F$35,Tabla11[[#This Row],[Cuenta]],1))</f>
        <v>1</v>
      </c>
      <c r="T629" t="b">
        <f>+ISNUMBER(SEARCH('F-COMPRA'!$F$36,Tabla11[[#This Row],[Cuenta]],1))</f>
        <v>1</v>
      </c>
      <c r="U629" t="b">
        <f>+ISNUMBER(SEARCH('F-COMPRA'!$F$37,Tabla11[[#This Row],[Cuenta]],1))</f>
        <v>1</v>
      </c>
      <c r="V629" t="b">
        <f>+ISNUMBER(SEARCH(#REF!,Tabla11[[#This Row],[Cuenta]],1))</f>
        <v>0</v>
      </c>
      <c r="W629" t="b">
        <f>+ISNUMBER(SEARCH('F-COMPRA'!#REF!,Tabla11[[#This Row],[Cuenta]],1))</f>
        <v>0</v>
      </c>
      <c r="X629" t="b">
        <f>+ISNUMBER(SEARCH('F-COMPRA'!#REF!,Tabla11[[#This Row],[Cuenta]],1))</f>
        <v>0</v>
      </c>
      <c r="Y629" t="b">
        <f>+ISNUMBER(SEARCH('F-COMPRA'!#REF!,Tabla11[[#This Row],[Cuenta]],1))</f>
        <v>0</v>
      </c>
      <c r="Z629" t="b">
        <f>+ISNUMBER(SEARCH('F-COMPRA'!#REF!,Tabla11[[#This Row],[Cuenta]],1))</f>
        <v>0</v>
      </c>
      <c r="AA629" t="b">
        <f>+ISNUMBER(SEARCH('F-COMPRA'!#REF!,Tabla11[[#This Row],[Cuenta]],1))</f>
        <v>0</v>
      </c>
      <c r="AB629" t="b">
        <f>+ISNUMBER(SEARCH('F-COMPRA'!#REF!,Tabla11[[#This Row],[Cuenta]],1))</f>
        <v>0</v>
      </c>
      <c r="AC629" t="b">
        <f>+ISNUMBER(SEARCH('F-COMPRA'!#REF!,Tabla11[[#This Row],[Cuenta]],1))</f>
        <v>0</v>
      </c>
      <c r="AD629" t="b">
        <f>+ISNUMBER(SEARCH('F-COMPRA'!#REF!,Tabla11[[#This Row],[Cuenta]],1))</f>
        <v>0</v>
      </c>
      <c r="AE629" t="b">
        <f>+ISNUMBER(SEARCH('F-COMPRA'!#REF!,Tabla11[[#This Row],[Cuenta]],1))</f>
        <v>0</v>
      </c>
      <c r="AF629" t="b">
        <f>+ISNUMBER(SEARCH('F-VTA'!$G$23,Tabla11[[#This Row],[Cuenta]],1))</f>
        <v>0</v>
      </c>
      <c r="AG629" t="b">
        <f>+ISNUMBER(SEARCH('F-VTA'!$G$24,Tabla11[[#This Row],[Cuenta]],1))</f>
        <v>0</v>
      </c>
      <c r="AH629" t="b">
        <f>+ISNUMBER(SEARCH('F-VTA'!$G$25,Tabla11[[#This Row],[Cuenta]],1))</f>
        <v>0</v>
      </c>
      <c r="AI629" t="b">
        <f>+ISNUMBER(SEARCH('F-VTA'!$F$28,Tabla11[[#This Row],[Cuenta]],1))</f>
        <v>1</v>
      </c>
      <c r="AJ629" t="b">
        <f>+ISNUMBER(SEARCH('F-VTA'!$F$29,Tabla11[[#This Row],[Cuenta]],1))</f>
        <v>1</v>
      </c>
      <c r="AK629" t="b">
        <f>+ISNUMBER(SEARCH('F-VTA'!$F$30,Tabla11[[#This Row],[Cuenta]],1))</f>
        <v>1</v>
      </c>
      <c r="AL629" t="b">
        <f>+ISNUMBER(SEARCH('F-VTA'!$F$31,Tabla11[[#This Row],[Cuenta]],1))</f>
        <v>1</v>
      </c>
      <c r="AM629" t="b">
        <f>+ISNUMBER(SEARCH('F-VTA'!$F$32,Tabla11[[#This Row],[Cuenta]],1))</f>
        <v>1</v>
      </c>
      <c r="AN629" t="b">
        <f>+ISNUMBER(SEARCH('F-VTA'!$F$33,Tabla11[[#This Row],[Cuenta]],1))</f>
        <v>1</v>
      </c>
      <c r="AO629" t="b">
        <f>+ISNUMBER(SEARCH('F-VTA'!$F$34,Tabla11[[#This Row],[Cuenta]],1))</f>
        <v>1</v>
      </c>
      <c r="AP629" t="b">
        <f>+ISNUMBER(SEARCH('F-VTA'!$F$35,Tabla11[[#This Row],[Cuenta]],1))</f>
        <v>1</v>
      </c>
      <c r="AQ629" t="b">
        <f>+ISNUMBER(SEARCH('F-VTA'!$F$36,Tabla11[[#This Row],[Cuenta]],1))</f>
        <v>1</v>
      </c>
      <c r="AR629" t="b">
        <f>+ISNUMBER(SEARCH(#REF!,Tabla11[[#This Row],[Cuenta]],1))</f>
        <v>0</v>
      </c>
      <c r="AS629" t="b">
        <f>+ISNUMBER(SEARCH(#REF!,Tabla11[[#This Row],[Cuenta]],1))</f>
        <v>0</v>
      </c>
      <c r="AT629" t="b">
        <f>+ISNUMBER(SEARCH(#REF!,Tabla11[[#This Row],[Cuenta]],1))</f>
        <v>0</v>
      </c>
      <c r="AU629" t="b">
        <f>+ISNUMBER(SEARCH('Conc. Ban.1'!$I$9,Tabla11[[#This Row],[Cuenta]],1))</f>
        <v>0</v>
      </c>
      <c r="AV629" t="b">
        <f>+ISNUMBER(SEARCH(CompConta!$F$21,Tabla11[[#This Row],[Cuenta]],1))</f>
        <v>1</v>
      </c>
      <c r="AW629" t="b">
        <f>+ISNUMBER(SEARCH(CompConta!$F$22,Tabla11[[#This Row],[Cuenta]],1))</f>
        <v>1</v>
      </c>
      <c r="AX629" t="b">
        <f>+ISNUMBER(SEARCH(CompConta!$F$23,Tabla11[[#This Row],[Cuenta]],1))</f>
        <v>1</v>
      </c>
      <c r="AY629" t="b">
        <f>+ISNUMBER(SEARCH(CompConta!$F$24,Tabla11[[#This Row],[Cuenta]],1))</f>
        <v>1</v>
      </c>
      <c r="AZ629" t="b">
        <f>+ISNUMBER(SEARCH(CompConta!$F$25,Tabla11[[#This Row],[Cuenta]],1))</f>
        <v>1</v>
      </c>
      <c r="BA629" t="b">
        <f>+ISNUMBER(SEARCH(CompConta!$F$26,Tabla11[[#This Row],[Cuenta]],1))</f>
        <v>1</v>
      </c>
      <c r="BB629" t="b">
        <f>+ISNUMBER(SEARCH(CompConta!$F$27,Tabla11[[#This Row],[Cuenta]],1))</f>
        <v>1</v>
      </c>
      <c r="BC629" t="b">
        <f>+ISNUMBER(SEARCH(CompConta!$F$28,Tabla11[[#This Row],[Cuenta]],1))</f>
        <v>1</v>
      </c>
      <c r="BD629" t="b">
        <f>+ISNUMBER(SEARCH(CompConta!$F$29,Tabla11[[#This Row],[Cuenta]],1))</f>
        <v>1</v>
      </c>
      <c r="BE629" t="b">
        <f>+ISNUMBER(SEARCH(CompConta!$F$30,Tabla11[[#This Row],[Cuenta]],1))</f>
        <v>1</v>
      </c>
      <c r="BF629" t="b">
        <f>+ISNUMBER(SEARCH('PAGO Compras'!$E$11,Tabla11[[#This Row],[Cuenta]],1))</f>
        <v>1</v>
      </c>
      <c r="BG629" t="b">
        <f>+ISNUMBER(SEARCH(#REF!,Tabla11[[#This Row],[Cuenta]],1))</f>
        <v>0</v>
      </c>
      <c r="BH629" t="b">
        <f>+ISNUMBER(SEARCH(#REF!,Tabla11[[#This Row],[Cuenta]],1))</f>
        <v>0</v>
      </c>
      <c r="BI629" t="b">
        <f>+ISNUMBER(SEARCH(#REF!,Tabla11[[#This Row],[Cuenta]],1))</f>
        <v>0</v>
      </c>
      <c r="BJ629" t="b">
        <f>+ISNUMBER(SEARCH(#REF!,Tabla11[[#This Row],[Cuenta]],1))</f>
        <v>0</v>
      </c>
      <c r="BS629" t="str">
        <v>289515 Programa de extensión agropecuaria</v>
      </c>
      <c r="BT629" t="str">
        <v>289515 Programa de extensión agropecuaria</v>
      </c>
      <c r="BU629" t="str">
        <v>289515 Programa de extensión agropecuaria</v>
      </c>
      <c r="BV629" t="str">
        <v>289515 Programa de extensión agropecuaria</v>
      </c>
      <c r="BZ629" t="str">
        <v>289515 Programa de extensión agropecuaria</v>
      </c>
      <c r="CA629" t="str">
        <v>289515 Programa de extensión agropecuaria</v>
      </c>
      <c r="CB629" t="str">
        <v>289515 Programa de extensión agropecuaria</v>
      </c>
      <c r="CC629" t="str">
        <v>289515 Programa de extensión agropecuaria</v>
      </c>
      <c r="CD629" t="str">
        <v>289515 Programa de extensión agropecuaria</v>
      </c>
      <c r="CE629" t="str">
        <v>289515 Programa de extensión agropecuaria</v>
      </c>
      <c r="CS629" s="141" t="str">
        <v>289515 Programa de extensión agropecuaria</v>
      </c>
      <c r="CT629" s="141" t="str">
        <v>289515 Programa de extensión agropecuaria</v>
      </c>
      <c r="CU629" s="141" t="str">
        <v>289515 Programa de extensión agropecuaria</v>
      </c>
      <c r="CV629" s="141" t="str">
        <v>289515 Programa de extensión agropecuaria</v>
      </c>
      <c r="CW629" s="141" t="str">
        <v>289515 Programa de extensión agropecuaria</v>
      </c>
      <c r="CX629" s="141" t="str">
        <v>289515 Programa de extensión agropecuaria</v>
      </c>
      <c r="CY629" s="141" t="str">
        <v>289515 Programa de extensión agropecuaria</v>
      </c>
      <c r="CZ629" s="141" t="str">
        <v>289515 Programa de extensión agropecuaria</v>
      </c>
      <c r="DA629" s="141" t="str">
        <v>289515 Programa de extensión agropecuaria</v>
      </c>
      <c r="DF629" t="str">
        <v>289515 Programa de extensión agropecuaria</v>
      </c>
      <c r="DG629" t="str">
        <v>289515 Programa de extensión agropecuaria</v>
      </c>
      <c r="DH629" t="str">
        <v>289515 Programa de extensión agropecuaria</v>
      </c>
      <c r="DI629" t="str">
        <v>289515 Programa de extensión agropecuaria</v>
      </c>
      <c r="DJ629" t="str">
        <v>289515 Programa de extensión agropecuaria</v>
      </c>
      <c r="DK629" t="str">
        <v>289515 Programa de extensión agropecuaria</v>
      </c>
      <c r="DL629" t="str">
        <v>289515 Programa de extensión agropecuaria</v>
      </c>
      <c r="DM629" t="str">
        <v>289515 Programa de extensión agropecuaria</v>
      </c>
      <c r="DN629" t="str">
        <v>289515 Programa de extensión agropecuaria</v>
      </c>
      <c r="DO629" t="str">
        <v>289515 Programa de extensión agropecuaria</v>
      </c>
      <c r="DP629" t="str">
        <v>289515 Programa de extensión agropecuaria</v>
      </c>
    </row>
    <row r="630" spans="4:120" ht="12.75">
      <c r="D630" s="7">
        <v>3</v>
      </c>
      <c r="E630" s="6" t="s">
        <v>463</v>
      </c>
      <c r="F630" s="5">
        <v>1</v>
      </c>
      <c r="G630" s="34"/>
      <c r="H630" s="8" t="s">
        <v>56</v>
      </c>
      <c r="I630" t="b">
        <f>+ISNUMBER(SEARCH('F-COMPRA'!$F$28,Tabla11[[#This Row],[Cuenta]],1))</f>
        <v>1</v>
      </c>
      <c r="J630" t="b">
        <f>+ISNUMBER(SEARCH('F-COMPRA'!$F$29,Tabla11[[#This Row],[Cuenta]],1))</f>
        <v>1</v>
      </c>
      <c r="K630" t="b">
        <f>+ISNUMBER(SEARCH('F-COMPRA'!$F$30,Tabla11[[#This Row],[Cuenta]],1))</f>
        <v>1</v>
      </c>
      <c r="L630" t="b">
        <f>+ISNUMBER(SEARCH('F-COMPRA'!$F$31,Tabla11[[#This Row],[Cuenta]],1))</f>
        <v>1</v>
      </c>
      <c r="M630" t="b">
        <f>+ISNUMBER(SEARCH('F-COMPRA'!$G$25,Tabla11[[#This Row],[Cuenta]],1))</f>
        <v>0</v>
      </c>
      <c r="N630" t="b">
        <f>+ISNUMBER(SEARCH(#REF!,Tabla11[[#This Row],[Cuenta]],1))</f>
        <v>0</v>
      </c>
      <c r="O630" t="b">
        <f>+ISNUMBER(SEARCH(#REF!,Tabla11[[#This Row],[Cuenta]],1))</f>
        <v>0</v>
      </c>
      <c r="P630" t="b">
        <f>+ISNUMBER(SEARCH('F-COMPRA'!$F$32,Tabla11[[#This Row],[Cuenta]],1))</f>
        <v>1</v>
      </c>
      <c r="Q630" t="b">
        <f>+ISNUMBER(SEARCH('F-COMPRA'!$F$33,Tabla11[[#This Row],[Cuenta]],1))</f>
        <v>1</v>
      </c>
      <c r="R630" t="b">
        <f>+ISNUMBER(SEARCH('F-COMPRA'!$F$34,Tabla11[[#This Row],[Cuenta]],1))</f>
        <v>1</v>
      </c>
      <c r="S630" t="b">
        <f>+ISNUMBER(SEARCH('F-COMPRA'!$F$35,Tabla11[[#This Row],[Cuenta]],1))</f>
        <v>1</v>
      </c>
      <c r="T630" t="b">
        <f>+ISNUMBER(SEARCH('F-COMPRA'!$F$36,Tabla11[[#This Row],[Cuenta]],1))</f>
        <v>1</v>
      </c>
      <c r="U630" t="b">
        <f>+ISNUMBER(SEARCH('F-COMPRA'!$F$37,Tabla11[[#This Row],[Cuenta]],1))</f>
        <v>1</v>
      </c>
      <c r="V630" t="b">
        <f>+ISNUMBER(SEARCH(#REF!,Tabla11[[#This Row],[Cuenta]],1))</f>
        <v>0</v>
      </c>
      <c r="W630" t="b">
        <f>+ISNUMBER(SEARCH('F-COMPRA'!#REF!,Tabla11[[#This Row],[Cuenta]],1))</f>
        <v>0</v>
      </c>
      <c r="X630" t="b">
        <f>+ISNUMBER(SEARCH('F-COMPRA'!#REF!,Tabla11[[#This Row],[Cuenta]],1))</f>
        <v>0</v>
      </c>
      <c r="Y630" t="b">
        <f>+ISNUMBER(SEARCH('F-COMPRA'!#REF!,Tabla11[[#This Row],[Cuenta]],1))</f>
        <v>0</v>
      </c>
      <c r="Z630" t="b">
        <f>+ISNUMBER(SEARCH('F-COMPRA'!#REF!,Tabla11[[#This Row],[Cuenta]],1))</f>
        <v>0</v>
      </c>
      <c r="AA630" t="b">
        <f>+ISNUMBER(SEARCH('F-COMPRA'!#REF!,Tabla11[[#This Row],[Cuenta]],1))</f>
        <v>0</v>
      </c>
      <c r="AB630" t="b">
        <f>+ISNUMBER(SEARCH('F-COMPRA'!#REF!,Tabla11[[#This Row],[Cuenta]],1))</f>
        <v>0</v>
      </c>
      <c r="AC630" t="b">
        <f>+ISNUMBER(SEARCH('F-COMPRA'!#REF!,Tabla11[[#This Row],[Cuenta]],1))</f>
        <v>0</v>
      </c>
      <c r="AD630" t="b">
        <f>+ISNUMBER(SEARCH('F-COMPRA'!#REF!,Tabla11[[#This Row],[Cuenta]],1))</f>
        <v>0</v>
      </c>
      <c r="AE630" t="b">
        <f>+ISNUMBER(SEARCH('F-COMPRA'!#REF!,Tabla11[[#This Row],[Cuenta]],1))</f>
        <v>0</v>
      </c>
      <c r="AF630" t="b">
        <f>+ISNUMBER(SEARCH('F-VTA'!$G$23,Tabla11[[#This Row],[Cuenta]],1))</f>
        <v>0</v>
      </c>
      <c r="AG630" t="b">
        <f>+ISNUMBER(SEARCH('F-VTA'!$G$24,Tabla11[[#This Row],[Cuenta]],1))</f>
        <v>0</v>
      </c>
      <c r="AH630" t="b">
        <f>+ISNUMBER(SEARCH('F-VTA'!$G$25,Tabla11[[#This Row],[Cuenta]],1))</f>
        <v>0</v>
      </c>
      <c r="AI630" t="b">
        <f>+ISNUMBER(SEARCH('F-VTA'!$F$28,Tabla11[[#This Row],[Cuenta]],1))</f>
        <v>1</v>
      </c>
      <c r="AJ630" t="b">
        <f>+ISNUMBER(SEARCH('F-VTA'!$F$29,Tabla11[[#This Row],[Cuenta]],1))</f>
        <v>1</v>
      </c>
      <c r="AK630" t="b">
        <f>+ISNUMBER(SEARCH('F-VTA'!$F$30,Tabla11[[#This Row],[Cuenta]],1))</f>
        <v>1</v>
      </c>
      <c r="AL630" t="b">
        <f>+ISNUMBER(SEARCH('F-VTA'!$F$31,Tabla11[[#This Row],[Cuenta]],1))</f>
        <v>1</v>
      </c>
      <c r="AM630" t="b">
        <f>+ISNUMBER(SEARCH('F-VTA'!$F$32,Tabla11[[#This Row],[Cuenta]],1))</f>
        <v>1</v>
      </c>
      <c r="AN630" t="b">
        <f>+ISNUMBER(SEARCH('F-VTA'!$F$33,Tabla11[[#This Row],[Cuenta]],1))</f>
        <v>1</v>
      </c>
      <c r="AO630" t="b">
        <f>+ISNUMBER(SEARCH('F-VTA'!$F$34,Tabla11[[#This Row],[Cuenta]],1))</f>
        <v>1</v>
      </c>
      <c r="AP630" t="b">
        <f>+ISNUMBER(SEARCH('F-VTA'!$F$35,Tabla11[[#This Row],[Cuenta]],1))</f>
        <v>1</v>
      </c>
      <c r="AQ630" t="b">
        <f>+ISNUMBER(SEARCH('F-VTA'!$F$36,Tabla11[[#This Row],[Cuenta]],1))</f>
        <v>1</v>
      </c>
      <c r="AR630" t="b">
        <f>+ISNUMBER(SEARCH(#REF!,Tabla11[[#This Row],[Cuenta]],1))</f>
        <v>0</v>
      </c>
      <c r="AS630" t="b">
        <f>+ISNUMBER(SEARCH(#REF!,Tabla11[[#This Row],[Cuenta]],1))</f>
        <v>0</v>
      </c>
      <c r="AT630" t="b">
        <f>+ISNUMBER(SEARCH(#REF!,Tabla11[[#This Row],[Cuenta]],1))</f>
        <v>0</v>
      </c>
      <c r="AU630" t="b">
        <f>+ISNUMBER(SEARCH('Conc. Ban.1'!$I$9,Tabla11[[#This Row],[Cuenta]],1))</f>
        <v>0</v>
      </c>
      <c r="AV630" t="b">
        <f>+ISNUMBER(SEARCH(CompConta!$F$21,Tabla11[[#This Row],[Cuenta]],1))</f>
        <v>1</v>
      </c>
      <c r="AW630" t="b">
        <f>+ISNUMBER(SEARCH(CompConta!$F$22,Tabla11[[#This Row],[Cuenta]],1))</f>
        <v>1</v>
      </c>
      <c r="AX630" t="b">
        <f>+ISNUMBER(SEARCH(CompConta!$F$23,Tabla11[[#This Row],[Cuenta]],1))</f>
        <v>1</v>
      </c>
      <c r="AY630" t="b">
        <f>+ISNUMBER(SEARCH(CompConta!$F$24,Tabla11[[#This Row],[Cuenta]],1))</f>
        <v>1</v>
      </c>
      <c r="AZ630" t="b">
        <f>+ISNUMBER(SEARCH(CompConta!$F$25,Tabla11[[#This Row],[Cuenta]],1))</f>
        <v>1</v>
      </c>
      <c r="BA630" t="b">
        <f>+ISNUMBER(SEARCH(CompConta!$F$26,Tabla11[[#This Row],[Cuenta]],1))</f>
        <v>1</v>
      </c>
      <c r="BB630" t="b">
        <f>+ISNUMBER(SEARCH(CompConta!$F$27,Tabla11[[#This Row],[Cuenta]],1))</f>
        <v>1</v>
      </c>
      <c r="BC630" t="b">
        <f>+ISNUMBER(SEARCH(CompConta!$F$28,Tabla11[[#This Row],[Cuenta]],1))</f>
        <v>1</v>
      </c>
      <c r="BD630" t="b">
        <f>+ISNUMBER(SEARCH(CompConta!$F$29,Tabla11[[#This Row],[Cuenta]],1))</f>
        <v>1</v>
      </c>
      <c r="BE630" t="b">
        <f>+ISNUMBER(SEARCH(CompConta!$F$30,Tabla11[[#This Row],[Cuenta]],1))</f>
        <v>1</v>
      </c>
      <c r="BF630" t="b">
        <f>+ISNUMBER(SEARCH('PAGO Compras'!$E$11,Tabla11[[#This Row],[Cuenta]],1))</f>
        <v>1</v>
      </c>
      <c r="BG630" t="b">
        <f>+ISNUMBER(SEARCH(#REF!,Tabla11[[#This Row],[Cuenta]],1))</f>
        <v>0</v>
      </c>
      <c r="BH630" t="b">
        <f>+ISNUMBER(SEARCH(#REF!,Tabla11[[#This Row],[Cuenta]],1))</f>
        <v>0</v>
      </c>
      <c r="BI630" t="b">
        <f>+ISNUMBER(SEARCH(#REF!,Tabla11[[#This Row],[Cuenta]],1))</f>
        <v>0</v>
      </c>
      <c r="BJ630" t="b">
        <f>+ISNUMBER(SEARCH(#REF!,Tabla11[[#This Row],[Cuenta]],1))</f>
        <v>0</v>
      </c>
      <c r="BS630" t="str">
        <v>3 PATRIMONIO</v>
      </c>
      <c r="BT630" t="str">
        <v>3 PATRIMONIO</v>
      </c>
      <c r="BU630" t="str">
        <v>3 PATRIMONIO</v>
      </c>
      <c r="BV630" t="str">
        <v>3 PATRIMONIO</v>
      </c>
      <c r="BZ630" t="str">
        <v>3 PATRIMONIO</v>
      </c>
      <c r="CA630" t="str">
        <v>3 PATRIMONIO</v>
      </c>
      <c r="CB630" t="str">
        <v>3 PATRIMONIO</v>
      </c>
      <c r="CC630" t="str">
        <v>3 PATRIMONIO</v>
      </c>
      <c r="CD630" t="str">
        <v>3 PATRIMONIO</v>
      </c>
      <c r="CE630" t="str">
        <v>3 PATRIMONIO</v>
      </c>
      <c r="CS630" s="141" t="str">
        <v>3 PATRIMONIO</v>
      </c>
      <c r="CT630" s="141" t="str">
        <v>3 PATRIMONIO</v>
      </c>
      <c r="CU630" s="141" t="str">
        <v>3 PATRIMONIO</v>
      </c>
      <c r="CV630" s="141" t="str">
        <v>3 PATRIMONIO</v>
      </c>
      <c r="CW630" s="141" t="str">
        <v>3 PATRIMONIO</v>
      </c>
      <c r="CX630" s="141" t="str">
        <v>3 PATRIMONIO</v>
      </c>
      <c r="CY630" s="141" t="str">
        <v>3 PATRIMONIO</v>
      </c>
      <c r="CZ630" s="141" t="str">
        <v>3 PATRIMONIO</v>
      </c>
      <c r="DA630" s="141" t="str">
        <v>3 PATRIMONIO</v>
      </c>
      <c r="DF630" t="str">
        <v>3 PATRIMONIO</v>
      </c>
      <c r="DG630" t="str">
        <v>3 PATRIMONIO</v>
      </c>
      <c r="DH630" t="str">
        <v>3 PATRIMONIO</v>
      </c>
      <c r="DI630" t="str">
        <v>3 PATRIMONIO</v>
      </c>
      <c r="DJ630" t="str">
        <v>3 PATRIMONIO</v>
      </c>
      <c r="DK630" t="str">
        <v>3 PATRIMONIO</v>
      </c>
      <c r="DL630" t="str">
        <v>3 PATRIMONIO</v>
      </c>
      <c r="DM630" t="str">
        <v>3 PATRIMONIO</v>
      </c>
      <c r="DN630" t="str">
        <v>3 PATRIMONIO</v>
      </c>
      <c r="DO630" t="str">
        <v>3 PATRIMONIO</v>
      </c>
      <c r="DP630" t="str">
        <v>3 PATRIMONIO</v>
      </c>
    </row>
    <row r="631" spans="4:120" ht="12.75">
      <c r="D631" s="7">
        <v>31</v>
      </c>
      <c r="E631" s="6" t="s">
        <v>464</v>
      </c>
      <c r="F631" s="5">
        <v>2</v>
      </c>
      <c r="G631" s="34" t="s">
        <v>827</v>
      </c>
      <c r="H631" s="8" t="s">
        <v>56</v>
      </c>
      <c r="I631" t="b">
        <f>+ISNUMBER(SEARCH('F-COMPRA'!$F$28,Tabla11[[#This Row],[Cuenta]],1))</f>
        <v>1</v>
      </c>
      <c r="J631" t="b">
        <f>+ISNUMBER(SEARCH('F-COMPRA'!$F$29,Tabla11[[#This Row],[Cuenta]],1))</f>
        <v>1</v>
      </c>
      <c r="K631" t="b">
        <f>+ISNUMBER(SEARCH('F-COMPRA'!$F$30,Tabla11[[#This Row],[Cuenta]],1))</f>
        <v>1</v>
      </c>
      <c r="L631" t="b">
        <f>+ISNUMBER(SEARCH('F-COMPRA'!$F$31,Tabla11[[#This Row],[Cuenta]],1))</f>
        <v>1</v>
      </c>
      <c r="M631" t="b">
        <f>+ISNUMBER(SEARCH('F-COMPRA'!$G$25,Tabla11[[#This Row],[Cuenta]],1))</f>
        <v>0</v>
      </c>
      <c r="N631" t="b">
        <f>+ISNUMBER(SEARCH(#REF!,Tabla11[[#This Row],[Cuenta]],1))</f>
        <v>0</v>
      </c>
      <c r="O631" t="b">
        <f>+ISNUMBER(SEARCH(#REF!,Tabla11[[#This Row],[Cuenta]],1))</f>
        <v>0</v>
      </c>
      <c r="P631" t="b">
        <f>+ISNUMBER(SEARCH('F-COMPRA'!$F$32,Tabla11[[#This Row],[Cuenta]],1))</f>
        <v>1</v>
      </c>
      <c r="Q631" t="b">
        <f>+ISNUMBER(SEARCH('F-COMPRA'!$F$33,Tabla11[[#This Row],[Cuenta]],1))</f>
        <v>1</v>
      </c>
      <c r="R631" t="b">
        <f>+ISNUMBER(SEARCH('F-COMPRA'!$F$34,Tabla11[[#This Row],[Cuenta]],1))</f>
        <v>1</v>
      </c>
      <c r="S631" t="b">
        <f>+ISNUMBER(SEARCH('F-COMPRA'!$F$35,Tabla11[[#This Row],[Cuenta]],1))</f>
        <v>1</v>
      </c>
      <c r="T631" t="b">
        <f>+ISNUMBER(SEARCH('F-COMPRA'!$F$36,Tabla11[[#This Row],[Cuenta]],1))</f>
        <v>1</v>
      </c>
      <c r="U631" t="b">
        <f>+ISNUMBER(SEARCH('F-COMPRA'!$F$37,Tabla11[[#This Row],[Cuenta]],1))</f>
        <v>1</v>
      </c>
      <c r="V631" t="b">
        <f>+ISNUMBER(SEARCH(#REF!,Tabla11[[#This Row],[Cuenta]],1))</f>
        <v>0</v>
      </c>
      <c r="W631" t="b">
        <f>+ISNUMBER(SEARCH('F-COMPRA'!#REF!,Tabla11[[#This Row],[Cuenta]],1))</f>
        <v>0</v>
      </c>
      <c r="X631" t="b">
        <f>+ISNUMBER(SEARCH('F-COMPRA'!#REF!,Tabla11[[#This Row],[Cuenta]],1))</f>
        <v>0</v>
      </c>
      <c r="Y631" t="b">
        <f>+ISNUMBER(SEARCH('F-COMPRA'!#REF!,Tabla11[[#This Row],[Cuenta]],1))</f>
        <v>0</v>
      </c>
      <c r="Z631" t="b">
        <f>+ISNUMBER(SEARCH('F-COMPRA'!#REF!,Tabla11[[#This Row],[Cuenta]],1))</f>
        <v>0</v>
      </c>
      <c r="AA631" t="b">
        <f>+ISNUMBER(SEARCH('F-COMPRA'!#REF!,Tabla11[[#This Row],[Cuenta]],1))</f>
        <v>0</v>
      </c>
      <c r="AB631" t="b">
        <f>+ISNUMBER(SEARCH('F-COMPRA'!#REF!,Tabla11[[#This Row],[Cuenta]],1))</f>
        <v>0</v>
      </c>
      <c r="AC631" t="b">
        <f>+ISNUMBER(SEARCH('F-COMPRA'!#REF!,Tabla11[[#This Row],[Cuenta]],1))</f>
        <v>0</v>
      </c>
      <c r="AD631" t="b">
        <f>+ISNUMBER(SEARCH('F-COMPRA'!#REF!,Tabla11[[#This Row],[Cuenta]],1))</f>
        <v>0</v>
      </c>
      <c r="AE631" t="b">
        <f>+ISNUMBER(SEARCH('F-COMPRA'!#REF!,Tabla11[[#This Row],[Cuenta]],1))</f>
        <v>0</v>
      </c>
      <c r="AF631" t="b">
        <f>+ISNUMBER(SEARCH('F-VTA'!$G$23,Tabla11[[#This Row],[Cuenta]],1))</f>
        <v>0</v>
      </c>
      <c r="AG631" t="b">
        <f>+ISNUMBER(SEARCH('F-VTA'!$G$24,Tabla11[[#This Row],[Cuenta]],1))</f>
        <v>0</v>
      </c>
      <c r="AH631" t="b">
        <f>+ISNUMBER(SEARCH('F-VTA'!$G$25,Tabla11[[#This Row],[Cuenta]],1))</f>
        <v>0</v>
      </c>
      <c r="AI631" t="b">
        <f>+ISNUMBER(SEARCH('F-VTA'!$F$28,Tabla11[[#This Row],[Cuenta]],1))</f>
        <v>1</v>
      </c>
      <c r="AJ631" t="b">
        <f>+ISNUMBER(SEARCH('F-VTA'!$F$29,Tabla11[[#This Row],[Cuenta]],1))</f>
        <v>1</v>
      </c>
      <c r="AK631" t="b">
        <f>+ISNUMBER(SEARCH('F-VTA'!$F$30,Tabla11[[#This Row],[Cuenta]],1))</f>
        <v>1</v>
      </c>
      <c r="AL631" t="b">
        <f>+ISNUMBER(SEARCH('F-VTA'!$F$31,Tabla11[[#This Row],[Cuenta]],1))</f>
        <v>1</v>
      </c>
      <c r="AM631" t="b">
        <f>+ISNUMBER(SEARCH('F-VTA'!$F$32,Tabla11[[#This Row],[Cuenta]],1))</f>
        <v>1</v>
      </c>
      <c r="AN631" t="b">
        <f>+ISNUMBER(SEARCH('F-VTA'!$F$33,Tabla11[[#This Row],[Cuenta]],1))</f>
        <v>1</v>
      </c>
      <c r="AO631" t="b">
        <f>+ISNUMBER(SEARCH('F-VTA'!$F$34,Tabla11[[#This Row],[Cuenta]],1))</f>
        <v>1</v>
      </c>
      <c r="AP631" t="b">
        <f>+ISNUMBER(SEARCH('F-VTA'!$F$35,Tabla11[[#This Row],[Cuenta]],1))</f>
        <v>1</v>
      </c>
      <c r="AQ631" t="b">
        <f>+ISNUMBER(SEARCH('F-VTA'!$F$36,Tabla11[[#This Row],[Cuenta]],1))</f>
        <v>1</v>
      </c>
      <c r="AR631" t="b">
        <f>+ISNUMBER(SEARCH(#REF!,Tabla11[[#This Row],[Cuenta]],1))</f>
        <v>0</v>
      </c>
      <c r="AS631" t="b">
        <f>+ISNUMBER(SEARCH(#REF!,Tabla11[[#This Row],[Cuenta]],1))</f>
        <v>0</v>
      </c>
      <c r="AT631" t="b">
        <f>+ISNUMBER(SEARCH(#REF!,Tabla11[[#This Row],[Cuenta]],1))</f>
        <v>0</v>
      </c>
      <c r="AU631" t="b">
        <f>+ISNUMBER(SEARCH('Conc. Ban.1'!$I$9,Tabla11[[#This Row],[Cuenta]],1))</f>
        <v>0</v>
      </c>
      <c r="AV631" t="b">
        <f>+ISNUMBER(SEARCH(CompConta!$F$21,Tabla11[[#This Row],[Cuenta]],1))</f>
        <v>1</v>
      </c>
      <c r="AW631" t="b">
        <f>+ISNUMBER(SEARCH(CompConta!$F$22,Tabla11[[#This Row],[Cuenta]],1))</f>
        <v>1</v>
      </c>
      <c r="AX631" t="b">
        <f>+ISNUMBER(SEARCH(CompConta!$F$23,Tabla11[[#This Row],[Cuenta]],1))</f>
        <v>1</v>
      </c>
      <c r="AY631" t="b">
        <f>+ISNUMBER(SEARCH(CompConta!$F$24,Tabla11[[#This Row],[Cuenta]],1))</f>
        <v>1</v>
      </c>
      <c r="AZ631" t="b">
        <f>+ISNUMBER(SEARCH(CompConta!$F$25,Tabla11[[#This Row],[Cuenta]],1))</f>
        <v>1</v>
      </c>
      <c r="BA631" t="b">
        <f>+ISNUMBER(SEARCH(CompConta!$F$26,Tabla11[[#This Row],[Cuenta]],1))</f>
        <v>1</v>
      </c>
      <c r="BB631" t="b">
        <f>+ISNUMBER(SEARCH(CompConta!$F$27,Tabla11[[#This Row],[Cuenta]],1))</f>
        <v>1</v>
      </c>
      <c r="BC631" t="b">
        <f>+ISNUMBER(SEARCH(CompConta!$F$28,Tabla11[[#This Row],[Cuenta]],1))</f>
        <v>1</v>
      </c>
      <c r="BD631" t="b">
        <f>+ISNUMBER(SEARCH(CompConta!$F$29,Tabla11[[#This Row],[Cuenta]],1))</f>
        <v>1</v>
      </c>
      <c r="BE631" t="b">
        <f>+ISNUMBER(SEARCH(CompConta!$F$30,Tabla11[[#This Row],[Cuenta]],1))</f>
        <v>1</v>
      </c>
      <c r="BF631" t="b">
        <f>+ISNUMBER(SEARCH('PAGO Compras'!$E$11,Tabla11[[#This Row],[Cuenta]],1))</f>
        <v>1</v>
      </c>
      <c r="BG631" t="b">
        <f>+ISNUMBER(SEARCH(#REF!,Tabla11[[#This Row],[Cuenta]],1))</f>
        <v>0</v>
      </c>
      <c r="BH631" t="b">
        <f>+ISNUMBER(SEARCH(#REF!,Tabla11[[#This Row],[Cuenta]],1))</f>
        <v>0</v>
      </c>
      <c r="BI631" t="b">
        <f>+ISNUMBER(SEARCH(#REF!,Tabla11[[#This Row],[Cuenta]],1))</f>
        <v>0</v>
      </c>
      <c r="BJ631" t="b">
        <f>+ISNUMBER(SEARCH(#REF!,Tabla11[[#This Row],[Cuenta]],1))</f>
        <v>0</v>
      </c>
      <c r="BS631" t="str">
        <v>31 CAPITAL SOCIAL</v>
      </c>
      <c r="BT631" t="str">
        <v>31 CAPITAL SOCIAL</v>
      </c>
      <c r="BU631" t="str">
        <v>31 CAPITAL SOCIAL</v>
      </c>
      <c r="BV631" t="str">
        <v>31 CAPITAL SOCIAL</v>
      </c>
      <c r="BZ631" t="str">
        <v>31 CAPITAL SOCIAL</v>
      </c>
      <c r="CA631" t="str">
        <v>31 CAPITAL SOCIAL</v>
      </c>
      <c r="CB631" t="str">
        <v>31 CAPITAL SOCIAL</v>
      </c>
      <c r="CC631" t="str">
        <v>31 CAPITAL SOCIAL</v>
      </c>
      <c r="CD631" t="str">
        <v>31 CAPITAL SOCIAL</v>
      </c>
      <c r="CE631" t="str">
        <v>31 CAPITAL SOCIAL</v>
      </c>
      <c r="CS631" s="141" t="str">
        <v>31 CAPITAL SOCIAL</v>
      </c>
      <c r="CT631" s="141" t="str">
        <v>31 CAPITAL SOCIAL</v>
      </c>
      <c r="CU631" s="141" t="str">
        <v>31 CAPITAL SOCIAL</v>
      </c>
      <c r="CV631" s="141" t="str">
        <v>31 CAPITAL SOCIAL</v>
      </c>
      <c r="CW631" s="141" t="str">
        <v>31 CAPITAL SOCIAL</v>
      </c>
      <c r="CX631" s="141" t="str">
        <v>31 CAPITAL SOCIAL</v>
      </c>
      <c r="CY631" s="141" t="str">
        <v>31 CAPITAL SOCIAL</v>
      </c>
      <c r="CZ631" s="141" t="str">
        <v>31 CAPITAL SOCIAL</v>
      </c>
      <c r="DA631" s="141" t="str">
        <v>31 CAPITAL SOCIAL</v>
      </c>
      <c r="DF631" t="str">
        <v>31 CAPITAL SOCIAL</v>
      </c>
      <c r="DG631" t="str">
        <v>31 CAPITAL SOCIAL</v>
      </c>
      <c r="DH631" t="str">
        <v>31 CAPITAL SOCIAL</v>
      </c>
      <c r="DI631" t="str">
        <v>31 CAPITAL SOCIAL</v>
      </c>
      <c r="DJ631" t="str">
        <v>31 CAPITAL SOCIAL</v>
      </c>
      <c r="DK631" t="str">
        <v>31 CAPITAL SOCIAL</v>
      </c>
      <c r="DL631" t="str">
        <v>31 CAPITAL SOCIAL</v>
      </c>
      <c r="DM631" t="str">
        <v>31 CAPITAL SOCIAL</v>
      </c>
      <c r="DN631" t="str">
        <v>31 CAPITAL SOCIAL</v>
      </c>
      <c r="DO631" t="str">
        <v>31 CAPITAL SOCIAL</v>
      </c>
      <c r="DP631" t="str">
        <v>31 CAPITAL SOCIAL</v>
      </c>
    </row>
    <row r="632" spans="4:120" ht="12.75">
      <c r="D632" s="7">
        <v>3105</v>
      </c>
      <c r="E632" s="6" t="s">
        <v>465</v>
      </c>
      <c r="F632" s="5">
        <v>3</v>
      </c>
      <c r="G632" s="34" t="s">
        <v>827</v>
      </c>
      <c r="H632" s="8" t="s">
        <v>56</v>
      </c>
      <c r="I632" t="b">
        <f>+ISNUMBER(SEARCH('F-COMPRA'!$F$28,Tabla11[[#This Row],[Cuenta]],1))</f>
        <v>1</v>
      </c>
      <c r="J632" t="b">
        <f>+ISNUMBER(SEARCH('F-COMPRA'!$F$29,Tabla11[[#This Row],[Cuenta]],1))</f>
        <v>1</v>
      </c>
      <c r="K632" t="b">
        <f>+ISNUMBER(SEARCH('F-COMPRA'!$F$30,Tabla11[[#This Row],[Cuenta]],1))</f>
        <v>1</v>
      </c>
      <c r="L632" t="b">
        <f>+ISNUMBER(SEARCH('F-COMPRA'!$F$31,Tabla11[[#This Row],[Cuenta]],1))</f>
        <v>1</v>
      </c>
      <c r="M632" t="b">
        <f>+ISNUMBER(SEARCH('F-COMPRA'!$G$25,Tabla11[[#This Row],[Cuenta]],1))</f>
        <v>0</v>
      </c>
      <c r="N632" t="b">
        <f>+ISNUMBER(SEARCH(#REF!,Tabla11[[#This Row],[Cuenta]],1))</f>
        <v>0</v>
      </c>
      <c r="O632" t="b">
        <f>+ISNUMBER(SEARCH(#REF!,Tabla11[[#This Row],[Cuenta]],1))</f>
        <v>0</v>
      </c>
      <c r="P632" t="b">
        <f>+ISNUMBER(SEARCH('F-COMPRA'!$F$32,Tabla11[[#This Row],[Cuenta]],1))</f>
        <v>1</v>
      </c>
      <c r="Q632" t="b">
        <f>+ISNUMBER(SEARCH('F-COMPRA'!$F$33,Tabla11[[#This Row],[Cuenta]],1))</f>
        <v>1</v>
      </c>
      <c r="R632" t="b">
        <f>+ISNUMBER(SEARCH('F-COMPRA'!$F$34,Tabla11[[#This Row],[Cuenta]],1))</f>
        <v>1</v>
      </c>
      <c r="S632" t="b">
        <f>+ISNUMBER(SEARCH('F-COMPRA'!$F$35,Tabla11[[#This Row],[Cuenta]],1))</f>
        <v>1</v>
      </c>
      <c r="T632" t="b">
        <f>+ISNUMBER(SEARCH('F-COMPRA'!$F$36,Tabla11[[#This Row],[Cuenta]],1))</f>
        <v>1</v>
      </c>
      <c r="U632" t="b">
        <f>+ISNUMBER(SEARCH('F-COMPRA'!$F$37,Tabla11[[#This Row],[Cuenta]],1))</f>
        <v>1</v>
      </c>
      <c r="V632" t="b">
        <f>+ISNUMBER(SEARCH(#REF!,Tabla11[[#This Row],[Cuenta]],1))</f>
        <v>0</v>
      </c>
      <c r="W632" t="b">
        <f>+ISNUMBER(SEARCH('F-COMPRA'!#REF!,Tabla11[[#This Row],[Cuenta]],1))</f>
        <v>0</v>
      </c>
      <c r="X632" t="b">
        <f>+ISNUMBER(SEARCH('F-COMPRA'!#REF!,Tabla11[[#This Row],[Cuenta]],1))</f>
        <v>0</v>
      </c>
      <c r="Y632" t="b">
        <f>+ISNUMBER(SEARCH('F-COMPRA'!#REF!,Tabla11[[#This Row],[Cuenta]],1))</f>
        <v>0</v>
      </c>
      <c r="Z632" t="b">
        <f>+ISNUMBER(SEARCH('F-COMPRA'!#REF!,Tabla11[[#This Row],[Cuenta]],1))</f>
        <v>0</v>
      </c>
      <c r="AA632" t="b">
        <f>+ISNUMBER(SEARCH('F-COMPRA'!#REF!,Tabla11[[#This Row],[Cuenta]],1))</f>
        <v>0</v>
      </c>
      <c r="AB632" t="b">
        <f>+ISNUMBER(SEARCH('F-COMPRA'!#REF!,Tabla11[[#This Row],[Cuenta]],1))</f>
        <v>0</v>
      </c>
      <c r="AC632" t="b">
        <f>+ISNUMBER(SEARCH('F-COMPRA'!#REF!,Tabla11[[#This Row],[Cuenta]],1))</f>
        <v>0</v>
      </c>
      <c r="AD632" t="b">
        <f>+ISNUMBER(SEARCH('F-COMPRA'!#REF!,Tabla11[[#This Row],[Cuenta]],1))</f>
        <v>0</v>
      </c>
      <c r="AE632" t="b">
        <f>+ISNUMBER(SEARCH('F-COMPRA'!#REF!,Tabla11[[#This Row],[Cuenta]],1))</f>
        <v>0</v>
      </c>
      <c r="AF632" t="b">
        <f>+ISNUMBER(SEARCH('F-VTA'!$G$23,Tabla11[[#This Row],[Cuenta]],1))</f>
        <v>0</v>
      </c>
      <c r="AG632" t="b">
        <f>+ISNUMBER(SEARCH('F-VTA'!$G$24,Tabla11[[#This Row],[Cuenta]],1))</f>
        <v>0</v>
      </c>
      <c r="AH632" t="b">
        <f>+ISNUMBER(SEARCH('F-VTA'!$G$25,Tabla11[[#This Row],[Cuenta]],1))</f>
        <v>0</v>
      </c>
      <c r="AI632" t="b">
        <f>+ISNUMBER(SEARCH('F-VTA'!$F$28,Tabla11[[#This Row],[Cuenta]],1))</f>
        <v>1</v>
      </c>
      <c r="AJ632" t="b">
        <f>+ISNUMBER(SEARCH('F-VTA'!$F$29,Tabla11[[#This Row],[Cuenta]],1))</f>
        <v>1</v>
      </c>
      <c r="AK632" t="b">
        <f>+ISNUMBER(SEARCH('F-VTA'!$F$30,Tabla11[[#This Row],[Cuenta]],1))</f>
        <v>1</v>
      </c>
      <c r="AL632" t="b">
        <f>+ISNUMBER(SEARCH('F-VTA'!$F$31,Tabla11[[#This Row],[Cuenta]],1))</f>
        <v>1</v>
      </c>
      <c r="AM632" t="b">
        <f>+ISNUMBER(SEARCH('F-VTA'!$F$32,Tabla11[[#This Row],[Cuenta]],1))</f>
        <v>1</v>
      </c>
      <c r="AN632" t="b">
        <f>+ISNUMBER(SEARCH('F-VTA'!$F$33,Tabla11[[#This Row],[Cuenta]],1))</f>
        <v>1</v>
      </c>
      <c r="AO632" t="b">
        <f>+ISNUMBER(SEARCH('F-VTA'!$F$34,Tabla11[[#This Row],[Cuenta]],1))</f>
        <v>1</v>
      </c>
      <c r="AP632" t="b">
        <f>+ISNUMBER(SEARCH('F-VTA'!$F$35,Tabla11[[#This Row],[Cuenta]],1))</f>
        <v>1</v>
      </c>
      <c r="AQ632" t="b">
        <f>+ISNUMBER(SEARCH('F-VTA'!$F$36,Tabla11[[#This Row],[Cuenta]],1))</f>
        <v>1</v>
      </c>
      <c r="AR632" t="b">
        <f>+ISNUMBER(SEARCH(#REF!,Tabla11[[#This Row],[Cuenta]],1))</f>
        <v>0</v>
      </c>
      <c r="AS632" t="b">
        <f>+ISNUMBER(SEARCH(#REF!,Tabla11[[#This Row],[Cuenta]],1))</f>
        <v>0</v>
      </c>
      <c r="AT632" t="b">
        <f>+ISNUMBER(SEARCH(#REF!,Tabla11[[#This Row],[Cuenta]],1))</f>
        <v>0</v>
      </c>
      <c r="AU632" t="b">
        <f>+ISNUMBER(SEARCH('Conc. Ban.1'!$I$9,Tabla11[[#This Row],[Cuenta]],1))</f>
        <v>0</v>
      </c>
      <c r="AV632" t="b">
        <f>+ISNUMBER(SEARCH(CompConta!$F$21,Tabla11[[#This Row],[Cuenta]],1))</f>
        <v>1</v>
      </c>
      <c r="AW632" t="b">
        <f>+ISNUMBER(SEARCH(CompConta!$F$22,Tabla11[[#This Row],[Cuenta]],1))</f>
        <v>1</v>
      </c>
      <c r="AX632" t="b">
        <f>+ISNUMBER(SEARCH(CompConta!$F$23,Tabla11[[#This Row],[Cuenta]],1))</f>
        <v>1</v>
      </c>
      <c r="AY632" t="b">
        <f>+ISNUMBER(SEARCH(CompConta!$F$24,Tabla11[[#This Row],[Cuenta]],1))</f>
        <v>1</v>
      </c>
      <c r="AZ632" t="b">
        <f>+ISNUMBER(SEARCH(CompConta!$F$25,Tabla11[[#This Row],[Cuenta]],1))</f>
        <v>1</v>
      </c>
      <c r="BA632" t="b">
        <f>+ISNUMBER(SEARCH(CompConta!$F$26,Tabla11[[#This Row],[Cuenta]],1))</f>
        <v>1</v>
      </c>
      <c r="BB632" t="b">
        <f>+ISNUMBER(SEARCH(CompConta!$F$27,Tabla11[[#This Row],[Cuenta]],1))</f>
        <v>1</v>
      </c>
      <c r="BC632" t="b">
        <f>+ISNUMBER(SEARCH(CompConta!$F$28,Tabla11[[#This Row],[Cuenta]],1))</f>
        <v>1</v>
      </c>
      <c r="BD632" t="b">
        <f>+ISNUMBER(SEARCH(CompConta!$F$29,Tabla11[[#This Row],[Cuenta]],1))</f>
        <v>1</v>
      </c>
      <c r="BE632" t="b">
        <f>+ISNUMBER(SEARCH(CompConta!$F$30,Tabla11[[#This Row],[Cuenta]],1))</f>
        <v>1</v>
      </c>
      <c r="BF632" t="b">
        <f>+ISNUMBER(SEARCH('PAGO Compras'!$E$11,Tabla11[[#This Row],[Cuenta]],1))</f>
        <v>1</v>
      </c>
      <c r="BG632" t="b">
        <f>+ISNUMBER(SEARCH(#REF!,Tabla11[[#This Row],[Cuenta]],1))</f>
        <v>0</v>
      </c>
      <c r="BH632" t="b">
        <f>+ISNUMBER(SEARCH(#REF!,Tabla11[[#This Row],[Cuenta]],1))</f>
        <v>0</v>
      </c>
      <c r="BI632" t="b">
        <f>+ISNUMBER(SEARCH(#REF!,Tabla11[[#This Row],[Cuenta]],1))</f>
        <v>0</v>
      </c>
      <c r="BJ632" t="b">
        <f>+ISNUMBER(SEARCH(#REF!,Tabla11[[#This Row],[Cuenta]],1))</f>
        <v>0</v>
      </c>
      <c r="BS632" t="str">
        <v>3105 CAPITAL SUSCRITO Y PAGADO</v>
      </c>
      <c r="BT632" t="str">
        <v>3105 CAPITAL SUSCRITO Y PAGADO</v>
      </c>
      <c r="BU632" t="str">
        <v>3105 CAPITAL SUSCRITO Y PAGADO</v>
      </c>
      <c r="BV632" t="str">
        <v>3105 CAPITAL SUSCRITO Y PAGADO</v>
      </c>
      <c r="BZ632" t="str">
        <v>3105 CAPITAL SUSCRITO Y PAGADO</v>
      </c>
      <c r="CA632" t="str">
        <v>3105 CAPITAL SUSCRITO Y PAGADO</v>
      </c>
      <c r="CB632" t="str">
        <v>3105 CAPITAL SUSCRITO Y PAGADO</v>
      </c>
      <c r="CC632" t="str">
        <v>3105 CAPITAL SUSCRITO Y PAGADO</v>
      </c>
      <c r="CD632" t="str">
        <v>3105 CAPITAL SUSCRITO Y PAGADO</v>
      </c>
      <c r="CE632" t="str">
        <v>3105 CAPITAL SUSCRITO Y PAGADO</v>
      </c>
      <c r="CS632" s="141" t="str">
        <v>3105 CAPITAL SUSCRITO Y PAGADO</v>
      </c>
      <c r="CT632" s="141" t="str">
        <v>3105 CAPITAL SUSCRITO Y PAGADO</v>
      </c>
      <c r="CU632" s="141" t="str">
        <v>3105 CAPITAL SUSCRITO Y PAGADO</v>
      </c>
      <c r="CV632" s="141" t="str">
        <v>3105 CAPITAL SUSCRITO Y PAGADO</v>
      </c>
      <c r="CW632" s="141" t="str">
        <v>3105 CAPITAL SUSCRITO Y PAGADO</v>
      </c>
      <c r="CX632" s="141" t="str">
        <v>3105 CAPITAL SUSCRITO Y PAGADO</v>
      </c>
      <c r="CY632" s="141" t="str">
        <v>3105 CAPITAL SUSCRITO Y PAGADO</v>
      </c>
      <c r="CZ632" s="141" t="str">
        <v>3105 CAPITAL SUSCRITO Y PAGADO</v>
      </c>
      <c r="DA632" s="141" t="str">
        <v>3105 CAPITAL SUSCRITO Y PAGADO</v>
      </c>
      <c r="DF632" t="str">
        <v>3105 CAPITAL SUSCRITO Y PAGADO</v>
      </c>
      <c r="DG632" t="str">
        <v>3105 CAPITAL SUSCRITO Y PAGADO</v>
      </c>
      <c r="DH632" t="str">
        <v>3105 CAPITAL SUSCRITO Y PAGADO</v>
      </c>
      <c r="DI632" t="str">
        <v>3105 CAPITAL SUSCRITO Y PAGADO</v>
      </c>
      <c r="DJ632" t="str">
        <v>3105 CAPITAL SUSCRITO Y PAGADO</v>
      </c>
      <c r="DK632" t="str">
        <v>3105 CAPITAL SUSCRITO Y PAGADO</v>
      </c>
      <c r="DL632" t="str">
        <v>3105 CAPITAL SUSCRITO Y PAGADO</v>
      </c>
      <c r="DM632" t="str">
        <v>3105 CAPITAL SUSCRITO Y PAGADO</v>
      </c>
      <c r="DN632" t="str">
        <v>3105 CAPITAL SUSCRITO Y PAGADO</v>
      </c>
      <c r="DO632" t="str">
        <v>3105 CAPITAL SUSCRITO Y PAGADO</v>
      </c>
      <c r="DP632" t="str">
        <v>3105 CAPITAL SUSCRITO Y PAGADO</v>
      </c>
    </row>
    <row r="633" spans="4:120" ht="12.75">
      <c r="D633" s="7">
        <v>310505</v>
      </c>
      <c r="E633" s="6" t="s">
        <v>466</v>
      </c>
      <c r="F633" s="5">
        <v>4</v>
      </c>
      <c r="G633" s="34" t="s">
        <v>827</v>
      </c>
      <c r="H633" s="8" t="s">
        <v>56</v>
      </c>
      <c r="I633" t="b">
        <f>+ISNUMBER(SEARCH('F-COMPRA'!$F$28,Tabla11[[#This Row],[Cuenta]],1))</f>
        <v>1</v>
      </c>
      <c r="J633" t="b">
        <f>+ISNUMBER(SEARCH('F-COMPRA'!$F$29,Tabla11[[#This Row],[Cuenta]],1))</f>
        <v>1</v>
      </c>
      <c r="K633" t="b">
        <f>+ISNUMBER(SEARCH('F-COMPRA'!$F$30,Tabla11[[#This Row],[Cuenta]],1))</f>
        <v>1</v>
      </c>
      <c r="L633" t="b">
        <f>+ISNUMBER(SEARCH('F-COMPRA'!$F$31,Tabla11[[#This Row],[Cuenta]],1))</f>
        <v>1</v>
      </c>
      <c r="M633" t="b">
        <f>+ISNUMBER(SEARCH('F-COMPRA'!$G$25,Tabla11[[#This Row],[Cuenta]],1))</f>
        <v>0</v>
      </c>
      <c r="N633" t="b">
        <f>+ISNUMBER(SEARCH(#REF!,Tabla11[[#This Row],[Cuenta]],1))</f>
        <v>0</v>
      </c>
      <c r="O633" t="b">
        <f>+ISNUMBER(SEARCH(#REF!,Tabla11[[#This Row],[Cuenta]],1))</f>
        <v>0</v>
      </c>
      <c r="P633" t="b">
        <f>+ISNUMBER(SEARCH('F-COMPRA'!$F$32,Tabla11[[#This Row],[Cuenta]],1))</f>
        <v>1</v>
      </c>
      <c r="Q633" t="b">
        <f>+ISNUMBER(SEARCH('F-COMPRA'!$F$33,Tabla11[[#This Row],[Cuenta]],1))</f>
        <v>1</v>
      </c>
      <c r="R633" t="b">
        <f>+ISNUMBER(SEARCH('F-COMPRA'!$F$34,Tabla11[[#This Row],[Cuenta]],1))</f>
        <v>1</v>
      </c>
      <c r="S633" t="b">
        <f>+ISNUMBER(SEARCH('F-COMPRA'!$F$35,Tabla11[[#This Row],[Cuenta]],1))</f>
        <v>1</v>
      </c>
      <c r="T633" t="b">
        <f>+ISNUMBER(SEARCH('F-COMPRA'!$F$36,Tabla11[[#This Row],[Cuenta]],1))</f>
        <v>1</v>
      </c>
      <c r="U633" t="b">
        <f>+ISNUMBER(SEARCH('F-COMPRA'!$F$37,Tabla11[[#This Row],[Cuenta]],1))</f>
        <v>1</v>
      </c>
      <c r="V633" t="b">
        <f>+ISNUMBER(SEARCH(#REF!,Tabla11[[#This Row],[Cuenta]],1))</f>
        <v>0</v>
      </c>
      <c r="W633" t="b">
        <f>+ISNUMBER(SEARCH('F-COMPRA'!#REF!,Tabla11[[#This Row],[Cuenta]],1))</f>
        <v>0</v>
      </c>
      <c r="X633" t="b">
        <f>+ISNUMBER(SEARCH('F-COMPRA'!#REF!,Tabla11[[#This Row],[Cuenta]],1))</f>
        <v>0</v>
      </c>
      <c r="Y633" t="b">
        <f>+ISNUMBER(SEARCH('F-COMPRA'!#REF!,Tabla11[[#This Row],[Cuenta]],1))</f>
        <v>0</v>
      </c>
      <c r="Z633" t="b">
        <f>+ISNUMBER(SEARCH('F-COMPRA'!#REF!,Tabla11[[#This Row],[Cuenta]],1))</f>
        <v>0</v>
      </c>
      <c r="AA633" t="b">
        <f>+ISNUMBER(SEARCH('F-COMPRA'!#REF!,Tabla11[[#This Row],[Cuenta]],1))</f>
        <v>0</v>
      </c>
      <c r="AB633" t="b">
        <f>+ISNUMBER(SEARCH('F-COMPRA'!#REF!,Tabla11[[#This Row],[Cuenta]],1))</f>
        <v>0</v>
      </c>
      <c r="AC633" t="b">
        <f>+ISNUMBER(SEARCH('F-COMPRA'!#REF!,Tabla11[[#This Row],[Cuenta]],1))</f>
        <v>0</v>
      </c>
      <c r="AD633" t="b">
        <f>+ISNUMBER(SEARCH('F-COMPRA'!#REF!,Tabla11[[#This Row],[Cuenta]],1))</f>
        <v>0</v>
      </c>
      <c r="AE633" t="b">
        <f>+ISNUMBER(SEARCH('F-COMPRA'!#REF!,Tabla11[[#This Row],[Cuenta]],1))</f>
        <v>0</v>
      </c>
      <c r="AF633" t="b">
        <f>+ISNUMBER(SEARCH('F-VTA'!$G$23,Tabla11[[#This Row],[Cuenta]],1))</f>
        <v>0</v>
      </c>
      <c r="AG633" t="b">
        <f>+ISNUMBER(SEARCH('F-VTA'!$G$24,Tabla11[[#This Row],[Cuenta]],1))</f>
        <v>0</v>
      </c>
      <c r="AH633" t="b">
        <f>+ISNUMBER(SEARCH('F-VTA'!$G$25,Tabla11[[#This Row],[Cuenta]],1))</f>
        <v>0</v>
      </c>
      <c r="AI633" t="b">
        <f>+ISNUMBER(SEARCH('F-VTA'!$F$28,Tabla11[[#This Row],[Cuenta]],1))</f>
        <v>1</v>
      </c>
      <c r="AJ633" t="b">
        <f>+ISNUMBER(SEARCH('F-VTA'!$F$29,Tabla11[[#This Row],[Cuenta]],1))</f>
        <v>1</v>
      </c>
      <c r="AK633" t="b">
        <f>+ISNUMBER(SEARCH('F-VTA'!$F$30,Tabla11[[#This Row],[Cuenta]],1))</f>
        <v>1</v>
      </c>
      <c r="AL633" t="b">
        <f>+ISNUMBER(SEARCH('F-VTA'!$F$31,Tabla11[[#This Row],[Cuenta]],1))</f>
        <v>1</v>
      </c>
      <c r="AM633" t="b">
        <f>+ISNUMBER(SEARCH('F-VTA'!$F$32,Tabla11[[#This Row],[Cuenta]],1))</f>
        <v>1</v>
      </c>
      <c r="AN633" t="b">
        <f>+ISNUMBER(SEARCH('F-VTA'!$F$33,Tabla11[[#This Row],[Cuenta]],1))</f>
        <v>1</v>
      </c>
      <c r="AO633" t="b">
        <f>+ISNUMBER(SEARCH('F-VTA'!$F$34,Tabla11[[#This Row],[Cuenta]],1))</f>
        <v>1</v>
      </c>
      <c r="AP633" t="b">
        <f>+ISNUMBER(SEARCH('F-VTA'!$F$35,Tabla11[[#This Row],[Cuenta]],1))</f>
        <v>1</v>
      </c>
      <c r="AQ633" t="b">
        <f>+ISNUMBER(SEARCH('F-VTA'!$F$36,Tabla11[[#This Row],[Cuenta]],1))</f>
        <v>1</v>
      </c>
      <c r="AR633" t="b">
        <f>+ISNUMBER(SEARCH(#REF!,Tabla11[[#This Row],[Cuenta]],1))</f>
        <v>0</v>
      </c>
      <c r="AS633" t="b">
        <f>+ISNUMBER(SEARCH(#REF!,Tabla11[[#This Row],[Cuenta]],1))</f>
        <v>0</v>
      </c>
      <c r="AT633" t="b">
        <f>+ISNUMBER(SEARCH(#REF!,Tabla11[[#This Row],[Cuenta]],1))</f>
        <v>0</v>
      </c>
      <c r="AU633" t="b">
        <f>+ISNUMBER(SEARCH('Conc. Ban.1'!$I$9,Tabla11[[#This Row],[Cuenta]],1))</f>
        <v>0</v>
      </c>
      <c r="AV633" t="b">
        <f>+ISNUMBER(SEARCH(CompConta!$F$21,Tabla11[[#This Row],[Cuenta]],1))</f>
        <v>1</v>
      </c>
      <c r="AW633" t="b">
        <f>+ISNUMBER(SEARCH(CompConta!$F$22,Tabla11[[#This Row],[Cuenta]],1))</f>
        <v>1</v>
      </c>
      <c r="AX633" t="b">
        <f>+ISNUMBER(SEARCH(CompConta!$F$23,Tabla11[[#This Row],[Cuenta]],1))</f>
        <v>1</v>
      </c>
      <c r="AY633" t="b">
        <f>+ISNUMBER(SEARCH(CompConta!$F$24,Tabla11[[#This Row],[Cuenta]],1))</f>
        <v>1</v>
      </c>
      <c r="AZ633" t="b">
        <f>+ISNUMBER(SEARCH(CompConta!$F$25,Tabla11[[#This Row],[Cuenta]],1))</f>
        <v>1</v>
      </c>
      <c r="BA633" t="b">
        <f>+ISNUMBER(SEARCH(CompConta!$F$26,Tabla11[[#This Row],[Cuenta]],1))</f>
        <v>1</v>
      </c>
      <c r="BB633" t="b">
        <f>+ISNUMBER(SEARCH(CompConta!$F$27,Tabla11[[#This Row],[Cuenta]],1))</f>
        <v>1</v>
      </c>
      <c r="BC633" t="b">
        <f>+ISNUMBER(SEARCH(CompConta!$F$28,Tabla11[[#This Row],[Cuenta]],1))</f>
        <v>1</v>
      </c>
      <c r="BD633" t="b">
        <f>+ISNUMBER(SEARCH(CompConta!$F$29,Tabla11[[#This Row],[Cuenta]],1))</f>
        <v>1</v>
      </c>
      <c r="BE633" t="b">
        <f>+ISNUMBER(SEARCH(CompConta!$F$30,Tabla11[[#This Row],[Cuenta]],1))</f>
        <v>1</v>
      </c>
      <c r="BF633" t="b">
        <f>+ISNUMBER(SEARCH('PAGO Compras'!$E$11,Tabla11[[#This Row],[Cuenta]],1))</f>
        <v>1</v>
      </c>
      <c r="BG633" t="b">
        <f>+ISNUMBER(SEARCH(#REF!,Tabla11[[#This Row],[Cuenta]],1))</f>
        <v>0</v>
      </c>
      <c r="BH633" t="b">
        <f>+ISNUMBER(SEARCH(#REF!,Tabla11[[#This Row],[Cuenta]],1))</f>
        <v>0</v>
      </c>
      <c r="BI633" t="b">
        <f>+ISNUMBER(SEARCH(#REF!,Tabla11[[#This Row],[Cuenta]],1))</f>
        <v>0</v>
      </c>
      <c r="BJ633" t="b">
        <f>+ISNUMBER(SEARCH(#REF!,Tabla11[[#This Row],[Cuenta]],1))</f>
        <v>0</v>
      </c>
      <c r="BS633" t="str">
        <v>310505 Capital autorizado</v>
      </c>
      <c r="BT633" t="str">
        <v>310505 Capital autorizado</v>
      </c>
      <c r="BU633" t="str">
        <v>310505 Capital autorizado</v>
      </c>
      <c r="BV633" t="str">
        <v>310505 Capital autorizado</v>
      </c>
      <c r="BZ633" t="str">
        <v>310505 Capital autorizado</v>
      </c>
      <c r="CA633" t="str">
        <v>310505 Capital autorizado</v>
      </c>
      <c r="CB633" t="str">
        <v>310505 Capital autorizado</v>
      </c>
      <c r="CC633" t="str">
        <v>310505 Capital autorizado</v>
      </c>
      <c r="CD633" t="str">
        <v>310505 Capital autorizado</v>
      </c>
      <c r="CE633" t="str">
        <v>310505 Capital autorizado</v>
      </c>
      <c r="CS633" s="141" t="str">
        <v>310505 Capital autorizado</v>
      </c>
      <c r="CT633" s="141" t="str">
        <v>310505 Capital autorizado</v>
      </c>
      <c r="CU633" s="141" t="str">
        <v>310505 Capital autorizado</v>
      </c>
      <c r="CV633" s="141" t="str">
        <v>310505 Capital autorizado</v>
      </c>
      <c r="CW633" s="141" t="str">
        <v>310505 Capital autorizado</v>
      </c>
      <c r="CX633" s="141" t="str">
        <v>310505 Capital autorizado</v>
      </c>
      <c r="CY633" s="141" t="str">
        <v>310505 Capital autorizado</v>
      </c>
      <c r="CZ633" s="141" t="str">
        <v>310505 Capital autorizado</v>
      </c>
      <c r="DA633" s="141" t="str">
        <v>310505 Capital autorizado</v>
      </c>
      <c r="DF633" t="str">
        <v>310505 Capital autorizado</v>
      </c>
      <c r="DG633" t="str">
        <v>310505 Capital autorizado</v>
      </c>
      <c r="DH633" t="str">
        <v>310505 Capital autorizado</v>
      </c>
      <c r="DI633" t="str">
        <v>310505 Capital autorizado</v>
      </c>
      <c r="DJ633" t="str">
        <v>310505 Capital autorizado</v>
      </c>
      <c r="DK633" t="str">
        <v>310505 Capital autorizado</v>
      </c>
      <c r="DL633" t="str">
        <v>310505 Capital autorizado</v>
      </c>
      <c r="DM633" t="str">
        <v>310505 Capital autorizado</v>
      </c>
      <c r="DN633" t="str">
        <v>310505 Capital autorizado</v>
      </c>
      <c r="DO633" t="str">
        <v>310505 Capital autorizado</v>
      </c>
      <c r="DP633" t="str">
        <v>310505 Capital autorizado</v>
      </c>
    </row>
    <row r="634" spans="4:120" ht="12.75">
      <c r="D634" s="7">
        <v>310510</v>
      </c>
      <c r="E634" s="6" t="s">
        <v>467</v>
      </c>
      <c r="F634" s="5">
        <v>4</v>
      </c>
      <c r="G634" s="34" t="s">
        <v>827</v>
      </c>
      <c r="H634" s="8" t="s">
        <v>32</v>
      </c>
      <c r="I634" t="b">
        <f>+ISNUMBER(SEARCH('F-COMPRA'!$F$28,Tabla11[[#This Row],[Cuenta]],1))</f>
        <v>1</v>
      </c>
      <c r="J634" t="b">
        <f>+ISNUMBER(SEARCH('F-COMPRA'!$F$29,Tabla11[[#This Row],[Cuenta]],1))</f>
        <v>1</v>
      </c>
      <c r="K634" t="b">
        <f>+ISNUMBER(SEARCH('F-COMPRA'!$F$30,Tabla11[[#This Row],[Cuenta]],1))</f>
        <v>1</v>
      </c>
      <c r="L634" t="b">
        <f>+ISNUMBER(SEARCH('F-COMPRA'!$F$31,Tabla11[[#This Row],[Cuenta]],1))</f>
        <v>1</v>
      </c>
      <c r="M634" t="b">
        <f>+ISNUMBER(SEARCH('F-COMPRA'!$G$25,Tabla11[[#This Row],[Cuenta]],1))</f>
        <v>0</v>
      </c>
      <c r="N634" t="b">
        <f>+ISNUMBER(SEARCH(#REF!,Tabla11[[#This Row],[Cuenta]],1))</f>
        <v>0</v>
      </c>
      <c r="O634" t="b">
        <f>+ISNUMBER(SEARCH(#REF!,Tabla11[[#This Row],[Cuenta]],1))</f>
        <v>0</v>
      </c>
      <c r="P634" t="b">
        <f>+ISNUMBER(SEARCH('F-COMPRA'!$F$32,Tabla11[[#This Row],[Cuenta]],1))</f>
        <v>1</v>
      </c>
      <c r="Q634" t="b">
        <f>+ISNUMBER(SEARCH('F-COMPRA'!$F$33,Tabla11[[#This Row],[Cuenta]],1))</f>
        <v>1</v>
      </c>
      <c r="R634" t="b">
        <f>+ISNUMBER(SEARCH('F-COMPRA'!$F$34,Tabla11[[#This Row],[Cuenta]],1))</f>
        <v>1</v>
      </c>
      <c r="S634" t="b">
        <f>+ISNUMBER(SEARCH('F-COMPRA'!$F$35,Tabla11[[#This Row],[Cuenta]],1))</f>
        <v>1</v>
      </c>
      <c r="T634" t="b">
        <f>+ISNUMBER(SEARCH('F-COMPRA'!$F$36,Tabla11[[#This Row],[Cuenta]],1))</f>
        <v>1</v>
      </c>
      <c r="U634" t="b">
        <f>+ISNUMBER(SEARCH('F-COMPRA'!$F$37,Tabla11[[#This Row],[Cuenta]],1))</f>
        <v>1</v>
      </c>
      <c r="V634" t="b">
        <f>+ISNUMBER(SEARCH(#REF!,Tabla11[[#This Row],[Cuenta]],1))</f>
        <v>0</v>
      </c>
      <c r="W634" t="b">
        <f>+ISNUMBER(SEARCH('F-COMPRA'!#REF!,Tabla11[[#This Row],[Cuenta]],1))</f>
        <v>0</v>
      </c>
      <c r="X634" t="b">
        <f>+ISNUMBER(SEARCH('F-COMPRA'!#REF!,Tabla11[[#This Row],[Cuenta]],1))</f>
        <v>0</v>
      </c>
      <c r="Y634" t="b">
        <f>+ISNUMBER(SEARCH('F-COMPRA'!#REF!,Tabla11[[#This Row],[Cuenta]],1))</f>
        <v>0</v>
      </c>
      <c r="Z634" t="b">
        <f>+ISNUMBER(SEARCH('F-COMPRA'!#REF!,Tabla11[[#This Row],[Cuenta]],1))</f>
        <v>0</v>
      </c>
      <c r="AA634" t="b">
        <f>+ISNUMBER(SEARCH('F-COMPRA'!#REF!,Tabla11[[#This Row],[Cuenta]],1))</f>
        <v>0</v>
      </c>
      <c r="AB634" t="b">
        <f>+ISNUMBER(SEARCH('F-COMPRA'!#REF!,Tabla11[[#This Row],[Cuenta]],1))</f>
        <v>0</v>
      </c>
      <c r="AC634" t="b">
        <f>+ISNUMBER(SEARCH('F-COMPRA'!#REF!,Tabla11[[#This Row],[Cuenta]],1))</f>
        <v>0</v>
      </c>
      <c r="AD634" t="b">
        <f>+ISNUMBER(SEARCH('F-COMPRA'!#REF!,Tabla11[[#This Row],[Cuenta]],1))</f>
        <v>0</v>
      </c>
      <c r="AE634" t="b">
        <f>+ISNUMBER(SEARCH('F-COMPRA'!#REF!,Tabla11[[#This Row],[Cuenta]],1))</f>
        <v>0</v>
      </c>
      <c r="AF634" t="b">
        <f>+ISNUMBER(SEARCH('F-VTA'!$G$23,Tabla11[[#This Row],[Cuenta]],1))</f>
        <v>0</v>
      </c>
      <c r="AG634" t="b">
        <f>+ISNUMBER(SEARCH('F-VTA'!$G$24,Tabla11[[#This Row],[Cuenta]],1))</f>
        <v>0</v>
      </c>
      <c r="AH634" t="b">
        <f>+ISNUMBER(SEARCH('F-VTA'!$G$25,Tabla11[[#This Row],[Cuenta]],1))</f>
        <v>0</v>
      </c>
      <c r="AI634" t="b">
        <f>+ISNUMBER(SEARCH('F-VTA'!$F$28,Tabla11[[#This Row],[Cuenta]],1))</f>
        <v>1</v>
      </c>
      <c r="AJ634" t="b">
        <f>+ISNUMBER(SEARCH('F-VTA'!$F$29,Tabla11[[#This Row],[Cuenta]],1))</f>
        <v>1</v>
      </c>
      <c r="AK634" t="b">
        <f>+ISNUMBER(SEARCH('F-VTA'!$F$30,Tabla11[[#This Row],[Cuenta]],1))</f>
        <v>1</v>
      </c>
      <c r="AL634" t="b">
        <f>+ISNUMBER(SEARCH('F-VTA'!$F$31,Tabla11[[#This Row],[Cuenta]],1))</f>
        <v>1</v>
      </c>
      <c r="AM634" t="b">
        <f>+ISNUMBER(SEARCH('F-VTA'!$F$32,Tabla11[[#This Row],[Cuenta]],1))</f>
        <v>1</v>
      </c>
      <c r="AN634" t="b">
        <f>+ISNUMBER(SEARCH('F-VTA'!$F$33,Tabla11[[#This Row],[Cuenta]],1))</f>
        <v>1</v>
      </c>
      <c r="AO634" t="b">
        <f>+ISNUMBER(SEARCH('F-VTA'!$F$34,Tabla11[[#This Row],[Cuenta]],1))</f>
        <v>1</v>
      </c>
      <c r="AP634" t="b">
        <f>+ISNUMBER(SEARCH('F-VTA'!$F$35,Tabla11[[#This Row],[Cuenta]],1))</f>
        <v>1</v>
      </c>
      <c r="AQ634" t="b">
        <f>+ISNUMBER(SEARCH('F-VTA'!$F$36,Tabla11[[#This Row],[Cuenta]],1))</f>
        <v>1</v>
      </c>
      <c r="AR634" t="b">
        <f>+ISNUMBER(SEARCH(#REF!,Tabla11[[#This Row],[Cuenta]],1))</f>
        <v>0</v>
      </c>
      <c r="AS634" t="b">
        <f>+ISNUMBER(SEARCH(#REF!,Tabla11[[#This Row],[Cuenta]],1))</f>
        <v>0</v>
      </c>
      <c r="AT634" t="b">
        <f>+ISNUMBER(SEARCH(#REF!,Tabla11[[#This Row],[Cuenta]],1))</f>
        <v>0</v>
      </c>
      <c r="AU634" t="b">
        <f>+ISNUMBER(SEARCH('Conc. Ban.1'!$I$9,Tabla11[[#This Row],[Cuenta]],1))</f>
        <v>0</v>
      </c>
      <c r="AV634" t="b">
        <f>+ISNUMBER(SEARCH(CompConta!$F$21,Tabla11[[#This Row],[Cuenta]],1))</f>
        <v>1</v>
      </c>
      <c r="AW634" t="b">
        <f>+ISNUMBER(SEARCH(CompConta!$F$22,Tabla11[[#This Row],[Cuenta]],1))</f>
        <v>1</v>
      </c>
      <c r="AX634" t="b">
        <f>+ISNUMBER(SEARCH(CompConta!$F$23,Tabla11[[#This Row],[Cuenta]],1))</f>
        <v>1</v>
      </c>
      <c r="AY634" t="b">
        <f>+ISNUMBER(SEARCH(CompConta!$F$24,Tabla11[[#This Row],[Cuenta]],1))</f>
        <v>1</v>
      </c>
      <c r="AZ634" t="b">
        <f>+ISNUMBER(SEARCH(CompConta!$F$25,Tabla11[[#This Row],[Cuenta]],1))</f>
        <v>1</v>
      </c>
      <c r="BA634" t="b">
        <f>+ISNUMBER(SEARCH(CompConta!$F$26,Tabla11[[#This Row],[Cuenta]],1))</f>
        <v>1</v>
      </c>
      <c r="BB634" t="b">
        <f>+ISNUMBER(SEARCH(CompConta!$F$27,Tabla11[[#This Row],[Cuenta]],1))</f>
        <v>1</v>
      </c>
      <c r="BC634" t="b">
        <f>+ISNUMBER(SEARCH(CompConta!$F$28,Tabla11[[#This Row],[Cuenta]],1))</f>
        <v>1</v>
      </c>
      <c r="BD634" t="b">
        <f>+ISNUMBER(SEARCH(CompConta!$F$29,Tabla11[[#This Row],[Cuenta]],1))</f>
        <v>1</v>
      </c>
      <c r="BE634" t="b">
        <f>+ISNUMBER(SEARCH(CompConta!$F$30,Tabla11[[#This Row],[Cuenta]],1))</f>
        <v>1</v>
      </c>
      <c r="BF634" t="b">
        <f>+ISNUMBER(SEARCH('PAGO Compras'!$E$11,Tabla11[[#This Row],[Cuenta]],1))</f>
        <v>1</v>
      </c>
      <c r="BG634" t="b">
        <f>+ISNUMBER(SEARCH(#REF!,Tabla11[[#This Row],[Cuenta]],1))</f>
        <v>0</v>
      </c>
      <c r="BH634" t="b">
        <f>+ISNUMBER(SEARCH(#REF!,Tabla11[[#This Row],[Cuenta]],1))</f>
        <v>0</v>
      </c>
      <c r="BI634" t="b">
        <f>+ISNUMBER(SEARCH(#REF!,Tabla11[[#This Row],[Cuenta]],1))</f>
        <v>0</v>
      </c>
      <c r="BJ634" t="b">
        <f>+ISNUMBER(SEARCH(#REF!,Tabla11[[#This Row],[Cuenta]],1))</f>
        <v>0</v>
      </c>
      <c r="BS634" t="str">
        <v>310510 Capital por suscribir (DB)</v>
      </c>
      <c r="BT634" t="str">
        <v>310510 Capital por suscribir (DB)</v>
      </c>
      <c r="BU634" t="str">
        <v>310510 Capital por suscribir (DB)</v>
      </c>
      <c r="BV634" t="str">
        <v>310510 Capital por suscribir (DB)</v>
      </c>
      <c r="BZ634" t="str">
        <v>310510 Capital por suscribir (DB)</v>
      </c>
      <c r="CA634" t="str">
        <v>310510 Capital por suscribir (DB)</v>
      </c>
      <c r="CB634" t="str">
        <v>310510 Capital por suscribir (DB)</v>
      </c>
      <c r="CC634" t="str">
        <v>310510 Capital por suscribir (DB)</v>
      </c>
      <c r="CD634" t="str">
        <v>310510 Capital por suscribir (DB)</v>
      </c>
      <c r="CE634" t="str">
        <v>310510 Capital por suscribir (DB)</v>
      </c>
      <c r="CS634" s="141" t="str">
        <v>310510 Capital por suscribir (DB)</v>
      </c>
      <c r="CT634" s="141" t="str">
        <v>310510 Capital por suscribir (DB)</v>
      </c>
      <c r="CU634" s="141" t="str">
        <v>310510 Capital por suscribir (DB)</v>
      </c>
      <c r="CV634" s="141" t="str">
        <v>310510 Capital por suscribir (DB)</v>
      </c>
      <c r="CW634" s="141" t="str">
        <v>310510 Capital por suscribir (DB)</v>
      </c>
      <c r="CX634" s="141" t="str">
        <v>310510 Capital por suscribir (DB)</v>
      </c>
      <c r="CY634" s="141" t="str">
        <v>310510 Capital por suscribir (DB)</v>
      </c>
      <c r="CZ634" s="141" t="str">
        <v>310510 Capital por suscribir (DB)</v>
      </c>
      <c r="DA634" s="141" t="str">
        <v>310510 Capital por suscribir (DB)</v>
      </c>
      <c r="DF634" t="str">
        <v>310510 Capital por suscribir (DB)</v>
      </c>
      <c r="DG634" t="str">
        <v>310510 Capital por suscribir (DB)</v>
      </c>
      <c r="DH634" t="str">
        <v>310510 Capital por suscribir (DB)</v>
      </c>
      <c r="DI634" t="str">
        <v>310510 Capital por suscribir (DB)</v>
      </c>
      <c r="DJ634" t="str">
        <v>310510 Capital por suscribir (DB)</v>
      </c>
      <c r="DK634" t="str">
        <v>310510 Capital por suscribir (DB)</v>
      </c>
      <c r="DL634" t="str">
        <v>310510 Capital por suscribir (DB)</v>
      </c>
      <c r="DM634" t="str">
        <v>310510 Capital por suscribir (DB)</v>
      </c>
      <c r="DN634" t="str">
        <v>310510 Capital por suscribir (DB)</v>
      </c>
      <c r="DO634" t="str">
        <v>310510 Capital por suscribir (DB)</v>
      </c>
      <c r="DP634" t="str">
        <v>310510 Capital por suscribir (DB)</v>
      </c>
    </row>
    <row r="635" spans="4:120" ht="12.75">
      <c r="D635" s="7">
        <v>310515</v>
      </c>
      <c r="E635" s="6" t="s">
        <v>468</v>
      </c>
      <c r="F635" s="5">
        <v>4</v>
      </c>
      <c r="G635" s="34" t="s">
        <v>827</v>
      </c>
      <c r="H635" s="8" t="s">
        <v>32</v>
      </c>
      <c r="I635" t="b">
        <f>+ISNUMBER(SEARCH('F-COMPRA'!$F$28,Tabla11[[#This Row],[Cuenta]],1))</f>
        <v>1</v>
      </c>
      <c r="J635" t="b">
        <f>+ISNUMBER(SEARCH('F-COMPRA'!$F$29,Tabla11[[#This Row],[Cuenta]],1))</f>
        <v>1</v>
      </c>
      <c r="K635" t="b">
        <f>+ISNUMBER(SEARCH('F-COMPRA'!$F$30,Tabla11[[#This Row],[Cuenta]],1))</f>
        <v>1</v>
      </c>
      <c r="L635" t="b">
        <f>+ISNUMBER(SEARCH('F-COMPRA'!$F$31,Tabla11[[#This Row],[Cuenta]],1))</f>
        <v>1</v>
      </c>
      <c r="M635" t="b">
        <f>+ISNUMBER(SEARCH('F-COMPRA'!$G$25,Tabla11[[#This Row],[Cuenta]],1))</f>
        <v>0</v>
      </c>
      <c r="N635" t="b">
        <f>+ISNUMBER(SEARCH(#REF!,Tabla11[[#This Row],[Cuenta]],1))</f>
        <v>0</v>
      </c>
      <c r="O635" t="b">
        <f>+ISNUMBER(SEARCH(#REF!,Tabla11[[#This Row],[Cuenta]],1))</f>
        <v>0</v>
      </c>
      <c r="P635" t="b">
        <f>+ISNUMBER(SEARCH('F-COMPRA'!$F$32,Tabla11[[#This Row],[Cuenta]],1))</f>
        <v>1</v>
      </c>
      <c r="Q635" t="b">
        <f>+ISNUMBER(SEARCH('F-COMPRA'!$F$33,Tabla11[[#This Row],[Cuenta]],1))</f>
        <v>1</v>
      </c>
      <c r="R635" t="b">
        <f>+ISNUMBER(SEARCH('F-COMPRA'!$F$34,Tabla11[[#This Row],[Cuenta]],1))</f>
        <v>1</v>
      </c>
      <c r="S635" t="b">
        <f>+ISNUMBER(SEARCH('F-COMPRA'!$F$35,Tabla11[[#This Row],[Cuenta]],1))</f>
        <v>1</v>
      </c>
      <c r="T635" t="b">
        <f>+ISNUMBER(SEARCH('F-COMPRA'!$F$36,Tabla11[[#This Row],[Cuenta]],1))</f>
        <v>1</v>
      </c>
      <c r="U635" t="b">
        <f>+ISNUMBER(SEARCH('F-COMPRA'!$F$37,Tabla11[[#This Row],[Cuenta]],1))</f>
        <v>1</v>
      </c>
      <c r="V635" t="b">
        <f>+ISNUMBER(SEARCH(#REF!,Tabla11[[#This Row],[Cuenta]],1))</f>
        <v>0</v>
      </c>
      <c r="W635" t="b">
        <f>+ISNUMBER(SEARCH('F-COMPRA'!#REF!,Tabla11[[#This Row],[Cuenta]],1))</f>
        <v>0</v>
      </c>
      <c r="X635" t="b">
        <f>+ISNUMBER(SEARCH('F-COMPRA'!#REF!,Tabla11[[#This Row],[Cuenta]],1))</f>
        <v>0</v>
      </c>
      <c r="Y635" t="b">
        <f>+ISNUMBER(SEARCH('F-COMPRA'!#REF!,Tabla11[[#This Row],[Cuenta]],1))</f>
        <v>0</v>
      </c>
      <c r="Z635" t="b">
        <f>+ISNUMBER(SEARCH('F-COMPRA'!#REF!,Tabla11[[#This Row],[Cuenta]],1))</f>
        <v>0</v>
      </c>
      <c r="AA635" t="b">
        <f>+ISNUMBER(SEARCH('F-COMPRA'!#REF!,Tabla11[[#This Row],[Cuenta]],1))</f>
        <v>0</v>
      </c>
      <c r="AB635" t="b">
        <f>+ISNUMBER(SEARCH('F-COMPRA'!#REF!,Tabla11[[#This Row],[Cuenta]],1))</f>
        <v>0</v>
      </c>
      <c r="AC635" t="b">
        <f>+ISNUMBER(SEARCH('F-COMPRA'!#REF!,Tabla11[[#This Row],[Cuenta]],1))</f>
        <v>0</v>
      </c>
      <c r="AD635" t="b">
        <f>+ISNUMBER(SEARCH('F-COMPRA'!#REF!,Tabla11[[#This Row],[Cuenta]],1))</f>
        <v>0</v>
      </c>
      <c r="AE635" t="b">
        <f>+ISNUMBER(SEARCH('F-COMPRA'!#REF!,Tabla11[[#This Row],[Cuenta]],1))</f>
        <v>0</v>
      </c>
      <c r="AF635" t="b">
        <f>+ISNUMBER(SEARCH('F-VTA'!$G$23,Tabla11[[#This Row],[Cuenta]],1))</f>
        <v>0</v>
      </c>
      <c r="AG635" t="b">
        <f>+ISNUMBER(SEARCH('F-VTA'!$G$24,Tabla11[[#This Row],[Cuenta]],1))</f>
        <v>0</v>
      </c>
      <c r="AH635" t="b">
        <f>+ISNUMBER(SEARCH('F-VTA'!$G$25,Tabla11[[#This Row],[Cuenta]],1))</f>
        <v>0</v>
      </c>
      <c r="AI635" t="b">
        <f>+ISNUMBER(SEARCH('F-VTA'!$F$28,Tabla11[[#This Row],[Cuenta]],1))</f>
        <v>1</v>
      </c>
      <c r="AJ635" t="b">
        <f>+ISNUMBER(SEARCH('F-VTA'!$F$29,Tabla11[[#This Row],[Cuenta]],1))</f>
        <v>1</v>
      </c>
      <c r="AK635" t="b">
        <f>+ISNUMBER(SEARCH('F-VTA'!$F$30,Tabla11[[#This Row],[Cuenta]],1))</f>
        <v>1</v>
      </c>
      <c r="AL635" t="b">
        <f>+ISNUMBER(SEARCH('F-VTA'!$F$31,Tabla11[[#This Row],[Cuenta]],1))</f>
        <v>1</v>
      </c>
      <c r="AM635" t="b">
        <f>+ISNUMBER(SEARCH('F-VTA'!$F$32,Tabla11[[#This Row],[Cuenta]],1))</f>
        <v>1</v>
      </c>
      <c r="AN635" t="b">
        <f>+ISNUMBER(SEARCH('F-VTA'!$F$33,Tabla11[[#This Row],[Cuenta]],1))</f>
        <v>1</v>
      </c>
      <c r="AO635" t="b">
        <f>+ISNUMBER(SEARCH('F-VTA'!$F$34,Tabla11[[#This Row],[Cuenta]],1))</f>
        <v>1</v>
      </c>
      <c r="AP635" t="b">
        <f>+ISNUMBER(SEARCH('F-VTA'!$F$35,Tabla11[[#This Row],[Cuenta]],1))</f>
        <v>1</v>
      </c>
      <c r="AQ635" t="b">
        <f>+ISNUMBER(SEARCH('F-VTA'!$F$36,Tabla11[[#This Row],[Cuenta]],1))</f>
        <v>1</v>
      </c>
      <c r="AR635" t="b">
        <f>+ISNUMBER(SEARCH(#REF!,Tabla11[[#This Row],[Cuenta]],1))</f>
        <v>0</v>
      </c>
      <c r="AS635" t="b">
        <f>+ISNUMBER(SEARCH(#REF!,Tabla11[[#This Row],[Cuenta]],1))</f>
        <v>0</v>
      </c>
      <c r="AT635" t="b">
        <f>+ISNUMBER(SEARCH(#REF!,Tabla11[[#This Row],[Cuenta]],1))</f>
        <v>0</v>
      </c>
      <c r="AU635" t="b">
        <f>+ISNUMBER(SEARCH('Conc. Ban.1'!$I$9,Tabla11[[#This Row],[Cuenta]],1))</f>
        <v>0</v>
      </c>
      <c r="AV635" t="b">
        <f>+ISNUMBER(SEARCH(CompConta!$F$21,Tabla11[[#This Row],[Cuenta]],1))</f>
        <v>1</v>
      </c>
      <c r="AW635" t="b">
        <f>+ISNUMBER(SEARCH(CompConta!$F$22,Tabla11[[#This Row],[Cuenta]],1))</f>
        <v>1</v>
      </c>
      <c r="AX635" t="b">
        <f>+ISNUMBER(SEARCH(CompConta!$F$23,Tabla11[[#This Row],[Cuenta]],1))</f>
        <v>1</v>
      </c>
      <c r="AY635" t="b">
        <f>+ISNUMBER(SEARCH(CompConta!$F$24,Tabla11[[#This Row],[Cuenta]],1))</f>
        <v>1</v>
      </c>
      <c r="AZ635" t="b">
        <f>+ISNUMBER(SEARCH(CompConta!$F$25,Tabla11[[#This Row],[Cuenta]],1))</f>
        <v>1</v>
      </c>
      <c r="BA635" t="b">
        <f>+ISNUMBER(SEARCH(CompConta!$F$26,Tabla11[[#This Row],[Cuenta]],1))</f>
        <v>1</v>
      </c>
      <c r="BB635" t="b">
        <f>+ISNUMBER(SEARCH(CompConta!$F$27,Tabla11[[#This Row],[Cuenta]],1))</f>
        <v>1</v>
      </c>
      <c r="BC635" t="b">
        <f>+ISNUMBER(SEARCH(CompConta!$F$28,Tabla11[[#This Row],[Cuenta]],1))</f>
        <v>1</v>
      </c>
      <c r="BD635" t="b">
        <f>+ISNUMBER(SEARCH(CompConta!$F$29,Tabla11[[#This Row],[Cuenta]],1))</f>
        <v>1</v>
      </c>
      <c r="BE635" t="b">
        <f>+ISNUMBER(SEARCH(CompConta!$F$30,Tabla11[[#This Row],[Cuenta]],1))</f>
        <v>1</v>
      </c>
      <c r="BF635" t="b">
        <f>+ISNUMBER(SEARCH('PAGO Compras'!$E$11,Tabla11[[#This Row],[Cuenta]],1))</f>
        <v>1</v>
      </c>
      <c r="BG635" t="b">
        <f>+ISNUMBER(SEARCH(#REF!,Tabla11[[#This Row],[Cuenta]],1))</f>
        <v>0</v>
      </c>
      <c r="BH635" t="b">
        <f>+ISNUMBER(SEARCH(#REF!,Tabla11[[#This Row],[Cuenta]],1))</f>
        <v>0</v>
      </c>
      <c r="BI635" t="b">
        <f>+ISNUMBER(SEARCH(#REF!,Tabla11[[#This Row],[Cuenta]],1))</f>
        <v>0</v>
      </c>
      <c r="BJ635" t="b">
        <f>+ISNUMBER(SEARCH(#REF!,Tabla11[[#This Row],[Cuenta]],1))</f>
        <v>0</v>
      </c>
      <c r="BS635" t="str">
        <v>310515 Capital suscrito por cobrar (DB)</v>
      </c>
      <c r="BT635" t="str">
        <v>310515 Capital suscrito por cobrar (DB)</v>
      </c>
      <c r="BU635" t="str">
        <v>310515 Capital suscrito por cobrar (DB)</v>
      </c>
      <c r="BV635" t="str">
        <v>310515 Capital suscrito por cobrar (DB)</v>
      </c>
      <c r="BZ635" t="str">
        <v>310515 Capital suscrito por cobrar (DB)</v>
      </c>
      <c r="CA635" t="str">
        <v>310515 Capital suscrito por cobrar (DB)</v>
      </c>
      <c r="CB635" t="str">
        <v>310515 Capital suscrito por cobrar (DB)</v>
      </c>
      <c r="CC635" t="str">
        <v>310515 Capital suscrito por cobrar (DB)</v>
      </c>
      <c r="CD635" t="str">
        <v>310515 Capital suscrito por cobrar (DB)</v>
      </c>
      <c r="CE635" t="str">
        <v>310515 Capital suscrito por cobrar (DB)</v>
      </c>
      <c r="CS635" s="141" t="str">
        <v>310515 Capital suscrito por cobrar (DB)</v>
      </c>
      <c r="CT635" s="141" t="str">
        <v>310515 Capital suscrito por cobrar (DB)</v>
      </c>
      <c r="CU635" s="141" t="str">
        <v>310515 Capital suscrito por cobrar (DB)</v>
      </c>
      <c r="CV635" s="141" t="str">
        <v>310515 Capital suscrito por cobrar (DB)</v>
      </c>
      <c r="CW635" s="141" t="str">
        <v>310515 Capital suscrito por cobrar (DB)</v>
      </c>
      <c r="CX635" s="141" t="str">
        <v>310515 Capital suscrito por cobrar (DB)</v>
      </c>
      <c r="CY635" s="141" t="str">
        <v>310515 Capital suscrito por cobrar (DB)</v>
      </c>
      <c r="CZ635" s="141" t="str">
        <v>310515 Capital suscrito por cobrar (DB)</v>
      </c>
      <c r="DA635" s="141" t="str">
        <v>310515 Capital suscrito por cobrar (DB)</v>
      </c>
      <c r="DF635" t="str">
        <v>310515 Capital suscrito por cobrar (DB)</v>
      </c>
      <c r="DG635" t="str">
        <v>310515 Capital suscrito por cobrar (DB)</v>
      </c>
      <c r="DH635" t="str">
        <v>310515 Capital suscrito por cobrar (DB)</v>
      </c>
      <c r="DI635" t="str">
        <v>310515 Capital suscrito por cobrar (DB)</v>
      </c>
      <c r="DJ635" t="str">
        <v>310515 Capital suscrito por cobrar (DB)</v>
      </c>
      <c r="DK635" t="str">
        <v>310515 Capital suscrito por cobrar (DB)</v>
      </c>
      <c r="DL635" t="str">
        <v>310515 Capital suscrito por cobrar (DB)</v>
      </c>
      <c r="DM635" t="str">
        <v>310515 Capital suscrito por cobrar (DB)</v>
      </c>
      <c r="DN635" t="str">
        <v>310515 Capital suscrito por cobrar (DB)</v>
      </c>
      <c r="DO635" t="str">
        <v>310515 Capital suscrito por cobrar (DB)</v>
      </c>
      <c r="DP635" t="str">
        <v>310515 Capital suscrito por cobrar (DB)</v>
      </c>
    </row>
    <row r="636" spans="4:120" ht="12.75">
      <c r="D636" s="7">
        <v>3115</v>
      </c>
      <c r="E636" s="6" t="s">
        <v>469</v>
      </c>
      <c r="F636" s="5">
        <v>3</v>
      </c>
      <c r="G636" s="34" t="s">
        <v>827</v>
      </c>
      <c r="H636" s="8" t="s">
        <v>56</v>
      </c>
      <c r="I636" t="b">
        <f>+ISNUMBER(SEARCH('F-COMPRA'!$F$28,Tabla11[[#This Row],[Cuenta]],1))</f>
        <v>1</v>
      </c>
      <c r="J636" t="b">
        <f>+ISNUMBER(SEARCH('F-COMPRA'!$F$29,Tabla11[[#This Row],[Cuenta]],1))</f>
        <v>1</v>
      </c>
      <c r="K636" t="b">
        <f>+ISNUMBER(SEARCH('F-COMPRA'!$F$30,Tabla11[[#This Row],[Cuenta]],1))</f>
        <v>1</v>
      </c>
      <c r="L636" t="b">
        <f>+ISNUMBER(SEARCH('F-COMPRA'!$F$31,Tabla11[[#This Row],[Cuenta]],1))</f>
        <v>1</v>
      </c>
      <c r="M636" t="b">
        <f>+ISNUMBER(SEARCH('F-COMPRA'!$G$25,Tabla11[[#This Row],[Cuenta]],1))</f>
        <v>0</v>
      </c>
      <c r="N636" t="b">
        <f>+ISNUMBER(SEARCH(#REF!,Tabla11[[#This Row],[Cuenta]],1))</f>
        <v>0</v>
      </c>
      <c r="O636" t="b">
        <f>+ISNUMBER(SEARCH(#REF!,Tabla11[[#This Row],[Cuenta]],1))</f>
        <v>0</v>
      </c>
      <c r="P636" t="b">
        <f>+ISNUMBER(SEARCH('F-COMPRA'!$F$32,Tabla11[[#This Row],[Cuenta]],1))</f>
        <v>1</v>
      </c>
      <c r="Q636" t="b">
        <f>+ISNUMBER(SEARCH('F-COMPRA'!$F$33,Tabla11[[#This Row],[Cuenta]],1))</f>
        <v>1</v>
      </c>
      <c r="R636" t="b">
        <f>+ISNUMBER(SEARCH('F-COMPRA'!$F$34,Tabla11[[#This Row],[Cuenta]],1))</f>
        <v>1</v>
      </c>
      <c r="S636" t="b">
        <f>+ISNUMBER(SEARCH('F-COMPRA'!$F$35,Tabla11[[#This Row],[Cuenta]],1))</f>
        <v>1</v>
      </c>
      <c r="T636" t="b">
        <f>+ISNUMBER(SEARCH('F-COMPRA'!$F$36,Tabla11[[#This Row],[Cuenta]],1))</f>
        <v>1</v>
      </c>
      <c r="U636" t="b">
        <f>+ISNUMBER(SEARCH('F-COMPRA'!$F$37,Tabla11[[#This Row],[Cuenta]],1))</f>
        <v>1</v>
      </c>
      <c r="V636" t="b">
        <f>+ISNUMBER(SEARCH(#REF!,Tabla11[[#This Row],[Cuenta]],1))</f>
        <v>0</v>
      </c>
      <c r="W636" t="b">
        <f>+ISNUMBER(SEARCH('F-COMPRA'!#REF!,Tabla11[[#This Row],[Cuenta]],1))</f>
        <v>0</v>
      </c>
      <c r="X636" t="b">
        <f>+ISNUMBER(SEARCH('F-COMPRA'!#REF!,Tabla11[[#This Row],[Cuenta]],1))</f>
        <v>0</v>
      </c>
      <c r="Y636" t="b">
        <f>+ISNUMBER(SEARCH('F-COMPRA'!#REF!,Tabla11[[#This Row],[Cuenta]],1))</f>
        <v>0</v>
      </c>
      <c r="Z636" t="b">
        <f>+ISNUMBER(SEARCH('F-COMPRA'!#REF!,Tabla11[[#This Row],[Cuenta]],1))</f>
        <v>0</v>
      </c>
      <c r="AA636" t="b">
        <f>+ISNUMBER(SEARCH('F-COMPRA'!#REF!,Tabla11[[#This Row],[Cuenta]],1))</f>
        <v>0</v>
      </c>
      <c r="AB636" t="b">
        <f>+ISNUMBER(SEARCH('F-COMPRA'!#REF!,Tabla11[[#This Row],[Cuenta]],1))</f>
        <v>0</v>
      </c>
      <c r="AC636" t="b">
        <f>+ISNUMBER(SEARCH('F-COMPRA'!#REF!,Tabla11[[#This Row],[Cuenta]],1))</f>
        <v>0</v>
      </c>
      <c r="AD636" t="b">
        <f>+ISNUMBER(SEARCH('F-COMPRA'!#REF!,Tabla11[[#This Row],[Cuenta]],1))</f>
        <v>0</v>
      </c>
      <c r="AE636" t="b">
        <f>+ISNUMBER(SEARCH('F-COMPRA'!#REF!,Tabla11[[#This Row],[Cuenta]],1))</f>
        <v>0</v>
      </c>
      <c r="AF636" t="b">
        <f>+ISNUMBER(SEARCH('F-VTA'!$G$23,Tabla11[[#This Row],[Cuenta]],1))</f>
        <v>0</v>
      </c>
      <c r="AG636" t="b">
        <f>+ISNUMBER(SEARCH('F-VTA'!$G$24,Tabla11[[#This Row],[Cuenta]],1))</f>
        <v>0</v>
      </c>
      <c r="AH636" t="b">
        <f>+ISNUMBER(SEARCH('F-VTA'!$G$25,Tabla11[[#This Row],[Cuenta]],1))</f>
        <v>0</v>
      </c>
      <c r="AI636" t="b">
        <f>+ISNUMBER(SEARCH('F-VTA'!$F$28,Tabla11[[#This Row],[Cuenta]],1))</f>
        <v>1</v>
      </c>
      <c r="AJ636" t="b">
        <f>+ISNUMBER(SEARCH('F-VTA'!$F$29,Tabla11[[#This Row],[Cuenta]],1))</f>
        <v>1</v>
      </c>
      <c r="AK636" t="b">
        <f>+ISNUMBER(SEARCH('F-VTA'!$F$30,Tabla11[[#This Row],[Cuenta]],1))</f>
        <v>1</v>
      </c>
      <c r="AL636" t="b">
        <f>+ISNUMBER(SEARCH('F-VTA'!$F$31,Tabla11[[#This Row],[Cuenta]],1))</f>
        <v>1</v>
      </c>
      <c r="AM636" t="b">
        <f>+ISNUMBER(SEARCH('F-VTA'!$F$32,Tabla11[[#This Row],[Cuenta]],1))</f>
        <v>1</v>
      </c>
      <c r="AN636" t="b">
        <f>+ISNUMBER(SEARCH('F-VTA'!$F$33,Tabla11[[#This Row],[Cuenta]],1))</f>
        <v>1</v>
      </c>
      <c r="AO636" t="b">
        <f>+ISNUMBER(SEARCH('F-VTA'!$F$34,Tabla11[[#This Row],[Cuenta]],1))</f>
        <v>1</v>
      </c>
      <c r="AP636" t="b">
        <f>+ISNUMBER(SEARCH('F-VTA'!$F$35,Tabla11[[#This Row],[Cuenta]],1))</f>
        <v>1</v>
      </c>
      <c r="AQ636" t="b">
        <f>+ISNUMBER(SEARCH('F-VTA'!$F$36,Tabla11[[#This Row],[Cuenta]],1))</f>
        <v>1</v>
      </c>
      <c r="AR636" t="b">
        <f>+ISNUMBER(SEARCH(#REF!,Tabla11[[#This Row],[Cuenta]],1))</f>
        <v>0</v>
      </c>
      <c r="AS636" t="b">
        <f>+ISNUMBER(SEARCH(#REF!,Tabla11[[#This Row],[Cuenta]],1))</f>
        <v>0</v>
      </c>
      <c r="AT636" t="b">
        <f>+ISNUMBER(SEARCH(#REF!,Tabla11[[#This Row],[Cuenta]],1))</f>
        <v>0</v>
      </c>
      <c r="AU636" t="b">
        <f>+ISNUMBER(SEARCH('Conc. Ban.1'!$I$9,Tabla11[[#This Row],[Cuenta]],1))</f>
        <v>0</v>
      </c>
      <c r="AV636" t="b">
        <f>+ISNUMBER(SEARCH(CompConta!$F$21,Tabla11[[#This Row],[Cuenta]],1))</f>
        <v>1</v>
      </c>
      <c r="AW636" t="b">
        <f>+ISNUMBER(SEARCH(CompConta!$F$22,Tabla11[[#This Row],[Cuenta]],1))</f>
        <v>1</v>
      </c>
      <c r="AX636" t="b">
        <f>+ISNUMBER(SEARCH(CompConta!$F$23,Tabla11[[#This Row],[Cuenta]],1))</f>
        <v>1</v>
      </c>
      <c r="AY636" t="b">
        <f>+ISNUMBER(SEARCH(CompConta!$F$24,Tabla11[[#This Row],[Cuenta]],1))</f>
        <v>1</v>
      </c>
      <c r="AZ636" t="b">
        <f>+ISNUMBER(SEARCH(CompConta!$F$25,Tabla11[[#This Row],[Cuenta]],1))</f>
        <v>1</v>
      </c>
      <c r="BA636" t="b">
        <f>+ISNUMBER(SEARCH(CompConta!$F$26,Tabla11[[#This Row],[Cuenta]],1))</f>
        <v>1</v>
      </c>
      <c r="BB636" t="b">
        <f>+ISNUMBER(SEARCH(CompConta!$F$27,Tabla11[[#This Row],[Cuenta]],1))</f>
        <v>1</v>
      </c>
      <c r="BC636" t="b">
        <f>+ISNUMBER(SEARCH(CompConta!$F$28,Tabla11[[#This Row],[Cuenta]],1))</f>
        <v>1</v>
      </c>
      <c r="BD636" t="b">
        <f>+ISNUMBER(SEARCH(CompConta!$F$29,Tabla11[[#This Row],[Cuenta]],1))</f>
        <v>1</v>
      </c>
      <c r="BE636" t="b">
        <f>+ISNUMBER(SEARCH(CompConta!$F$30,Tabla11[[#This Row],[Cuenta]],1))</f>
        <v>1</v>
      </c>
      <c r="BF636" t="b">
        <f>+ISNUMBER(SEARCH('PAGO Compras'!$E$11,Tabla11[[#This Row],[Cuenta]],1))</f>
        <v>1</v>
      </c>
      <c r="BG636" t="b">
        <f>+ISNUMBER(SEARCH(#REF!,Tabla11[[#This Row],[Cuenta]],1))</f>
        <v>0</v>
      </c>
      <c r="BH636" t="b">
        <f>+ISNUMBER(SEARCH(#REF!,Tabla11[[#This Row],[Cuenta]],1))</f>
        <v>0</v>
      </c>
      <c r="BI636" t="b">
        <f>+ISNUMBER(SEARCH(#REF!,Tabla11[[#This Row],[Cuenta]],1))</f>
        <v>0</v>
      </c>
      <c r="BJ636" t="b">
        <f>+ISNUMBER(SEARCH(#REF!,Tabla11[[#This Row],[Cuenta]],1))</f>
        <v>0</v>
      </c>
      <c r="BS636" t="str">
        <v>3115 APORTES SOCIALES</v>
      </c>
      <c r="BT636" t="str">
        <v>3115 APORTES SOCIALES</v>
      </c>
      <c r="BU636" t="str">
        <v>3115 APORTES SOCIALES</v>
      </c>
      <c r="BV636" t="str">
        <v>3115 APORTES SOCIALES</v>
      </c>
      <c r="BZ636" t="str">
        <v>3115 APORTES SOCIALES</v>
      </c>
      <c r="CA636" t="str">
        <v>3115 APORTES SOCIALES</v>
      </c>
      <c r="CB636" t="str">
        <v>3115 APORTES SOCIALES</v>
      </c>
      <c r="CC636" t="str">
        <v>3115 APORTES SOCIALES</v>
      </c>
      <c r="CD636" t="str">
        <v>3115 APORTES SOCIALES</v>
      </c>
      <c r="CE636" t="str">
        <v>3115 APORTES SOCIALES</v>
      </c>
      <c r="CS636" s="141" t="str">
        <v>3115 APORTES SOCIALES</v>
      </c>
      <c r="CT636" s="141" t="str">
        <v>3115 APORTES SOCIALES</v>
      </c>
      <c r="CU636" s="141" t="str">
        <v>3115 APORTES SOCIALES</v>
      </c>
      <c r="CV636" s="141" t="str">
        <v>3115 APORTES SOCIALES</v>
      </c>
      <c r="CW636" s="141" t="str">
        <v>3115 APORTES SOCIALES</v>
      </c>
      <c r="CX636" s="141" t="str">
        <v>3115 APORTES SOCIALES</v>
      </c>
      <c r="CY636" s="141" t="str">
        <v>3115 APORTES SOCIALES</v>
      </c>
      <c r="CZ636" s="141" t="str">
        <v>3115 APORTES SOCIALES</v>
      </c>
      <c r="DA636" s="141" t="str">
        <v>3115 APORTES SOCIALES</v>
      </c>
      <c r="DF636" t="str">
        <v>3115 APORTES SOCIALES</v>
      </c>
      <c r="DG636" t="str">
        <v>3115 APORTES SOCIALES</v>
      </c>
      <c r="DH636" t="str">
        <v>3115 APORTES SOCIALES</v>
      </c>
      <c r="DI636" t="str">
        <v>3115 APORTES SOCIALES</v>
      </c>
      <c r="DJ636" t="str">
        <v>3115 APORTES SOCIALES</v>
      </c>
      <c r="DK636" t="str">
        <v>3115 APORTES SOCIALES</v>
      </c>
      <c r="DL636" t="str">
        <v>3115 APORTES SOCIALES</v>
      </c>
      <c r="DM636" t="str">
        <v>3115 APORTES SOCIALES</v>
      </c>
      <c r="DN636" t="str">
        <v>3115 APORTES SOCIALES</v>
      </c>
      <c r="DO636" t="str">
        <v>3115 APORTES SOCIALES</v>
      </c>
      <c r="DP636" t="str">
        <v>3115 APORTES SOCIALES</v>
      </c>
    </row>
    <row r="637" spans="4:120" ht="12.75">
      <c r="D637" s="7">
        <v>311505</v>
      </c>
      <c r="E637" s="6" t="s">
        <v>48</v>
      </c>
      <c r="F637" s="5">
        <v>4</v>
      </c>
      <c r="G637" s="34" t="s">
        <v>827</v>
      </c>
      <c r="H637" s="8" t="s">
        <v>56</v>
      </c>
      <c r="I637" t="b">
        <f>+ISNUMBER(SEARCH('F-COMPRA'!$F$28,Tabla11[[#This Row],[Cuenta]],1))</f>
        <v>1</v>
      </c>
      <c r="J637" t="b">
        <f>+ISNUMBER(SEARCH('F-COMPRA'!$F$29,Tabla11[[#This Row],[Cuenta]],1))</f>
        <v>1</v>
      </c>
      <c r="K637" t="b">
        <f>+ISNUMBER(SEARCH('F-COMPRA'!$F$30,Tabla11[[#This Row],[Cuenta]],1))</f>
        <v>1</v>
      </c>
      <c r="L637" t="b">
        <f>+ISNUMBER(SEARCH('F-COMPRA'!$F$31,Tabla11[[#This Row],[Cuenta]],1))</f>
        <v>1</v>
      </c>
      <c r="M637" t="b">
        <f>+ISNUMBER(SEARCH('F-COMPRA'!$G$25,Tabla11[[#This Row],[Cuenta]],1))</f>
        <v>0</v>
      </c>
      <c r="N637" t="b">
        <f>+ISNUMBER(SEARCH(#REF!,Tabla11[[#This Row],[Cuenta]],1))</f>
        <v>0</v>
      </c>
      <c r="O637" t="b">
        <f>+ISNUMBER(SEARCH(#REF!,Tabla11[[#This Row],[Cuenta]],1))</f>
        <v>0</v>
      </c>
      <c r="P637" t="b">
        <f>+ISNUMBER(SEARCH('F-COMPRA'!$F$32,Tabla11[[#This Row],[Cuenta]],1))</f>
        <v>1</v>
      </c>
      <c r="Q637" t="b">
        <f>+ISNUMBER(SEARCH('F-COMPRA'!$F$33,Tabla11[[#This Row],[Cuenta]],1))</f>
        <v>1</v>
      </c>
      <c r="R637" t="b">
        <f>+ISNUMBER(SEARCH('F-COMPRA'!$F$34,Tabla11[[#This Row],[Cuenta]],1))</f>
        <v>1</v>
      </c>
      <c r="S637" t="b">
        <f>+ISNUMBER(SEARCH('F-COMPRA'!$F$35,Tabla11[[#This Row],[Cuenta]],1))</f>
        <v>1</v>
      </c>
      <c r="T637" t="b">
        <f>+ISNUMBER(SEARCH('F-COMPRA'!$F$36,Tabla11[[#This Row],[Cuenta]],1))</f>
        <v>1</v>
      </c>
      <c r="U637" t="b">
        <f>+ISNUMBER(SEARCH('F-COMPRA'!$F$37,Tabla11[[#This Row],[Cuenta]],1))</f>
        <v>1</v>
      </c>
      <c r="V637" t="b">
        <f>+ISNUMBER(SEARCH(#REF!,Tabla11[[#This Row],[Cuenta]],1))</f>
        <v>0</v>
      </c>
      <c r="W637" t="b">
        <f>+ISNUMBER(SEARCH('F-COMPRA'!#REF!,Tabla11[[#This Row],[Cuenta]],1))</f>
        <v>0</v>
      </c>
      <c r="X637" t="b">
        <f>+ISNUMBER(SEARCH('F-COMPRA'!#REF!,Tabla11[[#This Row],[Cuenta]],1))</f>
        <v>0</v>
      </c>
      <c r="Y637" t="b">
        <f>+ISNUMBER(SEARCH('F-COMPRA'!#REF!,Tabla11[[#This Row],[Cuenta]],1))</f>
        <v>0</v>
      </c>
      <c r="Z637" t="b">
        <f>+ISNUMBER(SEARCH('F-COMPRA'!#REF!,Tabla11[[#This Row],[Cuenta]],1))</f>
        <v>0</v>
      </c>
      <c r="AA637" t="b">
        <f>+ISNUMBER(SEARCH('F-COMPRA'!#REF!,Tabla11[[#This Row],[Cuenta]],1))</f>
        <v>0</v>
      </c>
      <c r="AB637" t="b">
        <f>+ISNUMBER(SEARCH('F-COMPRA'!#REF!,Tabla11[[#This Row],[Cuenta]],1))</f>
        <v>0</v>
      </c>
      <c r="AC637" t="b">
        <f>+ISNUMBER(SEARCH('F-COMPRA'!#REF!,Tabla11[[#This Row],[Cuenta]],1))</f>
        <v>0</v>
      </c>
      <c r="AD637" t="b">
        <f>+ISNUMBER(SEARCH('F-COMPRA'!#REF!,Tabla11[[#This Row],[Cuenta]],1))</f>
        <v>0</v>
      </c>
      <c r="AE637" t="b">
        <f>+ISNUMBER(SEARCH('F-COMPRA'!#REF!,Tabla11[[#This Row],[Cuenta]],1))</f>
        <v>0</v>
      </c>
      <c r="AF637" t="b">
        <f>+ISNUMBER(SEARCH('F-VTA'!$G$23,Tabla11[[#This Row],[Cuenta]],1))</f>
        <v>0</v>
      </c>
      <c r="AG637" t="b">
        <f>+ISNUMBER(SEARCH('F-VTA'!$G$24,Tabla11[[#This Row],[Cuenta]],1))</f>
        <v>0</v>
      </c>
      <c r="AH637" t="b">
        <f>+ISNUMBER(SEARCH('F-VTA'!$G$25,Tabla11[[#This Row],[Cuenta]],1))</f>
        <v>0</v>
      </c>
      <c r="AI637" t="b">
        <f>+ISNUMBER(SEARCH('F-VTA'!$F$28,Tabla11[[#This Row],[Cuenta]],1))</f>
        <v>1</v>
      </c>
      <c r="AJ637" t="b">
        <f>+ISNUMBER(SEARCH('F-VTA'!$F$29,Tabla11[[#This Row],[Cuenta]],1))</f>
        <v>1</v>
      </c>
      <c r="AK637" t="b">
        <f>+ISNUMBER(SEARCH('F-VTA'!$F$30,Tabla11[[#This Row],[Cuenta]],1))</f>
        <v>1</v>
      </c>
      <c r="AL637" t="b">
        <f>+ISNUMBER(SEARCH('F-VTA'!$F$31,Tabla11[[#This Row],[Cuenta]],1))</f>
        <v>1</v>
      </c>
      <c r="AM637" t="b">
        <f>+ISNUMBER(SEARCH('F-VTA'!$F$32,Tabla11[[#This Row],[Cuenta]],1))</f>
        <v>1</v>
      </c>
      <c r="AN637" t="b">
        <f>+ISNUMBER(SEARCH('F-VTA'!$F$33,Tabla11[[#This Row],[Cuenta]],1))</f>
        <v>1</v>
      </c>
      <c r="AO637" t="b">
        <f>+ISNUMBER(SEARCH('F-VTA'!$F$34,Tabla11[[#This Row],[Cuenta]],1))</f>
        <v>1</v>
      </c>
      <c r="AP637" t="b">
        <f>+ISNUMBER(SEARCH('F-VTA'!$F$35,Tabla11[[#This Row],[Cuenta]],1))</f>
        <v>1</v>
      </c>
      <c r="AQ637" t="b">
        <f>+ISNUMBER(SEARCH('F-VTA'!$F$36,Tabla11[[#This Row],[Cuenta]],1))</f>
        <v>1</v>
      </c>
      <c r="AR637" t="b">
        <f>+ISNUMBER(SEARCH(#REF!,Tabla11[[#This Row],[Cuenta]],1))</f>
        <v>0</v>
      </c>
      <c r="AS637" t="b">
        <f>+ISNUMBER(SEARCH(#REF!,Tabla11[[#This Row],[Cuenta]],1))</f>
        <v>0</v>
      </c>
      <c r="AT637" t="b">
        <f>+ISNUMBER(SEARCH(#REF!,Tabla11[[#This Row],[Cuenta]],1))</f>
        <v>0</v>
      </c>
      <c r="AU637" t="b">
        <f>+ISNUMBER(SEARCH('Conc. Ban.1'!$I$9,Tabla11[[#This Row],[Cuenta]],1))</f>
        <v>0</v>
      </c>
      <c r="AV637" t="b">
        <f>+ISNUMBER(SEARCH(CompConta!$F$21,Tabla11[[#This Row],[Cuenta]],1))</f>
        <v>1</v>
      </c>
      <c r="AW637" t="b">
        <f>+ISNUMBER(SEARCH(CompConta!$F$22,Tabla11[[#This Row],[Cuenta]],1))</f>
        <v>1</v>
      </c>
      <c r="AX637" t="b">
        <f>+ISNUMBER(SEARCH(CompConta!$F$23,Tabla11[[#This Row],[Cuenta]],1))</f>
        <v>1</v>
      </c>
      <c r="AY637" t="b">
        <f>+ISNUMBER(SEARCH(CompConta!$F$24,Tabla11[[#This Row],[Cuenta]],1))</f>
        <v>1</v>
      </c>
      <c r="AZ637" t="b">
        <f>+ISNUMBER(SEARCH(CompConta!$F$25,Tabla11[[#This Row],[Cuenta]],1))</f>
        <v>1</v>
      </c>
      <c r="BA637" t="b">
        <f>+ISNUMBER(SEARCH(CompConta!$F$26,Tabla11[[#This Row],[Cuenta]],1))</f>
        <v>1</v>
      </c>
      <c r="BB637" t="b">
        <f>+ISNUMBER(SEARCH(CompConta!$F$27,Tabla11[[#This Row],[Cuenta]],1))</f>
        <v>1</v>
      </c>
      <c r="BC637" t="b">
        <f>+ISNUMBER(SEARCH(CompConta!$F$28,Tabla11[[#This Row],[Cuenta]],1))</f>
        <v>1</v>
      </c>
      <c r="BD637" t="b">
        <f>+ISNUMBER(SEARCH(CompConta!$F$29,Tabla11[[#This Row],[Cuenta]],1))</f>
        <v>1</v>
      </c>
      <c r="BE637" t="b">
        <f>+ISNUMBER(SEARCH(CompConta!$F$30,Tabla11[[#This Row],[Cuenta]],1))</f>
        <v>1</v>
      </c>
      <c r="BF637" t="b">
        <f>+ISNUMBER(SEARCH('PAGO Compras'!$E$11,Tabla11[[#This Row],[Cuenta]],1))</f>
        <v>1</v>
      </c>
      <c r="BG637" t="b">
        <f>+ISNUMBER(SEARCH(#REF!,Tabla11[[#This Row],[Cuenta]],1))</f>
        <v>0</v>
      </c>
      <c r="BH637" t="b">
        <f>+ISNUMBER(SEARCH(#REF!,Tabla11[[#This Row],[Cuenta]],1))</f>
        <v>0</v>
      </c>
      <c r="BI637" t="b">
        <f>+ISNUMBER(SEARCH(#REF!,Tabla11[[#This Row],[Cuenta]],1))</f>
        <v>0</v>
      </c>
      <c r="BJ637" t="b">
        <f>+ISNUMBER(SEARCH(#REF!,Tabla11[[#This Row],[Cuenta]],1))</f>
        <v>0</v>
      </c>
      <c r="BS637" t="str">
        <v>311505 Cuotas o partes de interés social</v>
      </c>
      <c r="BT637" t="str">
        <v>311505 Cuotas o partes de interés social</v>
      </c>
      <c r="BU637" t="str">
        <v>311505 Cuotas o partes de interés social</v>
      </c>
      <c r="BV637" t="str">
        <v>311505 Cuotas o partes de interés social</v>
      </c>
      <c r="BZ637" t="str">
        <v>311505 Cuotas o partes de interés social</v>
      </c>
      <c r="CA637" t="str">
        <v>311505 Cuotas o partes de interés social</v>
      </c>
      <c r="CB637" t="str">
        <v>311505 Cuotas o partes de interés social</v>
      </c>
      <c r="CC637" t="str">
        <v>311505 Cuotas o partes de interés social</v>
      </c>
      <c r="CD637" t="str">
        <v>311505 Cuotas o partes de interés social</v>
      </c>
      <c r="CE637" t="str">
        <v>311505 Cuotas o partes de interés social</v>
      </c>
      <c r="CS637" s="141" t="str">
        <v>311505 Cuotas o partes de interés social</v>
      </c>
      <c r="CT637" s="141" t="str">
        <v>311505 Cuotas o partes de interés social</v>
      </c>
      <c r="CU637" s="141" t="str">
        <v>311505 Cuotas o partes de interés social</v>
      </c>
      <c r="CV637" s="141" t="str">
        <v>311505 Cuotas o partes de interés social</v>
      </c>
      <c r="CW637" s="141" t="str">
        <v>311505 Cuotas o partes de interés social</v>
      </c>
      <c r="CX637" s="141" t="str">
        <v>311505 Cuotas o partes de interés social</v>
      </c>
      <c r="CY637" s="141" t="str">
        <v>311505 Cuotas o partes de interés social</v>
      </c>
      <c r="CZ637" s="141" t="str">
        <v>311505 Cuotas o partes de interés social</v>
      </c>
      <c r="DA637" s="141" t="str">
        <v>311505 Cuotas o partes de interés social</v>
      </c>
      <c r="DF637" t="str">
        <v>311505 Cuotas o partes de interés social</v>
      </c>
      <c r="DG637" t="str">
        <v>311505 Cuotas o partes de interés social</v>
      </c>
      <c r="DH637" t="str">
        <v>311505 Cuotas o partes de interés social</v>
      </c>
      <c r="DI637" t="str">
        <v>311505 Cuotas o partes de interés social</v>
      </c>
      <c r="DJ637" t="str">
        <v>311505 Cuotas o partes de interés social</v>
      </c>
      <c r="DK637" t="str">
        <v>311505 Cuotas o partes de interés social</v>
      </c>
      <c r="DL637" t="str">
        <v>311505 Cuotas o partes de interés social</v>
      </c>
      <c r="DM637" t="str">
        <v>311505 Cuotas o partes de interés social</v>
      </c>
      <c r="DN637" t="str">
        <v>311505 Cuotas o partes de interés social</v>
      </c>
      <c r="DO637" t="str">
        <v>311505 Cuotas o partes de interés social</v>
      </c>
      <c r="DP637" t="str">
        <v>311505 Cuotas o partes de interés social</v>
      </c>
    </row>
    <row r="638" spans="4:120" ht="12.75">
      <c r="D638" s="7">
        <v>311510</v>
      </c>
      <c r="E638" s="6" t="s">
        <v>470</v>
      </c>
      <c r="F638" s="5">
        <v>4</v>
      </c>
      <c r="G638" s="34" t="s">
        <v>827</v>
      </c>
      <c r="H638" s="8" t="s">
        <v>56</v>
      </c>
      <c r="I638" t="b">
        <f>+ISNUMBER(SEARCH('F-COMPRA'!$F$28,Tabla11[[#This Row],[Cuenta]],1))</f>
        <v>1</v>
      </c>
      <c r="J638" t="b">
        <f>+ISNUMBER(SEARCH('F-COMPRA'!$F$29,Tabla11[[#This Row],[Cuenta]],1))</f>
        <v>1</v>
      </c>
      <c r="K638" t="b">
        <f>+ISNUMBER(SEARCH('F-COMPRA'!$F$30,Tabla11[[#This Row],[Cuenta]],1))</f>
        <v>1</v>
      </c>
      <c r="L638" t="b">
        <f>+ISNUMBER(SEARCH('F-COMPRA'!$F$31,Tabla11[[#This Row],[Cuenta]],1))</f>
        <v>1</v>
      </c>
      <c r="M638" t="b">
        <f>+ISNUMBER(SEARCH('F-COMPRA'!$G$25,Tabla11[[#This Row],[Cuenta]],1))</f>
        <v>0</v>
      </c>
      <c r="N638" t="b">
        <f>+ISNUMBER(SEARCH(#REF!,Tabla11[[#This Row],[Cuenta]],1))</f>
        <v>0</v>
      </c>
      <c r="O638" t="b">
        <f>+ISNUMBER(SEARCH(#REF!,Tabla11[[#This Row],[Cuenta]],1))</f>
        <v>0</v>
      </c>
      <c r="P638" t="b">
        <f>+ISNUMBER(SEARCH('F-COMPRA'!$F$32,Tabla11[[#This Row],[Cuenta]],1))</f>
        <v>1</v>
      </c>
      <c r="Q638" t="b">
        <f>+ISNUMBER(SEARCH('F-COMPRA'!$F$33,Tabla11[[#This Row],[Cuenta]],1))</f>
        <v>1</v>
      </c>
      <c r="R638" t="b">
        <f>+ISNUMBER(SEARCH('F-COMPRA'!$F$34,Tabla11[[#This Row],[Cuenta]],1))</f>
        <v>1</v>
      </c>
      <c r="S638" t="b">
        <f>+ISNUMBER(SEARCH('F-COMPRA'!$F$35,Tabla11[[#This Row],[Cuenta]],1))</f>
        <v>1</v>
      </c>
      <c r="T638" t="b">
        <f>+ISNUMBER(SEARCH('F-COMPRA'!$F$36,Tabla11[[#This Row],[Cuenta]],1))</f>
        <v>1</v>
      </c>
      <c r="U638" t="b">
        <f>+ISNUMBER(SEARCH('F-COMPRA'!$F$37,Tabla11[[#This Row],[Cuenta]],1))</f>
        <v>1</v>
      </c>
      <c r="V638" t="b">
        <f>+ISNUMBER(SEARCH(#REF!,Tabla11[[#This Row],[Cuenta]],1))</f>
        <v>0</v>
      </c>
      <c r="W638" t="b">
        <f>+ISNUMBER(SEARCH('F-COMPRA'!#REF!,Tabla11[[#This Row],[Cuenta]],1))</f>
        <v>0</v>
      </c>
      <c r="X638" t="b">
        <f>+ISNUMBER(SEARCH('F-COMPRA'!#REF!,Tabla11[[#This Row],[Cuenta]],1))</f>
        <v>0</v>
      </c>
      <c r="Y638" t="b">
        <f>+ISNUMBER(SEARCH('F-COMPRA'!#REF!,Tabla11[[#This Row],[Cuenta]],1))</f>
        <v>0</v>
      </c>
      <c r="Z638" t="b">
        <f>+ISNUMBER(SEARCH('F-COMPRA'!#REF!,Tabla11[[#This Row],[Cuenta]],1))</f>
        <v>0</v>
      </c>
      <c r="AA638" t="b">
        <f>+ISNUMBER(SEARCH('F-COMPRA'!#REF!,Tabla11[[#This Row],[Cuenta]],1))</f>
        <v>0</v>
      </c>
      <c r="AB638" t="b">
        <f>+ISNUMBER(SEARCH('F-COMPRA'!#REF!,Tabla11[[#This Row],[Cuenta]],1))</f>
        <v>0</v>
      </c>
      <c r="AC638" t="b">
        <f>+ISNUMBER(SEARCH('F-COMPRA'!#REF!,Tabla11[[#This Row],[Cuenta]],1))</f>
        <v>0</v>
      </c>
      <c r="AD638" t="b">
        <f>+ISNUMBER(SEARCH('F-COMPRA'!#REF!,Tabla11[[#This Row],[Cuenta]],1))</f>
        <v>0</v>
      </c>
      <c r="AE638" t="b">
        <f>+ISNUMBER(SEARCH('F-COMPRA'!#REF!,Tabla11[[#This Row],[Cuenta]],1))</f>
        <v>0</v>
      </c>
      <c r="AF638" t="b">
        <f>+ISNUMBER(SEARCH('F-VTA'!$G$23,Tabla11[[#This Row],[Cuenta]],1))</f>
        <v>0</v>
      </c>
      <c r="AG638" t="b">
        <f>+ISNUMBER(SEARCH('F-VTA'!$G$24,Tabla11[[#This Row],[Cuenta]],1))</f>
        <v>0</v>
      </c>
      <c r="AH638" t="b">
        <f>+ISNUMBER(SEARCH('F-VTA'!$G$25,Tabla11[[#This Row],[Cuenta]],1))</f>
        <v>0</v>
      </c>
      <c r="AI638" t="b">
        <f>+ISNUMBER(SEARCH('F-VTA'!$F$28,Tabla11[[#This Row],[Cuenta]],1))</f>
        <v>1</v>
      </c>
      <c r="AJ638" t="b">
        <f>+ISNUMBER(SEARCH('F-VTA'!$F$29,Tabla11[[#This Row],[Cuenta]],1))</f>
        <v>1</v>
      </c>
      <c r="AK638" t="b">
        <f>+ISNUMBER(SEARCH('F-VTA'!$F$30,Tabla11[[#This Row],[Cuenta]],1))</f>
        <v>1</v>
      </c>
      <c r="AL638" t="b">
        <f>+ISNUMBER(SEARCH('F-VTA'!$F$31,Tabla11[[#This Row],[Cuenta]],1))</f>
        <v>1</v>
      </c>
      <c r="AM638" t="b">
        <f>+ISNUMBER(SEARCH('F-VTA'!$F$32,Tabla11[[#This Row],[Cuenta]],1))</f>
        <v>1</v>
      </c>
      <c r="AN638" t="b">
        <f>+ISNUMBER(SEARCH('F-VTA'!$F$33,Tabla11[[#This Row],[Cuenta]],1))</f>
        <v>1</v>
      </c>
      <c r="AO638" t="b">
        <f>+ISNUMBER(SEARCH('F-VTA'!$F$34,Tabla11[[#This Row],[Cuenta]],1))</f>
        <v>1</v>
      </c>
      <c r="AP638" t="b">
        <f>+ISNUMBER(SEARCH('F-VTA'!$F$35,Tabla11[[#This Row],[Cuenta]],1))</f>
        <v>1</v>
      </c>
      <c r="AQ638" t="b">
        <f>+ISNUMBER(SEARCH('F-VTA'!$F$36,Tabla11[[#This Row],[Cuenta]],1))</f>
        <v>1</v>
      </c>
      <c r="AR638" t="b">
        <f>+ISNUMBER(SEARCH(#REF!,Tabla11[[#This Row],[Cuenta]],1))</f>
        <v>0</v>
      </c>
      <c r="AS638" t="b">
        <f>+ISNUMBER(SEARCH(#REF!,Tabla11[[#This Row],[Cuenta]],1))</f>
        <v>0</v>
      </c>
      <c r="AT638" t="b">
        <f>+ISNUMBER(SEARCH(#REF!,Tabla11[[#This Row],[Cuenta]],1))</f>
        <v>0</v>
      </c>
      <c r="AU638" t="b">
        <f>+ISNUMBER(SEARCH('Conc. Ban.1'!$I$9,Tabla11[[#This Row],[Cuenta]],1))</f>
        <v>0</v>
      </c>
      <c r="AV638" t="b">
        <f>+ISNUMBER(SEARCH(CompConta!$F$21,Tabla11[[#This Row],[Cuenta]],1))</f>
        <v>1</v>
      </c>
      <c r="AW638" t="b">
        <f>+ISNUMBER(SEARCH(CompConta!$F$22,Tabla11[[#This Row],[Cuenta]],1))</f>
        <v>1</v>
      </c>
      <c r="AX638" t="b">
        <f>+ISNUMBER(SEARCH(CompConta!$F$23,Tabla11[[#This Row],[Cuenta]],1))</f>
        <v>1</v>
      </c>
      <c r="AY638" t="b">
        <f>+ISNUMBER(SEARCH(CompConta!$F$24,Tabla11[[#This Row],[Cuenta]],1))</f>
        <v>1</v>
      </c>
      <c r="AZ638" t="b">
        <f>+ISNUMBER(SEARCH(CompConta!$F$25,Tabla11[[#This Row],[Cuenta]],1))</f>
        <v>1</v>
      </c>
      <c r="BA638" t="b">
        <f>+ISNUMBER(SEARCH(CompConta!$F$26,Tabla11[[#This Row],[Cuenta]],1))</f>
        <v>1</v>
      </c>
      <c r="BB638" t="b">
        <f>+ISNUMBER(SEARCH(CompConta!$F$27,Tabla11[[#This Row],[Cuenta]],1))</f>
        <v>1</v>
      </c>
      <c r="BC638" t="b">
        <f>+ISNUMBER(SEARCH(CompConta!$F$28,Tabla11[[#This Row],[Cuenta]],1))</f>
        <v>1</v>
      </c>
      <c r="BD638" t="b">
        <f>+ISNUMBER(SEARCH(CompConta!$F$29,Tabla11[[#This Row],[Cuenta]],1))</f>
        <v>1</v>
      </c>
      <c r="BE638" t="b">
        <f>+ISNUMBER(SEARCH(CompConta!$F$30,Tabla11[[#This Row],[Cuenta]],1))</f>
        <v>1</v>
      </c>
      <c r="BF638" t="b">
        <f>+ISNUMBER(SEARCH('PAGO Compras'!$E$11,Tabla11[[#This Row],[Cuenta]],1))</f>
        <v>1</v>
      </c>
      <c r="BG638" t="b">
        <f>+ISNUMBER(SEARCH(#REF!,Tabla11[[#This Row],[Cuenta]],1))</f>
        <v>0</v>
      </c>
      <c r="BH638" t="b">
        <f>+ISNUMBER(SEARCH(#REF!,Tabla11[[#This Row],[Cuenta]],1))</f>
        <v>0</v>
      </c>
      <c r="BI638" t="b">
        <f>+ISNUMBER(SEARCH(#REF!,Tabla11[[#This Row],[Cuenta]],1))</f>
        <v>0</v>
      </c>
      <c r="BJ638" t="b">
        <f>+ISNUMBER(SEARCH(#REF!,Tabla11[[#This Row],[Cuenta]],1))</f>
        <v>0</v>
      </c>
      <c r="BS638" t="str">
        <v>311510 Aportes de socios-fondo mutuo de inversión</v>
      </c>
      <c r="BT638" t="str">
        <v>311510 Aportes de socios-fondo mutuo de inversión</v>
      </c>
      <c r="BU638" t="str">
        <v>311510 Aportes de socios-fondo mutuo de inversión</v>
      </c>
      <c r="BV638" t="str">
        <v>311510 Aportes de socios-fondo mutuo de inversión</v>
      </c>
      <c r="BZ638" t="str">
        <v>311510 Aportes de socios-fondo mutuo de inversión</v>
      </c>
      <c r="CA638" t="str">
        <v>311510 Aportes de socios-fondo mutuo de inversión</v>
      </c>
      <c r="CB638" t="str">
        <v>311510 Aportes de socios-fondo mutuo de inversión</v>
      </c>
      <c r="CC638" t="str">
        <v>311510 Aportes de socios-fondo mutuo de inversión</v>
      </c>
      <c r="CD638" t="str">
        <v>311510 Aportes de socios-fondo mutuo de inversión</v>
      </c>
      <c r="CE638" t="str">
        <v>311510 Aportes de socios-fondo mutuo de inversión</v>
      </c>
      <c r="CS638" s="141" t="str">
        <v>311510 Aportes de socios-fondo mutuo de inversión</v>
      </c>
      <c r="CT638" s="141" t="str">
        <v>311510 Aportes de socios-fondo mutuo de inversión</v>
      </c>
      <c r="CU638" s="141" t="str">
        <v>311510 Aportes de socios-fondo mutuo de inversión</v>
      </c>
      <c r="CV638" s="141" t="str">
        <v>311510 Aportes de socios-fondo mutuo de inversión</v>
      </c>
      <c r="CW638" s="141" t="str">
        <v>311510 Aportes de socios-fondo mutuo de inversión</v>
      </c>
      <c r="CX638" s="141" t="str">
        <v>311510 Aportes de socios-fondo mutuo de inversión</v>
      </c>
      <c r="CY638" s="141" t="str">
        <v>311510 Aportes de socios-fondo mutuo de inversión</v>
      </c>
      <c r="CZ638" s="141" t="str">
        <v>311510 Aportes de socios-fondo mutuo de inversión</v>
      </c>
      <c r="DA638" s="141" t="str">
        <v>311510 Aportes de socios-fondo mutuo de inversión</v>
      </c>
      <c r="DF638" t="str">
        <v>311510 Aportes de socios-fondo mutuo de inversión</v>
      </c>
      <c r="DG638" t="str">
        <v>311510 Aportes de socios-fondo mutuo de inversión</v>
      </c>
      <c r="DH638" t="str">
        <v>311510 Aportes de socios-fondo mutuo de inversión</v>
      </c>
      <c r="DI638" t="str">
        <v>311510 Aportes de socios-fondo mutuo de inversión</v>
      </c>
      <c r="DJ638" t="str">
        <v>311510 Aportes de socios-fondo mutuo de inversión</v>
      </c>
      <c r="DK638" t="str">
        <v>311510 Aportes de socios-fondo mutuo de inversión</v>
      </c>
      <c r="DL638" t="str">
        <v>311510 Aportes de socios-fondo mutuo de inversión</v>
      </c>
      <c r="DM638" t="str">
        <v>311510 Aportes de socios-fondo mutuo de inversión</v>
      </c>
      <c r="DN638" t="str">
        <v>311510 Aportes de socios-fondo mutuo de inversión</v>
      </c>
      <c r="DO638" t="str">
        <v>311510 Aportes de socios-fondo mutuo de inversión</v>
      </c>
      <c r="DP638" t="str">
        <v>311510 Aportes de socios-fondo mutuo de inversión</v>
      </c>
    </row>
    <row r="639" spans="4:120" ht="12.75">
      <c r="D639" s="7">
        <v>311515</v>
      </c>
      <c r="E639" s="6" t="s">
        <v>471</v>
      </c>
      <c r="F639" s="5">
        <v>4</v>
      </c>
      <c r="G639" s="34" t="s">
        <v>827</v>
      </c>
      <c r="H639" s="8" t="s">
        <v>56</v>
      </c>
      <c r="I639" t="b">
        <f>+ISNUMBER(SEARCH('F-COMPRA'!$F$28,Tabla11[[#This Row],[Cuenta]],1))</f>
        <v>1</v>
      </c>
      <c r="J639" t="b">
        <f>+ISNUMBER(SEARCH('F-COMPRA'!$F$29,Tabla11[[#This Row],[Cuenta]],1))</f>
        <v>1</v>
      </c>
      <c r="K639" t="b">
        <f>+ISNUMBER(SEARCH('F-COMPRA'!$F$30,Tabla11[[#This Row],[Cuenta]],1))</f>
        <v>1</v>
      </c>
      <c r="L639" t="b">
        <f>+ISNUMBER(SEARCH('F-COMPRA'!$F$31,Tabla11[[#This Row],[Cuenta]],1))</f>
        <v>1</v>
      </c>
      <c r="M639" t="b">
        <f>+ISNUMBER(SEARCH('F-COMPRA'!$G$25,Tabla11[[#This Row],[Cuenta]],1))</f>
        <v>0</v>
      </c>
      <c r="N639" t="b">
        <f>+ISNUMBER(SEARCH(#REF!,Tabla11[[#This Row],[Cuenta]],1))</f>
        <v>0</v>
      </c>
      <c r="O639" t="b">
        <f>+ISNUMBER(SEARCH(#REF!,Tabla11[[#This Row],[Cuenta]],1))</f>
        <v>0</v>
      </c>
      <c r="P639" t="b">
        <f>+ISNUMBER(SEARCH('F-COMPRA'!$F$32,Tabla11[[#This Row],[Cuenta]],1))</f>
        <v>1</v>
      </c>
      <c r="Q639" t="b">
        <f>+ISNUMBER(SEARCH('F-COMPRA'!$F$33,Tabla11[[#This Row],[Cuenta]],1))</f>
        <v>1</v>
      </c>
      <c r="R639" t="b">
        <f>+ISNUMBER(SEARCH('F-COMPRA'!$F$34,Tabla11[[#This Row],[Cuenta]],1))</f>
        <v>1</v>
      </c>
      <c r="S639" t="b">
        <f>+ISNUMBER(SEARCH('F-COMPRA'!$F$35,Tabla11[[#This Row],[Cuenta]],1))</f>
        <v>1</v>
      </c>
      <c r="T639" t="b">
        <f>+ISNUMBER(SEARCH('F-COMPRA'!$F$36,Tabla11[[#This Row],[Cuenta]],1))</f>
        <v>1</v>
      </c>
      <c r="U639" t="b">
        <f>+ISNUMBER(SEARCH('F-COMPRA'!$F$37,Tabla11[[#This Row],[Cuenta]],1))</f>
        <v>1</v>
      </c>
      <c r="V639" t="b">
        <f>+ISNUMBER(SEARCH(#REF!,Tabla11[[#This Row],[Cuenta]],1))</f>
        <v>0</v>
      </c>
      <c r="W639" t="b">
        <f>+ISNUMBER(SEARCH('F-COMPRA'!#REF!,Tabla11[[#This Row],[Cuenta]],1))</f>
        <v>0</v>
      </c>
      <c r="X639" t="b">
        <f>+ISNUMBER(SEARCH('F-COMPRA'!#REF!,Tabla11[[#This Row],[Cuenta]],1))</f>
        <v>0</v>
      </c>
      <c r="Y639" t="b">
        <f>+ISNUMBER(SEARCH('F-COMPRA'!#REF!,Tabla11[[#This Row],[Cuenta]],1))</f>
        <v>0</v>
      </c>
      <c r="Z639" t="b">
        <f>+ISNUMBER(SEARCH('F-COMPRA'!#REF!,Tabla11[[#This Row],[Cuenta]],1))</f>
        <v>0</v>
      </c>
      <c r="AA639" t="b">
        <f>+ISNUMBER(SEARCH('F-COMPRA'!#REF!,Tabla11[[#This Row],[Cuenta]],1))</f>
        <v>0</v>
      </c>
      <c r="AB639" t="b">
        <f>+ISNUMBER(SEARCH('F-COMPRA'!#REF!,Tabla11[[#This Row],[Cuenta]],1))</f>
        <v>0</v>
      </c>
      <c r="AC639" t="b">
        <f>+ISNUMBER(SEARCH('F-COMPRA'!#REF!,Tabla11[[#This Row],[Cuenta]],1))</f>
        <v>0</v>
      </c>
      <c r="AD639" t="b">
        <f>+ISNUMBER(SEARCH('F-COMPRA'!#REF!,Tabla11[[#This Row],[Cuenta]],1))</f>
        <v>0</v>
      </c>
      <c r="AE639" t="b">
        <f>+ISNUMBER(SEARCH('F-COMPRA'!#REF!,Tabla11[[#This Row],[Cuenta]],1))</f>
        <v>0</v>
      </c>
      <c r="AF639" t="b">
        <f>+ISNUMBER(SEARCH('F-VTA'!$G$23,Tabla11[[#This Row],[Cuenta]],1))</f>
        <v>0</v>
      </c>
      <c r="AG639" t="b">
        <f>+ISNUMBER(SEARCH('F-VTA'!$G$24,Tabla11[[#This Row],[Cuenta]],1))</f>
        <v>0</v>
      </c>
      <c r="AH639" t="b">
        <f>+ISNUMBER(SEARCH('F-VTA'!$G$25,Tabla11[[#This Row],[Cuenta]],1))</f>
        <v>0</v>
      </c>
      <c r="AI639" t="b">
        <f>+ISNUMBER(SEARCH('F-VTA'!$F$28,Tabla11[[#This Row],[Cuenta]],1))</f>
        <v>1</v>
      </c>
      <c r="AJ639" t="b">
        <f>+ISNUMBER(SEARCH('F-VTA'!$F$29,Tabla11[[#This Row],[Cuenta]],1))</f>
        <v>1</v>
      </c>
      <c r="AK639" t="b">
        <f>+ISNUMBER(SEARCH('F-VTA'!$F$30,Tabla11[[#This Row],[Cuenta]],1))</f>
        <v>1</v>
      </c>
      <c r="AL639" t="b">
        <f>+ISNUMBER(SEARCH('F-VTA'!$F$31,Tabla11[[#This Row],[Cuenta]],1))</f>
        <v>1</v>
      </c>
      <c r="AM639" t="b">
        <f>+ISNUMBER(SEARCH('F-VTA'!$F$32,Tabla11[[#This Row],[Cuenta]],1))</f>
        <v>1</v>
      </c>
      <c r="AN639" t="b">
        <f>+ISNUMBER(SEARCH('F-VTA'!$F$33,Tabla11[[#This Row],[Cuenta]],1))</f>
        <v>1</v>
      </c>
      <c r="AO639" t="b">
        <f>+ISNUMBER(SEARCH('F-VTA'!$F$34,Tabla11[[#This Row],[Cuenta]],1))</f>
        <v>1</v>
      </c>
      <c r="AP639" t="b">
        <f>+ISNUMBER(SEARCH('F-VTA'!$F$35,Tabla11[[#This Row],[Cuenta]],1))</f>
        <v>1</v>
      </c>
      <c r="AQ639" t="b">
        <f>+ISNUMBER(SEARCH('F-VTA'!$F$36,Tabla11[[#This Row],[Cuenta]],1))</f>
        <v>1</v>
      </c>
      <c r="AR639" t="b">
        <f>+ISNUMBER(SEARCH(#REF!,Tabla11[[#This Row],[Cuenta]],1))</f>
        <v>0</v>
      </c>
      <c r="AS639" t="b">
        <f>+ISNUMBER(SEARCH(#REF!,Tabla11[[#This Row],[Cuenta]],1))</f>
        <v>0</v>
      </c>
      <c r="AT639" t="b">
        <f>+ISNUMBER(SEARCH(#REF!,Tabla11[[#This Row],[Cuenta]],1))</f>
        <v>0</v>
      </c>
      <c r="AU639" t="b">
        <f>+ISNUMBER(SEARCH('Conc. Ban.1'!$I$9,Tabla11[[#This Row],[Cuenta]],1))</f>
        <v>0</v>
      </c>
      <c r="AV639" t="b">
        <f>+ISNUMBER(SEARCH(CompConta!$F$21,Tabla11[[#This Row],[Cuenta]],1))</f>
        <v>1</v>
      </c>
      <c r="AW639" t="b">
        <f>+ISNUMBER(SEARCH(CompConta!$F$22,Tabla11[[#This Row],[Cuenta]],1))</f>
        <v>1</v>
      </c>
      <c r="AX639" t="b">
        <f>+ISNUMBER(SEARCH(CompConta!$F$23,Tabla11[[#This Row],[Cuenta]],1))</f>
        <v>1</v>
      </c>
      <c r="AY639" t="b">
        <f>+ISNUMBER(SEARCH(CompConta!$F$24,Tabla11[[#This Row],[Cuenta]],1))</f>
        <v>1</v>
      </c>
      <c r="AZ639" t="b">
        <f>+ISNUMBER(SEARCH(CompConta!$F$25,Tabla11[[#This Row],[Cuenta]],1))</f>
        <v>1</v>
      </c>
      <c r="BA639" t="b">
        <f>+ISNUMBER(SEARCH(CompConta!$F$26,Tabla11[[#This Row],[Cuenta]],1))</f>
        <v>1</v>
      </c>
      <c r="BB639" t="b">
        <f>+ISNUMBER(SEARCH(CompConta!$F$27,Tabla11[[#This Row],[Cuenta]],1))</f>
        <v>1</v>
      </c>
      <c r="BC639" t="b">
        <f>+ISNUMBER(SEARCH(CompConta!$F$28,Tabla11[[#This Row],[Cuenta]],1))</f>
        <v>1</v>
      </c>
      <c r="BD639" t="b">
        <f>+ISNUMBER(SEARCH(CompConta!$F$29,Tabla11[[#This Row],[Cuenta]],1))</f>
        <v>1</v>
      </c>
      <c r="BE639" t="b">
        <f>+ISNUMBER(SEARCH(CompConta!$F$30,Tabla11[[#This Row],[Cuenta]],1))</f>
        <v>1</v>
      </c>
      <c r="BF639" t="b">
        <f>+ISNUMBER(SEARCH('PAGO Compras'!$E$11,Tabla11[[#This Row],[Cuenta]],1))</f>
        <v>1</v>
      </c>
      <c r="BG639" t="b">
        <f>+ISNUMBER(SEARCH(#REF!,Tabla11[[#This Row],[Cuenta]],1))</f>
        <v>0</v>
      </c>
      <c r="BH639" t="b">
        <f>+ISNUMBER(SEARCH(#REF!,Tabla11[[#This Row],[Cuenta]],1))</f>
        <v>0</v>
      </c>
      <c r="BI639" t="b">
        <f>+ISNUMBER(SEARCH(#REF!,Tabla11[[#This Row],[Cuenta]],1))</f>
        <v>0</v>
      </c>
      <c r="BJ639" t="b">
        <f>+ISNUMBER(SEARCH(#REF!,Tabla11[[#This Row],[Cuenta]],1))</f>
        <v>0</v>
      </c>
      <c r="BS639" t="str">
        <v>311515 Contribuc de la empresa-fondo mutuo inversión</v>
      </c>
      <c r="BT639" t="str">
        <v>311515 Contribuc de la empresa-fondo mutuo inversión</v>
      </c>
      <c r="BU639" t="str">
        <v>311515 Contribuc de la empresa-fondo mutuo inversión</v>
      </c>
      <c r="BV639" t="str">
        <v>311515 Contribuc de la empresa-fondo mutuo inversión</v>
      </c>
      <c r="BZ639" t="str">
        <v>311515 Contribuc de la empresa-fondo mutuo inversión</v>
      </c>
      <c r="CA639" t="str">
        <v>311515 Contribuc de la empresa-fondo mutuo inversión</v>
      </c>
      <c r="CB639" t="str">
        <v>311515 Contribuc de la empresa-fondo mutuo inversión</v>
      </c>
      <c r="CC639" t="str">
        <v>311515 Contribuc de la empresa-fondo mutuo inversión</v>
      </c>
      <c r="CD639" t="str">
        <v>311515 Contribuc de la empresa-fondo mutuo inversión</v>
      </c>
      <c r="CE639" t="str">
        <v>311515 Contribuc de la empresa-fondo mutuo inversión</v>
      </c>
      <c r="CS639" s="141" t="str">
        <v>311515 Contribuc de la empresa-fondo mutuo inversión</v>
      </c>
      <c r="CT639" s="141" t="str">
        <v>311515 Contribuc de la empresa-fondo mutuo inversión</v>
      </c>
      <c r="CU639" s="141" t="str">
        <v>311515 Contribuc de la empresa-fondo mutuo inversión</v>
      </c>
      <c r="CV639" s="141" t="str">
        <v>311515 Contribuc de la empresa-fondo mutuo inversión</v>
      </c>
      <c r="CW639" s="141" t="str">
        <v>311515 Contribuc de la empresa-fondo mutuo inversión</v>
      </c>
      <c r="CX639" s="141" t="str">
        <v>311515 Contribuc de la empresa-fondo mutuo inversión</v>
      </c>
      <c r="CY639" s="141" t="str">
        <v>311515 Contribuc de la empresa-fondo mutuo inversión</v>
      </c>
      <c r="CZ639" s="141" t="str">
        <v>311515 Contribuc de la empresa-fondo mutuo inversión</v>
      </c>
      <c r="DA639" s="141" t="str">
        <v>311515 Contribuc de la empresa-fondo mutuo inversión</v>
      </c>
      <c r="DF639" t="str">
        <v>311515 Contribuc de la empresa-fondo mutuo inversión</v>
      </c>
      <c r="DG639" t="str">
        <v>311515 Contribuc de la empresa-fondo mutuo inversión</v>
      </c>
      <c r="DH639" t="str">
        <v>311515 Contribuc de la empresa-fondo mutuo inversión</v>
      </c>
      <c r="DI639" t="str">
        <v>311515 Contribuc de la empresa-fondo mutuo inversión</v>
      </c>
      <c r="DJ639" t="str">
        <v>311515 Contribuc de la empresa-fondo mutuo inversión</v>
      </c>
      <c r="DK639" t="str">
        <v>311515 Contribuc de la empresa-fondo mutuo inversión</v>
      </c>
      <c r="DL639" t="str">
        <v>311515 Contribuc de la empresa-fondo mutuo inversión</v>
      </c>
      <c r="DM639" t="str">
        <v>311515 Contribuc de la empresa-fondo mutuo inversión</v>
      </c>
      <c r="DN639" t="str">
        <v>311515 Contribuc de la empresa-fondo mutuo inversión</v>
      </c>
      <c r="DO639" t="str">
        <v>311515 Contribuc de la empresa-fondo mutuo inversión</v>
      </c>
      <c r="DP639" t="str">
        <v>311515 Contribuc de la empresa-fondo mutuo inversión</v>
      </c>
    </row>
    <row r="640" spans="4:120" ht="12.75">
      <c r="D640" s="7">
        <v>311520</v>
      </c>
      <c r="E640" s="6" t="s">
        <v>472</v>
      </c>
      <c r="F640" s="5">
        <v>4</v>
      </c>
      <c r="G640" s="34" t="s">
        <v>827</v>
      </c>
      <c r="H640" s="8" t="s">
        <v>56</v>
      </c>
      <c r="I640" t="b">
        <f>+ISNUMBER(SEARCH('F-COMPRA'!$F$28,Tabla11[[#This Row],[Cuenta]],1))</f>
        <v>1</v>
      </c>
      <c r="J640" t="b">
        <f>+ISNUMBER(SEARCH('F-COMPRA'!$F$29,Tabla11[[#This Row],[Cuenta]],1))</f>
        <v>1</v>
      </c>
      <c r="K640" t="b">
        <f>+ISNUMBER(SEARCH('F-COMPRA'!$F$30,Tabla11[[#This Row],[Cuenta]],1))</f>
        <v>1</v>
      </c>
      <c r="L640" t="b">
        <f>+ISNUMBER(SEARCH('F-COMPRA'!$F$31,Tabla11[[#This Row],[Cuenta]],1))</f>
        <v>1</v>
      </c>
      <c r="M640" t="b">
        <f>+ISNUMBER(SEARCH('F-COMPRA'!$G$25,Tabla11[[#This Row],[Cuenta]],1))</f>
        <v>0</v>
      </c>
      <c r="N640" t="b">
        <f>+ISNUMBER(SEARCH(#REF!,Tabla11[[#This Row],[Cuenta]],1))</f>
        <v>0</v>
      </c>
      <c r="O640" t="b">
        <f>+ISNUMBER(SEARCH(#REF!,Tabla11[[#This Row],[Cuenta]],1))</f>
        <v>0</v>
      </c>
      <c r="P640" t="b">
        <f>+ISNUMBER(SEARCH('F-COMPRA'!$F$32,Tabla11[[#This Row],[Cuenta]],1))</f>
        <v>1</v>
      </c>
      <c r="Q640" t="b">
        <f>+ISNUMBER(SEARCH('F-COMPRA'!$F$33,Tabla11[[#This Row],[Cuenta]],1))</f>
        <v>1</v>
      </c>
      <c r="R640" t="b">
        <f>+ISNUMBER(SEARCH('F-COMPRA'!$F$34,Tabla11[[#This Row],[Cuenta]],1))</f>
        <v>1</v>
      </c>
      <c r="S640" t="b">
        <f>+ISNUMBER(SEARCH('F-COMPRA'!$F$35,Tabla11[[#This Row],[Cuenta]],1))</f>
        <v>1</v>
      </c>
      <c r="T640" t="b">
        <f>+ISNUMBER(SEARCH('F-COMPRA'!$F$36,Tabla11[[#This Row],[Cuenta]],1))</f>
        <v>1</v>
      </c>
      <c r="U640" t="b">
        <f>+ISNUMBER(SEARCH('F-COMPRA'!$F$37,Tabla11[[#This Row],[Cuenta]],1))</f>
        <v>1</v>
      </c>
      <c r="V640" t="b">
        <f>+ISNUMBER(SEARCH(#REF!,Tabla11[[#This Row],[Cuenta]],1))</f>
        <v>0</v>
      </c>
      <c r="W640" t="b">
        <f>+ISNUMBER(SEARCH('F-COMPRA'!#REF!,Tabla11[[#This Row],[Cuenta]],1))</f>
        <v>0</v>
      </c>
      <c r="X640" t="b">
        <f>+ISNUMBER(SEARCH('F-COMPRA'!#REF!,Tabla11[[#This Row],[Cuenta]],1))</f>
        <v>0</v>
      </c>
      <c r="Y640" t="b">
        <f>+ISNUMBER(SEARCH('F-COMPRA'!#REF!,Tabla11[[#This Row],[Cuenta]],1))</f>
        <v>0</v>
      </c>
      <c r="Z640" t="b">
        <f>+ISNUMBER(SEARCH('F-COMPRA'!#REF!,Tabla11[[#This Row],[Cuenta]],1))</f>
        <v>0</v>
      </c>
      <c r="AA640" t="b">
        <f>+ISNUMBER(SEARCH('F-COMPRA'!#REF!,Tabla11[[#This Row],[Cuenta]],1))</f>
        <v>0</v>
      </c>
      <c r="AB640" t="b">
        <f>+ISNUMBER(SEARCH('F-COMPRA'!#REF!,Tabla11[[#This Row],[Cuenta]],1))</f>
        <v>0</v>
      </c>
      <c r="AC640" t="b">
        <f>+ISNUMBER(SEARCH('F-COMPRA'!#REF!,Tabla11[[#This Row],[Cuenta]],1))</f>
        <v>0</v>
      </c>
      <c r="AD640" t="b">
        <f>+ISNUMBER(SEARCH('F-COMPRA'!#REF!,Tabla11[[#This Row],[Cuenta]],1))</f>
        <v>0</v>
      </c>
      <c r="AE640" t="b">
        <f>+ISNUMBER(SEARCH('F-COMPRA'!#REF!,Tabla11[[#This Row],[Cuenta]],1))</f>
        <v>0</v>
      </c>
      <c r="AF640" t="b">
        <f>+ISNUMBER(SEARCH('F-VTA'!$G$23,Tabla11[[#This Row],[Cuenta]],1))</f>
        <v>0</v>
      </c>
      <c r="AG640" t="b">
        <f>+ISNUMBER(SEARCH('F-VTA'!$G$24,Tabla11[[#This Row],[Cuenta]],1))</f>
        <v>0</v>
      </c>
      <c r="AH640" t="b">
        <f>+ISNUMBER(SEARCH('F-VTA'!$G$25,Tabla11[[#This Row],[Cuenta]],1))</f>
        <v>0</v>
      </c>
      <c r="AI640" t="b">
        <f>+ISNUMBER(SEARCH('F-VTA'!$F$28,Tabla11[[#This Row],[Cuenta]],1))</f>
        <v>1</v>
      </c>
      <c r="AJ640" t="b">
        <f>+ISNUMBER(SEARCH('F-VTA'!$F$29,Tabla11[[#This Row],[Cuenta]],1))</f>
        <v>1</v>
      </c>
      <c r="AK640" t="b">
        <f>+ISNUMBER(SEARCH('F-VTA'!$F$30,Tabla11[[#This Row],[Cuenta]],1))</f>
        <v>1</v>
      </c>
      <c r="AL640" t="b">
        <f>+ISNUMBER(SEARCH('F-VTA'!$F$31,Tabla11[[#This Row],[Cuenta]],1))</f>
        <v>1</v>
      </c>
      <c r="AM640" t="b">
        <f>+ISNUMBER(SEARCH('F-VTA'!$F$32,Tabla11[[#This Row],[Cuenta]],1))</f>
        <v>1</v>
      </c>
      <c r="AN640" t="b">
        <f>+ISNUMBER(SEARCH('F-VTA'!$F$33,Tabla11[[#This Row],[Cuenta]],1))</f>
        <v>1</v>
      </c>
      <c r="AO640" t="b">
        <f>+ISNUMBER(SEARCH('F-VTA'!$F$34,Tabla11[[#This Row],[Cuenta]],1))</f>
        <v>1</v>
      </c>
      <c r="AP640" t="b">
        <f>+ISNUMBER(SEARCH('F-VTA'!$F$35,Tabla11[[#This Row],[Cuenta]],1))</f>
        <v>1</v>
      </c>
      <c r="AQ640" t="b">
        <f>+ISNUMBER(SEARCH('F-VTA'!$F$36,Tabla11[[#This Row],[Cuenta]],1))</f>
        <v>1</v>
      </c>
      <c r="AR640" t="b">
        <f>+ISNUMBER(SEARCH(#REF!,Tabla11[[#This Row],[Cuenta]],1))</f>
        <v>0</v>
      </c>
      <c r="AS640" t="b">
        <f>+ISNUMBER(SEARCH(#REF!,Tabla11[[#This Row],[Cuenta]],1))</f>
        <v>0</v>
      </c>
      <c r="AT640" t="b">
        <f>+ISNUMBER(SEARCH(#REF!,Tabla11[[#This Row],[Cuenta]],1))</f>
        <v>0</v>
      </c>
      <c r="AU640" t="b">
        <f>+ISNUMBER(SEARCH('Conc. Ban.1'!$I$9,Tabla11[[#This Row],[Cuenta]],1))</f>
        <v>0</v>
      </c>
      <c r="AV640" t="b">
        <f>+ISNUMBER(SEARCH(CompConta!$F$21,Tabla11[[#This Row],[Cuenta]],1))</f>
        <v>1</v>
      </c>
      <c r="AW640" t="b">
        <f>+ISNUMBER(SEARCH(CompConta!$F$22,Tabla11[[#This Row],[Cuenta]],1))</f>
        <v>1</v>
      </c>
      <c r="AX640" t="b">
        <f>+ISNUMBER(SEARCH(CompConta!$F$23,Tabla11[[#This Row],[Cuenta]],1))</f>
        <v>1</v>
      </c>
      <c r="AY640" t="b">
        <f>+ISNUMBER(SEARCH(CompConta!$F$24,Tabla11[[#This Row],[Cuenta]],1))</f>
        <v>1</v>
      </c>
      <c r="AZ640" t="b">
        <f>+ISNUMBER(SEARCH(CompConta!$F$25,Tabla11[[#This Row],[Cuenta]],1))</f>
        <v>1</v>
      </c>
      <c r="BA640" t="b">
        <f>+ISNUMBER(SEARCH(CompConta!$F$26,Tabla11[[#This Row],[Cuenta]],1))</f>
        <v>1</v>
      </c>
      <c r="BB640" t="b">
        <f>+ISNUMBER(SEARCH(CompConta!$F$27,Tabla11[[#This Row],[Cuenta]],1))</f>
        <v>1</v>
      </c>
      <c r="BC640" t="b">
        <f>+ISNUMBER(SEARCH(CompConta!$F$28,Tabla11[[#This Row],[Cuenta]],1))</f>
        <v>1</v>
      </c>
      <c r="BD640" t="b">
        <f>+ISNUMBER(SEARCH(CompConta!$F$29,Tabla11[[#This Row],[Cuenta]],1))</f>
        <v>1</v>
      </c>
      <c r="BE640" t="b">
        <f>+ISNUMBER(SEARCH(CompConta!$F$30,Tabla11[[#This Row],[Cuenta]],1))</f>
        <v>1</v>
      </c>
      <c r="BF640" t="b">
        <f>+ISNUMBER(SEARCH('PAGO Compras'!$E$11,Tabla11[[#This Row],[Cuenta]],1))</f>
        <v>1</v>
      </c>
      <c r="BG640" t="b">
        <f>+ISNUMBER(SEARCH(#REF!,Tabla11[[#This Row],[Cuenta]],1))</f>
        <v>0</v>
      </c>
      <c r="BH640" t="b">
        <f>+ISNUMBER(SEARCH(#REF!,Tabla11[[#This Row],[Cuenta]],1))</f>
        <v>0</v>
      </c>
      <c r="BI640" t="b">
        <f>+ISNUMBER(SEARCH(#REF!,Tabla11[[#This Row],[Cuenta]],1))</f>
        <v>0</v>
      </c>
      <c r="BJ640" t="b">
        <f>+ISNUMBER(SEARCH(#REF!,Tabla11[[#This Row],[Cuenta]],1))</f>
        <v>0</v>
      </c>
      <c r="BS640" t="str">
        <v>311520 Suscripciones del público</v>
      </c>
      <c r="BT640" t="str">
        <v>311520 Suscripciones del público</v>
      </c>
      <c r="BU640" t="str">
        <v>311520 Suscripciones del público</v>
      </c>
      <c r="BV640" t="str">
        <v>311520 Suscripciones del público</v>
      </c>
      <c r="BZ640" t="str">
        <v>311520 Suscripciones del público</v>
      </c>
      <c r="CA640" t="str">
        <v>311520 Suscripciones del público</v>
      </c>
      <c r="CB640" t="str">
        <v>311520 Suscripciones del público</v>
      </c>
      <c r="CC640" t="str">
        <v>311520 Suscripciones del público</v>
      </c>
      <c r="CD640" t="str">
        <v>311520 Suscripciones del público</v>
      </c>
      <c r="CE640" t="str">
        <v>311520 Suscripciones del público</v>
      </c>
      <c r="CS640" s="141" t="str">
        <v>311520 Suscripciones del público</v>
      </c>
      <c r="CT640" s="141" t="str">
        <v>311520 Suscripciones del público</v>
      </c>
      <c r="CU640" s="141" t="str">
        <v>311520 Suscripciones del público</v>
      </c>
      <c r="CV640" s="141" t="str">
        <v>311520 Suscripciones del público</v>
      </c>
      <c r="CW640" s="141" t="str">
        <v>311520 Suscripciones del público</v>
      </c>
      <c r="CX640" s="141" t="str">
        <v>311520 Suscripciones del público</v>
      </c>
      <c r="CY640" s="141" t="str">
        <v>311520 Suscripciones del público</v>
      </c>
      <c r="CZ640" s="141" t="str">
        <v>311520 Suscripciones del público</v>
      </c>
      <c r="DA640" s="141" t="str">
        <v>311520 Suscripciones del público</v>
      </c>
      <c r="DF640" t="str">
        <v>311520 Suscripciones del público</v>
      </c>
      <c r="DG640" t="str">
        <v>311520 Suscripciones del público</v>
      </c>
      <c r="DH640" t="str">
        <v>311520 Suscripciones del público</v>
      </c>
      <c r="DI640" t="str">
        <v>311520 Suscripciones del público</v>
      </c>
      <c r="DJ640" t="str">
        <v>311520 Suscripciones del público</v>
      </c>
      <c r="DK640" t="str">
        <v>311520 Suscripciones del público</v>
      </c>
      <c r="DL640" t="str">
        <v>311520 Suscripciones del público</v>
      </c>
      <c r="DM640" t="str">
        <v>311520 Suscripciones del público</v>
      </c>
      <c r="DN640" t="str">
        <v>311520 Suscripciones del público</v>
      </c>
      <c r="DO640" t="str">
        <v>311520 Suscripciones del público</v>
      </c>
      <c r="DP640" t="str">
        <v>311520 Suscripciones del público</v>
      </c>
    </row>
    <row r="641" spans="4:120" ht="12.75">
      <c r="D641" s="7">
        <v>3120</v>
      </c>
      <c r="E641" s="6" t="s">
        <v>473</v>
      </c>
      <c r="F641" s="5">
        <v>3</v>
      </c>
      <c r="G641" s="34" t="s">
        <v>827</v>
      </c>
      <c r="H641" s="8" t="s">
        <v>56</v>
      </c>
      <c r="I641" t="b">
        <f>+ISNUMBER(SEARCH('F-COMPRA'!$F$28,Tabla11[[#This Row],[Cuenta]],1))</f>
        <v>1</v>
      </c>
      <c r="J641" t="b">
        <f>+ISNUMBER(SEARCH('F-COMPRA'!$F$29,Tabla11[[#This Row],[Cuenta]],1))</f>
        <v>1</v>
      </c>
      <c r="K641" t="b">
        <f>+ISNUMBER(SEARCH('F-COMPRA'!$F$30,Tabla11[[#This Row],[Cuenta]],1))</f>
        <v>1</v>
      </c>
      <c r="L641" t="b">
        <f>+ISNUMBER(SEARCH('F-COMPRA'!$F$31,Tabla11[[#This Row],[Cuenta]],1))</f>
        <v>1</v>
      </c>
      <c r="M641" t="b">
        <f>+ISNUMBER(SEARCH('F-COMPRA'!$G$25,Tabla11[[#This Row],[Cuenta]],1))</f>
        <v>0</v>
      </c>
      <c r="N641" t="b">
        <f>+ISNUMBER(SEARCH(#REF!,Tabla11[[#This Row],[Cuenta]],1))</f>
        <v>0</v>
      </c>
      <c r="O641" t="b">
        <f>+ISNUMBER(SEARCH(#REF!,Tabla11[[#This Row],[Cuenta]],1))</f>
        <v>0</v>
      </c>
      <c r="P641" t="b">
        <f>+ISNUMBER(SEARCH('F-COMPRA'!$F$32,Tabla11[[#This Row],[Cuenta]],1))</f>
        <v>1</v>
      </c>
      <c r="Q641" t="b">
        <f>+ISNUMBER(SEARCH('F-COMPRA'!$F$33,Tabla11[[#This Row],[Cuenta]],1))</f>
        <v>1</v>
      </c>
      <c r="R641" t="b">
        <f>+ISNUMBER(SEARCH('F-COMPRA'!$F$34,Tabla11[[#This Row],[Cuenta]],1))</f>
        <v>1</v>
      </c>
      <c r="S641" t="b">
        <f>+ISNUMBER(SEARCH('F-COMPRA'!$F$35,Tabla11[[#This Row],[Cuenta]],1))</f>
        <v>1</v>
      </c>
      <c r="T641" t="b">
        <f>+ISNUMBER(SEARCH('F-COMPRA'!$F$36,Tabla11[[#This Row],[Cuenta]],1))</f>
        <v>1</v>
      </c>
      <c r="U641" t="b">
        <f>+ISNUMBER(SEARCH('F-COMPRA'!$F$37,Tabla11[[#This Row],[Cuenta]],1))</f>
        <v>1</v>
      </c>
      <c r="V641" t="b">
        <f>+ISNUMBER(SEARCH(#REF!,Tabla11[[#This Row],[Cuenta]],1))</f>
        <v>0</v>
      </c>
      <c r="W641" t="b">
        <f>+ISNUMBER(SEARCH('F-COMPRA'!#REF!,Tabla11[[#This Row],[Cuenta]],1))</f>
        <v>0</v>
      </c>
      <c r="X641" t="b">
        <f>+ISNUMBER(SEARCH('F-COMPRA'!#REF!,Tabla11[[#This Row],[Cuenta]],1))</f>
        <v>0</v>
      </c>
      <c r="Y641" t="b">
        <f>+ISNUMBER(SEARCH('F-COMPRA'!#REF!,Tabla11[[#This Row],[Cuenta]],1))</f>
        <v>0</v>
      </c>
      <c r="Z641" t="b">
        <f>+ISNUMBER(SEARCH('F-COMPRA'!#REF!,Tabla11[[#This Row],[Cuenta]],1))</f>
        <v>0</v>
      </c>
      <c r="AA641" t="b">
        <f>+ISNUMBER(SEARCH('F-COMPRA'!#REF!,Tabla11[[#This Row],[Cuenta]],1))</f>
        <v>0</v>
      </c>
      <c r="AB641" t="b">
        <f>+ISNUMBER(SEARCH('F-COMPRA'!#REF!,Tabla11[[#This Row],[Cuenta]],1))</f>
        <v>0</v>
      </c>
      <c r="AC641" t="b">
        <f>+ISNUMBER(SEARCH('F-COMPRA'!#REF!,Tabla11[[#This Row],[Cuenta]],1))</f>
        <v>0</v>
      </c>
      <c r="AD641" t="b">
        <f>+ISNUMBER(SEARCH('F-COMPRA'!#REF!,Tabla11[[#This Row],[Cuenta]],1))</f>
        <v>0</v>
      </c>
      <c r="AE641" t="b">
        <f>+ISNUMBER(SEARCH('F-COMPRA'!#REF!,Tabla11[[#This Row],[Cuenta]],1))</f>
        <v>0</v>
      </c>
      <c r="AF641" t="b">
        <f>+ISNUMBER(SEARCH('F-VTA'!$G$23,Tabla11[[#This Row],[Cuenta]],1))</f>
        <v>0</v>
      </c>
      <c r="AG641" t="b">
        <f>+ISNUMBER(SEARCH('F-VTA'!$G$24,Tabla11[[#This Row],[Cuenta]],1))</f>
        <v>0</v>
      </c>
      <c r="AH641" t="b">
        <f>+ISNUMBER(SEARCH('F-VTA'!$G$25,Tabla11[[#This Row],[Cuenta]],1))</f>
        <v>0</v>
      </c>
      <c r="AI641" t="b">
        <f>+ISNUMBER(SEARCH('F-VTA'!$F$28,Tabla11[[#This Row],[Cuenta]],1))</f>
        <v>1</v>
      </c>
      <c r="AJ641" t="b">
        <f>+ISNUMBER(SEARCH('F-VTA'!$F$29,Tabla11[[#This Row],[Cuenta]],1))</f>
        <v>1</v>
      </c>
      <c r="AK641" t="b">
        <f>+ISNUMBER(SEARCH('F-VTA'!$F$30,Tabla11[[#This Row],[Cuenta]],1))</f>
        <v>1</v>
      </c>
      <c r="AL641" t="b">
        <f>+ISNUMBER(SEARCH('F-VTA'!$F$31,Tabla11[[#This Row],[Cuenta]],1))</f>
        <v>1</v>
      </c>
      <c r="AM641" t="b">
        <f>+ISNUMBER(SEARCH('F-VTA'!$F$32,Tabla11[[#This Row],[Cuenta]],1))</f>
        <v>1</v>
      </c>
      <c r="AN641" t="b">
        <f>+ISNUMBER(SEARCH('F-VTA'!$F$33,Tabla11[[#This Row],[Cuenta]],1))</f>
        <v>1</v>
      </c>
      <c r="AO641" t="b">
        <f>+ISNUMBER(SEARCH('F-VTA'!$F$34,Tabla11[[#This Row],[Cuenta]],1))</f>
        <v>1</v>
      </c>
      <c r="AP641" t="b">
        <f>+ISNUMBER(SEARCH('F-VTA'!$F$35,Tabla11[[#This Row],[Cuenta]],1))</f>
        <v>1</v>
      </c>
      <c r="AQ641" t="b">
        <f>+ISNUMBER(SEARCH('F-VTA'!$F$36,Tabla11[[#This Row],[Cuenta]],1))</f>
        <v>1</v>
      </c>
      <c r="AR641" t="b">
        <f>+ISNUMBER(SEARCH(#REF!,Tabla11[[#This Row],[Cuenta]],1))</f>
        <v>0</v>
      </c>
      <c r="AS641" t="b">
        <f>+ISNUMBER(SEARCH(#REF!,Tabla11[[#This Row],[Cuenta]],1))</f>
        <v>0</v>
      </c>
      <c r="AT641" t="b">
        <f>+ISNUMBER(SEARCH(#REF!,Tabla11[[#This Row],[Cuenta]],1))</f>
        <v>0</v>
      </c>
      <c r="AU641" t="b">
        <f>+ISNUMBER(SEARCH('Conc. Ban.1'!$I$9,Tabla11[[#This Row],[Cuenta]],1))</f>
        <v>0</v>
      </c>
      <c r="AV641" t="b">
        <f>+ISNUMBER(SEARCH(CompConta!$F$21,Tabla11[[#This Row],[Cuenta]],1))</f>
        <v>1</v>
      </c>
      <c r="AW641" t="b">
        <f>+ISNUMBER(SEARCH(CompConta!$F$22,Tabla11[[#This Row],[Cuenta]],1))</f>
        <v>1</v>
      </c>
      <c r="AX641" t="b">
        <f>+ISNUMBER(SEARCH(CompConta!$F$23,Tabla11[[#This Row],[Cuenta]],1))</f>
        <v>1</v>
      </c>
      <c r="AY641" t="b">
        <f>+ISNUMBER(SEARCH(CompConta!$F$24,Tabla11[[#This Row],[Cuenta]],1))</f>
        <v>1</v>
      </c>
      <c r="AZ641" t="b">
        <f>+ISNUMBER(SEARCH(CompConta!$F$25,Tabla11[[#This Row],[Cuenta]],1))</f>
        <v>1</v>
      </c>
      <c r="BA641" t="b">
        <f>+ISNUMBER(SEARCH(CompConta!$F$26,Tabla11[[#This Row],[Cuenta]],1))</f>
        <v>1</v>
      </c>
      <c r="BB641" t="b">
        <f>+ISNUMBER(SEARCH(CompConta!$F$27,Tabla11[[#This Row],[Cuenta]],1))</f>
        <v>1</v>
      </c>
      <c r="BC641" t="b">
        <f>+ISNUMBER(SEARCH(CompConta!$F$28,Tabla11[[#This Row],[Cuenta]],1))</f>
        <v>1</v>
      </c>
      <c r="BD641" t="b">
        <f>+ISNUMBER(SEARCH(CompConta!$F$29,Tabla11[[#This Row],[Cuenta]],1))</f>
        <v>1</v>
      </c>
      <c r="BE641" t="b">
        <f>+ISNUMBER(SEARCH(CompConta!$F$30,Tabla11[[#This Row],[Cuenta]],1))</f>
        <v>1</v>
      </c>
      <c r="BF641" t="b">
        <f>+ISNUMBER(SEARCH('PAGO Compras'!$E$11,Tabla11[[#This Row],[Cuenta]],1))</f>
        <v>1</v>
      </c>
      <c r="BG641" t="b">
        <f>+ISNUMBER(SEARCH(#REF!,Tabla11[[#This Row],[Cuenta]],1))</f>
        <v>0</v>
      </c>
      <c r="BH641" t="b">
        <f>+ISNUMBER(SEARCH(#REF!,Tabla11[[#This Row],[Cuenta]],1))</f>
        <v>0</v>
      </c>
      <c r="BI641" t="b">
        <f>+ISNUMBER(SEARCH(#REF!,Tabla11[[#This Row],[Cuenta]],1))</f>
        <v>0</v>
      </c>
      <c r="BJ641" t="b">
        <f>+ISNUMBER(SEARCH(#REF!,Tabla11[[#This Row],[Cuenta]],1))</f>
        <v>0</v>
      </c>
      <c r="BS641" t="str">
        <v>3120 CAPITAL ASIGNADO</v>
      </c>
      <c r="BT641" t="str">
        <v>3120 CAPITAL ASIGNADO</v>
      </c>
      <c r="BU641" t="str">
        <v>3120 CAPITAL ASIGNADO</v>
      </c>
      <c r="BV641" t="str">
        <v>3120 CAPITAL ASIGNADO</v>
      </c>
      <c r="BZ641" t="str">
        <v>3120 CAPITAL ASIGNADO</v>
      </c>
      <c r="CA641" t="str">
        <v>3120 CAPITAL ASIGNADO</v>
      </c>
      <c r="CB641" t="str">
        <v>3120 CAPITAL ASIGNADO</v>
      </c>
      <c r="CC641" t="str">
        <v>3120 CAPITAL ASIGNADO</v>
      </c>
      <c r="CD641" t="str">
        <v>3120 CAPITAL ASIGNADO</v>
      </c>
      <c r="CE641" t="str">
        <v>3120 CAPITAL ASIGNADO</v>
      </c>
      <c r="CS641" s="141" t="str">
        <v>3120 CAPITAL ASIGNADO</v>
      </c>
      <c r="CT641" s="141" t="str">
        <v>3120 CAPITAL ASIGNADO</v>
      </c>
      <c r="CU641" s="141" t="str">
        <v>3120 CAPITAL ASIGNADO</v>
      </c>
      <c r="CV641" s="141" t="str">
        <v>3120 CAPITAL ASIGNADO</v>
      </c>
      <c r="CW641" s="141" t="str">
        <v>3120 CAPITAL ASIGNADO</v>
      </c>
      <c r="CX641" s="141" t="str">
        <v>3120 CAPITAL ASIGNADO</v>
      </c>
      <c r="CY641" s="141" t="str">
        <v>3120 CAPITAL ASIGNADO</v>
      </c>
      <c r="CZ641" s="141" t="str">
        <v>3120 CAPITAL ASIGNADO</v>
      </c>
      <c r="DA641" s="141" t="str">
        <v>3120 CAPITAL ASIGNADO</v>
      </c>
      <c r="DF641" t="str">
        <v>3120 CAPITAL ASIGNADO</v>
      </c>
      <c r="DG641" t="str">
        <v>3120 CAPITAL ASIGNADO</v>
      </c>
      <c r="DH641" t="str">
        <v>3120 CAPITAL ASIGNADO</v>
      </c>
      <c r="DI641" t="str">
        <v>3120 CAPITAL ASIGNADO</v>
      </c>
      <c r="DJ641" t="str">
        <v>3120 CAPITAL ASIGNADO</v>
      </c>
      <c r="DK641" t="str">
        <v>3120 CAPITAL ASIGNADO</v>
      </c>
      <c r="DL641" t="str">
        <v>3120 CAPITAL ASIGNADO</v>
      </c>
      <c r="DM641" t="str">
        <v>3120 CAPITAL ASIGNADO</v>
      </c>
      <c r="DN641" t="str">
        <v>3120 CAPITAL ASIGNADO</v>
      </c>
      <c r="DO641" t="str">
        <v>3120 CAPITAL ASIGNADO</v>
      </c>
      <c r="DP641" t="str">
        <v>3120 CAPITAL ASIGNADO</v>
      </c>
    </row>
    <row r="642" spans="4:120" ht="12.75">
      <c r="D642" s="7">
        <v>3125</v>
      </c>
      <c r="E642" s="6" t="s">
        <v>474</v>
      </c>
      <c r="F642" s="5">
        <v>3</v>
      </c>
      <c r="G642" s="34" t="s">
        <v>827</v>
      </c>
      <c r="H642" s="8" t="s">
        <v>56</v>
      </c>
      <c r="I642" t="b">
        <f>+ISNUMBER(SEARCH('F-COMPRA'!$F$28,Tabla11[[#This Row],[Cuenta]],1))</f>
        <v>1</v>
      </c>
      <c r="J642" t="b">
        <f>+ISNUMBER(SEARCH('F-COMPRA'!$F$29,Tabla11[[#This Row],[Cuenta]],1))</f>
        <v>1</v>
      </c>
      <c r="K642" t="b">
        <f>+ISNUMBER(SEARCH('F-COMPRA'!$F$30,Tabla11[[#This Row],[Cuenta]],1))</f>
        <v>1</v>
      </c>
      <c r="L642" t="b">
        <f>+ISNUMBER(SEARCH('F-COMPRA'!$F$31,Tabla11[[#This Row],[Cuenta]],1))</f>
        <v>1</v>
      </c>
      <c r="M642" t="b">
        <f>+ISNUMBER(SEARCH('F-COMPRA'!$G$25,Tabla11[[#This Row],[Cuenta]],1))</f>
        <v>0</v>
      </c>
      <c r="N642" t="b">
        <f>+ISNUMBER(SEARCH(#REF!,Tabla11[[#This Row],[Cuenta]],1))</f>
        <v>0</v>
      </c>
      <c r="O642" t="b">
        <f>+ISNUMBER(SEARCH(#REF!,Tabla11[[#This Row],[Cuenta]],1))</f>
        <v>0</v>
      </c>
      <c r="P642" t="b">
        <f>+ISNUMBER(SEARCH('F-COMPRA'!$F$32,Tabla11[[#This Row],[Cuenta]],1))</f>
        <v>1</v>
      </c>
      <c r="Q642" t="b">
        <f>+ISNUMBER(SEARCH('F-COMPRA'!$F$33,Tabla11[[#This Row],[Cuenta]],1))</f>
        <v>1</v>
      </c>
      <c r="R642" t="b">
        <f>+ISNUMBER(SEARCH('F-COMPRA'!$F$34,Tabla11[[#This Row],[Cuenta]],1))</f>
        <v>1</v>
      </c>
      <c r="S642" t="b">
        <f>+ISNUMBER(SEARCH('F-COMPRA'!$F$35,Tabla11[[#This Row],[Cuenta]],1))</f>
        <v>1</v>
      </c>
      <c r="T642" t="b">
        <f>+ISNUMBER(SEARCH('F-COMPRA'!$F$36,Tabla11[[#This Row],[Cuenta]],1))</f>
        <v>1</v>
      </c>
      <c r="U642" t="b">
        <f>+ISNUMBER(SEARCH('F-COMPRA'!$F$37,Tabla11[[#This Row],[Cuenta]],1))</f>
        <v>1</v>
      </c>
      <c r="V642" t="b">
        <f>+ISNUMBER(SEARCH(#REF!,Tabla11[[#This Row],[Cuenta]],1))</f>
        <v>0</v>
      </c>
      <c r="W642" t="b">
        <f>+ISNUMBER(SEARCH('F-COMPRA'!#REF!,Tabla11[[#This Row],[Cuenta]],1))</f>
        <v>0</v>
      </c>
      <c r="X642" t="b">
        <f>+ISNUMBER(SEARCH('F-COMPRA'!#REF!,Tabla11[[#This Row],[Cuenta]],1))</f>
        <v>0</v>
      </c>
      <c r="Y642" t="b">
        <f>+ISNUMBER(SEARCH('F-COMPRA'!#REF!,Tabla11[[#This Row],[Cuenta]],1))</f>
        <v>0</v>
      </c>
      <c r="Z642" t="b">
        <f>+ISNUMBER(SEARCH('F-COMPRA'!#REF!,Tabla11[[#This Row],[Cuenta]],1))</f>
        <v>0</v>
      </c>
      <c r="AA642" t="b">
        <f>+ISNUMBER(SEARCH('F-COMPRA'!#REF!,Tabla11[[#This Row],[Cuenta]],1))</f>
        <v>0</v>
      </c>
      <c r="AB642" t="b">
        <f>+ISNUMBER(SEARCH('F-COMPRA'!#REF!,Tabla11[[#This Row],[Cuenta]],1))</f>
        <v>0</v>
      </c>
      <c r="AC642" t="b">
        <f>+ISNUMBER(SEARCH('F-COMPRA'!#REF!,Tabla11[[#This Row],[Cuenta]],1))</f>
        <v>0</v>
      </c>
      <c r="AD642" t="b">
        <f>+ISNUMBER(SEARCH('F-COMPRA'!#REF!,Tabla11[[#This Row],[Cuenta]],1))</f>
        <v>0</v>
      </c>
      <c r="AE642" t="b">
        <f>+ISNUMBER(SEARCH('F-COMPRA'!#REF!,Tabla11[[#This Row],[Cuenta]],1))</f>
        <v>0</v>
      </c>
      <c r="AF642" t="b">
        <f>+ISNUMBER(SEARCH('F-VTA'!$G$23,Tabla11[[#This Row],[Cuenta]],1))</f>
        <v>0</v>
      </c>
      <c r="AG642" t="b">
        <f>+ISNUMBER(SEARCH('F-VTA'!$G$24,Tabla11[[#This Row],[Cuenta]],1))</f>
        <v>0</v>
      </c>
      <c r="AH642" t="b">
        <f>+ISNUMBER(SEARCH('F-VTA'!$G$25,Tabla11[[#This Row],[Cuenta]],1))</f>
        <v>0</v>
      </c>
      <c r="AI642" t="b">
        <f>+ISNUMBER(SEARCH('F-VTA'!$F$28,Tabla11[[#This Row],[Cuenta]],1))</f>
        <v>1</v>
      </c>
      <c r="AJ642" t="b">
        <f>+ISNUMBER(SEARCH('F-VTA'!$F$29,Tabla11[[#This Row],[Cuenta]],1))</f>
        <v>1</v>
      </c>
      <c r="AK642" t="b">
        <f>+ISNUMBER(SEARCH('F-VTA'!$F$30,Tabla11[[#This Row],[Cuenta]],1))</f>
        <v>1</v>
      </c>
      <c r="AL642" t="b">
        <f>+ISNUMBER(SEARCH('F-VTA'!$F$31,Tabla11[[#This Row],[Cuenta]],1))</f>
        <v>1</v>
      </c>
      <c r="AM642" t="b">
        <f>+ISNUMBER(SEARCH('F-VTA'!$F$32,Tabla11[[#This Row],[Cuenta]],1))</f>
        <v>1</v>
      </c>
      <c r="AN642" t="b">
        <f>+ISNUMBER(SEARCH('F-VTA'!$F$33,Tabla11[[#This Row],[Cuenta]],1))</f>
        <v>1</v>
      </c>
      <c r="AO642" t="b">
        <f>+ISNUMBER(SEARCH('F-VTA'!$F$34,Tabla11[[#This Row],[Cuenta]],1))</f>
        <v>1</v>
      </c>
      <c r="AP642" t="b">
        <f>+ISNUMBER(SEARCH('F-VTA'!$F$35,Tabla11[[#This Row],[Cuenta]],1))</f>
        <v>1</v>
      </c>
      <c r="AQ642" t="b">
        <f>+ISNUMBER(SEARCH('F-VTA'!$F$36,Tabla11[[#This Row],[Cuenta]],1))</f>
        <v>1</v>
      </c>
      <c r="AR642" t="b">
        <f>+ISNUMBER(SEARCH(#REF!,Tabla11[[#This Row],[Cuenta]],1))</f>
        <v>0</v>
      </c>
      <c r="AS642" t="b">
        <f>+ISNUMBER(SEARCH(#REF!,Tabla11[[#This Row],[Cuenta]],1))</f>
        <v>0</v>
      </c>
      <c r="AT642" t="b">
        <f>+ISNUMBER(SEARCH(#REF!,Tabla11[[#This Row],[Cuenta]],1))</f>
        <v>0</v>
      </c>
      <c r="AU642" t="b">
        <f>+ISNUMBER(SEARCH('Conc. Ban.1'!$I$9,Tabla11[[#This Row],[Cuenta]],1))</f>
        <v>0</v>
      </c>
      <c r="AV642" t="b">
        <f>+ISNUMBER(SEARCH(CompConta!$F$21,Tabla11[[#This Row],[Cuenta]],1))</f>
        <v>1</v>
      </c>
      <c r="AW642" t="b">
        <f>+ISNUMBER(SEARCH(CompConta!$F$22,Tabla11[[#This Row],[Cuenta]],1))</f>
        <v>1</v>
      </c>
      <c r="AX642" t="b">
        <f>+ISNUMBER(SEARCH(CompConta!$F$23,Tabla11[[#This Row],[Cuenta]],1))</f>
        <v>1</v>
      </c>
      <c r="AY642" t="b">
        <f>+ISNUMBER(SEARCH(CompConta!$F$24,Tabla11[[#This Row],[Cuenta]],1))</f>
        <v>1</v>
      </c>
      <c r="AZ642" t="b">
        <f>+ISNUMBER(SEARCH(CompConta!$F$25,Tabla11[[#This Row],[Cuenta]],1))</f>
        <v>1</v>
      </c>
      <c r="BA642" t="b">
        <f>+ISNUMBER(SEARCH(CompConta!$F$26,Tabla11[[#This Row],[Cuenta]],1))</f>
        <v>1</v>
      </c>
      <c r="BB642" t="b">
        <f>+ISNUMBER(SEARCH(CompConta!$F$27,Tabla11[[#This Row],[Cuenta]],1))</f>
        <v>1</v>
      </c>
      <c r="BC642" t="b">
        <f>+ISNUMBER(SEARCH(CompConta!$F$28,Tabla11[[#This Row],[Cuenta]],1))</f>
        <v>1</v>
      </c>
      <c r="BD642" t="b">
        <f>+ISNUMBER(SEARCH(CompConta!$F$29,Tabla11[[#This Row],[Cuenta]],1))</f>
        <v>1</v>
      </c>
      <c r="BE642" t="b">
        <f>+ISNUMBER(SEARCH(CompConta!$F$30,Tabla11[[#This Row],[Cuenta]],1))</f>
        <v>1</v>
      </c>
      <c r="BF642" t="b">
        <f>+ISNUMBER(SEARCH('PAGO Compras'!$E$11,Tabla11[[#This Row],[Cuenta]],1))</f>
        <v>1</v>
      </c>
      <c r="BG642" t="b">
        <f>+ISNUMBER(SEARCH(#REF!,Tabla11[[#This Row],[Cuenta]],1))</f>
        <v>0</v>
      </c>
      <c r="BH642" t="b">
        <f>+ISNUMBER(SEARCH(#REF!,Tabla11[[#This Row],[Cuenta]],1))</f>
        <v>0</v>
      </c>
      <c r="BI642" t="b">
        <f>+ISNUMBER(SEARCH(#REF!,Tabla11[[#This Row],[Cuenta]],1))</f>
        <v>0</v>
      </c>
      <c r="BJ642" t="b">
        <f>+ISNUMBER(SEARCH(#REF!,Tabla11[[#This Row],[Cuenta]],1))</f>
        <v>0</v>
      </c>
      <c r="BS642" t="str">
        <v>3125 INVERSIÓN SUPLEMENTARIA AL CAPITAL ASIGNA</v>
      </c>
      <c r="BT642" t="str">
        <v>3125 INVERSIÓN SUPLEMENTARIA AL CAPITAL ASIGNA</v>
      </c>
      <c r="BU642" t="str">
        <v>3125 INVERSIÓN SUPLEMENTARIA AL CAPITAL ASIGNA</v>
      </c>
      <c r="BV642" t="str">
        <v>3125 INVERSIÓN SUPLEMENTARIA AL CAPITAL ASIGNA</v>
      </c>
      <c r="BZ642" t="str">
        <v>3125 INVERSIÓN SUPLEMENTARIA AL CAPITAL ASIGNA</v>
      </c>
      <c r="CA642" t="str">
        <v>3125 INVERSIÓN SUPLEMENTARIA AL CAPITAL ASIGNA</v>
      </c>
      <c r="CB642" t="str">
        <v>3125 INVERSIÓN SUPLEMENTARIA AL CAPITAL ASIGNA</v>
      </c>
      <c r="CC642" t="str">
        <v>3125 INVERSIÓN SUPLEMENTARIA AL CAPITAL ASIGNA</v>
      </c>
      <c r="CD642" t="str">
        <v>3125 INVERSIÓN SUPLEMENTARIA AL CAPITAL ASIGNA</v>
      </c>
      <c r="CE642" t="str">
        <v>3125 INVERSIÓN SUPLEMENTARIA AL CAPITAL ASIGNA</v>
      </c>
      <c r="CS642" s="141" t="str">
        <v>3125 INVERSIÓN SUPLEMENTARIA AL CAPITAL ASIGNA</v>
      </c>
      <c r="CT642" s="141" t="str">
        <v>3125 INVERSIÓN SUPLEMENTARIA AL CAPITAL ASIGNA</v>
      </c>
      <c r="CU642" s="141" t="str">
        <v>3125 INVERSIÓN SUPLEMENTARIA AL CAPITAL ASIGNA</v>
      </c>
      <c r="CV642" s="141" t="str">
        <v>3125 INVERSIÓN SUPLEMENTARIA AL CAPITAL ASIGNA</v>
      </c>
      <c r="CW642" s="141" t="str">
        <v>3125 INVERSIÓN SUPLEMENTARIA AL CAPITAL ASIGNA</v>
      </c>
      <c r="CX642" s="141" t="str">
        <v>3125 INVERSIÓN SUPLEMENTARIA AL CAPITAL ASIGNA</v>
      </c>
      <c r="CY642" s="141" t="str">
        <v>3125 INVERSIÓN SUPLEMENTARIA AL CAPITAL ASIGNA</v>
      </c>
      <c r="CZ642" s="141" t="str">
        <v>3125 INVERSIÓN SUPLEMENTARIA AL CAPITAL ASIGNA</v>
      </c>
      <c r="DA642" s="141" t="str">
        <v>3125 INVERSIÓN SUPLEMENTARIA AL CAPITAL ASIGNA</v>
      </c>
      <c r="DF642" t="str">
        <v>3125 INVERSIÓN SUPLEMENTARIA AL CAPITAL ASIGNA</v>
      </c>
      <c r="DG642" t="str">
        <v>3125 INVERSIÓN SUPLEMENTARIA AL CAPITAL ASIGNA</v>
      </c>
      <c r="DH642" t="str">
        <v>3125 INVERSIÓN SUPLEMENTARIA AL CAPITAL ASIGNA</v>
      </c>
      <c r="DI642" t="str">
        <v>3125 INVERSIÓN SUPLEMENTARIA AL CAPITAL ASIGNA</v>
      </c>
      <c r="DJ642" t="str">
        <v>3125 INVERSIÓN SUPLEMENTARIA AL CAPITAL ASIGNA</v>
      </c>
      <c r="DK642" t="str">
        <v>3125 INVERSIÓN SUPLEMENTARIA AL CAPITAL ASIGNA</v>
      </c>
      <c r="DL642" t="str">
        <v>3125 INVERSIÓN SUPLEMENTARIA AL CAPITAL ASIGNA</v>
      </c>
      <c r="DM642" t="str">
        <v>3125 INVERSIÓN SUPLEMENTARIA AL CAPITAL ASIGNA</v>
      </c>
      <c r="DN642" t="str">
        <v>3125 INVERSIÓN SUPLEMENTARIA AL CAPITAL ASIGNA</v>
      </c>
      <c r="DO642" t="str">
        <v>3125 INVERSIÓN SUPLEMENTARIA AL CAPITAL ASIGNA</v>
      </c>
      <c r="DP642" t="str">
        <v>3125 INVERSIÓN SUPLEMENTARIA AL CAPITAL ASIGNA</v>
      </c>
    </row>
    <row r="643" spans="4:120" ht="12.75">
      <c r="D643" s="7">
        <v>3130</v>
      </c>
      <c r="E643" s="6" t="s">
        <v>475</v>
      </c>
      <c r="F643" s="5">
        <v>3</v>
      </c>
      <c r="G643" s="34" t="s">
        <v>827</v>
      </c>
      <c r="H643" s="8" t="s">
        <v>56</v>
      </c>
      <c r="I643" t="b">
        <f>+ISNUMBER(SEARCH('F-COMPRA'!$F$28,Tabla11[[#This Row],[Cuenta]],1))</f>
        <v>1</v>
      </c>
      <c r="J643" t="b">
        <f>+ISNUMBER(SEARCH('F-COMPRA'!$F$29,Tabla11[[#This Row],[Cuenta]],1))</f>
        <v>1</v>
      </c>
      <c r="K643" t="b">
        <f>+ISNUMBER(SEARCH('F-COMPRA'!$F$30,Tabla11[[#This Row],[Cuenta]],1))</f>
        <v>1</v>
      </c>
      <c r="L643" t="b">
        <f>+ISNUMBER(SEARCH('F-COMPRA'!$F$31,Tabla11[[#This Row],[Cuenta]],1))</f>
        <v>1</v>
      </c>
      <c r="M643" t="b">
        <f>+ISNUMBER(SEARCH('F-COMPRA'!$G$25,Tabla11[[#This Row],[Cuenta]],1))</f>
        <v>0</v>
      </c>
      <c r="N643" t="b">
        <f>+ISNUMBER(SEARCH(#REF!,Tabla11[[#This Row],[Cuenta]],1))</f>
        <v>0</v>
      </c>
      <c r="O643" t="b">
        <f>+ISNUMBER(SEARCH(#REF!,Tabla11[[#This Row],[Cuenta]],1))</f>
        <v>0</v>
      </c>
      <c r="P643" t="b">
        <f>+ISNUMBER(SEARCH('F-COMPRA'!$F$32,Tabla11[[#This Row],[Cuenta]],1))</f>
        <v>1</v>
      </c>
      <c r="Q643" t="b">
        <f>+ISNUMBER(SEARCH('F-COMPRA'!$F$33,Tabla11[[#This Row],[Cuenta]],1))</f>
        <v>1</v>
      </c>
      <c r="R643" t="b">
        <f>+ISNUMBER(SEARCH('F-COMPRA'!$F$34,Tabla11[[#This Row],[Cuenta]],1))</f>
        <v>1</v>
      </c>
      <c r="S643" t="b">
        <f>+ISNUMBER(SEARCH('F-COMPRA'!$F$35,Tabla11[[#This Row],[Cuenta]],1))</f>
        <v>1</v>
      </c>
      <c r="T643" t="b">
        <f>+ISNUMBER(SEARCH('F-COMPRA'!$F$36,Tabla11[[#This Row],[Cuenta]],1))</f>
        <v>1</v>
      </c>
      <c r="U643" t="b">
        <f>+ISNUMBER(SEARCH('F-COMPRA'!$F$37,Tabla11[[#This Row],[Cuenta]],1))</f>
        <v>1</v>
      </c>
      <c r="V643" t="b">
        <f>+ISNUMBER(SEARCH(#REF!,Tabla11[[#This Row],[Cuenta]],1))</f>
        <v>0</v>
      </c>
      <c r="W643" t="b">
        <f>+ISNUMBER(SEARCH('F-COMPRA'!#REF!,Tabla11[[#This Row],[Cuenta]],1))</f>
        <v>0</v>
      </c>
      <c r="X643" t="b">
        <f>+ISNUMBER(SEARCH('F-COMPRA'!#REF!,Tabla11[[#This Row],[Cuenta]],1))</f>
        <v>0</v>
      </c>
      <c r="Y643" t="b">
        <f>+ISNUMBER(SEARCH('F-COMPRA'!#REF!,Tabla11[[#This Row],[Cuenta]],1))</f>
        <v>0</v>
      </c>
      <c r="Z643" t="b">
        <f>+ISNUMBER(SEARCH('F-COMPRA'!#REF!,Tabla11[[#This Row],[Cuenta]],1))</f>
        <v>0</v>
      </c>
      <c r="AA643" t="b">
        <f>+ISNUMBER(SEARCH('F-COMPRA'!#REF!,Tabla11[[#This Row],[Cuenta]],1))</f>
        <v>0</v>
      </c>
      <c r="AB643" t="b">
        <f>+ISNUMBER(SEARCH('F-COMPRA'!#REF!,Tabla11[[#This Row],[Cuenta]],1))</f>
        <v>0</v>
      </c>
      <c r="AC643" t="b">
        <f>+ISNUMBER(SEARCH('F-COMPRA'!#REF!,Tabla11[[#This Row],[Cuenta]],1))</f>
        <v>0</v>
      </c>
      <c r="AD643" t="b">
        <f>+ISNUMBER(SEARCH('F-COMPRA'!#REF!,Tabla11[[#This Row],[Cuenta]],1))</f>
        <v>0</v>
      </c>
      <c r="AE643" t="b">
        <f>+ISNUMBER(SEARCH('F-COMPRA'!#REF!,Tabla11[[#This Row],[Cuenta]],1))</f>
        <v>0</v>
      </c>
      <c r="AF643" t="b">
        <f>+ISNUMBER(SEARCH('F-VTA'!$G$23,Tabla11[[#This Row],[Cuenta]],1))</f>
        <v>0</v>
      </c>
      <c r="AG643" t="b">
        <f>+ISNUMBER(SEARCH('F-VTA'!$G$24,Tabla11[[#This Row],[Cuenta]],1))</f>
        <v>0</v>
      </c>
      <c r="AH643" t="b">
        <f>+ISNUMBER(SEARCH('F-VTA'!$G$25,Tabla11[[#This Row],[Cuenta]],1))</f>
        <v>0</v>
      </c>
      <c r="AI643" t="b">
        <f>+ISNUMBER(SEARCH('F-VTA'!$F$28,Tabla11[[#This Row],[Cuenta]],1))</f>
        <v>1</v>
      </c>
      <c r="AJ643" t="b">
        <f>+ISNUMBER(SEARCH('F-VTA'!$F$29,Tabla11[[#This Row],[Cuenta]],1))</f>
        <v>1</v>
      </c>
      <c r="AK643" t="b">
        <f>+ISNUMBER(SEARCH('F-VTA'!$F$30,Tabla11[[#This Row],[Cuenta]],1))</f>
        <v>1</v>
      </c>
      <c r="AL643" t="b">
        <f>+ISNUMBER(SEARCH('F-VTA'!$F$31,Tabla11[[#This Row],[Cuenta]],1))</f>
        <v>1</v>
      </c>
      <c r="AM643" t="b">
        <f>+ISNUMBER(SEARCH('F-VTA'!$F$32,Tabla11[[#This Row],[Cuenta]],1))</f>
        <v>1</v>
      </c>
      <c r="AN643" t="b">
        <f>+ISNUMBER(SEARCH('F-VTA'!$F$33,Tabla11[[#This Row],[Cuenta]],1))</f>
        <v>1</v>
      </c>
      <c r="AO643" t="b">
        <f>+ISNUMBER(SEARCH('F-VTA'!$F$34,Tabla11[[#This Row],[Cuenta]],1))</f>
        <v>1</v>
      </c>
      <c r="AP643" t="b">
        <f>+ISNUMBER(SEARCH('F-VTA'!$F$35,Tabla11[[#This Row],[Cuenta]],1))</f>
        <v>1</v>
      </c>
      <c r="AQ643" t="b">
        <f>+ISNUMBER(SEARCH('F-VTA'!$F$36,Tabla11[[#This Row],[Cuenta]],1))</f>
        <v>1</v>
      </c>
      <c r="AR643" t="b">
        <f>+ISNUMBER(SEARCH(#REF!,Tabla11[[#This Row],[Cuenta]],1))</f>
        <v>0</v>
      </c>
      <c r="AS643" t="b">
        <f>+ISNUMBER(SEARCH(#REF!,Tabla11[[#This Row],[Cuenta]],1))</f>
        <v>0</v>
      </c>
      <c r="AT643" t="b">
        <f>+ISNUMBER(SEARCH(#REF!,Tabla11[[#This Row],[Cuenta]],1))</f>
        <v>0</v>
      </c>
      <c r="AU643" t="b">
        <f>+ISNUMBER(SEARCH('Conc. Ban.1'!$I$9,Tabla11[[#This Row],[Cuenta]],1))</f>
        <v>0</v>
      </c>
      <c r="AV643" t="b">
        <f>+ISNUMBER(SEARCH(CompConta!$F$21,Tabla11[[#This Row],[Cuenta]],1))</f>
        <v>1</v>
      </c>
      <c r="AW643" t="b">
        <f>+ISNUMBER(SEARCH(CompConta!$F$22,Tabla11[[#This Row],[Cuenta]],1))</f>
        <v>1</v>
      </c>
      <c r="AX643" t="b">
        <f>+ISNUMBER(SEARCH(CompConta!$F$23,Tabla11[[#This Row],[Cuenta]],1))</f>
        <v>1</v>
      </c>
      <c r="AY643" t="b">
        <f>+ISNUMBER(SEARCH(CompConta!$F$24,Tabla11[[#This Row],[Cuenta]],1))</f>
        <v>1</v>
      </c>
      <c r="AZ643" t="b">
        <f>+ISNUMBER(SEARCH(CompConta!$F$25,Tabla11[[#This Row],[Cuenta]],1))</f>
        <v>1</v>
      </c>
      <c r="BA643" t="b">
        <f>+ISNUMBER(SEARCH(CompConta!$F$26,Tabla11[[#This Row],[Cuenta]],1))</f>
        <v>1</v>
      </c>
      <c r="BB643" t="b">
        <f>+ISNUMBER(SEARCH(CompConta!$F$27,Tabla11[[#This Row],[Cuenta]],1))</f>
        <v>1</v>
      </c>
      <c r="BC643" t="b">
        <f>+ISNUMBER(SEARCH(CompConta!$F$28,Tabla11[[#This Row],[Cuenta]],1))</f>
        <v>1</v>
      </c>
      <c r="BD643" t="b">
        <f>+ISNUMBER(SEARCH(CompConta!$F$29,Tabla11[[#This Row],[Cuenta]],1))</f>
        <v>1</v>
      </c>
      <c r="BE643" t="b">
        <f>+ISNUMBER(SEARCH(CompConta!$F$30,Tabla11[[#This Row],[Cuenta]],1))</f>
        <v>1</v>
      </c>
      <c r="BF643" t="b">
        <f>+ISNUMBER(SEARCH('PAGO Compras'!$E$11,Tabla11[[#This Row],[Cuenta]],1))</f>
        <v>1</v>
      </c>
      <c r="BG643" t="b">
        <f>+ISNUMBER(SEARCH(#REF!,Tabla11[[#This Row],[Cuenta]],1))</f>
        <v>0</v>
      </c>
      <c r="BH643" t="b">
        <f>+ISNUMBER(SEARCH(#REF!,Tabla11[[#This Row],[Cuenta]],1))</f>
        <v>0</v>
      </c>
      <c r="BI643" t="b">
        <f>+ISNUMBER(SEARCH(#REF!,Tabla11[[#This Row],[Cuenta]],1))</f>
        <v>0</v>
      </c>
      <c r="BJ643" t="b">
        <f>+ISNUMBER(SEARCH(#REF!,Tabla11[[#This Row],[Cuenta]],1))</f>
        <v>0</v>
      </c>
      <c r="BS643" t="str">
        <v>3130 CAPITAL DE PERSONAS NATURALES</v>
      </c>
      <c r="BT643" t="str">
        <v>3130 CAPITAL DE PERSONAS NATURALES</v>
      </c>
      <c r="BU643" t="str">
        <v>3130 CAPITAL DE PERSONAS NATURALES</v>
      </c>
      <c r="BV643" t="str">
        <v>3130 CAPITAL DE PERSONAS NATURALES</v>
      </c>
      <c r="BZ643" t="str">
        <v>3130 CAPITAL DE PERSONAS NATURALES</v>
      </c>
      <c r="CA643" t="str">
        <v>3130 CAPITAL DE PERSONAS NATURALES</v>
      </c>
      <c r="CB643" t="str">
        <v>3130 CAPITAL DE PERSONAS NATURALES</v>
      </c>
      <c r="CC643" t="str">
        <v>3130 CAPITAL DE PERSONAS NATURALES</v>
      </c>
      <c r="CD643" t="str">
        <v>3130 CAPITAL DE PERSONAS NATURALES</v>
      </c>
      <c r="CE643" t="str">
        <v>3130 CAPITAL DE PERSONAS NATURALES</v>
      </c>
      <c r="CS643" s="141" t="str">
        <v>3130 CAPITAL DE PERSONAS NATURALES</v>
      </c>
      <c r="CT643" s="141" t="str">
        <v>3130 CAPITAL DE PERSONAS NATURALES</v>
      </c>
      <c r="CU643" s="141" t="str">
        <v>3130 CAPITAL DE PERSONAS NATURALES</v>
      </c>
      <c r="CV643" s="141" t="str">
        <v>3130 CAPITAL DE PERSONAS NATURALES</v>
      </c>
      <c r="CW643" s="141" t="str">
        <v>3130 CAPITAL DE PERSONAS NATURALES</v>
      </c>
      <c r="CX643" s="141" t="str">
        <v>3130 CAPITAL DE PERSONAS NATURALES</v>
      </c>
      <c r="CY643" s="141" t="str">
        <v>3130 CAPITAL DE PERSONAS NATURALES</v>
      </c>
      <c r="CZ643" s="141" t="str">
        <v>3130 CAPITAL DE PERSONAS NATURALES</v>
      </c>
      <c r="DA643" s="141" t="str">
        <v>3130 CAPITAL DE PERSONAS NATURALES</v>
      </c>
      <c r="DF643" t="str">
        <v>3130 CAPITAL DE PERSONAS NATURALES</v>
      </c>
      <c r="DG643" t="str">
        <v>3130 CAPITAL DE PERSONAS NATURALES</v>
      </c>
      <c r="DH643" t="str">
        <v>3130 CAPITAL DE PERSONAS NATURALES</v>
      </c>
      <c r="DI643" t="str">
        <v>3130 CAPITAL DE PERSONAS NATURALES</v>
      </c>
      <c r="DJ643" t="str">
        <v>3130 CAPITAL DE PERSONAS NATURALES</v>
      </c>
      <c r="DK643" t="str">
        <v>3130 CAPITAL DE PERSONAS NATURALES</v>
      </c>
      <c r="DL643" t="str">
        <v>3130 CAPITAL DE PERSONAS NATURALES</v>
      </c>
      <c r="DM643" t="str">
        <v>3130 CAPITAL DE PERSONAS NATURALES</v>
      </c>
      <c r="DN643" t="str">
        <v>3130 CAPITAL DE PERSONAS NATURALES</v>
      </c>
      <c r="DO643" t="str">
        <v>3130 CAPITAL DE PERSONAS NATURALES</v>
      </c>
      <c r="DP643" t="str">
        <v>3130 CAPITAL DE PERSONAS NATURALES</v>
      </c>
    </row>
    <row r="644" spans="4:120" ht="12.75">
      <c r="D644" s="7">
        <v>3140</v>
      </c>
      <c r="E644" s="6" t="s">
        <v>476</v>
      </c>
      <c r="F644" s="5">
        <v>3</v>
      </c>
      <c r="G644" s="34" t="s">
        <v>827</v>
      </c>
      <c r="H644" s="8" t="s">
        <v>56</v>
      </c>
      <c r="I644" t="b">
        <f>+ISNUMBER(SEARCH('F-COMPRA'!$F$28,Tabla11[[#This Row],[Cuenta]],1))</f>
        <v>1</v>
      </c>
      <c r="J644" t="b">
        <f>+ISNUMBER(SEARCH('F-COMPRA'!$F$29,Tabla11[[#This Row],[Cuenta]],1))</f>
        <v>1</v>
      </c>
      <c r="K644" t="b">
        <f>+ISNUMBER(SEARCH('F-COMPRA'!$F$30,Tabla11[[#This Row],[Cuenta]],1))</f>
        <v>1</v>
      </c>
      <c r="L644" t="b">
        <f>+ISNUMBER(SEARCH('F-COMPRA'!$F$31,Tabla11[[#This Row],[Cuenta]],1))</f>
        <v>1</v>
      </c>
      <c r="M644" t="b">
        <f>+ISNUMBER(SEARCH('F-COMPRA'!$G$25,Tabla11[[#This Row],[Cuenta]],1))</f>
        <v>0</v>
      </c>
      <c r="N644" t="b">
        <f>+ISNUMBER(SEARCH(#REF!,Tabla11[[#This Row],[Cuenta]],1))</f>
        <v>0</v>
      </c>
      <c r="O644" t="b">
        <f>+ISNUMBER(SEARCH(#REF!,Tabla11[[#This Row],[Cuenta]],1))</f>
        <v>0</v>
      </c>
      <c r="P644" t="b">
        <f>+ISNUMBER(SEARCH('F-COMPRA'!$F$32,Tabla11[[#This Row],[Cuenta]],1))</f>
        <v>1</v>
      </c>
      <c r="Q644" t="b">
        <f>+ISNUMBER(SEARCH('F-COMPRA'!$F$33,Tabla11[[#This Row],[Cuenta]],1))</f>
        <v>1</v>
      </c>
      <c r="R644" t="b">
        <f>+ISNUMBER(SEARCH('F-COMPRA'!$F$34,Tabla11[[#This Row],[Cuenta]],1))</f>
        <v>1</v>
      </c>
      <c r="S644" t="b">
        <f>+ISNUMBER(SEARCH('F-COMPRA'!$F$35,Tabla11[[#This Row],[Cuenta]],1))</f>
        <v>1</v>
      </c>
      <c r="T644" t="b">
        <f>+ISNUMBER(SEARCH('F-COMPRA'!$F$36,Tabla11[[#This Row],[Cuenta]],1))</f>
        <v>1</v>
      </c>
      <c r="U644" t="b">
        <f>+ISNUMBER(SEARCH('F-COMPRA'!$F$37,Tabla11[[#This Row],[Cuenta]],1))</f>
        <v>1</v>
      </c>
      <c r="V644" t="b">
        <f>+ISNUMBER(SEARCH(#REF!,Tabla11[[#This Row],[Cuenta]],1))</f>
        <v>0</v>
      </c>
      <c r="W644" t="b">
        <f>+ISNUMBER(SEARCH('F-COMPRA'!#REF!,Tabla11[[#This Row],[Cuenta]],1))</f>
        <v>0</v>
      </c>
      <c r="X644" t="b">
        <f>+ISNUMBER(SEARCH('F-COMPRA'!#REF!,Tabla11[[#This Row],[Cuenta]],1))</f>
        <v>0</v>
      </c>
      <c r="Y644" t="b">
        <f>+ISNUMBER(SEARCH('F-COMPRA'!#REF!,Tabla11[[#This Row],[Cuenta]],1))</f>
        <v>0</v>
      </c>
      <c r="Z644" t="b">
        <f>+ISNUMBER(SEARCH('F-COMPRA'!#REF!,Tabla11[[#This Row],[Cuenta]],1))</f>
        <v>0</v>
      </c>
      <c r="AA644" t="b">
        <f>+ISNUMBER(SEARCH('F-COMPRA'!#REF!,Tabla11[[#This Row],[Cuenta]],1))</f>
        <v>0</v>
      </c>
      <c r="AB644" t="b">
        <f>+ISNUMBER(SEARCH('F-COMPRA'!#REF!,Tabla11[[#This Row],[Cuenta]],1))</f>
        <v>0</v>
      </c>
      <c r="AC644" t="b">
        <f>+ISNUMBER(SEARCH('F-COMPRA'!#REF!,Tabla11[[#This Row],[Cuenta]],1))</f>
        <v>0</v>
      </c>
      <c r="AD644" t="b">
        <f>+ISNUMBER(SEARCH('F-COMPRA'!#REF!,Tabla11[[#This Row],[Cuenta]],1))</f>
        <v>0</v>
      </c>
      <c r="AE644" t="b">
        <f>+ISNUMBER(SEARCH('F-COMPRA'!#REF!,Tabla11[[#This Row],[Cuenta]],1))</f>
        <v>0</v>
      </c>
      <c r="AF644" t="b">
        <f>+ISNUMBER(SEARCH('F-VTA'!$G$23,Tabla11[[#This Row],[Cuenta]],1))</f>
        <v>0</v>
      </c>
      <c r="AG644" t="b">
        <f>+ISNUMBER(SEARCH('F-VTA'!$G$24,Tabla11[[#This Row],[Cuenta]],1))</f>
        <v>0</v>
      </c>
      <c r="AH644" t="b">
        <f>+ISNUMBER(SEARCH('F-VTA'!$G$25,Tabla11[[#This Row],[Cuenta]],1))</f>
        <v>0</v>
      </c>
      <c r="AI644" t="b">
        <f>+ISNUMBER(SEARCH('F-VTA'!$F$28,Tabla11[[#This Row],[Cuenta]],1))</f>
        <v>1</v>
      </c>
      <c r="AJ644" t="b">
        <f>+ISNUMBER(SEARCH('F-VTA'!$F$29,Tabla11[[#This Row],[Cuenta]],1))</f>
        <v>1</v>
      </c>
      <c r="AK644" t="b">
        <f>+ISNUMBER(SEARCH('F-VTA'!$F$30,Tabla11[[#This Row],[Cuenta]],1))</f>
        <v>1</v>
      </c>
      <c r="AL644" t="b">
        <f>+ISNUMBER(SEARCH('F-VTA'!$F$31,Tabla11[[#This Row],[Cuenta]],1))</f>
        <v>1</v>
      </c>
      <c r="AM644" t="b">
        <f>+ISNUMBER(SEARCH('F-VTA'!$F$32,Tabla11[[#This Row],[Cuenta]],1))</f>
        <v>1</v>
      </c>
      <c r="AN644" t="b">
        <f>+ISNUMBER(SEARCH('F-VTA'!$F$33,Tabla11[[#This Row],[Cuenta]],1))</f>
        <v>1</v>
      </c>
      <c r="AO644" t="b">
        <f>+ISNUMBER(SEARCH('F-VTA'!$F$34,Tabla11[[#This Row],[Cuenta]],1))</f>
        <v>1</v>
      </c>
      <c r="AP644" t="b">
        <f>+ISNUMBER(SEARCH('F-VTA'!$F$35,Tabla11[[#This Row],[Cuenta]],1))</f>
        <v>1</v>
      </c>
      <c r="AQ644" t="b">
        <f>+ISNUMBER(SEARCH('F-VTA'!$F$36,Tabla11[[#This Row],[Cuenta]],1))</f>
        <v>1</v>
      </c>
      <c r="AR644" t="b">
        <f>+ISNUMBER(SEARCH(#REF!,Tabla11[[#This Row],[Cuenta]],1))</f>
        <v>0</v>
      </c>
      <c r="AS644" t="b">
        <f>+ISNUMBER(SEARCH(#REF!,Tabla11[[#This Row],[Cuenta]],1))</f>
        <v>0</v>
      </c>
      <c r="AT644" t="b">
        <f>+ISNUMBER(SEARCH(#REF!,Tabla11[[#This Row],[Cuenta]],1))</f>
        <v>0</v>
      </c>
      <c r="AU644" t="b">
        <f>+ISNUMBER(SEARCH('Conc. Ban.1'!$I$9,Tabla11[[#This Row],[Cuenta]],1))</f>
        <v>0</v>
      </c>
      <c r="AV644" t="b">
        <f>+ISNUMBER(SEARCH(CompConta!$F$21,Tabla11[[#This Row],[Cuenta]],1))</f>
        <v>1</v>
      </c>
      <c r="AW644" t="b">
        <f>+ISNUMBER(SEARCH(CompConta!$F$22,Tabla11[[#This Row],[Cuenta]],1))</f>
        <v>1</v>
      </c>
      <c r="AX644" t="b">
        <f>+ISNUMBER(SEARCH(CompConta!$F$23,Tabla11[[#This Row],[Cuenta]],1))</f>
        <v>1</v>
      </c>
      <c r="AY644" t="b">
        <f>+ISNUMBER(SEARCH(CompConta!$F$24,Tabla11[[#This Row],[Cuenta]],1))</f>
        <v>1</v>
      </c>
      <c r="AZ644" t="b">
        <f>+ISNUMBER(SEARCH(CompConta!$F$25,Tabla11[[#This Row],[Cuenta]],1))</f>
        <v>1</v>
      </c>
      <c r="BA644" t="b">
        <f>+ISNUMBER(SEARCH(CompConta!$F$26,Tabla11[[#This Row],[Cuenta]],1))</f>
        <v>1</v>
      </c>
      <c r="BB644" t="b">
        <f>+ISNUMBER(SEARCH(CompConta!$F$27,Tabla11[[#This Row],[Cuenta]],1))</f>
        <v>1</v>
      </c>
      <c r="BC644" t="b">
        <f>+ISNUMBER(SEARCH(CompConta!$F$28,Tabla11[[#This Row],[Cuenta]],1))</f>
        <v>1</v>
      </c>
      <c r="BD644" t="b">
        <f>+ISNUMBER(SEARCH(CompConta!$F$29,Tabla11[[#This Row],[Cuenta]],1))</f>
        <v>1</v>
      </c>
      <c r="BE644" t="b">
        <f>+ISNUMBER(SEARCH(CompConta!$F$30,Tabla11[[#This Row],[Cuenta]],1))</f>
        <v>1</v>
      </c>
      <c r="BF644" t="b">
        <f>+ISNUMBER(SEARCH('PAGO Compras'!$E$11,Tabla11[[#This Row],[Cuenta]],1))</f>
        <v>1</v>
      </c>
      <c r="BG644" t="b">
        <f>+ISNUMBER(SEARCH(#REF!,Tabla11[[#This Row],[Cuenta]],1))</f>
        <v>0</v>
      </c>
      <c r="BH644" t="b">
        <f>+ISNUMBER(SEARCH(#REF!,Tabla11[[#This Row],[Cuenta]],1))</f>
        <v>0</v>
      </c>
      <c r="BI644" t="b">
        <f>+ISNUMBER(SEARCH(#REF!,Tabla11[[#This Row],[Cuenta]],1))</f>
        <v>0</v>
      </c>
      <c r="BJ644" t="b">
        <f>+ISNUMBER(SEARCH(#REF!,Tabla11[[#This Row],[Cuenta]],1))</f>
        <v>0</v>
      </c>
      <c r="BS644" t="str">
        <v>3140 FONDO SOCIAL</v>
      </c>
      <c r="BT644" t="str">
        <v>3140 FONDO SOCIAL</v>
      </c>
      <c r="BU644" t="str">
        <v>3140 FONDO SOCIAL</v>
      </c>
      <c r="BV644" t="str">
        <v>3140 FONDO SOCIAL</v>
      </c>
      <c r="BZ644" t="str">
        <v>3140 FONDO SOCIAL</v>
      </c>
      <c r="CA644" t="str">
        <v>3140 FONDO SOCIAL</v>
      </c>
      <c r="CB644" t="str">
        <v>3140 FONDO SOCIAL</v>
      </c>
      <c r="CC644" t="str">
        <v>3140 FONDO SOCIAL</v>
      </c>
      <c r="CD644" t="str">
        <v>3140 FONDO SOCIAL</v>
      </c>
      <c r="CE644" t="str">
        <v>3140 FONDO SOCIAL</v>
      </c>
      <c r="CS644" s="141" t="str">
        <v>3140 FONDO SOCIAL</v>
      </c>
      <c r="CT644" s="141" t="str">
        <v>3140 FONDO SOCIAL</v>
      </c>
      <c r="CU644" s="141" t="str">
        <v>3140 FONDO SOCIAL</v>
      </c>
      <c r="CV644" s="141" t="str">
        <v>3140 FONDO SOCIAL</v>
      </c>
      <c r="CW644" s="141" t="str">
        <v>3140 FONDO SOCIAL</v>
      </c>
      <c r="CX644" s="141" t="str">
        <v>3140 FONDO SOCIAL</v>
      </c>
      <c r="CY644" s="141" t="str">
        <v>3140 FONDO SOCIAL</v>
      </c>
      <c r="CZ644" s="141" t="str">
        <v>3140 FONDO SOCIAL</v>
      </c>
      <c r="DA644" s="141" t="str">
        <v>3140 FONDO SOCIAL</v>
      </c>
      <c r="DF644" t="str">
        <v>3140 FONDO SOCIAL</v>
      </c>
      <c r="DG644" t="str">
        <v>3140 FONDO SOCIAL</v>
      </c>
      <c r="DH644" t="str">
        <v>3140 FONDO SOCIAL</v>
      </c>
      <c r="DI644" t="str">
        <v>3140 FONDO SOCIAL</v>
      </c>
      <c r="DJ644" t="str">
        <v>3140 FONDO SOCIAL</v>
      </c>
      <c r="DK644" t="str">
        <v>3140 FONDO SOCIAL</v>
      </c>
      <c r="DL644" t="str">
        <v>3140 FONDO SOCIAL</v>
      </c>
      <c r="DM644" t="str">
        <v>3140 FONDO SOCIAL</v>
      </c>
      <c r="DN644" t="str">
        <v>3140 FONDO SOCIAL</v>
      </c>
      <c r="DO644" t="str">
        <v>3140 FONDO SOCIAL</v>
      </c>
      <c r="DP644" t="str">
        <v>3140 FONDO SOCIAL</v>
      </c>
    </row>
    <row r="645" spans="4:120" ht="12.75">
      <c r="D645" s="7">
        <v>314005</v>
      </c>
      <c r="E645" s="6" t="s">
        <v>476</v>
      </c>
      <c r="F645" s="5">
        <v>4</v>
      </c>
      <c r="G645" s="34" t="s">
        <v>827</v>
      </c>
      <c r="H645" s="8" t="s">
        <v>765</v>
      </c>
      <c r="I645" t="b">
        <f>+ISNUMBER(SEARCH('F-COMPRA'!$F$28,Tabla11[[#This Row],[Cuenta]],1))</f>
        <v>1</v>
      </c>
      <c r="J645" t="b">
        <f>+ISNUMBER(SEARCH('F-COMPRA'!$F$29,Tabla11[[#This Row],[Cuenta]],1))</f>
        <v>1</v>
      </c>
      <c r="K645" t="b">
        <f>+ISNUMBER(SEARCH('F-COMPRA'!$F$30,Tabla11[[#This Row],[Cuenta]],1))</f>
        <v>1</v>
      </c>
      <c r="L645" t="b">
        <f>+ISNUMBER(SEARCH('F-COMPRA'!$F$31,Tabla11[[#This Row],[Cuenta]],1))</f>
        <v>1</v>
      </c>
      <c r="M645" t="b">
        <f>+ISNUMBER(SEARCH('F-COMPRA'!$G$25,Tabla11[[#This Row],[Cuenta]],1))</f>
        <v>0</v>
      </c>
      <c r="N645" t="b">
        <f>+ISNUMBER(SEARCH(#REF!,Tabla11[[#This Row],[Cuenta]],1))</f>
        <v>0</v>
      </c>
      <c r="O645" t="b">
        <f>+ISNUMBER(SEARCH(#REF!,Tabla11[[#This Row],[Cuenta]],1))</f>
        <v>0</v>
      </c>
      <c r="P645" t="b">
        <f>+ISNUMBER(SEARCH('F-COMPRA'!$F$32,Tabla11[[#This Row],[Cuenta]],1))</f>
        <v>1</v>
      </c>
      <c r="Q645" t="b">
        <f>+ISNUMBER(SEARCH('F-COMPRA'!$F$33,Tabla11[[#This Row],[Cuenta]],1))</f>
        <v>1</v>
      </c>
      <c r="R645" t="b">
        <f>+ISNUMBER(SEARCH('F-COMPRA'!$F$34,Tabla11[[#This Row],[Cuenta]],1))</f>
        <v>1</v>
      </c>
      <c r="S645" t="b">
        <f>+ISNUMBER(SEARCH('F-COMPRA'!$F$35,Tabla11[[#This Row],[Cuenta]],1))</f>
        <v>1</v>
      </c>
      <c r="T645" t="b">
        <f>+ISNUMBER(SEARCH('F-COMPRA'!$F$36,Tabla11[[#This Row],[Cuenta]],1))</f>
        <v>1</v>
      </c>
      <c r="U645" t="b">
        <f>+ISNUMBER(SEARCH('F-COMPRA'!$F$37,Tabla11[[#This Row],[Cuenta]],1))</f>
        <v>1</v>
      </c>
      <c r="V645" t="b">
        <f>+ISNUMBER(SEARCH(#REF!,Tabla11[[#This Row],[Cuenta]],1))</f>
        <v>0</v>
      </c>
      <c r="W645" t="b">
        <f>+ISNUMBER(SEARCH('F-COMPRA'!#REF!,Tabla11[[#This Row],[Cuenta]],1))</f>
        <v>0</v>
      </c>
      <c r="X645" t="b">
        <f>+ISNUMBER(SEARCH('F-COMPRA'!#REF!,Tabla11[[#This Row],[Cuenta]],1))</f>
        <v>0</v>
      </c>
      <c r="Y645" t="b">
        <f>+ISNUMBER(SEARCH('F-COMPRA'!#REF!,Tabla11[[#This Row],[Cuenta]],1))</f>
        <v>0</v>
      </c>
      <c r="Z645" t="b">
        <f>+ISNUMBER(SEARCH('F-COMPRA'!#REF!,Tabla11[[#This Row],[Cuenta]],1))</f>
        <v>0</v>
      </c>
      <c r="AA645" t="b">
        <f>+ISNUMBER(SEARCH('F-COMPRA'!#REF!,Tabla11[[#This Row],[Cuenta]],1))</f>
        <v>0</v>
      </c>
      <c r="AB645" t="b">
        <f>+ISNUMBER(SEARCH('F-COMPRA'!#REF!,Tabla11[[#This Row],[Cuenta]],1))</f>
        <v>0</v>
      </c>
      <c r="AC645" t="b">
        <f>+ISNUMBER(SEARCH('F-COMPRA'!#REF!,Tabla11[[#This Row],[Cuenta]],1))</f>
        <v>0</v>
      </c>
      <c r="AD645" t="b">
        <f>+ISNUMBER(SEARCH('F-COMPRA'!#REF!,Tabla11[[#This Row],[Cuenta]],1))</f>
        <v>0</v>
      </c>
      <c r="AE645" t="b">
        <f>+ISNUMBER(SEARCH('F-COMPRA'!#REF!,Tabla11[[#This Row],[Cuenta]],1))</f>
        <v>0</v>
      </c>
      <c r="AF645" t="b">
        <f>+ISNUMBER(SEARCH('F-VTA'!$G$23,Tabla11[[#This Row],[Cuenta]],1))</f>
        <v>0</v>
      </c>
      <c r="AG645" t="b">
        <f>+ISNUMBER(SEARCH('F-VTA'!$G$24,Tabla11[[#This Row],[Cuenta]],1))</f>
        <v>0</v>
      </c>
      <c r="AH645" t="b">
        <f>+ISNUMBER(SEARCH('F-VTA'!$G$25,Tabla11[[#This Row],[Cuenta]],1))</f>
        <v>0</v>
      </c>
      <c r="AI645" t="b">
        <f>+ISNUMBER(SEARCH('F-VTA'!$F$28,Tabla11[[#This Row],[Cuenta]],1))</f>
        <v>1</v>
      </c>
      <c r="AJ645" t="b">
        <f>+ISNUMBER(SEARCH('F-VTA'!$F$29,Tabla11[[#This Row],[Cuenta]],1))</f>
        <v>1</v>
      </c>
      <c r="AK645" t="b">
        <f>+ISNUMBER(SEARCH('F-VTA'!$F$30,Tabla11[[#This Row],[Cuenta]],1))</f>
        <v>1</v>
      </c>
      <c r="AL645" t="b">
        <f>+ISNUMBER(SEARCH('F-VTA'!$F$31,Tabla11[[#This Row],[Cuenta]],1))</f>
        <v>1</v>
      </c>
      <c r="AM645" t="b">
        <f>+ISNUMBER(SEARCH('F-VTA'!$F$32,Tabla11[[#This Row],[Cuenta]],1))</f>
        <v>1</v>
      </c>
      <c r="AN645" t="b">
        <f>+ISNUMBER(SEARCH('F-VTA'!$F$33,Tabla11[[#This Row],[Cuenta]],1))</f>
        <v>1</v>
      </c>
      <c r="AO645" t="b">
        <f>+ISNUMBER(SEARCH('F-VTA'!$F$34,Tabla11[[#This Row],[Cuenta]],1))</f>
        <v>1</v>
      </c>
      <c r="AP645" t="b">
        <f>+ISNUMBER(SEARCH('F-VTA'!$F$35,Tabla11[[#This Row],[Cuenta]],1))</f>
        <v>1</v>
      </c>
      <c r="AQ645" t="b">
        <f>+ISNUMBER(SEARCH('F-VTA'!$F$36,Tabla11[[#This Row],[Cuenta]],1))</f>
        <v>1</v>
      </c>
      <c r="AR645" t="b">
        <f>+ISNUMBER(SEARCH(#REF!,Tabla11[[#This Row],[Cuenta]],1))</f>
        <v>0</v>
      </c>
      <c r="AS645" t="b">
        <f>+ISNUMBER(SEARCH(#REF!,Tabla11[[#This Row],[Cuenta]],1))</f>
        <v>0</v>
      </c>
      <c r="AT645" t="b">
        <f>+ISNUMBER(SEARCH(#REF!,Tabla11[[#This Row],[Cuenta]],1))</f>
        <v>0</v>
      </c>
      <c r="AU645" t="b">
        <f>+ISNUMBER(SEARCH('Conc. Ban.1'!$I$9,Tabla11[[#This Row],[Cuenta]],1))</f>
        <v>0</v>
      </c>
      <c r="AV645" t="b">
        <f>+ISNUMBER(SEARCH(CompConta!$F$21,Tabla11[[#This Row],[Cuenta]],1))</f>
        <v>1</v>
      </c>
      <c r="AW645" t="b">
        <f>+ISNUMBER(SEARCH(CompConta!$F$22,Tabla11[[#This Row],[Cuenta]],1))</f>
        <v>1</v>
      </c>
      <c r="AX645" t="b">
        <f>+ISNUMBER(SEARCH(CompConta!$F$23,Tabla11[[#This Row],[Cuenta]],1))</f>
        <v>1</v>
      </c>
      <c r="AY645" t="b">
        <f>+ISNUMBER(SEARCH(CompConta!$F$24,Tabla11[[#This Row],[Cuenta]],1))</f>
        <v>1</v>
      </c>
      <c r="AZ645" t="b">
        <f>+ISNUMBER(SEARCH(CompConta!$F$25,Tabla11[[#This Row],[Cuenta]],1))</f>
        <v>1</v>
      </c>
      <c r="BA645" t="b">
        <f>+ISNUMBER(SEARCH(CompConta!$F$26,Tabla11[[#This Row],[Cuenta]],1))</f>
        <v>1</v>
      </c>
      <c r="BB645" t="b">
        <f>+ISNUMBER(SEARCH(CompConta!$F$27,Tabla11[[#This Row],[Cuenta]],1))</f>
        <v>1</v>
      </c>
      <c r="BC645" t="b">
        <f>+ISNUMBER(SEARCH(CompConta!$F$28,Tabla11[[#This Row],[Cuenta]],1))</f>
        <v>1</v>
      </c>
      <c r="BD645" t="b">
        <f>+ISNUMBER(SEARCH(CompConta!$F$29,Tabla11[[#This Row],[Cuenta]],1))</f>
        <v>1</v>
      </c>
      <c r="BE645" t="b">
        <f>+ISNUMBER(SEARCH(CompConta!$F$30,Tabla11[[#This Row],[Cuenta]],1))</f>
        <v>1</v>
      </c>
      <c r="BF645" t="b">
        <f>+ISNUMBER(SEARCH('PAGO Compras'!$E$11,Tabla11[[#This Row],[Cuenta]],1))</f>
        <v>1</v>
      </c>
      <c r="BG645" t="b">
        <f>+ISNUMBER(SEARCH(#REF!,Tabla11[[#This Row],[Cuenta]],1))</f>
        <v>0</v>
      </c>
      <c r="BH645" t="b">
        <f>+ISNUMBER(SEARCH(#REF!,Tabla11[[#This Row],[Cuenta]],1))</f>
        <v>0</v>
      </c>
      <c r="BI645" t="b">
        <f>+ISNUMBER(SEARCH(#REF!,Tabla11[[#This Row],[Cuenta]],1))</f>
        <v>0</v>
      </c>
      <c r="BJ645" t="b">
        <f>+ISNUMBER(SEARCH(#REF!,Tabla11[[#This Row],[Cuenta]],1))</f>
        <v>0</v>
      </c>
      <c r="BS645" t="str">
        <v>314005 FONDO SOCIAL</v>
      </c>
      <c r="BT645" t="str">
        <v>314005 FONDO SOCIAL</v>
      </c>
      <c r="BU645" t="str">
        <v>314005 FONDO SOCIAL</v>
      </c>
      <c r="BV645" t="str">
        <v>314005 FONDO SOCIAL</v>
      </c>
      <c r="BZ645" t="str">
        <v>314005 FONDO SOCIAL</v>
      </c>
      <c r="CA645" t="str">
        <v>314005 FONDO SOCIAL</v>
      </c>
      <c r="CB645" t="str">
        <v>314005 FONDO SOCIAL</v>
      </c>
      <c r="CC645" t="str">
        <v>314005 FONDO SOCIAL</v>
      </c>
      <c r="CD645" t="str">
        <v>314005 FONDO SOCIAL</v>
      </c>
      <c r="CE645" t="str">
        <v>314005 FONDO SOCIAL</v>
      </c>
      <c r="CS645" s="141" t="str">
        <v>314005 FONDO SOCIAL</v>
      </c>
      <c r="CT645" s="141" t="str">
        <v>314005 FONDO SOCIAL</v>
      </c>
      <c r="CU645" s="141" t="str">
        <v>314005 FONDO SOCIAL</v>
      </c>
      <c r="CV645" s="141" t="str">
        <v>314005 FONDO SOCIAL</v>
      </c>
      <c r="CW645" s="141" t="str">
        <v>314005 FONDO SOCIAL</v>
      </c>
      <c r="CX645" s="141" t="str">
        <v>314005 FONDO SOCIAL</v>
      </c>
      <c r="CY645" s="141" t="str">
        <v>314005 FONDO SOCIAL</v>
      </c>
      <c r="CZ645" s="141" t="str">
        <v>314005 FONDO SOCIAL</v>
      </c>
      <c r="DA645" s="141" t="str">
        <v>314005 FONDO SOCIAL</v>
      </c>
      <c r="DF645" t="str">
        <v>314005 FONDO SOCIAL</v>
      </c>
      <c r="DG645" t="str">
        <v>314005 FONDO SOCIAL</v>
      </c>
      <c r="DH645" t="str">
        <v>314005 FONDO SOCIAL</v>
      </c>
      <c r="DI645" t="str">
        <v>314005 FONDO SOCIAL</v>
      </c>
      <c r="DJ645" t="str">
        <v>314005 FONDO SOCIAL</v>
      </c>
      <c r="DK645" t="str">
        <v>314005 FONDO SOCIAL</v>
      </c>
      <c r="DL645" t="str">
        <v>314005 FONDO SOCIAL</v>
      </c>
      <c r="DM645" t="str">
        <v>314005 FONDO SOCIAL</v>
      </c>
      <c r="DN645" t="str">
        <v>314005 FONDO SOCIAL</v>
      </c>
      <c r="DO645" t="str">
        <v>314005 FONDO SOCIAL</v>
      </c>
      <c r="DP645" t="str">
        <v>314005 FONDO SOCIAL</v>
      </c>
    </row>
    <row r="646" spans="4:120" ht="12.75">
      <c r="D646" s="7">
        <v>32</v>
      </c>
      <c r="E646" s="6" t="s">
        <v>477</v>
      </c>
      <c r="F646" s="5">
        <v>2</v>
      </c>
      <c r="G646" s="34" t="s">
        <v>827</v>
      </c>
      <c r="H646" s="8" t="s">
        <v>56</v>
      </c>
      <c r="I646" t="b">
        <f>+ISNUMBER(SEARCH('F-COMPRA'!$F$28,Tabla11[[#This Row],[Cuenta]],1))</f>
        <v>1</v>
      </c>
      <c r="J646" t="b">
        <f>+ISNUMBER(SEARCH('F-COMPRA'!$F$29,Tabla11[[#This Row],[Cuenta]],1))</f>
        <v>1</v>
      </c>
      <c r="K646" t="b">
        <f>+ISNUMBER(SEARCH('F-COMPRA'!$F$30,Tabla11[[#This Row],[Cuenta]],1))</f>
        <v>1</v>
      </c>
      <c r="L646" t="b">
        <f>+ISNUMBER(SEARCH('F-COMPRA'!$F$31,Tabla11[[#This Row],[Cuenta]],1))</f>
        <v>1</v>
      </c>
      <c r="M646" t="b">
        <f>+ISNUMBER(SEARCH('F-COMPRA'!$G$25,Tabla11[[#This Row],[Cuenta]],1))</f>
        <v>0</v>
      </c>
      <c r="N646" t="b">
        <f>+ISNUMBER(SEARCH(#REF!,Tabla11[[#This Row],[Cuenta]],1))</f>
        <v>0</v>
      </c>
      <c r="O646" t="b">
        <f>+ISNUMBER(SEARCH(#REF!,Tabla11[[#This Row],[Cuenta]],1))</f>
        <v>0</v>
      </c>
      <c r="P646" t="b">
        <f>+ISNUMBER(SEARCH('F-COMPRA'!$F$32,Tabla11[[#This Row],[Cuenta]],1))</f>
        <v>1</v>
      </c>
      <c r="Q646" t="b">
        <f>+ISNUMBER(SEARCH('F-COMPRA'!$F$33,Tabla11[[#This Row],[Cuenta]],1))</f>
        <v>1</v>
      </c>
      <c r="R646" t="b">
        <f>+ISNUMBER(SEARCH('F-COMPRA'!$F$34,Tabla11[[#This Row],[Cuenta]],1))</f>
        <v>1</v>
      </c>
      <c r="S646" t="b">
        <f>+ISNUMBER(SEARCH('F-COMPRA'!$F$35,Tabla11[[#This Row],[Cuenta]],1))</f>
        <v>1</v>
      </c>
      <c r="T646" t="b">
        <f>+ISNUMBER(SEARCH('F-COMPRA'!$F$36,Tabla11[[#This Row],[Cuenta]],1))</f>
        <v>1</v>
      </c>
      <c r="U646" t="b">
        <f>+ISNUMBER(SEARCH('F-COMPRA'!$F$37,Tabla11[[#This Row],[Cuenta]],1))</f>
        <v>1</v>
      </c>
      <c r="V646" t="b">
        <f>+ISNUMBER(SEARCH(#REF!,Tabla11[[#This Row],[Cuenta]],1))</f>
        <v>0</v>
      </c>
      <c r="W646" t="b">
        <f>+ISNUMBER(SEARCH('F-COMPRA'!#REF!,Tabla11[[#This Row],[Cuenta]],1))</f>
        <v>0</v>
      </c>
      <c r="X646" t="b">
        <f>+ISNUMBER(SEARCH('F-COMPRA'!#REF!,Tabla11[[#This Row],[Cuenta]],1))</f>
        <v>0</v>
      </c>
      <c r="Y646" t="b">
        <f>+ISNUMBER(SEARCH('F-COMPRA'!#REF!,Tabla11[[#This Row],[Cuenta]],1))</f>
        <v>0</v>
      </c>
      <c r="Z646" t="b">
        <f>+ISNUMBER(SEARCH('F-COMPRA'!#REF!,Tabla11[[#This Row],[Cuenta]],1))</f>
        <v>0</v>
      </c>
      <c r="AA646" t="b">
        <f>+ISNUMBER(SEARCH('F-COMPRA'!#REF!,Tabla11[[#This Row],[Cuenta]],1))</f>
        <v>0</v>
      </c>
      <c r="AB646" t="b">
        <f>+ISNUMBER(SEARCH('F-COMPRA'!#REF!,Tabla11[[#This Row],[Cuenta]],1))</f>
        <v>0</v>
      </c>
      <c r="AC646" t="b">
        <f>+ISNUMBER(SEARCH('F-COMPRA'!#REF!,Tabla11[[#This Row],[Cuenta]],1))</f>
        <v>0</v>
      </c>
      <c r="AD646" t="b">
        <f>+ISNUMBER(SEARCH('F-COMPRA'!#REF!,Tabla11[[#This Row],[Cuenta]],1))</f>
        <v>0</v>
      </c>
      <c r="AE646" t="b">
        <f>+ISNUMBER(SEARCH('F-COMPRA'!#REF!,Tabla11[[#This Row],[Cuenta]],1))</f>
        <v>0</v>
      </c>
      <c r="AF646" t="b">
        <f>+ISNUMBER(SEARCH('F-VTA'!$G$23,Tabla11[[#This Row],[Cuenta]],1))</f>
        <v>0</v>
      </c>
      <c r="AG646" t="b">
        <f>+ISNUMBER(SEARCH('F-VTA'!$G$24,Tabla11[[#This Row],[Cuenta]],1))</f>
        <v>0</v>
      </c>
      <c r="AH646" t="b">
        <f>+ISNUMBER(SEARCH('F-VTA'!$G$25,Tabla11[[#This Row],[Cuenta]],1))</f>
        <v>0</v>
      </c>
      <c r="AI646" t="b">
        <f>+ISNUMBER(SEARCH('F-VTA'!$F$28,Tabla11[[#This Row],[Cuenta]],1))</f>
        <v>1</v>
      </c>
      <c r="AJ646" t="b">
        <f>+ISNUMBER(SEARCH('F-VTA'!$F$29,Tabla11[[#This Row],[Cuenta]],1))</f>
        <v>1</v>
      </c>
      <c r="AK646" t="b">
        <f>+ISNUMBER(SEARCH('F-VTA'!$F$30,Tabla11[[#This Row],[Cuenta]],1))</f>
        <v>1</v>
      </c>
      <c r="AL646" t="b">
        <f>+ISNUMBER(SEARCH('F-VTA'!$F$31,Tabla11[[#This Row],[Cuenta]],1))</f>
        <v>1</v>
      </c>
      <c r="AM646" t="b">
        <f>+ISNUMBER(SEARCH('F-VTA'!$F$32,Tabla11[[#This Row],[Cuenta]],1))</f>
        <v>1</v>
      </c>
      <c r="AN646" t="b">
        <f>+ISNUMBER(SEARCH('F-VTA'!$F$33,Tabla11[[#This Row],[Cuenta]],1))</f>
        <v>1</v>
      </c>
      <c r="AO646" t="b">
        <f>+ISNUMBER(SEARCH('F-VTA'!$F$34,Tabla11[[#This Row],[Cuenta]],1))</f>
        <v>1</v>
      </c>
      <c r="AP646" t="b">
        <f>+ISNUMBER(SEARCH('F-VTA'!$F$35,Tabla11[[#This Row],[Cuenta]],1))</f>
        <v>1</v>
      </c>
      <c r="AQ646" t="b">
        <f>+ISNUMBER(SEARCH('F-VTA'!$F$36,Tabla11[[#This Row],[Cuenta]],1))</f>
        <v>1</v>
      </c>
      <c r="AR646" t="b">
        <f>+ISNUMBER(SEARCH(#REF!,Tabla11[[#This Row],[Cuenta]],1))</f>
        <v>0</v>
      </c>
      <c r="AS646" t="b">
        <f>+ISNUMBER(SEARCH(#REF!,Tabla11[[#This Row],[Cuenta]],1))</f>
        <v>0</v>
      </c>
      <c r="AT646" t="b">
        <f>+ISNUMBER(SEARCH(#REF!,Tabla11[[#This Row],[Cuenta]],1))</f>
        <v>0</v>
      </c>
      <c r="AU646" t="b">
        <f>+ISNUMBER(SEARCH('Conc. Ban.1'!$I$9,Tabla11[[#This Row],[Cuenta]],1))</f>
        <v>0</v>
      </c>
      <c r="AV646" t="b">
        <f>+ISNUMBER(SEARCH(CompConta!$F$21,Tabla11[[#This Row],[Cuenta]],1))</f>
        <v>1</v>
      </c>
      <c r="AW646" t="b">
        <f>+ISNUMBER(SEARCH(CompConta!$F$22,Tabla11[[#This Row],[Cuenta]],1))</f>
        <v>1</v>
      </c>
      <c r="AX646" t="b">
        <f>+ISNUMBER(SEARCH(CompConta!$F$23,Tabla11[[#This Row],[Cuenta]],1))</f>
        <v>1</v>
      </c>
      <c r="AY646" t="b">
        <f>+ISNUMBER(SEARCH(CompConta!$F$24,Tabla11[[#This Row],[Cuenta]],1))</f>
        <v>1</v>
      </c>
      <c r="AZ646" t="b">
        <f>+ISNUMBER(SEARCH(CompConta!$F$25,Tabla11[[#This Row],[Cuenta]],1))</f>
        <v>1</v>
      </c>
      <c r="BA646" t="b">
        <f>+ISNUMBER(SEARCH(CompConta!$F$26,Tabla11[[#This Row],[Cuenta]],1))</f>
        <v>1</v>
      </c>
      <c r="BB646" t="b">
        <f>+ISNUMBER(SEARCH(CompConta!$F$27,Tabla11[[#This Row],[Cuenta]],1))</f>
        <v>1</v>
      </c>
      <c r="BC646" t="b">
        <f>+ISNUMBER(SEARCH(CompConta!$F$28,Tabla11[[#This Row],[Cuenta]],1))</f>
        <v>1</v>
      </c>
      <c r="BD646" t="b">
        <f>+ISNUMBER(SEARCH(CompConta!$F$29,Tabla11[[#This Row],[Cuenta]],1))</f>
        <v>1</v>
      </c>
      <c r="BE646" t="b">
        <f>+ISNUMBER(SEARCH(CompConta!$F$30,Tabla11[[#This Row],[Cuenta]],1))</f>
        <v>1</v>
      </c>
      <c r="BF646" t="b">
        <f>+ISNUMBER(SEARCH('PAGO Compras'!$E$11,Tabla11[[#This Row],[Cuenta]],1))</f>
        <v>1</v>
      </c>
      <c r="BG646" t="b">
        <f>+ISNUMBER(SEARCH(#REF!,Tabla11[[#This Row],[Cuenta]],1))</f>
        <v>0</v>
      </c>
      <c r="BH646" t="b">
        <f>+ISNUMBER(SEARCH(#REF!,Tabla11[[#This Row],[Cuenta]],1))</f>
        <v>0</v>
      </c>
      <c r="BI646" t="b">
        <f>+ISNUMBER(SEARCH(#REF!,Tabla11[[#This Row],[Cuenta]],1))</f>
        <v>0</v>
      </c>
      <c r="BJ646" t="b">
        <f>+ISNUMBER(SEARCH(#REF!,Tabla11[[#This Row],[Cuenta]],1))</f>
        <v>0</v>
      </c>
      <c r="BS646" t="str">
        <v>32 SUPERÁVIT DE CAPITAL</v>
      </c>
      <c r="BT646" t="str">
        <v>32 SUPERÁVIT DE CAPITAL</v>
      </c>
      <c r="BU646" t="str">
        <v>32 SUPERÁVIT DE CAPITAL</v>
      </c>
      <c r="BV646" t="str">
        <v>32 SUPERÁVIT DE CAPITAL</v>
      </c>
      <c r="BZ646" t="str">
        <v>32 SUPERÁVIT DE CAPITAL</v>
      </c>
      <c r="CA646" t="str">
        <v>32 SUPERÁVIT DE CAPITAL</v>
      </c>
      <c r="CB646" t="str">
        <v>32 SUPERÁVIT DE CAPITAL</v>
      </c>
      <c r="CC646" t="str">
        <v>32 SUPERÁVIT DE CAPITAL</v>
      </c>
      <c r="CD646" t="str">
        <v>32 SUPERÁVIT DE CAPITAL</v>
      </c>
      <c r="CE646" t="str">
        <v>32 SUPERÁVIT DE CAPITAL</v>
      </c>
      <c r="CS646" s="141" t="str">
        <v>32 SUPERÁVIT DE CAPITAL</v>
      </c>
      <c r="CT646" s="141" t="str">
        <v>32 SUPERÁVIT DE CAPITAL</v>
      </c>
      <c r="CU646" s="141" t="str">
        <v>32 SUPERÁVIT DE CAPITAL</v>
      </c>
      <c r="CV646" s="141" t="str">
        <v>32 SUPERÁVIT DE CAPITAL</v>
      </c>
      <c r="CW646" s="141" t="str">
        <v>32 SUPERÁVIT DE CAPITAL</v>
      </c>
      <c r="CX646" s="141" t="str">
        <v>32 SUPERÁVIT DE CAPITAL</v>
      </c>
      <c r="CY646" s="141" t="str">
        <v>32 SUPERÁVIT DE CAPITAL</v>
      </c>
      <c r="CZ646" s="141" t="str">
        <v>32 SUPERÁVIT DE CAPITAL</v>
      </c>
      <c r="DA646" s="141" t="str">
        <v>32 SUPERÁVIT DE CAPITAL</v>
      </c>
      <c r="DF646" t="str">
        <v>32 SUPERÁVIT DE CAPITAL</v>
      </c>
      <c r="DG646" t="str">
        <v>32 SUPERÁVIT DE CAPITAL</v>
      </c>
      <c r="DH646" t="str">
        <v>32 SUPERÁVIT DE CAPITAL</v>
      </c>
      <c r="DI646" t="str">
        <v>32 SUPERÁVIT DE CAPITAL</v>
      </c>
      <c r="DJ646" t="str">
        <v>32 SUPERÁVIT DE CAPITAL</v>
      </c>
      <c r="DK646" t="str">
        <v>32 SUPERÁVIT DE CAPITAL</v>
      </c>
      <c r="DL646" t="str">
        <v>32 SUPERÁVIT DE CAPITAL</v>
      </c>
      <c r="DM646" t="str">
        <v>32 SUPERÁVIT DE CAPITAL</v>
      </c>
      <c r="DN646" t="str">
        <v>32 SUPERÁVIT DE CAPITAL</v>
      </c>
      <c r="DO646" t="str">
        <v>32 SUPERÁVIT DE CAPITAL</v>
      </c>
      <c r="DP646" t="str">
        <v>32 SUPERÁVIT DE CAPITAL</v>
      </c>
    </row>
    <row r="647" spans="4:120" ht="12.75">
      <c r="D647" s="7">
        <v>3205</v>
      </c>
      <c r="E647" s="6" t="s">
        <v>478</v>
      </c>
      <c r="F647" s="5">
        <v>3</v>
      </c>
      <c r="G647" s="34" t="s">
        <v>827</v>
      </c>
      <c r="H647" s="8" t="s">
        <v>56</v>
      </c>
      <c r="I647" t="b">
        <f>+ISNUMBER(SEARCH('F-COMPRA'!$F$28,Tabla11[[#This Row],[Cuenta]],1))</f>
        <v>1</v>
      </c>
      <c r="J647" t="b">
        <f>+ISNUMBER(SEARCH('F-COMPRA'!$F$29,Tabla11[[#This Row],[Cuenta]],1))</f>
        <v>1</v>
      </c>
      <c r="K647" t="b">
        <f>+ISNUMBER(SEARCH('F-COMPRA'!$F$30,Tabla11[[#This Row],[Cuenta]],1))</f>
        <v>1</v>
      </c>
      <c r="L647" t="b">
        <f>+ISNUMBER(SEARCH('F-COMPRA'!$F$31,Tabla11[[#This Row],[Cuenta]],1))</f>
        <v>1</v>
      </c>
      <c r="M647" t="b">
        <f>+ISNUMBER(SEARCH('F-COMPRA'!$G$25,Tabla11[[#This Row],[Cuenta]],1))</f>
        <v>0</v>
      </c>
      <c r="N647" t="b">
        <f>+ISNUMBER(SEARCH(#REF!,Tabla11[[#This Row],[Cuenta]],1))</f>
        <v>0</v>
      </c>
      <c r="O647" t="b">
        <f>+ISNUMBER(SEARCH(#REF!,Tabla11[[#This Row],[Cuenta]],1))</f>
        <v>0</v>
      </c>
      <c r="P647" t="b">
        <f>+ISNUMBER(SEARCH('F-COMPRA'!$F$32,Tabla11[[#This Row],[Cuenta]],1))</f>
        <v>1</v>
      </c>
      <c r="Q647" t="b">
        <f>+ISNUMBER(SEARCH('F-COMPRA'!$F$33,Tabla11[[#This Row],[Cuenta]],1))</f>
        <v>1</v>
      </c>
      <c r="R647" t="b">
        <f>+ISNUMBER(SEARCH('F-COMPRA'!$F$34,Tabla11[[#This Row],[Cuenta]],1))</f>
        <v>1</v>
      </c>
      <c r="S647" t="b">
        <f>+ISNUMBER(SEARCH('F-COMPRA'!$F$35,Tabla11[[#This Row],[Cuenta]],1))</f>
        <v>1</v>
      </c>
      <c r="T647" t="b">
        <f>+ISNUMBER(SEARCH('F-COMPRA'!$F$36,Tabla11[[#This Row],[Cuenta]],1))</f>
        <v>1</v>
      </c>
      <c r="U647" t="b">
        <f>+ISNUMBER(SEARCH('F-COMPRA'!$F$37,Tabla11[[#This Row],[Cuenta]],1))</f>
        <v>1</v>
      </c>
      <c r="V647" t="b">
        <f>+ISNUMBER(SEARCH(#REF!,Tabla11[[#This Row],[Cuenta]],1))</f>
        <v>0</v>
      </c>
      <c r="W647" t="b">
        <f>+ISNUMBER(SEARCH('F-COMPRA'!#REF!,Tabla11[[#This Row],[Cuenta]],1))</f>
        <v>0</v>
      </c>
      <c r="X647" t="b">
        <f>+ISNUMBER(SEARCH('F-COMPRA'!#REF!,Tabla11[[#This Row],[Cuenta]],1))</f>
        <v>0</v>
      </c>
      <c r="Y647" t="b">
        <f>+ISNUMBER(SEARCH('F-COMPRA'!#REF!,Tabla11[[#This Row],[Cuenta]],1))</f>
        <v>0</v>
      </c>
      <c r="Z647" t="b">
        <f>+ISNUMBER(SEARCH('F-COMPRA'!#REF!,Tabla11[[#This Row],[Cuenta]],1))</f>
        <v>0</v>
      </c>
      <c r="AA647" t="b">
        <f>+ISNUMBER(SEARCH('F-COMPRA'!#REF!,Tabla11[[#This Row],[Cuenta]],1))</f>
        <v>0</v>
      </c>
      <c r="AB647" t="b">
        <f>+ISNUMBER(SEARCH('F-COMPRA'!#REF!,Tabla11[[#This Row],[Cuenta]],1))</f>
        <v>0</v>
      </c>
      <c r="AC647" t="b">
        <f>+ISNUMBER(SEARCH('F-COMPRA'!#REF!,Tabla11[[#This Row],[Cuenta]],1))</f>
        <v>0</v>
      </c>
      <c r="AD647" t="b">
        <f>+ISNUMBER(SEARCH('F-COMPRA'!#REF!,Tabla11[[#This Row],[Cuenta]],1))</f>
        <v>0</v>
      </c>
      <c r="AE647" t="b">
        <f>+ISNUMBER(SEARCH('F-COMPRA'!#REF!,Tabla11[[#This Row],[Cuenta]],1))</f>
        <v>0</v>
      </c>
      <c r="AF647" t="b">
        <f>+ISNUMBER(SEARCH('F-VTA'!$G$23,Tabla11[[#This Row],[Cuenta]],1))</f>
        <v>0</v>
      </c>
      <c r="AG647" t="b">
        <f>+ISNUMBER(SEARCH('F-VTA'!$G$24,Tabla11[[#This Row],[Cuenta]],1))</f>
        <v>0</v>
      </c>
      <c r="AH647" t="b">
        <f>+ISNUMBER(SEARCH('F-VTA'!$G$25,Tabla11[[#This Row],[Cuenta]],1))</f>
        <v>0</v>
      </c>
      <c r="AI647" t="b">
        <f>+ISNUMBER(SEARCH('F-VTA'!$F$28,Tabla11[[#This Row],[Cuenta]],1))</f>
        <v>1</v>
      </c>
      <c r="AJ647" t="b">
        <f>+ISNUMBER(SEARCH('F-VTA'!$F$29,Tabla11[[#This Row],[Cuenta]],1))</f>
        <v>1</v>
      </c>
      <c r="AK647" t="b">
        <f>+ISNUMBER(SEARCH('F-VTA'!$F$30,Tabla11[[#This Row],[Cuenta]],1))</f>
        <v>1</v>
      </c>
      <c r="AL647" t="b">
        <f>+ISNUMBER(SEARCH('F-VTA'!$F$31,Tabla11[[#This Row],[Cuenta]],1))</f>
        <v>1</v>
      </c>
      <c r="AM647" t="b">
        <f>+ISNUMBER(SEARCH('F-VTA'!$F$32,Tabla11[[#This Row],[Cuenta]],1))</f>
        <v>1</v>
      </c>
      <c r="AN647" t="b">
        <f>+ISNUMBER(SEARCH('F-VTA'!$F$33,Tabla11[[#This Row],[Cuenta]],1))</f>
        <v>1</v>
      </c>
      <c r="AO647" t="b">
        <f>+ISNUMBER(SEARCH('F-VTA'!$F$34,Tabla11[[#This Row],[Cuenta]],1))</f>
        <v>1</v>
      </c>
      <c r="AP647" t="b">
        <f>+ISNUMBER(SEARCH('F-VTA'!$F$35,Tabla11[[#This Row],[Cuenta]],1))</f>
        <v>1</v>
      </c>
      <c r="AQ647" t="b">
        <f>+ISNUMBER(SEARCH('F-VTA'!$F$36,Tabla11[[#This Row],[Cuenta]],1))</f>
        <v>1</v>
      </c>
      <c r="AR647" t="b">
        <f>+ISNUMBER(SEARCH(#REF!,Tabla11[[#This Row],[Cuenta]],1))</f>
        <v>0</v>
      </c>
      <c r="AS647" t="b">
        <f>+ISNUMBER(SEARCH(#REF!,Tabla11[[#This Row],[Cuenta]],1))</f>
        <v>0</v>
      </c>
      <c r="AT647" t="b">
        <f>+ISNUMBER(SEARCH(#REF!,Tabla11[[#This Row],[Cuenta]],1))</f>
        <v>0</v>
      </c>
      <c r="AU647" t="b">
        <f>+ISNUMBER(SEARCH('Conc. Ban.1'!$I$9,Tabla11[[#This Row],[Cuenta]],1))</f>
        <v>0</v>
      </c>
      <c r="AV647" t="b">
        <f>+ISNUMBER(SEARCH(CompConta!$F$21,Tabla11[[#This Row],[Cuenta]],1))</f>
        <v>1</v>
      </c>
      <c r="AW647" t="b">
        <f>+ISNUMBER(SEARCH(CompConta!$F$22,Tabla11[[#This Row],[Cuenta]],1))</f>
        <v>1</v>
      </c>
      <c r="AX647" t="b">
        <f>+ISNUMBER(SEARCH(CompConta!$F$23,Tabla11[[#This Row],[Cuenta]],1))</f>
        <v>1</v>
      </c>
      <c r="AY647" t="b">
        <f>+ISNUMBER(SEARCH(CompConta!$F$24,Tabla11[[#This Row],[Cuenta]],1))</f>
        <v>1</v>
      </c>
      <c r="AZ647" t="b">
        <f>+ISNUMBER(SEARCH(CompConta!$F$25,Tabla11[[#This Row],[Cuenta]],1))</f>
        <v>1</v>
      </c>
      <c r="BA647" t="b">
        <f>+ISNUMBER(SEARCH(CompConta!$F$26,Tabla11[[#This Row],[Cuenta]],1))</f>
        <v>1</v>
      </c>
      <c r="BB647" t="b">
        <f>+ISNUMBER(SEARCH(CompConta!$F$27,Tabla11[[#This Row],[Cuenta]],1))</f>
        <v>1</v>
      </c>
      <c r="BC647" t="b">
        <f>+ISNUMBER(SEARCH(CompConta!$F$28,Tabla11[[#This Row],[Cuenta]],1))</f>
        <v>1</v>
      </c>
      <c r="BD647" t="b">
        <f>+ISNUMBER(SEARCH(CompConta!$F$29,Tabla11[[#This Row],[Cuenta]],1))</f>
        <v>1</v>
      </c>
      <c r="BE647" t="b">
        <f>+ISNUMBER(SEARCH(CompConta!$F$30,Tabla11[[#This Row],[Cuenta]],1))</f>
        <v>1</v>
      </c>
      <c r="BF647" t="b">
        <f>+ISNUMBER(SEARCH('PAGO Compras'!$E$11,Tabla11[[#This Row],[Cuenta]],1))</f>
        <v>1</v>
      </c>
      <c r="BG647" t="b">
        <f>+ISNUMBER(SEARCH(#REF!,Tabla11[[#This Row],[Cuenta]],1))</f>
        <v>0</v>
      </c>
      <c r="BH647" t="b">
        <f>+ISNUMBER(SEARCH(#REF!,Tabla11[[#This Row],[Cuenta]],1))</f>
        <v>0</v>
      </c>
      <c r="BI647" t="b">
        <f>+ISNUMBER(SEARCH(#REF!,Tabla11[[#This Row],[Cuenta]],1))</f>
        <v>0</v>
      </c>
      <c r="BJ647" t="b">
        <f>+ISNUMBER(SEARCH(#REF!,Tabla11[[#This Row],[Cuenta]],1))</f>
        <v>0</v>
      </c>
      <c r="BS647" t="str">
        <v>3205 PRIMA EN COLOCAC DE ACCIONES,CUOTAS O P</v>
      </c>
      <c r="BT647" t="str">
        <v>3205 PRIMA EN COLOCAC DE ACCIONES,CUOTAS O P</v>
      </c>
      <c r="BU647" t="str">
        <v>3205 PRIMA EN COLOCAC DE ACCIONES,CUOTAS O P</v>
      </c>
      <c r="BV647" t="str">
        <v>3205 PRIMA EN COLOCAC DE ACCIONES,CUOTAS O P</v>
      </c>
      <c r="BZ647" t="str">
        <v>3205 PRIMA EN COLOCAC DE ACCIONES,CUOTAS O P</v>
      </c>
      <c r="CA647" t="str">
        <v>3205 PRIMA EN COLOCAC DE ACCIONES,CUOTAS O P</v>
      </c>
      <c r="CB647" t="str">
        <v>3205 PRIMA EN COLOCAC DE ACCIONES,CUOTAS O P</v>
      </c>
      <c r="CC647" t="str">
        <v>3205 PRIMA EN COLOCAC DE ACCIONES,CUOTAS O P</v>
      </c>
      <c r="CD647" t="str">
        <v>3205 PRIMA EN COLOCAC DE ACCIONES,CUOTAS O P</v>
      </c>
      <c r="CE647" t="str">
        <v>3205 PRIMA EN COLOCAC DE ACCIONES,CUOTAS O P</v>
      </c>
      <c r="CS647" s="141" t="str">
        <v>3205 PRIMA EN COLOCAC DE ACCIONES,CUOTAS O P</v>
      </c>
      <c r="CT647" s="141" t="str">
        <v>3205 PRIMA EN COLOCAC DE ACCIONES,CUOTAS O P</v>
      </c>
      <c r="CU647" s="141" t="str">
        <v>3205 PRIMA EN COLOCAC DE ACCIONES,CUOTAS O P</v>
      </c>
      <c r="CV647" s="141" t="str">
        <v>3205 PRIMA EN COLOCAC DE ACCIONES,CUOTAS O P</v>
      </c>
      <c r="CW647" s="141" t="str">
        <v>3205 PRIMA EN COLOCAC DE ACCIONES,CUOTAS O P</v>
      </c>
      <c r="CX647" s="141" t="str">
        <v>3205 PRIMA EN COLOCAC DE ACCIONES,CUOTAS O P</v>
      </c>
      <c r="CY647" s="141" t="str">
        <v>3205 PRIMA EN COLOCAC DE ACCIONES,CUOTAS O P</v>
      </c>
      <c r="CZ647" s="141" t="str">
        <v>3205 PRIMA EN COLOCAC DE ACCIONES,CUOTAS O P</v>
      </c>
      <c r="DA647" s="141" t="str">
        <v>3205 PRIMA EN COLOCAC DE ACCIONES,CUOTAS O P</v>
      </c>
      <c r="DF647" t="str">
        <v>3205 PRIMA EN COLOCAC DE ACCIONES,CUOTAS O P</v>
      </c>
      <c r="DG647" t="str">
        <v>3205 PRIMA EN COLOCAC DE ACCIONES,CUOTAS O P</v>
      </c>
      <c r="DH647" t="str">
        <v>3205 PRIMA EN COLOCAC DE ACCIONES,CUOTAS O P</v>
      </c>
      <c r="DI647" t="str">
        <v>3205 PRIMA EN COLOCAC DE ACCIONES,CUOTAS O P</v>
      </c>
      <c r="DJ647" t="str">
        <v>3205 PRIMA EN COLOCAC DE ACCIONES,CUOTAS O P</v>
      </c>
      <c r="DK647" t="str">
        <v>3205 PRIMA EN COLOCAC DE ACCIONES,CUOTAS O P</v>
      </c>
      <c r="DL647" t="str">
        <v>3205 PRIMA EN COLOCAC DE ACCIONES,CUOTAS O P</v>
      </c>
      <c r="DM647" t="str">
        <v>3205 PRIMA EN COLOCAC DE ACCIONES,CUOTAS O P</v>
      </c>
      <c r="DN647" t="str">
        <v>3205 PRIMA EN COLOCAC DE ACCIONES,CUOTAS O P</v>
      </c>
      <c r="DO647" t="str">
        <v>3205 PRIMA EN COLOCAC DE ACCIONES,CUOTAS O P</v>
      </c>
      <c r="DP647" t="str">
        <v>3205 PRIMA EN COLOCAC DE ACCIONES,CUOTAS O P</v>
      </c>
    </row>
    <row r="648" spans="4:120" ht="12.75">
      <c r="D648" s="7">
        <v>320505</v>
      </c>
      <c r="E648" s="6" t="s">
        <v>479</v>
      </c>
      <c r="F648" s="5">
        <v>4</v>
      </c>
      <c r="G648" s="34" t="s">
        <v>827</v>
      </c>
      <c r="H648" s="8" t="s">
        <v>56</v>
      </c>
      <c r="I648" t="b">
        <f>+ISNUMBER(SEARCH('F-COMPRA'!$F$28,Tabla11[[#This Row],[Cuenta]],1))</f>
        <v>1</v>
      </c>
      <c r="J648" t="b">
        <f>+ISNUMBER(SEARCH('F-COMPRA'!$F$29,Tabla11[[#This Row],[Cuenta]],1))</f>
        <v>1</v>
      </c>
      <c r="K648" t="b">
        <f>+ISNUMBER(SEARCH('F-COMPRA'!$F$30,Tabla11[[#This Row],[Cuenta]],1))</f>
        <v>1</v>
      </c>
      <c r="L648" t="b">
        <f>+ISNUMBER(SEARCH('F-COMPRA'!$F$31,Tabla11[[#This Row],[Cuenta]],1))</f>
        <v>1</v>
      </c>
      <c r="M648" t="b">
        <f>+ISNUMBER(SEARCH('F-COMPRA'!$G$25,Tabla11[[#This Row],[Cuenta]],1))</f>
        <v>0</v>
      </c>
      <c r="N648" t="b">
        <f>+ISNUMBER(SEARCH(#REF!,Tabla11[[#This Row],[Cuenta]],1))</f>
        <v>0</v>
      </c>
      <c r="O648" t="b">
        <f>+ISNUMBER(SEARCH(#REF!,Tabla11[[#This Row],[Cuenta]],1))</f>
        <v>0</v>
      </c>
      <c r="P648" t="b">
        <f>+ISNUMBER(SEARCH('F-COMPRA'!$F$32,Tabla11[[#This Row],[Cuenta]],1))</f>
        <v>1</v>
      </c>
      <c r="Q648" t="b">
        <f>+ISNUMBER(SEARCH('F-COMPRA'!$F$33,Tabla11[[#This Row],[Cuenta]],1))</f>
        <v>1</v>
      </c>
      <c r="R648" t="b">
        <f>+ISNUMBER(SEARCH('F-COMPRA'!$F$34,Tabla11[[#This Row],[Cuenta]],1))</f>
        <v>1</v>
      </c>
      <c r="S648" t="b">
        <f>+ISNUMBER(SEARCH('F-COMPRA'!$F$35,Tabla11[[#This Row],[Cuenta]],1))</f>
        <v>1</v>
      </c>
      <c r="T648" t="b">
        <f>+ISNUMBER(SEARCH('F-COMPRA'!$F$36,Tabla11[[#This Row],[Cuenta]],1))</f>
        <v>1</v>
      </c>
      <c r="U648" t="b">
        <f>+ISNUMBER(SEARCH('F-COMPRA'!$F$37,Tabla11[[#This Row],[Cuenta]],1))</f>
        <v>1</v>
      </c>
      <c r="V648" t="b">
        <f>+ISNUMBER(SEARCH(#REF!,Tabla11[[#This Row],[Cuenta]],1))</f>
        <v>0</v>
      </c>
      <c r="W648" t="b">
        <f>+ISNUMBER(SEARCH('F-COMPRA'!#REF!,Tabla11[[#This Row],[Cuenta]],1))</f>
        <v>0</v>
      </c>
      <c r="X648" t="b">
        <f>+ISNUMBER(SEARCH('F-COMPRA'!#REF!,Tabla11[[#This Row],[Cuenta]],1))</f>
        <v>0</v>
      </c>
      <c r="Y648" t="b">
        <f>+ISNUMBER(SEARCH('F-COMPRA'!#REF!,Tabla11[[#This Row],[Cuenta]],1))</f>
        <v>0</v>
      </c>
      <c r="Z648" t="b">
        <f>+ISNUMBER(SEARCH('F-COMPRA'!#REF!,Tabla11[[#This Row],[Cuenta]],1))</f>
        <v>0</v>
      </c>
      <c r="AA648" t="b">
        <f>+ISNUMBER(SEARCH('F-COMPRA'!#REF!,Tabla11[[#This Row],[Cuenta]],1))</f>
        <v>0</v>
      </c>
      <c r="AB648" t="b">
        <f>+ISNUMBER(SEARCH('F-COMPRA'!#REF!,Tabla11[[#This Row],[Cuenta]],1))</f>
        <v>0</v>
      </c>
      <c r="AC648" t="b">
        <f>+ISNUMBER(SEARCH('F-COMPRA'!#REF!,Tabla11[[#This Row],[Cuenta]],1))</f>
        <v>0</v>
      </c>
      <c r="AD648" t="b">
        <f>+ISNUMBER(SEARCH('F-COMPRA'!#REF!,Tabla11[[#This Row],[Cuenta]],1))</f>
        <v>0</v>
      </c>
      <c r="AE648" t="b">
        <f>+ISNUMBER(SEARCH('F-COMPRA'!#REF!,Tabla11[[#This Row],[Cuenta]],1))</f>
        <v>0</v>
      </c>
      <c r="AF648" t="b">
        <f>+ISNUMBER(SEARCH('F-VTA'!$G$23,Tabla11[[#This Row],[Cuenta]],1))</f>
        <v>0</v>
      </c>
      <c r="AG648" t="b">
        <f>+ISNUMBER(SEARCH('F-VTA'!$G$24,Tabla11[[#This Row],[Cuenta]],1))</f>
        <v>0</v>
      </c>
      <c r="AH648" t="b">
        <f>+ISNUMBER(SEARCH('F-VTA'!$G$25,Tabla11[[#This Row],[Cuenta]],1))</f>
        <v>0</v>
      </c>
      <c r="AI648" t="b">
        <f>+ISNUMBER(SEARCH('F-VTA'!$F$28,Tabla11[[#This Row],[Cuenta]],1))</f>
        <v>1</v>
      </c>
      <c r="AJ648" t="b">
        <f>+ISNUMBER(SEARCH('F-VTA'!$F$29,Tabla11[[#This Row],[Cuenta]],1))</f>
        <v>1</v>
      </c>
      <c r="AK648" t="b">
        <f>+ISNUMBER(SEARCH('F-VTA'!$F$30,Tabla11[[#This Row],[Cuenta]],1))</f>
        <v>1</v>
      </c>
      <c r="AL648" t="b">
        <f>+ISNUMBER(SEARCH('F-VTA'!$F$31,Tabla11[[#This Row],[Cuenta]],1))</f>
        <v>1</v>
      </c>
      <c r="AM648" t="b">
        <f>+ISNUMBER(SEARCH('F-VTA'!$F$32,Tabla11[[#This Row],[Cuenta]],1))</f>
        <v>1</v>
      </c>
      <c r="AN648" t="b">
        <f>+ISNUMBER(SEARCH('F-VTA'!$F$33,Tabla11[[#This Row],[Cuenta]],1))</f>
        <v>1</v>
      </c>
      <c r="AO648" t="b">
        <f>+ISNUMBER(SEARCH('F-VTA'!$F$34,Tabla11[[#This Row],[Cuenta]],1))</f>
        <v>1</v>
      </c>
      <c r="AP648" t="b">
        <f>+ISNUMBER(SEARCH('F-VTA'!$F$35,Tabla11[[#This Row],[Cuenta]],1))</f>
        <v>1</v>
      </c>
      <c r="AQ648" t="b">
        <f>+ISNUMBER(SEARCH('F-VTA'!$F$36,Tabla11[[#This Row],[Cuenta]],1))</f>
        <v>1</v>
      </c>
      <c r="AR648" t="b">
        <f>+ISNUMBER(SEARCH(#REF!,Tabla11[[#This Row],[Cuenta]],1))</f>
        <v>0</v>
      </c>
      <c r="AS648" t="b">
        <f>+ISNUMBER(SEARCH(#REF!,Tabla11[[#This Row],[Cuenta]],1))</f>
        <v>0</v>
      </c>
      <c r="AT648" t="b">
        <f>+ISNUMBER(SEARCH(#REF!,Tabla11[[#This Row],[Cuenta]],1))</f>
        <v>0</v>
      </c>
      <c r="AU648" t="b">
        <f>+ISNUMBER(SEARCH('Conc. Ban.1'!$I$9,Tabla11[[#This Row],[Cuenta]],1))</f>
        <v>0</v>
      </c>
      <c r="AV648" t="b">
        <f>+ISNUMBER(SEARCH(CompConta!$F$21,Tabla11[[#This Row],[Cuenta]],1))</f>
        <v>1</v>
      </c>
      <c r="AW648" t="b">
        <f>+ISNUMBER(SEARCH(CompConta!$F$22,Tabla11[[#This Row],[Cuenta]],1))</f>
        <v>1</v>
      </c>
      <c r="AX648" t="b">
        <f>+ISNUMBER(SEARCH(CompConta!$F$23,Tabla11[[#This Row],[Cuenta]],1))</f>
        <v>1</v>
      </c>
      <c r="AY648" t="b">
        <f>+ISNUMBER(SEARCH(CompConta!$F$24,Tabla11[[#This Row],[Cuenta]],1))</f>
        <v>1</v>
      </c>
      <c r="AZ648" t="b">
        <f>+ISNUMBER(SEARCH(CompConta!$F$25,Tabla11[[#This Row],[Cuenta]],1))</f>
        <v>1</v>
      </c>
      <c r="BA648" t="b">
        <f>+ISNUMBER(SEARCH(CompConta!$F$26,Tabla11[[#This Row],[Cuenta]],1))</f>
        <v>1</v>
      </c>
      <c r="BB648" t="b">
        <f>+ISNUMBER(SEARCH(CompConta!$F$27,Tabla11[[#This Row],[Cuenta]],1))</f>
        <v>1</v>
      </c>
      <c r="BC648" t="b">
        <f>+ISNUMBER(SEARCH(CompConta!$F$28,Tabla11[[#This Row],[Cuenta]],1))</f>
        <v>1</v>
      </c>
      <c r="BD648" t="b">
        <f>+ISNUMBER(SEARCH(CompConta!$F$29,Tabla11[[#This Row],[Cuenta]],1))</f>
        <v>1</v>
      </c>
      <c r="BE648" t="b">
        <f>+ISNUMBER(SEARCH(CompConta!$F$30,Tabla11[[#This Row],[Cuenta]],1))</f>
        <v>1</v>
      </c>
      <c r="BF648" t="b">
        <f>+ISNUMBER(SEARCH('PAGO Compras'!$E$11,Tabla11[[#This Row],[Cuenta]],1))</f>
        <v>1</v>
      </c>
      <c r="BG648" t="b">
        <f>+ISNUMBER(SEARCH(#REF!,Tabla11[[#This Row],[Cuenta]],1))</f>
        <v>0</v>
      </c>
      <c r="BH648" t="b">
        <f>+ISNUMBER(SEARCH(#REF!,Tabla11[[#This Row],[Cuenta]],1))</f>
        <v>0</v>
      </c>
      <c r="BI648" t="b">
        <f>+ISNUMBER(SEARCH(#REF!,Tabla11[[#This Row],[Cuenta]],1))</f>
        <v>0</v>
      </c>
      <c r="BJ648" t="b">
        <f>+ISNUMBER(SEARCH(#REF!,Tabla11[[#This Row],[Cuenta]],1))</f>
        <v>0</v>
      </c>
      <c r="BS648" t="str">
        <v>320505 Prima en colocación de acciones</v>
      </c>
      <c r="BT648" t="str">
        <v>320505 Prima en colocación de acciones</v>
      </c>
      <c r="BU648" t="str">
        <v>320505 Prima en colocación de acciones</v>
      </c>
      <c r="BV648" t="str">
        <v>320505 Prima en colocación de acciones</v>
      </c>
      <c r="BZ648" t="str">
        <v>320505 Prima en colocación de acciones</v>
      </c>
      <c r="CA648" t="str">
        <v>320505 Prima en colocación de acciones</v>
      </c>
      <c r="CB648" t="str">
        <v>320505 Prima en colocación de acciones</v>
      </c>
      <c r="CC648" t="str">
        <v>320505 Prima en colocación de acciones</v>
      </c>
      <c r="CD648" t="str">
        <v>320505 Prima en colocación de acciones</v>
      </c>
      <c r="CE648" t="str">
        <v>320505 Prima en colocación de acciones</v>
      </c>
      <c r="CS648" s="141" t="str">
        <v>320505 Prima en colocación de acciones</v>
      </c>
      <c r="CT648" s="141" t="str">
        <v>320505 Prima en colocación de acciones</v>
      </c>
      <c r="CU648" s="141" t="str">
        <v>320505 Prima en colocación de acciones</v>
      </c>
      <c r="CV648" s="141" t="str">
        <v>320505 Prima en colocación de acciones</v>
      </c>
      <c r="CW648" s="141" t="str">
        <v>320505 Prima en colocación de acciones</v>
      </c>
      <c r="CX648" s="141" t="str">
        <v>320505 Prima en colocación de acciones</v>
      </c>
      <c r="CY648" s="141" t="str">
        <v>320505 Prima en colocación de acciones</v>
      </c>
      <c r="CZ648" s="141" t="str">
        <v>320505 Prima en colocación de acciones</v>
      </c>
      <c r="DA648" s="141" t="str">
        <v>320505 Prima en colocación de acciones</v>
      </c>
      <c r="DF648" t="str">
        <v>320505 Prima en colocación de acciones</v>
      </c>
      <c r="DG648" t="str">
        <v>320505 Prima en colocación de acciones</v>
      </c>
      <c r="DH648" t="str">
        <v>320505 Prima en colocación de acciones</v>
      </c>
      <c r="DI648" t="str">
        <v>320505 Prima en colocación de acciones</v>
      </c>
      <c r="DJ648" t="str">
        <v>320505 Prima en colocación de acciones</v>
      </c>
      <c r="DK648" t="str">
        <v>320505 Prima en colocación de acciones</v>
      </c>
      <c r="DL648" t="str">
        <v>320505 Prima en colocación de acciones</v>
      </c>
      <c r="DM648" t="str">
        <v>320505 Prima en colocación de acciones</v>
      </c>
      <c r="DN648" t="str">
        <v>320505 Prima en colocación de acciones</v>
      </c>
      <c r="DO648" t="str">
        <v>320505 Prima en colocación de acciones</v>
      </c>
      <c r="DP648" t="str">
        <v>320505 Prima en colocación de acciones</v>
      </c>
    </row>
    <row r="649" spans="4:120" ht="12.75">
      <c r="D649" s="7">
        <v>320510</v>
      </c>
      <c r="E649" s="6" t="s">
        <v>480</v>
      </c>
      <c r="F649" s="5">
        <v>4</v>
      </c>
      <c r="G649" s="34" t="s">
        <v>827</v>
      </c>
      <c r="H649" s="8" t="s">
        <v>32</v>
      </c>
      <c r="I649" t="b">
        <f>+ISNUMBER(SEARCH('F-COMPRA'!$F$28,Tabla11[[#This Row],[Cuenta]],1))</f>
        <v>1</v>
      </c>
      <c r="J649" t="b">
        <f>+ISNUMBER(SEARCH('F-COMPRA'!$F$29,Tabla11[[#This Row],[Cuenta]],1))</f>
        <v>1</v>
      </c>
      <c r="K649" t="b">
        <f>+ISNUMBER(SEARCH('F-COMPRA'!$F$30,Tabla11[[#This Row],[Cuenta]],1))</f>
        <v>1</v>
      </c>
      <c r="L649" t="b">
        <f>+ISNUMBER(SEARCH('F-COMPRA'!$F$31,Tabla11[[#This Row],[Cuenta]],1))</f>
        <v>1</v>
      </c>
      <c r="M649" t="b">
        <f>+ISNUMBER(SEARCH('F-COMPRA'!$G$25,Tabla11[[#This Row],[Cuenta]],1))</f>
        <v>0</v>
      </c>
      <c r="N649" t="b">
        <f>+ISNUMBER(SEARCH(#REF!,Tabla11[[#This Row],[Cuenta]],1))</f>
        <v>0</v>
      </c>
      <c r="O649" t="b">
        <f>+ISNUMBER(SEARCH(#REF!,Tabla11[[#This Row],[Cuenta]],1))</f>
        <v>0</v>
      </c>
      <c r="P649" t="b">
        <f>+ISNUMBER(SEARCH('F-COMPRA'!$F$32,Tabla11[[#This Row],[Cuenta]],1))</f>
        <v>1</v>
      </c>
      <c r="Q649" t="b">
        <f>+ISNUMBER(SEARCH('F-COMPRA'!$F$33,Tabla11[[#This Row],[Cuenta]],1))</f>
        <v>1</v>
      </c>
      <c r="R649" t="b">
        <f>+ISNUMBER(SEARCH('F-COMPRA'!$F$34,Tabla11[[#This Row],[Cuenta]],1))</f>
        <v>1</v>
      </c>
      <c r="S649" t="b">
        <f>+ISNUMBER(SEARCH('F-COMPRA'!$F$35,Tabla11[[#This Row],[Cuenta]],1))</f>
        <v>1</v>
      </c>
      <c r="T649" t="b">
        <f>+ISNUMBER(SEARCH('F-COMPRA'!$F$36,Tabla11[[#This Row],[Cuenta]],1))</f>
        <v>1</v>
      </c>
      <c r="U649" t="b">
        <f>+ISNUMBER(SEARCH('F-COMPRA'!$F$37,Tabla11[[#This Row],[Cuenta]],1))</f>
        <v>1</v>
      </c>
      <c r="V649" t="b">
        <f>+ISNUMBER(SEARCH(#REF!,Tabla11[[#This Row],[Cuenta]],1))</f>
        <v>0</v>
      </c>
      <c r="W649" t="b">
        <f>+ISNUMBER(SEARCH('F-COMPRA'!#REF!,Tabla11[[#This Row],[Cuenta]],1))</f>
        <v>0</v>
      </c>
      <c r="X649" t="b">
        <f>+ISNUMBER(SEARCH('F-COMPRA'!#REF!,Tabla11[[#This Row],[Cuenta]],1))</f>
        <v>0</v>
      </c>
      <c r="Y649" t="b">
        <f>+ISNUMBER(SEARCH('F-COMPRA'!#REF!,Tabla11[[#This Row],[Cuenta]],1))</f>
        <v>0</v>
      </c>
      <c r="Z649" t="b">
        <f>+ISNUMBER(SEARCH('F-COMPRA'!#REF!,Tabla11[[#This Row],[Cuenta]],1))</f>
        <v>0</v>
      </c>
      <c r="AA649" t="b">
        <f>+ISNUMBER(SEARCH('F-COMPRA'!#REF!,Tabla11[[#This Row],[Cuenta]],1))</f>
        <v>0</v>
      </c>
      <c r="AB649" t="b">
        <f>+ISNUMBER(SEARCH('F-COMPRA'!#REF!,Tabla11[[#This Row],[Cuenta]],1))</f>
        <v>0</v>
      </c>
      <c r="AC649" t="b">
        <f>+ISNUMBER(SEARCH('F-COMPRA'!#REF!,Tabla11[[#This Row],[Cuenta]],1))</f>
        <v>0</v>
      </c>
      <c r="AD649" t="b">
        <f>+ISNUMBER(SEARCH('F-COMPRA'!#REF!,Tabla11[[#This Row],[Cuenta]],1))</f>
        <v>0</v>
      </c>
      <c r="AE649" t="b">
        <f>+ISNUMBER(SEARCH('F-COMPRA'!#REF!,Tabla11[[#This Row],[Cuenta]],1))</f>
        <v>0</v>
      </c>
      <c r="AF649" t="b">
        <f>+ISNUMBER(SEARCH('F-VTA'!$G$23,Tabla11[[#This Row],[Cuenta]],1))</f>
        <v>0</v>
      </c>
      <c r="AG649" t="b">
        <f>+ISNUMBER(SEARCH('F-VTA'!$G$24,Tabla11[[#This Row],[Cuenta]],1))</f>
        <v>0</v>
      </c>
      <c r="AH649" t="b">
        <f>+ISNUMBER(SEARCH('F-VTA'!$G$25,Tabla11[[#This Row],[Cuenta]],1))</f>
        <v>0</v>
      </c>
      <c r="AI649" t="b">
        <f>+ISNUMBER(SEARCH('F-VTA'!$F$28,Tabla11[[#This Row],[Cuenta]],1))</f>
        <v>1</v>
      </c>
      <c r="AJ649" t="b">
        <f>+ISNUMBER(SEARCH('F-VTA'!$F$29,Tabla11[[#This Row],[Cuenta]],1))</f>
        <v>1</v>
      </c>
      <c r="AK649" t="b">
        <f>+ISNUMBER(SEARCH('F-VTA'!$F$30,Tabla11[[#This Row],[Cuenta]],1))</f>
        <v>1</v>
      </c>
      <c r="AL649" t="b">
        <f>+ISNUMBER(SEARCH('F-VTA'!$F$31,Tabla11[[#This Row],[Cuenta]],1))</f>
        <v>1</v>
      </c>
      <c r="AM649" t="b">
        <f>+ISNUMBER(SEARCH('F-VTA'!$F$32,Tabla11[[#This Row],[Cuenta]],1))</f>
        <v>1</v>
      </c>
      <c r="AN649" t="b">
        <f>+ISNUMBER(SEARCH('F-VTA'!$F$33,Tabla11[[#This Row],[Cuenta]],1))</f>
        <v>1</v>
      </c>
      <c r="AO649" t="b">
        <f>+ISNUMBER(SEARCH('F-VTA'!$F$34,Tabla11[[#This Row],[Cuenta]],1))</f>
        <v>1</v>
      </c>
      <c r="AP649" t="b">
        <f>+ISNUMBER(SEARCH('F-VTA'!$F$35,Tabla11[[#This Row],[Cuenta]],1))</f>
        <v>1</v>
      </c>
      <c r="AQ649" t="b">
        <f>+ISNUMBER(SEARCH('F-VTA'!$F$36,Tabla11[[#This Row],[Cuenta]],1))</f>
        <v>1</v>
      </c>
      <c r="AR649" t="b">
        <f>+ISNUMBER(SEARCH(#REF!,Tabla11[[#This Row],[Cuenta]],1))</f>
        <v>0</v>
      </c>
      <c r="AS649" t="b">
        <f>+ISNUMBER(SEARCH(#REF!,Tabla11[[#This Row],[Cuenta]],1))</f>
        <v>0</v>
      </c>
      <c r="AT649" t="b">
        <f>+ISNUMBER(SEARCH(#REF!,Tabla11[[#This Row],[Cuenta]],1))</f>
        <v>0</v>
      </c>
      <c r="AU649" t="b">
        <f>+ISNUMBER(SEARCH('Conc. Ban.1'!$I$9,Tabla11[[#This Row],[Cuenta]],1))</f>
        <v>0</v>
      </c>
      <c r="AV649" t="b">
        <f>+ISNUMBER(SEARCH(CompConta!$F$21,Tabla11[[#This Row],[Cuenta]],1))</f>
        <v>1</v>
      </c>
      <c r="AW649" t="b">
        <f>+ISNUMBER(SEARCH(CompConta!$F$22,Tabla11[[#This Row],[Cuenta]],1))</f>
        <v>1</v>
      </c>
      <c r="AX649" t="b">
        <f>+ISNUMBER(SEARCH(CompConta!$F$23,Tabla11[[#This Row],[Cuenta]],1))</f>
        <v>1</v>
      </c>
      <c r="AY649" t="b">
        <f>+ISNUMBER(SEARCH(CompConta!$F$24,Tabla11[[#This Row],[Cuenta]],1))</f>
        <v>1</v>
      </c>
      <c r="AZ649" t="b">
        <f>+ISNUMBER(SEARCH(CompConta!$F$25,Tabla11[[#This Row],[Cuenta]],1))</f>
        <v>1</v>
      </c>
      <c r="BA649" t="b">
        <f>+ISNUMBER(SEARCH(CompConta!$F$26,Tabla11[[#This Row],[Cuenta]],1))</f>
        <v>1</v>
      </c>
      <c r="BB649" t="b">
        <f>+ISNUMBER(SEARCH(CompConta!$F$27,Tabla11[[#This Row],[Cuenta]],1))</f>
        <v>1</v>
      </c>
      <c r="BC649" t="b">
        <f>+ISNUMBER(SEARCH(CompConta!$F$28,Tabla11[[#This Row],[Cuenta]],1))</f>
        <v>1</v>
      </c>
      <c r="BD649" t="b">
        <f>+ISNUMBER(SEARCH(CompConta!$F$29,Tabla11[[#This Row],[Cuenta]],1))</f>
        <v>1</v>
      </c>
      <c r="BE649" t="b">
        <f>+ISNUMBER(SEARCH(CompConta!$F$30,Tabla11[[#This Row],[Cuenta]],1))</f>
        <v>1</v>
      </c>
      <c r="BF649" t="b">
        <f>+ISNUMBER(SEARCH('PAGO Compras'!$E$11,Tabla11[[#This Row],[Cuenta]],1))</f>
        <v>1</v>
      </c>
      <c r="BG649" t="b">
        <f>+ISNUMBER(SEARCH(#REF!,Tabla11[[#This Row],[Cuenta]],1))</f>
        <v>0</v>
      </c>
      <c r="BH649" t="b">
        <f>+ISNUMBER(SEARCH(#REF!,Tabla11[[#This Row],[Cuenta]],1))</f>
        <v>0</v>
      </c>
      <c r="BI649" t="b">
        <f>+ISNUMBER(SEARCH(#REF!,Tabla11[[#This Row],[Cuenta]],1))</f>
        <v>0</v>
      </c>
      <c r="BJ649" t="b">
        <f>+ISNUMBER(SEARCH(#REF!,Tabla11[[#This Row],[Cuenta]],1))</f>
        <v>0</v>
      </c>
      <c r="BS649" t="str">
        <v>320510 Prima en colocac de acciones por cobrar (DB)</v>
      </c>
      <c r="BT649" t="str">
        <v>320510 Prima en colocac de acciones por cobrar (DB)</v>
      </c>
      <c r="BU649" t="str">
        <v>320510 Prima en colocac de acciones por cobrar (DB)</v>
      </c>
      <c r="BV649" t="str">
        <v>320510 Prima en colocac de acciones por cobrar (DB)</v>
      </c>
      <c r="BZ649" t="str">
        <v>320510 Prima en colocac de acciones por cobrar (DB)</v>
      </c>
      <c r="CA649" t="str">
        <v>320510 Prima en colocac de acciones por cobrar (DB)</v>
      </c>
      <c r="CB649" t="str">
        <v>320510 Prima en colocac de acciones por cobrar (DB)</v>
      </c>
      <c r="CC649" t="str">
        <v>320510 Prima en colocac de acciones por cobrar (DB)</v>
      </c>
      <c r="CD649" t="str">
        <v>320510 Prima en colocac de acciones por cobrar (DB)</v>
      </c>
      <c r="CE649" t="str">
        <v>320510 Prima en colocac de acciones por cobrar (DB)</v>
      </c>
      <c r="CS649" s="141" t="str">
        <v>320510 Prima en colocac de acciones por cobrar (DB)</v>
      </c>
      <c r="CT649" s="141" t="str">
        <v>320510 Prima en colocac de acciones por cobrar (DB)</v>
      </c>
      <c r="CU649" s="141" t="str">
        <v>320510 Prima en colocac de acciones por cobrar (DB)</v>
      </c>
      <c r="CV649" s="141" t="str">
        <v>320510 Prima en colocac de acciones por cobrar (DB)</v>
      </c>
      <c r="CW649" s="141" t="str">
        <v>320510 Prima en colocac de acciones por cobrar (DB)</v>
      </c>
      <c r="CX649" s="141" t="str">
        <v>320510 Prima en colocac de acciones por cobrar (DB)</v>
      </c>
      <c r="CY649" s="141" t="str">
        <v>320510 Prima en colocac de acciones por cobrar (DB)</v>
      </c>
      <c r="CZ649" s="141" t="str">
        <v>320510 Prima en colocac de acciones por cobrar (DB)</v>
      </c>
      <c r="DA649" s="141" t="str">
        <v>320510 Prima en colocac de acciones por cobrar (DB)</v>
      </c>
      <c r="DF649" t="str">
        <v>320510 Prima en colocac de acciones por cobrar (DB)</v>
      </c>
      <c r="DG649" t="str">
        <v>320510 Prima en colocac de acciones por cobrar (DB)</v>
      </c>
      <c r="DH649" t="str">
        <v>320510 Prima en colocac de acciones por cobrar (DB)</v>
      </c>
      <c r="DI649" t="str">
        <v>320510 Prima en colocac de acciones por cobrar (DB)</v>
      </c>
      <c r="DJ649" t="str">
        <v>320510 Prima en colocac de acciones por cobrar (DB)</v>
      </c>
      <c r="DK649" t="str">
        <v>320510 Prima en colocac de acciones por cobrar (DB)</v>
      </c>
      <c r="DL649" t="str">
        <v>320510 Prima en colocac de acciones por cobrar (DB)</v>
      </c>
      <c r="DM649" t="str">
        <v>320510 Prima en colocac de acciones por cobrar (DB)</v>
      </c>
      <c r="DN649" t="str">
        <v>320510 Prima en colocac de acciones por cobrar (DB)</v>
      </c>
      <c r="DO649" t="str">
        <v>320510 Prima en colocac de acciones por cobrar (DB)</v>
      </c>
      <c r="DP649" t="str">
        <v>320510 Prima en colocac de acciones por cobrar (DB)</v>
      </c>
    </row>
    <row r="650" spans="4:120" ht="12.75">
      <c r="D650" s="7">
        <v>320515</v>
      </c>
      <c r="E650" s="6" t="s">
        <v>481</v>
      </c>
      <c r="F650" s="5">
        <v>4</v>
      </c>
      <c r="G650" s="34" t="s">
        <v>827</v>
      </c>
      <c r="H650" s="8" t="s">
        <v>56</v>
      </c>
      <c r="I650" t="b">
        <f>+ISNUMBER(SEARCH('F-COMPRA'!$F$28,Tabla11[[#This Row],[Cuenta]],1))</f>
        <v>1</v>
      </c>
      <c r="J650" t="b">
        <f>+ISNUMBER(SEARCH('F-COMPRA'!$F$29,Tabla11[[#This Row],[Cuenta]],1))</f>
        <v>1</v>
      </c>
      <c r="K650" t="b">
        <f>+ISNUMBER(SEARCH('F-COMPRA'!$F$30,Tabla11[[#This Row],[Cuenta]],1))</f>
        <v>1</v>
      </c>
      <c r="L650" t="b">
        <f>+ISNUMBER(SEARCH('F-COMPRA'!$F$31,Tabla11[[#This Row],[Cuenta]],1))</f>
        <v>1</v>
      </c>
      <c r="M650" t="b">
        <f>+ISNUMBER(SEARCH('F-COMPRA'!$G$25,Tabla11[[#This Row],[Cuenta]],1))</f>
        <v>0</v>
      </c>
      <c r="N650" t="b">
        <f>+ISNUMBER(SEARCH(#REF!,Tabla11[[#This Row],[Cuenta]],1))</f>
        <v>0</v>
      </c>
      <c r="O650" t="b">
        <f>+ISNUMBER(SEARCH(#REF!,Tabla11[[#This Row],[Cuenta]],1))</f>
        <v>0</v>
      </c>
      <c r="P650" t="b">
        <f>+ISNUMBER(SEARCH('F-COMPRA'!$F$32,Tabla11[[#This Row],[Cuenta]],1))</f>
        <v>1</v>
      </c>
      <c r="Q650" t="b">
        <f>+ISNUMBER(SEARCH('F-COMPRA'!$F$33,Tabla11[[#This Row],[Cuenta]],1))</f>
        <v>1</v>
      </c>
      <c r="R650" t="b">
        <f>+ISNUMBER(SEARCH('F-COMPRA'!$F$34,Tabla11[[#This Row],[Cuenta]],1))</f>
        <v>1</v>
      </c>
      <c r="S650" t="b">
        <f>+ISNUMBER(SEARCH('F-COMPRA'!$F$35,Tabla11[[#This Row],[Cuenta]],1))</f>
        <v>1</v>
      </c>
      <c r="T650" t="b">
        <f>+ISNUMBER(SEARCH('F-COMPRA'!$F$36,Tabla11[[#This Row],[Cuenta]],1))</f>
        <v>1</v>
      </c>
      <c r="U650" t="b">
        <f>+ISNUMBER(SEARCH('F-COMPRA'!$F$37,Tabla11[[#This Row],[Cuenta]],1))</f>
        <v>1</v>
      </c>
      <c r="V650" t="b">
        <f>+ISNUMBER(SEARCH(#REF!,Tabla11[[#This Row],[Cuenta]],1))</f>
        <v>0</v>
      </c>
      <c r="W650" t="b">
        <f>+ISNUMBER(SEARCH('F-COMPRA'!#REF!,Tabla11[[#This Row],[Cuenta]],1))</f>
        <v>0</v>
      </c>
      <c r="X650" t="b">
        <f>+ISNUMBER(SEARCH('F-COMPRA'!#REF!,Tabla11[[#This Row],[Cuenta]],1))</f>
        <v>0</v>
      </c>
      <c r="Y650" t="b">
        <f>+ISNUMBER(SEARCH('F-COMPRA'!#REF!,Tabla11[[#This Row],[Cuenta]],1))</f>
        <v>0</v>
      </c>
      <c r="Z650" t="b">
        <f>+ISNUMBER(SEARCH('F-COMPRA'!#REF!,Tabla11[[#This Row],[Cuenta]],1))</f>
        <v>0</v>
      </c>
      <c r="AA650" t="b">
        <f>+ISNUMBER(SEARCH('F-COMPRA'!#REF!,Tabla11[[#This Row],[Cuenta]],1))</f>
        <v>0</v>
      </c>
      <c r="AB650" t="b">
        <f>+ISNUMBER(SEARCH('F-COMPRA'!#REF!,Tabla11[[#This Row],[Cuenta]],1))</f>
        <v>0</v>
      </c>
      <c r="AC650" t="b">
        <f>+ISNUMBER(SEARCH('F-COMPRA'!#REF!,Tabla11[[#This Row],[Cuenta]],1))</f>
        <v>0</v>
      </c>
      <c r="AD650" t="b">
        <f>+ISNUMBER(SEARCH('F-COMPRA'!#REF!,Tabla11[[#This Row],[Cuenta]],1))</f>
        <v>0</v>
      </c>
      <c r="AE650" t="b">
        <f>+ISNUMBER(SEARCH('F-COMPRA'!#REF!,Tabla11[[#This Row],[Cuenta]],1))</f>
        <v>0</v>
      </c>
      <c r="AF650" t="b">
        <f>+ISNUMBER(SEARCH('F-VTA'!$G$23,Tabla11[[#This Row],[Cuenta]],1))</f>
        <v>0</v>
      </c>
      <c r="AG650" t="b">
        <f>+ISNUMBER(SEARCH('F-VTA'!$G$24,Tabla11[[#This Row],[Cuenta]],1))</f>
        <v>0</v>
      </c>
      <c r="AH650" t="b">
        <f>+ISNUMBER(SEARCH('F-VTA'!$G$25,Tabla11[[#This Row],[Cuenta]],1))</f>
        <v>0</v>
      </c>
      <c r="AI650" t="b">
        <f>+ISNUMBER(SEARCH('F-VTA'!$F$28,Tabla11[[#This Row],[Cuenta]],1))</f>
        <v>1</v>
      </c>
      <c r="AJ650" t="b">
        <f>+ISNUMBER(SEARCH('F-VTA'!$F$29,Tabla11[[#This Row],[Cuenta]],1))</f>
        <v>1</v>
      </c>
      <c r="AK650" t="b">
        <f>+ISNUMBER(SEARCH('F-VTA'!$F$30,Tabla11[[#This Row],[Cuenta]],1))</f>
        <v>1</v>
      </c>
      <c r="AL650" t="b">
        <f>+ISNUMBER(SEARCH('F-VTA'!$F$31,Tabla11[[#This Row],[Cuenta]],1))</f>
        <v>1</v>
      </c>
      <c r="AM650" t="b">
        <f>+ISNUMBER(SEARCH('F-VTA'!$F$32,Tabla11[[#This Row],[Cuenta]],1))</f>
        <v>1</v>
      </c>
      <c r="AN650" t="b">
        <f>+ISNUMBER(SEARCH('F-VTA'!$F$33,Tabla11[[#This Row],[Cuenta]],1))</f>
        <v>1</v>
      </c>
      <c r="AO650" t="b">
        <f>+ISNUMBER(SEARCH('F-VTA'!$F$34,Tabla11[[#This Row],[Cuenta]],1))</f>
        <v>1</v>
      </c>
      <c r="AP650" t="b">
        <f>+ISNUMBER(SEARCH('F-VTA'!$F$35,Tabla11[[#This Row],[Cuenta]],1))</f>
        <v>1</v>
      </c>
      <c r="AQ650" t="b">
        <f>+ISNUMBER(SEARCH('F-VTA'!$F$36,Tabla11[[#This Row],[Cuenta]],1))</f>
        <v>1</v>
      </c>
      <c r="AR650" t="b">
        <f>+ISNUMBER(SEARCH(#REF!,Tabla11[[#This Row],[Cuenta]],1))</f>
        <v>0</v>
      </c>
      <c r="AS650" t="b">
        <f>+ISNUMBER(SEARCH(#REF!,Tabla11[[#This Row],[Cuenta]],1))</f>
        <v>0</v>
      </c>
      <c r="AT650" t="b">
        <f>+ISNUMBER(SEARCH(#REF!,Tabla11[[#This Row],[Cuenta]],1))</f>
        <v>0</v>
      </c>
      <c r="AU650" t="b">
        <f>+ISNUMBER(SEARCH('Conc. Ban.1'!$I$9,Tabla11[[#This Row],[Cuenta]],1))</f>
        <v>0</v>
      </c>
      <c r="AV650" t="b">
        <f>+ISNUMBER(SEARCH(CompConta!$F$21,Tabla11[[#This Row],[Cuenta]],1))</f>
        <v>1</v>
      </c>
      <c r="AW650" t="b">
        <f>+ISNUMBER(SEARCH(CompConta!$F$22,Tabla11[[#This Row],[Cuenta]],1))</f>
        <v>1</v>
      </c>
      <c r="AX650" t="b">
        <f>+ISNUMBER(SEARCH(CompConta!$F$23,Tabla11[[#This Row],[Cuenta]],1))</f>
        <v>1</v>
      </c>
      <c r="AY650" t="b">
        <f>+ISNUMBER(SEARCH(CompConta!$F$24,Tabla11[[#This Row],[Cuenta]],1))</f>
        <v>1</v>
      </c>
      <c r="AZ650" t="b">
        <f>+ISNUMBER(SEARCH(CompConta!$F$25,Tabla11[[#This Row],[Cuenta]],1))</f>
        <v>1</v>
      </c>
      <c r="BA650" t="b">
        <f>+ISNUMBER(SEARCH(CompConta!$F$26,Tabla11[[#This Row],[Cuenta]],1))</f>
        <v>1</v>
      </c>
      <c r="BB650" t="b">
        <f>+ISNUMBER(SEARCH(CompConta!$F$27,Tabla11[[#This Row],[Cuenta]],1))</f>
        <v>1</v>
      </c>
      <c r="BC650" t="b">
        <f>+ISNUMBER(SEARCH(CompConta!$F$28,Tabla11[[#This Row],[Cuenta]],1))</f>
        <v>1</v>
      </c>
      <c r="BD650" t="b">
        <f>+ISNUMBER(SEARCH(CompConta!$F$29,Tabla11[[#This Row],[Cuenta]],1))</f>
        <v>1</v>
      </c>
      <c r="BE650" t="b">
        <f>+ISNUMBER(SEARCH(CompConta!$F$30,Tabla11[[#This Row],[Cuenta]],1))</f>
        <v>1</v>
      </c>
      <c r="BF650" t="b">
        <f>+ISNUMBER(SEARCH('PAGO Compras'!$E$11,Tabla11[[#This Row],[Cuenta]],1))</f>
        <v>1</v>
      </c>
      <c r="BG650" t="b">
        <f>+ISNUMBER(SEARCH(#REF!,Tabla11[[#This Row],[Cuenta]],1))</f>
        <v>0</v>
      </c>
      <c r="BH650" t="b">
        <f>+ISNUMBER(SEARCH(#REF!,Tabla11[[#This Row],[Cuenta]],1))</f>
        <v>0</v>
      </c>
      <c r="BI650" t="b">
        <f>+ISNUMBER(SEARCH(#REF!,Tabla11[[#This Row],[Cuenta]],1))</f>
        <v>0</v>
      </c>
      <c r="BJ650" t="b">
        <f>+ISNUMBER(SEARCH(#REF!,Tabla11[[#This Row],[Cuenta]],1))</f>
        <v>0</v>
      </c>
      <c r="BS650" t="str">
        <v>320515 Prima en colocac de cuotas o part de ints soc</v>
      </c>
      <c r="BT650" t="str">
        <v>320515 Prima en colocac de cuotas o part de ints soc</v>
      </c>
      <c r="BU650" t="str">
        <v>320515 Prima en colocac de cuotas o part de ints soc</v>
      </c>
      <c r="BV650" t="str">
        <v>320515 Prima en colocac de cuotas o part de ints soc</v>
      </c>
      <c r="BZ650" t="str">
        <v>320515 Prima en colocac de cuotas o part de ints soc</v>
      </c>
      <c r="CA650" t="str">
        <v>320515 Prima en colocac de cuotas o part de ints soc</v>
      </c>
      <c r="CB650" t="str">
        <v>320515 Prima en colocac de cuotas o part de ints soc</v>
      </c>
      <c r="CC650" t="str">
        <v>320515 Prima en colocac de cuotas o part de ints soc</v>
      </c>
      <c r="CD650" t="str">
        <v>320515 Prima en colocac de cuotas o part de ints soc</v>
      </c>
      <c r="CE650" t="str">
        <v>320515 Prima en colocac de cuotas o part de ints soc</v>
      </c>
      <c r="CS650" s="141" t="str">
        <v>320515 Prima en colocac de cuotas o part de ints soc</v>
      </c>
      <c r="CT650" s="141" t="str">
        <v>320515 Prima en colocac de cuotas o part de ints soc</v>
      </c>
      <c r="CU650" s="141" t="str">
        <v>320515 Prima en colocac de cuotas o part de ints soc</v>
      </c>
      <c r="CV650" s="141" t="str">
        <v>320515 Prima en colocac de cuotas o part de ints soc</v>
      </c>
      <c r="CW650" s="141" t="str">
        <v>320515 Prima en colocac de cuotas o part de ints soc</v>
      </c>
      <c r="CX650" s="141" t="str">
        <v>320515 Prima en colocac de cuotas o part de ints soc</v>
      </c>
      <c r="CY650" s="141" t="str">
        <v>320515 Prima en colocac de cuotas o part de ints soc</v>
      </c>
      <c r="CZ650" s="141" t="str">
        <v>320515 Prima en colocac de cuotas o part de ints soc</v>
      </c>
      <c r="DA650" s="141" t="str">
        <v>320515 Prima en colocac de cuotas o part de ints soc</v>
      </c>
      <c r="DF650" t="str">
        <v>320515 Prima en colocac de cuotas o part de ints soc</v>
      </c>
      <c r="DG650" t="str">
        <v>320515 Prima en colocac de cuotas o part de ints soc</v>
      </c>
      <c r="DH650" t="str">
        <v>320515 Prima en colocac de cuotas o part de ints soc</v>
      </c>
      <c r="DI650" t="str">
        <v>320515 Prima en colocac de cuotas o part de ints soc</v>
      </c>
      <c r="DJ650" t="str">
        <v>320515 Prima en colocac de cuotas o part de ints soc</v>
      </c>
      <c r="DK650" t="str">
        <v>320515 Prima en colocac de cuotas o part de ints soc</v>
      </c>
      <c r="DL650" t="str">
        <v>320515 Prima en colocac de cuotas o part de ints soc</v>
      </c>
      <c r="DM650" t="str">
        <v>320515 Prima en colocac de cuotas o part de ints soc</v>
      </c>
      <c r="DN650" t="str">
        <v>320515 Prima en colocac de cuotas o part de ints soc</v>
      </c>
      <c r="DO650" t="str">
        <v>320515 Prima en colocac de cuotas o part de ints soc</v>
      </c>
      <c r="DP650" t="str">
        <v>320515 Prima en colocac de cuotas o part de ints soc</v>
      </c>
    </row>
    <row r="651" spans="4:120" ht="12.75">
      <c r="D651" s="7">
        <v>3210</v>
      </c>
      <c r="E651" s="6" t="s">
        <v>482</v>
      </c>
      <c r="F651" s="5">
        <v>3</v>
      </c>
      <c r="G651" s="34" t="s">
        <v>827</v>
      </c>
      <c r="H651" s="8" t="s">
        <v>56</v>
      </c>
      <c r="I651" t="b">
        <f>+ISNUMBER(SEARCH('F-COMPRA'!$F$28,Tabla11[[#This Row],[Cuenta]],1))</f>
        <v>1</v>
      </c>
      <c r="J651" t="b">
        <f>+ISNUMBER(SEARCH('F-COMPRA'!$F$29,Tabla11[[#This Row],[Cuenta]],1))</f>
        <v>1</v>
      </c>
      <c r="K651" t="b">
        <f>+ISNUMBER(SEARCH('F-COMPRA'!$F$30,Tabla11[[#This Row],[Cuenta]],1))</f>
        <v>1</v>
      </c>
      <c r="L651" t="b">
        <f>+ISNUMBER(SEARCH('F-COMPRA'!$F$31,Tabla11[[#This Row],[Cuenta]],1))</f>
        <v>1</v>
      </c>
      <c r="M651" t="b">
        <f>+ISNUMBER(SEARCH('F-COMPRA'!$G$25,Tabla11[[#This Row],[Cuenta]],1))</f>
        <v>0</v>
      </c>
      <c r="N651" t="b">
        <f>+ISNUMBER(SEARCH(#REF!,Tabla11[[#This Row],[Cuenta]],1))</f>
        <v>0</v>
      </c>
      <c r="O651" t="b">
        <f>+ISNUMBER(SEARCH(#REF!,Tabla11[[#This Row],[Cuenta]],1))</f>
        <v>0</v>
      </c>
      <c r="P651" t="b">
        <f>+ISNUMBER(SEARCH('F-COMPRA'!$F$32,Tabla11[[#This Row],[Cuenta]],1))</f>
        <v>1</v>
      </c>
      <c r="Q651" t="b">
        <f>+ISNUMBER(SEARCH('F-COMPRA'!$F$33,Tabla11[[#This Row],[Cuenta]],1))</f>
        <v>1</v>
      </c>
      <c r="R651" t="b">
        <f>+ISNUMBER(SEARCH('F-COMPRA'!$F$34,Tabla11[[#This Row],[Cuenta]],1))</f>
        <v>1</v>
      </c>
      <c r="S651" t="b">
        <f>+ISNUMBER(SEARCH('F-COMPRA'!$F$35,Tabla11[[#This Row],[Cuenta]],1))</f>
        <v>1</v>
      </c>
      <c r="T651" t="b">
        <f>+ISNUMBER(SEARCH('F-COMPRA'!$F$36,Tabla11[[#This Row],[Cuenta]],1))</f>
        <v>1</v>
      </c>
      <c r="U651" t="b">
        <f>+ISNUMBER(SEARCH('F-COMPRA'!$F$37,Tabla11[[#This Row],[Cuenta]],1))</f>
        <v>1</v>
      </c>
      <c r="V651" t="b">
        <f>+ISNUMBER(SEARCH(#REF!,Tabla11[[#This Row],[Cuenta]],1))</f>
        <v>0</v>
      </c>
      <c r="W651" t="b">
        <f>+ISNUMBER(SEARCH('F-COMPRA'!#REF!,Tabla11[[#This Row],[Cuenta]],1))</f>
        <v>0</v>
      </c>
      <c r="X651" t="b">
        <f>+ISNUMBER(SEARCH('F-COMPRA'!#REF!,Tabla11[[#This Row],[Cuenta]],1))</f>
        <v>0</v>
      </c>
      <c r="Y651" t="b">
        <f>+ISNUMBER(SEARCH('F-COMPRA'!#REF!,Tabla11[[#This Row],[Cuenta]],1))</f>
        <v>0</v>
      </c>
      <c r="Z651" t="b">
        <f>+ISNUMBER(SEARCH('F-COMPRA'!#REF!,Tabla11[[#This Row],[Cuenta]],1))</f>
        <v>0</v>
      </c>
      <c r="AA651" t="b">
        <f>+ISNUMBER(SEARCH('F-COMPRA'!#REF!,Tabla11[[#This Row],[Cuenta]],1))</f>
        <v>0</v>
      </c>
      <c r="AB651" t="b">
        <f>+ISNUMBER(SEARCH('F-COMPRA'!#REF!,Tabla11[[#This Row],[Cuenta]],1))</f>
        <v>0</v>
      </c>
      <c r="AC651" t="b">
        <f>+ISNUMBER(SEARCH('F-COMPRA'!#REF!,Tabla11[[#This Row],[Cuenta]],1))</f>
        <v>0</v>
      </c>
      <c r="AD651" t="b">
        <f>+ISNUMBER(SEARCH('F-COMPRA'!#REF!,Tabla11[[#This Row],[Cuenta]],1))</f>
        <v>0</v>
      </c>
      <c r="AE651" t="b">
        <f>+ISNUMBER(SEARCH('F-COMPRA'!#REF!,Tabla11[[#This Row],[Cuenta]],1))</f>
        <v>0</v>
      </c>
      <c r="AF651" t="b">
        <f>+ISNUMBER(SEARCH('F-VTA'!$G$23,Tabla11[[#This Row],[Cuenta]],1))</f>
        <v>0</v>
      </c>
      <c r="AG651" t="b">
        <f>+ISNUMBER(SEARCH('F-VTA'!$G$24,Tabla11[[#This Row],[Cuenta]],1))</f>
        <v>0</v>
      </c>
      <c r="AH651" t="b">
        <f>+ISNUMBER(SEARCH('F-VTA'!$G$25,Tabla11[[#This Row],[Cuenta]],1))</f>
        <v>0</v>
      </c>
      <c r="AI651" t="b">
        <f>+ISNUMBER(SEARCH('F-VTA'!$F$28,Tabla11[[#This Row],[Cuenta]],1))</f>
        <v>1</v>
      </c>
      <c r="AJ651" t="b">
        <f>+ISNUMBER(SEARCH('F-VTA'!$F$29,Tabla11[[#This Row],[Cuenta]],1))</f>
        <v>1</v>
      </c>
      <c r="AK651" t="b">
        <f>+ISNUMBER(SEARCH('F-VTA'!$F$30,Tabla11[[#This Row],[Cuenta]],1))</f>
        <v>1</v>
      </c>
      <c r="AL651" t="b">
        <f>+ISNUMBER(SEARCH('F-VTA'!$F$31,Tabla11[[#This Row],[Cuenta]],1))</f>
        <v>1</v>
      </c>
      <c r="AM651" t="b">
        <f>+ISNUMBER(SEARCH('F-VTA'!$F$32,Tabla11[[#This Row],[Cuenta]],1))</f>
        <v>1</v>
      </c>
      <c r="AN651" t="b">
        <f>+ISNUMBER(SEARCH('F-VTA'!$F$33,Tabla11[[#This Row],[Cuenta]],1))</f>
        <v>1</v>
      </c>
      <c r="AO651" t="b">
        <f>+ISNUMBER(SEARCH('F-VTA'!$F$34,Tabla11[[#This Row],[Cuenta]],1))</f>
        <v>1</v>
      </c>
      <c r="AP651" t="b">
        <f>+ISNUMBER(SEARCH('F-VTA'!$F$35,Tabla11[[#This Row],[Cuenta]],1))</f>
        <v>1</v>
      </c>
      <c r="AQ651" t="b">
        <f>+ISNUMBER(SEARCH('F-VTA'!$F$36,Tabla11[[#This Row],[Cuenta]],1))</f>
        <v>1</v>
      </c>
      <c r="AR651" t="b">
        <f>+ISNUMBER(SEARCH(#REF!,Tabla11[[#This Row],[Cuenta]],1))</f>
        <v>0</v>
      </c>
      <c r="AS651" t="b">
        <f>+ISNUMBER(SEARCH(#REF!,Tabla11[[#This Row],[Cuenta]],1))</f>
        <v>0</v>
      </c>
      <c r="AT651" t="b">
        <f>+ISNUMBER(SEARCH(#REF!,Tabla11[[#This Row],[Cuenta]],1))</f>
        <v>0</v>
      </c>
      <c r="AU651" t="b">
        <f>+ISNUMBER(SEARCH('Conc. Ban.1'!$I$9,Tabla11[[#This Row],[Cuenta]],1))</f>
        <v>0</v>
      </c>
      <c r="AV651" t="b">
        <f>+ISNUMBER(SEARCH(CompConta!$F$21,Tabla11[[#This Row],[Cuenta]],1))</f>
        <v>1</v>
      </c>
      <c r="AW651" t="b">
        <f>+ISNUMBER(SEARCH(CompConta!$F$22,Tabla11[[#This Row],[Cuenta]],1))</f>
        <v>1</v>
      </c>
      <c r="AX651" t="b">
        <f>+ISNUMBER(SEARCH(CompConta!$F$23,Tabla11[[#This Row],[Cuenta]],1))</f>
        <v>1</v>
      </c>
      <c r="AY651" t="b">
        <f>+ISNUMBER(SEARCH(CompConta!$F$24,Tabla11[[#This Row],[Cuenta]],1))</f>
        <v>1</v>
      </c>
      <c r="AZ651" t="b">
        <f>+ISNUMBER(SEARCH(CompConta!$F$25,Tabla11[[#This Row],[Cuenta]],1))</f>
        <v>1</v>
      </c>
      <c r="BA651" t="b">
        <f>+ISNUMBER(SEARCH(CompConta!$F$26,Tabla11[[#This Row],[Cuenta]],1))</f>
        <v>1</v>
      </c>
      <c r="BB651" t="b">
        <f>+ISNUMBER(SEARCH(CompConta!$F$27,Tabla11[[#This Row],[Cuenta]],1))</f>
        <v>1</v>
      </c>
      <c r="BC651" t="b">
        <f>+ISNUMBER(SEARCH(CompConta!$F$28,Tabla11[[#This Row],[Cuenta]],1))</f>
        <v>1</v>
      </c>
      <c r="BD651" t="b">
        <f>+ISNUMBER(SEARCH(CompConta!$F$29,Tabla11[[#This Row],[Cuenta]],1))</f>
        <v>1</v>
      </c>
      <c r="BE651" t="b">
        <f>+ISNUMBER(SEARCH(CompConta!$F$30,Tabla11[[#This Row],[Cuenta]],1))</f>
        <v>1</v>
      </c>
      <c r="BF651" t="b">
        <f>+ISNUMBER(SEARCH('PAGO Compras'!$E$11,Tabla11[[#This Row],[Cuenta]],1))</f>
        <v>1</v>
      </c>
      <c r="BG651" t="b">
        <f>+ISNUMBER(SEARCH(#REF!,Tabla11[[#This Row],[Cuenta]],1))</f>
        <v>0</v>
      </c>
      <c r="BH651" t="b">
        <f>+ISNUMBER(SEARCH(#REF!,Tabla11[[#This Row],[Cuenta]],1))</f>
        <v>0</v>
      </c>
      <c r="BI651" t="b">
        <f>+ISNUMBER(SEARCH(#REF!,Tabla11[[#This Row],[Cuenta]],1))</f>
        <v>0</v>
      </c>
      <c r="BJ651" t="b">
        <f>+ISNUMBER(SEARCH(#REF!,Tabla11[[#This Row],[Cuenta]],1))</f>
        <v>0</v>
      </c>
      <c r="BS651" t="str">
        <v>3210 DONACIONES</v>
      </c>
      <c r="BT651" t="str">
        <v>3210 DONACIONES</v>
      </c>
      <c r="BU651" t="str">
        <v>3210 DONACIONES</v>
      </c>
      <c r="BV651" t="str">
        <v>3210 DONACIONES</v>
      </c>
      <c r="BZ651" t="str">
        <v>3210 DONACIONES</v>
      </c>
      <c r="CA651" t="str">
        <v>3210 DONACIONES</v>
      </c>
      <c r="CB651" t="str">
        <v>3210 DONACIONES</v>
      </c>
      <c r="CC651" t="str">
        <v>3210 DONACIONES</v>
      </c>
      <c r="CD651" t="str">
        <v>3210 DONACIONES</v>
      </c>
      <c r="CE651" t="str">
        <v>3210 DONACIONES</v>
      </c>
      <c r="CS651" s="141" t="str">
        <v>3210 DONACIONES</v>
      </c>
      <c r="CT651" s="141" t="str">
        <v>3210 DONACIONES</v>
      </c>
      <c r="CU651" s="141" t="str">
        <v>3210 DONACIONES</v>
      </c>
      <c r="CV651" s="141" t="str">
        <v>3210 DONACIONES</v>
      </c>
      <c r="CW651" s="141" t="str">
        <v>3210 DONACIONES</v>
      </c>
      <c r="CX651" s="141" t="str">
        <v>3210 DONACIONES</v>
      </c>
      <c r="CY651" s="141" t="str">
        <v>3210 DONACIONES</v>
      </c>
      <c r="CZ651" s="141" t="str">
        <v>3210 DONACIONES</v>
      </c>
      <c r="DA651" s="141" t="str">
        <v>3210 DONACIONES</v>
      </c>
      <c r="DF651" t="str">
        <v>3210 DONACIONES</v>
      </c>
      <c r="DG651" t="str">
        <v>3210 DONACIONES</v>
      </c>
      <c r="DH651" t="str">
        <v>3210 DONACIONES</v>
      </c>
      <c r="DI651" t="str">
        <v>3210 DONACIONES</v>
      </c>
      <c r="DJ651" t="str">
        <v>3210 DONACIONES</v>
      </c>
      <c r="DK651" t="str">
        <v>3210 DONACIONES</v>
      </c>
      <c r="DL651" t="str">
        <v>3210 DONACIONES</v>
      </c>
      <c r="DM651" t="str">
        <v>3210 DONACIONES</v>
      </c>
      <c r="DN651" t="str">
        <v>3210 DONACIONES</v>
      </c>
      <c r="DO651" t="str">
        <v>3210 DONACIONES</v>
      </c>
      <c r="DP651" t="str">
        <v>3210 DONACIONES</v>
      </c>
    </row>
    <row r="652" spans="4:120" ht="12.75">
      <c r="D652" s="7">
        <v>321005</v>
      </c>
      <c r="E652" s="6" t="s">
        <v>483</v>
      </c>
      <c r="F652" s="5">
        <v>4</v>
      </c>
      <c r="G652" s="34" t="s">
        <v>827</v>
      </c>
      <c r="H652" s="8" t="s">
        <v>56</v>
      </c>
      <c r="I652" t="b">
        <f>+ISNUMBER(SEARCH('F-COMPRA'!$F$28,Tabla11[[#This Row],[Cuenta]],1))</f>
        <v>1</v>
      </c>
      <c r="J652" t="b">
        <f>+ISNUMBER(SEARCH('F-COMPRA'!$F$29,Tabla11[[#This Row],[Cuenta]],1))</f>
        <v>1</v>
      </c>
      <c r="K652" t="b">
        <f>+ISNUMBER(SEARCH('F-COMPRA'!$F$30,Tabla11[[#This Row],[Cuenta]],1))</f>
        <v>1</v>
      </c>
      <c r="L652" t="b">
        <f>+ISNUMBER(SEARCH('F-COMPRA'!$F$31,Tabla11[[#This Row],[Cuenta]],1))</f>
        <v>1</v>
      </c>
      <c r="M652" t="b">
        <f>+ISNUMBER(SEARCH('F-COMPRA'!$G$25,Tabla11[[#This Row],[Cuenta]],1))</f>
        <v>0</v>
      </c>
      <c r="N652" t="b">
        <f>+ISNUMBER(SEARCH(#REF!,Tabla11[[#This Row],[Cuenta]],1))</f>
        <v>0</v>
      </c>
      <c r="O652" t="b">
        <f>+ISNUMBER(SEARCH(#REF!,Tabla11[[#This Row],[Cuenta]],1))</f>
        <v>0</v>
      </c>
      <c r="P652" t="b">
        <f>+ISNUMBER(SEARCH('F-COMPRA'!$F$32,Tabla11[[#This Row],[Cuenta]],1))</f>
        <v>1</v>
      </c>
      <c r="Q652" t="b">
        <f>+ISNUMBER(SEARCH('F-COMPRA'!$F$33,Tabla11[[#This Row],[Cuenta]],1))</f>
        <v>1</v>
      </c>
      <c r="R652" t="b">
        <f>+ISNUMBER(SEARCH('F-COMPRA'!$F$34,Tabla11[[#This Row],[Cuenta]],1))</f>
        <v>1</v>
      </c>
      <c r="S652" t="b">
        <f>+ISNUMBER(SEARCH('F-COMPRA'!$F$35,Tabla11[[#This Row],[Cuenta]],1))</f>
        <v>1</v>
      </c>
      <c r="T652" t="b">
        <f>+ISNUMBER(SEARCH('F-COMPRA'!$F$36,Tabla11[[#This Row],[Cuenta]],1))</f>
        <v>1</v>
      </c>
      <c r="U652" t="b">
        <f>+ISNUMBER(SEARCH('F-COMPRA'!$F$37,Tabla11[[#This Row],[Cuenta]],1))</f>
        <v>1</v>
      </c>
      <c r="V652" t="b">
        <f>+ISNUMBER(SEARCH(#REF!,Tabla11[[#This Row],[Cuenta]],1))</f>
        <v>0</v>
      </c>
      <c r="W652" t="b">
        <f>+ISNUMBER(SEARCH('F-COMPRA'!#REF!,Tabla11[[#This Row],[Cuenta]],1))</f>
        <v>0</v>
      </c>
      <c r="X652" t="b">
        <f>+ISNUMBER(SEARCH('F-COMPRA'!#REF!,Tabla11[[#This Row],[Cuenta]],1))</f>
        <v>0</v>
      </c>
      <c r="Y652" t="b">
        <f>+ISNUMBER(SEARCH('F-COMPRA'!#REF!,Tabla11[[#This Row],[Cuenta]],1))</f>
        <v>0</v>
      </c>
      <c r="Z652" t="b">
        <f>+ISNUMBER(SEARCH('F-COMPRA'!#REF!,Tabla11[[#This Row],[Cuenta]],1))</f>
        <v>0</v>
      </c>
      <c r="AA652" t="b">
        <f>+ISNUMBER(SEARCH('F-COMPRA'!#REF!,Tabla11[[#This Row],[Cuenta]],1))</f>
        <v>0</v>
      </c>
      <c r="AB652" t="b">
        <f>+ISNUMBER(SEARCH('F-COMPRA'!#REF!,Tabla11[[#This Row],[Cuenta]],1))</f>
        <v>0</v>
      </c>
      <c r="AC652" t="b">
        <f>+ISNUMBER(SEARCH('F-COMPRA'!#REF!,Tabla11[[#This Row],[Cuenta]],1))</f>
        <v>0</v>
      </c>
      <c r="AD652" t="b">
        <f>+ISNUMBER(SEARCH('F-COMPRA'!#REF!,Tabla11[[#This Row],[Cuenta]],1))</f>
        <v>0</v>
      </c>
      <c r="AE652" t="b">
        <f>+ISNUMBER(SEARCH('F-COMPRA'!#REF!,Tabla11[[#This Row],[Cuenta]],1))</f>
        <v>0</v>
      </c>
      <c r="AF652" t="b">
        <f>+ISNUMBER(SEARCH('F-VTA'!$G$23,Tabla11[[#This Row],[Cuenta]],1))</f>
        <v>0</v>
      </c>
      <c r="AG652" t="b">
        <f>+ISNUMBER(SEARCH('F-VTA'!$G$24,Tabla11[[#This Row],[Cuenta]],1))</f>
        <v>0</v>
      </c>
      <c r="AH652" t="b">
        <f>+ISNUMBER(SEARCH('F-VTA'!$G$25,Tabla11[[#This Row],[Cuenta]],1))</f>
        <v>0</v>
      </c>
      <c r="AI652" t="b">
        <f>+ISNUMBER(SEARCH('F-VTA'!$F$28,Tabla11[[#This Row],[Cuenta]],1))</f>
        <v>1</v>
      </c>
      <c r="AJ652" t="b">
        <f>+ISNUMBER(SEARCH('F-VTA'!$F$29,Tabla11[[#This Row],[Cuenta]],1))</f>
        <v>1</v>
      </c>
      <c r="AK652" t="b">
        <f>+ISNUMBER(SEARCH('F-VTA'!$F$30,Tabla11[[#This Row],[Cuenta]],1))</f>
        <v>1</v>
      </c>
      <c r="AL652" t="b">
        <f>+ISNUMBER(SEARCH('F-VTA'!$F$31,Tabla11[[#This Row],[Cuenta]],1))</f>
        <v>1</v>
      </c>
      <c r="AM652" t="b">
        <f>+ISNUMBER(SEARCH('F-VTA'!$F$32,Tabla11[[#This Row],[Cuenta]],1))</f>
        <v>1</v>
      </c>
      <c r="AN652" t="b">
        <f>+ISNUMBER(SEARCH('F-VTA'!$F$33,Tabla11[[#This Row],[Cuenta]],1))</f>
        <v>1</v>
      </c>
      <c r="AO652" t="b">
        <f>+ISNUMBER(SEARCH('F-VTA'!$F$34,Tabla11[[#This Row],[Cuenta]],1))</f>
        <v>1</v>
      </c>
      <c r="AP652" t="b">
        <f>+ISNUMBER(SEARCH('F-VTA'!$F$35,Tabla11[[#This Row],[Cuenta]],1))</f>
        <v>1</v>
      </c>
      <c r="AQ652" t="b">
        <f>+ISNUMBER(SEARCH('F-VTA'!$F$36,Tabla11[[#This Row],[Cuenta]],1))</f>
        <v>1</v>
      </c>
      <c r="AR652" t="b">
        <f>+ISNUMBER(SEARCH(#REF!,Tabla11[[#This Row],[Cuenta]],1))</f>
        <v>0</v>
      </c>
      <c r="AS652" t="b">
        <f>+ISNUMBER(SEARCH(#REF!,Tabla11[[#This Row],[Cuenta]],1))</f>
        <v>0</v>
      </c>
      <c r="AT652" t="b">
        <f>+ISNUMBER(SEARCH(#REF!,Tabla11[[#This Row],[Cuenta]],1))</f>
        <v>0</v>
      </c>
      <c r="AU652" t="b">
        <f>+ISNUMBER(SEARCH('Conc. Ban.1'!$I$9,Tabla11[[#This Row],[Cuenta]],1))</f>
        <v>0</v>
      </c>
      <c r="AV652" t="b">
        <f>+ISNUMBER(SEARCH(CompConta!$F$21,Tabla11[[#This Row],[Cuenta]],1))</f>
        <v>1</v>
      </c>
      <c r="AW652" t="b">
        <f>+ISNUMBER(SEARCH(CompConta!$F$22,Tabla11[[#This Row],[Cuenta]],1))</f>
        <v>1</v>
      </c>
      <c r="AX652" t="b">
        <f>+ISNUMBER(SEARCH(CompConta!$F$23,Tabla11[[#This Row],[Cuenta]],1))</f>
        <v>1</v>
      </c>
      <c r="AY652" t="b">
        <f>+ISNUMBER(SEARCH(CompConta!$F$24,Tabla11[[#This Row],[Cuenta]],1))</f>
        <v>1</v>
      </c>
      <c r="AZ652" t="b">
        <f>+ISNUMBER(SEARCH(CompConta!$F$25,Tabla11[[#This Row],[Cuenta]],1))</f>
        <v>1</v>
      </c>
      <c r="BA652" t="b">
        <f>+ISNUMBER(SEARCH(CompConta!$F$26,Tabla11[[#This Row],[Cuenta]],1))</f>
        <v>1</v>
      </c>
      <c r="BB652" t="b">
        <f>+ISNUMBER(SEARCH(CompConta!$F$27,Tabla11[[#This Row],[Cuenta]],1))</f>
        <v>1</v>
      </c>
      <c r="BC652" t="b">
        <f>+ISNUMBER(SEARCH(CompConta!$F$28,Tabla11[[#This Row],[Cuenta]],1))</f>
        <v>1</v>
      </c>
      <c r="BD652" t="b">
        <f>+ISNUMBER(SEARCH(CompConta!$F$29,Tabla11[[#This Row],[Cuenta]],1))</f>
        <v>1</v>
      </c>
      <c r="BE652" t="b">
        <f>+ISNUMBER(SEARCH(CompConta!$F$30,Tabla11[[#This Row],[Cuenta]],1))</f>
        <v>1</v>
      </c>
      <c r="BF652" t="b">
        <f>+ISNUMBER(SEARCH('PAGO Compras'!$E$11,Tabla11[[#This Row],[Cuenta]],1))</f>
        <v>1</v>
      </c>
      <c r="BG652" t="b">
        <f>+ISNUMBER(SEARCH(#REF!,Tabla11[[#This Row],[Cuenta]],1))</f>
        <v>0</v>
      </c>
      <c r="BH652" t="b">
        <f>+ISNUMBER(SEARCH(#REF!,Tabla11[[#This Row],[Cuenta]],1))</f>
        <v>0</v>
      </c>
      <c r="BI652" t="b">
        <f>+ISNUMBER(SEARCH(#REF!,Tabla11[[#This Row],[Cuenta]],1))</f>
        <v>0</v>
      </c>
      <c r="BJ652" t="b">
        <f>+ISNUMBER(SEARCH(#REF!,Tabla11[[#This Row],[Cuenta]],1))</f>
        <v>0</v>
      </c>
      <c r="BS652" t="str">
        <v>321005 En dinero</v>
      </c>
      <c r="BT652" t="str">
        <v>321005 En dinero</v>
      </c>
      <c r="BU652" t="str">
        <v>321005 En dinero</v>
      </c>
      <c r="BV652" t="str">
        <v>321005 En dinero</v>
      </c>
      <c r="BZ652" t="str">
        <v>321005 En dinero</v>
      </c>
      <c r="CA652" t="str">
        <v>321005 En dinero</v>
      </c>
      <c r="CB652" t="str">
        <v>321005 En dinero</v>
      </c>
      <c r="CC652" t="str">
        <v>321005 En dinero</v>
      </c>
      <c r="CD652" t="str">
        <v>321005 En dinero</v>
      </c>
      <c r="CE652" t="str">
        <v>321005 En dinero</v>
      </c>
      <c r="CS652" s="141" t="str">
        <v>321005 En dinero</v>
      </c>
      <c r="CT652" s="141" t="str">
        <v>321005 En dinero</v>
      </c>
      <c r="CU652" s="141" t="str">
        <v>321005 En dinero</v>
      </c>
      <c r="CV652" s="141" t="str">
        <v>321005 En dinero</v>
      </c>
      <c r="CW652" s="141" t="str">
        <v>321005 En dinero</v>
      </c>
      <c r="CX652" s="141" t="str">
        <v>321005 En dinero</v>
      </c>
      <c r="CY652" s="141" t="str">
        <v>321005 En dinero</v>
      </c>
      <c r="CZ652" s="141" t="str">
        <v>321005 En dinero</v>
      </c>
      <c r="DA652" s="141" t="str">
        <v>321005 En dinero</v>
      </c>
      <c r="DF652" t="str">
        <v>321005 En dinero</v>
      </c>
      <c r="DG652" t="str">
        <v>321005 En dinero</v>
      </c>
      <c r="DH652" t="str">
        <v>321005 En dinero</v>
      </c>
      <c r="DI652" t="str">
        <v>321005 En dinero</v>
      </c>
      <c r="DJ652" t="str">
        <v>321005 En dinero</v>
      </c>
      <c r="DK652" t="str">
        <v>321005 En dinero</v>
      </c>
      <c r="DL652" t="str">
        <v>321005 En dinero</v>
      </c>
      <c r="DM652" t="str">
        <v>321005 En dinero</v>
      </c>
      <c r="DN652" t="str">
        <v>321005 En dinero</v>
      </c>
      <c r="DO652" t="str">
        <v>321005 En dinero</v>
      </c>
      <c r="DP652" t="str">
        <v>321005 En dinero</v>
      </c>
    </row>
    <row r="653" spans="4:120" ht="12.75">
      <c r="D653" s="7">
        <v>321010</v>
      </c>
      <c r="E653" s="6" t="s">
        <v>484</v>
      </c>
      <c r="F653" s="5">
        <v>4</v>
      </c>
      <c r="G653" s="34" t="s">
        <v>827</v>
      </c>
      <c r="H653" s="8" t="s">
        <v>56</v>
      </c>
      <c r="I653" t="b">
        <f>+ISNUMBER(SEARCH('F-COMPRA'!$F$28,Tabla11[[#This Row],[Cuenta]],1))</f>
        <v>1</v>
      </c>
      <c r="J653" t="b">
        <f>+ISNUMBER(SEARCH('F-COMPRA'!$F$29,Tabla11[[#This Row],[Cuenta]],1))</f>
        <v>1</v>
      </c>
      <c r="K653" t="b">
        <f>+ISNUMBER(SEARCH('F-COMPRA'!$F$30,Tabla11[[#This Row],[Cuenta]],1))</f>
        <v>1</v>
      </c>
      <c r="L653" t="b">
        <f>+ISNUMBER(SEARCH('F-COMPRA'!$F$31,Tabla11[[#This Row],[Cuenta]],1))</f>
        <v>1</v>
      </c>
      <c r="M653" t="b">
        <f>+ISNUMBER(SEARCH('F-COMPRA'!$G$25,Tabla11[[#This Row],[Cuenta]],1))</f>
        <v>0</v>
      </c>
      <c r="N653" t="b">
        <f>+ISNUMBER(SEARCH(#REF!,Tabla11[[#This Row],[Cuenta]],1))</f>
        <v>0</v>
      </c>
      <c r="O653" t="b">
        <f>+ISNUMBER(SEARCH(#REF!,Tabla11[[#This Row],[Cuenta]],1))</f>
        <v>0</v>
      </c>
      <c r="P653" t="b">
        <f>+ISNUMBER(SEARCH('F-COMPRA'!$F$32,Tabla11[[#This Row],[Cuenta]],1))</f>
        <v>1</v>
      </c>
      <c r="Q653" t="b">
        <f>+ISNUMBER(SEARCH('F-COMPRA'!$F$33,Tabla11[[#This Row],[Cuenta]],1))</f>
        <v>1</v>
      </c>
      <c r="R653" t="b">
        <f>+ISNUMBER(SEARCH('F-COMPRA'!$F$34,Tabla11[[#This Row],[Cuenta]],1))</f>
        <v>1</v>
      </c>
      <c r="S653" t="b">
        <f>+ISNUMBER(SEARCH('F-COMPRA'!$F$35,Tabla11[[#This Row],[Cuenta]],1))</f>
        <v>1</v>
      </c>
      <c r="T653" t="b">
        <f>+ISNUMBER(SEARCH('F-COMPRA'!$F$36,Tabla11[[#This Row],[Cuenta]],1))</f>
        <v>1</v>
      </c>
      <c r="U653" t="b">
        <f>+ISNUMBER(SEARCH('F-COMPRA'!$F$37,Tabla11[[#This Row],[Cuenta]],1))</f>
        <v>1</v>
      </c>
      <c r="V653" t="b">
        <f>+ISNUMBER(SEARCH(#REF!,Tabla11[[#This Row],[Cuenta]],1))</f>
        <v>0</v>
      </c>
      <c r="W653" t="b">
        <f>+ISNUMBER(SEARCH('F-COMPRA'!#REF!,Tabla11[[#This Row],[Cuenta]],1))</f>
        <v>0</v>
      </c>
      <c r="X653" t="b">
        <f>+ISNUMBER(SEARCH('F-COMPRA'!#REF!,Tabla11[[#This Row],[Cuenta]],1))</f>
        <v>0</v>
      </c>
      <c r="Y653" t="b">
        <f>+ISNUMBER(SEARCH('F-COMPRA'!#REF!,Tabla11[[#This Row],[Cuenta]],1))</f>
        <v>0</v>
      </c>
      <c r="Z653" t="b">
        <f>+ISNUMBER(SEARCH('F-COMPRA'!#REF!,Tabla11[[#This Row],[Cuenta]],1))</f>
        <v>0</v>
      </c>
      <c r="AA653" t="b">
        <f>+ISNUMBER(SEARCH('F-COMPRA'!#REF!,Tabla11[[#This Row],[Cuenta]],1))</f>
        <v>0</v>
      </c>
      <c r="AB653" t="b">
        <f>+ISNUMBER(SEARCH('F-COMPRA'!#REF!,Tabla11[[#This Row],[Cuenta]],1))</f>
        <v>0</v>
      </c>
      <c r="AC653" t="b">
        <f>+ISNUMBER(SEARCH('F-COMPRA'!#REF!,Tabla11[[#This Row],[Cuenta]],1))</f>
        <v>0</v>
      </c>
      <c r="AD653" t="b">
        <f>+ISNUMBER(SEARCH('F-COMPRA'!#REF!,Tabla11[[#This Row],[Cuenta]],1))</f>
        <v>0</v>
      </c>
      <c r="AE653" t="b">
        <f>+ISNUMBER(SEARCH('F-COMPRA'!#REF!,Tabla11[[#This Row],[Cuenta]],1))</f>
        <v>0</v>
      </c>
      <c r="AF653" t="b">
        <f>+ISNUMBER(SEARCH('F-VTA'!$G$23,Tabla11[[#This Row],[Cuenta]],1))</f>
        <v>0</v>
      </c>
      <c r="AG653" t="b">
        <f>+ISNUMBER(SEARCH('F-VTA'!$G$24,Tabla11[[#This Row],[Cuenta]],1))</f>
        <v>0</v>
      </c>
      <c r="AH653" t="b">
        <f>+ISNUMBER(SEARCH('F-VTA'!$G$25,Tabla11[[#This Row],[Cuenta]],1))</f>
        <v>0</v>
      </c>
      <c r="AI653" t="b">
        <f>+ISNUMBER(SEARCH('F-VTA'!$F$28,Tabla11[[#This Row],[Cuenta]],1))</f>
        <v>1</v>
      </c>
      <c r="AJ653" t="b">
        <f>+ISNUMBER(SEARCH('F-VTA'!$F$29,Tabla11[[#This Row],[Cuenta]],1))</f>
        <v>1</v>
      </c>
      <c r="AK653" t="b">
        <f>+ISNUMBER(SEARCH('F-VTA'!$F$30,Tabla11[[#This Row],[Cuenta]],1))</f>
        <v>1</v>
      </c>
      <c r="AL653" t="b">
        <f>+ISNUMBER(SEARCH('F-VTA'!$F$31,Tabla11[[#This Row],[Cuenta]],1))</f>
        <v>1</v>
      </c>
      <c r="AM653" t="b">
        <f>+ISNUMBER(SEARCH('F-VTA'!$F$32,Tabla11[[#This Row],[Cuenta]],1))</f>
        <v>1</v>
      </c>
      <c r="AN653" t="b">
        <f>+ISNUMBER(SEARCH('F-VTA'!$F$33,Tabla11[[#This Row],[Cuenta]],1))</f>
        <v>1</v>
      </c>
      <c r="AO653" t="b">
        <f>+ISNUMBER(SEARCH('F-VTA'!$F$34,Tabla11[[#This Row],[Cuenta]],1))</f>
        <v>1</v>
      </c>
      <c r="AP653" t="b">
        <f>+ISNUMBER(SEARCH('F-VTA'!$F$35,Tabla11[[#This Row],[Cuenta]],1))</f>
        <v>1</v>
      </c>
      <c r="AQ653" t="b">
        <f>+ISNUMBER(SEARCH('F-VTA'!$F$36,Tabla11[[#This Row],[Cuenta]],1))</f>
        <v>1</v>
      </c>
      <c r="AR653" t="b">
        <f>+ISNUMBER(SEARCH(#REF!,Tabla11[[#This Row],[Cuenta]],1))</f>
        <v>0</v>
      </c>
      <c r="AS653" t="b">
        <f>+ISNUMBER(SEARCH(#REF!,Tabla11[[#This Row],[Cuenta]],1))</f>
        <v>0</v>
      </c>
      <c r="AT653" t="b">
        <f>+ISNUMBER(SEARCH(#REF!,Tabla11[[#This Row],[Cuenta]],1))</f>
        <v>0</v>
      </c>
      <c r="AU653" t="b">
        <f>+ISNUMBER(SEARCH('Conc. Ban.1'!$I$9,Tabla11[[#This Row],[Cuenta]],1))</f>
        <v>0</v>
      </c>
      <c r="AV653" t="b">
        <f>+ISNUMBER(SEARCH(CompConta!$F$21,Tabla11[[#This Row],[Cuenta]],1))</f>
        <v>1</v>
      </c>
      <c r="AW653" t="b">
        <f>+ISNUMBER(SEARCH(CompConta!$F$22,Tabla11[[#This Row],[Cuenta]],1))</f>
        <v>1</v>
      </c>
      <c r="AX653" t="b">
        <f>+ISNUMBER(SEARCH(CompConta!$F$23,Tabla11[[#This Row],[Cuenta]],1))</f>
        <v>1</v>
      </c>
      <c r="AY653" t="b">
        <f>+ISNUMBER(SEARCH(CompConta!$F$24,Tabla11[[#This Row],[Cuenta]],1))</f>
        <v>1</v>
      </c>
      <c r="AZ653" t="b">
        <f>+ISNUMBER(SEARCH(CompConta!$F$25,Tabla11[[#This Row],[Cuenta]],1))</f>
        <v>1</v>
      </c>
      <c r="BA653" t="b">
        <f>+ISNUMBER(SEARCH(CompConta!$F$26,Tabla11[[#This Row],[Cuenta]],1))</f>
        <v>1</v>
      </c>
      <c r="BB653" t="b">
        <f>+ISNUMBER(SEARCH(CompConta!$F$27,Tabla11[[#This Row],[Cuenta]],1))</f>
        <v>1</v>
      </c>
      <c r="BC653" t="b">
        <f>+ISNUMBER(SEARCH(CompConta!$F$28,Tabla11[[#This Row],[Cuenta]],1))</f>
        <v>1</v>
      </c>
      <c r="BD653" t="b">
        <f>+ISNUMBER(SEARCH(CompConta!$F$29,Tabla11[[#This Row],[Cuenta]],1))</f>
        <v>1</v>
      </c>
      <c r="BE653" t="b">
        <f>+ISNUMBER(SEARCH(CompConta!$F$30,Tabla11[[#This Row],[Cuenta]],1))</f>
        <v>1</v>
      </c>
      <c r="BF653" t="b">
        <f>+ISNUMBER(SEARCH('PAGO Compras'!$E$11,Tabla11[[#This Row],[Cuenta]],1))</f>
        <v>1</v>
      </c>
      <c r="BG653" t="b">
        <f>+ISNUMBER(SEARCH(#REF!,Tabla11[[#This Row],[Cuenta]],1))</f>
        <v>0</v>
      </c>
      <c r="BH653" t="b">
        <f>+ISNUMBER(SEARCH(#REF!,Tabla11[[#This Row],[Cuenta]],1))</f>
        <v>0</v>
      </c>
      <c r="BI653" t="b">
        <f>+ISNUMBER(SEARCH(#REF!,Tabla11[[#This Row],[Cuenta]],1))</f>
        <v>0</v>
      </c>
      <c r="BJ653" t="b">
        <f>+ISNUMBER(SEARCH(#REF!,Tabla11[[#This Row],[Cuenta]],1))</f>
        <v>0</v>
      </c>
      <c r="BS653" t="str">
        <v>321010 En valores mobiliarios</v>
      </c>
      <c r="BT653" t="str">
        <v>321010 En valores mobiliarios</v>
      </c>
      <c r="BU653" t="str">
        <v>321010 En valores mobiliarios</v>
      </c>
      <c r="BV653" t="str">
        <v>321010 En valores mobiliarios</v>
      </c>
      <c r="BZ653" t="str">
        <v>321010 En valores mobiliarios</v>
      </c>
      <c r="CA653" t="str">
        <v>321010 En valores mobiliarios</v>
      </c>
      <c r="CB653" t="str">
        <v>321010 En valores mobiliarios</v>
      </c>
      <c r="CC653" t="str">
        <v>321010 En valores mobiliarios</v>
      </c>
      <c r="CD653" t="str">
        <v>321010 En valores mobiliarios</v>
      </c>
      <c r="CE653" t="str">
        <v>321010 En valores mobiliarios</v>
      </c>
      <c r="CS653" s="141" t="str">
        <v>321010 En valores mobiliarios</v>
      </c>
      <c r="CT653" s="141" t="str">
        <v>321010 En valores mobiliarios</v>
      </c>
      <c r="CU653" s="141" t="str">
        <v>321010 En valores mobiliarios</v>
      </c>
      <c r="CV653" s="141" t="str">
        <v>321010 En valores mobiliarios</v>
      </c>
      <c r="CW653" s="141" t="str">
        <v>321010 En valores mobiliarios</v>
      </c>
      <c r="CX653" s="141" t="str">
        <v>321010 En valores mobiliarios</v>
      </c>
      <c r="CY653" s="141" t="str">
        <v>321010 En valores mobiliarios</v>
      </c>
      <c r="CZ653" s="141" t="str">
        <v>321010 En valores mobiliarios</v>
      </c>
      <c r="DA653" s="141" t="str">
        <v>321010 En valores mobiliarios</v>
      </c>
      <c r="DF653" t="str">
        <v>321010 En valores mobiliarios</v>
      </c>
      <c r="DG653" t="str">
        <v>321010 En valores mobiliarios</v>
      </c>
      <c r="DH653" t="str">
        <v>321010 En valores mobiliarios</v>
      </c>
      <c r="DI653" t="str">
        <v>321010 En valores mobiliarios</v>
      </c>
      <c r="DJ653" t="str">
        <v>321010 En valores mobiliarios</v>
      </c>
      <c r="DK653" t="str">
        <v>321010 En valores mobiliarios</v>
      </c>
      <c r="DL653" t="str">
        <v>321010 En valores mobiliarios</v>
      </c>
      <c r="DM653" t="str">
        <v>321010 En valores mobiliarios</v>
      </c>
      <c r="DN653" t="str">
        <v>321010 En valores mobiliarios</v>
      </c>
      <c r="DO653" t="str">
        <v>321010 En valores mobiliarios</v>
      </c>
      <c r="DP653" t="str">
        <v>321010 En valores mobiliarios</v>
      </c>
    </row>
    <row r="654" spans="4:120" ht="12.75">
      <c r="D654" s="7">
        <v>321015</v>
      </c>
      <c r="E654" s="6" t="s">
        <v>485</v>
      </c>
      <c r="F654" s="5">
        <v>4</v>
      </c>
      <c r="G654" s="34" t="s">
        <v>827</v>
      </c>
      <c r="H654" s="8" t="s">
        <v>56</v>
      </c>
      <c r="I654" t="b">
        <f>+ISNUMBER(SEARCH('F-COMPRA'!$F$28,Tabla11[[#This Row],[Cuenta]],1))</f>
        <v>1</v>
      </c>
      <c r="J654" t="b">
        <f>+ISNUMBER(SEARCH('F-COMPRA'!$F$29,Tabla11[[#This Row],[Cuenta]],1))</f>
        <v>1</v>
      </c>
      <c r="K654" t="b">
        <f>+ISNUMBER(SEARCH('F-COMPRA'!$F$30,Tabla11[[#This Row],[Cuenta]],1))</f>
        <v>1</v>
      </c>
      <c r="L654" t="b">
        <f>+ISNUMBER(SEARCH('F-COMPRA'!$F$31,Tabla11[[#This Row],[Cuenta]],1))</f>
        <v>1</v>
      </c>
      <c r="M654" t="b">
        <f>+ISNUMBER(SEARCH('F-COMPRA'!$G$25,Tabla11[[#This Row],[Cuenta]],1))</f>
        <v>0</v>
      </c>
      <c r="N654" t="b">
        <f>+ISNUMBER(SEARCH(#REF!,Tabla11[[#This Row],[Cuenta]],1))</f>
        <v>0</v>
      </c>
      <c r="O654" t="b">
        <f>+ISNUMBER(SEARCH(#REF!,Tabla11[[#This Row],[Cuenta]],1))</f>
        <v>0</v>
      </c>
      <c r="P654" t="b">
        <f>+ISNUMBER(SEARCH('F-COMPRA'!$F$32,Tabla11[[#This Row],[Cuenta]],1))</f>
        <v>1</v>
      </c>
      <c r="Q654" t="b">
        <f>+ISNUMBER(SEARCH('F-COMPRA'!$F$33,Tabla11[[#This Row],[Cuenta]],1))</f>
        <v>1</v>
      </c>
      <c r="R654" t="b">
        <f>+ISNUMBER(SEARCH('F-COMPRA'!$F$34,Tabla11[[#This Row],[Cuenta]],1))</f>
        <v>1</v>
      </c>
      <c r="S654" t="b">
        <f>+ISNUMBER(SEARCH('F-COMPRA'!$F$35,Tabla11[[#This Row],[Cuenta]],1))</f>
        <v>1</v>
      </c>
      <c r="T654" t="b">
        <f>+ISNUMBER(SEARCH('F-COMPRA'!$F$36,Tabla11[[#This Row],[Cuenta]],1))</f>
        <v>1</v>
      </c>
      <c r="U654" t="b">
        <f>+ISNUMBER(SEARCH('F-COMPRA'!$F$37,Tabla11[[#This Row],[Cuenta]],1))</f>
        <v>1</v>
      </c>
      <c r="V654" t="b">
        <f>+ISNUMBER(SEARCH(#REF!,Tabla11[[#This Row],[Cuenta]],1))</f>
        <v>0</v>
      </c>
      <c r="W654" t="b">
        <f>+ISNUMBER(SEARCH('F-COMPRA'!#REF!,Tabla11[[#This Row],[Cuenta]],1))</f>
        <v>0</v>
      </c>
      <c r="X654" t="b">
        <f>+ISNUMBER(SEARCH('F-COMPRA'!#REF!,Tabla11[[#This Row],[Cuenta]],1))</f>
        <v>0</v>
      </c>
      <c r="Y654" t="b">
        <f>+ISNUMBER(SEARCH('F-COMPRA'!#REF!,Tabla11[[#This Row],[Cuenta]],1))</f>
        <v>0</v>
      </c>
      <c r="Z654" t="b">
        <f>+ISNUMBER(SEARCH('F-COMPRA'!#REF!,Tabla11[[#This Row],[Cuenta]],1))</f>
        <v>0</v>
      </c>
      <c r="AA654" t="b">
        <f>+ISNUMBER(SEARCH('F-COMPRA'!#REF!,Tabla11[[#This Row],[Cuenta]],1))</f>
        <v>0</v>
      </c>
      <c r="AB654" t="b">
        <f>+ISNUMBER(SEARCH('F-COMPRA'!#REF!,Tabla11[[#This Row],[Cuenta]],1))</f>
        <v>0</v>
      </c>
      <c r="AC654" t="b">
        <f>+ISNUMBER(SEARCH('F-COMPRA'!#REF!,Tabla11[[#This Row],[Cuenta]],1))</f>
        <v>0</v>
      </c>
      <c r="AD654" t="b">
        <f>+ISNUMBER(SEARCH('F-COMPRA'!#REF!,Tabla11[[#This Row],[Cuenta]],1))</f>
        <v>0</v>
      </c>
      <c r="AE654" t="b">
        <f>+ISNUMBER(SEARCH('F-COMPRA'!#REF!,Tabla11[[#This Row],[Cuenta]],1))</f>
        <v>0</v>
      </c>
      <c r="AF654" t="b">
        <f>+ISNUMBER(SEARCH('F-VTA'!$G$23,Tabla11[[#This Row],[Cuenta]],1))</f>
        <v>0</v>
      </c>
      <c r="AG654" t="b">
        <f>+ISNUMBER(SEARCH('F-VTA'!$G$24,Tabla11[[#This Row],[Cuenta]],1))</f>
        <v>0</v>
      </c>
      <c r="AH654" t="b">
        <f>+ISNUMBER(SEARCH('F-VTA'!$G$25,Tabla11[[#This Row],[Cuenta]],1))</f>
        <v>0</v>
      </c>
      <c r="AI654" t="b">
        <f>+ISNUMBER(SEARCH('F-VTA'!$F$28,Tabla11[[#This Row],[Cuenta]],1))</f>
        <v>1</v>
      </c>
      <c r="AJ654" t="b">
        <f>+ISNUMBER(SEARCH('F-VTA'!$F$29,Tabla11[[#This Row],[Cuenta]],1))</f>
        <v>1</v>
      </c>
      <c r="AK654" t="b">
        <f>+ISNUMBER(SEARCH('F-VTA'!$F$30,Tabla11[[#This Row],[Cuenta]],1))</f>
        <v>1</v>
      </c>
      <c r="AL654" t="b">
        <f>+ISNUMBER(SEARCH('F-VTA'!$F$31,Tabla11[[#This Row],[Cuenta]],1))</f>
        <v>1</v>
      </c>
      <c r="AM654" t="b">
        <f>+ISNUMBER(SEARCH('F-VTA'!$F$32,Tabla11[[#This Row],[Cuenta]],1))</f>
        <v>1</v>
      </c>
      <c r="AN654" t="b">
        <f>+ISNUMBER(SEARCH('F-VTA'!$F$33,Tabla11[[#This Row],[Cuenta]],1))</f>
        <v>1</v>
      </c>
      <c r="AO654" t="b">
        <f>+ISNUMBER(SEARCH('F-VTA'!$F$34,Tabla11[[#This Row],[Cuenta]],1))</f>
        <v>1</v>
      </c>
      <c r="AP654" t="b">
        <f>+ISNUMBER(SEARCH('F-VTA'!$F$35,Tabla11[[#This Row],[Cuenta]],1))</f>
        <v>1</v>
      </c>
      <c r="AQ654" t="b">
        <f>+ISNUMBER(SEARCH('F-VTA'!$F$36,Tabla11[[#This Row],[Cuenta]],1))</f>
        <v>1</v>
      </c>
      <c r="AR654" t="b">
        <f>+ISNUMBER(SEARCH(#REF!,Tabla11[[#This Row],[Cuenta]],1))</f>
        <v>0</v>
      </c>
      <c r="AS654" t="b">
        <f>+ISNUMBER(SEARCH(#REF!,Tabla11[[#This Row],[Cuenta]],1))</f>
        <v>0</v>
      </c>
      <c r="AT654" t="b">
        <f>+ISNUMBER(SEARCH(#REF!,Tabla11[[#This Row],[Cuenta]],1))</f>
        <v>0</v>
      </c>
      <c r="AU654" t="b">
        <f>+ISNUMBER(SEARCH('Conc. Ban.1'!$I$9,Tabla11[[#This Row],[Cuenta]],1))</f>
        <v>0</v>
      </c>
      <c r="AV654" t="b">
        <f>+ISNUMBER(SEARCH(CompConta!$F$21,Tabla11[[#This Row],[Cuenta]],1))</f>
        <v>1</v>
      </c>
      <c r="AW654" t="b">
        <f>+ISNUMBER(SEARCH(CompConta!$F$22,Tabla11[[#This Row],[Cuenta]],1))</f>
        <v>1</v>
      </c>
      <c r="AX654" t="b">
        <f>+ISNUMBER(SEARCH(CompConta!$F$23,Tabla11[[#This Row],[Cuenta]],1))</f>
        <v>1</v>
      </c>
      <c r="AY654" t="b">
        <f>+ISNUMBER(SEARCH(CompConta!$F$24,Tabla11[[#This Row],[Cuenta]],1))</f>
        <v>1</v>
      </c>
      <c r="AZ654" t="b">
        <f>+ISNUMBER(SEARCH(CompConta!$F$25,Tabla11[[#This Row],[Cuenta]],1))</f>
        <v>1</v>
      </c>
      <c r="BA654" t="b">
        <f>+ISNUMBER(SEARCH(CompConta!$F$26,Tabla11[[#This Row],[Cuenta]],1))</f>
        <v>1</v>
      </c>
      <c r="BB654" t="b">
        <f>+ISNUMBER(SEARCH(CompConta!$F$27,Tabla11[[#This Row],[Cuenta]],1))</f>
        <v>1</v>
      </c>
      <c r="BC654" t="b">
        <f>+ISNUMBER(SEARCH(CompConta!$F$28,Tabla11[[#This Row],[Cuenta]],1))</f>
        <v>1</v>
      </c>
      <c r="BD654" t="b">
        <f>+ISNUMBER(SEARCH(CompConta!$F$29,Tabla11[[#This Row],[Cuenta]],1))</f>
        <v>1</v>
      </c>
      <c r="BE654" t="b">
        <f>+ISNUMBER(SEARCH(CompConta!$F$30,Tabla11[[#This Row],[Cuenta]],1))</f>
        <v>1</v>
      </c>
      <c r="BF654" t="b">
        <f>+ISNUMBER(SEARCH('PAGO Compras'!$E$11,Tabla11[[#This Row],[Cuenta]],1))</f>
        <v>1</v>
      </c>
      <c r="BG654" t="b">
        <f>+ISNUMBER(SEARCH(#REF!,Tabla11[[#This Row],[Cuenta]],1))</f>
        <v>0</v>
      </c>
      <c r="BH654" t="b">
        <f>+ISNUMBER(SEARCH(#REF!,Tabla11[[#This Row],[Cuenta]],1))</f>
        <v>0</v>
      </c>
      <c r="BI654" t="b">
        <f>+ISNUMBER(SEARCH(#REF!,Tabla11[[#This Row],[Cuenta]],1))</f>
        <v>0</v>
      </c>
      <c r="BJ654" t="b">
        <f>+ISNUMBER(SEARCH(#REF!,Tabla11[[#This Row],[Cuenta]],1))</f>
        <v>0</v>
      </c>
      <c r="BS654" t="str">
        <v>321015 En bienes muebles</v>
      </c>
      <c r="BT654" t="str">
        <v>321015 En bienes muebles</v>
      </c>
      <c r="BU654" t="str">
        <v>321015 En bienes muebles</v>
      </c>
      <c r="BV654" t="str">
        <v>321015 En bienes muebles</v>
      </c>
      <c r="BZ654" t="str">
        <v>321015 En bienes muebles</v>
      </c>
      <c r="CA654" t="str">
        <v>321015 En bienes muebles</v>
      </c>
      <c r="CB654" t="str">
        <v>321015 En bienes muebles</v>
      </c>
      <c r="CC654" t="str">
        <v>321015 En bienes muebles</v>
      </c>
      <c r="CD654" t="str">
        <v>321015 En bienes muebles</v>
      </c>
      <c r="CE654" t="str">
        <v>321015 En bienes muebles</v>
      </c>
      <c r="CS654" s="141" t="str">
        <v>321015 En bienes muebles</v>
      </c>
      <c r="CT654" s="141" t="str">
        <v>321015 En bienes muebles</v>
      </c>
      <c r="CU654" s="141" t="str">
        <v>321015 En bienes muebles</v>
      </c>
      <c r="CV654" s="141" t="str">
        <v>321015 En bienes muebles</v>
      </c>
      <c r="CW654" s="141" t="str">
        <v>321015 En bienes muebles</v>
      </c>
      <c r="CX654" s="141" t="str">
        <v>321015 En bienes muebles</v>
      </c>
      <c r="CY654" s="141" t="str">
        <v>321015 En bienes muebles</v>
      </c>
      <c r="CZ654" s="141" t="str">
        <v>321015 En bienes muebles</v>
      </c>
      <c r="DA654" s="141" t="str">
        <v>321015 En bienes muebles</v>
      </c>
      <c r="DF654" t="str">
        <v>321015 En bienes muebles</v>
      </c>
      <c r="DG654" t="str">
        <v>321015 En bienes muebles</v>
      </c>
      <c r="DH654" t="str">
        <v>321015 En bienes muebles</v>
      </c>
      <c r="DI654" t="str">
        <v>321015 En bienes muebles</v>
      </c>
      <c r="DJ654" t="str">
        <v>321015 En bienes muebles</v>
      </c>
      <c r="DK654" t="str">
        <v>321015 En bienes muebles</v>
      </c>
      <c r="DL654" t="str">
        <v>321015 En bienes muebles</v>
      </c>
      <c r="DM654" t="str">
        <v>321015 En bienes muebles</v>
      </c>
      <c r="DN654" t="str">
        <v>321015 En bienes muebles</v>
      </c>
      <c r="DO654" t="str">
        <v>321015 En bienes muebles</v>
      </c>
      <c r="DP654" t="str">
        <v>321015 En bienes muebles</v>
      </c>
    </row>
    <row r="655" spans="4:120" ht="12.75">
      <c r="D655" s="7">
        <v>321020</v>
      </c>
      <c r="E655" s="6" t="s">
        <v>486</v>
      </c>
      <c r="F655" s="5">
        <v>4</v>
      </c>
      <c r="G655" s="34" t="s">
        <v>827</v>
      </c>
      <c r="H655" s="8" t="s">
        <v>56</v>
      </c>
      <c r="I655" t="b">
        <f>+ISNUMBER(SEARCH('F-COMPRA'!$F$28,Tabla11[[#This Row],[Cuenta]],1))</f>
        <v>1</v>
      </c>
      <c r="J655" t="b">
        <f>+ISNUMBER(SEARCH('F-COMPRA'!$F$29,Tabla11[[#This Row],[Cuenta]],1))</f>
        <v>1</v>
      </c>
      <c r="K655" t="b">
        <f>+ISNUMBER(SEARCH('F-COMPRA'!$F$30,Tabla11[[#This Row],[Cuenta]],1))</f>
        <v>1</v>
      </c>
      <c r="L655" t="b">
        <f>+ISNUMBER(SEARCH('F-COMPRA'!$F$31,Tabla11[[#This Row],[Cuenta]],1))</f>
        <v>1</v>
      </c>
      <c r="M655" t="b">
        <f>+ISNUMBER(SEARCH('F-COMPRA'!$G$25,Tabla11[[#This Row],[Cuenta]],1))</f>
        <v>0</v>
      </c>
      <c r="N655" t="b">
        <f>+ISNUMBER(SEARCH(#REF!,Tabla11[[#This Row],[Cuenta]],1))</f>
        <v>0</v>
      </c>
      <c r="O655" t="b">
        <f>+ISNUMBER(SEARCH(#REF!,Tabla11[[#This Row],[Cuenta]],1))</f>
        <v>0</v>
      </c>
      <c r="P655" t="b">
        <f>+ISNUMBER(SEARCH('F-COMPRA'!$F$32,Tabla11[[#This Row],[Cuenta]],1))</f>
        <v>1</v>
      </c>
      <c r="Q655" t="b">
        <f>+ISNUMBER(SEARCH('F-COMPRA'!$F$33,Tabla11[[#This Row],[Cuenta]],1))</f>
        <v>1</v>
      </c>
      <c r="R655" t="b">
        <f>+ISNUMBER(SEARCH('F-COMPRA'!$F$34,Tabla11[[#This Row],[Cuenta]],1))</f>
        <v>1</v>
      </c>
      <c r="S655" t="b">
        <f>+ISNUMBER(SEARCH('F-COMPRA'!$F$35,Tabla11[[#This Row],[Cuenta]],1))</f>
        <v>1</v>
      </c>
      <c r="T655" t="b">
        <f>+ISNUMBER(SEARCH('F-COMPRA'!$F$36,Tabla11[[#This Row],[Cuenta]],1))</f>
        <v>1</v>
      </c>
      <c r="U655" t="b">
        <f>+ISNUMBER(SEARCH('F-COMPRA'!$F$37,Tabla11[[#This Row],[Cuenta]],1))</f>
        <v>1</v>
      </c>
      <c r="V655" t="b">
        <f>+ISNUMBER(SEARCH(#REF!,Tabla11[[#This Row],[Cuenta]],1))</f>
        <v>0</v>
      </c>
      <c r="W655" t="b">
        <f>+ISNUMBER(SEARCH('F-COMPRA'!#REF!,Tabla11[[#This Row],[Cuenta]],1))</f>
        <v>0</v>
      </c>
      <c r="X655" t="b">
        <f>+ISNUMBER(SEARCH('F-COMPRA'!#REF!,Tabla11[[#This Row],[Cuenta]],1))</f>
        <v>0</v>
      </c>
      <c r="Y655" t="b">
        <f>+ISNUMBER(SEARCH('F-COMPRA'!#REF!,Tabla11[[#This Row],[Cuenta]],1))</f>
        <v>0</v>
      </c>
      <c r="Z655" t="b">
        <f>+ISNUMBER(SEARCH('F-COMPRA'!#REF!,Tabla11[[#This Row],[Cuenta]],1))</f>
        <v>0</v>
      </c>
      <c r="AA655" t="b">
        <f>+ISNUMBER(SEARCH('F-COMPRA'!#REF!,Tabla11[[#This Row],[Cuenta]],1))</f>
        <v>0</v>
      </c>
      <c r="AB655" t="b">
        <f>+ISNUMBER(SEARCH('F-COMPRA'!#REF!,Tabla11[[#This Row],[Cuenta]],1))</f>
        <v>0</v>
      </c>
      <c r="AC655" t="b">
        <f>+ISNUMBER(SEARCH('F-COMPRA'!#REF!,Tabla11[[#This Row],[Cuenta]],1))</f>
        <v>0</v>
      </c>
      <c r="AD655" t="b">
        <f>+ISNUMBER(SEARCH('F-COMPRA'!#REF!,Tabla11[[#This Row],[Cuenta]],1))</f>
        <v>0</v>
      </c>
      <c r="AE655" t="b">
        <f>+ISNUMBER(SEARCH('F-COMPRA'!#REF!,Tabla11[[#This Row],[Cuenta]],1))</f>
        <v>0</v>
      </c>
      <c r="AF655" t="b">
        <f>+ISNUMBER(SEARCH('F-VTA'!$G$23,Tabla11[[#This Row],[Cuenta]],1))</f>
        <v>0</v>
      </c>
      <c r="AG655" t="b">
        <f>+ISNUMBER(SEARCH('F-VTA'!$G$24,Tabla11[[#This Row],[Cuenta]],1))</f>
        <v>0</v>
      </c>
      <c r="AH655" t="b">
        <f>+ISNUMBER(SEARCH('F-VTA'!$G$25,Tabla11[[#This Row],[Cuenta]],1))</f>
        <v>0</v>
      </c>
      <c r="AI655" t="b">
        <f>+ISNUMBER(SEARCH('F-VTA'!$F$28,Tabla11[[#This Row],[Cuenta]],1))</f>
        <v>1</v>
      </c>
      <c r="AJ655" t="b">
        <f>+ISNUMBER(SEARCH('F-VTA'!$F$29,Tabla11[[#This Row],[Cuenta]],1))</f>
        <v>1</v>
      </c>
      <c r="AK655" t="b">
        <f>+ISNUMBER(SEARCH('F-VTA'!$F$30,Tabla11[[#This Row],[Cuenta]],1))</f>
        <v>1</v>
      </c>
      <c r="AL655" t="b">
        <f>+ISNUMBER(SEARCH('F-VTA'!$F$31,Tabla11[[#This Row],[Cuenta]],1))</f>
        <v>1</v>
      </c>
      <c r="AM655" t="b">
        <f>+ISNUMBER(SEARCH('F-VTA'!$F$32,Tabla11[[#This Row],[Cuenta]],1))</f>
        <v>1</v>
      </c>
      <c r="AN655" t="b">
        <f>+ISNUMBER(SEARCH('F-VTA'!$F$33,Tabla11[[#This Row],[Cuenta]],1))</f>
        <v>1</v>
      </c>
      <c r="AO655" t="b">
        <f>+ISNUMBER(SEARCH('F-VTA'!$F$34,Tabla11[[#This Row],[Cuenta]],1))</f>
        <v>1</v>
      </c>
      <c r="AP655" t="b">
        <f>+ISNUMBER(SEARCH('F-VTA'!$F$35,Tabla11[[#This Row],[Cuenta]],1))</f>
        <v>1</v>
      </c>
      <c r="AQ655" t="b">
        <f>+ISNUMBER(SEARCH('F-VTA'!$F$36,Tabla11[[#This Row],[Cuenta]],1))</f>
        <v>1</v>
      </c>
      <c r="AR655" t="b">
        <f>+ISNUMBER(SEARCH(#REF!,Tabla11[[#This Row],[Cuenta]],1))</f>
        <v>0</v>
      </c>
      <c r="AS655" t="b">
        <f>+ISNUMBER(SEARCH(#REF!,Tabla11[[#This Row],[Cuenta]],1))</f>
        <v>0</v>
      </c>
      <c r="AT655" t="b">
        <f>+ISNUMBER(SEARCH(#REF!,Tabla11[[#This Row],[Cuenta]],1))</f>
        <v>0</v>
      </c>
      <c r="AU655" t="b">
        <f>+ISNUMBER(SEARCH('Conc. Ban.1'!$I$9,Tabla11[[#This Row],[Cuenta]],1))</f>
        <v>0</v>
      </c>
      <c r="AV655" t="b">
        <f>+ISNUMBER(SEARCH(CompConta!$F$21,Tabla11[[#This Row],[Cuenta]],1))</f>
        <v>1</v>
      </c>
      <c r="AW655" t="b">
        <f>+ISNUMBER(SEARCH(CompConta!$F$22,Tabla11[[#This Row],[Cuenta]],1))</f>
        <v>1</v>
      </c>
      <c r="AX655" t="b">
        <f>+ISNUMBER(SEARCH(CompConta!$F$23,Tabla11[[#This Row],[Cuenta]],1))</f>
        <v>1</v>
      </c>
      <c r="AY655" t="b">
        <f>+ISNUMBER(SEARCH(CompConta!$F$24,Tabla11[[#This Row],[Cuenta]],1))</f>
        <v>1</v>
      </c>
      <c r="AZ655" t="b">
        <f>+ISNUMBER(SEARCH(CompConta!$F$25,Tabla11[[#This Row],[Cuenta]],1))</f>
        <v>1</v>
      </c>
      <c r="BA655" t="b">
        <f>+ISNUMBER(SEARCH(CompConta!$F$26,Tabla11[[#This Row],[Cuenta]],1))</f>
        <v>1</v>
      </c>
      <c r="BB655" t="b">
        <f>+ISNUMBER(SEARCH(CompConta!$F$27,Tabla11[[#This Row],[Cuenta]],1))</f>
        <v>1</v>
      </c>
      <c r="BC655" t="b">
        <f>+ISNUMBER(SEARCH(CompConta!$F$28,Tabla11[[#This Row],[Cuenta]],1))</f>
        <v>1</v>
      </c>
      <c r="BD655" t="b">
        <f>+ISNUMBER(SEARCH(CompConta!$F$29,Tabla11[[#This Row],[Cuenta]],1))</f>
        <v>1</v>
      </c>
      <c r="BE655" t="b">
        <f>+ISNUMBER(SEARCH(CompConta!$F$30,Tabla11[[#This Row],[Cuenta]],1))</f>
        <v>1</v>
      </c>
      <c r="BF655" t="b">
        <f>+ISNUMBER(SEARCH('PAGO Compras'!$E$11,Tabla11[[#This Row],[Cuenta]],1))</f>
        <v>1</v>
      </c>
      <c r="BG655" t="b">
        <f>+ISNUMBER(SEARCH(#REF!,Tabla11[[#This Row],[Cuenta]],1))</f>
        <v>0</v>
      </c>
      <c r="BH655" t="b">
        <f>+ISNUMBER(SEARCH(#REF!,Tabla11[[#This Row],[Cuenta]],1))</f>
        <v>0</v>
      </c>
      <c r="BI655" t="b">
        <f>+ISNUMBER(SEARCH(#REF!,Tabla11[[#This Row],[Cuenta]],1))</f>
        <v>0</v>
      </c>
      <c r="BJ655" t="b">
        <f>+ISNUMBER(SEARCH(#REF!,Tabla11[[#This Row],[Cuenta]],1))</f>
        <v>0</v>
      </c>
      <c r="BS655" t="str">
        <v>321020 En bienes inmuebles</v>
      </c>
      <c r="BT655" t="str">
        <v>321020 En bienes inmuebles</v>
      </c>
      <c r="BU655" t="str">
        <v>321020 En bienes inmuebles</v>
      </c>
      <c r="BV655" t="str">
        <v>321020 En bienes inmuebles</v>
      </c>
      <c r="BZ655" t="str">
        <v>321020 En bienes inmuebles</v>
      </c>
      <c r="CA655" t="str">
        <v>321020 En bienes inmuebles</v>
      </c>
      <c r="CB655" t="str">
        <v>321020 En bienes inmuebles</v>
      </c>
      <c r="CC655" t="str">
        <v>321020 En bienes inmuebles</v>
      </c>
      <c r="CD655" t="str">
        <v>321020 En bienes inmuebles</v>
      </c>
      <c r="CE655" t="str">
        <v>321020 En bienes inmuebles</v>
      </c>
      <c r="CS655" s="141" t="str">
        <v>321020 En bienes inmuebles</v>
      </c>
      <c r="CT655" s="141" t="str">
        <v>321020 En bienes inmuebles</v>
      </c>
      <c r="CU655" s="141" t="str">
        <v>321020 En bienes inmuebles</v>
      </c>
      <c r="CV655" s="141" t="str">
        <v>321020 En bienes inmuebles</v>
      </c>
      <c r="CW655" s="141" t="str">
        <v>321020 En bienes inmuebles</v>
      </c>
      <c r="CX655" s="141" t="str">
        <v>321020 En bienes inmuebles</v>
      </c>
      <c r="CY655" s="141" t="str">
        <v>321020 En bienes inmuebles</v>
      </c>
      <c r="CZ655" s="141" t="str">
        <v>321020 En bienes inmuebles</v>
      </c>
      <c r="DA655" s="141" t="str">
        <v>321020 En bienes inmuebles</v>
      </c>
      <c r="DF655" t="str">
        <v>321020 En bienes inmuebles</v>
      </c>
      <c r="DG655" t="str">
        <v>321020 En bienes inmuebles</v>
      </c>
      <c r="DH655" t="str">
        <v>321020 En bienes inmuebles</v>
      </c>
      <c r="DI655" t="str">
        <v>321020 En bienes inmuebles</v>
      </c>
      <c r="DJ655" t="str">
        <v>321020 En bienes inmuebles</v>
      </c>
      <c r="DK655" t="str">
        <v>321020 En bienes inmuebles</v>
      </c>
      <c r="DL655" t="str">
        <v>321020 En bienes inmuebles</v>
      </c>
      <c r="DM655" t="str">
        <v>321020 En bienes inmuebles</v>
      </c>
      <c r="DN655" t="str">
        <v>321020 En bienes inmuebles</v>
      </c>
      <c r="DO655" t="str">
        <v>321020 En bienes inmuebles</v>
      </c>
      <c r="DP655" t="str">
        <v>321020 En bienes inmuebles</v>
      </c>
    </row>
    <row r="656" spans="4:120" ht="12.75">
      <c r="D656" s="7">
        <v>321025</v>
      </c>
      <c r="E656" s="6" t="s">
        <v>487</v>
      </c>
      <c r="F656" s="5">
        <v>4</v>
      </c>
      <c r="G656" s="34" t="s">
        <v>827</v>
      </c>
      <c r="H656" s="8" t="s">
        <v>56</v>
      </c>
      <c r="I656" t="b">
        <f>+ISNUMBER(SEARCH('F-COMPRA'!$F$28,Tabla11[[#This Row],[Cuenta]],1))</f>
        <v>1</v>
      </c>
      <c r="J656" t="b">
        <f>+ISNUMBER(SEARCH('F-COMPRA'!$F$29,Tabla11[[#This Row],[Cuenta]],1))</f>
        <v>1</v>
      </c>
      <c r="K656" t="b">
        <f>+ISNUMBER(SEARCH('F-COMPRA'!$F$30,Tabla11[[#This Row],[Cuenta]],1))</f>
        <v>1</v>
      </c>
      <c r="L656" t="b">
        <f>+ISNUMBER(SEARCH('F-COMPRA'!$F$31,Tabla11[[#This Row],[Cuenta]],1))</f>
        <v>1</v>
      </c>
      <c r="M656" t="b">
        <f>+ISNUMBER(SEARCH('F-COMPRA'!$G$25,Tabla11[[#This Row],[Cuenta]],1))</f>
        <v>0</v>
      </c>
      <c r="N656" t="b">
        <f>+ISNUMBER(SEARCH(#REF!,Tabla11[[#This Row],[Cuenta]],1))</f>
        <v>0</v>
      </c>
      <c r="O656" t="b">
        <f>+ISNUMBER(SEARCH(#REF!,Tabla11[[#This Row],[Cuenta]],1))</f>
        <v>0</v>
      </c>
      <c r="P656" t="b">
        <f>+ISNUMBER(SEARCH('F-COMPRA'!$F$32,Tabla11[[#This Row],[Cuenta]],1))</f>
        <v>1</v>
      </c>
      <c r="Q656" t="b">
        <f>+ISNUMBER(SEARCH('F-COMPRA'!$F$33,Tabla11[[#This Row],[Cuenta]],1))</f>
        <v>1</v>
      </c>
      <c r="R656" t="b">
        <f>+ISNUMBER(SEARCH('F-COMPRA'!$F$34,Tabla11[[#This Row],[Cuenta]],1))</f>
        <v>1</v>
      </c>
      <c r="S656" t="b">
        <f>+ISNUMBER(SEARCH('F-COMPRA'!$F$35,Tabla11[[#This Row],[Cuenta]],1))</f>
        <v>1</v>
      </c>
      <c r="T656" t="b">
        <f>+ISNUMBER(SEARCH('F-COMPRA'!$F$36,Tabla11[[#This Row],[Cuenta]],1))</f>
        <v>1</v>
      </c>
      <c r="U656" t="b">
        <f>+ISNUMBER(SEARCH('F-COMPRA'!$F$37,Tabla11[[#This Row],[Cuenta]],1))</f>
        <v>1</v>
      </c>
      <c r="V656" t="b">
        <f>+ISNUMBER(SEARCH(#REF!,Tabla11[[#This Row],[Cuenta]],1))</f>
        <v>0</v>
      </c>
      <c r="W656" t="b">
        <f>+ISNUMBER(SEARCH('F-COMPRA'!#REF!,Tabla11[[#This Row],[Cuenta]],1))</f>
        <v>0</v>
      </c>
      <c r="X656" t="b">
        <f>+ISNUMBER(SEARCH('F-COMPRA'!#REF!,Tabla11[[#This Row],[Cuenta]],1))</f>
        <v>0</v>
      </c>
      <c r="Y656" t="b">
        <f>+ISNUMBER(SEARCH('F-COMPRA'!#REF!,Tabla11[[#This Row],[Cuenta]],1))</f>
        <v>0</v>
      </c>
      <c r="Z656" t="b">
        <f>+ISNUMBER(SEARCH('F-COMPRA'!#REF!,Tabla11[[#This Row],[Cuenta]],1))</f>
        <v>0</v>
      </c>
      <c r="AA656" t="b">
        <f>+ISNUMBER(SEARCH('F-COMPRA'!#REF!,Tabla11[[#This Row],[Cuenta]],1))</f>
        <v>0</v>
      </c>
      <c r="AB656" t="b">
        <f>+ISNUMBER(SEARCH('F-COMPRA'!#REF!,Tabla11[[#This Row],[Cuenta]],1))</f>
        <v>0</v>
      </c>
      <c r="AC656" t="b">
        <f>+ISNUMBER(SEARCH('F-COMPRA'!#REF!,Tabla11[[#This Row],[Cuenta]],1))</f>
        <v>0</v>
      </c>
      <c r="AD656" t="b">
        <f>+ISNUMBER(SEARCH('F-COMPRA'!#REF!,Tabla11[[#This Row],[Cuenta]],1))</f>
        <v>0</v>
      </c>
      <c r="AE656" t="b">
        <f>+ISNUMBER(SEARCH('F-COMPRA'!#REF!,Tabla11[[#This Row],[Cuenta]],1))</f>
        <v>0</v>
      </c>
      <c r="AF656" t="b">
        <f>+ISNUMBER(SEARCH('F-VTA'!$G$23,Tabla11[[#This Row],[Cuenta]],1))</f>
        <v>0</v>
      </c>
      <c r="AG656" t="b">
        <f>+ISNUMBER(SEARCH('F-VTA'!$G$24,Tabla11[[#This Row],[Cuenta]],1))</f>
        <v>0</v>
      </c>
      <c r="AH656" t="b">
        <f>+ISNUMBER(SEARCH('F-VTA'!$G$25,Tabla11[[#This Row],[Cuenta]],1))</f>
        <v>0</v>
      </c>
      <c r="AI656" t="b">
        <f>+ISNUMBER(SEARCH('F-VTA'!$F$28,Tabla11[[#This Row],[Cuenta]],1))</f>
        <v>1</v>
      </c>
      <c r="AJ656" t="b">
        <f>+ISNUMBER(SEARCH('F-VTA'!$F$29,Tabla11[[#This Row],[Cuenta]],1))</f>
        <v>1</v>
      </c>
      <c r="AK656" t="b">
        <f>+ISNUMBER(SEARCH('F-VTA'!$F$30,Tabla11[[#This Row],[Cuenta]],1))</f>
        <v>1</v>
      </c>
      <c r="AL656" t="b">
        <f>+ISNUMBER(SEARCH('F-VTA'!$F$31,Tabla11[[#This Row],[Cuenta]],1))</f>
        <v>1</v>
      </c>
      <c r="AM656" t="b">
        <f>+ISNUMBER(SEARCH('F-VTA'!$F$32,Tabla11[[#This Row],[Cuenta]],1))</f>
        <v>1</v>
      </c>
      <c r="AN656" t="b">
        <f>+ISNUMBER(SEARCH('F-VTA'!$F$33,Tabla11[[#This Row],[Cuenta]],1))</f>
        <v>1</v>
      </c>
      <c r="AO656" t="b">
        <f>+ISNUMBER(SEARCH('F-VTA'!$F$34,Tabla11[[#This Row],[Cuenta]],1))</f>
        <v>1</v>
      </c>
      <c r="AP656" t="b">
        <f>+ISNUMBER(SEARCH('F-VTA'!$F$35,Tabla11[[#This Row],[Cuenta]],1))</f>
        <v>1</v>
      </c>
      <c r="AQ656" t="b">
        <f>+ISNUMBER(SEARCH('F-VTA'!$F$36,Tabla11[[#This Row],[Cuenta]],1))</f>
        <v>1</v>
      </c>
      <c r="AR656" t="b">
        <f>+ISNUMBER(SEARCH(#REF!,Tabla11[[#This Row],[Cuenta]],1))</f>
        <v>0</v>
      </c>
      <c r="AS656" t="b">
        <f>+ISNUMBER(SEARCH(#REF!,Tabla11[[#This Row],[Cuenta]],1))</f>
        <v>0</v>
      </c>
      <c r="AT656" t="b">
        <f>+ISNUMBER(SEARCH(#REF!,Tabla11[[#This Row],[Cuenta]],1))</f>
        <v>0</v>
      </c>
      <c r="AU656" t="b">
        <f>+ISNUMBER(SEARCH('Conc. Ban.1'!$I$9,Tabla11[[#This Row],[Cuenta]],1))</f>
        <v>0</v>
      </c>
      <c r="AV656" t="b">
        <f>+ISNUMBER(SEARCH(CompConta!$F$21,Tabla11[[#This Row],[Cuenta]],1))</f>
        <v>1</v>
      </c>
      <c r="AW656" t="b">
        <f>+ISNUMBER(SEARCH(CompConta!$F$22,Tabla11[[#This Row],[Cuenta]],1))</f>
        <v>1</v>
      </c>
      <c r="AX656" t="b">
        <f>+ISNUMBER(SEARCH(CompConta!$F$23,Tabla11[[#This Row],[Cuenta]],1))</f>
        <v>1</v>
      </c>
      <c r="AY656" t="b">
        <f>+ISNUMBER(SEARCH(CompConta!$F$24,Tabla11[[#This Row],[Cuenta]],1))</f>
        <v>1</v>
      </c>
      <c r="AZ656" t="b">
        <f>+ISNUMBER(SEARCH(CompConta!$F$25,Tabla11[[#This Row],[Cuenta]],1))</f>
        <v>1</v>
      </c>
      <c r="BA656" t="b">
        <f>+ISNUMBER(SEARCH(CompConta!$F$26,Tabla11[[#This Row],[Cuenta]],1))</f>
        <v>1</v>
      </c>
      <c r="BB656" t="b">
        <f>+ISNUMBER(SEARCH(CompConta!$F$27,Tabla11[[#This Row],[Cuenta]],1))</f>
        <v>1</v>
      </c>
      <c r="BC656" t="b">
        <f>+ISNUMBER(SEARCH(CompConta!$F$28,Tabla11[[#This Row],[Cuenta]],1))</f>
        <v>1</v>
      </c>
      <c r="BD656" t="b">
        <f>+ISNUMBER(SEARCH(CompConta!$F$29,Tabla11[[#This Row],[Cuenta]],1))</f>
        <v>1</v>
      </c>
      <c r="BE656" t="b">
        <f>+ISNUMBER(SEARCH(CompConta!$F$30,Tabla11[[#This Row],[Cuenta]],1))</f>
        <v>1</v>
      </c>
      <c r="BF656" t="b">
        <f>+ISNUMBER(SEARCH('PAGO Compras'!$E$11,Tabla11[[#This Row],[Cuenta]],1))</f>
        <v>1</v>
      </c>
      <c r="BG656" t="b">
        <f>+ISNUMBER(SEARCH(#REF!,Tabla11[[#This Row],[Cuenta]],1))</f>
        <v>0</v>
      </c>
      <c r="BH656" t="b">
        <f>+ISNUMBER(SEARCH(#REF!,Tabla11[[#This Row],[Cuenta]],1))</f>
        <v>0</v>
      </c>
      <c r="BI656" t="b">
        <f>+ISNUMBER(SEARCH(#REF!,Tabla11[[#This Row],[Cuenta]],1))</f>
        <v>0</v>
      </c>
      <c r="BJ656" t="b">
        <f>+ISNUMBER(SEARCH(#REF!,Tabla11[[#This Row],[Cuenta]],1))</f>
        <v>0</v>
      </c>
      <c r="BS656" t="str">
        <v>321025 En intangibles</v>
      </c>
      <c r="BT656" t="str">
        <v>321025 En intangibles</v>
      </c>
      <c r="BU656" t="str">
        <v>321025 En intangibles</v>
      </c>
      <c r="BV656" t="str">
        <v>321025 En intangibles</v>
      </c>
      <c r="BZ656" t="str">
        <v>321025 En intangibles</v>
      </c>
      <c r="CA656" t="str">
        <v>321025 En intangibles</v>
      </c>
      <c r="CB656" t="str">
        <v>321025 En intangibles</v>
      </c>
      <c r="CC656" t="str">
        <v>321025 En intangibles</v>
      </c>
      <c r="CD656" t="str">
        <v>321025 En intangibles</v>
      </c>
      <c r="CE656" t="str">
        <v>321025 En intangibles</v>
      </c>
      <c r="CS656" s="141" t="str">
        <v>321025 En intangibles</v>
      </c>
      <c r="CT656" s="141" t="str">
        <v>321025 En intangibles</v>
      </c>
      <c r="CU656" s="141" t="str">
        <v>321025 En intangibles</v>
      </c>
      <c r="CV656" s="141" t="str">
        <v>321025 En intangibles</v>
      </c>
      <c r="CW656" s="141" t="str">
        <v>321025 En intangibles</v>
      </c>
      <c r="CX656" s="141" t="str">
        <v>321025 En intangibles</v>
      </c>
      <c r="CY656" s="141" t="str">
        <v>321025 En intangibles</v>
      </c>
      <c r="CZ656" s="141" t="str">
        <v>321025 En intangibles</v>
      </c>
      <c r="DA656" s="141" t="str">
        <v>321025 En intangibles</v>
      </c>
      <c r="DF656" t="str">
        <v>321025 En intangibles</v>
      </c>
      <c r="DG656" t="str">
        <v>321025 En intangibles</v>
      </c>
      <c r="DH656" t="str">
        <v>321025 En intangibles</v>
      </c>
      <c r="DI656" t="str">
        <v>321025 En intangibles</v>
      </c>
      <c r="DJ656" t="str">
        <v>321025 En intangibles</v>
      </c>
      <c r="DK656" t="str">
        <v>321025 En intangibles</v>
      </c>
      <c r="DL656" t="str">
        <v>321025 En intangibles</v>
      </c>
      <c r="DM656" t="str">
        <v>321025 En intangibles</v>
      </c>
      <c r="DN656" t="str">
        <v>321025 En intangibles</v>
      </c>
      <c r="DO656" t="str">
        <v>321025 En intangibles</v>
      </c>
      <c r="DP656" t="str">
        <v>321025 En intangibles</v>
      </c>
    </row>
    <row r="657" spans="4:120" ht="12.75">
      <c r="D657" s="7">
        <v>3220</v>
      </c>
      <c r="E657" s="6" t="s">
        <v>247</v>
      </c>
      <c r="F657" s="5">
        <v>3</v>
      </c>
      <c r="G657" s="34" t="s">
        <v>827</v>
      </c>
      <c r="H657" s="8" t="s">
        <v>56</v>
      </c>
      <c r="I657" t="b">
        <f>+ISNUMBER(SEARCH('F-COMPRA'!$F$28,Tabla11[[#This Row],[Cuenta]],1))</f>
        <v>1</v>
      </c>
      <c r="J657" t="b">
        <f>+ISNUMBER(SEARCH('F-COMPRA'!$F$29,Tabla11[[#This Row],[Cuenta]],1))</f>
        <v>1</v>
      </c>
      <c r="K657" t="b">
        <f>+ISNUMBER(SEARCH('F-COMPRA'!$F$30,Tabla11[[#This Row],[Cuenta]],1))</f>
        <v>1</v>
      </c>
      <c r="L657" t="b">
        <f>+ISNUMBER(SEARCH('F-COMPRA'!$F$31,Tabla11[[#This Row],[Cuenta]],1))</f>
        <v>1</v>
      </c>
      <c r="M657" t="b">
        <f>+ISNUMBER(SEARCH('F-COMPRA'!$G$25,Tabla11[[#This Row],[Cuenta]],1))</f>
        <v>0</v>
      </c>
      <c r="N657" t="b">
        <f>+ISNUMBER(SEARCH(#REF!,Tabla11[[#This Row],[Cuenta]],1))</f>
        <v>0</v>
      </c>
      <c r="O657" t="b">
        <f>+ISNUMBER(SEARCH(#REF!,Tabla11[[#This Row],[Cuenta]],1))</f>
        <v>0</v>
      </c>
      <c r="P657" t="b">
        <f>+ISNUMBER(SEARCH('F-COMPRA'!$F$32,Tabla11[[#This Row],[Cuenta]],1))</f>
        <v>1</v>
      </c>
      <c r="Q657" t="b">
        <f>+ISNUMBER(SEARCH('F-COMPRA'!$F$33,Tabla11[[#This Row],[Cuenta]],1))</f>
        <v>1</v>
      </c>
      <c r="R657" t="b">
        <f>+ISNUMBER(SEARCH('F-COMPRA'!$F$34,Tabla11[[#This Row],[Cuenta]],1))</f>
        <v>1</v>
      </c>
      <c r="S657" t="b">
        <f>+ISNUMBER(SEARCH('F-COMPRA'!$F$35,Tabla11[[#This Row],[Cuenta]],1))</f>
        <v>1</v>
      </c>
      <c r="T657" t="b">
        <f>+ISNUMBER(SEARCH('F-COMPRA'!$F$36,Tabla11[[#This Row],[Cuenta]],1))</f>
        <v>1</v>
      </c>
      <c r="U657" t="b">
        <f>+ISNUMBER(SEARCH('F-COMPRA'!$F$37,Tabla11[[#This Row],[Cuenta]],1))</f>
        <v>1</v>
      </c>
      <c r="V657" t="b">
        <f>+ISNUMBER(SEARCH(#REF!,Tabla11[[#This Row],[Cuenta]],1))</f>
        <v>0</v>
      </c>
      <c r="W657" t="b">
        <f>+ISNUMBER(SEARCH('F-COMPRA'!#REF!,Tabla11[[#This Row],[Cuenta]],1))</f>
        <v>0</v>
      </c>
      <c r="X657" t="b">
        <f>+ISNUMBER(SEARCH('F-COMPRA'!#REF!,Tabla11[[#This Row],[Cuenta]],1))</f>
        <v>0</v>
      </c>
      <c r="Y657" t="b">
        <f>+ISNUMBER(SEARCH('F-COMPRA'!#REF!,Tabla11[[#This Row],[Cuenta]],1))</f>
        <v>0</v>
      </c>
      <c r="Z657" t="b">
        <f>+ISNUMBER(SEARCH('F-COMPRA'!#REF!,Tabla11[[#This Row],[Cuenta]],1))</f>
        <v>0</v>
      </c>
      <c r="AA657" t="b">
        <f>+ISNUMBER(SEARCH('F-COMPRA'!#REF!,Tabla11[[#This Row],[Cuenta]],1))</f>
        <v>0</v>
      </c>
      <c r="AB657" t="b">
        <f>+ISNUMBER(SEARCH('F-COMPRA'!#REF!,Tabla11[[#This Row],[Cuenta]],1))</f>
        <v>0</v>
      </c>
      <c r="AC657" t="b">
        <f>+ISNUMBER(SEARCH('F-COMPRA'!#REF!,Tabla11[[#This Row],[Cuenta]],1))</f>
        <v>0</v>
      </c>
      <c r="AD657" t="b">
        <f>+ISNUMBER(SEARCH('F-COMPRA'!#REF!,Tabla11[[#This Row],[Cuenta]],1))</f>
        <v>0</v>
      </c>
      <c r="AE657" t="b">
        <f>+ISNUMBER(SEARCH('F-COMPRA'!#REF!,Tabla11[[#This Row],[Cuenta]],1))</f>
        <v>0</v>
      </c>
      <c r="AF657" t="b">
        <f>+ISNUMBER(SEARCH('F-VTA'!$G$23,Tabla11[[#This Row],[Cuenta]],1))</f>
        <v>0</v>
      </c>
      <c r="AG657" t="b">
        <f>+ISNUMBER(SEARCH('F-VTA'!$G$24,Tabla11[[#This Row],[Cuenta]],1))</f>
        <v>0</v>
      </c>
      <c r="AH657" t="b">
        <f>+ISNUMBER(SEARCH('F-VTA'!$G$25,Tabla11[[#This Row],[Cuenta]],1))</f>
        <v>0</v>
      </c>
      <c r="AI657" t="b">
        <f>+ISNUMBER(SEARCH('F-VTA'!$F$28,Tabla11[[#This Row],[Cuenta]],1))</f>
        <v>1</v>
      </c>
      <c r="AJ657" t="b">
        <f>+ISNUMBER(SEARCH('F-VTA'!$F$29,Tabla11[[#This Row],[Cuenta]],1))</f>
        <v>1</v>
      </c>
      <c r="AK657" t="b">
        <f>+ISNUMBER(SEARCH('F-VTA'!$F$30,Tabla11[[#This Row],[Cuenta]],1))</f>
        <v>1</v>
      </c>
      <c r="AL657" t="b">
        <f>+ISNUMBER(SEARCH('F-VTA'!$F$31,Tabla11[[#This Row],[Cuenta]],1))</f>
        <v>1</v>
      </c>
      <c r="AM657" t="b">
        <f>+ISNUMBER(SEARCH('F-VTA'!$F$32,Tabla11[[#This Row],[Cuenta]],1))</f>
        <v>1</v>
      </c>
      <c r="AN657" t="b">
        <f>+ISNUMBER(SEARCH('F-VTA'!$F$33,Tabla11[[#This Row],[Cuenta]],1))</f>
        <v>1</v>
      </c>
      <c r="AO657" t="b">
        <f>+ISNUMBER(SEARCH('F-VTA'!$F$34,Tabla11[[#This Row],[Cuenta]],1))</f>
        <v>1</v>
      </c>
      <c r="AP657" t="b">
        <f>+ISNUMBER(SEARCH('F-VTA'!$F$35,Tabla11[[#This Row],[Cuenta]],1))</f>
        <v>1</v>
      </c>
      <c r="AQ657" t="b">
        <f>+ISNUMBER(SEARCH('F-VTA'!$F$36,Tabla11[[#This Row],[Cuenta]],1))</f>
        <v>1</v>
      </c>
      <c r="AR657" t="b">
        <f>+ISNUMBER(SEARCH(#REF!,Tabla11[[#This Row],[Cuenta]],1))</f>
        <v>0</v>
      </c>
      <c r="AS657" t="b">
        <f>+ISNUMBER(SEARCH(#REF!,Tabla11[[#This Row],[Cuenta]],1))</f>
        <v>0</v>
      </c>
      <c r="AT657" t="b">
        <f>+ISNUMBER(SEARCH(#REF!,Tabla11[[#This Row],[Cuenta]],1))</f>
        <v>0</v>
      </c>
      <c r="AU657" t="b">
        <f>+ISNUMBER(SEARCH('Conc. Ban.1'!$I$9,Tabla11[[#This Row],[Cuenta]],1))</f>
        <v>0</v>
      </c>
      <c r="AV657" t="b">
        <f>+ISNUMBER(SEARCH(CompConta!$F$21,Tabla11[[#This Row],[Cuenta]],1))</f>
        <v>1</v>
      </c>
      <c r="AW657" t="b">
        <f>+ISNUMBER(SEARCH(CompConta!$F$22,Tabla11[[#This Row],[Cuenta]],1))</f>
        <v>1</v>
      </c>
      <c r="AX657" t="b">
        <f>+ISNUMBER(SEARCH(CompConta!$F$23,Tabla11[[#This Row],[Cuenta]],1))</f>
        <v>1</v>
      </c>
      <c r="AY657" t="b">
        <f>+ISNUMBER(SEARCH(CompConta!$F$24,Tabla11[[#This Row],[Cuenta]],1))</f>
        <v>1</v>
      </c>
      <c r="AZ657" t="b">
        <f>+ISNUMBER(SEARCH(CompConta!$F$25,Tabla11[[#This Row],[Cuenta]],1))</f>
        <v>1</v>
      </c>
      <c r="BA657" t="b">
        <f>+ISNUMBER(SEARCH(CompConta!$F$26,Tabla11[[#This Row],[Cuenta]],1))</f>
        <v>1</v>
      </c>
      <c r="BB657" t="b">
        <f>+ISNUMBER(SEARCH(CompConta!$F$27,Tabla11[[#This Row],[Cuenta]],1))</f>
        <v>1</v>
      </c>
      <c r="BC657" t="b">
        <f>+ISNUMBER(SEARCH(CompConta!$F$28,Tabla11[[#This Row],[Cuenta]],1))</f>
        <v>1</v>
      </c>
      <c r="BD657" t="b">
        <f>+ISNUMBER(SEARCH(CompConta!$F$29,Tabla11[[#This Row],[Cuenta]],1))</f>
        <v>1</v>
      </c>
      <c r="BE657" t="b">
        <f>+ISNUMBER(SEARCH(CompConta!$F$30,Tabla11[[#This Row],[Cuenta]],1))</f>
        <v>1</v>
      </c>
      <c r="BF657" t="b">
        <f>+ISNUMBER(SEARCH('PAGO Compras'!$E$11,Tabla11[[#This Row],[Cuenta]],1))</f>
        <v>1</v>
      </c>
      <c r="BG657" t="b">
        <f>+ISNUMBER(SEARCH(#REF!,Tabla11[[#This Row],[Cuenta]],1))</f>
        <v>0</v>
      </c>
      <c r="BH657" t="b">
        <f>+ISNUMBER(SEARCH(#REF!,Tabla11[[#This Row],[Cuenta]],1))</f>
        <v>0</v>
      </c>
      <c r="BI657" t="b">
        <f>+ISNUMBER(SEARCH(#REF!,Tabla11[[#This Row],[Cuenta]],1))</f>
        <v>0</v>
      </c>
      <c r="BJ657" t="b">
        <f>+ISNUMBER(SEARCH(#REF!,Tabla11[[#This Row],[Cuenta]],1))</f>
        <v>0</v>
      </c>
      <c r="BS657" t="str">
        <v>3220 KNOW HOW</v>
      </c>
      <c r="BT657" t="str">
        <v>3220 KNOW HOW</v>
      </c>
      <c r="BU657" t="str">
        <v>3220 KNOW HOW</v>
      </c>
      <c r="BV657" t="str">
        <v>3220 KNOW HOW</v>
      </c>
      <c r="BZ657" t="str">
        <v>3220 KNOW HOW</v>
      </c>
      <c r="CA657" t="str">
        <v>3220 KNOW HOW</v>
      </c>
      <c r="CB657" t="str">
        <v>3220 KNOW HOW</v>
      </c>
      <c r="CC657" t="str">
        <v>3220 KNOW HOW</v>
      </c>
      <c r="CD657" t="str">
        <v>3220 KNOW HOW</v>
      </c>
      <c r="CE657" t="str">
        <v>3220 KNOW HOW</v>
      </c>
      <c r="CS657" s="141" t="str">
        <v>3220 KNOW HOW</v>
      </c>
      <c r="CT657" s="141" t="str">
        <v>3220 KNOW HOW</v>
      </c>
      <c r="CU657" s="141" t="str">
        <v>3220 KNOW HOW</v>
      </c>
      <c r="CV657" s="141" t="str">
        <v>3220 KNOW HOW</v>
      </c>
      <c r="CW657" s="141" t="str">
        <v>3220 KNOW HOW</v>
      </c>
      <c r="CX657" s="141" t="str">
        <v>3220 KNOW HOW</v>
      </c>
      <c r="CY657" s="141" t="str">
        <v>3220 KNOW HOW</v>
      </c>
      <c r="CZ657" s="141" t="str">
        <v>3220 KNOW HOW</v>
      </c>
      <c r="DA657" s="141" t="str">
        <v>3220 KNOW HOW</v>
      </c>
      <c r="DF657" t="str">
        <v>3220 KNOW HOW</v>
      </c>
      <c r="DG657" t="str">
        <v>3220 KNOW HOW</v>
      </c>
      <c r="DH657" t="str">
        <v>3220 KNOW HOW</v>
      </c>
      <c r="DI657" t="str">
        <v>3220 KNOW HOW</v>
      </c>
      <c r="DJ657" t="str">
        <v>3220 KNOW HOW</v>
      </c>
      <c r="DK657" t="str">
        <v>3220 KNOW HOW</v>
      </c>
      <c r="DL657" t="str">
        <v>3220 KNOW HOW</v>
      </c>
      <c r="DM657" t="str">
        <v>3220 KNOW HOW</v>
      </c>
      <c r="DN657" t="str">
        <v>3220 KNOW HOW</v>
      </c>
      <c r="DO657" t="str">
        <v>3220 KNOW HOW</v>
      </c>
      <c r="DP657" t="str">
        <v>3220 KNOW HOW</v>
      </c>
    </row>
    <row r="658" spans="4:120" ht="12.75">
      <c r="D658" s="7">
        <v>3225</v>
      </c>
      <c r="E658" s="6" t="s">
        <v>488</v>
      </c>
      <c r="F658" s="5">
        <v>3</v>
      </c>
      <c r="G658" s="34" t="s">
        <v>827</v>
      </c>
      <c r="H658" s="8" t="s">
        <v>56</v>
      </c>
      <c r="I658" t="b">
        <f>+ISNUMBER(SEARCH('F-COMPRA'!$F$28,Tabla11[[#This Row],[Cuenta]],1))</f>
        <v>1</v>
      </c>
      <c r="J658" t="b">
        <f>+ISNUMBER(SEARCH('F-COMPRA'!$F$29,Tabla11[[#This Row],[Cuenta]],1))</f>
        <v>1</v>
      </c>
      <c r="K658" t="b">
        <f>+ISNUMBER(SEARCH('F-COMPRA'!$F$30,Tabla11[[#This Row],[Cuenta]],1))</f>
        <v>1</v>
      </c>
      <c r="L658" t="b">
        <f>+ISNUMBER(SEARCH('F-COMPRA'!$F$31,Tabla11[[#This Row],[Cuenta]],1))</f>
        <v>1</v>
      </c>
      <c r="M658" t="b">
        <f>+ISNUMBER(SEARCH('F-COMPRA'!$G$25,Tabla11[[#This Row],[Cuenta]],1))</f>
        <v>0</v>
      </c>
      <c r="N658" t="b">
        <f>+ISNUMBER(SEARCH(#REF!,Tabla11[[#This Row],[Cuenta]],1))</f>
        <v>0</v>
      </c>
      <c r="O658" t="b">
        <f>+ISNUMBER(SEARCH(#REF!,Tabla11[[#This Row],[Cuenta]],1))</f>
        <v>0</v>
      </c>
      <c r="P658" t="b">
        <f>+ISNUMBER(SEARCH('F-COMPRA'!$F$32,Tabla11[[#This Row],[Cuenta]],1))</f>
        <v>1</v>
      </c>
      <c r="Q658" t="b">
        <f>+ISNUMBER(SEARCH('F-COMPRA'!$F$33,Tabla11[[#This Row],[Cuenta]],1))</f>
        <v>1</v>
      </c>
      <c r="R658" t="b">
        <f>+ISNUMBER(SEARCH('F-COMPRA'!$F$34,Tabla11[[#This Row],[Cuenta]],1))</f>
        <v>1</v>
      </c>
      <c r="S658" t="b">
        <f>+ISNUMBER(SEARCH('F-COMPRA'!$F$35,Tabla11[[#This Row],[Cuenta]],1))</f>
        <v>1</v>
      </c>
      <c r="T658" t="b">
        <f>+ISNUMBER(SEARCH('F-COMPRA'!$F$36,Tabla11[[#This Row],[Cuenta]],1))</f>
        <v>1</v>
      </c>
      <c r="U658" t="b">
        <f>+ISNUMBER(SEARCH('F-COMPRA'!$F$37,Tabla11[[#This Row],[Cuenta]],1))</f>
        <v>1</v>
      </c>
      <c r="V658" t="b">
        <f>+ISNUMBER(SEARCH(#REF!,Tabla11[[#This Row],[Cuenta]],1))</f>
        <v>0</v>
      </c>
      <c r="W658" t="b">
        <f>+ISNUMBER(SEARCH('F-COMPRA'!#REF!,Tabla11[[#This Row],[Cuenta]],1))</f>
        <v>0</v>
      </c>
      <c r="X658" t="b">
        <f>+ISNUMBER(SEARCH('F-COMPRA'!#REF!,Tabla11[[#This Row],[Cuenta]],1))</f>
        <v>0</v>
      </c>
      <c r="Y658" t="b">
        <f>+ISNUMBER(SEARCH('F-COMPRA'!#REF!,Tabla11[[#This Row],[Cuenta]],1))</f>
        <v>0</v>
      </c>
      <c r="Z658" t="b">
        <f>+ISNUMBER(SEARCH('F-COMPRA'!#REF!,Tabla11[[#This Row],[Cuenta]],1))</f>
        <v>0</v>
      </c>
      <c r="AA658" t="b">
        <f>+ISNUMBER(SEARCH('F-COMPRA'!#REF!,Tabla11[[#This Row],[Cuenta]],1))</f>
        <v>0</v>
      </c>
      <c r="AB658" t="b">
        <f>+ISNUMBER(SEARCH('F-COMPRA'!#REF!,Tabla11[[#This Row],[Cuenta]],1))</f>
        <v>0</v>
      </c>
      <c r="AC658" t="b">
        <f>+ISNUMBER(SEARCH('F-COMPRA'!#REF!,Tabla11[[#This Row],[Cuenta]],1))</f>
        <v>0</v>
      </c>
      <c r="AD658" t="b">
        <f>+ISNUMBER(SEARCH('F-COMPRA'!#REF!,Tabla11[[#This Row],[Cuenta]],1))</f>
        <v>0</v>
      </c>
      <c r="AE658" t="b">
        <f>+ISNUMBER(SEARCH('F-COMPRA'!#REF!,Tabla11[[#This Row],[Cuenta]],1))</f>
        <v>0</v>
      </c>
      <c r="AF658" t="b">
        <f>+ISNUMBER(SEARCH('F-VTA'!$G$23,Tabla11[[#This Row],[Cuenta]],1))</f>
        <v>0</v>
      </c>
      <c r="AG658" t="b">
        <f>+ISNUMBER(SEARCH('F-VTA'!$G$24,Tabla11[[#This Row],[Cuenta]],1))</f>
        <v>0</v>
      </c>
      <c r="AH658" t="b">
        <f>+ISNUMBER(SEARCH('F-VTA'!$G$25,Tabla11[[#This Row],[Cuenta]],1))</f>
        <v>0</v>
      </c>
      <c r="AI658" t="b">
        <f>+ISNUMBER(SEARCH('F-VTA'!$F$28,Tabla11[[#This Row],[Cuenta]],1))</f>
        <v>1</v>
      </c>
      <c r="AJ658" t="b">
        <f>+ISNUMBER(SEARCH('F-VTA'!$F$29,Tabla11[[#This Row],[Cuenta]],1))</f>
        <v>1</v>
      </c>
      <c r="AK658" t="b">
        <f>+ISNUMBER(SEARCH('F-VTA'!$F$30,Tabla11[[#This Row],[Cuenta]],1))</f>
        <v>1</v>
      </c>
      <c r="AL658" t="b">
        <f>+ISNUMBER(SEARCH('F-VTA'!$F$31,Tabla11[[#This Row],[Cuenta]],1))</f>
        <v>1</v>
      </c>
      <c r="AM658" t="b">
        <f>+ISNUMBER(SEARCH('F-VTA'!$F$32,Tabla11[[#This Row],[Cuenta]],1))</f>
        <v>1</v>
      </c>
      <c r="AN658" t="b">
        <f>+ISNUMBER(SEARCH('F-VTA'!$F$33,Tabla11[[#This Row],[Cuenta]],1))</f>
        <v>1</v>
      </c>
      <c r="AO658" t="b">
        <f>+ISNUMBER(SEARCH('F-VTA'!$F$34,Tabla11[[#This Row],[Cuenta]],1))</f>
        <v>1</v>
      </c>
      <c r="AP658" t="b">
        <f>+ISNUMBER(SEARCH('F-VTA'!$F$35,Tabla11[[#This Row],[Cuenta]],1))</f>
        <v>1</v>
      </c>
      <c r="AQ658" t="b">
        <f>+ISNUMBER(SEARCH('F-VTA'!$F$36,Tabla11[[#This Row],[Cuenta]],1))</f>
        <v>1</v>
      </c>
      <c r="AR658" t="b">
        <f>+ISNUMBER(SEARCH(#REF!,Tabla11[[#This Row],[Cuenta]],1))</f>
        <v>0</v>
      </c>
      <c r="AS658" t="b">
        <f>+ISNUMBER(SEARCH(#REF!,Tabla11[[#This Row],[Cuenta]],1))</f>
        <v>0</v>
      </c>
      <c r="AT658" t="b">
        <f>+ISNUMBER(SEARCH(#REF!,Tabla11[[#This Row],[Cuenta]],1))</f>
        <v>0</v>
      </c>
      <c r="AU658" t="b">
        <f>+ISNUMBER(SEARCH('Conc. Ban.1'!$I$9,Tabla11[[#This Row],[Cuenta]],1))</f>
        <v>0</v>
      </c>
      <c r="AV658" t="b">
        <f>+ISNUMBER(SEARCH(CompConta!$F$21,Tabla11[[#This Row],[Cuenta]],1))</f>
        <v>1</v>
      </c>
      <c r="AW658" t="b">
        <f>+ISNUMBER(SEARCH(CompConta!$F$22,Tabla11[[#This Row],[Cuenta]],1))</f>
        <v>1</v>
      </c>
      <c r="AX658" t="b">
        <f>+ISNUMBER(SEARCH(CompConta!$F$23,Tabla11[[#This Row],[Cuenta]],1))</f>
        <v>1</v>
      </c>
      <c r="AY658" t="b">
        <f>+ISNUMBER(SEARCH(CompConta!$F$24,Tabla11[[#This Row],[Cuenta]],1))</f>
        <v>1</v>
      </c>
      <c r="AZ658" t="b">
        <f>+ISNUMBER(SEARCH(CompConta!$F$25,Tabla11[[#This Row],[Cuenta]],1))</f>
        <v>1</v>
      </c>
      <c r="BA658" t="b">
        <f>+ISNUMBER(SEARCH(CompConta!$F$26,Tabla11[[#This Row],[Cuenta]],1))</f>
        <v>1</v>
      </c>
      <c r="BB658" t="b">
        <f>+ISNUMBER(SEARCH(CompConta!$F$27,Tabla11[[#This Row],[Cuenta]],1))</f>
        <v>1</v>
      </c>
      <c r="BC658" t="b">
        <f>+ISNUMBER(SEARCH(CompConta!$F$28,Tabla11[[#This Row],[Cuenta]],1))</f>
        <v>1</v>
      </c>
      <c r="BD658" t="b">
        <f>+ISNUMBER(SEARCH(CompConta!$F$29,Tabla11[[#This Row],[Cuenta]],1))</f>
        <v>1</v>
      </c>
      <c r="BE658" t="b">
        <f>+ISNUMBER(SEARCH(CompConta!$F$30,Tabla11[[#This Row],[Cuenta]],1))</f>
        <v>1</v>
      </c>
      <c r="BF658" t="b">
        <f>+ISNUMBER(SEARCH('PAGO Compras'!$E$11,Tabla11[[#This Row],[Cuenta]],1))</f>
        <v>1</v>
      </c>
      <c r="BG658" t="b">
        <f>+ISNUMBER(SEARCH(#REF!,Tabla11[[#This Row],[Cuenta]],1))</f>
        <v>0</v>
      </c>
      <c r="BH658" t="b">
        <f>+ISNUMBER(SEARCH(#REF!,Tabla11[[#This Row],[Cuenta]],1))</f>
        <v>0</v>
      </c>
      <c r="BI658" t="b">
        <f>+ISNUMBER(SEARCH(#REF!,Tabla11[[#This Row],[Cuenta]],1))</f>
        <v>0</v>
      </c>
      <c r="BJ658" t="b">
        <f>+ISNUMBER(SEARCH(#REF!,Tabla11[[#This Row],[Cuenta]],1))</f>
        <v>0</v>
      </c>
      <c r="BS658" t="str">
        <v>3225 SUPERÁVIT MÉTODO DE PARTICIPACIÓN</v>
      </c>
      <c r="BT658" t="str">
        <v>3225 SUPERÁVIT MÉTODO DE PARTICIPACIÓN</v>
      </c>
      <c r="BU658" t="str">
        <v>3225 SUPERÁVIT MÉTODO DE PARTICIPACIÓN</v>
      </c>
      <c r="BV658" t="str">
        <v>3225 SUPERÁVIT MÉTODO DE PARTICIPACIÓN</v>
      </c>
      <c r="BZ658" t="str">
        <v>3225 SUPERÁVIT MÉTODO DE PARTICIPACIÓN</v>
      </c>
      <c r="CA658" t="str">
        <v>3225 SUPERÁVIT MÉTODO DE PARTICIPACIÓN</v>
      </c>
      <c r="CB658" t="str">
        <v>3225 SUPERÁVIT MÉTODO DE PARTICIPACIÓN</v>
      </c>
      <c r="CC658" t="str">
        <v>3225 SUPERÁVIT MÉTODO DE PARTICIPACIÓN</v>
      </c>
      <c r="CD658" t="str">
        <v>3225 SUPERÁVIT MÉTODO DE PARTICIPACIÓN</v>
      </c>
      <c r="CE658" t="str">
        <v>3225 SUPERÁVIT MÉTODO DE PARTICIPACIÓN</v>
      </c>
      <c r="CS658" s="141" t="str">
        <v>3225 SUPERÁVIT MÉTODO DE PARTICIPACIÓN</v>
      </c>
      <c r="CT658" s="141" t="str">
        <v>3225 SUPERÁVIT MÉTODO DE PARTICIPACIÓN</v>
      </c>
      <c r="CU658" s="141" t="str">
        <v>3225 SUPERÁVIT MÉTODO DE PARTICIPACIÓN</v>
      </c>
      <c r="CV658" s="141" t="str">
        <v>3225 SUPERÁVIT MÉTODO DE PARTICIPACIÓN</v>
      </c>
      <c r="CW658" s="141" t="str">
        <v>3225 SUPERÁVIT MÉTODO DE PARTICIPACIÓN</v>
      </c>
      <c r="CX658" s="141" t="str">
        <v>3225 SUPERÁVIT MÉTODO DE PARTICIPACIÓN</v>
      </c>
      <c r="CY658" s="141" t="str">
        <v>3225 SUPERÁVIT MÉTODO DE PARTICIPACIÓN</v>
      </c>
      <c r="CZ658" s="141" t="str">
        <v>3225 SUPERÁVIT MÉTODO DE PARTICIPACIÓN</v>
      </c>
      <c r="DA658" s="141" t="str">
        <v>3225 SUPERÁVIT MÉTODO DE PARTICIPACIÓN</v>
      </c>
      <c r="DF658" t="str">
        <v>3225 SUPERÁVIT MÉTODO DE PARTICIPACIÓN</v>
      </c>
      <c r="DG658" t="str">
        <v>3225 SUPERÁVIT MÉTODO DE PARTICIPACIÓN</v>
      </c>
      <c r="DH658" t="str">
        <v>3225 SUPERÁVIT MÉTODO DE PARTICIPACIÓN</v>
      </c>
      <c r="DI658" t="str">
        <v>3225 SUPERÁVIT MÉTODO DE PARTICIPACIÓN</v>
      </c>
      <c r="DJ658" t="str">
        <v>3225 SUPERÁVIT MÉTODO DE PARTICIPACIÓN</v>
      </c>
      <c r="DK658" t="str">
        <v>3225 SUPERÁVIT MÉTODO DE PARTICIPACIÓN</v>
      </c>
      <c r="DL658" t="str">
        <v>3225 SUPERÁVIT MÉTODO DE PARTICIPACIÓN</v>
      </c>
      <c r="DM658" t="str">
        <v>3225 SUPERÁVIT MÉTODO DE PARTICIPACIÓN</v>
      </c>
      <c r="DN658" t="str">
        <v>3225 SUPERÁVIT MÉTODO DE PARTICIPACIÓN</v>
      </c>
      <c r="DO658" t="str">
        <v>3225 SUPERÁVIT MÉTODO DE PARTICIPACIÓN</v>
      </c>
      <c r="DP658" t="str">
        <v>3225 SUPERÁVIT MÉTODO DE PARTICIPACIÓN</v>
      </c>
    </row>
    <row r="659" spans="4:120" ht="12.75">
      <c r="D659" s="7">
        <v>322505</v>
      </c>
      <c r="E659" s="6" t="s">
        <v>489</v>
      </c>
      <c r="F659" s="5">
        <v>4</v>
      </c>
      <c r="G659" s="34" t="s">
        <v>827</v>
      </c>
      <c r="H659" s="8" t="s">
        <v>56</v>
      </c>
      <c r="I659" t="b">
        <f>+ISNUMBER(SEARCH('F-COMPRA'!$F$28,Tabla11[[#This Row],[Cuenta]],1))</f>
        <v>1</v>
      </c>
      <c r="J659" t="b">
        <f>+ISNUMBER(SEARCH('F-COMPRA'!$F$29,Tabla11[[#This Row],[Cuenta]],1))</f>
        <v>1</v>
      </c>
      <c r="K659" t="b">
        <f>+ISNUMBER(SEARCH('F-COMPRA'!$F$30,Tabla11[[#This Row],[Cuenta]],1))</f>
        <v>1</v>
      </c>
      <c r="L659" t="b">
        <f>+ISNUMBER(SEARCH('F-COMPRA'!$F$31,Tabla11[[#This Row],[Cuenta]],1))</f>
        <v>1</v>
      </c>
      <c r="M659" t="b">
        <f>+ISNUMBER(SEARCH('F-COMPRA'!$G$25,Tabla11[[#This Row],[Cuenta]],1))</f>
        <v>0</v>
      </c>
      <c r="N659" t="b">
        <f>+ISNUMBER(SEARCH(#REF!,Tabla11[[#This Row],[Cuenta]],1))</f>
        <v>0</v>
      </c>
      <c r="O659" t="b">
        <f>+ISNUMBER(SEARCH(#REF!,Tabla11[[#This Row],[Cuenta]],1))</f>
        <v>0</v>
      </c>
      <c r="P659" t="b">
        <f>+ISNUMBER(SEARCH('F-COMPRA'!$F$32,Tabla11[[#This Row],[Cuenta]],1))</f>
        <v>1</v>
      </c>
      <c r="Q659" t="b">
        <f>+ISNUMBER(SEARCH('F-COMPRA'!$F$33,Tabla11[[#This Row],[Cuenta]],1))</f>
        <v>1</v>
      </c>
      <c r="R659" t="b">
        <f>+ISNUMBER(SEARCH('F-COMPRA'!$F$34,Tabla11[[#This Row],[Cuenta]],1))</f>
        <v>1</v>
      </c>
      <c r="S659" t="b">
        <f>+ISNUMBER(SEARCH('F-COMPRA'!$F$35,Tabla11[[#This Row],[Cuenta]],1))</f>
        <v>1</v>
      </c>
      <c r="T659" t="b">
        <f>+ISNUMBER(SEARCH('F-COMPRA'!$F$36,Tabla11[[#This Row],[Cuenta]],1))</f>
        <v>1</v>
      </c>
      <c r="U659" t="b">
        <f>+ISNUMBER(SEARCH('F-COMPRA'!$F$37,Tabla11[[#This Row],[Cuenta]],1))</f>
        <v>1</v>
      </c>
      <c r="V659" t="b">
        <f>+ISNUMBER(SEARCH(#REF!,Tabla11[[#This Row],[Cuenta]],1))</f>
        <v>0</v>
      </c>
      <c r="W659" t="b">
        <f>+ISNUMBER(SEARCH('F-COMPRA'!#REF!,Tabla11[[#This Row],[Cuenta]],1))</f>
        <v>0</v>
      </c>
      <c r="X659" t="b">
        <f>+ISNUMBER(SEARCH('F-COMPRA'!#REF!,Tabla11[[#This Row],[Cuenta]],1))</f>
        <v>0</v>
      </c>
      <c r="Y659" t="b">
        <f>+ISNUMBER(SEARCH('F-COMPRA'!#REF!,Tabla11[[#This Row],[Cuenta]],1))</f>
        <v>0</v>
      </c>
      <c r="Z659" t="b">
        <f>+ISNUMBER(SEARCH('F-COMPRA'!#REF!,Tabla11[[#This Row],[Cuenta]],1))</f>
        <v>0</v>
      </c>
      <c r="AA659" t="b">
        <f>+ISNUMBER(SEARCH('F-COMPRA'!#REF!,Tabla11[[#This Row],[Cuenta]],1))</f>
        <v>0</v>
      </c>
      <c r="AB659" t="b">
        <f>+ISNUMBER(SEARCH('F-COMPRA'!#REF!,Tabla11[[#This Row],[Cuenta]],1))</f>
        <v>0</v>
      </c>
      <c r="AC659" t="b">
        <f>+ISNUMBER(SEARCH('F-COMPRA'!#REF!,Tabla11[[#This Row],[Cuenta]],1))</f>
        <v>0</v>
      </c>
      <c r="AD659" t="b">
        <f>+ISNUMBER(SEARCH('F-COMPRA'!#REF!,Tabla11[[#This Row],[Cuenta]],1))</f>
        <v>0</v>
      </c>
      <c r="AE659" t="b">
        <f>+ISNUMBER(SEARCH('F-COMPRA'!#REF!,Tabla11[[#This Row],[Cuenta]],1))</f>
        <v>0</v>
      </c>
      <c r="AF659" t="b">
        <f>+ISNUMBER(SEARCH('F-VTA'!$G$23,Tabla11[[#This Row],[Cuenta]],1))</f>
        <v>0</v>
      </c>
      <c r="AG659" t="b">
        <f>+ISNUMBER(SEARCH('F-VTA'!$G$24,Tabla11[[#This Row],[Cuenta]],1))</f>
        <v>0</v>
      </c>
      <c r="AH659" t="b">
        <f>+ISNUMBER(SEARCH('F-VTA'!$G$25,Tabla11[[#This Row],[Cuenta]],1))</f>
        <v>0</v>
      </c>
      <c r="AI659" t="b">
        <f>+ISNUMBER(SEARCH('F-VTA'!$F$28,Tabla11[[#This Row],[Cuenta]],1))</f>
        <v>1</v>
      </c>
      <c r="AJ659" t="b">
        <f>+ISNUMBER(SEARCH('F-VTA'!$F$29,Tabla11[[#This Row],[Cuenta]],1))</f>
        <v>1</v>
      </c>
      <c r="AK659" t="b">
        <f>+ISNUMBER(SEARCH('F-VTA'!$F$30,Tabla11[[#This Row],[Cuenta]],1))</f>
        <v>1</v>
      </c>
      <c r="AL659" t="b">
        <f>+ISNUMBER(SEARCH('F-VTA'!$F$31,Tabla11[[#This Row],[Cuenta]],1))</f>
        <v>1</v>
      </c>
      <c r="AM659" t="b">
        <f>+ISNUMBER(SEARCH('F-VTA'!$F$32,Tabla11[[#This Row],[Cuenta]],1))</f>
        <v>1</v>
      </c>
      <c r="AN659" t="b">
        <f>+ISNUMBER(SEARCH('F-VTA'!$F$33,Tabla11[[#This Row],[Cuenta]],1))</f>
        <v>1</v>
      </c>
      <c r="AO659" t="b">
        <f>+ISNUMBER(SEARCH('F-VTA'!$F$34,Tabla11[[#This Row],[Cuenta]],1))</f>
        <v>1</v>
      </c>
      <c r="AP659" t="b">
        <f>+ISNUMBER(SEARCH('F-VTA'!$F$35,Tabla11[[#This Row],[Cuenta]],1))</f>
        <v>1</v>
      </c>
      <c r="AQ659" t="b">
        <f>+ISNUMBER(SEARCH('F-VTA'!$F$36,Tabla11[[#This Row],[Cuenta]],1))</f>
        <v>1</v>
      </c>
      <c r="AR659" t="b">
        <f>+ISNUMBER(SEARCH(#REF!,Tabla11[[#This Row],[Cuenta]],1))</f>
        <v>0</v>
      </c>
      <c r="AS659" t="b">
        <f>+ISNUMBER(SEARCH(#REF!,Tabla11[[#This Row],[Cuenta]],1))</f>
        <v>0</v>
      </c>
      <c r="AT659" t="b">
        <f>+ISNUMBER(SEARCH(#REF!,Tabla11[[#This Row],[Cuenta]],1))</f>
        <v>0</v>
      </c>
      <c r="AU659" t="b">
        <f>+ISNUMBER(SEARCH('Conc. Ban.1'!$I$9,Tabla11[[#This Row],[Cuenta]],1))</f>
        <v>0</v>
      </c>
      <c r="AV659" t="b">
        <f>+ISNUMBER(SEARCH(CompConta!$F$21,Tabla11[[#This Row],[Cuenta]],1))</f>
        <v>1</v>
      </c>
      <c r="AW659" t="b">
        <f>+ISNUMBER(SEARCH(CompConta!$F$22,Tabla11[[#This Row],[Cuenta]],1))</f>
        <v>1</v>
      </c>
      <c r="AX659" t="b">
        <f>+ISNUMBER(SEARCH(CompConta!$F$23,Tabla11[[#This Row],[Cuenta]],1))</f>
        <v>1</v>
      </c>
      <c r="AY659" t="b">
        <f>+ISNUMBER(SEARCH(CompConta!$F$24,Tabla11[[#This Row],[Cuenta]],1))</f>
        <v>1</v>
      </c>
      <c r="AZ659" t="b">
        <f>+ISNUMBER(SEARCH(CompConta!$F$25,Tabla11[[#This Row],[Cuenta]],1))</f>
        <v>1</v>
      </c>
      <c r="BA659" t="b">
        <f>+ISNUMBER(SEARCH(CompConta!$F$26,Tabla11[[#This Row],[Cuenta]],1))</f>
        <v>1</v>
      </c>
      <c r="BB659" t="b">
        <f>+ISNUMBER(SEARCH(CompConta!$F$27,Tabla11[[#This Row],[Cuenta]],1))</f>
        <v>1</v>
      </c>
      <c r="BC659" t="b">
        <f>+ISNUMBER(SEARCH(CompConta!$F$28,Tabla11[[#This Row],[Cuenta]],1))</f>
        <v>1</v>
      </c>
      <c r="BD659" t="b">
        <f>+ISNUMBER(SEARCH(CompConta!$F$29,Tabla11[[#This Row],[Cuenta]],1))</f>
        <v>1</v>
      </c>
      <c r="BE659" t="b">
        <f>+ISNUMBER(SEARCH(CompConta!$F$30,Tabla11[[#This Row],[Cuenta]],1))</f>
        <v>1</v>
      </c>
      <c r="BF659" t="b">
        <f>+ISNUMBER(SEARCH('PAGO Compras'!$E$11,Tabla11[[#This Row],[Cuenta]],1))</f>
        <v>1</v>
      </c>
      <c r="BG659" t="b">
        <f>+ISNUMBER(SEARCH(#REF!,Tabla11[[#This Row],[Cuenta]],1))</f>
        <v>0</v>
      </c>
      <c r="BH659" t="b">
        <f>+ISNUMBER(SEARCH(#REF!,Tabla11[[#This Row],[Cuenta]],1))</f>
        <v>0</v>
      </c>
      <c r="BI659" t="b">
        <f>+ISNUMBER(SEARCH(#REF!,Tabla11[[#This Row],[Cuenta]],1))</f>
        <v>0</v>
      </c>
      <c r="BJ659" t="b">
        <f>+ISNUMBER(SEARCH(#REF!,Tabla11[[#This Row],[Cuenta]],1))</f>
        <v>0</v>
      </c>
      <c r="BS659" t="str">
        <v>322505 De acciones</v>
      </c>
      <c r="BT659" t="str">
        <v>322505 De acciones</v>
      </c>
      <c r="BU659" t="str">
        <v>322505 De acciones</v>
      </c>
      <c r="BV659" t="str">
        <v>322505 De acciones</v>
      </c>
      <c r="BZ659" t="str">
        <v>322505 De acciones</v>
      </c>
      <c r="CA659" t="str">
        <v>322505 De acciones</v>
      </c>
      <c r="CB659" t="str">
        <v>322505 De acciones</v>
      </c>
      <c r="CC659" t="str">
        <v>322505 De acciones</v>
      </c>
      <c r="CD659" t="str">
        <v>322505 De acciones</v>
      </c>
      <c r="CE659" t="str">
        <v>322505 De acciones</v>
      </c>
      <c r="CS659" s="141" t="str">
        <v>322505 De acciones</v>
      </c>
      <c r="CT659" s="141" t="str">
        <v>322505 De acciones</v>
      </c>
      <c r="CU659" s="141" t="str">
        <v>322505 De acciones</v>
      </c>
      <c r="CV659" s="141" t="str">
        <v>322505 De acciones</v>
      </c>
      <c r="CW659" s="141" t="str">
        <v>322505 De acciones</v>
      </c>
      <c r="CX659" s="141" t="str">
        <v>322505 De acciones</v>
      </c>
      <c r="CY659" s="141" t="str">
        <v>322505 De acciones</v>
      </c>
      <c r="CZ659" s="141" t="str">
        <v>322505 De acciones</v>
      </c>
      <c r="DA659" s="141" t="str">
        <v>322505 De acciones</v>
      </c>
      <c r="DF659" t="str">
        <v>322505 De acciones</v>
      </c>
      <c r="DG659" t="str">
        <v>322505 De acciones</v>
      </c>
      <c r="DH659" t="str">
        <v>322505 De acciones</v>
      </c>
      <c r="DI659" t="str">
        <v>322505 De acciones</v>
      </c>
      <c r="DJ659" t="str">
        <v>322505 De acciones</v>
      </c>
      <c r="DK659" t="str">
        <v>322505 De acciones</v>
      </c>
      <c r="DL659" t="str">
        <v>322505 De acciones</v>
      </c>
      <c r="DM659" t="str">
        <v>322505 De acciones</v>
      </c>
      <c r="DN659" t="str">
        <v>322505 De acciones</v>
      </c>
      <c r="DO659" t="str">
        <v>322505 De acciones</v>
      </c>
      <c r="DP659" t="str">
        <v>322505 De acciones</v>
      </c>
    </row>
    <row r="660" spans="4:120" ht="12.75">
      <c r="D660" s="7">
        <v>322510</v>
      </c>
      <c r="E660" s="6" t="s">
        <v>490</v>
      </c>
      <c r="F660" s="5">
        <v>4</v>
      </c>
      <c r="G660" s="34" t="s">
        <v>827</v>
      </c>
      <c r="H660" s="8" t="s">
        <v>56</v>
      </c>
      <c r="I660" t="b">
        <f>+ISNUMBER(SEARCH('F-COMPRA'!$F$28,Tabla11[[#This Row],[Cuenta]],1))</f>
        <v>1</v>
      </c>
      <c r="J660" t="b">
        <f>+ISNUMBER(SEARCH('F-COMPRA'!$F$29,Tabla11[[#This Row],[Cuenta]],1))</f>
        <v>1</v>
      </c>
      <c r="K660" t="b">
        <f>+ISNUMBER(SEARCH('F-COMPRA'!$F$30,Tabla11[[#This Row],[Cuenta]],1))</f>
        <v>1</v>
      </c>
      <c r="L660" t="b">
        <f>+ISNUMBER(SEARCH('F-COMPRA'!$F$31,Tabla11[[#This Row],[Cuenta]],1))</f>
        <v>1</v>
      </c>
      <c r="M660" t="b">
        <f>+ISNUMBER(SEARCH('F-COMPRA'!$G$25,Tabla11[[#This Row],[Cuenta]],1))</f>
        <v>0</v>
      </c>
      <c r="N660" t="b">
        <f>+ISNUMBER(SEARCH(#REF!,Tabla11[[#This Row],[Cuenta]],1))</f>
        <v>0</v>
      </c>
      <c r="O660" t="b">
        <f>+ISNUMBER(SEARCH(#REF!,Tabla11[[#This Row],[Cuenta]],1))</f>
        <v>0</v>
      </c>
      <c r="P660" t="b">
        <f>+ISNUMBER(SEARCH('F-COMPRA'!$F$32,Tabla11[[#This Row],[Cuenta]],1))</f>
        <v>1</v>
      </c>
      <c r="Q660" t="b">
        <f>+ISNUMBER(SEARCH('F-COMPRA'!$F$33,Tabla11[[#This Row],[Cuenta]],1))</f>
        <v>1</v>
      </c>
      <c r="R660" t="b">
        <f>+ISNUMBER(SEARCH('F-COMPRA'!$F$34,Tabla11[[#This Row],[Cuenta]],1))</f>
        <v>1</v>
      </c>
      <c r="S660" t="b">
        <f>+ISNUMBER(SEARCH('F-COMPRA'!$F$35,Tabla11[[#This Row],[Cuenta]],1))</f>
        <v>1</v>
      </c>
      <c r="T660" t="b">
        <f>+ISNUMBER(SEARCH('F-COMPRA'!$F$36,Tabla11[[#This Row],[Cuenta]],1))</f>
        <v>1</v>
      </c>
      <c r="U660" t="b">
        <f>+ISNUMBER(SEARCH('F-COMPRA'!$F$37,Tabla11[[#This Row],[Cuenta]],1))</f>
        <v>1</v>
      </c>
      <c r="V660" t="b">
        <f>+ISNUMBER(SEARCH(#REF!,Tabla11[[#This Row],[Cuenta]],1))</f>
        <v>0</v>
      </c>
      <c r="W660" t="b">
        <f>+ISNUMBER(SEARCH('F-COMPRA'!#REF!,Tabla11[[#This Row],[Cuenta]],1))</f>
        <v>0</v>
      </c>
      <c r="X660" t="b">
        <f>+ISNUMBER(SEARCH('F-COMPRA'!#REF!,Tabla11[[#This Row],[Cuenta]],1))</f>
        <v>0</v>
      </c>
      <c r="Y660" t="b">
        <f>+ISNUMBER(SEARCH('F-COMPRA'!#REF!,Tabla11[[#This Row],[Cuenta]],1))</f>
        <v>0</v>
      </c>
      <c r="Z660" t="b">
        <f>+ISNUMBER(SEARCH('F-COMPRA'!#REF!,Tabla11[[#This Row],[Cuenta]],1))</f>
        <v>0</v>
      </c>
      <c r="AA660" t="b">
        <f>+ISNUMBER(SEARCH('F-COMPRA'!#REF!,Tabla11[[#This Row],[Cuenta]],1))</f>
        <v>0</v>
      </c>
      <c r="AB660" t="b">
        <f>+ISNUMBER(SEARCH('F-COMPRA'!#REF!,Tabla11[[#This Row],[Cuenta]],1))</f>
        <v>0</v>
      </c>
      <c r="AC660" t="b">
        <f>+ISNUMBER(SEARCH('F-COMPRA'!#REF!,Tabla11[[#This Row],[Cuenta]],1))</f>
        <v>0</v>
      </c>
      <c r="AD660" t="b">
        <f>+ISNUMBER(SEARCH('F-COMPRA'!#REF!,Tabla11[[#This Row],[Cuenta]],1))</f>
        <v>0</v>
      </c>
      <c r="AE660" t="b">
        <f>+ISNUMBER(SEARCH('F-COMPRA'!#REF!,Tabla11[[#This Row],[Cuenta]],1))</f>
        <v>0</v>
      </c>
      <c r="AF660" t="b">
        <f>+ISNUMBER(SEARCH('F-VTA'!$G$23,Tabla11[[#This Row],[Cuenta]],1))</f>
        <v>0</v>
      </c>
      <c r="AG660" t="b">
        <f>+ISNUMBER(SEARCH('F-VTA'!$G$24,Tabla11[[#This Row],[Cuenta]],1))</f>
        <v>0</v>
      </c>
      <c r="AH660" t="b">
        <f>+ISNUMBER(SEARCH('F-VTA'!$G$25,Tabla11[[#This Row],[Cuenta]],1))</f>
        <v>0</v>
      </c>
      <c r="AI660" t="b">
        <f>+ISNUMBER(SEARCH('F-VTA'!$F$28,Tabla11[[#This Row],[Cuenta]],1))</f>
        <v>1</v>
      </c>
      <c r="AJ660" t="b">
        <f>+ISNUMBER(SEARCH('F-VTA'!$F$29,Tabla11[[#This Row],[Cuenta]],1))</f>
        <v>1</v>
      </c>
      <c r="AK660" t="b">
        <f>+ISNUMBER(SEARCH('F-VTA'!$F$30,Tabla11[[#This Row],[Cuenta]],1))</f>
        <v>1</v>
      </c>
      <c r="AL660" t="b">
        <f>+ISNUMBER(SEARCH('F-VTA'!$F$31,Tabla11[[#This Row],[Cuenta]],1))</f>
        <v>1</v>
      </c>
      <c r="AM660" t="b">
        <f>+ISNUMBER(SEARCH('F-VTA'!$F$32,Tabla11[[#This Row],[Cuenta]],1))</f>
        <v>1</v>
      </c>
      <c r="AN660" t="b">
        <f>+ISNUMBER(SEARCH('F-VTA'!$F$33,Tabla11[[#This Row],[Cuenta]],1))</f>
        <v>1</v>
      </c>
      <c r="AO660" t="b">
        <f>+ISNUMBER(SEARCH('F-VTA'!$F$34,Tabla11[[#This Row],[Cuenta]],1))</f>
        <v>1</v>
      </c>
      <c r="AP660" t="b">
        <f>+ISNUMBER(SEARCH('F-VTA'!$F$35,Tabla11[[#This Row],[Cuenta]],1))</f>
        <v>1</v>
      </c>
      <c r="AQ660" t="b">
        <f>+ISNUMBER(SEARCH('F-VTA'!$F$36,Tabla11[[#This Row],[Cuenta]],1))</f>
        <v>1</v>
      </c>
      <c r="AR660" t="b">
        <f>+ISNUMBER(SEARCH(#REF!,Tabla11[[#This Row],[Cuenta]],1))</f>
        <v>0</v>
      </c>
      <c r="AS660" t="b">
        <f>+ISNUMBER(SEARCH(#REF!,Tabla11[[#This Row],[Cuenta]],1))</f>
        <v>0</v>
      </c>
      <c r="AT660" t="b">
        <f>+ISNUMBER(SEARCH(#REF!,Tabla11[[#This Row],[Cuenta]],1))</f>
        <v>0</v>
      </c>
      <c r="AU660" t="b">
        <f>+ISNUMBER(SEARCH('Conc. Ban.1'!$I$9,Tabla11[[#This Row],[Cuenta]],1))</f>
        <v>0</v>
      </c>
      <c r="AV660" t="b">
        <f>+ISNUMBER(SEARCH(CompConta!$F$21,Tabla11[[#This Row],[Cuenta]],1))</f>
        <v>1</v>
      </c>
      <c r="AW660" t="b">
        <f>+ISNUMBER(SEARCH(CompConta!$F$22,Tabla11[[#This Row],[Cuenta]],1))</f>
        <v>1</v>
      </c>
      <c r="AX660" t="b">
        <f>+ISNUMBER(SEARCH(CompConta!$F$23,Tabla11[[#This Row],[Cuenta]],1))</f>
        <v>1</v>
      </c>
      <c r="AY660" t="b">
        <f>+ISNUMBER(SEARCH(CompConta!$F$24,Tabla11[[#This Row],[Cuenta]],1))</f>
        <v>1</v>
      </c>
      <c r="AZ660" t="b">
        <f>+ISNUMBER(SEARCH(CompConta!$F$25,Tabla11[[#This Row],[Cuenta]],1))</f>
        <v>1</v>
      </c>
      <c r="BA660" t="b">
        <f>+ISNUMBER(SEARCH(CompConta!$F$26,Tabla11[[#This Row],[Cuenta]],1))</f>
        <v>1</v>
      </c>
      <c r="BB660" t="b">
        <f>+ISNUMBER(SEARCH(CompConta!$F$27,Tabla11[[#This Row],[Cuenta]],1))</f>
        <v>1</v>
      </c>
      <c r="BC660" t="b">
        <f>+ISNUMBER(SEARCH(CompConta!$F$28,Tabla11[[#This Row],[Cuenta]],1))</f>
        <v>1</v>
      </c>
      <c r="BD660" t="b">
        <f>+ISNUMBER(SEARCH(CompConta!$F$29,Tabla11[[#This Row],[Cuenta]],1))</f>
        <v>1</v>
      </c>
      <c r="BE660" t="b">
        <f>+ISNUMBER(SEARCH(CompConta!$F$30,Tabla11[[#This Row],[Cuenta]],1))</f>
        <v>1</v>
      </c>
      <c r="BF660" t="b">
        <f>+ISNUMBER(SEARCH('PAGO Compras'!$E$11,Tabla11[[#This Row],[Cuenta]],1))</f>
        <v>1</v>
      </c>
      <c r="BG660" t="b">
        <f>+ISNUMBER(SEARCH(#REF!,Tabla11[[#This Row],[Cuenta]],1))</f>
        <v>0</v>
      </c>
      <c r="BH660" t="b">
        <f>+ISNUMBER(SEARCH(#REF!,Tabla11[[#This Row],[Cuenta]],1))</f>
        <v>0</v>
      </c>
      <c r="BI660" t="b">
        <f>+ISNUMBER(SEARCH(#REF!,Tabla11[[#This Row],[Cuenta]],1))</f>
        <v>0</v>
      </c>
      <c r="BJ660" t="b">
        <f>+ISNUMBER(SEARCH(#REF!,Tabla11[[#This Row],[Cuenta]],1))</f>
        <v>0</v>
      </c>
      <c r="BS660" t="str">
        <v>322510 De cuotas o partes de interés social</v>
      </c>
      <c r="BT660" t="str">
        <v>322510 De cuotas o partes de interés social</v>
      </c>
      <c r="BU660" t="str">
        <v>322510 De cuotas o partes de interés social</v>
      </c>
      <c r="BV660" t="str">
        <v>322510 De cuotas o partes de interés social</v>
      </c>
      <c r="BZ660" t="str">
        <v>322510 De cuotas o partes de interés social</v>
      </c>
      <c r="CA660" t="str">
        <v>322510 De cuotas o partes de interés social</v>
      </c>
      <c r="CB660" t="str">
        <v>322510 De cuotas o partes de interés social</v>
      </c>
      <c r="CC660" t="str">
        <v>322510 De cuotas o partes de interés social</v>
      </c>
      <c r="CD660" t="str">
        <v>322510 De cuotas o partes de interés social</v>
      </c>
      <c r="CE660" t="str">
        <v>322510 De cuotas o partes de interés social</v>
      </c>
      <c r="CS660" s="141" t="str">
        <v>322510 De cuotas o partes de interés social</v>
      </c>
      <c r="CT660" s="141" t="str">
        <v>322510 De cuotas o partes de interés social</v>
      </c>
      <c r="CU660" s="141" t="str">
        <v>322510 De cuotas o partes de interés social</v>
      </c>
      <c r="CV660" s="141" t="str">
        <v>322510 De cuotas o partes de interés social</v>
      </c>
      <c r="CW660" s="141" t="str">
        <v>322510 De cuotas o partes de interés social</v>
      </c>
      <c r="CX660" s="141" t="str">
        <v>322510 De cuotas o partes de interés social</v>
      </c>
      <c r="CY660" s="141" t="str">
        <v>322510 De cuotas o partes de interés social</v>
      </c>
      <c r="CZ660" s="141" t="str">
        <v>322510 De cuotas o partes de interés social</v>
      </c>
      <c r="DA660" s="141" t="str">
        <v>322510 De cuotas o partes de interés social</v>
      </c>
      <c r="DF660" t="str">
        <v>322510 De cuotas o partes de interés social</v>
      </c>
      <c r="DG660" t="str">
        <v>322510 De cuotas o partes de interés social</v>
      </c>
      <c r="DH660" t="str">
        <v>322510 De cuotas o partes de interés social</v>
      </c>
      <c r="DI660" t="str">
        <v>322510 De cuotas o partes de interés social</v>
      </c>
      <c r="DJ660" t="str">
        <v>322510 De cuotas o partes de interés social</v>
      </c>
      <c r="DK660" t="str">
        <v>322510 De cuotas o partes de interés social</v>
      </c>
      <c r="DL660" t="str">
        <v>322510 De cuotas o partes de interés social</v>
      </c>
      <c r="DM660" t="str">
        <v>322510 De cuotas o partes de interés social</v>
      </c>
      <c r="DN660" t="str">
        <v>322510 De cuotas o partes de interés social</v>
      </c>
      <c r="DO660" t="str">
        <v>322510 De cuotas o partes de interés social</v>
      </c>
      <c r="DP660" t="str">
        <v>322510 De cuotas o partes de interés social</v>
      </c>
    </row>
    <row r="661" spans="4:120" ht="12.75">
      <c r="D661" s="7">
        <v>33</v>
      </c>
      <c r="E661" s="6" t="s">
        <v>491</v>
      </c>
      <c r="F661" s="5">
        <v>2</v>
      </c>
      <c r="G661" s="34" t="s">
        <v>827</v>
      </c>
      <c r="H661" s="8" t="s">
        <v>56</v>
      </c>
      <c r="I661" t="b">
        <f>+ISNUMBER(SEARCH('F-COMPRA'!$F$28,Tabla11[[#This Row],[Cuenta]],1))</f>
        <v>1</v>
      </c>
      <c r="J661" t="b">
        <f>+ISNUMBER(SEARCH('F-COMPRA'!$F$29,Tabla11[[#This Row],[Cuenta]],1))</f>
        <v>1</v>
      </c>
      <c r="K661" t="b">
        <f>+ISNUMBER(SEARCH('F-COMPRA'!$F$30,Tabla11[[#This Row],[Cuenta]],1))</f>
        <v>1</v>
      </c>
      <c r="L661" t="b">
        <f>+ISNUMBER(SEARCH('F-COMPRA'!$F$31,Tabla11[[#This Row],[Cuenta]],1))</f>
        <v>1</v>
      </c>
      <c r="M661" t="b">
        <f>+ISNUMBER(SEARCH('F-COMPRA'!$G$25,Tabla11[[#This Row],[Cuenta]],1))</f>
        <v>0</v>
      </c>
      <c r="N661" t="b">
        <f>+ISNUMBER(SEARCH(#REF!,Tabla11[[#This Row],[Cuenta]],1))</f>
        <v>0</v>
      </c>
      <c r="O661" t="b">
        <f>+ISNUMBER(SEARCH(#REF!,Tabla11[[#This Row],[Cuenta]],1))</f>
        <v>0</v>
      </c>
      <c r="P661" t="b">
        <f>+ISNUMBER(SEARCH('F-COMPRA'!$F$32,Tabla11[[#This Row],[Cuenta]],1))</f>
        <v>1</v>
      </c>
      <c r="Q661" t="b">
        <f>+ISNUMBER(SEARCH('F-COMPRA'!$F$33,Tabla11[[#This Row],[Cuenta]],1))</f>
        <v>1</v>
      </c>
      <c r="R661" t="b">
        <f>+ISNUMBER(SEARCH('F-COMPRA'!$F$34,Tabla11[[#This Row],[Cuenta]],1))</f>
        <v>1</v>
      </c>
      <c r="S661" t="b">
        <f>+ISNUMBER(SEARCH('F-COMPRA'!$F$35,Tabla11[[#This Row],[Cuenta]],1))</f>
        <v>1</v>
      </c>
      <c r="T661" t="b">
        <f>+ISNUMBER(SEARCH('F-COMPRA'!$F$36,Tabla11[[#This Row],[Cuenta]],1))</f>
        <v>1</v>
      </c>
      <c r="U661" t="b">
        <f>+ISNUMBER(SEARCH('F-COMPRA'!$F$37,Tabla11[[#This Row],[Cuenta]],1))</f>
        <v>1</v>
      </c>
      <c r="V661" t="b">
        <f>+ISNUMBER(SEARCH(#REF!,Tabla11[[#This Row],[Cuenta]],1))</f>
        <v>0</v>
      </c>
      <c r="W661" t="b">
        <f>+ISNUMBER(SEARCH('F-COMPRA'!#REF!,Tabla11[[#This Row],[Cuenta]],1))</f>
        <v>0</v>
      </c>
      <c r="X661" t="b">
        <f>+ISNUMBER(SEARCH('F-COMPRA'!#REF!,Tabla11[[#This Row],[Cuenta]],1))</f>
        <v>0</v>
      </c>
      <c r="Y661" t="b">
        <f>+ISNUMBER(SEARCH('F-COMPRA'!#REF!,Tabla11[[#This Row],[Cuenta]],1))</f>
        <v>0</v>
      </c>
      <c r="Z661" t="b">
        <f>+ISNUMBER(SEARCH('F-COMPRA'!#REF!,Tabla11[[#This Row],[Cuenta]],1))</f>
        <v>0</v>
      </c>
      <c r="AA661" t="b">
        <f>+ISNUMBER(SEARCH('F-COMPRA'!#REF!,Tabla11[[#This Row],[Cuenta]],1))</f>
        <v>0</v>
      </c>
      <c r="AB661" t="b">
        <f>+ISNUMBER(SEARCH('F-COMPRA'!#REF!,Tabla11[[#This Row],[Cuenta]],1))</f>
        <v>0</v>
      </c>
      <c r="AC661" t="b">
        <f>+ISNUMBER(SEARCH('F-COMPRA'!#REF!,Tabla11[[#This Row],[Cuenta]],1))</f>
        <v>0</v>
      </c>
      <c r="AD661" t="b">
        <f>+ISNUMBER(SEARCH('F-COMPRA'!#REF!,Tabla11[[#This Row],[Cuenta]],1))</f>
        <v>0</v>
      </c>
      <c r="AE661" t="b">
        <f>+ISNUMBER(SEARCH('F-COMPRA'!#REF!,Tabla11[[#This Row],[Cuenta]],1))</f>
        <v>0</v>
      </c>
      <c r="AF661" t="b">
        <f>+ISNUMBER(SEARCH('F-VTA'!$G$23,Tabla11[[#This Row],[Cuenta]],1))</f>
        <v>0</v>
      </c>
      <c r="AG661" t="b">
        <f>+ISNUMBER(SEARCH('F-VTA'!$G$24,Tabla11[[#This Row],[Cuenta]],1))</f>
        <v>0</v>
      </c>
      <c r="AH661" t="b">
        <f>+ISNUMBER(SEARCH('F-VTA'!$G$25,Tabla11[[#This Row],[Cuenta]],1))</f>
        <v>0</v>
      </c>
      <c r="AI661" t="b">
        <f>+ISNUMBER(SEARCH('F-VTA'!$F$28,Tabla11[[#This Row],[Cuenta]],1))</f>
        <v>1</v>
      </c>
      <c r="AJ661" t="b">
        <f>+ISNUMBER(SEARCH('F-VTA'!$F$29,Tabla11[[#This Row],[Cuenta]],1))</f>
        <v>1</v>
      </c>
      <c r="AK661" t="b">
        <f>+ISNUMBER(SEARCH('F-VTA'!$F$30,Tabla11[[#This Row],[Cuenta]],1))</f>
        <v>1</v>
      </c>
      <c r="AL661" t="b">
        <f>+ISNUMBER(SEARCH('F-VTA'!$F$31,Tabla11[[#This Row],[Cuenta]],1))</f>
        <v>1</v>
      </c>
      <c r="AM661" t="b">
        <f>+ISNUMBER(SEARCH('F-VTA'!$F$32,Tabla11[[#This Row],[Cuenta]],1))</f>
        <v>1</v>
      </c>
      <c r="AN661" t="b">
        <f>+ISNUMBER(SEARCH('F-VTA'!$F$33,Tabla11[[#This Row],[Cuenta]],1))</f>
        <v>1</v>
      </c>
      <c r="AO661" t="b">
        <f>+ISNUMBER(SEARCH('F-VTA'!$F$34,Tabla11[[#This Row],[Cuenta]],1))</f>
        <v>1</v>
      </c>
      <c r="AP661" t="b">
        <f>+ISNUMBER(SEARCH('F-VTA'!$F$35,Tabla11[[#This Row],[Cuenta]],1))</f>
        <v>1</v>
      </c>
      <c r="AQ661" t="b">
        <f>+ISNUMBER(SEARCH('F-VTA'!$F$36,Tabla11[[#This Row],[Cuenta]],1))</f>
        <v>1</v>
      </c>
      <c r="AR661" t="b">
        <f>+ISNUMBER(SEARCH(#REF!,Tabla11[[#This Row],[Cuenta]],1))</f>
        <v>0</v>
      </c>
      <c r="AS661" t="b">
        <f>+ISNUMBER(SEARCH(#REF!,Tabla11[[#This Row],[Cuenta]],1))</f>
        <v>0</v>
      </c>
      <c r="AT661" t="b">
        <f>+ISNUMBER(SEARCH(#REF!,Tabla11[[#This Row],[Cuenta]],1))</f>
        <v>0</v>
      </c>
      <c r="AU661" t="b">
        <f>+ISNUMBER(SEARCH('Conc. Ban.1'!$I$9,Tabla11[[#This Row],[Cuenta]],1))</f>
        <v>0</v>
      </c>
      <c r="AV661" t="b">
        <f>+ISNUMBER(SEARCH(CompConta!$F$21,Tabla11[[#This Row],[Cuenta]],1))</f>
        <v>1</v>
      </c>
      <c r="AW661" t="b">
        <f>+ISNUMBER(SEARCH(CompConta!$F$22,Tabla11[[#This Row],[Cuenta]],1))</f>
        <v>1</v>
      </c>
      <c r="AX661" t="b">
        <f>+ISNUMBER(SEARCH(CompConta!$F$23,Tabla11[[#This Row],[Cuenta]],1))</f>
        <v>1</v>
      </c>
      <c r="AY661" t="b">
        <f>+ISNUMBER(SEARCH(CompConta!$F$24,Tabla11[[#This Row],[Cuenta]],1))</f>
        <v>1</v>
      </c>
      <c r="AZ661" t="b">
        <f>+ISNUMBER(SEARCH(CompConta!$F$25,Tabla11[[#This Row],[Cuenta]],1))</f>
        <v>1</v>
      </c>
      <c r="BA661" t="b">
        <f>+ISNUMBER(SEARCH(CompConta!$F$26,Tabla11[[#This Row],[Cuenta]],1))</f>
        <v>1</v>
      </c>
      <c r="BB661" t="b">
        <f>+ISNUMBER(SEARCH(CompConta!$F$27,Tabla11[[#This Row],[Cuenta]],1))</f>
        <v>1</v>
      </c>
      <c r="BC661" t="b">
        <f>+ISNUMBER(SEARCH(CompConta!$F$28,Tabla11[[#This Row],[Cuenta]],1))</f>
        <v>1</v>
      </c>
      <c r="BD661" t="b">
        <f>+ISNUMBER(SEARCH(CompConta!$F$29,Tabla11[[#This Row],[Cuenta]],1))</f>
        <v>1</v>
      </c>
      <c r="BE661" t="b">
        <f>+ISNUMBER(SEARCH(CompConta!$F$30,Tabla11[[#This Row],[Cuenta]],1))</f>
        <v>1</v>
      </c>
      <c r="BF661" t="b">
        <f>+ISNUMBER(SEARCH('PAGO Compras'!$E$11,Tabla11[[#This Row],[Cuenta]],1))</f>
        <v>1</v>
      </c>
      <c r="BG661" t="b">
        <f>+ISNUMBER(SEARCH(#REF!,Tabla11[[#This Row],[Cuenta]],1))</f>
        <v>0</v>
      </c>
      <c r="BH661" t="b">
        <f>+ISNUMBER(SEARCH(#REF!,Tabla11[[#This Row],[Cuenta]],1))</f>
        <v>0</v>
      </c>
      <c r="BI661" t="b">
        <f>+ISNUMBER(SEARCH(#REF!,Tabla11[[#This Row],[Cuenta]],1))</f>
        <v>0</v>
      </c>
      <c r="BJ661" t="b">
        <f>+ISNUMBER(SEARCH(#REF!,Tabla11[[#This Row],[Cuenta]],1))</f>
        <v>0</v>
      </c>
      <c r="BS661" t="str">
        <v>33 RESERVAS</v>
      </c>
      <c r="BT661" t="str">
        <v>33 RESERVAS</v>
      </c>
      <c r="BU661" t="str">
        <v>33 RESERVAS</v>
      </c>
      <c r="BV661" t="str">
        <v>33 RESERVAS</v>
      </c>
      <c r="BZ661" t="str">
        <v>33 RESERVAS</v>
      </c>
      <c r="CA661" t="str">
        <v>33 RESERVAS</v>
      </c>
      <c r="CB661" t="str">
        <v>33 RESERVAS</v>
      </c>
      <c r="CC661" t="str">
        <v>33 RESERVAS</v>
      </c>
      <c r="CD661" t="str">
        <v>33 RESERVAS</v>
      </c>
      <c r="CE661" t="str">
        <v>33 RESERVAS</v>
      </c>
      <c r="CS661" s="141" t="str">
        <v>33 RESERVAS</v>
      </c>
      <c r="CT661" s="141" t="str">
        <v>33 RESERVAS</v>
      </c>
      <c r="CU661" s="141" t="str">
        <v>33 RESERVAS</v>
      </c>
      <c r="CV661" s="141" t="str">
        <v>33 RESERVAS</v>
      </c>
      <c r="CW661" s="141" t="str">
        <v>33 RESERVAS</v>
      </c>
      <c r="CX661" s="141" t="str">
        <v>33 RESERVAS</v>
      </c>
      <c r="CY661" s="141" t="str">
        <v>33 RESERVAS</v>
      </c>
      <c r="CZ661" s="141" t="str">
        <v>33 RESERVAS</v>
      </c>
      <c r="DA661" s="141" t="str">
        <v>33 RESERVAS</v>
      </c>
      <c r="DF661" t="str">
        <v>33 RESERVAS</v>
      </c>
      <c r="DG661" t="str">
        <v>33 RESERVAS</v>
      </c>
      <c r="DH661" t="str">
        <v>33 RESERVAS</v>
      </c>
      <c r="DI661" t="str">
        <v>33 RESERVAS</v>
      </c>
      <c r="DJ661" t="str">
        <v>33 RESERVAS</v>
      </c>
      <c r="DK661" t="str">
        <v>33 RESERVAS</v>
      </c>
      <c r="DL661" t="str">
        <v>33 RESERVAS</v>
      </c>
      <c r="DM661" t="str">
        <v>33 RESERVAS</v>
      </c>
      <c r="DN661" t="str">
        <v>33 RESERVAS</v>
      </c>
      <c r="DO661" t="str">
        <v>33 RESERVAS</v>
      </c>
      <c r="DP661" t="str">
        <v>33 RESERVAS</v>
      </c>
    </row>
    <row r="662" spans="4:120" ht="12.75">
      <c r="D662" s="7">
        <v>3305</v>
      </c>
      <c r="E662" s="6" t="s">
        <v>492</v>
      </c>
      <c r="F662" s="5">
        <v>3</v>
      </c>
      <c r="G662" s="34" t="s">
        <v>827</v>
      </c>
      <c r="H662" s="8" t="s">
        <v>56</v>
      </c>
      <c r="I662" t="b">
        <f>+ISNUMBER(SEARCH('F-COMPRA'!$F$28,Tabla11[[#This Row],[Cuenta]],1))</f>
        <v>1</v>
      </c>
      <c r="J662" t="b">
        <f>+ISNUMBER(SEARCH('F-COMPRA'!$F$29,Tabla11[[#This Row],[Cuenta]],1))</f>
        <v>1</v>
      </c>
      <c r="K662" t="b">
        <f>+ISNUMBER(SEARCH('F-COMPRA'!$F$30,Tabla11[[#This Row],[Cuenta]],1))</f>
        <v>1</v>
      </c>
      <c r="L662" t="b">
        <f>+ISNUMBER(SEARCH('F-COMPRA'!$F$31,Tabla11[[#This Row],[Cuenta]],1))</f>
        <v>1</v>
      </c>
      <c r="M662" t="b">
        <f>+ISNUMBER(SEARCH('F-COMPRA'!$G$25,Tabla11[[#This Row],[Cuenta]],1))</f>
        <v>0</v>
      </c>
      <c r="N662" t="b">
        <f>+ISNUMBER(SEARCH(#REF!,Tabla11[[#This Row],[Cuenta]],1))</f>
        <v>0</v>
      </c>
      <c r="O662" t="b">
        <f>+ISNUMBER(SEARCH(#REF!,Tabla11[[#This Row],[Cuenta]],1))</f>
        <v>0</v>
      </c>
      <c r="P662" t="b">
        <f>+ISNUMBER(SEARCH('F-COMPRA'!$F$32,Tabla11[[#This Row],[Cuenta]],1))</f>
        <v>1</v>
      </c>
      <c r="Q662" t="b">
        <f>+ISNUMBER(SEARCH('F-COMPRA'!$F$33,Tabla11[[#This Row],[Cuenta]],1))</f>
        <v>1</v>
      </c>
      <c r="R662" t="b">
        <f>+ISNUMBER(SEARCH('F-COMPRA'!$F$34,Tabla11[[#This Row],[Cuenta]],1))</f>
        <v>1</v>
      </c>
      <c r="S662" t="b">
        <f>+ISNUMBER(SEARCH('F-COMPRA'!$F$35,Tabla11[[#This Row],[Cuenta]],1))</f>
        <v>1</v>
      </c>
      <c r="T662" t="b">
        <f>+ISNUMBER(SEARCH('F-COMPRA'!$F$36,Tabla11[[#This Row],[Cuenta]],1))</f>
        <v>1</v>
      </c>
      <c r="U662" t="b">
        <f>+ISNUMBER(SEARCH('F-COMPRA'!$F$37,Tabla11[[#This Row],[Cuenta]],1))</f>
        <v>1</v>
      </c>
      <c r="V662" t="b">
        <f>+ISNUMBER(SEARCH(#REF!,Tabla11[[#This Row],[Cuenta]],1))</f>
        <v>0</v>
      </c>
      <c r="W662" t="b">
        <f>+ISNUMBER(SEARCH('F-COMPRA'!#REF!,Tabla11[[#This Row],[Cuenta]],1))</f>
        <v>0</v>
      </c>
      <c r="X662" t="b">
        <f>+ISNUMBER(SEARCH('F-COMPRA'!#REF!,Tabla11[[#This Row],[Cuenta]],1))</f>
        <v>0</v>
      </c>
      <c r="Y662" t="b">
        <f>+ISNUMBER(SEARCH('F-COMPRA'!#REF!,Tabla11[[#This Row],[Cuenta]],1))</f>
        <v>0</v>
      </c>
      <c r="Z662" t="b">
        <f>+ISNUMBER(SEARCH('F-COMPRA'!#REF!,Tabla11[[#This Row],[Cuenta]],1))</f>
        <v>0</v>
      </c>
      <c r="AA662" t="b">
        <f>+ISNUMBER(SEARCH('F-COMPRA'!#REF!,Tabla11[[#This Row],[Cuenta]],1))</f>
        <v>0</v>
      </c>
      <c r="AB662" t="b">
        <f>+ISNUMBER(SEARCH('F-COMPRA'!#REF!,Tabla11[[#This Row],[Cuenta]],1))</f>
        <v>0</v>
      </c>
      <c r="AC662" t="b">
        <f>+ISNUMBER(SEARCH('F-COMPRA'!#REF!,Tabla11[[#This Row],[Cuenta]],1))</f>
        <v>0</v>
      </c>
      <c r="AD662" t="b">
        <f>+ISNUMBER(SEARCH('F-COMPRA'!#REF!,Tabla11[[#This Row],[Cuenta]],1))</f>
        <v>0</v>
      </c>
      <c r="AE662" t="b">
        <f>+ISNUMBER(SEARCH('F-COMPRA'!#REF!,Tabla11[[#This Row],[Cuenta]],1))</f>
        <v>0</v>
      </c>
      <c r="AF662" t="b">
        <f>+ISNUMBER(SEARCH('F-VTA'!$G$23,Tabla11[[#This Row],[Cuenta]],1))</f>
        <v>0</v>
      </c>
      <c r="AG662" t="b">
        <f>+ISNUMBER(SEARCH('F-VTA'!$G$24,Tabla11[[#This Row],[Cuenta]],1))</f>
        <v>0</v>
      </c>
      <c r="AH662" t="b">
        <f>+ISNUMBER(SEARCH('F-VTA'!$G$25,Tabla11[[#This Row],[Cuenta]],1))</f>
        <v>0</v>
      </c>
      <c r="AI662" t="b">
        <f>+ISNUMBER(SEARCH('F-VTA'!$F$28,Tabla11[[#This Row],[Cuenta]],1))</f>
        <v>1</v>
      </c>
      <c r="AJ662" t="b">
        <f>+ISNUMBER(SEARCH('F-VTA'!$F$29,Tabla11[[#This Row],[Cuenta]],1))</f>
        <v>1</v>
      </c>
      <c r="AK662" t="b">
        <f>+ISNUMBER(SEARCH('F-VTA'!$F$30,Tabla11[[#This Row],[Cuenta]],1))</f>
        <v>1</v>
      </c>
      <c r="AL662" t="b">
        <f>+ISNUMBER(SEARCH('F-VTA'!$F$31,Tabla11[[#This Row],[Cuenta]],1))</f>
        <v>1</v>
      </c>
      <c r="AM662" t="b">
        <f>+ISNUMBER(SEARCH('F-VTA'!$F$32,Tabla11[[#This Row],[Cuenta]],1))</f>
        <v>1</v>
      </c>
      <c r="AN662" t="b">
        <f>+ISNUMBER(SEARCH('F-VTA'!$F$33,Tabla11[[#This Row],[Cuenta]],1))</f>
        <v>1</v>
      </c>
      <c r="AO662" t="b">
        <f>+ISNUMBER(SEARCH('F-VTA'!$F$34,Tabla11[[#This Row],[Cuenta]],1))</f>
        <v>1</v>
      </c>
      <c r="AP662" t="b">
        <f>+ISNUMBER(SEARCH('F-VTA'!$F$35,Tabla11[[#This Row],[Cuenta]],1))</f>
        <v>1</v>
      </c>
      <c r="AQ662" t="b">
        <f>+ISNUMBER(SEARCH('F-VTA'!$F$36,Tabla11[[#This Row],[Cuenta]],1))</f>
        <v>1</v>
      </c>
      <c r="AR662" t="b">
        <f>+ISNUMBER(SEARCH(#REF!,Tabla11[[#This Row],[Cuenta]],1))</f>
        <v>0</v>
      </c>
      <c r="AS662" t="b">
        <f>+ISNUMBER(SEARCH(#REF!,Tabla11[[#This Row],[Cuenta]],1))</f>
        <v>0</v>
      </c>
      <c r="AT662" t="b">
        <f>+ISNUMBER(SEARCH(#REF!,Tabla11[[#This Row],[Cuenta]],1))</f>
        <v>0</v>
      </c>
      <c r="AU662" t="b">
        <f>+ISNUMBER(SEARCH('Conc. Ban.1'!$I$9,Tabla11[[#This Row],[Cuenta]],1))</f>
        <v>0</v>
      </c>
      <c r="AV662" t="b">
        <f>+ISNUMBER(SEARCH(CompConta!$F$21,Tabla11[[#This Row],[Cuenta]],1))</f>
        <v>1</v>
      </c>
      <c r="AW662" t="b">
        <f>+ISNUMBER(SEARCH(CompConta!$F$22,Tabla11[[#This Row],[Cuenta]],1))</f>
        <v>1</v>
      </c>
      <c r="AX662" t="b">
        <f>+ISNUMBER(SEARCH(CompConta!$F$23,Tabla11[[#This Row],[Cuenta]],1))</f>
        <v>1</v>
      </c>
      <c r="AY662" t="b">
        <f>+ISNUMBER(SEARCH(CompConta!$F$24,Tabla11[[#This Row],[Cuenta]],1))</f>
        <v>1</v>
      </c>
      <c r="AZ662" t="b">
        <f>+ISNUMBER(SEARCH(CompConta!$F$25,Tabla11[[#This Row],[Cuenta]],1))</f>
        <v>1</v>
      </c>
      <c r="BA662" t="b">
        <f>+ISNUMBER(SEARCH(CompConta!$F$26,Tabla11[[#This Row],[Cuenta]],1))</f>
        <v>1</v>
      </c>
      <c r="BB662" t="b">
        <f>+ISNUMBER(SEARCH(CompConta!$F$27,Tabla11[[#This Row],[Cuenta]],1))</f>
        <v>1</v>
      </c>
      <c r="BC662" t="b">
        <f>+ISNUMBER(SEARCH(CompConta!$F$28,Tabla11[[#This Row],[Cuenta]],1))</f>
        <v>1</v>
      </c>
      <c r="BD662" t="b">
        <f>+ISNUMBER(SEARCH(CompConta!$F$29,Tabla11[[#This Row],[Cuenta]],1))</f>
        <v>1</v>
      </c>
      <c r="BE662" t="b">
        <f>+ISNUMBER(SEARCH(CompConta!$F$30,Tabla11[[#This Row],[Cuenta]],1))</f>
        <v>1</v>
      </c>
      <c r="BF662" t="b">
        <f>+ISNUMBER(SEARCH('PAGO Compras'!$E$11,Tabla11[[#This Row],[Cuenta]],1))</f>
        <v>1</v>
      </c>
      <c r="BG662" t="b">
        <f>+ISNUMBER(SEARCH(#REF!,Tabla11[[#This Row],[Cuenta]],1))</f>
        <v>0</v>
      </c>
      <c r="BH662" t="b">
        <f>+ISNUMBER(SEARCH(#REF!,Tabla11[[#This Row],[Cuenta]],1))</f>
        <v>0</v>
      </c>
      <c r="BI662" t="b">
        <f>+ISNUMBER(SEARCH(#REF!,Tabla11[[#This Row],[Cuenta]],1))</f>
        <v>0</v>
      </c>
      <c r="BJ662" t="b">
        <f>+ISNUMBER(SEARCH(#REF!,Tabla11[[#This Row],[Cuenta]],1))</f>
        <v>0</v>
      </c>
      <c r="BS662" t="str">
        <v>3305 RESERVA OBLIGATORIAS</v>
      </c>
      <c r="BT662" t="str">
        <v>3305 RESERVA OBLIGATORIAS</v>
      </c>
      <c r="BU662" t="str">
        <v>3305 RESERVA OBLIGATORIAS</v>
      </c>
      <c r="BV662" t="str">
        <v>3305 RESERVA OBLIGATORIAS</v>
      </c>
      <c r="BZ662" t="str">
        <v>3305 RESERVA OBLIGATORIAS</v>
      </c>
      <c r="CA662" t="str">
        <v>3305 RESERVA OBLIGATORIAS</v>
      </c>
      <c r="CB662" t="str">
        <v>3305 RESERVA OBLIGATORIAS</v>
      </c>
      <c r="CC662" t="str">
        <v>3305 RESERVA OBLIGATORIAS</v>
      </c>
      <c r="CD662" t="str">
        <v>3305 RESERVA OBLIGATORIAS</v>
      </c>
      <c r="CE662" t="str">
        <v>3305 RESERVA OBLIGATORIAS</v>
      </c>
      <c r="CS662" s="141" t="str">
        <v>3305 RESERVA OBLIGATORIAS</v>
      </c>
      <c r="CT662" s="141" t="str">
        <v>3305 RESERVA OBLIGATORIAS</v>
      </c>
      <c r="CU662" s="141" t="str">
        <v>3305 RESERVA OBLIGATORIAS</v>
      </c>
      <c r="CV662" s="141" t="str">
        <v>3305 RESERVA OBLIGATORIAS</v>
      </c>
      <c r="CW662" s="141" t="str">
        <v>3305 RESERVA OBLIGATORIAS</v>
      </c>
      <c r="CX662" s="141" t="str">
        <v>3305 RESERVA OBLIGATORIAS</v>
      </c>
      <c r="CY662" s="141" t="str">
        <v>3305 RESERVA OBLIGATORIAS</v>
      </c>
      <c r="CZ662" s="141" t="str">
        <v>3305 RESERVA OBLIGATORIAS</v>
      </c>
      <c r="DA662" s="141" t="str">
        <v>3305 RESERVA OBLIGATORIAS</v>
      </c>
      <c r="DF662" t="str">
        <v>3305 RESERVA OBLIGATORIAS</v>
      </c>
      <c r="DG662" t="str">
        <v>3305 RESERVA OBLIGATORIAS</v>
      </c>
      <c r="DH662" t="str">
        <v>3305 RESERVA OBLIGATORIAS</v>
      </c>
      <c r="DI662" t="str">
        <v>3305 RESERVA OBLIGATORIAS</v>
      </c>
      <c r="DJ662" t="str">
        <v>3305 RESERVA OBLIGATORIAS</v>
      </c>
      <c r="DK662" t="str">
        <v>3305 RESERVA OBLIGATORIAS</v>
      </c>
      <c r="DL662" t="str">
        <v>3305 RESERVA OBLIGATORIAS</v>
      </c>
      <c r="DM662" t="str">
        <v>3305 RESERVA OBLIGATORIAS</v>
      </c>
      <c r="DN662" t="str">
        <v>3305 RESERVA OBLIGATORIAS</v>
      </c>
      <c r="DO662" t="str">
        <v>3305 RESERVA OBLIGATORIAS</v>
      </c>
      <c r="DP662" t="str">
        <v>3305 RESERVA OBLIGATORIAS</v>
      </c>
    </row>
    <row r="663" spans="4:120" ht="12.75">
      <c r="D663" s="7">
        <v>330505</v>
      </c>
      <c r="E663" s="6" t="s">
        <v>493</v>
      </c>
      <c r="F663" s="5">
        <v>4</v>
      </c>
      <c r="G663" s="34" t="s">
        <v>827</v>
      </c>
      <c r="H663" s="8" t="s">
        <v>56</v>
      </c>
      <c r="I663" t="b">
        <f>+ISNUMBER(SEARCH('F-COMPRA'!$F$28,Tabla11[[#This Row],[Cuenta]],1))</f>
        <v>1</v>
      </c>
      <c r="J663" t="b">
        <f>+ISNUMBER(SEARCH('F-COMPRA'!$F$29,Tabla11[[#This Row],[Cuenta]],1))</f>
        <v>1</v>
      </c>
      <c r="K663" t="b">
        <f>+ISNUMBER(SEARCH('F-COMPRA'!$F$30,Tabla11[[#This Row],[Cuenta]],1))</f>
        <v>1</v>
      </c>
      <c r="L663" t="b">
        <f>+ISNUMBER(SEARCH('F-COMPRA'!$F$31,Tabla11[[#This Row],[Cuenta]],1))</f>
        <v>1</v>
      </c>
      <c r="M663" t="b">
        <f>+ISNUMBER(SEARCH('F-COMPRA'!$G$25,Tabla11[[#This Row],[Cuenta]],1))</f>
        <v>0</v>
      </c>
      <c r="N663" t="b">
        <f>+ISNUMBER(SEARCH(#REF!,Tabla11[[#This Row],[Cuenta]],1))</f>
        <v>0</v>
      </c>
      <c r="O663" t="b">
        <f>+ISNUMBER(SEARCH(#REF!,Tabla11[[#This Row],[Cuenta]],1))</f>
        <v>0</v>
      </c>
      <c r="P663" t="b">
        <f>+ISNUMBER(SEARCH('F-COMPRA'!$F$32,Tabla11[[#This Row],[Cuenta]],1))</f>
        <v>1</v>
      </c>
      <c r="Q663" t="b">
        <f>+ISNUMBER(SEARCH('F-COMPRA'!$F$33,Tabla11[[#This Row],[Cuenta]],1))</f>
        <v>1</v>
      </c>
      <c r="R663" t="b">
        <f>+ISNUMBER(SEARCH('F-COMPRA'!$F$34,Tabla11[[#This Row],[Cuenta]],1))</f>
        <v>1</v>
      </c>
      <c r="S663" t="b">
        <f>+ISNUMBER(SEARCH('F-COMPRA'!$F$35,Tabla11[[#This Row],[Cuenta]],1))</f>
        <v>1</v>
      </c>
      <c r="T663" t="b">
        <f>+ISNUMBER(SEARCH('F-COMPRA'!$F$36,Tabla11[[#This Row],[Cuenta]],1))</f>
        <v>1</v>
      </c>
      <c r="U663" t="b">
        <f>+ISNUMBER(SEARCH('F-COMPRA'!$F$37,Tabla11[[#This Row],[Cuenta]],1))</f>
        <v>1</v>
      </c>
      <c r="V663" t="b">
        <f>+ISNUMBER(SEARCH(#REF!,Tabla11[[#This Row],[Cuenta]],1))</f>
        <v>0</v>
      </c>
      <c r="W663" t="b">
        <f>+ISNUMBER(SEARCH('F-COMPRA'!#REF!,Tabla11[[#This Row],[Cuenta]],1))</f>
        <v>0</v>
      </c>
      <c r="X663" t="b">
        <f>+ISNUMBER(SEARCH('F-COMPRA'!#REF!,Tabla11[[#This Row],[Cuenta]],1))</f>
        <v>0</v>
      </c>
      <c r="Y663" t="b">
        <f>+ISNUMBER(SEARCH('F-COMPRA'!#REF!,Tabla11[[#This Row],[Cuenta]],1))</f>
        <v>0</v>
      </c>
      <c r="Z663" t="b">
        <f>+ISNUMBER(SEARCH('F-COMPRA'!#REF!,Tabla11[[#This Row],[Cuenta]],1))</f>
        <v>0</v>
      </c>
      <c r="AA663" t="b">
        <f>+ISNUMBER(SEARCH('F-COMPRA'!#REF!,Tabla11[[#This Row],[Cuenta]],1))</f>
        <v>0</v>
      </c>
      <c r="AB663" t="b">
        <f>+ISNUMBER(SEARCH('F-COMPRA'!#REF!,Tabla11[[#This Row],[Cuenta]],1))</f>
        <v>0</v>
      </c>
      <c r="AC663" t="b">
        <f>+ISNUMBER(SEARCH('F-COMPRA'!#REF!,Tabla11[[#This Row],[Cuenta]],1))</f>
        <v>0</v>
      </c>
      <c r="AD663" t="b">
        <f>+ISNUMBER(SEARCH('F-COMPRA'!#REF!,Tabla11[[#This Row],[Cuenta]],1))</f>
        <v>0</v>
      </c>
      <c r="AE663" t="b">
        <f>+ISNUMBER(SEARCH('F-COMPRA'!#REF!,Tabla11[[#This Row],[Cuenta]],1))</f>
        <v>0</v>
      </c>
      <c r="AF663" t="b">
        <f>+ISNUMBER(SEARCH('F-VTA'!$G$23,Tabla11[[#This Row],[Cuenta]],1))</f>
        <v>0</v>
      </c>
      <c r="AG663" t="b">
        <f>+ISNUMBER(SEARCH('F-VTA'!$G$24,Tabla11[[#This Row],[Cuenta]],1))</f>
        <v>0</v>
      </c>
      <c r="AH663" t="b">
        <f>+ISNUMBER(SEARCH('F-VTA'!$G$25,Tabla11[[#This Row],[Cuenta]],1))</f>
        <v>0</v>
      </c>
      <c r="AI663" t="b">
        <f>+ISNUMBER(SEARCH('F-VTA'!$F$28,Tabla11[[#This Row],[Cuenta]],1))</f>
        <v>1</v>
      </c>
      <c r="AJ663" t="b">
        <f>+ISNUMBER(SEARCH('F-VTA'!$F$29,Tabla11[[#This Row],[Cuenta]],1))</f>
        <v>1</v>
      </c>
      <c r="AK663" t="b">
        <f>+ISNUMBER(SEARCH('F-VTA'!$F$30,Tabla11[[#This Row],[Cuenta]],1))</f>
        <v>1</v>
      </c>
      <c r="AL663" t="b">
        <f>+ISNUMBER(SEARCH('F-VTA'!$F$31,Tabla11[[#This Row],[Cuenta]],1))</f>
        <v>1</v>
      </c>
      <c r="AM663" t="b">
        <f>+ISNUMBER(SEARCH('F-VTA'!$F$32,Tabla11[[#This Row],[Cuenta]],1))</f>
        <v>1</v>
      </c>
      <c r="AN663" t="b">
        <f>+ISNUMBER(SEARCH('F-VTA'!$F$33,Tabla11[[#This Row],[Cuenta]],1))</f>
        <v>1</v>
      </c>
      <c r="AO663" t="b">
        <f>+ISNUMBER(SEARCH('F-VTA'!$F$34,Tabla11[[#This Row],[Cuenta]],1))</f>
        <v>1</v>
      </c>
      <c r="AP663" t="b">
        <f>+ISNUMBER(SEARCH('F-VTA'!$F$35,Tabla11[[#This Row],[Cuenta]],1))</f>
        <v>1</v>
      </c>
      <c r="AQ663" t="b">
        <f>+ISNUMBER(SEARCH('F-VTA'!$F$36,Tabla11[[#This Row],[Cuenta]],1))</f>
        <v>1</v>
      </c>
      <c r="AR663" t="b">
        <f>+ISNUMBER(SEARCH(#REF!,Tabla11[[#This Row],[Cuenta]],1))</f>
        <v>0</v>
      </c>
      <c r="AS663" t="b">
        <f>+ISNUMBER(SEARCH(#REF!,Tabla11[[#This Row],[Cuenta]],1))</f>
        <v>0</v>
      </c>
      <c r="AT663" t="b">
        <f>+ISNUMBER(SEARCH(#REF!,Tabla11[[#This Row],[Cuenta]],1))</f>
        <v>0</v>
      </c>
      <c r="AU663" t="b">
        <f>+ISNUMBER(SEARCH('Conc. Ban.1'!$I$9,Tabla11[[#This Row],[Cuenta]],1))</f>
        <v>0</v>
      </c>
      <c r="AV663" t="b">
        <f>+ISNUMBER(SEARCH(CompConta!$F$21,Tabla11[[#This Row],[Cuenta]],1))</f>
        <v>1</v>
      </c>
      <c r="AW663" t="b">
        <f>+ISNUMBER(SEARCH(CompConta!$F$22,Tabla11[[#This Row],[Cuenta]],1))</f>
        <v>1</v>
      </c>
      <c r="AX663" t="b">
        <f>+ISNUMBER(SEARCH(CompConta!$F$23,Tabla11[[#This Row],[Cuenta]],1))</f>
        <v>1</v>
      </c>
      <c r="AY663" t="b">
        <f>+ISNUMBER(SEARCH(CompConta!$F$24,Tabla11[[#This Row],[Cuenta]],1))</f>
        <v>1</v>
      </c>
      <c r="AZ663" t="b">
        <f>+ISNUMBER(SEARCH(CompConta!$F$25,Tabla11[[#This Row],[Cuenta]],1))</f>
        <v>1</v>
      </c>
      <c r="BA663" t="b">
        <f>+ISNUMBER(SEARCH(CompConta!$F$26,Tabla11[[#This Row],[Cuenta]],1))</f>
        <v>1</v>
      </c>
      <c r="BB663" t="b">
        <f>+ISNUMBER(SEARCH(CompConta!$F$27,Tabla11[[#This Row],[Cuenta]],1))</f>
        <v>1</v>
      </c>
      <c r="BC663" t="b">
        <f>+ISNUMBER(SEARCH(CompConta!$F$28,Tabla11[[#This Row],[Cuenta]],1))</f>
        <v>1</v>
      </c>
      <c r="BD663" t="b">
        <f>+ISNUMBER(SEARCH(CompConta!$F$29,Tabla11[[#This Row],[Cuenta]],1))</f>
        <v>1</v>
      </c>
      <c r="BE663" t="b">
        <f>+ISNUMBER(SEARCH(CompConta!$F$30,Tabla11[[#This Row],[Cuenta]],1))</f>
        <v>1</v>
      </c>
      <c r="BF663" t="b">
        <f>+ISNUMBER(SEARCH('PAGO Compras'!$E$11,Tabla11[[#This Row],[Cuenta]],1))</f>
        <v>1</v>
      </c>
      <c r="BG663" t="b">
        <f>+ISNUMBER(SEARCH(#REF!,Tabla11[[#This Row],[Cuenta]],1))</f>
        <v>0</v>
      </c>
      <c r="BH663" t="b">
        <f>+ISNUMBER(SEARCH(#REF!,Tabla11[[#This Row],[Cuenta]],1))</f>
        <v>0</v>
      </c>
      <c r="BI663" t="b">
        <f>+ISNUMBER(SEARCH(#REF!,Tabla11[[#This Row],[Cuenta]],1))</f>
        <v>0</v>
      </c>
      <c r="BJ663" t="b">
        <f>+ISNUMBER(SEARCH(#REF!,Tabla11[[#This Row],[Cuenta]],1))</f>
        <v>0</v>
      </c>
      <c r="BS663" t="str">
        <v>330505 Reserva legal</v>
      </c>
      <c r="BT663" t="str">
        <v>330505 Reserva legal</v>
      </c>
      <c r="BU663" t="str">
        <v>330505 Reserva legal</v>
      </c>
      <c r="BV663" t="str">
        <v>330505 Reserva legal</v>
      </c>
      <c r="BZ663" t="str">
        <v>330505 Reserva legal</v>
      </c>
      <c r="CA663" t="str">
        <v>330505 Reserva legal</v>
      </c>
      <c r="CB663" t="str">
        <v>330505 Reserva legal</v>
      </c>
      <c r="CC663" t="str">
        <v>330505 Reserva legal</v>
      </c>
      <c r="CD663" t="str">
        <v>330505 Reserva legal</v>
      </c>
      <c r="CE663" t="str">
        <v>330505 Reserva legal</v>
      </c>
      <c r="CS663" s="141" t="str">
        <v>330505 Reserva legal</v>
      </c>
      <c r="CT663" s="141" t="str">
        <v>330505 Reserva legal</v>
      </c>
      <c r="CU663" s="141" t="str">
        <v>330505 Reserva legal</v>
      </c>
      <c r="CV663" s="141" t="str">
        <v>330505 Reserva legal</v>
      </c>
      <c r="CW663" s="141" t="str">
        <v>330505 Reserva legal</v>
      </c>
      <c r="CX663" s="141" t="str">
        <v>330505 Reserva legal</v>
      </c>
      <c r="CY663" s="141" t="str">
        <v>330505 Reserva legal</v>
      </c>
      <c r="CZ663" s="141" t="str">
        <v>330505 Reserva legal</v>
      </c>
      <c r="DA663" s="141" t="str">
        <v>330505 Reserva legal</v>
      </c>
      <c r="DF663" t="str">
        <v>330505 Reserva legal</v>
      </c>
      <c r="DG663" t="str">
        <v>330505 Reserva legal</v>
      </c>
      <c r="DH663" t="str">
        <v>330505 Reserva legal</v>
      </c>
      <c r="DI663" t="str">
        <v>330505 Reserva legal</v>
      </c>
      <c r="DJ663" t="str">
        <v>330505 Reserva legal</v>
      </c>
      <c r="DK663" t="str">
        <v>330505 Reserva legal</v>
      </c>
      <c r="DL663" t="str">
        <v>330505 Reserva legal</v>
      </c>
      <c r="DM663" t="str">
        <v>330505 Reserva legal</v>
      </c>
      <c r="DN663" t="str">
        <v>330505 Reserva legal</v>
      </c>
      <c r="DO663" t="str">
        <v>330505 Reserva legal</v>
      </c>
      <c r="DP663" t="str">
        <v>330505 Reserva legal</v>
      </c>
    </row>
    <row r="664" spans="4:120" ht="12.75">
      <c r="D664" s="7">
        <v>330510</v>
      </c>
      <c r="E664" s="6" t="s">
        <v>494</v>
      </c>
      <c r="F664" s="5">
        <v>4</v>
      </c>
      <c r="G664" s="34" t="s">
        <v>827</v>
      </c>
      <c r="H664" s="8" t="s">
        <v>56</v>
      </c>
      <c r="I664" t="b">
        <f>+ISNUMBER(SEARCH('F-COMPRA'!$F$28,Tabla11[[#This Row],[Cuenta]],1))</f>
        <v>1</v>
      </c>
      <c r="J664" t="b">
        <f>+ISNUMBER(SEARCH('F-COMPRA'!$F$29,Tabla11[[#This Row],[Cuenta]],1))</f>
        <v>1</v>
      </c>
      <c r="K664" t="b">
        <f>+ISNUMBER(SEARCH('F-COMPRA'!$F$30,Tabla11[[#This Row],[Cuenta]],1))</f>
        <v>1</v>
      </c>
      <c r="L664" t="b">
        <f>+ISNUMBER(SEARCH('F-COMPRA'!$F$31,Tabla11[[#This Row],[Cuenta]],1))</f>
        <v>1</v>
      </c>
      <c r="M664" t="b">
        <f>+ISNUMBER(SEARCH('F-COMPRA'!$G$25,Tabla11[[#This Row],[Cuenta]],1))</f>
        <v>0</v>
      </c>
      <c r="N664" t="b">
        <f>+ISNUMBER(SEARCH(#REF!,Tabla11[[#This Row],[Cuenta]],1))</f>
        <v>0</v>
      </c>
      <c r="O664" t="b">
        <f>+ISNUMBER(SEARCH(#REF!,Tabla11[[#This Row],[Cuenta]],1))</f>
        <v>0</v>
      </c>
      <c r="P664" t="b">
        <f>+ISNUMBER(SEARCH('F-COMPRA'!$F$32,Tabla11[[#This Row],[Cuenta]],1))</f>
        <v>1</v>
      </c>
      <c r="Q664" t="b">
        <f>+ISNUMBER(SEARCH('F-COMPRA'!$F$33,Tabla11[[#This Row],[Cuenta]],1))</f>
        <v>1</v>
      </c>
      <c r="R664" t="b">
        <f>+ISNUMBER(SEARCH('F-COMPRA'!$F$34,Tabla11[[#This Row],[Cuenta]],1))</f>
        <v>1</v>
      </c>
      <c r="S664" t="b">
        <f>+ISNUMBER(SEARCH('F-COMPRA'!$F$35,Tabla11[[#This Row],[Cuenta]],1))</f>
        <v>1</v>
      </c>
      <c r="T664" t="b">
        <f>+ISNUMBER(SEARCH('F-COMPRA'!$F$36,Tabla11[[#This Row],[Cuenta]],1))</f>
        <v>1</v>
      </c>
      <c r="U664" t="b">
        <f>+ISNUMBER(SEARCH('F-COMPRA'!$F$37,Tabla11[[#This Row],[Cuenta]],1))</f>
        <v>1</v>
      </c>
      <c r="V664" t="b">
        <f>+ISNUMBER(SEARCH(#REF!,Tabla11[[#This Row],[Cuenta]],1))</f>
        <v>0</v>
      </c>
      <c r="W664" t="b">
        <f>+ISNUMBER(SEARCH('F-COMPRA'!#REF!,Tabla11[[#This Row],[Cuenta]],1))</f>
        <v>0</v>
      </c>
      <c r="X664" t="b">
        <f>+ISNUMBER(SEARCH('F-COMPRA'!#REF!,Tabla11[[#This Row],[Cuenta]],1))</f>
        <v>0</v>
      </c>
      <c r="Y664" t="b">
        <f>+ISNUMBER(SEARCH('F-COMPRA'!#REF!,Tabla11[[#This Row],[Cuenta]],1))</f>
        <v>0</v>
      </c>
      <c r="Z664" t="b">
        <f>+ISNUMBER(SEARCH('F-COMPRA'!#REF!,Tabla11[[#This Row],[Cuenta]],1))</f>
        <v>0</v>
      </c>
      <c r="AA664" t="b">
        <f>+ISNUMBER(SEARCH('F-COMPRA'!#REF!,Tabla11[[#This Row],[Cuenta]],1))</f>
        <v>0</v>
      </c>
      <c r="AB664" t="b">
        <f>+ISNUMBER(SEARCH('F-COMPRA'!#REF!,Tabla11[[#This Row],[Cuenta]],1))</f>
        <v>0</v>
      </c>
      <c r="AC664" t="b">
        <f>+ISNUMBER(SEARCH('F-COMPRA'!#REF!,Tabla11[[#This Row],[Cuenta]],1))</f>
        <v>0</v>
      </c>
      <c r="AD664" t="b">
        <f>+ISNUMBER(SEARCH('F-COMPRA'!#REF!,Tabla11[[#This Row],[Cuenta]],1))</f>
        <v>0</v>
      </c>
      <c r="AE664" t="b">
        <f>+ISNUMBER(SEARCH('F-COMPRA'!#REF!,Tabla11[[#This Row],[Cuenta]],1))</f>
        <v>0</v>
      </c>
      <c r="AF664" t="b">
        <f>+ISNUMBER(SEARCH('F-VTA'!$G$23,Tabla11[[#This Row],[Cuenta]],1))</f>
        <v>0</v>
      </c>
      <c r="AG664" t="b">
        <f>+ISNUMBER(SEARCH('F-VTA'!$G$24,Tabla11[[#This Row],[Cuenta]],1))</f>
        <v>0</v>
      </c>
      <c r="AH664" t="b">
        <f>+ISNUMBER(SEARCH('F-VTA'!$G$25,Tabla11[[#This Row],[Cuenta]],1))</f>
        <v>0</v>
      </c>
      <c r="AI664" t="b">
        <f>+ISNUMBER(SEARCH('F-VTA'!$F$28,Tabla11[[#This Row],[Cuenta]],1))</f>
        <v>1</v>
      </c>
      <c r="AJ664" t="b">
        <f>+ISNUMBER(SEARCH('F-VTA'!$F$29,Tabla11[[#This Row],[Cuenta]],1))</f>
        <v>1</v>
      </c>
      <c r="AK664" t="b">
        <f>+ISNUMBER(SEARCH('F-VTA'!$F$30,Tabla11[[#This Row],[Cuenta]],1))</f>
        <v>1</v>
      </c>
      <c r="AL664" t="b">
        <f>+ISNUMBER(SEARCH('F-VTA'!$F$31,Tabla11[[#This Row],[Cuenta]],1))</f>
        <v>1</v>
      </c>
      <c r="AM664" t="b">
        <f>+ISNUMBER(SEARCH('F-VTA'!$F$32,Tabla11[[#This Row],[Cuenta]],1))</f>
        <v>1</v>
      </c>
      <c r="AN664" t="b">
        <f>+ISNUMBER(SEARCH('F-VTA'!$F$33,Tabla11[[#This Row],[Cuenta]],1))</f>
        <v>1</v>
      </c>
      <c r="AO664" t="b">
        <f>+ISNUMBER(SEARCH('F-VTA'!$F$34,Tabla11[[#This Row],[Cuenta]],1))</f>
        <v>1</v>
      </c>
      <c r="AP664" t="b">
        <f>+ISNUMBER(SEARCH('F-VTA'!$F$35,Tabla11[[#This Row],[Cuenta]],1))</f>
        <v>1</v>
      </c>
      <c r="AQ664" t="b">
        <f>+ISNUMBER(SEARCH('F-VTA'!$F$36,Tabla11[[#This Row],[Cuenta]],1))</f>
        <v>1</v>
      </c>
      <c r="AR664" t="b">
        <f>+ISNUMBER(SEARCH(#REF!,Tabla11[[#This Row],[Cuenta]],1))</f>
        <v>0</v>
      </c>
      <c r="AS664" t="b">
        <f>+ISNUMBER(SEARCH(#REF!,Tabla11[[#This Row],[Cuenta]],1))</f>
        <v>0</v>
      </c>
      <c r="AT664" t="b">
        <f>+ISNUMBER(SEARCH(#REF!,Tabla11[[#This Row],[Cuenta]],1))</f>
        <v>0</v>
      </c>
      <c r="AU664" t="b">
        <f>+ISNUMBER(SEARCH('Conc. Ban.1'!$I$9,Tabla11[[#This Row],[Cuenta]],1))</f>
        <v>0</v>
      </c>
      <c r="AV664" t="b">
        <f>+ISNUMBER(SEARCH(CompConta!$F$21,Tabla11[[#This Row],[Cuenta]],1))</f>
        <v>1</v>
      </c>
      <c r="AW664" t="b">
        <f>+ISNUMBER(SEARCH(CompConta!$F$22,Tabla11[[#This Row],[Cuenta]],1))</f>
        <v>1</v>
      </c>
      <c r="AX664" t="b">
        <f>+ISNUMBER(SEARCH(CompConta!$F$23,Tabla11[[#This Row],[Cuenta]],1))</f>
        <v>1</v>
      </c>
      <c r="AY664" t="b">
        <f>+ISNUMBER(SEARCH(CompConta!$F$24,Tabla11[[#This Row],[Cuenta]],1))</f>
        <v>1</v>
      </c>
      <c r="AZ664" t="b">
        <f>+ISNUMBER(SEARCH(CompConta!$F$25,Tabla11[[#This Row],[Cuenta]],1))</f>
        <v>1</v>
      </c>
      <c r="BA664" t="b">
        <f>+ISNUMBER(SEARCH(CompConta!$F$26,Tabla11[[#This Row],[Cuenta]],1))</f>
        <v>1</v>
      </c>
      <c r="BB664" t="b">
        <f>+ISNUMBER(SEARCH(CompConta!$F$27,Tabla11[[#This Row],[Cuenta]],1))</f>
        <v>1</v>
      </c>
      <c r="BC664" t="b">
        <f>+ISNUMBER(SEARCH(CompConta!$F$28,Tabla11[[#This Row],[Cuenta]],1))</f>
        <v>1</v>
      </c>
      <c r="BD664" t="b">
        <f>+ISNUMBER(SEARCH(CompConta!$F$29,Tabla11[[#This Row],[Cuenta]],1))</f>
        <v>1</v>
      </c>
      <c r="BE664" t="b">
        <f>+ISNUMBER(SEARCH(CompConta!$F$30,Tabla11[[#This Row],[Cuenta]],1))</f>
        <v>1</v>
      </c>
      <c r="BF664" t="b">
        <f>+ISNUMBER(SEARCH('PAGO Compras'!$E$11,Tabla11[[#This Row],[Cuenta]],1))</f>
        <v>1</v>
      </c>
      <c r="BG664" t="b">
        <f>+ISNUMBER(SEARCH(#REF!,Tabla11[[#This Row],[Cuenta]],1))</f>
        <v>0</v>
      </c>
      <c r="BH664" t="b">
        <f>+ISNUMBER(SEARCH(#REF!,Tabla11[[#This Row],[Cuenta]],1))</f>
        <v>0</v>
      </c>
      <c r="BI664" t="b">
        <f>+ISNUMBER(SEARCH(#REF!,Tabla11[[#This Row],[Cuenta]],1))</f>
        <v>0</v>
      </c>
      <c r="BJ664" t="b">
        <f>+ISNUMBER(SEARCH(#REF!,Tabla11[[#This Row],[Cuenta]],1))</f>
        <v>0</v>
      </c>
      <c r="BS664" t="str">
        <v>330510 Reserva por disposiciones fiscales</v>
      </c>
      <c r="BT664" t="str">
        <v>330510 Reserva por disposiciones fiscales</v>
      </c>
      <c r="BU664" t="str">
        <v>330510 Reserva por disposiciones fiscales</v>
      </c>
      <c r="BV664" t="str">
        <v>330510 Reserva por disposiciones fiscales</v>
      </c>
      <c r="BZ664" t="str">
        <v>330510 Reserva por disposiciones fiscales</v>
      </c>
      <c r="CA664" t="str">
        <v>330510 Reserva por disposiciones fiscales</v>
      </c>
      <c r="CB664" t="str">
        <v>330510 Reserva por disposiciones fiscales</v>
      </c>
      <c r="CC664" t="str">
        <v>330510 Reserva por disposiciones fiscales</v>
      </c>
      <c r="CD664" t="str">
        <v>330510 Reserva por disposiciones fiscales</v>
      </c>
      <c r="CE664" t="str">
        <v>330510 Reserva por disposiciones fiscales</v>
      </c>
      <c r="CS664" s="141" t="str">
        <v>330510 Reserva por disposiciones fiscales</v>
      </c>
      <c r="CT664" s="141" t="str">
        <v>330510 Reserva por disposiciones fiscales</v>
      </c>
      <c r="CU664" s="141" t="str">
        <v>330510 Reserva por disposiciones fiscales</v>
      </c>
      <c r="CV664" s="141" t="str">
        <v>330510 Reserva por disposiciones fiscales</v>
      </c>
      <c r="CW664" s="141" t="str">
        <v>330510 Reserva por disposiciones fiscales</v>
      </c>
      <c r="CX664" s="141" t="str">
        <v>330510 Reserva por disposiciones fiscales</v>
      </c>
      <c r="CY664" s="141" t="str">
        <v>330510 Reserva por disposiciones fiscales</v>
      </c>
      <c r="CZ664" s="141" t="str">
        <v>330510 Reserva por disposiciones fiscales</v>
      </c>
      <c r="DA664" s="141" t="str">
        <v>330510 Reserva por disposiciones fiscales</v>
      </c>
      <c r="DF664" t="str">
        <v>330510 Reserva por disposiciones fiscales</v>
      </c>
      <c r="DG664" t="str">
        <v>330510 Reserva por disposiciones fiscales</v>
      </c>
      <c r="DH664" t="str">
        <v>330510 Reserva por disposiciones fiscales</v>
      </c>
      <c r="DI664" t="str">
        <v>330510 Reserva por disposiciones fiscales</v>
      </c>
      <c r="DJ664" t="str">
        <v>330510 Reserva por disposiciones fiscales</v>
      </c>
      <c r="DK664" t="str">
        <v>330510 Reserva por disposiciones fiscales</v>
      </c>
      <c r="DL664" t="str">
        <v>330510 Reserva por disposiciones fiscales</v>
      </c>
      <c r="DM664" t="str">
        <v>330510 Reserva por disposiciones fiscales</v>
      </c>
      <c r="DN664" t="str">
        <v>330510 Reserva por disposiciones fiscales</v>
      </c>
      <c r="DO664" t="str">
        <v>330510 Reserva por disposiciones fiscales</v>
      </c>
      <c r="DP664" t="str">
        <v>330510 Reserva por disposiciones fiscales</v>
      </c>
    </row>
    <row r="665" spans="4:120" ht="12.75">
      <c r="D665" s="7">
        <v>330515</v>
      </c>
      <c r="E665" s="6" t="s">
        <v>495</v>
      </c>
      <c r="F665" s="5">
        <v>4</v>
      </c>
      <c r="G665" s="34" t="s">
        <v>827</v>
      </c>
      <c r="H665" s="8" t="s">
        <v>56</v>
      </c>
      <c r="I665" t="b">
        <f>+ISNUMBER(SEARCH('F-COMPRA'!$F$28,Tabla11[[#This Row],[Cuenta]],1))</f>
        <v>1</v>
      </c>
      <c r="J665" t="b">
        <f>+ISNUMBER(SEARCH('F-COMPRA'!$F$29,Tabla11[[#This Row],[Cuenta]],1))</f>
        <v>1</v>
      </c>
      <c r="K665" t="b">
        <f>+ISNUMBER(SEARCH('F-COMPRA'!$F$30,Tabla11[[#This Row],[Cuenta]],1))</f>
        <v>1</v>
      </c>
      <c r="L665" t="b">
        <f>+ISNUMBER(SEARCH('F-COMPRA'!$F$31,Tabla11[[#This Row],[Cuenta]],1))</f>
        <v>1</v>
      </c>
      <c r="M665" t="b">
        <f>+ISNUMBER(SEARCH('F-COMPRA'!$G$25,Tabla11[[#This Row],[Cuenta]],1))</f>
        <v>0</v>
      </c>
      <c r="N665" t="b">
        <f>+ISNUMBER(SEARCH(#REF!,Tabla11[[#This Row],[Cuenta]],1))</f>
        <v>0</v>
      </c>
      <c r="O665" t="b">
        <f>+ISNUMBER(SEARCH(#REF!,Tabla11[[#This Row],[Cuenta]],1))</f>
        <v>0</v>
      </c>
      <c r="P665" t="b">
        <f>+ISNUMBER(SEARCH('F-COMPRA'!$F$32,Tabla11[[#This Row],[Cuenta]],1))</f>
        <v>1</v>
      </c>
      <c r="Q665" t="b">
        <f>+ISNUMBER(SEARCH('F-COMPRA'!$F$33,Tabla11[[#This Row],[Cuenta]],1))</f>
        <v>1</v>
      </c>
      <c r="R665" t="b">
        <f>+ISNUMBER(SEARCH('F-COMPRA'!$F$34,Tabla11[[#This Row],[Cuenta]],1))</f>
        <v>1</v>
      </c>
      <c r="S665" t="b">
        <f>+ISNUMBER(SEARCH('F-COMPRA'!$F$35,Tabla11[[#This Row],[Cuenta]],1))</f>
        <v>1</v>
      </c>
      <c r="T665" t="b">
        <f>+ISNUMBER(SEARCH('F-COMPRA'!$F$36,Tabla11[[#This Row],[Cuenta]],1))</f>
        <v>1</v>
      </c>
      <c r="U665" t="b">
        <f>+ISNUMBER(SEARCH('F-COMPRA'!$F$37,Tabla11[[#This Row],[Cuenta]],1))</f>
        <v>1</v>
      </c>
      <c r="V665" t="b">
        <f>+ISNUMBER(SEARCH(#REF!,Tabla11[[#This Row],[Cuenta]],1))</f>
        <v>0</v>
      </c>
      <c r="W665" t="b">
        <f>+ISNUMBER(SEARCH('F-COMPRA'!#REF!,Tabla11[[#This Row],[Cuenta]],1))</f>
        <v>0</v>
      </c>
      <c r="X665" t="b">
        <f>+ISNUMBER(SEARCH('F-COMPRA'!#REF!,Tabla11[[#This Row],[Cuenta]],1))</f>
        <v>0</v>
      </c>
      <c r="Y665" t="b">
        <f>+ISNUMBER(SEARCH('F-COMPRA'!#REF!,Tabla11[[#This Row],[Cuenta]],1))</f>
        <v>0</v>
      </c>
      <c r="Z665" t="b">
        <f>+ISNUMBER(SEARCH('F-COMPRA'!#REF!,Tabla11[[#This Row],[Cuenta]],1))</f>
        <v>0</v>
      </c>
      <c r="AA665" t="b">
        <f>+ISNUMBER(SEARCH('F-COMPRA'!#REF!,Tabla11[[#This Row],[Cuenta]],1))</f>
        <v>0</v>
      </c>
      <c r="AB665" t="b">
        <f>+ISNUMBER(SEARCH('F-COMPRA'!#REF!,Tabla11[[#This Row],[Cuenta]],1))</f>
        <v>0</v>
      </c>
      <c r="AC665" t="b">
        <f>+ISNUMBER(SEARCH('F-COMPRA'!#REF!,Tabla11[[#This Row],[Cuenta]],1))</f>
        <v>0</v>
      </c>
      <c r="AD665" t="b">
        <f>+ISNUMBER(SEARCH('F-COMPRA'!#REF!,Tabla11[[#This Row],[Cuenta]],1))</f>
        <v>0</v>
      </c>
      <c r="AE665" t="b">
        <f>+ISNUMBER(SEARCH('F-COMPRA'!#REF!,Tabla11[[#This Row],[Cuenta]],1))</f>
        <v>0</v>
      </c>
      <c r="AF665" t="b">
        <f>+ISNUMBER(SEARCH('F-VTA'!$G$23,Tabla11[[#This Row],[Cuenta]],1))</f>
        <v>0</v>
      </c>
      <c r="AG665" t="b">
        <f>+ISNUMBER(SEARCH('F-VTA'!$G$24,Tabla11[[#This Row],[Cuenta]],1))</f>
        <v>0</v>
      </c>
      <c r="AH665" t="b">
        <f>+ISNUMBER(SEARCH('F-VTA'!$G$25,Tabla11[[#This Row],[Cuenta]],1))</f>
        <v>0</v>
      </c>
      <c r="AI665" t="b">
        <f>+ISNUMBER(SEARCH('F-VTA'!$F$28,Tabla11[[#This Row],[Cuenta]],1))</f>
        <v>1</v>
      </c>
      <c r="AJ665" t="b">
        <f>+ISNUMBER(SEARCH('F-VTA'!$F$29,Tabla11[[#This Row],[Cuenta]],1))</f>
        <v>1</v>
      </c>
      <c r="AK665" t="b">
        <f>+ISNUMBER(SEARCH('F-VTA'!$F$30,Tabla11[[#This Row],[Cuenta]],1))</f>
        <v>1</v>
      </c>
      <c r="AL665" t="b">
        <f>+ISNUMBER(SEARCH('F-VTA'!$F$31,Tabla11[[#This Row],[Cuenta]],1))</f>
        <v>1</v>
      </c>
      <c r="AM665" t="b">
        <f>+ISNUMBER(SEARCH('F-VTA'!$F$32,Tabla11[[#This Row],[Cuenta]],1))</f>
        <v>1</v>
      </c>
      <c r="AN665" t="b">
        <f>+ISNUMBER(SEARCH('F-VTA'!$F$33,Tabla11[[#This Row],[Cuenta]],1))</f>
        <v>1</v>
      </c>
      <c r="AO665" t="b">
        <f>+ISNUMBER(SEARCH('F-VTA'!$F$34,Tabla11[[#This Row],[Cuenta]],1))</f>
        <v>1</v>
      </c>
      <c r="AP665" t="b">
        <f>+ISNUMBER(SEARCH('F-VTA'!$F$35,Tabla11[[#This Row],[Cuenta]],1))</f>
        <v>1</v>
      </c>
      <c r="AQ665" t="b">
        <f>+ISNUMBER(SEARCH('F-VTA'!$F$36,Tabla11[[#This Row],[Cuenta]],1))</f>
        <v>1</v>
      </c>
      <c r="AR665" t="b">
        <f>+ISNUMBER(SEARCH(#REF!,Tabla11[[#This Row],[Cuenta]],1))</f>
        <v>0</v>
      </c>
      <c r="AS665" t="b">
        <f>+ISNUMBER(SEARCH(#REF!,Tabla11[[#This Row],[Cuenta]],1))</f>
        <v>0</v>
      </c>
      <c r="AT665" t="b">
        <f>+ISNUMBER(SEARCH(#REF!,Tabla11[[#This Row],[Cuenta]],1))</f>
        <v>0</v>
      </c>
      <c r="AU665" t="b">
        <f>+ISNUMBER(SEARCH('Conc. Ban.1'!$I$9,Tabla11[[#This Row],[Cuenta]],1))</f>
        <v>0</v>
      </c>
      <c r="AV665" t="b">
        <f>+ISNUMBER(SEARCH(CompConta!$F$21,Tabla11[[#This Row],[Cuenta]],1))</f>
        <v>1</v>
      </c>
      <c r="AW665" t="b">
        <f>+ISNUMBER(SEARCH(CompConta!$F$22,Tabla11[[#This Row],[Cuenta]],1))</f>
        <v>1</v>
      </c>
      <c r="AX665" t="b">
        <f>+ISNUMBER(SEARCH(CompConta!$F$23,Tabla11[[#This Row],[Cuenta]],1))</f>
        <v>1</v>
      </c>
      <c r="AY665" t="b">
        <f>+ISNUMBER(SEARCH(CompConta!$F$24,Tabla11[[#This Row],[Cuenta]],1))</f>
        <v>1</v>
      </c>
      <c r="AZ665" t="b">
        <f>+ISNUMBER(SEARCH(CompConta!$F$25,Tabla11[[#This Row],[Cuenta]],1))</f>
        <v>1</v>
      </c>
      <c r="BA665" t="b">
        <f>+ISNUMBER(SEARCH(CompConta!$F$26,Tabla11[[#This Row],[Cuenta]],1))</f>
        <v>1</v>
      </c>
      <c r="BB665" t="b">
        <f>+ISNUMBER(SEARCH(CompConta!$F$27,Tabla11[[#This Row],[Cuenta]],1))</f>
        <v>1</v>
      </c>
      <c r="BC665" t="b">
        <f>+ISNUMBER(SEARCH(CompConta!$F$28,Tabla11[[#This Row],[Cuenta]],1))</f>
        <v>1</v>
      </c>
      <c r="BD665" t="b">
        <f>+ISNUMBER(SEARCH(CompConta!$F$29,Tabla11[[#This Row],[Cuenta]],1))</f>
        <v>1</v>
      </c>
      <c r="BE665" t="b">
        <f>+ISNUMBER(SEARCH(CompConta!$F$30,Tabla11[[#This Row],[Cuenta]],1))</f>
        <v>1</v>
      </c>
      <c r="BF665" t="b">
        <f>+ISNUMBER(SEARCH('PAGO Compras'!$E$11,Tabla11[[#This Row],[Cuenta]],1))</f>
        <v>1</v>
      </c>
      <c r="BG665" t="b">
        <f>+ISNUMBER(SEARCH(#REF!,Tabla11[[#This Row],[Cuenta]],1))</f>
        <v>0</v>
      </c>
      <c r="BH665" t="b">
        <f>+ISNUMBER(SEARCH(#REF!,Tabla11[[#This Row],[Cuenta]],1))</f>
        <v>0</v>
      </c>
      <c r="BI665" t="b">
        <f>+ISNUMBER(SEARCH(#REF!,Tabla11[[#This Row],[Cuenta]],1))</f>
        <v>0</v>
      </c>
      <c r="BJ665" t="b">
        <f>+ISNUMBER(SEARCH(#REF!,Tabla11[[#This Row],[Cuenta]],1))</f>
        <v>0</v>
      </c>
      <c r="BS665" t="str">
        <v>330515 Reserva para readquisición de acciones</v>
      </c>
      <c r="BT665" t="str">
        <v>330515 Reserva para readquisición de acciones</v>
      </c>
      <c r="BU665" t="str">
        <v>330515 Reserva para readquisición de acciones</v>
      </c>
      <c r="BV665" t="str">
        <v>330515 Reserva para readquisición de acciones</v>
      </c>
      <c r="BZ665" t="str">
        <v>330515 Reserva para readquisición de acciones</v>
      </c>
      <c r="CA665" t="str">
        <v>330515 Reserva para readquisición de acciones</v>
      </c>
      <c r="CB665" t="str">
        <v>330515 Reserva para readquisición de acciones</v>
      </c>
      <c r="CC665" t="str">
        <v>330515 Reserva para readquisición de acciones</v>
      </c>
      <c r="CD665" t="str">
        <v>330515 Reserva para readquisición de acciones</v>
      </c>
      <c r="CE665" t="str">
        <v>330515 Reserva para readquisición de acciones</v>
      </c>
      <c r="CS665" s="141" t="str">
        <v>330515 Reserva para readquisición de acciones</v>
      </c>
      <c r="CT665" s="141" t="str">
        <v>330515 Reserva para readquisición de acciones</v>
      </c>
      <c r="CU665" s="141" t="str">
        <v>330515 Reserva para readquisición de acciones</v>
      </c>
      <c r="CV665" s="141" t="str">
        <v>330515 Reserva para readquisición de acciones</v>
      </c>
      <c r="CW665" s="141" t="str">
        <v>330515 Reserva para readquisición de acciones</v>
      </c>
      <c r="CX665" s="141" t="str">
        <v>330515 Reserva para readquisición de acciones</v>
      </c>
      <c r="CY665" s="141" t="str">
        <v>330515 Reserva para readquisición de acciones</v>
      </c>
      <c r="CZ665" s="141" t="str">
        <v>330515 Reserva para readquisición de acciones</v>
      </c>
      <c r="DA665" s="141" t="str">
        <v>330515 Reserva para readquisición de acciones</v>
      </c>
      <c r="DF665" t="str">
        <v>330515 Reserva para readquisición de acciones</v>
      </c>
      <c r="DG665" t="str">
        <v>330515 Reserva para readquisición de acciones</v>
      </c>
      <c r="DH665" t="str">
        <v>330515 Reserva para readquisición de acciones</v>
      </c>
      <c r="DI665" t="str">
        <v>330515 Reserva para readquisición de acciones</v>
      </c>
      <c r="DJ665" t="str">
        <v>330515 Reserva para readquisición de acciones</v>
      </c>
      <c r="DK665" t="str">
        <v>330515 Reserva para readquisición de acciones</v>
      </c>
      <c r="DL665" t="str">
        <v>330515 Reserva para readquisición de acciones</v>
      </c>
      <c r="DM665" t="str">
        <v>330515 Reserva para readquisición de acciones</v>
      </c>
      <c r="DN665" t="str">
        <v>330515 Reserva para readquisición de acciones</v>
      </c>
      <c r="DO665" t="str">
        <v>330515 Reserva para readquisición de acciones</v>
      </c>
      <c r="DP665" t="str">
        <v>330515 Reserva para readquisición de acciones</v>
      </c>
    </row>
    <row r="666" spans="4:120" ht="12.75">
      <c r="D666" s="7">
        <v>330516</v>
      </c>
      <c r="E666" s="6" t="s">
        <v>496</v>
      </c>
      <c r="F666" s="5">
        <v>4</v>
      </c>
      <c r="G666" s="34" t="s">
        <v>827</v>
      </c>
      <c r="H666" s="8" t="s">
        <v>32</v>
      </c>
      <c r="I666" t="b">
        <f>+ISNUMBER(SEARCH('F-COMPRA'!$F$28,Tabla11[[#This Row],[Cuenta]],1))</f>
        <v>1</v>
      </c>
      <c r="J666" t="b">
        <f>+ISNUMBER(SEARCH('F-COMPRA'!$F$29,Tabla11[[#This Row],[Cuenta]],1))</f>
        <v>1</v>
      </c>
      <c r="K666" t="b">
        <f>+ISNUMBER(SEARCH('F-COMPRA'!$F$30,Tabla11[[#This Row],[Cuenta]],1))</f>
        <v>1</v>
      </c>
      <c r="L666" t="b">
        <f>+ISNUMBER(SEARCH('F-COMPRA'!$F$31,Tabla11[[#This Row],[Cuenta]],1))</f>
        <v>1</v>
      </c>
      <c r="M666" t="b">
        <f>+ISNUMBER(SEARCH('F-COMPRA'!$G$25,Tabla11[[#This Row],[Cuenta]],1))</f>
        <v>0</v>
      </c>
      <c r="N666" t="b">
        <f>+ISNUMBER(SEARCH(#REF!,Tabla11[[#This Row],[Cuenta]],1))</f>
        <v>0</v>
      </c>
      <c r="O666" t="b">
        <f>+ISNUMBER(SEARCH(#REF!,Tabla11[[#This Row],[Cuenta]],1))</f>
        <v>0</v>
      </c>
      <c r="P666" t="b">
        <f>+ISNUMBER(SEARCH('F-COMPRA'!$F$32,Tabla11[[#This Row],[Cuenta]],1))</f>
        <v>1</v>
      </c>
      <c r="Q666" t="b">
        <f>+ISNUMBER(SEARCH('F-COMPRA'!$F$33,Tabla11[[#This Row],[Cuenta]],1))</f>
        <v>1</v>
      </c>
      <c r="R666" t="b">
        <f>+ISNUMBER(SEARCH('F-COMPRA'!$F$34,Tabla11[[#This Row],[Cuenta]],1))</f>
        <v>1</v>
      </c>
      <c r="S666" t="b">
        <f>+ISNUMBER(SEARCH('F-COMPRA'!$F$35,Tabla11[[#This Row],[Cuenta]],1))</f>
        <v>1</v>
      </c>
      <c r="T666" t="b">
        <f>+ISNUMBER(SEARCH('F-COMPRA'!$F$36,Tabla11[[#This Row],[Cuenta]],1))</f>
        <v>1</v>
      </c>
      <c r="U666" t="b">
        <f>+ISNUMBER(SEARCH('F-COMPRA'!$F$37,Tabla11[[#This Row],[Cuenta]],1))</f>
        <v>1</v>
      </c>
      <c r="V666" t="b">
        <f>+ISNUMBER(SEARCH(#REF!,Tabla11[[#This Row],[Cuenta]],1))</f>
        <v>0</v>
      </c>
      <c r="W666" t="b">
        <f>+ISNUMBER(SEARCH('F-COMPRA'!#REF!,Tabla11[[#This Row],[Cuenta]],1))</f>
        <v>0</v>
      </c>
      <c r="X666" t="b">
        <f>+ISNUMBER(SEARCH('F-COMPRA'!#REF!,Tabla11[[#This Row],[Cuenta]],1))</f>
        <v>0</v>
      </c>
      <c r="Y666" t="b">
        <f>+ISNUMBER(SEARCH('F-COMPRA'!#REF!,Tabla11[[#This Row],[Cuenta]],1))</f>
        <v>0</v>
      </c>
      <c r="Z666" t="b">
        <f>+ISNUMBER(SEARCH('F-COMPRA'!#REF!,Tabla11[[#This Row],[Cuenta]],1))</f>
        <v>0</v>
      </c>
      <c r="AA666" t="b">
        <f>+ISNUMBER(SEARCH('F-COMPRA'!#REF!,Tabla11[[#This Row],[Cuenta]],1))</f>
        <v>0</v>
      </c>
      <c r="AB666" t="b">
        <f>+ISNUMBER(SEARCH('F-COMPRA'!#REF!,Tabla11[[#This Row],[Cuenta]],1))</f>
        <v>0</v>
      </c>
      <c r="AC666" t="b">
        <f>+ISNUMBER(SEARCH('F-COMPRA'!#REF!,Tabla11[[#This Row],[Cuenta]],1))</f>
        <v>0</v>
      </c>
      <c r="AD666" t="b">
        <f>+ISNUMBER(SEARCH('F-COMPRA'!#REF!,Tabla11[[#This Row],[Cuenta]],1))</f>
        <v>0</v>
      </c>
      <c r="AE666" t="b">
        <f>+ISNUMBER(SEARCH('F-COMPRA'!#REF!,Tabla11[[#This Row],[Cuenta]],1))</f>
        <v>0</v>
      </c>
      <c r="AF666" t="b">
        <f>+ISNUMBER(SEARCH('F-VTA'!$G$23,Tabla11[[#This Row],[Cuenta]],1))</f>
        <v>0</v>
      </c>
      <c r="AG666" t="b">
        <f>+ISNUMBER(SEARCH('F-VTA'!$G$24,Tabla11[[#This Row],[Cuenta]],1))</f>
        <v>0</v>
      </c>
      <c r="AH666" t="b">
        <f>+ISNUMBER(SEARCH('F-VTA'!$G$25,Tabla11[[#This Row],[Cuenta]],1))</f>
        <v>0</v>
      </c>
      <c r="AI666" t="b">
        <f>+ISNUMBER(SEARCH('F-VTA'!$F$28,Tabla11[[#This Row],[Cuenta]],1))</f>
        <v>1</v>
      </c>
      <c r="AJ666" t="b">
        <f>+ISNUMBER(SEARCH('F-VTA'!$F$29,Tabla11[[#This Row],[Cuenta]],1))</f>
        <v>1</v>
      </c>
      <c r="AK666" t="b">
        <f>+ISNUMBER(SEARCH('F-VTA'!$F$30,Tabla11[[#This Row],[Cuenta]],1))</f>
        <v>1</v>
      </c>
      <c r="AL666" t="b">
        <f>+ISNUMBER(SEARCH('F-VTA'!$F$31,Tabla11[[#This Row],[Cuenta]],1))</f>
        <v>1</v>
      </c>
      <c r="AM666" t="b">
        <f>+ISNUMBER(SEARCH('F-VTA'!$F$32,Tabla11[[#This Row],[Cuenta]],1))</f>
        <v>1</v>
      </c>
      <c r="AN666" t="b">
        <f>+ISNUMBER(SEARCH('F-VTA'!$F$33,Tabla11[[#This Row],[Cuenta]],1))</f>
        <v>1</v>
      </c>
      <c r="AO666" t="b">
        <f>+ISNUMBER(SEARCH('F-VTA'!$F$34,Tabla11[[#This Row],[Cuenta]],1))</f>
        <v>1</v>
      </c>
      <c r="AP666" t="b">
        <f>+ISNUMBER(SEARCH('F-VTA'!$F$35,Tabla11[[#This Row],[Cuenta]],1))</f>
        <v>1</v>
      </c>
      <c r="AQ666" t="b">
        <f>+ISNUMBER(SEARCH('F-VTA'!$F$36,Tabla11[[#This Row],[Cuenta]],1))</f>
        <v>1</v>
      </c>
      <c r="AR666" t="b">
        <f>+ISNUMBER(SEARCH(#REF!,Tabla11[[#This Row],[Cuenta]],1))</f>
        <v>0</v>
      </c>
      <c r="AS666" t="b">
        <f>+ISNUMBER(SEARCH(#REF!,Tabla11[[#This Row],[Cuenta]],1))</f>
        <v>0</v>
      </c>
      <c r="AT666" t="b">
        <f>+ISNUMBER(SEARCH(#REF!,Tabla11[[#This Row],[Cuenta]],1))</f>
        <v>0</v>
      </c>
      <c r="AU666" t="b">
        <f>+ISNUMBER(SEARCH('Conc. Ban.1'!$I$9,Tabla11[[#This Row],[Cuenta]],1))</f>
        <v>0</v>
      </c>
      <c r="AV666" t="b">
        <f>+ISNUMBER(SEARCH(CompConta!$F$21,Tabla11[[#This Row],[Cuenta]],1))</f>
        <v>1</v>
      </c>
      <c r="AW666" t="b">
        <f>+ISNUMBER(SEARCH(CompConta!$F$22,Tabla11[[#This Row],[Cuenta]],1))</f>
        <v>1</v>
      </c>
      <c r="AX666" t="b">
        <f>+ISNUMBER(SEARCH(CompConta!$F$23,Tabla11[[#This Row],[Cuenta]],1))</f>
        <v>1</v>
      </c>
      <c r="AY666" t="b">
        <f>+ISNUMBER(SEARCH(CompConta!$F$24,Tabla11[[#This Row],[Cuenta]],1))</f>
        <v>1</v>
      </c>
      <c r="AZ666" t="b">
        <f>+ISNUMBER(SEARCH(CompConta!$F$25,Tabla11[[#This Row],[Cuenta]],1))</f>
        <v>1</v>
      </c>
      <c r="BA666" t="b">
        <f>+ISNUMBER(SEARCH(CompConta!$F$26,Tabla11[[#This Row],[Cuenta]],1))</f>
        <v>1</v>
      </c>
      <c r="BB666" t="b">
        <f>+ISNUMBER(SEARCH(CompConta!$F$27,Tabla11[[#This Row],[Cuenta]],1))</f>
        <v>1</v>
      </c>
      <c r="BC666" t="b">
        <f>+ISNUMBER(SEARCH(CompConta!$F$28,Tabla11[[#This Row],[Cuenta]],1))</f>
        <v>1</v>
      </c>
      <c r="BD666" t="b">
        <f>+ISNUMBER(SEARCH(CompConta!$F$29,Tabla11[[#This Row],[Cuenta]],1))</f>
        <v>1</v>
      </c>
      <c r="BE666" t="b">
        <f>+ISNUMBER(SEARCH(CompConta!$F$30,Tabla11[[#This Row],[Cuenta]],1))</f>
        <v>1</v>
      </c>
      <c r="BF666" t="b">
        <f>+ISNUMBER(SEARCH('PAGO Compras'!$E$11,Tabla11[[#This Row],[Cuenta]],1))</f>
        <v>1</v>
      </c>
      <c r="BG666" t="b">
        <f>+ISNUMBER(SEARCH(#REF!,Tabla11[[#This Row],[Cuenta]],1))</f>
        <v>0</v>
      </c>
      <c r="BH666" t="b">
        <f>+ISNUMBER(SEARCH(#REF!,Tabla11[[#This Row],[Cuenta]],1))</f>
        <v>0</v>
      </c>
      <c r="BI666" t="b">
        <f>+ISNUMBER(SEARCH(#REF!,Tabla11[[#This Row],[Cuenta]],1))</f>
        <v>0</v>
      </c>
      <c r="BJ666" t="b">
        <f>+ISNUMBER(SEARCH(#REF!,Tabla11[[#This Row],[Cuenta]],1))</f>
        <v>0</v>
      </c>
      <c r="BS666" t="str">
        <v>330516 Acciones propias readquiridas (DB)</v>
      </c>
      <c r="BT666" t="str">
        <v>330516 Acciones propias readquiridas (DB)</v>
      </c>
      <c r="BU666" t="str">
        <v>330516 Acciones propias readquiridas (DB)</v>
      </c>
      <c r="BV666" t="str">
        <v>330516 Acciones propias readquiridas (DB)</v>
      </c>
      <c r="BZ666" t="str">
        <v>330516 Acciones propias readquiridas (DB)</v>
      </c>
      <c r="CA666" t="str">
        <v>330516 Acciones propias readquiridas (DB)</v>
      </c>
      <c r="CB666" t="str">
        <v>330516 Acciones propias readquiridas (DB)</v>
      </c>
      <c r="CC666" t="str">
        <v>330516 Acciones propias readquiridas (DB)</v>
      </c>
      <c r="CD666" t="str">
        <v>330516 Acciones propias readquiridas (DB)</v>
      </c>
      <c r="CE666" t="str">
        <v>330516 Acciones propias readquiridas (DB)</v>
      </c>
      <c r="CS666" s="141" t="str">
        <v>330516 Acciones propias readquiridas (DB)</v>
      </c>
      <c r="CT666" s="141" t="str">
        <v>330516 Acciones propias readquiridas (DB)</v>
      </c>
      <c r="CU666" s="141" t="str">
        <v>330516 Acciones propias readquiridas (DB)</v>
      </c>
      <c r="CV666" s="141" t="str">
        <v>330516 Acciones propias readquiridas (DB)</v>
      </c>
      <c r="CW666" s="141" t="str">
        <v>330516 Acciones propias readquiridas (DB)</v>
      </c>
      <c r="CX666" s="141" t="str">
        <v>330516 Acciones propias readquiridas (DB)</v>
      </c>
      <c r="CY666" s="141" t="str">
        <v>330516 Acciones propias readquiridas (DB)</v>
      </c>
      <c r="CZ666" s="141" t="str">
        <v>330516 Acciones propias readquiridas (DB)</v>
      </c>
      <c r="DA666" s="141" t="str">
        <v>330516 Acciones propias readquiridas (DB)</v>
      </c>
      <c r="DF666" t="str">
        <v>330516 Acciones propias readquiridas (DB)</v>
      </c>
      <c r="DG666" t="str">
        <v>330516 Acciones propias readquiridas (DB)</v>
      </c>
      <c r="DH666" t="str">
        <v>330516 Acciones propias readquiridas (DB)</v>
      </c>
      <c r="DI666" t="str">
        <v>330516 Acciones propias readquiridas (DB)</v>
      </c>
      <c r="DJ666" t="str">
        <v>330516 Acciones propias readquiridas (DB)</v>
      </c>
      <c r="DK666" t="str">
        <v>330516 Acciones propias readquiridas (DB)</v>
      </c>
      <c r="DL666" t="str">
        <v>330516 Acciones propias readquiridas (DB)</v>
      </c>
      <c r="DM666" t="str">
        <v>330516 Acciones propias readquiridas (DB)</v>
      </c>
      <c r="DN666" t="str">
        <v>330516 Acciones propias readquiridas (DB)</v>
      </c>
      <c r="DO666" t="str">
        <v>330516 Acciones propias readquiridas (DB)</v>
      </c>
      <c r="DP666" t="str">
        <v>330516 Acciones propias readquiridas (DB)</v>
      </c>
    </row>
    <row r="667" spans="4:120" ht="12.75">
      <c r="D667" s="7">
        <v>330517</v>
      </c>
      <c r="E667" s="6" t="s">
        <v>497</v>
      </c>
      <c r="F667" s="5">
        <v>4</v>
      </c>
      <c r="G667" s="34" t="s">
        <v>827</v>
      </c>
      <c r="H667" s="8" t="s">
        <v>56</v>
      </c>
      <c r="I667" t="b">
        <f>+ISNUMBER(SEARCH('F-COMPRA'!$F$28,Tabla11[[#This Row],[Cuenta]],1))</f>
        <v>1</v>
      </c>
      <c r="J667" t="b">
        <f>+ISNUMBER(SEARCH('F-COMPRA'!$F$29,Tabla11[[#This Row],[Cuenta]],1))</f>
        <v>1</v>
      </c>
      <c r="K667" t="b">
        <f>+ISNUMBER(SEARCH('F-COMPRA'!$F$30,Tabla11[[#This Row],[Cuenta]],1))</f>
        <v>1</v>
      </c>
      <c r="L667" t="b">
        <f>+ISNUMBER(SEARCH('F-COMPRA'!$F$31,Tabla11[[#This Row],[Cuenta]],1))</f>
        <v>1</v>
      </c>
      <c r="M667" t="b">
        <f>+ISNUMBER(SEARCH('F-COMPRA'!$G$25,Tabla11[[#This Row],[Cuenta]],1))</f>
        <v>0</v>
      </c>
      <c r="N667" t="b">
        <f>+ISNUMBER(SEARCH(#REF!,Tabla11[[#This Row],[Cuenta]],1))</f>
        <v>0</v>
      </c>
      <c r="O667" t="b">
        <f>+ISNUMBER(SEARCH(#REF!,Tabla11[[#This Row],[Cuenta]],1))</f>
        <v>0</v>
      </c>
      <c r="P667" t="b">
        <f>+ISNUMBER(SEARCH('F-COMPRA'!$F$32,Tabla11[[#This Row],[Cuenta]],1))</f>
        <v>1</v>
      </c>
      <c r="Q667" t="b">
        <f>+ISNUMBER(SEARCH('F-COMPRA'!$F$33,Tabla11[[#This Row],[Cuenta]],1))</f>
        <v>1</v>
      </c>
      <c r="R667" t="b">
        <f>+ISNUMBER(SEARCH('F-COMPRA'!$F$34,Tabla11[[#This Row],[Cuenta]],1))</f>
        <v>1</v>
      </c>
      <c r="S667" t="b">
        <f>+ISNUMBER(SEARCH('F-COMPRA'!$F$35,Tabla11[[#This Row],[Cuenta]],1))</f>
        <v>1</v>
      </c>
      <c r="T667" t="b">
        <f>+ISNUMBER(SEARCH('F-COMPRA'!$F$36,Tabla11[[#This Row],[Cuenta]],1))</f>
        <v>1</v>
      </c>
      <c r="U667" t="b">
        <f>+ISNUMBER(SEARCH('F-COMPRA'!$F$37,Tabla11[[#This Row],[Cuenta]],1))</f>
        <v>1</v>
      </c>
      <c r="V667" t="b">
        <f>+ISNUMBER(SEARCH(#REF!,Tabla11[[#This Row],[Cuenta]],1))</f>
        <v>0</v>
      </c>
      <c r="W667" t="b">
        <f>+ISNUMBER(SEARCH('F-COMPRA'!#REF!,Tabla11[[#This Row],[Cuenta]],1))</f>
        <v>0</v>
      </c>
      <c r="X667" t="b">
        <f>+ISNUMBER(SEARCH('F-COMPRA'!#REF!,Tabla11[[#This Row],[Cuenta]],1))</f>
        <v>0</v>
      </c>
      <c r="Y667" t="b">
        <f>+ISNUMBER(SEARCH('F-COMPRA'!#REF!,Tabla11[[#This Row],[Cuenta]],1))</f>
        <v>0</v>
      </c>
      <c r="Z667" t="b">
        <f>+ISNUMBER(SEARCH('F-COMPRA'!#REF!,Tabla11[[#This Row],[Cuenta]],1))</f>
        <v>0</v>
      </c>
      <c r="AA667" t="b">
        <f>+ISNUMBER(SEARCH('F-COMPRA'!#REF!,Tabla11[[#This Row],[Cuenta]],1))</f>
        <v>0</v>
      </c>
      <c r="AB667" t="b">
        <f>+ISNUMBER(SEARCH('F-COMPRA'!#REF!,Tabla11[[#This Row],[Cuenta]],1))</f>
        <v>0</v>
      </c>
      <c r="AC667" t="b">
        <f>+ISNUMBER(SEARCH('F-COMPRA'!#REF!,Tabla11[[#This Row],[Cuenta]],1))</f>
        <v>0</v>
      </c>
      <c r="AD667" t="b">
        <f>+ISNUMBER(SEARCH('F-COMPRA'!#REF!,Tabla11[[#This Row],[Cuenta]],1))</f>
        <v>0</v>
      </c>
      <c r="AE667" t="b">
        <f>+ISNUMBER(SEARCH('F-COMPRA'!#REF!,Tabla11[[#This Row],[Cuenta]],1))</f>
        <v>0</v>
      </c>
      <c r="AF667" t="b">
        <f>+ISNUMBER(SEARCH('F-VTA'!$G$23,Tabla11[[#This Row],[Cuenta]],1))</f>
        <v>0</v>
      </c>
      <c r="AG667" t="b">
        <f>+ISNUMBER(SEARCH('F-VTA'!$G$24,Tabla11[[#This Row],[Cuenta]],1))</f>
        <v>0</v>
      </c>
      <c r="AH667" t="b">
        <f>+ISNUMBER(SEARCH('F-VTA'!$G$25,Tabla11[[#This Row],[Cuenta]],1))</f>
        <v>0</v>
      </c>
      <c r="AI667" t="b">
        <f>+ISNUMBER(SEARCH('F-VTA'!$F$28,Tabla11[[#This Row],[Cuenta]],1))</f>
        <v>1</v>
      </c>
      <c r="AJ667" t="b">
        <f>+ISNUMBER(SEARCH('F-VTA'!$F$29,Tabla11[[#This Row],[Cuenta]],1))</f>
        <v>1</v>
      </c>
      <c r="AK667" t="b">
        <f>+ISNUMBER(SEARCH('F-VTA'!$F$30,Tabla11[[#This Row],[Cuenta]],1))</f>
        <v>1</v>
      </c>
      <c r="AL667" t="b">
        <f>+ISNUMBER(SEARCH('F-VTA'!$F$31,Tabla11[[#This Row],[Cuenta]],1))</f>
        <v>1</v>
      </c>
      <c r="AM667" t="b">
        <f>+ISNUMBER(SEARCH('F-VTA'!$F$32,Tabla11[[#This Row],[Cuenta]],1))</f>
        <v>1</v>
      </c>
      <c r="AN667" t="b">
        <f>+ISNUMBER(SEARCH('F-VTA'!$F$33,Tabla11[[#This Row],[Cuenta]],1))</f>
        <v>1</v>
      </c>
      <c r="AO667" t="b">
        <f>+ISNUMBER(SEARCH('F-VTA'!$F$34,Tabla11[[#This Row],[Cuenta]],1))</f>
        <v>1</v>
      </c>
      <c r="AP667" t="b">
        <f>+ISNUMBER(SEARCH('F-VTA'!$F$35,Tabla11[[#This Row],[Cuenta]],1))</f>
        <v>1</v>
      </c>
      <c r="AQ667" t="b">
        <f>+ISNUMBER(SEARCH('F-VTA'!$F$36,Tabla11[[#This Row],[Cuenta]],1))</f>
        <v>1</v>
      </c>
      <c r="AR667" t="b">
        <f>+ISNUMBER(SEARCH(#REF!,Tabla11[[#This Row],[Cuenta]],1))</f>
        <v>0</v>
      </c>
      <c r="AS667" t="b">
        <f>+ISNUMBER(SEARCH(#REF!,Tabla11[[#This Row],[Cuenta]],1))</f>
        <v>0</v>
      </c>
      <c r="AT667" t="b">
        <f>+ISNUMBER(SEARCH(#REF!,Tabla11[[#This Row],[Cuenta]],1))</f>
        <v>0</v>
      </c>
      <c r="AU667" t="b">
        <f>+ISNUMBER(SEARCH('Conc. Ban.1'!$I$9,Tabla11[[#This Row],[Cuenta]],1))</f>
        <v>0</v>
      </c>
      <c r="AV667" t="b">
        <f>+ISNUMBER(SEARCH(CompConta!$F$21,Tabla11[[#This Row],[Cuenta]],1))</f>
        <v>1</v>
      </c>
      <c r="AW667" t="b">
        <f>+ISNUMBER(SEARCH(CompConta!$F$22,Tabla11[[#This Row],[Cuenta]],1))</f>
        <v>1</v>
      </c>
      <c r="AX667" t="b">
        <f>+ISNUMBER(SEARCH(CompConta!$F$23,Tabla11[[#This Row],[Cuenta]],1))</f>
        <v>1</v>
      </c>
      <c r="AY667" t="b">
        <f>+ISNUMBER(SEARCH(CompConta!$F$24,Tabla11[[#This Row],[Cuenta]],1))</f>
        <v>1</v>
      </c>
      <c r="AZ667" t="b">
        <f>+ISNUMBER(SEARCH(CompConta!$F$25,Tabla11[[#This Row],[Cuenta]],1))</f>
        <v>1</v>
      </c>
      <c r="BA667" t="b">
        <f>+ISNUMBER(SEARCH(CompConta!$F$26,Tabla11[[#This Row],[Cuenta]],1))</f>
        <v>1</v>
      </c>
      <c r="BB667" t="b">
        <f>+ISNUMBER(SEARCH(CompConta!$F$27,Tabla11[[#This Row],[Cuenta]],1))</f>
        <v>1</v>
      </c>
      <c r="BC667" t="b">
        <f>+ISNUMBER(SEARCH(CompConta!$F$28,Tabla11[[#This Row],[Cuenta]],1))</f>
        <v>1</v>
      </c>
      <c r="BD667" t="b">
        <f>+ISNUMBER(SEARCH(CompConta!$F$29,Tabla11[[#This Row],[Cuenta]],1))</f>
        <v>1</v>
      </c>
      <c r="BE667" t="b">
        <f>+ISNUMBER(SEARCH(CompConta!$F$30,Tabla11[[#This Row],[Cuenta]],1))</f>
        <v>1</v>
      </c>
      <c r="BF667" t="b">
        <f>+ISNUMBER(SEARCH('PAGO Compras'!$E$11,Tabla11[[#This Row],[Cuenta]],1))</f>
        <v>1</v>
      </c>
      <c r="BG667" t="b">
        <f>+ISNUMBER(SEARCH(#REF!,Tabla11[[#This Row],[Cuenta]],1))</f>
        <v>0</v>
      </c>
      <c r="BH667" t="b">
        <f>+ISNUMBER(SEARCH(#REF!,Tabla11[[#This Row],[Cuenta]],1))</f>
        <v>0</v>
      </c>
      <c r="BI667" t="b">
        <f>+ISNUMBER(SEARCH(#REF!,Tabla11[[#This Row],[Cuenta]],1))</f>
        <v>0</v>
      </c>
      <c r="BJ667" t="b">
        <f>+ISNUMBER(SEARCH(#REF!,Tabla11[[#This Row],[Cuenta]],1))</f>
        <v>0</v>
      </c>
      <c r="BS667" t="str">
        <v>330517 Reserva para readq cuotas partes de int/s soc</v>
      </c>
      <c r="BT667" t="str">
        <v>330517 Reserva para readq cuotas partes de int/s soc</v>
      </c>
      <c r="BU667" t="str">
        <v>330517 Reserva para readq cuotas partes de int/s soc</v>
      </c>
      <c r="BV667" t="str">
        <v>330517 Reserva para readq cuotas partes de int/s soc</v>
      </c>
      <c r="BZ667" t="str">
        <v>330517 Reserva para readq cuotas partes de int/s soc</v>
      </c>
      <c r="CA667" t="str">
        <v>330517 Reserva para readq cuotas partes de int/s soc</v>
      </c>
      <c r="CB667" t="str">
        <v>330517 Reserva para readq cuotas partes de int/s soc</v>
      </c>
      <c r="CC667" t="str">
        <v>330517 Reserva para readq cuotas partes de int/s soc</v>
      </c>
      <c r="CD667" t="str">
        <v>330517 Reserva para readq cuotas partes de int/s soc</v>
      </c>
      <c r="CE667" t="str">
        <v>330517 Reserva para readq cuotas partes de int/s soc</v>
      </c>
      <c r="CS667" s="141" t="str">
        <v>330517 Reserva para readq cuotas partes de int/s soc</v>
      </c>
      <c r="CT667" s="141" t="str">
        <v>330517 Reserva para readq cuotas partes de int/s soc</v>
      </c>
      <c r="CU667" s="141" t="str">
        <v>330517 Reserva para readq cuotas partes de int/s soc</v>
      </c>
      <c r="CV667" s="141" t="str">
        <v>330517 Reserva para readq cuotas partes de int/s soc</v>
      </c>
      <c r="CW667" s="141" t="str">
        <v>330517 Reserva para readq cuotas partes de int/s soc</v>
      </c>
      <c r="CX667" s="141" t="str">
        <v>330517 Reserva para readq cuotas partes de int/s soc</v>
      </c>
      <c r="CY667" s="141" t="str">
        <v>330517 Reserva para readq cuotas partes de int/s soc</v>
      </c>
      <c r="CZ667" s="141" t="str">
        <v>330517 Reserva para readq cuotas partes de int/s soc</v>
      </c>
      <c r="DA667" s="141" t="str">
        <v>330517 Reserva para readq cuotas partes de int/s soc</v>
      </c>
      <c r="DF667" t="str">
        <v>330517 Reserva para readq cuotas partes de int/s soc</v>
      </c>
      <c r="DG667" t="str">
        <v>330517 Reserva para readq cuotas partes de int/s soc</v>
      </c>
      <c r="DH667" t="str">
        <v>330517 Reserva para readq cuotas partes de int/s soc</v>
      </c>
      <c r="DI667" t="str">
        <v>330517 Reserva para readq cuotas partes de int/s soc</v>
      </c>
      <c r="DJ667" t="str">
        <v>330517 Reserva para readq cuotas partes de int/s soc</v>
      </c>
      <c r="DK667" t="str">
        <v>330517 Reserva para readq cuotas partes de int/s soc</v>
      </c>
      <c r="DL667" t="str">
        <v>330517 Reserva para readq cuotas partes de int/s soc</v>
      </c>
      <c r="DM667" t="str">
        <v>330517 Reserva para readq cuotas partes de int/s soc</v>
      </c>
      <c r="DN667" t="str">
        <v>330517 Reserva para readq cuotas partes de int/s soc</v>
      </c>
      <c r="DO667" t="str">
        <v>330517 Reserva para readq cuotas partes de int/s soc</v>
      </c>
      <c r="DP667" t="str">
        <v>330517 Reserva para readq cuotas partes de int/s soc</v>
      </c>
    </row>
    <row r="668" spans="4:120" ht="12.75">
      <c r="D668" s="7">
        <v>330518</v>
      </c>
      <c r="E668" s="6" t="s">
        <v>498</v>
      </c>
      <c r="F668" s="5">
        <v>4</v>
      </c>
      <c r="G668" s="34" t="s">
        <v>827</v>
      </c>
      <c r="H668" s="8" t="s">
        <v>32</v>
      </c>
      <c r="I668" t="b">
        <f>+ISNUMBER(SEARCH('F-COMPRA'!$F$28,Tabla11[[#This Row],[Cuenta]],1))</f>
        <v>1</v>
      </c>
      <c r="J668" t="b">
        <f>+ISNUMBER(SEARCH('F-COMPRA'!$F$29,Tabla11[[#This Row],[Cuenta]],1))</f>
        <v>1</v>
      </c>
      <c r="K668" t="b">
        <f>+ISNUMBER(SEARCH('F-COMPRA'!$F$30,Tabla11[[#This Row],[Cuenta]],1))</f>
        <v>1</v>
      </c>
      <c r="L668" t="b">
        <f>+ISNUMBER(SEARCH('F-COMPRA'!$F$31,Tabla11[[#This Row],[Cuenta]],1))</f>
        <v>1</v>
      </c>
      <c r="M668" t="b">
        <f>+ISNUMBER(SEARCH('F-COMPRA'!$G$25,Tabla11[[#This Row],[Cuenta]],1))</f>
        <v>0</v>
      </c>
      <c r="N668" t="b">
        <f>+ISNUMBER(SEARCH(#REF!,Tabla11[[#This Row],[Cuenta]],1))</f>
        <v>0</v>
      </c>
      <c r="O668" t="b">
        <f>+ISNUMBER(SEARCH(#REF!,Tabla11[[#This Row],[Cuenta]],1))</f>
        <v>0</v>
      </c>
      <c r="P668" t="b">
        <f>+ISNUMBER(SEARCH('F-COMPRA'!$F$32,Tabla11[[#This Row],[Cuenta]],1))</f>
        <v>1</v>
      </c>
      <c r="Q668" t="b">
        <f>+ISNUMBER(SEARCH('F-COMPRA'!$F$33,Tabla11[[#This Row],[Cuenta]],1))</f>
        <v>1</v>
      </c>
      <c r="R668" t="b">
        <f>+ISNUMBER(SEARCH('F-COMPRA'!$F$34,Tabla11[[#This Row],[Cuenta]],1))</f>
        <v>1</v>
      </c>
      <c r="S668" t="b">
        <f>+ISNUMBER(SEARCH('F-COMPRA'!$F$35,Tabla11[[#This Row],[Cuenta]],1))</f>
        <v>1</v>
      </c>
      <c r="T668" t="b">
        <f>+ISNUMBER(SEARCH('F-COMPRA'!$F$36,Tabla11[[#This Row],[Cuenta]],1))</f>
        <v>1</v>
      </c>
      <c r="U668" t="b">
        <f>+ISNUMBER(SEARCH('F-COMPRA'!$F$37,Tabla11[[#This Row],[Cuenta]],1))</f>
        <v>1</v>
      </c>
      <c r="V668" t="b">
        <f>+ISNUMBER(SEARCH(#REF!,Tabla11[[#This Row],[Cuenta]],1))</f>
        <v>0</v>
      </c>
      <c r="W668" t="b">
        <f>+ISNUMBER(SEARCH('F-COMPRA'!#REF!,Tabla11[[#This Row],[Cuenta]],1))</f>
        <v>0</v>
      </c>
      <c r="X668" t="b">
        <f>+ISNUMBER(SEARCH('F-COMPRA'!#REF!,Tabla11[[#This Row],[Cuenta]],1))</f>
        <v>0</v>
      </c>
      <c r="Y668" t="b">
        <f>+ISNUMBER(SEARCH('F-COMPRA'!#REF!,Tabla11[[#This Row],[Cuenta]],1))</f>
        <v>0</v>
      </c>
      <c r="Z668" t="b">
        <f>+ISNUMBER(SEARCH('F-COMPRA'!#REF!,Tabla11[[#This Row],[Cuenta]],1))</f>
        <v>0</v>
      </c>
      <c r="AA668" t="b">
        <f>+ISNUMBER(SEARCH('F-COMPRA'!#REF!,Tabla11[[#This Row],[Cuenta]],1))</f>
        <v>0</v>
      </c>
      <c r="AB668" t="b">
        <f>+ISNUMBER(SEARCH('F-COMPRA'!#REF!,Tabla11[[#This Row],[Cuenta]],1))</f>
        <v>0</v>
      </c>
      <c r="AC668" t="b">
        <f>+ISNUMBER(SEARCH('F-COMPRA'!#REF!,Tabla11[[#This Row],[Cuenta]],1))</f>
        <v>0</v>
      </c>
      <c r="AD668" t="b">
        <f>+ISNUMBER(SEARCH('F-COMPRA'!#REF!,Tabla11[[#This Row],[Cuenta]],1))</f>
        <v>0</v>
      </c>
      <c r="AE668" t="b">
        <f>+ISNUMBER(SEARCH('F-COMPRA'!#REF!,Tabla11[[#This Row],[Cuenta]],1))</f>
        <v>0</v>
      </c>
      <c r="AF668" t="b">
        <f>+ISNUMBER(SEARCH('F-VTA'!$G$23,Tabla11[[#This Row],[Cuenta]],1))</f>
        <v>0</v>
      </c>
      <c r="AG668" t="b">
        <f>+ISNUMBER(SEARCH('F-VTA'!$G$24,Tabla11[[#This Row],[Cuenta]],1))</f>
        <v>0</v>
      </c>
      <c r="AH668" t="b">
        <f>+ISNUMBER(SEARCH('F-VTA'!$G$25,Tabla11[[#This Row],[Cuenta]],1))</f>
        <v>0</v>
      </c>
      <c r="AI668" t="b">
        <f>+ISNUMBER(SEARCH('F-VTA'!$F$28,Tabla11[[#This Row],[Cuenta]],1))</f>
        <v>1</v>
      </c>
      <c r="AJ668" t="b">
        <f>+ISNUMBER(SEARCH('F-VTA'!$F$29,Tabla11[[#This Row],[Cuenta]],1))</f>
        <v>1</v>
      </c>
      <c r="AK668" t="b">
        <f>+ISNUMBER(SEARCH('F-VTA'!$F$30,Tabla11[[#This Row],[Cuenta]],1))</f>
        <v>1</v>
      </c>
      <c r="AL668" t="b">
        <f>+ISNUMBER(SEARCH('F-VTA'!$F$31,Tabla11[[#This Row],[Cuenta]],1))</f>
        <v>1</v>
      </c>
      <c r="AM668" t="b">
        <f>+ISNUMBER(SEARCH('F-VTA'!$F$32,Tabla11[[#This Row],[Cuenta]],1))</f>
        <v>1</v>
      </c>
      <c r="AN668" t="b">
        <f>+ISNUMBER(SEARCH('F-VTA'!$F$33,Tabla11[[#This Row],[Cuenta]],1))</f>
        <v>1</v>
      </c>
      <c r="AO668" t="b">
        <f>+ISNUMBER(SEARCH('F-VTA'!$F$34,Tabla11[[#This Row],[Cuenta]],1))</f>
        <v>1</v>
      </c>
      <c r="AP668" t="b">
        <f>+ISNUMBER(SEARCH('F-VTA'!$F$35,Tabla11[[#This Row],[Cuenta]],1))</f>
        <v>1</v>
      </c>
      <c r="AQ668" t="b">
        <f>+ISNUMBER(SEARCH('F-VTA'!$F$36,Tabla11[[#This Row],[Cuenta]],1))</f>
        <v>1</v>
      </c>
      <c r="AR668" t="b">
        <f>+ISNUMBER(SEARCH(#REF!,Tabla11[[#This Row],[Cuenta]],1))</f>
        <v>0</v>
      </c>
      <c r="AS668" t="b">
        <f>+ISNUMBER(SEARCH(#REF!,Tabla11[[#This Row],[Cuenta]],1))</f>
        <v>0</v>
      </c>
      <c r="AT668" t="b">
        <f>+ISNUMBER(SEARCH(#REF!,Tabla11[[#This Row],[Cuenta]],1))</f>
        <v>0</v>
      </c>
      <c r="AU668" t="b">
        <f>+ISNUMBER(SEARCH('Conc. Ban.1'!$I$9,Tabla11[[#This Row],[Cuenta]],1))</f>
        <v>0</v>
      </c>
      <c r="AV668" t="b">
        <f>+ISNUMBER(SEARCH(CompConta!$F$21,Tabla11[[#This Row],[Cuenta]],1))</f>
        <v>1</v>
      </c>
      <c r="AW668" t="b">
        <f>+ISNUMBER(SEARCH(CompConta!$F$22,Tabla11[[#This Row],[Cuenta]],1))</f>
        <v>1</v>
      </c>
      <c r="AX668" t="b">
        <f>+ISNUMBER(SEARCH(CompConta!$F$23,Tabla11[[#This Row],[Cuenta]],1))</f>
        <v>1</v>
      </c>
      <c r="AY668" t="b">
        <f>+ISNUMBER(SEARCH(CompConta!$F$24,Tabla11[[#This Row],[Cuenta]],1))</f>
        <v>1</v>
      </c>
      <c r="AZ668" t="b">
        <f>+ISNUMBER(SEARCH(CompConta!$F$25,Tabla11[[#This Row],[Cuenta]],1))</f>
        <v>1</v>
      </c>
      <c r="BA668" t="b">
        <f>+ISNUMBER(SEARCH(CompConta!$F$26,Tabla11[[#This Row],[Cuenta]],1))</f>
        <v>1</v>
      </c>
      <c r="BB668" t="b">
        <f>+ISNUMBER(SEARCH(CompConta!$F$27,Tabla11[[#This Row],[Cuenta]],1))</f>
        <v>1</v>
      </c>
      <c r="BC668" t="b">
        <f>+ISNUMBER(SEARCH(CompConta!$F$28,Tabla11[[#This Row],[Cuenta]],1))</f>
        <v>1</v>
      </c>
      <c r="BD668" t="b">
        <f>+ISNUMBER(SEARCH(CompConta!$F$29,Tabla11[[#This Row],[Cuenta]],1))</f>
        <v>1</v>
      </c>
      <c r="BE668" t="b">
        <f>+ISNUMBER(SEARCH(CompConta!$F$30,Tabla11[[#This Row],[Cuenta]],1))</f>
        <v>1</v>
      </c>
      <c r="BF668" t="b">
        <f>+ISNUMBER(SEARCH('PAGO Compras'!$E$11,Tabla11[[#This Row],[Cuenta]],1))</f>
        <v>1</v>
      </c>
      <c r="BG668" t="b">
        <f>+ISNUMBER(SEARCH(#REF!,Tabla11[[#This Row],[Cuenta]],1))</f>
        <v>0</v>
      </c>
      <c r="BH668" t="b">
        <f>+ISNUMBER(SEARCH(#REF!,Tabla11[[#This Row],[Cuenta]],1))</f>
        <v>0</v>
      </c>
      <c r="BI668" t="b">
        <f>+ISNUMBER(SEARCH(#REF!,Tabla11[[#This Row],[Cuenta]],1))</f>
        <v>0</v>
      </c>
      <c r="BJ668" t="b">
        <f>+ISNUMBER(SEARCH(#REF!,Tabla11[[#This Row],[Cuenta]],1))</f>
        <v>0</v>
      </c>
      <c r="BS668" t="str">
        <v>330518 Cuotas o partes de int. social prop readq(DB)</v>
      </c>
      <c r="BT668" t="str">
        <v>330518 Cuotas o partes de int. social prop readq(DB)</v>
      </c>
      <c r="BU668" t="str">
        <v>330518 Cuotas o partes de int. social prop readq(DB)</v>
      </c>
      <c r="BV668" t="str">
        <v>330518 Cuotas o partes de int. social prop readq(DB)</v>
      </c>
      <c r="BZ668" t="str">
        <v>330518 Cuotas o partes de int. social prop readq(DB)</v>
      </c>
      <c r="CA668" t="str">
        <v>330518 Cuotas o partes de int. social prop readq(DB)</v>
      </c>
      <c r="CB668" t="str">
        <v>330518 Cuotas o partes de int. social prop readq(DB)</v>
      </c>
      <c r="CC668" t="str">
        <v>330518 Cuotas o partes de int. social prop readq(DB)</v>
      </c>
      <c r="CD668" t="str">
        <v>330518 Cuotas o partes de int. social prop readq(DB)</v>
      </c>
      <c r="CE668" t="str">
        <v>330518 Cuotas o partes de int. social prop readq(DB)</v>
      </c>
      <c r="CS668" s="141" t="str">
        <v>330518 Cuotas o partes de int. social prop readq(DB)</v>
      </c>
      <c r="CT668" s="141" t="str">
        <v>330518 Cuotas o partes de int. social prop readq(DB)</v>
      </c>
      <c r="CU668" s="141" t="str">
        <v>330518 Cuotas o partes de int. social prop readq(DB)</v>
      </c>
      <c r="CV668" s="141" t="str">
        <v>330518 Cuotas o partes de int. social prop readq(DB)</v>
      </c>
      <c r="CW668" s="141" t="str">
        <v>330518 Cuotas o partes de int. social prop readq(DB)</v>
      </c>
      <c r="CX668" s="141" t="str">
        <v>330518 Cuotas o partes de int. social prop readq(DB)</v>
      </c>
      <c r="CY668" s="141" t="str">
        <v>330518 Cuotas o partes de int. social prop readq(DB)</v>
      </c>
      <c r="CZ668" s="141" t="str">
        <v>330518 Cuotas o partes de int. social prop readq(DB)</v>
      </c>
      <c r="DA668" s="141" t="str">
        <v>330518 Cuotas o partes de int. social prop readq(DB)</v>
      </c>
      <c r="DF668" t="str">
        <v>330518 Cuotas o partes de int. social prop readq(DB)</v>
      </c>
      <c r="DG668" t="str">
        <v>330518 Cuotas o partes de int. social prop readq(DB)</v>
      </c>
      <c r="DH668" t="str">
        <v>330518 Cuotas o partes de int. social prop readq(DB)</v>
      </c>
      <c r="DI668" t="str">
        <v>330518 Cuotas o partes de int. social prop readq(DB)</v>
      </c>
      <c r="DJ668" t="str">
        <v>330518 Cuotas o partes de int. social prop readq(DB)</v>
      </c>
      <c r="DK668" t="str">
        <v>330518 Cuotas o partes de int. social prop readq(DB)</v>
      </c>
      <c r="DL668" t="str">
        <v>330518 Cuotas o partes de int. social prop readq(DB)</v>
      </c>
      <c r="DM668" t="str">
        <v>330518 Cuotas o partes de int. social prop readq(DB)</v>
      </c>
      <c r="DN668" t="str">
        <v>330518 Cuotas o partes de int. social prop readq(DB)</v>
      </c>
      <c r="DO668" t="str">
        <v>330518 Cuotas o partes de int. social prop readq(DB)</v>
      </c>
      <c r="DP668" t="str">
        <v>330518 Cuotas o partes de int. social prop readq(DB)</v>
      </c>
    </row>
    <row r="669" spans="4:120" ht="12.75">
      <c r="D669" s="7">
        <v>330520</v>
      </c>
      <c r="E669" s="6" t="s">
        <v>499</v>
      </c>
      <c r="F669" s="5">
        <v>4</v>
      </c>
      <c r="G669" s="34" t="s">
        <v>827</v>
      </c>
      <c r="H669" s="8" t="s">
        <v>56</v>
      </c>
      <c r="I669" t="b">
        <f>+ISNUMBER(SEARCH('F-COMPRA'!$F$28,Tabla11[[#This Row],[Cuenta]],1))</f>
        <v>1</v>
      </c>
      <c r="J669" t="b">
        <f>+ISNUMBER(SEARCH('F-COMPRA'!$F$29,Tabla11[[#This Row],[Cuenta]],1))</f>
        <v>1</v>
      </c>
      <c r="K669" t="b">
        <f>+ISNUMBER(SEARCH('F-COMPRA'!$F$30,Tabla11[[#This Row],[Cuenta]],1))</f>
        <v>1</v>
      </c>
      <c r="L669" t="b">
        <f>+ISNUMBER(SEARCH('F-COMPRA'!$F$31,Tabla11[[#This Row],[Cuenta]],1))</f>
        <v>1</v>
      </c>
      <c r="M669" t="b">
        <f>+ISNUMBER(SEARCH('F-COMPRA'!$G$25,Tabla11[[#This Row],[Cuenta]],1))</f>
        <v>0</v>
      </c>
      <c r="N669" t="b">
        <f>+ISNUMBER(SEARCH(#REF!,Tabla11[[#This Row],[Cuenta]],1))</f>
        <v>0</v>
      </c>
      <c r="O669" t="b">
        <f>+ISNUMBER(SEARCH(#REF!,Tabla11[[#This Row],[Cuenta]],1))</f>
        <v>0</v>
      </c>
      <c r="P669" t="b">
        <f>+ISNUMBER(SEARCH('F-COMPRA'!$F$32,Tabla11[[#This Row],[Cuenta]],1))</f>
        <v>1</v>
      </c>
      <c r="Q669" t="b">
        <f>+ISNUMBER(SEARCH('F-COMPRA'!$F$33,Tabla11[[#This Row],[Cuenta]],1))</f>
        <v>1</v>
      </c>
      <c r="R669" t="b">
        <f>+ISNUMBER(SEARCH('F-COMPRA'!$F$34,Tabla11[[#This Row],[Cuenta]],1))</f>
        <v>1</v>
      </c>
      <c r="S669" t="b">
        <f>+ISNUMBER(SEARCH('F-COMPRA'!$F$35,Tabla11[[#This Row],[Cuenta]],1))</f>
        <v>1</v>
      </c>
      <c r="T669" t="b">
        <f>+ISNUMBER(SEARCH('F-COMPRA'!$F$36,Tabla11[[#This Row],[Cuenta]],1))</f>
        <v>1</v>
      </c>
      <c r="U669" t="b">
        <f>+ISNUMBER(SEARCH('F-COMPRA'!$F$37,Tabla11[[#This Row],[Cuenta]],1))</f>
        <v>1</v>
      </c>
      <c r="V669" t="b">
        <f>+ISNUMBER(SEARCH(#REF!,Tabla11[[#This Row],[Cuenta]],1))</f>
        <v>0</v>
      </c>
      <c r="W669" t="b">
        <f>+ISNUMBER(SEARCH('F-COMPRA'!#REF!,Tabla11[[#This Row],[Cuenta]],1))</f>
        <v>0</v>
      </c>
      <c r="X669" t="b">
        <f>+ISNUMBER(SEARCH('F-COMPRA'!#REF!,Tabla11[[#This Row],[Cuenta]],1))</f>
        <v>0</v>
      </c>
      <c r="Y669" t="b">
        <f>+ISNUMBER(SEARCH('F-COMPRA'!#REF!,Tabla11[[#This Row],[Cuenta]],1))</f>
        <v>0</v>
      </c>
      <c r="Z669" t="b">
        <f>+ISNUMBER(SEARCH('F-COMPRA'!#REF!,Tabla11[[#This Row],[Cuenta]],1))</f>
        <v>0</v>
      </c>
      <c r="AA669" t="b">
        <f>+ISNUMBER(SEARCH('F-COMPRA'!#REF!,Tabla11[[#This Row],[Cuenta]],1))</f>
        <v>0</v>
      </c>
      <c r="AB669" t="b">
        <f>+ISNUMBER(SEARCH('F-COMPRA'!#REF!,Tabla11[[#This Row],[Cuenta]],1))</f>
        <v>0</v>
      </c>
      <c r="AC669" t="b">
        <f>+ISNUMBER(SEARCH('F-COMPRA'!#REF!,Tabla11[[#This Row],[Cuenta]],1))</f>
        <v>0</v>
      </c>
      <c r="AD669" t="b">
        <f>+ISNUMBER(SEARCH('F-COMPRA'!#REF!,Tabla11[[#This Row],[Cuenta]],1))</f>
        <v>0</v>
      </c>
      <c r="AE669" t="b">
        <f>+ISNUMBER(SEARCH('F-COMPRA'!#REF!,Tabla11[[#This Row],[Cuenta]],1))</f>
        <v>0</v>
      </c>
      <c r="AF669" t="b">
        <f>+ISNUMBER(SEARCH('F-VTA'!$G$23,Tabla11[[#This Row],[Cuenta]],1))</f>
        <v>0</v>
      </c>
      <c r="AG669" t="b">
        <f>+ISNUMBER(SEARCH('F-VTA'!$G$24,Tabla11[[#This Row],[Cuenta]],1))</f>
        <v>0</v>
      </c>
      <c r="AH669" t="b">
        <f>+ISNUMBER(SEARCH('F-VTA'!$G$25,Tabla11[[#This Row],[Cuenta]],1))</f>
        <v>0</v>
      </c>
      <c r="AI669" t="b">
        <f>+ISNUMBER(SEARCH('F-VTA'!$F$28,Tabla11[[#This Row],[Cuenta]],1))</f>
        <v>1</v>
      </c>
      <c r="AJ669" t="b">
        <f>+ISNUMBER(SEARCH('F-VTA'!$F$29,Tabla11[[#This Row],[Cuenta]],1))</f>
        <v>1</v>
      </c>
      <c r="AK669" t="b">
        <f>+ISNUMBER(SEARCH('F-VTA'!$F$30,Tabla11[[#This Row],[Cuenta]],1))</f>
        <v>1</v>
      </c>
      <c r="AL669" t="b">
        <f>+ISNUMBER(SEARCH('F-VTA'!$F$31,Tabla11[[#This Row],[Cuenta]],1))</f>
        <v>1</v>
      </c>
      <c r="AM669" t="b">
        <f>+ISNUMBER(SEARCH('F-VTA'!$F$32,Tabla11[[#This Row],[Cuenta]],1))</f>
        <v>1</v>
      </c>
      <c r="AN669" t="b">
        <f>+ISNUMBER(SEARCH('F-VTA'!$F$33,Tabla11[[#This Row],[Cuenta]],1))</f>
        <v>1</v>
      </c>
      <c r="AO669" t="b">
        <f>+ISNUMBER(SEARCH('F-VTA'!$F$34,Tabla11[[#This Row],[Cuenta]],1))</f>
        <v>1</v>
      </c>
      <c r="AP669" t="b">
        <f>+ISNUMBER(SEARCH('F-VTA'!$F$35,Tabla11[[#This Row],[Cuenta]],1))</f>
        <v>1</v>
      </c>
      <c r="AQ669" t="b">
        <f>+ISNUMBER(SEARCH('F-VTA'!$F$36,Tabla11[[#This Row],[Cuenta]],1))</f>
        <v>1</v>
      </c>
      <c r="AR669" t="b">
        <f>+ISNUMBER(SEARCH(#REF!,Tabla11[[#This Row],[Cuenta]],1))</f>
        <v>0</v>
      </c>
      <c r="AS669" t="b">
        <f>+ISNUMBER(SEARCH(#REF!,Tabla11[[#This Row],[Cuenta]],1))</f>
        <v>0</v>
      </c>
      <c r="AT669" t="b">
        <f>+ISNUMBER(SEARCH(#REF!,Tabla11[[#This Row],[Cuenta]],1))</f>
        <v>0</v>
      </c>
      <c r="AU669" t="b">
        <f>+ISNUMBER(SEARCH('Conc. Ban.1'!$I$9,Tabla11[[#This Row],[Cuenta]],1))</f>
        <v>0</v>
      </c>
      <c r="AV669" t="b">
        <f>+ISNUMBER(SEARCH(CompConta!$F$21,Tabla11[[#This Row],[Cuenta]],1))</f>
        <v>1</v>
      </c>
      <c r="AW669" t="b">
        <f>+ISNUMBER(SEARCH(CompConta!$F$22,Tabla11[[#This Row],[Cuenta]],1))</f>
        <v>1</v>
      </c>
      <c r="AX669" t="b">
        <f>+ISNUMBER(SEARCH(CompConta!$F$23,Tabla11[[#This Row],[Cuenta]],1))</f>
        <v>1</v>
      </c>
      <c r="AY669" t="b">
        <f>+ISNUMBER(SEARCH(CompConta!$F$24,Tabla11[[#This Row],[Cuenta]],1))</f>
        <v>1</v>
      </c>
      <c r="AZ669" t="b">
        <f>+ISNUMBER(SEARCH(CompConta!$F$25,Tabla11[[#This Row],[Cuenta]],1))</f>
        <v>1</v>
      </c>
      <c r="BA669" t="b">
        <f>+ISNUMBER(SEARCH(CompConta!$F$26,Tabla11[[#This Row],[Cuenta]],1))</f>
        <v>1</v>
      </c>
      <c r="BB669" t="b">
        <f>+ISNUMBER(SEARCH(CompConta!$F$27,Tabla11[[#This Row],[Cuenta]],1))</f>
        <v>1</v>
      </c>
      <c r="BC669" t="b">
        <f>+ISNUMBER(SEARCH(CompConta!$F$28,Tabla11[[#This Row],[Cuenta]],1))</f>
        <v>1</v>
      </c>
      <c r="BD669" t="b">
        <f>+ISNUMBER(SEARCH(CompConta!$F$29,Tabla11[[#This Row],[Cuenta]],1))</f>
        <v>1</v>
      </c>
      <c r="BE669" t="b">
        <f>+ISNUMBER(SEARCH(CompConta!$F$30,Tabla11[[#This Row],[Cuenta]],1))</f>
        <v>1</v>
      </c>
      <c r="BF669" t="b">
        <f>+ISNUMBER(SEARCH('PAGO Compras'!$E$11,Tabla11[[#This Row],[Cuenta]],1))</f>
        <v>1</v>
      </c>
      <c r="BG669" t="b">
        <f>+ISNUMBER(SEARCH(#REF!,Tabla11[[#This Row],[Cuenta]],1))</f>
        <v>0</v>
      </c>
      <c r="BH669" t="b">
        <f>+ISNUMBER(SEARCH(#REF!,Tabla11[[#This Row],[Cuenta]],1))</f>
        <v>0</v>
      </c>
      <c r="BI669" t="b">
        <f>+ISNUMBER(SEARCH(#REF!,Tabla11[[#This Row],[Cuenta]],1))</f>
        <v>0</v>
      </c>
      <c r="BJ669" t="b">
        <f>+ISNUMBER(SEARCH(#REF!,Tabla11[[#This Row],[Cuenta]],1))</f>
        <v>0</v>
      </c>
      <c r="BS669" t="str">
        <v>330520 Reserva para extensión agropecuaria</v>
      </c>
      <c r="BT669" t="str">
        <v>330520 Reserva para extensión agropecuaria</v>
      </c>
      <c r="BU669" t="str">
        <v>330520 Reserva para extensión agropecuaria</v>
      </c>
      <c r="BV669" t="str">
        <v>330520 Reserva para extensión agropecuaria</v>
      </c>
      <c r="BZ669" t="str">
        <v>330520 Reserva para extensión agropecuaria</v>
      </c>
      <c r="CA669" t="str">
        <v>330520 Reserva para extensión agropecuaria</v>
      </c>
      <c r="CB669" t="str">
        <v>330520 Reserva para extensión agropecuaria</v>
      </c>
      <c r="CC669" t="str">
        <v>330520 Reserva para extensión agropecuaria</v>
      </c>
      <c r="CD669" t="str">
        <v>330520 Reserva para extensión agropecuaria</v>
      </c>
      <c r="CE669" t="str">
        <v>330520 Reserva para extensión agropecuaria</v>
      </c>
      <c r="CS669" s="141" t="str">
        <v>330520 Reserva para extensión agropecuaria</v>
      </c>
      <c r="CT669" s="141" t="str">
        <v>330520 Reserva para extensión agropecuaria</v>
      </c>
      <c r="CU669" s="141" t="str">
        <v>330520 Reserva para extensión agropecuaria</v>
      </c>
      <c r="CV669" s="141" t="str">
        <v>330520 Reserva para extensión agropecuaria</v>
      </c>
      <c r="CW669" s="141" t="str">
        <v>330520 Reserva para extensión agropecuaria</v>
      </c>
      <c r="CX669" s="141" t="str">
        <v>330520 Reserva para extensión agropecuaria</v>
      </c>
      <c r="CY669" s="141" t="str">
        <v>330520 Reserva para extensión agropecuaria</v>
      </c>
      <c r="CZ669" s="141" t="str">
        <v>330520 Reserva para extensión agropecuaria</v>
      </c>
      <c r="DA669" s="141" t="str">
        <v>330520 Reserva para extensión agropecuaria</v>
      </c>
      <c r="DF669" t="str">
        <v>330520 Reserva para extensión agropecuaria</v>
      </c>
      <c r="DG669" t="str">
        <v>330520 Reserva para extensión agropecuaria</v>
      </c>
      <c r="DH669" t="str">
        <v>330520 Reserva para extensión agropecuaria</v>
      </c>
      <c r="DI669" t="str">
        <v>330520 Reserva para extensión agropecuaria</v>
      </c>
      <c r="DJ669" t="str">
        <v>330520 Reserva para extensión agropecuaria</v>
      </c>
      <c r="DK669" t="str">
        <v>330520 Reserva para extensión agropecuaria</v>
      </c>
      <c r="DL669" t="str">
        <v>330520 Reserva para extensión agropecuaria</v>
      </c>
      <c r="DM669" t="str">
        <v>330520 Reserva para extensión agropecuaria</v>
      </c>
      <c r="DN669" t="str">
        <v>330520 Reserva para extensión agropecuaria</v>
      </c>
      <c r="DO669" t="str">
        <v>330520 Reserva para extensión agropecuaria</v>
      </c>
      <c r="DP669" t="str">
        <v>330520 Reserva para extensión agropecuaria</v>
      </c>
    </row>
    <row r="670" spans="4:120" ht="12.75">
      <c r="D670" s="7">
        <v>330525</v>
      </c>
      <c r="E670" s="6" t="s">
        <v>500</v>
      </c>
      <c r="F670" s="5">
        <v>4</v>
      </c>
      <c r="G670" s="34" t="s">
        <v>827</v>
      </c>
      <c r="H670" s="8" t="s">
        <v>56</v>
      </c>
      <c r="I670" t="b">
        <f>+ISNUMBER(SEARCH('F-COMPRA'!$F$28,Tabla11[[#This Row],[Cuenta]],1))</f>
        <v>1</v>
      </c>
      <c r="J670" t="b">
        <f>+ISNUMBER(SEARCH('F-COMPRA'!$F$29,Tabla11[[#This Row],[Cuenta]],1))</f>
        <v>1</v>
      </c>
      <c r="K670" t="b">
        <f>+ISNUMBER(SEARCH('F-COMPRA'!$F$30,Tabla11[[#This Row],[Cuenta]],1))</f>
        <v>1</v>
      </c>
      <c r="L670" t="b">
        <f>+ISNUMBER(SEARCH('F-COMPRA'!$F$31,Tabla11[[#This Row],[Cuenta]],1))</f>
        <v>1</v>
      </c>
      <c r="M670" t="b">
        <f>+ISNUMBER(SEARCH('F-COMPRA'!$G$25,Tabla11[[#This Row],[Cuenta]],1))</f>
        <v>0</v>
      </c>
      <c r="N670" t="b">
        <f>+ISNUMBER(SEARCH(#REF!,Tabla11[[#This Row],[Cuenta]],1))</f>
        <v>0</v>
      </c>
      <c r="O670" t="b">
        <f>+ISNUMBER(SEARCH(#REF!,Tabla11[[#This Row],[Cuenta]],1))</f>
        <v>0</v>
      </c>
      <c r="P670" t="b">
        <f>+ISNUMBER(SEARCH('F-COMPRA'!$F$32,Tabla11[[#This Row],[Cuenta]],1))</f>
        <v>1</v>
      </c>
      <c r="Q670" t="b">
        <f>+ISNUMBER(SEARCH('F-COMPRA'!$F$33,Tabla11[[#This Row],[Cuenta]],1))</f>
        <v>1</v>
      </c>
      <c r="R670" t="b">
        <f>+ISNUMBER(SEARCH('F-COMPRA'!$F$34,Tabla11[[#This Row],[Cuenta]],1))</f>
        <v>1</v>
      </c>
      <c r="S670" t="b">
        <f>+ISNUMBER(SEARCH('F-COMPRA'!$F$35,Tabla11[[#This Row],[Cuenta]],1))</f>
        <v>1</v>
      </c>
      <c r="T670" t="b">
        <f>+ISNUMBER(SEARCH('F-COMPRA'!$F$36,Tabla11[[#This Row],[Cuenta]],1))</f>
        <v>1</v>
      </c>
      <c r="U670" t="b">
        <f>+ISNUMBER(SEARCH('F-COMPRA'!$F$37,Tabla11[[#This Row],[Cuenta]],1))</f>
        <v>1</v>
      </c>
      <c r="V670" t="b">
        <f>+ISNUMBER(SEARCH(#REF!,Tabla11[[#This Row],[Cuenta]],1))</f>
        <v>0</v>
      </c>
      <c r="W670" t="b">
        <f>+ISNUMBER(SEARCH('F-COMPRA'!#REF!,Tabla11[[#This Row],[Cuenta]],1))</f>
        <v>0</v>
      </c>
      <c r="X670" t="b">
        <f>+ISNUMBER(SEARCH('F-COMPRA'!#REF!,Tabla11[[#This Row],[Cuenta]],1))</f>
        <v>0</v>
      </c>
      <c r="Y670" t="b">
        <f>+ISNUMBER(SEARCH('F-COMPRA'!#REF!,Tabla11[[#This Row],[Cuenta]],1))</f>
        <v>0</v>
      </c>
      <c r="Z670" t="b">
        <f>+ISNUMBER(SEARCH('F-COMPRA'!#REF!,Tabla11[[#This Row],[Cuenta]],1))</f>
        <v>0</v>
      </c>
      <c r="AA670" t="b">
        <f>+ISNUMBER(SEARCH('F-COMPRA'!#REF!,Tabla11[[#This Row],[Cuenta]],1))</f>
        <v>0</v>
      </c>
      <c r="AB670" t="b">
        <f>+ISNUMBER(SEARCH('F-COMPRA'!#REF!,Tabla11[[#This Row],[Cuenta]],1))</f>
        <v>0</v>
      </c>
      <c r="AC670" t="b">
        <f>+ISNUMBER(SEARCH('F-COMPRA'!#REF!,Tabla11[[#This Row],[Cuenta]],1))</f>
        <v>0</v>
      </c>
      <c r="AD670" t="b">
        <f>+ISNUMBER(SEARCH('F-COMPRA'!#REF!,Tabla11[[#This Row],[Cuenta]],1))</f>
        <v>0</v>
      </c>
      <c r="AE670" t="b">
        <f>+ISNUMBER(SEARCH('F-COMPRA'!#REF!,Tabla11[[#This Row],[Cuenta]],1))</f>
        <v>0</v>
      </c>
      <c r="AF670" t="b">
        <f>+ISNUMBER(SEARCH('F-VTA'!$G$23,Tabla11[[#This Row],[Cuenta]],1))</f>
        <v>0</v>
      </c>
      <c r="AG670" t="b">
        <f>+ISNUMBER(SEARCH('F-VTA'!$G$24,Tabla11[[#This Row],[Cuenta]],1))</f>
        <v>0</v>
      </c>
      <c r="AH670" t="b">
        <f>+ISNUMBER(SEARCH('F-VTA'!$G$25,Tabla11[[#This Row],[Cuenta]],1))</f>
        <v>0</v>
      </c>
      <c r="AI670" t="b">
        <f>+ISNUMBER(SEARCH('F-VTA'!$F$28,Tabla11[[#This Row],[Cuenta]],1))</f>
        <v>1</v>
      </c>
      <c r="AJ670" t="b">
        <f>+ISNUMBER(SEARCH('F-VTA'!$F$29,Tabla11[[#This Row],[Cuenta]],1))</f>
        <v>1</v>
      </c>
      <c r="AK670" t="b">
        <f>+ISNUMBER(SEARCH('F-VTA'!$F$30,Tabla11[[#This Row],[Cuenta]],1))</f>
        <v>1</v>
      </c>
      <c r="AL670" t="b">
        <f>+ISNUMBER(SEARCH('F-VTA'!$F$31,Tabla11[[#This Row],[Cuenta]],1))</f>
        <v>1</v>
      </c>
      <c r="AM670" t="b">
        <f>+ISNUMBER(SEARCH('F-VTA'!$F$32,Tabla11[[#This Row],[Cuenta]],1))</f>
        <v>1</v>
      </c>
      <c r="AN670" t="b">
        <f>+ISNUMBER(SEARCH('F-VTA'!$F$33,Tabla11[[#This Row],[Cuenta]],1))</f>
        <v>1</v>
      </c>
      <c r="AO670" t="b">
        <f>+ISNUMBER(SEARCH('F-VTA'!$F$34,Tabla11[[#This Row],[Cuenta]],1))</f>
        <v>1</v>
      </c>
      <c r="AP670" t="b">
        <f>+ISNUMBER(SEARCH('F-VTA'!$F$35,Tabla11[[#This Row],[Cuenta]],1))</f>
        <v>1</v>
      </c>
      <c r="AQ670" t="b">
        <f>+ISNUMBER(SEARCH('F-VTA'!$F$36,Tabla11[[#This Row],[Cuenta]],1))</f>
        <v>1</v>
      </c>
      <c r="AR670" t="b">
        <f>+ISNUMBER(SEARCH(#REF!,Tabla11[[#This Row],[Cuenta]],1))</f>
        <v>0</v>
      </c>
      <c r="AS670" t="b">
        <f>+ISNUMBER(SEARCH(#REF!,Tabla11[[#This Row],[Cuenta]],1))</f>
        <v>0</v>
      </c>
      <c r="AT670" t="b">
        <f>+ISNUMBER(SEARCH(#REF!,Tabla11[[#This Row],[Cuenta]],1))</f>
        <v>0</v>
      </c>
      <c r="AU670" t="b">
        <f>+ISNUMBER(SEARCH('Conc. Ban.1'!$I$9,Tabla11[[#This Row],[Cuenta]],1))</f>
        <v>0</v>
      </c>
      <c r="AV670" t="b">
        <f>+ISNUMBER(SEARCH(CompConta!$F$21,Tabla11[[#This Row],[Cuenta]],1))</f>
        <v>1</v>
      </c>
      <c r="AW670" t="b">
        <f>+ISNUMBER(SEARCH(CompConta!$F$22,Tabla11[[#This Row],[Cuenta]],1))</f>
        <v>1</v>
      </c>
      <c r="AX670" t="b">
        <f>+ISNUMBER(SEARCH(CompConta!$F$23,Tabla11[[#This Row],[Cuenta]],1))</f>
        <v>1</v>
      </c>
      <c r="AY670" t="b">
        <f>+ISNUMBER(SEARCH(CompConta!$F$24,Tabla11[[#This Row],[Cuenta]],1))</f>
        <v>1</v>
      </c>
      <c r="AZ670" t="b">
        <f>+ISNUMBER(SEARCH(CompConta!$F$25,Tabla11[[#This Row],[Cuenta]],1))</f>
        <v>1</v>
      </c>
      <c r="BA670" t="b">
        <f>+ISNUMBER(SEARCH(CompConta!$F$26,Tabla11[[#This Row],[Cuenta]],1))</f>
        <v>1</v>
      </c>
      <c r="BB670" t="b">
        <f>+ISNUMBER(SEARCH(CompConta!$F$27,Tabla11[[#This Row],[Cuenta]],1))</f>
        <v>1</v>
      </c>
      <c r="BC670" t="b">
        <f>+ISNUMBER(SEARCH(CompConta!$F$28,Tabla11[[#This Row],[Cuenta]],1))</f>
        <v>1</v>
      </c>
      <c r="BD670" t="b">
        <f>+ISNUMBER(SEARCH(CompConta!$F$29,Tabla11[[#This Row],[Cuenta]],1))</f>
        <v>1</v>
      </c>
      <c r="BE670" t="b">
        <f>+ISNUMBER(SEARCH(CompConta!$F$30,Tabla11[[#This Row],[Cuenta]],1))</f>
        <v>1</v>
      </c>
      <c r="BF670" t="b">
        <f>+ISNUMBER(SEARCH('PAGO Compras'!$E$11,Tabla11[[#This Row],[Cuenta]],1))</f>
        <v>1</v>
      </c>
      <c r="BG670" t="b">
        <f>+ISNUMBER(SEARCH(#REF!,Tabla11[[#This Row],[Cuenta]],1))</f>
        <v>0</v>
      </c>
      <c r="BH670" t="b">
        <f>+ISNUMBER(SEARCH(#REF!,Tabla11[[#This Row],[Cuenta]],1))</f>
        <v>0</v>
      </c>
      <c r="BI670" t="b">
        <f>+ISNUMBER(SEARCH(#REF!,Tabla11[[#This Row],[Cuenta]],1))</f>
        <v>0</v>
      </c>
      <c r="BJ670" t="b">
        <f>+ISNUMBER(SEARCH(#REF!,Tabla11[[#This Row],[Cuenta]],1))</f>
        <v>0</v>
      </c>
      <c r="BS670" t="str">
        <v>330525 Reserva ley 78 de 1990</v>
      </c>
      <c r="BT670" t="str">
        <v>330525 Reserva ley 78 de 1990</v>
      </c>
      <c r="BU670" t="str">
        <v>330525 Reserva ley 78 de 1990</v>
      </c>
      <c r="BV670" t="str">
        <v>330525 Reserva ley 78 de 1990</v>
      </c>
      <c r="BZ670" t="str">
        <v>330525 Reserva ley 78 de 1990</v>
      </c>
      <c r="CA670" t="str">
        <v>330525 Reserva ley 78 de 1990</v>
      </c>
      <c r="CB670" t="str">
        <v>330525 Reserva ley 78 de 1990</v>
      </c>
      <c r="CC670" t="str">
        <v>330525 Reserva ley 78 de 1990</v>
      </c>
      <c r="CD670" t="str">
        <v>330525 Reserva ley 78 de 1990</v>
      </c>
      <c r="CE670" t="str">
        <v>330525 Reserva ley 78 de 1990</v>
      </c>
      <c r="CS670" s="141" t="str">
        <v>330525 Reserva ley 78 de 1990</v>
      </c>
      <c r="CT670" s="141" t="str">
        <v>330525 Reserva ley 78 de 1990</v>
      </c>
      <c r="CU670" s="141" t="str">
        <v>330525 Reserva ley 78 de 1990</v>
      </c>
      <c r="CV670" s="141" t="str">
        <v>330525 Reserva ley 78 de 1990</v>
      </c>
      <c r="CW670" s="141" t="str">
        <v>330525 Reserva ley 78 de 1990</v>
      </c>
      <c r="CX670" s="141" t="str">
        <v>330525 Reserva ley 78 de 1990</v>
      </c>
      <c r="CY670" s="141" t="str">
        <v>330525 Reserva ley 78 de 1990</v>
      </c>
      <c r="CZ670" s="141" t="str">
        <v>330525 Reserva ley 78 de 1990</v>
      </c>
      <c r="DA670" s="141" t="str">
        <v>330525 Reserva ley 78 de 1990</v>
      </c>
      <c r="DF670" t="str">
        <v>330525 Reserva ley 78 de 1990</v>
      </c>
      <c r="DG670" t="str">
        <v>330525 Reserva ley 78 de 1990</v>
      </c>
      <c r="DH670" t="str">
        <v>330525 Reserva ley 78 de 1990</v>
      </c>
      <c r="DI670" t="str">
        <v>330525 Reserva ley 78 de 1990</v>
      </c>
      <c r="DJ670" t="str">
        <v>330525 Reserva ley 78 de 1990</v>
      </c>
      <c r="DK670" t="str">
        <v>330525 Reserva ley 78 de 1990</v>
      </c>
      <c r="DL670" t="str">
        <v>330525 Reserva ley 78 de 1990</v>
      </c>
      <c r="DM670" t="str">
        <v>330525 Reserva ley 78 de 1990</v>
      </c>
      <c r="DN670" t="str">
        <v>330525 Reserva ley 78 de 1990</v>
      </c>
      <c r="DO670" t="str">
        <v>330525 Reserva ley 78 de 1990</v>
      </c>
      <c r="DP670" t="str">
        <v>330525 Reserva ley 78 de 1990</v>
      </c>
    </row>
    <row r="671" spans="4:120" ht="12.75">
      <c r="D671" s="7">
        <v>330530</v>
      </c>
      <c r="E671" s="6" t="s">
        <v>501</v>
      </c>
      <c r="F671" s="5">
        <v>4</v>
      </c>
      <c r="G671" s="34" t="s">
        <v>827</v>
      </c>
      <c r="H671" s="8" t="s">
        <v>56</v>
      </c>
      <c r="I671" t="b">
        <f>+ISNUMBER(SEARCH('F-COMPRA'!$F$28,Tabla11[[#This Row],[Cuenta]],1))</f>
        <v>1</v>
      </c>
      <c r="J671" t="b">
        <f>+ISNUMBER(SEARCH('F-COMPRA'!$F$29,Tabla11[[#This Row],[Cuenta]],1))</f>
        <v>1</v>
      </c>
      <c r="K671" t="b">
        <f>+ISNUMBER(SEARCH('F-COMPRA'!$F$30,Tabla11[[#This Row],[Cuenta]],1))</f>
        <v>1</v>
      </c>
      <c r="L671" t="b">
        <f>+ISNUMBER(SEARCH('F-COMPRA'!$F$31,Tabla11[[#This Row],[Cuenta]],1))</f>
        <v>1</v>
      </c>
      <c r="M671" t="b">
        <f>+ISNUMBER(SEARCH('F-COMPRA'!$G$25,Tabla11[[#This Row],[Cuenta]],1))</f>
        <v>0</v>
      </c>
      <c r="N671" t="b">
        <f>+ISNUMBER(SEARCH(#REF!,Tabla11[[#This Row],[Cuenta]],1))</f>
        <v>0</v>
      </c>
      <c r="O671" t="b">
        <f>+ISNUMBER(SEARCH(#REF!,Tabla11[[#This Row],[Cuenta]],1))</f>
        <v>0</v>
      </c>
      <c r="P671" t="b">
        <f>+ISNUMBER(SEARCH('F-COMPRA'!$F$32,Tabla11[[#This Row],[Cuenta]],1))</f>
        <v>1</v>
      </c>
      <c r="Q671" t="b">
        <f>+ISNUMBER(SEARCH('F-COMPRA'!$F$33,Tabla11[[#This Row],[Cuenta]],1))</f>
        <v>1</v>
      </c>
      <c r="R671" t="b">
        <f>+ISNUMBER(SEARCH('F-COMPRA'!$F$34,Tabla11[[#This Row],[Cuenta]],1))</f>
        <v>1</v>
      </c>
      <c r="S671" t="b">
        <f>+ISNUMBER(SEARCH('F-COMPRA'!$F$35,Tabla11[[#This Row],[Cuenta]],1))</f>
        <v>1</v>
      </c>
      <c r="T671" t="b">
        <f>+ISNUMBER(SEARCH('F-COMPRA'!$F$36,Tabla11[[#This Row],[Cuenta]],1))</f>
        <v>1</v>
      </c>
      <c r="U671" t="b">
        <f>+ISNUMBER(SEARCH('F-COMPRA'!$F$37,Tabla11[[#This Row],[Cuenta]],1))</f>
        <v>1</v>
      </c>
      <c r="V671" t="b">
        <f>+ISNUMBER(SEARCH(#REF!,Tabla11[[#This Row],[Cuenta]],1))</f>
        <v>0</v>
      </c>
      <c r="W671" t="b">
        <f>+ISNUMBER(SEARCH('F-COMPRA'!#REF!,Tabla11[[#This Row],[Cuenta]],1))</f>
        <v>0</v>
      </c>
      <c r="X671" t="b">
        <f>+ISNUMBER(SEARCH('F-COMPRA'!#REF!,Tabla11[[#This Row],[Cuenta]],1))</f>
        <v>0</v>
      </c>
      <c r="Y671" t="b">
        <f>+ISNUMBER(SEARCH('F-COMPRA'!#REF!,Tabla11[[#This Row],[Cuenta]],1))</f>
        <v>0</v>
      </c>
      <c r="Z671" t="b">
        <f>+ISNUMBER(SEARCH('F-COMPRA'!#REF!,Tabla11[[#This Row],[Cuenta]],1))</f>
        <v>0</v>
      </c>
      <c r="AA671" t="b">
        <f>+ISNUMBER(SEARCH('F-COMPRA'!#REF!,Tabla11[[#This Row],[Cuenta]],1))</f>
        <v>0</v>
      </c>
      <c r="AB671" t="b">
        <f>+ISNUMBER(SEARCH('F-COMPRA'!#REF!,Tabla11[[#This Row],[Cuenta]],1))</f>
        <v>0</v>
      </c>
      <c r="AC671" t="b">
        <f>+ISNUMBER(SEARCH('F-COMPRA'!#REF!,Tabla11[[#This Row],[Cuenta]],1))</f>
        <v>0</v>
      </c>
      <c r="AD671" t="b">
        <f>+ISNUMBER(SEARCH('F-COMPRA'!#REF!,Tabla11[[#This Row],[Cuenta]],1))</f>
        <v>0</v>
      </c>
      <c r="AE671" t="b">
        <f>+ISNUMBER(SEARCH('F-COMPRA'!#REF!,Tabla11[[#This Row],[Cuenta]],1))</f>
        <v>0</v>
      </c>
      <c r="AF671" t="b">
        <f>+ISNUMBER(SEARCH('F-VTA'!$G$23,Tabla11[[#This Row],[Cuenta]],1))</f>
        <v>0</v>
      </c>
      <c r="AG671" t="b">
        <f>+ISNUMBER(SEARCH('F-VTA'!$G$24,Tabla11[[#This Row],[Cuenta]],1))</f>
        <v>0</v>
      </c>
      <c r="AH671" t="b">
        <f>+ISNUMBER(SEARCH('F-VTA'!$G$25,Tabla11[[#This Row],[Cuenta]],1))</f>
        <v>0</v>
      </c>
      <c r="AI671" t="b">
        <f>+ISNUMBER(SEARCH('F-VTA'!$F$28,Tabla11[[#This Row],[Cuenta]],1))</f>
        <v>1</v>
      </c>
      <c r="AJ671" t="b">
        <f>+ISNUMBER(SEARCH('F-VTA'!$F$29,Tabla11[[#This Row],[Cuenta]],1))</f>
        <v>1</v>
      </c>
      <c r="AK671" t="b">
        <f>+ISNUMBER(SEARCH('F-VTA'!$F$30,Tabla11[[#This Row],[Cuenta]],1))</f>
        <v>1</v>
      </c>
      <c r="AL671" t="b">
        <f>+ISNUMBER(SEARCH('F-VTA'!$F$31,Tabla11[[#This Row],[Cuenta]],1))</f>
        <v>1</v>
      </c>
      <c r="AM671" t="b">
        <f>+ISNUMBER(SEARCH('F-VTA'!$F$32,Tabla11[[#This Row],[Cuenta]],1))</f>
        <v>1</v>
      </c>
      <c r="AN671" t="b">
        <f>+ISNUMBER(SEARCH('F-VTA'!$F$33,Tabla11[[#This Row],[Cuenta]],1))</f>
        <v>1</v>
      </c>
      <c r="AO671" t="b">
        <f>+ISNUMBER(SEARCH('F-VTA'!$F$34,Tabla11[[#This Row],[Cuenta]],1))</f>
        <v>1</v>
      </c>
      <c r="AP671" t="b">
        <f>+ISNUMBER(SEARCH('F-VTA'!$F$35,Tabla11[[#This Row],[Cuenta]],1))</f>
        <v>1</v>
      </c>
      <c r="AQ671" t="b">
        <f>+ISNUMBER(SEARCH('F-VTA'!$F$36,Tabla11[[#This Row],[Cuenta]],1))</f>
        <v>1</v>
      </c>
      <c r="AR671" t="b">
        <f>+ISNUMBER(SEARCH(#REF!,Tabla11[[#This Row],[Cuenta]],1))</f>
        <v>0</v>
      </c>
      <c r="AS671" t="b">
        <f>+ISNUMBER(SEARCH(#REF!,Tabla11[[#This Row],[Cuenta]],1))</f>
        <v>0</v>
      </c>
      <c r="AT671" t="b">
        <f>+ISNUMBER(SEARCH(#REF!,Tabla11[[#This Row],[Cuenta]],1))</f>
        <v>0</v>
      </c>
      <c r="AU671" t="b">
        <f>+ISNUMBER(SEARCH('Conc. Ban.1'!$I$9,Tabla11[[#This Row],[Cuenta]],1))</f>
        <v>0</v>
      </c>
      <c r="AV671" t="b">
        <f>+ISNUMBER(SEARCH(CompConta!$F$21,Tabla11[[#This Row],[Cuenta]],1))</f>
        <v>1</v>
      </c>
      <c r="AW671" t="b">
        <f>+ISNUMBER(SEARCH(CompConta!$F$22,Tabla11[[#This Row],[Cuenta]],1))</f>
        <v>1</v>
      </c>
      <c r="AX671" t="b">
        <f>+ISNUMBER(SEARCH(CompConta!$F$23,Tabla11[[#This Row],[Cuenta]],1))</f>
        <v>1</v>
      </c>
      <c r="AY671" t="b">
        <f>+ISNUMBER(SEARCH(CompConta!$F$24,Tabla11[[#This Row],[Cuenta]],1))</f>
        <v>1</v>
      </c>
      <c r="AZ671" t="b">
        <f>+ISNUMBER(SEARCH(CompConta!$F$25,Tabla11[[#This Row],[Cuenta]],1))</f>
        <v>1</v>
      </c>
      <c r="BA671" t="b">
        <f>+ISNUMBER(SEARCH(CompConta!$F$26,Tabla11[[#This Row],[Cuenta]],1))</f>
        <v>1</v>
      </c>
      <c r="BB671" t="b">
        <f>+ISNUMBER(SEARCH(CompConta!$F$27,Tabla11[[#This Row],[Cuenta]],1))</f>
        <v>1</v>
      </c>
      <c r="BC671" t="b">
        <f>+ISNUMBER(SEARCH(CompConta!$F$28,Tabla11[[#This Row],[Cuenta]],1))</f>
        <v>1</v>
      </c>
      <c r="BD671" t="b">
        <f>+ISNUMBER(SEARCH(CompConta!$F$29,Tabla11[[#This Row],[Cuenta]],1))</f>
        <v>1</v>
      </c>
      <c r="BE671" t="b">
        <f>+ISNUMBER(SEARCH(CompConta!$F$30,Tabla11[[#This Row],[Cuenta]],1))</f>
        <v>1</v>
      </c>
      <c r="BF671" t="b">
        <f>+ISNUMBER(SEARCH('PAGO Compras'!$E$11,Tabla11[[#This Row],[Cuenta]],1))</f>
        <v>1</v>
      </c>
      <c r="BG671" t="b">
        <f>+ISNUMBER(SEARCH(#REF!,Tabla11[[#This Row],[Cuenta]],1))</f>
        <v>0</v>
      </c>
      <c r="BH671" t="b">
        <f>+ISNUMBER(SEARCH(#REF!,Tabla11[[#This Row],[Cuenta]],1))</f>
        <v>0</v>
      </c>
      <c r="BI671" t="b">
        <f>+ISNUMBER(SEARCH(#REF!,Tabla11[[#This Row],[Cuenta]],1))</f>
        <v>0</v>
      </c>
      <c r="BJ671" t="b">
        <f>+ISNUMBER(SEARCH(#REF!,Tabla11[[#This Row],[Cuenta]],1))</f>
        <v>0</v>
      </c>
      <c r="BS671" t="str">
        <v>330530 Reserva para reposición de semovientes</v>
      </c>
      <c r="BT671" t="str">
        <v>330530 Reserva para reposición de semovientes</v>
      </c>
      <c r="BU671" t="str">
        <v>330530 Reserva para reposición de semovientes</v>
      </c>
      <c r="BV671" t="str">
        <v>330530 Reserva para reposición de semovientes</v>
      </c>
      <c r="BZ671" t="str">
        <v>330530 Reserva para reposición de semovientes</v>
      </c>
      <c r="CA671" t="str">
        <v>330530 Reserva para reposición de semovientes</v>
      </c>
      <c r="CB671" t="str">
        <v>330530 Reserva para reposición de semovientes</v>
      </c>
      <c r="CC671" t="str">
        <v>330530 Reserva para reposición de semovientes</v>
      </c>
      <c r="CD671" t="str">
        <v>330530 Reserva para reposición de semovientes</v>
      </c>
      <c r="CE671" t="str">
        <v>330530 Reserva para reposición de semovientes</v>
      </c>
      <c r="CS671" s="141" t="str">
        <v>330530 Reserva para reposición de semovientes</v>
      </c>
      <c r="CT671" s="141" t="str">
        <v>330530 Reserva para reposición de semovientes</v>
      </c>
      <c r="CU671" s="141" t="str">
        <v>330530 Reserva para reposición de semovientes</v>
      </c>
      <c r="CV671" s="141" t="str">
        <v>330530 Reserva para reposición de semovientes</v>
      </c>
      <c r="CW671" s="141" t="str">
        <v>330530 Reserva para reposición de semovientes</v>
      </c>
      <c r="CX671" s="141" t="str">
        <v>330530 Reserva para reposición de semovientes</v>
      </c>
      <c r="CY671" s="141" t="str">
        <v>330530 Reserva para reposición de semovientes</v>
      </c>
      <c r="CZ671" s="141" t="str">
        <v>330530 Reserva para reposición de semovientes</v>
      </c>
      <c r="DA671" s="141" t="str">
        <v>330530 Reserva para reposición de semovientes</v>
      </c>
      <c r="DF671" t="str">
        <v>330530 Reserva para reposición de semovientes</v>
      </c>
      <c r="DG671" t="str">
        <v>330530 Reserva para reposición de semovientes</v>
      </c>
      <c r="DH671" t="str">
        <v>330530 Reserva para reposición de semovientes</v>
      </c>
      <c r="DI671" t="str">
        <v>330530 Reserva para reposición de semovientes</v>
      </c>
      <c r="DJ671" t="str">
        <v>330530 Reserva para reposición de semovientes</v>
      </c>
      <c r="DK671" t="str">
        <v>330530 Reserva para reposición de semovientes</v>
      </c>
      <c r="DL671" t="str">
        <v>330530 Reserva para reposición de semovientes</v>
      </c>
      <c r="DM671" t="str">
        <v>330530 Reserva para reposición de semovientes</v>
      </c>
      <c r="DN671" t="str">
        <v>330530 Reserva para reposición de semovientes</v>
      </c>
      <c r="DO671" t="str">
        <v>330530 Reserva para reposición de semovientes</v>
      </c>
      <c r="DP671" t="str">
        <v>330530 Reserva para reposición de semovientes</v>
      </c>
    </row>
    <row r="672" spans="4:120" ht="12.75">
      <c r="D672" s="7">
        <v>330535</v>
      </c>
      <c r="E672" s="6" t="s">
        <v>502</v>
      </c>
      <c r="F672" s="5">
        <v>4</v>
      </c>
      <c r="G672" s="34" t="s">
        <v>827</v>
      </c>
      <c r="H672" s="8" t="s">
        <v>56</v>
      </c>
      <c r="I672" t="b">
        <f>+ISNUMBER(SEARCH('F-COMPRA'!$F$28,Tabla11[[#This Row],[Cuenta]],1))</f>
        <v>1</v>
      </c>
      <c r="J672" t="b">
        <f>+ISNUMBER(SEARCH('F-COMPRA'!$F$29,Tabla11[[#This Row],[Cuenta]],1))</f>
        <v>1</v>
      </c>
      <c r="K672" t="b">
        <f>+ISNUMBER(SEARCH('F-COMPRA'!$F$30,Tabla11[[#This Row],[Cuenta]],1))</f>
        <v>1</v>
      </c>
      <c r="L672" t="b">
        <f>+ISNUMBER(SEARCH('F-COMPRA'!$F$31,Tabla11[[#This Row],[Cuenta]],1))</f>
        <v>1</v>
      </c>
      <c r="M672" t="b">
        <f>+ISNUMBER(SEARCH('F-COMPRA'!$G$25,Tabla11[[#This Row],[Cuenta]],1))</f>
        <v>0</v>
      </c>
      <c r="N672" t="b">
        <f>+ISNUMBER(SEARCH(#REF!,Tabla11[[#This Row],[Cuenta]],1))</f>
        <v>0</v>
      </c>
      <c r="O672" t="b">
        <f>+ISNUMBER(SEARCH(#REF!,Tabla11[[#This Row],[Cuenta]],1))</f>
        <v>0</v>
      </c>
      <c r="P672" t="b">
        <f>+ISNUMBER(SEARCH('F-COMPRA'!$F$32,Tabla11[[#This Row],[Cuenta]],1))</f>
        <v>1</v>
      </c>
      <c r="Q672" t="b">
        <f>+ISNUMBER(SEARCH('F-COMPRA'!$F$33,Tabla11[[#This Row],[Cuenta]],1))</f>
        <v>1</v>
      </c>
      <c r="R672" t="b">
        <f>+ISNUMBER(SEARCH('F-COMPRA'!$F$34,Tabla11[[#This Row],[Cuenta]],1))</f>
        <v>1</v>
      </c>
      <c r="S672" t="b">
        <f>+ISNUMBER(SEARCH('F-COMPRA'!$F$35,Tabla11[[#This Row],[Cuenta]],1))</f>
        <v>1</v>
      </c>
      <c r="T672" t="b">
        <f>+ISNUMBER(SEARCH('F-COMPRA'!$F$36,Tabla11[[#This Row],[Cuenta]],1))</f>
        <v>1</v>
      </c>
      <c r="U672" t="b">
        <f>+ISNUMBER(SEARCH('F-COMPRA'!$F$37,Tabla11[[#This Row],[Cuenta]],1))</f>
        <v>1</v>
      </c>
      <c r="V672" t="b">
        <f>+ISNUMBER(SEARCH(#REF!,Tabla11[[#This Row],[Cuenta]],1))</f>
        <v>0</v>
      </c>
      <c r="W672" t="b">
        <f>+ISNUMBER(SEARCH('F-COMPRA'!#REF!,Tabla11[[#This Row],[Cuenta]],1))</f>
        <v>0</v>
      </c>
      <c r="X672" t="b">
        <f>+ISNUMBER(SEARCH('F-COMPRA'!#REF!,Tabla11[[#This Row],[Cuenta]],1))</f>
        <v>0</v>
      </c>
      <c r="Y672" t="b">
        <f>+ISNUMBER(SEARCH('F-COMPRA'!#REF!,Tabla11[[#This Row],[Cuenta]],1))</f>
        <v>0</v>
      </c>
      <c r="Z672" t="b">
        <f>+ISNUMBER(SEARCH('F-COMPRA'!#REF!,Tabla11[[#This Row],[Cuenta]],1))</f>
        <v>0</v>
      </c>
      <c r="AA672" t="b">
        <f>+ISNUMBER(SEARCH('F-COMPRA'!#REF!,Tabla11[[#This Row],[Cuenta]],1))</f>
        <v>0</v>
      </c>
      <c r="AB672" t="b">
        <f>+ISNUMBER(SEARCH('F-COMPRA'!#REF!,Tabla11[[#This Row],[Cuenta]],1))</f>
        <v>0</v>
      </c>
      <c r="AC672" t="b">
        <f>+ISNUMBER(SEARCH('F-COMPRA'!#REF!,Tabla11[[#This Row],[Cuenta]],1))</f>
        <v>0</v>
      </c>
      <c r="AD672" t="b">
        <f>+ISNUMBER(SEARCH('F-COMPRA'!#REF!,Tabla11[[#This Row],[Cuenta]],1))</f>
        <v>0</v>
      </c>
      <c r="AE672" t="b">
        <f>+ISNUMBER(SEARCH('F-COMPRA'!#REF!,Tabla11[[#This Row],[Cuenta]],1))</f>
        <v>0</v>
      </c>
      <c r="AF672" t="b">
        <f>+ISNUMBER(SEARCH('F-VTA'!$G$23,Tabla11[[#This Row],[Cuenta]],1))</f>
        <v>0</v>
      </c>
      <c r="AG672" t="b">
        <f>+ISNUMBER(SEARCH('F-VTA'!$G$24,Tabla11[[#This Row],[Cuenta]],1))</f>
        <v>0</v>
      </c>
      <c r="AH672" t="b">
        <f>+ISNUMBER(SEARCH('F-VTA'!$G$25,Tabla11[[#This Row],[Cuenta]],1))</f>
        <v>0</v>
      </c>
      <c r="AI672" t="b">
        <f>+ISNUMBER(SEARCH('F-VTA'!$F$28,Tabla11[[#This Row],[Cuenta]],1))</f>
        <v>1</v>
      </c>
      <c r="AJ672" t="b">
        <f>+ISNUMBER(SEARCH('F-VTA'!$F$29,Tabla11[[#This Row],[Cuenta]],1))</f>
        <v>1</v>
      </c>
      <c r="AK672" t="b">
        <f>+ISNUMBER(SEARCH('F-VTA'!$F$30,Tabla11[[#This Row],[Cuenta]],1))</f>
        <v>1</v>
      </c>
      <c r="AL672" t="b">
        <f>+ISNUMBER(SEARCH('F-VTA'!$F$31,Tabla11[[#This Row],[Cuenta]],1))</f>
        <v>1</v>
      </c>
      <c r="AM672" t="b">
        <f>+ISNUMBER(SEARCH('F-VTA'!$F$32,Tabla11[[#This Row],[Cuenta]],1))</f>
        <v>1</v>
      </c>
      <c r="AN672" t="b">
        <f>+ISNUMBER(SEARCH('F-VTA'!$F$33,Tabla11[[#This Row],[Cuenta]],1))</f>
        <v>1</v>
      </c>
      <c r="AO672" t="b">
        <f>+ISNUMBER(SEARCH('F-VTA'!$F$34,Tabla11[[#This Row],[Cuenta]],1))</f>
        <v>1</v>
      </c>
      <c r="AP672" t="b">
        <f>+ISNUMBER(SEARCH('F-VTA'!$F$35,Tabla11[[#This Row],[Cuenta]],1))</f>
        <v>1</v>
      </c>
      <c r="AQ672" t="b">
        <f>+ISNUMBER(SEARCH('F-VTA'!$F$36,Tabla11[[#This Row],[Cuenta]],1))</f>
        <v>1</v>
      </c>
      <c r="AR672" t="b">
        <f>+ISNUMBER(SEARCH(#REF!,Tabla11[[#This Row],[Cuenta]],1))</f>
        <v>0</v>
      </c>
      <c r="AS672" t="b">
        <f>+ISNUMBER(SEARCH(#REF!,Tabla11[[#This Row],[Cuenta]],1))</f>
        <v>0</v>
      </c>
      <c r="AT672" t="b">
        <f>+ISNUMBER(SEARCH(#REF!,Tabla11[[#This Row],[Cuenta]],1))</f>
        <v>0</v>
      </c>
      <c r="AU672" t="b">
        <f>+ISNUMBER(SEARCH('Conc. Ban.1'!$I$9,Tabla11[[#This Row],[Cuenta]],1))</f>
        <v>0</v>
      </c>
      <c r="AV672" t="b">
        <f>+ISNUMBER(SEARCH(CompConta!$F$21,Tabla11[[#This Row],[Cuenta]],1))</f>
        <v>1</v>
      </c>
      <c r="AW672" t="b">
        <f>+ISNUMBER(SEARCH(CompConta!$F$22,Tabla11[[#This Row],[Cuenta]],1))</f>
        <v>1</v>
      </c>
      <c r="AX672" t="b">
        <f>+ISNUMBER(SEARCH(CompConta!$F$23,Tabla11[[#This Row],[Cuenta]],1))</f>
        <v>1</v>
      </c>
      <c r="AY672" t="b">
        <f>+ISNUMBER(SEARCH(CompConta!$F$24,Tabla11[[#This Row],[Cuenta]],1))</f>
        <v>1</v>
      </c>
      <c r="AZ672" t="b">
        <f>+ISNUMBER(SEARCH(CompConta!$F$25,Tabla11[[#This Row],[Cuenta]],1))</f>
        <v>1</v>
      </c>
      <c r="BA672" t="b">
        <f>+ISNUMBER(SEARCH(CompConta!$F$26,Tabla11[[#This Row],[Cuenta]],1))</f>
        <v>1</v>
      </c>
      <c r="BB672" t="b">
        <f>+ISNUMBER(SEARCH(CompConta!$F$27,Tabla11[[#This Row],[Cuenta]],1))</f>
        <v>1</v>
      </c>
      <c r="BC672" t="b">
        <f>+ISNUMBER(SEARCH(CompConta!$F$28,Tabla11[[#This Row],[Cuenta]],1))</f>
        <v>1</v>
      </c>
      <c r="BD672" t="b">
        <f>+ISNUMBER(SEARCH(CompConta!$F$29,Tabla11[[#This Row],[Cuenta]],1))</f>
        <v>1</v>
      </c>
      <c r="BE672" t="b">
        <f>+ISNUMBER(SEARCH(CompConta!$F$30,Tabla11[[#This Row],[Cuenta]],1))</f>
        <v>1</v>
      </c>
      <c r="BF672" t="b">
        <f>+ISNUMBER(SEARCH('PAGO Compras'!$E$11,Tabla11[[#This Row],[Cuenta]],1))</f>
        <v>1</v>
      </c>
      <c r="BG672" t="b">
        <f>+ISNUMBER(SEARCH(#REF!,Tabla11[[#This Row],[Cuenta]],1))</f>
        <v>0</v>
      </c>
      <c r="BH672" t="b">
        <f>+ISNUMBER(SEARCH(#REF!,Tabla11[[#This Row],[Cuenta]],1))</f>
        <v>0</v>
      </c>
      <c r="BI672" t="b">
        <f>+ISNUMBER(SEARCH(#REF!,Tabla11[[#This Row],[Cuenta]],1))</f>
        <v>0</v>
      </c>
      <c r="BJ672" t="b">
        <f>+ISNUMBER(SEARCH(#REF!,Tabla11[[#This Row],[Cuenta]],1))</f>
        <v>0</v>
      </c>
      <c r="BS672" t="str">
        <v>330535 Reserva ley 4ta de 1980</v>
      </c>
      <c r="BT672" t="str">
        <v>330535 Reserva ley 4ta de 1980</v>
      </c>
      <c r="BU672" t="str">
        <v>330535 Reserva ley 4ta de 1980</v>
      </c>
      <c r="BV672" t="str">
        <v>330535 Reserva ley 4ta de 1980</v>
      </c>
      <c r="BZ672" t="str">
        <v>330535 Reserva ley 4ta de 1980</v>
      </c>
      <c r="CA672" t="str">
        <v>330535 Reserva ley 4ta de 1980</v>
      </c>
      <c r="CB672" t="str">
        <v>330535 Reserva ley 4ta de 1980</v>
      </c>
      <c r="CC672" t="str">
        <v>330535 Reserva ley 4ta de 1980</v>
      </c>
      <c r="CD672" t="str">
        <v>330535 Reserva ley 4ta de 1980</v>
      </c>
      <c r="CE672" t="str">
        <v>330535 Reserva ley 4ta de 1980</v>
      </c>
      <c r="CS672" s="141" t="str">
        <v>330535 Reserva ley 4ta de 1980</v>
      </c>
      <c r="CT672" s="141" t="str">
        <v>330535 Reserva ley 4ta de 1980</v>
      </c>
      <c r="CU672" s="141" t="str">
        <v>330535 Reserva ley 4ta de 1980</v>
      </c>
      <c r="CV672" s="141" t="str">
        <v>330535 Reserva ley 4ta de 1980</v>
      </c>
      <c r="CW672" s="141" t="str">
        <v>330535 Reserva ley 4ta de 1980</v>
      </c>
      <c r="CX672" s="141" t="str">
        <v>330535 Reserva ley 4ta de 1980</v>
      </c>
      <c r="CY672" s="141" t="str">
        <v>330535 Reserva ley 4ta de 1980</v>
      </c>
      <c r="CZ672" s="141" t="str">
        <v>330535 Reserva ley 4ta de 1980</v>
      </c>
      <c r="DA672" s="141" t="str">
        <v>330535 Reserva ley 4ta de 1980</v>
      </c>
      <c r="DF672" t="str">
        <v>330535 Reserva ley 4ta de 1980</v>
      </c>
      <c r="DG672" t="str">
        <v>330535 Reserva ley 4ta de 1980</v>
      </c>
      <c r="DH672" t="str">
        <v>330535 Reserva ley 4ta de 1980</v>
      </c>
      <c r="DI672" t="str">
        <v>330535 Reserva ley 4ta de 1980</v>
      </c>
      <c r="DJ672" t="str">
        <v>330535 Reserva ley 4ta de 1980</v>
      </c>
      <c r="DK672" t="str">
        <v>330535 Reserva ley 4ta de 1980</v>
      </c>
      <c r="DL672" t="str">
        <v>330535 Reserva ley 4ta de 1980</v>
      </c>
      <c r="DM672" t="str">
        <v>330535 Reserva ley 4ta de 1980</v>
      </c>
      <c r="DN672" t="str">
        <v>330535 Reserva ley 4ta de 1980</v>
      </c>
      <c r="DO672" t="str">
        <v>330535 Reserva ley 4ta de 1980</v>
      </c>
      <c r="DP672" t="str">
        <v>330535 Reserva ley 4ta de 1980</v>
      </c>
    </row>
    <row r="673" spans="4:120" ht="12.75">
      <c r="D673" s="7">
        <v>330595</v>
      </c>
      <c r="E673" s="6" t="s">
        <v>46</v>
      </c>
      <c r="F673" s="5">
        <v>4</v>
      </c>
      <c r="G673" s="34" t="s">
        <v>827</v>
      </c>
      <c r="H673" s="8" t="s">
        <v>56</v>
      </c>
      <c r="I673" t="b">
        <f>+ISNUMBER(SEARCH('F-COMPRA'!$F$28,Tabla11[[#This Row],[Cuenta]],1))</f>
        <v>1</v>
      </c>
      <c r="J673" t="b">
        <f>+ISNUMBER(SEARCH('F-COMPRA'!$F$29,Tabla11[[#This Row],[Cuenta]],1))</f>
        <v>1</v>
      </c>
      <c r="K673" t="b">
        <f>+ISNUMBER(SEARCH('F-COMPRA'!$F$30,Tabla11[[#This Row],[Cuenta]],1))</f>
        <v>1</v>
      </c>
      <c r="L673" t="b">
        <f>+ISNUMBER(SEARCH('F-COMPRA'!$F$31,Tabla11[[#This Row],[Cuenta]],1))</f>
        <v>1</v>
      </c>
      <c r="M673" t="b">
        <f>+ISNUMBER(SEARCH('F-COMPRA'!$G$25,Tabla11[[#This Row],[Cuenta]],1))</f>
        <v>0</v>
      </c>
      <c r="N673" t="b">
        <f>+ISNUMBER(SEARCH(#REF!,Tabla11[[#This Row],[Cuenta]],1))</f>
        <v>0</v>
      </c>
      <c r="O673" t="b">
        <f>+ISNUMBER(SEARCH(#REF!,Tabla11[[#This Row],[Cuenta]],1))</f>
        <v>0</v>
      </c>
      <c r="P673" t="b">
        <f>+ISNUMBER(SEARCH('F-COMPRA'!$F$32,Tabla11[[#This Row],[Cuenta]],1))</f>
        <v>1</v>
      </c>
      <c r="Q673" t="b">
        <f>+ISNUMBER(SEARCH('F-COMPRA'!$F$33,Tabla11[[#This Row],[Cuenta]],1))</f>
        <v>1</v>
      </c>
      <c r="R673" t="b">
        <f>+ISNUMBER(SEARCH('F-COMPRA'!$F$34,Tabla11[[#This Row],[Cuenta]],1))</f>
        <v>1</v>
      </c>
      <c r="S673" t="b">
        <f>+ISNUMBER(SEARCH('F-COMPRA'!$F$35,Tabla11[[#This Row],[Cuenta]],1))</f>
        <v>1</v>
      </c>
      <c r="T673" t="b">
        <f>+ISNUMBER(SEARCH('F-COMPRA'!$F$36,Tabla11[[#This Row],[Cuenta]],1))</f>
        <v>1</v>
      </c>
      <c r="U673" t="b">
        <f>+ISNUMBER(SEARCH('F-COMPRA'!$F$37,Tabla11[[#This Row],[Cuenta]],1))</f>
        <v>1</v>
      </c>
      <c r="V673" t="b">
        <f>+ISNUMBER(SEARCH(#REF!,Tabla11[[#This Row],[Cuenta]],1))</f>
        <v>0</v>
      </c>
      <c r="W673" t="b">
        <f>+ISNUMBER(SEARCH('F-COMPRA'!#REF!,Tabla11[[#This Row],[Cuenta]],1))</f>
        <v>0</v>
      </c>
      <c r="X673" t="b">
        <f>+ISNUMBER(SEARCH('F-COMPRA'!#REF!,Tabla11[[#This Row],[Cuenta]],1))</f>
        <v>0</v>
      </c>
      <c r="Y673" t="b">
        <f>+ISNUMBER(SEARCH('F-COMPRA'!#REF!,Tabla11[[#This Row],[Cuenta]],1))</f>
        <v>0</v>
      </c>
      <c r="Z673" t="b">
        <f>+ISNUMBER(SEARCH('F-COMPRA'!#REF!,Tabla11[[#This Row],[Cuenta]],1))</f>
        <v>0</v>
      </c>
      <c r="AA673" t="b">
        <f>+ISNUMBER(SEARCH('F-COMPRA'!#REF!,Tabla11[[#This Row],[Cuenta]],1))</f>
        <v>0</v>
      </c>
      <c r="AB673" t="b">
        <f>+ISNUMBER(SEARCH('F-COMPRA'!#REF!,Tabla11[[#This Row],[Cuenta]],1))</f>
        <v>0</v>
      </c>
      <c r="AC673" t="b">
        <f>+ISNUMBER(SEARCH('F-COMPRA'!#REF!,Tabla11[[#This Row],[Cuenta]],1))</f>
        <v>0</v>
      </c>
      <c r="AD673" t="b">
        <f>+ISNUMBER(SEARCH('F-COMPRA'!#REF!,Tabla11[[#This Row],[Cuenta]],1))</f>
        <v>0</v>
      </c>
      <c r="AE673" t="b">
        <f>+ISNUMBER(SEARCH('F-COMPRA'!#REF!,Tabla11[[#This Row],[Cuenta]],1))</f>
        <v>0</v>
      </c>
      <c r="AF673" t="b">
        <f>+ISNUMBER(SEARCH('F-VTA'!$G$23,Tabla11[[#This Row],[Cuenta]],1))</f>
        <v>0</v>
      </c>
      <c r="AG673" t="b">
        <f>+ISNUMBER(SEARCH('F-VTA'!$G$24,Tabla11[[#This Row],[Cuenta]],1))</f>
        <v>0</v>
      </c>
      <c r="AH673" t="b">
        <f>+ISNUMBER(SEARCH('F-VTA'!$G$25,Tabla11[[#This Row],[Cuenta]],1))</f>
        <v>0</v>
      </c>
      <c r="AI673" t="b">
        <f>+ISNUMBER(SEARCH('F-VTA'!$F$28,Tabla11[[#This Row],[Cuenta]],1))</f>
        <v>1</v>
      </c>
      <c r="AJ673" t="b">
        <f>+ISNUMBER(SEARCH('F-VTA'!$F$29,Tabla11[[#This Row],[Cuenta]],1))</f>
        <v>1</v>
      </c>
      <c r="AK673" t="b">
        <f>+ISNUMBER(SEARCH('F-VTA'!$F$30,Tabla11[[#This Row],[Cuenta]],1))</f>
        <v>1</v>
      </c>
      <c r="AL673" t="b">
        <f>+ISNUMBER(SEARCH('F-VTA'!$F$31,Tabla11[[#This Row],[Cuenta]],1))</f>
        <v>1</v>
      </c>
      <c r="AM673" t="b">
        <f>+ISNUMBER(SEARCH('F-VTA'!$F$32,Tabla11[[#This Row],[Cuenta]],1))</f>
        <v>1</v>
      </c>
      <c r="AN673" t="b">
        <f>+ISNUMBER(SEARCH('F-VTA'!$F$33,Tabla11[[#This Row],[Cuenta]],1))</f>
        <v>1</v>
      </c>
      <c r="AO673" t="b">
        <f>+ISNUMBER(SEARCH('F-VTA'!$F$34,Tabla11[[#This Row],[Cuenta]],1))</f>
        <v>1</v>
      </c>
      <c r="AP673" t="b">
        <f>+ISNUMBER(SEARCH('F-VTA'!$F$35,Tabla11[[#This Row],[Cuenta]],1))</f>
        <v>1</v>
      </c>
      <c r="AQ673" t="b">
        <f>+ISNUMBER(SEARCH('F-VTA'!$F$36,Tabla11[[#This Row],[Cuenta]],1))</f>
        <v>1</v>
      </c>
      <c r="AR673" t="b">
        <f>+ISNUMBER(SEARCH(#REF!,Tabla11[[#This Row],[Cuenta]],1))</f>
        <v>0</v>
      </c>
      <c r="AS673" t="b">
        <f>+ISNUMBER(SEARCH(#REF!,Tabla11[[#This Row],[Cuenta]],1))</f>
        <v>0</v>
      </c>
      <c r="AT673" t="b">
        <f>+ISNUMBER(SEARCH(#REF!,Tabla11[[#This Row],[Cuenta]],1))</f>
        <v>0</v>
      </c>
      <c r="AU673" t="b">
        <f>+ISNUMBER(SEARCH('Conc. Ban.1'!$I$9,Tabla11[[#This Row],[Cuenta]],1))</f>
        <v>0</v>
      </c>
      <c r="AV673" t="b">
        <f>+ISNUMBER(SEARCH(CompConta!$F$21,Tabla11[[#This Row],[Cuenta]],1))</f>
        <v>1</v>
      </c>
      <c r="AW673" t="b">
        <f>+ISNUMBER(SEARCH(CompConta!$F$22,Tabla11[[#This Row],[Cuenta]],1))</f>
        <v>1</v>
      </c>
      <c r="AX673" t="b">
        <f>+ISNUMBER(SEARCH(CompConta!$F$23,Tabla11[[#This Row],[Cuenta]],1))</f>
        <v>1</v>
      </c>
      <c r="AY673" t="b">
        <f>+ISNUMBER(SEARCH(CompConta!$F$24,Tabla11[[#This Row],[Cuenta]],1))</f>
        <v>1</v>
      </c>
      <c r="AZ673" t="b">
        <f>+ISNUMBER(SEARCH(CompConta!$F$25,Tabla11[[#This Row],[Cuenta]],1))</f>
        <v>1</v>
      </c>
      <c r="BA673" t="b">
        <f>+ISNUMBER(SEARCH(CompConta!$F$26,Tabla11[[#This Row],[Cuenta]],1))</f>
        <v>1</v>
      </c>
      <c r="BB673" t="b">
        <f>+ISNUMBER(SEARCH(CompConta!$F$27,Tabla11[[#This Row],[Cuenta]],1))</f>
        <v>1</v>
      </c>
      <c r="BC673" t="b">
        <f>+ISNUMBER(SEARCH(CompConta!$F$28,Tabla11[[#This Row],[Cuenta]],1))</f>
        <v>1</v>
      </c>
      <c r="BD673" t="b">
        <f>+ISNUMBER(SEARCH(CompConta!$F$29,Tabla11[[#This Row],[Cuenta]],1))</f>
        <v>1</v>
      </c>
      <c r="BE673" t="b">
        <f>+ISNUMBER(SEARCH(CompConta!$F$30,Tabla11[[#This Row],[Cuenta]],1))</f>
        <v>1</v>
      </c>
      <c r="BF673" t="b">
        <f>+ISNUMBER(SEARCH('PAGO Compras'!$E$11,Tabla11[[#This Row],[Cuenta]],1))</f>
        <v>1</v>
      </c>
      <c r="BG673" t="b">
        <f>+ISNUMBER(SEARCH(#REF!,Tabla11[[#This Row],[Cuenta]],1))</f>
        <v>0</v>
      </c>
      <c r="BH673" t="b">
        <f>+ISNUMBER(SEARCH(#REF!,Tabla11[[#This Row],[Cuenta]],1))</f>
        <v>0</v>
      </c>
      <c r="BI673" t="b">
        <f>+ISNUMBER(SEARCH(#REF!,Tabla11[[#This Row],[Cuenta]],1))</f>
        <v>0</v>
      </c>
      <c r="BJ673" t="b">
        <f>+ISNUMBER(SEARCH(#REF!,Tabla11[[#This Row],[Cuenta]],1))</f>
        <v>0</v>
      </c>
      <c r="BS673" t="str">
        <v>330595 Otras</v>
      </c>
      <c r="BT673" t="str">
        <v>330595 Otras</v>
      </c>
      <c r="BU673" t="str">
        <v>330595 Otras</v>
      </c>
      <c r="BV673" t="str">
        <v>330595 Otras</v>
      </c>
      <c r="BZ673" t="str">
        <v>330595 Otras</v>
      </c>
      <c r="CA673" t="str">
        <v>330595 Otras</v>
      </c>
      <c r="CB673" t="str">
        <v>330595 Otras</v>
      </c>
      <c r="CC673" t="str">
        <v>330595 Otras</v>
      </c>
      <c r="CD673" t="str">
        <v>330595 Otras</v>
      </c>
      <c r="CE673" t="str">
        <v>330595 Otras</v>
      </c>
      <c r="CS673" s="141" t="str">
        <v>330595 Otras</v>
      </c>
      <c r="CT673" s="141" t="str">
        <v>330595 Otras</v>
      </c>
      <c r="CU673" s="141" t="str">
        <v>330595 Otras</v>
      </c>
      <c r="CV673" s="141" t="str">
        <v>330595 Otras</v>
      </c>
      <c r="CW673" s="141" t="str">
        <v>330595 Otras</v>
      </c>
      <c r="CX673" s="141" t="str">
        <v>330595 Otras</v>
      </c>
      <c r="CY673" s="141" t="str">
        <v>330595 Otras</v>
      </c>
      <c r="CZ673" s="141" t="str">
        <v>330595 Otras</v>
      </c>
      <c r="DA673" s="141" t="str">
        <v>330595 Otras</v>
      </c>
      <c r="DF673" t="str">
        <v>330595 Otras</v>
      </c>
      <c r="DG673" t="str">
        <v>330595 Otras</v>
      </c>
      <c r="DH673" t="str">
        <v>330595 Otras</v>
      </c>
      <c r="DI673" t="str">
        <v>330595 Otras</v>
      </c>
      <c r="DJ673" t="str">
        <v>330595 Otras</v>
      </c>
      <c r="DK673" t="str">
        <v>330595 Otras</v>
      </c>
      <c r="DL673" t="str">
        <v>330595 Otras</v>
      </c>
      <c r="DM673" t="str">
        <v>330595 Otras</v>
      </c>
      <c r="DN673" t="str">
        <v>330595 Otras</v>
      </c>
      <c r="DO673" t="str">
        <v>330595 Otras</v>
      </c>
      <c r="DP673" t="str">
        <v>330595 Otras</v>
      </c>
    </row>
    <row r="674" spans="4:120" ht="12.75">
      <c r="D674" s="7">
        <v>36</v>
      </c>
      <c r="E674" s="6" t="s">
        <v>791</v>
      </c>
      <c r="F674" s="5">
        <v>2</v>
      </c>
      <c r="G674" s="34" t="s">
        <v>827</v>
      </c>
      <c r="H674" s="8" t="s">
        <v>765</v>
      </c>
      <c r="I674" t="b">
        <f>+ISNUMBER(SEARCH('F-COMPRA'!$F$28,Tabla11[[#This Row],[Cuenta]],1))</f>
        <v>1</v>
      </c>
      <c r="J674" t="b">
        <f>+ISNUMBER(SEARCH('F-COMPRA'!$F$29,Tabla11[[#This Row],[Cuenta]],1))</f>
        <v>1</v>
      </c>
      <c r="K674" t="b">
        <f>+ISNUMBER(SEARCH('F-COMPRA'!$F$30,Tabla11[[#This Row],[Cuenta]],1))</f>
        <v>1</v>
      </c>
      <c r="L674" t="b">
        <f>+ISNUMBER(SEARCH('F-COMPRA'!$F$31,Tabla11[[#This Row],[Cuenta]],1))</f>
        <v>1</v>
      </c>
      <c r="M674" t="b">
        <f>+ISNUMBER(SEARCH('F-COMPRA'!$G$25,Tabla11[[#This Row],[Cuenta]],1))</f>
        <v>0</v>
      </c>
      <c r="N674" t="b">
        <f>+ISNUMBER(SEARCH(#REF!,Tabla11[[#This Row],[Cuenta]],1))</f>
        <v>0</v>
      </c>
      <c r="O674" t="b">
        <f>+ISNUMBER(SEARCH(#REF!,Tabla11[[#This Row],[Cuenta]],1))</f>
        <v>0</v>
      </c>
      <c r="P674" t="b">
        <f>+ISNUMBER(SEARCH('F-COMPRA'!$F$32,Tabla11[[#This Row],[Cuenta]],1))</f>
        <v>1</v>
      </c>
      <c r="Q674" t="b">
        <f>+ISNUMBER(SEARCH('F-COMPRA'!$F$33,Tabla11[[#This Row],[Cuenta]],1))</f>
        <v>1</v>
      </c>
      <c r="R674" t="b">
        <f>+ISNUMBER(SEARCH('F-COMPRA'!$F$34,Tabla11[[#This Row],[Cuenta]],1))</f>
        <v>1</v>
      </c>
      <c r="S674" t="b">
        <f>+ISNUMBER(SEARCH('F-COMPRA'!$F$35,Tabla11[[#This Row],[Cuenta]],1))</f>
        <v>1</v>
      </c>
      <c r="T674" t="b">
        <f>+ISNUMBER(SEARCH('F-COMPRA'!$F$36,Tabla11[[#This Row],[Cuenta]],1))</f>
        <v>1</v>
      </c>
      <c r="U674" t="b">
        <f>+ISNUMBER(SEARCH('F-COMPRA'!$F$37,Tabla11[[#This Row],[Cuenta]],1))</f>
        <v>1</v>
      </c>
      <c r="V674" t="b">
        <f>+ISNUMBER(SEARCH(#REF!,Tabla11[[#This Row],[Cuenta]],1))</f>
        <v>0</v>
      </c>
      <c r="W674" t="b">
        <f>+ISNUMBER(SEARCH('F-COMPRA'!#REF!,Tabla11[[#This Row],[Cuenta]],1))</f>
        <v>0</v>
      </c>
      <c r="X674" t="b">
        <f>+ISNUMBER(SEARCH('F-COMPRA'!#REF!,Tabla11[[#This Row],[Cuenta]],1))</f>
        <v>0</v>
      </c>
      <c r="Y674" t="b">
        <f>+ISNUMBER(SEARCH('F-COMPRA'!#REF!,Tabla11[[#This Row],[Cuenta]],1))</f>
        <v>0</v>
      </c>
      <c r="Z674" t="b">
        <f>+ISNUMBER(SEARCH('F-COMPRA'!#REF!,Tabla11[[#This Row],[Cuenta]],1))</f>
        <v>0</v>
      </c>
      <c r="AA674" t="b">
        <f>+ISNUMBER(SEARCH('F-COMPRA'!#REF!,Tabla11[[#This Row],[Cuenta]],1))</f>
        <v>0</v>
      </c>
      <c r="AB674" t="b">
        <f>+ISNUMBER(SEARCH('F-COMPRA'!#REF!,Tabla11[[#This Row],[Cuenta]],1))</f>
        <v>0</v>
      </c>
      <c r="AC674" t="b">
        <f>+ISNUMBER(SEARCH('F-COMPRA'!#REF!,Tabla11[[#This Row],[Cuenta]],1))</f>
        <v>0</v>
      </c>
      <c r="AD674" t="b">
        <f>+ISNUMBER(SEARCH('F-COMPRA'!#REF!,Tabla11[[#This Row],[Cuenta]],1))</f>
        <v>0</v>
      </c>
      <c r="AE674" t="b">
        <f>+ISNUMBER(SEARCH('F-COMPRA'!#REF!,Tabla11[[#This Row],[Cuenta]],1))</f>
        <v>0</v>
      </c>
      <c r="AF674" t="b">
        <f>+ISNUMBER(SEARCH('F-VTA'!$G$23,Tabla11[[#This Row],[Cuenta]],1))</f>
        <v>0</v>
      </c>
      <c r="AG674" t="b">
        <f>+ISNUMBER(SEARCH('F-VTA'!$G$24,Tabla11[[#This Row],[Cuenta]],1))</f>
        <v>0</v>
      </c>
      <c r="AH674" t="b">
        <f>+ISNUMBER(SEARCH('F-VTA'!$G$25,Tabla11[[#This Row],[Cuenta]],1))</f>
        <v>0</v>
      </c>
      <c r="AI674" t="b">
        <f>+ISNUMBER(SEARCH('F-VTA'!$F$28,Tabla11[[#This Row],[Cuenta]],1))</f>
        <v>1</v>
      </c>
      <c r="AJ674" t="b">
        <f>+ISNUMBER(SEARCH('F-VTA'!$F$29,Tabla11[[#This Row],[Cuenta]],1))</f>
        <v>1</v>
      </c>
      <c r="AK674" t="b">
        <f>+ISNUMBER(SEARCH('F-VTA'!$F$30,Tabla11[[#This Row],[Cuenta]],1))</f>
        <v>1</v>
      </c>
      <c r="AL674" t="b">
        <f>+ISNUMBER(SEARCH('F-VTA'!$F$31,Tabla11[[#This Row],[Cuenta]],1))</f>
        <v>1</v>
      </c>
      <c r="AM674" t="b">
        <f>+ISNUMBER(SEARCH('F-VTA'!$F$32,Tabla11[[#This Row],[Cuenta]],1))</f>
        <v>1</v>
      </c>
      <c r="AN674" t="b">
        <f>+ISNUMBER(SEARCH('F-VTA'!$F$33,Tabla11[[#This Row],[Cuenta]],1))</f>
        <v>1</v>
      </c>
      <c r="AO674" t="b">
        <f>+ISNUMBER(SEARCH('F-VTA'!$F$34,Tabla11[[#This Row],[Cuenta]],1))</f>
        <v>1</v>
      </c>
      <c r="AP674" t="b">
        <f>+ISNUMBER(SEARCH('F-VTA'!$F$35,Tabla11[[#This Row],[Cuenta]],1))</f>
        <v>1</v>
      </c>
      <c r="AQ674" t="b">
        <f>+ISNUMBER(SEARCH('F-VTA'!$F$36,Tabla11[[#This Row],[Cuenta]],1))</f>
        <v>1</v>
      </c>
      <c r="AR674" t="b">
        <f>+ISNUMBER(SEARCH(#REF!,Tabla11[[#This Row],[Cuenta]],1))</f>
        <v>0</v>
      </c>
      <c r="AS674" t="b">
        <f>+ISNUMBER(SEARCH(#REF!,Tabla11[[#This Row],[Cuenta]],1))</f>
        <v>0</v>
      </c>
      <c r="AT674" t="b">
        <f>+ISNUMBER(SEARCH(#REF!,Tabla11[[#This Row],[Cuenta]],1))</f>
        <v>0</v>
      </c>
      <c r="AU674" t="b">
        <f>+ISNUMBER(SEARCH('Conc. Ban.1'!$I$9,Tabla11[[#This Row],[Cuenta]],1))</f>
        <v>0</v>
      </c>
      <c r="AV674" t="b">
        <f>+ISNUMBER(SEARCH(CompConta!$F$21,Tabla11[[#This Row],[Cuenta]],1))</f>
        <v>1</v>
      </c>
      <c r="AW674" t="b">
        <f>+ISNUMBER(SEARCH(CompConta!$F$22,Tabla11[[#This Row],[Cuenta]],1))</f>
        <v>1</v>
      </c>
      <c r="AX674" t="b">
        <f>+ISNUMBER(SEARCH(CompConta!$F$23,Tabla11[[#This Row],[Cuenta]],1))</f>
        <v>1</v>
      </c>
      <c r="AY674" t="b">
        <f>+ISNUMBER(SEARCH(CompConta!$F$24,Tabla11[[#This Row],[Cuenta]],1))</f>
        <v>1</v>
      </c>
      <c r="AZ674" t="b">
        <f>+ISNUMBER(SEARCH(CompConta!$F$25,Tabla11[[#This Row],[Cuenta]],1))</f>
        <v>1</v>
      </c>
      <c r="BA674" t="b">
        <f>+ISNUMBER(SEARCH(CompConta!$F$26,Tabla11[[#This Row],[Cuenta]],1))</f>
        <v>1</v>
      </c>
      <c r="BB674" t="b">
        <f>+ISNUMBER(SEARCH(CompConta!$F$27,Tabla11[[#This Row],[Cuenta]],1))</f>
        <v>1</v>
      </c>
      <c r="BC674" t="b">
        <f>+ISNUMBER(SEARCH(CompConta!$F$28,Tabla11[[#This Row],[Cuenta]],1))</f>
        <v>1</v>
      </c>
      <c r="BD674" t="b">
        <f>+ISNUMBER(SEARCH(CompConta!$F$29,Tabla11[[#This Row],[Cuenta]],1))</f>
        <v>1</v>
      </c>
      <c r="BE674" t="b">
        <f>+ISNUMBER(SEARCH(CompConta!$F$30,Tabla11[[#This Row],[Cuenta]],1))</f>
        <v>1</v>
      </c>
      <c r="BF674" t="b">
        <f>+ISNUMBER(SEARCH('PAGO Compras'!$E$11,Tabla11[[#This Row],[Cuenta]],1))</f>
        <v>1</v>
      </c>
      <c r="BG674" t="b">
        <f>+ISNUMBER(SEARCH(#REF!,Tabla11[[#This Row],[Cuenta]],1))</f>
        <v>0</v>
      </c>
      <c r="BH674" t="b">
        <f>+ISNUMBER(SEARCH(#REF!,Tabla11[[#This Row],[Cuenta]],1))</f>
        <v>0</v>
      </c>
      <c r="BI674" t="b">
        <f>+ISNUMBER(SEARCH(#REF!,Tabla11[[#This Row],[Cuenta]],1))</f>
        <v>0</v>
      </c>
      <c r="BJ674" t="b">
        <f>+ISNUMBER(SEARCH(#REF!,Tabla11[[#This Row],[Cuenta]],1))</f>
        <v>0</v>
      </c>
      <c r="BS674" t="str">
        <v>36 RESULTADOS DEL EJERCICIO</v>
      </c>
      <c r="BT674" t="str">
        <v>36 RESULTADOS DEL EJERCICIO</v>
      </c>
      <c r="BU674" t="str">
        <v>36 RESULTADOS DEL EJERCICIO</v>
      </c>
      <c r="BV674" t="str">
        <v>36 RESULTADOS DEL EJERCICIO</v>
      </c>
      <c r="BZ674" t="str">
        <v>36 RESULTADOS DEL EJERCICIO</v>
      </c>
      <c r="CA674" t="str">
        <v>36 RESULTADOS DEL EJERCICIO</v>
      </c>
      <c r="CB674" t="str">
        <v>36 RESULTADOS DEL EJERCICIO</v>
      </c>
      <c r="CC674" t="str">
        <v>36 RESULTADOS DEL EJERCICIO</v>
      </c>
      <c r="CD674" t="str">
        <v>36 RESULTADOS DEL EJERCICIO</v>
      </c>
      <c r="CE674" t="str">
        <v>36 RESULTADOS DEL EJERCICIO</v>
      </c>
      <c r="CS674" s="141" t="str">
        <v>36 RESULTADOS DEL EJERCICIO</v>
      </c>
      <c r="CT674" s="141" t="str">
        <v>36 RESULTADOS DEL EJERCICIO</v>
      </c>
      <c r="CU674" s="141" t="str">
        <v>36 RESULTADOS DEL EJERCICIO</v>
      </c>
      <c r="CV674" s="141" t="str">
        <v>36 RESULTADOS DEL EJERCICIO</v>
      </c>
      <c r="CW674" s="141" t="str">
        <v>36 RESULTADOS DEL EJERCICIO</v>
      </c>
      <c r="CX674" s="141" t="str">
        <v>36 RESULTADOS DEL EJERCICIO</v>
      </c>
      <c r="CY674" s="141" t="str">
        <v>36 RESULTADOS DEL EJERCICIO</v>
      </c>
      <c r="CZ674" s="141" t="str">
        <v>36 RESULTADOS DEL EJERCICIO</v>
      </c>
      <c r="DA674" s="141" t="str">
        <v>36 RESULTADOS DEL EJERCICIO</v>
      </c>
      <c r="DF674" t="str">
        <v>36 RESULTADOS DEL EJERCICIO</v>
      </c>
      <c r="DG674" t="str">
        <v>36 RESULTADOS DEL EJERCICIO</v>
      </c>
      <c r="DH674" t="str">
        <v>36 RESULTADOS DEL EJERCICIO</v>
      </c>
      <c r="DI674" t="str">
        <v>36 RESULTADOS DEL EJERCICIO</v>
      </c>
      <c r="DJ674" t="str">
        <v>36 RESULTADOS DEL EJERCICIO</v>
      </c>
      <c r="DK674" t="str">
        <v>36 RESULTADOS DEL EJERCICIO</v>
      </c>
      <c r="DL674" t="str">
        <v>36 RESULTADOS DEL EJERCICIO</v>
      </c>
      <c r="DM674" t="str">
        <v>36 RESULTADOS DEL EJERCICIO</v>
      </c>
      <c r="DN674" t="str">
        <v>36 RESULTADOS DEL EJERCICIO</v>
      </c>
      <c r="DO674" t="str">
        <v>36 RESULTADOS DEL EJERCICIO</v>
      </c>
      <c r="DP674" t="str">
        <v>36 RESULTADOS DEL EJERCICIO</v>
      </c>
    </row>
    <row r="675" spans="4:120" ht="12.75">
      <c r="D675" s="7">
        <v>3615</v>
      </c>
      <c r="E675" s="6" t="s">
        <v>792</v>
      </c>
      <c r="F675" s="5">
        <v>3</v>
      </c>
      <c r="G675" s="34" t="s">
        <v>827</v>
      </c>
      <c r="H675" s="8" t="s">
        <v>765</v>
      </c>
      <c r="I675" t="b">
        <f>+ISNUMBER(SEARCH('F-COMPRA'!$F$28,Tabla11[[#This Row],[Cuenta]],1))</f>
        <v>1</v>
      </c>
      <c r="J675" t="b">
        <f>+ISNUMBER(SEARCH('F-COMPRA'!$F$29,Tabla11[[#This Row],[Cuenta]],1))</f>
        <v>1</v>
      </c>
      <c r="K675" t="b">
        <f>+ISNUMBER(SEARCH('F-COMPRA'!$F$30,Tabla11[[#This Row],[Cuenta]],1))</f>
        <v>1</v>
      </c>
      <c r="L675" t="b">
        <f>+ISNUMBER(SEARCH('F-COMPRA'!$F$31,Tabla11[[#This Row],[Cuenta]],1))</f>
        <v>1</v>
      </c>
      <c r="M675" t="b">
        <f>+ISNUMBER(SEARCH('F-COMPRA'!$G$25,Tabla11[[#This Row],[Cuenta]],1))</f>
        <v>0</v>
      </c>
      <c r="N675" t="b">
        <f>+ISNUMBER(SEARCH(#REF!,Tabla11[[#This Row],[Cuenta]],1))</f>
        <v>0</v>
      </c>
      <c r="O675" t="b">
        <f>+ISNUMBER(SEARCH(#REF!,Tabla11[[#This Row],[Cuenta]],1))</f>
        <v>0</v>
      </c>
      <c r="P675" t="b">
        <f>+ISNUMBER(SEARCH('F-COMPRA'!$F$32,Tabla11[[#This Row],[Cuenta]],1))</f>
        <v>1</v>
      </c>
      <c r="Q675" t="b">
        <f>+ISNUMBER(SEARCH('F-COMPRA'!$F$33,Tabla11[[#This Row],[Cuenta]],1))</f>
        <v>1</v>
      </c>
      <c r="R675" t="b">
        <f>+ISNUMBER(SEARCH('F-COMPRA'!$F$34,Tabla11[[#This Row],[Cuenta]],1))</f>
        <v>1</v>
      </c>
      <c r="S675" t="b">
        <f>+ISNUMBER(SEARCH('F-COMPRA'!$F$35,Tabla11[[#This Row],[Cuenta]],1))</f>
        <v>1</v>
      </c>
      <c r="T675" t="b">
        <f>+ISNUMBER(SEARCH('F-COMPRA'!$F$36,Tabla11[[#This Row],[Cuenta]],1))</f>
        <v>1</v>
      </c>
      <c r="U675" t="b">
        <f>+ISNUMBER(SEARCH('F-COMPRA'!$F$37,Tabla11[[#This Row],[Cuenta]],1))</f>
        <v>1</v>
      </c>
      <c r="V675" t="b">
        <f>+ISNUMBER(SEARCH(#REF!,Tabla11[[#This Row],[Cuenta]],1))</f>
        <v>0</v>
      </c>
      <c r="W675" t="b">
        <f>+ISNUMBER(SEARCH('F-COMPRA'!#REF!,Tabla11[[#This Row],[Cuenta]],1))</f>
        <v>0</v>
      </c>
      <c r="X675" t="b">
        <f>+ISNUMBER(SEARCH('F-COMPRA'!#REF!,Tabla11[[#This Row],[Cuenta]],1))</f>
        <v>0</v>
      </c>
      <c r="Y675" t="b">
        <f>+ISNUMBER(SEARCH('F-COMPRA'!#REF!,Tabla11[[#This Row],[Cuenta]],1))</f>
        <v>0</v>
      </c>
      <c r="Z675" t="b">
        <f>+ISNUMBER(SEARCH('F-COMPRA'!#REF!,Tabla11[[#This Row],[Cuenta]],1))</f>
        <v>0</v>
      </c>
      <c r="AA675" t="b">
        <f>+ISNUMBER(SEARCH('F-COMPRA'!#REF!,Tabla11[[#This Row],[Cuenta]],1))</f>
        <v>0</v>
      </c>
      <c r="AB675" t="b">
        <f>+ISNUMBER(SEARCH('F-COMPRA'!#REF!,Tabla11[[#This Row],[Cuenta]],1))</f>
        <v>0</v>
      </c>
      <c r="AC675" t="b">
        <f>+ISNUMBER(SEARCH('F-COMPRA'!#REF!,Tabla11[[#This Row],[Cuenta]],1))</f>
        <v>0</v>
      </c>
      <c r="AD675" t="b">
        <f>+ISNUMBER(SEARCH('F-COMPRA'!#REF!,Tabla11[[#This Row],[Cuenta]],1))</f>
        <v>0</v>
      </c>
      <c r="AE675" t="b">
        <f>+ISNUMBER(SEARCH('F-COMPRA'!#REF!,Tabla11[[#This Row],[Cuenta]],1))</f>
        <v>0</v>
      </c>
      <c r="AF675" t="b">
        <f>+ISNUMBER(SEARCH('F-VTA'!$G$23,Tabla11[[#This Row],[Cuenta]],1))</f>
        <v>0</v>
      </c>
      <c r="AG675" t="b">
        <f>+ISNUMBER(SEARCH('F-VTA'!$G$24,Tabla11[[#This Row],[Cuenta]],1))</f>
        <v>0</v>
      </c>
      <c r="AH675" t="b">
        <f>+ISNUMBER(SEARCH('F-VTA'!$G$25,Tabla11[[#This Row],[Cuenta]],1))</f>
        <v>0</v>
      </c>
      <c r="AI675" t="b">
        <f>+ISNUMBER(SEARCH('F-VTA'!$F$28,Tabla11[[#This Row],[Cuenta]],1))</f>
        <v>1</v>
      </c>
      <c r="AJ675" t="b">
        <f>+ISNUMBER(SEARCH('F-VTA'!$F$29,Tabla11[[#This Row],[Cuenta]],1))</f>
        <v>1</v>
      </c>
      <c r="AK675" t="b">
        <f>+ISNUMBER(SEARCH('F-VTA'!$F$30,Tabla11[[#This Row],[Cuenta]],1))</f>
        <v>1</v>
      </c>
      <c r="AL675" t="b">
        <f>+ISNUMBER(SEARCH('F-VTA'!$F$31,Tabla11[[#This Row],[Cuenta]],1))</f>
        <v>1</v>
      </c>
      <c r="AM675" t="b">
        <f>+ISNUMBER(SEARCH('F-VTA'!$F$32,Tabla11[[#This Row],[Cuenta]],1))</f>
        <v>1</v>
      </c>
      <c r="AN675" t="b">
        <f>+ISNUMBER(SEARCH('F-VTA'!$F$33,Tabla11[[#This Row],[Cuenta]],1))</f>
        <v>1</v>
      </c>
      <c r="AO675" t="b">
        <f>+ISNUMBER(SEARCH('F-VTA'!$F$34,Tabla11[[#This Row],[Cuenta]],1))</f>
        <v>1</v>
      </c>
      <c r="AP675" t="b">
        <f>+ISNUMBER(SEARCH('F-VTA'!$F$35,Tabla11[[#This Row],[Cuenta]],1))</f>
        <v>1</v>
      </c>
      <c r="AQ675" t="b">
        <f>+ISNUMBER(SEARCH('F-VTA'!$F$36,Tabla11[[#This Row],[Cuenta]],1))</f>
        <v>1</v>
      </c>
      <c r="AR675" t="b">
        <f>+ISNUMBER(SEARCH(#REF!,Tabla11[[#This Row],[Cuenta]],1))</f>
        <v>0</v>
      </c>
      <c r="AS675" t="b">
        <f>+ISNUMBER(SEARCH(#REF!,Tabla11[[#This Row],[Cuenta]],1))</f>
        <v>0</v>
      </c>
      <c r="AT675" t="b">
        <f>+ISNUMBER(SEARCH(#REF!,Tabla11[[#This Row],[Cuenta]],1))</f>
        <v>0</v>
      </c>
      <c r="AU675" t="b">
        <f>+ISNUMBER(SEARCH('Conc. Ban.1'!$I$9,Tabla11[[#This Row],[Cuenta]],1))</f>
        <v>0</v>
      </c>
      <c r="AV675" t="b">
        <f>+ISNUMBER(SEARCH(CompConta!$F$21,Tabla11[[#This Row],[Cuenta]],1))</f>
        <v>1</v>
      </c>
      <c r="AW675" t="b">
        <f>+ISNUMBER(SEARCH(CompConta!$F$22,Tabla11[[#This Row],[Cuenta]],1))</f>
        <v>1</v>
      </c>
      <c r="AX675" t="b">
        <f>+ISNUMBER(SEARCH(CompConta!$F$23,Tabla11[[#This Row],[Cuenta]],1))</f>
        <v>1</v>
      </c>
      <c r="AY675" t="b">
        <f>+ISNUMBER(SEARCH(CompConta!$F$24,Tabla11[[#This Row],[Cuenta]],1))</f>
        <v>1</v>
      </c>
      <c r="AZ675" t="b">
        <f>+ISNUMBER(SEARCH(CompConta!$F$25,Tabla11[[#This Row],[Cuenta]],1))</f>
        <v>1</v>
      </c>
      <c r="BA675" t="b">
        <f>+ISNUMBER(SEARCH(CompConta!$F$26,Tabla11[[#This Row],[Cuenta]],1))</f>
        <v>1</v>
      </c>
      <c r="BB675" t="b">
        <f>+ISNUMBER(SEARCH(CompConta!$F$27,Tabla11[[#This Row],[Cuenta]],1))</f>
        <v>1</v>
      </c>
      <c r="BC675" t="b">
        <f>+ISNUMBER(SEARCH(CompConta!$F$28,Tabla11[[#This Row],[Cuenta]],1))</f>
        <v>1</v>
      </c>
      <c r="BD675" t="b">
        <f>+ISNUMBER(SEARCH(CompConta!$F$29,Tabla11[[#This Row],[Cuenta]],1))</f>
        <v>1</v>
      </c>
      <c r="BE675" t="b">
        <f>+ISNUMBER(SEARCH(CompConta!$F$30,Tabla11[[#This Row],[Cuenta]],1))</f>
        <v>1</v>
      </c>
      <c r="BF675" t="b">
        <f>+ISNUMBER(SEARCH('PAGO Compras'!$E$11,Tabla11[[#This Row],[Cuenta]],1))</f>
        <v>1</v>
      </c>
      <c r="BG675" t="b">
        <f>+ISNUMBER(SEARCH(#REF!,Tabla11[[#This Row],[Cuenta]],1))</f>
        <v>0</v>
      </c>
      <c r="BH675" t="b">
        <f>+ISNUMBER(SEARCH(#REF!,Tabla11[[#This Row],[Cuenta]],1))</f>
        <v>0</v>
      </c>
      <c r="BI675" t="b">
        <f>+ISNUMBER(SEARCH(#REF!,Tabla11[[#This Row],[Cuenta]],1))</f>
        <v>0</v>
      </c>
      <c r="BJ675" t="b">
        <f>+ISNUMBER(SEARCH(#REF!,Tabla11[[#This Row],[Cuenta]],1))</f>
        <v>0</v>
      </c>
      <c r="BS675" t="str">
        <v>3615 EXCEDENTES DEL EJERCICIO</v>
      </c>
      <c r="BT675" t="str">
        <v>3615 EXCEDENTES DEL EJERCICIO</v>
      </c>
      <c r="BU675" t="str">
        <v>3615 EXCEDENTES DEL EJERCICIO</v>
      </c>
      <c r="BV675" t="str">
        <v>3615 EXCEDENTES DEL EJERCICIO</v>
      </c>
      <c r="BZ675" t="str">
        <v>3615 EXCEDENTES DEL EJERCICIO</v>
      </c>
      <c r="CA675" t="str">
        <v>3615 EXCEDENTES DEL EJERCICIO</v>
      </c>
      <c r="CB675" t="str">
        <v>3615 EXCEDENTES DEL EJERCICIO</v>
      </c>
      <c r="CC675" t="str">
        <v>3615 EXCEDENTES DEL EJERCICIO</v>
      </c>
      <c r="CD675" t="str">
        <v>3615 EXCEDENTES DEL EJERCICIO</v>
      </c>
      <c r="CE675" t="str">
        <v>3615 EXCEDENTES DEL EJERCICIO</v>
      </c>
      <c r="CS675" s="141" t="str">
        <v>3615 EXCEDENTES DEL EJERCICIO</v>
      </c>
      <c r="CT675" s="141" t="str">
        <v>3615 EXCEDENTES DEL EJERCICIO</v>
      </c>
      <c r="CU675" s="141" t="str">
        <v>3615 EXCEDENTES DEL EJERCICIO</v>
      </c>
      <c r="CV675" s="141" t="str">
        <v>3615 EXCEDENTES DEL EJERCICIO</v>
      </c>
      <c r="CW675" s="141" t="str">
        <v>3615 EXCEDENTES DEL EJERCICIO</v>
      </c>
      <c r="CX675" s="141" t="str">
        <v>3615 EXCEDENTES DEL EJERCICIO</v>
      </c>
      <c r="CY675" s="141" t="str">
        <v>3615 EXCEDENTES DEL EJERCICIO</v>
      </c>
      <c r="CZ675" s="141" t="str">
        <v>3615 EXCEDENTES DEL EJERCICIO</v>
      </c>
      <c r="DA675" s="141" t="str">
        <v>3615 EXCEDENTES DEL EJERCICIO</v>
      </c>
      <c r="DF675" t="str">
        <v>3615 EXCEDENTES DEL EJERCICIO</v>
      </c>
      <c r="DG675" t="str">
        <v>3615 EXCEDENTES DEL EJERCICIO</v>
      </c>
      <c r="DH675" t="str">
        <v>3615 EXCEDENTES DEL EJERCICIO</v>
      </c>
      <c r="DI675" t="str">
        <v>3615 EXCEDENTES DEL EJERCICIO</v>
      </c>
      <c r="DJ675" t="str">
        <v>3615 EXCEDENTES DEL EJERCICIO</v>
      </c>
      <c r="DK675" t="str">
        <v>3615 EXCEDENTES DEL EJERCICIO</v>
      </c>
      <c r="DL675" t="str">
        <v>3615 EXCEDENTES DEL EJERCICIO</v>
      </c>
      <c r="DM675" t="str">
        <v>3615 EXCEDENTES DEL EJERCICIO</v>
      </c>
      <c r="DN675" t="str">
        <v>3615 EXCEDENTES DEL EJERCICIO</v>
      </c>
      <c r="DO675" t="str">
        <v>3615 EXCEDENTES DEL EJERCICIO</v>
      </c>
      <c r="DP675" t="str">
        <v>3615 EXCEDENTES DEL EJERCICIO</v>
      </c>
    </row>
    <row r="676" spans="4:120" ht="12.75">
      <c r="D676" s="7">
        <v>361505</v>
      </c>
      <c r="E676" s="6" t="s">
        <v>792</v>
      </c>
      <c r="F676" s="5">
        <v>4</v>
      </c>
      <c r="G676" s="34" t="s">
        <v>827</v>
      </c>
      <c r="H676" s="8" t="s">
        <v>765</v>
      </c>
      <c r="I676" t="b">
        <f>+ISNUMBER(SEARCH('F-COMPRA'!$F$28,Tabla11[[#This Row],[Cuenta]],1))</f>
        <v>1</v>
      </c>
      <c r="J676" t="b">
        <f>+ISNUMBER(SEARCH('F-COMPRA'!$F$29,Tabla11[[#This Row],[Cuenta]],1))</f>
        <v>1</v>
      </c>
      <c r="K676" t="b">
        <f>+ISNUMBER(SEARCH('F-COMPRA'!$F$30,Tabla11[[#This Row],[Cuenta]],1))</f>
        <v>1</v>
      </c>
      <c r="L676" t="b">
        <f>+ISNUMBER(SEARCH('F-COMPRA'!$F$31,Tabla11[[#This Row],[Cuenta]],1))</f>
        <v>1</v>
      </c>
      <c r="M676" t="b">
        <f>+ISNUMBER(SEARCH('F-COMPRA'!$G$25,Tabla11[[#This Row],[Cuenta]],1))</f>
        <v>0</v>
      </c>
      <c r="N676" t="b">
        <f>+ISNUMBER(SEARCH(#REF!,Tabla11[[#This Row],[Cuenta]],1))</f>
        <v>0</v>
      </c>
      <c r="O676" t="b">
        <f>+ISNUMBER(SEARCH(#REF!,Tabla11[[#This Row],[Cuenta]],1))</f>
        <v>0</v>
      </c>
      <c r="P676" t="b">
        <f>+ISNUMBER(SEARCH('F-COMPRA'!$F$32,Tabla11[[#This Row],[Cuenta]],1))</f>
        <v>1</v>
      </c>
      <c r="Q676" t="b">
        <f>+ISNUMBER(SEARCH('F-COMPRA'!$F$33,Tabla11[[#This Row],[Cuenta]],1))</f>
        <v>1</v>
      </c>
      <c r="R676" t="b">
        <f>+ISNUMBER(SEARCH('F-COMPRA'!$F$34,Tabla11[[#This Row],[Cuenta]],1))</f>
        <v>1</v>
      </c>
      <c r="S676" t="b">
        <f>+ISNUMBER(SEARCH('F-COMPRA'!$F$35,Tabla11[[#This Row],[Cuenta]],1))</f>
        <v>1</v>
      </c>
      <c r="T676" t="b">
        <f>+ISNUMBER(SEARCH('F-COMPRA'!$F$36,Tabla11[[#This Row],[Cuenta]],1))</f>
        <v>1</v>
      </c>
      <c r="U676" t="b">
        <f>+ISNUMBER(SEARCH('F-COMPRA'!$F$37,Tabla11[[#This Row],[Cuenta]],1))</f>
        <v>1</v>
      </c>
      <c r="V676" t="b">
        <f>+ISNUMBER(SEARCH(#REF!,Tabla11[[#This Row],[Cuenta]],1))</f>
        <v>0</v>
      </c>
      <c r="W676" t="b">
        <f>+ISNUMBER(SEARCH('F-COMPRA'!#REF!,Tabla11[[#This Row],[Cuenta]],1))</f>
        <v>0</v>
      </c>
      <c r="X676" t="b">
        <f>+ISNUMBER(SEARCH('F-COMPRA'!#REF!,Tabla11[[#This Row],[Cuenta]],1))</f>
        <v>0</v>
      </c>
      <c r="Y676" t="b">
        <f>+ISNUMBER(SEARCH('F-COMPRA'!#REF!,Tabla11[[#This Row],[Cuenta]],1))</f>
        <v>0</v>
      </c>
      <c r="Z676" t="b">
        <f>+ISNUMBER(SEARCH('F-COMPRA'!#REF!,Tabla11[[#This Row],[Cuenta]],1))</f>
        <v>0</v>
      </c>
      <c r="AA676" t="b">
        <f>+ISNUMBER(SEARCH('F-COMPRA'!#REF!,Tabla11[[#This Row],[Cuenta]],1))</f>
        <v>0</v>
      </c>
      <c r="AB676" t="b">
        <f>+ISNUMBER(SEARCH('F-COMPRA'!#REF!,Tabla11[[#This Row],[Cuenta]],1))</f>
        <v>0</v>
      </c>
      <c r="AC676" t="b">
        <f>+ISNUMBER(SEARCH('F-COMPRA'!#REF!,Tabla11[[#This Row],[Cuenta]],1))</f>
        <v>0</v>
      </c>
      <c r="AD676" t="b">
        <f>+ISNUMBER(SEARCH('F-COMPRA'!#REF!,Tabla11[[#This Row],[Cuenta]],1))</f>
        <v>0</v>
      </c>
      <c r="AE676" t="b">
        <f>+ISNUMBER(SEARCH('F-COMPRA'!#REF!,Tabla11[[#This Row],[Cuenta]],1))</f>
        <v>0</v>
      </c>
      <c r="AF676" t="b">
        <f>+ISNUMBER(SEARCH('F-VTA'!$G$23,Tabla11[[#This Row],[Cuenta]],1))</f>
        <v>0</v>
      </c>
      <c r="AG676" t="b">
        <f>+ISNUMBER(SEARCH('F-VTA'!$G$24,Tabla11[[#This Row],[Cuenta]],1))</f>
        <v>0</v>
      </c>
      <c r="AH676" t="b">
        <f>+ISNUMBER(SEARCH('F-VTA'!$G$25,Tabla11[[#This Row],[Cuenta]],1))</f>
        <v>0</v>
      </c>
      <c r="AI676" t="b">
        <f>+ISNUMBER(SEARCH('F-VTA'!$F$28,Tabla11[[#This Row],[Cuenta]],1))</f>
        <v>1</v>
      </c>
      <c r="AJ676" t="b">
        <f>+ISNUMBER(SEARCH('F-VTA'!$F$29,Tabla11[[#This Row],[Cuenta]],1))</f>
        <v>1</v>
      </c>
      <c r="AK676" t="b">
        <f>+ISNUMBER(SEARCH('F-VTA'!$F$30,Tabla11[[#This Row],[Cuenta]],1))</f>
        <v>1</v>
      </c>
      <c r="AL676" t="b">
        <f>+ISNUMBER(SEARCH('F-VTA'!$F$31,Tabla11[[#This Row],[Cuenta]],1))</f>
        <v>1</v>
      </c>
      <c r="AM676" t="b">
        <f>+ISNUMBER(SEARCH('F-VTA'!$F$32,Tabla11[[#This Row],[Cuenta]],1))</f>
        <v>1</v>
      </c>
      <c r="AN676" t="b">
        <f>+ISNUMBER(SEARCH('F-VTA'!$F$33,Tabla11[[#This Row],[Cuenta]],1))</f>
        <v>1</v>
      </c>
      <c r="AO676" t="b">
        <f>+ISNUMBER(SEARCH('F-VTA'!$F$34,Tabla11[[#This Row],[Cuenta]],1))</f>
        <v>1</v>
      </c>
      <c r="AP676" t="b">
        <f>+ISNUMBER(SEARCH('F-VTA'!$F$35,Tabla11[[#This Row],[Cuenta]],1))</f>
        <v>1</v>
      </c>
      <c r="AQ676" t="b">
        <f>+ISNUMBER(SEARCH('F-VTA'!$F$36,Tabla11[[#This Row],[Cuenta]],1))</f>
        <v>1</v>
      </c>
      <c r="AR676" t="b">
        <f>+ISNUMBER(SEARCH(#REF!,Tabla11[[#This Row],[Cuenta]],1))</f>
        <v>0</v>
      </c>
      <c r="AS676" t="b">
        <f>+ISNUMBER(SEARCH(#REF!,Tabla11[[#This Row],[Cuenta]],1))</f>
        <v>0</v>
      </c>
      <c r="AT676" t="b">
        <f>+ISNUMBER(SEARCH(#REF!,Tabla11[[#This Row],[Cuenta]],1))</f>
        <v>0</v>
      </c>
      <c r="AU676" t="b">
        <f>+ISNUMBER(SEARCH('Conc. Ban.1'!$I$9,Tabla11[[#This Row],[Cuenta]],1))</f>
        <v>0</v>
      </c>
      <c r="AV676" t="b">
        <f>+ISNUMBER(SEARCH(CompConta!$F$21,Tabla11[[#This Row],[Cuenta]],1))</f>
        <v>1</v>
      </c>
      <c r="AW676" t="b">
        <f>+ISNUMBER(SEARCH(CompConta!$F$22,Tabla11[[#This Row],[Cuenta]],1))</f>
        <v>1</v>
      </c>
      <c r="AX676" t="b">
        <f>+ISNUMBER(SEARCH(CompConta!$F$23,Tabla11[[#This Row],[Cuenta]],1))</f>
        <v>1</v>
      </c>
      <c r="AY676" t="b">
        <f>+ISNUMBER(SEARCH(CompConta!$F$24,Tabla11[[#This Row],[Cuenta]],1))</f>
        <v>1</v>
      </c>
      <c r="AZ676" t="b">
        <f>+ISNUMBER(SEARCH(CompConta!$F$25,Tabla11[[#This Row],[Cuenta]],1))</f>
        <v>1</v>
      </c>
      <c r="BA676" t="b">
        <f>+ISNUMBER(SEARCH(CompConta!$F$26,Tabla11[[#This Row],[Cuenta]],1))</f>
        <v>1</v>
      </c>
      <c r="BB676" t="b">
        <f>+ISNUMBER(SEARCH(CompConta!$F$27,Tabla11[[#This Row],[Cuenta]],1))</f>
        <v>1</v>
      </c>
      <c r="BC676" t="b">
        <f>+ISNUMBER(SEARCH(CompConta!$F$28,Tabla11[[#This Row],[Cuenta]],1))</f>
        <v>1</v>
      </c>
      <c r="BD676" t="b">
        <f>+ISNUMBER(SEARCH(CompConta!$F$29,Tabla11[[#This Row],[Cuenta]],1))</f>
        <v>1</v>
      </c>
      <c r="BE676" t="b">
        <f>+ISNUMBER(SEARCH(CompConta!$F$30,Tabla11[[#This Row],[Cuenta]],1))</f>
        <v>1</v>
      </c>
      <c r="BF676" t="b">
        <f>+ISNUMBER(SEARCH('PAGO Compras'!$E$11,Tabla11[[#This Row],[Cuenta]],1))</f>
        <v>1</v>
      </c>
      <c r="BG676" t="b">
        <f>+ISNUMBER(SEARCH(#REF!,Tabla11[[#This Row],[Cuenta]],1))</f>
        <v>0</v>
      </c>
      <c r="BH676" t="b">
        <f>+ISNUMBER(SEARCH(#REF!,Tabla11[[#This Row],[Cuenta]],1))</f>
        <v>0</v>
      </c>
      <c r="BI676" t="b">
        <f>+ISNUMBER(SEARCH(#REF!,Tabla11[[#This Row],[Cuenta]],1))</f>
        <v>0</v>
      </c>
      <c r="BJ676" t="b">
        <f>+ISNUMBER(SEARCH(#REF!,Tabla11[[#This Row],[Cuenta]],1))</f>
        <v>0</v>
      </c>
      <c r="BS676" t="str">
        <v>361505 EXCEDENTES DEL EJERCICIO</v>
      </c>
      <c r="BT676" t="str">
        <v>361505 EXCEDENTES DEL EJERCICIO</v>
      </c>
      <c r="BU676" t="str">
        <v>361505 EXCEDENTES DEL EJERCICIO</v>
      </c>
      <c r="BV676" t="str">
        <v>361505 EXCEDENTES DEL EJERCICIO</v>
      </c>
      <c r="BZ676" t="str">
        <v>361505 EXCEDENTES DEL EJERCICIO</v>
      </c>
      <c r="CA676" t="str">
        <v>361505 EXCEDENTES DEL EJERCICIO</v>
      </c>
      <c r="CB676" t="str">
        <v>361505 EXCEDENTES DEL EJERCICIO</v>
      </c>
      <c r="CC676" t="str">
        <v>361505 EXCEDENTES DEL EJERCICIO</v>
      </c>
      <c r="CD676" t="str">
        <v>361505 EXCEDENTES DEL EJERCICIO</v>
      </c>
      <c r="CE676" t="str">
        <v>361505 EXCEDENTES DEL EJERCICIO</v>
      </c>
      <c r="CS676" s="141" t="str">
        <v>361505 EXCEDENTES DEL EJERCICIO</v>
      </c>
      <c r="CT676" s="141" t="str">
        <v>361505 EXCEDENTES DEL EJERCICIO</v>
      </c>
      <c r="CU676" s="141" t="str">
        <v>361505 EXCEDENTES DEL EJERCICIO</v>
      </c>
      <c r="CV676" s="141" t="str">
        <v>361505 EXCEDENTES DEL EJERCICIO</v>
      </c>
      <c r="CW676" s="141" t="str">
        <v>361505 EXCEDENTES DEL EJERCICIO</v>
      </c>
      <c r="CX676" s="141" t="str">
        <v>361505 EXCEDENTES DEL EJERCICIO</v>
      </c>
      <c r="CY676" s="141" t="str">
        <v>361505 EXCEDENTES DEL EJERCICIO</v>
      </c>
      <c r="CZ676" s="141" t="str">
        <v>361505 EXCEDENTES DEL EJERCICIO</v>
      </c>
      <c r="DA676" s="141" t="str">
        <v>361505 EXCEDENTES DEL EJERCICIO</v>
      </c>
      <c r="DF676" t="str">
        <v>361505 EXCEDENTES DEL EJERCICIO</v>
      </c>
      <c r="DG676" t="str">
        <v>361505 EXCEDENTES DEL EJERCICIO</v>
      </c>
      <c r="DH676" t="str">
        <v>361505 EXCEDENTES DEL EJERCICIO</v>
      </c>
      <c r="DI676" t="str">
        <v>361505 EXCEDENTES DEL EJERCICIO</v>
      </c>
      <c r="DJ676" t="str">
        <v>361505 EXCEDENTES DEL EJERCICIO</v>
      </c>
      <c r="DK676" t="str">
        <v>361505 EXCEDENTES DEL EJERCICIO</v>
      </c>
      <c r="DL676" t="str">
        <v>361505 EXCEDENTES DEL EJERCICIO</v>
      </c>
      <c r="DM676" t="str">
        <v>361505 EXCEDENTES DEL EJERCICIO</v>
      </c>
      <c r="DN676" t="str">
        <v>361505 EXCEDENTES DEL EJERCICIO</v>
      </c>
      <c r="DO676" t="str">
        <v>361505 EXCEDENTES DEL EJERCICIO</v>
      </c>
      <c r="DP676" t="str">
        <v>361505 EXCEDENTES DEL EJERCICIO</v>
      </c>
    </row>
    <row r="677" spans="4:120" ht="12.75">
      <c r="D677" s="7">
        <v>37</v>
      </c>
      <c r="E677" s="6" t="s">
        <v>793</v>
      </c>
      <c r="F677" s="5">
        <v>2</v>
      </c>
      <c r="G677" s="34" t="s">
        <v>827</v>
      </c>
      <c r="H677" s="8" t="s">
        <v>765</v>
      </c>
      <c r="I677" t="b">
        <f>+ISNUMBER(SEARCH('F-COMPRA'!$F$28,Tabla11[[#This Row],[Cuenta]],1))</f>
        <v>1</v>
      </c>
      <c r="J677" t="b">
        <f>+ISNUMBER(SEARCH('F-COMPRA'!$F$29,Tabla11[[#This Row],[Cuenta]],1))</f>
        <v>1</v>
      </c>
      <c r="K677" t="b">
        <f>+ISNUMBER(SEARCH('F-COMPRA'!$F$30,Tabla11[[#This Row],[Cuenta]],1))</f>
        <v>1</v>
      </c>
      <c r="L677" t="b">
        <f>+ISNUMBER(SEARCH('F-COMPRA'!$F$31,Tabla11[[#This Row],[Cuenta]],1))</f>
        <v>1</v>
      </c>
      <c r="M677" t="b">
        <f>+ISNUMBER(SEARCH('F-COMPRA'!$G$25,Tabla11[[#This Row],[Cuenta]],1))</f>
        <v>0</v>
      </c>
      <c r="N677" t="b">
        <f>+ISNUMBER(SEARCH(#REF!,Tabla11[[#This Row],[Cuenta]],1))</f>
        <v>0</v>
      </c>
      <c r="O677" t="b">
        <f>+ISNUMBER(SEARCH(#REF!,Tabla11[[#This Row],[Cuenta]],1))</f>
        <v>0</v>
      </c>
      <c r="P677" t="b">
        <f>+ISNUMBER(SEARCH('F-COMPRA'!$F$32,Tabla11[[#This Row],[Cuenta]],1))</f>
        <v>1</v>
      </c>
      <c r="Q677" t="b">
        <f>+ISNUMBER(SEARCH('F-COMPRA'!$F$33,Tabla11[[#This Row],[Cuenta]],1))</f>
        <v>1</v>
      </c>
      <c r="R677" t="b">
        <f>+ISNUMBER(SEARCH('F-COMPRA'!$F$34,Tabla11[[#This Row],[Cuenta]],1))</f>
        <v>1</v>
      </c>
      <c r="S677" t="b">
        <f>+ISNUMBER(SEARCH('F-COMPRA'!$F$35,Tabla11[[#This Row],[Cuenta]],1))</f>
        <v>1</v>
      </c>
      <c r="T677" t="b">
        <f>+ISNUMBER(SEARCH('F-COMPRA'!$F$36,Tabla11[[#This Row],[Cuenta]],1))</f>
        <v>1</v>
      </c>
      <c r="U677" t="b">
        <f>+ISNUMBER(SEARCH('F-COMPRA'!$F$37,Tabla11[[#This Row],[Cuenta]],1))</f>
        <v>1</v>
      </c>
      <c r="V677" t="b">
        <f>+ISNUMBER(SEARCH(#REF!,Tabla11[[#This Row],[Cuenta]],1))</f>
        <v>0</v>
      </c>
      <c r="W677" t="b">
        <f>+ISNUMBER(SEARCH('F-COMPRA'!#REF!,Tabla11[[#This Row],[Cuenta]],1))</f>
        <v>0</v>
      </c>
      <c r="X677" t="b">
        <f>+ISNUMBER(SEARCH('F-COMPRA'!#REF!,Tabla11[[#This Row],[Cuenta]],1))</f>
        <v>0</v>
      </c>
      <c r="Y677" t="b">
        <f>+ISNUMBER(SEARCH('F-COMPRA'!#REF!,Tabla11[[#This Row],[Cuenta]],1))</f>
        <v>0</v>
      </c>
      <c r="Z677" t="b">
        <f>+ISNUMBER(SEARCH('F-COMPRA'!#REF!,Tabla11[[#This Row],[Cuenta]],1))</f>
        <v>0</v>
      </c>
      <c r="AA677" t="b">
        <f>+ISNUMBER(SEARCH('F-COMPRA'!#REF!,Tabla11[[#This Row],[Cuenta]],1))</f>
        <v>0</v>
      </c>
      <c r="AB677" t="b">
        <f>+ISNUMBER(SEARCH('F-COMPRA'!#REF!,Tabla11[[#This Row],[Cuenta]],1))</f>
        <v>0</v>
      </c>
      <c r="AC677" t="b">
        <f>+ISNUMBER(SEARCH('F-COMPRA'!#REF!,Tabla11[[#This Row],[Cuenta]],1))</f>
        <v>0</v>
      </c>
      <c r="AD677" t="b">
        <f>+ISNUMBER(SEARCH('F-COMPRA'!#REF!,Tabla11[[#This Row],[Cuenta]],1))</f>
        <v>0</v>
      </c>
      <c r="AE677" t="b">
        <f>+ISNUMBER(SEARCH('F-COMPRA'!#REF!,Tabla11[[#This Row],[Cuenta]],1))</f>
        <v>0</v>
      </c>
      <c r="AF677" t="b">
        <f>+ISNUMBER(SEARCH('F-VTA'!$G$23,Tabla11[[#This Row],[Cuenta]],1))</f>
        <v>0</v>
      </c>
      <c r="AG677" t="b">
        <f>+ISNUMBER(SEARCH('F-VTA'!$G$24,Tabla11[[#This Row],[Cuenta]],1))</f>
        <v>0</v>
      </c>
      <c r="AH677" t="b">
        <f>+ISNUMBER(SEARCH('F-VTA'!$G$25,Tabla11[[#This Row],[Cuenta]],1))</f>
        <v>0</v>
      </c>
      <c r="AI677" t="b">
        <f>+ISNUMBER(SEARCH('F-VTA'!$F$28,Tabla11[[#This Row],[Cuenta]],1))</f>
        <v>1</v>
      </c>
      <c r="AJ677" t="b">
        <f>+ISNUMBER(SEARCH('F-VTA'!$F$29,Tabla11[[#This Row],[Cuenta]],1))</f>
        <v>1</v>
      </c>
      <c r="AK677" t="b">
        <f>+ISNUMBER(SEARCH('F-VTA'!$F$30,Tabla11[[#This Row],[Cuenta]],1))</f>
        <v>1</v>
      </c>
      <c r="AL677" t="b">
        <f>+ISNUMBER(SEARCH('F-VTA'!$F$31,Tabla11[[#This Row],[Cuenta]],1))</f>
        <v>1</v>
      </c>
      <c r="AM677" t="b">
        <f>+ISNUMBER(SEARCH('F-VTA'!$F$32,Tabla11[[#This Row],[Cuenta]],1))</f>
        <v>1</v>
      </c>
      <c r="AN677" t="b">
        <f>+ISNUMBER(SEARCH('F-VTA'!$F$33,Tabla11[[#This Row],[Cuenta]],1))</f>
        <v>1</v>
      </c>
      <c r="AO677" t="b">
        <f>+ISNUMBER(SEARCH('F-VTA'!$F$34,Tabla11[[#This Row],[Cuenta]],1))</f>
        <v>1</v>
      </c>
      <c r="AP677" t="b">
        <f>+ISNUMBER(SEARCH('F-VTA'!$F$35,Tabla11[[#This Row],[Cuenta]],1))</f>
        <v>1</v>
      </c>
      <c r="AQ677" t="b">
        <f>+ISNUMBER(SEARCH('F-VTA'!$F$36,Tabla11[[#This Row],[Cuenta]],1))</f>
        <v>1</v>
      </c>
      <c r="AR677" t="b">
        <f>+ISNUMBER(SEARCH(#REF!,Tabla11[[#This Row],[Cuenta]],1))</f>
        <v>0</v>
      </c>
      <c r="AS677" t="b">
        <f>+ISNUMBER(SEARCH(#REF!,Tabla11[[#This Row],[Cuenta]],1))</f>
        <v>0</v>
      </c>
      <c r="AT677" t="b">
        <f>+ISNUMBER(SEARCH(#REF!,Tabla11[[#This Row],[Cuenta]],1))</f>
        <v>0</v>
      </c>
      <c r="AU677" t="b">
        <f>+ISNUMBER(SEARCH('Conc. Ban.1'!$I$9,Tabla11[[#This Row],[Cuenta]],1))</f>
        <v>0</v>
      </c>
      <c r="AV677" t="b">
        <f>+ISNUMBER(SEARCH(CompConta!$F$21,Tabla11[[#This Row],[Cuenta]],1))</f>
        <v>1</v>
      </c>
      <c r="AW677" t="b">
        <f>+ISNUMBER(SEARCH(CompConta!$F$22,Tabla11[[#This Row],[Cuenta]],1))</f>
        <v>1</v>
      </c>
      <c r="AX677" t="b">
        <f>+ISNUMBER(SEARCH(CompConta!$F$23,Tabla11[[#This Row],[Cuenta]],1))</f>
        <v>1</v>
      </c>
      <c r="AY677" t="b">
        <f>+ISNUMBER(SEARCH(CompConta!$F$24,Tabla11[[#This Row],[Cuenta]],1))</f>
        <v>1</v>
      </c>
      <c r="AZ677" t="b">
        <f>+ISNUMBER(SEARCH(CompConta!$F$25,Tabla11[[#This Row],[Cuenta]],1))</f>
        <v>1</v>
      </c>
      <c r="BA677" t="b">
        <f>+ISNUMBER(SEARCH(CompConta!$F$26,Tabla11[[#This Row],[Cuenta]],1))</f>
        <v>1</v>
      </c>
      <c r="BB677" t="b">
        <f>+ISNUMBER(SEARCH(CompConta!$F$27,Tabla11[[#This Row],[Cuenta]],1))</f>
        <v>1</v>
      </c>
      <c r="BC677" t="b">
        <f>+ISNUMBER(SEARCH(CompConta!$F$28,Tabla11[[#This Row],[Cuenta]],1))</f>
        <v>1</v>
      </c>
      <c r="BD677" t="b">
        <f>+ISNUMBER(SEARCH(CompConta!$F$29,Tabla11[[#This Row],[Cuenta]],1))</f>
        <v>1</v>
      </c>
      <c r="BE677" t="b">
        <f>+ISNUMBER(SEARCH(CompConta!$F$30,Tabla11[[#This Row],[Cuenta]],1))</f>
        <v>1</v>
      </c>
      <c r="BF677" t="b">
        <f>+ISNUMBER(SEARCH('PAGO Compras'!$E$11,Tabla11[[#This Row],[Cuenta]],1))</f>
        <v>1</v>
      </c>
      <c r="BG677" t="b">
        <f>+ISNUMBER(SEARCH(#REF!,Tabla11[[#This Row],[Cuenta]],1))</f>
        <v>0</v>
      </c>
      <c r="BH677" t="b">
        <f>+ISNUMBER(SEARCH(#REF!,Tabla11[[#This Row],[Cuenta]],1))</f>
        <v>0</v>
      </c>
      <c r="BI677" t="b">
        <f>+ISNUMBER(SEARCH(#REF!,Tabla11[[#This Row],[Cuenta]],1))</f>
        <v>0</v>
      </c>
      <c r="BJ677" t="b">
        <f>+ISNUMBER(SEARCH(#REF!,Tabla11[[#This Row],[Cuenta]],1))</f>
        <v>0</v>
      </c>
      <c r="BS677" t="str">
        <v>37 RESULTADOS DE EJERCICIOS ANTERIORES</v>
      </c>
      <c r="BT677" t="str">
        <v>37 RESULTADOS DE EJERCICIOS ANTERIORES</v>
      </c>
      <c r="BU677" t="str">
        <v>37 RESULTADOS DE EJERCICIOS ANTERIORES</v>
      </c>
      <c r="BV677" t="str">
        <v>37 RESULTADOS DE EJERCICIOS ANTERIORES</v>
      </c>
      <c r="BZ677" t="str">
        <v>37 RESULTADOS DE EJERCICIOS ANTERIORES</v>
      </c>
      <c r="CA677" t="str">
        <v>37 RESULTADOS DE EJERCICIOS ANTERIORES</v>
      </c>
      <c r="CB677" t="str">
        <v>37 RESULTADOS DE EJERCICIOS ANTERIORES</v>
      </c>
      <c r="CC677" t="str">
        <v>37 RESULTADOS DE EJERCICIOS ANTERIORES</v>
      </c>
      <c r="CD677" t="str">
        <v>37 RESULTADOS DE EJERCICIOS ANTERIORES</v>
      </c>
      <c r="CE677" t="str">
        <v>37 RESULTADOS DE EJERCICIOS ANTERIORES</v>
      </c>
      <c r="CS677" s="141" t="str">
        <v>37 RESULTADOS DE EJERCICIOS ANTERIORES</v>
      </c>
      <c r="CT677" s="141" t="str">
        <v>37 RESULTADOS DE EJERCICIOS ANTERIORES</v>
      </c>
      <c r="CU677" s="141" t="str">
        <v>37 RESULTADOS DE EJERCICIOS ANTERIORES</v>
      </c>
      <c r="CV677" s="141" t="str">
        <v>37 RESULTADOS DE EJERCICIOS ANTERIORES</v>
      </c>
      <c r="CW677" s="141" t="str">
        <v>37 RESULTADOS DE EJERCICIOS ANTERIORES</v>
      </c>
      <c r="CX677" s="141" t="str">
        <v>37 RESULTADOS DE EJERCICIOS ANTERIORES</v>
      </c>
      <c r="CY677" s="141" t="str">
        <v>37 RESULTADOS DE EJERCICIOS ANTERIORES</v>
      </c>
      <c r="CZ677" s="141" t="str">
        <v>37 RESULTADOS DE EJERCICIOS ANTERIORES</v>
      </c>
      <c r="DA677" s="141" t="str">
        <v>37 RESULTADOS DE EJERCICIOS ANTERIORES</v>
      </c>
      <c r="DF677" t="str">
        <v>37 RESULTADOS DE EJERCICIOS ANTERIORES</v>
      </c>
      <c r="DG677" t="str">
        <v>37 RESULTADOS DE EJERCICIOS ANTERIORES</v>
      </c>
      <c r="DH677" t="str">
        <v>37 RESULTADOS DE EJERCICIOS ANTERIORES</v>
      </c>
      <c r="DI677" t="str">
        <v>37 RESULTADOS DE EJERCICIOS ANTERIORES</v>
      </c>
      <c r="DJ677" t="str">
        <v>37 RESULTADOS DE EJERCICIOS ANTERIORES</v>
      </c>
      <c r="DK677" t="str">
        <v>37 RESULTADOS DE EJERCICIOS ANTERIORES</v>
      </c>
      <c r="DL677" t="str">
        <v>37 RESULTADOS DE EJERCICIOS ANTERIORES</v>
      </c>
      <c r="DM677" t="str">
        <v>37 RESULTADOS DE EJERCICIOS ANTERIORES</v>
      </c>
      <c r="DN677" t="str">
        <v>37 RESULTADOS DE EJERCICIOS ANTERIORES</v>
      </c>
      <c r="DO677" t="str">
        <v>37 RESULTADOS DE EJERCICIOS ANTERIORES</v>
      </c>
      <c r="DP677" t="str">
        <v>37 RESULTADOS DE EJERCICIOS ANTERIORES</v>
      </c>
    </row>
    <row r="678" spans="4:120" ht="12.75">
      <c r="D678" s="7">
        <v>3705</v>
      </c>
      <c r="E678" s="6" t="s">
        <v>841</v>
      </c>
      <c r="F678" s="5">
        <v>3</v>
      </c>
      <c r="G678" s="34" t="s">
        <v>827</v>
      </c>
      <c r="H678" s="8" t="s">
        <v>765</v>
      </c>
      <c r="I678" t="b">
        <f>+ISNUMBER(SEARCH('F-COMPRA'!$F$28,Tabla11[[#This Row],[Cuenta]],1))</f>
        <v>1</v>
      </c>
      <c r="J678" t="b">
        <f>+ISNUMBER(SEARCH('F-COMPRA'!$F$29,Tabla11[[#This Row],[Cuenta]],1))</f>
        <v>1</v>
      </c>
      <c r="K678" t="b">
        <f>+ISNUMBER(SEARCH('F-COMPRA'!$F$30,Tabla11[[#This Row],[Cuenta]],1))</f>
        <v>1</v>
      </c>
      <c r="L678" t="b">
        <f>+ISNUMBER(SEARCH('F-COMPRA'!$F$31,Tabla11[[#This Row],[Cuenta]],1))</f>
        <v>1</v>
      </c>
      <c r="M678" t="b">
        <f>+ISNUMBER(SEARCH('F-COMPRA'!$G$25,Tabla11[[#This Row],[Cuenta]],1))</f>
        <v>0</v>
      </c>
      <c r="N678" t="b">
        <f>+ISNUMBER(SEARCH(#REF!,Tabla11[[#This Row],[Cuenta]],1))</f>
        <v>0</v>
      </c>
      <c r="O678" t="b">
        <f>+ISNUMBER(SEARCH(#REF!,Tabla11[[#This Row],[Cuenta]],1))</f>
        <v>0</v>
      </c>
      <c r="P678" t="b">
        <f>+ISNUMBER(SEARCH('F-COMPRA'!$F$32,Tabla11[[#This Row],[Cuenta]],1))</f>
        <v>1</v>
      </c>
      <c r="Q678" t="b">
        <f>+ISNUMBER(SEARCH('F-COMPRA'!$F$33,Tabla11[[#This Row],[Cuenta]],1))</f>
        <v>1</v>
      </c>
      <c r="R678" t="b">
        <f>+ISNUMBER(SEARCH('F-COMPRA'!$F$34,Tabla11[[#This Row],[Cuenta]],1))</f>
        <v>1</v>
      </c>
      <c r="S678" t="b">
        <f>+ISNUMBER(SEARCH('F-COMPRA'!$F$35,Tabla11[[#This Row],[Cuenta]],1))</f>
        <v>1</v>
      </c>
      <c r="T678" t="b">
        <f>+ISNUMBER(SEARCH('F-COMPRA'!$F$36,Tabla11[[#This Row],[Cuenta]],1))</f>
        <v>1</v>
      </c>
      <c r="U678" t="b">
        <f>+ISNUMBER(SEARCH('F-COMPRA'!$F$37,Tabla11[[#This Row],[Cuenta]],1))</f>
        <v>1</v>
      </c>
      <c r="V678" t="b">
        <f>+ISNUMBER(SEARCH(#REF!,Tabla11[[#This Row],[Cuenta]],1))</f>
        <v>0</v>
      </c>
      <c r="W678" t="b">
        <f>+ISNUMBER(SEARCH('F-COMPRA'!#REF!,Tabla11[[#This Row],[Cuenta]],1))</f>
        <v>0</v>
      </c>
      <c r="X678" t="b">
        <f>+ISNUMBER(SEARCH('F-COMPRA'!#REF!,Tabla11[[#This Row],[Cuenta]],1))</f>
        <v>0</v>
      </c>
      <c r="Y678" t="b">
        <f>+ISNUMBER(SEARCH('F-COMPRA'!#REF!,Tabla11[[#This Row],[Cuenta]],1))</f>
        <v>0</v>
      </c>
      <c r="Z678" t="b">
        <f>+ISNUMBER(SEARCH('F-COMPRA'!#REF!,Tabla11[[#This Row],[Cuenta]],1))</f>
        <v>0</v>
      </c>
      <c r="AA678" t="b">
        <f>+ISNUMBER(SEARCH('F-COMPRA'!#REF!,Tabla11[[#This Row],[Cuenta]],1))</f>
        <v>0</v>
      </c>
      <c r="AB678" t="b">
        <f>+ISNUMBER(SEARCH('F-COMPRA'!#REF!,Tabla11[[#This Row],[Cuenta]],1))</f>
        <v>0</v>
      </c>
      <c r="AC678" t="b">
        <f>+ISNUMBER(SEARCH('F-COMPRA'!#REF!,Tabla11[[#This Row],[Cuenta]],1))</f>
        <v>0</v>
      </c>
      <c r="AD678" t="b">
        <f>+ISNUMBER(SEARCH('F-COMPRA'!#REF!,Tabla11[[#This Row],[Cuenta]],1))</f>
        <v>0</v>
      </c>
      <c r="AE678" t="b">
        <f>+ISNUMBER(SEARCH('F-COMPRA'!#REF!,Tabla11[[#This Row],[Cuenta]],1))</f>
        <v>0</v>
      </c>
      <c r="AF678" t="b">
        <f>+ISNUMBER(SEARCH('F-VTA'!$G$23,Tabla11[[#This Row],[Cuenta]],1))</f>
        <v>0</v>
      </c>
      <c r="AG678" t="b">
        <f>+ISNUMBER(SEARCH('F-VTA'!$G$24,Tabla11[[#This Row],[Cuenta]],1))</f>
        <v>0</v>
      </c>
      <c r="AH678" t="b">
        <f>+ISNUMBER(SEARCH('F-VTA'!$G$25,Tabla11[[#This Row],[Cuenta]],1))</f>
        <v>0</v>
      </c>
      <c r="AI678" t="b">
        <f>+ISNUMBER(SEARCH('F-VTA'!$F$28,Tabla11[[#This Row],[Cuenta]],1))</f>
        <v>1</v>
      </c>
      <c r="AJ678" t="b">
        <f>+ISNUMBER(SEARCH('F-VTA'!$F$29,Tabla11[[#This Row],[Cuenta]],1))</f>
        <v>1</v>
      </c>
      <c r="AK678" t="b">
        <f>+ISNUMBER(SEARCH('F-VTA'!$F$30,Tabla11[[#This Row],[Cuenta]],1))</f>
        <v>1</v>
      </c>
      <c r="AL678" t="b">
        <f>+ISNUMBER(SEARCH('F-VTA'!$F$31,Tabla11[[#This Row],[Cuenta]],1))</f>
        <v>1</v>
      </c>
      <c r="AM678" t="b">
        <f>+ISNUMBER(SEARCH('F-VTA'!$F$32,Tabla11[[#This Row],[Cuenta]],1))</f>
        <v>1</v>
      </c>
      <c r="AN678" t="b">
        <f>+ISNUMBER(SEARCH('F-VTA'!$F$33,Tabla11[[#This Row],[Cuenta]],1))</f>
        <v>1</v>
      </c>
      <c r="AO678" t="b">
        <f>+ISNUMBER(SEARCH('F-VTA'!$F$34,Tabla11[[#This Row],[Cuenta]],1))</f>
        <v>1</v>
      </c>
      <c r="AP678" t="b">
        <f>+ISNUMBER(SEARCH('F-VTA'!$F$35,Tabla11[[#This Row],[Cuenta]],1))</f>
        <v>1</v>
      </c>
      <c r="AQ678" t="b">
        <f>+ISNUMBER(SEARCH('F-VTA'!$F$36,Tabla11[[#This Row],[Cuenta]],1))</f>
        <v>1</v>
      </c>
      <c r="AR678" t="b">
        <f>+ISNUMBER(SEARCH(#REF!,Tabla11[[#This Row],[Cuenta]],1))</f>
        <v>0</v>
      </c>
      <c r="AS678" t="b">
        <f>+ISNUMBER(SEARCH(#REF!,Tabla11[[#This Row],[Cuenta]],1))</f>
        <v>0</v>
      </c>
      <c r="AT678" t="b">
        <f>+ISNUMBER(SEARCH(#REF!,Tabla11[[#This Row],[Cuenta]],1))</f>
        <v>0</v>
      </c>
      <c r="AU678" t="b">
        <f>+ISNUMBER(SEARCH('Conc. Ban.1'!$I$9,Tabla11[[#This Row],[Cuenta]],1))</f>
        <v>0</v>
      </c>
      <c r="AV678" t="b">
        <f>+ISNUMBER(SEARCH(CompConta!$F$21,Tabla11[[#This Row],[Cuenta]],1))</f>
        <v>1</v>
      </c>
      <c r="AW678" t="b">
        <f>+ISNUMBER(SEARCH(CompConta!$F$22,Tabla11[[#This Row],[Cuenta]],1))</f>
        <v>1</v>
      </c>
      <c r="AX678" t="b">
        <f>+ISNUMBER(SEARCH(CompConta!$F$23,Tabla11[[#This Row],[Cuenta]],1))</f>
        <v>1</v>
      </c>
      <c r="AY678" t="b">
        <f>+ISNUMBER(SEARCH(CompConta!$F$24,Tabla11[[#This Row],[Cuenta]],1))</f>
        <v>1</v>
      </c>
      <c r="AZ678" t="b">
        <f>+ISNUMBER(SEARCH(CompConta!$F$25,Tabla11[[#This Row],[Cuenta]],1))</f>
        <v>1</v>
      </c>
      <c r="BA678" t="b">
        <f>+ISNUMBER(SEARCH(CompConta!$F$26,Tabla11[[#This Row],[Cuenta]],1))</f>
        <v>1</v>
      </c>
      <c r="BB678" t="b">
        <f>+ISNUMBER(SEARCH(CompConta!$F$27,Tabla11[[#This Row],[Cuenta]],1))</f>
        <v>1</v>
      </c>
      <c r="BC678" t="b">
        <f>+ISNUMBER(SEARCH(CompConta!$F$28,Tabla11[[#This Row],[Cuenta]],1))</f>
        <v>1</v>
      </c>
      <c r="BD678" t="b">
        <f>+ISNUMBER(SEARCH(CompConta!$F$29,Tabla11[[#This Row],[Cuenta]],1))</f>
        <v>1</v>
      </c>
      <c r="BE678" t="b">
        <f>+ISNUMBER(SEARCH(CompConta!$F$30,Tabla11[[#This Row],[Cuenta]],1))</f>
        <v>1</v>
      </c>
      <c r="BF678" t="b">
        <f>+ISNUMBER(SEARCH('PAGO Compras'!$E$11,Tabla11[[#This Row],[Cuenta]],1))</f>
        <v>1</v>
      </c>
      <c r="BG678" t="b">
        <f>+ISNUMBER(SEARCH(#REF!,Tabla11[[#This Row],[Cuenta]],1))</f>
        <v>0</v>
      </c>
      <c r="BH678" t="b">
        <f>+ISNUMBER(SEARCH(#REF!,Tabla11[[#This Row],[Cuenta]],1))</f>
        <v>0</v>
      </c>
      <c r="BI678" t="b">
        <f>+ISNUMBER(SEARCH(#REF!,Tabla11[[#This Row],[Cuenta]],1))</f>
        <v>0</v>
      </c>
      <c r="BJ678" t="b">
        <f>+ISNUMBER(SEARCH(#REF!,Tabla11[[#This Row],[Cuenta]],1))</f>
        <v>0</v>
      </c>
      <c r="BS678" t="str">
        <v>3705 UTILIDADES O PERDIDAS ACUMULADAS</v>
      </c>
      <c r="BT678" t="str">
        <v>3705 UTILIDADES O PERDIDAS ACUMULADAS</v>
      </c>
      <c r="BU678" t="str">
        <v>3705 UTILIDADES O PERDIDAS ACUMULADAS</v>
      </c>
      <c r="BV678" t="str">
        <v>3705 UTILIDADES O PERDIDAS ACUMULADAS</v>
      </c>
      <c r="BZ678" t="str">
        <v>3705 UTILIDADES O PERDIDAS ACUMULADAS</v>
      </c>
      <c r="CA678" t="str">
        <v>3705 UTILIDADES O PERDIDAS ACUMULADAS</v>
      </c>
      <c r="CB678" t="str">
        <v>3705 UTILIDADES O PERDIDAS ACUMULADAS</v>
      </c>
      <c r="CC678" t="str">
        <v>3705 UTILIDADES O PERDIDAS ACUMULADAS</v>
      </c>
      <c r="CD678" t="str">
        <v>3705 UTILIDADES O PERDIDAS ACUMULADAS</v>
      </c>
      <c r="CE678" t="str">
        <v>3705 UTILIDADES O PERDIDAS ACUMULADAS</v>
      </c>
      <c r="CS678" s="141" t="str">
        <v>3705 UTILIDADES O PERDIDAS ACUMULADAS</v>
      </c>
      <c r="CT678" s="141" t="str">
        <v>3705 UTILIDADES O PERDIDAS ACUMULADAS</v>
      </c>
      <c r="CU678" s="141" t="str">
        <v>3705 UTILIDADES O PERDIDAS ACUMULADAS</v>
      </c>
      <c r="CV678" s="141" t="str">
        <v>3705 UTILIDADES O PERDIDAS ACUMULADAS</v>
      </c>
      <c r="CW678" s="141" t="str">
        <v>3705 UTILIDADES O PERDIDAS ACUMULADAS</v>
      </c>
      <c r="CX678" s="141" t="str">
        <v>3705 UTILIDADES O PERDIDAS ACUMULADAS</v>
      </c>
      <c r="CY678" s="141" t="str">
        <v>3705 UTILIDADES O PERDIDAS ACUMULADAS</v>
      </c>
      <c r="CZ678" s="141" t="str">
        <v>3705 UTILIDADES O PERDIDAS ACUMULADAS</v>
      </c>
      <c r="DA678" s="141" t="str">
        <v>3705 UTILIDADES O PERDIDAS ACUMULADAS</v>
      </c>
      <c r="DF678" t="str">
        <v>3705 UTILIDADES O PERDIDAS ACUMULADAS</v>
      </c>
      <c r="DG678" t="str">
        <v>3705 UTILIDADES O PERDIDAS ACUMULADAS</v>
      </c>
      <c r="DH678" t="str">
        <v>3705 UTILIDADES O PERDIDAS ACUMULADAS</v>
      </c>
      <c r="DI678" t="str">
        <v>3705 UTILIDADES O PERDIDAS ACUMULADAS</v>
      </c>
      <c r="DJ678" t="str">
        <v>3705 UTILIDADES O PERDIDAS ACUMULADAS</v>
      </c>
      <c r="DK678" t="str">
        <v>3705 UTILIDADES O PERDIDAS ACUMULADAS</v>
      </c>
      <c r="DL678" t="str">
        <v>3705 UTILIDADES O PERDIDAS ACUMULADAS</v>
      </c>
      <c r="DM678" t="str">
        <v>3705 UTILIDADES O PERDIDAS ACUMULADAS</v>
      </c>
      <c r="DN678" t="str">
        <v>3705 UTILIDADES O PERDIDAS ACUMULADAS</v>
      </c>
      <c r="DO678" t="str">
        <v>3705 UTILIDADES O PERDIDAS ACUMULADAS</v>
      </c>
      <c r="DP678" t="str">
        <v>3705 UTILIDADES O PERDIDAS ACUMULADAS</v>
      </c>
    </row>
    <row r="679" spans="4:120" ht="12.75">
      <c r="D679" s="7">
        <v>370505</v>
      </c>
      <c r="E679" s="6" t="s">
        <v>841</v>
      </c>
      <c r="F679" s="5">
        <v>4</v>
      </c>
      <c r="G679" s="34" t="s">
        <v>827</v>
      </c>
      <c r="H679" s="8" t="s">
        <v>765</v>
      </c>
      <c r="I679" t="b">
        <f>+ISNUMBER(SEARCH('F-COMPRA'!$F$28,Tabla11[[#This Row],[Cuenta]],1))</f>
        <v>1</v>
      </c>
      <c r="J679" t="b">
        <f>+ISNUMBER(SEARCH('F-COMPRA'!$F$29,Tabla11[[#This Row],[Cuenta]],1))</f>
        <v>1</v>
      </c>
      <c r="K679" t="b">
        <f>+ISNUMBER(SEARCH('F-COMPRA'!$F$30,Tabla11[[#This Row],[Cuenta]],1))</f>
        <v>1</v>
      </c>
      <c r="L679" t="b">
        <f>+ISNUMBER(SEARCH('F-COMPRA'!$F$31,Tabla11[[#This Row],[Cuenta]],1))</f>
        <v>1</v>
      </c>
      <c r="M679" t="b">
        <f>+ISNUMBER(SEARCH('F-COMPRA'!$G$25,Tabla11[[#This Row],[Cuenta]],1))</f>
        <v>0</v>
      </c>
      <c r="N679" t="b">
        <f>+ISNUMBER(SEARCH(#REF!,Tabla11[[#This Row],[Cuenta]],1))</f>
        <v>0</v>
      </c>
      <c r="O679" t="b">
        <f>+ISNUMBER(SEARCH(#REF!,Tabla11[[#This Row],[Cuenta]],1))</f>
        <v>0</v>
      </c>
      <c r="P679" t="b">
        <f>+ISNUMBER(SEARCH('F-COMPRA'!$F$32,Tabla11[[#This Row],[Cuenta]],1))</f>
        <v>1</v>
      </c>
      <c r="Q679" t="b">
        <f>+ISNUMBER(SEARCH('F-COMPRA'!$F$33,Tabla11[[#This Row],[Cuenta]],1))</f>
        <v>1</v>
      </c>
      <c r="R679" t="b">
        <f>+ISNUMBER(SEARCH('F-COMPRA'!$F$34,Tabla11[[#This Row],[Cuenta]],1))</f>
        <v>1</v>
      </c>
      <c r="S679" t="b">
        <f>+ISNUMBER(SEARCH('F-COMPRA'!$F$35,Tabla11[[#This Row],[Cuenta]],1))</f>
        <v>1</v>
      </c>
      <c r="T679" t="b">
        <f>+ISNUMBER(SEARCH('F-COMPRA'!$F$36,Tabla11[[#This Row],[Cuenta]],1))</f>
        <v>1</v>
      </c>
      <c r="U679" t="b">
        <f>+ISNUMBER(SEARCH('F-COMPRA'!$F$37,Tabla11[[#This Row],[Cuenta]],1))</f>
        <v>1</v>
      </c>
      <c r="V679" t="b">
        <f>+ISNUMBER(SEARCH(#REF!,Tabla11[[#This Row],[Cuenta]],1))</f>
        <v>0</v>
      </c>
      <c r="W679" t="b">
        <f>+ISNUMBER(SEARCH('F-COMPRA'!#REF!,Tabla11[[#This Row],[Cuenta]],1))</f>
        <v>0</v>
      </c>
      <c r="X679" t="b">
        <f>+ISNUMBER(SEARCH('F-COMPRA'!#REF!,Tabla11[[#This Row],[Cuenta]],1))</f>
        <v>0</v>
      </c>
      <c r="Y679" t="b">
        <f>+ISNUMBER(SEARCH('F-COMPRA'!#REF!,Tabla11[[#This Row],[Cuenta]],1))</f>
        <v>0</v>
      </c>
      <c r="Z679" t="b">
        <f>+ISNUMBER(SEARCH('F-COMPRA'!#REF!,Tabla11[[#This Row],[Cuenta]],1))</f>
        <v>0</v>
      </c>
      <c r="AA679" t="b">
        <f>+ISNUMBER(SEARCH('F-COMPRA'!#REF!,Tabla11[[#This Row],[Cuenta]],1))</f>
        <v>0</v>
      </c>
      <c r="AB679" t="b">
        <f>+ISNUMBER(SEARCH('F-COMPRA'!#REF!,Tabla11[[#This Row],[Cuenta]],1))</f>
        <v>0</v>
      </c>
      <c r="AC679" t="b">
        <f>+ISNUMBER(SEARCH('F-COMPRA'!#REF!,Tabla11[[#This Row],[Cuenta]],1))</f>
        <v>0</v>
      </c>
      <c r="AD679" t="b">
        <f>+ISNUMBER(SEARCH('F-COMPRA'!#REF!,Tabla11[[#This Row],[Cuenta]],1))</f>
        <v>0</v>
      </c>
      <c r="AE679" t="b">
        <f>+ISNUMBER(SEARCH('F-COMPRA'!#REF!,Tabla11[[#This Row],[Cuenta]],1))</f>
        <v>0</v>
      </c>
      <c r="AF679" t="b">
        <f>+ISNUMBER(SEARCH('F-VTA'!$G$23,Tabla11[[#This Row],[Cuenta]],1))</f>
        <v>0</v>
      </c>
      <c r="AG679" t="b">
        <f>+ISNUMBER(SEARCH('F-VTA'!$G$24,Tabla11[[#This Row],[Cuenta]],1))</f>
        <v>0</v>
      </c>
      <c r="AH679" t="b">
        <f>+ISNUMBER(SEARCH('F-VTA'!$G$25,Tabla11[[#This Row],[Cuenta]],1))</f>
        <v>0</v>
      </c>
      <c r="AI679" t="b">
        <f>+ISNUMBER(SEARCH('F-VTA'!$F$28,Tabla11[[#This Row],[Cuenta]],1))</f>
        <v>1</v>
      </c>
      <c r="AJ679" t="b">
        <f>+ISNUMBER(SEARCH('F-VTA'!$F$29,Tabla11[[#This Row],[Cuenta]],1))</f>
        <v>1</v>
      </c>
      <c r="AK679" t="b">
        <f>+ISNUMBER(SEARCH('F-VTA'!$F$30,Tabla11[[#This Row],[Cuenta]],1))</f>
        <v>1</v>
      </c>
      <c r="AL679" t="b">
        <f>+ISNUMBER(SEARCH('F-VTA'!$F$31,Tabla11[[#This Row],[Cuenta]],1))</f>
        <v>1</v>
      </c>
      <c r="AM679" t="b">
        <f>+ISNUMBER(SEARCH('F-VTA'!$F$32,Tabla11[[#This Row],[Cuenta]],1))</f>
        <v>1</v>
      </c>
      <c r="AN679" t="b">
        <f>+ISNUMBER(SEARCH('F-VTA'!$F$33,Tabla11[[#This Row],[Cuenta]],1))</f>
        <v>1</v>
      </c>
      <c r="AO679" t="b">
        <f>+ISNUMBER(SEARCH('F-VTA'!$F$34,Tabla11[[#This Row],[Cuenta]],1))</f>
        <v>1</v>
      </c>
      <c r="AP679" t="b">
        <f>+ISNUMBER(SEARCH('F-VTA'!$F$35,Tabla11[[#This Row],[Cuenta]],1))</f>
        <v>1</v>
      </c>
      <c r="AQ679" t="b">
        <f>+ISNUMBER(SEARCH('F-VTA'!$F$36,Tabla11[[#This Row],[Cuenta]],1))</f>
        <v>1</v>
      </c>
      <c r="AR679" t="b">
        <f>+ISNUMBER(SEARCH(#REF!,Tabla11[[#This Row],[Cuenta]],1))</f>
        <v>0</v>
      </c>
      <c r="AS679" t="b">
        <f>+ISNUMBER(SEARCH(#REF!,Tabla11[[#This Row],[Cuenta]],1))</f>
        <v>0</v>
      </c>
      <c r="AT679" t="b">
        <f>+ISNUMBER(SEARCH(#REF!,Tabla11[[#This Row],[Cuenta]],1))</f>
        <v>0</v>
      </c>
      <c r="AU679" t="b">
        <f>+ISNUMBER(SEARCH('Conc. Ban.1'!$I$9,Tabla11[[#This Row],[Cuenta]],1))</f>
        <v>0</v>
      </c>
      <c r="AV679" t="b">
        <f>+ISNUMBER(SEARCH(CompConta!$F$21,Tabla11[[#This Row],[Cuenta]],1))</f>
        <v>1</v>
      </c>
      <c r="AW679" t="b">
        <f>+ISNUMBER(SEARCH(CompConta!$F$22,Tabla11[[#This Row],[Cuenta]],1))</f>
        <v>1</v>
      </c>
      <c r="AX679" t="b">
        <f>+ISNUMBER(SEARCH(CompConta!$F$23,Tabla11[[#This Row],[Cuenta]],1))</f>
        <v>1</v>
      </c>
      <c r="AY679" t="b">
        <f>+ISNUMBER(SEARCH(CompConta!$F$24,Tabla11[[#This Row],[Cuenta]],1))</f>
        <v>1</v>
      </c>
      <c r="AZ679" t="b">
        <f>+ISNUMBER(SEARCH(CompConta!$F$25,Tabla11[[#This Row],[Cuenta]],1))</f>
        <v>1</v>
      </c>
      <c r="BA679" t="b">
        <f>+ISNUMBER(SEARCH(CompConta!$F$26,Tabla11[[#This Row],[Cuenta]],1))</f>
        <v>1</v>
      </c>
      <c r="BB679" t="b">
        <f>+ISNUMBER(SEARCH(CompConta!$F$27,Tabla11[[#This Row],[Cuenta]],1))</f>
        <v>1</v>
      </c>
      <c r="BC679" t="b">
        <f>+ISNUMBER(SEARCH(CompConta!$F$28,Tabla11[[#This Row],[Cuenta]],1))</f>
        <v>1</v>
      </c>
      <c r="BD679" t="b">
        <f>+ISNUMBER(SEARCH(CompConta!$F$29,Tabla11[[#This Row],[Cuenta]],1))</f>
        <v>1</v>
      </c>
      <c r="BE679" t="b">
        <f>+ISNUMBER(SEARCH(CompConta!$F$30,Tabla11[[#This Row],[Cuenta]],1))</f>
        <v>1</v>
      </c>
      <c r="BF679" t="b">
        <f>+ISNUMBER(SEARCH('PAGO Compras'!$E$11,Tabla11[[#This Row],[Cuenta]],1))</f>
        <v>1</v>
      </c>
      <c r="BG679" t="b">
        <f>+ISNUMBER(SEARCH(#REF!,Tabla11[[#This Row],[Cuenta]],1))</f>
        <v>0</v>
      </c>
      <c r="BH679" t="b">
        <f>+ISNUMBER(SEARCH(#REF!,Tabla11[[#This Row],[Cuenta]],1))</f>
        <v>0</v>
      </c>
      <c r="BI679" t="b">
        <f>+ISNUMBER(SEARCH(#REF!,Tabla11[[#This Row],[Cuenta]],1))</f>
        <v>0</v>
      </c>
      <c r="BJ679" t="b">
        <f>+ISNUMBER(SEARCH(#REF!,Tabla11[[#This Row],[Cuenta]],1))</f>
        <v>0</v>
      </c>
      <c r="BS679" t="str">
        <v>370505 UTILIDADES O PERDIDAS ACUMULADAS</v>
      </c>
      <c r="BT679" t="str">
        <v>370505 UTILIDADES O PERDIDAS ACUMULADAS</v>
      </c>
      <c r="BU679" t="str">
        <v>370505 UTILIDADES O PERDIDAS ACUMULADAS</v>
      </c>
      <c r="BV679" t="str">
        <v>370505 UTILIDADES O PERDIDAS ACUMULADAS</v>
      </c>
      <c r="BZ679" t="str">
        <v>370505 UTILIDADES O PERDIDAS ACUMULADAS</v>
      </c>
      <c r="CA679" t="str">
        <v>370505 UTILIDADES O PERDIDAS ACUMULADAS</v>
      </c>
      <c r="CB679" t="str">
        <v>370505 UTILIDADES O PERDIDAS ACUMULADAS</v>
      </c>
      <c r="CC679" t="str">
        <v>370505 UTILIDADES O PERDIDAS ACUMULADAS</v>
      </c>
      <c r="CD679" t="str">
        <v>370505 UTILIDADES O PERDIDAS ACUMULADAS</v>
      </c>
      <c r="CE679" t="str">
        <v>370505 UTILIDADES O PERDIDAS ACUMULADAS</v>
      </c>
      <c r="CS679" s="141" t="str">
        <v>370505 UTILIDADES O PERDIDAS ACUMULADAS</v>
      </c>
      <c r="CT679" s="141" t="str">
        <v>370505 UTILIDADES O PERDIDAS ACUMULADAS</v>
      </c>
      <c r="CU679" s="141" t="str">
        <v>370505 UTILIDADES O PERDIDAS ACUMULADAS</v>
      </c>
      <c r="CV679" s="141" t="str">
        <v>370505 UTILIDADES O PERDIDAS ACUMULADAS</v>
      </c>
      <c r="CW679" s="141" t="str">
        <v>370505 UTILIDADES O PERDIDAS ACUMULADAS</v>
      </c>
      <c r="CX679" s="141" t="str">
        <v>370505 UTILIDADES O PERDIDAS ACUMULADAS</v>
      </c>
      <c r="CY679" s="141" t="str">
        <v>370505 UTILIDADES O PERDIDAS ACUMULADAS</v>
      </c>
      <c r="CZ679" s="141" t="str">
        <v>370505 UTILIDADES O PERDIDAS ACUMULADAS</v>
      </c>
      <c r="DA679" s="141" t="str">
        <v>370505 UTILIDADES O PERDIDAS ACUMULADAS</v>
      </c>
      <c r="DF679" t="str">
        <v>370505 UTILIDADES O PERDIDAS ACUMULADAS</v>
      </c>
      <c r="DG679" t="str">
        <v>370505 UTILIDADES O PERDIDAS ACUMULADAS</v>
      </c>
      <c r="DH679" t="str">
        <v>370505 UTILIDADES O PERDIDAS ACUMULADAS</v>
      </c>
      <c r="DI679" t="str">
        <v>370505 UTILIDADES O PERDIDAS ACUMULADAS</v>
      </c>
      <c r="DJ679" t="str">
        <v>370505 UTILIDADES O PERDIDAS ACUMULADAS</v>
      </c>
      <c r="DK679" t="str">
        <v>370505 UTILIDADES O PERDIDAS ACUMULADAS</v>
      </c>
      <c r="DL679" t="str">
        <v>370505 UTILIDADES O PERDIDAS ACUMULADAS</v>
      </c>
      <c r="DM679" t="str">
        <v>370505 UTILIDADES O PERDIDAS ACUMULADAS</v>
      </c>
      <c r="DN679" t="str">
        <v>370505 UTILIDADES O PERDIDAS ACUMULADAS</v>
      </c>
      <c r="DO679" t="str">
        <v>370505 UTILIDADES O PERDIDAS ACUMULADAS</v>
      </c>
      <c r="DP679" t="str">
        <v>370505 UTILIDADES O PERDIDAS ACUMULADAS</v>
      </c>
    </row>
    <row r="680" spans="4:120" ht="12.75">
      <c r="D680" s="7">
        <v>3710</v>
      </c>
      <c r="E680" s="6" t="s">
        <v>794</v>
      </c>
      <c r="F680" s="5">
        <v>3</v>
      </c>
      <c r="G680" s="34" t="s">
        <v>827</v>
      </c>
      <c r="H680" s="8" t="s">
        <v>765</v>
      </c>
      <c r="I680" t="b">
        <f>+ISNUMBER(SEARCH('F-COMPRA'!$F$28,Tabla11[[#This Row],[Cuenta]],1))</f>
        <v>1</v>
      </c>
      <c r="J680" t="b">
        <f>+ISNUMBER(SEARCH('F-COMPRA'!$F$29,Tabla11[[#This Row],[Cuenta]],1))</f>
        <v>1</v>
      </c>
      <c r="K680" t="b">
        <f>+ISNUMBER(SEARCH('F-COMPRA'!$F$30,Tabla11[[#This Row],[Cuenta]],1))</f>
        <v>1</v>
      </c>
      <c r="L680" t="b">
        <f>+ISNUMBER(SEARCH('F-COMPRA'!$F$31,Tabla11[[#This Row],[Cuenta]],1))</f>
        <v>1</v>
      </c>
      <c r="M680" t="b">
        <f>+ISNUMBER(SEARCH('F-COMPRA'!$G$25,Tabla11[[#This Row],[Cuenta]],1))</f>
        <v>0</v>
      </c>
      <c r="N680" t="b">
        <f>+ISNUMBER(SEARCH(#REF!,Tabla11[[#This Row],[Cuenta]],1))</f>
        <v>0</v>
      </c>
      <c r="O680" t="b">
        <f>+ISNUMBER(SEARCH(#REF!,Tabla11[[#This Row],[Cuenta]],1))</f>
        <v>0</v>
      </c>
      <c r="P680" t="b">
        <f>+ISNUMBER(SEARCH('F-COMPRA'!$F$32,Tabla11[[#This Row],[Cuenta]],1))</f>
        <v>1</v>
      </c>
      <c r="Q680" t="b">
        <f>+ISNUMBER(SEARCH('F-COMPRA'!$F$33,Tabla11[[#This Row],[Cuenta]],1))</f>
        <v>1</v>
      </c>
      <c r="R680" t="b">
        <f>+ISNUMBER(SEARCH('F-COMPRA'!$F$34,Tabla11[[#This Row],[Cuenta]],1))</f>
        <v>1</v>
      </c>
      <c r="S680" t="b">
        <f>+ISNUMBER(SEARCH('F-COMPRA'!$F$35,Tabla11[[#This Row],[Cuenta]],1))</f>
        <v>1</v>
      </c>
      <c r="T680" t="b">
        <f>+ISNUMBER(SEARCH('F-COMPRA'!$F$36,Tabla11[[#This Row],[Cuenta]],1))</f>
        <v>1</v>
      </c>
      <c r="U680" t="b">
        <f>+ISNUMBER(SEARCH('F-COMPRA'!$F$37,Tabla11[[#This Row],[Cuenta]],1))</f>
        <v>1</v>
      </c>
      <c r="V680" t="b">
        <f>+ISNUMBER(SEARCH(#REF!,Tabla11[[#This Row],[Cuenta]],1))</f>
        <v>0</v>
      </c>
      <c r="W680" t="b">
        <f>+ISNUMBER(SEARCH('F-COMPRA'!#REF!,Tabla11[[#This Row],[Cuenta]],1))</f>
        <v>0</v>
      </c>
      <c r="X680" t="b">
        <f>+ISNUMBER(SEARCH('F-COMPRA'!#REF!,Tabla11[[#This Row],[Cuenta]],1))</f>
        <v>0</v>
      </c>
      <c r="Y680" t="b">
        <f>+ISNUMBER(SEARCH('F-COMPRA'!#REF!,Tabla11[[#This Row],[Cuenta]],1))</f>
        <v>0</v>
      </c>
      <c r="Z680" t="b">
        <f>+ISNUMBER(SEARCH('F-COMPRA'!#REF!,Tabla11[[#This Row],[Cuenta]],1))</f>
        <v>0</v>
      </c>
      <c r="AA680" t="b">
        <f>+ISNUMBER(SEARCH('F-COMPRA'!#REF!,Tabla11[[#This Row],[Cuenta]],1))</f>
        <v>0</v>
      </c>
      <c r="AB680" t="b">
        <f>+ISNUMBER(SEARCH('F-COMPRA'!#REF!,Tabla11[[#This Row],[Cuenta]],1))</f>
        <v>0</v>
      </c>
      <c r="AC680" t="b">
        <f>+ISNUMBER(SEARCH('F-COMPRA'!#REF!,Tabla11[[#This Row],[Cuenta]],1))</f>
        <v>0</v>
      </c>
      <c r="AD680" t="b">
        <f>+ISNUMBER(SEARCH('F-COMPRA'!#REF!,Tabla11[[#This Row],[Cuenta]],1))</f>
        <v>0</v>
      </c>
      <c r="AE680" t="b">
        <f>+ISNUMBER(SEARCH('F-COMPRA'!#REF!,Tabla11[[#This Row],[Cuenta]],1))</f>
        <v>0</v>
      </c>
      <c r="AF680" t="b">
        <f>+ISNUMBER(SEARCH('F-VTA'!$G$23,Tabla11[[#This Row],[Cuenta]],1))</f>
        <v>0</v>
      </c>
      <c r="AG680" t="b">
        <f>+ISNUMBER(SEARCH('F-VTA'!$G$24,Tabla11[[#This Row],[Cuenta]],1))</f>
        <v>0</v>
      </c>
      <c r="AH680" t="b">
        <f>+ISNUMBER(SEARCH('F-VTA'!$G$25,Tabla11[[#This Row],[Cuenta]],1))</f>
        <v>0</v>
      </c>
      <c r="AI680" t="b">
        <f>+ISNUMBER(SEARCH('F-VTA'!$F$28,Tabla11[[#This Row],[Cuenta]],1))</f>
        <v>1</v>
      </c>
      <c r="AJ680" t="b">
        <f>+ISNUMBER(SEARCH('F-VTA'!$F$29,Tabla11[[#This Row],[Cuenta]],1))</f>
        <v>1</v>
      </c>
      <c r="AK680" t="b">
        <f>+ISNUMBER(SEARCH('F-VTA'!$F$30,Tabla11[[#This Row],[Cuenta]],1))</f>
        <v>1</v>
      </c>
      <c r="AL680" t="b">
        <f>+ISNUMBER(SEARCH('F-VTA'!$F$31,Tabla11[[#This Row],[Cuenta]],1))</f>
        <v>1</v>
      </c>
      <c r="AM680" t="b">
        <f>+ISNUMBER(SEARCH('F-VTA'!$F$32,Tabla11[[#This Row],[Cuenta]],1))</f>
        <v>1</v>
      </c>
      <c r="AN680" t="b">
        <f>+ISNUMBER(SEARCH('F-VTA'!$F$33,Tabla11[[#This Row],[Cuenta]],1))</f>
        <v>1</v>
      </c>
      <c r="AO680" t="b">
        <f>+ISNUMBER(SEARCH('F-VTA'!$F$34,Tabla11[[#This Row],[Cuenta]],1))</f>
        <v>1</v>
      </c>
      <c r="AP680" t="b">
        <f>+ISNUMBER(SEARCH('F-VTA'!$F$35,Tabla11[[#This Row],[Cuenta]],1))</f>
        <v>1</v>
      </c>
      <c r="AQ680" t="b">
        <f>+ISNUMBER(SEARCH('F-VTA'!$F$36,Tabla11[[#This Row],[Cuenta]],1))</f>
        <v>1</v>
      </c>
      <c r="AR680" t="b">
        <f>+ISNUMBER(SEARCH(#REF!,Tabla11[[#This Row],[Cuenta]],1))</f>
        <v>0</v>
      </c>
      <c r="AS680" t="b">
        <f>+ISNUMBER(SEARCH(#REF!,Tabla11[[#This Row],[Cuenta]],1))</f>
        <v>0</v>
      </c>
      <c r="AT680" t="b">
        <f>+ISNUMBER(SEARCH(#REF!,Tabla11[[#This Row],[Cuenta]],1))</f>
        <v>0</v>
      </c>
      <c r="AU680" t="b">
        <f>+ISNUMBER(SEARCH('Conc. Ban.1'!$I$9,Tabla11[[#This Row],[Cuenta]],1))</f>
        <v>0</v>
      </c>
      <c r="AV680" t="b">
        <f>+ISNUMBER(SEARCH(CompConta!$F$21,Tabla11[[#This Row],[Cuenta]],1))</f>
        <v>1</v>
      </c>
      <c r="AW680" t="b">
        <f>+ISNUMBER(SEARCH(CompConta!$F$22,Tabla11[[#This Row],[Cuenta]],1))</f>
        <v>1</v>
      </c>
      <c r="AX680" t="b">
        <f>+ISNUMBER(SEARCH(CompConta!$F$23,Tabla11[[#This Row],[Cuenta]],1))</f>
        <v>1</v>
      </c>
      <c r="AY680" t="b">
        <f>+ISNUMBER(SEARCH(CompConta!$F$24,Tabla11[[#This Row],[Cuenta]],1))</f>
        <v>1</v>
      </c>
      <c r="AZ680" t="b">
        <f>+ISNUMBER(SEARCH(CompConta!$F$25,Tabla11[[#This Row],[Cuenta]],1))</f>
        <v>1</v>
      </c>
      <c r="BA680" t="b">
        <f>+ISNUMBER(SEARCH(CompConta!$F$26,Tabla11[[#This Row],[Cuenta]],1))</f>
        <v>1</v>
      </c>
      <c r="BB680" t="b">
        <f>+ISNUMBER(SEARCH(CompConta!$F$27,Tabla11[[#This Row],[Cuenta]],1))</f>
        <v>1</v>
      </c>
      <c r="BC680" t="b">
        <f>+ISNUMBER(SEARCH(CompConta!$F$28,Tabla11[[#This Row],[Cuenta]],1))</f>
        <v>1</v>
      </c>
      <c r="BD680" t="b">
        <f>+ISNUMBER(SEARCH(CompConta!$F$29,Tabla11[[#This Row],[Cuenta]],1))</f>
        <v>1</v>
      </c>
      <c r="BE680" t="b">
        <f>+ISNUMBER(SEARCH(CompConta!$F$30,Tabla11[[#This Row],[Cuenta]],1))</f>
        <v>1</v>
      </c>
      <c r="BF680" t="b">
        <f>+ISNUMBER(SEARCH('PAGO Compras'!$E$11,Tabla11[[#This Row],[Cuenta]],1))</f>
        <v>1</v>
      </c>
      <c r="BG680" t="b">
        <f>+ISNUMBER(SEARCH(#REF!,Tabla11[[#This Row],[Cuenta]],1))</f>
        <v>0</v>
      </c>
      <c r="BH680" t="b">
        <f>+ISNUMBER(SEARCH(#REF!,Tabla11[[#This Row],[Cuenta]],1))</f>
        <v>0</v>
      </c>
      <c r="BI680" t="b">
        <f>+ISNUMBER(SEARCH(#REF!,Tabla11[[#This Row],[Cuenta]],1))</f>
        <v>0</v>
      </c>
      <c r="BJ680" t="b">
        <f>+ISNUMBER(SEARCH(#REF!,Tabla11[[#This Row],[Cuenta]],1))</f>
        <v>0</v>
      </c>
      <c r="BS680" t="str">
        <v>3710 PERDIDAS ACUMULADAS</v>
      </c>
      <c r="BT680" t="str">
        <v>3710 PERDIDAS ACUMULADAS</v>
      </c>
      <c r="BU680" t="str">
        <v>3710 PERDIDAS ACUMULADAS</v>
      </c>
      <c r="BV680" t="str">
        <v>3710 PERDIDAS ACUMULADAS</v>
      </c>
      <c r="BZ680" t="str">
        <v>3710 PERDIDAS ACUMULADAS</v>
      </c>
      <c r="CA680" t="str">
        <v>3710 PERDIDAS ACUMULADAS</v>
      </c>
      <c r="CB680" t="str">
        <v>3710 PERDIDAS ACUMULADAS</v>
      </c>
      <c r="CC680" t="str">
        <v>3710 PERDIDAS ACUMULADAS</v>
      </c>
      <c r="CD680" t="str">
        <v>3710 PERDIDAS ACUMULADAS</v>
      </c>
      <c r="CE680" t="str">
        <v>3710 PERDIDAS ACUMULADAS</v>
      </c>
      <c r="CS680" s="141" t="str">
        <v>3710 PERDIDAS ACUMULADAS</v>
      </c>
      <c r="CT680" s="141" t="str">
        <v>3710 PERDIDAS ACUMULADAS</v>
      </c>
      <c r="CU680" s="141" t="str">
        <v>3710 PERDIDAS ACUMULADAS</v>
      </c>
      <c r="CV680" s="141" t="str">
        <v>3710 PERDIDAS ACUMULADAS</v>
      </c>
      <c r="CW680" s="141" t="str">
        <v>3710 PERDIDAS ACUMULADAS</v>
      </c>
      <c r="CX680" s="141" t="str">
        <v>3710 PERDIDAS ACUMULADAS</v>
      </c>
      <c r="CY680" s="141" t="str">
        <v>3710 PERDIDAS ACUMULADAS</v>
      </c>
      <c r="CZ680" s="141" t="str">
        <v>3710 PERDIDAS ACUMULADAS</v>
      </c>
      <c r="DA680" s="141" t="str">
        <v>3710 PERDIDAS ACUMULADAS</v>
      </c>
      <c r="DF680" t="str">
        <v>3710 PERDIDAS ACUMULADAS</v>
      </c>
      <c r="DG680" t="str">
        <v>3710 PERDIDAS ACUMULADAS</v>
      </c>
      <c r="DH680" t="str">
        <v>3710 PERDIDAS ACUMULADAS</v>
      </c>
      <c r="DI680" t="str">
        <v>3710 PERDIDAS ACUMULADAS</v>
      </c>
      <c r="DJ680" t="str">
        <v>3710 PERDIDAS ACUMULADAS</v>
      </c>
      <c r="DK680" t="str">
        <v>3710 PERDIDAS ACUMULADAS</v>
      </c>
      <c r="DL680" t="str">
        <v>3710 PERDIDAS ACUMULADAS</v>
      </c>
      <c r="DM680" t="str">
        <v>3710 PERDIDAS ACUMULADAS</v>
      </c>
      <c r="DN680" t="str">
        <v>3710 PERDIDAS ACUMULADAS</v>
      </c>
      <c r="DO680" t="str">
        <v>3710 PERDIDAS ACUMULADAS</v>
      </c>
      <c r="DP680" t="str">
        <v>3710 PERDIDAS ACUMULADAS</v>
      </c>
    </row>
    <row r="681" spans="4:120" ht="12.75">
      <c r="D681" s="7">
        <v>371005</v>
      </c>
      <c r="E681" s="6" t="s">
        <v>794</v>
      </c>
      <c r="F681" s="5">
        <v>4</v>
      </c>
      <c r="G681" s="34" t="s">
        <v>827</v>
      </c>
      <c r="H681" s="8" t="s">
        <v>765</v>
      </c>
      <c r="I681" t="b">
        <f>+ISNUMBER(SEARCH('F-COMPRA'!$F$28,Tabla11[[#This Row],[Cuenta]],1))</f>
        <v>1</v>
      </c>
      <c r="J681" t="b">
        <f>+ISNUMBER(SEARCH('F-COMPRA'!$F$29,Tabla11[[#This Row],[Cuenta]],1))</f>
        <v>1</v>
      </c>
      <c r="K681" t="b">
        <f>+ISNUMBER(SEARCH('F-COMPRA'!$F$30,Tabla11[[#This Row],[Cuenta]],1))</f>
        <v>1</v>
      </c>
      <c r="L681" t="b">
        <f>+ISNUMBER(SEARCH('F-COMPRA'!$F$31,Tabla11[[#This Row],[Cuenta]],1))</f>
        <v>1</v>
      </c>
      <c r="M681" t="b">
        <f>+ISNUMBER(SEARCH('F-COMPRA'!$G$25,Tabla11[[#This Row],[Cuenta]],1))</f>
        <v>0</v>
      </c>
      <c r="N681" t="b">
        <f>+ISNUMBER(SEARCH(#REF!,Tabla11[[#This Row],[Cuenta]],1))</f>
        <v>0</v>
      </c>
      <c r="O681" t="b">
        <f>+ISNUMBER(SEARCH(#REF!,Tabla11[[#This Row],[Cuenta]],1))</f>
        <v>0</v>
      </c>
      <c r="P681" t="b">
        <f>+ISNUMBER(SEARCH('F-COMPRA'!$F$32,Tabla11[[#This Row],[Cuenta]],1))</f>
        <v>1</v>
      </c>
      <c r="Q681" t="b">
        <f>+ISNUMBER(SEARCH('F-COMPRA'!$F$33,Tabla11[[#This Row],[Cuenta]],1))</f>
        <v>1</v>
      </c>
      <c r="R681" t="b">
        <f>+ISNUMBER(SEARCH('F-COMPRA'!$F$34,Tabla11[[#This Row],[Cuenta]],1))</f>
        <v>1</v>
      </c>
      <c r="S681" t="b">
        <f>+ISNUMBER(SEARCH('F-COMPRA'!$F$35,Tabla11[[#This Row],[Cuenta]],1))</f>
        <v>1</v>
      </c>
      <c r="T681" t="b">
        <f>+ISNUMBER(SEARCH('F-COMPRA'!$F$36,Tabla11[[#This Row],[Cuenta]],1))</f>
        <v>1</v>
      </c>
      <c r="U681" t="b">
        <f>+ISNUMBER(SEARCH('F-COMPRA'!$F$37,Tabla11[[#This Row],[Cuenta]],1))</f>
        <v>1</v>
      </c>
      <c r="V681" t="b">
        <f>+ISNUMBER(SEARCH(#REF!,Tabla11[[#This Row],[Cuenta]],1))</f>
        <v>0</v>
      </c>
      <c r="W681" t="b">
        <f>+ISNUMBER(SEARCH('F-COMPRA'!#REF!,Tabla11[[#This Row],[Cuenta]],1))</f>
        <v>0</v>
      </c>
      <c r="X681" t="b">
        <f>+ISNUMBER(SEARCH('F-COMPRA'!#REF!,Tabla11[[#This Row],[Cuenta]],1))</f>
        <v>0</v>
      </c>
      <c r="Y681" t="b">
        <f>+ISNUMBER(SEARCH('F-COMPRA'!#REF!,Tabla11[[#This Row],[Cuenta]],1))</f>
        <v>0</v>
      </c>
      <c r="Z681" t="b">
        <f>+ISNUMBER(SEARCH('F-COMPRA'!#REF!,Tabla11[[#This Row],[Cuenta]],1))</f>
        <v>0</v>
      </c>
      <c r="AA681" t="b">
        <f>+ISNUMBER(SEARCH('F-COMPRA'!#REF!,Tabla11[[#This Row],[Cuenta]],1))</f>
        <v>0</v>
      </c>
      <c r="AB681" t="b">
        <f>+ISNUMBER(SEARCH('F-COMPRA'!#REF!,Tabla11[[#This Row],[Cuenta]],1))</f>
        <v>0</v>
      </c>
      <c r="AC681" t="b">
        <f>+ISNUMBER(SEARCH('F-COMPRA'!#REF!,Tabla11[[#This Row],[Cuenta]],1))</f>
        <v>0</v>
      </c>
      <c r="AD681" t="b">
        <f>+ISNUMBER(SEARCH('F-COMPRA'!#REF!,Tabla11[[#This Row],[Cuenta]],1))</f>
        <v>0</v>
      </c>
      <c r="AE681" t="b">
        <f>+ISNUMBER(SEARCH('F-COMPRA'!#REF!,Tabla11[[#This Row],[Cuenta]],1))</f>
        <v>0</v>
      </c>
      <c r="AF681" t="b">
        <f>+ISNUMBER(SEARCH('F-VTA'!$G$23,Tabla11[[#This Row],[Cuenta]],1))</f>
        <v>0</v>
      </c>
      <c r="AG681" t="b">
        <f>+ISNUMBER(SEARCH('F-VTA'!$G$24,Tabla11[[#This Row],[Cuenta]],1))</f>
        <v>0</v>
      </c>
      <c r="AH681" t="b">
        <f>+ISNUMBER(SEARCH('F-VTA'!$G$25,Tabla11[[#This Row],[Cuenta]],1))</f>
        <v>0</v>
      </c>
      <c r="AI681" t="b">
        <f>+ISNUMBER(SEARCH('F-VTA'!$F$28,Tabla11[[#This Row],[Cuenta]],1))</f>
        <v>1</v>
      </c>
      <c r="AJ681" t="b">
        <f>+ISNUMBER(SEARCH('F-VTA'!$F$29,Tabla11[[#This Row],[Cuenta]],1))</f>
        <v>1</v>
      </c>
      <c r="AK681" t="b">
        <f>+ISNUMBER(SEARCH('F-VTA'!$F$30,Tabla11[[#This Row],[Cuenta]],1))</f>
        <v>1</v>
      </c>
      <c r="AL681" t="b">
        <f>+ISNUMBER(SEARCH('F-VTA'!$F$31,Tabla11[[#This Row],[Cuenta]],1))</f>
        <v>1</v>
      </c>
      <c r="AM681" t="b">
        <f>+ISNUMBER(SEARCH('F-VTA'!$F$32,Tabla11[[#This Row],[Cuenta]],1))</f>
        <v>1</v>
      </c>
      <c r="AN681" t="b">
        <f>+ISNUMBER(SEARCH('F-VTA'!$F$33,Tabla11[[#This Row],[Cuenta]],1))</f>
        <v>1</v>
      </c>
      <c r="AO681" t="b">
        <f>+ISNUMBER(SEARCH('F-VTA'!$F$34,Tabla11[[#This Row],[Cuenta]],1))</f>
        <v>1</v>
      </c>
      <c r="AP681" t="b">
        <f>+ISNUMBER(SEARCH('F-VTA'!$F$35,Tabla11[[#This Row],[Cuenta]],1))</f>
        <v>1</v>
      </c>
      <c r="AQ681" t="b">
        <f>+ISNUMBER(SEARCH('F-VTA'!$F$36,Tabla11[[#This Row],[Cuenta]],1))</f>
        <v>1</v>
      </c>
      <c r="AR681" t="b">
        <f>+ISNUMBER(SEARCH(#REF!,Tabla11[[#This Row],[Cuenta]],1))</f>
        <v>0</v>
      </c>
      <c r="AS681" t="b">
        <f>+ISNUMBER(SEARCH(#REF!,Tabla11[[#This Row],[Cuenta]],1))</f>
        <v>0</v>
      </c>
      <c r="AT681" t="b">
        <f>+ISNUMBER(SEARCH(#REF!,Tabla11[[#This Row],[Cuenta]],1))</f>
        <v>0</v>
      </c>
      <c r="AU681" t="b">
        <f>+ISNUMBER(SEARCH('Conc. Ban.1'!$I$9,Tabla11[[#This Row],[Cuenta]],1))</f>
        <v>0</v>
      </c>
      <c r="AV681" t="b">
        <f>+ISNUMBER(SEARCH(CompConta!$F$21,Tabla11[[#This Row],[Cuenta]],1))</f>
        <v>1</v>
      </c>
      <c r="AW681" t="b">
        <f>+ISNUMBER(SEARCH(CompConta!$F$22,Tabla11[[#This Row],[Cuenta]],1))</f>
        <v>1</v>
      </c>
      <c r="AX681" t="b">
        <f>+ISNUMBER(SEARCH(CompConta!$F$23,Tabla11[[#This Row],[Cuenta]],1))</f>
        <v>1</v>
      </c>
      <c r="AY681" t="b">
        <f>+ISNUMBER(SEARCH(CompConta!$F$24,Tabla11[[#This Row],[Cuenta]],1))</f>
        <v>1</v>
      </c>
      <c r="AZ681" t="b">
        <f>+ISNUMBER(SEARCH(CompConta!$F$25,Tabla11[[#This Row],[Cuenta]],1))</f>
        <v>1</v>
      </c>
      <c r="BA681" t="b">
        <f>+ISNUMBER(SEARCH(CompConta!$F$26,Tabla11[[#This Row],[Cuenta]],1))</f>
        <v>1</v>
      </c>
      <c r="BB681" t="b">
        <f>+ISNUMBER(SEARCH(CompConta!$F$27,Tabla11[[#This Row],[Cuenta]],1))</f>
        <v>1</v>
      </c>
      <c r="BC681" t="b">
        <f>+ISNUMBER(SEARCH(CompConta!$F$28,Tabla11[[#This Row],[Cuenta]],1))</f>
        <v>1</v>
      </c>
      <c r="BD681" t="b">
        <f>+ISNUMBER(SEARCH(CompConta!$F$29,Tabla11[[#This Row],[Cuenta]],1))</f>
        <v>1</v>
      </c>
      <c r="BE681" t="b">
        <f>+ISNUMBER(SEARCH(CompConta!$F$30,Tabla11[[#This Row],[Cuenta]],1))</f>
        <v>1</v>
      </c>
      <c r="BF681" t="b">
        <f>+ISNUMBER(SEARCH('PAGO Compras'!$E$11,Tabla11[[#This Row],[Cuenta]],1))</f>
        <v>1</v>
      </c>
      <c r="BG681" t="b">
        <f>+ISNUMBER(SEARCH(#REF!,Tabla11[[#This Row],[Cuenta]],1))</f>
        <v>0</v>
      </c>
      <c r="BH681" t="b">
        <f>+ISNUMBER(SEARCH(#REF!,Tabla11[[#This Row],[Cuenta]],1))</f>
        <v>0</v>
      </c>
      <c r="BI681" t="b">
        <f>+ISNUMBER(SEARCH(#REF!,Tabla11[[#This Row],[Cuenta]],1))</f>
        <v>0</v>
      </c>
      <c r="BJ681" t="b">
        <f>+ISNUMBER(SEARCH(#REF!,Tabla11[[#This Row],[Cuenta]],1))</f>
        <v>0</v>
      </c>
      <c r="BS681" t="str">
        <v>371005 PERDIDAS ACUMULADAS</v>
      </c>
      <c r="BT681" t="str">
        <v>371005 PERDIDAS ACUMULADAS</v>
      </c>
      <c r="BU681" t="str">
        <v>371005 PERDIDAS ACUMULADAS</v>
      </c>
      <c r="BV681" t="str">
        <v>371005 PERDIDAS ACUMULADAS</v>
      </c>
      <c r="BZ681" t="str">
        <v>371005 PERDIDAS ACUMULADAS</v>
      </c>
      <c r="CA681" t="str">
        <v>371005 PERDIDAS ACUMULADAS</v>
      </c>
      <c r="CB681" t="str">
        <v>371005 PERDIDAS ACUMULADAS</v>
      </c>
      <c r="CC681" t="str">
        <v>371005 PERDIDAS ACUMULADAS</v>
      </c>
      <c r="CD681" t="str">
        <v>371005 PERDIDAS ACUMULADAS</v>
      </c>
      <c r="CE681" t="str">
        <v>371005 PERDIDAS ACUMULADAS</v>
      </c>
      <c r="CS681" s="141" t="str">
        <v>371005 PERDIDAS ACUMULADAS</v>
      </c>
      <c r="CT681" s="141" t="str">
        <v>371005 PERDIDAS ACUMULADAS</v>
      </c>
      <c r="CU681" s="141" t="str">
        <v>371005 PERDIDAS ACUMULADAS</v>
      </c>
      <c r="CV681" s="141" t="str">
        <v>371005 PERDIDAS ACUMULADAS</v>
      </c>
      <c r="CW681" s="141" t="str">
        <v>371005 PERDIDAS ACUMULADAS</v>
      </c>
      <c r="CX681" s="141" t="str">
        <v>371005 PERDIDAS ACUMULADAS</v>
      </c>
      <c r="CY681" s="141" t="str">
        <v>371005 PERDIDAS ACUMULADAS</v>
      </c>
      <c r="CZ681" s="141" t="str">
        <v>371005 PERDIDAS ACUMULADAS</v>
      </c>
      <c r="DA681" s="141" t="str">
        <v>371005 PERDIDAS ACUMULADAS</v>
      </c>
      <c r="DF681" t="str">
        <v>371005 PERDIDAS ACUMULADAS</v>
      </c>
      <c r="DG681" t="str">
        <v>371005 PERDIDAS ACUMULADAS</v>
      </c>
      <c r="DH681" t="str">
        <v>371005 PERDIDAS ACUMULADAS</v>
      </c>
      <c r="DI681" t="str">
        <v>371005 PERDIDAS ACUMULADAS</v>
      </c>
      <c r="DJ681" t="str">
        <v>371005 PERDIDAS ACUMULADAS</v>
      </c>
      <c r="DK681" t="str">
        <v>371005 PERDIDAS ACUMULADAS</v>
      </c>
      <c r="DL681" t="str">
        <v>371005 PERDIDAS ACUMULADAS</v>
      </c>
      <c r="DM681" t="str">
        <v>371005 PERDIDAS ACUMULADAS</v>
      </c>
      <c r="DN681" t="str">
        <v>371005 PERDIDAS ACUMULADAS</v>
      </c>
      <c r="DO681" t="str">
        <v>371005 PERDIDAS ACUMULADAS</v>
      </c>
      <c r="DP681" t="str">
        <v>371005 PERDIDAS ACUMULADAS</v>
      </c>
    </row>
    <row r="682" spans="4:120" ht="12.75">
      <c r="D682" s="7">
        <v>38</v>
      </c>
      <c r="E682" s="6" t="s">
        <v>503</v>
      </c>
      <c r="F682" s="5">
        <v>2</v>
      </c>
      <c r="G682" s="34" t="s">
        <v>827</v>
      </c>
      <c r="H682" s="8" t="s">
        <v>56</v>
      </c>
      <c r="I682" t="b">
        <f>+ISNUMBER(SEARCH('F-COMPRA'!$F$28,Tabla11[[#This Row],[Cuenta]],1))</f>
        <v>1</v>
      </c>
      <c r="J682" t="b">
        <f>+ISNUMBER(SEARCH('F-COMPRA'!$F$29,Tabla11[[#This Row],[Cuenta]],1))</f>
        <v>1</v>
      </c>
      <c r="K682" t="b">
        <f>+ISNUMBER(SEARCH('F-COMPRA'!$F$30,Tabla11[[#This Row],[Cuenta]],1))</f>
        <v>1</v>
      </c>
      <c r="L682" t="b">
        <f>+ISNUMBER(SEARCH('F-COMPRA'!$F$31,Tabla11[[#This Row],[Cuenta]],1))</f>
        <v>1</v>
      </c>
      <c r="M682" t="b">
        <f>+ISNUMBER(SEARCH('F-COMPRA'!$G$25,Tabla11[[#This Row],[Cuenta]],1))</f>
        <v>0</v>
      </c>
      <c r="N682" t="b">
        <f>+ISNUMBER(SEARCH(#REF!,Tabla11[[#This Row],[Cuenta]],1))</f>
        <v>0</v>
      </c>
      <c r="O682" t="b">
        <f>+ISNUMBER(SEARCH(#REF!,Tabla11[[#This Row],[Cuenta]],1))</f>
        <v>0</v>
      </c>
      <c r="P682" t="b">
        <f>+ISNUMBER(SEARCH('F-COMPRA'!$F$32,Tabla11[[#This Row],[Cuenta]],1))</f>
        <v>1</v>
      </c>
      <c r="Q682" t="b">
        <f>+ISNUMBER(SEARCH('F-COMPRA'!$F$33,Tabla11[[#This Row],[Cuenta]],1))</f>
        <v>1</v>
      </c>
      <c r="R682" t="b">
        <f>+ISNUMBER(SEARCH('F-COMPRA'!$F$34,Tabla11[[#This Row],[Cuenta]],1))</f>
        <v>1</v>
      </c>
      <c r="S682" t="b">
        <f>+ISNUMBER(SEARCH('F-COMPRA'!$F$35,Tabla11[[#This Row],[Cuenta]],1))</f>
        <v>1</v>
      </c>
      <c r="T682" t="b">
        <f>+ISNUMBER(SEARCH('F-COMPRA'!$F$36,Tabla11[[#This Row],[Cuenta]],1))</f>
        <v>1</v>
      </c>
      <c r="U682" t="b">
        <f>+ISNUMBER(SEARCH('F-COMPRA'!$F$37,Tabla11[[#This Row],[Cuenta]],1))</f>
        <v>1</v>
      </c>
      <c r="V682" t="b">
        <f>+ISNUMBER(SEARCH(#REF!,Tabla11[[#This Row],[Cuenta]],1))</f>
        <v>0</v>
      </c>
      <c r="W682" t="b">
        <f>+ISNUMBER(SEARCH('F-COMPRA'!#REF!,Tabla11[[#This Row],[Cuenta]],1))</f>
        <v>0</v>
      </c>
      <c r="X682" t="b">
        <f>+ISNUMBER(SEARCH('F-COMPRA'!#REF!,Tabla11[[#This Row],[Cuenta]],1))</f>
        <v>0</v>
      </c>
      <c r="Y682" t="b">
        <f>+ISNUMBER(SEARCH('F-COMPRA'!#REF!,Tabla11[[#This Row],[Cuenta]],1))</f>
        <v>0</v>
      </c>
      <c r="Z682" t="b">
        <f>+ISNUMBER(SEARCH('F-COMPRA'!#REF!,Tabla11[[#This Row],[Cuenta]],1))</f>
        <v>0</v>
      </c>
      <c r="AA682" t="b">
        <f>+ISNUMBER(SEARCH('F-COMPRA'!#REF!,Tabla11[[#This Row],[Cuenta]],1))</f>
        <v>0</v>
      </c>
      <c r="AB682" t="b">
        <f>+ISNUMBER(SEARCH('F-COMPRA'!#REF!,Tabla11[[#This Row],[Cuenta]],1))</f>
        <v>0</v>
      </c>
      <c r="AC682" t="b">
        <f>+ISNUMBER(SEARCH('F-COMPRA'!#REF!,Tabla11[[#This Row],[Cuenta]],1))</f>
        <v>0</v>
      </c>
      <c r="AD682" t="b">
        <f>+ISNUMBER(SEARCH('F-COMPRA'!#REF!,Tabla11[[#This Row],[Cuenta]],1))</f>
        <v>0</v>
      </c>
      <c r="AE682" t="b">
        <f>+ISNUMBER(SEARCH('F-COMPRA'!#REF!,Tabla11[[#This Row],[Cuenta]],1))</f>
        <v>0</v>
      </c>
      <c r="AF682" t="b">
        <f>+ISNUMBER(SEARCH('F-VTA'!$G$23,Tabla11[[#This Row],[Cuenta]],1))</f>
        <v>0</v>
      </c>
      <c r="AG682" t="b">
        <f>+ISNUMBER(SEARCH('F-VTA'!$G$24,Tabla11[[#This Row],[Cuenta]],1))</f>
        <v>0</v>
      </c>
      <c r="AH682" t="b">
        <f>+ISNUMBER(SEARCH('F-VTA'!$G$25,Tabla11[[#This Row],[Cuenta]],1))</f>
        <v>0</v>
      </c>
      <c r="AI682" t="b">
        <f>+ISNUMBER(SEARCH('F-VTA'!$F$28,Tabla11[[#This Row],[Cuenta]],1))</f>
        <v>1</v>
      </c>
      <c r="AJ682" t="b">
        <f>+ISNUMBER(SEARCH('F-VTA'!$F$29,Tabla11[[#This Row],[Cuenta]],1))</f>
        <v>1</v>
      </c>
      <c r="AK682" t="b">
        <f>+ISNUMBER(SEARCH('F-VTA'!$F$30,Tabla11[[#This Row],[Cuenta]],1))</f>
        <v>1</v>
      </c>
      <c r="AL682" t="b">
        <f>+ISNUMBER(SEARCH('F-VTA'!$F$31,Tabla11[[#This Row],[Cuenta]],1))</f>
        <v>1</v>
      </c>
      <c r="AM682" t="b">
        <f>+ISNUMBER(SEARCH('F-VTA'!$F$32,Tabla11[[#This Row],[Cuenta]],1))</f>
        <v>1</v>
      </c>
      <c r="AN682" t="b">
        <f>+ISNUMBER(SEARCH('F-VTA'!$F$33,Tabla11[[#This Row],[Cuenta]],1))</f>
        <v>1</v>
      </c>
      <c r="AO682" t="b">
        <f>+ISNUMBER(SEARCH('F-VTA'!$F$34,Tabla11[[#This Row],[Cuenta]],1))</f>
        <v>1</v>
      </c>
      <c r="AP682" t="b">
        <f>+ISNUMBER(SEARCH('F-VTA'!$F$35,Tabla11[[#This Row],[Cuenta]],1))</f>
        <v>1</v>
      </c>
      <c r="AQ682" t="b">
        <f>+ISNUMBER(SEARCH('F-VTA'!$F$36,Tabla11[[#This Row],[Cuenta]],1))</f>
        <v>1</v>
      </c>
      <c r="AR682" t="b">
        <f>+ISNUMBER(SEARCH(#REF!,Tabla11[[#This Row],[Cuenta]],1))</f>
        <v>0</v>
      </c>
      <c r="AS682" t="b">
        <f>+ISNUMBER(SEARCH(#REF!,Tabla11[[#This Row],[Cuenta]],1))</f>
        <v>0</v>
      </c>
      <c r="AT682" t="b">
        <f>+ISNUMBER(SEARCH(#REF!,Tabla11[[#This Row],[Cuenta]],1))</f>
        <v>0</v>
      </c>
      <c r="AU682" t="b">
        <f>+ISNUMBER(SEARCH('Conc. Ban.1'!$I$9,Tabla11[[#This Row],[Cuenta]],1))</f>
        <v>0</v>
      </c>
      <c r="AV682" t="b">
        <f>+ISNUMBER(SEARCH(CompConta!$F$21,Tabla11[[#This Row],[Cuenta]],1))</f>
        <v>1</v>
      </c>
      <c r="AW682" t="b">
        <f>+ISNUMBER(SEARCH(CompConta!$F$22,Tabla11[[#This Row],[Cuenta]],1))</f>
        <v>1</v>
      </c>
      <c r="AX682" t="b">
        <f>+ISNUMBER(SEARCH(CompConta!$F$23,Tabla11[[#This Row],[Cuenta]],1))</f>
        <v>1</v>
      </c>
      <c r="AY682" t="b">
        <f>+ISNUMBER(SEARCH(CompConta!$F$24,Tabla11[[#This Row],[Cuenta]],1))</f>
        <v>1</v>
      </c>
      <c r="AZ682" t="b">
        <f>+ISNUMBER(SEARCH(CompConta!$F$25,Tabla11[[#This Row],[Cuenta]],1))</f>
        <v>1</v>
      </c>
      <c r="BA682" t="b">
        <f>+ISNUMBER(SEARCH(CompConta!$F$26,Tabla11[[#This Row],[Cuenta]],1))</f>
        <v>1</v>
      </c>
      <c r="BB682" t="b">
        <f>+ISNUMBER(SEARCH(CompConta!$F$27,Tabla11[[#This Row],[Cuenta]],1))</f>
        <v>1</v>
      </c>
      <c r="BC682" t="b">
        <f>+ISNUMBER(SEARCH(CompConta!$F$28,Tabla11[[#This Row],[Cuenta]],1))</f>
        <v>1</v>
      </c>
      <c r="BD682" t="b">
        <f>+ISNUMBER(SEARCH(CompConta!$F$29,Tabla11[[#This Row],[Cuenta]],1))</f>
        <v>1</v>
      </c>
      <c r="BE682" t="b">
        <f>+ISNUMBER(SEARCH(CompConta!$F$30,Tabla11[[#This Row],[Cuenta]],1))</f>
        <v>1</v>
      </c>
      <c r="BF682" t="b">
        <f>+ISNUMBER(SEARCH('PAGO Compras'!$E$11,Tabla11[[#This Row],[Cuenta]],1))</f>
        <v>1</v>
      </c>
      <c r="BG682" t="b">
        <f>+ISNUMBER(SEARCH(#REF!,Tabla11[[#This Row],[Cuenta]],1))</f>
        <v>0</v>
      </c>
      <c r="BH682" t="b">
        <f>+ISNUMBER(SEARCH(#REF!,Tabla11[[#This Row],[Cuenta]],1))</f>
        <v>0</v>
      </c>
      <c r="BI682" t="b">
        <f>+ISNUMBER(SEARCH(#REF!,Tabla11[[#This Row],[Cuenta]],1))</f>
        <v>0</v>
      </c>
      <c r="BJ682" t="b">
        <f>+ISNUMBER(SEARCH(#REF!,Tabla11[[#This Row],[Cuenta]],1))</f>
        <v>0</v>
      </c>
      <c r="BS682" t="str">
        <v>38 SUPERÁVIT POR VALORACIONES</v>
      </c>
      <c r="BT682" t="str">
        <v>38 SUPERÁVIT POR VALORACIONES</v>
      </c>
      <c r="BU682" t="str">
        <v>38 SUPERÁVIT POR VALORACIONES</v>
      </c>
      <c r="BV682" t="str">
        <v>38 SUPERÁVIT POR VALORACIONES</v>
      </c>
      <c r="BZ682" t="str">
        <v>38 SUPERÁVIT POR VALORACIONES</v>
      </c>
      <c r="CA682" t="str">
        <v>38 SUPERÁVIT POR VALORACIONES</v>
      </c>
      <c r="CB682" t="str">
        <v>38 SUPERÁVIT POR VALORACIONES</v>
      </c>
      <c r="CC682" t="str">
        <v>38 SUPERÁVIT POR VALORACIONES</v>
      </c>
      <c r="CD682" t="str">
        <v>38 SUPERÁVIT POR VALORACIONES</v>
      </c>
      <c r="CE682" t="str">
        <v>38 SUPERÁVIT POR VALORACIONES</v>
      </c>
      <c r="CS682" s="141" t="str">
        <v>38 SUPERÁVIT POR VALORACIONES</v>
      </c>
      <c r="CT682" s="141" t="str">
        <v>38 SUPERÁVIT POR VALORACIONES</v>
      </c>
      <c r="CU682" s="141" t="str">
        <v>38 SUPERÁVIT POR VALORACIONES</v>
      </c>
      <c r="CV682" s="141" t="str">
        <v>38 SUPERÁVIT POR VALORACIONES</v>
      </c>
      <c r="CW682" s="141" t="str">
        <v>38 SUPERÁVIT POR VALORACIONES</v>
      </c>
      <c r="CX682" s="141" t="str">
        <v>38 SUPERÁVIT POR VALORACIONES</v>
      </c>
      <c r="CY682" s="141" t="str">
        <v>38 SUPERÁVIT POR VALORACIONES</v>
      </c>
      <c r="CZ682" s="141" t="str">
        <v>38 SUPERÁVIT POR VALORACIONES</v>
      </c>
      <c r="DA682" s="141" t="str">
        <v>38 SUPERÁVIT POR VALORACIONES</v>
      </c>
      <c r="DF682" t="str">
        <v>38 SUPERÁVIT POR VALORACIONES</v>
      </c>
      <c r="DG682" t="str">
        <v>38 SUPERÁVIT POR VALORACIONES</v>
      </c>
      <c r="DH682" t="str">
        <v>38 SUPERÁVIT POR VALORACIONES</v>
      </c>
      <c r="DI682" t="str">
        <v>38 SUPERÁVIT POR VALORACIONES</v>
      </c>
      <c r="DJ682" t="str">
        <v>38 SUPERÁVIT POR VALORACIONES</v>
      </c>
      <c r="DK682" t="str">
        <v>38 SUPERÁVIT POR VALORACIONES</v>
      </c>
      <c r="DL682" t="str">
        <v>38 SUPERÁVIT POR VALORACIONES</v>
      </c>
      <c r="DM682" t="str">
        <v>38 SUPERÁVIT POR VALORACIONES</v>
      </c>
      <c r="DN682" t="str">
        <v>38 SUPERÁVIT POR VALORACIONES</v>
      </c>
      <c r="DO682" t="str">
        <v>38 SUPERÁVIT POR VALORACIONES</v>
      </c>
      <c r="DP682" t="str">
        <v>38 SUPERÁVIT POR VALORACIONES</v>
      </c>
    </row>
    <row r="683" spans="4:120" ht="12.75">
      <c r="D683" s="7">
        <v>3805</v>
      </c>
      <c r="E683" s="6" t="s">
        <v>289</v>
      </c>
      <c r="F683" s="5">
        <v>3</v>
      </c>
      <c r="G683" s="34" t="s">
        <v>827</v>
      </c>
      <c r="H683" s="8" t="s">
        <v>56</v>
      </c>
      <c r="I683" t="b">
        <f>+ISNUMBER(SEARCH('F-COMPRA'!$F$28,Tabla11[[#This Row],[Cuenta]],1))</f>
        <v>1</v>
      </c>
      <c r="J683" t="b">
        <f>+ISNUMBER(SEARCH('F-COMPRA'!$F$29,Tabla11[[#This Row],[Cuenta]],1))</f>
        <v>1</v>
      </c>
      <c r="K683" t="b">
        <f>+ISNUMBER(SEARCH('F-COMPRA'!$F$30,Tabla11[[#This Row],[Cuenta]],1))</f>
        <v>1</v>
      </c>
      <c r="L683" t="b">
        <f>+ISNUMBER(SEARCH('F-COMPRA'!$F$31,Tabla11[[#This Row],[Cuenta]],1))</f>
        <v>1</v>
      </c>
      <c r="M683" t="b">
        <f>+ISNUMBER(SEARCH('F-COMPRA'!$G$25,Tabla11[[#This Row],[Cuenta]],1))</f>
        <v>0</v>
      </c>
      <c r="N683" t="b">
        <f>+ISNUMBER(SEARCH(#REF!,Tabla11[[#This Row],[Cuenta]],1))</f>
        <v>0</v>
      </c>
      <c r="O683" t="b">
        <f>+ISNUMBER(SEARCH(#REF!,Tabla11[[#This Row],[Cuenta]],1))</f>
        <v>0</v>
      </c>
      <c r="P683" t="b">
        <f>+ISNUMBER(SEARCH('F-COMPRA'!$F$32,Tabla11[[#This Row],[Cuenta]],1))</f>
        <v>1</v>
      </c>
      <c r="Q683" t="b">
        <f>+ISNUMBER(SEARCH('F-COMPRA'!$F$33,Tabla11[[#This Row],[Cuenta]],1))</f>
        <v>1</v>
      </c>
      <c r="R683" t="b">
        <f>+ISNUMBER(SEARCH('F-COMPRA'!$F$34,Tabla11[[#This Row],[Cuenta]],1))</f>
        <v>1</v>
      </c>
      <c r="S683" t="b">
        <f>+ISNUMBER(SEARCH('F-COMPRA'!$F$35,Tabla11[[#This Row],[Cuenta]],1))</f>
        <v>1</v>
      </c>
      <c r="T683" t="b">
        <f>+ISNUMBER(SEARCH('F-COMPRA'!$F$36,Tabla11[[#This Row],[Cuenta]],1))</f>
        <v>1</v>
      </c>
      <c r="U683" t="b">
        <f>+ISNUMBER(SEARCH('F-COMPRA'!$F$37,Tabla11[[#This Row],[Cuenta]],1))</f>
        <v>1</v>
      </c>
      <c r="V683" t="b">
        <f>+ISNUMBER(SEARCH(#REF!,Tabla11[[#This Row],[Cuenta]],1))</f>
        <v>0</v>
      </c>
      <c r="W683" t="b">
        <f>+ISNUMBER(SEARCH('F-COMPRA'!#REF!,Tabla11[[#This Row],[Cuenta]],1))</f>
        <v>0</v>
      </c>
      <c r="X683" t="b">
        <f>+ISNUMBER(SEARCH('F-COMPRA'!#REF!,Tabla11[[#This Row],[Cuenta]],1))</f>
        <v>0</v>
      </c>
      <c r="Y683" t="b">
        <f>+ISNUMBER(SEARCH('F-COMPRA'!#REF!,Tabla11[[#This Row],[Cuenta]],1))</f>
        <v>0</v>
      </c>
      <c r="Z683" t="b">
        <f>+ISNUMBER(SEARCH('F-COMPRA'!#REF!,Tabla11[[#This Row],[Cuenta]],1))</f>
        <v>0</v>
      </c>
      <c r="AA683" t="b">
        <f>+ISNUMBER(SEARCH('F-COMPRA'!#REF!,Tabla11[[#This Row],[Cuenta]],1))</f>
        <v>0</v>
      </c>
      <c r="AB683" t="b">
        <f>+ISNUMBER(SEARCH('F-COMPRA'!#REF!,Tabla11[[#This Row],[Cuenta]],1))</f>
        <v>0</v>
      </c>
      <c r="AC683" t="b">
        <f>+ISNUMBER(SEARCH('F-COMPRA'!#REF!,Tabla11[[#This Row],[Cuenta]],1))</f>
        <v>0</v>
      </c>
      <c r="AD683" t="b">
        <f>+ISNUMBER(SEARCH('F-COMPRA'!#REF!,Tabla11[[#This Row],[Cuenta]],1))</f>
        <v>0</v>
      </c>
      <c r="AE683" t="b">
        <f>+ISNUMBER(SEARCH('F-COMPRA'!#REF!,Tabla11[[#This Row],[Cuenta]],1))</f>
        <v>0</v>
      </c>
      <c r="AF683" t="b">
        <f>+ISNUMBER(SEARCH('F-VTA'!$G$23,Tabla11[[#This Row],[Cuenta]],1))</f>
        <v>0</v>
      </c>
      <c r="AG683" t="b">
        <f>+ISNUMBER(SEARCH('F-VTA'!$G$24,Tabla11[[#This Row],[Cuenta]],1))</f>
        <v>0</v>
      </c>
      <c r="AH683" t="b">
        <f>+ISNUMBER(SEARCH('F-VTA'!$G$25,Tabla11[[#This Row],[Cuenta]],1))</f>
        <v>0</v>
      </c>
      <c r="AI683" t="b">
        <f>+ISNUMBER(SEARCH('F-VTA'!$F$28,Tabla11[[#This Row],[Cuenta]],1))</f>
        <v>1</v>
      </c>
      <c r="AJ683" t="b">
        <f>+ISNUMBER(SEARCH('F-VTA'!$F$29,Tabla11[[#This Row],[Cuenta]],1))</f>
        <v>1</v>
      </c>
      <c r="AK683" t="b">
        <f>+ISNUMBER(SEARCH('F-VTA'!$F$30,Tabla11[[#This Row],[Cuenta]],1))</f>
        <v>1</v>
      </c>
      <c r="AL683" t="b">
        <f>+ISNUMBER(SEARCH('F-VTA'!$F$31,Tabla11[[#This Row],[Cuenta]],1))</f>
        <v>1</v>
      </c>
      <c r="AM683" t="b">
        <f>+ISNUMBER(SEARCH('F-VTA'!$F$32,Tabla11[[#This Row],[Cuenta]],1))</f>
        <v>1</v>
      </c>
      <c r="AN683" t="b">
        <f>+ISNUMBER(SEARCH('F-VTA'!$F$33,Tabla11[[#This Row],[Cuenta]],1))</f>
        <v>1</v>
      </c>
      <c r="AO683" t="b">
        <f>+ISNUMBER(SEARCH('F-VTA'!$F$34,Tabla11[[#This Row],[Cuenta]],1))</f>
        <v>1</v>
      </c>
      <c r="AP683" t="b">
        <f>+ISNUMBER(SEARCH('F-VTA'!$F$35,Tabla11[[#This Row],[Cuenta]],1))</f>
        <v>1</v>
      </c>
      <c r="AQ683" t="b">
        <f>+ISNUMBER(SEARCH('F-VTA'!$F$36,Tabla11[[#This Row],[Cuenta]],1))</f>
        <v>1</v>
      </c>
      <c r="AR683" t="b">
        <f>+ISNUMBER(SEARCH(#REF!,Tabla11[[#This Row],[Cuenta]],1))</f>
        <v>0</v>
      </c>
      <c r="AS683" t="b">
        <f>+ISNUMBER(SEARCH(#REF!,Tabla11[[#This Row],[Cuenta]],1))</f>
        <v>0</v>
      </c>
      <c r="AT683" t="b">
        <f>+ISNUMBER(SEARCH(#REF!,Tabla11[[#This Row],[Cuenta]],1))</f>
        <v>0</v>
      </c>
      <c r="AU683" t="b">
        <f>+ISNUMBER(SEARCH('Conc. Ban.1'!$I$9,Tabla11[[#This Row],[Cuenta]],1))</f>
        <v>0</v>
      </c>
      <c r="AV683" t="b">
        <f>+ISNUMBER(SEARCH(CompConta!$F$21,Tabla11[[#This Row],[Cuenta]],1))</f>
        <v>1</v>
      </c>
      <c r="AW683" t="b">
        <f>+ISNUMBER(SEARCH(CompConta!$F$22,Tabla11[[#This Row],[Cuenta]],1))</f>
        <v>1</v>
      </c>
      <c r="AX683" t="b">
        <f>+ISNUMBER(SEARCH(CompConta!$F$23,Tabla11[[#This Row],[Cuenta]],1))</f>
        <v>1</v>
      </c>
      <c r="AY683" t="b">
        <f>+ISNUMBER(SEARCH(CompConta!$F$24,Tabla11[[#This Row],[Cuenta]],1))</f>
        <v>1</v>
      </c>
      <c r="AZ683" t="b">
        <f>+ISNUMBER(SEARCH(CompConta!$F$25,Tabla11[[#This Row],[Cuenta]],1))</f>
        <v>1</v>
      </c>
      <c r="BA683" t="b">
        <f>+ISNUMBER(SEARCH(CompConta!$F$26,Tabla11[[#This Row],[Cuenta]],1))</f>
        <v>1</v>
      </c>
      <c r="BB683" t="b">
        <f>+ISNUMBER(SEARCH(CompConta!$F$27,Tabla11[[#This Row],[Cuenta]],1))</f>
        <v>1</v>
      </c>
      <c r="BC683" t="b">
        <f>+ISNUMBER(SEARCH(CompConta!$F$28,Tabla11[[#This Row],[Cuenta]],1))</f>
        <v>1</v>
      </c>
      <c r="BD683" t="b">
        <f>+ISNUMBER(SEARCH(CompConta!$F$29,Tabla11[[#This Row],[Cuenta]],1))</f>
        <v>1</v>
      </c>
      <c r="BE683" t="b">
        <f>+ISNUMBER(SEARCH(CompConta!$F$30,Tabla11[[#This Row],[Cuenta]],1))</f>
        <v>1</v>
      </c>
      <c r="BF683" t="b">
        <f>+ISNUMBER(SEARCH('PAGO Compras'!$E$11,Tabla11[[#This Row],[Cuenta]],1))</f>
        <v>1</v>
      </c>
      <c r="BG683" t="b">
        <f>+ISNUMBER(SEARCH(#REF!,Tabla11[[#This Row],[Cuenta]],1))</f>
        <v>0</v>
      </c>
      <c r="BH683" t="b">
        <f>+ISNUMBER(SEARCH(#REF!,Tabla11[[#This Row],[Cuenta]],1))</f>
        <v>0</v>
      </c>
      <c r="BI683" t="b">
        <f>+ISNUMBER(SEARCH(#REF!,Tabla11[[#This Row],[Cuenta]],1))</f>
        <v>0</v>
      </c>
      <c r="BJ683" t="b">
        <f>+ISNUMBER(SEARCH(#REF!,Tabla11[[#This Row],[Cuenta]],1))</f>
        <v>0</v>
      </c>
      <c r="BS683" t="str">
        <v>3805 DE INVERSIONES</v>
      </c>
      <c r="BT683" t="str">
        <v>3805 DE INVERSIONES</v>
      </c>
      <c r="BU683" t="str">
        <v>3805 DE INVERSIONES</v>
      </c>
      <c r="BV683" t="str">
        <v>3805 DE INVERSIONES</v>
      </c>
      <c r="BZ683" t="str">
        <v>3805 DE INVERSIONES</v>
      </c>
      <c r="CA683" t="str">
        <v>3805 DE INVERSIONES</v>
      </c>
      <c r="CB683" t="str">
        <v>3805 DE INVERSIONES</v>
      </c>
      <c r="CC683" t="str">
        <v>3805 DE INVERSIONES</v>
      </c>
      <c r="CD683" t="str">
        <v>3805 DE INVERSIONES</v>
      </c>
      <c r="CE683" t="str">
        <v>3805 DE INVERSIONES</v>
      </c>
      <c r="CS683" s="141" t="str">
        <v>3805 DE INVERSIONES</v>
      </c>
      <c r="CT683" s="141" t="str">
        <v>3805 DE INVERSIONES</v>
      </c>
      <c r="CU683" s="141" t="str">
        <v>3805 DE INVERSIONES</v>
      </c>
      <c r="CV683" s="141" t="str">
        <v>3805 DE INVERSIONES</v>
      </c>
      <c r="CW683" s="141" t="str">
        <v>3805 DE INVERSIONES</v>
      </c>
      <c r="CX683" s="141" t="str">
        <v>3805 DE INVERSIONES</v>
      </c>
      <c r="CY683" s="141" t="str">
        <v>3805 DE INVERSIONES</v>
      </c>
      <c r="CZ683" s="141" t="str">
        <v>3805 DE INVERSIONES</v>
      </c>
      <c r="DA683" s="141" t="str">
        <v>3805 DE INVERSIONES</v>
      </c>
      <c r="DF683" t="str">
        <v>3805 DE INVERSIONES</v>
      </c>
      <c r="DG683" t="str">
        <v>3805 DE INVERSIONES</v>
      </c>
      <c r="DH683" t="str">
        <v>3805 DE INVERSIONES</v>
      </c>
      <c r="DI683" t="str">
        <v>3805 DE INVERSIONES</v>
      </c>
      <c r="DJ683" t="str">
        <v>3805 DE INVERSIONES</v>
      </c>
      <c r="DK683" t="str">
        <v>3805 DE INVERSIONES</v>
      </c>
      <c r="DL683" t="str">
        <v>3805 DE INVERSIONES</v>
      </c>
      <c r="DM683" t="str">
        <v>3805 DE INVERSIONES</v>
      </c>
      <c r="DN683" t="str">
        <v>3805 DE INVERSIONES</v>
      </c>
      <c r="DO683" t="str">
        <v>3805 DE INVERSIONES</v>
      </c>
      <c r="DP683" t="str">
        <v>3805 DE INVERSIONES</v>
      </c>
    </row>
    <row r="684" spans="4:120" ht="12.75">
      <c r="D684" s="7">
        <v>380505</v>
      </c>
      <c r="E684" s="6" t="s">
        <v>47</v>
      </c>
      <c r="F684" s="5">
        <v>4</v>
      </c>
      <c r="G684" s="34" t="s">
        <v>827</v>
      </c>
      <c r="H684" s="8" t="s">
        <v>56</v>
      </c>
      <c r="I684" t="b">
        <f>+ISNUMBER(SEARCH('F-COMPRA'!$F$28,Tabla11[[#This Row],[Cuenta]],1))</f>
        <v>1</v>
      </c>
      <c r="J684" t="b">
        <f>+ISNUMBER(SEARCH('F-COMPRA'!$F$29,Tabla11[[#This Row],[Cuenta]],1))</f>
        <v>1</v>
      </c>
      <c r="K684" t="b">
        <f>+ISNUMBER(SEARCH('F-COMPRA'!$F$30,Tabla11[[#This Row],[Cuenta]],1))</f>
        <v>1</v>
      </c>
      <c r="L684" t="b">
        <f>+ISNUMBER(SEARCH('F-COMPRA'!$F$31,Tabla11[[#This Row],[Cuenta]],1))</f>
        <v>1</v>
      </c>
      <c r="M684" t="b">
        <f>+ISNUMBER(SEARCH('F-COMPRA'!$G$25,Tabla11[[#This Row],[Cuenta]],1))</f>
        <v>0</v>
      </c>
      <c r="N684" t="b">
        <f>+ISNUMBER(SEARCH(#REF!,Tabla11[[#This Row],[Cuenta]],1))</f>
        <v>0</v>
      </c>
      <c r="O684" t="b">
        <f>+ISNUMBER(SEARCH(#REF!,Tabla11[[#This Row],[Cuenta]],1))</f>
        <v>0</v>
      </c>
      <c r="P684" t="b">
        <f>+ISNUMBER(SEARCH('F-COMPRA'!$F$32,Tabla11[[#This Row],[Cuenta]],1))</f>
        <v>1</v>
      </c>
      <c r="Q684" t="b">
        <f>+ISNUMBER(SEARCH('F-COMPRA'!$F$33,Tabla11[[#This Row],[Cuenta]],1))</f>
        <v>1</v>
      </c>
      <c r="R684" t="b">
        <f>+ISNUMBER(SEARCH('F-COMPRA'!$F$34,Tabla11[[#This Row],[Cuenta]],1))</f>
        <v>1</v>
      </c>
      <c r="S684" t="b">
        <f>+ISNUMBER(SEARCH('F-COMPRA'!$F$35,Tabla11[[#This Row],[Cuenta]],1))</f>
        <v>1</v>
      </c>
      <c r="T684" t="b">
        <f>+ISNUMBER(SEARCH('F-COMPRA'!$F$36,Tabla11[[#This Row],[Cuenta]],1))</f>
        <v>1</v>
      </c>
      <c r="U684" t="b">
        <f>+ISNUMBER(SEARCH('F-COMPRA'!$F$37,Tabla11[[#This Row],[Cuenta]],1))</f>
        <v>1</v>
      </c>
      <c r="V684" t="b">
        <f>+ISNUMBER(SEARCH(#REF!,Tabla11[[#This Row],[Cuenta]],1))</f>
        <v>0</v>
      </c>
      <c r="W684" t="b">
        <f>+ISNUMBER(SEARCH('F-COMPRA'!#REF!,Tabla11[[#This Row],[Cuenta]],1))</f>
        <v>0</v>
      </c>
      <c r="X684" t="b">
        <f>+ISNUMBER(SEARCH('F-COMPRA'!#REF!,Tabla11[[#This Row],[Cuenta]],1))</f>
        <v>0</v>
      </c>
      <c r="Y684" t="b">
        <f>+ISNUMBER(SEARCH('F-COMPRA'!#REF!,Tabla11[[#This Row],[Cuenta]],1))</f>
        <v>0</v>
      </c>
      <c r="Z684" t="b">
        <f>+ISNUMBER(SEARCH('F-COMPRA'!#REF!,Tabla11[[#This Row],[Cuenta]],1))</f>
        <v>0</v>
      </c>
      <c r="AA684" t="b">
        <f>+ISNUMBER(SEARCH('F-COMPRA'!#REF!,Tabla11[[#This Row],[Cuenta]],1))</f>
        <v>0</v>
      </c>
      <c r="AB684" t="b">
        <f>+ISNUMBER(SEARCH('F-COMPRA'!#REF!,Tabla11[[#This Row],[Cuenta]],1))</f>
        <v>0</v>
      </c>
      <c r="AC684" t="b">
        <f>+ISNUMBER(SEARCH('F-COMPRA'!#REF!,Tabla11[[#This Row],[Cuenta]],1))</f>
        <v>0</v>
      </c>
      <c r="AD684" t="b">
        <f>+ISNUMBER(SEARCH('F-COMPRA'!#REF!,Tabla11[[#This Row],[Cuenta]],1))</f>
        <v>0</v>
      </c>
      <c r="AE684" t="b">
        <f>+ISNUMBER(SEARCH('F-COMPRA'!#REF!,Tabla11[[#This Row],[Cuenta]],1))</f>
        <v>0</v>
      </c>
      <c r="AF684" t="b">
        <f>+ISNUMBER(SEARCH('F-VTA'!$G$23,Tabla11[[#This Row],[Cuenta]],1))</f>
        <v>0</v>
      </c>
      <c r="AG684" t="b">
        <f>+ISNUMBER(SEARCH('F-VTA'!$G$24,Tabla11[[#This Row],[Cuenta]],1))</f>
        <v>0</v>
      </c>
      <c r="AH684" t="b">
        <f>+ISNUMBER(SEARCH('F-VTA'!$G$25,Tabla11[[#This Row],[Cuenta]],1))</f>
        <v>0</v>
      </c>
      <c r="AI684" t="b">
        <f>+ISNUMBER(SEARCH('F-VTA'!$F$28,Tabla11[[#This Row],[Cuenta]],1))</f>
        <v>1</v>
      </c>
      <c r="AJ684" t="b">
        <f>+ISNUMBER(SEARCH('F-VTA'!$F$29,Tabla11[[#This Row],[Cuenta]],1))</f>
        <v>1</v>
      </c>
      <c r="AK684" t="b">
        <f>+ISNUMBER(SEARCH('F-VTA'!$F$30,Tabla11[[#This Row],[Cuenta]],1))</f>
        <v>1</v>
      </c>
      <c r="AL684" t="b">
        <f>+ISNUMBER(SEARCH('F-VTA'!$F$31,Tabla11[[#This Row],[Cuenta]],1))</f>
        <v>1</v>
      </c>
      <c r="AM684" t="b">
        <f>+ISNUMBER(SEARCH('F-VTA'!$F$32,Tabla11[[#This Row],[Cuenta]],1))</f>
        <v>1</v>
      </c>
      <c r="AN684" t="b">
        <f>+ISNUMBER(SEARCH('F-VTA'!$F$33,Tabla11[[#This Row],[Cuenta]],1))</f>
        <v>1</v>
      </c>
      <c r="AO684" t="b">
        <f>+ISNUMBER(SEARCH('F-VTA'!$F$34,Tabla11[[#This Row],[Cuenta]],1))</f>
        <v>1</v>
      </c>
      <c r="AP684" t="b">
        <f>+ISNUMBER(SEARCH('F-VTA'!$F$35,Tabla11[[#This Row],[Cuenta]],1))</f>
        <v>1</v>
      </c>
      <c r="AQ684" t="b">
        <f>+ISNUMBER(SEARCH('F-VTA'!$F$36,Tabla11[[#This Row],[Cuenta]],1))</f>
        <v>1</v>
      </c>
      <c r="AR684" t="b">
        <f>+ISNUMBER(SEARCH(#REF!,Tabla11[[#This Row],[Cuenta]],1))</f>
        <v>0</v>
      </c>
      <c r="AS684" t="b">
        <f>+ISNUMBER(SEARCH(#REF!,Tabla11[[#This Row],[Cuenta]],1))</f>
        <v>0</v>
      </c>
      <c r="AT684" t="b">
        <f>+ISNUMBER(SEARCH(#REF!,Tabla11[[#This Row],[Cuenta]],1))</f>
        <v>0</v>
      </c>
      <c r="AU684" t="b">
        <f>+ISNUMBER(SEARCH('Conc. Ban.1'!$I$9,Tabla11[[#This Row],[Cuenta]],1))</f>
        <v>0</v>
      </c>
      <c r="AV684" t="b">
        <f>+ISNUMBER(SEARCH(CompConta!$F$21,Tabla11[[#This Row],[Cuenta]],1))</f>
        <v>1</v>
      </c>
      <c r="AW684" t="b">
        <f>+ISNUMBER(SEARCH(CompConta!$F$22,Tabla11[[#This Row],[Cuenta]],1))</f>
        <v>1</v>
      </c>
      <c r="AX684" t="b">
        <f>+ISNUMBER(SEARCH(CompConta!$F$23,Tabla11[[#This Row],[Cuenta]],1))</f>
        <v>1</v>
      </c>
      <c r="AY684" t="b">
        <f>+ISNUMBER(SEARCH(CompConta!$F$24,Tabla11[[#This Row],[Cuenta]],1))</f>
        <v>1</v>
      </c>
      <c r="AZ684" t="b">
        <f>+ISNUMBER(SEARCH(CompConta!$F$25,Tabla11[[#This Row],[Cuenta]],1))</f>
        <v>1</v>
      </c>
      <c r="BA684" t="b">
        <f>+ISNUMBER(SEARCH(CompConta!$F$26,Tabla11[[#This Row],[Cuenta]],1))</f>
        <v>1</v>
      </c>
      <c r="BB684" t="b">
        <f>+ISNUMBER(SEARCH(CompConta!$F$27,Tabla11[[#This Row],[Cuenta]],1))</f>
        <v>1</v>
      </c>
      <c r="BC684" t="b">
        <f>+ISNUMBER(SEARCH(CompConta!$F$28,Tabla11[[#This Row],[Cuenta]],1))</f>
        <v>1</v>
      </c>
      <c r="BD684" t="b">
        <f>+ISNUMBER(SEARCH(CompConta!$F$29,Tabla11[[#This Row],[Cuenta]],1))</f>
        <v>1</v>
      </c>
      <c r="BE684" t="b">
        <f>+ISNUMBER(SEARCH(CompConta!$F$30,Tabla11[[#This Row],[Cuenta]],1))</f>
        <v>1</v>
      </c>
      <c r="BF684" t="b">
        <f>+ISNUMBER(SEARCH('PAGO Compras'!$E$11,Tabla11[[#This Row],[Cuenta]],1))</f>
        <v>1</v>
      </c>
      <c r="BG684" t="b">
        <f>+ISNUMBER(SEARCH(#REF!,Tabla11[[#This Row],[Cuenta]],1))</f>
        <v>0</v>
      </c>
      <c r="BH684" t="b">
        <f>+ISNUMBER(SEARCH(#REF!,Tabla11[[#This Row],[Cuenta]],1))</f>
        <v>0</v>
      </c>
      <c r="BI684" t="b">
        <f>+ISNUMBER(SEARCH(#REF!,Tabla11[[#This Row],[Cuenta]],1))</f>
        <v>0</v>
      </c>
      <c r="BJ684" t="b">
        <f>+ISNUMBER(SEARCH(#REF!,Tabla11[[#This Row],[Cuenta]],1))</f>
        <v>0</v>
      </c>
      <c r="BS684" t="str">
        <v>380505 Acciones</v>
      </c>
      <c r="BT684" t="str">
        <v>380505 Acciones</v>
      </c>
      <c r="BU684" t="str">
        <v>380505 Acciones</v>
      </c>
      <c r="BV684" t="str">
        <v>380505 Acciones</v>
      </c>
      <c r="BZ684" t="str">
        <v>380505 Acciones</v>
      </c>
      <c r="CA684" t="str">
        <v>380505 Acciones</v>
      </c>
      <c r="CB684" t="str">
        <v>380505 Acciones</v>
      </c>
      <c r="CC684" t="str">
        <v>380505 Acciones</v>
      </c>
      <c r="CD684" t="str">
        <v>380505 Acciones</v>
      </c>
      <c r="CE684" t="str">
        <v>380505 Acciones</v>
      </c>
      <c r="CS684" s="141" t="str">
        <v>380505 Acciones</v>
      </c>
      <c r="CT684" s="141" t="str">
        <v>380505 Acciones</v>
      </c>
      <c r="CU684" s="141" t="str">
        <v>380505 Acciones</v>
      </c>
      <c r="CV684" s="141" t="str">
        <v>380505 Acciones</v>
      </c>
      <c r="CW684" s="141" t="str">
        <v>380505 Acciones</v>
      </c>
      <c r="CX684" s="141" t="str">
        <v>380505 Acciones</v>
      </c>
      <c r="CY684" s="141" t="str">
        <v>380505 Acciones</v>
      </c>
      <c r="CZ684" s="141" t="str">
        <v>380505 Acciones</v>
      </c>
      <c r="DA684" s="141" t="str">
        <v>380505 Acciones</v>
      </c>
      <c r="DF684" t="str">
        <v>380505 Acciones</v>
      </c>
      <c r="DG684" t="str">
        <v>380505 Acciones</v>
      </c>
      <c r="DH684" t="str">
        <v>380505 Acciones</v>
      </c>
      <c r="DI684" t="str">
        <v>380505 Acciones</v>
      </c>
      <c r="DJ684" t="str">
        <v>380505 Acciones</v>
      </c>
      <c r="DK684" t="str">
        <v>380505 Acciones</v>
      </c>
      <c r="DL684" t="str">
        <v>380505 Acciones</v>
      </c>
      <c r="DM684" t="str">
        <v>380505 Acciones</v>
      </c>
      <c r="DN684" t="str">
        <v>380505 Acciones</v>
      </c>
      <c r="DO684" t="str">
        <v>380505 Acciones</v>
      </c>
      <c r="DP684" t="str">
        <v>380505 Acciones</v>
      </c>
    </row>
    <row r="685" spans="4:120" ht="12.75">
      <c r="D685" s="7">
        <v>380510</v>
      </c>
      <c r="E685" s="6" t="s">
        <v>48</v>
      </c>
      <c r="F685" s="5">
        <v>4</v>
      </c>
      <c r="G685" s="34" t="s">
        <v>827</v>
      </c>
      <c r="H685" s="8" t="s">
        <v>56</v>
      </c>
      <c r="I685" t="b">
        <f>+ISNUMBER(SEARCH('F-COMPRA'!$F$28,Tabla11[[#This Row],[Cuenta]],1))</f>
        <v>1</v>
      </c>
      <c r="J685" t="b">
        <f>+ISNUMBER(SEARCH('F-COMPRA'!$F$29,Tabla11[[#This Row],[Cuenta]],1))</f>
        <v>1</v>
      </c>
      <c r="K685" t="b">
        <f>+ISNUMBER(SEARCH('F-COMPRA'!$F$30,Tabla11[[#This Row],[Cuenta]],1))</f>
        <v>1</v>
      </c>
      <c r="L685" t="b">
        <f>+ISNUMBER(SEARCH('F-COMPRA'!$F$31,Tabla11[[#This Row],[Cuenta]],1))</f>
        <v>1</v>
      </c>
      <c r="M685" t="b">
        <f>+ISNUMBER(SEARCH('F-COMPRA'!$G$25,Tabla11[[#This Row],[Cuenta]],1))</f>
        <v>0</v>
      </c>
      <c r="N685" t="b">
        <f>+ISNUMBER(SEARCH(#REF!,Tabla11[[#This Row],[Cuenta]],1))</f>
        <v>0</v>
      </c>
      <c r="O685" t="b">
        <f>+ISNUMBER(SEARCH(#REF!,Tabla11[[#This Row],[Cuenta]],1))</f>
        <v>0</v>
      </c>
      <c r="P685" t="b">
        <f>+ISNUMBER(SEARCH('F-COMPRA'!$F$32,Tabla11[[#This Row],[Cuenta]],1))</f>
        <v>1</v>
      </c>
      <c r="Q685" t="b">
        <f>+ISNUMBER(SEARCH('F-COMPRA'!$F$33,Tabla11[[#This Row],[Cuenta]],1))</f>
        <v>1</v>
      </c>
      <c r="R685" t="b">
        <f>+ISNUMBER(SEARCH('F-COMPRA'!$F$34,Tabla11[[#This Row],[Cuenta]],1))</f>
        <v>1</v>
      </c>
      <c r="S685" t="b">
        <f>+ISNUMBER(SEARCH('F-COMPRA'!$F$35,Tabla11[[#This Row],[Cuenta]],1))</f>
        <v>1</v>
      </c>
      <c r="T685" t="b">
        <f>+ISNUMBER(SEARCH('F-COMPRA'!$F$36,Tabla11[[#This Row],[Cuenta]],1))</f>
        <v>1</v>
      </c>
      <c r="U685" t="b">
        <f>+ISNUMBER(SEARCH('F-COMPRA'!$F$37,Tabla11[[#This Row],[Cuenta]],1))</f>
        <v>1</v>
      </c>
      <c r="V685" t="b">
        <f>+ISNUMBER(SEARCH(#REF!,Tabla11[[#This Row],[Cuenta]],1))</f>
        <v>0</v>
      </c>
      <c r="W685" t="b">
        <f>+ISNUMBER(SEARCH('F-COMPRA'!#REF!,Tabla11[[#This Row],[Cuenta]],1))</f>
        <v>0</v>
      </c>
      <c r="X685" t="b">
        <f>+ISNUMBER(SEARCH('F-COMPRA'!#REF!,Tabla11[[#This Row],[Cuenta]],1))</f>
        <v>0</v>
      </c>
      <c r="Y685" t="b">
        <f>+ISNUMBER(SEARCH('F-COMPRA'!#REF!,Tabla11[[#This Row],[Cuenta]],1))</f>
        <v>0</v>
      </c>
      <c r="Z685" t="b">
        <f>+ISNUMBER(SEARCH('F-COMPRA'!#REF!,Tabla11[[#This Row],[Cuenta]],1))</f>
        <v>0</v>
      </c>
      <c r="AA685" t="b">
        <f>+ISNUMBER(SEARCH('F-COMPRA'!#REF!,Tabla11[[#This Row],[Cuenta]],1))</f>
        <v>0</v>
      </c>
      <c r="AB685" t="b">
        <f>+ISNUMBER(SEARCH('F-COMPRA'!#REF!,Tabla11[[#This Row],[Cuenta]],1))</f>
        <v>0</v>
      </c>
      <c r="AC685" t="b">
        <f>+ISNUMBER(SEARCH('F-COMPRA'!#REF!,Tabla11[[#This Row],[Cuenta]],1))</f>
        <v>0</v>
      </c>
      <c r="AD685" t="b">
        <f>+ISNUMBER(SEARCH('F-COMPRA'!#REF!,Tabla11[[#This Row],[Cuenta]],1))</f>
        <v>0</v>
      </c>
      <c r="AE685" t="b">
        <f>+ISNUMBER(SEARCH('F-COMPRA'!#REF!,Tabla11[[#This Row],[Cuenta]],1))</f>
        <v>0</v>
      </c>
      <c r="AF685" t="b">
        <f>+ISNUMBER(SEARCH('F-VTA'!$G$23,Tabla11[[#This Row],[Cuenta]],1))</f>
        <v>0</v>
      </c>
      <c r="AG685" t="b">
        <f>+ISNUMBER(SEARCH('F-VTA'!$G$24,Tabla11[[#This Row],[Cuenta]],1))</f>
        <v>0</v>
      </c>
      <c r="AH685" t="b">
        <f>+ISNUMBER(SEARCH('F-VTA'!$G$25,Tabla11[[#This Row],[Cuenta]],1))</f>
        <v>0</v>
      </c>
      <c r="AI685" t="b">
        <f>+ISNUMBER(SEARCH('F-VTA'!$F$28,Tabla11[[#This Row],[Cuenta]],1))</f>
        <v>1</v>
      </c>
      <c r="AJ685" t="b">
        <f>+ISNUMBER(SEARCH('F-VTA'!$F$29,Tabla11[[#This Row],[Cuenta]],1))</f>
        <v>1</v>
      </c>
      <c r="AK685" t="b">
        <f>+ISNUMBER(SEARCH('F-VTA'!$F$30,Tabla11[[#This Row],[Cuenta]],1))</f>
        <v>1</v>
      </c>
      <c r="AL685" t="b">
        <f>+ISNUMBER(SEARCH('F-VTA'!$F$31,Tabla11[[#This Row],[Cuenta]],1))</f>
        <v>1</v>
      </c>
      <c r="AM685" t="b">
        <f>+ISNUMBER(SEARCH('F-VTA'!$F$32,Tabla11[[#This Row],[Cuenta]],1))</f>
        <v>1</v>
      </c>
      <c r="AN685" t="b">
        <f>+ISNUMBER(SEARCH('F-VTA'!$F$33,Tabla11[[#This Row],[Cuenta]],1))</f>
        <v>1</v>
      </c>
      <c r="AO685" t="b">
        <f>+ISNUMBER(SEARCH('F-VTA'!$F$34,Tabla11[[#This Row],[Cuenta]],1))</f>
        <v>1</v>
      </c>
      <c r="AP685" t="b">
        <f>+ISNUMBER(SEARCH('F-VTA'!$F$35,Tabla11[[#This Row],[Cuenta]],1))</f>
        <v>1</v>
      </c>
      <c r="AQ685" t="b">
        <f>+ISNUMBER(SEARCH('F-VTA'!$F$36,Tabla11[[#This Row],[Cuenta]],1))</f>
        <v>1</v>
      </c>
      <c r="AR685" t="b">
        <f>+ISNUMBER(SEARCH(#REF!,Tabla11[[#This Row],[Cuenta]],1))</f>
        <v>0</v>
      </c>
      <c r="AS685" t="b">
        <f>+ISNUMBER(SEARCH(#REF!,Tabla11[[#This Row],[Cuenta]],1))</f>
        <v>0</v>
      </c>
      <c r="AT685" t="b">
        <f>+ISNUMBER(SEARCH(#REF!,Tabla11[[#This Row],[Cuenta]],1))</f>
        <v>0</v>
      </c>
      <c r="AU685" t="b">
        <f>+ISNUMBER(SEARCH('Conc. Ban.1'!$I$9,Tabla11[[#This Row],[Cuenta]],1))</f>
        <v>0</v>
      </c>
      <c r="AV685" t="b">
        <f>+ISNUMBER(SEARCH(CompConta!$F$21,Tabla11[[#This Row],[Cuenta]],1))</f>
        <v>1</v>
      </c>
      <c r="AW685" t="b">
        <f>+ISNUMBER(SEARCH(CompConta!$F$22,Tabla11[[#This Row],[Cuenta]],1))</f>
        <v>1</v>
      </c>
      <c r="AX685" t="b">
        <f>+ISNUMBER(SEARCH(CompConta!$F$23,Tabla11[[#This Row],[Cuenta]],1))</f>
        <v>1</v>
      </c>
      <c r="AY685" t="b">
        <f>+ISNUMBER(SEARCH(CompConta!$F$24,Tabla11[[#This Row],[Cuenta]],1))</f>
        <v>1</v>
      </c>
      <c r="AZ685" t="b">
        <f>+ISNUMBER(SEARCH(CompConta!$F$25,Tabla11[[#This Row],[Cuenta]],1))</f>
        <v>1</v>
      </c>
      <c r="BA685" t="b">
        <f>+ISNUMBER(SEARCH(CompConta!$F$26,Tabla11[[#This Row],[Cuenta]],1))</f>
        <v>1</v>
      </c>
      <c r="BB685" t="b">
        <f>+ISNUMBER(SEARCH(CompConta!$F$27,Tabla11[[#This Row],[Cuenta]],1))</f>
        <v>1</v>
      </c>
      <c r="BC685" t="b">
        <f>+ISNUMBER(SEARCH(CompConta!$F$28,Tabla11[[#This Row],[Cuenta]],1))</f>
        <v>1</v>
      </c>
      <c r="BD685" t="b">
        <f>+ISNUMBER(SEARCH(CompConta!$F$29,Tabla11[[#This Row],[Cuenta]],1))</f>
        <v>1</v>
      </c>
      <c r="BE685" t="b">
        <f>+ISNUMBER(SEARCH(CompConta!$F$30,Tabla11[[#This Row],[Cuenta]],1))</f>
        <v>1</v>
      </c>
      <c r="BF685" t="b">
        <f>+ISNUMBER(SEARCH('PAGO Compras'!$E$11,Tabla11[[#This Row],[Cuenta]],1))</f>
        <v>1</v>
      </c>
      <c r="BG685" t="b">
        <f>+ISNUMBER(SEARCH(#REF!,Tabla11[[#This Row],[Cuenta]],1))</f>
        <v>0</v>
      </c>
      <c r="BH685" t="b">
        <f>+ISNUMBER(SEARCH(#REF!,Tabla11[[#This Row],[Cuenta]],1))</f>
        <v>0</v>
      </c>
      <c r="BI685" t="b">
        <f>+ISNUMBER(SEARCH(#REF!,Tabla11[[#This Row],[Cuenta]],1))</f>
        <v>0</v>
      </c>
      <c r="BJ685" t="b">
        <f>+ISNUMBER(SEARCH(#REF!,Tabla11[[#This Row],[Cuenta]],1))</f>
        <v>0</v>
      </c>
      <c r="BS685" t="str">
        <v>380510 Cuotas o partes de interés social</v>
      </c>
      <c r="BT685" t="str">
        <v>380510 Cuotas o partes de interés social</v>
      </c>
      <c r="BU685" t="str">
        <v>380510 Cuotas o partes de interés social</v>
      </c>
      <c r="BV685" t="str">
        <v>380510 Cuotas o partes de interés social</v>
      </c>
      <c r="BZ685" t="str">
        <v>380510 Cuotas o partes de interés social</v>
      </c>
      <c r="CA685" t="str">
        <v>380510 Cuotas o partes de interés social</v>
      </c>
      <c r="CB685" t="str">
        <v>380510 Cuotas o partes de interés social</v>
      </c>
      <c r="CC685" t="str">
        <v>380510 Cuotas o partes de interés social</v>
      </c>
      <c r="CD685" t="str">
        <v>380510 Cuotas o partes de interés social</v>
      </c>
      <c r="CE685" t="str">
        <v>380510 Cuotas o partes de interés social</v>
      </c>
      <c r="CS685" s="141" t="str">
        <v>380510 Cuotas o partes de interés social</v>
      </c>
      <c r="CT685" s="141" t="str">
        <v>380510 Cuotas o partes de interés social</v>
      </c>
      <c r="CU685" s="141" t="str">
        <v>380510 Cuotas o partes de interés social</v>
      </c>
      <c r="CV685" s="141" t="str">
        <v>380510 Cuotas o partes de interés social</v>
      </c>
      <c r="CW685" s="141" t="str">
        <v>380510 Cuotas o partes de interés social</v>
      </c>
      <c r="CX685" s="141" t="str">
        <v>380510 Cuotas o partes de interés social</v>
      </c>
      <c r="CY685" s="141" t="str">
        <v>380510 Cuotas o partes de interés social</v>
      </c>
      <c r="CZ685" s="141" t="str">
        <v>380510 Cuotas o partes de interés social</v>
      </c>
      <c r="DA685" s="141" t="str">
        <v>380510 Cuotas o partes de interés social</v>
      </c>
      <c r="DF685" t="str">
        <v>380510 Cuotas o partes de interés social</v>
      </c>
      <c r="DG685" t="str">
        <v>380510 Cuotas o partes de interés social</v>
      </c>
      <c r="DH685" t="str">
        <v>380510 Cuotas o partes de interés social</v>
      </c>
      <c r="DI685" t="str">
        <v>380510 Cuotas o partes de interés social</v>
      </c>
      <c r="DJ685" t="str">
        <v>380510 Cuotas o partes de interés social</v>
      </c>
      <c r="DK685" t="str">
        <v>380510 Cuotas o partes de interés social</v>
      </c>
      <c r="DL685" t="str">
        <v>380510 Cuotas o partes de interés social</v>
      </c>
      <c r="DM685" t="str">
        <v>380510 Cuotas o partes de interés social</v>
      </c>
      <c r="DN685" t="str">
        <v>380510 Cuotas o partes de interés social</v>
      </c>
      <c r="DO685" t="str">
        <v>380510 Cuotas o partes de interés social</v>
      </c>
      <c r="DP685" t="str">
        <v>380510 Cuotas o partes de interés social</v>
      </c>
    </row>
    <row r="686" spans="4:120" ht="12.75">
      <c r="D686" s="7">
        <v>380515</v>
      </c>
      <c r="E686" s="6" t="s">
        <v>57</v>
      </c>
      <c r="F686" s="5">
        <v>4</v>
      </c>
      <c r="G686" s="34" t="s">
        <v>827</v>
      </c>
      <c r="H686" s="8" t="s">
        <v>56</v>
      </c>
      <c r="I686" t="b">
        <f>+ISNUMBER(SEARCH('F-COMPRA'!$F$28,Tabla11[[#This Row],[Cuenta]],1))</f>
        <v>1</v>
      </c>
      <c r="J686" t="b">
        <f>+ISNUMBER(SEARCH('F-COMPRA'!$F$29,Tabla11[[#This Row],[Cuenta]],1))</f>
        <v>1</v>
      </c>
      <c r="K686" t="b">
        <f>+ISNUMBER(SEARCH('F-COMPRA'!$F$30,Tabla11[[#This Row],[Cuenta]],1))</f>
        <v>1</v>
      </c>
      <c r="L686" t="b">
        <f>+ISNUMBER(SEARCH('F-COMPRA'!$F$31,Tabla11[[#This Row],[Cuenta]],1))</f>
        <v>1</v>
      </c>
      <c r="M686" t="b">
        <f>+ISNUMBER(SEARCH('F-COMPRA'!$G$25,Tabla11[[#This Row],[Cuenta]],1))</f>
        <v>0</v>
      </c>
      <c r="N686" t="b">
        <f>+ISNUMBER(SEARCH(#REF!,Tabla11[[#This Row],[Cuenta]],1))</f>
        <v>0</v>
      </c>
      <c r="O686" t="b">
        <f>+ISNUMBER(SEARCH(#REF!,Tabla11[[#This Row],[Cuenta]],1))</f>
        <v>0</v>
      </c>
      <c r="P686" t="b">
        <f>+ISNUMBER(SEARCH('F-COMPRA'!$F$32,Tabla11[[#This Row],[Cuenta]],1))</f>
        <v>1</v>
      </c>
      <c r="Q686" t="b">
        <f>+ISNUMBER(SEARCH('F-COMPRA'!$F$33,Tabla11[[#This Row],[Cuenta]],1))</f>
        <v>1</v>
      </c>
      <c r="R686" t="b">
        <f>+ISNUMBER(SEARCH('F-COMPRA'!$F$34,Tabla11[[#This Row],[Cuenta]],1))</f>
        <v>1</v>
      </c>
      <c r="S686" t="b">
        <f>+ISNUMBER(SEARCH('F-COMPRA'!$F$35,Tabla11[[#This Row],[Cuenta]],1))</f>
        <v>1</v>
      </c>
      <c r="T686" t="b">
        <f>+ISNUMBER(SEARCH('F-COMPRA'!$F$36,Tabla11[[#This Row],[Cuenta]],1))</f>
        <v>1</v>
      </c>
      <c r="U686" t="b">
        <f>+ISNUMBER(SEARCH('F-COMPRA'!$F$37,Tabla11[[#This Row],[Cuenta]],1))</f>
        <v>1</v>
      </c>
      <c r="V686" t="b">
        <f>+ISNUMBER(SEARCH(#REF!,Tabla11[[#This Row],[Cuenta]],1))</f>
        <v>0</v>
      </c>
      <c r="W686" t="b">
        <f>+ISNUMBER(SEARCH('F-COMPRA'!#REF!,Tabla11[[#This Row],[Cuenta]],1))</f>
        <v>0</v>
      </c>
      <c r="X686" t="b">
        <f>+ISNUMBER(SEARCH('F-COMPRA'!#REF!,Tabla11[[#This Row],[Cuenta]],1))</f>
        <v>0</v>
      </c>
      <c r="Y686" t="b">
        <f>+ISNUMBER(SEARCH('F-COMPRA'!#REF!,Tabla11[[#This Row],[Cuenta]],1))</f>
        <v>0</v>
      </c>
      <c r="Z686" t="b">
        <f>+ISNUMBER(SEARCH('F-COMPRA'!#REF!,Tabla11[[#This Row],[Cuenta]],1))</f>
        <v>0</v>
      </c>
      <c r="AA686" t="b">
        <f>+ISNUMBER(SEARCH('F-COMPRA'!#REF!,Tabla11[[#This Row],[Cuenta]],1))</f>
        <v>0</v>
      </c>
      <c r="AB686" t="b">
        <f>+ISNUMBER(SEARCH('F-COMPRA'!#REF!,Tabla11[[#This Row],[Cuenta]],1))</f>
        <v>0</v>
      </c>
      <c r="AC686" t="b">
        <f>+ISNUMBER(SEARCH('F-COMPRA'!#REF!,Tabla11[[#This Row],[Cuenta]],1))</f>
        <v>0</v>
      </c>
      <c r="AD686" t="b">
        <f>+ISNUMBER(SEARCH('F-COMPRA'!#REF!,Tabla11[[#This Row],[Cuenta]],1))</f>
        <v>0</v>
      </c>
      <c r="AE686" t="b">
        <f>+ISNUMBER(SEARCH('F-COMPRA'!#REF!,Tabla11[[#This Row],[Cuenta]],1))</f>
        <v>0</v>
      </c>
      <c r="AF686" t="b">
        <f>+ISNUMBER(SEARCH('F-VTA'!$G$23,Tabla11[[#This Row],[Cuenta]],1))</f>
        <v>0</v>
      </c>
      <c r="AG686" t="b">
        <f>+ISNUMBER(SEARCH('F-VTA'!$G$24,Tabla11[[#This Row],[Cuenta]],1))</f>
        <v>0</v>
      </c>
      <c r="AH686" t="b">
        <f>+ISNUMBER(SEARCH('F-VTA'!$G$25,Tabla11[[#This Row],[Cuenta]],1))</f>
        <v>0</v>
      </c>
      <c r="AI686" t="b">
        <f>+ISNUMBER(SEARCH('F-VTA'!$F$28,Tabla11[[#This Row],[Cuenta]],1))</f>
        <v>1</v>
      </c>
      <c r="AJ686" t="b">
        <f>+ISNUMBER(SEARCH('F-VTA'!$F$29,Tabla11[[#This Row],[Cuenta]],1))</f>
        <v>1</v>
      </c>
      <c r="AK686" t="b">
        <f>+ISNUMBER(SEARCH('F-VTA'!$F$30,Tabla11[[#This Row],[Cuenta]],1))</f>
        <v>1</v>
      </c>
      <c r="AL686" t="b">
        <f>+ISNUMBER(SEARCH('F-VTA'!$F$31,Tabla11[[#This Row],[Cuenta]],1))</f>
        <v>1</v>
      </c>
      <c r="AM686" t="b">
        <f>+ISNUMBER(SEARCH('F-VTA'!$F$32,Tabla11[[#This Row],[Cuenta]],1))</f>
        <v>1</v>
      </c>
      <c r="AN686" t="b">
        <f>+ISNUMBER(SEARCH('F-VTA'!$F$33,Tabla11[[#This Row],[Cuenta]],1))</f>
        <v>1</v>
      </c>
      <c r="AO686" t="b">
        <f>+ISNUMBER(SEARCH('F-VTA'!$F$34,Tabla11[[#This Row],[Cuenta]],1))</f>
        <v>1</v>
      </c>
      <c r="AP686" t="b">
        <f>+ISNUMBER(SEARCH('F-VTA'!$F$35,Tabla11[[#This Row],[Cuenta]],1))</f>
        <v>1</v>
      </c>
      <c r="AQ686" t="b">
        <f>+ISNUMBER(SEARCH('F-VTA'!$F$36,Tabla11[[#This Row],[Cuenta]],1))</f>
        <v>1</v>
      </c>
      <c r="AR686" t="b">
        <f>+ISNUMBER(SEARCH(#REF!,Tabla11[[#This Row],[Cuenta]],1))</f>
        <v>0</v>
      </c>
      <c r="AS686" t="b">
        <f>+ISNUMBER(SEARCH(#REF!,Tabla11[[#This Row],[Cuenta]],1))</f>
        <v>0</v>
      </c>
      <c r="AT686" t="b">
        <f>+ISNUMBER(SEARCH(#REF!,Tabla11[[#This Row],[Cuenta]],1))</f>
        <v>0</v>
      </c>
      <c r="AU686" t="b">
        <f>+ISNUMBER(SEARCH('Conc. Ban.1'!$I$9,Tabla11[[#This Row],[Cuenta]],1))</f>
        <v>0</v>
      </c>
      <c r="AV686" t="b">
        <f>+ISNUMBER(SEARCH(CompConta!$F$21,Tabla11[[#This Row],[Cuenta]],1))</f>
        <v>1</v>
      </c>
      <c r="AW686" t="b">
        <f>+ISNUMBER(SEARCH(CompConta!$F$22,Tabla11[[#This Row],[Cuenta]],1))</f>
        <v>1</v>
      </c>
      <c r="AX686" t="b">
        <f>+ISNUMBER(SEARCH(CompConta!$F$23,Tabla11[[#This Row],[Cuenta]],1))</f>
        <v>1</v>
      </c>
      <c r="AY686" t="b">
        <f>+ISNUMBER(SEARCH(CompConta!$F$24,Tabla11[[#This Row],[Cuenta]],1))</f>
        <v>1</v>
      </c>
      <c r="AZ686" t="b">
        <f>+ISNUMBER(SEARCH(CompConta!$F$25,Tabla11[[#This Row],[Cuenta]],1))</f>
        <v>1</v>
      </c>
      <c r="BA686" t="b">
        <f>+ISNUMBER(SEARCH(CompConta!$F$26,Tabla11[[#This Row],[Cuenta]],1))</f>
        <v>1</v>
      </c>
      <c r="BB686" t="b">
        <f>+ISNUMBER(SEARCH(CompConta!$F$27,Tabla11[[#This Row],[Cuenta]],1))</f>
        <v>1</v>
      </c>
      <c r="BC686" t="b">
        <f>+ISNUMBER(SEARCH(CompConta!$F$28,Tabla11[[#This Row],[Cuenta]],1))</f>
        <v>1</v>
      </c>
      <c r="BD686" t="b">
        <f>+ISNUMBER(SEARCH(CompConta!$F$29,Tabla11[[#This Row],[Cuenta]],1))</f>
        <v>1</v>
      </c>
      <c r="BE686" t="b">
        <f>+ISNUMBER(SEARCH(CompConta!$F$30,Tabla11[[#This Row],[Cuenta]],1))</f>
        <v>1</v>
      </c>
      <c r="BF686" t="b">
        <f>+ISNUMBER(SEARCH('PAGO Compras'!$E$11,Tabla11[[#This Row],[Cuenta]],1))</f>
        <v>1</v>
      </c>
      <c r="BG686" t="b">
        <f>+ISNUMBER(SEARCH(#REF!,Tabla11[[#This Row],[Cuenta]],1))</f>
        <v>0</v>
      </c>
      <c r="BH686" t="b">
        <f>+ISNUMBER(SEARCH(#REF!,Tabla11[[#This Row],[Cuenta]],1))</f>
        <v>0</v>
      </c>
      <c r="BI686" t="b">
        <f>+ISNUMBER(SEARCH(#REF!,Tabla11[[#This Row],[Cuenta]],1))</f>
        <v>0</v>
      </c>
      <c r="BJ686" t="b">
        <f>+ISNUMBER(SEARCH(#REF!,Tabla11[[#This Row],[Cuenta]],1))</f>
        <v>0</v>
      </c>
      <c r="BS686" t="str">
        <v>380515 Derechos fiduciarios</v>
      </c>
      <c r="BT686" t="str">
        <v>380515 Derechos fiduciarios</v>
      </c>
      <c r="BU686" t="str">
        <v>380515 Derechos fiduciarios</v>
      </c>
      <c r="BV686" t="str">
        <v>380515 Derechos fiduciarios</v>
      </c>
      <c r="BZ686" t="str">
        <v>380515 Derechos fiduciarios</v>
      </c>
      <c r="CA686" t="str">
        <v>380515 Derechos fiduciarios</v>
      </c>
      <c r="CB686" t="str">
        <v>380515 Derechos fiduciarios</v>
      </c>
      <c r="CC686" t="str">
        <v>380515 Derechos fiduciarios</v>
      </c>
      <c r="CD686" t="str">
        <v>380515 Derechos fiduciarios</v>
      </c>
      <c r="CE686" t="str">
        <v>380515 Derechos fiduciarios</v>
      </c>
      <c r="CS686" s="141" t="str">
        <v>380515 Derechos fiduciarios</v>
      </c>
      <c r="CT686" s="141" t="str">
        <v>380515 Derechos fiduciarios</v>
      </c>
      <c r="CU686" s="141" t="str">
        <v>380515 Derechos fiduciarios</v>
      </c>
      <c r="CV686" s="141" t="str">
        <v>380515 Derechos fiduciarios</v>
      </c>
      <c r="CW686" s="141" t="str">
        <v>380515 Derechos fiduciarios</v>
      </c>
      <c r="CX686" s="141" t="str">
        <v>380515 Derechos fiduciarios</v>
      </c>
      <c r="CY686" s="141" t="str">
        <v>380515 Derechos fiduciarios</v>
      </c>
      <c r="CZ686" s="141" t="str">
        <v>380515 Derechos fiduciarios</v>
      </c>
      <c r="DA686" s="141" t="str">
        <v>380515 Derechos fiduciarios</v>
      </c>
      <c r="DF686" t="str">
        <v>380515 Derechos fiduciarios</v>
      </c>
      <c r="DG686" t="str">
        <v>380515 Derechos fiduciarios</v>
      </c>
      <c r="DH686" t="str">
        <v>380515 Derechos fiduciarios</v>
      </c>
      <c r="DI686" t="str">
        <v>380515 Derechos fiduciarios</v>
      </c>
      <c r="DJ686" t="str">
        <v>380515 Derechos fiduciarios</v>
      </c>
      <c r="DK686" t="str">
        <v>380515 Derechos fiduciarios</v>
      </c>
      <c r="DL686" t="str">
        <v>380515 Derechos fiduciarios</v>
      </c>
      <c r="DM686" t="str">
        <v>380515 Derechos fiduciarios</v>
      </c>
      <c r="DN686" t="str">
        <v>380515 Derechos fiduciarios</v>
      </c>
      <c r="DO686" t="str">
        <v>380515 Derechos fiduciarios</v>
      </c>
      <c r="DP686" t="str">
        <v>380515 Derechos fiduciarios</v>
      </c>
    </row>
    <row r="687" spans="4:120" ht="12.75">
      <c r="D687" s="7">
        <v>3810</v>
      </c>
      <c r="E687" s="6" t="s">
        <v>290</v>
      </c>
      <c r="F687" s="5">
        <v>3</v>
      </c>
      <c r="G687" s="34" t="s">
        <v>827</v>
      </c>
      <c r="H687" s="8" t="s">
        <v>56</v>
      </c>
      <c r="I687" t="b">
        <f>+ISNUMBER(SEARCH('F-COMPRA'!$F$28,Tabla11[[#This Row],[Cuenta]],1))</f>
        <v>1</v>
      </c>
      <c r="J687" t="b">
        <f>+ISNUMBER(SEARCH('F-COMPRA'!$F$29,Tabla11[[#This Row],[Cuenta]],1))</f>
        <v>1</v>
      </c>
      <c r="K687" t="b">
        <f>+ISNUMBER(SEARCH('F-COMPRA'!$F$30,Tabla11[[#This Row],[Cuenta]],1))</f>
        <v>1</v>
      </c>
      <c r="L687" t="b">
        <f>+ISNUMBER(SEARCH('F-COMPRA'!$F$31,Tabla11[[#This Row],[Cuenta]],1))</f>
        <v>1</v>
      </c>
      <c r="M687" t="b">
        <f>+ISNUMBER(SEARCH('F-COMPRA'!$G$25,Tabla11[[#This Row],[Cuenta]],1))</f>
        <v>0</v>
      </c>
      <c r="N687" t="b">
        <f>+ISNUMBER(SEARCH(#REF!,Tabla11[[#This Row],[Cuenta]],1))</f>
        <v>0</v>
      </c>
      <c r="O687" t="b">
        <f>+ISNUMBER(SEARCH(#REF!,Tabla11[[#This Row],[Cuenta]],1))</f>
        <v>0</v>
      </c>
      <c r="P687" t="b">
        <f>+ISNUMBER(SEARCH('F-COMPRA'!$F$32,Tabla11[[#This Row],[Cuenta]],1))</f>
        <v>1</v>
      </c>
      <c r="Q687" t="b">
        <f>+ISNUMBER(SEARCH('F-COMPRA'!$F$33,Tabla11[[#This Row],[Cuenta]],1))</f>
        <v>1</v>
      </c>
      <c r="R687" t="b">
        <f>+ISNUMBER(SEARCH('F-COMPRA'!$F$34,Tabla11[[#This Row],[Cuenta]],1))</f>
        <v>1</v>
      </c>
      <c r="S687" t="b">
        <f>+ISNUMBER(SEARCH('F-COMPRA'!$F$35,Tabla11[[#This Row],[Cuenta]],1))</f>
        <v>1</v>
      </c>
      <c r="T687" t="b">
        <f>+ISNUMBER(SEARCH('F-COMPRA'!$F$36,Tabla11[[#This Row],[Cuenta]],1))</f>
        <v>1</v>
      </c>
      <c r="U687" t="b">
        <f>+ISNUMBER(SEARCH('F-COMPRA'!$F$37,Tabla11[[#This Row],[Cuenta]],1))</f>
        <v>1</v>
      </c>
      <c r="V687" t="b">
        <f>+ISNUMBER(SEARCH(#REF!,Tabla11[[#This Row],[Cuenta]],1))</f>
        <v>0</v>
      </c>
      <c r="W687" t="b">
        <f>+ISNUMBER(SEARCH('F-COMPRA'!#REF!,Tabla11[[#This Row],[Cuenta]],1))</f>
        <v>0</v>
      </c>
      <c r="X687" t="b">
        <f>+ISNUMBER(SEARCH('F-COMPRA'!#REF!,Tabla11[[#This Row],[Cuenta]],1))</f>
        <v>0</v>
      </c>
      <c r="Y687" t="b">
        <f>+ISNUMBER(SEARCH('F-COMPRA'!#REF!,Tabla11[[#This Row],[Cuenta]],1))</f>
        <v>0</v>
      </c>
      <c r="Z687" t="b">
        <f>+ISNUMBER(SEARCH('F-COMPRA'!#REF!,Tabla11[[#This Row],[Cuenta]],1))</f>
        <v>0</v>
      </c>
      <c r="AA687" t="b">
        <f>+ISNUMBER(SEARCH('F-COMPRA'!#REF!,Tabla11[[#This Row],[Cuenta]],1))</f>
        <v>0</v>
      </c>
      <c r="AB687" t="b">
        <f>+ISNUMBER(SEARCH('F-COMPRA'!#REF!,Tabla11[[#This Row],[Cuenta]],1))</f>
        <v>0</v>
      </c>
      <c r="AC687" t="b">
        <f>+ISNUMBER(SEARCH('F-COMPRA'!#REF!,Tabla11[[#This Row],[Cuenta]],1))</f>
        <v>0</v>
      </c>
      <c r="AD687" t="b">
        <f>+ISNUMBER(SEARCH('F-COMPRA'!#REF!,Tabla11[[#This Row],[Cuenta]],1))</f>
        <v>0</v>
      </c>
      <c r="AE687" t="b">
        <f>+ISNUMBER(SEARCH('F-COMPRA'!#REF!,Tabla11[[#This Row],[Cuenta]],1))</f>
        <v>0</v>
      </c>
      <c r="AF687" t="b">
        <f>+ISNUMBER(SEARCH('F-VTA'!$G$23,Tabla11[[#This Row],[Cuenta]],1))</f>
        <v>0</v>
      </c>
      <c r="AG687" t="b">
        <f>+ISNUMBER(SEARCH('F-VTA'!$G$24,Tabla11[[#This Row],[Cuenta]],1))</f>
        <v>0</v>
      </c>
      <c r="AH687" t="b">
        <f>+ISNUMBER(SEARCH('F-VTA'!$G$25,Tabla11[[#This Row],[Cuenta]],1))</f>
        <v>0</v>
      </c>
      <c r="AI687" t="b">
        <f>+ISNUMBER(SEARCH('F-VTA'!$F$28,Tabla11[[#This Row],[Cuenta]],1))</f>
        <v>1</v>
      </c>
      <c r="AJ687" t="b">
        <f>+ISNUMBER(SEARCH('F-VTA'!$F$29,Tabla11[[#This Row],[Cuenta]],1))</f>
        <v>1</v>
      </c>
      <c r="AK687" t="b">
        <f>+ISNUMBER(SEARCH('F-VTA'!$F$30,Tabla11[[#This Row],[Cuenta]],1))</f>
        <v>1</v>
      </c>
      <c r="AL687" t="b">
        <f>+ISNUMBER(SEARCH('F-VTA'!$F$31,Tabla11[[#This Row],[Cuenta]],1))</f>
        <v>1</v>
      </c>
      <c r="AM687" t="b">
        <f>+ISNUMBER(SEARCH('F-VTA'!$F$32,Tabla11[[#This Row],[Cuenta]],1))</f>
        <v>1</v>
      </c>
      <c r="AN687" t="b">
        <f>+ISNUMBER(SEARCH('F-VTA'!$F$33,Tabla11[[#This Row],[Cuenta]],1))</f>
        <v>1</v>
      </c>
      <c r="AO687" t="b">
        <f>+ISNUMBER(SEARCH('F-VTA'!$F$34,Tabla11[[#This Row],[Cuenta]],1))</f>
        <v>1</v>
      </c>
      <c r="AP687" t="b">
        <f>+ISNUMBER(SEARCH('F-VTA'!$F$35,Tabla11[[#This Row],[Cuenta]],1))</f>
        <v>1</v>
      </c>
      <c r="AQ687" t="b">
        <f>+ISNUMBER(SEARCH('F-VTA'!$F$36,Tabla11[[#This Row],[Cuenta]],1))</f>
        <v>1</v>
      </c>
      <c r="AR687" t="b">
        <f>+ISNUMBER(SEARCH(#REF!,Tabla11[[#This Row],[Cuenta]],1))</f>
        <v>0</v>
      </c>
      <c r="AS687" t="b">
        <f>+ISNUMBER(SEARCH(#REF!,Tabla11[[#This Row],[Cuenta]],1))</f>
        <v>0</v>
      </c>
      <c r="AT687" t="b">
        <f>+ISNUMBER(SEARCH(#REF!,Tabla11[[#This Row],[Cuenta]],1))</f>
        <v>0</v>
      </c>
      <c r="AU687" t="b">
        <f>+ISNUMBER(SEARCH('Conc. Ban.1'!$I$9,Tabla11[[#This Row],[Cuenta]],1))</f>
        <v>0</v>
      </c>
      <c r="AV687" t="b">
        <f>+ISNUMBER(SEARCH(CompConta!$F$21,Tabla11[[#This Row],[Cuenta]],1))</f>
        <v>1</v>
      </c>
      <c r="AW687" t="b">
        <f>+ISNUMBER(SEARCH(CompConta!$F$22,Tabla11[[#This Row],[Cuenta]],1))</f>
        <v>1</v>
      </c>
      <c r="AX687" t="b">
        <f>+ISNUMBER(SEARCH(CompConta!$F$23,Tabla11[[#This Row],[Cuenta]],1))</f>
        <v>1</v>
      </c>
      <c r="AY687" t="b">
        <f>+ISNUMBER(SEARCH(CompConta!$F$24,Tabla11[[#This Row],[Cuenta]],1))</f>
        <v>1</v>
      </c>
      <c r="AZ687" t="b">
        <f>+ISNUMBER(SEARCH(CompConta!$F$25,Tabla11[[#This Row],[Cuenta]],1))</f>
        <v>1</v>
      </c>
      <c r="BA687" t="b">
        <f>+ISNUMBER(SEARCH(CompConta!$F$26,Tabla11[[#This Row],[Cuenta]],1))</f>
        <v>1</v>
      </c>
      <c r="BB687" t="b">
        <f>+ISNUMBER(SEARCH(CompConta!$F$27,Tabla11[[#This Row],[Cuenta]],1))</f>
        <v>1</v>
      </c>
      <c r="BC687" t="b">
        <f>+ISNUMBER(SEARCH(CompConta!$F$28,Tabla11[[#This Row],[Cuenta]],1))</f>
        <v>1</v>
      </c>
      <c r="BD687" t="b">
        <f>+ISNUMBER(SEARCH(CompConta!$F$29,Tabla11[[#This Row],[Cuenta]],1))</f>
        <v>1</v>
      </c>
      <c r="BE687" t="b">
        <f>+ISNUMBER(SEARCH(CompConta!$F$30,Tabla11[[#This Row],[Cuenta]],1))</f>
        <v>1</v>
      </c>
      <c r="BF687" t="b">
        <f>+ISNUMBER(SEARCH('PAGO Compras'!$E$11,Tabla11[[#This Row],[Cuenta]],1))</f>
        <v>1</v>
      </c>
      <c r="BG687" t="b">
        <f>+ISNUMBER(SEARCH(#REF!,Tabla11[[#This Row],[Cuenta]],1))</f>
        <v>0</v>
      </c>
      <c r="BH687" t="b">
        <f>+ISNUMBER(SEARCH(#REF!,Tabla11[[#This Row],[Cuenta]],1))</f>
        <v>0</v>
      </c>
      <c r="BI687" t="b">
        <f>+ISNUMBER(SEARCH(#REF!,Tabla11[[#This Row],[Cuenta]],1))</f>
        <v>0</v>
      </c>
      <c r="BJ687" t="b">
        <f>+ISNUMBER(SEARCH(#REF!,Tabla11[[#This Row],[Cuenta]],1))</f>
        <v>0</v>
      </c>
      <c r="BS687" t="str">
        <v>3810 DE PROPIEDADES, PLANTA Y EQUIPO</v>
      </c>
      <c r="BT687" t="str">
        <v>3810 DE PROPIEDADES, PLANTA Y EQUIPO</v>
      </c>
      <c r="BU687" t="str">
        <v>3810 DE PROPIEDADES, PLANTA Y EQUIPO</v>
      </c>
      <c r="BV687" t="str">
        <v>3810 DE PROPIEDADES, PLANTA Y EQUIPO</v>
      </c>
      <c r="BZ687" t="str">
        <v>3810 DE PROPIEDADES, PLANTA Y EQUIPO</v>
      </c>
      <c r="CA687" t="str">
        <v>3810 DE PROPIEDADES, PLANTA Y EQUIPO</v>
      </c>
      <c r="CB687" t="str">
        <v>3810 DE PROPIEDADES, PLANTA Y EQUIPO</v>
      </c>
      <c r="CC687" t="str">
        <v>3810 DE PROPIEDADES, PLANTA Y EQUIPO</v>
      </c>
      <c r="CD687" t="str">
        <v>3810 DE PROPIEDADES, PLANTA Y EQUIPO</v>
      </c>
      <c r="CE687" t="str">
        <v>3810 DE PROPIEDADES, PLANTA Y EQUIPO</v>
      </c>
      <c r="CS687" s="141" t="str">
        <v>3810 DE PROPIEDADES, PLANTA Y EQUIPO</v>
      </c>
      <c r="CT687" s="141" t="str">
        <v>3810 DE PROPIEDADES, PLANTA Y EQUIPO</v>
      </c>
      <c r="CU687" s="141" t="str">
        <v>3810 DE PROPIEDADES, PLANTA Y EQUIPO</v>
      </c>
      <c r="CV687" s="141" t="str">
        <v>3810 DE PROPIEDADES, PLANTA Y EQUIPO</v>
      </c>
      <c r="CW687" s="141" t="str">
        <v>3810 DE PROPIEDADES, PLANTA Y EQUIPO</v>
      </c>
      <c r="CX687" s="141" t="str">
        <v>3810 DE PROPIEDADES, PLANTA Y EQUIPO</v>
      </c>
      <c r="CY687" s="141" t="str">
        <v>3810 DE PROPIEDADES, PLANTA Y EQUIPO</v>
      </c>
      <c r="CZ687" s="141" t="str">
        <v>3810 DE PROPIEDADES, PLANTA Y EQUIPO</v>
      </c>
      <c r="DA687" s="141" t="str">
        <v>3810 DE PROPIEDADES, PLANTA Y EQUIPO</v>
      </c>
      <c r="DF687" t="str">
        <v>3810 DE PROPIEDADES, PLANTA Y EQUIPO</v>
      </c>
      <c r="DG687" t="str">
        <v>3810 DE PROPIEDADES, PLANTA Y EQUIPO</v>
      </c>
      <c r="DH687" t="str">
        <v>3810 DE PROPIEDADES, PLANTA Y EQUIPO</v>
      </c>
      <c r="DI687" t="str">
        <v>3810 DE PROPIEDADES, PLANTA Y EQUIPO</v>
      </c>
      <c r="DJ687" t="str">
        <v>3810 DE PROPIEDADES, PLANTA Y EQUIPO</v>
      </c>
      <c r="DK687" t="str">
        <v>3810 DE PROPIEDADES, PLANTA Y EQUIPO</v>
      </c>
      <c r="DL687" t="str">
        <v>3810 DE PROPIEDADES, PLANTA Y EQUIPO</v>
      </c>
      <c r="DM687" t="str">
        <v>3810 DE PROPIEDADES, PLANTA Y EQUIPO</v>
      </c>
      <c r="DN687" t="str">
        <v>3810 DE PROPIEDADES, PLANTA Y EQUIPO</v>
      </c>
      <c r="DO687" t="str">
        <v>3810 DE PROPIEDADES, PLANTA Y EQUIPO</v>
      </c>
      <c r="DP687" t="str">
        <v>3810 DE PROPIEDADES, PLANTA Y EQUIPO</v>
      </c>
    </row>
    <row r="688" spans="4:120" ht="12.75">
      <c r="D688" s="7">
        <v>381004</v>
      </c>
      <c r="E688" s="6" t="s">
        <v>223</v>
      </c>
      <c r="F688" s="5">
        <v>4</v>
      </c>
      <c r="G688" s="34" t="s">
        <v>827</v>
      </c>
      <c r="H688" s="8" t="s">
        <v>56</v>
      </c>
      <c r="I688" t="b">
        <f>+ISNUMBER(SEARCH('F-COMPRA'!$F$28,Tabla11[[#This Row],[Cuenta]],1))</f>
        <v>1</v>
      </c>
      <c r="J688" t="b">
        <f>+ISNUMBER(SEARCH('F-COMPRA'!$F$29,Tabla11[[#This Row],[Cuenta]],1))</f>
        <v>1</v>
      </c>
      <c r="K688" t="b">
        <f>+ISNUMBER(SEARCH('F-COMPRA'!$F$30,Tabla11[[#This Row],[Cuenta]],1))</f>
        <v>1</v>
      </c>
      <c r="L688" t="b">
        <f>+ISNUMBER(SEARCH('F-COMPRA'!$F$31,Tabla11[[#This Row],[Cuenta]],1))</f>
        <v>1</v>
      </c>
      <c r="M688" t="b">
        <f>+ISNUMBER(SEARCH('F-COMPRA'!$G$25,Tabla11[[#This Row],[Cuenta]],1))</f>
        <v>0</v>
      </c>
      <c r="N688" t="b">
        <f>+ISNUMBER(SEARCH(#REF!,Tabla11[[#This Row],[Cuenta]],1))</f>
        <v>0</v>
      </c>
      <c r="O688" t="b">
        <f>+ISNUMBER(SEARCH(#REF!,Tabla11[[#This Row],[Cuenta]],1))</f>
        <v>0</v>
      </c>
      <c r="P688" t="b">
        <f>+ISNUMBER(SEARCH('F-COMPRA'!$F$32,Tabla11[[#This Row],[Cuenta]],1))</f>
        <v>1</v>
      </c>
      <c r="Q688" t="b">
        <f>+ISNUMBER(SEARCH('F-COMPRA'!$F$33,Tabla11[[#This Row],[Cuenta]],1))</f>
        <v>1</v>
      </c>
      <c r="R688" t="b">
        <f>+ISNUMBER(SEARCH('F-COMPRA'!$F$34,Tabla11[[#This Row],[Cuenta]],1))</f>
        <v>1</v>
      </c>
      <c r="S688" t="b">
        <f>+ISNUMBER(SEARCH('F-COMPRA'!$F$35,Tabla11[[#This Row],[Cuenta]],1))</f>
        <v>1</v>
      </c>
      <c r="T688" t="b">
        <f>+ISNUMBER(SEARCH('F-COMPRA'!$F$36,Tabla11[[#This Row],[Cuenta]],1))</f>
        <v>1</v>
      </c>
      <c r="U688" t="b">
        <f>+ISNUMBER(SEARCH('F-COMPRA'!$F$37,Tabla11[[#This Row],[Cuenta]],1))</f>
        <v>1</v>
      </c>
      <c r="V688" t="b">
        <f>+ISNUMBER(SEARCH(#REF!,Tabla11[[#This Row],[Cuenta]],1))</f>
        <v>0</v>
      </c>
      <c r="W688" t="b">
        <f>+ISNUMBER(SEARCH('F-COMPRA'!#REF!,Tabla11[[#This Row],[Cuenta]],1))</f>
        <v>0</v>
      </c>
      <c r="X688" t="b">
        <f>+ISNUMBER(SEARCH('F-COMPRA'!#REF!,Tabla11[[#This Row],[Cuenta]],1))</f>
        <v>0</v>
      </c>
      <c r="Y688" t="b">
        <f>+ISNUMBER(SEARCH('F-COMPRA'!#REF!,Tabla11[[#This Row],[Cuenta]],1))</f>
        <v>0</v>
      </c>
      <c r="Z688" t="b">
        <f>+ISNUMBER(SEARCH('F-COMPRA'!#REF!,Tabla11[[#This Row],[Cuenta]],1))</f>
        <v>0</v>
      </c>
      <c r="AA688" t="b">
        <f>+ISNUMBER(SEARCH('F-COMPRA'!#REF!,Tabla11[[#This Row],[Cuenta]],1))</f>
        <v>0</v>
      </c>
      <c r="AB688" t="b">
        <f>+ISNUMBER(SEARCH('F-COMPRA'!#REF!,Tabla11[[#This Row],[Cuenta]],1))</f>
        <v>0</v>
      </c>
      <c r="AC688" t="b">
        <f>+ISNUMBER(SEARCH('F-COMPRA'!#REF!,Tabla11[[#This Row],[Cuenta]],1))</f>
        <v>0</v>
      </c>
      <c r="AD688" t="b">
        <f>+ISNUMBER(SEARCH('F-COMPRA'!#REF!,Tabla11[[#This Row],[Cuenta]],1))</f>
        <v>0</v>
      </c>
      <c r="AE688" t="b">
        <f>+ISNUMBER(SEARCH('F-COMPRA'!#REF!,Tabla11[[#This Row],[Cuenta]],1))</f>
        <v>0</v>
      </c>
      <c r="AF688" t="b">
        <f>+ISNUMBER(SEARCH('F-VTA'!$G$23,Tabla11[[#This Row],[Cuenta]],1))</f>
        <v>0</v>
      </c>
      <c r="AG688" t="b">
        <f>+ISNUMBER(SEARCH('F-VTA'!$G$24,Tabla11[[#This Row],[Cuenta]],1))</f>
        <v>0</v>
      </c>
      <c r="AH688" t="b">
        <f>+ISNUMBER(SEARCH('F-VTA'!$G$25,Tabla11[[#This Row],[Cuenta]],1))</f>
        <v>0</v>
      </c>
      <c r="AI688" t="b">
        <f>+ISNUMBER(SEARCH('F-VTA'!$F$28,Tabla11[[#This Row],[Cuenta]],1))</f>
        <v>1</v>
      </c>
      <c r="AJ688" t="b">
        <f>+ISNUMBER(SEARCH('F-VTA'!$F$29,Tabla11[[#This Row],[Cuenta]],1))</f>
        <v>1</v>
      </c>
      <c r="AK688" t="b">
        <f>+ISNUMBER(SEARCH('F-VTA'!$F$30,Tabla11[[#This Row],[Cuenta]],1))</f>
        <v>1</v>
      </c>
      <c r="AL688" t="b">
        <f>+ISNUMBER(SEARCH('F-VTA'!$F$31,Tabla11[[#This Row],[Cuenta]],1))</f>
        <v>1</v>
      </c>
      <c r="AM688" t="b">
        <f>+ISNUMBER(SEARCH('F-VTA'!$F$32,Tabla11[[#This Row],[Cuenta]],1))</f>
        <v>1</v>
      </c>
      <c r="AN688" t="b">
        <f>+ISNUMBER(SEARCH('F-VTA'!$F$33,Tabla11[[#This Row],[Cuenta]],1))</f>
        <v>1</v>
      </c>
      <c r="AO688" t="b">
        <f>+ISNUMBER(SEARCH('F-VTA'!$F$34,Tabla11[[#This Row],[Cuenta]],1))</f>
        <v>1</v>
      </c>
      <c r="AP688" t="b">
        <f>+ISNUMBER(SEARCH('F-VTA'!$F$35,Tabla11[[#This Row],[Cuenta]],1))</f>
        <v>1</v>
      </c>
      <c r="AQ688" t="b">
        <f>+ISNUMBER(SEARCH('F-VTA'!$F$36,Tabla11[[#This Row],[Cuenta]],1))</f>
        <v>1</v>
      </c>
      <c r="AR688" t="b">
        <f>+ISNUMBER(SEARCH(#REF!,Tabla11[[#This Row],[Cuenta]],1))</f>
        <v>0</v>
      </c>
      <c r="AS688" t="b">
        <f>+ISNUMBER(SEARCH(#REF!,Tabla11[[#This Row],[Cuenta]],1))</f>
        <v>0</v>
      </c>
      <c r="AT688" t="b">
        <f>+ISNUMBER(SEARCH(#REF!,Tabla11[[#This Row],[Cuenta]],1))</f>
        <v>0</v>
      </c>
      <c r="AU688" t="b">
        <f>+ISNUMBER(SEARCH('Conc. Ban.1'!$I$9,Tabla11[[#This Row],[Cuenta]],1))</f>
        <v>0</v>
      </c>
      <c r="AV688" t="b">
        <f>+ISNUMBER(SEARCH(CompConta!$F$21,Tabla11[[#This Row],[Cuenta]],1))</f>
        <v>1</v>
      </c>
      <c r="AW688" t="b">
        <f>+ISNUMBER(SEARCH(CompConta!$F$22,Tabla11[[#This Row],[Cuenta]],1))</f>
        <v>1</v>
      </c>
      <c r="AX688" t="b">
        <f>+ISNUMBER(SEARCH(CompConta!$F$23,Tabla11[[#This Row],[Cuenta]],1))</f>
        <v>1</v>
      </c>
      <c r="AY688" t="b">
        <f>+ISNUMBER(SEARCH(CompConta!$F$24,Tabla11[[#This Row],[Cuenta]],1))</f>
        <v>1</v>
      </c>
      <c r="AZ688" t="b">
        <f>+ISNUMBER(SEARCH(CompConta!$F$25,Tabla11[[#This Row],[Cuenta]],1))</f>
        <v>1</v>
      </c>
      <c r="BA688" t="b">
        <f>+ISNUMBER(SEARCH(CompConta!$F$26,Tabla11[[#This Row],[Cuenta]],1))</f>
        <v>1</v>
      </c>
      <c r="BB688" t="b">
        <f>+ISNUMBER(SEARCH(CompConta!$F$27,Tabla11[[#This Row],[Cuenta]],1))</f>
        <v>1</v>
      </c>
      <c r="BC688" t="b">
        <f>+ISNUMBER(SEARCH(CompConta!$F$28,Tabla11[[#This Row],[Cuenta]],1))</f>
        <v>1</v>
      </c>
      <c r="BD688" t="b">
        <f>+ISNUMBER(SEARCH(CompConta!$F$29,Tabla11[[#This Row],[Cuenta]],1))</f>
        <v>1</v>
      </c>
      <c r="BE688" t="b">
        <f>+ISNUMBER(SEARCH(CompConta!$F$30,Tabla11[[#This Row],[Cuenta]],1))</f>
        <v>1</v>
      </c>
      <c r="BF688" t="b">
        <f>+ISNUMBER(SEARCH('PAGO Compras'!$E$11,Tabla11[[#This Row],[Cuenta]],1))</f>
        <v>1</v>
      </c>
      <c r="BG688" t="b">
        <f>+ISNUMBER(SEARCH(#REF!,Tabla11[[#This Row],[Cuenta]],1))</f>
        <v>0</v>
      </c>
      <c r="BH688" t="b">
        <f>+ISNUMBER(SEARCH(#REF!,Tabla11[[#This Row],[Cuenta]],1))</f>
        <v>0</v>
      </c>
      <c r="BI688" t="b">
        <f>+ISNUMBER(SEARCH(#REF!,Tabla11[[#This Row],[Cuenta]],1))</f>
        <v>0</v>
      </c>
      <c r="BJ688" t="b">
        <f>+ISNUMBER(SEARCH(#REF!,Tabla11[[#This Row],[Cuenta]],1))</f>
        <v>0</v>
      </c>
      <c r="BS688" t="str">
        <v>381004 Terrenos</v>
      </c>
      <c r="BT688" t="str">
        <v>381004 Terrenos</v>
      </c>
      <c r="BU688" t="str">
        <v>381004 Terrenos</v>
      </c>
      <c r="BV688" t="str">
        <v>381004 Terrenos</v>
      </c>
      <c r="BZ688" t="str">
        <v>381004 Terrenos</v>
      </c>
      <c r="CA688" t="str">
        <v>381004 Terrenos</v>
      </c>
      <c r="CB688" t="str">
        <v>381004 Terrenos</v>
      </c>
      <c r="CC688" t="str">
        <v>381004 Terrenos</v>
      </c>
      <c r="CD688" t="str">
        <v>381004 Terrenos</v>
      </c>
      <c r="CE688" t="str">
        <v>381004 Terrenos</v>
      </c>
      <c r="CS688" s="141" t="str">
        <v>381004 Terrenos</v>
      </c>
      <c r="CT688" s="141" t="str">
        <v>381004 Terrenos</v>
      </c>
      <c r="CU688" s="141" t="str">
        <v>381004 Terrenos</v>
      </c>
      <c r="CV688" s="141" t="str">
        <v>381004 Terrenos</v>
      </c>
      <c r="CW688" s="141" t="str">
        <v>381004 Terrenos</v>
      </c>
      <c r="CX688" s="141" t="str">
        <v>381004 Terrenos</v>
      </c>
      <c r="CY688" s="141" t="str">
        <v>381004 Terrenos</v>
      </c>
      <c r="CZ688" s="141" t="str">
        <v>381004 Terrenos</v>
      </c>
      <c r="DA688" s="141" t="str">
        <v>381004 Terrenos</v>
      </c>
      <c r="DF688" t="str">
        <v>381004 Terrenos</v>
      </c>
      <c r="DG688" t="str">
        <v>381004 Terrenos</v>
      </c>
      <c r="DH688" t="str">
        <v>381004 Terrenos</v>
      </c>
      <c r="DI688" t="str">
        <v>381004 Terrenos</v>
      </c>
      <c r="DJ688" t="str">
        <v>381004 Terrenos</v>
      </c>
      <c r="DK688" t="str">
        <v>381004 Terrenos</v>
      </c>
      <c r="DL688" t="str">
        <v>381004 Terrenos</v>
      </c>
      <c r="DM688" t="str">
        <v>381004 Terrenos</v>
      </c>
      <c r="DN688" t="str">
        <v>381004 Terrenos</v>
      </c>
      <c r="DO688" t="str">
        <v>381004 Terrenos</v>
      </c>
      <c r="DP688" t="str">
        <v>381004 Terrenos</v>
      </c>
    </row>
    <row r="689" spans="4:120" ht="12.75">
      <c r="D689" s="7">
        <v>381006</v>
      </c>
      <c r="E689" s="6" t="s">
        <v>224</v>
      </c>
      <c r="F689" s="5">
        <v>4</v>
      </c>
      <c r="G689" s="34" t="s">
        <v>827</v>
      </c>
      <c r="H689" s="8" t="s">
        <v>56</v>
      </c>
      <c r="I689" t="b">
        <f>+ISNUMBER(SEARCH('F-COMPRA'!$F$28,Tabla11[[#This Row],[Cuenta]],1))</f>
        <v>1</v>
      </c>
      <c r="J689" t="b">
        <f>+ISNUMBER(SEARCH('F-COMPRA'!$F$29,Tabla11[[#This Row],[Cuenta]],1))</f>
        <v>1</v>
      </c>
      <c r="K689" t="b">
        <f>+ISNUMBER(SEARCH('F-COMPRA'!$F$30,Tabla11[[#This Row],[Cuenta]],1))</f>
        <v>1</v>
      </c>
      <c r="L689" t="b">
        <f>+ISNUMBER(SEARCH('F-COMPRA'!$F$31,Tabla11[[#This Row],[Cuenta]],1))</f>
        <v>1</v>
      </c>
      <c r="M689" t="b">
        <f>+ISNUMBER(SEARCH('F-COMPRA'!$G$25,Tabla11[[#This Row],[Cuenta]],1))</f>
        <v>0</v>
      </c>
      <c r="N689" t="b">
        <f>+ISNUMBER(SEARCH(#REF!,Tabla11[[#This Row],[Cuenta]],1))</f>
        <v>0</v>
      </c>
      <c r="O689" t="b">
        <f>+ISNUMBER(SEARCH(#REF!,Tabla11[[#This Row],[Cuenta]],1))</f>
        <v>0</v>
      </c>
      <c r="P689" t="b">
        <f>+ISNUMBER(SEARCH('F-COMPRA'!$F$32,Tabla11[[#This Row],[Cuenta]],1))</f>
        <v>1</v>
      </c>
      <c r="Q689" t="b">
        <f>+ISNUMBER(SEARCH('F-COMPRA'!$F$33,Tabla11[[#This Row],[Cuenta]],1))</f>
        <v>1</v>
      </c>
      <c r="R689" t="b">
        <f>+ISNUMBER(SEARCH('F-COMPRA'!$F$34,Tabla11[[#This Row],[Cuenta]],1))</f>
        <v>1</v>
      </c>
      <c r="S689" t="b">
        <f>+ISNUMBER(SEARCH('F-COMPRA'!$F$35,Tabla11[[#This Row],[Cuenta]],1))</f>
        <v>1</v>
      </c>
      <c r="T689" t="b">
        <f>+ISNUMBER(SEARCH('F-COMPRA'!$F$36,Tabla11[[#This Row],[Cuenta]],1))</f>
        <v>1</v>
      </c>
      <c r="U689" t="b">
        <f>+ISNUMBER(SEARCH('F-COMPRA'!$F$37,Tabla11[[#This Row],[Cuenta]],1))</f>
        <v>1</v>
      </c>
      <c r="V689" t="b">
        <f>+ISNUMBER(SEARCH(#REF!,Tabla11[[#This Row],[Cuenta]],1))</f>
        <v>0</v>
      </c>
      <c r="W689" t="b">
        <f>+ISNUMBER(SEARCH('F-COMPRA'!#REF!,Tabla11[[#This Row],[Cuenta]],1))</f>
        <v>0</v>
      </c>
      <c r="X689" t="b">
        <f>+ISNUMBER(SEARCH('F-COMPRA'!#REF!,Tabla11[[#This Row],[Cuenta]],1))</f>
        <v>0</v>
      </c>
      <c r="Y689" t="b">
        <f>+ISNUMBER(SEARCH('F-COMPRA'!#REF!,Tabla11[[#This Row],[Cuenta]],1))</f>
        <v>0</v>
      </c>
      <c r="Z689" t="b">
        <f>+ISNUMBER(SEARCH('F-COMPRA'!#REF!,Tabla11[[#This Row],[Cuenta]],1))</f>
        <v>0</v>
      </c>
      <c r="AA689" t="b">
        <f>+ISNUMBER(SEARCH('F-COMPRA'!#REF!,Tabla11[[#This Row],[Cuenta]],1))</f>
        <v>0</v>
      </c>
      <c r="AB689" t="b">
        <f>+ISNUMBER(SEARCH('F-COMPRA'!#REF!,Tabla11[[#This Row],[Cuenta]],1))</f>
        <v>0</v>
      </c>
      <c r="AC689" t="b">
        <f>+ISNUMBER(SEARCH('F-COMPRA'!#REF!,Tabla11[[#This Row],[Cuenta]],1))</f>
        <v>0</v>
      </c>
      <c r="AD689" t="b">
        <f>+ISNUMBER(SEARCH('F-COMPRA'!#REF!,Tabla11[[#This Row],[Cuenta]],1))</f>
        <v>0</v>
      </c>
      <c r="AE689" t="b">
        <f>+ISNUMBER(SEARCH('F-COMPRA'!#REF!,Tabla11[[#This Row],[Cuenta]],1))</f>
        <v>0</v>
      </c>
      <c r="AF689" t="b">
        <f>+ISNUMBER(SEARCH('F-VTA'!$G$23,Tabla11[[#This Row],[Cuenta]],1))</f>
        <v>0</v>
      </c>
      <c r="AG689" t="b">
        <f>+ISNUMBER(SEARCH('F-VTA'!$G$24,Tabla11[[#This Row],[Cuenta]],1))</f>
        <v>0</v>
      </c>
      <c r="AH689" t="b">
        <f>+ISNUMBER(SEARCH('F-VTA'!$G$25,Tabla11[[#This Row],[Cuenta]],1))</f>
        <v>0</v>
      </c>
      <c r="AI689" t="b">
        <f>+ISNUMBER(SEARCH('F-VTA'!$F$28,Tabla11[[#This Row],[Cuenta]],1))</f>
        <v>1</v>
      </c>
      <c r="AJ689" t="b">
        <f>+ISNUMBER(SEARCH('F-VTA'!$F$29,Tabla11[[#This Row],[Cuenta]],1))</f>
        <v>1</v>
      </c>
      <c r="AK689" t="b">
        <f>+ISNUMBER(SEARCH('F-VTA'!$F$30,Tabla11[[#This Row],[Cuenta]],1))</f>
        <v>1</v>
      </c>
      <c r="AL689" t="b">
        <f>+ISNUMBER(SEARCH('F-VTA'!$F$31,Tabla11[[#This Row],[Cuenta]],1))</f>
        <v>1</v>
      </c>
      <c r="AM689" t="b">
        <f>+ISNUMBER(SEARCH('F-VTA'!$F$32,Tabla11[[#This Row],[Cuenta]],1))</f>
        <v>1</v>
      </c>
      <c r="AN689" t="b">
        <f>+ISNUMBER(SEARCH('F-VTA'!$F$33,Tabla11[[#This Row],[Cuenta]],1))</f>
        <v>1</v>
      </c>
      <c r="AO689" t="b">
        <f>+ISNUMBER(SEARCH('F-VTA'!$F$34,Tabla11[[#This Row],[Cuenta]],1))</f>
        <v>1</v>
      </c>
      <c r="AP689" t="b">
        <f>+ISNUMBER(SEARCH('F-VTA'!$F$35,Tabla11[[#This Row],[Cuenta]],1))</f>
        <v>1</v>
      </c>
      <c r="AQ689" t="b">
        <f>+ISNUMBER(SEARCH('F-VTA'!$F$36,Tabla11[[#This Row],[Cuenta]],1))</f>
        <v>1</v>
      </c>
      <c r="AR689" t="b">
        <f>+ISNUMBER(SEARCH(#REF!,Tabla11[[#This Row],[Cuenta]],1))</f>
        <v>0</v>
      </c>
      <c r="AS689" t="b">
        <f>+ISNUMBER(SEARCH(#REF!,Tabla11[[#This Row],[Cuenta]],1))</f>
        <v>0</v>
      </c>
      <c r="AT689" t="b">
        <f>+ISNUMBER(SEARCH(#REF!,Tabla11[[#This Row],[Cuenta]],1))</f>
        <v>0</v>
      </c>
      <c r="AU689" t="b">
        <f>+ISNUMBER(SEARCH('Conc. Ban.1'!$I$9,Tabla11[[#This Row],[Cuenta]],1))</f>
        <v>0</v>
      </c>
      <c r="AV689" t="b">
        <f>+ISNUMBER(SEARCH(CompConta!$F$21,Tabla11[[#This Row],[Cuenta]],1))</f>
        <v>1</v>
      </c>
      <c r="AW689" t="b">
        <f>+ISNUMBER(SEARCH(CompConta!$F$22,Tabla11[[#This Row],[Cuenta]],1))</f>
        <v>1</v>
      </c>
      <c r="AX689" t="b">
        <f>+ISNUMBER(SEARCH(CompConta!$F$23,Tabla11[[#This Row],[Cuenta]],1))</f>
        <v>1</v>
      </c>
      <c r="AY689" t="b">
        <f>+ISNUMBER(SEARCH(CompConta!$F$24,Tabla11[[#This Row],[Cuenta]],1))</f>
        <v>1</v>
      </c>
      <c r="AZ689" t="b">
        <f>+ISNUMBER(SEARCH(CompConta!$F$25,Tabla11[[#This Row],[Cuenta]],1))</f>
        <v>1</v>
      </c>
      <c r="BA689" t="b">
        <f>+ISNUMBER(SEARCH(CompConta!$F$26,Tabla11[[#This Row],[Cuenta]],1))</f>
        <v>1</v>
      </c>
      <c r="BB689" t="b">
        <f>+ISNUMBER(SEARCH(CompConta!$F$27,Tabla11[[#This Row],[Cuenta]],1))</f>
        <v>1</v>
      </c>
      <c r="BC689" t="b">
        <f>+ISNUMBER(SEARCH(CompConta!$F$28,Tabla11[[#This Row],[Cuenta]],1))</f>
        <v>1</v>
      </c>
      <c r="BD689" t="b">
        <f>+ISNUMBER(SEARCH(CompConta!$F$29,Tabla11[[#This Row],[Cuenta]],1))</f>
        <v>1</v>
      </c>
      <c r="BE689" t="b">
        <f>+ISNUMBER(SEARCH(CompConta!$F$30,Tabla11[[#This Row],[Cuenta]],1))</f>
        <v>1</v>
      </c>
      <c r="BF689" t="b">
        <f>+ISNUMBER(SEARCH('PAGO Compras'!$E$11,Tabla11[[#This Row],[Cuenta]],1))</f>
        <v>1</v>
      </c>
      <c r="BG689" t="b">
        <f>+ISNUMBER(SEARCH(#REF!,Tabla11[[#This Row],[Cuenta]],1))</f>
        <v>0</v>
      </c>
      <c r="BH689" t="b">
        <f>+ISNUMBER(SEARCH(#REF!,Tabla11[[#This Row],[Cuenta]],1))</f>
        <v>0</v>
      </c>
      <c r="BI689" t="b">
        <f>+ISNUMBER(SEARCH(#REF!,Tabla11[[#This Row],[Cuenta]],1))</f>
        <v>0</v>
      </c>
      <c r="BJ689" t="b">
        <f>+ISNUMBER(SEARCH(#REF!,Tabla11[[#This Row],[Cuenta]],1))</f>
        <v>0</v>
      </c>
      <c r="BS689" t="str">
        <v>381006 Materiales proyectos petroleros</v>
      </c>
      <c r="BT689" t="str">
        <v>381006 Materiales proyectos petroleros</v>
      </c>
      <c r="BU689" t="str">
        <v>381006 Materiales proyectos petroleros</v>
      </c>
      <c r="BV689" t="str">
        <v>381006 Materiales proyectos petroleros</v>
      </c>
      <c r="BZ689" t="str">
        <v>381006 Materiales proyectos petroleros</v>
      </c>
      <c r="CA689" t="str">
        <v>381006 Materiales proyectos petroleros</v>
      </c>
      <c r="CB689" t="str">
        <v>381006 Materiales proyectos petroleros</v>
      </c>
      <c r="CC689" t="str">
        <v>381006 Materiales proyectos petroleros</v>
      </c>
      <c r="CD689" t="str">
        <v>381006 Materiales proyectos petroleros</v>
      </c>
      <c r="CE689" t="str">
        <v>381006 Materiales proyectos petroleros</v>
      </c>
      <c r="CS689" s="141" t="str">
        <v>381006 Materiales proyectos petroleros</v>
      </c>
      <c r="CT689" s="141" t="str">
        <v>381006 Materiales proyectos petroleros</v>
      </c>
      <c r="CU689" s="141" t="str">
        <v>381006 Materiales proyectos petroleros</v>
      </c>
      <c r="CV689" s="141" t="str">
        <v>381006 Materiales proyectos petroleros</v>
      </c>
      <c r="CW689" s="141" t="str">
        <v>381006 Materiales proyectos petroleros</v>
      </c>
      <c r="CX689" s="141" t="str">
        <v>381006 Materiales proyectos petroleros</v>
      </c>
      <c r="CY689" s="141" t="str">
        <v>381006 Materiales proyectos petroleros</v>
      </c>
      <c r="CZ689" s="141" t="str">
        <v>381006 Materiales proyectos petroleros</v>
      </c>
      <c r="DA689" s="141" t="str">
        <v>381006 Materiales proyectos petroleros</v>
      </c>
      <c r="DF689" t="str">
        <v>381006 Materiales proyectos petroleros</v>
      </c>
      <c r="DG689" t="str">
        <v>381006 Materiales proyectos petroleros</v>
      </c>
      <c r="DH689" t="str">
        <v>381006 Materiales proyectos petroleros</v>
      </c>
      <c r="DI689" t="str">
        <v>381006 Materiales proyectos petroleros</v>
      </c>
      <c r="DJ689" t="str">
        <v>381006 Materiales proyectos petroleros</v>
      </c>
      <c r="DK689" t="str">
        <v>381006 Materiales proyectos petroleros</v>
      </c>
      <c r="DL689" t="str">
        <v>381006 Materiales proyectos petroleros</v>
      </c>
      <c r="DM689" t="str">
        <v>381006 Materiales proyectos petroleros</v>
      </c>
      <c r="DN689" t="str">
        <v>381006 Materiales proyectos petroleros</v>
      </c>
      <c r="DO689" t="str">
        <v>381006 Materiales proyectos petroleros</v>
      </c>
      <c r="DP689" t="str">
        <v>381006 Materiales proyectos petroleros</v>
      </c>
    </row>
    <row r="690" spans="4:120" ht="12.75">
      <c r="D690" s="7">
        <v>381008</v>
      </c>
      <c r="E690" s="6" t="s">
        <v>121</v>
      </c>
      <c r="F690" s="5">
        <v>4</v>
      </c>
      <c r="G690" s="34" t="s">
        <v>827</v>
      </c>
      <c r="H690" s="8" t="s">
        <v>56</v>
      </c>
      <c r="I690" t="b">
        <f>+ISNUMBER(SEARCH('F-COMPRA'!$F$28,Tabla11[[#This Row],[Cuenta]],1))</f>
        <v>1</v>
      </c>
      <c r="J690" t="b">
        <f>+ISNUMBER(SEARCH('F-COMPRA'!$F$29,Tabla11[[#This Row],[Cuenta]],1))</f>
        <v>1</v>
      </c>
      <c r="K690" t="b">
        <f>+ISNUMBER(SEARCH('F-COMPRA'!$F$30,Tabla11[[#This Row],[Cuenta]],1))</f>
        <v>1</v>
      </c>
      <c r="L690" t="b">
        <f>+ISNUMBER(SEARCH('F-COMPRA'!$F$31,Tabla11[[#This Row],[Cuenta]],1))</f>
        <v>1</v>
      </c>
      <c r="M690" t="b">
        <f>+ISNUMBER(SEARCH('F-COMPRA'!$G$25,Tabla11[[#This Row],[Cuenta]],1))</f>
        <v>0</v>
      </c>
      <c r="N690" t="b">
        <f>+ISNUMBER(SEARCH(#REF!,Tabla11[[#This Row],[Cuenta]],1))</f>
        <v>0</v>
      </c>
      <c r="O690" t="b">
        <f>+ISNUMBER(SEARCH(#REF!,Tabla11[[#This Row],[Cuenta]],1))</f>
        <v>0</v>
      </c>
      <c r="P690" t="b">
        <f>+ISNUMBER(SEARCH('F-COMPRA'!$F$32,Tabla11[[#This Row],[Cuenta]],1))</f>
        <v>1</v>
      </c>
      <c r="Q690" t="b">
        <f>+ISNUMBER(SEARCH('F-COMPRA'!$F$33,Tabla11[[#This Row],[Cuenta]],1))</f>
        <v>1</v>
      </c>
      <c r="R690" t="b">
        <f>+ISNUMBER(SEARCH('F-COMPRA'!$F$34,Tabla11[[#This Row],[Cuenta]],1))</f>
        <v>1</v>
      </c>
      <c r="S690" t="b">
        <f>+ISNUMBER(SEARCH('F-COMPRA'!$F$35,Tabla11[[#This Row],[Cuenta]],1))</f>
        <v>1</v>
      </c>
      <c r="T690" t="b">
        <f>+ISNUMBER(SEARCH('F-COMPRA'!$F$36,Tabla11[[#This Row],[Cuenta]],1))</f>
        <v>1</v>
      </c>
      <c r="U690" t="b">
        <f>+ISNUMBER(SEARCH('F-COMPRA'!$F$37,Tabla11[[#This Row],[Cuenta]],1))</f>
        <v>1</v>
      </c>
      <c r="V690" t="b">
        <f>+ISNUMBER(SEARCH(#REF!,Tabla11[[#This Row],[Cuenta]],1))</f>
        <v>0</v>
      </c>
      <c r="W690" t="b">
        <f>+ISNUMBER(SEARCH('F-COMPRA'!#REF!,Tabla11[[#This Row],[Cuenta]],1))</f>
        <v>0</v>
      </c>
      <c r="X690" t="b">
        <f>+ISNUMBER(SEARCH('F-COMPRA'!#REF!,Tabla11[[#This Row],[Cuenta]],1))</f>
        <v>0</v>
      </c>
      <c r="Y690" t="b">
        <f>+ISNUMBER(SEARCH('F-COMPRA'!#REF!,Tabla11[[#This Row],[Cuenta]],1))</f>
        <v>0</v>
      </c>
      <c r="Z690" t="b">
        <f>+ISNUMBER(SEARCH('F-COMPRA'!#REF!,Tabla11[[#This Row],[Cuenta]],1))</f>
        <v>0</v>
      </c>
      <c r="AA690" t="b">
        <f>+ISNUMBER(SEARCH('F-COMPRA'!#REF!,Tabla11[[#This Row],[Cuenta]],1))</f>
        <v>0</v>
      </c>
      <c r="AB690" t="b">
        <f>+ISNUMBER(SEARCH('F-COMPRA'!#REF!,Tabla11[[#This Row],[Cuenta]],1))</f>
        <v>0</v>
      </c>
      <c r="AC690" t="b">
        <f>+ISNUMBER(SEARCH('F-COMPRA'!#REF!,Tabla11[[#This Row],[Cuenta]],1))</f>
        <v>0</v>
      </c>
      <c r="AD690" t="b">
        <f>+ISNUMBER(SEARCH('F-COMPRA'!#REF!,Tabla11[[#This Row],[Cuenta]],1))</f>
        <v>0</v>
      </c>
      <c r="AE690" t="b">
        <f>+ISNUMBER(SEARCH('F-COMPRA'!#REF!,Tabla11[[#This Row],[Cuenta]],1))</f>
        <v>0</v>
      </c>
      <c r="AF690" t="b">
        <f>+ISNUMBER(SEARCH('F-VTA'!$G$23,Tabla11[[#This Row],[Cuenta]],1))</f>
        <v>0</v>
      </c>
      <c r="AG690" t="b">
        <f>+ISNUMBER(SEARCH('F-VTA'!$G$24,Tabla11[[#This Row],[Cuenta]],1))</f>
        <v>0</v>
      </c>
      <c r="AH690" t="b">
        <f>+ISNUMBER(SEARCH('F-VTA'!$G$25,Tabla11[[#This Row],[Cuenta]],1))</f>
        <v>0</v>
      </c>
      <c r="AI690" t="b">
        <f>+ISNUMBER(SEARCH('F-VTA'!$F$28,Tabla11[[#This Row],[Cuenta]],1))</f>
        <v>1</v>
      </c>
      <c r="AJ690" t="b">
        <f>+ISNUMBER(SEARCH('F-VTA'!$F$29,Tabla11[[#This Row],[Cuenta]],1))</f>
        <v>1</v>
      </c>
      <c r="AK690" t="b">
        <f>+ISNUMBER(SEARCH('F-VTA'!$F$30,Tabla11[[#This Row],[Cuenta]],1))</f>
        <v>1</v>
      </c>
      <c r="AL690" t="b">
        <f>+ISNUMBER(SEARCH('F-VTA'!$F$31,Tabla11[[#This Row],[Cuenta]],1))</f>
        <v>1</v>
      </c>
      <c r="AM690" t="b">
        <f>+ISNUMBER(SEARCH('F-VTA'!$F$32,Tabla11[[#This Row],[Cuenta]],1))</f>
        <v>1</v>
      </c>
      <c r="AN690" t="b">
        <f>+ISNUMBER(SEARCH('F-VTA'!$F$33,Tabla11[[#This Row],[Cuenta]],1))</f>
        <v>1</v>
      </c>
      <c r="AO690" t="b">
        <f>+ISNUMBER(SEARCH('F-VTA'!$F$34,Tabla11[[#This Row],[Cuenta]],1))</f>
        <v>1</v>
      </c>
      <c r="AP690" t="b">
        <f>+ISNUMBER(SEARCH('F-VTA'!$F$35,Tabla11[[#This Row],[Cuenta]],1))</f>
        <v>1</v>
      </c>
      <c r="AQ690" t="b">
        <f>+ISNUMBER(SEARCH('F-VTA'!$F$36,Tabla11[[#This Row],[Cuenta]],1))</f>
        <v>1</v>
      </c>
      <c r="AR690" t="b">
        <f>+ISNUMBER(SEARCH(#REF!,Tabla11[[#This Row],[Cuenta]],1))</f>
        <v>0</v>
      </c>
      <c r="AS690" t="b">
        <f>+ISNUMBER(SEARCH(#REF!,Tabla11[[#This Row],[Cuenta]],1))</f>
        <v>0</v>
      </c>
      <c r="AT690" t="b">
        <f>+ISNUMBER(SEARCH(#REF!,Tabla11[[#This Row],[Cuenta]],1))</f>
        <v>0</v>
      </c>
      <c r="AU690" t="b">
        <f>+ISNUMBER(SEARCH('Conc. Ban.1'!$I$9,Tabla11[[#This Row],[Cuenta]],1))</f>
        <v>0</v>
      </c>
      <c r="AV690" t="b">
        <f>+ISNUMBER(SEARCH(CompConta!$F$21,Tabla11[[#This Row],[Cuenta]],1))</f>
        <v>1</v>
      </c>
      <c r="AW690" t="b">
        <f>+ISNUMBER(SEARCH(CompConta!$F$22,Tabla11[[#This Row],[Cuenta]],1))</f>
        <v>1</v>
      </c>
      <c r="AX690" t="b">
        <f>+ISNUMBER(SEARCH(CompConta!$F$23,Tabla11[[#This Row],[Cuenta]],1))</f>
        <v>1</v>
      </c>
      <c r="AY690" t="b">
        <f>+ISNUMBER(SEARCH(CompConta!$F$24,Tabla11[[#This Row],[Cuenta]],1))</f>
        <v>1</v>
      </c>
      <c r="AZ690" t="b">
        <f>+ISNUMBER(SEARCH(CompConta!$F$25,Tabla11[[#This Row],[Cuenta]],1))</f>
        <v>1</v>
      </c>
      <c r="BA690" t="b">
        <f>+ISNUMBER(SEARCH(CompConta!$F$26,Tabla11[[#This Row],[Cuenta]],1))</f>
        <v>1</v>
      </c>
      <c r="BB690" t="b">
        <f>+ISNUMBER(SEARCH(CompConta!$F$27,Tabla11[[#This Row],[Cuenta]],1))</f>
        <v>1</v>
      </c>
      <c r="BC690" t="b">
        <f>+ISNUMBER(SEARCH(CompConta!$F$28,Tabla11[[#This Row],[Cuenta]],1))</f>
        <v>1</v>
      </c>
      <c r="BD690" t="b">
        <f>+ISNUMBER(SEARCH(CompConta!$F$29,Tabla11[[#This Row],[Cuenta]],1))</f>
        <v>1</v>
      </c>
      <c r="BE690" t="b">
        <f>+ISNUMBER(SEARCH(CompConta!$F$30,Tabla11[[#This Row],[Cuenta]],1))</f>
        <v>1</v>
      </c>
      <c r="BF690" t="b">
        <f>+ISNUMBER(SEARCH('PAGO Compras'!$E$11,Tabla11[[#This Row],[Cuenta]],1))</f>
        <v>1</v>
      </c>
      <c r="BG690" t="b">
        <f>+ISNUMBER(SEARCH(#REF!,Tabla11[[#This Row],[Cuenta]],1))</f>
        <v>0</v>
      </c>
      <c r="BH690" t="b">
        <f>+ISNUMBER(SEARCH(#REF!,Tabla11[[#This Row],[Cuenta]],1))</f>
        <v>0</v>
      </c>
      <c r="BI690" t="b">
        <f>+ISNUMBER(SEARCH(#REF!,Tabla11[[#This Row],[Cuenta]],1))</f>
        <v>0</v>
      </c>
      <c r="BJ690" t="b">
        <f>+ISNUMBER(SEARCH(#REF!,Tabla11[[#This Row],[Cuenta]],1))</f>
        <v>0</v>
      </c>
      <c r="BS690" t="str">
        <v>381008 Construcciones y edificaciones</v>
      </c>
      <c r="BT690" t="str">
        <v>381008 Construcciones y edificaciones</v>
      </c>
      <c r="BU690" t="str">
        <v>381008 Construcciones y edificaciones</v>
      </c>
      <c r="BV690" t="str">
        <v>381008 Construcciones y edificaciones</v>
      </c>
      <c r="BZ690" t="str">
        <v>381008 Construcciones y edificaciones</v>
      </c>
      <c r="CA690" t="str">
        <v>381008 Construcciones y edificaciones</v>
      </c>
      <c r="CB690" t="str">
        <v>381008 Construcciones y edificaciones</v>
      </c>
      <c r="CC690" t="str">
        <v>381008 Construcciones y edificaciones</v>
      </c>
      <c r="CD690" t="str">
        <v>381008 Construcciones y edificaciones</v>
      </c>
      <c r="CE690" t="str">
        <v>381008 Construcciones y edificaciones</v>
      </c>
      <c r="CS690" s="141" t="str">
        <v>381008 Construcciones y edificaciones</v>
      </c>
      <c r="CT690" s="141" t="str">
        <v>381008 Construcciones y edificaciones</v>
      </c>
      <c r="CU690" s="141" t="str">
        <v>381008 Construcciones y edificaciones</v>
      </c>
      <c r="CV690" s="141" t="str">
        <v>381008 Construcciones y edificaciones</v>
      </c>
      <c r="CW690" s="141" t="str">
        <v>381008 Construcciones y edificaciones</v>
      </c>
      <c r="CX690" s="141" t="str">
        <v>381008 Construcciones y edificaciones</v>
      </c>
      <c r="CY690" s="141" t="str">
        <v>381008 Construcciones y edificaciones</v>
      </c>
      <c r="CZ690" s="141" t="str">
        <v>381008 Construcciones y edificaciones</v>
      </c>
      <c r="DA690" s="141" t="str">
        <v>381008 Construcciones y edificaciones</v>
      </c>
      <c r="DF690" t="str">
        <v>381008 Construcciones y edificaciones</v>
      </c>
      <c r="DG690" t="str">
        <v>381008 Construcciones y edificaciones</v>
      </c>
      <c r="DH690" t="str">
        <v>381008 Construcciones y edificaciones</v>
      </c>
      <c r="DI690" t="str">
        <v>381008 Construcciones y edificaciones</v>
      </c>
      <c r="DJ690" t="str">
        <v>381008 Construcciones y edificaciones</v>
      </c>
      <c r="DK690" t="str">
        <v>381008 Construcciones y edificaciones</v>
      </c>
      <c r="DL690" t="str">
        <v>381008 Construcciones y edificaciones</v>
      </c>
      <c r="DM690" t="str">
        <v>381008 Construcciones y edificaciones</v>
      </c>
      <c r="DN690" t="str">
        <v>381008 Construcciones y edificaciones</v>
      </c>
      <c r="DO690" t="str">
        <v>381008 Construcciones y edificaciones</v>
      </c>
      <c r="DP690" t="str">
        <v>381008 Construcciones y edificaciones</v>
      </c>
    </row>
    <row r="691" spans="4:120" ht="12.75">
      <c r="D691" s="7">
        <v>381012</v>
      </c>
      <c r="E691" s="6" t="s">
        <v>128</v>
      </c>
      <c r="F691" s="5">
        <v>4</v>
      </c>
      <c r="G691" s="34" t="s">
        <v>827</v>
      </c>
      <c r="H691" s="8" t="s">
        <v>56</v>
      </c>
      <c r="I691" t="b">
        <f>+ISNUMBER(SEARCH('F-COMPRA'!$F$28,Tabla11[[#This Row],[Cuenta]],1))</f>
        <v>1</v>
      </c>
      <c r="J691" t="b">
        <f>+ISNUMBER(SEARCH('F-COMPRA'!$F$29,Tabla11[[#This Row],[Cuenta]],1))</f>
        <v>1</v>
      </c>
      <c r="K691" t="b">
        <f>+ISNUMBER(SEARCH('F-COMPRA'!$F$30,Tabla11[[#This Row],[Cuenta]],1))</f>
        <v>1</v>
      </c>
      <c r="L691" t="b">
        <f>+ISNUMBER(SEARCH('F-COMPRA'!$F$31,Tabla11[[#This Row],[Cuenta]],1))</f>
        <v>1</v>
      </c>
      <c r="M691" t="b">
        <f>+ISNUMBER(SEARCH('F-COMPRA'!$G$25,Tabla11[[#This Row],[Cuenta]],1))</f>
        <v>0</v>
      </c>
      <c r="N691" t="b">
        <f>+ISNUMBER(SEARCH(#REF!,Tabla11[[#This Row],[Cuenta]],1))</f>
        <v>0</v>
      </c>
      <c r="O691" t="b">
        <f>+ISNUMBER(SEARCH(#REF!,Tabla11[[#This Row],[Cuenta]],1))</f>
        <v>0</v>
      </c>
      <c r="P691" t="b">
        <f>+ISNUMBER(SEARCH('F-COMPRA'!$F$32,Tabla11[[#This Row],[Cuenta]],1))</f>
        <v>1</v>
      </c>
      <c r="Q691" t="b">
        <f>+ISNUMBER(SEARCH('F-COMPRA'!$F$33,Tabla11[[#This Row],[Cuenta]],1))</f>
        <v>1</v>
      </c>
      <c r="R691" t="b">
        <f>+ISNUMBER(SEARCH('F-COMPRA'!$F$34,Tabla11[[#This Row],[Cuenta]],1))</f>
        <v>1</v>
      </c>
      <c r="S691" t="b">
        <f>+ISNUMBER(SEARCH('F-COMPRA'!$F$35,Tabla11[[#This Row],[Cuenta]],1))</f>
        <v>1</v>
      </c>
      <c r="T691" t="b">
        <f>+ISNUMBER(SEARCH('F-COMPRA'!$F$36,Tabla11[[#This Row],[Cuenta]],1))</f>
        <v>1</v>
      </c>
      <c r="U691" t="b">
        <f>+ISNUMBER(SEARCH('F-COMPRA'!$F$37,Tabla11[[#This Row],[Cuenta]],1))</f>
        <v>1</v>
      </c>
      <c r="V691" t="b">
        <f>+ISNUMBER(SEARCH(#REF!,Tabla11[[#This Row],[Cuenta]],1))</f>
        <v>0</v>
      </c>
      <c r="W691" t="b">
        <f>+ISNUMBER(SEARCH('F-COMPRA'!#REF!,Tabla11[[#This Row],[Cuenta]],1))</f>
        <v>0</v>
      </c>
      <c r="X691" t="b">
        <f>+ISNUMBER(SEARCH('F-COMPRA'!#REF!,Tabla11[[#This Row],[Cuenta]],1))</f>
        <v>0</v>
      </c>
      <c r="Y691" t="b">
        <f>+ISNUMBER(SEARCH('F-COMPRA'!#REF!,Tabla11[[#This Row],[Cuenta]],1))</f>
        <v>0</v>
      </c>
      <c r="Z691" t="b">
        <f>+ISNUMBER(SEARCH('F-COMPRA'!#REF!,Tabla11[[#This Row],[Cuenta]],1))</f>
        <v>0</v>
      </c>
      <c r="AA691" t="b">
        <f>+ISNUMBER(SEARCH('F-COMPRA'!#REF!,Tabla11[[#This Row],[Cuenta]],1))</f>
        <v>0</v>
      </c>
      <c r="AB691" t="b">
        <f>+ISNUMBER(SEARCH('F-COMPRA'!#REF!,Tabla11[[#This Row],[Cuenta]],1))</f>
        <v>0</v>
      </c>
      <c r="AC691" t="b">
        <f>+ISNUMBER(SEARCH('F-COMPRA'!#REF!,Tabla11[[#This Row],[Cuenta]],1))</f>
        <v>0</v>
      </c>
      <c r="AD691" t="b">
        <f>+ISNUMBER(SEARCH('F-COMPRA'!#REF!,Tabla11[[#This Row],[Cuenta]],1))</f>
        <v>0</v>
      </c>
      <c r="AE691" t="b">
        <f>+ISNUMBER(SEARCH('F-COMPRA'!#REF!,Tabla11[[#This Row],[Cuenta]],1))</f>
        <v>0</v>
      </c>
      <c r="AF691" t="b">
        <f>+ISNUMBER(SEARCH('F-VTA'!$G$23,Tabla11[[#This Row],[Cuenta]],1))</f>
        <v>0</v>
      </c>
      <c r="AG691" t="b">
        <f>+ISNUMBER(SEARCH('F-VTA'!$G$24,Tabla11[[#This Row],[Cuenta]],1))</f>
        <v>0</v>
      </c>
      <c r="AH691" t="b">
        <f>+ISNUMBER(SEARCH('F-VTA'!$G$25,Tabla11[[#This Row],[Cuenta]],1))</f>
        <v>0</v>
      </c>
      <c r="AI691" t="b">
        <f>+ISNUMBER(SEARCH('F-VTA'!$F$28,Tabla11[[#This Row],[Cuenta]],1))</f>
        <v>1</v>
      </c>
      <c r="AJ691" t="b">
        <f>+ISNUMBER(SEARCH('F-VTA'!$F$29,Tabla11[[#This Row],[Cuenta]],1))</f>
        <v>1</v>
      </c>
      <c r="AK691" t="b">
        <f>+ISNUMBER(SEARCH('F-VTA'!$F$30,Tabla11[[#This Row],[Cuenta]],1))</f>
        <v>1</v>
      </c>
      <c r="AL691" t="b">
        <f>+ISNUMBER(SEARCH('F-VTA'!$F$31,Tabla11[[#This Row],[Cuenta]],1))</f>
        <v>1</v>
      </c>
      <c r="AM691" t="b">
        <f>+ISNUMBER(SEARCH('F-VTA'!$F$32,Tabla11[[#This Row],[Cuenta]],1))</f>
        <v>1</v>
      </c>
      <c r="AN691" t="b">
        <f>+ISNUMBER(SEARCH('F-VTA'!$F$33,Tabla11[[#This Row],[Cuenta]],1))</f>
        <v>1</v>
      </c>
      <c r="AO691" t="b">
        <f>+ISNUMBER(SEARCH('F-VTA'!$F$34,Tabla11[[#This Row],[Cuenta]],1))</f>
        <v>1</v>
      </c>
      <c r="AP691" t="b">
        <f>+ISNUMBER(SEARCH('F-VTA'!$F$35,Tabla11[[#This Row],[Cuenta]],1))</f>
        <v>1</v>
      </c>
      <c r="AQ691" t="b">
        <f>+ISNUMBER(SEARCH('F-VTA'!$F$36,Tabla11[[#This Row],[Cuenta]],1))</f>
        <v>1</v>
      </c>
      <c r="AR691" t="b">
        <f>+ISNUMBER(SEARCH(#REF!,Tabla11[[#This Row],[Cuenta]],1))</f>
        <v>0</v>
      </c>
      <c r="AS691" t="b">
        <f>+ISNUMBER(SEARCH(#REF!,Tabla11[[#This Row],[Cuenta]],1))</f>
        <v>0</v>
      </c>
      <c r="AT691" t="b">
        <f>+ISNUMBER(SEARCH(#REF!,Tabla11[[#This Row],[Cuenta]],1))</f>
        <v>0</v>
      </c>
      <c r="AU691" t="b">
        <f>+ISNUMBER(SEARCH('Conc. Ban.1'!$I$9,Tabla11[[#This Row],[Cuenta]],1))</f>
        <v>0</v>
      </c>
      <c r="AV691" t="b">
        <f>+ISNUMBER(SEARCH(CompConta!$F$21,Tabla11[[#This Row],[Cuenta]],1))</f>
        <v>1</v>
      </c>
      <c r="AW691" t="b">
        <f>+ISNUMBER(SEARCH(CompConta!$F$22,Tabla11[[#This Row],[Cuenta]],1))</f>
        <v>1</v>
      </c>
      <c r="AX691" t="b">
        <f>+ISNUMBER(SEARCH(CompConta!$F$23,Tabla11[[#This Row],[Cuenta]],1))</f>
        <v>1</v>
      </c>
      <c r="AY691" t="b">
        <f>+ISNUMBER(SEARCH(CompConta!$F$24,Tabla11[[#This Row],[Cuenta]],1))</f>
        <v>1</v>
      </c>
      <c r="AZ691" t="b">
        <f>+ISNUMBER(SEARCH(CompConta!$F$25,Tabla11[[#This Row],[Cuenta]],1))</f>
        <v>1</v>
      </c>
      <c r="BA691" t="b">
        <f>+ISNUMBER(SEARCH(CompConta!$F$26,Tabla11[[#This Row],[Cuenta]],1))</f>
        <v>1</v>
      </c>
      <c r="BB691" t="b">
        <f>+ISNUMBER(SEARCH(CompConta!$F$27,Tabla11[[#This Row],[Cuenta]],1))</f>
        <v>1</v>
      </c>
      <c r="BC691" t="b">
        <f>+ISNUMBER(SEARCH(CompConta!$F$28,Tabla11[[#This Row],[Cuenta]],1))</f>
        <v>1</v>
      </c>
      <c r="BD691" t="b">
        <f>+ISNUMBER(SEARCH(CompConta!$F$29,Tabla11[[#This Row],[Cuenta]],1))</f>
        <v>1</v>
      </c>
      <c r="BE691" t="b">
        <f>+ISNUMBER(SEARCH(CompConta!$F$30,Tabla11[[#This Row],[Cuenta]],1))</f>
        <v>1</v>
      </c>
      <c r="BF691" t="b">
        <f>+ISNUMBER(SEARCH('PAGO Compras'!$E$11,Tabla11[[#This Row],[Cuenta]],1))</f>
        <v>1</v>
      </c>
      <c r="BG691" t="b">
        <f>+ISNUMBER(SEARCH(#REF!,Tabla11[[#This Row],[Cuenta]],1))</f>
        <v>0</v>
      </c>
      <c r="BH691" t="b">
        <f>+ISNUMBER(SEARCH(#REF!,Tabla11[[#This Row],[Cuenta]],1))</f>
        <v>0</v>
      </c>
      <c r="BI691" t="b">
        <f>+ISNUMBER(SEARCH(#REF!,Tabla11[[#This Row],[Cuenta]],1))</f>
        <v>0</v>
      </c>
      <c r="BJ691" t="b">
        <f>+ISNUMBER(SEARCH(#REF!,Tabla11[[#This Row],[Cuenta]],1))</f>
        <v>0</v>
      </c>
      <c r="BS691" t="str">
        <v>381012 Maquinaria y equipo</v>
      </c>
      <c r="BT691" t="str">
        <v>381012 Maquinaria y equipo</v>
      </c>
      <c r="BU691" t="str">
        <v>381012 Maquinaria y equipo</v>
      </c>
      <c r="BV691" t="str">
        <v>381012 Maquinaria y equipo</v>
      </c>
      <c r="BZ691" t="str">
        <v>381012 Maquinaria y equipo</v>
      </c>
      <c r="CA691" t="str">
        <v>381012 Maquinaria y equipo</v>
      </c>
      <c r="CB691" t="str">
        <v>381012 Maquinaria y equipo</v>
      </c>
      <c r="CC691" t="str">
        <v>381012 Maquinaria y equipo</v>
      </c>
      <c r="CD691" t="str">
        <v>381012 Maquinaria y equipo</v>
      </c>
      <c r="CE691" t="str">
        <v>381012 Maquinaria y equipo</v>
      </c>
      <c r="CS691" s="141" t="str">
        <v>381012 Maquinaria y equipo</v>
      </c>
      <c r="CT691" s="141" t="str">
        <v>381012 Maquinaria y equipo</v>
      </c>
      <c r="CU691" s="141" t="str">
        <v>381012 Maquinaria y equipo</v>
      </c>
      <c r="CV691" s="141" t="str">
        <v>381012 Maquinaria y equipo</v>
      </c>
      <c r="CW691" s="141" t="str">
        <v>381012 Maquinaria y equipo</v>
      </c>
      <c r="CX691" s="141" t="str">
        <v>381012 Maquinaria y equipo</v>
      </c>
      <c r="CY691" s="141" t="str">
        <v>381012 Maquinaria y equipo</v>
      </c>
      <c r="CZ691" s="141" t="str">
        <v>381012 Maquinaria y equipo</v>
      </c>
      <c r="DA691" s="141" t="str">
        <v>381012 Maquinaria y equipo</v>
      </c>
      <c r="DF691" t="str">
        <v>381012 Maquinaria y equipo</v>
      </c>
      <c r="DG691" t="str">
        <v>381012 Maquinaria y equipo</v>
      </c>
      <c r="DH691" t="str">
        <v>381012 Maquinaria y equipo</v>
      </c>
      <c r="DI691" t="str">
        <v>381012 Maquinaria y equipo</v>
      </c>
      <c r="DJ691" t="str">
        <v>381012 Maquinaria y equipo</v>
      </c>
      <c r="DK691" t="str">
        <v>381012 Maquinaria y equipo</v>
      </c>
      <c r="DL691" t="str">
        <v>381012 Maquinaria y equipo</v>
      </c>
      <c r="DM691" t="str">
        <v>381012 Maquinaria y equipo</v>
      </c>
      <c r="DN691" t="str">
        <v>381012 Maquinaria y equipo</v>
      </c>
      <c r="DO691" t="str">
        <v>381012 Maquinaria y equipo</v>
      </c>
      <c r="DP691" t="str">
        <v>381012 Maquinaria y equipo</v>
      </c>
    </row>
    <row r="692" spans="4:120" ht="12.75">
      <c r="D692" s="7">
        <v>381016</v>
      </c>
      <c r="E692" s="6" t="s">
        <v>129</v>
      </c>
      <c r="F692" s="5">
        <v>4</v>
      </c>
      <c r="G692" s="34" t="s">
        <v>827</v>
      </c>
      <c r="H692" s="8" t="s">
        <v>56</v>
      </c>
      <c r="I692" t="b">
        <f>+ISNUMBER(SEARCH('F-COMPRA'!$F$28,Tabla11[[#This Row],[Cuenta]],1))</f>
        <v>1</v>
      </c>
      <c r="J692" t="b">
        <f>+ISNUMBER(SEARCH('F-COMPRA'!$F$29,Tabla11[[#This Row],[Cuenta]],1))</f>
        <v>1</v>
      </c>
      <c r="K692" t="b">
        <f>+ISNUMBER(SEARCH('F-COMPRA'!$F$30,Tabla11[[#This Row],[Cuenta]],1))</f>
        <v>1</v>
      </c>
      <c r="L692" t="b">
        <f>+ISNUMBER(SEARCH('F-COMPRA'!$F$31,Tabla11[[#This Row],[Cuenta]],1))</f>
        <v>1</v>
      </c>
      <c r="M692" t="b">
        <f>+ISNUMBER(SEARCH('F-COMPRA'!$G$25,Tabla11[[#This Row],[Cuenta]],1))</f>
        <v>0</v>
      </c>
      <c r="N692" t="b">
        <f>+ISNUMBER(SEARCH(#REF!,Tabla11[[#This Row],[Cuenta]],1))</f>
        <v>0</v>
      </c>
      <c r="O692" t="b">
        <f>+ISNUMBER(SEARCH(#REF!,Tabla11[[#This Row],[Cuenta]],1))</f>
        <v>0</v>
      </c>
      <c r="P692" t="b">
        <f>+ISNUMBER(SEARCH('F-COMPRA'!$F$32,Tabla11[[#This Row],[Cuenta]],1))</f>
        <v>1</v>
      </c>
      <c r="Q692" t="b">
        <f>+ISNUMBER(SEARCH('F-COMPRA'!$F$33,Tabla11[[#This Row],[Cuenta]],1))</f>
        <v>1</v>
      </c>
      <c r="R692" t="b">
        <f>+ISNUMBER(SEARCH('F-COMPRA'!$F$34,Tabla11[[#This Row],[Cuenta]],1))</f>
        <v>1</v>
      </c>
      <c r="S692" t="b">
        <f>+ISNUMBER(SEARCH('F-COMPRA'!$F$35,Tabla11[[#This Row],[Cuenta]],1))</f>
        <v>1</v>
      </c>
      <c r="T692" t="b">
        <f>+ISNUMBER(SEARCH('F-COMPRA'!$F$36,Tabla11[[#This Row],[Cuenta]],1))</f>
        <v>1</v>
      </c>
      <c r="U692" t="b">
        <f>+ISNUMBER(SEARCH('F-COMPRA'!$F$37,Tabla11[[#This Row],[Cuenta]],1))</f>
        <v>1</v>
      </c>
      <c r="V692" t="b">
        <f>+ISNUMBER(SEARCH(#REF!,Tabla11[[#This Row],[Cuenta]],1))</f>
        <v>0</v>
      </c>
      <c r="W692" t="b">
        <f>+ISNUMBER(SEARCH('F-COMPRA'!#REF!,Tabla11[[#This Row],[Cuenta]],1))</f>
        <v>0</v>
      </c>
      <c r="X692" t="b">
        <f>+ISNUMBER(SEARCH('F-COMPRA'!#REF!,Tabla11[[#This Row],[Cuenta]],1))</f>
        <v>0</v>
      </c>
      <c r="Y692" t="b">
        <f>+ISNUMBER(SEARCH('F-COMPRA'!#REF!,Tabla11[[#This Row],[Cuenta]],1))</f>
        <v>0</v>
      </c>
      <c r="Z692" t="b">
        <f>+ISNUMBER(SEARCH('F-COMPRA'!#REF!,Tabla11[[#This Row],[Cuenta]],1))</f>
        <v>0</v>
      </c>
      <c r="AA692" t="b">
        <f>+ISNUMBER(SEARCH('F-COMPRA'!#REF!,Tabla11[[#This Row],[Cuenta]],1))</f>
        <v>0</v>
      </c>
      <c r="AB692" t="b">
        <f>+ISNUMBER(SEARCH('F-COMPRA'!#REF!,Tabla11[[#This Row],[Cuenta]],1))</f>
        <v>0</v>
      </c>
      <c r="AC692" t="b">
        <f>+ISNUMBER(SEARCH('F-COMPRA'!#REF!,Tabla11[[#This Row],[Cuenta]],1))</f>
        <v>0</v>
      </c>
      <c r="AD692" t="b">
        <f>+ISNUMBER(SEARCH('F-COMPRA'!#REF!,Tabla11[[#This Row],[Cuenta]],1))</f>
        <v>0</v>
      </c>
      <c r="AE692" t="b">
        <f>+ISNUMBER(SEARCH('F-COMPRA'!#REF!,Tabla11[[#This Row],[Cuenta]],1))</f>
        <v>0</v>
      </c>
      <c r="AF692" t="b">
        <f>+ISNUMBER(SEARCH('F-VTA'!$G$23,Tabla11[[#This Row],[Cuenta]],1))</f>
        <v>0</v>
      </c>
      <c r="AG692" t="b">
        <f>+ISNUMBER(SEARCH('F-VTA'!$G$24,Tabla11[[#This Row],[Cuenta]],1))</f>
        <v>0</v>
      </c>
      <c r="AH692" t="b">
        <f>+ISNUMBER(SEARCH('F-VTA'!$G$25,Tabla11[[#This Row],[Cuenta]],1))</f>
        <v>0</v>
      </c>
      <c r="AI692" t="b">
        <f>+ISNUMBER(SEARCH('F-VTA'!$F$28,Tabla11[[#This Row],[Cuenta]],1))</f>
        <v>1</v>
      </c>
      <c r="AJ692" t="b">
        <f>+ISNUMBER(SEARCH('F-VTA'!$F$29,Tabla11[[#This Row],[Cuenta]],1))</f>
        <v>1</v>
      </c>
      <c r="AK692" t="b">
        <f>+ISNUMBER(SEARCH('F-VTA'!$F$30,Tabla11[[#This Row],[Cuenta]],1))</f>
        <v>1</v>
      </c>
      <c r="AL692" t="b">
        <f>+ISNUMBER(SEARCH('F-VTA'!$F$31,Tabla11[[#This Row],[Cuenta]],1))</f>
        <v>1</v>
      </c>
      <c r="AM692" t="b">
        <f>+ISNUMBER(SEARCH('F-VTA'!$F$32,Tabla11[[#This Row],[Cuenta]],1))</f>
        <v>1</v>
      </c>
      <c r="AN692" t="b">
        <f>+ISNUMBER(SEARCH('F-VTA'!$F$33,Tabla11[[#This Row],[Cuenta]],1))</f>
        <v>1</v>
      </c>
      <c r="AO692" t="b">
        <f>+ISNUMBER(SEARCH('F-VTA'!$F$34,Tabla11[[#This Row],[Cuenta]],1))</f>
        <v>1</v>
      </c>
      <c r="AP692" t="b">
        <f>+ISNUMBER(SEARCH('F-VTA'!$F$35,Tabla11[[#This Row],[Cuenta]],1))</f>
        <v>1</v>
      </c>
      <c r="AQ692" t="b">
        <f>+ISNUMBER(SEARCH('F-VTA'!$F$36,Tabla11[[#This Row],[Cuenta]],1))</f>
        <v>1</v>
      </c>
      <c r="AR692" t="b">
        <f>+ISNUMBER(SEARCH(#REF!,Tabla11[[#This Row],[Cuenta]],1))</f>
        <v>0</v>
      </c>
      <c r="AS692" t="b">
        <f>+ISNUMBER(SEARCH(#REF!,Tabla11[[#This Row],[Cuenta]],1))</f>
        <v>0</v>
      </c>
      <c r="AT692" t="b">
        <f>+ISNUMBER(SEARCH(#REF!,Tabla11[[#This Row],[Cuenta]],1))</f>
        <v>0</v>
      </c>
      <c r="AU692" t="b">
        <f>+ISNUMBER(SEARCH('Conc. Ban.1'!$I$9,Tabla11[[#This Row],[Cuenta]],1))</f>
        <v>0</v>
      </c>
      <c r="AV692" t="b">
        <f>+ISNUMBER(SEARCH(CompConta!$F$21,Tabla11[[#This Row],[Cuenta]],1))</f>
        <v>1</v>
      </c>
      <c r="AW692" t="b">
        <f>+ISNUMBER(SEARCH(CompConta!$F$22,Tabla11[[#This Row],[Cuenta]],1))</f>
        <v>1</v>
      </c>
      <c r="AX692" t="b">
        <f>+ISNUMBER(SEARCH(CompConta!$F$23,Tabla11[[#This Row],[Cuenta]],1))</f>
        <v>1</v>
      </c>
      <c r="AY692" t="b">
        <f>+ISNUMBER(SEARCH(CompConta!$F$24,Tabla11[[#This Row],[Cuenta]],1))</f>
        <v>1</v>
      </c>
      <c r="AZ692" t="b">
        <f>+ISNUMBER(SEARCH(CompConta!$F$25,Tabla11[[#This Row],[Cuenta]],1))</f>
        <v>1</v>
      </c>
      <c r="BA692" t="b">
        <f>+ISNUMBER(SEARCH(CompConta!$F$26,Tabla11[[#This Row],[Cuenta]],1))</f>
        <v>1</v>
      </c>
      <c r="BB692" t="b">
        <f>+ISNUMBER(SEARCH(CompConta!$F$27,Tabla11[[#This Row],[Cuenta]],1))</f>
        <v>1</v>
      </c>
      <c r="BC692" t="b">
        <f>+ISNUMBER(SEARCH(CompConta!$F$28,Tabla11[[#This Row],[Cuenta]],1))</f>
        <v>1</v>
      </c>
      <c r="BD692" t="b">
        <f>+ISNUMBER(SEARCH(CompConta!$F$29,Tabla11[[#This Row],[Cuenta]],1))</f>
        <v>1</v>
      </c>
      <c r="BE692" t="b">
        <f>+ISNUMBER(SEARCH(CompConta!$F$30,Tabla11[[#This Row],[Cuenta]],1))</f>
        <v>1</v>
      </c>
      <c r="BF692" t="b">
        <f>+ISNUMBER(SEARCH('PAGO Compras'!$E$11,Tabla11[[#This Row],[Cuenta]],1))</f>
        <v>1</v>
      </c>
      <c r="BG692" t="b">
        <f>+ISNUMBER(SEARCH(#REF!,Tabla11[[#This Row],[Cuenta]],1))</f>
        <v>0</v>
      </c>
      <c r="BH692" t="b">
        <f>+ISNUMBER(SEARCH(#REF!,Tabla11[[#This Row],[Cuenta]],1))</f>
        <v>0</v>
      </c>
      <c r="BI692" t="b">
        <f>+ISNUMBER(SEARCH(#REF!,Tabla11[[#This Row],[Cuenta]],1))</f>
        <v>0</v>
      </c>
      <c r="BJ692" t="b">
        <f>+ISNUMBER(SEARCH(#REF!,Tabla11[[#This Row],[Cuenta]],1))</f>
        <v>0</v>
      </c>
      <c r="BS692" t="str">
        <v>381016 Equipo de oficina</v>
      </c>
      <c r="BT692" t="str">
        <v>381016 Equipo de oficina</v>
      </c>
      <c r="BU692" t="str">
        <v>381016 Equipo de oficina</v>
      </c>
      <c r="BV692" t="str">
        <v>381016 Equipo de oficina</v>
      </c>
      <c r="BZ692" t="str">
        <v>381016 Equipo de oficina</v>
      </c>
      <c r="CA692" t="str">
        <v>381016 Equipo de oficina</v>
      </c>
      <c r="CB692" t="str">
        <v>381016 Equipo de oficina</v>
      </c>
      <c r="CC692" t="str">
        <v>381016 Equipo de oficina</v>
      </c>
      <c r="CD692" t="str">
        <v>381016 Equipo de oficina</v>
      </c>
      <c r="CE692" t="str">
        <v>381016 Equipo de oficina</v>
      </c>
      <c r="CS692" s="141" t="str">
        <v>381016 Equipo de oficina</v>
      </c>
      <c r="CT692" s="141" t="str">
        <v>381016 Equipo de oficina</v>
      </c>
      <c r="CU692" s="141" t="str">
        <v>381016 Equipo de oficina</v>
      </c>
      <c r="CV692" s="141" t="str">
        <v>381016 Equipo de oficina</v>
      </c>
      <c r="CW692" s="141" t="str">
        <v>381016 Equipo de oficina</v>
      </c>
      <c r="CX692" s="141" t="str">
        <v>381016 Equipo de oficina</v>
      </c>
      <c r="CY692" s="141" t="str">
        <v>381016 Equipo de oficina</v>
      </c>
      <c r="CZ692" s="141" t="str">
        <v>381016 Equipo de oficina</v>
      </c>
      <c r="DA692" s="141" t="str">
        <v>381016 Equipo de oficina</v>
      </c>
      <c r="DF692" t="str">
        <v>381016 Equipo de oficina</v>
      </c>
      <c r="DG692" t="str">
        <v>381016 Equipo de oficina</v>
      </c>
      <c r="DH692" t="str">
        <v>381016 Equipo de oficina</v>
      </c>
      <c r="DI692" t="str">
        <v>381016 Equipo de oficina</v>
      </c>
      <c r="DJ692" t="str">
        <v>381016 Equipo de oficina</v>
      </c>
      <c r="DK692" t="str">
        <v>381016 Equipo de oficina</v>
      </c>
      <c r="DL692" t="str">
        <v>381016 Equipo de oficina</v>
      </c>
      <c r="DM692" t="str">
        <v>381016 Equipo de oficina</v>
      </c>
      <c r="DN692" t="str">
        <v>381016 Equipo de oficina</v>
      </c>
      <c r="DO692" t="str">
        <v>381016 Equipo de oficina</v>
      </c>
      <c r="DP692" t="str">
        <v>381016 Equipo de oficina</v>
      </c>
    </row>
    <row r="693" spans="4:120" ht="12.75">
      <c r="D693" s="7">
        <v>381020</v>
      </c>
      <c r="E693" s="6" t="s">
        <v>130</v>
      </c>
      <c r="F693" s="5">
        <v>4</v>
      </c>
      <c r="G693" s="34" t="s">
        <v>827</v>
      </c>
      <c r="H693" s="8" t="s">
        <v>56</v>
      </c>
      <c r="I693" t="b">
        <f>+ISNUMBER(SEARCH('F-COMPRA'!$F$28,Tabla11[[#This Row],[Cuenta]],1))</f>
        <v>1</v>
      </c>
      <c r="J693" t="b">
        <f>+ISNUMBER(SEARCH('F-COMPRA'!$F$29,Tabla11[[#This Row],[Cuenta]],1))</f>
        <v>1</v>
      </c>
      <c r="K693" t="b">
        <f>+ISNUMBER(SEARCH('F-COMPRA'!$F$30,Tabla11[[#This Row],[Cuenta]],1))</f>
        <v>1</v>
      </c>
      <c r="L693" t="b">
        <f>+ISNUMBER(SEARCH('F-COMPRA'!$F$31,Tabla11[[#This Row],[Cuenta]],1))</f>
        <v>1</v>
      </c>
      <c r="M693" t="b">
        <f>+ISNUMBER(SEARCH('F-COMPRA'!$G$25,Tabla11[[#This Row],[Cuenta]],1))</f>
        <v>0</v>
      </c>
      <c r="N693" t="b">
        <f>+ISNUMBER(SEARCH(#REF!,Tabla11[[#This Row],[Cuenta]],1))</f>
        <v>0</v>
      </c>
      <c r="O693" t="b">
        <f>+ISNUMBER(SEARCH(#REF!,Tabla11[[#This Row],[Cuenta]],1))</f>
        <v>0</v>
      </c>
      <c r="P693" t="b">
        <f>+ISNUMBER(SEARCH('F-COMPRA'!$F$32,Tabla11[[#This Row],[Cuenta]],1))</f>
        <v>1</v>
      </c>
      <c r="Q693" t="b">
        <f>+ISNUMBER(SEARCH('F-COMPRA'!$F$33,Tabla11[[#This Row],[Cuenta]],1))</f>
        <v>1</v>
      </c>
      <c r="R693" t="b">
        <f>+ISNUMBER(SEARCH('F-COMPRA'!$F$34,Tabla11[[#This Row],[Cuenta]],1))</f>
        <v>1</v>
      </c>
      <c r="S693" t="b">
        <f>+ISNUMBER(SEARCH('F-COMPRA'!$F$35,Tabla11[[#This Row],[Cuenta]],1))</f>
        <v>1</v>
      </c>
      <c r="T693" t="b">
        <f>+ISNUMBER(SEARCH('F-COMPRA'!$F$36,Tabla11[[#This Row],[Cuenta]],1))</f>
        <v>1</v>
      </c>
      <c r="U693" t="b">
        <f>+ISNUMBER(SEARCH('F-COMPRA'!$F$37,Tabla11[[#This Row],[Cuenta]],1))</f>
        <v>1</v>
      </c>
      <c r="V693" t="b">
        <f>+ISNUMBER(SEARCH(#REF!,Tabla11[[#This Row],[Cuenta]],1))</f>
        <v>0</v>
      </c>
      <c r="W693" t="b">
        <f>+ISNUMBER(SEARCH('F-COMPRA'!#REF!,Tabla11[[#This Row],[Cuenta]],1))</f>
        <v>0</v>
      </c>
      <c r="X693" t="b">
        <f>+ISNUMBER(SEARCH('F-COMPRA'!#REF!,Tabla11[[#This Row],[Cuenta]],1))</f>
        <v>0</v>
      </c>
      <c r="Y693" t="b">
        <f>+ISNUMBER(SEARCH('F-COMPRA'!#REF!,Tabla11[[#This Row],[Cuenta]],1))</f>
        <v>0</v>
      </c>
      <c r="Z693" t="b">
        <f>+ISNUMBER(SEARCH('F-COMPRA'!#REF!,Tabla11[[#This Row],[Cuenta]],1))</f>
        <v>0</v>
      </c>
      <c r="AA693" t="b">
        <f>+ISNUMBER(SEARCH('F-COMPRA'!#REF!,Tabla11[[#This Row],[Cuenta]],1))</f>
        <v>0</v>
      </c>
      <c r="AB693" t="b">
        <f>+ISNUMBER(SEARCH('F-COMPRA'!#REF!,Tabla11[[#This Row],[Cuenta]],1))</f>
        <v>0</v>
      </c>
      <c r="AC693" t="b">
        <f>+ISNUMBER(SEARCH('F-COMPRA'!#REF!,Tabla11[[#This Row],[Cuenta]],1))</f>
        <v>0</v>
      </c>
      <c r="AD693" t="b">
        <f>+ISNUMBER(SEARCH('F-COMPRA'!#REF!,Tabla11[[#This Row],[Cuenta]],1))</f>
        <v>0</v>
      </c>
      <c r="AE693" t="b">
        <f>+ISNUMBER(SEARCH('F-COMPRA'!#REF!,Tabla11[[#This Row],[Cuenta]],1))</f>
        <v>0</v>
      </c>
      <c r="AF693" t="b">
        <f>+ISNUMBER(SEARCH('F-VTA'!$G$23,Tabla11[[#This Row],[Cuenta]],1))</f>
        <v>0</v>
      </c>
      <c r="AG693" t="b">
        <f>+ISNUMBER(SEARCH('F-VTA'!$G$24,Tabla11[[#This Row],[Cuenta]],1))</f>
        <v>0</v>
      </c>
      <c r="AH693" t="b">
        <f>+ISNUMBER(SEARCH('F-VTA'!$G$25,Tabla11[[#This Row],[Cuenta]],1))</f>
        <v>0</v>
      </c>
      <c r="AI693" t="b">
        <f>+ISNUMBER(SEARCH('F-VTA'!$F$28,Tabla11[[#This Row],[Cuenta]],1))</f>
        <v>1</v>
      </c>
      <c r="AJ693" t="b">
        <f>+ISNUMBER(SEARCH('F-VTA'!$F$29,Tabla11[[#This Row],[Cuenta]],1))</f>
        <v>1</v>
      </c>
      <c r="AK693" t="b">
        <f>+ISNUMBER(SEARCH('F-VTA'!$F$30,Tabla11[[#This Row],[Cuenta]],1))</f>
        <v>1</v>
      </c>
      <c r="AL693" t="b">
        <f>+ISNUMBER(SEARCH('F-VTA'!$F$31,Tabla11[[#This Row],[Cuenta]],1))</f>
        <v>1</v>
      </c>
      <c r="AM693" t="b">
        <f>+ISNUMBER(SEARCH('F-VTA'!$F$32,Tabla11[[#This Row],[Cuenta]],1))</f>
        <v>1</v>
      </c>
      <c r="AN693" t="b">
        <f>+ISNUMBER(SEARCH('F-VTA'!$F$33,Tabla11[[#This Row],[Cuenta]],1))</f>
        <v>1</v>
      </c>
      <c r="AO693" t="b">
        <f>+ISNUMBER(SEARCH('F-VTA'!$F$34,Tabla11[[#This Row],[Cuenta]],1))</f>
        <v>1</v>
      </c>
      <c r="AP693" t="b">
        <f>+ISNUMBER(SEARCH('F-VTA'!$F$35,Tabla11[[#This Row],[Cuenta]],1))</f>
        <v>1</v>
      </c>
      <c r="AQ693" t="b">
        <f>+ISNUMBER(SEARCH('F-VTA'!$F$36,Tabla11[[#This Row],[Cuenta]],1))</f>
        <v>1</v>
      </c>
      <c r="AR693" t="b">
        <f>+ISNUMBER(SEARCH(#REF!,Tabla11[[#This Row],[Cuenta]],1))</f>
        <v>0</v>
      </c>
      <c r="AS693" t="b">
        <f>+ISNUMBER(SEARCH(#REF!,Tabla11[[#This Row],[Cuenta]],1))</f>
        <v>0</v>
      </c>
      <c r="AT693" t="b">
        <f>+ISNUMBER(SEARCH(#REF!,Tabla11[[#This Row],[Cuenta]],1))</f>
        <v>0</v>
      </c>
      <c r="AU693" t="b">
        <f>+ISNUMBER(SEARCH('Conc. Ban.1'!$I$9,Tabla11[[#This Row],[Cuenta]],1))</f>
        <v>0</v>
      </c>
      <c r="AV693" t="b">
        <f>+ISNUMBER(SEARCH(CompConta!$F$21,Tabla11[[#This Row],[Cuenta]],1))</f>
        <v>1</v>
      </c>
      <c r="AW693" t="b">
        <f>+ISNUMBER(SEARCH(CompConta!$F$22,Tabla11[[#This Row],[Cuenta]],1))</f>
        <v>1</v>
      </c>
      <c r="AX693" t="b">
        <f>+ISNUMBER(SEARCH(CompConta!$F$23,Tabla11[[#This Row],[Cuenta]],1))</f>
        <v>1</v>
      </c>
      <c r="AY693" t="b">
        <f>+ISNUMBER(SEARCH(CompConta!$F$24,Tabla11[[#This Row],[Cuenta]],1))</f>
        <v>1</v>
      </c>
      <c r="AZ693" t="b">
        <f>+ISNUMBER(SEARCH(CompConta!$F$25,Tabla11[[#This Row],[Cuenta]],1))</f>
        <v>1</v>
      </c>
      <c r="BA693" t="b">
        <f>+ISNUMBER(SEARCH(CompConta!$F$26,Tabla11[[#This Row],[Cuenta]],1))</f>
        <v>1</v>
      </c>
      <c r="BB693" t="b">
        <f>+ISNUMBER(SEARCH(CompConta!$F$27,Tabla11[[#This Row],[Cuenta]],1))</f>
        <v>1</v>
      </c>
      <c r="BC693" t="b">
        <f>+ISNUMBER(SEARCH(CompConta!$F$28,Tabla11[[#This Row],[Cuenta]],1))</f>
        <v>1</v>
      </c>
      <c r="BD693" t="b">
        <f>+ISNUMBER(SEARCH(CompConta!$F$29,Tabla11[[#This Row],[Cuenta]],1))</f>
        <v>1</v>
      </c>
      <c r="BE693" t="b">
        <f>+ISNUMBER(SEARCH(CompConta!$F$30,Tabla11[[#This Row],[Cuenta]],1))</f>
        <v>1</v>
      </c>
      <c r="BF693" t="b">
        <f>+ISNUMBER(SEARCH('PAGO Compras'!$E$11,Tabla11[[#This Row],[Cuenta]],1))</f>
        <v>1</v>
      </c>
      <c r="BG693" t="b">
        <f>+ISNUMBER(SEARCH(#REF!,Tabla11[[#This Row],[Cuenta]],1))</f>
        <v>0</v>
      </c>
      <c r="BH693" t="b">
        <f>+ISNUMBER(SEARCH(#REF!,Tabla11[[#This Row],[Cuenta]],1))</f>
        <v>0</v>
      </c>
      <c r="BI693" t="b">
        <f>+ISNUMBER(SEARCH(#REF!,Tabla11[[#This Row],[Cuenta]],1))</f>
        <v>0</v>
      </c>
      <c r="BJ693" t="b">
        <f>+ISNUMBER(SEARCH(#REF!,Tabla11[[#This Row],[Cuenta]],1))</f>
        <v>0</v>
      </c>
      <c r="BS693" t="str">
        <v>381020 Equipo de computación y comunicación</v>
      </c>
      <c r="BT693" t="str">
        <v>381020 Equipo de computación y comunicación</v>
      </c>
      <c r="BU693" t="str">
        <v>381020 Equipo de computación y comunicación</v>
      </c>
      <c r="BV693" t="str">
        <v>381020 Equipo de computación y comunicación</v>
      </c>
      <c r="BZ693" t="str">
        <v>381020 Equipo de computación y comunicación</v>
      </c>
      <c r="CA693" t="str">
        <v>381020 Equipo de computación y comunicación</v>
      </c>
      <c r="CB693" t="str">
        <v>381020 Equipo de computación y comunicación</v>
      </c>
      <c r="CC693" t="str">
        <v>381020 Equipo de computación y comunicación</v>
      </c>
      <c r="CD693" t="str">
        <v>381020 Equipo de computación y comunicación</v>
      </c>
      <c r="CE693" t="str">
        <v>381020 Equipo de computación y comunicación</v>
      </c>
      <c r="CS693" s="141" t="str">
        <v>381020 Equipo de computación y comunicación</v>
      </c>
      <c r="CT693" s="141" t="str">
        <v>381020 Equipo de computación y comunicación</v>
      </c>
      <c r="CU693" s="141" t="str">
        <v>381020 Equipo de computación y comunicación</v>
      </c>
      <c r="CV693" s="141" t="str">
        <v>381020 Equipo de computación y comunicación</v>
      </c>
      <c r="CW693" s="141" t="str">
        <v>381020 Equipo de computación y comunicación</v>
      </c>
      <c r="CX693" s="141" t="str">
        <v>381020 Equipo de computación y comunicación</v>
      </c>
      <c r="CY693" s="141" t="str">
        <v>381020 Equipo de computación y comunicación</v>
      </c>
      <c r="CZ693" s="141" t="str">
        <v>381020 Equipo de computación y comunicación</v>
      </c>
      <c r="DA693" s="141" t="str">
        <v>381020 Equipo de computación y comunicación</v>
      </c>
      <c r="DF693" t="str">
        <v>381020 Equipo de computación y comunicación</v>
      </c>
      <c r="DG693" t="str">
        <v>381020 Equipo de computación y comunicación</v>
      </c>
      <c r="DH693" t="str">
        <v>381020 Equipo de computación y comunicación</v>
      </c>
      <c r="DI693" t="str">
        <v>381020 Equipo de computación y comunicación</v>
      </c>
      <c r="DJ693" t="str">
        <v>381020 Equipo de computación y comunicación</v>
      </c>
      <c r="DK693" t="str">
        <v>381020 Equipo de computación y comunicación</v>
      </c>
      <c r="DL693" t="str">
        <v>381020 Equipo de computación y comunicación</v>
      </c>
      <c r="DM693" t="str">
        <v>381020 Equipo de computación y comunicación</v>
      </c>
      <c r="DN693" t="str">
        <v>381020 Equipo de computación y comunicación</v>
      </c>
      <c r="DO693" t="str">
        <v>381020 Equipo de computación y comunicación</v>
      </c>
      <c r="DP693" t="str">
        <v>381020 Equipo de computación y comunicación</v>
      </c>
    </row>
    <row r="694" spans="4:120" ht="12.75">
      <c r="D694" s="7">
        <v>381024</v>
      </c>
      <c r="E694" s="6" t="s">
        <v>131</v>
      </c>
      <c r="F694" s="5">
        <v>4</v>
      </c>
      <c r="G694" s="34" t="s">
        <v>827</v>
      </c>
      <c r="H694" s="8" t="s">
        <v>56</v>
      </c>
      <c r="I694" t="b">
        <f>+ISNUMBER(SEARCH('F-COMPRA'!$F$28,Tabla11[[#This Row],[Cuenta]],1))</f>
        <v>1</v>
      </c>
      <c r="J694" t="b">
        <f>+ISNUMBER(SEARCH('F-COMPRA'!$F$29,Tabla11[[#This Row],[Cuenta]],1))</f>
        <v>1</v>
      </c>
      <c r="K694" t="b">
        <f>+ISNUMBER(SEARCH('F-COMPRA'!$F$30,Tabla11[[#This Row],[Cuenta]],1))</f>
        <v>1</v>
      </c>
      <c r="L694" t="b">
        <f>+ISNUMBER(SEARCH('F-COMPRA'!$F$31,Tabla11[[#This Row],[Cuenta]],1))</f>
        <v>1</v>
      </c>
      <c r="M694" t="b">
        <f>+ISNUMBER(SEARCH('F-COMPRA'!$G$25,Tabla11[[#This Row],[Cuenta]],1))</f>
        <v>0</v>
      </c>
      <c r="N694" t="b">
        <f>+ISNUMBER(SEARCH(#REF!,Tabla11[[#This Row],[Cuenta]],1))</f>
        <v>0</v>
      </c>
      <c r="O694" t="b">
        <f>+ISNUMBER(SEARCH(#REF!,Tabla11[[#This Row],[Cuenta]],1))</f>
        <v>0</v>
      </c>
      <c r="P694" t="b">
        <f>+ISNUMBER(SEARCH('F-COMPRA'!$F$32,Tabla11[[#This Row],[Cuenta]],1))</f>
        <v>1</v>
      </c>
      <c r="Q694" t="b">
        <f>+ISNUMBER(SEARCH('F-COMPRA'!$F$33,Tabla11[[#This Row],[Cuenta]],1))</f>
        <v>1</v>
      </c>
      <c r="R694" t="b">
        <f>+ISNUMBER(SEARCH('F-COMPRA'!$F$34,Tabla11[[#This Row],[Cuenta]],1))</f>
        <v>1</v>
      </c>
      <c r="S694" t="b">
        <f>+ISNUMBER(SEARCH('F-COMPRA'!$F$35,Tabla11[[#This Row],[Cuenta]],1))</f>
        <v>1</v>
      </c>
      <c r="T694" t="b">
        <f>+ISNUMBER(SEARCH('F-COMPRA'!$F$36,Tabla11[[#This Row],[Cuenta]],1))</f>
        <v>1</v>
      </c>
      <c r="U694" t="b">
        <f>+ISNUMBER(SEARCH('F-COMPRA'!$F$37,Tabla11[[#This Row],[Cuenta]],1))</f>
        <v>1</v>
      </c>
      <c r="V694" t="b">
        <f>+ISNUMBER(SEARCH(#REF!,Tabla11[[#This Row],[Cuenta]],1))</f>
        <v>0</v>
      </c>
      <c r="W694" t="b">
        <f>+ISNUMBER(SEARCH('F-COMPRA'!#REF!,Tabla11[[#This Row],[Cuenta]],1))</f>
        <v>0</v>
      </c>
      <c r="X694" t="b">
        <f>+ISNUMBER(SEARCH('F-COMPRA'!#REF!,Tabla11[[#This Row],[Cuenta]],1))</f>
        <v>0</v>
      </c>
      <c r="Y694" t="b">
        <f>+ISNUMBER(SEARCH('F-COMPRA'!#REF!,Tabla11[[#This Row],[Cuenta]],1))</f>
        <v>0</v>
      </c>
      <c r="Z694" t="b">
        <f>+ISNUMBER(SEARCH('F-COMPRA'!#REF!,Tabla11[[#This Row],[Cuenta]],1))</f>
        <v>0</v>
      </c>
      <c r="AA694" t="b">
        <f>+ISNUMBER(SEARCH('F-COMPRA'!#REF!,Tabla11[[#This Row],[Cuenta]],1))</f>
        <v>0</v>
      </c>
      <c r="AB694" t="b">
        <f>+ISNUMBER(SEARCH('F-COMPRA'!#REF!,Tabla11[[#This Row],[Cuenta]],1))</f>
        <v>0</v>
      </c>
      <c r="AC694" t="b">
        <f>+ISNUMBER(SEARCH('F-COMPRA'!#REF!,Tabla11[[#This Row],[Cuenta]],1))</f>
        <v>0</v>
      </c>
      <c r="AD694" t="b">
        <f>+ISNUMBER(SEARCH('F-COMPRA'!#REF!,Tabla11[[#This Row],[Cuenta]],1))</f>
        <v>0</v>
      </c>
      <c r="AE694" t="b">
        <f>+ISNUMBER(SEARCH('F-COMPRA'!#REF!,Tabla11[[#This Row],[Cuenta]],1))</f>
        <v>0</v>
      </c>
      <c r="AF694" t="b">
        <f>+ISNUMBER(SEARCH('F-VTA'!$G$23,Tabla11[[#This Row],[Cuenta]],1))</f>
        <v>0</v>
      </c>
      <c r="AG694" t="b">
        <f>+ISNUMBER(SEARCH('F-VTA'!$G$24,Tabla11[[#This Row],[Cuenta]],1))</f>
        <v>0</v>
      </c>
      <c r="AH694" t="b">
        <f>+ISNUMBER(SEARCH('F-VTA'!$G$25,Tabla11[[#This Row],[Cuenta]],1))</f>
        <v>0</v>
      </c>
      <c r="AI694" t="b">
        <f>+ISNUMBER(SEARCH('F-VTA'!$F$28,Tabla11[[#This Row],[Cuenta]],1))</f>
        <v>1</v>
      </c>
      <c r="AJ694" t="b">
        <f>+ISNUMBER(SEARCH('F-VTA'!$F$29,Tabla11[[#This Row],[Cuenta]],1))</f>
        <v>1</v>
      </c>
      <c r="AK694" t="b">
        <f>+ISNUMBER(SEARCH('F-VTA'!$F$30,Tabla11[[#This Row],[Cuenta]],1))</f>
        <v>1</v>
      </c>
      <c r="AL694" t="b">
        <f>+ISNUMBER(SEARCH('F-VTA'!$F$31,Tabla11[[#This Row],[Cuenta]],1))</f>
        <v>1</v>
      </c>
      <c r="AM694" t="b">
        <f>+ISNUMBER(SEARCH('F-VTA'!$F$32,Tabla11[[#This Row],[Cuenta]],1))</f>
        <v>1</v>
      </c>
      <c r="AN694" t="b">
        <f>+ISNUMBER(SEARCH('F-VTA'!$F$33,Tabla11[[#This Row],[Cuenta]],1))</f>
        <v>1</v>
      </c>
      <c r="AO694" t="b">
        <f>+ISNUMBER(SEARCH('F-VTA'!$F$34,Tabla11[[#This Row],[Cuenta]],1))</f>
        <v>1</v>
      </c>
      <c r="AP694" t="b">
        <f>+ISNUMBER(SEARCH('F-VTA'!$F$35,Tabla11[[#This Row],[Cuenta]],1))</f>
        <v>1</v>
      </c>
      <c r="AQ694" t="b">
        <f>+ISNUMBER(SEARCH('F-VTA'!$F$36,Tabla11[[#This Row],[Cuenta]],1))</f>
        <v>1</v>
      </c>
      <c r="AR694" t="b">
        <f>+ISNUMBER(SEARCH(#REF!,Tabla11[[#This Row],[Cuenta]],1))</f>
        <v>0</v>
      </c>
      <c r="AS694" t="b">
        <f>+ISNUMBER(SEARCH(#REF!,Tabla11[[#This Row],[Cuenta]],1))</f>
        <v>0</v>
      </c>
      <c r="AT694" t="b">
        <f>+ISNUMBER(SEARCH(#REF!,Tabla11[[#This Row],[Cuenta]],1))</f>
        <v>0</v>
      </c>
      <c r="AU694" t="b">
        <f>+ISNUMBER(SEARCH('Conc. Ban.1'!$I$9,Tabla11[[#This Row],[Cuenta]],1))</f>
        <v>0</v>
      </c>
      <c r="AV694" t="b">
        <f>+ISNUMBER(SEARCH(CompConta!$F$21,Tabla11[[#This Row],[Cuenta]],1))</f>
        <v>1</v>
      </c>
      <c r="AW694" t="b">
        <f>+ISNUMBER(SEARCH(CompConta!$F$22,Tabla11[[#This Row],[Cuenta]],1))</f>
        <v>1</v>
      </c>
      <c r="AX694" t="b">
        <f>+ISNUMBER(SEARCH(CompConta!$F$23,Tabla11[[#This Row],[Cuenta]],1))</f>
        <v>1</v>
      </c>
      <c r="AY694" t="b">
        <f>+ISNUMBER(SEARCH(CompConta!$F$24,Tabla11[[#This Row],[Cuenta]],1))</f>
        <v>1</v>
      </c>
      <c r="AZ694" t="b">
        <f>+ISNUMBER(SEARCH(CompConta!$F$25,Tabla11[[#This Row],[Cuenta]],1))</f>
        <v>1</v>
      </c>
      <c r="BA694" t="b">
        <f>+ISNUMBER(SEARCH(CompConta!$F$26,Tabla11[[#This Row],[Cuenta]],1))</f>
        <v>1</v>
      </c>
      <c r="BB694" t="b">
        <f>+ISNUMBER(SEARCH(CompConta!$F$27,Tabla11[[#This Row],[Cuenta]],1))</f>
        <v>1</v>
      </c>
      <c r="BC694" t="b">
        <f>+ISNUMBER(SEARCH(CompConta!$F$28,Tabla11[[#This Row],[Cuenta]],1))</f>
        <v>1</v>
      </c>
      <c r="BD694" t="b">
        <f>+ISNUMBER(SEARCH(CompConta!$F$29,Tabla11[[#This Row],[Cuenta]],1))</f>
        <v>1</v>
      </c>
      <c r="BE694" t="b">
        <f>+ISNUMBER(SEARCH(CompConta!$F$30,Tabla11[[#This Row],[Cuenta]],1))</f>
        <v>1</v>
      </c>
      <c r="BF694" t="b">
        <f>+ISNUMBER(SEARCH('PAGO Compras'!$E$11,Tabla11[[#This Row],[Cuenta]],1))</f>
        <v>1</v>
      </c>
      <c r="BG694" t="b">
        <f>+ISNUMBER(SEARCH(#REF!,Tabla11[[#This Row],[Cuenta]],1))</f>
        <v>0</v>
      </c>
      <c r="BH694" t="b">
        <f>+ISNUMBER(SEARCH(#REF!,Tabla11[[#This Row],[Cuenta]],1))</f>
        <v>0</v>
      </c>
      <c r="BI694" t="b">
        <f>+ISNUMBER(SEARCH(#REF!,Tabla11[[#This Row],[Cuenta]],1))</f>
        <v>0</v>
      </c>
      <c r="BJ694" t="b">
        <f>+ISNUMBER(SEARCH(#REF!,Tabla11[[#This Row],[Cuenta]],1))</f>
        <v>0</v>
      </c>
      <c r="BS694" t="str">
        <v>381024 Equipo médico-científico</v>
      </c>
      <c r="BT694" t="str">
        <v>381024 Equipo médico-científico</v>
      </c>
      <c r="BU694" t="str">
        <v>381024 Equipo médico-científico</v>
      </c>
      <c r="BV694" t="str">
        <v>381024 Equipo médico-científico</v>
      </c>
      <c r="BZ694" t="str">
        <v>381024 Equipo médico-científico</v>
      </c>
      <c r="CA694" t="str">
        <v>381024 Equipo médico-científico</v>
      </c>
      <c r="CB694" t="str">
        <v>381024 Equipo médico-científico</v>
      </c>
      <c r="CC694" t="str">
        <v>381024 Equipo médico-científico</v>
      </c>
      <c r="CD694" t="str">
        <v>381024 Equipo médico-científico</v>
      </c>
      <c r="CE694" t="str">
        <v>381024 Equipo médico-científico</v>
      </c>
      <c r="CS694" s="141" t="str">
        <v>381024 Equipo médico-científico</v>
      </c>
      <c r="CT694" s="141" t="str">
        <v>381024 Equipo médico-científico</v>
      </c>
      <c r="CU694" s="141" t="str">
        <v>381024 Equipo médico-científico</v>
      </c>
      <c r="CV694" s="141" t="str">
        <v>381024 Equipo médico-científico</v>
      </c>
      <c r="CW694" s="141" t="str">
        <v>381024 Equipo médico-científico</v>
      </c>
      <c r="CX694" s="141" t="str">
        <v>381024 Equipo médico-científico</v>
      </c>
      <c r="CY694" s="141" t="str">
        <v>381024 Equipo médico-científico</v>
      </c>
      <c r="CZ694" s="141" t="str">
        <v>381024 Equipo médico-científico</v>
      </c>
      <c r="DA694" s="141" t="str">
        <v>381024 Equipo médico-científico</v>
      </c>
      <c r="DF694" t="str">
        <v>381024 Equipo médico-científico</v>
      </c>
      <c r="DG694" t="str">
        <v>381024 Equipo médico-científico</v>
      </c>
      <c r="DH694" t="str">
        <v>381024 Equipo médico-científico</v>
      </c>
      <c r="DI694" t="str">
        <v>381024 Equipo médico-científico</v>
      </c>
      <c r="DJ694" t="str">
        <v>381024 Equipo médico-científico</v>
      </c>
      <c r="DK694" t="str">
        <v>381024 Equipo médico-científico</v>
      </c>
      <c r="DL694" t="str">
        <v>381024 Equipo médico-científico</v>
      </c>
      <c r="DM694" t="str">
        <v>381024 Equipo médico-científico</v>
      </c>
      <c r="DN694" t="str">
        <v>381024 Equipo médico-científico</v>
      </c>
      <c r="DO694" t="str">
        <v>381024 Equipo médico-científico</v>
      </c>
      <c r="DP694" t="str">
        <v>381024 Equipo médico-científico</v>
      </c>
    </row>
    <row r="695" spans="4:120" ht="12.75">
      <c r="D695" s="7">
        <v>381028</v>
      </c>
      <c r="E695" s="6" t="s">
        <v>132</v>
      </c>
      <c r="F695" s="5">
        <v>4</v>
      </c>
      <c r="G695" s="34" t="s">
        <v>827</v>
      </c>
      <c r="H695" s="8" t="s">
        <v>56</v>
      </c>
      <c r="I695" t="b">
        <f>+ISNUMBER(SEARCH('F-COMPRA'!$F$28,Tabla11[[#This Row],[Cuenta]],1))</f>
        <v>1</v>
      </c>
      <c r="J695" t="b">
        <f>+ISNUMBER(SEARCH('F-COMPRA'!$F$29,Tabla11[[#This Row],[Cuenta]],1))</f>
        <v>1</v>
      </c>
      <c r="K695" t="b">
        <f>+ISNUMBER(SEARCH('F-COMPRA'!$F$30,Tabla11[[#This Row],[Cuenta]],1))</f>
        <v>1</v>
      </c>
      <c r="L695" t="b">
        <f>+ISNUMBER(SEARCH('F-COMPRA'!$F$31,Tabla11[[#This Row],[Cuenta]],1))</f>
        <v>1</v>
      </c>
      <c r="M695" t="b">
        <f>+ISNUMBER(SEARCH('F-COMPRA'!$G$25,Tabla11[[#This Row],[Cuenta]],1))</f>
        <v>0</v>
      </c>
      <c r="N695" t="b">
        <f>+ISNUMBER(SEARCH(#REF!,Tabla11[[#This Row],[Cuenta]],1))</f>
        <v>0</v>
      </c>
      <c r="O695" t="b">
        <f>+ISNUMBER(SEARCH(#REF!,Tabla11[[#This Row],[Cuenta]],1))</f>
        <v>0</v>
      </c>
      <c r="P695" t="b">
        <f>+ISNUMBER(SEARCH('F-COMPRA'!$F$32,Tabla11[[#This Row],[Cuenta]],1))</f>
        <v>1</v>
      </c>
      <c r="Q695" t="b">
        <f>+ISNUMBER(SEARCH('F-COMPRA'!$F$33,Tabla11[[#This Row],[Cuenta]],1))</f>
        <v>1</v>
      </c>
      <c r="R695" t="b">
        <f>+ISNUMBER(SEARCH('F-COMPRA'!$F$34,Tabla11[[#This Row],[Cuenta]],1))</f>
        <v>1</v>
      </c>
      <c r="S695" t="b">
        <f>+ISNUMBER(SEARCH('F-COMPRA'!$F$35,Tabla11[[#This Row],[Cuenta]],1))</f>
        <v>1</v>
      </c>
      <c r="T695" t="b">
        <f>+ISNUMBER(SEARCH('F-COMPRA'!$F$36,Tabla11[[#This Row],[Cuenta]],1))</f>
        <v>1</v>
      </c>
      <c r="U695" t="b">
        <f>+ISNUMBER(SEARCH('F-COMPRA'!$F$37,Tabla11[[#This Row],[Cuenta]],1))</f>
        <v>1</v>
      </c>
      <c r="V695" t="b">
        <f>+ISNUMBER(SEARCH(#REF!,Tabla11[[#This Row],[Cuenta]],1))</f>
        <v>0</v>
      </c>
      <c r="W695" t="b">
        <f>+ISNUMBER(SEARCH('F-COMPRA'!#REF!,Tabla11[[#This Row],[Cuenta]],1))</f>
        <v>0</v>
      </c>
      <c r="X695" t="b">
        <f>+ISNUMBER(SEARCH('F-COMPRA'!#REF!,Tabla11[[#This Row],[Cuenta]],1))</f>
        <v>0</v>
      </c>
      <c r="Y695" t="b">
        <f>+ISNUMBER(SEARCH('F-COMPRA'!#REF!,Tabla11[[#This Row],[Cuenta]],1))</f>
        <v>0</v>
      </c>
      <c r="Z695" t="b">
        <f>+ISNUMBER(SEARCH('F-COMPRA'!#REF!,Tabla11[[#This Row],[Cuenta]],1))</f>
        <v>0</v>
      </c>
      <c r="AA695" t="b">
        <f>+ISNUMBER(SEARCH('F-COMPRA'!#REF!,Tabla11[[#This Row],[Cuenta]],1))</f>
        <v>0</v>
      </c>
      <c r="AB695" t="b">
        <f>+ISNUMBER(SEARCH('F-COMPRA'!#REF!,Tabla11[[#This Row],[Cuenta]],1))</f>
        <v>0</v>
      </c>
      <c r="AC695" t="b">
        <f>+ISNUMBER(SEARCH('F-COMPRA'!#REF!,Tabla11[[#This Row],[Cuenta]],1))</f>
        <v>0</v>
      </c>
      <c r="AD695" t="b">
        <f>+ISNUMBER(SEARCH('F-COMPRA'!#REF!,Tabla11[[#This Row],[Cuenta]],1))</f>
        <v>0</v>
      </c>
      <c r="AE695" t="b">
        <f>+ISNUMBER(SEARCH('F-COMPRA'!#REF!,Tabla11[[#This Row],[Cuenta]],1))</f>
        <v>0</v>
      </c>
      <c r="AF695" t="b">
        <f>+ISNUMBER(SEARCH('F-VTA'!$G$23,Tabla11[[#This Row],[Cuenta]],1))</f>
        <v>0</v>
      </c>
      <c r="AG695" t="b">
        <f>+ISNUMBER(SEARCH('F-VTA'!$G$24,Tabla11[[#This Row],[Cuenta]],1))</f>
        <v>0</v>
      </c>
      <c r="AH695" t="b">
        <f>+ISNUMBER(SEARCH('F-VTA'!$G$25,Tabla11[[#This Row],[Cuenta]],1))</f>
        <v>0</v>
      </c>
      <c r="AI695" t="b">
        <f>+ISNUMBER(SEARCH('F-VTA'!$F$28,Tabla11[[#This Row],[Cuenta]],1))</f>
        <v>1</v>
      </c>
      <c r="AJ695" t="b">
        <f>+ISNUMBER(SEARCH('F-VTA'!$F$29,Tabla11[[#This Row],[Cuenta]],1))</f>
        <v>1</v>
      </c>
      <c r="AK695" t="b">
        <f>+ISNUMBER(SEARCH('F-VTA'!$F$30,Tabla11[[#This Row],[Cuenta]],1))</f>
        <v>1</v>
      </c>
      <c r="AL695" t="b">
        <f>+ISNUMBER(SEARCH('F-VTA'!$F$31,Tabla11[[#This Row],[Cuenta]],1))</f>
        <v>1</v>
      </c>
      <c r="AM695" t="b">
        <f>+ISNUMBER(SEARCH('F-VTA'!$F$32,Tabla11[[#This Row],[Cuenta]],1))</f>
        <v>1</v>
      </c>
      <c r="AN695" t="b">
        <f>+ISNUMBER(SEARCH('F-VTA'!$F$33,Tabla11[[#This Row],[Cuenta]],1))</f>
        <v>1</v>
      </c>
      <c r="AO695" t="b">
        <f>+ISNUMBER(SEARCH('F-VTA'!$F$34,Tabla11[[#This Row],[Cuenta]],1))</f>
        <v>1</v>
      </c>
      <c r="AP695" t="b">
        <f>+ISNUMBER(SEARCH('F-VTA'!$F$35,Tabla11[[#This Row],[Cuenta]],1))</f>
        <v>1</v>
      </c>
      <c r="AQ695" t="b">
        <f>+ISNUMBER(SEARCH('F-VTA'!$F$36,Tabla11[[#This Row],[Cuenta]],1))</f>
        <v>1</v>
      </c>
      <c r="AR695" t="b">
        <f>+ISNUMBER(SEARCH(#REF!,Tabla11[[#This Row],[Cuenta]],1))</f>
        <v>0</v>
      </c>
      <c r="AS695" t="b">
        <f>+ISNUMBER(SEARCH(#REF!,Tabla11[[#This Row],[Cuenta]],1))</f>
        <v>0</v>
      </c>
      <c r="AT695" t="b">
        <f>+ISNUMBER(SEARCH(#REF!,Tabla11[[#This Row],[Cuenta]],1))</f>
        <v>0</v>
      </c>
      <c r="AU695" t="b">
        <f>+ISNUMBER(SEARCH('Conc. Ban.1'!$I$9,Tabla11[[#This Row],[Cuenta]],1))</f>
        <v>0</v>
      </c>
      <c r="AV695" t="b">
        <f>+ISNUMBER(SEARCH(CompConta!$F$21,Tabla11[[#This Row],[Cuenta]],1))</f>
        <v>1</v>
      </c>
      <c r="AW695" t="b">
        <f>+ISNUMBER(SEARCH(CompConta!$F$22,Tabla11[[#This Row],[Cuenta]],1))</f>
        <v>1</v>
      </c>
      <c r="AX695" t="b">
        <f>+ISNUMBER(SEARCH(CompConta!$F$23,Tabla11[[#This Row],[Cuenta]],1))</f>
        <v>1</v>
      </c>
      <c r="AY695" t="b">
        <f>+ISNUMBER(SEARCH(CompConta!$F$24,Tabla11[[#This Row],[Cuenta]],1))</f>
        <v>1</v>
      </c>
      <c r="AZ695" t="b">
        <f>+ISNUMBER(SEARCH(CompConta!$F$25,Tabla11[[#This Row],[Cuenta]],1))</f>
        <v>1</v>
      </c>
      <c r="BA695" t="b">
        <f>+ISNUMBER(SEARCH(CompConta!$F$26,Tabla11[[#This Row],[Cuenta]],1))</f>
        <v>1</v>
      </c>
      <c r="BB695" t="b">
        <f>+ISNUMBER(SEARCH(CompConta!$F$27,Tabla11[[#This Row],[Cuenta]],1))</f>
        <v>1</v>
      </c>
      <c r="BC695" t="b">
        <f>+ISNUMBER(SEARCH(CompConta!$F$28,Tabla11[[#This Row],[Cuenta]],1))</f>
        <v>1</v>
      </c>
      <c r="BD695" t="b">
        <f>+ISNUMBER(SEARCH(CompConta!$F$29,Tabla11[[#This Row],[Cuenta]],1))</f>
        <v>1</v>
      </c>
      <c r="BE695" t="b">
        <f>+ISNUMBER(SEARCH(CompConta!$F$30,Tabla11[[#This Row],[Cuenta]],1))</f>
        <v>1</v>
      </c>
      <c r="BF695" t="b">
        <f>+ISNUMBER(SEARCH('PAGO Compras'!$E$11,Tabla11[[#This Row],[Cuenta]],1))</f>
        <v>1</v>
      </c>
      <c r="BG695" t="b">
        <f>+ISNUMBER(SEARCH(#REF!,Tabla11[[#This Row],[Cuenta]],1))</f>
        <v>0</v>
      </c>
      <c r="BH695" t="b">
        <f>+ISNUMBER(SEARCH(#REF!,Tabla11[[#This Row],[Cuenta]],1))</f>
        <v>0</v>
      </c>
      <c r="BI695" t="b">
        <f>+ISNUMBER(SEARCH(#REF!,Tabla11[[#This Row],[Cuenta]],1))</f>
        <v>0</v>
      </c>
      <c r="BJ695" t="b">
        <f>+ISNUMBER(SEARCH(#REF!,Tabla11[[#This Row],[Cuenta]],1))</f>
        <v>0</v>
      </c>
      <c r="BS695" t="str">
        <v>381028 Equipo de hoteles y restaurantes</v>
      </c>
      <c r="BT695" t="str">
        <v>381028 Equipo de hoteles y restaurantes</v>
      </c>
      <c r="BU695" t="str">
        <v>381028 Equipo de hoteles y restaurantes</v>
      </c>
      <c r="BV695" t="str">
        <v>381028 Equipo de hoteles y restaurantes</v>
      </c>
      <c r="BZ695" t="str">
        <v>381028 Equipo de hoteles y restaurantes</v>
      </c>
      <c r="CA695" t="str">
        <v>381028 Equipo de hoteles y restaurantes</v>
      </c>
      <c r="CB695" t="str">
        <v>381028 Equipo de hoteles y restaurantes</v>
      </c>
      <c r="CC695" t="str">
        <v>381028 Equipo de hoteles y restaurantes</v>
      </c>
      <c r="CD695" t="str">
        <v>381028 Equipo de hoteles y restaurantes</v>
      </c>
      <c r="CE695" t="str">
        <v>381028 Equipo de hoteles y restaurantes</v>
      </c>
      <c r="CS695" s="141" t="str">
        <v>381028 Equipo de hoteles y restaurantes</v>
      </c>
      <c r="CT695" s="141" t="str">
        <v>381028 Equipo de hoteles y restaurantes</v>
      </c>
      <c r="CU695" s="141" t="str">
        <v>381028 Equipo de hoteles y restaurantes</v>
      </c>
      <c r="CV695" s="141" t="str">
        <v>381028 Equipo de hoteles y restaurantes</v>
      </c>
      <c r="CW695" s="141" t="str">
        <v>381028 Equipo de hoteles y restaurantes</v>
      </c>
      <c r="CX695" s="141" t="str">
        <v>381028 Equipo de hoteles y restaurantes</v>
      </c>
      <c r="CY695" s="141" t="str">
        <v>381028 Equipo de hoteles y restaurantes</v>
      </c>
      <c r="CZ695" s="141" t="str">
        <v>381028 Equipo de hoteles y restaurantes</v>
      </c>
      <c r="DA695" s="141" t="str">
        <v>381028 Equipo de hoteles y restaurantes</v>
      </c>
      <c r="DF695" t="str">
        <v>381028 Equipo de hoteles y restaurantes</v>
      </c>
      <c r="DG695" t="str">
        <v>381028 Equipo de hoteles y restaurantes</v>
      </c>
      <c r="DH695" t="str">
        <v>381028 Equipo de hoteles y restaurantes</v>
      </c>
      <c r="DI695" t="str">
        <v>381028 Equipo de hoteles y restaurantes</v>
      </c>
      <c r="DJ695" t="str">
        <v>381028 Equipo de hoteles y restaurantes</v>
      </c>
      <c r="DK695" t="str">
        <v>381028 Equipo de hoteles y restaurantes</v>
      </c>
      <c r="DL695" t="str">
        <v>381028 Equipo de hoteles y restaurantes</v>
      </c>
      <c r="DM695" t="str">
        <v>381028 Equipo de hoteles y restaurantes</v>
      </c>
      <c r="DN695" t="str">
        <v>381028 Equipo de hoteles y restaurantes</v>
      </c>
      <c r="DO695" t="str">
        <v>381028 Equipo de hoteles y restaurantes</v>
      </c>
      <c r="DP695" t="str">
        <v>381028 Equipo de hoteles y restaurantes</v>
      </c>
    </row>
    <row r="696" spans="4:120" ht="12.75">
      <c r="D696" s="7">
        <v>381032</v>
      </c>
      <c r="E696" s="6" t="s">
        <v>133</v>
      </c>
      <c r="F696" s="5">
        <v>4</v>
      </c>
      <c r="G696" s="34" t="s">
        <v>827</v>
      </c>
      <c r="H696" s="8" t="s">
        <v>56</v>
      </c>
      <c r="I696" t="b">
        <f>+ISNUMBER(SEARCH('F-COMPRA'!$F$28,Tabla11[[#This Row],[Cuenta]],1))</f>
        <v>1</v>
      </c>
      <c r="J696" t="b">
        <f>+ISNUMBER(SEARCH('F-COMPRA'!$F$29,Tabla11[[#This Row],[Cuenta]],1))</f>
        <v>1</v>
      </c>
      <c r="K696" t="b">
        <f>+ISNUMBER(SEARCH('F-COMPRA'!$F$30,Tabla11[[#This Row],[Cuenta]],1))</f>
        <v>1</v>
      </c>
      <c r="L696" t="b">
        <f>+ISNUMBER(SEARCH('F-COMPRA'!$F$31,Tabla11[[#This Row],[Cuenta]],1))</f>
        <v>1</v>
      </c>
      <c r="M696" t="b">
        <f>+ISNUMBER(SEARCH('F-COMPRA'!$G$25,Tabla11[[#This Row],[Cuenta]],1))</f>
        <v>0</v>
      </c>
      <c r="N696" t="b">
        <f>+ISNUMBER(SEARCH(#REF!,Tabla11[[#This Row],[Cuenta]],1))</f>
        <v>0</v>
      </c>
      <c r="O696" t="b">
        <f>+ISNUMBER(SEARCH(#REF!,Tabla11[[#This Row],[Cuenta]],1))</f>
        <v>0</v>
      </c>
      <c r="P696" t="b">
        <f>+ISNUMBER(SEARCH('F-COMPRA'!$F$32,Tabla11[[#This Row],[Cuenta]],1))</f>
        <v>1</v>
      </c>
      <c r="Q696" t="b">
        <f>+ISNUMBER(SEARCH('F-COMPRA'!$F$33,Tabla11[[#This Row],[Cuenta]],1))</f>
        <v>1</v>
      </c>
      <c r="R696" t="b">
        <f>+ISNUMBER(SEARCH('F-COMPRA'!$F$34,Tabla11[[#This Row],[Cuenta]],1))</f>
        <v>1</v>
      </c>
      <c r="S696" t="b">
        <f>+ISNUMBER(SEARCH('F-COMPRA'!$F$35,Tabla11[[#This Row],[Cuenta]],1))</f>
        <v>1</v>
      </c>
      <c r="T696" t="b">
        <f>+ISNUMBER(SEARCH('F-COMPRA'!$F$36,Tabla11[[#This Row],[Cuenta]],1))</f>
        <v>1</v>
      </c>
      <c r="U696" t="b">
        <f>+ISNUMBER(SEARCH('F-COMPRA'!$F$37,Tabla11[[#This Row],[Cuenta]],1))</f>
        <v>1</v>
      </c>
      <c r="V696" t="b">
        <f>+ISNUMBER(SEARCH(#REF!,Tabla11[[#This Row],[Cuenta]],1))</f>
        <v>0</v>
      </c>
      <c r="W696" t="b">
        <f>+ISNUMBER(SEARCH('F-COMPRA'!#REF!,Tabla11[[#This Row],[Cuenta]],1))</f>
        <v>0</v>
      </c>
      <c r="X696" t="b">
        <f>+ISNUMBER(SEARCH('F-COMPRA'!#REF!,Tabla11[[#This Row],[Cuenta]],1))</f>
        <v>0</v>
      </c>
      <c r="Y696" t="b">
        <f>+ISNUMBER(SEARCH('F-COMPRA'!#REF!,Tabla11[[#This Row],[Cuenta]],1))</f>
        <v>0</v>
      </c>
      <c r="Z696" t="b">
        <f>+ISNUMBER(SEARCH('F-COMPRA'!#REF!,Tabla11[[#This Row],[Cuenta]],1))</f>
        <v>0</v>
      </c>
      <c r="AA696" t="b">
        <f>+ISNUMBER(SEARCH('F-COMPRA'!#REF!,Tabla11[[#This Row],[Cuenta]],1))</f>
        <v>0</v>
      </c>
      <c r="AB696" t="b">
        <f>+ISNUMBER(SEARCH('F-COMPRA'!#REF!,Tabla11[[#This Row],[Cuenta]],1))</f>
        <v>0</v>
      </c>
      <c r="AC696" t="b">
        <f>+ISNUMBER(SEARCH('F-COMPRA'!#REF!,Tabla11[[#This Row],[Cuenta]],1))</f>
        <v>0</v>
      </c>
      <c r="AD696" t="b">
        <f>+ISNUMBER(SEARCH('F-COMPRA'!#REF!,Tabla11[[#This Row],[Cuenta]],1))</f>
        <v>0</v>
      </c>
      <c r="AE696" t="b">
        <f>+ISNUMBER(SEARCH('F-COMPRA'!#REF!,Tabla11[[#This Row],[Cuenta]],1))</f>
        <v>0</v>
      </c>
      <c r="AF696" t="b">
        <f>+ISNUMBER(SEARCH('F-VTA'!$G$23,Tabla11[[#This Row],[Cuenta]],1))</f>
        <v>0</v>
      </c>
      <c r="AG696" t="b">
        <f>+ISNUMBER(SEARCH('F-VTA'!$G$24,Tabla11[[#This Row],[Cuenta]],1))</f>
        <v>0</v>
      </c>
      <c r="AH696" t="b">
        <f>+ISNUMBER(SEARCH('F-VTA'!$G$25,Tabla11[[#This Row],[Cuenta]],1))</f>
        <v>0</v>
      </c>
      <c r="AI696" t="b">
        <f>+ISNUMBER(SEARCH('F-VTA'!$F$28,Tabla11[[#This Row],[Cuenta]],1))</f>
        <v>1</v>
      </c>
      <c r="AJ696" t="b">
        <f>+ISNUMBER(SEARCH('F-VTA'!$F$29,Tabla11[[#This Row],[Cuenta]],1))</f>
        <v>1</v>
      </c>
      <c r="AK696" t="b">
        <f>+ISNUMBER(SEARCH('F-VTA'!$F$30,Tabla11[[#This Row],[Cuenta]],1))</f>
        <v>1</v>
      </c>
      <c r="AL696" t="b">
        <f>+ISNUMBER(SEARCH('F-VTA'!$F$31,Tabla11[[#This Row],[Cuenta]],1))</f>
        <v>1</v>
      </c>
      <c r="AM696" t="b">
        <f>+ISNUMBER(SEARCH('F-VTA'!$F$32,Tabla11[[#This Row],[Cuenta]],1))</f>
        <v>1</v>
      </c>
      <c r="AN696" t="b">
        <f>+ISNUMBER(SEARCH('F-VTA'!$F$33,Tabla11[[#This Row],[Cuenta]],1))</f>
        <v>1</v>
      </c>
      <c r="AO696" t="b">
        <f>+ISNUMBER(SEARCH('F-VTA'!$F$34,Tabla11[[#This Row],[Cuenta]],1))</f>
        <v>1</v>
      </c>
      <c r="AP696" t="b">
        <f>+ISNUMBER(SEARCH('F-VTA'!$F$35,Tabla11[[#This Row],[Cuenta]],1))</f>
        <v>1</v>
      </c>
      <c r="AQ696" t="b">
        <f>+ISNUMBER(SEARCH('F-VTA'!$F$36,Tabla11[[#This Row],[Cuenta]],1))</f>
        <v>1</v>
      </c>
      <c r="AR696" t="b">
        <f>+ISNUMBER(SEARCH(#REF!,Tabla11[[#This Row],[Cuenta]],1))</f>
        <v>0</v>
      </c>
      <c r="AS696" t="b">
        <f>+ISNUMBER(SEARCH(#REF!,Tabla11[[#This Row],[Cuenta]],1))</f>
        <v>0</v>
      </c>
      <c r="AT696" t="b">
        <f>+ISNUMBER(SEARCH(#REF!,Tabla11[[#This Row],[Cuenta]],1))</f>
        <v>0</v>
      </c>
      <c r="AU696" t="b">
        <f>+ISNUMBER(SEARCH('Conc. Ban.1'!$I$9,Tabla11[[#This Row],[Cuenta]],1))</f>
        <v>0</v>
      </c>
      <c r="AV696" t="b">
        <f>+ISNUMBER(SEARCH(CompConta!$F$21,Tabla11[[#This Row],[Cuenta]],1))</f>
        <v>1</v>
      </c>
      <c r="AW696" t="b">
        <f>+ISNUMBER(SEARCH(CompConta!$F$22,Tabla11[[#This Row],[Cuenta]],1))</f>
        <v>1</v>
      </c>
      <c r="AX696" t="b">
        <f>+ISNUMBER(SEARCH(CompConta!$F$23,Tabla11[[#This Row],[Cuenta]],1))</f>
        <v>1</v>
      </c>
      <c r="AY696" t="b">
        <f>+ISNUMBER(SEARCH(CompConta!$F$24,Tabla11[[#This Row],[Cuenta]],1))</f>
        <v>1</v>
      </c>
      <c r="AZ696" t="b">
        <f>+ISNUMBER(SEARCH(CompConta!$F$25,Tabla11[[#This Row],[Cuenta]],1))</f>
        <v>1</v>
      </c>
      <c r="BA696" t="b">
        <f>+ISNUMBER(SEARCH(CompConta!$F$26,Tabla11[[#This Row],[Cuenta]],1))</f>
        <v>1</v>
      </c>
      <c r="BB696" t="b">
        <f>+ISNUMBER(SEARCH(CompConta!$F$27,Tabla11[[#This Row],[Cuenta]],1))</f>
        <v>1</v>
      </c>
      <c r="BC696" t="b">
        <f>+ISNUMBER(SEARCH(CompConta!$F$28,Tabla11[[#This Row],[Cuenta]],1))</f>
        <v>1</v>
      </c>
      <c r="BD696" t="b">
        <f>+ISNUMBER(SEARCH(CompConta!$F$29,Tabla11[[#This Row],[Cuenta]],1))</f>
        <v>1</v>
      </c>
      <c r="BE696" t="b">
        <f>+ISNUMBER(SEARCH(CompConta!$F$30,Tabla11[[#This Row],[Cuenta]],1))</f>
        <v>1</v>
      </c>
      <c r="BF696" t="b">
        <f>+ISNUMBER(SEARCH('PAGO Compras'!$E$11,Tabla11[[#This Row],[Cuenta]],1))</f>
        <v>1</v>
      </c>
      <c r="BG696" t="b">
        <f>+ISNUMBER(SEARCH(#REF!,Tabla11[[#This Row],[Cuenta]],1))</f>
        <v>0</v>
      </c>
      <c r="BH696" t="b">
        <f>+ISNUMBER(SEARCH(#REF!,Tabla11[[#This Row],[Cuenta]],1))</f>
        <v>0</v>
      </c>
      <c r="BI696" t="b">
        <f>+ISNUMBER(SEARCH(#REF!,Tabla11[[#This Row],[Cuenta]],1))</f>
        <v>0</v>
      </c>
      <c r="BJ696" t="b">
        <f>+ISNUMBER(SEARCH(#REF!,Tabla11[[#This Row],[Cuenta]],1))</f>
        <v>0</v>
      </c>
      <c r="BS696" t="str">
        <v>381032 Flota y equipo de transporte</v>
      </c>
      <c r="BT696" t="str">
        <v>381032 Flota y equipo de transporte</v>
      </c>
      <c r="BU696" t="str">
        <v>381032 Flota y equipo de transporte</v>
      </c>
      <c r="BV696" t="str">
        <v>381032 Flota y equipo de transporte</v>
      </c>
      <c r="BZ696" t="str">
        <v>381032 Flota y equipo de transporte</v>
      </c>
      <c r="CA696" t="str">
        <v>381032 Flota y equipo de transporte</v>
      </c>
      <c r="CB696" t="str">
        <v>381032 Flota y equipo de transporte</v>
      </c>
      <c r="CC696" t="str">
        <v>381032 Flota y equipo de transporte</v>
      </c>
      <c r="CD696" t="str">
        <v>381032 Flota y equipo de transporte</v>
      </c>
      <c r="CE696" t="str">
        <v>381032 Flota y equipo de transporte</v>
      </c>
      <c r="CS696" s="141" t="str">
        <v>381032 Flota y equipo de transporte</v>
      </c>
      <c r="CT696" s="141" t="str">
        <v>381032 Flota y equipo de transporte</v>
      </c>
      <c r="CU696" s="141" t="str">
        <v>381032 Flota y equipo de transporte</v>
      </c>
      <c r="CV696" s="141" t="str">
        <v>381032 Flota y equipo de transporte</v>
      </c>
      <c r="CW696" s="141" t="str">
        <v>381032 Flota y equipo de transporte</v>
      </c>
      <c r="CX696" s="141" t="str">
        <v>381032 Flota y equipo de transporte</v>
      </c>
      <c r="CY696" s="141" t="str">
        <v>381032 Flota y equipo de transporte</v>
      </c>
      <c r="CZ696" s="141" t="str">
        <v>381032 Flota y equipo de transporte</v>
      </c>
      <c r="DA696" s="141" t="str">
        <v>381032 Flota y equipo de transporte</v>
      </c>
      <c r="DF696" t="str">
        <v>381032 Flota y equipo de transporte</v>
      </c>
      <c r="DG696" t="str">
        <v>381032 Flota y equipo de transporte</v>
      </c>
      <c r="DH696" t="str">
        <v>381032 Flota y equipo de transporte</v>
      </c>
      <c r="DI696" t="str">
        <v>381032 Flota y equipo de transporte</v>
      </c>
      <c r="DJ696" t="str">
        <v>381032 Flota y equipo de transporte</v>
      </c>
      <c r="DK696" t="str">
        <v>381032 Flota y equipo de transporte</v>
      </c>
      <c r="DL696" t="str">
        <v>381032 Flota y equipo de transporte</v>
      </c>
      <c r="DM696" t="str">
        <v>381032 Flota y equipo de transporte</v>
      </c>
      <c r="DN696" t="str">
        <v>381032 Flota y equipo de transporte</v>
      </c>
      <c r="DO696" t="str">
        <v>381032 Flota y equipo de transporte</v>
      </c>
      <c r="DP696" t="str">
        <v>381032 Flota y equipo de transporte</v>
      </c>
    </row>
    <row r="697" spans="4:120" ht="12.75">
      <c r="D697" s="7">
        <v>381036</v>
      </c>
      <c r="E697" s="6" t="s">
        <v>134</v>
      </c>
      <c r="F697" s="5">
        <v>4</v>
      </c>
      <c r="G697" s="34" t="s">
        <v>827</v>
      </c>
      <c r="H697" s="8" t="s">
        <v>56</v>
      </c>
      <c r="I697" t="b">
        <f>+ISNUMBER(SEARCH('F-COMPRA'!$F$28,Tabla11[[#This Row],[Cuenta]],1))</f>
        <v>1</v>
      </c>
      <c r="J697" t="b">
        <f>+ISNUMBER(SEARCH('F-COMPRA'!$F$29,Tabla11[[#This Row],[Cuenta]],1))</f>
        <v>1</v>
      </c>
      <c r="K697" t="b">
        <f>+ISNUMBER(SEARCH('F-COMPRA'!$F$30,Tabla11[[#This Row],[Cuenta]],1))</f>
        <v>1</v>
      </c>
      <c r="L697" t="b">
        <f>+ISNUMBER(SEARCH('F-COMPRA'!$F$31,Tabla11[[#This Row],[Cuenta]],1))</f>
        <v>1</v>
      </c>
      <c r="M697" t="b">
        <f>+ISNUMBER(SEARCH('F-COMPRA'!$G$25,Tabla11[[#This Row],[Cuenta]],1))</f>
        <v>0</v>
      </c>
      <c r="N697" t="b">
        <f>+ISNUMBER(SEARCH(#REF!,Tabla11[[#This Row],[Cuenta]],1))</f>
        <v>0</v>
      </c>
      <c r="O697" t="b">
        <f>+ISNUMBER(SEARCH(#REF!,Tabla11[[#This Row],[Cuenta]],1))</f>
        <v>0</v>
      </c>
      <c r="P697" t="b">
        <f>+ISNUMBER(SEARCH('F-COMPRA'!$F$32,Tabla11[[#This Row],[Cuenta]],1))</f>
        <v>1</v>
      </c>
      <c r="Q697" t="b">
        <f>+ISNUMBER(SEARCH('F-COMPRA'!$F$33,Tabla11[[#This Row],[Cuenta]],1))</f>
        <v>1</v>
      </c>
      <c r="R697" t="b">
        <f>+ISNUMBER(SEARCH('F-COMPRA'!$F$34,Tabla11[[#This Row],[Cuenta]],1))</f>
        <v>1</v>
      </c>
      <c r="S697" t="b">
        <f>+ISNUMBER(SEARCH('F-COMPRA'!$F$35,Tabla11[[#This Row],[Cuenta]],1))</f>
        <v>1</v>
      </c>
      <c r="T697" t="b">
        <f>+ISNUMBER(SEARCH('F-COMPRA'!$F$36,Tabla11[[#This Row],[Cuenta]],1))</f>
        <v>1</v>
      </c>
      <c r="U697" t="b">
        <f>+ISNUMBER(SEARCH('F-COMPRA'!$F$37,Tabla11[[#This Row],[Cuenta]],1))</f>
        <v>1</v>
      </c>
      <c r="V697" t="b">
        <f>+ISNUMBER(SEARCH(#REF!,Tabla11[[#This Row],[Cuenta]],1))</f>
        <v>0</v>
      </c>
      <c r="W697" t="b">
        <f>+ISNUMBER(SEARCH('F-COMPRA'!#REF!,Tabla11[[#This Row],[Cuenta]],1))</f>
        <v>0</v>
      </c>
      <c r="X697" t="b">
        <f>+ISNUMBER(SEARCH('F-COMPRA'!#REF!,Tabla11[[#This Row],[Cuenta]],1))</f>
        <v>0</v>
      </c>
      <c r="Y697" t="b">
        <f>+ISNUMBER(SEARCH('F-COMPRA'!#REF!,Tabla11[[#This Row],[Cuenta]],1))</f>
        <v>0</v>
      </c>
      <c r="Z697" t="b">
        <f>+ISNUMBER(SEARCH('F-COMPRA'!#REF!,Tabla11[[#This Row],[Cuenta]],1))</f>
        <v>0</v>
      </c>
      <c r="AA697" t="b">
        <f>+ISNUMBER(SEARCH('F-COMPRA'!#REF!,Tabla11[[#This Row],[Cuenta]],1))</f>
        <v>0</v>
      </c>
      <c r="AB697" t="b">
        <f>+ISNUMBER(SEARCH('F-COMPRA'!#REF!,Tabla11[[#This Row],[Cuenta]],1))</f>
        <v>0</v>
      </c>
      <c r="AC697" t="b">
        <f>+ISNUMBER(SEARCH('F-COMPRA'!#REF!,Tabla11[[#This Row],[Cuenta]],1))</f>
        <v>0</v>
      </c>
      <c r="AD697" t="b">
        <f>+ISNUMBER(SEARCH('F-COMPRA'!#REF!,Tabla11[[#This Row],[Cuenta]],1))</f>
        <v>0</v>
      </c>
      <c r="AE697" t="b">
        <f>+ISNUMBER(SEARCH('F-COMPRA'!#REF!,Tabla11[[#This Row],[Cuenta]],1))</f>
        <v>0</v>
      </c>
      <c r="AF697" t="b">
        <f>+ISNUMBER(SEARCH('F-VTA'!$G$23,Tabla11[[#This Row],[Cuenta]],1))</f>
        <v>0</v>
      </c>
      <c r="AG697" t="b">
        <f>+ISNUMBER(SEARCH('F-VTA'!$G$24,Tabla11[[#This Row],[Cuenta]],1))</f>
        <v>0</v>
      </c>
      <c r="AH697" t="b">
        <f>+ISNUMBER(SEARCH('F-VTA'!$G$25,Tabla11[[#This Row],[Cuenta]],1))</f>
        <v>0</v>
      </c>
      <c r="AI697" t="b">
        <f>+ISNUMBER(SEARCH('F-VTA'!$F$28,Tabla11[[#This Row],[Cuenta]],1))</f>
        <v>1</v>
      </c>
      <c r="AJ697" t="b">
        <f>+ISNUMBER(SEARCH('F-VTA'!$F$29,Tabla11[[#This Row],[Cuenta]],1))</f>
        <v>1</v>
      </c>
      <c r="AK697" t="b">
        <f>+ISNUMBER(SEARCH('F-VTA'!$F$30,Tabla11[[#This Row],[Cuenta]],1))</f>
        <v>1</v>
      </c>
      <c r="AL697" t="b">
        <f>+ISNUMBER(SEARCH('F-VTA'!$F$31,Tabla11[[#This Row],[Cuenta]],1))</f>
        <v>1</v>
      </c>
      <c r="AM697" t="b">
        <f>+ISNUMBER(SEARCH('F-VTA'!$F$32,Tabla11[[#This Row],[Cuenta]],1))</f>
        <v>1</v>
      </c>
      <c r="AN697" t="b">
        <f>+ISNUMBER(SEARCH('F-VTA'!$F$33,Tabla11[[#This Row],[Cuenta]],1))</f>
        <v>1</v>
      </c>
      <c r="AO697" t="b">
        <f>+ISNUMBER(SEARCH('F-VTA'!$F$34,Tabla11[[#This Row],[Cuenta]],1))</f>
        <v>1</v>
      </c>
      <c r="AP697" t="b">
        <f>+ISNUMBER(SEARCH('F-VTA'!$F$35,Tabla11[[#This Row],[Cuenta]],1))</f>
        <v>1</v>
      </c>
      <c r="AQ697" t="b">
        <f>+ISNUMBER(SEARCH('F-VTA'!$F$36,Tabla11[[#This Row],[Cuenta]],1))</f>
        <v>1</v>
      </c>
      <c r="AR697" t="b">
        <f>+ISNUMBER(SEARCH(#REF!,Tabla11[[#This Row],[Cuenta]],1))</f>
        <v>0</v>
      </c>
      <c r="AS697" t="b">
        <f>+ISNUMBER(SEARCH(#REF!,Tabla11[[#This Row],[Cuenta]],1))</f>
        <v>0</v>
      </c>
      <c r="AT697" t="b">
        <f>+ISNUMBER(SEARCH(#REF!,Tabla11[[#This Row],[Cuenta]],1))</f>
        <v>0</v>
      </c>
      <c r="AU697" t="b">
        <f>+ISNUMBER(SEARCH('Conc. Ban.1'!$I$9,Tabla11[[#This Row],[Cuenta]],1))</f>
        <v>0</v>
      </c>
      <c r="AV697" t="b">
        <f>+ISNUMBER(SEARCH(CompConta!$F$21,Tabla11[[#This Row],[Cuenta]],1))</f>
        <v>1</v>
      </c>
      <c r="AW697" t="b">
        <f>+ISNUMBER(SEARCH(CompConta!$F$22,Tabla11[[#This Row],[Cuenta]],1))</f>
        <v>1</v>
      </c>
      <c r="AX697" t="b">
        <f>+ISNUMBER(SEARCH(CompConta!$F$23,Tabla11[[#This Row],[Cuenta]],1))</f>
        <v>1</v>
      </c>
      <c r="AY697" t="b">
        <f>+ISNUMBER(SEARCH(CompConta!$F$24,Tabla11[[#This Row],[Cuenta]],1))</f>
        <v>1</v>
      </c>
      <c r="AZ697" t="b">
        <f>+ISNUMBER(SEARCH(CompConta!$F$25,Tabla11[[#This Row],[Cuenta]],1))</f>
        <v>1</v>
      </c>
      <c r="BA697" t="b">
        <f>+ISNUMBER(SEARCH(CompConta!$F$26,Tabla11[[#This Row],[Cuenta]],1))</f>
        <v>1</v>
      </c>
      <c r="BB697" t="b">
        <f>+ISNUMBER(SEARCH(CompConta!$F$27,Tabla11[[#This Row],[Cuenta]],1))</f>
        <v>1</v>
      </c>
      <c r="BC697" t="b">
        <f>+ISNUMBER(SEARCH(CompConta!$F$28,Tabla11[[#This Row],[Cuenta]],1))</f>
        <v>1</v>
      </c>
      <c r="BD697" t="b">
        <f>+ISNUMBER(SEARCH(CompConta!$F$29,Tabla11[[#This Row],[Cuenta]],1))</f>
        <v>1</v>
      </c>
      <c r="BE697" t="b">
        <f>+ISNUMBER(SEARCH(CompConta!$F$30,Tabla11[[#This Row],[Cuenta]],1))</f>
        <v>1</v>
      </c>
      <c r="BF697" t="b">
        <f>+ISNUMBER(SEARCH('PAGO Compras'!$E$11,Tabla11[[#This Row],[Cuenta]],1))</f>
        <v>1</v>
      </c>
      <c r="BG697" t="b">
        <f>+ISNUMBER(SEARCH(#REF!,Tabla11[[#This Row],[Cuenta]],1))</f>
        <v>0</v>
      </c>
      <c r="BH697" t="b">
        <f>+ISNUMBER(SEARCH(#REF!,Tabla11[[#This Row],[Cuenta]],1))</f>
        <v>0</v>
      </c>
      <c r="BI697" t="b">
        <f>+ISNUMBER(SEARCH(#REF!,Tabla11[[#This Row],[Cuenta]],1))</f>
        <v>0</v>
      </c>
      <c r="BJ697" t="b">
        <f>+ISNUMBER(SEARCH(#REF!,Tabla11[[#This Row],[Cuenta]],1))</f>
        <v>0</v>
      </c>
      <c r="BS697" t="str">
        <v>381036 Flota y equipo fluvial y/o marítimo</v>
      </c>
      <c r="BT697" t="str">
        <v>381036 Flota y equipo fluvial y/o marítimo</v>
      </c>
      <c r="BU697" t="str">
        <v>381036 Flota y equipo fluvial y/o marítimo</v>
      </c>
      <c r="BV697" t="str">
        <v>381036 Flota y equipo fluvial y/o marítimo</v>
      </c>
      <c r="BZ697" t="str">
        <v>381036 Flota y equipo fluvial y/o marítimo</v>
      </c>
      <c r="CA697" t="str">
        <v>381036 Flota y equipo fluvial y/o marítimo</v>
      </c>
      <c r="CB697" t="str">
        <v>381036 Flota y equipo fluvial y/o marítimo</v>
      </c>
      <c r="CC697" t="str">
        <v>381036 Flota y equipo fluvial y/o marítimo</v>
      </c>
      <c r="CD697" t="str">
        <v>381036 Flota y equipo fluvial y/o marítimo</v>
      </c>
      <c r="CE697" t="str">
        <v>381036 Flota y equipo fluvial y/o marítimo</v>
      </c>
      <c r="CS697" s="141" t="str">
        <v>381036 Flota y equipo fluvial y/o marítimo</v>
      </c>
      <c r="CT697" s="141" t="str">
        <v>381036 Flota y equipo fluvial y/o marítimo</v>
      </c>
      <c r="CU697" s="141" t="str">
        <v>381036 Flota y equipo fluvial y/o marítimo</v>
      </c>
      <c r="CV697" s="141" t="str">
        <v>381036 Flota y equipo fluvial y/o marítimo</v>
      </c>
      <c r="CW697" s="141" t="str">
        <v>381036 Flota y equipo fluvial y/o marítimo</v>
      </c>
      <c r="CX697" s="141" t="str">
        <v>381036 Flota y equipo fluvial y/o marítimo</v>
      </c>
      <c r="CY697" s="141" t="str">
        <v>381036 Flota y equipo fluvial y/o marítimo</v>
      </c>
      <c r="CZ697" s="141" t="str">
        <v>381036 Flota y equipo fluvial y/o marítimo</v>
      </c>
      <c r="DA697" s="141" t="str">
        <v>381036 Flota y equipo fluvial y/o marítimo</v>
      </c>
      <c r="DF697" t="str">
        <v>381036 Flota y equipo fluvial y/o marítimo</v>
      </c>
      <c r="DG697" t="str">
        <v>381036 Flota y equipo fluvial y/o marítimo</v>
      </c>
      <c r="DH697" t="str">
        <v>381036 Flota y equipo fluvial y/o marítimo</v>
      </c>
      <c r="DI697" t="str">
        <v>381036 Flota y equipo fluvial y/o marítimo</v>
      </c>
      <c r="DJ697" t="str">
        <v>381036 Flota y equipo fluvial y/o marítimo</v>
      </c>
      <c r="DK697" t="str">
        <v>381036 Flota y equipo fluvial y/o marítimo</v>
      </c>
      <c r="DL697" t="str">
        <v>381036 Flota y equipo fluvial y/o marítimo</v>
      </c>
      <c r="DM697" t="str">
        <v>381036 Flota y equipo fluvial y/o marítimo</v>
      </c>
      <c r="DN697" t="str">
        <v>381036 Flota y equipo fluvial y/o marítimo</v>
      </c>
      <c r="DO697" t="str">
        <v>381036 Flota y equipo fluvial y/o marítimo</v>
      </c>
      <c r="DP697" t="str">
        <v>381036 Flota y equipo fluvial y/o marítimo</v>
      </c>
    </row>
    <row r="698" spans="4:120" ht="12.75">
      <c r="D698" s="7">
        <v>381040</v>
      </c>
      <c r="E698" s="6" t="s">
        <v>135</v>
      </c>
      <c r="F698" s="5">
        <v>4</v>
      </c>
      <c r="G698" s="34" t="s">
        <v>827</v>
      </c>
      <c r="H698" s="8" t="s">
        <v>56</v>
      </c>
      <c r="I698" t="b">
        <f>+ISNUMBER(SEARCH('F-COMPRA'!$F$28,Tabla11[[#This Row],[Cuenta]],1))</f>
        <v>1</v>
      </c>
      <c r="J698" t="b">
        <f>+ISNUMBER(SEARCH('F-COMPRA'!$F$29,Tabla11[[#This Row],[Cuenta]],1))</f>
        <v>1</v>
      </c>
      <c r="K698" t="b">
        <f>+ISNUMBER(SEARCH('F-COMPRA'!$F$30,Tabla11[[#This Row],[Cuenta]],1))</f>
        <v>1</v>
      </c>
      <c r="L698" t="b">
        <f>+ISNUMBER(SEARCH('F-COMPRA'!$F$31,Tabla11[[#This Row],[Cuenta]],1))</f>
        <v>1</v>
      </c>
      <c r="M698" t="b">
        <f>+ISNUMBER(SEARCH('F-COMPRA'!$G$25,Tabla11[[#This Row],[Cuenta]],1))</f>
        <v>0</v>
      </c>
      <c r="N698" t="b">
        <f>+ISNUMBER(SEARCH(#REF!,Tabla11[[#This Row],[Cuenta]],1))</f>
        <v>0</v>
      </c>
      <c r="O698" t="b">
        <f>+ISNUMBER(SEARCH(#REF!,Tabla11[[#This Row],[Cuenta]],1))</f>
        <v>0</v>
      </c>
      <c r="P698" t="b">
        <f>+ISNUMBER(SEARCH('F-COMPRA'!$F$32,Tabla11[[#This Row],[Cuenta]],1))</f>
        <v>1</v>
      </c>
      <c r="Q698" t="b">
        <f>+ISNUMBER(SEARCH('F-COMPRA'!$F$33,Tabla11[[#This Row],[Cuenta]],1))</f>
        <v>1</v>
      </c>
      <c r="R698" t="b">
        <f>+ISNUMBER(SEARCH('F-COMPRA'!$F$34,Tabla11[[#This Row],[Cuenta]],1))</f>
        <v>1</v>
      </c>
      <c r="S698" t="b">
        <f>+ISNUMBER(SEARCH('F-COMPRA'!$F$35,Tabla11[[#This Row],[Cuenta]],1))</f>
        <v>1</v>
      </c>
      <c r="T698" t="b">
        <f>+ISNUMBER(SEARCH('F-COMPRA'!$F$36,Tabla11[[#This Row],[Cuenta]],1))</f>
        <v>1</v>
      </c>
      <c r="U698" t="b">
        <f>+ISNUMBER(SEARCH('F-COMPRA'!$F$37,Tabla11[[#This Row],[Cuenta]],1))</f>
        <v>1</v>
      </c>
      <c r="V698" t="b">
        <f>+ISNUMBER(SEARCH(#REF!,Tabla11[[#This Row],[Cuenta]],1))</f>
        <v>0</v>
      </c>
      <c r="W698" t="b">
        <f>+ISNUMBER(SEARCH('F-COMPRA'!#REF!,Tabla11[[#This Row],[Cuenta]],1))</f>
        <v>0</v>
      </c>
      <c r="X698" t="b">
        <f>+ISNUMBER(SEARCH('F-COMPRA'!#REF!,Tabla11[[#This Row],[Cuenta]],1))</f>
        <v>0</v>
      </c>
      <c r="Y698" t="b">
        <f>+ISNUMBER(SEARCH('F-COMPRA'!#REF!,Tabla11[[#This Row],[Cuenta]],1))</f>
        <v>0</v>
      </c>
      <c r="Z698" t="b">
        <f>+ISNUMBER(SEARCH('F-COMPRA'!#REF!,Tabla11[[#This Row],[Cuenta]],1))</f>
        <v>0</v>
      </c>
      <c r="AA698" t="b">
        <f>+ISNUMBER(SEARCH('F-COMPRA'!#REF!,Tabla11[[#This Row],[Cuenta]],1))</f>
        <v>0</v>
      </c>
      <c r="AB698" t="b">
        <f>+ISNUMBER(SEARCH('F-COMPRA'!#REF!,Tabla11[[#This Row],[Cuenta]],1))</f>
        <v>0</v>
      </c>
      <c r="AC698" t="b">
        <f>+ISNUMBER(SEARCH('F-COMPRA'!#REF!,Tabla11[[#This Row],[Cuenta]],1))</f>
        <v>0</v>
      </c>
      <c r="AD698" t="b">
        <f>+ISNUMBER(SEARCH('F-COMPRA'!#REF!,Tabla11[[#This Row],[Cuenta]],1))</f>
        <v>0</v>
      </c>
      <c r="AE698" t="b">
        <f>+ISNUMBER(SEARCH('F-COMPRA'!#REF!,Tabla11[[#This Row],[Cuenta]],1))</f>
        <v>0</v>
      </c>
      <c r="AF698" t="b">
        <f>+ISNUMBER(SEARCH('F-VTA'!$G$23,Tabla11[[#This Row],[Cuenta]],1))</f>
        <v>0</v>
      </c>
      <c r="AG698" t="b">
        <f>+ISNUMBER(SEARCH('F-VTA'!$G$24,Tabla11[[#This Row],[Cuenta]],1))</f>
        <v>0</v>
      </c>
      <c r="AH698" t="b">
        <f>+ISNUMBER(SEARCH('F-VTA'!$G$25,Tabla11[[#This Row],[Cuenta]],1))</f>
        <v>0</v>
      </c>
      <c r="AI698" t="b">
        <f>+ISNUMBER(SEARCH('F-VTA'!$F$28,Tabla11[[#This Row],[Cuenta]],1))</f>
        <v>1</v>
      </c>
      <c r="AJ698" t="b">
        <f>+ISNUMBER(SEARCH('F-VTA'!$F$29,Tabla11[[#This Row],[Cuenta]],1))</f>
        <v>1</v>
      </c>
      <c r="AK698" t="b">
        <f>+ISNUMBER(SEARCH('F-VTA'!$F$30,Tabla11[[#This Row],[Cuenta]],1))</f>
        <v>1</v>
      </c>
      <c r="AL698" t="b">
        <f>+ISNUMBER(SEARCH('F-VTA'!$F$31,Tabla11[[#This Row],[Cuenta]],1))</f>
        <v>1</v>
      </c>
      <c r="AM698" t="b">
        <f>+ISNUMBER(SEARCH('F-VTA'!$F$32,Tabla11[[#This Row],[Cuenta]],1))</f>
        <v>1</v>
      </c>
      <c r="AN698" t="b">
        <f>+ISNUMBER(SEARCH('F-VTA'!$F$33,Tabla11[[#This Row],[Cuenta]],1))</f>
        <v>1</v>
      </c>
      <c r="AO698" t="b">
        <f>+ISNUMBER(SEARCH('F-VTA'!$F$34,Tabla11[[#This Row],[Cuenta]],1))</f>
        <v>1</v>
      </c>
      <c r="AP698" t="b">
        <f>+ISNUMBER(SEARCH('F-VTA'!$F$35,Tabla11[[#This Row],[Cuenta]],1))</f>
        <v>1</v>
      </c>
      <c r="AQ698" t="b">
        <f>+ISNUMBER(SEARCH('F-VTA'!$F$36,Tabla11[[#This Row],[Cuenta]],1))</f>
        <v>1</v>
      </c>
      <c r="AR698" t="b">
        <f>+ISNUMBER(SEARCH(#REF!,Tabla11[[#This Row],[Cuenta]],1))</f>
        <v>0</v>
      </c>
      <c r="AS698" t="b">
        <f>+ISNUMBER(SEARCH(#REF!,Tabla11[[#This Row],[Cuenta]],1))</f>
        <v>0</v>
      </c>
      <c r="AT698" t="b">
        <f>+ISNUMBER(SEARCH(#REF!,Tabla11[[#This Row],[Cuenta]],1))</f>
        <v>0</v>
      </c>
      <c r="AU698" t="b">
        <f>+ISNUMBER(SEARCH('Conc. Ban.1'!$I$9,Tabla11[[#This Row],[Cuenta]],1))</f>
        <v>0</v>
      </c>
      <c r="AV698" t="b">
        <f>+ISNUMBER(SEARCH(CompConta!$F$21,Tabla11[[#This Row],[Cuenta]],1))</f>
        <v>1</v>
      </c>
      <c r="AW698" t="b">
        <f>+ISNUMBER(SEARCH(CompConta!$F$22,Tabla11[[#This Row],[Cuenta]],1))</f>
        <v>1</v>
      </c>
      <c r="AX698" t="b">
        <f>+ISNUMBER(SEARCH(CompConta!$F$23,Tabla11[[#This Row],[Cuenta]],1))</f>
        <v>1</v>
      </c>
      <c r="AY698" t="b">
        <f>+ISNUMBER(SEARCH(CompConta!$F$24,Tabla11[[#This Row],[Cuenta]],1))</f>
        <v>1</v>
      </c>
      <c r="AZ698" t="b">
        <f>+ISNUMBER(SEARCH(CompConta!$F$25,Tabla11[[#This Row],[Cuenta]],1))</f>
        <v>1</v>
      </c>
      <c r="BA698" t="b">
        <f>+ISNUMBER(SEARCH(CompConta!$F$26,Tabla11[[#This Row],[Cuenta]],1))</f>
        <v>1</v>
      </c>
      <c r="BB698" t="b">
        <f>+ISNUMBER(SEARCH(CompConta!$F$27,Tabla11[[#This Row],[Cuenta]],1))</f>
        <v>1</v>
      </c>
      <c r="BC698" t="b">
        <f>+ISNUMBER(SEARCH(CompConta!$F$28,Tabla11[[#This Row],[Cuenta]],1))</f>
        <v>1</v>
      </c>
      <c r="BD698" t="b">
        <f>+ISNUMBER(SEARCH(CompConta!$F$29,Tabla11[[#This Row],[Cuenta]],1))</f>
        <v>1</v>
      </c>
      <c r="BE698" t="b">
        <f>+ISNUMBER(SEARCH(CompConta!$F$30,Tabla11[[#This Row],[Cuenta]],1))</f>
        <v>1</v>
      </c>
      <c r="BF698" t="b">
        <f>+ISNUMBER(SEARCH('PAGO Compras'!$E$11,Tabla11[[#This Row],[Cuenta]],1))</f>
        <v>1</v>
      </c>
      <c r="BG698" t="b">
        <f>+ISNUMBER(SEARCH(#REF!,Tabla11[[#This Row],[Cuenta]],1))</f>
        <v>0</v>
      </c>
      <c r="BH698" t="b">
        <f>+ISNUMBER(SEARCH(#REF!,Tabla11[[#This Row],[Cuenta]],1))</f>
        <v>0</v>
      </c>
      <c r="BI698" t="b">
        <f>+ISNUMBER(SEARCH(#REF!,Tabla11[[#This Row],[Cuenta]],1))</f>
        <v>0</v>
      </c>
      <c r="BJ698" t="b">
        <f>+ISNUMBER(SEARCH(#REF!,Tabla11[[#This Row],[Cuenta]],1))</f>
        <v>0</v>
      </c>
      <c r="BS698" t="str">
        <v>381040 Flota y equipo aéreo</v>
      </c>
      <c r="BT698" t="str">
        <v>381040 Flota y equipo aéreo</v>
      </c>
      <c r="BU698" t="str">
        <v>381040 Flota y equipo aéreo</v>
      </c>
      <c r="BV698" t="str">
        <v>381040 Flota y equipo aéreo</v>
      </c>
      <c r="BZ698" t="str">
        <v>381040 Flota y equipo aéreo</v>
      </c>
      <c r="CA698" t="str">
        <v>381040 Flota y equipo aéreo</v>
      </c>
      <c r="CB698" t="str">
        <v>381040 Flota y equipo aéreo</v>
      </c>
      <c r="CC698" t="str">
        <v>381040 Flota y equipo aéreo</v>
      </c>
      <c r="CD698" t="str">
        <v>381040 Flota y equipo aéreo</v>
      </c>
      <c r="CE698" t="str">
        <v>381040 Flota y equipo aéreo</v>
      </c>
      <c r="CS698" s="141" t="str">
        <v>381040 Flota y equipo aéreo</v>
      </c>
      <c r="CT698" s="141" t="str">
        <v>381040 Flota y equipo aéreo</v>
      </c>
      <c r="CU698" s="141" t="str">
        <v>381040 Flota y equipo aéreo</v>
      </c>
      <c r="CV698" s="141" t="str">
        <v>381040 Flota y equipo aéreo</v>
      </c>
      <c r="CW698" s="141" t="str">
        <v>381040 Flota y equipo aéreo</v>
      </c>
      <c r="CX698" s="141" t="str">
        <v>381040 Flota y equipo aéreo</v>
      </c>
      <c r="CY698" s="141" t="str">
        <v>381040 Flota y equipo aéreo</v>
      </c>
      <c r="CZ698" s="141" t="str">
        <v>381040 Flota y equipo aéreo</v>
      </c>
      <c r="DA698" s="141" t="str">
        <v>381040 Flota y equipo aéreo</v>
      </c>
      <c r="DF698" t="str">
        <v>381040 Flota y equipo aéreo</v>
      </c>
      <c r="DG698" t="str">
        <v>381040 Flota y equipo aéreo</v>
      </c>
      <c r="DH698" t="str">
        <v>381040 Flota y equipo aéreo</v>
      </c>
      <c r="DI698" t="str">
        <v>381040 Flota y equipo aéreo</v>
      </c>
      <c r="DJ698" t="str">
        <v>381040 Flota y equipo aéreo</v>
      </c>
      <c r="DK698" t="str">
        <v>381040 Flota y equipo aéreo</v>
      </c>
      <c r="DL698" t="str">
        <v>381040 Flota y equipo aéreo</v>
      </c>
      <c r="DM698" t="str">
        <v>381040 Flota y equipo aéreo</v>
      </c>
      <c r="DN698" t="str">
        <v>381040 Flota y equipo aéreo</v>
      </c>
      <c r="DO698" t="str">
        <v>381040 Flota y equipo aéreo</v>
      </c>
      <c r="DP698" t="str">
        <v>381040 Flota y equipo aéreo</v>
      </c>
    </row>
    <row r="699" spans="4:120" ht="12.75">
      <c r="D699" s="7">
        <v>381044</v>
      </c>
      <c r="E699" s="6" t="s">
        <v>136</v>
      </c>
      <c r="F699" s="5">
        <v>4</v>
      </c>
      <c r="G699" s="34" t="s">
        <v>827</v>
      </c>
      <c r="H699" s="8" t="s">
        <v>56</v>
      </c>
      <c r="I699" t="b">
        <f>+ISNUMBER(SEARCH('F-COMPRA'!$F$28,Tabla11[[#This Row],[Cuenta]],1))</f>
        <v>1</v>
      </c>
      <c r="J699" t="b">
        <f>+ISNUMBER(SEARCH('F-COMPRA'!$F$29,Tabla11[[#This Row],[Cuenta]],1))</f>
        <v>1</v>
      </c>
      <c r="K699" t="b">
        <f>+ISNUMBER(SEARCH('F-COMPRA'!$F$30,Tabla11[[#This Row],[Cuenta]],1))</f>
        <v>1</v>
      </c>
      <c r="L699" t="b">
        <f>+ISNUMBER(SEARCH('F-COMPRA'!$F$31,Tabla11[[#This Row],[Cuenta]],1))</f>
        <v>1</v>
      </c>
      <c r="M699" t="b">
        <f>+ISNUMBER(SEARCH('F-COMPRA'!$G$25,Tabla11[[#This Row],[Cuenta]],1))</f>
        <v>0</v>
      </c>
      <c r="N699" t="b">
        <f>+ISNUMBER(SEARCH(#REF!,Tabla11[[#This Row],[Cuenta]],1))</f>
        <v>0</v>
      </c>
      <c r="O699" t="b">
        <f>+ISNUMBER(SEARCH(#REF!,Tabla11[[#This Row],[Cuenta]],1))</f>
        <v>0</v>
      </c>
      <c r="P699" t="b">
        <f>+ISNUMBER(SEARCH('F-COMPRA'!$F$32,Tabla11[[#This Row],[Cuenta]],1))</f>
        <v>1</v>
      </c>
      <c r="Q699" t="b">
        <f>+ISNUMBER(SEARCH('F-COMPRA'!$F$33,Tabla11[[#This Row],[Cuenta]],1))</f>
        <v>1</v>
      </c>
      <c r="R699" t="b">
        <f>+ISNUMBER(SEARCH('F-COMPRA'!$F$34,Tabla11[[#This Row],[Cuenta]],1))</f>
        <v>1</v>
      </c>
      <c r="S699" t="b">
        <f>+ISNUMBER(SEARCH('F-COMPRA'!$F$35,Tabla11[[#This Row],[Cuenta]],1))</f>
        <v>1</v>
      </c>
      <c r="T699" t="b">
        <f>+ISNUMBER(SEARCH('F-COMPRA'!$F$36,Tabla11[[#This Row],[Cuenta]],1))</f>
        <v>1</v>
      </c>
      <c r="U699" t="b">
        <f>+ISNUMBER(SEARCH('F-COMPRA'!$F$37,Tabla11[[#This Row],[Cuenta]],1))</f>
        <v>1</v>
      </c>
      <c r="V699" t="b">
        <f>+ISNUMBER(SEARCH(#REF!,Tabla11[[#This Row],[Cuenta]],1))</f>
        <v>0</v>
      </c>
      <c r="W699" t="b">
        <f>+ISNUMBER(SEARCH('F-COMPRA'!#REF!,Tabla11[[#This Row],[Cuenta]],1))</f>
        <v>0</v>
      </c>
      <c r="X699" t="b">
        <f>+ISNUMBER(SEARCH('F-COMPRA'!#REF!,Tabla11[[#This Row],[Cuenta]],1))</f>
        <v>0</v>
      </c>
      <c r="Y699" t="b">
        <f>+ISNUMBER(SEARCH('F-COMPRA'!#REF!,Tabla11[[#This Row],[Cuenta]],1))</f>
        <v>0</v>
      </c>
      <c r="Z699" t="b">
        <f>+ISNUMBER(SEARCH('F-COMPRA'!#REF!,Tabla11[[#This Row],[Cuenta]],1))</f>
        <v>0</v>
      </c>
      <c r="AA699" t="b">
        <f>+ISNUMBER(SEARCH('F-COMPRA'!#REF!,Tabla11[[#This Row],[Cuenta]],1))</f>
        <v>0</v>
      </c>
      <c r="AB699" t="b">
        <f>+ISNUMBER(SEARCH('F-COMPRA'!#REF!,Tabla11[[#This Row],[Cuenta]],1))</f>
        <v>0</v>
      </c>
      <c r="AC699" t="b">
        <f>+ISNUMBER(SEARCH('F-COMPRA'!#REF!,Tabla11[[#This Row],[Cuenta]],1))</f>
        <v>0</v>
      </c>
      <c r="AD699" t="b">
        <f>+ISNUMBER(SEARCH('F-COMPRA'!#REF!,Tabla11[[#This Row],[Cuenta]],1))</f>
        <v>0</v>
      </c>
      <c r="AE699" t="b">
        <f>+ISNUMBER(SEARCH('F-COMPRA'!#REF!,Tabla11[[#This Row],[Cuenta]],1))</f>
        <v>0</v>
      </c>
      <c r="AF699" t="b">
        <f>+ISNUMBER(SEARCH('F-VTA'!$G$23,Tabla11[[#This Row],[Cuenta]],1))</f>
        <v>0</v>
      </c>
      <c r="AG699" t="b">
        <f>+ISNUMBER(SEARCH('F-VTA'!$G$24,Tabla11[[#This Row],[Cuenta]],1))</f>
        <v>0</v>
      </c>
      <c r="AH699" t="b">
        <f>+ISNUMBER(SEARCH('F-VTA'!$G$25,Tabla11[[#This Row],[Cuenta]],1))</f>
        <v>0</v>
      </c>
      <c r="AI699" t="b">
        <f>+ISNUMBER(SEARCH('F-VTA'!$F$28,Tabla11[[#This Row],[Cuenta]],1))</f>
        <v>1</v>
      </c>
      <c r="AJ699" t="b">
        <f>+ISNUMBER(SEARCH('F-VTA'!$F$29,Tabla11[[#This Row],[Cuenta]],1))</f>
        <v>1</v>
      </c>
      <c r="AK699" t="b">
        <f>+ISNUMBER(SEARCH('F-VTA'!$F$30,Tabla11[[#This Row],[Cuenta]],1))</f>
        <v>1</v>
      </c>
      <c r="AL699" t="b">
        <f>+ISNUMBER(SEARCH('F-VTA'!$F$31,Tabla11[[#This Row],[Cuenta]],1))</f>
        <v>1</v>
      </c>
      <c r="AM699" t="b">
        <f>+ISNUMBER(SEARCH('F-VTA'!$F$32,Tabla11[[#This Row],[Cuenta]],1))</f>
        <v>1</v>
      </c>
      <c r="AN699" t="b">
        <f>+ISNUMBER(SEARCH('F-VTA'!$F$33,Tabla11[[#This Row],[Cuenta]],1))</f>
        <v>1</v>
      </c>
      <c r="AO699" t="b">
        <f>+ISNUMBER(SEARCH('F-VTA'!$F$34,Tabla11[[#This Row],[Cuenta]],1))</f>
        <v>1</v>
      </c>
      <c r="AP699" t="b">
        <f>+ISNUMBER(SEARCH('F-VTA'!$F$35,Tabla11[[#This Row],[Cuenta]],1))</f>
        <v>1</v>
      </c>
      <c r="AQ699" t="b">
        <f>+ISNUMBER(SEARCH('F-VTA'!$F$36,Tabla11[[#This Row],[Cuenta]],1))</f>
        <v>1</v>
      </c>
      <c r="AR699" t="b">
        <f>+ISNUMBER(SEARCH(#REF!,Tabla11[[#This Row],[Cuenta]],1))</f>
        <v>0</v>
      </c>
      <c r="AS699" t="b">
        <f>+ISNUMBER(SEARCH(#REF!,Tabla11[[#This Row],[Cuenta]],1))</f>
        <v>0</v>
      </c>
      <c r="AT699" t="b">
        <f>+ISNUMBER(SEARCH(#REF!,Tabla11[[#This Row],[Cuenta]],1))</f>
        <v>0</v>
      </c>
      <c r="AU699" t="b">
        <f>+ISNUMBER(SEARCH('Conc. Ban.1'!$I$9,Tabla11[[#This Row],[Cuenta]],1))</f>
        <v>0</v>
      </c>
      <c r="AV699" t="b">
        <f>+ISNUMBER(SEARCH(CompConta!$F$21,Tabla11[[#This Row],[Cuenta]],1))</f>
        <v>1</v>
      </c>
      <c r="AW699" t="b">
        <f>+ISNUMBER(SEARCH(CompConta!$F$22,Tabla11[[#This Row],[Cuenta]],1))</f>
        <v>1</v>
      </c>
      <c r="AX699" t="b">
        <f>+ISNUMBER(SEARCH(CompConta!$F$23,Tabla11[[#This Row],[Cuenta]],1))</f>
        <v>1</v>
      </c>
      <c r="AY699" t="b">
        <f>+ISNUMBER(SEARCH(CompConta!$F$24,Tabla11[[#This Row],[Cuenta]],1))</f>
        <v>1</v>
      </c>
      <c r="AZ699" t="b">
        <f>+ISNUMBER(SEARCH(CompConta!$F$25,Tabla11[[#This Row],[Cuenta]],1))</f>
        <v>1</v>
      </c>
      <c r="BA699" t="b">
        <f>+ISNUMBER(SEARCH(CompConta!$F$26,Tabla11[[#This Row],[Cuenta]],1))</f>
        <v>1</v>
      </c>
      <c r="BB699" t="b">
        <f>+ISNUMBER(SEARCH(CompConta!$F$27,Tabla11[[#This Row],[Cuenta]],1))</f>
        <v>1</v>
      </c>
      <c r="BC699" t="b">
        <f>+ISNUMBER(SEARCH(CompConta!$F$28,Tabla11[[#This Row],[Cuenta]],1))</f>
        <v>1</v>
      </c>
      <c r="BD699" t="b">
        <f>+ISNUMBER(SEARCH(CompConta!$F$29,Tabla11[[#This Row],[Cuenta]],1))</f>
        <v>1</v>
      </c>
      <c r="BE699" t="b">
        <f>+ISNUMBER(SEARCH(CompConta!$F$30,Tabla11[[#This Row],[Cuenta]],1))</f>
        <v>1</v>
      </c>
      <c r="BF699" t="b">
        <f>+ISNUMBER(SEARCH('PAGO Compras'!$E$11,Tabla11[[#This Row],[Cuenta]],1))</f>
        <v>1</v>
      </c>
      <c r="BG699" t="b">
        <f>+ISNUMBER(SEARCH(#REF!,Tabla11[[#This Row],[Cuenta]],1))</f>
        <v>0</v>
      </c>
      <c r="BH699" t="b">
        <f>+ISNUMBER(SEARCH(#REF!,Tabla11[[#This Row],[Cuenta]],1))</f>
        <v>0</v>
      </c>
      <c r="BI699" t="b">
        <f>+ISNUMBER(SEARCH(#REF!,Tabla11[[#This Row],[Cuenta]],1))</f>
        <v>0</v>
      </c>
      <c r="BJ699" t="b">
        <f>+ISNUMBER(SEARCH(#REF!,Tabla11[[#This Row],[Cuenta]],1))</f>
        <v>0</v>
      </c>
      <c r="BS699" t="str">
        <v>381044 Flota y equipo férreo</v>
      </c>
      <c r="BT699" t="str">
        <v>381044 Flota y equipo férreo</v>
      </c>
      <c r="BU699" t="str">
        <v>381044 Flota y equipo férreo</v>
      </c>
      <c r="BV699" t="str">
        <v>381044 Flota y equipo férreo</v>
      </c>
      <c r="BZ699" t="str">
        <v>381044 Flota y equipo férreo</v>
      </c>
      <c r="CA699" t="str">
        <v>381044 Flota y equipo férreo</v>
      </c>
      <c r="CB699" t="str">
        <v>381044 Flota y equipo férreo</v>
      </c>
      <c r="CC699" t="str">
        <v>381044 Flota y equipo férreo</v>
      </c>
      <c r="CD699" t="str">
        <v>381044 Flota y equipo férreo</v>
      </c>
      <c r="CE699" t="str">
        <v>381044 Flota y equipo férreo</v>
      </c>
      <c r="CS699" s="141" t="str">
        <v>381044 Flota y equipo férreo</v>
      </c>
      <c r="CT699" s="141" t="str">
        <v>381044 Flota y equipo férreo</v>
      </c>
      <c r="CU699" s="141" t="str">
        <v>381044 Flota y equipo férreo</v>
      </c>
      <c r="CV699" s="141" t="str">
        <v>381044 Flota y equipo férreo</v>
      </c>
      <c r="CW699" s="141" t="str">
        <v>381044 Flota y equipo férreo</v>
      </c>
      <c r="CX699" s="141" t="str">
        <v>381044 Flota y equipo férreo</v>
      </c>
      <c r="CY699" s="141" t="str">
        <v>381044 Flota y equipo férreo</v>
      </c>
      <c r="CZ699" s="141" t="str">
        <v>381044 Flota y equipo férreo</v>
      </c>
      <c r="DA699" s="141" t="str">
        <v>381044 Flota y equipo férreo</v>
      </c>
      <c r="DF699" t="str">
        <v>381044 Flota y equipo férreo</v>
      </c>
      <c r="DG699" t="str">
        <v>381044 Flota y equipo férreo</v>
      </c>
      <c r="DH699" t="str">
        <v>381044 Flota y equipo férreo</v>
      </c>
      <c r="DI699" t="str">
        <v>381044 Flota y equipo férreo</v>
      </c>
      <c r="DJ699" t="str">
        <v>381044 Flota y equipo férreo</v>
      </c>
      <c r="DK699" t="str">
        <v>381044 Flota y equipo férreo</v>
      </c>
      <c r="DL699" t="str">
        <v>381044 Flota y equipo férreo</v>
      </c>
      <c r="DM699" t="str">
        <v>381044 Flota y equipo férreo</v>
      </c>
      <c r="DN699" t="str">
        <v>381044 Flota y equipo férreo</v>
      </c>
      <c r="DO699" t="str">
        <v>381044 Flota y equipo férreo</v>
      </c>
      <c r="DP699" t="str">
        <v>381044 Flota y equipo férreo</v>
      </c>
    </row>
    <row r="700" spans="4:120" ht="12.75">
      <c r="D700" s="7">
        <v>381048</v>
      </c>
      <c r="E700" s="6" t="s">
        <v>122</v>
      </c>
      <c r="F700" s="5">
        <v>4</v>
      </c>
      <c r="G700" s="34" t="s">
        <v>827</v>
      </c>
      <c r="H700" s="8" t="s">
        <v>56</v>
      </c>
      <c r="I700" t="b">
        <f>+ISNUMBER(SEARCH('F-COMPRA'!$F$28,Tabla11[[#This Row],[Cuenta]],1))</f>
        <v>1</v>
      </c>
      <c r="J700" t="b">
        <f>+ISNUMBER(SEARCH('F-COMPRA'!$F$29,Tabla11[[#This Row],[Cuenta]],1))</f>
        <v>1</v>
      </c>
      <c r="K700" t="b">
        <f>+ISNUMBER(SEARCH('F-COMPRA'!$F$30,Tabla11[[#This Row],[Cuenta]],1))</f>
        <v>1</v>
      </c>
      <c r="L700" t="b">
        <f>+ISNUMBER(SEARCH('F-COMPRA'!$F$31,Tabla11[[#This Row],[Cuenta]],1))</f>
        <v>1</v>
      </c>
      <c r="M700" t="b">
        <f>+ISNUMBER(SEARCH('F-COMPRA'!$G$25,Tabla11[[#This Row],[Cuenta]],1))</f>
        <v>0</v>
      </c>
      <c r="N700" t="b">
        <f>+ISNUMBER(SEARCH(#REF!,Tabla11[[#This Row],[Cuenta]],1))</f>
        <v>0</v>
      </c>
      <c r="O700" t="b">
        <f>+ISNUMBER(SEARCH(#REF!,Tabla11[[#This Row],[Cuenta]],1))</f>
        <v>0</v>
      </c>
      <c r="P700" t="b">
        <f>+ISNUMBER(SEARCH('F-COMPRA'!$F$32,Tabla11[[#This Row],[Cuenta]],1))</f>
        <v>1</v>
      </c>
      <c r="Q700" t="b">
        <f>+ISNUMBER(SEARCH('F-COMPRA'!$F$33,Tabla11[[#This Row],[Cuenta]],1))</f>
        <v>1</v>
      </c>
      <c r="R700" t="b">
        <f>+ISNUMBER(SEARCH('F-COMPRA'!$F$34,Tabla11[[#This Row],[Cuenta]],1))</f>
        <v>1</v>
      </c>
      <c r="S700" t="b">
        <f>+ISNUMBER(SEARCH('F-COMPRA'!$F$35,Tabla11[[#This Row],[Cuenta]],1))</f>
        <v>1</v>
      </c>
      <c r="T700" t="b">
        <f>+ISNUMBER(SEARCH('F-COMPRA'!$F$36,Tabla11[[#This Row],[Cuenta]],1))</f>
        <v>1</v>
      </c>
      <c r="U700" t="b">
        <f>+ISNUMBER(SEARCH('F-COMPRA'!$F$37,Tabla11[[#This Row],[Cuenta]],1))</f>
        <v>1</v>
      </c>
      <c r="V700" t="b">
        <f>+ISNUMBER(SEARCH(#REF!,Tabla11[[#This Row],[Cuenta]],1))</f>
        <v>0</v>
      </c>
      <c r="W700" t="b">
        <f>+ISNUMBER(SEARCH('F-COMPRA'!#REF!,Tabla11[[#This Row],[Cuenta]],1))</f>
        <v>0</v>
      </c>
      <c r="X700" t="b">
        <f>+ISNUMBER(SEARCH('F-COMPRA'!#REF!,Tabla11[[#This Row],[Cuenta]],1))</f>
        <v>0</v>
      </c>
      <c r="Y700" t="b">
        <f>+ISNUMBER(SEARCH('F-COMPRA'!#REF!,Tabla11[[#This Row],[Cuenta]],1))</f>
        <v>0</v>
      </c>
      <c r="Z700" t="b">
        <f>+ISNUMBER(SEARCH('F-COMPRA'!#REF!,Tabla11[[#This Row],[Cuenta]],1))</f>
        <v>0</v>
      </c>
      <c r="AA700" t="b">
        <f>+ISNUMBER(SEARCH('F-COMPRA'!#REF!,Tabla11[[#This Row],[Cuenta]],1))</f>
        <v>0</v>
      </c>
      <c r="AB700" t="b">
        <f>+ISNUMBER(SEARCH('F-COMPRA'!#REF!,Tabla11[[#This Row],[Cuenta]],1))</f>
        <v>0</v>
      </c>
      <c r="AC700" t="b">
        <f>+ISNUMBER(SEARCH('F-COMPRA'!#REF!,Tabla11[[#This Row],[Cuenta]],1))</f>
        <v>0</v>
      </c>
      <c r="AD700" t="b">
        <f>+ISNUMBER(SEARCH('F-COMPRA'!#REF!,Tabla11[[#This Row],[Cuenta]],1))</f>
        <v>0</v>
      </c>
      <c r="AE700" t="b">
        <f>+ISNUMBER(SEARCH('F-COMPRA'!#REF!,Tabla11[[#This Row],[Cuenta]],1))</f>
        <v>0</v>
      </c>
      <c r="AF700" t="b">
        <f>+ISNUMBER(SEARCH('F-VTA'!$G$23,Tabla11[[#This Row],[Cuenta]],1))</f>
        <v>0</v>
      </c>
      <c r="AG700" t="b">
        <f>+ISNUMBER(SEARCH('F-VTA'!$G$24,Tabla11[[#This Row],[Cuenta]],1))</f>
        <v>0</v>
      </c>
      <c r="AH700" t="b">
        <f>+ISNUMBER(SEARCH('F-VTA'!$G$25,Tabla11[[#This Row],[Cuenta]],1))</f>
        <v>0</v>
      </c>
      <c r="AI700" t="b">
        <f>+ISNUMBER(SEARCH('F-VTA'!$F$28,Tabla11[[#This Row],[Cuenta]],1))</f>
        <v>1</v>
      </c>
      <c r="AJ700" t="b">
        <f>+ISNUMBER(SEARCH('F-VTA'!$F$29,Tabla11[[#This Row],[Cuenta]],1))</f>
        <v>1</v>
      </c>
      <c r="AK700" t="b">
        <f>+ISNUMBER(SEARCH('F-VTA'!$F$30,Tabla11[[#This Row],[Cuenta]],1))</f>
        <v>1</v>
      </c>
      <c r="AL700" t="b">
        <f>+ISNUMBER(SEARCH('F-VTA'!$F$31,Tabla11[[#This Row],[Cuenta]],1))</f>
        <v>1</v>
      </c>
      <c r="AM700" t="b">
        <f>+ISNUMBER(SEARCH('F-VTA'!$F$32,Tabla11[[#This Row],[Cuenta]],1))</f>
        <v>1</v>
      </c>
      <c r="AN700" t="b">
        <f>+ISNUMBER(SEARCH('F-VTA'!$F$33,Tabla11[[#This Row],[Cuenta]],1))</f>
        <v>1</v>
      </c>
      <c r="AO700" t="b">
        <f>+ISNUMBER(SEARCH('F-VTA'!$F$34,Tabla11[[#This Row],[Cuenta]],1))</f>
        <v>1</v>
      </c>
      <c r="AP700" t="b">
        <f>+ISNUMBER(SEARCH('F-VTA'!$F$35,Tabla11[[#This Row],[Cuenta]],1))</f>
        <v>1</v>
      </c>
      <c r="AQ700" t="b">
        <f>+ISNUMBER(SEARCH('F-VTA'!$F$36,Tabla11[[#This Row],[Cuenta]],1))</f>
        <v>1</v>
      </c>
      <c r="AR700" t="b">
        <f>+ISNUMBER(SEARCH(#REF!,Tabla11[[#This Row],[Cuenta]],1))</f>
        <v>0</v>
      </c>
      <c r="AS700" t="b">
        <f>+ISNUMBER(SEARCH(#REF!,Tabla11[[#This Row],[Cuenta]],1))</f>
        <v>0</v>
      </c>
      <c r="AT700" t="b">
        <f>+ISNUMBER(SEARCH(#REF!,Tabla11[[#This Row],[Cuenta]],1))</f>
        <v>0</v>
      </c>
      <c r="AU700" t="b">
        <f>+ISNUMBER(SEARCH('Conc. Ban.1'!$I$9,Tabla11[[#This Row],[Cuenta]],1))</f>
        <v>0</v>
      </c>
      <c r="AV700" t="b">
        <f>+ISNUMBER(SEARCH(CompConta!$F$21,Tabla11[[#This Row],[Cuenta]],1))</f>
        <v>1</v>
      </c>
      <c r="AW700" t="b">
        <f>+ISNUMBER(SEARCH(CompConta!$F$22,Tabla11[[#This Row],[Cuenta]],1))</f>
        <v>1</v>
      </c>
      <c r="AX700" t="b">
        <f>+ISNUMBER(SEARCH(CompConta!$F$23,Tabla11[[#This Row],[Cuenta]],1))</f>
        <v>1</v>
      </c>
      <c r="AY700" t="b">
        <f>+ISNUMBER(SEARCH(CompConta!$F$24,Tabla11[[#This Row],[Cuenta]],1))</f>
        <v>1</v>
      </c>
      <c r="AZ700" t="b">
        <f>+ISNUMBER(SEARCH(CompConta!$F$25,Tabla11[[#This Row],[Cuenta]],1))</f>
        <v>1</v>
      </c>
      <c r="BA700" t="b">
        <f>+ISNUMBER(SEARCH(CompConta!$F$26,Tabla11[[#This Row],[Cuenta]],1))</f>
        <v>1</v>
      </c>
      <c r="BB700" t="b">
        <f>+ISNUMBER(SEARCH(CompConta!$F$27,Tabla11[[#This Row],[Cuenta]],1))</f>
        <v>1</v>
      </c>
      <c r="BC700" t="b">
        <f>+ISNUMBER(SEARCH(CompConta!$F$28,Tabla11[[#This Row],[Cuenta]],1))</f>
        <v>1</v>
      </c>
      <c r="BD700" t="b">
        <f>+ISNUMBER(SEARCH(CompConta!$F$29,Tabla11[[#This Row],[Cuenta]],1))</f>
        <v>1</v>
      </c>
      <c r="BE700" t="b">
        <f>+ISNUMBER(SEARCH(CompConta!$F$30,Tabla11[[#This Row],[Cuenta]],1))</f>
        <v>1</v>
      </c>
      <c r="BF700" t="b">
        <f>+ISNUMBER(SEARCH('PAGO Compras'!$E$11,Tabla11[[#This Row],[Cuenta]],1))</f>
        <v>1</v>
      </c>
      <c r="BG700" t="b">
        <f>+ISNUMBER(SEARCH(#REF!,Tabla11[[#This Row],[Cuenta]],1))</f>
        <v>0</v>
      </c>
      <c r="BH700" t="b">
        <f>+ISNUMBER(SEARCH(#REF!,Tabla11[[#This Row],[Cuenta]],1))</f>
        <v>0</v>
      </c>
      <c r="BI700" t="b">
        <f>+ISNUMBER(SEARCH(#REF!,Tabla11[[#This Row],[Cuenta]],1))</f>
        <v>0</v>
      </c>
      <c r="BJ700" t="b">
        <f>+ISNUMBER(SEARCH(#REF!,Tabla11[[#This Row],[Cuenta]],1))</f>
        <v>0</v>
      </c>
      <c r="BS700" t="str">
        <v>381048 Acueductos, plantas y redes</v>
      </c>
      <c r="BT700" t="str">
        <v>381048 Acueductos, plantas y redes</v>
      </c>
      <c r="BU700" t="str">
        <v>381048 Acueductos, plantas y redes</v>
      </c>
      <c r="BV700" t="str">
        <v>381048 Acueductos, plantas y redes</v>
      </c>
      <c r="BZ700" t="str">
        <v>381048 Acueductos, plantas y redes</v>
      </c>
      <c r="CA700" t="str">
        <v>381048 Acueductos, plantas y redes</v>
      </c>
      <c r="CB700" t="str">
        <v>381048 Acueductos, plantas y redes</v>
      </c>
      <c r="CC700" t="str">
        <v>381048 Acueductos, plantas y redes</v>
      </c>
      <c r="CD700" t="str">
        <v>381048 Acueductos, plantas y redes</v>
      </c>
      <c r="CE700" t="str">
        <v>381048 Acueductos, plantas y redes</v>
      </c>
      <c r="CS700" s="141" t="str">
        <v>381048 Acueductos, plantas y redes</v>
      </c>
      <c r="CT700" s="141" t="str">
        <v>381048 Acueductos, plantas y redes</v>
      </c>
      <c r="CU700" s="141" t="str">
        <v>381048 Acueductos, plantas y redes</v>
      </c>
      <c r="CV700" s="141" t="str">
        <v>381048 Acueductos, plantas y redes</v>
      </c>
      <c r="CW700" s="141" t="str">
        <v>381048 Acueductos, plantas y redes</v>
      </c>
      <c r="CX700" s="141" t="str">
        <v>381048 Acueductos, plantas y redes</v>
      </c>
      <c r="CY700" s="141" t="str">
        <v>381048 Acueductos, plantas y redes</v>
      </c>
      <c r="CZ700" s="141" t="str">
        <v>381048 Acueductos, plantas y redes</v>
      </c>
      <c r="DA700" s="141" t="str">
        <v>381048 Acueductos, plantas y redes</v>
      </c>
      <c r="DF700" t="str">
        <v>381048 Acueductos, plantas y redes</v>
      </c>
      <c r="DG700" t="str">
        <v>381048 Acueductos, plantas y redes</v>
      </c>
      <c r="DH700" t="str">
        <v>381048 Acueductos, plantas y redes</v>
      </c>
      <c r="DI700" t="str">
        <v>381048 Acueductos, plantas y redes</v>
      </c>
      <c r="DJ700" t="str">
        <v>381048 Acueductos, plantas y redes</v>
      </c>
      <c r="DK700" t="str">
        <v>381048 Acueductos, plantas y redes</v>
      </c>
      <c r="DL700" t="str">
        <v>381048 Acueductos, plantas y redes</v>
      </c>
      <c r="DM700" t="str">
        <v>381048 Acueductos, plantas y redes</v>
      </c>
      <c r="DN700" t="str">
        <v>381048 Acueductos, plantas y redes</v>
      </c>
      <c r="DO700" t="str">
        <v>381048 Acueductos, plantas y redes</v>
      </c>
      <c r="DP700" t="str">
        <v>381048 Acueductos, plantas y redes</v>
      </c>
    </row>
    <row r="701" spans="4:120" ht="12.75">
      <c r="D701" s="7">
        <v>381052</v>
      </c>
      <c r="E701" s="6" t="s">
        <v>211</v>
      </c>
      <c r="F701" s="5">
        <v>4</v>
      </c>
      <c r="G701" s="34" t="s">
        <v>827</v>
      </c>
      <c r="H701" s="8" t="s">
        <v>56</v>
      </c>
      <c r="I701" t="b">
        <f>+ISNUMBER(SEARCH('F-COMPRA'!$F$28,Tabla11[[#This Row],[Cuenta]],1))</f>
        <v>1</v>
      </c>
      <c r="J701" t="b">
        <f>+ISNUMBER(SEARCH('F-COMPRA'!$F$29,Tabla11[[#This Row],[Cuenta]],1))</f>
        <v>1</v>
      </c>
      <c r="K701" t="b">
        <f>+ISNUMBER(SEARCH('F-COMPRA'!$F$30,Tabla11[[#This Row],[Cuenta]],1))</f>
        <v>1</v>
      </c>
      <c r="L701" t="b">
        <f>+ISNUMBER(SEARCH('F-COMPRA'!$F$31,Tabla11[[#This Row],[Cuenta]],1))</f>
        <v>1</v>
      </c>
      <c r="M701" t="b">
        <f>+ISNUMBER(SEARCH('F-COMPRA'!$G$25,Tabla11[[#This Row],[Cuenta]],1))</f>
        <v>0</v>
      </c>
      <c r="N701" t="b">
        <f>+ISNUMBER(SEARCH(#REF!,Tabla11[[#This Row],[Cuenta]],1))</f>
        <v>0</v>
      </c>
      <c r="O701" t="b">
        <f>+ISNUMBER(SEARCH(#REF!,Tabla11[[#This Row],[Cuenta]],1))</f>
        <v>0</v>
      </c>
      <c r="P701" t="b">
        <f>+ISNUMBER(SEARCH('F-COMPRA'!$F$32,Tabla11[[#This Row],[Cuenta]],1))</f>
        <v>1</v>
      </c>
      <c r="Q701" t="b">
        <f>+ISNUMBER(SEARCH('F-COMPRA'!$F$33,Tabla11[[#This Row],[Cuenta]],1))</f>
        <v>1</v>
      </c>
      <c r="R701" t="b">
        <f>+ISNUMBER(SEARCH('F-COMPRA'!$F$34,Tabla11[[#This Row],[Cuenta]],1))</f>
        <v>1</v>
      </c>
      <c r="S701" t="b">
        <f>+ISNUMBER(SEARCH('F-COMPRA'!$F$35,Tabla11[[#This Row],[Cuenta]],1))</f>
        <v>1</v>
      </c>
      <c r="T701" t="b">
        <f>+ISNUMBER(SEARCH('F-COMPRA'!$F$36,Tabla11[[#This Row],[Cuenta]],1))</f>
        <v>1</v>
      </c>
      <c r="U701" t="b">
        <f>+ISNUMBER(SEARCH('F-COMPRA'!$F$37,Tabla11[[#This Row],[Cuenta]],1))</f>
        <v>1</v>
      </c>
      <c r="V701" t="b">
        <f>+ISNUMBER(SEARCH(#REF!,Tabla11[[#This Row],[Cuenta]],1))</f>
        <v>0</v>
      </c>
      <c r="W701" t="b">
        <f>+ISNUMBER(SEARCH('F-COMPRA'!#REF!,Tabla11[[#This Row],[Cuenta]],1))</f>
        <v>0</v>
      </c>
      <c r="X701" t="b">
        <f>+ISNUMBER(SEARCH('F-COMPRA'!#REF!,Tabla11[[#This Row],[Cuenta]],1))</f>
        <v>0</v>
      </c>
      <c r="Y701" t="b">
        <f>+ISNUMBER(SEARCH('F-COMPRA'!#REF!,Tabla11[[#This Row],[Cuenta]],1))</f>
        <v>0</v>
      </c>
      <c r="Z701" t="b">
        <f>+ISNUMBER(SEARCH('F-COMPRA'!#REF!,Tabla11[[#This Row],[Cuenta]],1))</f>
        <v>0</v>
      </c>
      <c r="AA701" t="b">
        <f>+ISNUMBER(SEARCH('F-COMPRA'!#REF!,Tabla11[[#This Row],[Cuenta]],1))</f>
        <v>0</v>
      </c>
      <c r="AB701" t="b">
        <f>+ISNUMBER(SEARCH('F-COMPRA'!#REF!,Tabla11[[#This Row],[Cuenta]],1))</f>
        <v>0</v>
      </c>
      <c r="AC701" t="b">
        <f>+ISNUMBER(SEARCH('F-COMPRA'!#REF!,Tabla11[[#This Row],[Cuenta]],1))</f>
        <v>0</v>
      </c>
      <c r="AD701" t="b">
        <f>+ISNUMBER(SEARCH('F-COMPRA'!#REF!,Tabla11[[#This Row],[Cuenta]],1))</f>
        <v>0</v>
      </c>
      <c r="AE701" t="b">
        <f>+ISNUMBER(SEARCH('F-COMPRA'!#REF!,Tabla11[[#This Row],[Cuenta]],1))</f>
        <v>0</v>
      </c>
      <c r="AF701" t="b">
        <f>+ISNUMBER(SEARCH('F-VTA'!$G$23,Tabla11[[#This Row],[Cuenta]],1))</f>
        <v>0</v>
      </c>
      <c r="AG701" t="b">
        <f>+ISNUMBER(SEARCH('F-VTA'!$G$24,Tabla11[[#This Row],[Cuenta]],1))</f>
        <v>0</v>
      </c>
      <c r="AH701" t="b">
        <f>+ISNUMBER(SEARCH('F-VTA'!$G$25,Tabla11[[#This Row],[Cuenta]],1))</f>
        <v>0</v>
      </c>
      <c r="AI701" t="b">
        <f>+ISNUMBER(SEARCH('F-VTA'!$F$28,Tabla11[[#This Row],[Cuenta]],1))</f>
        <v>1</v>
      </c>
      <c r="AJ701" t="b">
        <f>+ISNUMBER(SEARCH('F-VTA'!$F$29,Tabla11[[#This Row],[Cuenta]],1))</f>
        <v>1</v>
      </c>
      <c r="AK701" t="b">
        <f>+ISNUMBER(SEARCH('F-VTA'!$F$30,Tabla11[[#This Row],[Cuenta]],1))</f>
        <v>1</v>
      </c>
      <c r="AL701" t="b">
        <f>+ISNUMBER(SEARCH('F-VTA'!$F$31,Tabla11[[#This Row],[Cuenta]],1))</f>
        <v>1</v>
      </c>
      <c r="AM701" t="b">
        <f>+ISNUMBER(SEARCH('F-VTA'!$F$32,Tabla11[[#This Row],[Cuenta]],1))</f>
        <v>1</v>
      </c>
      <c r="AN701" t="b">
        <f>+ISNUMBER(SEARCH('F-VTA'!$F$33,Tabla11[[#This Row],[Cuenta]],1))</f>
        <v>1</v>
      </c>
      <c r="AO701" t="b">
        <f>+ISNUMBER(SEARCH('F-VTA'!$F$34,Tabla11[[#This Row],[Cuenta]],1))</f>
        <v>1</v>
      </c>
      <c r="AP701" t="b">
        <f>+ISNUMBER(SEARCH('F-VTA'!$F$35,Tabla11[[#This Row],[Cuenta]],1))</f>
        <v>1</v>
      </c>
      <c r="AQ701" t="b">
        <f>+ISNUMBER(SEARCH('F-VTA'!$F$36,Tabla11[[#This Row],[Cuenta]],1))</f>
        <v>1</v>
      </c>
      <c r="AR701" t="b">
        <f>+ISNUMBER(SEARCH(#REF!,Tabla11[[#This Row],[Cuenta]],1))</f>
        <v>0</v>
      </c>
      <c r="AS701" t="b">
        <f>+ISNUMBER(SEARCH(#REF!,Tabla11[[#This Row],[Cuenta]],1))</f>
        <v>0</v>
      </c>
      <c r="AT701" t="b">
        <f>+ISNUMBER(SEARCH(#REF!,Tabla11[[#This Row],[Cuenta]],1))</f>
        <v>0</v>
      </c>
      <c r="AU701" t="b">
        <f>+ISNUMBER(SEARCH('Conc. Ban.1'!$I$9,Tabla11[[#This Row],[Cuenta]],1))</f>
        <v>0</v>
      </c>
      <c r="AV701" t="b">
        <f>+ISNUMBER(SEARCH(CompConta!$F$21,Tabla11[[#This Row],[Cuenta]],1))</f>
        <v>1</v>
      </c>
      <c r="AW701" t="b">
        <f>+ISNUMBER(SEARCH(CompConta!$F$22,Tabla11[[#This Row],[Cuenta]],1))</f>
        <v>1</v>
      </c>
      <c r="AX701" t="b">
        <f>+ISNUMBER(SEARCH(CompConta!$F$23,Tabla11[[#This Row],[Cuenta]],1))</f>
        <v>1</v>
      </c>
      <c r="AY701" t="b">
        <f>+ISNUMBER(SEARCH(CompConta!$F$24,Tabla11[[#This Row],[Cuenta]],1))</f>
        <v>1</v>
      </c>
      <c r="AZ701" t="b">
        <f>+ISNUMBER(SEARCH(CompConta!$F$25,Tabla11[[#This Row],[Cuenta]],1))</f>
        <v>1</v>
      </c>
      <c r="BA701" t="b">
        <f>+ISNUMBER(SEARCH(CompConta!$F$26,Tabla11[[#This Row],[Cuenta]],1))</f>
        <v>1</v>
      </c>
      <c r="BB701" t="b">
        <f>+ISNUMBER(SEARCH(CompConta!$F$27,Tabla11[[#This Row],[Cuenta]],1))</f>
        <v>1</v>
      </c>
      <c r="BC701" t="b">
        <f>+ISNUMBER(SEARCH(CompConta!$F$28,Tabla11[[#This Row],[Cuenta]],1))</f>
        <v>1</v>
      </c>
      <c r="BD701" t="b">
        <f>+ISNUMBER(SEARCH(CompConta!$F$29,Tabla11[[#This Row],[Cuenta]],1))</f>
        <v>1</v>
      </c>
      <c r="BE701" t="b">
        <f>+ISNUMBER(SEARCH(CompConta!$F$30,Tabla11[[#This Row],[Cuenta]],1))</f>
        <v>1</v>
      </c>
      <c r="BF701" t="b">
        <f>+ISNUMBER(SEARCH('PAGO Compras'!$E$11,Tabla11[[#This Row],[Cuenta]],1))</f>
        <v>1</v>
      </c>
      <c r="BG701" t="b">
        <f>+ISNUMBER(SEARCH(#REF!,Tabla11[[#This Row],[Cuenta]],1))</f>
        <v>0</v>
      </c>
      <c r="BH701" t="b">
        <f>+ISNUMBER(SEARCH(#REF!,Tabla11[[#This Row],[Cuenta]],1))</f>
        <v>0</v>
      </c>
      <c r="BI701" t="b">
        <f>+ISNUMBER(SEARCH(#REF!,Tabla11[[#This Row],[Cuenta]],1))</f>
        <v>0</v>
      </c>
      <c r="BJ701" t="b">
        <f>+ISNUMBER(SEARCH(#REF!,Tabla11[[#This Row],[Cuenta]],1))</f>
        <v>0</v>
      </c>
      <c r="BS701" t="str">
        <v>381052 Armamento de vigilancia</v>
      </c>
      <c r="BT701" t="str">
        <v>381052 Armamento de vigilancia</v>
      </c>
      <c r="BU701" t="str">
        <v>381052 Armamento de vigilancia</v>
      </c>
      <c r="BV701" t="str">
        <v>381052 Armamento de vigilancia</v>
      </c>
      <c r="BZ701" t="str">
        <v>381052 Armamento de vigilancia</v>
      </c>
      <c r="CA701" t="str">
        <v>381052 Armamento de vigilancia</v>
      </c>
      <c r="CB701" t="str">
        <v>381052 Armamento de vigilancia</v>
      </c>
      <c r="CC701" t="str">
        <v>381052 Armamento de vigilancia</v>
      </c>
      <c r="CD701" t="str">
        <v>381052 Armamento de vigilancia</v>
      </c>
      <c r="CE701" t="str">
        <v>381052 Armamento de vigilancia</v>
      </c>
      <c r="CS701" s="141" t="str">
        <v>381052 Armamento de vigilancia</v>
      </c>
      <c r="CT701" s="141" t="str">
        <v>381052 Armamento de vigilancia</v>
      </c>
      <c r="CU701" s="141" t="str">
        <v>381052 Armamento de vigilancia</v>
      </c>
      <c r="CV701" s="141" t="str">
        <v>381052 Armamento de vigilancia</v>
      </c>
      <c r="CW701" s="141" t="str">
        <v>381052 Armamento de vigilancia</v>
      </c>
      <c r="CX701" s="141" t="str">
        <v>381052 Armamento de vigilancia</v>
      </c>
      <c r="CY701" s="141" t="str">
        <v>381052 Armamento de vigilancia</v>
      </c>
      <c r="CZ701" s="141" t="str">
        <v>381052 Armamento de vigilancia</v>
      </c>
      <c r="DA701" s="141" t="str">
        <v>381052 Armamento de vigilancia</v>
      </c>
      <c r="DF701" t="str">
        <v>381052 Armamento de vigilancia</v>
      </c>
      <c r="DG701" t="str">
        <v>381052 Armamento de vigilancia</v>
      </c>
      <c r="DH701" t="str">
        <v>381052 Armamento de vigilancia</v>
      </c>
      <c r="DI701" t="str">
        <v>381052 Armamento de vigilancia</v>
      </c>
      <c r="DJ701" t="str">
        <v>381052 Armamento de vigilancia</v>
      </c>
      <c r="DK701" t="str">
        <v>381052 Armamento de vigilancia</v>
      </c>
      <c r="DL701" t="str">
        <v>381052 Armamento de vigilancia</v>
      </c>
      <c r="DM701" t="str">
        <v>381052 Armamento de vigilancia</v>
      </c>
      <c r="DN701" t="str">
        <v>381052 Armamento de vigilancia</v>
      </c>
      <c r="DO701" t="str">
        <v>381052 Armamento de vigilancia</v>
      </c>
      <c r="DP701" t="str">
        <v>381052 Armamento de vigilancia</v>
      </c>
    </row>
    <row r="702" spans="4:120" ht="12.75">
      <c r="D702" s="7">
        <v>381056</v>
      </c>
      <c r="E702" s="6" t="s">
        <v>213</v>
      </c>
      <c r="F702" s="5">
        <v>4</v>
      </c>
      <c r="G702" s="34" t="s">
        <v>827</v>
      </c>
      <c r="H702" s="8" t="s">
        <v>56</v>
      </c>
      <c r="I702" t="b">
        <f>+ISNUMBER(SEARCH('F-COMPRA'!$F$28,Tabla11[[#This Row],[Cuenta]],1))</f>
        <v>1</v>
      </c>
      <c r="J702" t="b">
        <f>+ISNUMBER(SEARCH('F-COMPRA'!$F$29,Tabla11[[#This Row],[Cuenta]],1))</f>
        <v>1</v>
      </c>
      <c r="K702" t="b">
        <f>+ISNUMBER(SEARCH('F-COMPRA'!$F$30,Tabla11[[#This Row],[Cuenta]],1))</f>
        <v>1</v>
      </c>
      <c r="L702" t="b">
        <f>+ISNUMBER(SEARCH('F-COMPRA'!$F$31,Tabla11[[#This Row],[Cuenta]],1))</f>
        <v>1</v>
      </c>
      <c r="M702" t="b">
        <f>+ISNUMBER(SEARCH('F-COMPRA'!$G$25,Tabla11[[#This Row],[Cuenta]],1))</f>
        <v>0</v>
      </c>
      <c r="N702" t="b">
        <f>+ISNUMBER(SEARCH(#REF!,Tabla11[[#This Row],[Cuenta]],1))</f>
        <v>0</v>
      </c>
      <c r="O702" t="b">
        <f>+ISNUMBER(SEARCH(#REF!,Tabla11[[#This Row],[Cuenta]],1))</f>
        <v>0</v>
      </c>
      <c r="P702" t="b">
        <f>+ISNUMBER(SEARCH('F-COMPRA'!$F$32,Tabla11[[#This Row],[Cuenta]],1))</f>
        <v>1</v>
      </c>
      <c r="Q702" t="b">
        <f>+ISNUMBER(SEARCH('F-COMPRA'!$F$33,Tabla11[[#This Row],[Cuenta]],1))</f>
        <v>1</v>
      </c>
      <c r="R702" t="b">
        <f>+ISNUMBER(SEARCH('F-COMPRA'!$F$34,Tabla11[[#This Row],[Cuenta]],1))</f>
        <v>1</v>
      </c>
      <c r="S702" t="b">
        <f>+ISNUMBER(SEARCH('F-COMPRA'!$F$35,Tabla11[[#This Row],[Cuenta]],1))</f>
        <v>1</v>
      </c>
      <c r="T702" t="b">
        <f>+ISNUMBER(SEARCH('F-COMPRA'!$F$36,Tabla11[[#This Row],[Cuenta]],1))</f>
        <v>1</v>
      </c>
      <c r="U702" t="b">
        <f>+ISNUMBER(SEARCH('F-COMPRA'!$F$37,Tabla11[[#This Row],[Cuenta]],1))</f>
        <v>1</v>
      </c>
      <c r="V702" t="b">
        <f>+ISNUMBER(SEARCH(#REF!,Tabla11[[#This Row],[Cuenta]],1))</f>
        <v>0</v>
      </c>
      <c r="W702" t="b">
        <f>+ISNUMBER(SEARCH('F-COMPRA'!#REF!,Tabla11[[#This Row],[Cuenta]],1))</f>
        <v>0</v>
      </c>
      <c r="X702" t="b">
        <f>+ISNUMBER(SEARCH('F-COMPRA'!#REF!,Tabla11[[#This Row],[Cuenta]],1))</f>
        <v>0</v>
      </c>
      <c r="Y702" t="b">
        <f>+ISNUMBER(SEARCH('F-COMPRA'!#REF!,Tabla11[[#This Row],[Cuenta]],1))</f>
        <v>0</v>
      </c>
      <c r="Z702" t="b">
        <f>+ISNUMBER(SEARCH('F-COMPRA'!#REF!,Tabla11[[#This Row],[Cuenta]],1))</f>
        <v>0</v>
      </c>
      <c r="AA702" t="b">
        <f>+ISNUMBER(SEARCH('F-COMPRA'!#REF!,Tabla11[[#This Row],[Cuenta]],1))</f>
        <v>0</v>
      </c>
      <c r="AB702" t="b">
        <f>+ISNUMBER(SEARCH('F-COMPRA'!#REF!,Tabla11[[#This Row],[Cuenta]],1))</f>
        <v>0</v>
      </c>
      <c r="AC702" t="b">
        <f>+ISNUMBER(SEARCH('F-COMPRA'!#REF!,Tabla11[[#This Row],[Cuenta]],1))</f>
        <v>0</v>
      </c>
      <c r="AD702" t="b">
        <f>+ISNUMBER(SEARCH('F-COMPRA'!#REF!,Tabla11[[#This Row],[Cuenta]],1))</f>
        <v>0</v>
      </c>
      <c r="AE702" t="b">
        <f>+ISNUMBER(SEARCH('F-COMPRA'!#REF!,Tabla11[[#This Row],[Cuenta]],1))</f>
        <v>0</v>
      </c>
      <c r="AF702" t="b">
        <f>+ISNUMBER(SEARCH('F-VTA'!$G$23,Tabla11[[#This Row],[Cuenta]],1))</f>
        <v>0</v>
      </c>
      <c r="AG702" t="b">
        <f>+ISNUMBER(SEARCH('F-VTA'!$G$24,Tabla11[[#This Row],[Cuenta]],1))</f>
        <v>0</v>
      </c>
      <c r="AH702" t="b">
        <f>+ISNUMBER(SEARCH('F-VTA'!$G$25,Tabla11[[#This Row],[Cuenta]],1))</f>
        <v>0</v>
      </c>
      <c r="AI702" t="b">
        <f>+ISNUMBER(SEARCH('F-VTA'!$F$28,Tabla11[[#This Row],[Cuenta]],1))</f>
        <v>1</v>
      </c>
      <c r="AJ702" t="b">
        <f>+ISNUMBER(SEARCH('F-VTA'!$F$29,Tabla11[[#This Row],[Cuenta]],1))</f>
        <v>1</v>
      </c>
      <c r="AK702" t="b">
        <f>+ISNUMBER(SEARCH('F-VTA'!$F$30,Tabla11[[#This Row],[Cuenta]],1))</f>
        <v>1</v>
      </c>
      <c r="AL702" t="b">
        <f>+ISNUMBER(SEARCH('F-VTA'!$F$31,Tabla11[[#This Row],[Cuenta]],1))</f>
        <v>1</v>
      </c>
      <c r="AM702" t="b">
        <f>+ISNUMBER(SEARCH('F-VTA'!$F$32,Tabla11[[#This Row],[Cuenta]],1))</f>
        <v>1</v>
      </c>
      <c r="AN702" t="b">
        <f>+ISNUMBER(SEARCH('F-VTA'!$F$33,Tabla11[[#This Row],[Cuenta]],1))</f>
        <v>1</v>
      </c>
      <c r="AO702" t="b">
        <f>+ISNUMBER(SEARCH('F-VTA'!$F$34,Tabla11[[#This Row],[Cuenta]],1))</f>
        <v>1</v>
      </c>
      <c r="AP702" t="b">
        <f>+ISNUMBER(SEARCH('F-VTA'!$F$35,Tabla11[[#This Row],[Cuenta]],1))</f>
        <v>1</v>
      </c>
      <c r="AQ702" t="b">
        <f>+ISNUMBER(SEARCH('F-VTA'!$F$36,Tabla11[[#This Row],[Cuenta]],1))</f>
        <v>1</v>
      </c>
      <c r="AR702" t="b">
        <f>+ISNUMBER(SEARCH(#REF!,Tabla11[[#This Row],[Cuenta]],1))</f>
        <v>0</v>
      </c>
      <c r="AS702" t="b">
        <f>+ISNUMBER(SEARCH(#REF!,Tabla11[[#This Row],[Cuenta]],1))</f>
        <v>0</v>
      </c>
      <c r="AT702" t="b">
        <f>+ISNUMBER(SEARCH(#REF!,Tabla11[[#This Row],[Cuenta]],1))</f>
        <v>0</v>
      </c>
      <c r="AU702" t="b">
        <f>+ISNUMBER(SEARCH('Conc. Ban.1'!$I$9,Tabla11[[#This Row],[Cuenta]],1))</f>
        <v>0</v>
      </c>
      <c r="AV702" t="b">
        <f>+ISNUMBER(SEARCH(CompConta!$F$21,Tabla11[[#This Row],[Cuenta]],1))</f>
        <v>1</v>
      </c>
      <c r="AW702" t="b">
        <f>+ISNUMBER(SEARCH(CompConta!$F$22,Tabla11[[#This Row],[Cuenta]],1))</f>
        <v>1</v>
      </c>
      <c r="AX702" t="b">
        <f>+ISNUMBER(SEARCH(CompConta!$F$23,Tabla11[[#This Row],[Cuenta]],1))</f>
        <v>1</v>
      </c>
      <c r="AY702" t="b">
        <f>+ISNUMBER(SEARCH(CompConta!$F$24,Tabla11[[#This Row],[Cuenta]],1))</f>
        <v>1</v>
      </c>
      <c r="AZ702" t="b">
        <f>+ISNUMBER(SEARCH(CompConta!$F$25,Tabla11[[#This Row],[Cuenta]],1))</f>
        <v>1</v>
      </c>
      <c r="BA702" t="b">
        <f>+ISNUMBER(SEARCH(CompConta!$F$26,Tabla11[[#This Row],[Cuenta]],1))</f>
        <v>1</v>
      </c>
      <c r="BB702" t="b">
        <f>+ISNUMBER(SEARCH(CompConta!$F$27,Tabla11[[#This Row],[Cuenta]],1))</f>
        <v>1</v>
      </c>
      <c r="BC702" t="b">
        <f>+ISNUMBER(SEARCH(CompConta!$F$28,Tabla11[[#This Row],[Cuenta]],1))</f>
        <v>1</v>
      </c>
      <c r="BD702" t="b">
        <f>+ISNUMBER(SEARCH(CompConta!$F$29,Tabla11[[#This Row],[Cuenta]],1))</f>
        <v>1</v>
      </c>
      <c r="BE702" t="b">
        <f>+ISNUMBER(SEARCH(CompConta!$F$30,Tabla11[[#This Row],[Cuenta]],1))</f>
        <v>1</v>
      </c>
      <c r="BF702" t="b">
        <f>+ISNUMBER(SEARCH('PAGO Compras'!$E$11,Tabla11[[#This Row],[Cuenta]],1))</f>
        <v>1</v>
      </c>
      <c r="BG702" t="b">
        <f>+ISNUMBER(SEARCH(#REF!,Tabla11[[#This Row],[Cuenta]],1))</f>
        <v>0</v>
      </c>
      <c r="BH702" t="b">
        <f>+ISNUMBER(SEARCH(#REF!,Tabla11[[#This Row],[Cuenta]],1))</f>
        <v>0</v>
      </c>
      <c r="BI702" t="b">
        <f>+ISNUMBER(SEARCH(#REF!,Tabla11[[#This Row],[Cuenta]],1))</f>
        <v>0</v>
      </c>
      <c r="BJ702" t="b">
        <f>+ISNUMBER(SEARCH(#REF!,Tabla11[[#This Row],[Cuenta]],1))</f>
        <v>0</v>
      </c>
      <c r="BS702" t="str">
        <v>381056 Envases y empaques</v>
      </c>
      <c r="BT702" t="str">
        <v>381056 Envases y empaques</v>
      </c>
      <c r="BU702" t="str">
        <v>381056 Envases y empaques</v>
      </c>
      <c r="BV702" t="str">
        <v>381056 Envases y empaques</v>
      </c>
      <c r="BZ702" t="str">
        <v>381056 Envases y empaques</v>
      </c>
      <c r="CA702" t="str">
        <v>381056 Envases y empaques</v>
      </c>
      <c r="CB702" t="str">
        <v>381056 Envases y empaques</v>
      </c>
      <c r="CC702" t="str">
        <v>381056 Envases y empaques</v>
      </c>
      <c r="CD702" t="str">
        <v>381056 Envases y empaques</v>
      </c>
      <c r="CE702" t="str">
        <v>381056 Envases y empaques</v>
      </c>
      <c r="CS702" s="141" t="str">
        <v>381056 Envases y empaques</v>
      </c>
      <c r="CT702" s="141" t="str">
        <v>381056 Envases y empaques</v>
      </c>
      <c r="CU702" s="141" t="str">
        <v>381056 Envases y empaques</v>
      </c>
      <c r="CV702" s="141" t="str">
        <v>381056 Envases y empaques</v>
      </c>
      <c r="CW702" s="141" t="str">
        <v>381056 Envases y empaques</v>
      </c>
      <c r="CX702" s="141" t="str">
        <v>381056 Envases y empaques</v>
      </c>
      <c r="CY702" s="141" t="str">
        <v>381056 Envases y empaques</v>
      </c>
      <c r="CZ702" s="141" t="str">
        <v>381056 Envases y empaques</v>
      </c>
      <c r="DA702" s="141" t="str">
        <v>381056 Envases y empaques</v>
      </c>
      <c r="DF702" t="str">
        <v>381056 Envases y empaques</v>
      </c>
      <c r="DG702" t="str">
        <v>381056 Envases y empaques</v>
      </c>
      <c r="DH702" t="str">
        <v>381056 Envases y empaques</v>
      </c>
      <c r="DI702" t="str">
        <v>381056 Envases y empaques</v>
      </c>
      <c r="DJ702" t="str">
        <v>381056 Envases y empaques</v>
      </c>
      <c r="DK702" t="str">
        <v>381056 Envases y empaques</v>
      </c>
      <c r="DL702" t="str">
        <v>381056 Envases y empaques</v>
      </c>
      <c r="DM702" t="str">
        <v>381056 Envases y empaques</v>
      </c>
      <c r="DN702" t="str">
        <v>381056 Envases y empaques</v>
      </c>
      <c r="DO702" t="str">
        <v>381056 Envases y empaques</v>
      </c>
      <c r="DP702" t="str">
        <v>381056 Envases y empaques</v>
      </c>
    </row>
    <row r="703" spans="4:120" ht="12.75">
      <c r="D703" s="7">
        <v>381060</v>
      </c>
      <c r="E703" s="6" t="s">
        <v>219</v>
      </c>
      <c r="F703" s="5">
        <v>4</v>
      </c>
      <c r="G703" s="34" t="s">
        <v>827</v>
      </c>
      <c r="H703" s="8" t="s">
        <v>56</v>
      </c>
      <c r="I703" t="b">
        <f>+ISNUMBER(SEARCH('F-COMPRA'!$F$28,Tabla11[[#This Row],[Cuenta]],1))</f>
        <v>1</v>
      </c>
      <c r="J703" t="b">
        <f>+ISNUMBER(SEARCH('F-COMPRA'!$F$29,Tabla11[[#This Row],[Cuenta]],1))</f>
        <v>1</v>
      </c>
      <c r="K703" t="b">
        <f>+ISNUMBER(SEARCH('F-COMPRA'!$F$30,Tabla11[[#This Row],[Cuenta]],1))</f>
        <v>1</v>
      </c>
      <c r="L703" t="b">
        <f>+ISNUMBER(SEARCH('F-COMPRA'!$F$31,Tabla11[[#This Row],[Cuenta]],1))</f>
        <v>1</v>
      </c>
      <c r="M703" t="b">
        <f>+ISNUMBER(SEARCH('F-COMPRA'!$G$25,Tabla11[[#This Row],[Cuenta]],1))</f>
        <v>0</v>
      </c>
      <c r="N703" t="b">
        <f>+ISNUMBER(SEARCH(#REF!,Tabla11[[#This Row],[Cuenta]],1))</f>
        <v>0</v>
      </c>
      <c r="O703" t="b">
        <f>+ISNUMBER(SEARCH(#REF!,Tabla11[[#This Row],[Cuenta]],1))</f>
        <v>0</v>
      </c>
      <c r="P703" t="b">
        <f>+ISNUMBER(SEARCH('F-COMPRA'!$F$32,Tabla11[[#This Row],[Cuenta]],1))</f>
        <v>1</v>
      </c>
      <c r="Q703" t="b">
        <f>+ISNUMBER(SEARCH('F-COMPRA'!$F$33,Tabla11[[#This Row],[Cuenta]],1))</f>
        <v>1</v>
      </c>
      <c r="R703" t="b">
        <f>+ISNUMBER(SEARCH('F-COMPRA'!$F$34,Tabla11[[#This Row],[Cuenta]],1))</f>
        <v>1</v>
      </c>
      <c r="S703" t="b">
        <f>+ISNUMBER(SEARCH('F-COMPRA'!$F$35,Tabla11[[#This Row],[Cuenta]],1))</f>
        <v>1</v>
      </c>
      <c r="T703" t="b">
        <f>+ISNUMBER(SEARCH('F-COMPRA'!$F$36,Tabla11[[#This Row],[Cuenta]],1))</f>
        <v>1</v>
      </c>
      <c r="U703" t="b">
        <f>+ISNUMBER(SEARCH('F-COMPRA'!$F$37,Tabla11[[#This Row],[Cuenta]],1))</f>
        <v>1</v>
      </c>
      <c r="V703" t="b">
        <f>+ISNUMBER(SEARCH(#REF!,Tabla11[[#This Row],[Cuenta]],1))</f>
        <v>0</v>
      </c>
      <c r="W703" t="b">
        <f>+ISNUMBER(SEARCH('F-COMPRA'!#REF!,Tabla11[[#This Row],[Cuenta]],1))</f>
        <v>0</v>
      </c>
      <c r="X703" t="b">
        <f>+ISNUMBER(SEARCH('F-COMPRA'!#REF!,Tabla11[[#This Row],[Cuenta]],1))</f>
        <v>0</v>
      </c>
      <c r="Y703" t="b">
        <f>+ISNUMBER(SEARCH('F-COMPRA'!#REF!,Tabla11[[#This Row],[Cuenta]],1))</f>
        <v>0</v>
      </c>
      <c r="Z703" t="b">
        <f>+ISNUMBER(SEARCH('F-COMPRA'!#REF!,Tabla11[[#This Row],[Cuenta]],1))</f>
        <v>0</v>
      </c>
      <c r="AA703" t="b">
        <f>+ISNUMBER(SEARCH('F-COMPRA'!#REF!,Tabla11[[#This Row],[Cuenta]],1))</f>
        <v>0</v>
      </c>
      <c r="AB703" t="b">
        <f>+ISNUMBER(SEARCH('F-COMPRA'!#REF!,Tabla11[[#This Row],[Cuenta]],1))</f>
        <v>0</v>
      </c>
      <c r="AC703" t="b">
        <f>+ISNUMBER(SEARCH('F-COMPRA'!#REF!,Tabla11[[#This Row],[Cuenta]],1))</f>
        <v>0</v>
      </c>
      <c r="AD703" t="b">
        <f>+ISNUMBER(SEARCH('F-COMPRA'!#REF!,Tabla11[[#This Row],[Cuenta]],1))</f>
        <v>0</v>
      </c>
      <c r="AE703" t="b">
        <f>+ISNUMBER(SEARCH('F-COMPRA'!#REF!,Tabla11[[#This Row],[Cuenta]],1))</f>
        <v>0</v>
      </c>
      <c r="AF703" t="b">
        <f>+ISNUMBER(SEARCH('F-VTA'!$G$23,Tabla11[[#This Row],[Cuenta]],1))</f>
        <v>0</v>
      </c>
      <c r="AG703" t="b">
        <f>+ISNUMBER(SEARCH('F-VTA'!$G$24,Tabla11[[#This Row],[Cuenta]],1))</f>
        <v>0</v>
      </c>
      <c r="AH703" t="b">
        <f>+ISNUMBER(SEARCH('F-VTA'!$G$25,Tabla11[[#This Row],[Cuenta]],1))</f>
        <v>0</v>
      </c>
      <c r="AI703" t="b">
        <f>+ISNUMBER(SEARCH('F-VTA'!$F$28,Tabla11[[#This Row],[Cuenta]],1))</f>
        <v>1</v>
      </c>
      <c r="AJ703" t="b">
        <f>+ISNUMBER(SEARCH('F-VTA'!$F$29,Tabla11[[#This Row],[Cuenta]],1))</f>
        <v>1</v>
      </c>
      <c r="AK703" t="b">
        <f>+ISNUMBER(SEARCH('F-VTA'!$F$30,Tabla11[[#This Row],[Cuenta]],1))</f>
        <v>1</v>
      </c>
      <c r="AL703" t="b">
        <f>+ISNUMBER(SEARCH('F-VTA'!$F$31,Tabla11[[#This Row],[Cuenta]],1))</f>
        <v>1</v>
      </c>
      <c r="AM703" t="b">
        <f>+ISNUMBER(SEARCH('F-VTA'!$F$32,Tabla11[[#This Row],[Cuenta]],1))</f>
        <v>1</v>
      </c>
      <c r="AN703" t="b">
        <f>+ISNUMBER(SEARCH('F-VTA'!$F$33,Tabla11[[#This Row],[Cuenta]],1))</f>
        <v>1</v>
      </c>
      <c r="AO703" t="b">
        <f>+ISNUMBER(SEARCH('F-VTA'!$F$34,Tabla11[[#This Row],[Cuenta]],1))</f>
        <v>1</v>
      </c>
      <c r="AP703" t="b">
        <f>+ISNUMBER(SEARCH('F-VTA'!$F$35,Tabla11[[#This Row],[Cuenta]],1))</f>
        <v>1</v>
      </c>
      <c r="AQ703" t="b">
        <f>+ISNUMBER(SEARCH('F-VTA'!$F$36,Tabla11[[#This Row],[Cuenta]],1))</f>
        <v>1</v>
      </c>
      <c r="AR703" t="b">
        <f>+ISNUMBER(SEARCH(#REF!,Tabla11[[#This Row],[Cuenta]],1))</f>
        <v>0</v>
      </c>
      <c r="AS703" t="b">
        <f>+ISNUMBER(SEARCH(#REF!,Tabla11[[#This Row],[Cuenta]],1))</f>
        <v>0</v>
      </c>
      <c r="AT703" t="b">
        <f>+ISNUMBER(SEARCH(#REF!,Tabla11[[#This Row],[Cuenta]],1))</f>
        <v>0</v>
      </c>
      <c r="AU703" t="b">
        <f>+ISNUMBER(SEARCH('Conc. Ban.1'!$I$9,Tabla11[[#This Row],[Cuenta]],1))</f>
        <v>0</v>
      </c>
      <c r="AV703" t="b">
        <f>+ISNUMBER(SEARCH(CompConta!$F$21,Tabla11[[#This Row],[Cuenta]],1))</f>
        <v>1</v>
      </c>
      <c r="AW703" t="b">
        <f>+ISNUMBER(SEARCH(CompConta!$F$22,Tabla11[[#This Row],[Cuenta]],1))</f>
        <v>1</v>
      </c>
      <c r="AX703" t="b">
        <f>+ISNUMBER(SEARCH(CompConta!$F$23,Tabla11[[#This Row],[Cuenta]],1))</f>
        <v>1</v>
      </c>
      <c r="AY703" t="b">
        <f>+ISNUMBER(SEARCH(CompConta!$F$24,Tabla11[[#This Row],[Cuenta]],1))</f>
        <v>1</v>
      </c>
      <c r="AZ703" t="b">
        <f>+ISNUMBER(SEARCH(CompConta!$F$25,Tabla11[[#This Row],[Cuenta]],1))</f>
        <v>1</v>
      </c>
      <c r="BA703" t="b">
        <f>+ISNUMBER(SEARCH(CompConta!$F$26,Tabla11[[#This Row],[Cuenta]],1))</f>
        <v>1</v>
      </c>
      <c r="BB703" t="b">
        <f>+ISNUMBER(SEARCH(CompConta!$F$27,Tabla11[[#This Row],[Cuenta]],1))</f>
        <v>1</v>
      </c>
      <c r="BC703" t="b">
        <f>+ISNUMBER(SEARCH(CompConta!$F$28,Tabla11[[#This Row],[Cuenta]],1))</f>
        <v>1</v>
      </c>
      <c r="BD703" t="b">
        <f>+ISNUMBER(SEARCH(CompConta!$F$29,Tabla11[[#This Row],[Cuenta]],1))</f>
        <v>1</v>
      </c>
      <c r="BE703" t="b">
        <f>+ISNUMBER(SEARCH(CompConta!$F$30,Tabla11[[#This Row],[Cuenta]],1))</f>
        <v>1</v>
      </c>
      <c r="BF703" t="b">
        <f>+ISNUMBER(SEARCH('PAGO Compras'!$E$11,Tabla11[[#This Row],[Cuenta]],1))</f>
        <v>1</v>
      </c>
      <c r="BG703" t="b">
        <f>+ISNUMBER(SEARCH(#REF!,Tabla11[[#This Row],[Cuenta]],1))</f>
        <v>0</v>
      </c>
      <c r="BH703" t="b">
        <f>+ISNUMBER(SEARCH(#REF!,Tabla11[[#This Row],[Cuenta]],1))</f>
        <v>0</v>
      </c>
      <c r="BI703" t="b">
        <f>+ISNUMBER(SEARCH(#REF!,Tabla11[[#This Row],[Cuenta]],1))</f>
        <v>0</v>
      </c>
      <c r="BJ703" t="b">
        <f>+ISNUMBER(SEARCH(#REF!,Tabla11[[#This Row],[Cuenta]],1))</f>
        <v>0</v>
      </c>
      <c r="BS703" t="str">
        <v>381060 Plantaciones agrícolas y forestales</v>
      </c>
      <c r="BT703" t="str">
        <v>381060 Plantaciones agrícolas y forestales</v>
      </c>
      <c r="BU703" t="str">
        <v>381060 Plantaciones agrícolas y forestales</v>
      </c>
      <c r="BV703" t="str">
        <v>381060 Plantaciones agrícolas y forestales</v>
      </c>
      <c r="BZ703" t="str">
        <v>381060 Plantaciones agrícolas y forestales</v>
      </c>
      <c r="CA703" t="str">
        <v>381060 Plantaciones agrícolas y forestales</v>
      </c>
      <c r="CB703" t="str">
        <v>381060 Plantaciones agrícolas y forestales</v>
      </c>
      <c r="CC703" t="str">
        <v>381060 Plantaciones agrícolas y forestales</v>
      </c>
      <c r="CD703" t="str">
        <v>381060 Plantaciones agrícolas y forestales</v>
      </c>
      <c r="CE703" t="str">
        <v>381060 Plantaciones agrícolas y forestales</v>
      </c>
      <c r="CS703" s="141" t="str">
        <v>381060 Plantaciones agrícolas y forestales</v>
      </c>
      <c r="CT703" s="141" t="str">
        <v>381060 Plantaciones agrícolas y forestales</v>
      </c>
      <c r="CU703" s="141" t="str">
        <v>381060 Plantaciones agrícolas y forestales</v>
      </c>
      <c r="CV703" s="141" t="str">
        <v>381060 Plantaciones agrícolas y forestales</v>
      </c>
      <c r="CW703" s="141" t="str">
        <v>381060 Plantaciones agrícolas y forestales</v>
      </c>
      <c r="CX703" s="141" t="str">
        <v>381060 Plantaciones agrícolas y forestales</v>
      </c>
      <c r="CY703" s="141" t="str">
        <v>381060 Plantaciones agrícolas y forestales</v>
      </c>
      <c r="CZ703" s="141" t="str">
        <v>381060 Plantaciones agrícolas y forestales</v>
      </c>
      <c r="DA703" s="141" t="str">
        <v>381060 Plantaciones agrícolas y forestales</v>
      </c>
      <c r="DF703" t="str">
        <v>381060 Plantaciones agrícolas y forestales</v>
      </c>
      <c r="DG703" t="str">
        <v>381060 Plantaciones agrícolas y forestales</v>
      </c>
      <c r="DH703" t="str">
        <v>381060 Plantaciones agrícolas y forestales</v>
      </c>
      <c r="DI703" t="str">
        <v>381060 Plantaciones agrícolas y forestales</v>
      </c>
      <c r="DJ703" t="str">
        <v>381060 Plantaciones agrícolas y forestales</v>
      </c>
      <c r="DK703" t="str">
        <v>381060 Plantaciones agrícolas y forestales</v>
      </c>
      <c r="DL703" t="str">
        <v>381060 Plantaciones agrícolas y forestales</v>
      </c>
      <c r="DM703" t="str">
        <v>381060 Plantaciones agrícolas y forestales</v>
      </c>
      <c r="DN703" t="str">
        <v>381060 Plantaciones agrícolas y forestales</v>
      </c>
      <c r="DO703" t="str">
        <v>381060 Plantaciones agrícolas y forestales</v>
      </c>
      <c r="DP703" t="str">
        <v>381060 Plantaciones agrícolas y forestales</v>
      </c>
    </row>
    <row r="704" spans="4:120" ht="12.75">
      <c r="D704" s="7">
        <v>381064</v>
      </c>
      <c r="E704" s="6" t="s">
        <v>123</v>
      </c>
      <c r="F704" s="5">
        <v>4</v>
      </c>
      <c r="G704" s="34" t="s">
        <v>827</v>
      </c>
      <c r="H704" s="8" t="s">
        <v>56</v>
      </c>
      <c r="I704" t="b">
        <f>+ISNUMBER(SEARCH('F-COMPRA'!$F$28,Tabla11[[#This Row],[Cuenta]],1))</f>
        <v>1</v>
      </c>
      <c r="J704" t="b">
        <f>+ISNUMBER(SEARCH('F-COMPRA'!$F$29,Tabla11[[#This Row],[Cuenta]],1))</f>
        <v>1</v>
      </c>
      <c r="K704" t="b">
        <f>+ISNUMBER(SEARCH('F-COMPRA'!$F$30,Tabla11[[#This Row],[Cuenta]],1))</f>
        <v>1</v>
      </c>
      <c r="L704" t="b">
        <f>+ISNUMBER(SEARCH('F-COMPRA'!$F$31,Tabla11[[#This Row],[Cuenta]],1))</f>
        <v>1</v>
      </c>
      <c r="M704" t="b">
        <f>+ISNUMBER(SEARCH('F-COMPRA'!$G$25,Tabla11[[#This Row],[Cuenta]],1))</f>
        <v>0</v>
      </c>
      <c r="N704" t="b">
        <f>+ISNUMBER(SEARCH(#REF!,Tabla11[[#This Row],[Cuenta]],1))</f>
        <v>0</v>
      </c>
      <c r="O704" t="b">
        <f>+ISNUMBER(SEARCH(#REF!,Tabla11[[#This Row],[Cuenta]],1))</f>
        <v>0</v>
      </c>
      <c r="P704" t="b">
        <f>+ISNUMBER(SEARCH('F-COMPRA'!$F$32,Tabla11[[#This Row],[Cuenta]],1))</f>
        <v>1</v>
      </c>
      <c r="Q704" t="b">
        <f>+ISNUMBER(SEARCH('F-COMPRA'!$F$33,Tabla11[[#This Row],[Cuenta]],1))</f>
        <v>1</v>
      </c>
      <c r="R704" t="b">
        <f>+ISNUMBER(SEARCH('F-COMPRA'!$F$34,Tabla11[[#This Row],[Cuenta]],1))</f>
        <v>1</v>
      </c>
      <c r="S704" t="b">
        <f>+ISNUMBER(SEARCH('F-COMPRA'!$F$35,Tabla11[[#This Row],[Cuenta]],1))</f>
        <v>1</v>
      </c>
      <c r="T704" t="b">
        <f>+ISNUMBER(SEARCH('F-COMPRA'!$F$36,Tabla11[[#This Row],[Cuenta]],1))</f>
        <v>1</v>
      </c>
      <c r="U704" t="b">
        <f>+ISNUMBER(SEARCH('F-COMPRA'!$F$37,Tabla11[[#This Row],[Cuenta]],1))</f>
        <v>1</v>
      </c>
      <c r="V704" t="b">
        <f>+ISNUMBER(SEARCH(#REF!,Tabla11[[#This Row],[Cuenta]],1))</f>
        <v>0</v>
      </c>
      <c r="W704" t="b">
        <f>+ISNUMBER(SEARCH('F-COMPRA'!#REF!,Tabla11[[#This Row],[Cuenta]],1))</f>
        <v>0</v>
      </c>
      <c r="X704" t="b">
        <f>+ISNUMBER(SEARCH('F-COMPRA'!#REF!,Tabla11[[#This Row],[Cuenta]],1))</f>
        <v>0</v>
      </c>
      <c r="Y704" t="b">
        <f>+ISNUMBER(SEARCH('F-COMPRA'!#REF!,Tabla11[[#This Row],[Cuenta]],1))</f>
        <v>0</v>
      </c>
      <c r="Z704" t="b">
        <f>+ISNUMBER(SEARCH('F-COMPRA'!#REF!,Tabla11[[#This Row],[Cuenta]],1))</f>
        <v>0</v>
      </c>
      <c r="AA704" t="b">
        <f>+ISNUMBER(SEARCH('F-COMPRA'!#REF!,Tabla11[[#This Row],[Cuenta]],1))</f>
        <v>0</v>
      </c>
      <c r="AB704" t="b">
        <f>+ISNUMBER(SEARCH('F-COMPRA'!#REF!,Tabla11[[#This Row],[Cuenta]],1))</f>
        <v>0</v>
      </c>
      <c r="AC704" t="b">
        <f>+ISNUMBER(SEARCH('F-COMPRA'!#REF!,Tabla11[[#This Row],[Cuenta]],1))</f>
        <v>0</v>
      </c>
      <c r="AD704" t="b">
        <f>+ISNUMBER(SEARCH('F-COMPRA'!#REF!,Tabla11[[#This Row],[Cuenta]],1))</f>
        <v>0</v>
      </c>
      <c r="AE704" t="b">
        <f>+ISNUMBER(SEARCH('F-COMPRA'!#REF!,Tabla11[[#This Row],[Cuenta]],1))</f>
        <v>0</v>
      </c>
      <c r="AF704" t="b">
        <f>+ISNUMBER(SEARCH('F-VTA'!$G$23,Tabla11[[#This Row],[Cuenta]],1))</f>
        <v>0</v>
      </c>
      <c r="AG704" t="b">
        <f>+ISNUMBER(SEARCH('F-VTA'!$G$24,Tabla11[[#This Row],[Cuenta]],1))</f>
        <v>0</v>
      </c>
      <c r="AH704" t="b">
        <f>+ISNUMBER(SEARCH('F-VTA'!$G$25,Tabla11[[#This Row],[Cuenta]],1))</f>
        <v>0</v>
      </c>
      <c r="AI704" t="b">
        <f>+ISNUMBER(SEARCH('F-VTA'!$F$28,Tabla11[[#This Row],[Cuenta]],1))</f>
        <v>1</v>
      </c>
      <c r="AJ704" t="b">
        <f>+ISNUMBER(SEARCH('F-VTA'!$F$29,Tabla11[[#This Row],[Cuenta]],1))</f>
        <v>1</v>
      </c>
      <c r="AK704" t="b">
        <f>+ISNUMBER(SEARCH('F-VTA'!$F$30,Tabla11[[#This Row],[Cuenta]],1))</f>
        <v>1</v>
      </c>
      <c r="AL704" t="b">
        <f>+ISNUMBER(SEARCH('F-VTA'!$F$31,Tabla11[[#This Row],[Cuenta]],1))</f>
        <v>1</v>
      </c>
      <c r="AM704" t="b">
        <f>+ISNUMBER(SEARCH('F-VTA'!$F$32,Tabla11[[#This Row],[Cuenta]],1))</f>
        <v>1</v>
      </c>
      <c r="AN704" t="b">
        <f>+ISNUMBER(SEARCH('F-VTA'!$F$33,Tabla11[[#This Row],[Cuenta]],1))</f>
        <v>1</v>
      </c>
      <c r="AO704" t="b">
        <f>+ISNUMBER(SEARCH('F-VTA'!$F$34,Tabla11[[#This Row],[Cuenta]],1))</f>
        <v>1</v>
      </c>
      <c r="AP704" t="b">
        <f>+ISNUMBER(SEARCH('F-VTA'!$F$35,Tabla11[[#This Row],[Cuenta]],1))</f>
        <v>1</v>
      </c>
      <c r="AQ704" t="b">
        <f>+ISNUMBER(SEARCH('F-VTA'!$F$36,Tabla11[[#This Row],[Cuenta]],1))</f>
        <v>1</v>
      </c>
      <c r="AR704" t="b">
        <f>+ISNUMBER(SEARCH(#REF!,Tabla11[[#This Row],[Cuenta]],1))</f>
        <v>0</v>
      </c>
      <c r="AS704" t="b">
        <f>+ISNUMBER(SEARCH(#REF!,Tabla11[[#This Row],[Cuenta]],1))</f>
        <v>0</v>
      </c>
      <c r="AT704" t="b">
        <f>+ISNUMBER(SEARCH(#REF!,Tabla11[[#This Row],[Cuenta]],1))</f>
        <v>0</v>
      </c>
      <c r="AU704" t="b">
        <f>+ISNUMBER(SEARCH('Conc. Ban.1'!$I$9,Tabla11[[#This Row],[Cuenta]],1))</f>
        <v>0</v>
      </c>
      <c r="AV704" t="b">
        <f>+ISNUMBER(SEARCH(CompConta!$F$21,Tabla11[[#This Row],[Cuenta]],1))</f>
        <v>1</v>
      </c>
      <c r="AW704" t="b">
        <f>+ISNUMBER(SEARCH(CompConta!$F$22,Tabla11[[#This Row],[Cuenta]],1))</f>
        <v>1</v>
      </c>
      <c r="AX704" t="b">
        <f>+ISNUMBER(SEARCH(CompConta!$F$23,Tabla11[[#This Row],[Cuenta]],1))</f>
        <v>1</v>
      </c>
      <c r="AY704" t="b">
        <f>+ISNUMBER(SEARCH(CompConta!$F$24,Tabla11[[#This Row],[Cuenta]],1))</f>
        <v>1</v>
      </c>
      <c r="AZ704" t="b">
        <f>+ISNUMBER(SEARCH(CompConta!$F$25,Tabla11[[#This Row],[Cuenta]],1))</f>
        <v>1</v>
      </c>
      <c r="BA704" t="b">
        <f>+ISNUMBER(SEARCH(CompConta!$F$26,Tabla11[[#This Row],[Cuenta]],1))</f>
        <v>1</v>
      </c>
      <c r="BB704" t="b">
        <f>+ISNUMBER(SEARCH(CompConta!$F$27,Tabla11[[#This Row],[Cuenta]],1))</f>
        <v>1</v>
      </c>
      <c r="BC704" t="b">
        <f>+ISNUMBER(SEARCH(CompConta!$F$28,Tabla11[[#This Row],[Cuenta]],1))</f>
        <v>1</v>
      </c>
      <c r="BD704" t="b">
        <f>+ISNUMBER(SEARCH(CompConta!$F$29,Tabla11[[#This Row],[Cuenta]],1))</f>
        <v>1</v>
      </c>
      <c r="BE704" t="b">
        <f>+ISNUMBER(SEARCH(CompConta!$F$30,Tabla11[[#This Row],[Cuenta]],1))</f>
        <v>1</v>
      </c>
      <c r="BF704" t="b">
        <f>+ISNUMBER(SEARCH('PAGO Compras'!$E$11,Tabla11[[#This Row],[Cuenta]],1))</f>
        <v>1</v>
      </c>
      <c r="BG704" t="b">
        <f>+ISNUMBER(SEARCH(#REF!,Tabla11[[#This Row],[Cuenta]],1))</f>
        <v>0</v>
      </c>
      <c r="BH704" t="b">
        <f>+ISNUMBER(SEARCH(#REF!,Tabla11[[#This Row],[Cuenta]],1))</f>
        <v>0</v>
      </c>
      <c r="BI704" t="b">
        <f>+ISNUMBER(SEARCH(#REF!,Tabla11[[#This Row],[Cuenta]],1))</f>
        <v>0</v>
      </c>
      <c r="BJ704" t="b">
        <f>+ISNUMBER(SEARCH(#REF!,Tabla11[[#This Row],[Cuenta]],1))</f>
        <v>0</v>
      </c>
      <c r="BS704" t="str">
        <v>381064 Vías de comunicación</v>
      </c>
      <c r="BT704" t="str">
        <v>381064 Vías de comunicación</v>
      </c>
      <c r="BU704" t="str">
        <v>381064 Vías de comunicación</v>
      </c>
      <c r="BV704" t="str">
        <v>381064 Vías de comunicación</v>
      </c>
      <c r="BZ704" t="str">
        <v>381064 Vías de comunicación</v>
      </c>
      <c r="CA704" t="str">
        <v>381064 Vías de comunicación</v>
      </c>
      <c r="CB704" t="str">
        <v>381064 Vías de comunicación</v>
      </c>
      <c r="CC704" t="str">
        <v>381064 Vías de comunicación</v>
      </c>
      <c r="CD704" t="str">
        <v>381064 Vías de comunicación</v>
      </c>
      <c r="CE704" t="str">
        <v>381064 Vías de comunicación</v>
      </c>
      <c r="CS704" s="141" t="str">
        <v>381064 Vías de comunicación</v>
      </c>
      <c r="CT704" s="141" t="str">
        <v>381064 Vías de comunicación</v>
      </c>
      <c r="CU704" s="141" t="str">
        <v>381064 Vías de comunicación</v>
      </c>
      <c r="CV704" s="141" t="str">
        <v>381064 Vías de comunicación</v>
      </c>
      <c r="CW704" s="141" t="str">
        <v>381064 Vías de comunicación</v>
      </c>
      <c r="CX704" s="141" t="str">
        <v>381064 Vías de comunicación</v>
      </c>
      <c r="CY704" s="141" t="str">
        <v>381064 Vías de comunicación</v>
      </c>
      <c r="CZ704" s="141" t="str">
        <v>381064 Vías de comunicación</v>
      </c>
      <c r="DA704" s="141" t="str">
        <v>381064 Vías de comunicación</v>
      </c>
      <c r="DF704" t="str">
        <v>381064 Vías de comunicación</v>
      </c>
      <c r="DG704" t="str">
        <v>381064 Vías de comunicación</v>
      </c>
      <c r="DH704" t="str">
        <v>381064 Vías de comunicación</v>
      </c>
      <c r="DI704" t="str">
        <v>381064 Vías de comunicación</v>
      </c>
      <c r="DJ704" t="str">
        <v>381064 Vías de comunicación</v>
      </c>
      <c r="DK704" t="str">
        <v>381064 Vías de comunicación</v>
      </c>
      <c r="DL704" t="str">
        <v>381064 Vías de comunicación</v>
      </c>
      <c r="DM704" t="str">
        <v>381064 Vías de comunicación</v>
      </c>
      <c r="DN704" t="str">
        <v>381064 Vías de comunicación</v>
      </c>
      <c r="DO704" t="str">
        <v>381064 Vías de comunicación</v>
      </c>
      <c r="DP704" t="str">
        <v>381064 Vías de comunicación</v>
      </c>
    </row>
    <row r="705" spans="4:120" ht="12.75">
      <c r="D705" s="7">
        <v>381068</v>
      </c>
      <c r="E705" s="6" t="s">
        <v>221</v>
      </c>
      <c r="F705" s="5">
        <v>4</v>
      </c>
      <c r="G705" s="34" t="s">
        <v>827</v>
      </c>
      <c r="H705" s="8" t="s">
        <v>56</v>
      </c>
      <c r="I705" t="b">
        <f>+ISNUMBER(SEARCH('F-COMPRA'!$F$28,Tabla11[[#This Row],[Cuenta]],1))</f>
        <v>1</v>
      </c>
      <c r="J705" t="b">
        <f>+ISNUMBER(SEARCH('F-COMPRA'!$F$29,Tabla11[[#This Row],[Cuenta]],1))</f>
        <v>1</v>
      </c>
      <c r="K705" t="b">
        <f>+ISNUMBER(SEARCH('F-COMPRA'!$F$30,Tabla11[[#This Row],[Cuenta]],1))</f>
        <v>1</v>
      </c>
      <c r="L705" t="b">
        <f>+ISNUMBER(SEARCH('F-COMPRA'!$F$31,Tabla11[[#This Row],[Cuenta]],1))</f>
        <v>1</v>
      </c>
      <c r="M705" t="b">
        <f>+ISNUMBER(SEARCH('F-COMPRA'!$G$25,Tabla11[[#This Row],[Cuenta]],1))</f>
        <v>0</v>
      </c>
      <c r="N705" t="b">
        <f>+ISNUMBER(SEARCH(#REF!,Tabla11[[#This Row],[Cuenta]],1))</f>
        <v>0</v>
      </c>
      <c r="O705" t="b">
        <f>+ISNUMBER(SEARCH(#REF!,Tabla11[[#This Row],[Cuenta]],1))</f>
        <v>0</v>
      </c>
      <c r="P705" t="b">
        <f>+ISNUMBER(SEARCH('F-COMPRA'!$F$32,Tabla11[[#This Row],[Cuenta]],1))</f>
        <v>1</v>
      </c>
      <c r="Q705" t="b">
        <f>+ISNUMBER(SEARCH('F-COMPRA'!$F$33,Tabla11[[#This Row],[Cuenta]],1))</f>
        <v>1</v>
      </c>
      <c r="R705" t="b">
        <f>+ISNUMBER(SEARCH('F-COMPRA'!$F$34,Tabla11[[#This Row],[Cuenta]],1))</f>
        <v>1</v>
      </c>
      <c r="S705" t="b">
        <f>+ISNUMBER(SEARCH('F-COMPRA'!$F$35,Tabla11[[#This Row],[Cuenta]],1))</f>
        <v>1</v>
      </c>
      <c r="T705" t="b">
        <f>+ISNUMBER(SEARCH('F-COMPRA'!$F$36,Tabla11[[#This Row],[Cuenta]],1))</f>
        <v>1</v>
      </c>
      <c r="U705" t="b">
        <f>+ISNUMBER(SEARCH('F-COMPRA'!$F$37,Tabla11[[#This Row],[Cuenta]],1))</f>
        <v>1</v>
      </c>
      <c r="V705" t="b">
        <f>+ISNUMBER(SEARCH(#REF!,Tabla11[[#This Row],[Cuenta]],1))</f>
        <v>0</v>
      </c>
      <c r="W705" t="b">
        <f>+ISNUMBER(SEARCH('F-COMPRA'!#REF!,Tabla11[[#This Row],[Cuenta]],1))</f>
        <v>0</v>
      </c>
      <c r="X705" t="b">
        <f>+ISNUMBER(SEARCH('F-COMPRA'!#REF!,Tabla11[[#This Row],[Cuenta]],1))</f>
        <v>0</v>
      </c>
      <c r="Y705" t="b">
        <f>+ISNUMBER(SEARCH('F-COMPRA'!#REF!,Tabla11[[#This Row],[Cuenta]],1))</f>
        <v>0</v>
      </c>
      <c r="Z705" t="b">
        <f>+ISNUMBER(SEARCH('F-COMPRA'!#REF!,Tabla11[[#This Row],[Cuenta]],1))</f>
        <v>0</v>
      </c>
      <c r="AA705" t="b">
        <f>+ISNUMBER(SEARCH('F-COMPRA'!#REF!,Tabla11[[#This Row],[Cuenta]],1))</f>
        <v>0</v>
      </c>
      <c r="AB705" t="b">
        <f>+ISNUMBER(SEARCH('F-COMPRA'!#REF!,Tabla11[[#This Row],[Cuenta]],1))</f>
        <v>0</v>
      </c>
      <c r="AC705" t="b">
        <f>+ISNUMBER(SEARCH('F-COMPRA'!#REF!,Tabla11[[#This Row],[Cuenta]],1))</f>
        <v>0</v>
      </c>
      <c r="AD705" t="b">
        <f>+ISNUMBER(SEARCH('F-COMPRA'!#REF!,Tabla11[[#This Row],[Cuenta]],1))</f>
        <v>0</v>
      </c>
      <c r="AE705" t="b">
        <f>+ISNUMBER(SEARCH('F-COMPRA'!#REF!,Tabla11[[#This Row],[Cuenta]],1))</f>
        <v>0</v>
      </c>
      <c r="AF705" t="b">
        <f>+ISNUMBER(SEARCH('F-VTA'!$G$23,Tabla11[[#This Row],[Cuenta]],1))</f>
        <v>0</v>
      </c>
      <c r="AG705" t="b">
        <f>+ISNUMBER(SEARCH('F-VTA'!$G$24,Tabla11[[#This Row],[Cuenta]],1))</f>
        <v>0</v>
      </c>
      <c r="AH705" t="b">
        <f>+ISNUMBER(SEARCH('F-VTA'!$G$25,Tabla11[[#This Row],[Cuenta]],1))</f>
        <v>0</v>
      </c>
      <c r="AI705" t="b">
        <f>+ISNUMBER(SEARCH('F-VTA'!$F$28,Tabla11[[#This Row],[Cuenta]],1))</f>
        <v>1</v>
      </c>
      <c r="AJ705" t="b">
        <f>+ISNUMBER(SEARCH('F-VTA'!$F$29,Tabla11[[#This Row],[Cuenta]],1))</f>
        <v>1</v>
      </c>
      <c r="AK705" t="b">
        <f>+ISNUMBER(SEARCH('F-VTA'!$F$30,Tabla11[[#This Row],[Cuenta]],1))</f>
        <v>1</v>
      </c>
      <c r="AL705" t="b">
        <f>+ISNUMBER(SEARCH('F-VTA'!$F$31,Tabla11[[#This Row],[Cuenta]],1))</f>
        <v>1</v>
      </c>
      <c r="AM705" t="b">
        <f>+ISNUMBER(SEARCH('F-VTA'!$F$32,Tabla11[[#This Row],[Cuenta]],1))</f>
        <v>1</v>
      </c>
      <c r="AN705" t="b">
        <f>+ISNUMBER(SEARCH('F-VTA'!$F$33,Tabla11[[#This Row],[Cuenta]],1))</f>
        <v>1</v>
      </c>
      <c r="AO705" t="b">
        <f>+ISNUMBER(SEARCH('F-VTA'!$F$34,Tabla11[[#This Row],[Cuenta]],1))</f>
        <v>1</v>
      </c>
      <c r="AP705" t="b">
        <f>+ISNUMBER(SEARCH('F-VTA'!$F$35,Tabla11[[#This Row],[Cuenta]],1))</f>
        <v>1</v>
      </c>
      <c r="AQ705" t="b">
        <f>+ISNUMBER(SEARCH('F-VTA'!$F$36,Tabla11[[#This Row],[Cuenta]],1))</f>
        <v>1</v>
      </c>
      <c r="AR705" t="b">
        <f>+ISNUMBER(SEARCH(#REF!,Tabla11[[#This Row],[Cuenta]],1))</f>
        <v>0</v>
      </c>
      <c r="AS705" t="b">
        <f>+ISNUMBER(SEARCH(#REF!,Tabla11[[#This Row],[Cuenta]],1))</f>
        <v>0</v>
      </c>
      <c r="AT705" t="b">
        <f>+ISNUMBER(SEARCH(#REF!,Tabla11[[#This Row],[Cuenta]],1))</f>
        <v>0</v>
      </c>
      <c r="AU705" t="b">
        <f>+ISNUMBER(SEARCH('Conc. Ban.1'!$I$9,Tabla11[[#This Row],[Cuenta]],1))</f>
        <v>0</v>
      </c>
      <c r="AV705" t="b">
        <f>+ISNUMBER(SEARCH(CompConta!$F$21,Tabla11[[#This Row],[Cuenta]],1))</f>
        <v>1</v>
      </c>
      <c r="AW705" t="b">
        <f>+ISNUMBER(SEARCH(CompConta!$F$22,Tabla11[[#This Row],[Cuenta]],1))</f>
        <v>1</v>
      </c>
      <c r="AX705" t="b">
        <f>+ISNUMBER(SEARCH(CompConta!$F$23,Tabla11[[#This Row],[Cuenta]],1))</f>
        <v>1</v>
      </c>
      <c r="AY705" t="b">
        <f>+ISNUMBER(SEARCH(CompConta!$F$24,Tabla11[[#This Row],[Cuenta]],1))</f>
        <v>1</v>
      </c>
      <c r="AZ705" t="b">
        <f>+ISNUMBER(SEARCH(CompConta!$F$25,Tabla11[[#This Row],[Cuenta]],1))</f>
        <v>1</v>
      </c>
      <c r="BA705" t="b">
        <f>+ISNUMBER(SEARCH(CompConta!$F$26,Tabla11[[#This Row],[Cuenta]],1))</f>
        <v>1</v>
      </c>
      <c r="BB705" t="b">
        <f>+ISNUMBER(SEARCH(CompConta!$F$27,Tabla11[[#This Row],[Cuenta]],1))</f>
        <v>1</v>
      </c>
      <c r="BC705" t="b">
        <f>+ISNUMBER(SEARCH(CompConta!$F$28,Tabla11[[#This Row],[Cuenta]],1))</f>
        <v>1</v>
      </c>
      <c r="BD705" t="b">
        <f>+ISNUMBER(SEARCH(CompConta!$F$29,Tabla11[[#This Row],[Cuenta]],1))</f>
        <v>1</v>
      </c>
      <c r="BE705" t="b">
        <f>+ISNUMBER(SEARCH(CompConta!$F$30,Tabla11[[#This Row],[Cuenta]],1))</f>
        <v>1</v>
      </c>
      <c r="BF705" t="b">
        <f>+ISNUMBER(SEARCH('PAGO Compras'!$E$11,Tabla11[[#This Row],[Cuenta]],1))</f>
        <v>1</v>
      </c>
      <c r="BG705" t="b">
        <f>+ISNUMBER(SEARCH(#REF!,Tabla11[[#This Row],[Cuenta]],1))</f>
        <v>0</v>
      </c>
      <c r="BH705" t="b">
        <f>+ISNUMBER(SEARCH(#REF!,Tabla11[[#This Row],[Cuenta]],1))</f>
        <v>0</v>
      </c>
      <c r="BI705" t="b">
        <f>+ISNUMBER(SEARCH(#REF!,Tabla11[[#This Row],[Cuenta]],1))</f>
        <v>0</v>
      </c>
      <c r="BJ705" t="b">
        <f>+ISNUMBER(SEARCH(#REF!,Tabla11[[#This Row],[Cuenta]],1))</f>
        <v>0</v>
      </c>
      <c r="BS705" t="str">
        <v>381068 Minas y canteras</v>
      </c>
      <c r="BT705" t="str">
        <v>381068 Minas y canteras</v>
      </c>
      <c r="BU705" t="str">
        <v>381068 Minas y canteras</v>
      </c>
      <c r="BV705" t="str">
        <v>381068 Minas y canteras</v>
      </c>
      <c r="BZ705" t="str">
        <v>381068 Minas y canteras</v>
      </c>
      <c r="CA705" t="str">
        <v>381068 Minas y canteras</v>
      </c>
      <c r="CB705" t="str">
        <v>381068 Minas y canteras</v>
      </c>
      <c r="CC705" t="str">
        <v>381068 Minas y canteras</v>
      </c>
      <c r="CD705" t="str">
        <v>381068 Minas y canteras</v>
      </c>
      <c r="CE705" t="str">
        <v>381068 Minas y canteras</v>
      </c>
      <c r="CS705" s="141" t="str">
        <v>381068 Minas y canteras</v>
      </c>
      <c r="CT705" s="141" t="str">
        <v>381068 Minas y canteras</v>
      </c>
      <c r="CU705" s="141" t="str">
        <v>381068 Minas y canteras</v>
      </c>
      <c r="CV705" s="141" t="str">
        <v>381068 Minas y canteras</v>
      </c>
      <c r="CW705" s="141" t="str">
        <v>381068 Minas y canteras</v>
      </c>
      <c r="CX705" s="141" t="str">
        <v>381068 Minas y canteras</v>
      </c>
      <c r="CY705" s="141" t="str">
        <v>381068 Minas y canteras</v>
      </c>
      <c r="CZ705" s="141" t="str">
        <v>381068 Minas y canteras</v>
      </c>
      <c r="DA705" s="141" t="str">
        <v>381068 Minas y canteras</v>
      </c>
      <c r="DF705" t="str">
        <v>381068 Minas y canteras</v>
      </c>
      <c r="DG705" t="str">
        <v>381068 Minas y canteras</v>
      </c>
      <c r="DH705" t="str">
        <v>381068 Minas y canteras</v>
      </c>
      <c r="DI705" t="str">
        <v>381068 Minas y canteras</v>
      </c>
      <c r="DJ705" t="str">
        <v>381068 Minas y canteras</v>
      </c>
      <c r="DK705" t="str">
        <v>381068 Minas y canteras</v>
      </c>
      <c r="DL705" t="str">
        <v>381068 Minas y canteras</v>
      </c>
      <c r="DM705" t="str">
        <v>381068 Minas y canteras</v>
      </c>
      <c r="DN705" t="str">
        <v>381068 Minas y canteras</v>
      </c>
      <c r="DO705" t="str">
        <v>381068 Minas y canteras</v>
      </c>
      <c r="DP705" t="str">
        <v>381068 Minas y canteras</v>
      </c>
    </row>
    <row r="706" spans="4:120" ht="12.75">
      <c r="D706" s="7">
        <v>381072</v>
      </c>
      <c r="E706" s="6" t="s">
        <v>124</v>
      </c>
      <c r="F706" s="5">
        <v>4</v>
      </c>
      <c r="G706" s="34" t="s">
        <v>827</v>
      </c>
      <c r="H706" s="8" t="s">
        <v>56</v>
      </c>
      <c r="I706" t="b">
        <f>+ISNUMBER(SEARCH('F-COMPRA'!$F$28,Tabla11[[#This Row],[Cuenta]],1))</f>
        <v>1</v>
      </c>
      <c r="J706" t="b">
        <f>+ISNUMBER(SEARCH('F-COMPRA'!$F$29,Tabla11[[#This Row],[Cuenta]],1))</f>
        <v>1</v>
      </c>
      <c r="K706" t="b">
        <f>+ISNUMBER(SEARCH('F-COMPRA'!$F$30,Tabla11[[#This Row],[Cuenta]],1))</f>
        <v>1</v>
      </c>
      <c r="L706" t="b">
        <f>+ISNUMBER(SEARCH('F-COMPRA'!$F$31,Tabla11[[#This Row],[Cuenta]],1))</f>
        <v>1</v>
      </c>
      <c r="M706" t="b">
        <f>+ISNUMBER(SEARCH('F-COMPRA'!$G$25,Tabla11[[#This Row],[Cuenta]],1))</f>
        <v>0</v>
      </c>
      <c r="N706" t="b">
        <f>+ISNUMBER(SEARCH(#REF!,Tabla11[[#This Row],[Cuenta]],1))</f>
        <v>0</v>
      </c>
      <c r="O706" t="b">
        <f>+ISNUMBER(SEARCH(#REF!,Tabla11[[#This Row],[Cuenta]],1))</f>
        <v>0</v>
      </c>
      <c r="P706" t="b">
        <f>+ISNUMBER(SEARCH('F-COMPRA'!$F$32,Tabla11[[#This Row],[Cuenta]],1))</f>
        <v>1</v>
      </c>
      <c r="Q706" t="b">
        <f>+ISNUMBER(SEARCH('F-COMPRA'!$F$33,Tabla11[[#This Row],[Cuenta]],1))</f>
        <v>1</v>
      </c>
      <c r="R706" t="b">
        <f>+ISNUMBER(SEARCH('F-COMPRA'!$F$34,Tabla11[[#This Row],[Cuenta]],1))</f>
        <v>1</v>
      </c>
      <c r="S706" t="b">
        <f>+ISNUMBER(SEARCH('F-COMPRA'!$F$35,Tabla11[[#This Row],[Cuenta]],1))</f>
        <v>1</v>
      </c>
      <c r="T706" t="b">
        <f>+ISNUMBER(SEARCH('F-COMPRA'!$F$36,Tabla11[[#This Row],[Cuenta]],1))</f>
        <v>1</v>
      </c>
      <c r="U706" t="b">
        <f>+ISNUMBER(SEARCH('F-COMPRA'!$F$37,Tabla11[[#This Row],[Cuenta]],1))</f>
        <v>1</v>
      </c>
      <c r="V706" t="b">
        <f>+ISNUMBER(SEARCH(#REF!,Tabla11[[#This Row],[Cuenta]],1))</f>
        <v>0</v>
      </c>
      <c r="W706" t="b">
        <f>+ISNUMBER(SEARCH('F-COMPRA'!#REF!,Tabla11[[#This Row],[Cuenta]],1))</f>
        <v>0</v>
      </c>
      <c r="X706" t="b">
        <f>+ISNUMBER(SEARCH('F-COMPRA'!#REF!,Tabla11[[#This Row],[Cuenta]],1))</f>
        <v>0</v>
      </c>
      <c r="Y706" t="b">
        <f>+ISNUMBER(SEARCH('F-COMPRA'!#REF!,Tabla11[[#This Row],[Cuenta]],1))</f>
        <v>0</v>
      </c>
      <c r="Z706" t="b">
        <f>+ISNUMBER(SEARCH('F-COMPRA'!#REF!,Tabla11[[#This Row],[Cuenta]],1))</f>
        <v>0</v>
      </c>
      <c r="AA706" t="b">
        <f>+ISNUMBER(SEARCH('F-COMPRA'!#REF!,Tabla11[[#This Row],[Cuenta]],1))</f>
        <v>0</v>
      </c>
      <c r="AB706" t="b">
        <f>+ISNUMBER(SEARCH('F-COMPRA'!#REF!,Tabla11[[#This Row],[Cuenta]],1))</f>
        <v>0</v>
      </c>
      <c r="AC706" t="b">
        <f>+ISNUMBER(SEARCH('F-COMPRA'!#REF!,Tabla11[[#This Row],[Cuenta]],1))</f>
        <v>0</v>
      </c>
      <c r="AD706" t="b">
        <f>+ISNUMBER(SEARCH('F-COMPRA'!#REF!,Tabla11[[#This Row],[Cuenta]],1))</f>
        <v>0</v>
      </c>
      <c r="AE706" t="b">
        <f>+ISNUMBER(SEARCH('F-COMPRA'!#REF!,Tabla11[[#This Row],[Cuenta]],1))</f>
        <v>0</v>
      </c>
      <c r="AF706" t="b">
        <f>+ISNUMBER(SEARCH('F-VTA'!$G$23,Tabla11[[#This Row],[Cuenta]],1))</f>
        <v>0</v>
      </c>
      <c r="AG706" t="b">
        <f>+ISNUMBER(SEARCH('F-VTA'!$G$24,Tabla11[[#This Row],[Cuenta]],1))</f>
        <v>0</v>
      </c>
      <c r="AH706" t="b">
        <f>+ISNUMBER(SEARCH('F-VTA'!$G$25,Tabla11[[#This Row],[Cuenta]],1))</f>
        <v>0</v>
      </c>
      <c r="AI706" t="b">
        <f>+ISNUMBER(SEARCH('F-VTA'!$F$28,Tabla11[[#This Row],[Cuenta]],1))</f>
        <v>1</v>
      </c>
      <c r="AJ706" t="b">
        <f>+ISNUMBER(SEARCH('F-VTA'!$F$29,Tabla11[[#This Row],[Cuenta]],1))</f>
        <v>1</v>
      </c>
      <c r="AK706" t="b">
        <f>+ISNUMBER(SEARCH('F-VTA'!$F$30,Tabla11[[#This Row],[Cuenta]],1))</f>
        <v>1</v>
      </c>
      <c r="AL706" t="b">
        <f>+ISNUMBER(SEARCH('F-VTA'!$F$31,Tabla11[[#This Row],[Cuenta]],1))</f>
        <v>1</v>
      </c>
      <c r="AM706" t="b">
        <f>+ISNUMBER(SEARCH('F-VTA'!$F$32,Tabla11[[#This Row],[Cuenta]],1))</f>
        <v>1</v>
      </c>
      <c r="AN706" t="b">
        <f>+ISNUMBER(SEARCH('F-VTA'!$F$33,Tabla11[[#This Row],[Cuenta]],1))</f>
        <v>1</v>
      </c>
      <c r="AO706" t="b">
        <f>+ISNUMBER(SEARCH('F-VTA'!$F$34,Tabla11[[#This Row],[Cuenta]],1))</f>
        <v>1</v>
      </c>
      <c r="AP706" t="b">
        <f>+ISNUMBER(SEARCH('F-VTA'!$F$35,Tabla11[[#This Row],[Cuenta]],1))</f>
        <v>1</v>
      </c>
      <c r="AQ706" t="b">
        <f>+ISNUMBER(SEARCH('F-VTA'!$F$36,Tabla11[[#This Row],[Cuenta]],1))</f>
        <v>1</v>
      </c>
      <c r="AR706" t="b">
        <f>+ISNUMBER(SEARCH(#REF!,Tabla11[[#This Row],[Cuenta]],1))</f>
        <v>0</v>
      </c>
      <c r="AS706" t="b">
        <f>+ISNUMBER(SEARCH(#REF!,Tabla11[[#This Row],[Cuenta]],1))</f>
        <v>0</v>
      </c>
      <c r="AT706" t="b">
        <f>+ISNUMBER(SEARCH(#REF!,Tabla11[[#This Row],[Cuenta]],1))</f>
        <v>0</v>
      </c>
      <c r="AU706" t="b">
        <f>+ISNUMBER(SEARCH('Conc. Ban.1'!$I$9,Tabla11[[#This Row],[Cuenta]],1))</f>
        <v>0</v>
      </c>
      <c r="AV706" t="b">
        <f>+ISNUMBER(SEARCH(CompConta!$F$21,Tabla11[[#This Row],[Cuenta]],1))</f>
        <v>1</v>
      </c>
      <c r="AW706" t="b">
        <f>+ISNUMBER(SEARCH(CompConta!$F$22,Tabla11[[#This Row],[Cuenta]],1))</f>
        <v>1</v>
      </c>
      <c r="AX706" t="b">
        <f>+ISNUMBER(SEARCH(CompConta!$F$23,Tabla11[[#This Row],[Cuenta]],1))</f>
        <v>1</v>
      </c>
      <c r="AY706" t="b">
        <f>+ISNUMBER(SEARCH(CompConta!$F$24,Tabla11[[#This Row],[Cuenta]],1))</f>
        <v>1</v>
      </c>
      <c r="AZ706" t="b">
        <f>+ISNUMBER(SEARCH(CompConta!$F$25,Tabla11[[#This Row],[Cuenta]],1))</f>
        <v>1</v>
      </c>
      <c r="BA706" t="b">
        <f>+ISNUMBER(SEARCH(CompConta!$F$26,Tabla11[[#This Row],[Cuenta]],1))</f>
        <v>1</v>
      </c>
      <c r="BB706" t="b">
        <f>+ISNUMBER(SEARCH(CompConta!$F$27,Tabla11[[#This Row],[Cuenta]],1))</f>
        <v>1</v>
      </c>
      <c r="BC706" t="b">
        <f>+ISNUMBER(SEARCH(CompConta!$F$28,Tabla11[[#This Row],[Cuenta]],1))</f>
        <v>1</v>
      </c>
      <c r="BD706" t="b">
        <f>+ISNUMBER(SEARCH(CompConta!$F$29,Tabla11[[#This Row],[Cuenta]],1))</f>
        <v>1</v>
      </c>
      <c r="BE706" t="b">
        <f>+ISNUMBER(SEARCH(CompConta!$F$30,Tabla11[[#This Row],[Cuenta]],1))</f>
        <v>1</v>
      </c>
      <c r="BF706" t="b">
        <f>+ISNUMBER(SEARCH('PAGO Compras'!$E$11,Tabla11[[#This Row],[Cuenta]],1))</f>
        <v>1</v>
      </c>
      <c r="BG706" t="b">
        <f>+ISNUMBER(SEARCH(#REF!,Tabla11[[#This Row],[Cuenta]],1))</f>
        <v>0</v>
      </c>
      <c r="BH706" t="b">
        <f>+ISNUMBER(SEARCH(#REF!,Tabla11[[#This Row],[Cuenta]],1))</f>
        <v>0</v>
      </c>
      <c r="BI706" t="b">
        <f>+ISNUMBER(SEARCH(#REF!,Tabla11[[#This Row],[Cuenta]],1))</f>
        <v>0</v>
      </c>
      <c r="BJ706" t="b">
        <f>+ISNUMBER(SEARCH(#REF!,Tabla11[[#This Row],[Cuenta]],1))</f>
        <v>0</v>
      </c>
      <c r="BS706" t="str">
        <v>381072 Pozos artesianos</v>
      </c>
      <c r="BT706" t="str">
        <v>381072 Pozos artesianos</v>
      </c>
      <c r="BU706" t="str">
        <v>381072 Pozos artesianos</v>
      </c>
      <c r="BV706" t="str">
        <v>381072 Pozos artesianos</v>
      </c>
      <c r="BZ706" t="str">
        <v>381072 Pozos artesianos</v>
      </c>
      <c r="CA706" t="str">
        <v>381072 Pozos artesianos</v>
      </c>
      <c r="CB706" t="str">
        <v>381072 Pozos artesianos</v>
      </c>
      <c r="CC706" t="str">
        <v>381072 Pozos artesianos</v>
      </c>
      <c r="CD706" t="str">
        <v>381072 Pozos artesianos</v>
      </c>
      <c r="CE706" t="str">
        <v>381072 Pozos artesianos</v>
      </c>
      <c r="CS706" s="141" t="str">
        <v>381072 Pozos artesianos</v>
      </c>
      <c r="CT706" s="141" t="str">
        <v>381072 Pozos artesianos</v>
      </c>
      <c r="CU706" s="141" t="str">
        <v>381072 Pozos artesianos</v>
      </c>
      <c r="CV706" s="141" t="str">
        <v>381072 Pozos artesianos</v>
      </c>
      <c r="CW706" s="141" t="str">
        <v>381072 Pozos artesianos</v>
      </c>
      <c r="CX706" s="141" t="str">
        <v>381072 Pozos artesianos</v>
      </c>
      <c r="CY706" s="141" t="str">
        <v>381072 Pozos artesianos</v>
      </c>
      <c r="CZ706" s="141" t="str">
        <v>381072 Pozos artesianos</v>
      </c>
      <c r="DA706" s="141" t="str">
        <v>381072 Pozos artesianos</v>
      </c>
      <c r="DF706" t="str">
        <v>381072 Pozos artesianos</v>
      </c>
      <c r="DG706" t="str">
        <v>381072 Pozos artesianos</v>
      </c>
      <c r="DH706" t="str">
        <v>381072 Pozos artesianos</v>
      </c>
      <c r="DI706" t="str">
        <v>381072 Pozos artesianos</v>
      </c>
      <c r="DJ706" t="str">
        <v>381072 Pozos artesianos</v>
      </c>
      <c r="DK706" t="str">
        <v>381072 Pozos artesianos</v>
      </c>
      <c r="DL706" t="str">
        <v>381072 Pozos artesianos</v>
      </c>
      <c r="DM706" t="str">
        <v>381072 Pozos artesianos</v>
      </c>
      <c r="DN706" t="str">
        <v>381072 Pozos artesianos</v>
      </c>
      <c r="DO706" t="str">
        <v>381072 Pozos artesianos</v>
      </c>
      <c r="DP706" t="str">
        <v>381072 Pozos artesianos</v>
      </c>
    </row>
    <row r="707" spans="4:120" ht="12.75">
      <c r="D707" s="7">
        <v>381076</v>
      </c>
      <c r="E707" s="6" t="s">
        <v>222</v>
      </c>
      <c r="F707" s="5">
        <v>4</v>
      </c>
      <c r="G707" s="34" t="s">
        <v>827</v>
      </c>
      <c r="H707" s="8" t="s">
        <v>56</v>
      </c>
      <c r="I707" t="b">
        <f>+ISNUMBER(SEARCH('F-COMPRA'!$F$28,Tabla11[[#This Row],[Cuenta]],1))</f>
        <v>1</v>
      </c>
      <c r="J707" t="b">
        <f>+ISNUMBER(SEARCH('F-COMPRA'!$F$29,Tabla11[[#This Row],[Cuenta]],1))</f>
        <v>1</v>
      </c>
      <c r="K707" t="b">
        <f>+ISNUMBER(SEARCH('F-COMPRA'!$F$30,Tabla11[[#This Row],[Cuenta]],1))</f>
        <v>1</v>
      </c>
      <c r="L707" t="b">
        <f>+ISNUMBER(SEARCH('F-COMPRA'!$F$31,Tabla11[[#This Row],[Cuenta]],1))</f>
        <v>1</v>
      </c>
      <c r="M707" t="b">
        <f>+ISNUMBER(SEARCH('F-COMPRA'!$G$25,Tabla11[[#This Row],[Cuenta]],1))</f>
        <v>0</v>
      </c>
      <c r="N707" t="b">
        <f>+ISNUMBER(SEARCH(#REF!,Tabla11[[#This Row],[Cuenta]],1))</f>
        <v>0</v>
      </c>
      <c r="O707" t="b">
        <f>+ISNUMBER(SEARCH(#REF!,Tabla11[[#This Row],[Cuenta]],1))</f>
        <v>0</v>
      </c>
      <c r="P707" t="b">
        <f>+ISNUMBER(SEARCH('F-COMPRA'!$F$32,Tabla11[[#This Row],[Cuenta]],1))</f>
        <v>1</v>
      </c>
      <c r="Q707" t="b">
        <f>+ISNUMBER(SEARCH('F-COMPRA'!$F$33,Tabla11[[#This Row],[Cuenta]],1))</f>
        <v>1</v>
      </c>
      <c r="R707" t="b">
        <f>+ISNUMBER(SEARCH('F-COMPRA'!$F$34,Tabla11[[#This Row],[Cuenta]],1))</f>
        <v>1</v>
      </c>
      <c r="S707" t="b">
        <f>+ISNUMBER(SEARCH('F-COMPRA'!$F$35,Tabla11[[#This Row],[Cuenta]],1))</f>
        <v>1</v>
      </c>
      <c r="T707" t="b">
        <f>+ISNUMBER(SEARCH('F-COMPRA'!$F$36,Tabla11[[#This Row],[Cuenta]],1))</f>
        <v>1</v>
      </c>
      <c r="U707" t="b">
        <f>+ISNUMBER(SEARCH('F-COMPRA'!$F$37,Tabla11[[#This Row],[Cuenta]],1))</f>
        <v>1</v>
      </c>
      <c r="V707" t="b">
        <f>+ISNUMBER(SEARCH(#REF!,Tabla11[[#This Row],[Cuenta]],1))</f>
        <v>0</v>
      </c>
      <c r="W707" t="b">
        <f>+ISNUMBER(SEARCH('F-COMPRA'!#REF!,Tabla11[[#This Row],[Cuenta]],1))</f>
        <v>0</v>
      </c>
      <c r="X707" t="b">
        <f>+ISNUMBER(SEARCH('F-COMPRA'!#REF!,Tabla11[[#This Row],[Cuenta]],1))</f>
        <v>0</v>
      </c>
      <c r="Y707" t="b">
        <f>+ISNUMBER(SEARCH('F-COMPRA'!#REF!,Tabla11[[#This Row],[Cuenta]],1))</f>
        <v>0</v>
      </c>
      <c r="Z707" t="b">
        <f>+ISNUMBER(SEARCH('F-COMPRA'!#REF!,Tabla11[[#This Row],[Cuenta]],1))</f>
        <v>0</v>
      </c>
      <c r="AA707" t="b">
        <f>+ISNUMBER(SEARCH('F-COMPRA'!#REF!,Tabla11[[#This Row],[Cuenta]],1))</f>
        <v>0</v>
      </c>
      <c r="AB707" t="b">
        <f>+ISNUMBER(SEARCH('F-COMPRA'!#REF!,Tabla11[[#This Row],[Cuenta]],1))</f>
        <v>0</v>
      </c>
      <c r="AC707" t="b">
        <f>+ISNUMBER(SEARCH('F-COMPRA'!#REF!,Tabla11[[#This Row],[Cuenta]],1))</f>
        <v>0</v>
      </c>
      <c r="AD707" t="b">
        <f>+ISNUMBER(SEARCH('F-COMPRA'!#REF!,Tabla11[[#This Row],[Cuenta]],1))</f>
        <v>0</v>
      </c>
      <c r="AE707" t="b">
        <f>+ISNUMBER(SEARCH('F-COMPRA'!#REF!,Tabla11[[#This Row],[Cuenta]],1))</f>
        <v>0</v>
      </c>
      <c r="AF707" t="b">
        <f>+ISNUMBER(SEARCH('F-VTA'!$G$23,Tabla11[[#This Row],[Cuenta]],1))</f>
        <v>0</v>
      </c>
      <c r="AG707" t="b">
        <f>+ISNUMBER(SEARCH('F-VTA'!$G$24,Tabla11[[#This Row],[Cuenta]],1))</f>
        <v>0</v>
      </c>
      <c r="AH707" t="b">
        <f>+ISNUMBER(SEARCH('F-VTA'!$G$25,Tabla11[[#This Row],[Cuenta]],1))</f>
        <v>0</v>
      </c>
      <c r="AI707" t="b">
        <f>+ISNUMBER(SEARCH('F-VTA'!$F$28,Tabla11[[#This Row],[Cuenta]],1))</f>
        <v>1</v>
      </c>
      <c r="AJ707" t="b">
        <f>+ISNUMBER(SEARCH('F-VTA'!$F$29,Tabla11[[#This Row],[Cuenta]],1))</f>
        <v>1</v>
      </c>
      <c r="AK707" t="b">
        <f>+ISNUMBER(SEARCH('F-VTA'!$F$30,Tabla11[[#This Row],[Cuenta]],1))</f>
        <v>1</v>
      </c>
      <c r="AL707" t="b">
        <f>+ISNUMBER(SEARCH('F-VTA'!$F$31,Tabla11[[#This Row],[Cuenta]],1))</f>
        <v>1</v>
      </c>
      <c r="AM707" t="b">
        <f>+ISNUMBER(SEARCH('F-VTA'!$F$32,Tabla11[[#This Row],[Cuenta]],1))</f>
        <v>1</v>
      </c>
      <c r="AN707" t="b">
        <f>+ISNUMBER(SEARCH('F-VTA'!$F$33,Tabla11[[#This Row],[Cuenta]],1))</f>
        <v>1</v>
      </c>
      <c r="AO707" t="b">
        <f>+ISNUMBER(SEARCH('F-VTA'!$F$34,Tabla11[[#This Row],[Cuenta]],1))</f>
        <v>1</v>
      </c>
      <c r="AP707" t="b">
        <f>+ISNUMBER(SEARCH('F-VTA'!$F$35,Tabla11[[#This Row],[Cuenta]],1))</f>
        <v>1</v>
      </c>
      <c r="AQ707" t="b">
        <f>+ISNUMBER(SEARCH('F-VTA'!$F$36,Tabla11[[#This Row],[Cuenta]],1))</f>
        <v>1</v>
      </c>
      <c r="AR707" t="b">
        <f>+ISNUMBER(SEARCH(#REF!,Tabla11[[#This Row],[Cuenta]],1))</f>
        <v>0</v>
      </c>
      <c r="AS707" t="b">
        <f>+ISNUMBER(SEARCH(#REF!,Tabla11[[#This Row],[Cuenta]],1))</f>
        <v>0</v>
      </c>
      <c r="AT707" t="b">
        <f>+ISNUMBER(SEARCH(#REF!,Tabla11[[#This Row],[Cuenta]],1))</f>
        <v>0</v>
      </c>
      <c r="AU707" t="b">
        <f>+ISNUMBER(SEARCH('Conc. Ban.1'!$I$9,Tabla11[[#This Row],[Cuenta]],1))</f>
        <v>0</v>
      </c>
      <c r="AV707" t="b">
        <f>+ISNUMBER(SEARCH(CompConta!$F$21,Tabla11[[#This Row],[Cuenta]],1))</f>
        <v>1</v>
      </c>
      <c r="AW707" t="b">
        <f>+ISNUMBER(SEARCH(CompConta!$F$22,Tabla11[[#This Row],[Cuenta]],1))</f>
        <v>1</v>
      </c>
      <c r="AX707" t="b">
        <f>+ISNUMBER(SEARCH(CompConta!$F$23,Tabla11[[#This Row],[Cuenta]],1))</f>
        <v>1</v>
      </c>
      <c r="AY707" t="b">
        <f>+ISNUMBER(SEARCH(CompConta!$F$24,Tabla11[[#This Row],[Cuenta]],1))</f>
        <v>1</v>
      </c>
      <c r="AZ707" t="b">
        <f>+ISNUMBER(SEARCH(CompConta!$F$25,Tabla11[[#This Row],[Cuenta]],1))</f>
        <v>1</v>
      </c>
      <c r="BA707" t="b">
        <f>+ISNUMBER(SEARCH(CompConta!$F$26,Tabla11[[#This Row],[Cuenta]],1))</f>
        <v>1</v>
      </c>
      <c r="BB707" t="b">
        <f>+ISNUMBER(SEARCH(CompConta!$F$27,Tabla11[[#This Row],[Cuenta]],1))</f>
        <v>1</v>
      </c>
      <c r="BC707" t="b">
        <f>+ISNUMBER(SEARCH(CompConta!$F$28,Tabla11[[#This Row],[Cuenta]],1))</f>
        <v>1</v>
      </c>
      <c r="BD707" t="b">
        <f>+ISNUMBER(SEARCH(CompConta!$F$29,Tabla11[[#This Row],[Cuenta]],1))</f>
        <v>1</v>
      </c>
      <c r="BE707" t="b">
        <f>+ISNUMBER(SEARCH(CompConta!$F$30,Tabla11[[#This Row],[Cuenta]],1))</f>
        <v>1</v>
      </c>
      <c r="BF707" t="b">
        <f>+ISNUMBER(SEARCH('PAGO Compras'!$E$11,Tabla11[[#This Row],[Cuenta]],1))</f>
        <v>1</v>
      </c>
      <c r="BG707" t="b">
        <f>+ISNUMBER(SEARCH(#REF!,Tabla11[[#This Row],[Cuenta]],1))</f>
        <v>0</v>
      </c>
      <c r="BH707" t="b">
        <f>+ISNUMBER(SEARCH(#REF!,Tabla11[[#This Row],[Cuenta]],1))</f>
        <v>0</v>
      </c>
      <c r="BI707" t="b">
        <f>+ISNUMBER(SEARCH(#REF!,Tabla11[[#This Row],[Cuenta]],1))</f>
        <v>0</v>
      </c>
      <c r="BJ707" t="b">
        <f>+ISNUMBER(SEARCH(#REF!,Tabla11[[#This Row],[Cuenta]],1))</f>
        <v>0</v>
      </c>
      <c r="BS707" t="str">
        <v>381076 Yacimientos</v>
      </c>
      <c r="BT707" t="str">
        <v>381076 Yacimientos</v>
      </c>
      <c r="BU707" t="str">
        <v>381076 Yacimientos</v>
      </c>
      <c r="BV707" t="str">
        <v>381076 Yacimientos</v>
      </c>
      <c r="BZ707" t="str">
        <v>381076 Yacimientos</v>
      </c>
      <c r="CA707" t="str">
        <v>381076 Yacimientos</v>
      </c>
      <c r="CB707" t="str">
        <v>381076 Yacimientos</v>
      </c>
      <c r="CC707" t="str">
        <v>381076 Yacimientos</v>
      </c>
      <c r="CD707" t="str">
        <v>381076 Yacimientos</v>
      </c>
      <c r="CE707" t="str">
        <v>381076 Yacimientos</v>
      </c>
      <c r="CS707" s="141" t="str">
        <v>381076 Yacimientos</v>
      </c>
      <c r="CT707" s="141" t="str">
        <v>381076 Yacimientos</v>
      </c>
      <c r="CU707" s="141" t="str">
        <v>381076 Yacimientos</v>
      </c>
      <c r="CV707" s="141" t="str">
        <v>381076 Yacimientos</v>
      </c>
      <c r="CW707" s="141" t="str">
        <v>381076 Yacimientos</v>
      </c>
      <c r="CX707" s="141" t="str">
        <v>381076 Yacimientos</v>
      </c>
      <c r="CY707" s="141" t="str">
        <v>381076 Yacimientos</v>
      </c>
      <c r="CZ707" s="141" t="str">
        <v>381076 Yacimientos</v>
      </c>
      <c r="DA707" s="141" t="str">
        <v>381076 Yacimientos</v>
      </c>
      <c r="DF707" t="str">
        <v>381076 Yacimientos</v>
      </c>
      <c r="DG707" t="str">
        <v>381076 Yacimientos</v>
      </c>
      <c r="DH707" t="str">
        <v>381076 Yacimientos</v>
      </c>
      <c r="DI707" t="str">
        <v>381076 Yacimientos</v>
      </c>
      <c r="DJ707" t="str">
        <v>381076 Yacimientos</v>
      </c>
      <c r="DK707" t="str">
        <v>381076 Yacimientos</v>
      </c>
      <c r="DL707" t="str">
        <v>381076 Yacimientos</v>
      </c>
      <c r="DM707" t="str">
        <v>381076 Yacimientos</v>
      </c>
      <c r="DN707" t="str">
        <v>381076 Yacimientos</v>
      </c>
      <c r="DO707" t="str">
        <v>381076 Yacimientos</v>
      </c>
      <c r="DP707" t="str">
        <v>381076 Yacimientos</v>
      </c>
    </row>
    <row r="708" spans="4:120" ht="12.75">
      <c r="D708" s="7">
        <v>381080</v>
      </c>
      <c r="E708" s="6" t="s">
        <v>212</v>
      </c>
      <c r="F708" s="5">
        <v>4</v>
      </c>
      <c r="G708" s="34" t="s">
        <v>827</v>
      </c>
      <c r="H708" s="8" t="s">
        <v>56</v>
      </c>
      <c r="I708" t="b">
        <f>+ISNUMBER(SEARCH('F-COMPRA'!$F$28,Tabla11[[#This Row],[Cuenta]],1))</f>
        <v>1</v>
      </c>
      <c r="J708" t="b">
        <f>+ISNUMBER(SEARCH('F-COMPRA'!$F$29,Tabla11[[#This Row],[Cuenta]],1))</f>
        <v>1</v>
      </c>
      <c r="K708" t="b">
        <f>+ISNUMBER(SEARCH('F-COMPRA'!$F$30,Tabla11[[#This Row],[Cuenta]],1))</f>
        <v>1</v>
      </c>
      <c r="L708" t="b">
        <f>+ISNUMBER(SEARCH('F-COMPRA'!$F$31,Tabla11[[#This Row],[Cuenta]],1))</f>
        <v>1</v>
      </c>
      <c r="M708" t="b">
        <f>+ISNUMBER(SEARCH('F-COMPRA'!$G$25,Tabla11[[#This Row],[Cuenta]],1))</f>
        <v>0</v>
      </c>
      <c r="N708" t="b">
        <f>+ISNUMBER(SEARCH(#REF!,Tabla11[[#This Row],[Cuenta]],1))</f>
        <v>0</v>
      </c>
      <c r="O708" t="b">
        <f>+ISNUMBER(SEARCH(#REF!,Tabla11[[#This Row],[Cuenta]],1))</f>
        <v>0</v>
      </c>
      <c r="P708" t="b">
        <f>+ISNUMBER(SEARCH('F-COMPRA'!$F$32,Tabla11[[#This Row],[Cuenta]],1))</f>
        <v>1</v>
      </c>
      <c r="Q708" t="b">
        <f>+ISNUMBER(SEARCH('F-COMPRA'!$F$33,Tabla11[[#This Row],[Cuenta]],1))</f>
        <v>1</v>
      </c>
      <c r="R708" t="b">
        <f>+ISNUMBER(SEARCH('F-COMPRA'!$F$34,Tabla11[[#This Row],[Cuenta]],1))</f>
        <v>1</v>
      </c>
      <c r="S708" t="b">
        <f>+ISNUMBER(SEARCH('F-COMPRA'!$F$35,Tabla11[[#This Row],[Cuenta]],1))</f>
        <v>1</v>
      </c>
      <c r="T708" t="b">
        <f>+ISNUMBER(SEARCH('F-COMPRA'!$F$36,Tabla11[[#This Row],[Cuenta]],1))</f>
        <v>1</v>
      </c>
      <c r="U708" t="b">
        <f>+ISNUMBER(SEARCH('F-COMPRA'!$F$37,Tabla11[[#This Row],[Cuenta]],1))</f>
        <v>1</v>
      </c>
      <c r="V708" t="b">
        <f>+ISNUMBER(SEARCH(#REF!,Tabla11[[#This Row],[Cuenta]],1))</f>
        <v>0</v>
      </c>
      <c r="W708" t="b">
        <f>+ISNUMBER(SEARCH('F-COMPRA'!#REF!,Tabla11[[#This Row],[Cuenta]],1))</f>
        <v>0</v>
      </c>
      <c r="X708" t="b">
        <f>+ISNUMBER(SEARCH('F-COMPRA'!#REF!,Tabla11[[#This Row],[Cuenta]],1))</f>
        <v>0</v>
      </c>
      <c r="Y708" t="b">
        <f>+ISNUMBER(SEARCH('F-COMPRA'!#REF!,Tabla11[[#This Row],[Cuenta]],1))</f>
        <v>0</v>
      </c>
      <c r="Z708" t="b">
        <f>+ISNUMBER(SEARCH('F-COMPRA'!#REF!,Tabla11[[#This Row],[Cuenta]],1))</f>
        <v>0</v>
      </c>
      <c r="AA708" t="b">
        <f>+ISNUMBER(SEARCH('F-COMPRA'!#REF!,Tabla11[[#This Row],[Cuenta]],1))</f>
        <v>0</v>
      </c>
      <c r="AB708" t="b">
        <f>+ISNUMBER(SEARCH('F-COMPRA'!#REF!,Tabla11[[#This Row],[Cuenta]],1))</f>
        <v>0</v>
      </c>
      <c r="AC708" t="b">
        <f>+ISNUMBER(SEARCH('F-COMPRA'!#REF!,Tabla11[[#This Row],[Cuenta]],1))</f>
        <v>0</v>
      </c>
      <c r="AD708" t="b">
        <f>+ISNUMBER(SEARCH('F-COMPRA'!#REF!,Tabla11[[#This Row],[Cuenta]],1))</f>
        <v>0</v>
      </c>
      <c r="AE708" t="b">
        <f>+ISNUMBER(SEARCH('F-COMPRA'!#REF!,Tabla11[[#This Row],[Cuenta]],1))</f>
        <v>0</v>
      </c>
      <c r="AF708" t="b">
        <f>+ISNUMBER(SEARCH('F-VTA'!$G$23,Tabla11[[#This Row],[Cuenta]],1))</f>
        <v>0</v>
      </c>
      <c r="AG708" t="b">
        <f>+ISNUMBER(SEARCH('F-VTA'!$G$24,Tabla11[[#This Row],[Cuenta]],1))</f>
        <v>0</v>
      </c>
      <c r="AH708" t="b">
        <f>+ISNUMBER(SEARCH('F-VTA'!$G$25,Tabla11[[#This Row],[Cuenta]],1))</f>
        <v>0</v>
      </c>
      <c r="AI708" t="b">
        <f>+ISNUMBER(SEARCH('F-VTA'!$F$28,Tabla11[[#This Row],[Cuenta]],1))</f>
        <v>1</v>
      </c>
      <c r="AJ708" t="b">
        <f>+ISNUMBER(SEARCH('F-VTA'!$F$29,Tabla11[[#This Row],[Cuenta]],1))</f>
        <v>1</v>
      </c>
      <c r="AK708" t="b">
        <f>+ISNUMBER(SEARCH('F-VTA'!$F$30,Tabla11[[#This Row],[Cuenta]],1))</f>
        <v>1</v>
      </c>
      <c r="AL708" t="b">
        <f>+ISNUMBER(SEARCH('F-VTA'!$F$31,Tabla11[[#This Row],[Cuenta]],1))</f>
        <v>1</v>
      </c>
      <c r="AM708" t="b">
        <f>+ISNUMBER(SEARCH('F-VTA'!$F$32,Tabla11[[#This Row],[Cuenta]],1))</f>
        <v>1</v>
      </c>
      <c r="AN708" t="b">
        <f>+ISNUMBER(SEARCH('F-VTA'!$F$33,Tabla11[[#This Row],[Cuenta]],1))</f>
        <v>1</v>
      </c>
      <c r="AO708" t="b">
        <f>+ISNUMBER(SEARCH('F-VTA'!$F$34,Tabla11[[#This Row],[Cuenta]],1))</f>
        <v>1</v>
      </c>
      <c r="AP708" t="b">
        <f>+ISNUMBER(SEARCH('F-VTA'!$F$35,Tabla11[[#This Row],[Cuenta]],1))</f>
        <v>1</v>
      </c>
      <c r="AQ708" t="b">
        <f>+ISNUMBER(SEARCH('F-VTA'!$F$36,Tabla11[[#This Row],[Cuenta]],1))</f>
        <v>1</v>
      </c>
      <c r="AR708" t="b">
        <f>+ISNUMBER(SEARCH(#REF!,Tabla11[[#This Row],[Cuenta]],1))</f>
        <v>0</v>
      </c>
      <c r="AS708" t="b">
        <f>+ISNUMBER(SEARCH(#REF!,Tabla11[[#This Row],[Cuenta]],1))</f>
        <v>0</v>
      </c>
      <c r="AT708" t="b">
        <f>+ISNUMBER(SEARCH(#REF!,Tabla11[[#This Row],[Cuenta]],1))</f>
        <v>0</v>
      </c>
      <c r="AU708" t="b">
        <f>+ISNUMBER(SEARCH('Conc. Ban.1'!$I$9,Tabla11[[#This Row],[Cuenta]],1))</f>
        <v>0</v>
      </c>
      <c r="AV708" t="b">
        <f>+ISNUMBER(SEARCH(CompConta!$F$21,Tabla11[[#This Row],[Cuenta]],1))</f>
        <v>1</v>
      </c>
      <c r="AW708" t="b">
        <f>+ISNUMBER(SEARCH(CompConta!$F$22,Tabla11[[#This Row],[Cuenta]],1))</f>
        <v>1</v>
      </c>
      <c r="AX708" t="b">
        <f>+ISNUMBER(SEARCH(CompConta!$F$23,Tabla11[[#This Row],[Cuenta]],1))</f>
        <v>1</v>
      </c>
      <c r="AY708" t="b">
        <f>+ISNUMBER(SEARCH(CompConta!$F$24,Tabla11[[#This Row],[Cuenta]],1))</f>
        <v>1</v>
      </c>
      <c r="AZ708" t="b">
        <f>+ISNUMBER(SEARCH(CompConta!$F$25,Tabla11[[#This Row],[Cuenta]],1))</f>
        <v>1</v>
      </c>
      <c r="BA708" t="b">
        <f>+ISNUMBER(SEARCH(CompConta!$F$26,Tabla11[[#This Row],[Cuenta]],1))</f>
        <v>1</v>
      </c>
      <c r="BB708" t="b">
        <f>+ISNUMBER(SEARCH(CompConta!$F$27,Tabla11[[#This Row],[Cuenta]],1))</f>
        <v>1</v>
      </c>
      <c r="BC708" t="b">
        <f>+ISNUMBER(SEARCH(CompConta!$F$28,Tabla11[[#This Row],[Cuenta]],1))</f>
        <v>1</v>
      </c>
      <c r="BD708" t="b">
        <f>+ISNUMBER(SEARCH(CompConta!$F$29,Tabla11[[#This Row],[Cuenta]],1))</f>
        <v>1</v>
      </c>
      <c r="BE708" t="b">
        <f>+ISNUMBER(SEARCH(CompConta!$F$30,Tabla11[[#This Row],[Cuenta]],1))</f>
        <v>1</v>
      </c>
      <c r="BF708" t="b">
        <f>+ISNUMBER(SEARCH('PAGO Compras'!$E$11,Tabla11[[#This Row],[Cuenta]],1))</f>
        <v>1</v>
      </c>
      <c r="BG708" t="b">
        <f>+ISNUMBER(SEARCH(#REF!,Tabla11[[#This Row],[Cuenta]],1))</f>
        <v>0</v>
      </c>
      <c r="BH708" t="b">
        <f>+ISNUMBER(SEARCH(#REF!,Tabla11[[#This Row],[Cuenta]],1))</f>
        <v>0</v>
      </c>
      <c r="BI708" t="b">
        <f>+ISNUMBER(SEARCH(#REF!,Tabla11[[#This Row],[Cuenta]],1))</f>
        <v>0</v>
      </c>
      <c r="BJ708" t="b">
        <f>+ISNUMBER(SEARCH(#REF!,Tabla11[[#This Row],[Cuenta]],1))</f>
        <v>0</v>
      </c>
      <c r="BS708" t="str">
        <v>381080 Semovientes</v>
      </c>
      <c r="BT708" t="str">
        <v>381080 Semovientes</v>
      </c>
      <c r="BU708" t="str">
        <v>381080 Semovientes</v>
      </c>
      <c r="BV708" t="str">
        <v>381080 Semovientes</v>
      </c>
      <c r="BZ708" t="str">
        <v>381080 Semovientes</v>
      </c>
      <c r="CA708" t="str">
        <v>381080 Semovientes</v>
      </c>
      <c r="CB708" t="str">
        <v>381080 Semovientes</v>
      </c>
      <c r="CC708" t="str">
        <v>381080 Semovientes</v>
      </c>
      <c r="CD708" t="str">
        <v>381080 Semovientes</v>
      </c>
      <c r="CE708" t="str">
        <v>381080 Semovientes</v>
      </c>
      <c r="CS708" s="141" t="str">
        <v>381080 Semovientes</v>
      </c>
      <c r="CT708" s="141" t="str">
        <v>381080 Semovientes</v>
      </c>
      <c r="CU708" s="141" t="str">
        <v>381080 Semovientes</v>
      </c>
      <c r="CV708" s="141" t="str">
        <v>381080 Semovientes</v>
      </c>
      <c r="CW708" s="141" t="str">
        <v>381080 Semovientes</v>
      </c>
      <c r="CX708" s="141" t="str">
        <v>381080 Semovientes</v>
      </c>
      <c r="CY708" s="141" t="str">
        <v>381080 Semovientes</v>
      </c>
      <c r="CZ708" s="141" t="str">
        <v>381080 Semovientes</v>
      </c>
      <c r="DA708" s="141" t="str">
        <v>381080 Semovientes</v>
      </c>
      <c r="DF708" t="str">
        <v>381080 Semovientes</v>
      </c>
      <c r="DG708" t="str">
        <v>381080 Semovientes</v>
      </c>
      <c r="DH708" t="str">
        <v>381080 Semovientes</v>
      </c>
      <c r="DI708" t="str">
        <v>381080 Semovientes</v>
      </c>
      <c r="DJ708" t="str">
        <v>381080 Semovientes</v>
      </c>
      <c r="DK708" t="str">
        <v>381080 Semovientes</v>
      </c>
      <c r="DL708" t="str">
        <v>381080 Semovientes</v>
      </c>
      <c r="DM708" t="str">
        <v>381080 Semovientes</v>
      </c>
      <c r="DN708" t="str">
        <v>381080 Semovientes</v>
      </c>
      <c r="DO708" t="str">
        <v>381080 Semovientes</v>
      </c>
      <c r="DP708" t="str">
        <v>381080 Semovientes</v>
      </c>
    </row>
    <row r="709" spans="4:120" ht="12.75">
      <c r="D709" s="7">
        <v>3895</v>
      </c>
      <c r="E709" s="6" t="s">
        <v>291</v>
      </c>
      <c r="F709" s="5">
        <v>3</v>
      </c>
      <c r="G709" s="34" t="s">
        <v>827</v>
      </c>
      <c r="H709" s="8" t="s">
        <v>56</v>
      </c>
      <c r="I709" t="b">
        <f>+ISNUMBER(SEARCH('F-COMPRA'!$F$28,Tabla11[[#This Row],[Cuenta]],1))</f>
        <v>1</v>
      </c>
      <c r="J709" t="b">
        <f>+ISNUMBER(SEARCH('F-COMPRA'!$F$29,Tabla11[[#This Row],[Cuenta]],1))</f>
        <v>1</v>
      </c>
      <c r="K709" t="b">
        <f>+ISNUMBER(SEARCH('F-COMPRA'!$F$30,Tabla11[[#This Row],[Cuenta]],1))</f>
        <v>1</v>
      </c>
      <c r="L709" t="b">
        <f>+ISNUMBER(SEARCH('F-COMPRA'!$F$31,Tabla11[[#This Row],[Cuenta]],1))</f>
        <v>1</v>
      </c>
      <c r="M709" t="b">
        <f>+ISNUMBER(SEARCH('F-COMPRA'!$G$25,Tabla11[[#This Row],[Cuenta]],1))</f>
        <v>0</v>
      </c>
      <c r="N709" t="b">
        <f>+ISNUMBER(SEARCH(#REF!,Tabla11[[#This Row],[Cuenta]],1))</f>
        <v>0</v>
      </c>
      <c r="O709" t="b">
        <f>+ISNUMBER(SEARCH(#REF!,Tabla11[[#This Row],[Cuenta]],1))</f>
        <v>0</v>
      </c>
      <c r="P709" t="b">
        <f>+ISNUMBER(SEARCH('F-COMPRA'!$F$32,Tabla11[[#This Row],[Cuenta]],1))</f>
        <v>1</v>
      </c>
      <c r="Q709" t="b">
        <f>+ISNUMBER(SEARCH('F-COMPRA'!$F$33,Tabla11[[#This Row],[Cuenta]],1))</f>
        <v>1</v>
      </c>
      <c r="R709" t="b">
        <f>+ISNUMBER(SEARCH('F-COMPRA'!$F$34,Tabla11[[#This Row],[Cuenta]],1))</f>
        <v>1</v>
      </c>
      <c r="S709" t="b">
        <f>+ISNUMBER(SEARCH('F-COMPRA'!$F$35,Tabla11[[#This Row],[Cuenta]],1))</f>
        <v>1</v>
      </c>
      <c r="T709" t="b">
        <f>+ISNUMBER(SEARCH('F-COMPRA'!$F$36,Tabla11[[#This Row],[Cuenta]],1))</f>
        <v>1</v>
      </c>
      <c r="U709" t="b">
        <f>+ISNUMBER(SEARCH('F-COMPRA'!$F$37,Tabla11[[#This Row],[Cuenta]],1))</f>
        <v>1</v>
      </c>
      <c r="V709" t="b">
        <f>+ISNUMBER(SEARCH(#REF!,Tabla11[[#This Row],[Cuenta]],1))</f>
        <v>0</v>
      </c>
      <c r="W709" t="b">
        <f>+ISNUMBER(SEARCH('F-COMPRA'!#REF!,Tabla11[[#This Row],[Cuenta]],1))</f>
        <v>0</v>
      </c>
      <c r="X709" t="b">
        <f>+ISNUMBER(SEARCH('F-COMPRA'!#REF!,Tabla11[[#This Row],[Cuenta]],1))</f>
        <v>0</v>
      </c>
      <c r="Y709" t="b">
        <f>+ISNUMBER(SEARCH('F-COMPRA'!#REF!,Tabla11[[#This Row],[Cuenta]],1))</f>
        <v>0</v>
      </c>
      <c r="Z709" t="b">
        <f>+ISNUMBER(SEARCH('F-COMPRA'!#REF!,Tabla11[[#This Row],[Cuenta]],1))</f>
        <v>0</v>
      </c>
      <c r="AA709" t="b">
        <f>+ISNUMBER(SEARCH('F-COMPRA'!#REF!,Tabla11[[#This Row],[Cuenta]],1))</f>
        <v>0</v>
      </c>
      <c r="AB709" t="b">
        <f>+ISNUMBER(SEARCH('F-COMPRA'!#REF!,Tabla11[[#This Row],[Cuenta]],1))</f>
        <v>0</v>
      </c>
      <c r="AC709" t="b">
        <f>+ISNUMBER(SEARCH('F-COMPRA'!#REF!,Tabla11[[#This Row],[Cuenta]],1))</f>
        <v>0</v>
      </c>
      <c r="AD709" t="b">
        <f>+ISNUMBER(SEARCH('F-COMPRA'!#REF!,Tabla11[[#This Row],[Cuenta]],1))</f>
        <v>0</v>
      </c>
      <c r="AE709" t="b">
        <f>+ISNUMBER(SEARCH('F-COMPRA'!#REF!,Tabla11[[#This Row],[Cuenta]],1))</f>
        <v>0</v>
      </c>
      <c r="AF709" t="b">
        <f>+ISNUMBER(SEARCH('F-VTA'!$G$23,Tabla11[[#This Row],[Cuenta]],1))</f>
        <v>0</v>
      </c>
      <c r="AG709" t="b">
        <f>+ISNUMBER(SEARCH('F-VTA'!$G$24,Tabla11[[#This Row],[Cuenta]],1))</f>
        <v>0</v>
      </c>
      <c r="AH709" t="b">
        <f>+ISNUMBER(SEARCH('F-VTA'!$G$25,Tabla11[[#This Row],[Cuenta]],1))</f>
        <v>0</v>
      </c>
      <c r="AI709" t="b">
        <f>+ISNUMBER(SEARCH('F-VTA'!$F$28,Tabla11[[#This Row],[Cuenta]],1))</f>
        <v>1</v>
      </c>
      <c r="AJ709" t="b">
        <f>+ISNUMBER(SEARCH('F-VTA'!$F$29,Tabla11[[#This Row],[Cuenta]],1))</f>
        <v>1</v>
      </c>
      <c r="AK709" t="b">
        <f>+ISNUMBER(SEARCH('F-VTA'!$F$30,Tabla11[[#This Row],[Cuenta]],1))</f>
        <v>1</v>
      </c>
      <c r="AL709" t="b">
        <f>+ISNUMBER(SEARCH('F-VTA'!$F$31,Tabla11[[#This Row],[Cuenta]],1))</f>
        <v>1</v>
      </c>
      <c r="AM709" t="b">
        <f>+ISNUMBER(SEARCH('F-VTA'!$F$32,Tabla11[[#This Row],[Cuenta]],1))</f>
        <v>1</v>
      </c>
      <c r="AN709" t="b">
        <f>+ISNUMBER(SEARCH('F-VTA'!$F$33,Tabla11[[#This Row],[Cuenta]],1))</f>
        <v>1</v>
      </c>
      <c r="AO709" t="b">
        <f>+ISNUMBER(SEARCH('F-VTA'!$F$34,Tabla11[[#This Row],[Cuenta]],1))</f>
        <v>1</v>
      </c>
      <c r="AP709" t="b">
        <f>+ISNUMBER(SEARCH('F-VTA'!$F$35,Tabla11[[#This Row],[Cuenta]],1))</f>
        <v>1</v>
      </c>
      <c r="AQ709" t="b">
        <f>+ISNUMBER(SEARCH('F-VTA'!$F$36,Tabla11[[#This Row],[Cuenta]],1))</f>
        <v>1</v>
      </c>
      <c r="AR709" t="b">
        <f>+ISNUMBER(SEARCH(#REF!,Tabla11[[#This Row],[Cuenta]],1))</f>
        <v>0</v>
      </c>
      <c r="AS709" t="b">
        <f>+ISNUMBER(SEARCH(#REF!,Tabla11[[#This Row],[Cuenta]],1))</f>
        <v>0</v>
      </c>
      <c r="AT709" t="b">
        <f>+ISNUMBER(SEARCH(#REF!,Tabla11[[#This Row],[Cuenta]],1))</f>
        <v>0</v>
      </c>
      <c r="AU709" t="b">
        <f>+ISNUMBER(SEARCH('Conc. Ban.1'!$I$9,Tabla11[[#This Row],[Cuenta]],1))</f>
        <v>0</v>
      </c>
      <c r="AV709" t="b">
        <f>+ISNUMBER(SEARCH(CompConta!$F$21,Tabla11[[#This Row],[Cuenta]],1))</f>
        <v>1</v>
      </c>
      <c r="AW709" t="b">
        <f>+ISNUMBER(SEARCH(CompConta!$F$22,Tabla11[[#This Row],[Cuenta]],1))</f>
        <v>1</v>
      </c>
      <c r="AX709" t="b">
        <f>+ISNUMBER(SEARCH(CompConta!$F$23,Tabla11[[#This Row],[Cuenta]],1))</f>
        <v>1</v>
      </c>
      <c r="AY709" t="b">
        <f>+ISNUMBER(SEARCH(CompConta!$F$24,Tabla11[[#This Row],[Cuenta]],1))</f>
        <v>1</v>
      </c>
      <c r="AZ709" t="b">
        <f>+ISNUMBER(SEARCH(CompConta!$F$25,Tabla11[[#This Row],[Cuenta]],1))</f>
        <v>1</v>
      </c>
      <c r="BA709" t="b">
        <f>+ISNUMBER(SEARCH(CompConta!$F$26,Tabla11[[#This Row],[Cuenta]],1))</f>
        <v>1</v>
      </c>
      <c r="BB709" t="b">
        <f>+ISNUMBER(SEARCH(CompConta!$F$27,Tabla11[[#This Row],[Cuenta]],1))</f>
        <v>1</v>
      </c>
      <c r="BC709" t="b">
        <f>+ISNUMBER(SEARCH(CompConta!$F$28,Tabla11[[#This Row],[Cuenta]],1))</f>
        <v>1</v>
      </c>
      <c r="BD709" t="b">
        <f>+ISNUMBER(SEARCH(CompConta!$F$29,Tabla11[[#This Row],[Cuenta]],1))</f>
        <v>1</v>
      </c>
      <c r="BE709" t="b">
        <f>+ISNUMBER(SEARCH(CompConta!$F$30,Tabla11[[#This Row],[Cuenta]],1))</f>
        <v>1</v>
      </c>
      <c r="BF709" t="b">
        <f>+ISNUMBER(SEARCH('PAGO Compras'!$E$11,Tabla11[[#This Row],[Cuenta]],1))</f>
        <v>1</v>
      </c>
      <c r="BG709" t="b">
        <f>+ISNUMBER(SEARCH(#REF!,Tabla11[[#This Row],[Cuenta]],1))</f>
        <v>0</v>
      </c>
      <c r="BH709" t="b">
        <f>+ISNUMBER(SEARCH(#REF!,Tabla11[[#This Row],[Cuenta]],1))</f>
        <v>0</v>
      </c>
      <c r="BI709" t="b">
        <f>+ISNUMBER(SEARCH(#REF!,Tabla11[[#This Row],[Cuenta]],1))</f>
        <v>0</v>
      </c>
      <c r="BJ709" t="b">
        <f>+ISNUMBER(SEARCH(#REF!,Tabla11[[#This Row],[Cuenta]],1))</f>
        <v>0</v>
      </c>
      <c r="BS709" t="str">
        <v>3895 DE OTROS ACTIVOS</v>
      </c>
      <c r="BT709" t="str">
        <v>3895 DE OTROS ACTIVOS</v>
      </c>
      <c r="BU709" t="str">
        <v>3895 DE OTROS ACTIVOS</v>
      </c>
      <c r="BV709" t="str">
        <v>3895 DE OTROS ACTIVOS</v>
      </c>
      <c r="BZ709" t="str">
        <v>3895 DE OTROS ACTIVOS</v>
      </c>
      <c r="CA709" t="str">
        <v>3895 DE OTROS ACTIVOS</v>
      </c>
      <c r="CB709" t="str">
        <v>3895 DE OTROS ACTIVOS</v>
      </c>
      <c r="CC709" t="str">
        <v>3895 DE OTROS ACTIVOS</v>
      </c>
      <c r="CD709" t="str">
        <v>3895 DE OTROS ACTIVOS</v>
      </c>
      <c r="CE709" t="str">
        <v>3895 DE OTROS ACTIVOS</v>
      </c>
      <c r="CS709" s="141" t="str">
        <v>3895 DE OTROS ACTIVOS</v>
      </c>
      <c r="CT709" s="141" t="str">
        <v>3895 DE OTROS ACTIVOS</v>
      </c>
      <c r="CU709" s="141" t="str">
        <v>3895 DE OTROS ACTIVOS</v>
      </c>
      <c r="CV709" s="141" t="str">
        <v>3895 DE OTROS ACTIVOS</v>
      </c>
      <c r="CW709" s="141" t="str">
        <v>3895 DE OTROS ACTIVOS</v>
      </c>
      <c r="CX709" s="141" t="str">
        <v>3895 DE OTROS ACTIVOS</v>
      </c>
      <c r="CY709" s="141" t="str">
        <v>3895 DE OTROS ACTIVOS</v>
      </c>
      <c r="CZ709" s="141" t="str">
        <v>3895 DE OTROS ACTIVOS</v>
      </c>
      <c r="DA709" s="141" t="str">
        <v>3895 DE OTROS ACTIVOS</v>
      </c>
      <c r="DF709" t="str">
        <v>3895 DE OTROS ACTIVOS</v>
      </c>
      <c r="DG709" t="str">
        <v>3895 DE OTROS ACTIVOS</v>
      </c>
      <c r="DH709" t="str">
        <v>3895 DE OTROS ACTIVOS</v>
      </c>
      <c r="DI709" t="str">
        <v>3895 DE OTROS ACTIVOS</v>
      </c>
      <c r="DJ709" t="str">
        <v>3895 DE OTROS ACTIVOS</v>
      </c>
      <c r="DK709" t="str">
        <v>3895 DE OTROS ACTIVOS</v>
      </c>
      <c r="DL709" t="str">
        <v>3895 DE OTROS ACTIVOS</v>
      </c>
      <c r="DM709" t="str">
        <v>3895 DE OTROS ACTIVOS</v>
      </c>
      <c r="DN709" t="str">
        <v>3895 DE OTROS ACTIVOS</v>
      </c>
      <c r="DO709" t="str">
        <v>3895 DE OTROS ACTIVOS</v>
      </c>
      <c r="DP709" t="str">
        <v>3895 DE OTROS ACTIVOS</v>
      </c>
    </row>
    <row r="710" spans="4:120" ht="12.75">
      <c r="D710" s="7">
        <v>389505</v>
      </c>
      <c r="E710" s="6" t="s">
        <v>286</v>
      </c>
      <c r="F710" s="5">
        <v>4</v>
      </c>
      <c r="G710" s="34" t="s">
        <v>827</v>
      </c>
      <c r="H710" s="8" t="s">
        <v>56</v>
      </c>
      <c r="I710" t="b">
        <f>+ISNUMBER(SEARCH('F-COMPRA'!$F$28,Tabla11[[#This Row],[Cuenta]],1))</f>
        <v>1</v>
      </c>
      <c r="J710" t="b">
        <f>+ISNUMBER(SEARCH('F-COMPRA'!$F$29,Tabla11[[#This Row],[Cuenta]],1))</f>
        <v>1</v>
      </c>
      <c r="K710" t="b">
        <f>+ISNUMBER(SEARCH('F-COMPRA'!$F$30,Tabla11[[#This Row],[Cuenta]],1))</f>
        <v>1</v>
      </c>
      <c r="L710" t="b">
        <f>+ISNUMBER(SEARCH('F-COMPRA'!$F$31,Tabla11[[#This Row],[Cuenta]],1))</f>
        <v>1</v>
      </c>
      <c r="M710" t="b">
        <f>+ISNUMBER(SEARCH('F-COMPRA'!$G$25,Tabla11[[#This Row],[Cuenta]],1))</f>
        <v>0</v>
      </c>
      <c r="N710" t="b">
        <f>+ISNUMBER(SEARCH(#REF!,Tabla11[[#This Row],[Cuenta]],1))</f>
        <v>0</v>
      </c>
      <c r="O710" t="b">
        <f>+ISNUMBER(SEARCH(#REF!,Tabla11[[#This Row],[Cuenta]],1))</f>
        <v>0</v>
      </c>
      <c r="P710" t="b">
        <f>+ISNUMBER(SEARCH('F-COMPRA'!$F$32,Tabla11[[#This Row],[Cuenta]],1))</f>
        <v>1</v>
      </c>
      <c r="Q710" t="b">
        <f>+ISNUMBER(SEARCH('F-COMPRA'!$F$33,Tabla11[[#This Row],[Cuenta]],1))</f>
        <v>1</v>
      </c>
      <c r="R710" t="b">
        <f>+ISNUMBER(SEARCH('F-COMPRA'!$F$34,Tabla11[[#This Row],[Cuenta]],1))</f>
        <v>1</v>
      </c>
      <c r="S710" t="b">
        <f>+ISNUMBER(SEARCH('F-COMPRA'!$F$35,Tabla11[[#This Row],[Cuenta]],1))</f>
        <v>1</v>
      </c>
      <c r="T710" t="b">
        <f>+ISNUMBER(SEARCH('F-COMPRA'!$F$36,Tabla11[[#This Row],[Cuenta]],1))</f>
        <v>1</v>
      </c>
      <c r="U710" t="b">
        <f>+ISNUMBER(SEARCH('F-COMPRA'!$F$37,Tabla11[[#This Row],[Cuenta]],1))</f>
        <v>1</v>
      </c>
      <c r="V710" t="b">
        <f>+ISNUMBER(SEARCH(#REF!,Tabla11[[#This Row],[Cuenta]],1))</f>
        <v>0</v>
      </c>
      <c r="W710" t="b">
        <f>+ISNUMBER(SEARCH('F-COMPRA'!#REF!,Tabla11[[#This Row],[Cuenta]],1))</f>
        <v>0</v>
      </c>
      <c r="X710" t="b">
        <f>+ISNUMBER(SEARCH('F-COMPRA'!#REF!,Tabla11[[#This Row],[Cuenta]],1))</f>
        <v>0</v>
      </c>
      <c r="Y710" t="b">
        <f>+ISNUMBER(SEARCH('F-COMPRA'!#REF!,Tabla11[[#This Row],[Cuenta]],1))</f>
        <v>0</v>
      </c>
      <c r="Z710" t="b">
        <f>+ISNUMBER(SEARCH('F-COMPRA'!#REF!,Tabla11[[#This Row],[Cuenta]],1))</f>
        <v>0</v>
      </c>
      <c r="AA710" t="b">
        <f>+ISNUMBER(SEARCH('F-COMPRA'!#REF!,Tabla11[[#This Row],[Cuenta]],1))</f>
        <v>0</v>
      </c>
      <c r="AB710" t="b">
        <f>+ISNUMBER(SEARCH('F-COMPRA'!#REF!,Tabla11[[#This Row],[Cuenta]],1))</f>
        <v>0</v>
      </c>
      <c r="AC710" t="b">
        <f>+ISNUMBER(SEARCH('F-COMPRA'!#REF!,Tabla11[[#This Row],[Cuenta]],1))</f>
        <v>0</v>
      </c>
      <c r="AD710" t="b">
        <f>+ISNUMBER(SEARCH('F-COMPRA'!#REF!,Tabla11[[#This Row],[Cuenta]],1))</f>
        <v>0</v>
      </c>
      <c r="AE710" t="b">
        <f>+ISNUMBER(SEARCH('F-COMPRA'!#REF!,Tabla11[[#This Row],[Cuenta]],1))</f>
        <v>0</v>
      </c>
      <c r="AF710" t="b">
        <f>+ISNUMBER(SEARCH('F-VTA'!$G$23,Tabla11[[#This Row],[Cuenta]],1))</f>
        <v>0</v>
      </c>
      <c r="AG710" t="b">
        <f>+ISNUMBER(SEARCH('F-VTA'!$G$24,Tabla11[[#This Row],[Cuenta]],1))</f>
        <v>0</v>
      </c>
      <c r="AH710" t="b">
        <f>+ISNUMBER(SEARCH('F-VTA'!$G$25,Tabla11[[#This Row],[Cuenta]],1))</f>
        <v>0</v>
      </c>
      <c r="AI710" t="b">
        <f>+ISNUMBER(SEARCH('F-VTA'!$F$28,Tabla11[[#This Row],[Cuenta]],1))</f>
        <v>1</v>
      </c>
      <c r="AJ710" t="b">
        <f>+ISNUMBER(SEARCH('F-VTA'!$F$29,Tabla11[[#This Row],[Cuenta]],1))</f>
        <v>1</v>
      </c>
      <c r="AK710" t="b">
        <f>+ISNUMBER(SEARCH('F-VTA'!$F$30,Tabla11[[#This Row],[Cuenta]],1))</f>
        <v>1</v>
      </c>
      <c r="AL710" t="b">
        <f>+ISNUMBER(SEARCH('F-VTA'!$F$31,Tabla11[[#This Row],[Cuenta]],1))</f>
        <v>1</v>
      </c>
      <c r="AM710" t="b">
        <f>+ISNUMBER(SEARCH('F-VTA'!$F$32,Tabla11[[#This Row],[Cuenta]],1))</f>
        <v>1</v>
      </c>
      <c r="AN710" t="b">
        <f>+ISNUMBER(SEARCH('F-VTA'!$F$33,Tabla11[[#This Row],[Cuenta]],1))</f>
        <v>1</v>
      </c>
      <c r="AO710" t="b">
        <f>+ISNUMBER(SEARCH('F-VTA'!$F$34,Tabla11[[#This Row],[Cuenta]],1))</f>
        <v>1</v>
      </c>
      <c r="AP710" t="b">
        <f>+ISNUMBER(SEARCH('F-VTA'!$F$35,Tabla11[[#This Row],[Cuenta]],1))</f>
        <v>1</v>
      </c>
      <c r="AQ710" t="b">
        <f>+ISNUMBER(SEARCH('F-VTA'!$F$36,Tabla11[[#This Row],[Cuenta]],1))</f>
        <v>1</v>
      </c>
      <c r="AR710" t="b">
        <f>+ISNUMBER(SEARCH(#REF!,Tabla11[[#This Row],[Cuenta]],1))</f>
        <v>0</v>
      </c>
      <c r="AS710" t="b">
        <f>+ISNUMBER(SEARCH(#REF!,Tabla11[[#This Row],[Cuenta]],1))</f>
        <v>0</v>
      </c>
      <c r="AT710" t="b">
        <f>+ISNUMBER(SEARCH(#REF!,Tabla11[[#This Row],[Cuenta]],1))</f>
        <v>0</v>
      </c>
      <c r="AU710" t="b">
        <f>+ISNUMBER(SEARCH('Conc. Ban.1'!$I$9,Tabla11[[#This Row],[Cuenta]],1))</f>
        <v>0</v>
      </c>
      <c r="AV710" t="b">
        <f>+ISNUMBER(SEARCH(CompConta!$F$21,Tabla11[[#This Row],[Cuenta]],1))</f>
        <v>1</v>
      </c>
      <c r="AW710" t="b">
        <f>+ISNUMBER(SEARCH(CompConta!$F$22,Tabla11[[#This Row],[Cuenta]],1))</f>
        <v>1</v>
      </c>
      <c r="AX710" t="b">
        <f>+ISNUMBER(SEARCH(CompConta!$F$23,Tabla11[[#This Row],[Cuenta]],1))</f>
        <v>1</v>
      </c>
      <c r="AY710" t="b">
        <f>+ISNUMBER(SEARCH(CompConta!$F$24,Tabla11[[#This Row],[Cuenta]],1))</f>
        <v>1</v>
      </c>
      <c r="AZ710" t="b">
        <f>+ISNUMBER(SEARCH(CompConta!$F$25,Tabla11[[#This Row],[Cuenta]],1))</f>
        <v>1</v>
      </c>
      <c r="BA710" t="b">
        <f>+ISNUMBER(SEARCH(CompConta!$F$26,Tabla11[[#This Row],[Cuenta]],1))</f>
        <v>1</v>
      </c>
      <c r="BB710" t="b">
        <f>+ISNUMBER(SEARCH(CompConta!$F$27,Tabla11[[#This Row],[Cuenta]],1))</f>
        <v>1</v>
      </c>
      <c r="BC710" t="b">
        <f>+ISNUMBER(SEARCH(CompConta!$F$28,Tabla11[[#This Row],[Cuenta]],1))</f>
        <v>1</v>
      </c>
      <c r="BD710" t="b">
        <f>+ISNUMBER(SEARCH(CompConta!$F$29,Tabla11[[#This Row],[Cuenta]],1))</f>
        <v>1</v>
      </c>
      <c r="BE710" t="b">
        <f>+ISNUMBER(SEARCH(CompConta!$F$30,Tabla11[[#This Row],[Cuenta]],1))</f>
        <v>1</v>
      </c>
      <c r="BF710" t="b">
        <f>+ISNUMBER(SEARCH('PAGO Compras'!$E$11,Tabla11[[#This Row],[Cuenta]],1))</f>
        <v>1</v>
      </c>
      <c r="BG710" t="b">
        <f>+ISNUMBER(SEARCH(#REF!,Tabla11[[#This Row],[Cuenta]],1))</f>
        <v>0</v>
      </c>
      <c r="BH710" t="b">
        <f>+ISNUMBER(SEARCH(#REF!,Tabla11[[#This Row],[Cuenta]],1))</f>
        <v>0</v>
      </c>
      <c r="BI710" t="b">
        <f>+ISNUMBER(SEARCH(#REF!,Tabla11[[#This Row],[Cuenta]],1))</f>
        <v>0</v>
      </c>
      <c r="BJ710" t="b">
        <f>+ISNUMBER(SEARCH(#REF!,Tabla11[[#This Row],[Cuenta]],1))</f>
        <v>0</v>
      </c>
      <c r="BS710" t="str">
        <v>389505 Bienes de arte y cultura</v>
      </c>
      <c r="BT710" t="str">
        <v>389505 Bienes de arte y cultura</v>
      </c>
      <c r="BU710" t="str">
        <v>389505 Bienes de arte y cultura</v>
      </c>
      <c r="BV710" t="str">
        <v>389505 Bienes de arte y cultura</v>
      </c>
      <c r="BZ710" t="str">
        <v>389505 Bienes de arte y cultura</v>
      </c>
      <c r="CA710" t="str">
        <v>389505 Bienes de arte y cultura</v>
      </c>
      <c r="CB710" t="str">
        <v>389505 Bienes de arte y cultura</v>
      </c>
      <c r="CC710" t="str">
        <v>389505 Bienes de arte y cultura</v>
      </c>
      <c r="CD710" t="str">
        <v>389505 Bienes de arte y cultura</v>
      </c>
      <c r="CE710" t="str">
        <v>389505 Bienes de arte y cultura</v>
      </c>
      <c r="CS710" s="141" t="str">
        <v>389505 Bienes de arte y cultura</v>
      </c>
      <c r="CT710" s="141" t="str">
        <v>389505 Bienes de arte y cultura</v>
      </c>
      <c r="CU710" s="141" t="str">
        <v>389505 Bienes de arte y cultura</v>
      </c>
      <c r="CV710" s="141" t="str">
        <v>389505 Bienes de arte y cultura</v>
      </c>
      <c r="CW710" s="141" t="str">
        <v>389505 Bienes de arte y cultura</v>
      </c>
      <c r="CX710" s="141" t="str">
        <v>389505 Bienes de arte y cultura</v>
      </c>
      <c r="CY710" s="141" t="str">
        <v>389505 Bienes de arte y cultura</v>
      </c>
      <c r="CZ710" s="141" t="str">
        <v>389505 Bienes de arte y cultura</v>
      </c>
      <c r="DA710" s="141" t="str">
        <v>389505 Bienes de arte y cultura</v>
      </c>
      <c r="DF710" t="str">
        <v>389505 Bienes de arte y cultura</v>
      </c>
      <c r="DG710" t="str">
        <v>389505 Bienes de arte y cultura</v>
      </c>
      <c r="DH710" t="str">
        <v>389505 Bienes de arte y cultura</v>
      </c>
      <c r="DI710" t="str">
        <v>389505 Bienes de arte y cultura</v>
      </c>
      <c r="DJ710" t="str">
        <v>389505 Bienes de arte y cultura</v>
      </c>
      <c r="DK710" t="str">
        <v>389505 Bienes de arte y cultura</v>
      </c>
      <c r="DL710" t="str">
        <v>389505 Bienes de arte y cultura</v>
      </c>
      <c r="DM710" t="str">
        <v>389505 Bienes de arte y cultura</v>
      </c>
      <c r="DN710" t="str">
        <v>389505 Bienes de arte y cultura</v>
      </c>
      <c r="DO710" t="str">
        <v>389505 Bienes de arte y cultura</v>
      </c>
      <c r="DP710" t="str">
        <v>389505 Bienes de arte y cultura</v>
      </c>
    </row>
    <row r="711" spans="4:120" ht="12.75">
      <c r="D711" s="7">
        <v>389510</v>
      </c>
      <c r="E711" s="6" t="s">
        <v>283</v>
      </c>
      <c r="F711" s="5">
        <v>4</v>
      </c>
      <c r="G711" s="34" t="s">
        <v>827</v>
      </c>
      <c r="H711" s="8" t="s">
        <v>56</v>
      </c>
      <c r="I711" t="b">
        <f>+ISNUMBER(SEARCH('F-COMPRA'!$F$28,Tabla11[[#This Row],[Cuenta]],1))</f>
        <v>1</v>
      </c>
      <c r="J711" t="b">
        <f>+ISNUMBER(SEARCH('F-COMPRA'!$F$29,Tabla11[[#This Row],[Cuenta]],1))</f>
        <v>1</v>
      </c>
      <c r="K711" t="b">
        <f>+ISNUMBER(SEARCH('F-COMPRA'!$F$30,Tabla11[[#This Row],[Cuenta]],1))</f>
        <v>1</v>
      </c>
      <c r="L711" t="b">
        <f>+ISNUMBER(SEARCH('F-COMPRA'!$F$31,Tabla11[[#This Row],[Cuenta]],1))</f>
        <v>1</v>
      </c>
      <c r="M711" t="b">
        <f>+ISNUMBER(SEARCH('F-COMPRA'!$G$25,Tabla11[[#This Row],[Cuenta]],1))</f>
        <v>0</v>
      </c>
      <c r="N711" t="b">
        <f>+ISNUMBER(SEARCH(#REF!,Tabla11[[#This Row],[Cuenta]],1))</f>
        <v>0</v>
      </c>
      <c r="O711" t="b">
        <f>+ISNUMBER(SEARCH(#REF!,Tabla11[[#This Row],[Cuenta]],1))</f>
        <v>0</v>
      </c>
      <c r="P711" t="b">
        <f>+ISNUMBER(SEARCH('F-COMPRA'!$F$32,Tabla11[[#This Row],[Cuenta]],1))</f>
        <v>1</v>
      </c>
      <c r="Q711" t="b">
        <f>+ISNUMBER(SEARCH('F-COMPRA'!$F$33,Tabla11[[#This Row],[Cuenta]],1))</f>
        <v>1</v>
      </c>
      <c r="R711" t="b">
        <f>+ISNUMBER(SEARCH('F-COMPRA'!$F$34,Tabla11[[#This Row],[Cuenta]],1))</f>
        <v>1</v>
      </c>
      <c r="S711" t="b">
        <f>+ISNUMBER(SEARCH('F-COMPRA'!$F$35,Tabla11[[#This Row],[Cuenta]],1))</f>
        <v>1</v>
      </c>
      <c r="T711" t="b">
        <f>+ISNUMBER(SEARCH('F-COMPRA'!$F$36,Tabla11[[#This Row],[Cuenta]],1))</f>
        <v>1</v>
      </c>
      <c r="U711" t="b">
        <f>+ISNUMBER(SEARCH('F-COMPRA'!$F$37,Tabla11[[#This Row],[Cuenta]],1))</f>
        <v>1</v>
      </c>
      <c r="V711" t="b">
        <f>+ISNUMBER(SEARCH(#REF!,Tabla11[[#This Row],[Cuenta]],1))</f>
        <v>0</v>
      </c>
      <c r="W711" t="b">
        <f>+ISNUMBER(SEARCH('F-COMPRA'!#REF!,Tabla11[[#This Row],[Cuenta]],1))</f>
        <v>0</v>
      </c>
      <c r="X711" t="b">
        <f>+ISNUMBER(SEARCH('F-COMPRA'!#REF!,Tabla11[[#This Row],[Cuenta]],1))</f>
        <v>0</v>
      </c>
      <c r="Y711" t="b">
        <f>+ISNUMBER(SEARCH('F-COMPRA'!#REF!,Tabla11[[#This Row],[Cuenta]],1))</f>
        <v>0</v>
      </c>
      <c r="Z711" t="b">
        <f>+ISNUMBER(SEARCH('F-COMPRA'!#REF!,Tabla11[[#This Row],[Cuenta]],1))</f>
        <v>0</v>
      </c>
      <c r="AA711" t="b">
        <f>+ISNUMBER(SEARCH('F-COMPRA'!#REF!,Tabla11[[#This Row],[Cuenta]],1))</f>
        <v>0</v>
      </c>
      <c r="AB711" t="b">
        <f>+ISNUMBER(SEARCH('F-COMPRA'!#REF!,Tabla11[[#This Row],[Cuenta]],1))</f>
        <v>0</v>
      </c>
      <c r="AC711" t="b">
        <f>+ISNUMBER(SEARCH('F-COMPRA'!#REF!,Tabla11[[#This Row],[Cuenta]],1))</f>
        <v>0</v>
      </c>
      <c r="AD711" t="b">
        <f>+ISNUMBER(SEARCH('F-COMPRA'!#REF!,Tabla11[[#This Row],[Cuenta]],1))</f>
        <v>0</v>
      </c>
      <c r="AE711" t="b">
        <f>+ISNUMBER(SEARCH('F-COMPRA'!#REF!,Tabla11[[#This Row],[Cuenta]],1))</f>
        <v>0</v>
      </c>
      <c r="AF711" t="b">
        <f>+ISNUMBER(SEARCH('F-VTA'!$G$23,Tabla11[[#This Row],[Cuenta]],1))</f>
        <v>0</v>
      </c>
      <c r="AG711" t="b">
        <f>+ISNUMBER(SEARCH('F-VTA'!$G$24,Tabla11[[#This Row],[Cuenta]],1))</f>
        <v>0</v>
      </c>
      <c r="AH711" t="b">
        <f>+ISNUMBER(SEARCH('F-VTA'!$G$25,Tabla11[[#This Row],[Cuenta]],1))</f>
        <v>0</v>
      </c>
      <c r="AI711" t="b">
        <f>+ISNUMBER(SEARCH('F-VTA'!$F$28,Tabla11[[#This Row],[Cuenta]],1))</f>
        <v>1</v>
      </c>
      <c r="AJ711" t="b">
        <f>+ISNUMBER(SEARCH('F-VTA'!$F$29,Tabla11[[#This Row],[Cuenta]],1))</f>
        <v>1</v>
      </c>
      <c r="AK711" t="b">
        <f>+ISNUMBER(SEARCH('F-VTA'!$F$30,Tabla11[[#This Row],[Cuenta]],1))</f>
        <v>1</v>
      </c>
      <c r="AL711" t="b">
        <f>+ISNUMBER(SEARCH('F-VTA'!$F$31,Tabla11[[#This Row],[Cuenta]],1))</f>
        <v>1</v>
      </c>
      <c r="AM711" t="b">
        <f>+ISNUMBER(SEARCH('F-VTA'!$F$32,Tabla11[[#This Row],[Cuenta]],1))</f>
        <v>1</v>
      </c>
      <c r="AN711" t="b">
        <f>+ISNUMBER(SEARCH('F-VTA'!$F$33,Tabla11[[#This Row],[Cuenta]],1))</f>
        <v>1</v>
      </c>
      <c r="AO711" t="b">
        <f>+ISNUMBER(SEARCH('F-VTA'!$F$34,Tabla11[[#This Row],[Cuenta]],1))</f>
        <v>1</v>
      </c>
      <c r="AP711" t="b">
        <f>+ISNUMBER(SEARCH('F-VTA'!$F$35,Tabla11[[#This Row],[Cuenta]],1))</f>
        <v>1</v>
      </c>
      <c r="AQ711" t="b">
        <f>+ISNUMBER(SEARCH('F-VTA'!$F$36,Tabla11[[#This Row],[Cuenta]],1))</f>
        <v>1</v>
      </c>
      <c r="AR711" t="b">
        <f>+ISNUMBER(SEARCH(#REF!,Tabla11[[#This Row],[Cuenta]],1))</f>
        <v>0</v>
      </c>
      <c r="AS711" t="b">
        <f>+ISNUMBER(SEARCH(#REF!,Tabla11[[#This Row],[Cuenta]],1))</f>
        <v>0</v>
      </c>
      <c r="AT711" t="b">
        <f>+ISNUMBER(SEARCH(#REF!,Tabla11[[#This Row],[Cuenta]],1))</f>
        <v>0</v>
      </c>
      <c r="AU711" t="b">
        <f>+ISNUMBER(SEARCH('Conc. Ban.1'!$I$9,Tabla11[[#This Row],[Cuenta]],1))</f>
        <v>0</v>
      </c>
      <c r="AV711" t="b">
        <f>+ISNUMBER(SEARCH(CompConta!$F$21,Tabla11[[#This Row],[Cuenta]],1))</f>
        <v>1</v>
      </c>
      <c r="AW711" t="b">
        <f>+ISNUMBER(SEARCH(CompConta!$F$22,Tabla11[[#This Row],[Cuenta]],1))</f>
        <v>1</v>
      </c>
      <c r="AX711" t="b">
        <f>+ISNUMBER(SEARCH(CompConta!$F$23,Tabla11[[#This Row],[Cuenta]],1))</f>
        <v>1</v>
      </c>
      <c r="AY711" t="b">
        <f>+ISNUMBER(SEARCH(CompConta!$F$24,Tabla11[[#This Row],[Cuenta]],1))</f>
        <v>1</v>
      </c>
      <c r="AZ711" t="b">
        <f>+ISNUMBER(SEARCH(CompConta!$F$25,Tabla11[[#This Row],[Cuenta]],1))</f>
        <v>1</v>
      </c>
      <c r="BA711" t="b">
        <f>+ISNUMBER(SEARCH(CompConta!$F$26,Tabla11[[#This Row],[Cuenta]],1))</f>
        <v>1</v>
      </c>
      <c r="BB711" t="b">
        <f>+ISNUMBER(SEARCH(CompConta!$F$27,Tabla11[[#This Row],[Cuenta]],1))</f>
        <v>1</v>
      </c>
      <c r="BC711" t="b">
        <f>+ISNUMBER(SEARCH(CompConta!$F$28,Tabla11[[#This Row],[Cuenta]],1))</f>
        <v>1</v>
      </c>
      <c r="BD711" t="b">
        <f>+ISNUMBER(SEARCH(CompConta!$F$29,Tabla11[[#This Row],[Cuenta]],1))</f>
        <v>1</v>
      </c>
      <c r="BE711" t="b">
        <f>+ISNUMBER(SEARCH(CompConta!$F$30,Tabla11[[#This Row],[Cuenta]],1))</f>
        <v>1</v>
      </c>
      <c r="BF711" t="b">
        <f>+ISNUMBER(SEARCH('PAGO Compras'!$E$11,Tabla11[[#This Row],[Cuenta]],1))</f>
        <v>1</v>
      </c>
      <c r="BG711" t="b">
        <f>+ISNUMBER(SEARCH(#REF!,Tabla11[[#This Row],[Cuenta]],1))</f>
        <v>0</v>
      </c>
      <c r="BH711" t="b">
        <f>+ISNUMBER(SEARCH(#REF!,Tabla11[[#This Row],[Cuenta]],1))</f>
        <v>0</v>
      </c>
      <c r="BI711" t="b">
        <f>+ISNUMBER(SEARCH(#REF!,Tabla11[[#This Row],[Cuenta]],1))</f>
        <v>0</v>
      </c>
      <c r="BJ711" t="b">
        <f>+ISNUMBER(SEARCH(#REF!,Tabla11[[#This Row],[Cuenta]],1))</f>
        <v>0</v>
      </c>
      <c r="BS711" t="str">
        <v>389510 Bienes entregados en comodato</v>
      </c>
      <c r="BT711" t="str">
        <v>389510 Bienes entregados en comodato</v>
      </c>
      <c r="BU711" t="str">
        <v>389510 Bienes entregados en comodato</v>
      </c>
      <c r="BV711" t="str">
        <v>389510 Bienes entregados en comodato</v>
      </c>
      <c r="BZ711" t="str">
        <v>389510 Bienes entregados en comodato</v>
      </c>
      <c r="CA711" t="str">
        <v>389510 Bienes entregados en comodato</v>
      </c>
      <c r="CB711" t="str">
        <v>389510 Bienes entregados en comodato</v>
      </c>
      <c r="CC711" t="str">
        <v>389510 Bienes entregados en comodato</v>
      </c>
      <c r="CD711" t="str">
        <v>389510 Bienes entregados en comodato</v>
      </c>
      <c r="CE711" t="str">
        <v>389510 Bienes entregados en comodato</v>
      </c>
      <c r="CS711" s="141" t="str">
        <v>389510 Bienes entregados en comodato</v>
      </c>
      <c r="CT711" s="141" t="str">
        <v>389510 Bienes entregados en comodato</v>
      </c>
      <c r="CU711" s="141" t="str">
        <v>389510 Bienes entregados en comodato</v>
      </c>
      <c r="CV711" s="141" t="str">
        <v>389510 Bienes entregados en comodato</v>
      </c>
      <c r="CW711" s="141" t="str">
        <v>389510 Bienes entregados en comodato</v>
      </c>
      <c r="CX711" s="141" t="str">
        <v>389510 Bienes entregados en comodato</v>
      </c>
      <c r="CY711" s="141" t="str">
        <v>389510 Bienes entregados en comodato</v>
      </c>
      <c r="CZ711" s="141" t="str">
        <v>389510 Bienes entregados en comodato</v>
      </c>
      <c r="DA711" s="141" t="str">
        <v>389510 Bienes entregados en comodato</v>
      </c>
      <c r="DF711" t="str">
        <v>389510 Bienes entregados en comodato</v>
      </c>
      <c r="DG711" t="str">
        <v>389510 Bienes entregados en comodato</v>
      </c>
      <c r="DH711" t="str">
        <v>389510 Bienes entregados en comodato</v>
      </c>
      <c r="DI711" t="str">
        <v>389510 Bienes entregados en comodato</v>
      </c>
      <c r="DJ711" t="str">
        <v>389510 Bienes entregados en comodato</v>
      </c>
      <c r="DK711" t="str">
        <v>389510 Bienes entregados en comodato</v>
      </c>
      <c r="DL711" t="str">
        <v>389510 Bienes entregados en comodato</v>
      </c>
      <c r="DM711" t="str">
        <v>389510 Bienes entregados en comodato</v>
      </c>
      <c r="DN711" t="str">
        <v>389510 Bienes entregados en comodato</v>
      </c>
      <c r="DO711" t="str">
        <v>389510 Bienes entregados en comodato</v>
      </c>
      <c r="DP711" t="str">
        <v>389510 Bienes entregados en comodato</v>
      </c>
    </row>
    <row r="712" spans="4:120" ht="12.75">
      <c r="D712" s="7">
        <v>389515</v>
      </c>
      <c r="E712" s="6" t="s">
        <v>284</v>
      </c>
      <c r="F712" s="5">
        <v>4</v>
      </c>
      <c r="G712" s="34" t="s">
        <v>827</v>
      </c>
      <c r="H712" s="8" t="s">
        <v>56</v>
      </c>
      <c r="I712" t="b">
        <f>+ISNUMBER(SEARCH('F-COMPRA'!$F$28,Tabla11[[#This Row],[Cuenta]],1))</f>
        <v>1</v>
      </c>
      <c r="J712" t="b">
        <f>+ISNUMBER(SEARCH('F-COMPRA'!$F$29,Tabla11[[#This Row],[Cuenta]],1))</f>
        <v>1</v>
      </c>
      <c r="K712" t="b">
        <f>+ISNUMBER(SEARCH('F-COMPRA'!$F$30,Tabla11[[#This Row],[Cuenta]],1))</f>
        <v>1</v>
      </c>
      <c r="L712" t="b">
        <f>+ISNUMBER(SEARCH('F-COMPRA'!$F$31,Tabla11[[#This Row],[Cuenta]],1))</f>
        <v>1</v>
      </c>
      <c r="M712" t="b">
        <f>+ISNUMBER(SEARCH('F-COMPRA'!$G$25,Tabla11[[#This Row],[Cuenta]],1))</f>
        <v>0</v>
      </c>
      <c r="N712" t="b">
        <f>+ISNUMBER(SEARCH(#REF!,Tabla11[[#This Row],[Cuenta]],1))</f>
        <v>0</v>
      </c>
      <c r="O712" t="b">
        <f>+ISNUMBER(SEARCH(#REF!,Tabla11[[#This Row],[Cuenta]],1))</f>
        <v>0</v>
      </c>
      <c r="P712" t="b">
        <f>+ISNUMBER(SEARCH('F-COMPRA'!$F$32,Tabla11[[#This Row],[Cuenta]],1))</f>
        <v>1</v>
      </c>
      <c r="Q712" t="b">
        <f>+ISNUMBER(SEARCH('F-COMPRA'!$F$33,Tabla11[[#This Row],[Cuenta]],1))</f>
        <v>1</v>
      </c>
      <c r="R712" t="b">
        <f>+ISNUMBER(SEARCH('F-COMPRA'!$F$34,Tabla11[[#This Row],[Cuenta]],1))</f>
        <v>1</v>
      </c>
      <c r="S712" t="b">
        <f>+ISNUMBER(SEARCH('F-COMPRA'!$F$35,Tabla11[[#This Row],[Cuenta]],1))</f>
        <v>1</v>
      </c>
      <c r="T712" t="b">
        <f>+ISNUMBER(SEARCH('F-COMPRA'!$F$36,Tabla11[[#This Row],[Cuenta]],1))</f>
        <v>1</v>
      </c>
      <c r="U712" t="b">
        <f>+ISNUMBER(SEARCH('F-COMPRA'!$F$37,Tabla11[[#This Row],[Cuenta]],1))</f>
        <v>1</v>
      </c>
      <c r="V712" t="b">
        <f>+ISNUMBER(SEARCH(#REF!,Tabla11[[#This Row],[Cuenta]],1))</f>
        <v>0</v>
      </c>
      <c r="W712" t="b">
        <f>+ISNUMBER(SEARCH('F-COMPRA'!#REF!,Tabla11[[#This Row],[Cuenta]],1))</f>
        <v>0</v>
      </c>
      <c r="X712" t="b">
        <f>+ISNUMBER(SEARCH('F-COMPRA'!#REF!,Tabla11[[#This Row],[Cuenta]],1))</f>
        <v>0</v>
      </c>
      <c r="Y712" t="b">
        <f>+ISNUMBER(SEARCH('F-COMPRA'!#REF!,Tabla11[[#This Row],[Cuenta]],1))</f>
        <v>0</v>
      </c>
      <c r="Z712" t="b">
        <f>+ISNUMBER(SEARCH('F-COMPRA'!#REF!,Tabla11[[#This Row],[Cuenta]],1))</f>
        <v>0</v>
      </c>
      <c r="AA712" t="b">
        <f>+ISNUMBER(SEARCH('F-COMPRA'!#REF!,Tabla11[[#This Row],[Cuenta]],1))</f>
        <v>0</v>
      </c>
      <c r="AB712" t="b">
        <f>+ISNUMBER(SEARCH('F-COMPRA'!#REF!,Tabla11[[#This Row],[Cuenta]],1))</f>
        <v>0</v>
      </c>
      <c r="AC712" t="b">
        <f>+ISNUMBER(SEARCH('F-COMPRA'!#REF!,Tabla11[[#This Row],[Cuenta]],1))</f>
        <v>0</v>
      </c>
      <c r="AD712" t="b">
        <f>+ISNUMBER(SEARCH('F-COMPRA'!#REF!,Tabla11[[#This Row],[Cuenta]],1))</f>
        <v>0</v>
      </c>
      <c r="AE712" t="b">
        <f>+ISNUMBER(SEARCH('F-COMPRA'!#REF!,Tabla11[[#This Row],[Cuenta]],1))</f>
        <v>0</v>
      </c>
      <c r="AF712" t="b">
        <f>+ISNUMBER(SEARCH('F-VTA'!$G$23,Tabla11[[#This Row],[Cuenta]],1))</f>
        <v>0</v>
      </c>
      <c r="AG712" t="b">
        <f>+ISNUMBER(SEARCH('F-VTA'!$G$24,Tabla11[[#This Row],[Cuenta]],1))</f>
        <v>0</v>
      </c>
      <c r="AH712" t="b">
        <f>+ISNUMBER(SEARCH('F-VTA'!$G$25,Tabla11[[#This Row],[Cuenta]],1))</f>
        <v>0</v>
      </c>
      <c r="AI712" t="b">
        <f>+ISNUMBER(SEARCH('F-VTA'!$F$28,Tabla11[[#This Row],[Cuenta]],1))</f>
        <v>1</v>
      </c>
      <c r="AJ712" t="b">
        <f>+ISNUMBER(SEARCH('F-VTA'!$F$29,Tabla11[[#This Row],[Cuenta]],1))</f>
        <v>1</v>
      </c>
      <c r="AK712" t="b">
        <f>+ISNUMBER(SEARCH('F-VTA'!$F$30,Tabla11[[#This Row],[Cuenta]],1))</f>
        <v>1</v>
      </c>
      <c r="AL712" t="b">
        <f>+ISNUMBER(SEARCH('F-VTA'!$F$31,Tabla11[[#This Row],[Cuenta]],1))</f>
        <v>1</v>
      </c>
      <c r="AM712" t="b">
        <f>+ISNUMBER(SEARCH('F-VTA'!$F$32,Tabla11[[#This Row],[Cuenta]],1))</f>
        <v>1</v>
      </c>
      <c r="AN712" t="b">
        <f>+ISNUMBER(SEARCH('F-VTA'!$F$33,Tabla11[[#This Row],[Cuenta]],1))</f>
        <v>1</v>
      </c>
      <c r="AO712" t="b">
        <f>+ISNUMBER(SEARCH('F-VTA'!$F$34,Tabla11[[#This Row],[Cuenta]],1))</f>
        <v>1</v>
      </c>
      <c r="AP712" t="b">
        <f>+ISNUMBER(SEARCH('F-VTA'!$F$35,Tabla11[[#This Row],[Cuenta]],1))</f>
        <v>1</v>
      </c>
      <c r="AQ712" t="b">
        <f>+ISNUMBER(SEARCH('F-VTA'!$F$36,Tabla11[[#This Row],[Cuenta]],1))</f>
        <v>1</v>
      </c>
      <c r="AR712" t="b">
        <f>+ISNUMBER(SEARCH(#REF!,Tabla11[[#This Row],[Cuenta]],1))</f>
        <v>0</v>
      </c>
      <c r="AS712" t="b">
        <f>+ISNUMBER(SEARCH(#REF!,Tabla11[[#This Row],[Cuenta]],1))</f>
        <v>0</v>
      </c>
      <c r="AT712" t="b">
        <f>+ISNUMBER(SEARCH(#REF!,Tabla11[[#This Row],[Cuenta]],1))</f>
        <v>0</v>
      </c>
      <c r="AU712" t="b">
        <f>+ISNUMBER(SEARCH('Conc. Ban.1'!$I$9,Tabla11[[#This Row],[Cuenta]],1))</f>
        <v>0</v>
      </c>
      <c r="AV712" t="b">
        <f>+ISNUMBER(SEARCH(CompConta!$F$21,Tabla11[[#This Row],[Cuenta]],1))</f>
        <v>1</v>
      </c>
      <c r="AW712" t="b">
        <f>+ISNUMBER(SEARCH(CompConta!$F$22,Tabla11[[#This Row],[Cuenta]],1))</f>
        <v>1</v>
      </c>
      <c r="AX712" t="b">
        <f>+ISNUMBER(SEARCH(CompConta!$F$23,Tabla11[[#This Row],[Cuenta]],1))</f>
        <v>1</v>
      </c>
      <c r="AY712" t="b">
        <f>+ISNUMBER(SEARCH(CompConta!$F$24,Tabla11[[#This Row],[Cuenta]],1))</f>
        <v>1</v>
      </c>
      <c r="AZ712" t="b">
        <f>+ISNUMBER(SEARCH(CompConta!$F$25,Tabla11[[#This Row],[Cuenta]],1))</f>
        <v>1</v>
      </c>
      <c r="BA712" t="b">
        <f>+ISNUMBER(SEARCH(CompConta!$F$26,Tabla11[[#This Row],[Cuenta]],1))</f>
        <v>1</v>
      </c>
      <c r="BB712" t="b">
        <f>+ISNUMBER(SEARCH(CompConta!$F$27,Tabla11[[#This Row],[Cuenta]],1))</f>
        <v>1</v>
      </c>
      <c r="BC712" t="b">
        <f>+ISNUMBER(SEARCH(CompConta!$F$28,Tabla11[[#This Row],[Cuenta]],1))</f>
        <v>1</v>
      </c>
      <c r="BD712" t="b">
        <f>+ISNUMBER(SEARCH(CompConta!$F$29,Tabla11[[#This Row],[Cuenta]],1))</f>
        <v>1</v>
      </c>
      <c r="BE712" t="b">
        <f>+ISNUMBER(SEARCH(CompConta!$F$30,Tabla11[[#This Row],[Cuenta]],1))</f>
        <v>1</v>
      </c>
      <c r="BF712" t="b">
        <f>+ISNUMBER(SEARCH('PAGO Compras'!$E$11,Tabla11[[#This Row],[Cuenta]],1))</f>
        <v>1</v>
      </c>
      <c r="BG712" t="b">
        <f>+ISNUMBER(SEARCH(#REF!,Tabla11[[#This Row],[Cuenta]],1))</f>
        <v>0</v>
      </c>
      <c r="BH712" t="b">
        <f>+ISNUMBER(SEARCH(#REF!,Tabla11[[#This Row],[Cuenta]],1))</f>
        <v>0</v>
      </c>
      <c r="BI712" t="b">
        <f>+ISNUMBER(SEARCH(#REF!,Tabla11[[#This Row],[Cuenta]],1))</f>
        <v>0</v>
      </c>
      <c r="BJ712" t="b">
        <f>+ISNUMBER(SEARCH(#REF!,Tabla11[[#This Row],[Cuenta]],1))</f>
        <v>0</v>
      </c>
      <c r="BS712" t="str">
        <v>389515 Bienes recibidos en pago</v>
      </c>
      <c r="BT712" t="str">
        <v>389515 Bienes recibidos en pago</v>
      </c>
      <c r="BU712" t="str">
        <v>389515 Bienes recibidos en pago</v>
      </c>
      <c r="BV712" t="str">
        <v>389515 Bienes recibidos en pago</v>
      </c>
      <c r="BZ712" t="str">
        <v>389515 Bienes recibidos en pago</v>
      </c>
      <c r="CA712" t="str">
        <v>389515 Bienes recibidos en pago</v>
      </c>
      <c r="CB712" t="str">
        <v>389515 Bienes recibidos en pago</v>
      </c>
      <c r="CC712" t="str">
        <v>389515 Bienes recibidos en pago</v>
      </c>
      <c r="CD712" t="str">
        <v>389515 Bienes recibidos en pago</v>
      </c>
      <c r="CE712" t="str">
        <v>389515 Bienes recibidos en pago</v>
      </c>
      <c r="CS712" s="141" t="str">
        <v>389515 Bienes recibidos en pago</v>
      </c>
      <c r="CT712" s="141" t="str">
        <v>389515 Bienes recibidos en pago</v>
      </c>
      <c r="CU712" s="141" t="str">
        <v>389515 Bienes recibidos en pago</v>
      </c>
      <c r="CV712" s="141" t="str">
        <v>389515 Bienes recibidos en pago</v>
      </c>
      <c r="CW712" s="141" t="str">
        <v>389515 Bienes recibidos en pago</v>
      </c>
      <c r="CX712" s="141" t="str">
        <v>389515 Bienes recibidos en pago</v>
      </c>
      <c r="CY712" s="141" t="str">
        <v>389515 Bienes recibidos en pago</v>
      </c>
      <c r="CZ712" s="141" t="str">
        <v>389515 Bienes recibidos en pago</v>
      </c>
      <c r="DA712" s="141" t="str">
        <v>389515 Bienes recibidos en pago</v>
      </c>
      <c r="DF712" t="str">
        <v>389515 Bienes recibidos en pago</v>
      </c>
      <c r="DG712" t="str">
        <v>389515 Bienes recibidos en pago</v>
      </c>
      <c r="DH712" t="str">
        <v>389515 Bienes recibidos en pago</v>
      </c>
      <c r="DI712" t="str">
        <v>389515 Bienes recibidos en pago</v>
      </c>
      <c r="DJ712" t="str">
        <v>389515 Bienes recibidos en pago</v>
      </c>
      <c r="DK712" t="str">
        <v>389515 Bienes recibidos en pago</v>
      </c>
      <c r="DL712" t="str">
        <v>389515 Bienes recibidos en pago</v>
      </c>
      <c r="DM712" t="str">
        <v>389515 Bienes recibidos en pago</v>
      </c>
      <c r="DN712" t="str">
        <v>389515 Bienes recibidos en pago</v>
      </c>
      <c r="DO712" t="str">
        <v>389515 Bienes recibidos en pago</v>
      </c>
      <c r="DP712" t="str">
        <v>389515 Bienes recibidos en pago</v>
      </c>
    </row>
    <row r="713" spans="4:120" ht="12.75">
      <c r="D713" s="7">
        <v>389520</v>
      </c>
      <c r="E713" s="6" t="s">
        <v>292</v>
      </c>
      <c r="F713" s="5">
        <v>4</v>
      </c>
      <c r="G713" s="34" t="s">
        <v>827</v>
      </c>
      <c r="H713" s="8" t="s">
        <v>56</v>
      </c>
      <c r="I713" t="b">
        <f>+ISNUMBER(SEARCH('F-COMPRA'!$F$28,Tabla11[[#This Row],[Cuenta]],1))</f>
        <v>1</v>
      </c>
      <c r="J713" t="b">
        <f>+ISNUMBER(SEARCH('F-COMPRA'!$F$29,Tabla11[[#This Row],[Cuenta]],1))</f>
        <v>1</v>
      </c>
      <c r="K713" t="b">
        <f>+ISNUMBER(SEARCH('F-COMPRA'!$F$30,Tabla11[[#This Row],[Cuenta]],1))</f>
        <v>1</v>
      </c>
      <c r="L713" t="b">
        <f>+ISNUMBER(SEARCH('F-COMPRA'!$F$31,Tabla11[[#This Row],[Cuenta]],1))</f>
        <v>1</v>
      </c>
      <c r="M713" t="b">
        <f>+ISNUMBER(SEARCH('F-COMPRA'!$G$25,Tabla11[[#This Row],[Cuenta]],1))</f>
        <v>0</v>
      </c>
      <c r="N713" t="b">
        <f>+ISNUMBER(SEARCH(#REF!,Tabla11[[#This Row],[Cuenta]],1))</f>
        <v>0</v>
      </c>
      <c r="O713" t="b">
        <f>+ISNUMBER(SEARCH(#REF!,Tabla11[[#This Row],[Cuenta]],1))</f>
        <v>0</v>
      </c>
      <c r="P713" t="b">
        <f>+ISNUMBER(SEARCH('F-COMPRA'!$F$32,Tabla11[[#This Row],[Cuenta]],1))</f>
        <v>1</v>
      </c>
      <c r="Q713" t="b">
        <f>+ISNUMBER(SEARCH('F-COMPRA'!$F$33,Tabla11[[#This Row],[Cuenta]],1))</f>
        <v>1</v>
      </c>
      <c r="R713" t="b">
        <f>+ISNUMBER(SEARCH('F-COMPRA'!$F$34,Tabla11[[#This Row],[Cuenta]],1))</f>
        <v>1</v>
      </c>
      <c r="S713" t="b">
        <f>+ISNUMBER(SEARCH('F-COMPRA'!$F$35,Tabla11[[#This Row],[Cuenta]],1))</f>
        <v>1</v>
      </c>
      <c r="T713" t="b">
        <f>+ISNUMBER(SEARCH('F-COMPRA'!$F$36,Tabla11[[#This Row],[Cuenta]],1))</f>
        <v>1</v>
      </c>
      <c r="U713" t="b">
        <f>+ISNUMBER(SEARCH('F-COMPRA'!$F$37,Tabla11[[#This Row],[Cuenta]],1))</f>
        <v>1</v>
      </c>
      <c r="V713" t="b">
        <f>+ISNUMBER(SEARCH(#REF!,Tabla11[[#This Row],[Cuenta]],1))</f>
        <v>0</v>
      </c>
      <c r="W713" t="b">
        <f>+ISNUMBER(SEARCH('F-COMPRA'!#REF!,Tabla11[[#This Row],[Cuenta]],1))</f>
        <v>0</v>
      </c>
      <c r="X713" t="b">
        <f>+ISNUMBER(SEARCH('F-COMPRA'!#REF!,Tabla11[[#This Row],[Cuenta]],1))</f>
        <v>0</v>
      </c>
      <c r="Y713" t="b">
        <f>+ISNUMBER(SEARCH('F-COMPRA'!#REF!,Tabla11[[#This Row],[Cuenta]],1))</f>
        <v>0</v>
      </c>
      <c r="Z713" t="b">
        <f>+ISNUMBER(SEARCH('F-COMPRA'!#REF!,Tabla11[[#This Row],[Cuenta]],1))</f>
        <v>0</v>
      </c>
      <c r="AA713" t="b">
        <f>+ISNUMBER(SEARCH('F-COMPRA'!#REF!,Tabla11[[#This Row],[Cuenta]],1))</f>
        <v>0</v>
      </c>
      <c r="AB713" t="b">
        <f>+ISNUMBER(SEARCH('F-COMPRA'!#REF!,Tabla11[[#This Row],[Cuenta]],1))</f>
        <v>0</v>
      </c>
      <c r="AC713" t="b">
        <f>+ISNUMBER(SEARCH('F-COMPRA'!#REF!,Tabla11[[#This Row],[Cuenta]],1))</f>
        <v>0</v>
      </c>
      <c r="AD713" t="b">
        <f>+ISNUMBER(SEARCH('F-COMPRA'!#REF!,Tabla11[[#This Row],[Cuenta]],1))</f>
        <v>0</v>
      </c>
      <c r="AE713" t="b">
        <f>+ISNUMBER(SEARCH('F-COMPRA'!#REF!,Tabla11[[#This Row],[Cuenta]],1))</f>
        <v>0</v>
      </c>
      <c r="AF713" t="b">
        <f>+ISNUMBER(SEARCH('F-VTA'!$G$23,Tabla11[[#This Row],[Cuenta]],1))</f>
        <v>0</v>
      </c>
      <c r="AG713" t="b">
        <f>+ISNUMBER(SEARCH('F-VTA'!$G$24,Tabla11[[#This Row],[Cuenta]],1))</f>
        <v>0</v>
      </c>
      <c r="AH713" t="b">
        <f>+ISNUMBER(SEARCH('F-VTA'!$G$25,Tabla11[[#This Row],[Cuenta]],1))</f>
        <v>0</v>
      </c>
      <c r="AI713" t="b">
        <f>+ISNUMBER(SEARCH('F-VTA'!$F$28,Tabla11[[#This Row],[Cuenta]],1))</f>
        <v>1</v>
      </c>
      <c r="AJ713" t="b">
        <f>+ISNUMBER(SEARCH('F-VTA'!$F$29,Tabla11[[#This Row],[Cuenta]],1))</f>
        <v>1</v>
      </c>
      <c r="AK713" t="b">
        <f>+ISNUMBER(SEARCH('F-VTA'!$F$30,Tabla11[[#This Row],[Cuenta]],1))</f>
        <v>1</v>
      </c>
      <c r="AL713" t="b">
        <f>+ISNUMBER(SEARCH('F-VTA'!$F$31,Tabla11[[#This Row],[Cuenta]],1))</f>
        <v>1</v>
      </c>
      <c r="AM713" t="b">
        <f>+ISNUMBER(SEARCH('F-VTA'!$F$32,Tabla11[[#This Row],[Cuenta]],1))</f>
        <v>1</v>
      </c>
      <c r="AN713" t="b">
        <f>+ISNUMBER(SEARCH('F-VTA'!$F$33,Tabla11[[#This Row],[Cuenta]],1))</f>
        <v>1</v>
      </c>
      <c r="AO713" t="b">
        <f>+ISNUMBER(SEARCH('F-VTA'!$F$34,Tabla11[[#This Row],[Cuenta]],1))</f>
        <v>1</v>
      </c>
      <c r="AP713" t="b">
        <f>+ISNUMBER(SEARCH('F-VTA'!$F$35,Tabla11[[#This Row],[Cuenta]],1))</f>
        <v>1</v>
      </c>
      <c r="AQ713" t="b">
        <f>+ISNUMBER(SEARCH('F-VTA'!$F$36,Tabla11[[#This Row],[Cuenta]],1))</f>
        <v>1</v>
      </c>
      <c r="AR713" t="b">
        <f>+ISNUMBER(SEARCH(#REF!,Tabla11[[#This Row],[Cuenta]],1))</f>
        <v>0</v>
      </c>
      <c r="AS713" t="b">
        <f>+ISNUMBER(SEARCH(#REF!,Tabla11[[#This Row],[Cuenta]],1))</f>
        <v>0</v>
      </c>
      <c r="AT713" t="b">
        <f>+ISNUMBER(SEARCH(#REF!,Tabla11[[#This Row],[Cuenta]],1))</f>
        <v>0</v>
      </c>
      <c r="AU713" t="b">
        <f>+ISNUMBER(SEARCH('Conc. Ban.1'!$I$9,Tabla11[[#This Row],[Cuenta]],1))</f>
        <v>0</v>
      </c>
      <c r="AV713" t="b">
        <f>+ISNUMBER(SEARCH(CompConta!$F$21,Tabla11[[#This Row],[Cuenta]],1))</f>
        <v>1</v>
      </c>
      <c r="AW713" t="b">
        <f>+ISNUMBER(SEARCH(CompConta!$F$22,Tabla11[[#This Row],[Cuenta]],1))</f>
        <v>1</v>
      </c>
      <c r="AX713" t="b">
        <f>+ISNUMBER(SEARCH(CompConta!$F$23,Tabla11[[#This Row],[Cuenta]],1))</f>
        <v>1</v>
      </c>
      <c r="AY713" t="b">
        <f>+ISNUMBER(SEARCH(CompConta!$F$24,Tabla11[[#This Row],[Cuenta]],1))</f>
        <v>1</v>
      </c>
      <c r="AZ713" t="b">
        <f>+ISNUMBER(SEARCH(CompConta!$F$25,Tabla11[[#This Row],[Cuenta]],1))</f>
        <v>1</v>
      </c>
      <c r="BA713" t="b">
        <f>+ISNUMBER(SEARCH(CompConta!$F$26,Tabla11[[#This Row],[Cuenta]],1))</f>
        <v>1</v>
      </c>
      <c r="BB713" t="b">
        <f>+ISNUMBER(SEARCH(CompConta!$F$27,Tabla11[[#This Row],[Cuenta]],1))</f>
        <v>1</v>
      </c>
      <c r="BC713" t="b">
        <f>+ISNUMBER(SEARCH(CompConta!$F$28,Tabla11[[#This Row],[Cuenta]],1))</f>
        <v>1</v>
      </c>
      <c r="BD713" t="b">
        <f>+ISNUMBER(SEARCH(CompConta!$F$29,Tabla11[[#This Row],[Cuenta]],1))</f>
        <v>1</v>
      </c>
      <c r="BE713" t="b">
        <f>+ISNUMBER(SEARCH(CompConta!$F$30,Tabla11[[#This Row],[Cuenta]],1))</f>
        <v>1</v>
      </c>
      <c r="BF713" t="b">
        <f>+ISNUMBER(SEARCH('PAGO Compras'!$E$11,Tabla11[[#This Row],[Cuenta]],1))</f>
        <v>1</v>
      </c>
      <c r="BG713" t="b">
        <f>+ISNUMBER(SEARCH(#REF!,Tabla11[[#This Row],[Cuenta]],1))</f>
        <v>0</v>
      </c>
      <c r="BH713" t="b">
        <f>+ISNUMBER(SEARCH(#REF!,Tabla11[[#This Row],[Cuenta]],1))</f>
        <v>0</v>
      </c>
      <c r="BI713" t="b">
        <f>+ISNUMBER(SEARCH(#REF!,Tabla11[[#This Row],[Cuenta]],1))</f>
        <v>0</v>
      </c>
      <c r="BJ713" t="b">
        <f>+ISNUMBER(SEARCH(#REF!,Tabla11[[#This Row],[Cuenta]],1))</f>
        <v>0</v>
      </c>
      <c r="BS713" t="str">
        <v>389520 Inventarios de semovientes</v>
      </c>
      <c r="BT713" t="str">
        <v>389520 Inventarios de semovientes</v>
      </c>
      <c r="BU713" t="str">
        <v>389520 Inventarios de semovientes</v>
      </c>
      <c r="BV713" t="str">
        <v>389520 Inventarios de semovientes</v>
      </c>
      <c r="BZ713" t="str">
        <v>389520 Inventarios de semovientes</v>
      </c>
      <c r="CA713" t="str">
        <v>389520 Inventarios de semovientes</v>
      </c>
      <c r="CB713" t="str">
        <v>389520 Inventarios de semovientes</v>
      </c>
      <c r="CC713" t="str">
        <v>389520 Inventarios de semovientes</v>
      </c>
      <c r="CD713" t="str">
        <v>389520 Inventarios de semovientes</v>
      </c>
      <c r="CE713" t="str">
        <v>389520 Inventarios de semovientes</v>
      </c>
      <c r="CS713" s="141" t="str">
        <v>389520 Inventarios de semovientes</v>
      </c>
      <c r="CT713" s="141" t="str">
        <v>389520 Inventarios de semovientes</v>
      </c>
      <c r="CU713" s="141" t="str">
        <v>389520 Inventarios de semovientes</v>
      </c>
      <c r="CV713" s="141" t="str">
        <v>389520 Inventarios de semovientes</v>
      </c>
      <c r="CW713" s="141" t="str">
        <v>389520 Inventarios de semovientes</v>
      </c>
      <c r="CX713" s="141" t="str">
        <v>389520 Inventarios de semovientes</v>
      </c>
      <c r="CY713" s="141" t="str">
        <v>389520 Inventarios de semovientes</v>
      </c>
      <c r="CZ713" s="141" t="str">
        <v>389520 Inventarios de semovientes</v>
      </c>
      <c r="DA713" s="141" t="str">
        <v>389520 Inventarios de semovientes</v>
      </c>
      <c r="DF713" t="str">
        <v>389520 Inventarios de semovientes</v>
      </c>
      <c r="DG713" t="str">
        <v>389520 Inventarios de semovientes</v>
      </c>
      <c r="DH713" t="str">
        <v>389520 Inventarios de semovientes</v>
      </c>
      <c r="DI713" t="str">
        <v>389520 Inventarios de semovientes</v>
      </c>
      <c r="DJ713" t="str">
        <v>389520 Inventarios de semovientes</v>
      </c>
      <c r="DK713" t="str">
        <v>389520 Inventarios de semovientes</v>
      </c>
      <c r="DL713" t="str">
        <v>389520 Inventarios de semovientes</v>
      </c>
      <c r="DM713" t="str">
        <v>389520 Inventarios de semovientes</v>
      </c>
      <c r="DN713" t="str">
        <v>389520 Inventarios de semovientes</v>
      </c>
      <c r="DO713" t="str">
        <v>389520 Inventarios de semovientes</v>
      </c>
      <c r="DP713" t="str">
        <v>389520 Inventarios de semovientes</v>
      </c>
    </row>
    <row r="714" spans="4:120" ht="12.75">
      <c r="D714" s="7">
        <v>389530</v>
      </c>
      <c r="E714" s="6" t="s">
        <v>850</v>
      </c>
      <c r="F714" s="5">
        <v>4</v>
      </c>
      <c r="G714" s="34" t="s">
        <v>827</v>
      </c>
      <c r="H714" s="8"/>
      <c r="I714" t="b">
        <f>+ISNUMBER(SEARCH('F-COMPRA'!$F$28,Tabla11[[#This Row],[Cuenta]],1))</f>
        <v>1</v>
      </c>
      <c r="J714" t="b">
        <f>+ISNUMBER(SEARCH('F-COMPRA'!$F$29,Tabla11[[#This Row],[Cuenta]],1))</f>
        <v>1</v>
      </c>
      <c r="K714" t="b">
        <f>+ISNUMBER(SEARCH('F-COMPRA'!$F$30,Tabla11[[#This Row],[Cuenta]],1))</f>
        <v>1</v>
      </c>
      <c r="L714" t="b">
        <f>+ISNUMBER(SEARCH('F-COMPRA'!$F$31,Tabla11[[#This Row],[Cuenta]],1))</f>
        <v>1</v>
      </c>
      <c r="M714" t="b">
        <f>+ISNUMBER(SEARCH('F-COMPRA'!$G$25,Tabla11[[#This Row],[Cuenta]],1))</f>
        <v>0</v>
      </c>
      <c r="N714" t="b">
        <f>+ISNUMBER(SEARCH(#REF!,Tabla11[[#This Row],[Cuenta]],1))</f>
        <v>0</v>
      </c>
      <c r="O714" t="b">
        <f>+ISNUMBER(SEARCH(#REF!,Tabla11[[#This Row],[Cuenta]],1))</f>
        <v>0</v>
      </c>
      <c r="P714" t="b">
        <f>+ISNUMBER(SEARCH('F-COMPRA'!$F$32,Tabla11[[#This Row],[Cuenta]],1))</f>
        <v>1</v>
      </c>
      <c r="Q714" t="b">
        <f>+ISNUMBER(SEARCH('F-COMPRA'!$F$33,Tabla11[[#This Row],[Cuenta]],1))</f>
        <v>1</v>
      </c>
      <c r="R714" t="b">
        <f>+ISNUMBER(SEARCH('F-COMPRA'!$F$34,Tabla11[[#This Row],[Cuenta]],1))</f>
        <v>1</v>
      </c>
      <c r="S714" t="b">
        <f>+ISNUMBER(SEARCH('F-COMPRA'!$F$35,Tabla11[[#This Row],[Cuenta]],1))</f>
        <v>1</v>
      </c>
      <c r="T714" t="b">
        <f>+ISNUMBER(SEARCH('F-COMPRA'!$F$36,Tabla11[[#This Row],[Cuenta]],1))</f>
        <v>1</v>
      </c>
      <c r="U714" t="b">
        <f>+ISNUMBER(SEARCH('F-COMPRA'!$F$37,Tabla11[[#This Row],[Cuenta]],1))</f>
        <v>1</v>
      </c>
      <c r="V714" t="b">
        <f>+ISNUMBER(SEARCH(#REF!,Tabla11[[#This Row],[Cuenta]],1))</f>
        <v>0</v>
      </c>
      <c r="W714" t="b">
        <f>+ISNUMBER(SEARCH('F-COMPRA'!#REF!,Tabla11[[#This Row],[Cuenta]],1))</f>
        <v>0</v>
      </c>
      <c r="X714" t="b">
        <f>+ISNUMBER(SEARCH('F-COMPRA'!#REF!,Tabla11[[#This Row],[Cuenta]],1))</f>
        <v>0</v>
      </c>
      <c r="Y714" t="b">
        <f>+ISNUMBER(SEARCH('F-COMPRA'!#REF!,Tabla11[[#This Row],[Cuenta]],1))</f>
        <v>0</v>
      </c>
      <c r="Z714" t="b">
        <f>+ISNUMBER(SEARCH('F-COMPRA'!#REF!,Tabla11[[#This Row],[Cuenta]],1))</f>
        <v>0</v>
      </c>
      <c r="AA714" t="b">
        <f>+ISNUMBER(SEARCH('F-COMPRA'!#REF!,Tabla11[[#This Row],[Cuenta]],1))</f>
        <v>0</v>
      </c>
      <c r="AB714" t="b">
        <f>+ISNUMBER(SEARCH('F-COMPRA'!#REF!,Tabla11[[#This Row],[Cuenta]],1))</f>
        <v>0</v>
      </c>
      <c r="AC714" t="b">
        <f>+ISNUMBER(SEARCH('F-COMPRA'!#REF!,Tabla11[[#This Row],[Cuenta]],1))</f>
        <v>0</v>
      </c>
      <c r="AD714" t="b">
        <f>+ISNUMBER(SEARCH('F-COMPRA'!#REF!,Tabla11[[#This Row],[Cuenta]],1))</f>
        <v>0</v>
      </c>
      <c r="AE714" t="b">
        <f>+ISNUMBER(SEARCH('F-COMPRA'!#REF!,Tabla11[[#This Row],[Cuenta]],1))</f>
        <v>0</v>
      </c>
      <c r="AF714" t="b">
        <f>+ISNUMBER(SEARCH('F-VTA'!$G$23,Tabla11[[#This Row],[Cuenta]],1))</f>
        <v>0</v>
      </c>
      <c r="AG714" t="b">
        <f>+ISNUMBER(SEARCH('F-VTA'!$G$24,Tabla11[[#This Row],[Cuenta]],1))</f>
        <v>0</v>
      </c>
      <c r="AH714" t="b">
        <f>+ISNUMBER(SEARCH('F-VTA'!$G$25,Tabla11[[#This Row],[Cuenta]],1))</f>
        <v>0</v>
      </c>
      <c r="AI714" t="b">
        <f>+ISNUMBER(SEARCH('F-VTA'!$F$28,Tabla11[[#This Row],[Cuenta]],1))</f>
        <v>1</v>
      </c>
      <c r="AJ714" t="b">
        <f>+ISNUMBER(SEARCH('F-VTA'!$F$29,Tabla11[[#This Row],[Cuenta]],1))</f>
        <v>1</v>
      </c>
      <c r="AK714" t="b">
        <f>+ISNUMBER(SEARCH('F-VTA'!$F$30,Tabla11[[#This Row],[Cuenta]],1))</f>
        <v>1</v>
      </c>
      <c r="AL714" t="b">
        <f>+ISNUMBER(SEARCH('F-VTA'!$F$31,Tabla11[[#This Row],[Cuenta]],1))</f>
        <v>1</v>
      </c>
      <c r="AM714" t="b">
        <f>+ISNUMBER(SEARCH('F-VTA'!$F$32,Tabla11[[#This Row],[Cuenta]],1))</f>
        <v>1</v>
      </c>
      <c r="AN714" t="b">
        <f>+ISNUMBER(SEARCH('F-VTA'!$F$33,Tabla11[[#This Row],[Cuenta]],1))</f>
        <v>1</v>
      </c>
      <c r="AO714" t="b">
        <f>+ISNUMBER(SEARCH('F-VTA'!$F$34,Tabla11[[#This Row],[Cuenta]],1))</f>
        <v>1</v>
      </c>
      <c r="AP714" t="b">
        <f>+ISNUMBER(SEARCH('F-VTA'!$F$35,Tabla11[[#This Row],[Cuenta]],1))</f>
        <v>1</v>
      </c>
      <c r="AQ714" t="b">
        <f>+ISNUMBER(SEARCH('F-VTA'!$F$36,Tabla11[[#This Row],[Cuenta]],1))</f>
        <v>1</v>
      </c>
      <c r="AR714" t="b">
        <f>+ISNUMBER(SEARCH(#REF!,Tabla11[[#This Row],[Cuenta]],1))</f>
        <v>0</v>
      </c>
      <c r="AS714" t="b">
        <f>+ISNUMBER(SEARCH(#REF!,Tabla11[[#This Row],[Cuenta]],1))</f>
        <v>0</v>
      </c>
      <c r="AT714" t="b">
        <f>+ISNUMBER(SEARCH(#REF!,Tabla11[[#This Row],[Cuenta]],1))</f>
        <v>0</v>
      </c>
      <c r="AU714" t="b">
        <f>+ISNUMBER(SEARCH('Conc. Ban.1'!$I$9,Tabla11[[#This Row],[Cuenta]],1))</f>
        <v>0</v>
      </c>
      <c r="AV714" t="b">
        <f>+ISNUMBER(SEARCH(CompConta!$F$21,Tabla11[[#This Row],[Cuenta]],1))</f>
        <v>1</v>
      </c>
      <c r="AW714" t="b">
        <f>+ISNUMBER(SEARCH(CompConta!$F$22,Tabla11[[#This Row],[Cuenta]],1))</f>
        <v>1</v>
      </c>
      <c r="AX714" t="b">
        <f>+ISNUMBER(SEARCH(CompConta!$F$23,Tabla11[[#This Row],[Cuenta]],1))</f>
        <v>1</v>
      </c>
      <c r="AY714" t="b">
        <f>+ISNUMBER(SEARCH(CompConta!$F$24,Tabla11[[#This Row],[Cuenta]],1))</f>
        <v>1</v>
      </c>
      <c r="AZ714" t="b">
        <f>+ISNUMBER(SEARCH(CompConta!$F$25,Tabla11[[#This Row],[Cuenta]],1))</f>
        <v>1</v>
      </c>
      <c r="BA714" t="b">
        <f>+ISNUMBER(SEARCH(CompConta!$F$26,Tabla11[[#This Row],[Cuenta]],1))</f>
        <v>1</v>
      </c>
      <c r="BB714" t="b">
        <f>+ISNUMBER(SEARCH(CompConta!$F$27,Tabla11[[#This Row],[Cuenta]],1))</f>
        <v>1</v>
      </c>
      <c r="BC714" t="b">
        <f>+ISNUMBER(SEARCH(CompConta!$F$28,Tabla11[[#This Row],[Cuenta]],1))</f>
        <v>1</v>
      </c>
      <c r="BD714" t="b">
        <f>+ISNUMBER(SEARCH(CompConta!$F$29,Tabla11[[#This Row],[Cuenta]],1))</f>
        <v>1</v>
      </c>
      <c r="BE714" t="b">
        <f>+ISNUMBER(SEARCH(CompConta!$F$30,Tabla11[[#This Row],[Cuenta]],1))</f>
        <v>1</v>
      </c>
      <c r="BF714" t="b">
        <f>+ISNUMBER(SEARCH('PAGO Compras'!$E$11,Tabla11[[#This Row],[Cuenta]],1))</f>
        <v>1</v>
      </c>
      <c r="BG714" t="b">
        <f>+ISNUMBER(SEARCH(#REF!,Tabla11[[#This Row],[Cuenta]],1))</f>
        <v>0</v>
      </c>
      <c r="BH714" t="b">
        <f>+ISNUMBER(SEARCH(#REF!,Tabla11[[#This Row],[Cuenta]],1))</f>
        <v>0</v>
      </c>
      <c r="BI714" t="b">
        <f>+ISNUMBER(SEARCH(#REF!,Tabla11[[#This Row],[Cuenta]],1))</f>
        <v>0</v>
      </c>
      <c r="BJ714" t="b">
        <f>+ISNUMBER(SEARCH(#REF!,Tabla11[[#This Row],[Cuenta]],1))</f>
        <v>0</v>
      </c>
      <c r="BS714" t="str">
        <v>389530 ajuste</v>
      </c>
      <c r="BT714" t="str">
        <v>389530 ajuste</v>
      </c>
      <c r="BU714" t="str">
        <v>389530 ajuste</v>
      </c>
      <c r="BV714" t="str">
        <v>389530 ajuste</v>
      </c>
      <c r="BZ714" t="str">
        <v>389530 ajuste</v>
      </c>
      <c r="CA714" t="str">
        <v>389530 ajuste</v>
      </c>
      <c r="CB714" t="str">
        <v>389530 ajuste</v>
      </c>
      <c r="CC714" t="str">
        <v>389530 ajuste</v>
      </c>
      <c r="CD714" t="str">
        <v>389530 ajuste</v>
      </c>
      <c r="CE714" t="str">
        <v>389530 ajuste</v>
      </c>
      <c r="CS714" s="141" t="str">
        <v>389530 ajuste</v>
      </c>
      <c r="CT714" s="141" t="str">
        <v>389530 ajuste</v>
      </c>
      <c r="CU714" s="141" t="str">
        <v>389530 ajuste</v>
      </c>
      <c r="CV714" s="141" t="str">
        <v>389530 ajuste</v>
      </c>
      <c r="CW714" s="141" t="str">
        <v>389530 ajuste</v>
      </c>
      <c r="CX714" s="141" t="str">
        <v>389530 ajuste</v>
      </c>
      <c r="CY714" s="141" t="str">
        <v>389530 ajuste</v>
      </c>
      <c r="CZ714" s="141" t="str">
        <v>389530 ajuste</v>
      </c>
      <c r="DA714" s="141" t="str">
        <v>389530 ajuste</v>
      </c>
      <c r="DF714" t="str">
        <v>389530 ajuste</v>
      </c>
      <c r="DG714" t="str">
        <v>389530 ajuste</v>
      </c>
      <c r="DH714" t="str">
        <v>389530 ajuste</v>
      </c>
      <c r="DI714" t="str">
        <v>389530 ajuste</v>
      </c>
      <c r="DJ714" t="str">
        <v>389530 ajuste</v>
      </c>
      <c r="DK714" t="str">
        <v>389530 ajuste</v>
      </c>
      <c r="DL714" t="str">
        <v>389530 ajuste</v>
      </c>
      <c r="DM714" t="str">
        <v>389530 ajuste</v>
      </c>
      <c r="DN714" t="str">
        <v>389530 ajuste</v>
      </c>
      <c r="DO714" t="str">
        <v>389530 ajuste</v>
      </c>
      <c r="DP714" t="str">
        <v>389530 ajuste</v>
      </c>
    </row>
    <row r="715" spans="4:120" ht="12.75">
      <c r="D715" s="7">
        <v>4</v>
      </c>
      <c r="E715" s="6" t="s">
        <v>504</v>
      </c>
      <c r="F715" s="5">
        <v>1</v>
      </c>
      <c r="G715" s="34"/>
      <c r="H715" s="8" t="s">
        <v>56</v>
      </c>
      <c r="I715" t="b">
        <f>+ISNUMBER(SEARCH('F-COMPRA'!$F$28,Tabla11[[#This Row],[Cuenta]],1))</f>
        <v>1</v>
      </c>
      <c r="J715" t="b">
        <f>+ISNUMBER(SEARCH('F-COMPRA'!$F$29,Tabla11[[#This Row],[Cuenta]],1))</f>
        <v>1</v>
      </c>
      <c r="K715" t="b">
        <f>+ISNUMBER(SEARCH('F-COMPRA'!$F$30,Tabla11[[#This Row],[Cuenta]],1))</f>
        <v>1</v>
      </c>
      <c r="L715" t="b">
        <f>+ISNUMBER(SEARCH('F-COMPRA'!$F$31,Tabla11[[#This Row],[Cuenta]],1))</f>
        <v>1</v>
      </c>
      <c r="M715" t="b">
        <f>+ISNUMBER(SEARCH('F-COMPRA'!$G$25,Tabla11[[#This Row],[Cuenta]],1))</f>
        <v>0</v>
      </c>
      <c r="N715" t="b">
        <f>+ISNUMBER(SEARCH(#REF!,Tabla11[[#This Row],[Cuenta]],1))</f>
        <v>0</v>
      </c>
      <c r="O715" t="b">
        <f>+ISNUMBER(SEARCH(#REF!,Tabla11[[#This Row],[Cuenta]],1))</f>
        <v>0</v>
      </c>
      <c r="P715" t="b">
        <f>+ISNUMBER(SEARCH('F-COMPRA'!$F$32,Tabla11[[#This Row],[Cuenta]],1))</f>
        <v>1</v>
      </c>
      <c r="Q715" t="b">
        <f>+ISNUMBER(SEARCH('F-COMPRA'!$F$33,Tabla11[[#This Row],[Cuenta]],1))</f>
        <v>1</v>
      </c>
      <c r="R715" t="b">
        <f>+ISNUMBER(SEARCH('F-COMPRA'!$F$34,Tabla11[[#This Row],[Cuenta]],1))</f>
        <v>1</v>
      </c>
      <c r="S715" t="b">
        <f>+ISNUMBER(SEARCH('F-COMPRA'!$F$35,Tabla11[[#This Row],[Cuenta]],1))</f>
        <v>1</v>
      </c>
      <c r="T715" t="b">
        <f>+ISNUMBER(SEARCH('F-COMPRA'!$F$36,Tabla11[[#This Row],[Cuenta]],1))</f>
        <v>1</v>
      </c>
      <c r="U715" t="b">
        <f>+ISNUMBER(SEARCH('F-COMPRA'!$F$37,Tabla11[[#This Row],[Cuenta]],1))</f>
        <v>1</v>
      </c>
      <c r="V715" t="b">
        <f>+ISNUMBER(SEARCH(#REF!,Tabla11[[#This Row],[Cuenta]],1))</f>
        <v>0</v>
      </c>
      <c r="W715" t="b">
        <f>+ISNUMBER(SEARCH('F-COMPRA'!#REF!,Tabla11[[#This Row],[Cuenta]],1))</f>
        <v>0</v>
      </c>
      <c r="X715" t="b">
        <f>+ISNUMBER(SEARCH('F-COMPRA'!#REF!,Tabla11[[#This Row],[Cuenta]],1))</f>
        <v>0</v>
      </c>
      <c r="Y715" t="b">
        <f>+ISNUMBER(SEARCH('F-COMPRA'!#REF!,Tabla11[[#This Row],[Cuenta]],1))</f>
        <v>0</v>
      </c>
      <c r="Z715" t="b">
        <f>+ISNUMBER(SEARCH('F-COMPRA'!#REF!,Tabla11[[#This Row],[Cuenta]],1))</f>
        <v>0</v>
      </c>
      <c r="AA715" t="b">
        <f>+ISNUMBER(SEARCH('F-COMPRA'!#REF!,Tabla11[[#This Row],[Cuenta]],1))</f>
        <v>0</v>
      </c>
      <c r="AB715" t="b">
        <f>+ISNUMBER(SEARCH('F-COMPRA'!#REF!,Tabla11[[#This Row],[Cuenta]],1))</f>
        <v>0</v>
      </c>
      <c r="AC715" t="b">
        <f>+ISNUMBER(SEARCH('F-COMPRA'!#REF!,Tabla11[[#This Row],[Cuenta]],1))</f>
        <v>0</v>
      </c>
      <c r="AD715" t="b">
        <f>+ISNUMBER(SEARCH('F-COMPRA'!#REF!,Tabla11[[#This Row],[Cuenta]],1))</f>
        <v>0</v>
      </c>
      <c r="AE715" t="b">
        <f>+ISNUMBER(SEARCH('F-COMPRA'!#REF!,Tabla11[[#This Row],[Cuenta]],1))</f>
        <v>0</v>
      </c>
      <c r="AF715" t="b">
        <f>+ISNUMBER(SEARCH('F-VTA'!$G$23,Tabla11[[#This Row],[Cuenta]],1))</f>
        <v>0</v>
      </c>
      <c r="AG715" t="b">
        <f>+ISNUMBER(SEARCH('F-VTA'!$G$24,Tabla11[[#This Row],[Cuenta]],1))</f>
        <v>0</v>
      </c>
      <c r="AH715" t="b">
        <f>+ISNUMBER(SEARCH('F-VTA'!$G$25,Tabla11[[#This Row],[Cuenta]],1))</f>
        <v>0</v>
      </c>
      <c r="AI715" t="b">
        <f>+ISNUMBER(SEARCH('F-VTA'!$F$28,Tabla11[[#This Row],[Cuenta]],1))</f>
        <v>1</v>
      </c>
      <c r="AJ715" t="b">
        <f>+ISNUMBER(SEARCH('F-VTA'!$F$29,Tabla11[[#This Row],[Cuenta]],1))</f>
        <v>1</v>
      </c>
      <c r="AK715" t="b">
        <f>+ISNUMBER(SEARCH('F-VTA'!$F$30,Tabla11[[#This Row],[Cuenta]],1))</f>
        <v>1</v>
      </c>
      <c r="AL715" t="b">
        <f>+ISNUMBER(SEARCH('F-VTA'!$F$31,Tabla11[[#This Row],[Cuenta]],1))</f>
        <v>1</v>
      </c>
      <c r="AM715" t="b">
        <f>+ISNUMBER(SEARCH('F-VTA'!$F$32,Tabla11[[#This Row],[Cuenta]],1))</f>
        <v>1</v>
      </c>
      <c r="AN715" t="b">
        <f>+ISNUMBER(SEARCH('F-VTA'!$F$33,Tabla11[[#This Row],[Cuenta]],1))</f>
        <v>1</v>
      </c>
      <c r="AO715" t="b">
        <f>+ISNUMBER(SEARCH('F-VTA'!$F$34,Tabla11[[#This Row],[Cuenta]],1))</f>
        <v>1</v>
      </c>
      <c r="AP715" t="b">
        <f>+ISNUMBER(SEARCH('F-VTA'!$F$35,Tabla11[[#This Row],[Cuenta]],1))</f>
        <v>1</v>
      </c>
      <c r="AQ715" t="b">
        <f>+ISNUMBER(SEARCH('F-VTA'!$F$36,Tabla11[[#This Row],[Cuenta]],1))</f>
        <v>1</v>
      </c>
      <c r="AR715" t="b">
        <f>+ISNUMBER(SEARCH(#REF!,Tabla11[[#This Row],[Cuenta]],1))</f>
        <v>0</v>
      </c>
      <c r="AS715" t="b">
        <f>+ISNUMBER(SEARCH(#REF!,Tabla11[[#This Row],[Cuenta]],1))</f>
        <v>0</v>
      </c>
      <c r="AT715" t="b">
        <f>+ISNUMBER(SEARCH(#REF!,Tabla11[[#This Row],[Cuenta]],1))</f>
        <v>0</v>
      </c>
      <c r="AU715" t="b">
        <f>+ISNUMBER(SEARCH('Conc. Ban.1'!$I$9,Tabla11[[#This Row],[Cuenta]],1))</f>
        <v>0</v>
      </c>
      <c r="AV715" t="b">
        <f>+ISNUMBER(SEARCH(CompConta!$F$21,Tabla11[[#This Row],[Cuenta]],1))</f>
        <v>1</v>
      </c>
      <c r="AW715" t="b">
        <f>+ISNUMBER(SEARCH(CompConta!$F$22,Tabla11[[#This Row],[Cuenta]],1))</f>
        <v>1</v>
      </c>
      <c r="AX715" t="b">
        <f>+ISNUMBER(SEARCH(CompConta!$F$23,Tabla11[[#This Row],[Cuenta]],1))</f>
        <v>1</v>
      </c>
      <c r="AY715" t="b">
        <f>+ISNUMBER(SEARCH(CompConta!$F$24,Tabla11[[#This Row],[Cuenta]],1))</f>
        <v>1</v>
      </c>
      <c r="AZ715" t="b">
        <f>+ISNUMBER(SEARCH(CompConta!$F$25,Tabla11[[#This Row],[Cuenta]],1))</f>
        <v>1</v>
      </c>
      <c r="BA715" t="b">
        <f>+ISNUMBER(SEARCH(CompConta!$F$26,Tabla11[[#This Row],[Cuenta]],1))</f>
        <v>1</v>
      </c>
      <c r="BB715" t="b">
        <f>+ISNUMBER(SEARCH(CompConta!$F$27,Tabla11[[#This Row],[Cuenta]],1))</f>
        <v>1</v>
      </c>
      <c r="BC715" t="b">
        <f>+ISNUMBER(SEARCH(CompConta!$F$28,Tabla11[[#This Row],[Cuenta]],1))</f>
        <v>1</v>
      </c>
      <c r="BD715" t="b">
        <f>+ISNUMBER(SEARCH(CompConta!$F$29,Tabla11[[#This Row],[Cuenta]],1))</f>
        <v>1</v>
      </c>
      <c r="BE715" t="b">
        <f>+ISNUMBER(SEARCH(CompConta!$F$30,Tabla11[[#This Row],[Cuenta]],1))</f>
        <v>1</v>
      </c>
      <c r="BF715" t="b">
        <f>+ISNUMBER(SEARCH('PAGO Compras'!$E$11,Tabla11[[#This Row],[Cuenta]],1))</f>
        <v>1</v>
      </c>
      <c r="BG715" t="b">
        <f>+ISNUMBER(SEARCH(#REF!,Tabla11[[#This Row],[Cuenta]],1))</f>
        <v>0</v>
      </c>
      <c r="BH715" t="b">
        <f>+ISNUMBER(SEARCH(#REF!,Tabla11[[#This Row],[Cuenta]],1))</f>
        <v>0</v>
      </c>
      <c r="BI715" t="b">
        <f>+ISNUMBER(SEARCH(#REF!,Tabla11[[#This Row],[Cuenta]],1))</f>
        <v>0</v>
      </c>
      <c r="BJ715" t="b">
        <f>+ISNUMBER(SEARCH(#REF!,Tabla11[[#This Row],[Cuenta]],1))</f>
        <v>0</v>
      </c>
      <c r="BS715" t="str">
        <v>4 INGRESOS</v>
      </c>
      <c r="BT715" t="str">
        <v>4 INGRESOS</v>
      </c>
      <c r="BU715" t="str">
        <v>4 INGRESOS</v>
      </c>
      <c r="BV715" t="str">
        <v>4 INGRESOS</v>
      </c>
      <c r="BZ715" t="str">
        <v>4 INGRESOS</v>
      </c>
      <c r="CA715" t="str">
        <v>4 INGRESOS</v>
      </c>
      <c r="CB715" t="str">
        <v>4 INGRESOS</v>
      </c>
      <c r="CC715" t="str">
        <v>4 INGRESOS</v>
      </c>
      <c r="CD715" t="str">
        <v>4 INGRESOS</v>
      </c>
      <c r="CE715" t="str">
        <v>4 INGRESOS</v>
      </c>
      <c r="CS715" s="141" t="str">
        <v>4 INGRESOS</v>
      </c>
      <c r="CT715" s="141" t="str">
        <v>4 INGRESOS</v>
      </c>
      <c r="CU715" s="141" t="str">
        <v>4 INGRESOS</v>
      </c>
      <c r="CV715" s="141" t="str">
        <v>4 INGRESOS</v>
      </c>
      <c r="CW715" s="141" t="str">
        <v>4 INGRESOS</v>
      </c>
      <c r="CX715" s="141" t="str">
        <v>4 INGRESOS</v>
      </c>
      <c r="CY715" s="141" t="str">
        <v>4 INGRESOS</v>
      </c>
      <c r="CZ715" s="141" t="str">
        <v>4 INGRESOS</v>
      </c>
      <c r="DA715" s="141" t="str">
        <v>4 INGRESOS</v>
      </c>
      <c r="DF715" t="str">
        <v>4 INGRESOS</v>
      </c>
      <c r="DG715" t="str">
        <v>4 INGRESOS</v>
      </c>
      <c r="DH715" t="str">
        <v>4 INGRESOS</v>
      </c>
      <c r="DI715" t="str">
        <v>4 INGRESOS</v>
      </c>
      <c r="DJ715" t="str">
        <v>4 INGRESOS</v>
      </c>
      <c r="DK715" t="str">
        <v>4 INGRESOS</v>
      </c>
      <c r="DL715" t="str">
        <v>4 INGRESOS</v>
      </c>
      <c r="DM715" t="str">
        <v>4 INGRESOS</v>
      </c>
      <c r="DN715" t="str">
        <v>4 INGRESOS</v>
      </c>
      <c r="DO715" t="str">
        <v>4 INGRESOS</v>
      </c>
      <c r="DP715" t="str">
        <v>4 INGRESOS</v>
      </c>
    </row>
    <row r="716" spans="4:120" ht="12.75">
      <c r="D716" s="7">
        <v>41</v>
      </c>
      <c r="E716" s="6" t="s">
        <v>505</v>
      </c>
      <c r="F716" s="5">
        <v>2</v>
      </c>
      <c r="G716" s="34" t="s">
        <v>829</v>
      </c>
      <c r="H716" s="8" t="s">
        <v>56</v>
      </c>
      <c r="I716" t="b">
        <f>+ISNUMBER(SEARCH('F-COMPRA'!$F$28,Tabla11[[#This Row],[Cuenta]],1))</f>
        <v>1</v>
      </c>
      <c r="J716" t="b">
        <f>+ISNUMBER(SEARCH('F-COMPRA'!$F$29,Tabla11[[#This Row],[Cuenta]],1))</f>
        <v>1</v>
      </c>
      <c r="K716" t="b">
        <f>+ISNUMBER(SEARCH('F-COMPRA'!$F$30,Tabla11[[#This Row],[Cuenta]],1))</f>
        <v>1</v>
      </c>
      <c r="L716" t="b">
        <f>+ISNUMBER(SEARCH('F-COMPRA'!$F$31,Tabla11[[#This Row],[Cuenta]],1))</f>
        <v>1</v>
      </c>
      <c r="M716" t="b">
        <f>+ISNUMBER(SEARCH('F-COMPRA'!$G$25,Tabla11[[#This Row],[Cuenta]],1))</f>
        <v>0</v>
      </c>
      <c r="N716" t="b">
        <f>+ISNUMBER(SEARCH(#REF!,Tabla11[[#This Row],[Cuenta]],1))</f>
        <v>0</v>
      </c>
      <c r="O716" t="b">
        <f>+ISNUMBER(SEARCH(#REF!,Tabla11[[#This Row],[Cuenta]],1))</f>
        <v>0</v>
      </c>
      <c r="P716" t="b">
        <f>+ISNUMBER(SEARCH('F-COMPRA'!$F$32,Tabla11[[#This Row],[Cuenta]],1))</f>
        <v>1</v>
      </c>
      <c r="Q716" t="b">
        <f>+ISNUMBER(SEARCH('F-COMPRA'!$F$33,Tabla11[[#This Row],[Cuenta]],1))</f>
        <v>1</v>
      </c>
      <c r="R716" t="b">
        <f>+ISNUMBER(SEARCH('F-COMPRA'!$F$34,Tabla11[[#This Row],[Cuenta]],1))</f>
        <v>1</v>
      </c>
      <c r="S716" t="b">
        <f>+ISNUMBER(SEARCH('F-COMPRA'!$F$35,Tabla11[[#This Row],[Cuenta]],1))</f>
        <v>1</v>
      </c>
      <c r="T716" t="b">
        <f>+ISNUMBER(SEARCH('F-COMPRA'!$F$36,Tabla11[[#This Row],[Cuenta]],1))</f>
        <v>1</v>
      </c>
      <c r="U716" t="b">
        <f>+ISNUMBER(SEARCH('F-COMPRA'!$F$37,Tabla11[[#This Row],[Cuenta]],1))</f>
        <v>1</v>
      </c>
      <c r="V716" t="b">
        <f>+ISNUMBER(SEARCH(#REF!,Tabla11[[#This Row],[Cuenta]],1))</f>
        <v>0</v>
      </c>
      <c r="W716" t="b">
        <f>+ISNUMBER(SEARCH('F-COMPRA'!#REF!,Tabla11[[#This Row],[Cuenta]],1))</f>
        <v>0</v>
      </c>
      <c r="X716" t="b">
        <f>+ISNUMBER(SEARCH('F-COMPRA'!#REF!,Tabla11[[#This Row],[Cuenta]],1))</f>
        <v>0</v>
      </c>
      <c r="Y716" t="b">
        <f>+ISNUMBER(SEARCH('F-COMPRA'!#REF!,Tabla11[[#This Row],[Cuenta]],1))</f>
        <v>0</v>
      </c>
      <c r="Z716" t="b">
        <f>+ISNUMBER(SEARCH('F-COMPRA'!#REF!,Tabla11[[#This Row],[Cuenta]],1))</f>
        <v>0</v>
      </c>
      <c r="AA716" t="b">
        <f>+ISNUMBER(SEARCH('F-COMPRA'!#REF!,Tabla11[[#This Row],[Cuenta]],1))</f>
        <v>0</v>
      </c>
      <c r="AB716" t="b">
        <f>+ISNUMBER(SEARCH('F-COMPRA'!#REF!,Tabla11[[#This Row],[Cuenta]],1))</f>
        <v>0</v>
      </c>
      <c r="AC716" t="b">
        <f>+ISNUMBER(SEARCH('F-COMPRA'!#REF!,Tabla11[[#This Row],[Cuenta]],1))</f>
        <v>0</v>
      </c>
      <c r="AD716" t="b">
        <f>+ISNUMBER(SEARCH('F-COMPRA'!#REF!,Tabla11[[#This Row],[Cuenta]],1))</f>
        <v>0</v>
      </c>
      <c r="AE716" t="b">
        <f>+ISNUMBER(SEARCH('F-COMPRA'!#REF!,Tabla11[[#This Row],[Cuenta]],1))</f>
        <v>0</v>
      </c>
      <c r="AF716" t="b">
        <f>+ISNUMBER(SEARCH('F-VTA'!$G$23,Tabla11[[#This Row],[Cuenta]],1))</f>
        <v>0</v>
      </c>
      <c r="AG716" t="b">
        <f>+ISNUMBER(SEARCH('F-VTA'!$G$24,Tabla11[[#This Row],[Cuenta]],1))</f>
        <v>0</v>
      </c>
      <c r="AH716" t="b">
        <f>+ISNUMBER(SEARCH('F-VTA'!$G$25,Tabla11[[#This Row],[Cuenta]],1))</f>
        <v>0</v>
      </c>
      <c r="AI716" t="b">
        <f>+ISNUMBER(SEARCH('F-VTA'!$F$28,Tabla11[[#This Row],[Cuenta]],1))</f>
        <v>1</v>
      </c>
      <c r="AJ716" t="b">
        <f>+ISNUMBER(SEARCH('F-VTA'!$F$29,Tabla11[[#This Row],[Cuenta]],1))</f>
        <v>1</v>
      </c>
      <c r="AK716" t="b">
        <f>+ISNUMBER(SEARCH('F-VTA'!$F$30,Tabla11[[#This Row],[Cuenta]],1))</f>
        <v>1</v>
      </c>
      <c r="AL716" t="b">
        <f>+ISNUMBER(SEARCH('F-VTA'!$F$31,Tabla11[[#This Row],[Cuenta]],1))</f>
        <v>1</v>
      </c>
      <c r="AM716" t="b">
        <f>+ISNUMBER(SEARCH('F-VTA'!$F$32,Tabla11[[#This Row],[Cuenta]],1))</f>
        <v>1</v>
      </c>
      <c r="AN716" t="b">
        <f>+ISNUMBER(SEARCH('F-VTA'!$F$33,Tabla11[[#This Row],[Cuenta]],1))</f>
        <v>1</v>
      </c>
      <c r="AO716" t="b">
        <f>+ISNUMBER(SEARCH('F-VTA'!$F$34,Tabla11[[#This Row],[Cuenta]],1))</f>
        <v>1</v>
      </c>
      <c r="AP716" t="b">
        <f>+ISNUMBER(SEARCH('F-VTA'!$F$35,Tabla11[[#This Row],[Cuenta]],1))</f>
        <v>1</v>
      </c>
      <c r="AQ716" t="b">
        <f>+ISNUMBER(SEARCH('F-VTA'!$F$36,Tabla11[[#This Row],[Cuenta]],1))</f>
        <v>1</v>
      </c>
      <c r="AR716" t="b">
        <f>+ISNUMBER(SEARCH(#REF!,Tabla11[[#This Row],[Cuenta]],1))</f>
        <v>0</v>
      </c>
      <c r="AS716" t="b">
        <f>+ISNUMBER(SEARCH(#REF!,Tabla11[[#This Row],[Cuenta]],1))</f>
        <v>0</v>
      </c>
      <c r="AT716" t="b">
        <f>+ISNUMBER(SEARCH(#REF!,Tabla11[[#This Row],[Cuenta]],1))</f>
        <v>0</v>
      </c>
      <c r="AU716" t="b">
        <f>+ISNUMBER(SEARCH('Conc. Ban.1'!$I$9,Tabla11[[#This Row],[Cuenta]],1))</f>
        <v>0</v>
      </c>
      <c r="AV716" t="b">
        <f>+ISNUMBER(SEARCH(CompConta!$F$21,Tabla11[[#This Row],[Cuenta]],1))</f>
        <v>1</v>
      </c>
      <c r="AW716" t="b">
        <f>+ISNUMBER(SEARCH(CompConta!$F$22,Tabla11[[#This Row],[Cuenta]],1))</f>
        <v>1</v>
      </c>
      <c r="AX716" t="b">
        <f>+ISNUMBER(SEARCH(CompConta!$F$23,Tabla11[[#This Row],[Cuenta]],1))</f>
        <v>1</v>
      </c>
      <c r="AY716" t="b">
        <f>+ISNUMBER(SEARCH(CompConta!$F$24,Tabla11[[#This Row],[Cuenta]],1))</f>
        <v>1</v>
      </c>
      <c r="AZ716" t="b">
        <f>+ISNUMBER(SEARCH(CompConta!$F$25,Tabla11[[#This Row],[Cuenta]],1))</f>
        <v>1</v>
      </c>
      <c r="BA716" t="b">
        <f>+ISNUMBER(SEARCH(CompConta!$F$26,Tabla11[[#This Row],[Cuenta]],1))</f>
        <v>1</v>
      </c>
      <c r="BB716" t="b">
        <f>+ISNUMBER(SEARCH(CompConta!$F$27,Tabla11[[#This Row],[Cuenta]],1))</f>
        <v>1</v>
      </c>
      <c r="BC716" t="b">
        <f>+ISNUMBER(SEARCH(CompConta!$F$28,Tabla11[[#This Row],[Cuenta]],1))</f>
        <v>1</v>
      </c>
      <c r="BD716" t="b">
        <f>+ISNUMBER(SEARCH(CompConta!$F$29,Tabla11[[#This Row],[Cuenta]],1))</f>
        <v>1</v>
      </c>
      <c r="BE716" t="b">
        <f>+ISNUMBER(SEARCH(CompConta!$F$30,Tabla11[[#This Row],[Cuenta]],1))</f>
        <v>1</v>
      </c>
      <c r="BF716" t="b">
        <f>+ISNUMBER(SEARCH('PAGO Compras'!$E$11,Tabla11[[#This Row],[Cuenta]],1))</f>
        <v>1</v>
      </c>
      <c r="BG716" t="b">
        <f>+ISNUMBER(SEARCH(#REF!,Tabla11[[#This Row],[Cuenta]],1))</f>
        <v>0</v>
      </c>
      <c r="BH716" t="b">
        <f>+ISNUMBER(SEARCH(#REF!,Tabla11[[#This Row],[Cuenta]],1))</f>
        <v>0</v>
      </c>
      <c r="BI716" t="b">
        <f>+ISNUMBER(SEARCH(#REF!,Tabla11[[#This Row],[Cuenta]],1))</f>
        <v>0</v>
      </c>
      <c r="BJ716" t="b">
        <f>+ISNUMBER(SEARCH(#REF!,Tabla11[[#This Row],[Cuenta]],1))</f>
        <v>0</v>
      </c>
      <c r="BS716" t="str">
        <v>41 OPERACIONALES</v>
      </c>
      <c r="BT716" t="str">
        <v>41 OPERACIONALES</v>
      </c>
      <c r="BU716" t="str">
        <v>41 OPERACIONALES</v>
      </c>
      <c r="BV716" t="str">
        <v>41 OPERACIONALES</v>
      </c>
      <c r="BZ716" t="str">
        <v>41 OPERACIONALES</v>
      </c>
      <c r="CA716" t="str">
        <v>41 OPERACIONALES</v>
      </c>
      <c r="CB716" t="str">
        <v>41 OPERACIONALES</v>
      </c>
      <c r="CC716" t="str">
        <v>41 OPERACIONALES</v>
      </c>
      <c r="CD716" t="str">
        <v>41 OPERACIONALES</v>
      </c>
      <c r="CE716" t="str">
        <v>41 OPERACIONALES</v>
      </c>
      <c r="CS716" s="141" t="str">
        <v>41 OPERACIONALES</v>
      </c>
      <c r="CT716" s="141" t="str">
        <v>41 OPERACIONALES</v>
      </c>
      <c r="CU716" s="141" t="str">
        <v>41 OPERACIONALES</v>
      </c>
      <c r="CV716" s="141" t="str">
        <v>41 OPERACIONALES</v>
      </c>
      <c r="CW716" s="141" t="str">
        <v>41 OPERACIONALES</v>
      </c>
      <c r="CX716" s="141" t="str">
        <v>41 OPERACIONALES</v>
      </c>
      <c r="CY716" s="141" t="str">
        <v>41 OPERACIONALES</v>
      </c>
      <c r="CZ716" s="141" t="str">
        <v>41 OPERACIONALES</v>
      </c>
      <c r="DA716" s="141" t="str">
        <v>41 OPERACIONALES</v>
      </c>
      <c r="DF716" t="str">
        <v>41 OPERACIONALES</v>
      </c>
      <c r="DG716" t="str">
        <v>41 OPERACIONALES</v>
      </c>
      <c r="DH716" t="str">
        <v>41 OPERACIONALES</v>
      </c>
      <c r="DI716" t="str">
        <v>41 OPERACIONALES</v>
      </c>
      <c r="DJ716" t="str">
        <v>41 OPERACIONALES</v>
      </c>
      <c r="DK716" t="str">
        <v>41 OPERACIONALES</v>
      </c>
      <c r="DL716" t="str">
        <v>41 OPERACIONALES</v>
      </c>
      <c r="DM716" t="str">
        <v>41 OPERACIONALES</v>
      </c>
      <c r="DN716" t="str">
        <v>41 OPERACIONALES</v>
      </c>
      <c r="DO716" t="str">
        <v>41 OPERACIONALES</v>
      </c>
      <c r="DP716" t="str">
        <v>41 OPERACIONALES</v>
      </c>
    </row>
    <row r="717" spans="4:120" ht="12.75">
      <c r="D717" s="7">
        <v>4120</v>
      </c>
      <c r="E717" s="6" t="s">
        <v>506</v>
      </c>
      <c r="F717" s="5">
        <v>3</v>
      </c>
      <c r="G717" s="34" t="s">
        <v>829</v>
      </c>
      <c r="H717" s="8" t="s">
        <v>56</v>
      </c>
      <c r="I717" t="b">
        <f>+ISNUMBER(SEARCH('F-COMPRA'!$F$28,Tabla11[[#This Row],[Cuenta]],1))</f>
        <v>1</v>
      </c>
      <c r="J717" t="b">
        <f>+ISNUMBER(SEARCH('F-COMPRA'!$F$29,Tabla11[[#This Row],[Cuenta]],1))</f>
        <v>1</v>
      </c>
      <c r="K717" t="b">
        <f>+ISNUMBER(SEARCH('F-COMPRA'!$F$30,Tabla11[[#This Row],[Cuenta]],1))</f>
        <v>1</v>
      </c>
      <c r="L717" t="b">
        <f>+ISNUMBER(SEARCH('F-COMPRA'!$F$31,Tabla11[[#This Row],[Cuenta]],1))</f>
        <v>1</v>
      </c>
      <c r="M717" t="b">
        <f>+ISNUMBER(SEARCH('F-COMPRA'!$G$25,Tabla11[[#This Row],[Cuenta]],1))</f>
        <v>0</v>
      </c>
      <c r="N717" t="b">
        <f>+ISNUMBER(SEARCH(#REF!,Tabla11[[#This Row],[Cuenta]],1))</f>
        <v>0</v>
      </c>
      <c r="O717" t="b">
        <f>+ISNUMBER(SEARCH(#REF!,Tabla11[[#This Row],[Cuenta]],1))</f>
        <v>0</v>
      </c>
      <c r="P717" t="b">
        <f>+ISNUMBER(SEARCH('F-COMPRA'!$F$32,Tabla11[[#This Row],[Cuenta]],1))</f>
        <v>1</v>
      </c>
      <c r="Q717" t="b">
        <f>+ISNUMBER(SEARCH('F-COMPRA'!$F$33,Tabla11[[#This Row],[Cuenta]],1))</f>
        <v>1</v>
      </c>
      <c r="R717" t="b">
        <f>+ISNUMBER(SEARCH('F-COMPRA'!$F$34,Tabla11[[#This Row],[Cuenta]],1))</f>
        <v>1</v>
      </c>
      <c r="S717" t="b">
        <f>+ISNUMBER(SEARCH('F-COMPRA'!$F$35,Tabla11[[#This Row],[Cuenta]],1))</f>
        <v>1</v>
      </c>
      <c r="T717" t="b">
        <f>+ISNUMBER(SEARCH('F-COMPRA'!$F$36,Tabla11[[#This Row],[Cuenta]],1))</f>
        <v>1</v>
      </c>
      <c r="U717" t="b">
        <f>+ISNUMBER(SEARCH('F-COMPRA'!$F$37,Tabla11[[#This Row],[Cuenta]],1))</f>
        <v>1</v>
      </c>
      <c r="V717" t="b">
        <f>+ISNUMBER(SEARCH(#REF!,Tabla11[[#This Row],[Cuenta]],1))</f>
        <v>0</v>
      </c>
      <c r="W717" t="b">
        <f>+ISNUMBER(SEARCH('F-COMPRA'!#REF!,Tabla11[[#This Row],[Cuenta]],1))</f>
        <v>0</v>
      </c>
      <c r="X717" t="b">
        <f>+ISNUMBER(SEARCH('F-COMPRA'!#REF!,Tabla11[[#This Row],[Cuenta]],1))</f>
        <v>0</v>
      </c>
      <c r="Y717" t="b">
        <f>+ISNUMBER(SEARCH('F-COMPRA'!#REF!,Tabla11[[#This Row],[Cuenta]],1))</f>
        <v>0</v>
      </c>
      <c r="Z717" t="b">
        <f>+ISNUMBER(SEARCH('F-COMPRA'!#REF!,Tabla11[[#This Row],[Cuenta]],1))</f>
        <v>0</v>
      </c>
      <c r="AA717" t="b">
        <f>+ISNUMBER(SEARCH('F-COMPRA'!#REF!,Tabla11[[#This Row],[Cuenta]],1))</f>
        <v>0</v>
      </c>
      <c r="AB717" t="b">
        <f>+ISNUMBER(SEARCH('F-COMPRA'!#REF!,Tabla11[[#This Row],[Cuenta]],1))</f>
        <v>0</v>
      </c>
      <c r="AC717" t="b">
        <f>+ISNUMBER(SEARCH('F-COMPRA'!#REF!,Tabla11[[#This Row],[Cuenta]],1))</f>
        <v>0</v>
      </c>
      <c r="AD717" t="b">
        <f>+ISNUMBER(SEARCH('F-COMPRA'!#REF!,Tabla11[[#This Row],[Cuenta]],1))</f>
        <v>0</v>
      </c>
      <c r="AE717" t="b">
        <f>+ISNUMBER(SEARCH('F-COMPRA'!#REF!,Tabla11[[#This Row],[Cuenta]],1))</f>
        <v>0</v>
      </c>
      <c r="AF717" t="b">
        <f>+ISNUMBER(SEARCH('F-VTA'!$G$23,Tabla11[[#This Row],[Cuenta]],1))</f>
        <v>0</v>
      </c>
      <c r="AG717" t="b">
        <f>+ISNUMBER(SEARCH('F-VTA'!$G$24,Tabla11[[#This Row],[Cuenta]],1))</f>
        <v>0</v>
      </c>
      <c r="AH717" t="b">
        <f>+ISNUMBER(SEARCH('F-VTA'!$G$25,Tabla11[[#This Row],[Cuenta]],1))</f>
        <v>0</v>
      </c>
      <c r="AI717" t="b">
        <f>+ISNUMBER(SEARCH('F-VTA'!$F$28,Tabla11[[#This Row],[Cuenta]],1))</f>
        <v>1</v>
      </c>
      <c r="AJ717" t="b">
        <f>+ISNUMBER(SEARCH('F-VTA'!$F$29,Tabla11[[#This Row],[Cuenta]],1))</f>
        <v>1</v>
      </c>
      <c r="AK717" t="b">
        <f>+ISNUMBER(SEARCH('F-VTA'!$F$30,Tabla11[[#This Row],[Cuenta]],1))</f>
        <v>1</v>
      </c>
      <c r="AL717" t="b">
        <f>+ISNUMBER(SEARCH('F-VTA'!$F$31,Tabla11[[#This Row],[Cuenta]],1))</f>
        <v>1</v>
      </c>
      <c r="AM717" t="b">
        <f>+ISNUMBER(SEARCH('F-VTA'!$F$32,Tabla11[[#This Row],[Cuenta]],1))</f>
        <v>1</v>
      </c>
      <c r="AN717" t="b">
        <f>+ISNUMBER(SEARCH('F-VTA'!$F$33,Tabla11[[#This Row],[Cuenta]],1))</f>
        <v>1</v>
      </c>
      <c r="AO717" t="b">
        <f>+ISNUMBER(SEARCH('F-VTA'!$F$34,Tabla11[[#This Row],[Cuenta]],1))</f>
        <v>1</v>
      </c>
      <c r="AP717" t="b">
        <f>+ISNUMBER(SEARCH('F-VTA'!$F$35,Tabla11[[#This Row],[Cuenta]],1))</f>
        <v>1</v>
      </c>
      <c r="AQ717" t="b">
        <f>+ISNUMBER(SEARCH('F-VTA'!$F$36,Tabla11[[#This Row],[Cuenta]],1))</f>
        <v>1</v>
      </c>
      <c r="AR717" t="b">
        <f>+ISNUMBER(SEARCH(#REF!,Tabla11[[#This Row],[Cuenta]],1))</f>
        <v>0</v>
      </c>
      <c r="AS717" t="b">
        <f>+ISNUMBER(SEARCH(#REF!,Tabla11[[#This Row],[Cuenta]],1))</f>
        <v>0</v>
      </c>
      <c r="AT717" t="b">
        <f>+ISNUMBER(SEARCH(#REF!,Tabla11[[#This Row],[Cuenta]],1))</f>
        <v>0</v>
      </c>
      <c r="AU717" t="b">
        <f>+ISNUMBER(SEARCH('Conc. Ban.1'!$I$9,Tabla11[[#This Row],[Cuenta]],1))</f>
        <v>0</v>
      </c>
      <c r="AV717" t="b">
        <f>+ISNUMBER(SEARCH(CompConta!$F$21,Tabla11[[#This Row],[Cuenta]],1))</f>
        <v>1</v>
      </c>
      <c r="AW717" t="b">
        <f>+ISNUMBER(SEARCH(CompConta!$F$22,Tabla11[[#This Row],[Cuenta]],1))</f>
        <v>1</v>
      </c>
      <c r="AX717" t="b">
        <f>+ISNUMBER(SEARCH(CompConta!$F$23,Tabla11[[#This Row],[Cuenta]],1))</f>
        <v>1</v>
      </c>
      <c r="AY717" t="b">
        <f>+ISNUMBER(SEARCH(CompConta!$F$24,Tabla11[[#This Row],[Cuenta]],1))</f>
        <v>1</v>
      </c>
      <c r="AZ717" t="b">
        <f>+ISNUMBER(SEARCH(CompConta!$F$25,Tabla11[[#This Row],[Cuenta]],1))</f>
        <v>1</v>
      </c>
      <c r="BA717" t="b">
        <f>+ISNUMBER(SEARCH(CompConta!$F$26,Tabla11[[#This Row],[Cuenta]],1))</f>
        <v>1</v>
      </c>
      <c r="BB717" t="b">
        <f>+ISNUMBER(SEARCH(CompConta!$F$27,Tabla11[[#This Row],[Cuenta]],1))</f>
        <v>1</v>
      </c>
      <c r="BC717" t="b">
        <f>+ISNUMBER(SEARCH(CompConta!$F$28,Tabla11[[#This Row],[Cuenta]],1))</f>
        <v>1</v>
      </c>
      <c r="BD717" t="b">
        <f>+ISNUMBER(SEARCH(CompConta!$F$29,Tabla11[[#This Row],[Cuenta]],1))</f>
        <v>1</v>
      </c>
      <c r="BE717" t="b">
        <f>+ISNUMBER(SEARCH(CompConta!$F$30,Tabla11[[#This Row],[Cuenta]],1))</f>
        <v>1</v>
      </c>
      <c r="BF717" t="b">
        <f>+ISNUMBER(SEARCH('PAGO Compras'!$E$11,Tabla11[[#This Row],[Cuenta]],1))</f>
        <v>1</v>
      </c>
      <c r="BG717" t="b">
        <f>+ISNUMBER(SEARCH(#REF!,Tabla11[[#This Row],[Cuenta]],1))</f>
        <v>0</v>
      </c>
      <c r="BH717" t="b">
        <f>+ISNUMBER(SEARCH(#REF!,Tabla11[[#This Row],[Cuenta]],1))</f>
        <v>0</v>
      </c>
      <c r="BI717" t="b">
        <f>+ISNUMBER(SEARCH(#REF!,Tabla11[[#This Row],[Cuenta]],1))</f>
        <v>0</v>
      </c>
      <c r="BJ717" t="b">
        <f>+ISNUMBER(SEARCH(#REF!,Tabla11[[#This Row],[Cuenta]],1))</f>
        <v>0</v>
      </c>
      <c r="BS717" t="str">
        <v>4120 INDUSTRIAS MANUFACTURERAS</v>
      </c>
      <c r="BT717" t="str">
        <v>4120 INDUSTRIAS MANUFACTURERAS</v>
      </c>
      <c r="BU717" t="str">
        <v>4120 INDUSTRIAS MANUFACTURERAS</v>
      </c>
      <c r="BV717" t="str">
        <v>4120 INDUSTRIAS MANUFACTURERAS</v>
      </c>
      <c r="BZ717" t="str">
        <v>4120 INDUSTRIAS MANUFACTURERAS</v>
      </c>
      <c r="CA717" t="str">
        <v>4120 INDUSTRIAS MANUFACTURERAS</v>
      </c>
      <c r="CB717" t="str">
        <v>4120 INDUSTRIAS MANUFACTURERAS</v>
      </c>
      <c r="CC717" t="str">
        <v>4120 INDUSTRIAS MANUFACTURERAS</v>
      </c>
      <c r="CD717" t="str">
        <v>4120 INDUSTRIAS MANUFACTURERAS</v>
      </c>
      <c r="CE717" t="str">
        <v>4120 INDUSTRIAS MANUFACTURERAS</v>
      </c>
      <c r="CS717" s="141" t="str">
        <v>4120 INDUSTRIAS MANUFACTURERAS</v>
      </c>
      <c r="CT717" s="141" t="str">
        <v>4120 INDUSTRIAS MANUFACTURERAS</v>
      </c>
      <c r="CU717" s="141" t="str">
        <v>4120 INDUSTRIAS MANUFACTURERAS</v>
      </c>
      <c r="CV717" s="141" t="str">
        <v>4120 INDUSTRIAS MANUFACTURERAS</v>
      </c>
      <c r="CW717" s="141" t="str">
        <v>4120 INDUSTRIAS MANUFACTURERAS</v>
      </c>
      <c r="CX717" s="141" t="str">
        <v>4120 INDUSTRIAS MANUFACTURERAS</v>
      </c>
      <c r="CY717" s="141" t="str">
        <v>4120 INDUSTRIAS MANUFACTURERAS</v>
      </c>
      <c r="CZ717" s="141" t="str">
        <v>4120 INDUSTRIAS MANUFACTURERAS</v>
      </c>
      <c r="DA717" s="141" t="str">
        <v>4120 INDUSTRIAS MANUFACTURERAS</v>
      </c>
      <c r="DF717" t="str">
        <v>4120 INDUSTRIAS MANUFACTURERAS</v>
      </c>
      <c r="DG717" t="str">
        <v>4120 INDUSTRIAS MANUFACTURERAS</v>
      </c>
      <c r="DH717" t="str">
        <v>4120 INDUSTRIAS MANUFACTURERAS</v>
      </c>
      <c r="DI717" t="str">
        <v>4120 INDUSTRIAS MANUFACTURERAS</v>
      </c>
      <c r="DJ717" t="str">
        <v>4120 INDUSTRIAS MANUFACTURERAS</v>
      </c>
      <c r="DK717" t="str">
        <v>4120 INDUSTRIAS MANUFACTURERAS</v>
      </c>
      <c r="DL717" t="str">
        <v>4120 INDUSTRIAS MANUFACTURERAS</v>
      </c>
      <c r="DM717" t="str">
        <v>4120 INDUSTRIAS MANUFACTURERAS</v>
      </c>
      <c r="DN717" t="str">
        <v>4120 INDUSTRIAS MANUFACTURERAS</v>
      </c>
      <c r="DO717" t="str">
        <v>4120 INDUSTRIAS MANUFACTURERAS</v>
      </c>
      <c r="DP717" t="str">
        <v>4120 INDUSTRIAS MANUFACTURERAS</v>
      </c>
    </row>
    <row r="718" spans="4:120" ht="12.75">
      <c r="D718" s="7">
        <v>412005</v>
      </c>
      <c r="E718" s="6" t="s">
        <v>507</v>
      </c>
      <c r="F718" s="5">
        <v>4</v>
      </c>
      <c r="G718" s="34" t="s">
        <v>829</v>
      </c>
      <c r="H718" s="8" t="s">
        <v>56</v>
      </c>
      <c r="I718" t="b">
        <f>+ISNUMBER(SEARCH('F-COMPRA'!$F$28,Tabla11[[#This Row],[Cuenta]],1))</f>
        <v>1</v>
      </c>
      <c r="J718" t="b">
        <f>+ISNUMBER(SEARCH('F-COMPRA'!$F$29,Tabla11[[#This Row],[Cuenta]],1))</f>
        <v>1</v>
      </c>
      <c r="K718" t="b">
        <f>+ISNUMBER(SEARCH('F-COMPRA'!$F$30,Tabla11[[#This Row],[Cuenta]],1))</f>
        <v>1</v>
      </c>
      <c r="L718" t="b">
        <f>+ISNUMBER(SEARCH('F-COMPRA'!$F$31,Tabla11[[#This Row],[Cuenta]],1))</f>
        <v>1</v>
      </c>
      <c r="M718" t="b">
        <f>+ISNUMBER(SEARCH('F-COMPRA'!$G$25,Tabla11[[#This Row],[Cuenta]],1))</f>
        <v>0</v>
      </c>
      <c r="N718" t="b">
        <f>+ISNUMBER(SEARCH(#REF!,Tabla11[[#This Row],[Cuenta]],1))</f>
        <v>0</v>
      </c>
      <c r="O718" t="b">
        <f>+ISNUMBER(SEARCH(#REF!,Tabla11[[#This Row],[Cuenta]],1))</f>
        <v>0</v>
      </c>
      <c r="P718" t="b">
        <f>+ISNUMBER(SEARCH('F-COMPRA'!$F$32,Tabla11[[#This Row],[Cuenta]],1))</f>
        <v>1</v>
      </c>
      <c r="Q718" t="b">
        <f>+ISNUMBER(SEARCH('F-COMPRA'!$F$33,Tabla11[[#This Row],[Cuenta]],1))</f>
        <v>1</v>
      </c>
      <c r="R718" t="b">
        <f>+ISNUMBER(SEARCH('F-COMPRA'!$F$34,Tabla11[[#This Row],[Cuenta]],1))</f>
        <v>1</v>
      </c>
      <c r="S718" t="b">
        <f>+ISNUMBER(SEARCH('F-COMPRA'!$F$35,Tabla11[[#This Row],[Cuenta]],1))</f>
        <v>1</v>
      </c>
      <c r="T718" t="b">
        <f>+ISNUMBER(SEARCH('F-COMPRA'!$F$36,Tabla11[[#This Row],[Cuenta]],1))</f>
        <v>1</v>
      </c>
      <c r="U718" t="b">
        <f>+ISNUMBER(SEARCH('F-COMPRA'!$F$37,Tabla11[[#This Row],[Cuenta]],1))</f>
        <v>1</v>
      </c>
      <c r="V718" t="b">
        <f>+ISNUMBER(SEARCH(#REF!,Tabla11[[#This Row],[Cuenta]],1))</f>
        <v>0</v>
      </c>
      <c r="W718" t="b">
        <f>+ISNUMBER(SEARCH('F-COMPRA'!#REF!,Tabla11[[#This Row],[Cuenta]],1))</f>
        <v>0</v>
      </c>
      <c r="X718" t="b">
        <f>+ISNUMBER(SEARCH('F-COMPRA'!#REF!,Tabla11[[#This Row],[Cuenta]],1))</f>
        <v>0</v>
      </c>
      <c r="Y718" t="b">
        <f>+ISNUMBER(SEARCH('F-COMPRA'!#REF!,Tabla11[[#This Row],[Cuenta]],1))</f>
        <v>0</v>
      </c>
      <c r="Z718" t="b">
        <f>+ISNUMBER(SEARCH('F-COMPRA'!#REF!,Tabla11[[#This Row],[Cuenta]],1))</f>
        <v>0</v>
      </c>
      <c r="AA718" t="b">
        <f>+ISNUMBER(SEARCH('F-COMPRA'!#REF!,Tabla11[[#This Row],[Cuenta]],1))</f>
        <v>0</v>
      </c>
      <c r="AB718" t="b">
        <f>+ISNUMBER(SEARCH('F-COMPRA'!#REF!,Tabla11[[#This Row],[Cuenta]],1))</f>
        <v>0</v>
      </c>
      <c r="AC718" t="b">
        <f>+ISNUMBER(SEARCH('F-COMPRA'!#REF!,Tabla11[[#This Row],[Cuenta]],1))</f>
        <v>0</v>
      </c>
      <c r="AD718" t="b">
        <f>+ISNUMBER(SEARCH('F-COMPRA'!#REF!,Tabla11[[#This Row],[Cuenta]],1))</f>
        <v>0</v>
      </c>
      <c r="AE718" t="b">
        <f>+ISNUMBER(SEARCH('F-COMPRA'!#REF!,Tabla11[[#This Row],[Cuenta]],1))</f>
        <v>0</v>
      </c>
      <c r="AF718" t="b">
        <f>+ISNUMBER(SEARCH('F-VTA'!$G$23,Tabla11[[#This Row],[Cuenta]],1))</f>
        <v>0</v>
      </c>
      <c r="AG718" t="b">
        <f>+ISNUMBER(SEARCH('F-VTA'!$G$24,Tabla11[[#This Row],[Cuenta]],1))</f>
        <v>0</v>
      </c>
      <c r="AH718" t="b">
        <f>+ISNUMBER(SEARCH('F-VTA'!$G$25,Tabla11[[#This Row],[Cuenta]],1))</f>
        <v>0</v>
      </c>
      <c r="AI718" t="b">
        <f>+ISNUMBER(SEARCH('F-VTA'!$F$28,Tabla11[[#This Row],[Cuenta]],1))</f>
        <v>1</v>
      </c>
      <c r="AJ718" t="b">
        <f>+ISNUMBER(SEARCH('F-VTA'!$F$29,Tabla11[[#This Row],[Cuenta]],1))</f>
        <v>1</v>
      </c>
      <c r="AK718" t="b">
        <f>+ISNUMBER(SEARCH('F-VTA'!$F$30,Tabla11[[#This Row],[Cuenta]],1))</f>
        <v>1</v>
      </c>
      <c r="AL718" t="b">
        <f>+ISNUMBER(SEARCH('F-VTA'!$F$31,Tabla11[[#This Row],[Cuenta]],1))</f>
        <v>1</v>
      </c>
      <c r="AM718" t="b">
        <f>+ISNUMBER(SEARCH('F-VTA'!$F$32,Tabla11[[#This Row],[Cuenta]],1))</f>
        <v>1</v>
      </c>
      <c r="AN718" t="b">
        <f>+ISNUMBER(SEARCH('F-VTA'!$F$33,Tabla11[[#This Row],[Cuenta]],1))</f>
        <v>1</v>
      </c>
      <c r="AO718" t="b">
        <f>+ISNUMBER(SEARCH('F-VTA'!$F$34,Tabla11[[#This Row],[Cuenta]],1))</f>
        <v>1</v>
      </c>
      <c r="AP718" t="b">
        <f>+ISNUMBER(SEARCH('F-VTA'!$F$35,Tabla11[[#This Row],[Cuenta]],1))</f>
        <v>1</v>
      </c>
      <c r="AQ718" t="b">
        <f>+ISNUMBER(SEARCH('F-VTA'!$F$36,Tabla11[[#This Row],[Cuenta]],1))</f>
        <v>1</v>
      </c>
      <c r="AR718" t="b">
        <f>+ISNUMBER(SEARCH(#REF!,Tabla11[[#This Row],[Cuenta]],1))</f>
        <v>0</v>
      </c>
      <c r="AS718" t="b">
        <f>+ISNUMBER(SEARCH(#REF!,Tabla11[[#This Row],[Cuenta]],1))</f>
        <v>0</v>
      </c>
      <c r="AT718" t="b">
        <f>+ISNUMBER(SEARCH(#REF!,Tabla11[[#This Row],[Cuenta]],1))</f>
        <v>0</v>
      </c>
      <c r="AU718" t="b">
        <f>+ISNUMBER(SEARCH('Conc. Ban.1'!$I$9,Tabla11[[#This Row],[Cuenta]],1))</f>
        <v>0</v>
      </c>
      <c r="AV718" t="b">
        <f>+ISNUMBER(SEARCH(CompConta!$F$21,Tabla11[[#This Row],[Cuenta]],1))</f>
        <v>1</v>
      </c>
      <c r="AW718" t="b">
        <f>+ISNUMBER(SEARCH(CompConta!$F$22,Tabla11[[#This Row],[Cuenta]],1))</f>
        <v>1</v>
      </c>
      <c r="AX718" t="b">
        <f>+ISNUMBER(SEARCH(CompConta!$F$23,Tabla11[[#This Row],[Cuenta]],1))</f>
        <v>1</v>
      </c>
      <c r="AY718" t="b">
        <f>+ISNUMBER(SEARCH(CompConta!$F$24,Tabla11[[#This Row],[Cuenta]],1))</f>
        <v>1</v>
      </c>
      <c r="AZ718" t="b">
        <f>+ISNUMBER(SEARCH(CompConta!$F$25,Tabla11[[#This Row],[Cuenta]],1))</f>
        <v>1</v>
      </c>
      <c r="BA718" t="b">
        <f>+ISNUMBER(SEARCH(CompConta!$F$26,Tabla11[[#This Row],[Cuenta]],1))</f>
        <v>1</v>
      </c>
      <c r="BB718" t="b">
        <f>+ISNUMBER(SEARCH(CompConta!$F$27,Tabla11[[#This Row],[Cuenta]],1))</f>
        <v>1</v>
      </c>
      <c r="BC718" t="b">
        <f>+ISNUMBER(SEARCH(CompConta!$F$28,Tabla11[[#This Row],[Cuenta]],1))</f>
        <v>1</v>
      </c>
      <c r="BD718" t="b">
        <f>+ISNUMBER(SEARCH(CompConta!$F$29,Tabla11[[#This Row],[Cuenta]],1))</f>
        <v>1</v>
      </c>
      <c r="BE718" t="b">
        <f>+ISNUMBER(SEARCH(CompConta!$F$30,Tabla11[[#This Row],[Cuenta]],1))</f>
        <v>1</v>
      </c>
      <c r="BF718" t="b">
        <f>+ISNUMBER(SEARCH('PAGO Compras'!$E$11,Tabla11[[#This Row],[Cuenta]],1))</f>
        <v>1</v>
      </c>
      <c r="BG718" t="b">
        <f>+ISNUMBER(SEARCH(#REF!,Tabla11[[#This Row],[Cuenta]],1))</f>
        <v>0</v>
      </c>
      <c r="BH718" t="b">
        <f>+ISNUMBER(SEARCH(#REF!,Tabla11[[#This Row],[Cuenta]],1))</f>
        <v>0</v>
      </c>
      <c r="BI718" t="b">
        <f>+ISNUMBER(SEARCH(#REF!,Tabla11[[#This Row],[Cuenta]],1))</f>
        <v>0</v>
      </c>
      <c r="BJ718" t="b">
        <f>+ISNUMBER(SEARCH(#REF!,Tabla11[[#This Row],[Cuenta]],1))</f>
        <v>0</v>
      </c>
      <c r="BS718" t="str">
        <v>412005 Elaboración de productos lácteos</v>
      </c>
      <c r="BT718" t="str">
        <v>412005 Elaboración de productos lácteos</v>
      </c>
      <c r="BU718" t="str">
        <v>412005 Elaboración de productos lácteos</v>
      </c>
      <c r="BV718" t="str">
        <v>412005 Elaboración de productos lácteos</v>
      </c>
      <c r="BZ718" t="str">
        <v>412005 Elaboración de productos lácteos</v>
      </c>
      <c r="CA718" t="str">
        <v>412005 Elaboración de productos lácteos</v>
      </c>
      <c r="CB718" t="str">
        <v>412005 Elaboración de productos lácteos</v>
      </c>
      <c r="CC718" t="str">
        <v>412005 Elaboración de productos lácteos</v>
      </c>
      <c r="CD718" t="str">
        <v>412005 Elaboración de productos lácteos</v>
      </c>
      <c r="CE718" t="str">
        <v>412005 Elaboración de productos lácteos</v>
      </c>
      <c r="CS718" s="141" t="str">
        <v>412005 Elaboración de productos lácteos</v>
      </c>
      <c r="CT718" s="141" t="str">
        <v>412005 Elaboración de productos lácteos</v>
      </c>
      <c r="CU718" s="141" t="str">
        <v>412005 Elaboración de productos lácteos</v>
      </c>
      <c r="CV718" s="141" t="str">
        <v>412005 Elaboración de productos lácteos</v>
      </c>
      <c r="CW718" s="141" t="str">
        <v>412005 Elaboración de productos lácteos</v>
      </c>
      <c r="CX718" s="141" t="str">
        <v>412005 Elaboración de productos lácteos</v>
      </c>
      <c r="CY718" s="141" t="str">
        <v>412005 Elaboración de productos lácteos</v>
      </c>
      <c r="CZ718" s="141" t="str">
        <v>412005 Elaboración de productos lácteos</v>
      </c>
      <c r="DA718" s="141" t="str">
        <v>412005 Elaboración de productos lácteos</v>
      </c>
      <c r="DF718" t="str">
        <v>412005 Elaboración de productos lácteos</v>
      </c>
      <c r="DG718" t="str">
        <v>412005 Elaboración de productos lácteos</v>
      </c>
      <c r="DH718" t="str">
        <v>412005 Elaboración de productos lácteos</v>
      </c>
      <c r="DI718" t="str">
        <v>412005 Elaboración de productos lácteos</v>
      </c>
      <c r="DJ718" t="str">
        <v>412005 Elaboración de productos lácteos</v>
      </c>
      <c r="DK718" t="str">
        <v>412005 Elaboración de productos lácteos</v>
      </c>
      <c r="DL718" t="str">
        <v>412005 Elaboración de productos lácteos</v>
      </c>
      <c r="DM718" t="str">
        <v>412005 Elaboración de productos lácteos</v>
      </c>
      <c r="DN718" t="str">
        <v>412005 Elaboración de productos lácteos</v>
      </c>
      <c r="DO718" t="str">
        <v>412005 Elaboración de productos lácteos</v>
      </c>
      <c r="DP718" t="str">
        <v>412005 Elaboración de productos lácteos</v>
      </c>
    </row>
    <row r="719" spans="4:120" ht="12.75">
      <c r="D719" s="7">
        <v>4135</v>
      </c>
      <c r="E719" s="6" t="s">
        <v>1126</v>
      </c>
      <c r="F719" s="5">
        <v>3</v>
      </c>
      <c r="G719" s="34" t="s">
        <v>829</v>
      </c>
      <c r="H719" s="8" t="s">
        <v>56</v>
      </c>
      <c r="I719" t="b">
        <f>+ISNUMBER(SEARCH('F-COMPRA'!$F$28,Tabla11[[#This Row],[Cuenta]],1))</f>
        <v>1</v>
      </c>
      <c r="J719" t="b">
        <f>+ISNUMBER(SEARCH('F-COMPRA'!$F$29,Tabla11[[#This Row],[Cuenta]],1))</f>
        <v>1</v>
      </c>
      <c r="K719" t="b">
        <f>+ISNUMBER(SEARCH('F-COMPRA'!$F$30,Tabla11[[#This Row],[Cuenta]],1))</f>
        <v>1</v>
      </c>
      <c r="L719" t="b">
        <f>+ISNUMBER(SEARCH('F-COMPRA'!$F$31,Tabla11[[#This Row],[Cuenta]],1))</f>
        <v>1</v>
      </c>
      <c r="M719" t="b">
        <f>+ISNUMBER(SEARCH('F-COMPRA'!$G$25,Tabla11[[#This Row],[Cuenta]],1))</f>
        <v>0</v>
      </c>
      <c r="N719" t="b">
        <f>+ISNUMBER(SEARCH(#REF!,Tabla11[[#This Row],[Cuenta]],1))</f>
        <v>0</v>
      </c>
      <c r="O719" t="b">
        <f>+ISNUMBER(SEARCH(#REF!,Tabla11[[#This Row],[Cuenta]],1))</f>
        <v>0</v>
      </c>
      <c r="P719" t="b">
        <f>+ISNUMBER(SEARCH('F-COMPRA'!$F$32,Tabla11[[#This Row],[Cuenta]],1))</f>
        <v>1</v>
      </c>
      <c r="Q719" t="b">
        <f>+ISNUMBER(SEARCH('F-COMPRA'!$F$33,Tabla11[[#This Row],[Cuenta]],1))</f>
        <v>1</v>
      </c>
      <c r="R719" t="b">
        <f>+ISNUMBER(SEARCH('F-COMPRA'!$F$34,Tabla11[[#This Row],[Cuenta]],1))</f>
        <v>1</v>
      </c>
      <c r="S719" t="b">
        <f>+ISNUMBER(SEARCH('F-COMPRA'!$F$35,Tabla11[[#This Row],[Cuenta]],1))</f>
        <v>1</v>
      </c>
      <c r="T719" t="b">
        <f>+ISNUMBER(SEARCH('F-COMPRA'!$F$36,Tabla11[[#This Row],[Cuenta]],1))</f>
        <v>1</v>
      </c>
      <c r="U719" t="b">
        <f>+ISNUMBER(SEARCH('F-COMPRA'!$F$37,Tabla11[[#This Row],[Cuenta]],1))</f>
        <v>1</v>
      </c>
      <c r="V719" t="b">
        <f>+ISNUMBER(SEARCH(#REF!,Tabla11[[#This Row],[Cuenta]],1))</f>
        <v>0</v>
      </c>
      <c r="W719" t="b">
        <f>+ISNUMBER(SEARCH('F-COMPRA'!#REF!,Tabla11[[#This Row],[Cuenta]],1))</f>
        <v>0</v>
      </c>
      <c r="X719" t="b">
        <f>+ISNUMBER(SEARCH('F-COMPRA'!#REF!,Tabla11[[#This Row],[Cuenta]],1))</f>
        <v>0</v>
      </c>
      <c r="Y719" t="b">
        <f>+ISNUMBER(SEARCH('F-COMPRA'!#REF!,Tabla11[[#This Row],[Cuenta]],1))</f>
        <v>0</v>
      </c>
      <c r="Z719" t="b">
        <f>+ISNUMBER(SEARCH('F-COMPRA'!#REF!,Tabla11[[#This Row],[Cuenta]],1))</f>
        <v>0</v>
      </c>
      <c r="AA719" t="b">
        <f>+ISNUMBER(SEARCH('F-COMPRA'!#REF!,Tabla11[[#This Row],[Cuenta]],1))</f>
        <v>0</v>
      </c>
      <c r="AB719" t="b">
        <f>+ISNUMBER(SEARCH('F-COMPRA'!#REF!,Tabla11[[#This Row],[Cuenta]],1))</f>
        <v>0</v>
      </c>
      <c r="AC719" t="b">
        <f>+ISNUMBER(SEARCH('F-COMPRA'!#REF!,Tabla11[[#This Row],[Cuenta]],1))</f>
        <v>0</v>
      </c>
      <c r="AD719" t="b">
        <f>+ISNUMBER(SEARCH('F-COMPRA'!#REF!,Tabla11[[#This Row],[Cuenta]],1))</f>
        <v>0</v>
      </c>
      <c r="AE719" t="b">
        <f>+ISNUMBER(SEARCH('F-COMPRA'!#REF!,Tabla11[[#This Row],[Cuenta]],1))</f>
        <v>0</v>
      </c>
      <c r="AF719" t="b">
        <f>+ISNUMBER(SEARCH('F-VTA'!$G$23,Tabla11[[#This Row],[Cuenta]],1))</f>
        <v>0</v>
      </c>
      <c r="AG719" t="b">
        <f>+ISNUMBER(SEARCH('F-VTA'!$G$24,Tabla11[[#This Row],[Cuenta]],1))</f>
        <v>0</v>
      </c>
      <c r="AH719" t="b">
        <f>+ISNUMBER(SEARCH('F-VTA'!$G$25,Tabla11[[#This Row],[Cuenta]],1))</f>
        <v>0</v>
      </c>
      <c r="AI719" t="b">
        <f>+ISNUMBER(SEARCH('F-VTA'!$F$28,Tabla11[[#This Row],[Cuenta]],1))</f>
        <v>1</v>
      </c>
      <c r="AJ719" t="b">
        <f>+ISNUMBER(SEARCH('F-VTA'!$F$29,Tabla11[[#This Row],[Cuenta]],1))</f>
        <v>1</v>
      </c>
      <c r="AK719" t="b">
        <f>+ISNUMBER(SEARCH('F-VTA'!$F$30,Tabla11[[#This Row],[Cuenta]],1))</f>
        <v>1</v>
      </c>
      <c r="AL719" t="b">
        <f>+ISNUMBER(SEARCH('F-VTA'!$F$31,Tabla11[[#This Row],[Cuenta]],1))</f>
        <v>1</v>
      </c>
      <c r="AM719" t="b">
        <f>+ISNUMBER(SEARCH('F-VTA'!$F$32,Tabla11[[#This Row],[Cuenta]],1))</f>
        <v>1</v>
      </c>
      <c r="AN719" t="b">
        <f>+ISNUMBER(SEARCH('F-VTA'!$F$33,Tabla11[[#This Row],[Cuenta]],1))</f>
        <v>1</v>
      </c>
      <c r="AO719" t="b">
        <f>+ISNUMBER(SEARCH('F-VTA'!$F$34,Tabla11[[#This Row],[Cuenta]],1))</f>
        <v>1</v>
      </c>
      <c r="AP719" t="b">
        <f>+ISNUMBER(SEARCH('F-VTA'!$F$35,Tabla11[[#This Row],[Cuenta]],1))</f>
        <v>1</v>
      </c>
      <c r="AQ719" t="b">
        <f>+ISNUMBER(SEARCH('F-VTA'!$F$36,Tabla11[[#This Row],[Cuenta]],1))</f>
        <v>1</v>
      </c>
      <c r="AR719" t="b">
        <f>+ISNUMBER(SEARCH(#REF!,Tabla11[[#This Row],[Cuenta]],1))</f>
        <v>0</v>
      </c>
      <c r="AS719" t="b">
        <f>+ISNUMBER(SEARCH(#REF!,Tabla11[[#This Row],[Cuenta]],1))</f>
        <v>0</v>
      </c>
      <c r="AT719" t="b">
        <f>+ISNUMBER(SEARCH(#REF!,Tabla11[[#This Row],[Cuenta]],1))</f>
        <v>0</v>
      </c>
      <c r="AU719" t="b">
        <f>+ISNUMBER(SEARCH('Conc. Ban.1'!$I$9,Tabla11[[#This Row],[Cuenta]],1))</f>
        <v>0</v>
      </c>
      <c r="AV719" t="b">
        <f>+ISNUMBER(SEARCH(CompConta!$F$21,Tabla11[[#This Row],[Cuenta]],1))</f>
        <v>1</v>
      </c>
      <c r="AW719" t="b">
        <f>+ISNUMBER(SEARCH(CompConta!$F$22,Tabla11[[#This Row],[Cuenta]],1))</f>
        <v>1</v>
      </c>
      <c r="AX719" t="b">
        <f>+ISNUMBER(SEARCH(CompConta!$F$23,Tabla11[[#This Row],[Cuenta]],1))</f>
        <v>1</v>
      </c>
      <c r="AY719" t="b">
        <f>+ISNUMBER(SEARCH(CompConta!$F$24,Tabla11[[#This Row],[Cuenta]],1))</f>
        <v>1</v>
      </c>
      <c r="AZ719" t="b">
        <f>+ISNUMBER(SEARCH(CompConta!$F$25,Tabla11[[#This Row],[Cuenta]],1))</f>
        <v>1</v>
      </c>
      <c r="BA719" t="b">
        <f>+ISNUMBER(SEARCH(CompConta!$F$26,Tabla11[[#This Row],[Cuenta]],1))</f>
        <v>1</v>
      </c>
      <c r="BB719" t="b">
        <f>+ISNUMBER(SEARCH(CompConta!$F$27,Tabla11[[#This Row],[Cuenta]],1))</f>
        <v>1</v>
      </c>
      <c r="BC719" t="b">
        <f>+ISNUMBER(SEARCH(CompConta!$F$28,Tabla11[[#This Row],[Cuenta]],1))</f>
        <v>1</v>
      </c>
      <c r="BD719" t="b">
        <f>+ISNUMBER(SEARCH(CompConta!$F$29,Tabla11[[#This Row],[Cuenta]],1))</f>
        <v>1</v>
      </c>
      <c r="BE719" t="b">
        <f>+ISNUMBER(SEARCH(CompConta!$F$30,Tabla11[[#This Row],[Cuenta]],1))</f>
        <v>1</v>
      </c>
      <c r="BF719" t="b">
        <f>+ISNUMBER(SEARCH('PAGO Compras'!$E$11,Tabla11[[#This Row],[Cuenta]],1))</f>
        <v>1</v>
      </c>
      <c r="BG719" t="b">
        <f>+ISNUMBER(SEARCH(#REF!,Tabla11[[#This Row],[Cuenta]],1))</f>
        <v>0</v>
      </c>
      <c r="BH719" t="b">
        <f>+ISNUMBER(SEARCH(#REF!,Tabla11[[#This Row],[Cuenta]],1))</f>
        <v>0</v>
      </c>
      <c r="BI719" t="b">
        <f>+ISNUMBER(SEARCH(#REF!,Tabla11[[#This Row],[Cuenta]],1))</f>
        <v>0</v>
      </c>
      <c r="BJ719" t="b">
        <f>+ISNUMBER(SEARCH(#REF!,Tabla11[[#This Row],[Cuenta]],1))</f>
        <v>0</v>
      </c>
      <c r="BS719" t="str">
        <v>4135 COMERCIO AL POR MAYOR Y AL POR MENOR</v>
      </c>
      <c r="BT719" t="str">
        <v>4135 COMERCIO AL POR MAYOR Y AL POR MENOR</v>
      </c>
      <c r="BU719" t="str">
        <v>4135 COMERCIO AL POR MAYOR Y AL POR MENOR</v>
      </c>
      <c r="BV719" t="str">
        <v>4135 COMERCIO AL POR MAYOR Y AL POR MENOR</v>
      </c>
      <c r="BZ719" t="str">
        <v>4135 COMERCIO AL POR MAYOR Y AL POR MENOR</v>
      </c>
      <c r="CA719" t="str">
        <v>4135 COMERCIO AL POR MAYOR Y AL POR MENOR</v>
      </c>
      <c r="CB719" t="str">
        <v>4135 COMERCIO AL POR MAYOR Y AL POR MENOR</v>
      </c>
      <c r="CC719" t="str">
        <v>4135 COMERCIO AL POR MAYOR Y AL POR MENOR</v>
      </c>
      <c r="CD719" t="str">
        <v>4135 COMERCIO AL POR MAYOR Y AL POR MENOR</v>
      </c>
      <c r="CE719" t="str">
        <v>4135 COMERCIO AL POR MAYOR Y AL POR MENOR</v>
      </c>
      <c r="CS719" s="141" t="str">
        <v>4135 COMERCIO AL POR MAYOR Y AL POR MENOR</v>
      </c>
      <c r="CT719" s="141" t="str">
        <v>4135 COMERCIO AL POR MAYOR Y AL POR MENOR</v>
      </c>
      <c r="CU719" s="141" t="str">
        <v>4135 COMERCIO AL POR MAYOR Y AL POR MENOR</v>
      </c>
      <c r="CV719" s="141" t="str">
        <v>4135 COMERCIO AL POR MAYOR Y AL POR MENOR</v>
      </c>
      <c r="CW719" s="141" t="str">
        <v>4135 COMERCIO AL POR MAYOR Y AL POR MENOR</v>
      </c>
      <c r="CX719" s="141" t="str">
        <v>4135 COMERCIO AL POR MAYOR Y AL POR MENOR</v>
      </c>
      <c r="CY719" s="141" t="str">
        <v>4135 COMERCIO AL POR MAYOR Y AL POR MENOR</v>
      </c>
      <c r="CZ719" s="141" t="str">
        <v>4135 COMERCIO AL POR MAYOR Y AL POR MENOR</v>
      </c>
      <c r="DA719" s="141" t="str">
        <v>4135 COMERCIO AL POR MAYOR Y AL POR MENOR</v>
      </c>
      <c r="DF719" t="str">
        <v>4135 COMERCIO AL POR MAYOR Y AL POR MENOR</v>
      </c>
      <c r="DG719" t="str">
        <v>4135 COMERCIO AL POR MAYOR Y AL POR MENOR</v>
      </c>
      <c r="DH719" t="str">
        <v>4135 COMERCIO AL POR MAYOR Y AL POR MENOR</v>
      </c>
      <c r="DI719" t="str">
        <v>4135 COMERCIO AL POR MAYOR Y AL POR MENOR</v>
      </c>
      <c r="DJ719" t="str">
        <v>4135 COMERCIO AL POR MAYOR Y AL POR MENOR</v>
      </c>
      <c r="DK719" t="str">
        <v>4135 COMERCIO AL POR MAYOR Y AL POR MENOR</v>
      </c>
      <c r="DL719" t="str">
        <v>4135 COMERCIO AL POR MAYOR Y AL POR MENOR</v>
      </c>
      <c r="DM719" t="str">
        <v>4135 COMERCIO AL POR MAYOR Y AL POR MENOR</v>
      </c>
      <c r="DN719" t="str">
        <v>4135 COMERCIO AL POR MAYOR Y AL POR MENOR</v>
      </c>
      <c r="DO719" t="str">
        <v>4135 COMERCIO AL POR MAYOR Y AL POR MENOR</v>
      </c>
      <c r="DP719" t="str">
        <v>4135 COMERCIO AL POR MAYOR Y AL POR MENOR</v>
      </c>
    </row>
    <row r="720" spans="4:120" ht="12.75">
      <c r="D720" s="7">
        <v>413504</v>
      </c>
      <c r="E720" s="6" t="s">
        <v>1127</v>
      </c>
      <c r="F720" s="5">
        <v>4</v>
      </c>
      <c r="G720" s="34" t="s">
        <v>829</v>
      </c>
      <c r="H720" s="8" t="s">
        <v>765</v>
      </c>
      <c r="I720" t="b">
        <f>+ISNUMBER(SEARCH('F-COMPRA'!$F$28,Tabla11[[#This Row],[Cuenta]],1))</f>
        <v>1</v>
      </c>
      <c r="J720" t="b">
        <f>+ISNUMBER(SEARCH('F-COMPRA'!$F$29,Tabla11[[#This Row],[Cuenta]],1))</f>
        <v>1</v>
      </c>
      <c r="K720" t="b">
        <f>+ISNUMBER(SEARCH('F-COMPRA'!$F$30,Tabla11[[#This Row],[Cuenta]],1))</f>
        <v>1</v>
      </c>
      <c r="L720" t="b">
        <f>+ISNUMBER(SEARCH('F-COMPRA'!$F$31,Tabla11[[#This Row],[Cuenta]],1))</f>
        <v>1</v>
      </c>
      <c r="M720" t="b">
        <f>+ISNUMBER(SEARCH('F-COMPRA'!$G$25,Tabla11[[#This Row],[Cuenta]],1))</f>
        <v>0</v>
      </c>
      <c r="N720" t="b">
        <f>+ISNUMBER(SEARCH(#REF!,Tabla11[[#This Row],[Cuenta]],1))</f>
        <v>0</v>
      </c>
      <c r="O720" t="b">
        <f>+ISNUMBER(SEARCH(#REF!,Tabla11[[#This Row],[Cuenta]],1))</f>
        <v>0</v>
      </c>
      <c r="P720" t="b">
        <f>+ISNUMBER(SEARCH('F-COMPRA'!$F$32,Tabla11[[#This Row],[Cuenta]],1))</f>
        <v>1</v>
      </c>
      <c r="Q720" t="b">
        <f>+ISNUMBER(SEARCH('F-COMPRA'!$F$33,Tabla11[[#This Row],[Cuenta]],1))</f>
        <v>1</v>
      </c>
      <c r="R720" t="b">
        <f>+ISNUMBER(SEARCH('F-COMPRA'!$F$34,Tabla11[[#This Row],[Cuenta]],1))</f>
        <v>1</v>
      </c>
      <c r="S720" t="b">
        <f>+ISNUMBER(SEARCH('F-COMPRA'!$F$35,Tabla11[[#This Row],[Cuenta]],1))</f>
        <v>1</v>
      </c>
      <c r="T720" t="b">
        <f>+ISNUMBER(SEARCH('F-COMPRA'!$F$36,Tabla11[[#This Row],[Cuenta]],1))</f>
        <v>1</v>
      </c>
      <c r="U720" t="b">
        <f>+ISNUMBER(SEARCH('F-COMPRA'!$F$37,Tabla11[[#This Row],[Cuenta]],1))</f>
        <v>1</v>
      </c>
      <c r="V720" t="b">
        <f>+ISNUMBER(SEARCH(#REF!,Tabla11[[#This Row],[Cuenta]],1))</f>
        <v>0</v>
      </c>
      <c r="W720" t="b">
        <f>+ISNUMBER(SEARCH('F-COMPRA'!#REF!,Tabla11[[#This Row],[Cuenta]],1))</f>
        <v>0</v>
      </c>
      <c r="X720" t="b">
        <f>+ISNUMBER(SEARCH('F-COMPRA'!#REF!,Tabla11[[#This Row],[Cuenta]],1))</f>
        <v>0</v>
      </c>
      <c r="Y720" t="b">
        <f>+ISNUMBER(SEARCH('F-COMPRA'!#REF!,Tabla11[[#This Row],[Cuenta]],1))</f>
        <v>0</v>
      </c>
      <c r="Z720" t="b">
        <f>+ISNUMBER(SEARCH('F-COMPRA'!#REF!,Tabla11[[#This Row],[Cuenta]],1))</f>
        <v>0</v>
      </c>
      <c r="AA720" t="b">
        <f>+ISNUMBER(SEARCH('F-COMPRA'!#REF!,Tabla11[[#This Row],[Cuenta]],1))</f>
        <v>0</v>
      </c>
      <c r="AB720" t="b">
        <f>+ISNUMBER(SEARCH('F-COMPRA'!#REF!,Tabla11[[#This Row],[Cuenta]],1))</f>
        <v>0</v>
      </c>
      <c r="AC720" t="b">
        <f>+ISNUMBER(SEARCH('F-COMPRA'!#REF!,Tabla11[[#This Row],[Cuenta]],1))</f>
        <v>0</v>
      </c>
      <c r="AD720" t="b">
        <f>+ISNUMBER(SEARCH('F-COMPRA'!#REF!,Tabla11[[#This Row],[Cuenta]],1))</f>
        <v>0</v>
      </c>
      <c r="AE720" t="b">
        <f>+ISNUMBER(SEARCH('F-COMPRA'!#REF!,Tabla11[[#This Row],[Cuenta]],1))</f>
        <v>0</v>
      </c>
      <c r="AF720" t="b">
        <f>+ISNUMBER(SEARCH('F-VTA'!$G$23,Tabla11[[#This Row],[Cuenta]],1))</f>
        <v>0</v>
      </c>
      <c r="AG720" t="b">
        <f>+ISNUMBER(SEARCH('F-VTA'!$G$24,Tabla11[[#This Row],[Cuenta]],1))</f>
        <v>0</v>
      </c>
      <c r="AH720" t="b">
        <f>+ISNUMBER(SEARCH('F-VTA'!$G$25,Tabla11[[#This Row],[Cuenta]],1))</f>
        <v>0</v>
      </c>
      <c r="AI720" t="b">
        <f>+ISNUMBER(SEARCH('F-VTA'!$F$28,Tabla11[[#This Row],[Cuenta]],1))</f>
        <v>1</v>
      </c>
      <c r="AJ720" t="b">
        <f>+ISNUMBER(SEARCH('F-VTA'!$F$29,Tabla11[[#This Row],[Cuenta]],1))</f>
        <v>1</v>
      </c>
      <c r="AK720" t="b">
        <f>+ISNUMBER(SEARCH('F-VTA'!$F$30,Tabla11[[#This Row],[Cuenta]],1))</f>
        <v>1</v>
      </c>
      <c r="AL720" t="b">
        <f>+ISNUMBER(SEARCH('F-VTA'!$F$31,Tabla11[[#This Row],[Cuenta]],1))</f>
        <v>1</v>
      </c>
      <c r="AM720" t="b">
        <f>+ISNUMBER(SEARCH('F-VTA'!$F$32,Tabla11[[#This Row],[Cuenta]],1))</f>
        <v>1</v>
      </c>
      <c r="AN720" t="b">
        <f>+ISNUMBER(SEARCH('F-VTA'!$F$33,Tabla11[[#This Row],[Cuenta]],1))</f>
        <v>1</v>
      </c>
      <c r="AO720" t="b">
        <f>+ISNUMBER(SEARCH('F-VTA'!$F$34,Tabla11[[#This Row],[Cuenta]],1))</f>
        <v>1</v>
      </c>
      <c r="AP720" t="b">
        <f>+ISNUMBER(SEARCH('F-VTA'!$F$35,Tabla11[[#This Row],[Cuenta]],1))</f>
        <v>1</v>
      </c>
      <c r="AQ720" t="b">
        <f>+ISNUMBER(SEARCH('F-VTA'!$F$36,Tabla11[[#This Row],[Cuenta]],1))</f>
        <v>1</v>
      </c>
      <c r="AR720" t="b">
        <f>+ISNUMBER(SEARCH(#REF!,Tabla11[[#This Row],[Cuenta]],1))</f>
        <v>0</v>
      </c>
      <c r="AS720" t="b">
        <f>+ISNUMBER(SEARCH(#REF!,Tabla11[[#This Row],[Cuenta]],1))</f>
        <v>0</v>
      </c>
      <c r="AT720" t="b">
        <f>+ISNUMBER(SEARCH(#REF!,Tabla11[[#This Row],[Cuenta]],1))</f>
        <v>0</v>
      </c>
      <c r="AU720" t="b">
        <f>+ISNUMBER(SEARCH('Conc. Ban.1'!$I$9,Tabla11[[#This Row],[Cuenta]],1))</f>
        <v>0</v>
      </c>
      <c r="AV720" t="b">
        <f>+ISNUMBER(SEARCH(CompConta!$F$21,Tabla11[[#This Row],[Cuenta]],1))</f>
        <v>1</v>
      </c>
      <c r="AW720" t="b">
        <f>+ISNUMBER(SEARCH(CompConta!$F$22,Tabla11[[#This Row],[Cuenta]],1))</f>
        <v>1</v>
      </c>
      <c r="AX720" t="b">
        <f>+ISNUMBER(SEARCH(CompConta!$F$23,Tabla11[[#This Row],[Cuenta]],1))</f>
        <v>1</v>
      </c>
      <c r="AY720" t="b">
        <f>+ISNUMBER(SEARCH(CompConta!$F$24,Tabla11[[#This Row],[Cuenta]],1))</f>
        <v>1</v>
      </c>
      <c r="AZ720" t="b">
        <f>+ISNUMBER(SEARCH(CompConta!$F$25,Tabla11[[#This Row],[Cuenta]],1))</f>
        <v>1</v>
      </c>
      <c r="BA720" t="b">
        <f>+ISNUMBER(SEARCH(CompConta!$F$26,Tabla11[[#This Row],[Cuenta]],1))</f>
        <v>1</v>
      </c>
      <c r="BB720" t="b">
        <f>+ISNUMBER(SEARCH(CompConta!$F$27,Tabla11[[#This Row],[Cuenta]],1))</f>
        <v>1</v>
      </c>
      <c r="BC720" t="b">
        <f>+ISNUMBER(SEARCH(CompConta!$F$28,Tabla11[[#This Row],[Cuenta]],1))</f>
        <v>1</v>
      </c>
      <c r="BD720" t="b">
        <f>+ISNUMBER(SEARCH(CompConta!$F$29,Tabla11[[#This Row],[Cuenta]],1))</f>
        <v>1</v>
      </c>
      <c r="BE720" t="b">
        <f>+ISNUMBER(SEARCH(CompConta!$F$30,Tabla11[[#This Row],[Cuenta]],1))</f>
        <v>1</v>
      </c>
      <c r="BF720" t="b">
        <f>+ISNUMBER(SEARCH('PAGO Compras'!$E$11,Tabla11[[#This Row],[Cuenta]],1))</f>
        <v>1</v>
      </c>
      <c r="BG720" t="b">
        <f>+ISNUMBER(SEARCH(#REF!,Tabla11[[#This Row],[Cuenta]],1))</f>
        <v>0</v>
      </c>
      <c r="BH720" t="b">
        <f>+ISNUMBER(SEARCH(#REF!,Tabla11[[#This Row],[Cuenta]],1))</f>
        <v>0</v>
      </c>
      <c r="BI720" t="b">
        <f>+ISNUMBER(SEARCH(#REF!,Tabla11[[#This Row],[Cuenta]],1))</f>
        <v>0</v>
      </c>
      <c r="BJ720" t="b">
        <f>+ISNUMBER(SEARCH(#REF!,Tabla11[[#This Row],[Cuenta]],1))</f>
        <v>0</v>
      </c>
      <c r="BS720" t="str">
        <v>413504 Mantenimiento, reparación y lavado de vehículos automotores</v>
      </c>
      <c r="BT720" t="str">
        <v>413504 Mantenimiento, reparación y lavado de vehículos automotores</v>
      </c>
      <c r="BU720" t="str">
        <v>413504 Mantenimiento, reparación y lavado de vehículos automotores</v>
      </c>
      <c r="BV720" t="str">
        <v>413504 Mantenimiento, reparación y lavado de vehículos automotores</v>
      </c>
      <c r="BZ720" t="str">
        <v>413504 Mantenimiento, reparación y lavado de vehículos automotores</v>
      </c>
      <c r="CA720" t="str">
        <v>413504 Mantenimiento, reparación y lavado de vehículos automotores</v>
      </c>
      <c r="CB720" t="str">
        <v>413504 Mantenimiento, reparación y lavado de vehículos automotores</v>
      </c>
      <c r="CC720" t="str">
        <v>413504 Mantenimiento, reparación y lavado de vehículos automotores</v>
      </c>
      <c r="CD720" t="str">
        <v>413504 Mantenimiento, reparación y lavado de vehículos automotores</v>
      </c>
      <c r="CE720" t="str">
        <v>413504 Mantenimiento, reparación y lavado de vehículos automotores</v>
      </c>
      <c r="CS720" s="141" t="str">
        <v>413504 Mantenimiento, reparación y lavado de vehículos automotores</v>
      </c>
      <c r="CT720" s="141" t="str">
        <v>413504 Mantenimiento, reparación y lavado de vehículos automotores</v>
      </c>
      <c r="CU720" s="141" t="str">
        <v>413504 Mantenimiento, reparación y lavado de vehículos automotores</v>
      </c>
      <c r="CV720" s="141" t="str">
        <v>413504 Mantenimiento, reparación y lavado de vehículos automotores</v>
      </c>
      <c r="CW720" s="141" t="str">
        <v>413504 Mantenimiento, reparación y lavado de vehículos automotores</v>
      </c>
      <c r="CX720" s="141" t="str">
        <v>413504 Mantenimiento, reparación y lavado de vehículos automotores</v>
      </c>
      <c r="CY720" s="141" t="str">
        <v>413504 Mantenimiento, reparación y lavado de vehículos automotores</v>
      </c>
      <c r="CZ720" s="141" t="str">
        <v>413504 Mantenimiento, reparación y lavado de vehículos automotores</v>
      </c>
      <c r="DA720" s="141" t="str">
        <v>413504 Mantenimiento, reparación y lavado de vehículos automotores</v>
      </c>
      <c r="DF720" t="str">
        <v>413504 Mantenimiento, reparación y lavado de vehículos automotores</v>
      </c>
      <c r="DG720" t="str">
        <v>413504 Mantenimiento, reparación y lavado de vehículos automotores</v>
      </c>
      <c r="DH720" t="str">
        <v>413504 Mantenimiento, reparación y lavado de vehículos automotores</v>
      </c>
      <c r="DI720" t="str">
        <v>413504 Mantenimiento, reparación y lavado de vehículos automotores</v>
      </c>
      <c r="DJ720" t="str">
        <v>413504 Mantenimiento, reparación y lavado de vehículos automotores</v>
      </c>
      <c r="DK720" t="str">
        <v>413504 Mantenimiento, reparación y lavado de vehículos automotores</v>
      </c>
      <c r="DL720" t="str">
        <v>413504 Mantenimiento, reparación y lavado de vehículos automotores</v>
      </c>
      <c r="DM720" t="str">
        <v>413504 Mantenimiento, reparación y lavado de vehículos automotores</v>
      </c>
      <c r="DN720" t="str">
        <v>413504 Mantenimiento, reparación y lavado de vehículos automotores</v>
      </c>
      <c r="DO720" t="str">
        <v>413504 Mantenimiento, reparación y lavado de vehículos automotores</v>
      </c>
      <c r="DP720" t="str">
        <v>413504 Mantenimiento, reparación y lavado de vehículos automotores</v>
      </c>
    </row>
    <row r="721" spans="4:120" ht="12.75">
      <c r="D721" s="7">
        <v>413510</v>
      </c>
      <c r="E721" s="6" t="s">
        <v>1128</v>
      </c>
      <c r="F721" s="5">
        <v>4</v>
      </c>
      <c r="G721" s="34" t="s">
        <v>829</v>
      </c>
      <c r="H721" s="8" t="s">
        <v>765</v>
      </c>
      <c r="I721" t="b">
        <f>+ISNUMBER(SEARCH('F-COMPRA'!$F$28,Tabla11[[#This Row],[Cuenta]],1))</f>
        <v>1</v>
      </c>
      <c r="J721" t="b">
        <f>+ISNUMBER(SEARCH('F-COMPRA'!$F$29,Tabla11[[#This Row],[Cuenta]],1))</f>
        <v>1</v>
      </c>
      <c r="K721" t="b">
        <f>+ISNUMBER(SEARCH('F-COMPRA'!$F$30,Tabla11[[#This Row],[Cuenta]],1))</f>
        <v>1</v>
      </c>
      <c r="L721" t="b">
        <f>+ISNUMBER(SEARCH('F-COMPRA'!$F$31,Tabla11[[#This Row],[Cuenta]],1))</f>
        <v>1</v>
      </c>
      <c r="M721" t="b">
        <f>+ISNUMBER(SEARCH('F-COMPRA'!$G$25,Tabla11[[#This Row],[Cuenta]],1))</f>
        <v>0</v>
      </c>
      <c r="N721" t="b">
        <f>+ISNUMBER(SEARCH(#REF!,Tabla11[[#This Row],[Cuenta]],1))</f>
        <v>0</v>
      </c>
      <c r="O721" t="b">
        <f>+ISNUMBER(SEARCH(#REF!,Tabla11[[#This Row],[Cuenta]],1))</f>
        <v>0</v>
      </c>
      <c r="P721" t="b">
        <f>+ISNUMBER(SEARCH('F-COMPRA'!$F$32,Tabla11[[#This Row],[Cuenta]],1))</f>
        <v>1</v>
      </c>
      <c r="Q721" t="b">
        <f>+ISNUMBER(SEARCH('F-COMPRA'!$F$33,Tabla11[[#This Row],[Cuenta]],1))</f>
        <v>1</v>
      </c>
      <c r="R721" t="b">
        <f>+ISNUMBER(SEARCH('F-COMPRA'!$F$34,Tabla11[[#This Row],[Cuenta]],1))</f>
        <v>1</v>
      </c>
      <c r="S721" t="b">
        <f>+ISNUMBER(SEARCH('F-COMPRA'!$F$35,Tabla11[[#This Row],[Cuenta]],1))</f>
        <v>1</v>
      </c>
      <c r="T721" t="b">
        <f>+ISNUMBER(SEARCH('F-COMPRA'!$F$36,Tabla11[[#This Row],[Cuenta]],1))</f>
        <v>1</v>
      </c>
      <c r="U721" t="b">
        <f>+ISNUMBER(SEARCH('F-COMPRA'!$F$37,Tabla11[[#This Row],[Cuenta]],1))</f>
        <v>1</v>
      </c>
      <c r="V721" t="b">
        <f>+ISNUMBER(SEARCH(#REF!,Tabla11[[#This Row],[Cuenta]],1))</f>
        <v>0</v>
      </c>
      <c r="W721" t="b">
        <f>+ISNUMBER(SEARCH('F-COMPRA'!#REF!,Tabla11[[#This Row],[Cuenta]],1))</f>
        <v>0</v>
      </c>
      <c r="X721" t="b">
        <f>+ISNUMBER(SEARCH('F-COMPRA'!#REF!,Tabla11[[#This Row],[Cuenta]],1))</f>
        <v>0</v>
      </c>
      <c r="Y721" t="b">
        <f>+ISNUMBER(SEARCH('F-COMPRA'!#REF!,Tabla11[[#This Row],[Cuenta]],1))</f>
        <v>0</v>
      </c>
      <c r="Z721" t="b">
        <f>+ISNUMBER(SEARCH('F-COMPRA'!#REF!,Tabla11[[#This Row],[Cuenta]],1))</f>
        <v>0</v>
      </c>
      <c r="AA721" t="b">
        <f>+ISNUMBER(SEARCH('F-COMPRA'!#REF!,Tabla11[[#This Row],[Cuenta]],1))</f>
        <v>0</v>
      </c>
      <c r="AB721" t="b">
        <f>+ISNUMBER(SEARCH('F-COMPRA'!#REF!,Tabla11[[#This Row],[Cuenta]],1))</f>
        <v>0</v>
      </c>
      <c r="AC721" t="b">
        <f>+ISNUMBER(SEARCH('F-COMPRA'!#REF!,Tabla11[[#This Row],[Cuenta]],1))</f>
        <v>0</v>
      </c>
      <c r="AD721" t="b">
        <f>+ISNUMBER(SEARCH('F-COMPRA'!#REF!,Tabla11[[#This Row],[Cuenta]],1))</f>
        <v>0</v>
      </c>
      <c r="AE721" t="b">
        <f>+ISNUMBER(SEARCH('F-COMPRA'!#REF!,Tabla11[[#This Row],[Cuenta]],1))</f>
        <v>0</v>
      </c>
      <c r="AF721" t="b">
        <f>+ISNUMBER(SEARCH('F-VTA'!$G$23,Tabla11[[#This Row],[Cuenta]],1))</f>
        <v>0</v>
      </c>
      <c r="AG721" t="b">
        <f>+ISNUMBER(SEARCH('F-VTA'!$G$24,Tabla11[[#This Row],[Cuenta]],1))</f>
        <v>0</v>
      </c>
      <c r="AH721" t="b">
        <f>+ISNUMBER(SEARCH('F-VTA'!$G$25,Tabla11[[#This Row],[Cuenta]],1))</f>
        <v>0</v>
      </c>
      <c r="AI721" t="b">
        <f>+ISNUMBER(SEARCH('F-VTA'!$F$28,Tabla11[[#This Row],[Cuenta]],1))</f>
        <v>1</v>
      </c>
      <c r="AJ721" t="b">
        <f>+ISNUMBER(SEARCH('F-VTA'!$F$29,Tabla11[[#This Row],[Cuenta]],1))</f>
        <v>1</v>
      </c>
      <c r="AK721" t="b">
        <f>+ISNUMBER(SEARCH('F-VTA'!$F$30,Tabla11[[#This Row],[Cuenta]],1))</f>
        <v>1</v>
      </c>
      <c r="AL721" t="b">
        <f>+ISNUMBER(SEARCH('F-VTA'!$F$31,Tabla11[[#This Row],[Cuenta]],1))</f>
        <v>1</v>
      </c>
      <c r="AM721" t="b">
        <f>+ISNUMBER(SEARCH('F-VTA'!$F$32,Tabla11[[#This Row],[Cuenta]],1))</f>
        <v>1</v>
      </c>
      <c r="AN721" t="b">
        <f>+ISNUMBER(SEARCH('F-VTA'!$F$33,Tabla11[[#This Row],[Cuenta]],1))</f>
        <v>1</v>
      </c>
      <c r="AO721" t="b">
        <f>+ISNUMBER(SEARCH('F-VTA'!$F$34,Tabla11[[#This Row],[Cuenta]],1))</f>
        <v>1</v>
      </c>
      <c r="AP721" t="b">
        <f>+ISNUMBER(SEARCH('F-VTA'!$F$35,Tabla11[[#This Row],[Cuenta]],1))</f>
        <v>1</v>
      </c>
      <c r="AQ721" t="b">
        <f>+ISNUMBER(SEARCH('F-VTA'!$F$36,Tabla11[[#This Row],[Cuenta]],1))</f>
        <v>1</v>
      </c>
      <c r="AR721" t="b">
        <f>+ISNUMBER(SEARCH(#REF!,Tabla11[[#This Row],[Cuenta]],1))</f>
        <v>0</v>
      </c>
      <c r="AS721" t="b">
        <f>+ISNUMBER(SEARCH(#REF!,Tabla11[[#This Row],[Cuenta]],1))</f>
        <v>0</v>
      </c>
      <c r="AT721" t="b">
        <f>+ISNUMBER(SEARCH(#REF!,Tabla11[[#This Row],[Cuenta]],1))</f>
        <v>0</v>
      </c>
      <c r="AU721" t="b">
        <f>+ISNUMBER(SEARCH('Conc. Ban.1'!$I$9,Tabla11[[#This Row],[Cuenta]],1))</f>
        <v>0</v>
      </c>
      <c r="AV721" t="b">
        <f>+ISNUMBER(SEARCH(CompConta!$F$21,Tabla11[[#This Row],[Cuenta]],1))</f>
        <v>1</v>
      </c>
      <c r="AW721" t="b">
        <f>+ISNUMBER(SEARCH(CompConta!$F$22,Tabla11[[#This Row],[Cuenta]],1))</f>
        <v>1</v>
      </c>
      <c r="AX721" t="b">
        <f>+ISNUMBER(SEARCH(CompConta!$F$23,Tabla11[[#This Row],[Cuenta]],1))</f>
        <v>1</v>
      </c>
      <c r="AY721" t="b">
        <f>+ISNUMBER(SEARCH(CompConta!$F$24,Tabla11[[#This Row],[Cuenta]],1))</f>
        <v>1</v>
      </c>
      <c r="AZ721" t="b">
        <f>+ISNUMBER(SEARCH(CompConta!$F$25,Tabla11[[#This Row],[Cuenta]],1))</f>
        <v>1</v>
      </c>
      <c r="BA721" t="b">
        <f>+ISNUMBER(SEARCH(CompConta!$F$26,Tabla11[[#This Row],[Cuenta]],1))</f>
        <v>1</v>
      </c>
      <c r="BB721" t="b">
        <f>+ISNUMBER(SEARCH(CompConta!$F$27,Tabla11[[#This Row],[Cuenta]],1))</f>
        <v>1</v>
      </c>
      <c r="BC721" t="b">
        <f>+ISNUMBER(SEARCH(CompConta!$F$28,Tabla11[[#This Row],[Cuenta]],1))</f>
        <v>1</v>
      </c>
      <c r="BD721" t="b">
        <f>+ISNUMBER(SEARCH(CompConta!$F$29,Tabla11[[#This Row],[Cuenta]],1))</f>
        <v>1</v>
      </c>
      <c r="BE721" t="b">
        <f>+ISNUMBER(SEARCH(CompConta!$F$30,Tabla11[[#This Row],[Cuenta]],1))</f>
        <v>1</v>
      </c>
      <c r="BF721" t="b">
        <f>+ISNUMBER(SEARCH('PAGO Compras'!$E$11,Tabla11[[#This Row],[Cuenta]],1))</f>
        <v>1</v>
      </c>
      <c r="BG721" t="b">
        <f>+ISNUMBER(SEARCH(#REF!,Tabla11[[#This Row],[Cuenta]],1))</f>
        <v>0</v>
      </c>
      <c r="BH721" t="b">
        <f>+ISNUMBER(SEARCH(#REF!,Tabla11[[#This Row],[Cuenta]],1))</f>
        <v>0</v>
      </c>
      <c r="BI721" t="b">
        <f>+ISNUMBER(SEARCH(#REF!,Tabla11[[#This Row],[Cuenta]],1))</f>
        <v>0</v>
      </c>
      <c r="BJ721" t="b">
        <f>+ISNUMBER(SEARCH(#REF!,Tabla11[[#This Row],[Cuenta]],1))</f>
        <v>0</v>
      </c>
      <c r="BS721" t="str">
        <v>413510 Venta de lubricantes, aditivos, llantas y lujos para automotores</v>
      </c>
      <c r="BT721" t="str">
        <v>413510 Venta de lubricantes, aditivos, llantas y lujos para automotores</v>
      </c>
      <c r="BU721" t="str">
        <v>413510 Venta de lubricantes, aditivos, llantas y lujos para automotores</v>
      </c>
      <c r="BV721" t="str">
        <v>413510 Venta de lubricantes, aditivos, llantas y lujos para automotores</v>
      </c>
      <c r="BZ721" t="str">
        <v>413510 Venta de lubricantes, aditivos, llantas y lujos para automotores</v>
      </c>
      <c r="CA721" t="str">
        <v>413510 Venta de lubricantes, aditivos, llantas y lujos para automotores</v>
      </c>
      <c r="CB721" t="str">
        <v>413510 Venta de lubricantes, aditivos, llantas y lujos para automotores</v>
      </c>
      <c r="CC721" t="str">
        <v>413510 Venta de lubricantes, aditivos, llantas y lujos para automotores</v>
      </c>
      <c r="CD721" t="str">
        <v>413510 Venta de lubricantes, aditivos, llantas y lujos para automotores</v>
      </c>
      <c r="CE721" t="str">
        <v>413510 Venta de lubricantes, aditivos, llantas y lujos para automotores</v>
      </c>
      <c r="CS721" s="141" t="str">
        <v>413510 Venta de lubricantes, aditivos, llantas y lujos para automotores</v>
      </c>
      <c r="CT721" s="141" t="str">
        <v>413510 Venta de lubricantes, aditivos, llantas y lujos para automotores</v>
      </c>
      <c r="CU721" s="141" t="str">
        <v>413510 Venta de lubricantes, aditivos, llantas y lujos para automotores</v>
      </c>
      <c r="CV721" s="141" t="str">
        <v>413510 Venta de lubricantes, aditivos, llantas y lujos para automotores</v>
      </c>
      <c r="CW721" s="141" t="str">
        <v>413510 Venta de lubricantes, aditivos, llantas y lujos para automotores</v>
      </c>
      <c r="CX721" s="141" t="str">
        <v>413510 Venta de lubricantes, aditivos, llantas y lujos para automotores</v>
      </c>
      <c r="CY721" s="141" t="str">
        <v>413510 Venta de lubricantes, aditivos, llantas y lujos para automotores</v>
      </c>
      <c r="CZ721" s="141" t="str">
        <v>413510 Venta de lubricantes, aditivos, llantas y lujos para automotores</v>
      </c>
      <c r="DA721" s="141" t="str">
        <v>413510 Venta de lubricantes, aditivos, llantas y lujos para automotores</v>
      </c>
      <c r="DF721" t="str">
        <v>413510 Venta de lubricantes, aditivos, llantas y lujos para automotores</v>
      </c>
      <c r="DG721" t="str">
        <v>413510 Venta de lubricantes, aditivos, llantas y lujos para automotores</v>
      </c>
      <c r="DH721" t="str">
        <v>413510 Venta de lubricantes, aditivos, llantas y lujos para automotores</v>
      </c>
      <c r="DI721" t="str">
        <v>413510 Venta de lubricantes, aditivos, llantas y lujos para automotores</v>
      </c>
      <c r="DJ721" t="str">
        <v>413510 Venta de lubricantes, aditivos, llantas y lujos para automotores</v>
      </c>
      <c r="DK721" t="str">
        <v>413510 Venta de lubricantes, aditivos, llantas y lujos para automotores</v>
      </c>
      <c r="DL721" t="str">
        <v>413510 Venta de lubricantes, aditivos, llantas y lujos para automotores</v>
      </c>
      <c r="DM721" t="str">
        <v>413510 Venta de lubricantes, aditivos, llantas y lujos para automotores</v>
      </c>
      <c r="DN721" t="str">
        <v>413510 Venta de lubricantes, aditivos, llantas y lujos para automotores</v>
      </c>
      <c r="DO721" t="str">
        <v>413510 Venta de lubricantes, aditivos, llantas y lujos para automotores</v>
      </c>
      <c r="DP721" t="str">
        <v>413510 Venta de lubricantes, aditivos, llantas y lujos para automotores</v>
      </c>
    </row>
    <row r="722" spans="4:120" ht="12.75">
      <c r="D722" s="7">
        <v>413522</v>
      </c>
      <c r="E722" s="6" t="s">
        <v>1129</v>
      </c>
      <c r="F722" s="5">
        <v>4</v>
      </c>
      <c r="G722" s="34" t="s">
        <v>829</v>
      </c>
      <c r="H722" s="8" t="s">
        <v>765</v>
      </c>
      <c r="I722" t="b">
        <f>+ISNUMBER(SEARCH('F-COMPRA'!$F$28,Tabla11[[#This Row],[Cuenta]],1))</f>
        <v>1</v>
      </c>
      <c r="J722" t="b">
        <f>+ISNUMBER(SEARCH('F-COMPRA'!$F$29,Tabla11[[#This Row],[Cuenta]],1))</f>
        <v>1</v>
      </c>
      <c r="K722" t="b">
        <f>+ISNUMBER(SEARCH('F-COMPRA'!$F$30,Tabla11[[#This Row],[Cuenta]],1))</f>
        <v>1</v>
      </c>
      <c r="L722" t="b">
        <f>+ISNUMBER(SEARCH('F-COMPRA'!$F$31,Tabla11[[#This Row],[Cuenta]],1))</f>
        <v>1</v>
      </c>
      <c r="M722" t="b">
        <f>+ISNUMBER(SEARCH('F-COMPRA'!$G$25,Tabla11[[#This Row],[Cuenta]],1))</f>
        <v>0</v>
      </c>
      <c r="N722" t="b">
        <f>+ISNUMBER(SEARCH(#REF!,Tabla11[[#This Row],[Cuenta]],1))</f>
        <v>0</v>
      </c>
      <c r="O722" t="b">
        <f>+ISNUMBER(SEARCH(#REF!,Tabla11[[#This Row],[Cuenta]],1))</f>
        <v>0</v>
      </c>
      <c r="P722" t="b">
        <f>+ISNUMBER(SEARCH('F-COMPRA'!$F$32,Tabla11[[#This Row],[Cuenta]],1))</f>
        <v>1</v>
      </c>
      <c r="Q722" t="b">
        <f>+ISNUMBER(SEARCH('F-COMPRA'!$F$33,Tabla11[[#This Row],[Cuenta]],1))</f>
        <v>1</v>
      </c>
      <c r="R722" t="b">
        <f>+ISNUMBER(SEARCH('F-COMPRA'!$F$34,Tabla11[[#This Row],[Cuenta]],1))</f>
        <v>1</v>
      </c>
      <c r="S722" t="b">
        <f>+ISNUMBER(SEARCH('F-COMPRA'!$F$35,Tabla11[[#This Row],[Cuenta]],1))</f>
        <v>1</v>
      </c>
      <c r="T722" t="b">
        <f>+ISNUMBER(SEARCH('F-COMPRA'!$F$36,Tabla11[[#This Row],[Cuenta]],1))</f>
        <v>1</v>
      </c>
      <c r="U722" t="b">
        <f>+ISNUMBER(SEARCH('F-COMPRA'!$F$37,Tabla11[[#This Row],[Cuenta]],1))</f>
        <v>1</v>
      </c>
      <c r="V722" t="b">
        <f>+ISNUMBER(SEARCH(#REF!,Tabla11[[#This Row],[Cuenta]],1))</f>
        <v>0</v>
      </c>
      <c r="W722" t="b">
        <f>+ISNUMBER(SEARCH('F-COMPRA'!#REF!,Tabla11[[#This Row],[Cuenta]],1))</f>
        <v>0</v>
      </c>
      <c r="X722" t="b">
        <f>+ISNUMBER(SEARCH('F-COMPRA'!#REF!,Tabla11[[#This Row],[Cuenta]],1))</f>
        <v>0</v>
      </c>
      <c r="Y722" t="b">
        <f>+ISNUMBER(SEARCH('F-COMPRA'!#REF!,Tabla11[[#This Row],[Cuenta]],1))</f>
        <v>0</v>
      </c>
      <c r="Z722" t="b">
        <f>+ISNUMBER(SEARCH('F-COMPRA'!#REF!,Tabla11[[#This Row],[Cuenta]],1))</f>
        <v>0</v>
      </c>
      <c r="AA722" t="b">
        <f>+ISNUMBER(SEARCH('F-COMPRA'!#REF!,Tabla11[[#This Row],[Cuenta]],1))</f>
        <v>0</v>
      </c>
      <c r="AB722" t="b">
        <f>+ISNUMBER(SEARCH('F-COMPRA'!#REF!,Tabla11[[#This Row],[Cuenta]],1))</f>
        <v>0</v>
      </c>
      <c r="AC722" t="b">
        <f>+ISNUMBER(SEARCH('F-COMPRA'!#REF!,Tabla11[[#This Row],[Cuenta]],1))</f>
        <v>0</v>
      </c>
      <c r="AD722" t="b">
        <f>+ISNUMBER(SEARCH('F-COMPRA'!#REF!,Tabla11[[#This Row],[Cuenta]],1))</f>
        <v>0</v>
      </c>
      <c r="AE722" t="b">
        <f>+ISNUMBER(SEARCH('F-COMPRA'!#REF!,Tabla11[[#This Row],[Cuenta]],1))</f>
        <v>0</v>
      </c>
      <c r="AF722" t="b">
        <f>+ISNUMBER(SEARCH('F-VTA'!$G$23,Tabla11[[#This Row],[Cuenta]],1))</f>
        <v>0</v>
      </c>
      <c r="AG722" t="b">
        <f>+ISNUMBER(SEARCH('F-VTA'!$G$24,Tabla11[[#This Row],[Cuenta]],1))</f>
        <v>0</v>
      </c>
      <c r="AH722" t="b">
        <f>+ISNUMBER(SEARCH('F-VTA'!$G$25,Tabla11[[#This Row],[Cuenta]],1))</f>
        <v>0</v>
      </c>
      <c r="AI722" t="b">
        <f>+ISNUMBER(SEARCH('F-VTA'!$F$28,Tabla11[[#This Row],[Cuenta]],1))</f>
        <v>1</v>
      </c>
      <c r="AJ722" t="b">
        <f>+ISNUMBER(SEARCH('F-VTA'!$F$29,Tabla11[[#This Row],[Cuenta]],1))</f>
        <v>1</v>
      </c>
      <c r="AK722" t="b">
        <f>+ISNUMBER(SEARCH('F-VTA'!$F$30,Tabla11[[#This Row],[Cuenta]],1))</f>
        <v>1</v>
      </c>
      <c r="AL722" t="b">
        <f>+ISNUMBER(SEARCH('F-VTA'!$F$31,Tabla11[[#This Row],[Cuenta]],1))</f>
        <v>1</v>
      </c>
      <c r="AM722" t="b">
        <f>+ISNUMBER(SEARCH('F-VTA'!$F$32,Tabla11[[#This Row],[Cuenta]],1))</f>
        <v>1</v>
      </c>
      <c r="AN722" t="b">
        <f>+ISNUMBER(SEARCH('F-VTA'!$F$33,Tabla11[[#This Row],[Cuenta]],1))</f>
        <v>1</v>
      </c>
      <c r="AO722" t="b">
        <f>+ISNUMBER(SEARCH('F-VTA'!$F$34,Tabla11[[#This Row],[Cuenta]],1))</f>
        <v>1</v>
      </c>
      <c r="AP722" t="b">
        <f>+ISNUMBER(SEARCH('F-VTA'!$F$35,Tabla11[[#This Row],[Cuenta]],1))</f>
        <v>1</v>
      </c>
      <c r="AQ722" t="b">
        <f>+ISNUMBER(SEARCH('F-VTA'!$F$36,Tabla11[[#This Row],[Cuenta]],1))</f>
        <v>1</v>
      </c>
      <c r="AR722" t="b">
        <f>+ISNUMBER(SEARCH(#REF!,Tabla11[[#This Row],[Cuenta]],1))</f>
        <v>0</v>
      </c>
      <c r="AS722" t="b">
        <f>+ISNUMBER(SEARCH(#REF!,Tabla11[[#This Row],[Cuenta]],1))</f>
        <v>0</v>
      </c>
      <c r="AT722" t="b">
        <f>+ISNUMBER(SEARCH(#REF!,Tabla11[[#This Row],[Cuenta]],1))</f>
        <v>0</v>
      </c>
      <c r="AU722" t="b">
        <f>+ISNUMBER(SEARCH('Conc. Ban.1'!$I$9,Tabla11[[#This Row],[Cuenta]],1))</f>
        <v>0</v>
      </c>
      <c r="AV722" t="b">
        <f>+ISNUMBER(SEARCH(CompConta!$F$21,Tabla11[[#This Row],[Cuenta]],1))</f>
        <v>1</v>
      </c>
      <c r="AW722" t="b">
        <f>+ISNUMBER(SEARCH(CompConta!$F$22,Tabla11[[#This Row],[Cuenta]],1))</f>
        <v>1</v>
      </c>
      <c r="AX722" t="b">
        <f>+ISNUMBER(SEARCH(CompConta!$F$23,Tabla11[[#This Row],[Cuenta]],1))</f>
        <v>1</v>
      </c>
      <c r="AY722" t="b">
        <f>+ISNUMBER(SEARCH(CompConta!$F$24,Tabla11[[#This Row],[Cuenta]],1))</f>
        <v>1</v>
      </c>
      <c r="AZ722" t="b">
        <f>+ISNUMBER(SEARCH(CompConta!$F$25,Tabla11[[#This Row],[Cuenta]],1))</f>
        <v>1</v>
      </c>
      <c r="BA722" t="b">
        <f>+ISNUMBER(SEARCH(CompConta!$F$26,Tabla11[[#This Row],[Cuenta]],1))</f>
        <v>1</v>
      </c>
      <c r="BB722" t="b">
        <f>+ISNUMBER(SEARCH(CompConta!$F$27,Tabla11[[#This Row],[Cuenta]],1))</f>
        <v>1</v>
      </c>
      <c r="BC722" t="b">
        <f>+ISNUMBER(SEARCH(CompConta!$F$28,Tabla11[[#This Row],[Cuenta]],1))</f>
        <v>1</v>
      </c>
      <c r="BD722" t="b">
        <f>+ISNUMBER(SEARCH(CompConta!$F$29,Tabla11[[#This Row],[Cuenta]],1))</f>
        <v>1</v>
      </c>
      <c r="BE722" t="b">
        <f>+ISNUMBER(SEARCH(CompConta!$F$30,Tabla11[[#This Row],[Cuenta]],1))</f>
        <v>1</v>
      </c>
      <c r="BF722" t="b">
        <f>+ISNUMBER(SEARCH('PAGO Compras'!$E$11,Tabla11[[#This Row],[Cuenta]],1))</f>
        <v>1</v>
      </c>
      <c r="BG722" t="b">
        <f>+ISNUMBER(SEARCH(#REF!,Tabla11[[#This Row],[Cuenta]],1))</f>
        <v>0</v>
      </c>
      <c r="BH722" t="b">
        <f>+ISNUMBER(SEARCH(#REF!,Tabla11[[#This Row],[Cuenta]],1))</f>
        <v>0</v>
      </c>
      <c r="BI722" t="b">
        <f>+ISNUMBER(SEARCH(#REF!,Tabla11[[#This Row],[Cuenta]],1))</f>
        <v>0</v>
      </c>
      <c r="BJ722" t="b">
        <f>+ISNUMBER(SEARCH(#REF!,Tabla11[[#This Row],[Cuenta]],1))</f>
        <v>0</v>
      </c>
      <c r="BS722" t="str">
        <v>413522 Venta de productos agropecuarios</v>
      </c>
      <c r="BT722" t="str">
        <v>413522 Venta de productos agropecuarios</v>
      </c>
      <c r="BU722" t="str">
        <v>413522 Venta de productos agropecuarios</v>
      </c>
      <c r="BV722" t="str">
        <v>413522 Venta de productos agropecuarios</v>
      </c>
      <c r="BZ722" t="str">
        <v>413522 Venta de productos agropecuarios</v>
      </c>
      <c r="CA722" t="str">
        <v>413522 Venta de productos agropecuarios</v>
      </c>
      <c r="CB722" t="str">
        <v>413522 Venta de productos agropecuarios</v>
      </c>
      <c r="CC722" t="str">
        <v>413522 Venta de productos agropecuarios</v>
      </c>
      <c r="CD722" t="str">
        <v>413522 Venta de productos agropecuarios</v>
      </c>
      <c r="CE722" t="str">
        <v>413522 Venta de productos agropecuarios</v>
      </c>
      <c r="CS722" s="141" t="str">
        <v>413522 Venta de productos agropecuarios</v>
      </c>
      <c r="CT722" s="141" t="str">
        <v>413522 Venta de productos agropecuarios</v>
      </c>
      <c r="CU722" s="141" t="str">
        <v>413522 Venta de productos agropecuarios</v>
      </c>
      <c r="CV722" s="141" t="str">
        <v>413522 Venta de productos agropecuarios</v>
      </c>
      <c r="CW722" s="141" t="str">
        <v>413522 Venta de productos agropecuarios</v>
      </c>
      <c r="CX722" s="141" t="str">
        <v>413522 Venta de productos agropecuarios</v>
      </c>
      <c r="CY722" s="141" t="str">
        <v>413522 Venta de productos agropecuarios</v>
      </c>
      <c r="CZ722" s="141" t="str">
        <v>413522 Venta de productos agropecuarios</v>
      </c>
      <c r="DA722" s="141" t="str">
        <v>413522 Venta de productos agropecuarios</v>
      </c>
      <c r="DF722" t="str">
        <v>413522 Venta de productos agropecuarios</v>
      </c>
      <c r="DG722" t="str">
        <v>413522 Venta de productos agropecuarios</v>
      </c>
      <c r="DH722" t="str">
        <v>413522 Venta de productos agropecuarios</v>
      </c>
      <c r="DI722" t="str">
        <v>413522 Venta de productos agropecuarios</v>
      </c>
      <c r="DJ722" t="str">
        <v>413522 Venta de productos agropecuarios</v>
      </c>
      <c r="DK722" t="str">
        <v>413522 Venta de productos agropecuarios</v>
      </c>
      <c r="DL722" t="str">
        <v>413522 Venta de productos agropecuarios</v>
      </c>
      <c r="DM722" t="str">
        <v>413522 Venta de productos agropecuarios</v>
      </c>
      <c r="DN722" t="str">
        <v>413522 Venta de productos agropecuarios</v>
      </c>
      <c r="DO722" t="str">
        <v>413522 Venta de productos agropecuarios</v>
      </c>
      <c r="DP722" t="str">
        <v>413522 Venta de productos agropecuarios</v>
      </c>
    </row>
    <row r="723" spans="4:120" ht="12.75">
      <c r="D723" s="7">
        <v>413524</v>
      </c>
      <c r="E723" s="6" t="s">
        <v>1135</v>
      </c>
      <c r="F723" s="5">
        <v>4</v>
      </c>
      <c r="G723" s="34" t="s">
        <v>829</v>
      </c>
      <c r="H723" s="8" t="s">
        <v>765</v>
      </c>
      <c r="I723" t="b">
        <f>+ISNUMBER(SEARCH('F-COMPRA'!$F$28,Tabla11[[#This Row],[Cuenta]],1))</f>
        <v>1</v>
      </c>
      <c r="J723" t="b">
        <f>+ISNUMBER(SEARCH('F-COMPRA'!$F$29,Tabla11[[#This Row],[Cuenta]],1))</f>
        <v>1</v>
      </c>
      <c r="K723" t="b">
        <f>+ISNUMBER(SEARCH('F-COMPRA'!$F$30,Tabla11[[#This Row],[Cuenta]],1))</f>
        <v>1</v>
      </c>
      <c r="L723" t="b">
        <f>+ISNUMBER(SEARCH('F-COMPRA'!$F$31,Tabla11[[#This Row],[Cuenta]],1))</f>
        <v>1</v>
      </c>
      <c r="M723" t="b">
        <f>+ISNUMBER(SEARCH('F-COMPRA'!$G$25,Tabla11[[#This Row],[Cuenta]],1))</f>
        <v>0</v>
      </c>
      <c r="N723" t="b">
        <f>+ISNUMBER(SEARCH(#REF!,Tabla11[[#This Row],[Cuenta]],1))</f>
        <v>0</v>
      </c>
      <c r="O723" t="b">
        <f>+ISNUMBER(SEARCH(#REF!,Tabla11[[#This Row],[Cuenta]],1))</f>
        <v>0</v>
      </c>
      <c r="P723" t="b">
        <f>+ISNUMBER(SEARCH('F-COMPRA'!$F$32,Tabla11[[#This Row],[Cuenta]],1))</f>
        <v>1</v>
      </c>
      <c r="Q723" t="b">
        <f>+ISNUMBER(SEARCH('F-COMPRA'!$F$33,Tabla11[[#This Row],[Cuenta]],1))</f>
        <v>1</v>
      </c>
      <c r="R723" t="b">
        <f>+ISNUMBER(SEARCH('F-COMPRA'!$F$34,Tabla11[[#This Row],[Cuenta]],1))</f>
        <v>1</v>
      </c>
      <c r="S723" t="b">
        <f>+ISNUMBER(SEARCH('F-COMPRA'!$F$35,Tabla11[[#This Row],[Cuenta]],1))</f>
        <v>1</v>
      </c>
      <c r="T723" t="b">
        <f>+ISNUMBER(SEARCH('F-COMPRA'!$F$36,Tabla11[[#This Row],[Cuenta]],1))</f>
        <v>1</v>
      </c>
      <c r="U723" t="b">
        <f>+ISNUMBER(SEARCH('F-COMPRA'!$F$37,Tabla11[[#This Row],[Cuenta]],1))</f>
        <v>1</v>
      </c>
      <c r="V723" t="b">
        <f>+ISNUMBER(SEARCH(#REF!,Tabla11[[#This Row],[Cuenta]],1))</f>
        <v>0</v>
      </c>
      <c r="W723" t="b">
        <f>+ISNUMBER(SEARCH('F-COMPRA'!#REF!,Tabla11[[#This Row],[Cuenta]],1))</f>
        <v>0</v>
      </c>
      <c r="X723" t="b">
        <f>+ISNUMBER(SEARCH('F-COMPRA'!#REF!,Tabla11[[#This Row],[Cuenta]],1))</f>
        <v>0</v>
      </c>
      <c r="Y723" t="b">
        <f>+ISNUMBER(SEARCH('F-COMPRA'!#REF!,Tabla11[[#This Row],[Cuenta]],1))</f>
        <v>0</v>
      </c>
      <c r="Z723" t="b">
        <f>+ISNUMBER(SEARCH('F-COMPRA'!#REF!,Tabla11[[#This Row],[Cuenta]],1))</f>
        <v>0</v>
      </c>
      <c r="AA723" t="b">
        <f>+ISNUMBER(SEARCH('F-COMPRA'!#REF!,Tabla11[[#This Row],[Cuenta]],1))</f>
        <v>0</v>
      </c>
      <c r="AB723" t="b">
        <f>+ISNUMBER(SEARCH('F-COMPRA'!#REF!,Tabla11[[#This Row],[Cuenta]],1))</f>
        <v>0</v>
      </c>
      <c r="AC723" t="b">
        <f>+ISNUMBER(SEARCH('F-COMPRA'!#REF!,Tabla11[[#This Row],[Cuenta]],1))</f>
        <v>0</v>
      </c>
      <c r="AD723" t="b">
        <f>+ISNUMBER(SEARCH('F-COMPRA'!#REF!,Tabla11[[#This Row],[Cuenta]],1))</f>
        <v>0</v>
      </c>
      <c r="AE723" t="b">
        <f>+ISNUMBER(SEARCH('F-COMPRA'!#REF!,Tabla11[[#This Row],[Cuenta]],1))</f>
        <v>0</v>
      </c>
      <c r="AF723" t="b">
        <f>+ISNUMBER(SEARCH('F-VTA'!$G$23,Tabla11[[#This Row],[Cuenta]],1))</f>
        <v>1</v>
      </c>
      <c r="AG723" t="b">
        <f>+ISNUMBER(SEARCH('F-VTA'!$G$24,Tabla11[[#This Row],[Cuenta]],1))</f>
        <v>0</v>
      </c>
      <c r="AH723" t="b">
        <f>+ISNUMBER(SEARCH('F-VTA'!$G$25,Tabla11[[#This Row],[Cuenta]],1))</f>
        <v>0</v>
      </c>
      <c r="AI723" t="b">
        <f>+ISNUMBER(SEARCH('F-VTA'!$F$28,Tabla11[[#This Row],[Cuenta]],1))</f>
        <v>1</v>
      </c>
      <c r="AJ723" t="b">
        <f>+ISNUMBER(SEARCH('F-VTA'!$F$29,Tabla11[[#This Row],[Cuenta]],1))</f>
        <v>1</v>
      </c>
      <c r="AK723" t="b">
        <f>+ISNUMBER(SEARCH('F-VTA'!$F$30,Tabla11[[#This Row],[Cuenta]],1))</f>
        <v>1</v>
      </c>
      <c r="AL723" t="b">
        <f>+ISNUMBER(SEARCH('F-VTA'!$F$31,Tabla11[[#This Row],[Cuenta]],1))</f>
        <v>1</v>
      </c>
      <c r="AM723" t="b">
        <f>+ISNUMBER(SEARCH('F-VTA'!$F$32,Tabla11[[#This Row],[Cuenta]],1))</f>
        <v>1</v>
      </c>
      <c r="AN723" t="b">
        <f>+ISNUMBER(SEARCH('F-VTA'!$F$33,Tabla11[[#This Row],[Cuenta]],1))</f>
        <v>1</v>
      </c>
      <c r="AO723" t="b">
        <f>+ISNUMBER(SEARCH('F-VTA'!$F$34,Tabla11[[#This Row],[Cuenta]],1))</f>
        <v>1</v>
      </c>
      <c r="AP723" t="b">
        <f>+ISNUMBER(SEARCH('F-VTA'!$F$35,Tabla11[[#This Row],[Cuenta]],1))</f>
        <v>1</v>
      </c>
      <c r="AQ723" t="b">
        <f>+ISNUMBER(SEARCH('F-VTA'!$F$36,Tabla11[[#This Row],[Cuenta]],1))</f>
        <v>1</v>
      </c>
      <c r="AR723" t="b">
        <f>+ISNUMBER(SEARCH(#REF!,Tabla11[[#This Row],[Cuenta]],1))</f>
        <v>0</v>
      </c>
      <c r="AS723" t="b">
        <f>+ISNUMBER(SEARCH(#REF!,Tabla11[[#This Row],[Cuenta]],1))</f>
        <v>0</v>
      </c>
      <c r="AT723" t="b">
        <f>+ISNUMBER(SEARCH(#REF!,Tabla11[[#This Row],[Cuenta]],1))</f>
        <v>0</v>
      </c>
      <c r="AU723" t="b">
        <f>+ISNUMBER(SEARCH('Conc. Ban.1'!$I$9,Tabla11[[#This Row],[Cuenta]],1))</f>
        <v>0</v>
      </c>
      <c r="AV723" t="b">
        <f>+ISNUMBER(SEARCH(CompConta!$F$21,Tabla11[[#This Row],[Cuenta]],1))</f>
        <v>1</v>
      </c>
      <c r="AW723" t="b">
        <f>+ISNUMBER(SEARCH(CompConta!$F$22,Tabla11[[#This Row],[Cuenta]],1))</f>
        <v>1</v>
      </c>
      <c r="AX723" t="b">
        <f>+ISNUMBER(SEARCH(CompConta!$F$23,Tabla11[[#This Row],[Cuenta]],1))</f>
        <v>1</v>
      </c>
      <c r="AY723" t="b">
        <f>+ISNUMBER(SEARCH(CompConta!$F$24,Tabla11[[#This Row],[Cuenta]],1))</f>
        <v>1</v>
      </c>
      <c r="AZ723" t="b">
        <f>+ISNUMBER(SEARCH(CompConta!$F$25,Tabla11[[#This Row],[Cuenta]],1))</f>
        <v>1</v>
      </c>
      <c r="BA723" t="b">
        <f>+ISNUMBER(SEARCH(CompConta!$F$26,Tabla11[[#This Row],[Cuenta]],1))</f>
        <v>1</v>
      </c>
      <c r="BB723" t="b">
        <f>+ISNUMBER(SEARCH(CompConta!$F$27,Tabla11[[#This Row],[Cuenta]],1))</f>
        <v>1</v>
      </c>
      <c r="BC723" t="b">
        <f>+ISNUMBER(SEARCH(CompConta!$F$28,Tabla11[[#This Row],[Cuenta]],1))</f>
        <v>1</v>
      </c>
      <c r="BD723" t="b">
        <f>+ISNUMBER(SEARCH(CompConta!$F$29,Tabla11[[#This Row],[Cuenta]],1))</f>
        <v>1</v>
      </c>
      <c r="BE723" t="b">
        <f>+ISNUMBER(SEARCH(CompConta!$F$30,Tabla11[[#This Row],[Cuenta]],1))</f>
        <v>1</v>
      </c>
      <c r="BF723" t="b">
        <f>+ISNUMBER(SEARCH('PAGO Compras'!$E$11,Tabla11[[#This Row],[Cuenta]],1))</f>
        <v>1</v>
      </c>
      <c r="BG723" t="b">
        <f>+ISNUMBER(SEARCH(#REF!,Tabla11[[#This Row],[Cuenta]],1))</f>
        <v>0</v>
      </c>
      <c r="BH723" t="b">
        <f>+ISNUMBER(SEARCH(#REF!,Tabla11[[#This Row],[Cuenta]],1))</f>
        <v>0</v>
      </c>
      <c r="BI723" t="b">
        <f>+ISNUMBER(SEARCH(#REF!,Tabla11[[#This Row],[Cuenta]],1))</f>
        <v>0</v>
      </c>
      <c r="BJ723" t="b">
        <f>+ISNUMBER(SEARCH(#REF!,Tabla11[[#This Row],[Cuenta]],1))</f>
        <v>0</v>
      </c>
      <c r="BS723" t="str">
        <v>413524 Venta de productos textiles, de vestir, de cuero y calzado</v>
      </c>
      <c r="BT723" t="str">
        <v>413524 Venta de productos textiles, de vestir, de cuero y calzado</v>
      </c>
      <c r="BU723" t="str">
        <v>413524 Venta de productos textiles, de vestir, de cuero y calzado</v>
      </c>
      <c r="BV723" t="str">
        <v>413524 Venta de productos textiles, de vestir, de cuero y calzado</v>
      </c>
      <c r="BZ723" t="str">
        <v>413524 Venta de productos textiles, de vestir, de cuero y calzado</v>
      </c>
      <c r="CA723" t="str">
        <v>413524 Venta de productos textiles, de vestir, de cuero y calzado</v>
      </c>
      <c r="CB723" t="str">
        <v>413524 Venta de productos textiles, de vestir, de cuero y calzado</v>
      </c>
      <c r="CC723" t="str">
        <v>413524 Venta de productos textiles, de vestir, de cuero y calzado</v>
      </c>
      <c r="CD723" t="str">
        <v>413524 Venta de productos textiles, de vestir, de cuero y calzado</v>
      </c>
      <c r="CE723" t="str">
        <v>413524 Venta de productos textiles, de vestir, de cuero y calzado</v>
      </c>
      <c r="CS723" s="141" t="str">
        <v>413524 Venta de productos textiles, de vestir, de cuero y calzado</v>
      </c>
      <c r="CT723" s="141" t="str">
        <v>413524 Venta de productos textiles, de vestir, de cuero y calzado</v>
      </c>
      <c r="CU723" s="141" t="str">
        <v>413524 Venta de productos textiles, de vestir, de cuero y calzado</v>
      </c>
      <c r="CV723" s="141" t="str">
        <v>413524 Venta de productos textiles, de vestir, de cuero y calzado</v>
      </c>
      <c r="CW723" s="141" t="str">
        <v>413524 Venta de productos textiles, de vestir, de cuero y calzado</v>
      </c>
      <c r="CX723" s="141" t="str">
        <v>413524 Venta de productos textiles, de vestir, de cuero y calzado</v>
      </c>
      <c r="CY723" s="141" t="str">
        <v>413524 Venta de productos textiles, de vestir, de cuero y calzado</v>
      </c>
      <c r="CZ723" s="141" t="str">
        <v>413524 Venta de productos textiles, de vestir, de cuero y calzado</v>
      </c>
      <c r="DA723" s="141" t="str">
        <v>413524 Venta de productos textiles, de vestir, de cuero y calzado</v>
      </c>
      <c r="DF723" t="str">
        <v>413524 Venta de productos textiles, de vestir, de cuero y calzado</v>
      </c>
      <c r="DG723" t="str">
        <v>413524 Venta de productos textiles, de vestir, de cuero y calzado</v>
      </c>
      <c r="DH723" t="str">
        <v>413524 Venta de productos textiles, de vestir, de cuero y calzado</v>
      </c>
      <c r="DI723" t="str">
        <v>413524 Venta de productos textiles, de vestir, de cuero y calzado</v>
      </c>
      <c r="DJ723" t="str">
        <v>413524 Venta de productos textiles, de vestir, de cuero y calzado</v>
      </c>
      <c r="DK723" t="str">
        <v>413524 Venta de productos textiles, de vestir, de cuero y calzado</v>
      </c>
      <c r="DL723" t="str">
        <v>413524 Venta de productos textiles, de vestir, de cuero y calzado</v>
      </c>
      <c r="DM723" t="str">
        <v>413524 Venta de productos textiles, de vestir, de cuero y calzado</v>
      </c>
      <c r="DN723" t="str">
        <v>413524 Venta de productos textiles, de vestir, de cuero y calzado</v>
      </c>
      <c r="DO723" t="str">
        <v>413524 Venta de productos textiles, de vestir, de cuero y calzado</v>
      </c>
      <c r="DP723" t="str">
        <v>413524 Venta de productos textiles, de vestir, de cuero y calzado</v>
      </c>
    </row>
    <row r="724" spans="4:120" ht="12.75">
      <c r="D724" s="7">
        <v>413530</v>
      </c>
      <c r="E724" s="6" t="s">
        <v>1130</v>
      </c>
      <c r="F724" s="5">
        <v>4</v>
      </c>
      <c r="G724" s="34" t="s">
        <v>829</v>
      </c>
      <c r="H724" s="8" t="s">
        <v>765</v>
      </c>
      <c r="I724" t="b">
        <f>+ISNUMBER(SEARCH('F-COMPRA'!$F$28,Tabla11[[#This Row],[Cuenta]],1))</f>
        <v>1</v>
      </c>
      <c r="J724" t="b">
        <f>+ISNUMBER(SEARCH('F-COMPRA'!$F$29,Tabla11[[#This Row],[Cuenta]],1))</f>
        <v>1</v>
      </c>
      <c r="K724" t="b">
        <f>+ISNUMBER(SEARCH('F-COMPRA'!$F$30,Tabla11[[#This Row],[Cuenta]],1))</f>
        <v>1</v>
      </c>
      <c r="L724" t="b">
        <f>+ISNUMBER(SEARCH('F-COMPRA'!$F$31,Tabla11[[#This Row],[Cuenta]],1))</f>
        <v>1</v>
      </c>
      <c r="M724" t="b">
        <f>+ISNUMBER(SEARCH('F-COMPRA'!$G$25,Tabla11[[#This Row],[Cuenta]],1))</f>
        <v>0</v>
      </c>
      <c r="N724" t="b">
        <f>+ISNUMBER(SEARCH(#REF!,Tabla11[[#This Row],[Cuenta]],1))</f>
        <v>0</v>
      </c>
      <c r="O724" t="b">
        <f>+ISNUMBER(SEARCH(#REF!,Tabla11[[#This Row],[Cuenta]],1))</f>
        <v>0</v>
      </c>
      <c r="P724" t="b">
        <f>+ISNUMBER(SEARCH('F-COMPRA'!$F$32,Tabla11[[#This Row],[Cuenta]],1))</f>
        <v>1</v>
      </c>
      <c r="Q724" t="b">
        <f>+ISNUMBER(SEARCH('F-COMPRA'!$F$33,Tabla11[[#This Row],[Cuenta]],1))</f>
        <v>1</v>
      </c>
      <c r="R724" t="b">
        <f>+ISNUMBER(SEARCH('F-COMPRA'!$F$34,Tabla11[[#This Row],[Cuenta]],1))</f>
        <v>1</v>
      </c>
      <c r="S724" t="b">
        <f>+ISNUMBER(SEARCH('F-COMPRA'!$F$35,Tabla11[[#This Row],[Cuenta]],1))</f>
        <v>1</v>
      </c>
      <c r="T724" t="b">
        <f>+ISNUMBER(SEARCH('F-COMPRA'!$F$36,Tabla11[[#This Row],[Cuenta]],1))</f>
        <v>1</v>
      </c>
      <c r="U724" t="b">
        <f>+ISNUMBER(SEARCH('F-COMPRA'!$F$37,Tabla11[[#This Row],[Cuenta]],1))</f>
        <v>1</v>
      </c>
      <c r="V724" t="b">
        <f>+ISNUMBER(SEARCH(#REF!,Tabla11[[#This Row],[Cuenta]],1))</f>
        <v>0</v>
      </c>
      <c r="W724" t="b">
        <f>+ISNUMBER(SEARCH('F-COMPRA'!#REF!,Tabla11[[#This Row],[Cuenta]],1))</f>
        <v>0</v>
      </c>
      <c r="X724" t="b">
        <f>+ISNUMBER(SEARCH('F-COMPRA'!#REF!,Tabla11[[#This Row],[Cuenta]],1))</f>
        <v>0</v>
      </c>
      <c r="Y724" t="b">
        <f>+ISNUMBER(SEARCH('F-COMPRA'!#REF!,Tabla11[[#This Row],[Cuenta]],1))</f>
        <v>0</v>
      </c>
      <c r="Z724" t="b">
        <f>+ISNUMBER(SEARCH('F-COMPRA'!#REF!,Tabla11[[#This Row],[Cuenta]],1))</f>
        <v>0</v>
      </c>
      <c r="AA724" t="b">
        <f>+ISNUMBER(SEARCH('F-COMPRA'!#REF!,Tabla11[[#This Row],[Cuenta]],1))</f>
        <v>0</v>
      </c>
      <c r="AB724" t="b">
        <f>+ISNUMBER(SEARCH('F-COMPRA'!#REF!,Tabla11[[#This Row],[Cuenta]],1))</f>
        <v>0</v>
      </c>
      <c r="AC724" t="b">
        <f>+ISNUMBER(SEARCH('F-COMPRA'!#REF!,Tabla11[[#This Row],[Cuenta]],1))</f>
        <v>0</v>
      </c>
      <c r="AD724" t="b">
        <f>+ISNUMBER(SEARCH('F-COMPRA'!#REF!,Tabla11[[#This Row],[Cuenta]],1))</f>
        <v>0</v>
      </c>
      <c r="AE724" t="b">
        <f>+ISNUMBER(SEARCH('F-COMPRA'!#REF!,Tabla11[[#This Row],[Cuenta]],1))</f>
        <v>0</v>
      </c>
      <c r="AF724" t="b">
        <f>+ISNUMBER(SEARCH('F-VTA'!$G$23,Tabla11[[#This Row],[Cuenta]],1))</f>
        <v>0</v>
      </c>
      <c r="AG724" t="b">
        <f>+ISNUMBER(SEARCH('F-VTA'!$G$24,Tabla11[[#This Row],[Cuenta]],1))</f>
        <v>0</v>
      </c>
      <c r="AH724" t="b">
        <f>+ISNUMBER(SEARCH('F-VTA'!$G$25,Tabla11[[#This Row],[Cuenta]],1))</f>
        <v>0</v>
      </c>
      <c r="AI724" t="b">
        <f>+ISNUMBER(SEARCH('F-VTA'!$F$28,Tabla11[[#This Row],[Cuenta]],1))</f>
        <v>1</v>
      </c>
      <c r="AJ724" t="b">
        <f>+ISNUMBER(SEARCH('F-VTA'!$F$29,Tabla11[[#This Row],[Cuenta]],1))</f>
        <v>1</v>
      </c>
      <c r="AK724" t="b">
        <f>+ISNUMBER(SEARCH('F-VTA'!$F$30,Tabla11[[#This Row],[Cuenta]],1))</f>
        <v>1</v>
      </c>
      <c r="AL724" t="b">
        <f>+ISNUMBER(SEARCH('F-VTA'!$F$31,Tabla11[[#This Row],[Cuenta]],1))</f>
        <v>1</v>
      </c>
      <c r="AM724" t="b">
        <f>+ISNUMBER(SEARCH('F-VTA'!$F$32,Tabla11[[#This Row],[Cuenta]],1))</f>
        <v>1</v>
      </c>
      <c r="AN724" t="b">
        <f>+ISNUMBER(SEARCH('F-VTA'!$F$33,Tabla11[[#This Row],[Cuenta]],1))</f>
        <v>1</v>
      </c>
      <c r="AO724" t="b">
        <f>+ISNUMBER(SEARCH('F-VTA'!$F$34,Tabla11[[#This Row],[Cuenta]],1))</f>
        <v>1</v>
      </c>
      <c r="AP724" t="b">
        <f>+ISNUMBER(SEARCH('F-VTA'!$F$35,Tabla11[[#This Row],[Cuenta]],1))</f>
        <v>1</v>
      </c>
      <c r="AQ724" t="b">
        <f>+ISNUMBER(SEARCH('F-VTA'!$F$36,Tabla11[[#This Row],[Cuenta]],1))</f>
        <v>1</v>
      </c>
      <c r="AR724" t="b">
        <f>+ISNUMBER(SEARCH(#REF!,Tabla11[[#This Row],[Cuenta]],1))</f>
        <v>0</v>
      </c>
      <c r="AS724" t="b">
        <f>+ISNUMBER(SEARCH(#REF!,Tabla11[[#This Row],[Cuenta]],1))</f>
        <v>0</v>
      </c>
      <c r="AT724" t="b">
        <f>+ISNUMBER(SEARCH(#REF!,Tabla11[[#This Row],[Cuenta]],1))</f>
        <v>0</v>
      </c>
      <c r="AU724" t="b">
        <f>+ISNUMBER(SEARCH('Conc. Ban.1'!$I$9,Tabla11[[#This Row],[Cuenta]],1))</f>
        <v>0</v>
      </c>
      <c r="AV724" t="b">
        <f>+ISNUMBER(SEARCH(CompConta!$F$21,Tabla11[[#This Row],[Cuenta]],1))</f>
        <v>1</v>
      </c>
      <c r="AW724" t="b">
        <f>+ISNUMBER(SEARCH(CompConta!$F$22,Tabla11[[#This Row],[Cuenta]],1))</f>
        <v>1</v>
      </c>
      <c r="AX724" t="b">
        <f>+ISNUMBER(SEARCH(CompConta!$F$23,Tabla11[[#This Row],[Cuenta]],1))</f>
        <v>1</v>
      </c>
      <c r="AY724" t="b">
        <f>+ISNUMBER(SEARCH(CompConta!$F$24,Tabla11[[#This Row],[Cuenta]],1))</f>
        <v>1</v>
      </c>
      <c r="AZ724" t="b">
        <f>+ISNUMBER(SEARCH(CompConta!$F$25,Tabla11[[#This Row],[Cuenta]],1))</f>
        <v>1</v>
      </c>
      <c r="BA724" t="b">
        <f>+ISNUMBER(SEARCH(CompConta!$F$26,Tabla11[[#This Row],[Cuenta]],1))</f>
        <v>1</v>
      </c>
      <c r="BB724" t="b">
        <f>+ISNUMBER(SEARCH(CompConta!$F$27,Tabla11[[#This Row],[Cuenta]],1))</f>
        <v>1</v>
      </c>
      <c r="BC724" t="b">
        <f>+ISNUMBER(SEARCH(CompConta!$F$28,Tabla11[[#This Row],[Cuenta]],1))</f>
        <v>1</v>
      </c>
      <c r="BD724" t="b">
        <f>+ISNUMBER(SEARCH(CompConta!$F$29,Tabla11[[#This Row],[Cuenta]],1))</f>
        <v>1</v>
      </c>
      <c r="BE724" t="b">
        <f>+ISNUMBER(SEARCH(CompConta!$F$30,Tabla11[[#This Row],[Cuenta]],1))</f>
        <v>1</v>
      </c>
      <c r="BF724" t="b">
        <f>+ISNUMBER(SEARCH('PAGO Compras'!$E$11,Tabla11[[#This Row],[Cuenta]],1))</f>
        <v>1</v>
      </c>
      <c r="BG724" t="b">
        <f>+ISNUMBER(SEARCH(#REF!,Tabla11[[#This Row],[Cuenta]],1))</f>
        <v>0</v>
      </c>
      <c r="BH724" t="b">
        <f>+ISNUMBER(SEARCH(#REF!,Tabla11[[#This Row],[Cuenta]],1))</f>
        <v>0</v>
      </c>
      <c r="BI724" t="b">
        <f>+ISNUMBER(SEARCH(#REF!,Tabla11[[#This Row],[Cuenta]],1))</f>
        <v>0</v>
      </c>
      <c r="BJ724" t="b">
        <f>+ISNUMBER(SEARCH(#REF!,Tabla11[[#This Row],[Cuenta]],1))</f>
        <v>0</v>
      </c>
      <c r="BS724" t="str">
        <v>413530 Venta de juegos, juguetes y artículos deportivos</v>
      </c>
      <c r="BT724" t="str">
        <v>413530 Venta de juegos, juguetes y artículos deportivos</v>
      </c>
      <c r="BU724" t="str">
        <v>413530 Venta de juegos, juguetes y artículos deportivos</v>
      </c>
      <c r="BV724" t="str">
        <v>413530 Venta de juegos, juguetes y artículos deportivos</v>
      </c>
      <c r="BZ724" t="str">
        <v>413530 Venta de juegos, juguetes y artículos deportivos</v>
      </c>
      <c r="CA724" t="str">
        <v>413530 Venta de juegos, juguetes y artículos deportivos</v>
      </c>
      <c r="CB724" t="str">
        <v>413530 Venta de juegos, juguetes y artículos deportivos</v>
      </c>
      <c r="CC724" t="str">
        <v>413530 Venta de juegos, juguetes y artículos deportivos</v>
      </c>
      <c r="CD724" t="str">
        <v>413530 Venta de juegos, juguetes y artículos deportivos</v>
      </c>
      <c r="CE724" t="str">
        <v>413530 Venta de juegos, juguetes y artículos deportivos</v>
      </c>
      <c r="CS724" s="141" t="str">
        <v>413530 Venta de juegos, juguetes y artículos deportivos</v>
      </c>
      <c r="CT724" s="141" t="str">
        <v>413530 Venta de juegos, juguetes y artículos deportivos</v>
      </c>
      <c r="CU724" s="141" t="str">
        <v>413530 Venta de juegos, juguetes y artículos deportivos</v>
      </c>
      <c r="CV724" s="141" t="str">
        <v>413530 Venta de juegos, juguetes y artículos deportivos</v>
      </c>
      <c r="CW724" s="141" t="str">
        <v>413530 Venta de juegos, juguetes y artículos deportivos</v>
      </c>
      <c r="CX724" s="141" t="str">
        <v>413530 Venta de juegos, juguetes y artículos deportivos</v>
      </c>
      <c r="CY724" s="141" t="str">
        <v>413530 Venta de juegos, juguetes y artículos deportivos</v>
      </c>
      <c r="CZ724" s="141" t="str">
        <v>413530 Venta de juegos, juguetes y artículos deportivos</v>
      </c>
      <c r="DA724" s="141" t="str">
        <v>413530 Venta de juegos, juguetes y artículos deportivos</v>
      </c>
      <c r="DF724" t="str">
        <v>413530 Venta de juegos, juguetes y artículos deportivos</v>
      </c>
      <c r="DG724" t="str">
        <v>413530 Venta de juegos, juguetes y artículos deportivos</v>
      </c>
      <c r="DH724" t="str">
        <v>413530 Venta de juegos, juguetes y artículos deportivos</v>
      </c>
      <c r="DI724" t="str">
        <v>413530 Venta de juegos, juguetes y artículos deportivos</v>
      </c>
      <c r="DJ724" t="str">
        <v>413530 Venta de juegos, juguetes y artículos deportivos</v>
      </c>
      <c r="DK724" t="str">
        <v>413530 Venta de juegos, juguetes y artículos deportivos</v>
      </c>
      <c r="DL724" t="str">
        <v>413530 Venta de juegos, juguetes y artículos deportivos</v>
      </c>
      <c r="DM724" t="str">
        <v>413530 Venta de juegos, juguetes y artículos deportivos</v>
      </c>
      <c r="DN724" t="str">
        <v>413530 Venta de juegos, juguetes y artículos deportivos</v>
      </c>
      <c r="DO724" t="str">
        <v>413530 Venta de juegos, juguetes y artículos deportivos</v>
      </c>
      <c r="DP724" t="str">
        <v>413530 Venta de juegos, juguetes y artículos deportivos</v>
      </c>
    </row>
    <row r="725" spans="4:120" ht="12.75">
      <c r="D725" s="7">
        <v>413548</v>
      </c>
      <c r="E725" s="6" t="s">
        <v>1131</v>
      </c>
      <c r="F725" s="5">
        <v>4</v>
      </c>
      <c r="G725" s="34" t="s">
        <v>829</v>
      </c>
      <c r="H725" s="8" t="s">
        <v>765</v>
      </c>
      <c r="I725" t="b">
        <f>+ISNUMBER(SEARCH('F-COMPRA'!$F$28,Tabla11[[#This Row],[Cuenta]],1))</f>
        <v>1</v>
      </c>
      <c r="J725" t="b">
        <f>+ISNUMBER(SEARCH('F-COMPRA'!$F$29,Tabla11[[#This Row],[Cuenta]],1))</f>
        <v>1</v>
      </c>
      <c r="K725" t="b">
        <f>+ISNUMBER(SEARCH('F-COMPRA'!$F$30,Tabla11[[#This Row],[Cuenta]],1))</f>
        <v>1</v>
      </c>
      <c r="L725" t="b">
        <f>+ISNUMBER(SEARCH('F-COMPRA'!$F$31,Tabla11[[#This Row],[Cuenta]],1))</f>
        <v>1</v>
      </c>
      <c r="M725" t="b">
        <f>+ISNUMBER(SEARCH('F-COMPRA'!$G$25,Tabla11[[#This Row],[Cuenta]],1))</f>
        <v>0</v>
      </c>
      <c r="N725" t="b">
        <f>+ISNUMBER(SEARCH(#REF!,Tabla11[[#This Row],[Cuenta]],1))</f>
        <v>0</v>
      </c>
      <c r="O725" t="b">
        <f>+ISNUMBER(SEARCH(#REF!,Tabla11[[#This Row],[Cuenta]],1))</f>
        <v>0</v>
      </c>
      <c r="P725" t="b">
        <f>+ISNUMBER(SEARCH('F-COMPRA'!$F$32,Tabla11[[#This Row],[Cuenta]],1))</f>
        <v>1</v>
      </c>
      <c r="Q725" t="b">
        <f>+ISNUMBER(SEARCH('F-COMPRA'!$F$33,Tabla11[[#This Row],[Cuenta]],1))</f>
        <v>1</v>
      </c>
      <c r="R725" t="b">
        <f>+ISNUMBER(SEARCH('F-COMPRA'!$F$34,Tabla11[[#This Row],[Cuenta]],1))</f>
        <v>1</v>
      </c>
      <c r="S725" t="b">
        <f>+ISNUMBER(SEARCH('F-COMPRA'!$F$35,Tabla11[[#This Row],[Cuenta]],1))</f>
        <v>1</v>
      </c>
      <c r="T725" t="b">
        <f>+ISNUMBER(SEARCH('F-COMPRA'!$F$36,Tabla11[[#This Row],[Cuenta]],1))</f>
        <v>1</v>
      </c>
      <c r="U725" t="b">
        <f>+ISNUMBER(SEARCH('F-COMPRA'!$F$37,Tabla11[[#This Row],[Cuenta]],1))</f>
        <v>1</v>
      </c>
      <c r="V725" t="b">
        <f>+ISNUMBER(SEARCH(#REF!,Tabla11[[#This Row],[Cuenta]],1))</f>
        <v>0</v>
      </c>
      <c r="W725" t="b">
        <f>+ISNUMBER(SEARCH('F-COMPRA'!#REF!,Tabla11[[#This Row],[Cuenta]],1))</f>
        <v>0</v>
      </c>
      <c r="X725" t="b">
        <f>+ISNUMBER(SEARCH('F-COMPRA'!#REF!,Tabla11[[#This Row],[Cuenta]],1))</f>
        <v>0</v>
      </c>
      <c r="Y725" t="b">
        <f>+ISNUMBER(SEARCH('F-COMPRA'!#REF!,Tabla11[[#This Row],[Cuenta]],1))</f>
        <v>0</v>
      </c>
      <c r="Z725" t="b">
        <f>+ISNUMBER(SEARCH('F-COMPRA'!#REF!,Tabla11[[#This Row],[Cuenta]],1))</f>
        <v>0</v>
      </c>
      <c r="AA725" t="b">
        <f>+ISNUMBER(SEARCH('F-COMPRA'!#REF!,Tabla11[[#This Row],[Cuenta]],1))</f>
        <v>0</v>
      </c>
      <c r="AB725" t="b">
        <f>+ISNUMBER(SEARCH('F-COMPRA'!#REF!,Tabla11[[#This Row],[Cuenta]],1))</f>
        <v>0</v>
      </c>
      <c r="AC725" t="b">
        <f>+ISNUMBER(SEARCH('F-COMPRA'!#REF!,Tabla11[[#This Row],[Cuenta]],1))</f>
        <v>0</v>
      </c>
      <c r="AD725" t="b">
        <f>+ISNUMBER(SEARCH('F-COMPRA'!#REF!,Tabla11[[#This Row],[Cuenta]],1))</f>
        <v>0</v>
      </c>
      <c r="AE725" t="b">
        <f>+ISNUMBER(SEARCH('F-COMPRA'!#REF!,Tabla11[[#This Row],[Cuenta]],1))</f>
        <v>0</v>
      </c>
      <c r="AF725" t="b">
        <f>+ISNUMBER(SEARCH('F-VTA'!$G$23,Tabla11[[#This Row],[Cuenta]],1))</f>
        <v>0</v>
      </c>
      <c r="AG725" t="b">
        <f>+ISNUMBER(SEARCH('F-VTA'!$G$24,Tabla11[[#This Row],[Cuenta]],1))</f>
        <v>0</v>
      </c>
      <c r="AH725" t="b">
        <f>+ISNUMBER(SEARCH('F-VTA'!$G$25,Tabla11[[#This Row],[Cuenta]],1))</f>
        <v>0</v>
      </c>
      <c r="AI725" t="b">
        <f>+ISNUMBER(SEARCH('F-VTA'!$F$28,Tabla11[[#This Row],[Cuenta]],1))</f>
        <v>1</v>
      </c>
      <c r="AJ725" t="b">
        <f>+ISNUMBER(SEARCH('F-VTA'!$F$29,Tabla11[[#This Row],[Cuenta]],1))</f>
        <v>1</v>
      </c>
      <c r="AK725" t="b">
        <f>+ISNUMBER(SEARCH('F-VTA'!$F$30,Tabla11[[#This Row],[Cuenta]],1))</f>
        <v>1</v>
      </c>
      <c r="AL725" t="b">
        <f>+ISNUMBER(SEARCH('F-VTA'!$F$31,Tabla11[[#This Row],[Cuenta]],1))</f>
        <v>1</v>
      </c>
      <c r="AM725" t="b">
        <f>+ISNUMBER(SEARCH('F-VTA'!$F$32,Tabla11[[#This Row],[Cuenta]],1))</f>
        <v>1</v>
      </c>
      <c r="AN725" t="b">
        <f>+ISNUMBER(SEARCH('F-VTA'!$F$33,Tabla11[[#This Row],[Cuenta]],1))</f>
        <v>1</v>
      </c>
      <c r="AO725" t="b">
        <f>+ISNUMBER(SEARCH('F-VTA'!$F$34,Tabla11[[#This Row],[Cuenta]],1))</f>
        <v>1</v>
      </c>
      <c r="AP725" t="b">
        <f>+ISNUMBER(SEARCH('F-VTA'!$F$35,Tabla11[[#This Row],[Cuenta]],1))</f>
        <v>1</v>
      </c>
      <c r="AQ725" t="b">
        <f>+ISNUMBER(SEARCH('F-VTA'!$F$36,Tabla11[[#This Row],[Cuenta]],1))</f>
        <v>1</v>
      </c>
      <c r="AR725" t="b">
        <f>+ISNUMBER(SEARCH(#REF!,Tabla11[[#This Row],[Cuenta]],1))</f>
        <v>0</v>
      </c>
      <c r="AS725" t="b">
        <f>+ISNUMBER(SEARCH(#REF!,Tabla11[[#This Row],[Cuenta]],1))</f>
        <v>0</v>
      </c>
      <c r="AT725" t="b">
        <f>+ISNUMBER(SEARCH(#REF!,Tabla11[[#This Row],[Cuenta]],1))</f>
        <v>0</v>
      </c>
      <c r="AU725" t="b">
        <f>+ISNUMBER(SEARCH('Conc. Ban.1'!$I$9,Tabla11[[#This Row],[Cuenta]],1))</f>
        <v>0</v>
      </c>
      <c r="AV725" t="b">
        <f>+ISNUMBER(SEARCH(CompConta!$F$21,Tabla11[[#This Row],[Cuenta]],1))</f>
        <v>1</v>
      </c>
      <c r="AW725" t="b">
        <f>+ISNUMBER(SEARCH(CompConta!$F$22,Tabla11[[#This Row],[Cuenta]],1))</f>
        <v>1</v>
      </c>
      <c r="AX725" t="b">
        <f>+ISNUMBER(SEARCH(CompConta!$F$23,Tabla11[[#This Row],[Cuenta]],1))</f>
        <v>1</v>
      </c>
      <c r="AY725" t="b">
        <f>+ISNUMBER(SEARCH(CompConta!$F$24,Tabla11[[#This Row],[Cuenta]],1))</f>
        <v>1</v>
      </c>
      <c r="AZ725" t="b">
        <f>+ISNUMBER(SEARCH(CompConta!$F$25,Tabla11[[#This Row],[Cuenta]],1))</f>
        <v>1</v>
      </c>
      <c r="BA725" t="b">
        <f>+ISNUMBER(SEARCH(CompConta!$F$26,Tabla11[[#This Row],[Cuenta]],1))</f>
        <v>1</v>
      </c>
      <c r="BB725" t="b">
        <f>+ISNUMBER(SEARCH(CompConta!$F$27,Tabla11[[#This Row],[Cuenta]],1))</f>
        <v>1</v>
      </c>
      <c r="BC725" t="b">
        <f>+ISNUMBER(SEARCH(CompConta!$F$28,Tabla11[[#This Row],[Cuenta]],1))</f>
        <v>1</v>
      </c>
      <c r="BD725" t="b">
        <f>+ISNUMBER(SEARCH(CompConta!$F$29,Tabla11[[#This Row],[Cuenta]],1))</f>
        <v>1</v>
      </c>
      <c r="BE725" t="b">
        <f>+ISNUMBER(SEARCH(CompConta!$F$30,Tabla11[[#This Row],[Cuenta]],1))</f>
        <v>1</v>
      </c>
      <c r="BF725" t="b">
        <f>+ISNUMBER(SEARCH('PAGO Compras'!$E$11,Tabla11[[#This Row],[Cuenta]],1))</f>
        <v>1</v>
      </c>
      <c r="BG725" t="b">
        <f>+ISNUMBER(SEARCH(#REF!,Tabla11[[#This Row],[Cuenta]],1))</f>
        <v>0</v>
      </c>
      <c r="BH725" t="b">
        <f>+ISNUMBER(SEARCH(#REF!,Tabla11[[#This Row],[Cuenta]],1))</f>
        <v>0</v>
      </c>
      <c r="BI725" t="b">
        <f>+ISNUMBER(SEARCH(#REF!,Tabla11[[#This Row],[Cuenta]],1))</f>
        <v>0</v>
      </c>
      <c r="BJ725" t="b">
        <f>+ISNUMBER(SEARCH(#REF!,Tabla11[[#This Row],[Cuenta]],1))</f>
        <v>0</v>
      </c>
      <c r="BS725" t="str">
        <v>413548 Venta de herramientas y artículos de ferretería</v>
      </c>
      <c r="BT725" t="str">
        <v>413548 Venta de herramientas y artículos de ferretería</v>
      </c>
      <c r="BU725" t="str">
        <v>413548 Venta de herramientas y artículos de ferretería</v>
      </c>
      <c r="BV725" t="str">
        <v>413548 Venta de herramientas y artículos de ferretería</v>
      </c>
      <c r="BZ725" t="str">
        <v>413548 Venta de herramientas y artículos de ferretería</v>
      </c>
      <c r="CA725" t="str">
        <v>413548 Venta de herramientas y artículos de ferretería</v>
      </c>
      <c r="CB725" t="str">
        <v>413548 Venta de herramientas y artículos de ferretería</v>
      </c>
      <c r="CC725" t="str">
        <v>413548 Venta de herramientas y artículos de ferretería</v>
      </c>
      <c r="CD725" t="str">
        <v>413548 Venta de herramientas y artículos de ferretería</v>
      </c>
      <c r="CE725" t="str">
        <v>413548 Venta de herramientas y artículos de ferretería</v>
      </c>
      <c r="CS725" s="141" t="str">
        <v>413548 Venta de herramientas y artículos de ferretería</v>
      </c>
      <c r="CT725" s="141" t="str">
        <v>413548 Venta de herramientas y artículos de ferretería</v>
      </c>
      <c r="CU725" s="141" t="str">
        <v>413548 Venta de herramientas y artículos de ferretería</v>
      </c>
      <c r="CV725" s="141" t="str">
        <v>413548 Venta de herramientas y artículos de ferretería</v>
      </c>
      <c r="CW725" s="141" t="str">
        <v>413548 Venta de herramientas y artículos de ferretería</v>
      </c>
      <c r="CX725" s="141" t="str">
        <v>413548 Venta de herramientas y artículos de ferretería</v>
      </c>
      <c r="CY725" s="141" t="str">
        <v>413548 Venta de herramientas y artículos de ferretería</v>
      </c>
      <c r="CZ725" s="141" t="str">
        <v>413548 Venta de herramientas y artículos de ferretería</v>
      </c>
      <c r="DA725" s="141" t="str">
        <v>413548 Venta de herramientas y artículos de ferretería</v>
      </c>
      <c r="DF725" t="str">
        <v>413548 Venta de herramientas y artículos de ferretería</v>
      </c>
      <c r="DG725" t="str">
        <v>413548 Venta de herramientas y artículos de ferretería</v>
      </c>
      <c r="DH725" t="str">
        <v>413548 Venta de herramientas y artículos de ferretería</v>
      </c>
      <c r="DI725" t="str">
        <v>413548 Venta de herramientas y artículos de ferretería</v>
      </c>
      <c r="DJ725" t="str">
        <v>413548 Venta de herramientas y artículos de ferretería</v>
      </c>
      <c r="DK725" t="str">
        <v>413548 Venta de herramientas y artículos de ferretería</v>
      </c>
      <c r="DL725" t="str">
        <v>413548 Venta de herramientas y artículos de ferretería</v>
      </c>
      <c r="DM725" t="str">
        <v>413548 Venta de herramientas y artículos de ferretería</v>
      </c>
      <c r="DN725" t="str">
        <v>413548 Venta de herramientas y artículos de ferretería</v>
      </c>
      <c r="DO725" t="str">
        <v>413548 Venta de herramientas y artículos de ferretería</v>
      </c>
      <c r="DP725" t="str">
        <v>413548 Venta de herramientas y artículos de ferretería</v>
      </c>
    </row>
    <row r="726" spans="4:120" ht="12.75">
      <c r="D726" s="7">
        <v>413550</v>
      </c>
      <c r="E726" s="6" t="s">
        <v>1132</v>
      </c>
      <c r="F726" s="5">
        <v>4</v>
      </c>
      <c r="G726" s="34" t="s">
        <v>829</v>
      </c>
      <c r="H726" s="8" t="s">
        <v>765</v>
      </c>
      <c r="I726" t="b">
        <f>+ISNUMBER(SEARCH('F-COMPRA'!$F$28,Tabla11[[#This Row],[Cuenta]],1))</f>
        <v>1</v>
      </c>
      <c r="J726" t="b">
        <f>+ISNUMBER(SEARCH('F-COMPRA'!$F$29,Tabla11[[#This Row],[Cuenta]],1))</f>
        <v>1</v>
      </c>
      <c r="K726" t="b">
        <f>+ISNUMBER(SEARCH('F-COMPRA'!$F$30,Tabla11[[#This Row],[Cuenta]],1))</f>
        <v>1</v>
      </c>
      <c r="L726" t="b">
        <f>+ISNUMBER(SEARCH('F-COMPRA'!$F$31,Tabla11[[#This Row],[Cuenta]],1))</f>
        <v>1</v>
      </c>
      <c r="M726" t="b">
        <f>+ISNUMBER(SEARCH('F-COMPRA'!$G$25,Tabla11[[#This Row],[Cuenta]],1))</f>
        <v>0</v>
      </c>
      <c r="N726" t="b">
        <f>+ISNUMBER(SEARCH(#REF!,Tabla11[[#This Row],[Cuenta]],1))</f>
        <v>0</v>
      </c>
      <c r="O726" t="b">
        <f>+ISNUMBER(SEARCH(#REF!,Tabla11[[#This Row],[Cuenta]],1))</f>
        <v>0</v>
      </c>
      <c r="P726" t="b">
        <f>+ISNUMBER(SEARCH('F-COMPRA'!$F$32,Tabla11[[#This Row],[Cuenta]],1))</f>
        <v>1</v>
      </c>
      <c r="Q726" t="b">
        <f>+ISNUMBER(SEARCH('F-COMPRA'!$F$33,Tabla11[[#This Row],[Cuenta]],1))</f>
        <v>1</v>
      </c>
      <c r="R726" t="b">
        <f>+ISNUMBER(SEARCH('F-COMPRA'!$F$34,Tabla11[[#This Row],[Cuenta]],1))</f>
        <v>1</v>
      </c>
      <c r="S726" t="b">
        <f>+ISNUMBER(SEARCH('F-COMPRA'!$F$35,Tabla11[[#This Row],[Cuenta]],1))</f>
        <v>1</v>
      </c>
      <c r="T726" t="b">
        <f>+ISNUMBER(SEARCH('F-COMPRA'!$F$36,Tabla11[[#This Row],[Cuenta]],1))</f>
        <v>1</v>
      </c>
      <c r="U726" t="b">
        <f>+ISNUMBER(SEARCH('F-COMPRA'!$F$37,Tabla11[[#This Row],[Cuenta]],1))</f>
        <v>1</v>
      </c>
      <c r="V726" t="b">
        <f>+ISNUMBER(SEARCH(#REF!,Tabla11[[#This Row],[Cuenta]],1))</f>
        <v>0</v>
      </c>
      <c r="W726" t="b">
        <f>+ISNUMBER(SEARCH('F-COMPRA'!#REF!,Tabla11[[#This Row],[Cuenta]],1))</f>
        <v>0</v>
      </c>
      <c r="X726" t="b">
        <f>+ISNUMBER(SEARCH('F-COMPRA'!#REF!,Tabla11[[#This Row],[Cuenta]],1))</f>
        <v>0</v>
      </c>
      <c r="Y726" t="b">
        <f>+ISNUMBER(SEARCH('F-COMPRA'!#REF!,Tabla11[[#This Row],[Cuenta]],1))</f>
        <v>0</v>
      </c>
      <c r="Z726" t="b">
        <f>+ISNUMBER(SEARCH('F-COMPRA'!#REF!,Tabla11[[#This Row],[Cuenta]],1))</f>
        <v>0</v>
      </c>
      <c r="AA726" t="b">
        <f>+ISNUMBER(SEARCH('F-COMPRA'!#REF!,Tabla11[[#This Row],[Cuenta]],1))</f>
        <v>0</v>
      </c>
      <c r="AB726" t="b">
        <f>+ISNUMBER(SEARCH('F-COMPRA'!#REF!,Tabla11[[#This Row],[Cuenta]],1))</f>
        <v>0</v>
      </c>
      <c r="AC726" t="b">
        <f>+ISNUMBER(SEARCH('F-COMPRA'!#REF!,Tabla11[[#This Row],[Cuenta]],1))</f>
        <v>0</v>
      </c>
      <c r="AD726" t="b">
        <f>+ISNUMBER(SEARCH('F-COMPRA'!#REF!,Tabla11[[#This Row],[Cuenta]],1))</f>
        <v>0</v>
      </c>
      <c r="AE726" t="b">
        <f>+ISNUMBER(SEARCH('F-COMPRA'!#REF!,Tabla11[[#This Row],[Cuenta]],1))</f>
        <v>0</v>
      </c>
      <c r="AF726" t="b">
        <f>+ISNUMBER(SEARCH('F-VTA'!$G$23,Tabla11[[#This Row],[Cuenta]],1))</f>
        <v>0</v>
      </c>
      <c r="AG726" t="b">
        <f>+ISNUMBER(SEARCH('F-VTA'!$G$24,Tabla11[[#This Row],[Cuenta]],1))</f>
        <v>0</v>
      </c>
      <c r="AH726" t="b">
        <f>+ISNUMBER(SEARCH('F-VTA'!$G$25,Tabla11[[#This Row],[Cuenta]],1))</f>
        <v>0</v>
      </c>
      <c r="AI726" t="b">
        <f>+ISNUMBER(SEARCH('F-VTA'!$F$28,Tabla11[[#This Row],[Cuenta]],1))</f>
        <v>1</v>
      </c>
      <c r="AJ726" t="b">
        <f>+ISNUMBER(SEARCH('F-VTA'!$F$29,Tabla11[[#This Row],[Cuenta]],1))</f>
        <v>1</v>
      </c>
      <c r="AK726" t="b">
        <f>+ISNUMBER(SEARCH('F-VTA'!$F$30,Tabla11[[#This Row],[Cuenta]],1))</f>
        <v>1</v>
      </c>
      <c r="AL726" t="b">
        <f>+ISNUMBER(SEARCH('F-VTA'!$F$31,Tabla11[[#This Row],[Cuenta]],1))</f>
        <v>1</v>
      </c>
      <c r="AM726" t="b">
        <f>+ISNUMBER(SEARCH('F-VTA'!$F$32,Tabla11[[#This Row],[Cuenta]],1))</f>
        <v>1</v>
      </c>
      <c r="AN726" t="b">
        <f>+ISNUMBER(SEARCH('F-VTA'!$F$33,Tabla11[[#This Row],[Cuenta]],1))</f>
        <v>1</v>
      </c>
      <c r="AO726" t="b">
        <f>+ISNUMBER(SEARCH('F-VTA'!$F$34,Tabla11[[#This Row],[Cuenta]],1))</f>
        <v>1</v>
      </c>
      <c r="AP726" t="b">
        <f>+ISNUMBER(SEARCH('F-VTA'!$F$35,Tabla11[[#This Row],[Cuenta]],1))</f>
        <v>1</v>
      </c>
      <c r="AQ726" t="b">
        <f>+ISNUMBER(SEARCH('F-VTA'!$F$36,Tabla11[[#This Row],[Cuenta]],1))</f>
        <v>1</v>
      </c>
      <c r="AR726" t="b">
        <f>+ISNUMBER(SEARCH(#REF!,Tabla11[[#This Row],[Cuenta]],1))</f>
        <v>0</v>
      </c>
      <c r="AS726" t="b">
        <f>+ISNUMBER(SEARCH(#REF!,Tabla11[[#This Row],[Cuenta]],1))</f>
        <v>0</v>
      </c>
      <c r="AT726" t="b">
        <f>+ISNUMBER(SEARCH(#REF!,Tabla11[[#This Row],[Cuenta]],1))</f>
        <v>0</v>
      </c>
      <c r="AU726" t="b">
        <f>+ISNUMBER(SEARCH('Conc. Ban.1'!$I$9,Tabla11[[#This Row],[Cuenta]],1))</f>
        <v>0</v>
      </c>
      <c r="AV726" t="b">
        <f>+ISNUMBER(SEARCH(CompConta!$F$21,Tabla11[[#This Row],[Cuenta]],1))</f>
        <v>1</v>
      </c>
      <c r="AW726" t="b">
        <f>+ISNUMBER(SEARCH(CompConta!$F$22,Tabla11[[#This Row],[Cuenta]],1))</f>
        <v>1</v>
      </c>
      <c r="AX726" t="b">
        <f>+ISNUMBER(SEARCH(CompConta!$F$23,Tabla11[[#This Row],[Cuenta]],1))</f>
        <v>1</v>
      </c>
      <c r="AY726" t="b">
        <f>+ISNUMBER(SEARCH(CompConta!$F$24,Tabla11[[#This Row],[Cuenta]],1))</f>
        <v>1</v>
      </c>
      <c r="AZ726" t="b">
        <f>+ISNUMBER(SEARCH(CompConta!$F$25,Tabla11[[#This Row],[Cuenta]],1))</f>
        <v>1</v>
      </c>
      <c r="BA726" t="b">
        <f>+ISNUMBER(SEARCH(CompConta!$F$26,Tabla11[[#This Row],[Cuenta]],1))</f>
        <v>1</v>
      </c>
      <c r="BB726" t="b">
        <f>+ISNUMBER(SEARCH(CompConta!$F$27,Tabla11[[#This Row],[Cuenta]],1))</f>
        <v>1</v>
      </c>
      <c r="BC726" t="b">
        <f>+ISNUMBER(SEARCH(CompConta!$F$28,Tabla11[[#This Row],[Cuenta]],1))</f>
        <v>1</v>
      </c>
      <c r="BD726" t="b">
        <f>+ISNUMBER(SEARCH(CompConta!$F$29,Tabla11[[#This Row],[Cuenta]],1))</f>
        <v>1</v>
      </c>
      <c r="BE726" t="b">
        <f>+ISNUMBER(SEARCH(CompConta!$F$30,Tabla11[[#This Row],[Cuenta]],1))</f>
        <v>1</v>
      </c>
      <c r="BF726" t="b">
        <f>+ISNUMBER(SEARCH('PAGO Compras'!$E$11,Tabla11[[#This Row],[Cuenta]],1))</f>
        <v>1</v>
      </c>
      <c r="BG726" t="b">
        <f>+ISNUMBER(SEARCH(#REF!,Tabla11[[#This Row],[Cuenta]],1))</f>
        <v>0</v>
      </c>
      <c r="BH726" t="b">
        <f>+ISNUMBER(SEARCH(#REF!,Tabla11[[#This Row],[Cuenta]],1))</f>
        <v>0</v>
      </c>
      <c r="BI726" t="b">
        <f>+ISNUMBER(SEARCH(#REF!,Tabla11[[#This Row],[Cuenta]],1))</f>
        <v>0</v>
      </c>
      <c r="BJ726" t="b">
        <f>+ISNUMBER(SEARCH(#REF!,Tabla11[[#This Row],[Cuenta]],1))</f>
        <v>0</v>
      </c>
      <c r="BS726" t="str">
        <v>413550 Venta de químicos</v>
      </c>
      <c r="BT726" t="str">
        <v>413550 Venta de químicos</v>
      </c>
      <c r="BU726" t="str">
        <v>413550 Venta de químicos</v>
      </c>
      <c r="BV726" t="str">
        <v>413550 Venta de químicos</v>
      </c>
      <c r="BZ726" t="str">
        <v>413550 Venta de químicos</v>
      </c>
      <c r="CA726" t="str">
        <v>413550 Venta de químicos</v>
      </c>
      <c r="CB726" t="str">
        <v>413550 Venta de químicos</v>
      </c>
      <c r="CC726" t="str">
        <v>413550 Venta de químicos</v>
      </c>
      <c r="CD726" t="str">
        <v>413550 Venta de químicos</v>
      </c>
      <c r="CE726" t="str">
        <v>413550 Venta de químicos</v>
      </c>
      <c r="CS726" s="141" t="str">
        <v>413550 Venta de químicos</v>
      </c>
      <c r="CT726" s="141" t="str">
        <v>413550 Venta de químicos</v>
      </c>
      <c r="CU726" s="141" t="str">
        <v>413550 Venta de químicos</v>
      </c>
      <c r="CV726" s="141" t="str">
        <v>413550 Venta de químicos</v>
      </c>
      <c r="CW726" s="141" t="str">
        <v>413550 Venta de químicos</v>
      </c>
      <c r="CX726" s="141" t="str">
        <v>413550 Venta de químicos</v>
      </c>
      <c r="CY726" s="141" t="str">
        <v>413550 Venta de químicos</v>
      </c>
      <c r="CZ726" s="141" t="str">
        <v>413550 Venta de químicos</v>
      </c>
      <c r="DA726" s="141" t="str">
        <v>413550 Venta de químicos</v>
      </c>
      <c r="DF726" t="str">
        <v>413550 Venta de químicos</v>
      </c>
      <c r="DG726" t="str">
        <v>413550 Venta de químicos</v>
      </c>
      <c r="DH726" t="str">
        <v>413550 Venta de químicos</v>
      </c>
      <c r="DI726" t="str">
        <v>413550 Venta de químicos</v>
      </c>
      <c r="DJ726" t="str">
        <v>413550 Venta de químicos</v>
      </c>
      <c r="DK726" t="str">
        <v>413550 Venta de químicos</v>
      </c>
      <c r="DL726" t="str">
        <v>413550 Venta de químicos</v>
      </c>
      <c r="DM726" t="str">
        <v>413550 Venta de químicos</v>
      </c>
      <c r="DN726" t="str">
        <v>413550 Venta de químicos</v>
      </c>
      <c r="DO726" t="str">
        <v>413550 Venta de químicos</v>
      </c>
      <c r="DP726" t="str">
        <v>413550 Venta de químicos</v>
      </c>
    </row>
    <row r="727" spans="4:120" ht="12.75">
      <c r="D727" s="7">
        <v>413558</v>
      </c>
      <c r="E727" s="6" t="s">
        <v>1133</v>
      </c>
      <c r="F727" s="5">
        <v>4</v>
      </c>
      <c r="G727" s="34" t="s">
        <v>829</v>
      </c>
      <c r="H727" s="8" t="s">
        <v>765</v>
      </c>
      <c r="I727" t="b">
        <f>+ISNUMBER(SEARCH('F-COMPRA'!$F$28,Tabla11[[#This Row],[Cuenta]],1))</f>
        <v>1</v>
      </c>
      <c r="J727" t="b">
        <f>+ISNUMBER(SEARCH('F-COMPRA'!$F$29,Tabla11[[#This Row],[Cuenta]],1))</f>
        <v>1</v>
      </c>
      <c r="K727" t="b">
        <f>+ISNUMBER(SEARCH('F-COMPRA'!$F$30,Tabla11[[#This Row],[Cuenta]],1))</f>
        <v>1</v>
      </c>
      <c r="L727" t="b">
        <f>+ISNUMBER(SEARCH('F-COMPRA'!$F$31,Tabla11[[#This Row],[Cuenta]],1))</f>
        <v>1</v>
      </c>
      <c r="M727" t="b">
        <f>+ISNUMBER(SEARCH('F-COMPRA'!$G$25,Tabla11[[#This Row],[Cuenta]],1))</f>
        <v>0</v>
      </c>
      <c r="N727" t="b">
        <f>+ISNUMBER(SEARCH(#REF!,Tabla11[[#This Row],[Cuenta]],1))</f>
        <v>0</v>
      </c>
      <c r="O727" t="b">
        <f>+ISNUMBER(SEARCH(#REF!,Tabla11[[#This Row],[Cuenta]],1))</f>
        <v>0</v>
      </c>
      <c r="P727" t="b">
        <f>+ISNUMBER(SEARCH('F-COMPRA'!$F$32,Tabla11[[#This Row],[Cuenta]],1))</f>
        <v>1</v>
      </c>
      <c r="Q727" t="b">
        <f>+ISNUMBER(SEARCH('F-COMPRA'!$F$33,Tabla11[[#This Row],[Cuenta]],1))</f>
        <v>1</v>
      </c>
      <c r="R727" t="b">
        <f>+ISNUMBER(SEARCH('F-COMPRA'!$F$34,Tabla11[[#This Row],[Cuenta]],1))</f>
        <v>1</v>
      </c>
      <c r="S727" t="b">
        <f>+ISNUMBER(SEARCH('F-COMPRA'!$F$35,Tabla11[[#This Row],[Cuenta]],1))</f>
        <v>1</v>
      </c>
      <c r="T727" t="b">
        <f>+ISNUMBER(SEARCH('F-COMPRA'!$F$36,Tabla11[[#This Row],[Cuenta]],1))</f>
        <v>1</v>
      </c>
      <c r="U727" t="b">
        <f>+ISNUMBER(SEARCH('F-COMPRA'!$F$37,Tabla11[[#This Row],[Cuenta]],1))</f>
        <v>1</v>
      </c>
      <c r="V727" t="b">
        <f>+ISNUMBER(SEARCH(#REF!,Tabla11[[#This Row],[Cuenta]],1))</f>
        <v>0</v>
      </c>
      <c r="W727" t="b">
        <f>+ISNUMBER(SEARCH('F-COMPRA'!#REF!,Tabla11[[#This Row],[Cuenta]],1))</f>
        <v>0</v>
      </c>
      <c r="X727" t="b">
        <f>+ISNUMBER(SEARCH('F-COMPRA'!#REF!,Tabla11[[#This Row],[Cuenta]],1))</f>
        <v>0</v>
      </c>
      <c r="Y727" t="b">
        <f>+ISNUMBER(SEARCH('F-COMPRA'!#REF!,Tabla11[[#This Row],[Cuenta]],1))</f>
        <v>0</v>
      </c>
      <c r="Z727" t="b">
        <f>+ISNUMBER(SEARCH('F-COMPRA'!#REF!,Tabla11[[#This Row],[Cuenta]],1))</f>
        <v>0</v>
      </c>
      <c r="AA727" t="b">
        <f>+ISNUMBER(SEARCH('F-COMPRA'!#REF!,Tabla11[[#This Row],[Cuenta]],1))</f>
        <v>0</v>
      </c>
      <c r="AB727" t="b">
        <f>+ISNUMBER(SEARCH('F-COMPRA'!#REF!,Tabla11[[#This Row],[Cuenta]],1))</f>
        <v>0</v>
      </c>
      <c r="AC727" t="b">
        <f>+ISNUMBER(SEARCH('F-COMPRA'!#REF!,Tabla11[[#This Row],[Cuenta]],1))</f>
        <v>0</v>
      </c>
      <c r="AD727" t="b">
        <f>+ISNUMBER(SEARCH('F-COMPRA'!#REF!,Tabla11[[#This Row],[Cuenta]],1))</f>
        <v>0</v>
      </c>
      <c r="AE727" t="b">
        <f>+ISNUMBER(SEARCH('F-COMPRA'!#REF!,Tabla11[[#This Row],[Cuenta]],1))</f>
        <v>0</v>
      </c>
      <c r="AF727" t="b">
        <f>+ISNUMBER(SEARCH('F-VTA'!$G$23,Tabla11[[#This Row],[Cuenta]],1))</f>
        <v>0</v>
      </c>
      <c r="AG727" t="b">
        <f>+ISNUMBER(SEARCH('F-VTA'!$G$24,Tabla11[[#This Row],[Cuenta]],1))</f>
        <v>0</v>
      </c>
      <c r="AH727" t="b">
        <f>+ISNUMBER(SEARCH('F-VTA'!$G$25,Tabla11[[#This Row],[Cuenta]],1))</f>
        <v>0</v>
      </c>
      <c r="AI727" t="b">
        <f>+ISNUMBER(SEARCH('F-VTA'!$F$28,Tabla11[[#This Row],[Cuenta]],1))</f>
        <v>1</v>
      </c>
      <c r="AJ727" t="b">
        <f>+ISNUMBER(SEARCH('F-VTA'!$F$29,Tabla11[[#This Row],[Cuenta]],1))</f>
        <v>1</v>
      </c>
      <c r="AK727" t="b">
        <f>+ISNUMBER(SEARCH('F-VTA'!$F$30,Tabla11[[#This Row],[Cuenta]],1))</f>
        <v>1</v>
      </c>
      <c r="AL727" t="b">
        <f>+ISNUMBER(SEARCH('F-VTA'!$F$31,Tabla11[[#This Row],[Cuenta]],1))</f>
        <v>1</v>
      </c>
      <c r="AM727" t="b">
        <f>+ISNUMBER(SEARCH('F-VTA'!$F$32,Tabla11[[#This Row],[Cuenta]],1))</f>
        <v>1</v>
      </c>
      <c r="AN727" t="b">
        <f>+ISNUMBER(SEARCH('F-VTA'!$F$33,Tabla11[[#This Row],[Cuenta]],1))</f>
        <v>1</v>
      </c>
      <c r="AO727" t="b">
        <f>+ISNUMBER(SEARCH('F-VTA'!$F$34,Tabla11[[#This Row],[Cuenta]],1))</f>
        <v>1</v>
      </c>
      <c r="AP727" t="b">
        <f>+ISNUMBER(SEARCH('F-VTA'!$F$35,Tabla11[[#This Row],[Cuenta]],1))</f>
        <v>1</v>
      </c>
      <c r="AQ727" t="b">
        <f>+ISNUMBER(SEARCH('F-VTA'!$F$36,Tabla11[[#This Row],[Cuenta]],1))</f>
        <v>1</v>
      </c>
      <c r="AR727" t="b">
        <f>+ISNUMBER(SEARCH(#REF!,Tabla11[[#This Row],[Cuenta]],1))</f>
        <v>0</v>
      </c>
      <c r="AS727" t="b">
        <f>+ISNUMBER(SEARCH(#REF!,Tabla11[[#This Row],[Cuenta]],1))</f>
        <v>0</v>
      </c>
      <c r="AT727" t="b">
        <f>+ISNUMBER(SEARCH(#REF!,Tabla11[[#This Row],[Cuenta]],1))</f>
        <v>0</v>
      </c>
      <c r="AU727" t="b">
        <f>+ISNUMBER(SEARCH('Conc. Ban.1'!$I$9,Tabla11[[#This Row],[Cuenta]],1))</f>
        <v>0</v>
      </c>
      <c r="AV727" t="b">
        <f>+ISNUMBER(SEARCH(CompConta!$F$21,Tabla11[[#This Row],[Cuenta]],1))</f>
        <v>1</v>
      </c>
      <c r="AW727" t="b">
        <f>+ISNUMBER(SEARCH(CompConta!$F$22,Tabla11[[#This Row],[Cuenta]],1))</f>
        <v>1</v>
      </c>
      <c r="AX727" t="b">
        <f>+ISNUMBER(SEARCH(CompConta!$F$23,Tabla11[[#This Row],[Cuenta]],1))</f>
        <v>1</v>
      </c>
      <c r="AY727" t="b">
        <f>+ISNUMBER(SEARCH(CompConta!$F$24,Tabla11[[#This Row],[Cuenta]],1))</f>
        <v>1</v>
      </c>
      <c r="AZ727" t="b">
        <f>+ISNUMBER(SEARCH(CompConta!$F$25,Tabla11[[#This Row],[Cuenta]],1))</f>
        <v>1</v>
      </c>
      <c r="BA727" t="b">
        <f>+ISNUMBER(SEARCH(CompConta!$F$26,Tabla11[[#This Row],[Cuenta]],1))</f>
        <v>1</v>
      </c>
      <c r="BB727" t="b">
        <f>+ISNUMBER(SEARCH(CompConta!$F$27,Tabla11[[#This Row],[Cuenta]],1))</f>
        <v>1</v>
      </c>
      <c r="BC727" t="b">
        <f>+ISNUMBER(SEARCH(CompConta!$F$28,Tabla11[[#This Row],[Cuenta]],1))</f>
        <v>1</v>
      </c>
      <c r="BD727" t="b">
        <f>+ISNUMBER(SEARCH(CompConta!$F$29,Tabla11[[#This Row],[Cuenta]],1))</f>
        <v>1</v>
      </c>
      <c r="BE727" t="b">
        <f>+ISNUMBER(SEARCH(CompConta!$F$30,Tabla11[[#This Row],[Cuenta]],1))</f>
        <v>1</v>
      </c>
      <c r="BF727" t="b">
        <f>+ISNUMBER(SEARCH('PAGO Compras'!$E$11,Tabla11[[#This Row],[Cuenta]],1))</f>
        <v>1</v>
      </c>
      <c r="BG727" t="b">
        <f>+ISNUMBER(SEARCH(#REF!,Tabla11[[#This Row],[Cuenta]],1))</f>
        <v>0</v>
      </c>
      <c r="BH727" t="b">
        <f>+ISNUMBER(SEARCH(#REF!,Tabla11[[#This Row],[Cuenta]],1))</f>
        <v>0</v>
      </c>
      <c r="BI727" t="b">
        <f>+ISNUMBER(SEARCH(#REF!,Tabla11[[#This Row],[Cuenta]],1))</f>
        <v>0</v>
      </c>
      <c r="BJ727" t="b">
        <f>+ISNUMBER(SEARCH(#REF!,Tabla11[[#This Row],[Cuenta]],1))</f>
        <v>0</v>
      </c>
      <c r="BS727" t="str">
        <v>413558 Venta de instrumentos musicales</v>
      </c>
      <c r="BT727" t="str">
        <v>413558 Venta de instrumentos musicales</v>
      </c>
      <c r="BU727" t="str">
        <v>413558 Venta de instrumentos musicales</v>
      </c>
      <c r="BV727" t="str">
        <v>413558 Venta de instrumentos musicales</v>
      </c>
      <c r="BZ727" t="str">
        <v>413558 Venta de instrumentos musicales</v>
      </c>
      <c r="CA727" t="str">
        <v>413558 Venta de instrumentos musicales</v>
      </c>
      <c r="CB727" t="str">
        <v>413558 Venta de instrumentos musicales</v>
      </c>
      <c r="CC727" t="str">
        <v>413558 Venta de instrumentos musicales</v>
      </c>
      <c r="CD727" t="str">
        <v>413558 Venta de instrumentos musicales</v>
      </c>
      <c r="CE727" t="str">
        <v>413558 Venta de instrumentos musicales</v>
      </c>
      <c r="CS727" s="141" t="str">
        <v>413558 Venta de instrumentos musicales</v>
      </c>
      <c r="CT727" s="141" t="str">
        <v>413558 Venta de instrumentos musicales</v>
      </c>
      <c r="CU727" s="141" t="str">
        <v>413558 Venta de instrumentos musicales</v>
      </c>
      <c r="CV727" s="141" t="str">
        <v>413558 Venta de instrumentos musicales</v>
      </c>
      <c r="CW727" s="141" t="str">
        <v>413558 Venta de instrumentos musicales</v>
      </c>
      <c r="CX727" s="141" t="str">
        <v>413558 Venta de instrumentos musicales</v>
      </c>
      <c r="CY727" s="141" t="str">
        <v>413558 Venta de instrumentos musicales</v>
      </c>
      <c r="CZ727" s="141" t="str">
        <v>413558 Venta de instrumentos musicales</v>
      </c>
      <c r="DA727" s="141" t="str">
        <v>413558 Venta de instrumentos musicales</v>
      </c>
      <c r="DF727" t="str">
        <v>413558 Venta de instrumentos musicales</v>
      </c>
      <c r="DG727" t="str">
        <v>413558 Venta de instrumentos musicales</v>
      </c>
      <c r="DH727" t="str">
        <v>413558 Venta de instrumentos musicales</v>
      </c>
      <c r="DI727" t="str">
        <v>413558 Venta de instrumentos musicales</v>
      </c>
      <c r="DJ727" t="str">
        <v>413558 Venta de instrumentos musicales</v>
      </c>
      <c r="DK727" t="str">
        <v>413558 Venta de instrumentos musicales</v>
      </c>
      <c r="DL727" t="str">
        <v>413558 Venta de instrumentos musicales</v>
      </c>
      <c r="DM727" t="str">
        <v>413558 Venta de instrumentos musicales</v>
      </c>
      <c r="DN727" t="str">
        <v>413558 Venta de instrumentos musicales</v>
      </c>
      <c r="DO727" t="str">
        <v>413558 Venta de instrumentos musicales</v>
      </c>
      <c r="DP727" t="str">
        <v>413558 Venta de instrumentos musicales</v>
      </c>
    </row>
    <row r="728" spans="4:120" ht="12.75">
      <c r="D728" s="7">
        <v>413595</v>
      </c>
      <c r="E728" s="6" t="s">
        <v>1134</v>
      </c>
      <c r="F728" s="5">
        <v>4</v>
      </c>
      <c r="G728" s="34" t="s">
        <v>829</v>
      </c>
      <c r="H728" s="8" t="s">
        <v>765</v>
      </c>
      <c r="I728" t="b">
        <f>+ISNUMBER(SEARCH('F-COMPRA'!$F$28,Tabla11[[#This Row],[Cuenta]],1))</f>
        <v>1</v>
      </c>
      <c r="J728" t="b">
        <f>+ISNUMBER(SEARCH('F-COMPRA'!$F$29,Tabla11[[#This Row],[Cuenta]],1))</f>
        <v>1</v>
      </c>
      <c r="K728" t="b">
        <f>+ISNUMBER(SEARCH('F-COMPRA'!$F$30,Tabla11[[#This Row],[Cuenta]],1))</f>
        <v>1</v>
      </c>
      <c r="L728" t="b">
        <f>+ISNUMBER(SEARCH('F-COMPRA'!$F$31,Tabla11[[#This Row],[Cuenta]],1))</f>
        <v>1</v>
      </c>
      <c r="M728" t="b">
        <f>+ISNUMBER(SEARCH('F-COMPRA'!$G$25,Tabla11[[#This Row],[Cuenta]],1))</f>
        <v>0</v>
      </c>
      <c r="N728" t="b">
        <f>+ISNUMBER(SEARCH(#REF!,Tabla11[[#This Row],[Cuenta]],1))</f>
        <v>0</v>
      </c>
      <c r="O728" t="b">
        <f>+ISNUMBER(SEARCH(#REF!,Tabla11[[#This Row],[Cuenta]],1))</f>
        <v>0</v>
      </c>
      <c r="P728" t="b">
        <f>+ISNUMBER(SEARCH('F-COMPRA'!$F$32,Tabla11[[#This Row],[Cuenta]],1))</f>
        <v>1</v>
      </c>
      <c r="Q728" t="b">
        <f>+ISNUMBER(SEARCH('F-COMPRA'!$F$33,Tabla11[[#This Row],[Cuenta]],1))</f>
        <v>1</v>
      </c>
      <c r="R728" t="b">
        <f>+ISNUMBER(SEARCH('F-COMPRA'!$F$34,Tabla11[[#This Row],[Cuenta]],1))</f>
        <v>1</v>
      </c>
      <c r="S728" t="b">
        <f>+ISNUMBER(SEARCH('F-COMPRA'!$F$35,Tabla11[[#This Row],[Cuenta]],1))</f>
        <v>1</v>
      </c>
      <c r="T728" t="b">
        <f>+ISNUMBER(SEARCH('F-COMPRA'!$F$36,Tabla11[[#This Row],[Cuenta]],1))</f>
        <v>1</v>
      </c>
      <c r="U728" t="b">
        <f>+ISNUMBER(SEARCH('F-COMPRA'!$F$37,Tabla11[[#This Row],[Cuenta]],1))</f>
        <v>1</v>
      </c>
      <c r="V728" t="b">
        <f>+ISNUMBER(SEARCH(#REF!,Tabla11[[#This Row],[Cuenta]],1))</f>
        <v>0</v>
      </c>
      <c r="W728" t="b">
        <f>+ISNUMBER(SEARCH('F-COMPRA'!#REF!,Tabla11[[#This Row],[Cuenta]],1))</f>
        <v>0</v>
      </c>
      <c r="X728" t="b">
        <f>+ISNUMBER(SEARCH('F-COMPRA'!#REF!,Tabla11[[#This Row],[Cuenta]],1))</f>
        <v>0</v>
      </c>
      <c r="Y728" t="b">
        <f>+ISNUMBER(SEARCH('F-COMPRA'!#REF!,Tabla11[[#This Row],[Cuenta]],1))</f>
        <v>0</v>
      </c>
      <c r="Z728" t="b">
        <f>+ISNUMBER(SEARCH('F-COMPRA'!#REF!,Tabla11[[#This Row],[Cuenta]],1))</f>
        <v>0</v>
      </c>
      <c r="AA728" t="b">
        <f>+ISNUMBER(SEARCH('F-COMPRA'!#REF!,Tabla11[[#This Row],[Cuenta]],1))</f>
        <v>0</v>
      </c>
      <c r="AB728" t="b">
        <f>+ISNUMBER(SEARCH('F-COMPRA'!#REF!,Tabla11[[#This Row],[Cuenta]],1))</f>
        <v>0</v>
      </c>
      <c r="AC728" t="b">
        <f>+ISNUMBER(SEARCH('F-COMPRA'!#REF!,Tabla11[[#This Row],[Cuenta]],1))</f>
        <v>0</v>
      </c>
      <c r="AD728" t="b">
        <f>+ISNUMBER(SEARCH('F-COMPRA'!#REF!,Tabla11[[#This Row],[Cuenta]],1))</f>
        <v>0</v>
      </c>
      <c r="AE728" t="b">
        <f>+ISNUMBER(SEARCH('F-COMPRA'!#REF!,Tabla11[[#This Row],[Cuenta]],1))</f>
        <v>0</v>
      </c>
      <c r="AF728" t="b">
        <f>+ISNUMBER(SEARCH('F-VTA'!$G$23,Tabla11[[#This Row],[Cuenta]],1))</f>
        <v>0</v>
      </c>
      <c r="AG728" t="b">
        <f>+ISNUMBER(SEARCH('F-VTA'!$G$24,Tabla11[[#This Row],[Cuenta]],1))</f>
        <v>0</v>
      </c>
      <c r="AH728" t="b">
        <f>+ISNUMBER(SEARCH('F-VTA'!$G$25,Tabla11[[#This Row],[Cuenta]],1))</f>
        <v>0</v>
      </c>
      <c r="AI728" t="b">
        <f>+ISNUMBER(SEARCH('F-VTA'!$F$28,Tabla11[[#This Row],[Cuenta]],1))</f>
        <v>1</v>
      </c>
      <c r="AJ728" t="b">
        <f>+ISNUMBER(SEARCH('F-VTA'!$F$29,Tabla11[[#This Row],[Cuenta]],1))</f>
        <v>1</v>
      </c>
      <c r="AK728" t="b">
        <f>+ISNUMBER(SEARCH('F-VTA'!$F$30,Tabla11[[#This Row],[Cuenta]],1))</f>
        <v>1</v>
      </c>
      <c r="AL728" t="b">
        <f>+ISNUMBER(SEARCH('F-VTA'!$F$31,Tabla11[[#This Row],[Cuenta]],1))</f>
        <v>1</v>
      </c>
      <c r="AM728" t="b">
        <f>+ISNUMBER(SEARCH('F-VTA'!$F$32,Tabla11[[#This Row],[Cuenta]],1))</f>
        <v>1</v>
      </c>
      <c r="AN728" t="b">
        <f>+ISNUMBER(SEARCH('F-VTA'!$F$33,Tabla11[[#This Row],[Cuenta]],1))</f>
        <v>1</v>
      </c>
      <c r="AO728" t="b">
        <f>+ISNUMBER(SEARCH('F-VTA'!$F$34,Tabla11[[#This Row],[Cuenta]],1))</f>
        <v>1</v>
      </c>
      <c r="AP728" t="b">
        <f>+ISNUMBER(SEARCH('F-VTA'!$F$35,Tabla11[[#This Row],[Cuenta]],1))</f>
        <v>1</v>
      </c>
      <c r="AQ728" t="b">
        <f>+ISNUMBER(SEARCH('F-VTA'!$F$36,Tabla11[[#This Row],[Cuenta]],1))</f>
        <v>1</v>
      </c>
      <c r="AR728" t="b">
        <f>+ISNUMBER(SEARCH(#REF!,Tabla11[[#This Row],[Cuenta]],1))</f>
        <v>0</v>
      </c>
      <c r="AS728" t="b">
        <f>+ISNUMBER(SEARCH(#REF!,Tabla11[[#This Row],[Cuenta]],1))</f>
        <v>0</v>
      </c>
      <c r="AT728" t="b">
        <f>+ISNUMBER(SEARCH(#REF!,Tabla11[[#This Row],[Cuenta]],1))</f>
        <v>0</v>
      </c>
      <c r="AU728" t="b">
        <f>+ISNUMBER(SEARCH('Conc. Ban.1'!$I$9,Tabla11[[#This Row],[Cuenta]],1))</f>
        <v>0</v>
      </c>
      <c r="AV728" t="b">
        <f>+ISNUMBER(SEARCH(CompConta!$F$21,Tabla11[[#This Row],[Cuenta]],1))</f>
        <v>1</v>
      </c>
      <c r="AW728" t="b">
        <f>+ISNUMBER(SEARCH(CompConta!$F$22,Tabla11[[#This Row],[Cuenta]],1))</f>
        <v>1</v>
      </c>
      <c r="AX728" t="b">
        <f>+ISNUMBER(SEARCH(CompConta!$F$23,Tabla11[[#This Row],[Cuenta]],1))</f>
        <v>1</v>
      </c>
      <c r="AY728" t="b">
        <f>+ISNUMBER(SEARCH(CompConta!$F$24,Tabla11[[#This Row],[Cuenta]],1))</f>
        <v>1</v>
      </c>
      <c r="AZ728" t="b">
        <f>+ISNUMBER(SEARCH(CompConta!$F$25,Tabla11[[#This Row],[Cuenta]],1))</f>
        <v>1</v>
      </c>
      <c r="BA728" t="b">
        <f>+ISNUMBER(SEARCH(CompConta!$F$26,Tabla11[[#This Row],[Cuenta]],1))</f>
        <v>1</v>
      </c>
      <c r="BB728" t="b">
        <f>+ISNUMBER(SEARCH(CompConta!$F$27,Tabla11[[#This Row],[Cuenta]],1))</f>
        <v>1</v>
      </c>
      <c r="BC728" t="b">
        <f>+ISNUMBER(SEARCH(CompConta!$F$28,Tabla11[[#This Row],[Cuenta]],1))</f>
        <v>1</v>
      </c>
      <c r="BD728" t="b">
        <f>+ISNUMBER(SEARCH(CompConta!$F$29,Tabla11[[#This Row],[Cuenta]],1))</f>
        <v>1</v>
      </c>
      <c r="BE728" t="b">
        <f>+ISNUMBER(SEARCH(CompConta!$F$30,Tabla11[[#This Row],[Cuenta]],1))</f>
        <v>1</v>
      </c>
      <c r="BF728" t="b">
        <f>+ISNUMBER(SEARCH('PAGO Compras'!$E$11,Tabla11[[#This Row],[Cuenta]],1))</f>
        <v>1</v>
      </c>
      <c r="BG728" t="b">
        <f>+ISNUMBER(SEARCH(#REF!,Tabla11[[#This Row],[Cuenta]],1))</f>
        <v>0</v>
      </c>
      <c r="BH728" t="b">
        <f>+ISNUMBER(SEARCH(#REF!,Tabla11[[#This Row],[Cuenta]],1))</f>
        <v>0</v>
      </c>
      <c r="BI728" t="b">
        <f>+ISNUMBER(SEARCH(#REF!,Tabla11[[#This Row],[Cuenta]],1))</f>
        <v>0</v>
      </c>
      <c r="BJ728" t="b">
        <f>+ISNUMBER(SEARCH(#REF!,Tabla11[[#This Row],[Cuenta]],1))</f>
        <v>0</v>
      </c>
      <c r="BS728" t="str">
        <v>413595 Venta de otros productos</v>
      </c>
      <c r="BT728" t="str">
        <v>413595 Venta de otros productos</v>
      </c>
      <c r="BU728" t="str">
        <v>413595 Venta de otros productos</v>
      </c>
      <c r="BV728" t="str">
        <v>413595 Venta de otros productos</v>
      </c>
      <c r="BZ728" t="str">
        <v>413595 Venta de otros productos</v>
      </c>
      <c r="CA728" t="str">
        <v>413595 Venta de otros productos</v>
      </c>
      <c r="CB728" t="str">
        <v>413595 Venta de otros productos</v>
      </c>
      <c r="CC728" t="str">
        <v>413595 Venta de otros productos</v>
      </c>
      <c r="CD728" t="str">
        <v>413595 Venta de otros productos</v>
      </c>
      <c r="CE728" t="str">
        <v>413595 Venta de otros productos</v>
      </c>
      <c r="CS728" s="141" t="str">
        <v>413595 Venta de otros productos</v>
      </c>
      <c r="CT728" s="141" t="str">
        <v>413595 Venta de otros productos</v>
      </c>
      <c r="CU728" s="141" t="str">
        <v>413595 Venta de otros productos</v>
      </c>
      <c r="CV728" s="141" t="str">
        <v>413595 Venta de otros productos</v>
      </c>
      <c r="CW728" s="141" t="str">
        <v>413595 Venta de otros productos</v>
      </c>
      <c r="CX728" s="141" t="str">
        <v>413595 Venta de otros productos</v>
      </c>
      <c r="CY728" s="141" t="str">
        <v>413595 Venta de otros productos</v>
      </c>
      <c r="CZ728" s="141" t="str">
        <v>413595 Venta de otros productos</v>
      </c>
      <c r="DA728" s="141" t="str">
        <v>413595 Venta de otros productos</v>
      </c>
      <c r="DF728" t="str">
        <v>413595 Venta de otros productos</v>
      </c>
      <c r="DG728" t="str">
        <v>413595 Venta de otros productos</v>
      </c>
      <c r="DH728" t="str">
        <v>413595 Venta de otros productos</v>
      </c>
      <c r="DI728" t="str">
        <v>413595 Venta de otros productos</v>
      </c>
      <c r="DJ728" t="str">
        <v>413595 Venta de otros productos</v>
      </c>
      <c r="DK728" t="str">
        <v>413595 Venta de otros productos</v>
      </c>
      <c r="DL728" t="str">
        <v>413595 Venta de otros productos</v>
      </c>
      <c r="DM728" t="str">
        <v>413595 Venta de otros productos</v>
      </c>
      <c r="DN728" t="str">
        <v>413595 Venta de otros productos</v>
      </c>
      <c r="DO728" t="str">
        <v>413595 Venta de otros productos</v>
      </c>
      <c r="DP728" t="str">
        <v>413595 Venta de otros productos</v>
      </c>
    </row>
    <row r="729" spans="4:120" ht="12.75">
      <c r="D729" s="7">
        <v>413596</v>
      </c>
      <c r="E729" s="6" t="s">
        <v>1136</v>
      </c>
      <c r="F729" s="5">
        <v>4</v>
      </c>
      <c r="G729" s="34" t="s">
        <v>829</v>
      </c>
      <c r="H729" s="8" t="s">
        <v>765</v>
      </c>
      <c r="I729" t="b">
        <f>+ISNUMBER(SEARCH('F-COMPRA'!$F$28,Tabla11[[#This Row],[Cuenta]],1))</f>
        <v>1</v>
      </c>
      <c r="J729" t="b">
        <f>+ISNUMBER(SEARCH('F-COMPRA'!$F$29,Tabla11[[#This Row],[Cuenta]],1))</f>
        <v>1</v>
      </c>
      <c r="K729" t="b">
        <f>+ISNUMBER(SEARCH('F-COMPRA'!$F$30,Tabla11[[#This Row],[Cuenta]],1))</f>
        <v>1</v>
      </c>
      <c r="L729" t="b">
        <f>+ISNUMBER(SEARCH('F-COMPRA'!$F$31,Tabla11[[#This Row],[Cuenta]],1))</f>
        <v>1</v>
      </c>
      <c r="M729" t="b">
        <f>+ISNUMBER(SEARCH('F-COMPRA'!$G$25,Tabla11[[#This Row],[Cuenta]],1))</f>
        <v>0</v>
      </c>
      <c r="N729" t="b">
        <f>+ISNUMBER(SEARCH(#REF!,Tabla11[[#This Row],[Cuenta]],1))</f>
        <v>0</v>
      </c>
      <c r="O729" t="b">
        <f>+ISNUMBER(SEARCH(#REF!,Tabla11[[#This Row],[Cuenta]],1))</f>
        <v>0</v>
      </c>
      <c r="P729" t="b">
        <f>+ISNUMBER(SEARCH('F-COMPRA'!$F$32,Tabla11[[#This Row],[Cuenta]],1))</f>
        <v>1</v>
      </c>
      <c r="Q729" t="b">
        <f>+ISNUMBER(SEARCH('F-COMPRA'!$F$33,Tabla11[[#This Row],[Cuenta]],1))</f>
        <v>1</v>
      </c>
      <c r="R729" t="b">
        <f>+ISNUMBER(SEARCH('F-COMPRA'!$F$34,Tabla11[[#This Row],[Cuenta]],1))</f>
        <v>1</v>
      </c>
      <c r="S729" t="b">
        <f>+ISNUMBER(SEARCH('F-COMPRA'!$F$35,Tabla11[[#This Row],[Cuenta]],1))</f>
        <v>1</v>
      </c>
      <c r="T729" t="b">
        <f>+ISNUMBER(SEARCH('F-COMPRA'!$F$36,Tabla11[[#This Row],[Cuenta]],1))</f>
        <v>1</v>
      </c>
      <c r="U729" t="b">
        <f>+ISNUMBER(SEARCH('F-COMPRA'!$F$37,Tabla11[[#This Row],[Cuenta]],1))</f>
        <v>1</v>
      </c>
      <c r="V729" t="b">
        <f>+ISNUMBER(SEARCH(#REF!,Tabla11[[#This Row],[Cuenta]],1))</f>
        <v>0</v>
      </c>
      <c r="W729" t="b">
        <f>+ISNUMBER(SEARCH('F-COMPRA'!#REF!,Tabla11[[#This Row],[Cuenta]],1))</f>
        <v>0</v>
      </c>
      <c r="X729" t="b">
        <f>+ISNUMBER(SEARCH('F-COMPRA'!#REF!,Tabla11[[#This Row],[Cuenta]],1))</f>
        <v>0</v>
      </c>
      <c r="Y729" t="b">
        <f>+ISNUMBER(SEARCH('F-COMPRA'!#REF!,Tabla11[[#This Row],[Cuenta]],1))</f>
        <v>0</v>
      </c>
      <c r="Z729" t="b">
        <f>+ISNUMBER(SEARCH('F-COMPRA'!#REF!,Tabla11[[#This Row],[Cuenta]],1))</f>
        <v>0</v>
      </c>
      <c r="AA729" t="b">
        <f>+ISNUMBER(SEARCH('F-COMPRA'!#REF!,Tabla11[[#This Row],[Cuenta]],1))</f>
        <v>0</v>
      </c>
      <c r="AB729" t="b">
        <f>+ISNUMBER(SEARCH('F-COMPRA'!#REF!,Tabla11[[#This Row],[Cuenta]],1))</f>
        <v>0</v>
      </c>
      <c r="AC729" t="b">
        <f>+ISNUMBER(SEARCH('F-COMPRA'!#REF!,Tabla11[[#This Row],[Cuenta]],1))</f>
        <v>0</v>
      </c>
      <c r="AD729" t="b">
        <f>+ISNUMBER(SEARCH('F-COMPRA'!#REF!,Tabla11[[#This Row],[Cuenta]],1))</f>
        <v>0</v>
      </c>
      <c r="AE729" t="b">
        <f>+ISNUMBER(SEARCH('F-COMPRA'!#REF!,Tabla11[[#This Row],[Cuenta]],1))</f>
        <v>0</v>
      </c>
      <c r="AF729" t="b">
        <f>+ISNUMBER(SEARCH('F-VTA'!$G$23,Tabla11[[#This Row],[Cuenta]],1))</f>
        <v>0</v>
      </c>
      <c r="AG729" t="b">
        <f>+ISNUMBER(SEARCH('F-VTA'!$G$24,Tabla11[[#This Row],[Cuenta]],1))</f>
        <v>0</v>
      </c>
      <c r="AH729" t="b">
        <f>+ISNUMBER(SEARCH('F-VTA'!$G$25,Tabla11[[#This Row],[Cuenta]],1))</f>
        <v>0</v>
      </c>
      <c r="AI729" t="b">
        <f>+ISNUMBER(SEARCH('F-VTA'!$F$28,Tabla11[[#This Row],[Cuenta]],1))</f>
        <v>1</v>
      </c>
      <c r="AJ729" t="b">
        <f>+ISNUMBER(SEARCH('F-VTA'!$F$29,Tabla11[[#This Row],[Cuenta]],1))</f>
        <v>1</v>
      </c>
      <c r="AK729" t="b">
        <f>+ISNUMBER(SEARCH('F-VTA'!$F$30,Tabla11[[#This Row],[Cuenta]],1))</f>
        <v>1</v>
      </c>
      <c r="AL729" t="b">
        <f>+ISNUMBER(SEARCH('F-VTA'!$F$31,Tabla11[[#This Row],[Cuenta]],1))</f>
        <v>1</v>
      </c>
      <c r="AM729" t="b">
        <f>+ISNUMBER(SEARCH('F-VTA'!$F$32,Tabla11[[#This Row],[Cuenta]],1))</f>
        <v>1</v>
      </c>
      <c r="AN729" t="b">
        <f>+ISNUMBER(SEARCH('F-VTA'!$F$33,Tabla11[[#This Row],[Cuenta]],1))</f>
        <v>1</v>
      </c>
      <c r="AO729" t="b">
        <f>+ISNUMBER(SEARCH('F-VTA'!$F$34,Tabla11[[#This Row],[Cuenta]],1))</f>
        <v>1</v>
      </c>
      <c r="AP729" t="b">
        <f>+ISNUMBER(SEARCH('F-VTA'!$F$35,Tabla11[[#This Row],[Cuenta]],1))</f>
        <v>1</v>
      </c>
      <c r="AQ729" t="b">
        <f>+ISNUMBER(SEARCH('F-VTA'!$F$36,Tabla11[[#This Row],[Cuenta]],1))</f>
        <v>1</v>
      </c>
      <c r="AR729" t="b">
        <f>+ISNUMBER(SEARCH(#REF!,Tabla11[[#This Row],[Cuenta]],1))</f>
        <v>0</v>
      </c>
      <c r="AS729" t="b">
        <f>+ISNUMBER(SEARCH(#REF!,Tabla11[[#This Row],[Cuenta]],1))</f>
        <v>0</v>
      </c>
      <c r="AT729" t="b">
        <f>+ISNUMBER(SEARCH(#REF!,Tabla11[[#This Row],[Cuenta]],1))</f>
        <v>0</v>
      </c>
      <c r="AU729" t="b">
        <f>+ISNUMBER(SEARCH('Conc. Ban.1'!$I$9,Tabla11[[#This Row],[Cuenta]],1))</f>
        <v>0</v>
      </c>
      <c r="AV729" t="b">
        <f>+ISNUMBER(SEARCH(CompConta!$F$21,Tabla11[[#This Row],[Cuenta]],1))</f>
        <v>1</v>
      </c>
      <c r="AW729" t="b">
        <f>+ISNUMBER(SEARCH(CompConta!$F$22,Tabla11[[#This Row],[Cuenta]],1))</f>
        <v>1</v>
      </c>
      <c r="AX729" t="b">
        <f>+ISNUMBER(SEARCH(CompConta!$F$23,Tabla11[[#This Row],[Cuenta]],1))</f>
        <v>1</v>
      </c>
      <c r="AY729" t="b">
        <f>+ISNUMBER(SEARCH(CompConta!$F$24,Tabla11[[#This Row],[Cuenta]],1))</f>
        <v>1</v>
      </c>
      <c r="AZ729" t="b">
        <f>+ISNUMBER(SEARCH(CompConta!$F$25,Tabla11[[#This Row],[Cuenta]],1))</f>
        <v>1</v>
      </c>
      <c r="BA729" t="b">
        <f>+ISNUMBER(SEARCH(CompConta!$F$26,Tabla11[[#This Row],[Cuenta]],1))</f>
        <v>1</v>
      </c>
      <c r="BB729" t="b">
        <f>+ISNUMBER(SEARCH(CompConta!$F$27,Tabla11[[#This Row],[Cuenta]],1))</f>
        <v>1</v>
      </c>
      <c r="BC729" t="b">
        <f>+ISNUMBER(SEARCH(CompConta!$F$28,Tabla11[[#This Row],[Cuenta]],1))</f>
        <v>1</v>
      </c>
      <c r="BD729" t="b">
        <f>+ISNUMBER(SEARCH(CompConta!$F$29,Tabla11[[#This Row],[Cuenta]],1))</f>
        <v>1</v>
      </c>
      <c r="BE729" t="b">
        <f>+ISNUMBER(SEARCH(CompConta!$F$30,Tabla11[[#This Row],[Cuenta]],1))</f>
        <v>1</v>
      </c>
      <c r="BF729" t="b">
        <f>+ISNUMBER(SEARCH('PAGO Compras'!$E$11,Tabla11[[#This Row],[Cuenta]],1))</f>
        <v>1</v>
      </c>
      <c r="BG729" t="b">
        <f>+ISNUMBER(SEARCH(#REF!,Tabla11[[#This Row],[Cuenta]],1))</f>
        <v>0</v>
      </c>
      <c r="BH729" t="b">
        <f>+ISNUMBER(SEARCH(#REF!,Tabla11[[#This Row],[Cuenta]],1))</f>
        <v>0</v>
      </c>
      <c r="BI729" t="b">
        <f>+ISNUMBER(SEARCH(#REF!,Tabla11[[#This Row],[Cuenta]],1))</f>
        <v>0</v>
      </c>
      <c r="BJ729" t="b">
        <f>+ISNUMBER(SEARCH(#REF!,Tabla11[[#This Row],[Cuenta]],1))</f>
        <v>0</v>
      </c>
      <c r="BS729" t="str">
        <v>413596 Venta de Alimentos, bebidas y almuerzos</v>
      </c>
      <c r="BT729" t="str">
        <v>413596 Venta de Alimentos, bebidas y almuerzos</v>
      </c>
      <c r="BU729" t="str">
        <v>413596 Venta de Alimentos, bebidas y almuerzos</v>
      </c>
      <c r="BV729" t="str">
        <v>413596 Venta de Alimentos, bebidas y almuerzos</v>
      </c>
      <c r="BZ729" t="str">
        <v>413596 Venta de Alimentos, bebidas y almuerzos</v>
      </c>
      <c r="CA729" t="str">
        <v>413596 Venta de Alimentos, bebidas y almuerzos</v>
      </c>
      <c r="CB729" t="str">
        <v>413596 Venta de Alimentos, bebidas y almuerzos</v>
      </c>
      <c r="CC729" t="str">
        <v>413596 Venta de Alimentos, bebidas y almuerzos</v>
      </c>
      <c r="CD729" t="str">
        <v>413596 Venta de Alimentos, bebidas y almuerzos</v>
      </c>
      <c r="CE729" t="str">
        <v>413596 Venta de Alimentos, bebidas y almuerzos</v>
      </c>
      <c r="CS729" s="141" t="str">
        <v>413596 Venta de Alimentos, bebidas y almuerzos</v>
      </c>
      <c r="CT729" s="141" t="str">
        <v>413596 Venta de Alimentos, bebidas y almuerzos</v>
      </c>
      <c r="CU729" s="141" t="str">
        <v>413596 Venta de Alimentos, bebidas y almuerzos</v>
      </c>
      <c r="CV729" s="141" t="str">
        <v>413596 Venta de Alimentos, bebidas y almuerzos</v>
      </c>
      <c r="CW729" s="141" t="str">
        <v>413596 Venta de Alimentos, bebidas y almuerzos</v>
      </c>
      <c r="CX729" s="141" t="str">
        <v>413596 Venta de Alimentos, bebidas y almuerzos</v>
      </c>
      <c r="CY729" s="141" t="str">
        <v>413596 Venta de Alimentos, bebidas y almuerzos</v>
      </c>
      <c r="CZ729" s="141" t="str">
        <v>413596 Venta de Alimentos, bebidas y almuerzos</v>
      </c>
      <c r="DA729" s="141" t="str">
        <v>413596 Venta de Alimentos, bebidas y almuerzos</v>
      </c>
      <c r="DF729" t="str">
        <v>413596 Venta de Alimentos, bebidas y almuerzos</v>
      </c>
      <c r="DG729" t="str">
        <v>413596 Venta de Alimentos, bebidas y almuerzos</v>
      </c>
      <c r="DH729" t="str">
        <v>413596 Venta de Alimentos, bebidas y almuerzos</v>
      </c>
      <c r="DI729" t="str">
        <v>413596 Venta de Alimentos, bebidas y almuerzos</v>
      </c>
      <c r="DJ729" t="str">
        <v>413596 Venta de Alimentos, bebidas y almuerzos</v>
      </c>
      <c r="DK729" t="str">
        <v>413596 Venta de Alimentos, bebidas y almuerzos</v>
      </c>
      <c r="DL729" t="str">
        <v>413596 Venta de Alimentos, bebidas y almuerzos</v>
      </c>
      <c r="DM729" t="str">
        <v>413596 Venta de Alimentos, bebidas y almuerzos</v>
      </c>
      <c r="DN729" t="str">
        <v>413596 Venta de Alimentos, bebidas y almuerzos</v>
      </c>
      <c r="DO729" t="str">
        <v>413596 Venta de Alimentos, bebidas y almuerzos</v>
      </c>
      <c r="DP729" t="str">
        <v>413596 Venta de Alimentos, bebidas y almuerzos</v>
      </c>
    </row>
    <row r="730" spans="4:120" ht="12.75">
      <c r="D730" s="7">
        <v>4165</v>
      </c>
      <c r="E730" s="6" t="s">
        <v>795</v>
      </c>
      <c r="F730" s="5">
        <v>2</v>
      </c>
      <c r="G730" s="34" t="s">
        <v>829</v>
      </c>
      <c r="H730" s="8" t="s">
        <v>56</v>
      </c>
      <c r="I730" t="b">
        <f>+ISNUMBER(SEARCH('F-COMPRA'!$F$28,Tabla11[[#This Row],[Cuenta]],1))</f>
        <v>1</v>
      </c>
      <c r="J730" t="b">
        <f>+ISNUMBER(SEARCH('F-COMPRA'!$F$29,Tabla11[[#This Row],[Cuenta]],1))</f>
        <v>1</v>
      </c>
      <c r="K730" t="b">
        <f>+ISNUMBER(SEARCH('F-COMPRA'!$F$30,Tabla11[[#This Row],[Cuenta]],1))</f>
        <v>1</v>
      </c>
      <c r="L730" t="b">
        <f>+ISNUMBER(SEARCH('F-COMPRA'!$F$31,Tabla11[[#This Row],[Cuenta]],1))</f>
        <v>1</v>
      </c>
      <c r="M730" t="b">
        <f>+ISNUMBER(SEARCH('F-COMPRA'!$G$25,Tabla11[[#This Row],[Cuenta]],1))</f>
        <v>0</v>
      </c>
      <c r="N730" t="b">
        <f>+ISNUMBER(SEARCH(#REF!,Tabla11[[#This Row],[Cuenta]],1))</f>
        <v>0</v>
      </c>
      <c r="O730" t="b">
        <f>+ISNUMBER(SEARCH(#REF!,Tabla11[[#This Row],[Cuenta]],1))</f>
        <v>0</v>
      </c>
      <c r="P730" t="b">
        <f>+ISNUMBER(SEARCH('F-COMPRA'!$F$32,Tabla11[[#This Row],[Cuenta]],1))</f>
        <v>1</v>
      </c>
      <c r="Q730" t="b">
        <f>+ISNUMBER(SEARCH('F-COMPRA'!$F$33,Tabla11[[#This Row],[Cuenta]],1))</f>
        <v>1</v>
      </c>
      <c r="R730" t="b">
        <f>+ISNUMBER(SEARCH('F-COMPRA'!$F$34,Tabla11[[#This Row],[Cuenta]],1))</f>
        <v>1</v>
      </c>
      <c r="S730" t="b">
        <f>+ISNUMBER(SEARCH('F-COMPRA'!$F$35,Tabla11[[#This Row],[Cuenta]],1))</f>
        <v>1</v>
      </c>
      <c r="T730" t="b">
        <f>+ISNUMBER(SEARCH('F-COMPRA'!$F$36,Tabla11[[#This Row],[Cuenta]],1))</f>
        <v>1</v>
      </c>
      <c r="U730" t="b">
        <f>+ISNUMBER(SEARCH('F-COMPRA'!$F$37,Tabla11[[#This Row],[Cuenta]],1))</f>
        <v>1</v>
      </c>
      <c r="V730" t="b">
        <f>+ISNUMBER(SEARCH(#REF!,Tabla11[[#This Row],[Cuenta]],1))</f>
        <v>0</v>
      </c>
      <c r="W730" t="b">
        <f>+ISNUMBER(SEARCH('F-COMPRA'!#REF!,Tabla11[[#This Row],[Cuenta]],1))</f>
        <v>0</v>
      </c>
      <c r="X730" t="b">
        <f>+ISNUMBER(SEARCH('F-COMPRA'!#REF!,Tabla11[[#This Row],[Cuenta]],1))</f>
        <v>0</v>
      </c>
      <c r="Y730" t="b">
        <f>+ISNUMBER(SEARCH('F-COMPRA'!#REF!,Tabla11[[#This Row],[Cuenta]],1))</f>
        <v>0</v>
      </c>
      <c r="Z730" t="b">
        <f>+ISNUMBER(SEARCH('F-COMPRA'!#REF!,Tabla11[[#This Row],[Cuenta]],1))</f>
        <v>0</v>
      </c>
      <c r="AA730" t="b">
        <f>+ISNUMBER(SEARCH('F-COMPRA'!#REF!,Tabla11[[#This Row],[Cuenta]],1))</f>
        <v>0</v>
      </c>
      <c r="AB730" t="b">
        <f>+ISNUMBER(SEARCH('F-COMPRA'!#REF!,Tabla11[[#This Row],[Cuenta]],1))</f>
        <v>0</v>
      </c>
      <c r="AC730" t="b">
        <f>+ISNUMBER(SEARCH('F-COMPRA'!#REF!,Tabla11[[#This Row],[Cuenta]],1))</f>
        <v>0</v>
      </c>
      <c r="AD730" t="b">
        <f>+ISNUMBER(SEARCH('F-COMPRA'!#REF!,Tabla11[[#This Row],[Cuenta]],1))</f>
        <v>0</v>
      </c>
      <c r="AE730" t="b">
        <f>+ISNUMBER(SEARCH('F-COMPRA'!#REF!,Tabla11[[#This Row],[Cuenta]],1))</f>
        <v>0</v>
      </c>
      <c r="AF730" t="b">
        <f>+ISNUMBER(SEARCH('F-VTA'!$G$23,Tabla11[[#This Row],[Cuenta]],1))</f>
        <v>0</v>
      </c>
      <c r="AG730" t="b">
        <f>+ISNUMBER(SEARCH('F-VTA'!$G$24,Tabla11[[#This Row],[Cuenta]],1))</f>
        <v>0</v>
      </c>
      <c r="AH730" t="b">
        <f>+ISNUMBER(SEARCH('F-VTA'!$G$25,Tabla11[[#This Row],[Cuenta]],1))</f>
        <v>0</v>
      </c>
      <c r="AI730" t="b">
        <f>+ISNUMBER(SEARCH('F-VTA'!$F$28,Tabla11[[#This Row],[Cuenta]],1))</f>
        <v>1</v>
      </c>
      <c r="AJ730" t="b">
        <f>+ISNUMBER(SEARCH('F-VTA'!$F$29,Tabla11[[#This Row],[Cuenta]],1))</f>
        <v>1</v>
      </c>
      <c r="AK730" t="b">
        <f>+ISNUMBER(SEARCH('F-VTA'!$F$30,Tabla11[[#This Row],[Cuenta]],1))</f>
        <v>1</v>
      </c>
      <c r="AL730" t="b">
        <f>+ISNUMBER(SEARCH('F-VTA'!$F$31,Tabla11[[#This Row],[Cuenta]],1))</f>
        <v>1</v>
      </c>
      <c r="AM730" t="b">
        <f>+ISNUMBER(SEARCH('F-VTA'!$F$32,Tabla11[[#This Row],[Cuenta]],1))</f>
        <v>1</v>
      </c>
      <c r="AN730" t="b">
        <f>+ISNUMBER(SEARCH('F-VTA'!$F$33,Tabla11[[#This Row],[Cuenta]],1))</f>
        <v>1</v>
      </c>
      <c r="AO730" t="b">
        <f>+ISNUMBER(SEARCH('F-VTA'!$F$34,Tabla11[[#This Row],[Cuenta]],1))</f>
        <v>1</v>
      </c>
      <c r="AP730" t="b">
        <f>+ISNUMBER(SEARCH('F-VTA'!$F$35,Tabla11[[#This Row],[Cuenta]],1))</f>
        <v>1</v>
      </c>
      <c r="AQ730" t="b">
        <f>+ISNUMBER(SEARCH('F-VTA'!$F$36,Tabla11[[#This Row],[Cuenta]],1))</f>
        <v>1</v>
      </c>
      <c r="AR730" t="b">
        <f>+ISNUMBER(SEARCH(#REF!,Tabla11[[#This Row],[Cuenta]],1))</f>
        <v>0</v>
      </c>
      <c r="AS730" t="b">
        <f>+ISNUMBER(SEARCH(#REF!,Tabla11[[#This Row],[Cuenta]],1))</f>
        <v>0</v>
      </c>
      <c r="AT730" t="b">
        <f>+ISNUMBER(SEARCH(#REF!,Tabla11[[#This Row],[Cuenta]],1))</f>
        <v>0</v>
      </c>
      <c r="AU730" t="b">
        <f>+ISNUMBER(SEARCH('Conc. Ban.1'!$I$9,Tabla11[[#This Row],[Cuenta]],1))</f>
        <v>0</v>
      </c>
      <c r="AV730" t="b">
        <f>+ISNUMBER(SEARCH(CompConta!$F$21,Tabla11[[#This Row],[Cuenta]],1))</f>
        <v>1</v>
      </c>
      <c r="AW730" t="b">
        <f>+ISNUMBER(SEARCH(CompConta!$F$22,Tabla11[[#This Row],[Cuenta]],1))</f>
        <v>1</v>
      </c>
      <c r="AX730" t="b">
        <f>+ISNUMBER(SEARCH(CompConta!$F$23,Tabla11[[#This Row],[Cuenta]],1))</f>
        <v>1</v>
      </c>
      <c r="AY730" t="b">
        <f>+ISNUMBER(SEARCH(CompConta!$F$24,Tabla11[[#This Row],[Cuenta]],1))</f>
        <v>1</v>
      </c>
      <c r="AZ730" t="b">
        <f>+ISNUMBER(SEARCH(CompConta!$F$25,Tabla11[[#This Row],[Cuenta]],1))</f>
        <v>1</v>
      </c>
      <c r="BA730" t="b">
        <f>+ISNUMBER(SEARCH(CompConta!$F$26,Tabla11[[#This Row],[Cuenta]],1))</f>
        <v>1</v>
      </c>
      <c r="BB730" t="b">
        <f>+ISNUMBER(SEARCH(CompConta!$F$27,Tabla11[[#This Row],[Cuenta]],1))</f>
        <v>1</v>
      </c>
      <c r="BC730" t="b">
        <f>+ISNUMBER(SEARCH(CompConta!$F$28,Tabla11[[#This Row],[Cuenta]],1))</f>
        <v>1</v>
      </c>
      <c r="BD730" t="b">
        <f>+ISNUMBER(SEARCH(CompConta!$F$29,Tabla11[[#This Row],[Cuenta]],1))</f>
        <v>1</v>
      </c>
      <c r="BE730" t="b">
        <f>+ISNUMBER(SEARCH(CompConta!$F$30,Tabla11[[#This Row],[Cuenta]],1))</f>
        <v>1</v>
      </c>
      <c r="BF730" t="b">
        <f>+ISNUMBER(SEARCH('PAGO Compras'!$E$11,Tabla11[[#This Row],[Cuenta]],1))</f>
        <v>1</v>
      </c>
      <c r="BG730" t="b">
        <f>+ISNUMBER(SEARCH(#REF!,Tabla11[[#This Row],[Cuenta]],1))</f>
        <v>0</v>
      </c>
      <c r="BH730" t="b">
        <f>+ISNUMBER(SEARCH(#REF!,Tabla11[[#This Row],[Cuenta]],1))</f>
        <v>0</v>
      </c>
      <c r="BI730" t="b">
        <f>+ISNUMBER(SEARCH(#REF!,Tabla11[[#This Row],[Cuenta]],1))</f>
        <v>0</v>
      </c>
      <c r="BJ730" t="b">
        <f>+ISNUMBER(SEARCH(#REF!,Tabla11[[#This Row],[Cuenta]],1))</f>
        <v>0</v>
      </c>
      <c r="BS730" t="str">
        <v>4165 SERVICIOS SOCIALES Y DE SALUD</v>
      </c>
      <c r="BT730" t="str">
        <v>4165 SERVICIOS SOCIALES Y DE SALUD</v>
      </c>
      <c r="BU730" t="str">
        <v>4165 SERVICIOS SOCIALES Y DE SALUD</v>
      </c>
      <c r="BV730" t="str">
        <v>4165 SERVICIOS SOCIALES Y DE SALUD</v>
      </c>
      <c r="BZ730" t="str">
        <v>4165 SERVICIOS SOCIALES Y DE SALUD</v>
      </c>
      <c r="CA730" t="str">
        <v>4165 SERVICIOS SOCIALES Y DE SALUD</v>
      </c>
      <c r="CB730" t="str">
        <v>4165 SERVICIOS SOCIALES Y DE SALUD</v>
      </c>
      <c r="CC730" t="str">
        <v>4165 SERVICIOS SOCIALES Y DE SALUD</v>
      </c>
      <c r="CD730" t="str">
        <v>4165 SERVICIOS SOCIALES Y DE SALUD</v>
      </c>
      <c r="CE730" t="str">
        <v>4165 SERVICIOS SOCIALES Y DE SALUD</v>
      </c>
      <c r="CS730" s="141" t="str">
        <v>4165 SERVICIOS SOCIALES Y DE SALUD</v>
      </c>
      <c r="CT730" s="141" t="str">
        <v>4165 SERVICIOS SOCIALES Y DE SALUD</v>
      </c>
      <c r="CU730" s="141" t="str">
        <v>4165 SERVICIOS SOCIALES Y DE SALUD</v>
      </c>
      <c r="CV730" s="141" t="str">
        <v>4165 SERVICIOS SOCIALES Y DE SALUD</v>
      </c>
      <c r="CW730" s="141" t="str">
        <v>4165 SERVICIOS SOCIALES Y DE SALUD</v>
      </c>
      <c r="CX730" s="141" t="str">
        <v>4165 SERVICIOS SOCIALES Y DE SALUD</v>
      </c>
      <c r="CY730" s="141" t="str">
        <v>4165 SERVICIOS SOCIALES Y DE SALUD</v>
      </c>
      <c r="CZ730" s="141" t="str">
        <v>4165 SERVICIOS SOCIALES Y DE SALUD</v>
      </c>
      <c r="DA730" s="141" t="str">
        <v>4165 SERVICIOS SOCIALES Y DE SALUD</v>
      </c>
      <c r="DF730" t="str">
        <v>4165 SERVICIOS SOCIALES Y DE SALUD</v>
      </c>
      <c r="DG730" t="str">
        <v>4165 SERVICIOS SOCIALES Y DE SALUD</v>
      </c>
      <c r="DH730" t="str">
        <v>4165 SERVICIOS SOCIALES Y DE SALUD</v>
      </c>
      <c r="DI730" t="str">
        <v>4165 SERVICIOS SOCIALES Y DE SALUD</v>
      </c>
      <c r="DJ730" t="str">
        <v>4165 SERVICIOS SOCIALES Y DE SALUD</v>
      </c>
      <c r="DK730" t="str">
        <v>4165 SERVICIOS SOCIALES Y DE SALUD</v>
      </c>
      <c r="DL730" t="str">
        <v>4165 SERVICIOS SOCIALES Y DE SALUD</v>
      </c>
      <c r="DM730" t="str">
        <v>4165 SERVICIOS SOCIALES Y DE SALUD</v>
      </c>
      <c r="DN730" t="str">
        <v>4165 SERVICIOS SOCIALES Y DE SALUD</v>
      </c>
      <c r="DO730" t="str">
        <v>4165 SERVICIOS SOCIALES Y DE SALUD</v>
      </c>
      <c r="DP730" t="str">
        <v>4165 SERVICIOS SOCIALES Y DE SALUD</v>
      </c>
    </row>
    <row r="731" spans="4:120" ht="12.75">
      <c r="D731" s="7">
        <v>416530</v>
      </c>
      <c r="E731" s="6" t="s">
        <v>796</v>
      </c>
      <c r="F731" s="5">
        <v>4</v>
      </c>
      <c r="G731" s="34" t="s">
        <v>829</v>
      </c>
      <c r="H731" s="8" t="s">
        <v>56</v>
      </c>
      <c r="I731" t="b">
        <f>+ISNUMBER(SEARCH('F-COMPRA'!$F$28,Tabla11[[#This Row],[Cuenta]],1))</f>
        <v>1</v>
      </c>
      <c r="J731" t="b">
        <f>+ISNUMBER(SEARCH('F-COMPRA'!$F$29,Tabla11[[#This Row],[Cuenta]],1))</f>
        <v>1</v>
      </c>
      <c r="K731" t="b">
        <f>+ISNUMBER(SEARCH('F-COMPRA'!$F$30,Tabla11[[#This Row],[Cuenta]],1))</f>
        <v>1</v>
      </c>
      <c r="L731" t="b">
        <f>+ISNUMBER(SEARCH('F-COMPRA'!$F$31,Tabla11[[#This Row],[Cuenta]],1))</f>
        <v>1</v>
      </c>
      <c r="M731" t="b">
        <f>+ISNUMBER(SEARCH('F-COMPRA'!$G$25,Tabla11[[#This Row],[Cuenta]],1))</f>
        <v>0</v>
      </c>
      <c r="N731" t="b">
        <f>+ISNUMBER(SEARCH(#REF!,Tabla11[[#This Row],[Cuenta]],1))</f>
        <v>0</v>
      </c>
      <c r="O731" t="b">
        <f>+ISNUMBER(SEARCH(#REF!,Tabla11[[#This Row],[Cuenta]],1))</f>
        <v>0</v>
      </c>
      <c r="P731" t="b">
        <f>+ISNUMBER(SEARCH('F-COMPRA'!$F$32,Tabla11[[#This Row],[Cuenta]],1))</f>
        <v>1</v>
      </c>
      <c r="Q731" t="b">
        <f>+ISNUMBER(SEARCH('F-COMPRA'!$F$33,Tabla11[[#This Row],[Cuenta]],1))</f>
        <v>1</v>
      </c>
      <c r="R731" t="b">
        <f>+ISNUMBER(SEARCH('F-COMPRA'!$F$34,Tabla11[[#This Row],[Cuenta]],1))</f>
        <v>1</v>
      </c>
      <c r="S731" t="b">
        <f>+ISNUMBER(SEARCH('F-COMPRA'!$F$35,Tabla11[[#This Row],[Cuenta]],1))</f>
        <v>1</v>
      </c>
      <c r="T731" t="b">
        <f>+ISNUMBER(SEARCH('F-COMPRA'!$F$36,Tabla11[[#This Row],[Cuenta]],1))</f>
        <v>1</v>
      </c>
      <c r="U731" t="b">
        <f>+ISNUMBER(SEARCH('F-COMPRA'!$F$37,Tabla11[[#This Row],[Cuenta]],1))</f>
        <v>1</v>
      </c>
      <c r="V731" t="b">
        <f>+ISNUMBER(SEARCH(#REF!,Tabla11[[#This Row],[Cuenta]],1))</f>
        <v>0</v>
      </c>
      <c r="W731" t="b">
        <f>+ISNUMBER(SEARCH('F-COMPRA'!#REF!,Tabla11[[#This Row],[Cuenta]],1))</f>
        <v>0</v>
      </c>
      <c r="X731" t="b">
        <f>+ISNUMBER(SEARCH('F-COMPRA'!#REF!,Tabla11[[#This Row],[Cuenta]],1))</f>
        <v>0</v>
      </c>
      <c r="Y731" t="b">
        <f>+ISNUMBER(SEARCH('F-COMPRA'!#REF!,Tabla11[[#This Row],[Cuenta]],1))</f>
        <v>0</v>
      </c>
      <c r="Z731" t="b">
        <f>+ISNUMBER(SEARCH('F-COMPRA'!#REF!,Tabla11[[#This Row],[Cuenta]],1))</f>
        <v>0</v>
      </c>
      <c r="AA731" t="b">
        <f>+ISNUMBER(SEARCH('F-COMPRA'!#REF!,Tabla11[[#This Row],[Cuenta]],1))</f>
        <v>0</v>
      </c>
      <c r="AB731" t="b">
        <f>+ISNUMBER(SEARCH('F-COMPRA'!#REF!,Tabla11[[#This Row],[Cuenta]],1))</f>
        <v>0</v>
      </c>
      <c r="AC731" t="b">
        <f>+ISNUMBER(SEARCH('F-COMPRA'!#REF!,Tabla11[[#This Row],[Cuenta]],1))</f>
        <v>0</v>
      </c>
      <c r="AD731" t="b">
        <f>+ISNUMBER(SEARCH('F-COMPRA'!#REF!,Tabla11[[#This Row],[Cuenta]],1))</f>
        <v>0</v>
      </c>
      <c r="AE731" t="b">
        <f>+ISNUMBER(SEARCH('F-COMPRA'!#REF!,Tabla11[[#This Row],[Cuenta]],1))</f>
        <v>0</v>
      </c>
      <c r="AF731" t="b">
        <f>+ISNUMBER(SEARCH('F-VTA'!$G$23,Tabla11[[#This Row],[Cuenta]],1))</f>
        <v>0</v>
      </c>
      <c r="AG731" t="b">
        <f>+ISNUMBER(SEARCH('F-VTA'!$G$24,Tabla11[[#This Row],[Cuenta]],1))</f>
        <v>0</v>
      </c>
      <c r="AH731" t="b">
        <f>+ISNUMBER(SEARCH('F-VTA'!$G$25,Tabla11[[#This Row],[Cuenta]],1))</f>
        <v>0</v>
      </c>
      <c r="AI731" t="b">
        <f>+ISNUMBER(SEARCH('F-VTA'!$F$28,Tabla11[[#This Row],[Cuenta]],1))</f>
        <v>1</v>
      </c>
      <c r="AJ731" t="b">
        <f>+ISNUMBER(SEARCH('F-VTA'!$F$29,Tabla11[[#This Row],[Cuenta]],1))</f>
        <v>1</v>
      </c>
      <c r="AK731" t="b">
        <f>+ISNUMBER(SEARCH('F-VTA'!$F$30,Tabla11[[#This Row],[Cuenta]],1))</f>
        <v>1</v>
      </c>
      <c r="AL731" t="b">
        <f>+ISNUMBER(SEARCH('F-VTA'!$F$31,Tabla11[[#This Row],[Cuenta]],1))</f>
        <v>1</v>
      </c>
      <c r="AM731" t="b">
        <f>+ISNUMBER(SEARCH('F-VTA'!$F$32,Tabla11[[#This Row],[Cuenta]],1))</f>
        <v>1</v>
      </c>
      <c r="AN731" t="b">
        <f>+ISNUMBER(SEARCH('F-VTA'!$F$33,Tabla11[[#This Row],[Cuenta]],1))</f>
        <v>1</v>
      </c>
      <c r="AO731" t="b">
        <f>+ISNUMBER(SEARCH('F-VTA'!$F$34,Tabla11[[#This Row],[Cuenta]],1))</f>
        <v>1</v>
      </c>
      <c r="AP731" t="b">
        <f>+ISNUMBER(SEARCH('F-VTA'!$F$35,Tabla11[[#This Row],[Cuenta]],1))</f>
        <v>1</v>
      </c>
      <c r="AQ731" t="b">
        <f>+ISNUMBER(SEARCH('F-VTA'!$F$36,Tabla11[[#This Row],[Cuenta]],1))</f>
        <v>1</v>
      </c>
      <c r="AR731" t="b">
        <f>+ISNUMBER(SEARCH(#REF!,Tabla11[[#This Row],[Cuenta]],1))</f>
        <v>0</v>
      </c>
      <c r="AS731" t="b">
        <f>+ISNUMBER(SEARCH(#REF!,Tabla11[[#This Row],[Cuenta]],1))</f>
        <v>0</v>
      </c>
      <c r="AT731" t="b">
        <f>+ISNUMBER(SEARCH(#REF!,Tabla11[[#This Row],[Cuenta]],1))</f>
        <v>0</v>
      </c>
      <c r="AU731" t="b">
        <f>+ISNUMBER(SEARCH('Conc. Ban.1'!$I$9,Tabla11[[#This Row],[Cuenta]],1))</f>
        <v>0</v>
      </c>
      <c r="AV731" t="b">
        <f>+ISNUMBER(SEARCH(CompConta!$F$21,Tabla11[[#This Row],[Cuenta]],1))</f>
        <v>1</v>
      </c>
      <c r="AW731" t="b">
        <f>+ISNUMBER(SEARCH(CompConta!$F$22,Tabla11[[#This Row],[Cuenta]],1))</f>
        <v>1</v>
      </c>
      <c r="AX731" t="b">
        <f>+ISNUMBER(SEARCH(CompConta!$F$23,Tabla11[[#This Row],[Cuenta]],1))</f>
        <v>1</v>
      </c>
      <c r="AY731" t="b">
        <f>+ISNUMBER(SEARCH(CompConta!$F$24,Tabla11[[#This Row],[Cuenta]],1))</f>
        <v>1</v>
      </c>
      <c r="AZ731" t="b">
        <f>+ISNUMBER(SEARCH(CompConta!$F$25,Tabla11[[#This Row],[Cuenta]],1))</f>
        <v>1</v>
      </c>
      <c r="BA731" t="b">
        <f>+ISNUMBER(SEARCH(CompConta!$F$26,Tabla11[[#This Row],[Cuenta]],1))</f>
        <v>1</v>
      </c>
      <c r="BB731" t="b">
        <f>+ISNUMBER(SEARCH(CompConta!$F$27,Tabla11[[#This Row],[Cuenta]],1))</f>
        <v>1</v>
      </c>
      <c r="BC731" t="b">
        <f>+ISNUMBER(SEARCH(CompConta!$F$28,Tabla11[[#This Row],[Cuenta]],1))</f>
        <v>1</v>
      </c>
      <c r="BD731" t="b">
        <f>+ISNUMBER(SEARCH(CompConta!$F$29,Tabla11[[#This Row],[Cuenta]],1))</f>
        <v>1</v>
      </c>
      <c r="BE731" t="b">
        <f>+ISNUMBER(SEARCH(CompConta!$F$30,Tabla11[[#This Row],[Cuenta]],1))</f>
        <v>1</v>
      </c>
      <c r="BF731" t="b">
        <f>+ISNUMBER(SEARCH('PAGO Compras'!$E$11,Tabla11[[#This Row],[Cuenta]],1))</f>
        <v>1</v>
      </c>
      <c r="BG731" t="b">
        <f>+ISNUMBER(SEARCH(#REF!,Tabla11[[#This Row],[Cuenta]],1))</f>
        <v>0</v>
      </c>
      <c r="BH731" t="b">
        <f>+ISNUMBER(SEARCH(#REF!,Tabla11[[#This Row],[Cuenta]],1))</f>
        <v>0</v>
      </c>
      <c r="BI731" t="b">
        <f>+ISNUMBER(SEARCH(#REF!,Tabla11[[#This Row],[Cuenta]],1))</f>
        <v>0</v>
      </c>
      <c r="BJ731" t="b">
        <f>+ISNUMBER(SEARCH(#REF!,Tabla11[[#This Row],[Cuenta]],1))</f>
        <v>0</v>
      </c>
      <c r="BS731" t="str">
        <v>416530 ACTIVIDADES DE SERVICIOS SOCIALES</v>
      </c>
      <c r="BT731" t="str">
        <v>416530 ACTIVIDADES DE SERVICIOS SOCIALES</v>
      </c>
      <c r="BU731" t="str">
        <v>416530 ACTIVIDADES DE SERVICIOS SOCIALES</v>
      </c>
      <c r="BV731" t="str">
        <v>416530 ACTIVIDADES DE SERVICIOS SOCIALES</v>
      </c>
      <c r="BZ731" t="str">
        <v>416530 ACTIVIDADES DE SERVICIOS SOCIALES</v>
      </c>
      <c r="CA731" t="str">
        <v>416530 ACTIVIDADES DE SERVICIOS SOCIALES</v>
      </c>
      <c r="CB731" t="str">
        <v>416530 ACTIVIDADES DE SERVICIOS SOCIALES</v>
      </c>
      <c r="CC731" t="str">
        <v>416530 ACTIVIDADES DE SERVICIOS SOCIALES</v>
      </c>
      <c r="CD731" t="str">
        <v>416530 ACTIVIDADES DE SERVICIOS SOCIALES</v>
      </c>
      <c r="CE731" t="str">
        <v>416530 ACTIVIDADES DE SERVICIOS SOCIALES</v>
      </c>
      <c r="CS731" s="141" t="str">
        <v>416530 ACTIVIDADES DE SERVICIOS SOCIALES</v>
      </c>
      <c r="CT731" s="141" t="str">
        <v>416530 ACTIVIDADES DE SERVICIOS SOCIALES</v>
      </c>
      <c r="CU731" s="141" t="str">
        <v>416530 ACTIVIDADES DE SERVICIOS SOCIALES</v>
      </c>
      <c r="CV731" s="141" t="str">
        <v>416530 ACTIVIDADES DE SERVICIOS SOCIALES</v>
      </c>
      <c r="CW731" s="141" t="str">
        <v>416530 ACTIVIDADES DE SERVICIOS SOCIALES</v>
      </c>
      <c r="CX731" s="141" t="str">
        <v>416530 ACTIVIDADES DE SERVICIOS SOCIALES</v>
      </c>
      <c r="CY731" s="141" t="str">
        <v>416530 ACTIVIDADES DE SERVICIOS SOCIALES</v>
      </c>
      <c r="CZ731" s="141" t="str">
        <v>416530 ACTIVIDADES DE SERVICIOS SOCIALES</v>
      </c>
      <c r="DA731" s="141" t="str">
        <v>416530 ACTIVIDADES DE SERVICIOS SOCIALES</v>
      </c>
      <c r="DF731" t="str">
        <v>416530 ACTIVIDADES DE SERVICIOS SOCIALES</v>
      </c>
      <c r="DG731" t="str">
        <v>416530 ACTIVIDADES DE SERVICIOS SOCIALES</v>
      </c>
      <c r="DH731" t="str">
        <v>416530 ACTIVIDADES DE SERVICIOS SOCIALES</v>
      </c>
      <c r="DI731" t="str">
        <v>416530 ACTIVIDADES DE SERVICIOS SOCIALES</v>
      </c>
      <c r="DJ731" t="str">
        <v>416530 ACTIVIDADES DE SERVICIOS SOCIALES</v>
      </c>
      <c r="DK731" t="str">
        <v>416530 ACTIVIDADES DE SERVICIOS SOCIALES</v>
      </c>
      <c r="DL731" t="str">
        <v>416530 ACTIVIDADES DE SERVICIOS SOCIALES</v>
      </c>
      <c r="DM731" t="str">
        <v>416530 ACTIVIDADES DE SERVICIOS SOCIALES</v>
      </c>
      <c r="DN731" t="str">
        <v>416530 ACTIVIDADES DE SERVICIOS SOCIALES</v>
      </c>
      <c r="DO731" t="str">
        <v>416530 ACTIVIDADES DE SERVICIOS SOCIALES</v>
      </c>
      <c r="DP731" t="str">
        <v>416530 ACTIVIDADES DE SERVICIOS SOCIALES</v>
      </c>
    </row>
    <row r="732" spans="4:120" ht="12.75">
      <c r="D732" s="7">
        <v>41653005</v>
      </c>
      <c r="E732" s="6" t="s">
        <v>797</v>
      </c>
      <c r="F732" s="5">
        <v>5</v>
      </c>
      <c r="G732" s="34" t="s">
        <v>829</v>
      </c>
      <c r="H732" s="8" t="s">
        <v>56</v>
      </c>
      <c r="I732" t="b">
        <f>+ISNUMBER(SEARCH('F-COMPRA'!$F$28,Tabla11[[#This Row],[Cuenta]],1))</f>
        <v>1</v>
      </c>
      <c r="J732" t="b">
        <f>+ISNUMBER(SEARCH('F-COMPRA'!$F$29,Tabla11[[#This Row],[Cuenta]],1))</f>
        <v>1</v>
      </c>
      <c r="K732" t="b">
        <f>+ISNUMBER(SEARCH('F-COMPRA'!$F$30,Tabla11[[#This Row],[Cuenta]],1))</f>
        <v>1</v>
      </c>
      <c r="L732" t="b">
        <f>+ISNUMBER(SEARCH('F-COMPRA'!$F$31,Tabla11[[#This Row],[Cuenta]],1))</f>
        <v>1</v>
      </c>
      <c r="M732" t="b">
        <f>+ISNUMBER(SEARCH('F-COMPRA'!$G$25,Tabla11[[#This Row],[Cuenta]],1))</f>
        <v>0</v>
      </c>
      <c r="N732" t="b">
        <f>+ISNUMBER(SEARCH(#REF!,Tabla11[[#This Row],[Cuenta]],1))</f>
        <v>0</v>
      </c>
      <c r="O732" t="b">
        <f>+ISNUMBER(SEARCH(#REF!,Tabla11[[#This Row],[Cuenta]],1))</f>
        <v>0</v>
      </c>
      <c r="P732" t="b">
        <f>+ISNUMBER(SEARCH('F-COMPRA'!$F$32,Tabla11[[#This Row],[Cuenta]],1))</f>
        <v>1</v>
      </c>
      <c r="Q732" t="b">
        <f>+ISNUMBER(SEARCH('F-COMPRA'!$F$33,Tabla11[[#This Row],[Cuenta]],1))</f>
        <v>1</v>
      </c>
      <c r="R732" t="b">
        <f>+ISNUMBER(SEARCH('F-COMPRA'!$F$34,Tabla11[[#This Row],[Cuenta]],1))</f>
        <v>1</v>
      </c>
      <c r="S732" t="b">
        <f>+ISNUMBER(SEARCH('F-COMPRA'!$F$35,Tabla11[[#This Row],[Cuenta]],1))</f>
        <v>1</v>
      </c>
      <c r="T732" t="b">
        <f>+ISNUMBER(SEARCH('F-COMPRA'!$F$36,Tabla11[[#This Row],[Cuenta]],1))</f>
        <v>1</v>
      </c>
      <c r="U732" t="b">
        <f>+ISNUMBER(SEARCH('F-COMPRA'!$F$37,Tabla11[[#This Row],[Cuenta]],1))</f>
        <v>1</v>
      </c>
      <c r="V732" t="b">
        <f>+ISNUMBER(SEARCH(#REF!,Tabla11[[#This Row],[Cuenta]],1))</f>
        <v>0</v>
      </c>
      <c r="W732" t="b">
        <f>+ISNUMBER(SEARCH('F-COMPRA'!#REF!,Tabla11[[#This Row],[Cuenta]],1))</f>
        <v>0</v>
      </c>
      <c r="X732" t="b">
        <f>+ISNUMBER(SEARCH('F-COMPRA'!#REF!,Tabla11[[#This Row],[Cuenta]],1))</f>
        <v>0</v>
      </c>
      <c r="Y732" t="b">
        <f>+ISNUMBER(SEARCH('F-COMPRA'!#REF!,Tabla11[[#This Row],[Cuenta]],1))</f>
        <v>0</v>
      </c>
      <c r="Z732" t="b">
        <f>+ISNUMBER(SEARCH('F-COMPRA'!#REF!,Tabla11[[#This Row],[Cuenta]],1))</f>
        <v>0</v>
      </c>
      <c r="AA732" t="b">
        <f>+ISNUMBER(SEARCH('F-COMPRA'!#REF!,Tabla11[[#This Row],[Cuenta]],1))</f>
        <v>0</v>
      </c>
      <c r="AB732" t="b">
        <f>+ISNUMBER(SEARCH('F-COMPRA'!#REF!,Tabla11[[#This Row],[Cuenta]],1))</f>
        <v>0</v>
      </c>
      <c r="AC732" t="b">
        <f>+ISNUMBER(SEARCH('F-COMPRA'!#REF!,Tabla11[[#This Row],[Cuenta]],1))</f>
        <v>0</v>
      </c>
      <c r="AD732" t="b">
        <f>+ISNUMBER(SEARCH('F-COMPRA'!#REF!,Tabla11[[#This Row],[Cuenta]],1))</f>
        <v>0</v>
      </c>
      <c r="AE732" t="b">
        <f>+ISNUMBER(SEARCH('F-COMPRA'!#REF!,Tabla11[[#This Row],[Cuenta]],1))</f>
        <v>0</v>
      </c>
      <c r="AF732" t="b">
        <f>+ISNUMBER(SEARCH('F-VTA'!$G$23,Tabla11[[#This Row],[Cuenta]],1))</f>
        <v>0</v>
      </c>
      <c r="AG732" t="b">
        <f>+ISNUMBER(SEARCH('F-VTA'!$G$24,Tabla11[[#This Row],[Cuenta]],1))</f>
        <v>0</v>
      </c>
      <c r="AH732" t="b">
        <f>+ISNUMBER(SEARCH('F-VTA'!$G$25,Tabla11[[#This Row],[Cuenta]],1))</f>
        <v>0</v>
      </c>
      <c r="AI732" t="b">
        <f>+ISNUMBER(SEARCH('F-VTA'!$F$28,Tabla11[[#This Row],[Cuenta]],1))</f>
        <v>1</v>
      </c>
      <c r="AJ732" t="b">
        <f>+ISNUMBER(SEARCH('F-VTA'!$F$29,Tabla11[[#This Row],[Cuenta]],1))</f>
        <v>1</v>
      </c>
      <c r="AK732" t="b">
        <f>+ISNUMBER(SEARCH('F-VTA'!$F$30,Tabla11[[#This Row],[Cuenta]],1))</f>
        <v>1</v>
      </c>
      <c r="AL732" t="b">
        <f>+ISNUMBER(SEARCH('F-VTA'!$F$31,Tabla11[[#This Row],[Cuenta]],1))</f>
        <v>1</v>
      </c>
      <c r="AM732" t="b">
        <f>+ISNUMBER(SEARCH('F-VTA'!$F$32,Tabla11[[#This Row],[Cuenta]],1))</f>
        <v>1</v>
      </c>
      <c r="AN732" t="b">
        <f>+ISNUMBER(SEARCH('F-VTA'!$F$33,Tabla11[[#This Row],[Cuenta]],1))</f>
        <v>1</v>
      </c>
      <c r="AO732" t="b">
        <f>+ISNUMBER(SEARCH('F-VTA'!$F$34,Tabla11[[#This Row],[Cuenta]],1))</f>
        <v>1</v>
      </c>
      <c r="AP732" t="b">
        <f>+ISNUMBER(SEARCH('F-VTA'!$F$35,Tabla11[[#This Row],[Cuenta]],1))</f>
        <v>1</v>
      </c>
      <c r="AQ732" t="b">
        <f>+ISNUMBER(SEARCH('F-VTA'!$F$36,Tabla11[[#This Row],[Cuenta]],1))</f>
        <v>1</v>
      </c>
      <c r="AR732" t="b">
        <f>+ISNUMBER(SEARCH(#REF!,Tabla11[[#This Row],[Cuenta]],1))</f>
        <v>0</v>
      </c>
      <c r="AS732" t="b">
        <f>+ISNUMBER(SEARCH(#REF!,Tabla11[[#This Row],[Cuenta]],1))</f>
        <v>0</v>
      </c>
      <c r="AT732" t="b">
        <f>+ISNUMBER(SEARCH(#REF!,Tabla11[[#This Row],[Cuenta]],1))</f>
        <v>0</v>
      </c>
      <c r="AU732" t="b">
        <f>+ISNUMBER(SEARCH('Conc. Ban.1'!$I$9,Tabla11[[#This Row],[Cuenta]],1))</f>
        <v>0</v>
      </c>
      <c r="AV732" t="b">
        <f>+ISNUMBER(SEARCH(CompConta!$F$21,Tabla11[[#This Row],[Cuenta]],1))</f>
        <v>1</v>
      </c>
      <c r="AW732" t="b">
        <f>+ISNUMBER(SEARCH(CompConta!$F$22,Tabla11[[#This Row],[Cuenta]],1))</f>
        <v>1</v>
      </c>
      <c r="AX732" t="b">
        <f>+ISNUMBER(SEARCH(CompConta!$F$23,Tabla11[[#This Row],[Cuenta]],1))</f>
        <v>1</v>
      </c>
      <c r="AY732" t="b">
        <f>+ISNUMBER(SEARCH(CompConta!$F$24,Tabla11[[#This Row],[Cuenta]],1))</f>
        <v>1</v>
      </c>
      <c r="AZ732" t="b">
        <f>+ISNUMBER(SEARCH(CompConta!$F$25,Tabla11[[#This Row],[Cuenta]],1))</f>
        <v>1</v>
      </c>
      <c r="BA732" t="b">
        <f>+ISNUMBER(SEARCH(CompConta!$F$26,Tabla11[[#This Row],[Cuenta]],1))</f>
        <v>1</v>
      </c>
      <c r="BB732" t="b">
        <f>+ISNUMBER(SEARCH(CompConta!$F$27,Tabla11[[#This Row],[Cuenta]],1))</f>
        <v>1</v>
      </c>
      <c r="BC732" t="b">
        <f>+ISNUMBER(SEARCH(CompConta!$F$28,Tabla11[[#This Row],[Cuenta]],1))</f>
        <v>1</v>
      </c>
      <c r="BD732" t="b">
        <f>+ISNUMBER(SEARCH(CompConta!$F$29,Tabla11[[#This Row],[Cuenta]],1))</f>
        <v>1</v>
      </c>
      <c r="BE732" t="b">
        <f>+ISNUMBER(SEARCH(CompConta!$F$30,Tabla11[[#This Row],[Cuenta]],1))</f>
        <v>1</v>
      </c>
      <c r="BF732" t="b">
        <f>+ISNUMBER(SEARCH('PAGO Compras'!$E$11,Tabla11[[#This Row],[Cuenta]],1))</f>
        <v>1</v>
      </c>
      <c r="BG732" t="b">
        <f>+ISNUMBER(SEARCH(#REF!,Tabla11[[#This Row],[Cuenta]],1))</f>
        <v>0</v>
      </c>
      <c r="BH732" t="b">
        <f>+ISNUMBER(SEARCH(#REF!,Tabla11[[#This Row],[Cuenta]],1))</f>
        <v>0</v>
      </c>
      <c r="BI732" t="b">
        <f>+ISNUMBER(SEARCH(#REF!,Tabla11[[#This Row],[Cuenta]],1))</f>
        <v>0</v>
      </c>
      <c r="BJ732" t="b">
        <f>+ISNUMBER(SEARCH(#REF!,Tabla11[[#This Row],[Cuenta]],1))</f>
        <v>0</v>
      </c>
      <c r="BS732" t="str">
        <v>41653005 OFRENDAS GENERALES</v>
      </c>
      <c r="BT732" t="str">
        <v>41653005 OFRENDAS GENERALES</v>
      </c>
      <c r="BU732" t="str">
        <v>41653005 OFRENDAS GENERALES</v>
      </c>
      <c r="BV732" t="str">
        <v>41653005 OFRENDAS GENERALES</v>
      </c>
      <c r="BZ732" t="str">
        <v>41653005 OFRENDAS GENERALES</v>
      </c>
      <c r="CA732" t="str">
        <v>41653005 OFRENDAS GENERALES</v>
      </c>
      <c r="CB732" t="str">
        <v>41653005 OFRENDAS GENERALES</v>
      </c>
      <c r="CC732" t="str">
        <v>41653005 OFRENDAS GENERALES</v>
      </c>
      <c r="CD732" t="str">
        <v>41653005 OFRENDAS GENERALES</v>
      </c>
      <c r="CE732" t="str">
        <v>41653005 OFRENDAS GENERALES</v>
      </c>
      <c r="CS732" s="141" t="str">
        <v>41653005 OFRENDAS GENERALES</v>
      </c>
      <c r="CT732" s="141" t="str">
        <v>41653005 OFRENDAS GENERALES</v>
      </c>
      <c r="CU732" s="141" t="str">
        <v>41653005 OFRENDAS GENERALES</v>
      </c>
      <c r="CV732" s="141" t="str">
        <v>41653005 OFRENDAS GENERALES</v>
      </c>
      <c r="CW732" s="141" t="str">
        <v>41653005 OFRENDAS GENERALES</v>
      </c>
      <c r="CX732" s="141" t="str">
        <v>41653005 OFRENDAS GENERALES</v>
      </c>
      <c r="CY732" s="141" t="str">
        <v>41653005 OFRENDAS GENERALES</v>
      </c>
      <c r="CZ732" s="141" t="str">
        <v>41653005 OFRENDAS GENERALES</v>
      </c>
      <c r="DA732" s="141" t="str">
        <v>41653005 OFRENDAS GENERALES</v>
      </c>
      <c r="DF732" t="str">
        <v>41653005 OFRENDAS GENERALES</v>
      </c>
      <c r="DG732" t="str">
        <v>41653005 OFRENDAS GENERALES</v>
      </c>
      <c r="DH732" t="str">
        <v>41653005 OFRENDAS GENERALES</v>
      </c>
      <c r="DI732" t="str">
        <v>41653005 OFRENDAS GENERALES</v>
      </c>
      <c r="DJ732" t="str">
        <v>41653005 OFRENDAS GENERALES</v>
      </c>
      <c r="DK732" t="str">
        <v>41653005 OFRENDAS GENERALES</v>
      </c>
      <c r="DL732" t="str">
        <v>41653005 OFRENDAS GENERALES</v>
      </c>
      <c r="DM732" t="str">
        <v>41653005 OFRENDAS GENERALES</v>
      </c>
      <c r="DN732" t="str">
        <v>41653005 OFRENDAS GENERALES</v>
      </c>
      <c r="DO732" t="str">
        <v>41653005 OFRENDAS GENERALES</v>
      </c>
      <c r="DP732" t="str">
        <v>41653005 OFRENDAS GENERALES</v>
      </c>
    </row>
    <row r="733" spans="4:120" ht="12.75">
      <c r="D733" s="7">
        <v>41653010</v>
      </c>
      <c r="E733" s="6" t="s">
        <v>798</v>
      </c>
      <c r="F733" s="5">
        <v>5</v>
      </c>
      <c r="G733" s="34" t="s">
        <v>829</v>
      </c>
      <c r="H733" s="8" t="s">
        <v>56</v>
      </c>
      <c r="I733" t="b">
        <f>+ISNUMBER(SEARCH('F-COMPRA'!$F$28,Tabla11[[#This Row],[Cuenta]],1))</f>
        <v>1</v>
      </c>
      <c r="J733" t="b">
        <f>+ISNUMBER(SEARCH('F-COMPRA'!$F$29,Tabla11[[#This Row],[Cuenta]],1))</f>
        <v>1</v>
      </c>
      <c r="K733" t="b">
        <f>+ISNUMBER(SEARCH('F-COMPRA'!$F$30,Tabla11[[#This Row],[Cuenta]],1))</f>
        <v>1</v>
      </c>
      <c r="L733" t="b">
        <f>+ISNUMBER(SEARCH('F-COMPRA'!$F$31,Tabla11[[#This Row],[Cuenta]],1))</f>
        <v>1</v>
      </c>
      <c r="M733" t="b">
        <f>+ISNUMBER(SEARCH('F-COMPRA'!$G$25,Tabla11[[#This Row],[Cuenta]],1))</f>
        <v>0</v>
      </c>
      <c r="N733" t="b">
        <f>+ISNUMBER(SEARCH(#REF!,Tabla11[[#This Row],[Cuenta]],1))</f>
        <v>0</v>
      </c>
      <c r="O733" t="b">
        <f>+ISNUMBER(SEARCH(#REF!,Tabla11[[#This Row],[Cuenta]],1))</f>
        <v>0</v>
      </c>
      <c r="P733" t="b">
        <f>+ISNUMBER(SEARCH('F-COMPRA'!$F$32,Tabla11[[#This Row],[Cuenta]],1))</f>
        <v>1</v>
      </c>
      <c r="Q733" t="b">
        <f>+ISNUMBER(SEARCH('F-COMPRA'!$F$33,Tabla11[[#This Row],[Cuenta]],1))</f>
        <v>1</v>
      </c>
      <c r="R733" t="b">
        <f>+ISNUMBER(SEARCH('F-COMPRA'!$F$34,Tabla11[[#This Row],[Cuenta]],1))</f>
        <v>1</v>
      </c>
      <c r="S733" t="b">
        <f>+ISNUMBER(SEARCH('F-COMPRA'!$F$35,Tabla11[[#This Row],[Cuenta]],1))</f>
        <v>1</v>
      </c>
      <c r="T733" t="b">
        <f>+ISNUMBER(SEARCH('F-COMPRA'!$F$36,Tabla11[[#This Row],[Cuenta]],1))</f>
        <v>1</v>
      </c>
      <c r="U733" t="b">
        <f>+ISNUMBER(SEARCH('F-COMPRA'!$F$37,Tabla11[[#This Row],[Cuenta]],1))</f>
        <v>1</v>
      </c>
      <c r="V733" t="b">
        <f>+ISNUMBER(SEARCH(#REF!,Tabla11[[#This Row],[Cuenta]],1))</f>
        <v>0</v>
      </c>
      <c r="W733" t="b">
        <f>+ISNUMBER(SEARCH('F-COMPRA'!#REF!,Tabla11[[#This Row],[Cuenta]],1))</f>
        <v>0</v>
      </c>
      <c r="X733" t="b">
        <f>+ISNUMBER(SEARCH('F-COMPRA'!#REF!,Tabla11[[#This Row],[Cuenta]],1))</f>
        <v>0</v>
      </c>
      <c r="Y733" t="b">
        <f>+ISNUMBER(SEARCH('F-COMPRA'!#REF!,Tabla11[[#This Row],[Cuenta]],1))</f>
        <v>0</v>
      </c>
      <c r="Z733" t="b">
        <f>+ISNUMBER(SEARCH('F-COMPRA'!#REF!,Tabla11[[#This Row],[Cuenta]],1))</f>
        <v>0</v>
      </c>
      <c r="AA733" t="b">
        <f>+ISNUMBER(SEARCH('F-COMPRA'!#REF!,Tabla11[[#This Row],[Cuenta]],1))</f>
        <v>0</v>
      </c>
      <c r="AB733" t="b">
        <f>+ISNUMBER(SEARCH('F-COMPRA'!#REF!,Tabla11[[#This Row],[Cuenta]],1))</f>
        <v>0</v>
      </c>
      <c r="AC733" t="b">
        <f>+ISNUMBER(SEARCH('F-COMPRA'!#REF!,Tabla11[[#This Row],[Cuenta]],1))</f>
        <v>0</v>
      </c>
      <c r="AD733" t="b">
        <f>+ISNUMBER(SEARCH('F-COMPRA'!#REF!,Tabla11[[#This Row],[Cuenta]],1))</f>
        <v>0</v>
      </c>
      <c r="AE733" t="b">
        <f>+ISNUMBER(SEARCH('F-COMPRA'!#REF!,Tabla11[[#This Row],[Cuenta]],1))</f>
        <v>0</v>
      </c>
      <c r="AF733" t="b">
        <f>+ISNUMBER(SEARCH('F-VTA'!$G$23,Tabla11[[#This Row],[Cuenta]],1))</f>
        <v>0</v>
      </c>
      <c r="AG733" t="b">
        <f>+ISNUMBER(SEARCH('F-VTA'!$G$24,Tabla11[[#This Row],[Cuenta]],1))</f>
        <v>0</v>
      </c>
      <c r="AH733" t="b">
        <f>+ISNUMBER(SEARCH('F-VTA'!$G$25,Tabla11[[#This Row],[Cuenta]],1))</f>
        <v>0</v>
      </c>
      <c r="AI733" t="b">
        <f>+ISNUMBER(SEARCH('F-VTA'!$F$28,Tabla11[[#This Row],[Cuenta]],1))</f>
        <v>1</v>
      </c>
      <c r="AJ733" t="b">
        <f>+ISNUMBER(SEARCH('F-VTA'!$F$29,Tabla11[[#This Row],[Cuenta]],1))</f>
        <v>1</v>
      </c>
      <c r="AK733" t="b">
        <f>+ISNUMBER(SEARCH('F-VTA'!$F$30,Tabla11[[#This Row],[Cuenta]],1))</f>
        <v>1</v>
      </c>
      <c r="AL733" t="b">
        <f>+ISNUMBER(SEARCH('F-VTA'!$F$31,Tabla11[[#This Row],[Cuenta]],1))</f>
        <v>1</v>
      </c>
      <c r="AM733" t="b">
        <f>+ISNUMBER(SEARCH('F-VTA'!$F$32,Tabla11[[#This Row],[Cuenta]],1))</f>
        <v>1</v>
      </c>
      <c r="AN733" t="b">
        <f>+ISNUMBER(SEARCH('F-VTA'!$F$33,Tabla11[[#This Row],[Cuenta]],1))</f>
        <v>1</v>
      </c>
      <c r="AO733" t="b">
        <f>+ISNUMBER(SEARCH('F-VTA'!$F$34,Tabla11[[#This Row],[Cuenta]],1))</f>
        <v>1</v>
      </c>
      <c r="AP733" t="b">
        <f>+ISNUMBER(SEARCH('F-VTA'!$F$35,Tabla11[[#This Row],[Cuenta]],1))</f>
        <v>1</v>
      </c>
      <c r="AQ733" t="b">
        <f>+ISNUMBER(SEARCH('F-VTA'!$F$36,Tabla11[[#This Row],[Cuenta]],1))</f>
        <v>1</v>
      </c>
      <c r="AR733" t="b">
        <f>+ISNUMBER(SEARCH(#REF!,Tabla11[[#This Row],[Cuenta]],1))</f>
        <v>0</v>
      </c>
      <c r="AS733" t="b">
        <f>+ISNUMBER(SEARCH(#REF!,Tabla11[[#This Row],[Cuenta]],1))</f>
        <v>0</v>
      </c>
      <c r="AT733" t="b">
        <f>+ISNUMBER(SEARCH(#REF!,Tabla11[[#This Row],[Cuenta]],1))</f>
        <v>0</v>
      </c>
      <c r="AU733" t="b">
        <f>+ISNUMBER(SEARCH('Conc. Ban.1'!$I$9,Tabla11[[#This Row],[Cuenta]],1))</f>
        <v>0</v>
      </c>
      <c r="AV733" t="b">
        <f>+ISNUMBER(SEARCH(CompConta!$F$21,Tabla11[[#This Row],[Cuenta]],1))</f>
        <v>1</v>
      </c>
      <c r="AW733" t="b">
        <f>+ISNUMBER(SEARCH(CompConta!$F$22,Tabla11[[#This Row],[Cuenta]],1))</f>
        <v>1</v>
      </c>
      <c r="AX733" t="b">
        <f>+ISNUMBER(SEARCH(CompConta!$F$23,Tabla11[[#This Row],[Cuenta]],1))</f>
        <v>1</v>
      </c>
      <c r="AY733" t="b">
        <f>+ISNUMBER(SEARCH(CompConta!$F$24,Tabla11[[#This Row],[Cuenta]],1))</f>
        <v>1</v>
      </c>
      <c r="AZ733" t="b">
        <f>+ISNUMBER(SEARCH(CompConta!$F$25,Tabla11[[#This Row],[Cuenta]],1))</f>
        <v>1</v>
      </c>
      <c r="BA733" t="b">
        <f>+ISNUMBER(SEARCH(CompConta!$F$26,Tabla11[[#This Row],[Cuenta]],1))</f>
        <v>1</v>
      </c>
      <c r="BB733" t="b">
        <f>+ISNUMBER(SEARCH(CompConta!$F$27,Tabla11[[#This Row],[Cuenta]],1))</f>
        <v>1</v>
      </c>
      <c r="BC733" t="b">
        <f>+ISNUMBER(SEARCH(CompConta!$F$28,Tabla11[[#This Row],[Cuenta]],1))</f>
        <v>1</v>
      </c>
      <c r="BD733" t="b">
        <f>+ISNUMBER(SEARCH(CompConta!$F$29,Tabla11[[#This Row],[Cuenta]],1))</f>
        <v>1</v>
      </c>
      <c r="BE733" t="b">
        <f>+ISNUMBER(SEARCH(CompConta!$F$30,Tabla11[[#This Row],[Cuenta]],1))</f>
        <v>1</v>
      </c>
      <c r="BF733" t="b">
        <f>+ISNUMBER(SEARCH('PAGO Compras'!$E$11,Tabla11[[#This Row],[Cuenta]],1))</f>
        <v>1</v>
      </c>
      <c r="BG733" t="b">
        <f>+ISNUMBER(SEARCH(#REF!,Tabla11[[#This Row],[Cuenta]],1))</f>
        <v>0</v>
      </c>
      <c r="BH733" t="b">
        <f>+ISNUMBER(SEARCH(#REF!,Tabla11[[#This Row],[Cuenta]],1))</f>
        <v>0</v>
      </c>
      <c r="BI733" t="b">
        <f>+ISNUMBER(SEARCH(#REF!,Tabla11[[#This Row],[Cuenta]],1))</f>
        <v>0</v>
      </c>
      <c r="BJ733" t="b">
        <f>+ISNUMBER(SEARCH(#REF!,Tabla11[[#This Row],[Cuenta]],1))</f>
        <v>0</v>
      </c>
      <c r="BS733" t="str">
        <v>41653010 OFRENDAS ESPECIALES</v>
      </c>
      <c r="BT733" t="str">
        <v>41653010 OFRENDAS ESPECIALES</v>
      </c>
      <c r="BU733" t="str">
        <v>41653010 OFRENDAS ESPECIALES</v>
      </c>
      <c r="BV733" t="str">
        <v>41653010 OFRENDAS ESPECIALES</v>
      </c>
      <c r="BZ733" t="str">
        <v>41653010 OFRENDAS ESPECIALES</v>
      </c>
      <c r="CA733" t="str">
        <v>41653010 OFRENDAS ESPECIALES</v>
      </c>
      <c r="CB733" t="str">
        <v>41653010 OFRENDAS ESPECIALES</v>
      </c>
      <c r="CC733" t="str">
        <v>41653010 OFRENDAS ESPECIALES</v>
      </c>
      <c r="CD733" t="str">
        <v>41653010 OFRENDAS ESPECIALES</v>
      </c>
      <c r="CE733" t="str">
        <v>41653010 OFRENDAS ESPECIALES</v>
      </c>
      <c r="CS733" s="141" t="str">
        <v>41653010 OFRENDAS ESPECIALES</v>
      </c>
      <c r="CT733" s="141" t="str">
        <v>41653010 OFRENDAS ESPECIALES</v>
      </c>
      <c r="CU733" s="141" t="str">
        <v>41653010 OFRENDAS ESPECIALES</v>
      </c>
      <c r="CV733" s="141" t="str">
        <v>41653010 OFRENDAS ESPECIALES</v>
      </c>
      <c r="CW733" s="141" t="str">
        <v>41653010 OFRENDAS ESPECIALES</v>
      </c>
      <c r="CX733" s="141" t="str">
        <v>41653010 OFRENDAS ESPECIALES</v>
      </c>
      <c r="CY733" s="141" t="str">
        <v>41653010 OFRENDAS ESPECIALES</v>
      </c>
      <c r="CZ733" s="141" t="str">
        <v>41653010 OFRENDAS ESPECIALES</v>
      </c>
      <c r="DA733" s="141" t="str">
        <v>41653010 OFRENDAS ESPECIALES</v>
      </c>
      <c r="DF733" t="str">
        <v>41653010 OFRENDAS ESPECIALES</v>
      </c>
      <c r="DG733" t="str">
        <v>41653010 OFRENDAS ESPECIALES</v>
      </c>
      <c r="DH733" t="str">
        <v>41653010 OFRENDAS ESPECIALES</v>
      </c>
      <c r="DI733" t="str">
        <v>41653010 OFRENDAS ESPECIALES</v>
      </c>
      <c r="DJ733" t="str">
        <v>41653010 OFRENDAS ESPECIALES</v>
      </c>
      <c r="DK733" t="str">
        <v>41653010 OFRENDAS ESPECIALES</v>
      </c>
      <c r="DL733" t="str">
        <v>41653010 OFRENDAS ESPECIALES</v>
      </c>
      <c r="DM733" t="str">
        <v>41653010 OFRENDAS ESPECIALES</v>
      </c>
      <c r="DN733" t="str">
        <v>41653010 OFRENDAS ESPECIALES</v>
      </c>
      <c r="DO733" t="str">
        <v>41653010 OFRENDAS ESPECIALES</v>
      </c>
      <c r="DP733" t="str">
        <v>41653010 OFRENDAS ESPECIALES</v>
      </c>
    </row>
    <row r="734" spans="4:120" ht="12.75">
      <c r="D734" s="7">
        <v>41653015</v>
      </c>
      <c r="E734" s="6" t="s">
        <v>813</v>
      </c>
      <c r="F734" s="5">
        <v>5</v>
      </c>
      <c r="G734" s="34" t="s">
        <v>829</v>
      </c>
      <c r="H734" s="8" t="s">
        <v>765</v>
      </c>
      <c r="I734" t="b">
        <f>+ISNUMBER(SEARCH('F-COMPRA'!$F$28,Tabla11[[#This Row],[Cuenta]],1))</f>
        <v>1</v>
      </c>
      <c r="J734" t="b">
        <f>+ISNUMBER(SEARCH('F-COMPRA'!$F$29,Tabla11[[#This Row],[Cuenta]],1))</f>
        <v>1</v>
      </c>
      <c r="K734" t="b">
        <f>+ISNUMBER(SEARCH('F-COMPRA'!$F$30,Tabla11[[#This Row],[Cuenta]],1))</f>
        <v>1</v>
      </c>
      <c r="L734" t="b">
        <f>+ISNUMBER(SEARCH('F-COMPRA'!$F$31,Tabla11[[#This Row],[Cuenta]],1))</f>
        <v>1</v>
      </c>
      <c r="M734" t="b">
        <f>+ISNUMBER(SEARCH('F-COMPRA'!$G$25,Tabla11[[#This Row],[Cuenta]],1))</f>
        <v>0</v>
      </c>
      <c r="N734" t="b">
        <f>+ISNUMBER(SEARCH(#REF!,Tabla11[[#This Row],[Cuenta]],1))</f>
        <v>0</v>
      </c>
      <c r="O734" t="b">
        <f>+ISNUMBER(SEARCH(#REF!,Tabla11[[#This Row],[Cuenta]],1))</f>
        <v>0</v>
      </c>
      <c r="P734" t="b">
        <f>+ISNUMBER(SEARCH('F-COMPRA'!$F$32,Tabla11[[#This Row],[Cuenta]],1))</f>
        <v>1</v>
      </c>
      <c r="Q734" t="b">
        <f>+ISNUMBER(SEARCH('F-COMPRA'!$F$33,Tabla11[[#This Row],[Cuenta]],1))</f>
        <v>1</v>
      </c>
      <c r="R734" t="b">
        <f>+ISNUMBER(SEARCH('F-COMPRA'!$F$34,Tabla11[[#This Row],[Cuenta]],1))</f>
        <v>1</v>
      </c>
      <c r="S734" t="b">
        <f>+ISNUMBER(SEARCH('F-COMPRA'!$F$35,Tabla11[[#This Row],[Cuenta]],1))</f>
        <v>1</v>
      </c>
      <c r="T734" t="b">
        <f>+ISNUMBER(SEARCH('F-COMPRA'!$F$36,Tabla11[[#This Row],[Cuenta]],1))</f>
        <v>1</v>
      </c>
      <c r="U734" t="b">
        <f>+ISNUMBER(SEARCH('F-COMPRA'!$F$37,Tabla11[[#This Row],[Cuenta]],1))</f>
        <v>1</v>
      </c>
      <c r="V734" t="b">
        <f>+ISNUMBER(SEARCH(#REF!,Tabla11[[#This Row],[Cuenta]],1))</f>
        <v>0</v>
      </c>
      <c r="W734" t="b">
        <f>+ISNUMBER(SEARCH('F-COMPRA'!#REF!,Tabla11[[#This Row],[Cuenta]],1))</f>
        <v>0</v>
      </c>
      <c r="X734" t="b">
        <f>+ISNUMBER(SEARCH('F-COMPRA'!#REF!,Tabla11[[#This Row],[Cuenta]],1))</f>
        <v>0</v>
      </c>
      <c r="Y734" t="b">
        <f>+ISNUMBER(SEARCH('F-COMPRA'!#REF!,Tabla11[[#This Row],[Cuenta]],1))</f>
        <v>0</v>
      </c>
      <c r="Z734" t="b">
        <f>+ISNUMBER(SEARCH('F-COMPRA'!#REF!,Tabla11[[#This Row],[Cuenta]],1))</f>
        <v>0</v>
      </c>
      <c r="AA734" t="b">
        <f>+ISNUMBER(SEARCH('F-COMPRA'!#REF!,Tabla11[[#This Row],[Cuenta]],1))</f>
        <v>0</v>
      </c>
      <c r="AB734" t="b">
        <f>+ISNUMBER(SEARCH('F-COMPRA'!#REF!,Tabla11[[#This Row],[Cuenta]],1))</f>
        <v>0</v>
      </c>
      <c r="AC734" t="b">
        <f>+ISNUMBER(SEARCH('F-COMPRA'!#REF!,Tabla11[[#This Row],[Cuenta]],1))</f>
        <v>0</v>
      </c>
      <c r="AD734" t="b">
        <f>+ISNUMBER(SEARCH('F-COMPRA'!#REF!,Tabla11[[#This Row],[Cuenta]],1))</f>
        <v>0</v>
      </c>
      <c r="AE734" t="b">
        <f>+ISNUMBER(SEARCH('F-COMPRA'!#REF!,Tabla11[[#This Row],[Cuenta]],1))</f>
        <v>0</v>
      </c>
      <c r="AF734" t="b">
        <f>+ISNUMBER(SEARCH('F-VTA'!$G$23,Tabla11[[#This Row],[Cuenta]],1))</f>
        <v>0</v>
      </c>
      <c r="AG734" t="b">
        <f>+ISNUMBER(SEARCH('F-VTA'!$G$24,Tabla11[[#This Row],[Cuenta]],1))</f>
        <v>0</v>
      </c>
      <c r="AH734" t="b">
        <f>+ISNUMBER(SEARCH('F-VTA'!$G$25,Tabla11[[#This Row],[Cuenta]],1))</f>
        <v>0</v>
      </c>
      <c r="AI734" t="b">
        <f>+ISNUMBER(SEARCH('F-VTA'!$F$28,Tabla11[[#This Row],[Cuenta]],1))</f>
        <v>1</v>
      </c>
      <c r="AJ734" t="b">
        <f>+ISNUMBER(SEARCH('F-VTA'!$F$29,Tabla11[[#This Row],[Cuenta]],1))</f>
        <v>1</v>
      </c>
      <c r="AK734" t="b">
        <f>+ISNUMBER(SEARCH('F-VTA'!$F$30,Tabla11[[#This Row],[Cuenta]],1))</f>
        <v>1</v>
      </c>
      <c r="AL734" t="b">
        <f>+ISNUMBER(SEARCH('F-VTA'!$F$31,Tabla11[[#This Row],[Cuenta]],1))</f>
        <v>1</v>
      </c>
      <c r="AM734" t="b">
        <f>+ISNUMBER(SEARCH('F-VTA'!$F$32,Tabla11[[#This Row],[Cuenta]],1))</f>
        <v>1</v>
      </c>
      <c r="AN734" t="b">
        <f>+ISNUMBER(SEARCH('F-VTA'!$F$33,Tabla11[[#This Row],[Cuenta]],1))</f>
        <v>1</v>
      </c>
      <c r="AO734" t="b">
        <f>+ISNUMBER(SEARCH('F-VTA'!$F$34,Tabla11[[#This Row],[Cuenta]],1))</f>
        <v>1</v>
      </c>
      <c r="AP734" t="b">
        <f>+ISNUMBER(SEARCH('F-VTA'!$F$35,Tabla11[[#This Row],[Cuenta]],1))</f>
        <v>1</v>
      </c>
      <c r="AQ734" t="b">
        <f>+ISNUMBER(SEARCH('F-VTA'!$F$36,Tabla11[[#This Row],[Cuenta]],1))</f>
        <v>1</v>
      </c>
      <c r="AR734" t="b">
        <f>+ISNUMBER(SEARCH(#REF!,Tabla11[[#This Row],[Cuenta]],1))</f>
        <v>0</v>
      </c>
      <c r="AS734" t="b">
        <f>+ISNUMBER(SEARCH(#REF!,Tabla11[[#This Row],[Cuenta]],1))</f>
        <v>0</v>
      </c>
      <c r="AT734" t="b">
        <f>+ISNUMBER(SEARCH(#REF!,Tabla11[[#This Row],[Cuenta]],1))</f>
        <v>0</v>
      </c>
      <c r="AU734" t="b">
        <f>+ISNUMBER(SEARCH('Conc. Ban.1'!$I$9,Tabla11[[#This Row],[Cuenta]],1))</f>
        <v>0</v>
      </c>
      <c r="AV734" t="b">
        <f>+ISNUMBER(SEARCH(CompConta!$F$21,Tabla11[[#This Row],[Cuenta]],1))</f>
        <v>1</v>
      </c>
      <c r="AW734" t="b">
        <f>+ISNUMBER(SEARCH(CompConta!$F$22,Tabla11[[#This Row],[Cuenta]],1))</f>
        <v>1</v>
      </c>
      <c r="AX734" t="b">
        <f>+ISNUMBER(SEARCH(CompConta!$F$23,Tabla11[[#This Row],[Cuenta]],1))</f>
        <v>1</v>
      </c>
      <c r="AY734" t="b">
        <f>+ISNUMBER(SEARCH(CompConta!$F$24,Tabla11[[#This Row],[Cuenta]],1))</f>
        <v>1</v>
      </c>
      <c r="AZ734" t="b">
        <f>+ISNUMBER(SEARCH(CompConta!$F$25,Tabla11[[#This Row],[Cuenta]],1))</f>
        <v>1</v>
      </c>
      <c r="BA734" t="b">
        <f>+ISNUMBER(SEARCH(CompConta!$F$26,Tabla11[[#This Row],[Cuenta]],1))</f>
        <v>1</v>
      </c>
      <c r="BB734" t="b">
        <f>+ISNUMBER(SEARCH(CompConta!$F$27,Tabla11[[#This Row],[Cuenta]],1))</f>
        <v>1</v>
      </c>
      <c r="BC734" t="b">
        <f>+ISNUMBER(SEARCH(CompConta!$F$28,Tabla11[[#This Row],[Cuenta]],1))</f>
        <v>1</v>
      </c>
      <c r="BD734" t="b">
        <f>+ISNUMBER(SEARCH(CompConta!$F$29,Tabla11[[#This Row],[Cuenta]],1))</f>
        <v>1</v>
      </c>
      <c r="BE734" t="b">
        <f>+ISNUMBER(SEARCH(CompConta!$F$30,Tabla11[[#This Row],[Cuenta]],1))</f>
        <v>1</v>
      </c>
      <c r="BF734" t="b">
        <f>+ISNUMBER(SEARCH('PAGO Compras'!$E$11,Tabla11[[#This Row],[Cuenta]],1))</f>
        <v>1</v>
      </c>
      <c r="BG734" t="b">
        <f>+ISNUMBER(SEARCH(#REF!,Tabla11[[#This Row],[Cuenta]],1))</f>
        <v>0</v>
      </c>
      <c r="BH734" t="b">
        <f>+ISNUMBER(SEARCH(#REF!,Tabla11[[#This Row],[Cuenta]],1))</f>
        <v>0</v>
      </c>
      <c r="BI734" t="b">
        <f>+ISNUMBER(SEARCH(#REF!,Tabla11[[#This Row],[Cuenta]],1))</f>
        <v>0</v>
      </c>
      <c r="BJ734" t="b">
        <f>+ISNUMBER(SEARCH(#REF!,Tabla11[[#This Row],[Cuenta]],1))</f>
        <v>0</v>
      </c>
      <c r="BS734" t="str">
        <v>41653015 Otras Ofrendas</v>
      </c>
      <c r="BT734" t="str">
        <v>41653015 Otras Ofrendas</v>
      </c>
      <c r="BU734" t="str">
        <v>41653015 Otras Ofrendas</v>
      </c>
      <c r="BV734" t="str">
        <v>41653015 Otras Ofrendas</v>
      </c>
      <c r="BZ734" t="str">
        <v>41653015 Otras Ofrendas</v>
      </c>
      <c r="CA734" t="str">
        <v>41653015 Otras Ofrendas</v>
      </c>
      <c r="CB734" t="str">
        <v>41653015 Otras Ofrendas</v>
      </c>
      <c r="CC734" t="str">
        <v>41653015 Otras Ofrendas</v>
      </c>
      <c r="CD734" t="str">
        <v>41653015 Otras Ofrendas</v>
      </c>
      <c r="CE734" t="str">
        <v>41653015 Otras Ofrendas</v>
      </c>
      <c r="CS734" s="141" t="str">
        <v>41653015 Otras Ofrendas</v>
      </c>
      <c r="CT734" s="141" t="str">
        <v>41653015 Otras Ofrendas</v>
      </c>
      <c r="CU734" s="141" t="str">
        <v>41653015 Otras Ofrendas</v>
      </c>
      <c r="CV734" s="141" t="str">
        <v>41653015 Otras Ofrendas</v>
      </c>
      <c r="CW734" s="141" t="str">
        <v>41653015 Otras Ofrendas</v>
      </c>
      <c r="CX734" s="141" t="str">
        <v>41653015 Otras Ofrendas</v>
      </c>
      <c r="CY734" s="141" t="str">
        <v>41653015 Otras Ofrendas</v>
      </c>
      <c r="CZ734" s="141" t="str">
        <v>41653015 Otras Ofrendas</v>
      </c>
      <c r="DA734" s="141" t="str">
        <v>41653015 Otras Ofrendas</v>
      </c>
      <c r="DF734" t="str">
        <v>41653015 Otras Ofrendas</v>
      </c>
      <c r="DG734" t="str">
        <v>41653015 Otras Ofrendas</v>
      </c>
      <c r="DH734" t="str">
        <v>41653015 Otras Ofrendas</v>
      </c>
      <c r="DI734" t="str">
        <v>41653015 Otras Ofrendas</v>
      </c>
      <c r="DJ734" t="str">
        <v>41653015 Otras Ofrendas</v>
      </c>
      <c r="DK734" t="str">
        <v>41653015 Otras Ofrendas</v>
      </c>
      <c r="DL734" t="str">
        <v>41653015 Otras Ofrendas</v>
      </c>
      <c r="DM734" t="str">
        <v>41653015 Otras Ofrendas</v>
      </c>
      <c r="DN734" t="str">
        <v>41653015 Otras Ofrendas</v>
      </c>
      <c r="DO734" t="str">
        <v>41653015 Otras Ofrendas</v>
      </c>
      <c r="DP734" t="str">
        <v>41653015 Otras Ofrendas</v>
      </c>
    </row>
    <row r="735" spans="4:120" ht="12.75">
      <c r="D735" s="7">
        <v>42</v>
      </c>
      <c r="E735" s="6" t="s">
        <v>510</v>
      </c>
      <c r="F735" s="5">
        <v>2</v>
      </c>
      <c r="G735" s="34" t="s">
        <v>829</v>
      </c>
      <c r="H735" s="8" t="s">
        <v>56</v>
      </c>
      <c r="I735" t="b">
        <f>+ISNUMBER(SEARCH('F-COMPRA'!$F$28,Tabla11[[#This Row],[Cuenta]],1))</f>
        <v>1</v>
      </c>
      <c r="J735" t="b">
        <f>+ISNUMBER(SEARCH('F-COMPRA'!$F$29,Tabla11[[#This Row],[Cuenta]],1))</f>
        <v>1</v>
      </c>
      <c r="K735" t="b">
        <f>+ISNUMBER(SEARCH('F-COMPRA'!$F$30,Tabla11[[#This Row],[Cuenta]],1))</f>
        <v>1</v>
      </c>
      <c r="L735" t="b">
        <f>+ISNUMBER(SEARCH('F-COMPRA'!$F$31,Tabla11[[#This Row],[Cuenta]],1))</f>
        <v>1</v>
      </c>
      <c r="M735" t="b">
        <f>+ISNUMBER(SEARCH('F-COMPRA'!$G$25,Tabla11[[#This Row],[Cuenta]],1))</f>
        <v>0</v>
      </c>
      <c r="N735" t="b">
        <f>+ISNUMBER(SEARCH(#REF!,Tabla11[[#This Row],[Cuenta]],1))</f>
        <v>0</v>
      </c>
      <c r="O735" t="b">
        <f>+ISNUMBER(SEARCH(#REF!,Tabla11[[#This Row],[Cuenta]],1))</f>
        <v>0</v>
      </c>
      <c r="P735" t="b">
        <f>+ISNUMBER(SEARCH('F-COMPRA'!$F$32,Tabla11[[#This Row],[Cuenta]],1))</f>
        <v>1</v>
      </c>
      <c r="Q735" t="b">
        <f>+ISNUMBER(SEARCH('F-COMPRA'!$F$33,Tabla11[[#This Row],[Cuenta]],1))</f>
        <v>1</v>
      </c>
      <c r="R735" t="b">
        <f>+ISNUMBER(SEARCH('F-COMPRA'!$F$34,Tabla11[[#This Row],[Cuenta]],1))</f>
        <v>1</v>
      </c>
      <c r="S735" t="b">
        <f>+ISNUMBER(SEARCH('F-COMPRA'!$F$35,Tabla11[[#This Row],[Cuenta]],1))</f>
        <v>1</v>
      </c>
      <c r="T735" t="b">
        <f>+ISNUMBER(SEARCH('F-COMPRA'!$F$36,Tabla11[[#This Row],[Cuenta]],1))</f>
        <v>1</v>
      </c>
      <c r="U735" t="b">
        <f>+ISNUMBER(SEARCH('F-COMPRA'!$F$37,Tabla11[[#This Row],[Cuenta]],1))</f>
        <v>1</v>
      </c>
      <c r="V735" t="b">
        <f>+ISNUMBER(SEARCH(#REF!,Tabla11[[#This Row],[Cuenta]],1))</f>
        <v>0</v>
      </c>
      <c r="W735" t="b">
        <f>+ISNUMBER(SEARCH('F-COMPRA'!#REF!,Tabla11[[#This Row],[Cuenta]],1))</f>
        <v>0</v>
      </c>
      <c r="X735" t="b">
        <f>+ISNUMBER(SEARCH('F-COMPRA'!#REF!,Tabla11[[#This Row],[Cuenta]],1))</f>
        <v>0</v>
      </c>
      <c r="Y735" t="b">
        <f>+ISNUMBER(SEARCH('F-COMPRA'!#REF!,Tabla11[[#This Row],[Cuenta]],1))</f>
        <v>0</v>
      </c>
      <c r="Z735" t="b">
        <f>+ISNUMBER(SEARCH('F-COMPRA'!#REF!,Tabla11[[#This Row],[Cuenta]],1))</f>
        <v>0</v>
      </c>
      <c r="AA735" t="b">
        <f>+ISNUMBER(SEARCH('F-COMPRA'!#REF!,Tabla11[[#This Row],[Cuenta]],1))</f>
        <v>0</v>
      </c>
      <c r="AB735" t="b">
        <f>+ISNUMBER(SEARCH('F-COMPRA'!#REF!,Tabla11[[#This Row],[Cuenta]],1))</f>
        <v>0</v>
      </c>
      <c r="AC735" t="b">
        <f>+ISNUMBER(SEARCH('F-COMPRA'!#REF!,Tabla11[[#This Row],[Cuenta]],1))</f>
        <v>0</v>
      </c>
      <c r="AD735" t="b">
        <f>+ISNUMBER(SEARCH('F-COMPRA'!#REF!,Tabla11[[#This Row],[Cuenta]],1))</f>
        <v>0</v>
      </c>
      <c r="AE735" t="b">
        <f>+ISNUMBER(SEARCH('F-COMPRA'!#REF!,Tabla11[[#This Row],[Cuenta]],1))</f>
        <v>0</v>
      </c>
      <c r="AF735" t="b">
        <f>+ISNUMBER(SEARCH('F-VTA'!$G$23,Tabla11[[#This Row],[Cuenta]],1))</f>
        <v>0</v>
      </c>
      <c r="AG735" t="b">
        <f>+ISNUMBER(SEARCH('F-VTA'!$G$24,Tabla11[[#This Row],[Cuenta]],1))</f>
        <v>0</v>
      </c>
      <c r="AH735" t="b">
        <f>+ISNUMBER(SEARCH('F-VTA'!$G$25,Tabla11[[#This Row],[Cuenta]],1))</f>
        <v>0</v>
      </c>
      <c r="AI735" t="b">
        <f>+ISNUMBER(SEARCH('F-VTA'!$F$28,Tabla11[[#This Row],[Cuenta]],1))</f>
        <v>1</v>
      </c>
      <c r="AJ735" t="b">
        <f>+ISNUMBER(SEARCH('F-VTA'!$F$29,Tabla11[[#This Row],[Cuenta]],1))</f>
        <v>1</v>
      </c>
      <c r="AK735" t="b">
        <f>+ISNUMBER(SEARCH('F-VTA'!$F$30,Tabla11[[#This Row],[Cuenta]],1))</f>
        <v>1</v>
      </c>
      <c r="AL735" t="b">
        <f>+ISNUMBER(SEARCH('F-VTA'!$F$31,Tabla11[[#This Row],[Cuenta]],1))</f>
        <v>1</v>
      </c>
      <c r="AM735" t="b">
        <f>+ISNUMBER(SEARCH('F-VTA'!$F$32,Tabla11[[#This Row],[Cuenta]],1))</f>
        <v>1</v>
      </c>
      <c r="AN735" t="b">
        <f>+ISNUMBER(SEARCH('F-VTA'!$F$33,Tabla11[[#This Row],[Cuenta]],1))</f>
        <v>1</v>
      </c>
      <c r="AO735" t="b">
        <f>+ISNUMBER(SEARCH('F-VTA'!$F$34,Tabla11[[#This Row],[Cuenta]],1))</f>
        <v>1</v>
      </c>
      <c r="AP735" t="b">
        <f>+ISNUMBER(SEARCH('F-VTA'!$F$35,Tabla11[[#This Row],[Cuenta]],1))</f>
        <v>1</v>
      </c>
      <c r="AQ735" t="b">
        <f>+ISNUMBER(SEARCH('F-VTA'!$F$36,Tabla11[[#This Row],[Cuenta]],1))</f>
        <v>1</v>
      </c>
      <c r="AR735" t="b">
        <f>+ISNUMBER(SEARCH(#REF!,Tabla11[[#This Row],[Cuenta]],1))</f>
        <v>0</v>
      </c>
      <c r="AS735" t="b">
        <f>+ISNUMBER(SEARCH(#REF!,Tabla11[[#This Row],[Cuenta]],1))</f>
        <v>0</v>
      </c>
      <c r="AT735" t="b">
        <f>+ISNUMBER(SEARCH(#REF!,Tabla11[[#This Row],[Cuenta]],1))</f>
        <v>0</v>
      </c>
      <c r="AU735" t="b">
        <f>+ISNUMBER(SEARCH('Conc. Ban.1'!$I$9,Tabla11[[#This Row],[Cuenta]],1))</f>
        <v>0</v>
      </c>
      <c r="AV735" t="b">
        <f>+ISNUMBER(SEARCH(CompConta!$F$21,Tabla11[[#This Row],[Cuenta]],1))</f>
        <v>1</v>
      </c>
      <c r="AW735" t="b">
        <f>+ISNUMBER(SEARCH(CompConta!$F$22,Tabla11[[#This Row],[Cuenta]],1))</f>
        <v>1</v>
      </c>
      <c r="AX735" t="b">
        <f>+ISNUMBER(SEARCH(CompConta!$F$23,Tabla11[[#This Row],[Cuenta]],1))</f>
        <v>1</v>
      </c>
      <c r="AY735" t="b">
        <f>+ISNUMBER(SEARCH(CompConta!$F$24,Tabla11[[#This Row],[Cuenta]],1))</f>
        <v>1</v>
      </c>
      <c r="AZ735" t="b">
        <f>+ISNUMBER(SEARCH(CompConta!$F$25,Tabla11[[#This Row],[Cuenta]],1))</f>
        <v>1</v>
      </c>
      <c r="BA735" t="b">
        <f>+ISNUMBER(SEARCH(CompConta!$F$26,Tabla11[[#This Row],[Cuenta]],1))</f>
        <v>1</v>
      </c>
      <c r="BB735" t="b">
        <f>+ISNUMBER(SEARCH(CompConta!$F$27,Tabla11[[#This Row],[Cuenta]],1))</f>
        <v>1</v>
      </c>
      <c r="BC735" t="b">
        <f>+ISNUMBER(SEARCH(CompConta!$F$28,Tabla11[[#This Row],[Cuenta]],1))</f>
        <v>1</v>
      </c>
      <c r="BD735" t="b">
        <f>+ISNUMBER(SEARCH(CompConta!$F$29,Tabla11[[#This Row],[Cuenta]],1))</f>
        <v>1</v>
      </c>
      <c r="BE735" t="b">
        <f>+ISNUMBER(SEARCH(CompConta!$F$30,Tabla11[[#This Row],[Cuenta]],1))</f>
        <v>1</v>
      </c>
      <c r="BF735" t="b">
        <f>+ISNUMBER(SEARCH('PAGO Compras'!$E$11,Tabla11[[#This Row],[Cuenta]],1))</f>
        <v>1</v>
      </c>
      <c r="BG735" t="b">
        <f>+ISNUMBER(SEARCH(#REF!,Tabla11[[#This Row],[Cuenta]],1))</f>
        <v>0</v>
      </c>
      <c r="BH735" t="b">
        <f>+ISNUMBER(SEARCH(#REF!,Tabla11[[#This Row],[Cuenta]],1))</f>
        <v>0</v>
      </c>
      <c r="BI735" t="b">
        <f>+ISNUMBER(SEARCH(#REF!,Tabla11[[#This Row],[Cuenta]],1))</f>
        <v>0</v>
      </c>
      <c r="BJ735" t="b">
        <f>+ISNUMBER(SEARCH(#REF!,Tabla11[[#This Row],[Cuenta]],1))</f>
        <v>0</v>
      </c>
      <c r="BS735" t="str">
        <v>42 NO OPERACIONALES</v>
      </c>
      <c r="BT735" t="str">
        <v>42 NO OPERACIONALES</v>
      </c>
      <c r="BU735" t="str">
        <v>42 NO OPERACIONALES</v>
      </c>
      <c r="BV735" t="str">
        <v>42 NO OPERACIONALES</v>
      </c>
      <c r="BZ735" t="str">
        <v>42 NO OPERACIONALES</v>
      </c>
      <c r="CA735" t="str">
        <v>42 NO OPERACIONALES</v>
      </c>
      <c r="CB735" t="str">
        <v>42 NO OPERACIONALES</v>
      </c>
      <c r="CC735" t="str">
        <v>42 NO OPERACIONALES</v>
      </c>
      <c r="CD735" t="str">
        <v>42 NO OPERACIONALES</v>
      </c>
      <c r="CE735" t="str">
        <v>42 NO OPERACIONALES</v>
      </c>
      <c r="CS735" s="141" t="str">
        <v>42 NO OPERACIONALES</v>
      </c>
      <c r="CT735" s="141" t="str">
        <v>42 NO OPERACIONALES</v>
      </c>
      <c r="CU735" s="141" t="str">
        <v>42 NO OPERACIONALES</v>
      </c>
      <c r="CV735" s="141" t="str">
        <v>42 NO OPERACIONALES</v>
      </c>
      <c r="CW735" s="141" t="str">
        <v>42 NO OPERACIONALES</v>
      </c>
      <c r="CX735" s="141" t="str">
        <v>42 NO OPERACIONALES</v>
      </c>
      <c r="CY735" s="141" t="str">
        <v>42 NO OPERACIONALES</v>
      </c>
      <c r="CZ735" s="141" t="str">
        <v>42 NO OPERACIONALES</v>
      </c>
      <c r="DA735" s="141" t="str">
        <v>42 NO OPERACIONALES</v>
      </c>
      <c r="DF735" t="str">
        <v>42 NO OPERACIONALES</v>
      </c>
      <c r="DG735" t="str">
        <v>42 NO OPERACIONALES</v>
      </c>
      <c r="DH735" t="str">
        <v>42 NO OPERACIONALES</v>
      </c>
      <c r="DI735" t="str">
        <v>42 NO OPERACIONALES</v>
      </c>
      <c r="DJ735" t="str">
        <v>42 NO OPERACIONALES</v>
      </c>
      <c r="DK735" t="str">
        <v>42 NO OPERACIONALES</v>
      </c>
      <c r="DL735" t="str">
        <v>42 NO OPERACIONALES</v>
      </c>
      <c r="DM735" t="str">
        <v>42 NO OPERACIONALES</v>
      </c>
      <c r="DN735" t="str">
        <v>42 NO OPERACIONALES</v>
      </c>
      <c r="DO735" t="str">
        <v>42 NO OPERACIONALES</v>
      </c>
      <c r="DP735" t="str">
        <v>42 NO OPERACIONALES</v>
      </c>
    </row>
    <row r="736" spans="4:120" ht="12.75">
      <c r="D736" s="7">
        <v>4210</v>
      </c>
      <c r="E736" s="6" t="s">
        <v>512</v>
      </c>
      <c r="F736" s="5">
        <v>3</v>
      </c>
      <c r="G736" s="34" t="s">
        <v>829</v>
      </c>
      <c r="H736" s="8" t="s">
        <v>56</v>
      </c>
      <c r="I736" t="b">
        <f>+ISNUMBER(SEARCH('F-COMPRA'!$F$28,Tabla11[[#This Row],[Cuenta]],1))</f>
        <v>1</v>
      </c>
      <c r="J736" t="b">
        <f>+ISNUMBER(SEARCH('F-COMPRA'!$F$29,Tabla11[[#This Row],[Cuenta]],1))</f>
        <v>1</v>
      </c>
      <c r="K736" t="b">
        <f>+ISNUMBER(SEARCH('F-COMPRA'!$F$30,Tabla11[[#This Row],[Cuenta]],1))</f>
        <v>1</v>
      </c>
      <c r="L736" t="b">
        <f>+ISNUMBER(SEARCH('F-COMPRA'!$F$31,Tabla11[[#This Row],[Cuenta]],1))</f>
        <v>1</v>
      </c>
      <c r="M736" t="b">
        <f>+ISNUMBER(SEARCH('F-COMPRA'!$G$25,Tabla11[[#This Row],[Cuenta]],1))</f>
        <v>0</v>
      </c>
      <c r="N736" t="b">
        <f>+ISNUMBER(SEARCH(#REF!,Tabla11[[#This Row],[Cuenta]],1))</f>
        <v>0</v>
      </c>
      <c r="O736" t="b">
        <f>+ISNUMBER(SEARCH(#REF!,Tabla11[[#This Row],[Cuenta]],1))</f>
        <v>0</v>
      </c>
      <c r="P736" t="b">
        <f>+ISNUMBER(SEARCH('F-COMPRA'!$F$32,Tabla11[[#This Row],[Cuenta]],1))</f>
        <v>1</v>
      </c>
      <c r="Q736" t="b">
        <f>+ISNUMBER(SEARCH('F-COMPRA'!$F$33,Tabla11[[#This Row],[Cuenta]],1))</f>
        <v>1</v>
      </c>
      <c r="R736" t="b">
        <f>+ISNUMBER(SEARCH('F-COMPRA'!$F$34,Tabla11[[#This Row],[Cuenta]],1))</f>
        <v>1</v>
      </c>
      <c r="S736" t="b">
        <f>+ISNUMBER(SEARCH('F-COMPRA'!$F$35,Tabla11[[#This Row],[Cuenta]],1))</f>
        <v>1</v>
      </c>
      <c r="T736" t="b">
        <f>+ISNUMBER(SEARCH('F-COMPRA'!$F$36,Tabla11[[#This Row],[Cuenta]],1))</f>
        <v>1</v>
      </c>
      <c r="U736" t="b">
        <f>+ISNUMBER(SEARCH('F-COMPRA'!$F$37,Tabla11[[#This Row],[Cuenta]],1))</f>
        <v>1</v>
      </c>
      <c r="V736" t="b">
        <f>+ISNUMBER(SEARCH(#REF!,Tabla11[[#This Row],[Cuenta]],1))</f>
        <v>0</v>
      </c>
      <c r="W736" t="b">
        <f>+ISNUMBER(SEARCH('F-COMPRA'!#REF!,Tabla11[[#This Row],[Cuenta]],1))</f>
        <v>0</v>
      </c>
      <c r="X736" t="b">
        <f>+ISNUMBER(SEARCH('F-COMPRA'!#REF!,Tabla11[[#This Row],[Cuenta]],1))</f>
        <v>0</v>
      </c>
      <c r="Y736" t="b">
        <f>+ISNUMBER(SEARCH('F-COMPRA'!#REF!,Tabla11[[#This Row],[Cuenta]],1))</f>
        <v>0</v>
      </c>
      <c r="Z736" t="b">
        <f>+ISNUMBER(SEARCH('F-COMPRA'!#REF!,Tabla11[[#This Row],[Cuenta]],1))</f>
        <v>0</v>
      </c>
      <c r="AA736" t="b">
        <f>+ISNUMBER(SEARCH('F-COMPRA'!#REF!,Tabla11[[#This Row],[Cuenta]],1))</f>
        <v>0</v>
      </c>
      <c r="AB736" t="b">
        <f>+ISNUMBER(SEARCH('F-COMPRA'!#REF!,Tabla11[[#This Row],[Cuenta]],1))</f>
        <v>0</v>
      </c>
      <c r="AC736" t="b">
        <f>+ISNUMBER(SEARCH('F-COMPRA'!#REF!,Tabla11[[#This Row],[Cuenta]],1))</f>
        <v>0</v>
      </c>
      <c r="AD736" t="b">
        <f>+ISNUMBER(SEARCH('F-COMPRA'!#REF!,Tabla11[[#This Row],[Cuenta]],1))</f>
        <v>0</v>
      </c>
      <c r="AE736" t="b">
        <f>+ISNUMBER(SEARCH('F-COMPRA'!#REF!,Tabla11[[#This Row],[Cuenta]],1))</f>
        <v>0</v>
      </c>
      <c r="AF736" t="b">
        <f>+ISNUMBER(SEARCH('F-VTA'!$G$23,Tabla11[[#This Row],[Cuenta]],1))</f>
        <v>0</v>
      </c>
      <c r="AG736" t="b">
        <f>+ISNUMBER(SEARCH('F-VTA'!$G$24,Tabla11[[#This Row],[Cuenta]],1))</f>
        <v>0</v>
      </c>
      <c r="AH736" t="b">
        <f>+ISNUMBER(SEARCH('F-VTA'!$G$25,Tabla11[[#This Row],[Cuenta]],1))</f>
        <v>0</v>
      </c>
      <c r="AI736" t="b">
        <f>+ISNUMBER(SEARCH('F-VTA'!$F$28,Tabla11[[#This Row],[Cuenta]],1))</f>
        <v>1</v>
      </c>
      <c r="AJ736" t="b">
        <f>+ISNUMBER(SEARCH('F-VTA'!$F$29,Tabla11[[#This Row],[Cuenta]],1))</f>
        <v>1</v>
      </c>
      <c r="AK736" t="b">
        <f>+ISNUMBER(SEARCH('F-VTA'!$F$30,Tabla11[[#This Row],[Cuenta]],1))</f>
        <v>1</v>
      </c>
      <c r="AL736" t="b">
        <f>+ISNUMBER(SEARCH('F-VTA'!$F$31,Tabla11[[#This Row],[Cuenta]],1))</f>
        <v>1</v>
      </c>
      <c r="AM736" t="b">
        <f>+ISNUMBER(SEARCH('F-VTA'!$F$32,Tabla11[[#This Row],[Cuenta]],1))</f>
        <v>1</v>
      </c>
      <c r="AN736" t="b">
        <f>+ISNUMBER(SEARCH('F-VTA'!$F$33,Tabla11[[#This Row],[Cuenta]],1))</f>
        <v>1</v>
      </c>
      <c r="AO736" t="b">
        <f>+ISNUMBER(SEARCH('F-VTA'!$F$34,Tabla11[[#This Row],[Cuenta]],1))</f>
        <v>1</v>
      </c>
      <c r="AP736" t="b">
        <f>+ISNUMBER(SEARCH('F-VTA'!$F$35,Tabla11[[#This Row],[Cuenta]],1))</f>
        <v>1</v>
      </c>
      <c r="AQ736" t="b">
        <f>+ISNUMBER(SEARCH('F-VTA'!$F$36,Tabla11[[#This Row],[Cuenta]],1))</f>
        <v>1</v>
      </c>
      <c r="AR736" t="b">
        <f>+ISNUMBER(SEARCH(#REF!,Tabla11[[#This Row],[Cuenta]],1))</f>
        <v>0</v>
      </c>
      <c r="AS736" t="b">
        <f>+ISNUMBER(SEARCH(#REF!,Tabla11[[#This Row],[Cuenta]],1))</f>
        <v>0</v>
      </c>
      <c r="AT736" t="b">
        <f>+ISNUMBER(SEARCH(#REF!,Tabla11[[#This Row],[Cuenta]],1))</f>
        <v>0</v>
      </c>
      <c r="AU736" t="b">
        <f>+ISNUMBER(SEARCH('Conc. Ban.1'!$I$9,Tabla11[[#This Row],[Cuenta]],1))</f>
        <v>0</v>
      </c>
      <c r="AV736" t="b">
        <f>+ISNUMBER(SEARCH(CompConta!$F$21,Tabla11[[#This Row],[Cuenta]],1))</f>
        <v>1</v>
      </c>
      <c r="AW736" t="b">
        <f>+ISNUMBER(SEARCH(CompConta!$F$22,Tabla11[[#This Row],[Cuenta]],1))</f>
        <v>1</v>
      </c>
      <c r="AX736" t="b">
        <f>+ISNUMBER(SEARCH(CompConta!$F$23,Tabla11[[#This Row],[Cuenta]],1))</f>
        <v>1</v>
      </c>
      <c r="AY736" t="b">
        <f>+ISNUMBER(SEARCH(CompConta!$F$24,Tabla11[[#This Row],[Cuenta]],1))</f>
        <v>1</v>
      </c>
      <c r="AZ736" t="b">
        <f>+ISNUMBER(SEARCH(CompConta!$F$25,Tabla11[[#This Row],[Cuenta]],1))</f>
        <v>1</v>
      </c>
      <c r="BA736" t="b">
        <f>+ISNUMBER(SEARCH(CompConta!$F$26,Tabla11[[#This Row],[Cuenta]],1))</f>
        <v>1</v>
      </c>
      <c r="BB736" t="b">
        <f>+ISNUMBER(SEARCH(CompConta!$F$27,Tabla11[[#This Row],[Cuenta]],1))</f>
        <v>1</v>
      </c>
      <c r="BC736" t="b">
        <f>+ISNUMBER(SEARCH(CompConta!$F$28,Tabla11[[#This Row],[Cuenta]],1))</f>
        <v>1</v>
      </c>
      <c r="BD736" t="b">
        <f>+ISNUMBER(SEARCH(CompConta!$F$29,Tabla11[[#This Row],[Cuenta]],1))</f>
        <v>1</v>
      </c>
      <c r="BE736" t="b">
        <f>+ISNUMBER(SEARCH(CompConta!$F$30,Tabla11[[#This Row],[Cuenta]],1))</f>
        <v>1</v>
      </c>
      <c r="BF736" t="b">
        <f>+ISNUMBER(SEARCH('PAGO Compras'!$E$11,Tabla11[[#This Row],[Cuenta]],1))</f>
        <v>1</v>
      </c>
      <c r="BG736" t="b">
        <f>+ISNUMBER(SEARCH(#REF!,Tabla11[[#This Row],[Cuenta]],1))</f>
        <v>0</v>
      </c>
      <c r="BH736" t="b">
        <f>+ISNUMBER(SEARCH(#REF!,Tabla11[[#This Row],[Cuenta]],1))</f>
        <v>0</v>
      </c>
      <c r="BI736" t="b">
        <f>+ISNUMBER(SEARCH(#REF!,Tabla11[[#This Row],[Cuenta]],1))</f>
        <v>0</v>
      </c>
      <c r="BJ736" t="b">
        <f>+ISNUMBER(SEARCH(#REF!,Tabla11[[#This Row],[Cuenta]],1))</f>
        <v>0</v>
      </c>
      <c r="BS736" t="str">
        <v>4210 FINANCIEROS</v>
      </c>
      <c r="BT736" t="str">
        <v>4210 FINANCIEROS</v>
      </c>
      <c r="BU736" t="str">
        <v>4210 FINANCIEROS</v>
      </c>
      <c r="BV736" t="str">
        <v>4210 FINANCIEROS</v>
      </c>
      <c r="BZ736" t="str">
        <v>4210 FINANCIEROS</v>
      </c>
      <c r="CA736" t="str">
        <v>4210 FINANCIEROS</v>
      </c>
      <c r="CB736" t="str">
        <v>4210 FINANCIEROS</v>
      </c>
      <c r="CC736" t="str">
        <v>4210 FINANCIEROS</v>
      </c>
      <c r="CD736" t="str">
        <v>4210 FINANCIEROS</v>
      </c>
      <c r="CE736" t="str">
        <v>4210 FINANCIEROS</v>
      </c>
      <c r="CS736" s="141" t="str">
        <v>4210 FINANCIEROS</v>
      </c>
      <c r="CT736" s="141" t="str">
        <v>4210 FINANCIEROS</v>
      </c>
      <c r="CU736" s="141" t="str">
        <v>4210 FINANCIEROS</v>
      </c>
      <c r="CV736" s="141" t="str">
        <v>4210 FINANCIEROS</v>
      </c>
      <c r="CW736" s="141" t="str">
        <v>4210 FINANCIEROS</v>
      </c>
      <c r="CX736" s="141" t="str">
        <v>4210 FINANCIEROS</v>
      </c>
      <c r="CY736" s="141" t="str">
        <v>4210 FINANCIEROS</v>
      </c>
      <c r="CZ736" s="141" t="str">
        <v>4210 FINANCIEROS</v>
      </c>
      <c r="DA736" s="141" t="str">
        <v>4210 FINANCIEROS</v>
      </c>
      <c r="DF736" t="str">
        <v>4210 FINANCIEROS</v>
      </c>
      <c r="DG736" t="str">
        <v>4210 FINANCIEROS</v>
      </c>
      <c r="DH736" t="str">
        <v>4210 FINANCIEROS</v>
      </c>
      <c r="DI736" t="str">
        <v>4210 FINANCIEROS</v>
      </c>
      <c r="DJ736" t="str">
        <v>4210 FINANCIEROS</v>
      </c>
      <c r="DK736" t="str">
        <v>4210 FINANCIEROS</v>
      </c>
      <c r="DL736" t="str">
        <v>4210 FINANCIEROS</v>
      </c>
      <c r="DM736" t="str">
        <v>4210 FINANCIEROS</v>
      </c>
      <c r="DN736" t="str">
        <v>4210 FINANCIEROS</v>
      </c>
      <c r="DO736" t="str">
        <v>4210 FINANCIEROS</v>
      </c>
      <c r="DP736" t="str">
        <v>4210 FINANCIEROS</v>
      </c>
    </row>
    <row r="737" spans="4:120" ht="12.75">
      <c r="D737" s="7">
        <v>421005</v>
      </c>
      <c r="E737" s="6" t="s">
        <v>73</v>
      </c>
      <c r="F737" s="5">
        <v>4</v>
      </c>
      <c r="G737" s="34" t="s">
        <v>829</v>
      </c>
      <c r="H737" s="8" t="s">
        <v>56</v>
      </c>
      <c r="I737" t="b">
        <f>+ISNUMBER(SEARCH('F-COMPRA'!$F$28,Tabla11[[#This Row],[Cuenta]],1))</f>
        <v>1</v>
      </c>
      <c r="J737" t="b">
        <f>+ISNUMBER(SEARCH('F-COMPRA'!$F$29,Tabla11[[#This Row],[Cuenta]],1))</f>
        <v>1</v>
      </c>
      <c r="K737" t="b">
        <f>+ISNUMBER(SEARCH('F-COMPRA'!$F$30,Tabla11[[#This Row],[Cuenta]],1))</f>
        <v>1</v>
      </c>
      <c r="L737" t="b">
        <f>+ISNUMBER(SEARCH('F-COMPRA'!$F$31,Tabla11[[#This Row],[Cuenta]],1))</f>
        <v>1</v>
      </c>
      <c r="M737" t="b">
        <f>+ISNUMBER(SEARCH('F-COMPRA'!$G$25,Tabla11[[#This Row],[Cuenta]],1))</f>
        <v>0</v>
      </c>
      <c r="N737" t="b">
        <f>+ISNUMBER(SEARCH(#REF!,Tabla11[[#This Row],[Cuenta]],1))</f>
        <v>0</v>
      </c>
      <c r="O737" t="b">
        <f>+ISNUMBER(SEARCH(#REF!,Tabla11[[#This Row],[Cuenta]],1))</f>
        <v>0</v>
      </c>
      <c r="P737" t="b">
        <f>+ISNUMBER(SEARCH('F-COMPRA'!$F$32,Tabla11[[#This Row],[Cuenta]],1))</f>
        <v>1</v>
      </c>
      <c r="Q737" t="b">
        <f>+ISNUMBER(SEARCH('F-COMPRA'!$F$33,Tabla11[[#This Row],[Cuenta]],1))</f>
        <v>1</v>
      </c>
      <c r="R737" t="b">
        <f>+ISNUMBER(SEARCH('F-COMPRA'!$F$34,Tabla11[[#This Row],[Cuenta]],1))</f>
        <v>1</v>
      </c>
      <c r="S737" t="b">
        <f>+ISNUMBER(SEARCH('F-COMPRA'!$F$35,Tabla11[[#This Row],[Cuenta]],1))</f>
        <v>1</v>
      </c>
      <c r="T737" t="b">
        <f>+ISNUMBER(SEARCH('F-COMPRA'!$F$36,Tabla11[[#This Row],[Cuenta]],1))</f>
        <v>1</v>
      </c>
      <c r="U737" t="b">
        <f>+ISNUMBER(SEARCH('F-COMPRA'!$F$37,Tabla11[[#This Row],[Cuenta]],1))</f>
        <v>1</v>
      </c>
      <c r="V737" t="b">
        <f>+ISNUMBER(SEARCH(#REF!,Tabla11[[#This Row],[Cuenta]],1))</f>
        <v>0</v>
      </c>
      <c r="W737" t="b">
        <f>+ISNUMBER(SEARCH('F-COMPRA'!#REF!,Tabla11[[#This Row],[Cuenta]],1))</f>
        <v>0</v>
      </c>
      <c r="X737" t="b">
        <f>+ISNUMBER(SEARCH('F-COMPRA'!#REF!,Tabla11[[#This Row],[Cuenta]],1))</f>
        <v>0</v>
      </c>
      <c r="Y737" t="b">
        <f>+ISNUMBER(SEARCH('F-COMPRA'!#REF!,Tabla11[[#This Row],[Cuenta]],1))</f>
        <v>0</v>
      </c>
      <c r="Z737" t="b">
        <f>+ISNUMBER(SEARCH('F-COMPRA'!#REF!,Tabla11[[#This Row],[Cuenta]],1))</f>
        <v>0</v>
      </c>
      <c r="AA737" t="b">
        <f>+ISNUMBER(SEARCH('F-COMPRA'!#REF!,Tabla11[[#This Row],[Cuenta]],1))</f>
        <v>0</v>
      </c>
      <c r="AB737" t="b">
        <f>+ISNUMBER(SEARCH('F-COMPRA'!#REF!,Tabla11[[#This Row],[Cuenta]],1))</f>
        <v>0</v>
      </c>
      <c r="AC737" t="b">
        <f>+ISNUMBER(SEARCH('F-COMPRA'!#REF!,Tabla11[[#This Row],[Cuenta]],1))</f>
        <v>0</v>
      </c>
      <c r="AD737" t="b">
        <f>+ISNUMBER(SEARCH('F-COMPRA'!#REF!,Tabla11[[#This Row],[Cuenta]],1))</f>
        <v>0</v>
      </c>
      <c r="AE737" t="b">
        <f>+ISNUMBER(SEARCH('F-COMPRA'!#REF!,Tabla11[[#This Row],[Cuenta]],1))</f>
        <v>0</v>
      </c>
      <c r="AF737" t="b">
        <f>+ISNUMBER(SEARCH('F-VTA'!$G$23,Tabla11[[#This Row],[Cuenta]],1))</f>
        <v>0</v>
      </c>
      <c r="AG737" t="b">
        <f>+ISNUMBER(SEARCH('F-VTA'!$G$24,Tabla11[[#This Row],[Cuenta]],1))</f>
        <v>0</v>
      </c>
      <c r="AH737" t="b">
        <f>+ISNUMBER(SEARCH('F-VTA'!$G$25,Tabla11[[#This Row],[Cuenta]],1))</f>
        <v>0</v>
      </c>
      <c r="AI737" t="b">
        <f>+ISNUMBER(SEARCH('F-VTA'!$F$28,Tabla11[[#This Row],[Cuenta]],1))</f>
        <v>1</v>
      </c>
      <c r="AJ737" t="b">
        <f>+ISNUMBER(SEARCH('F-VTA'!$F$29,Tabla11[[#This Row],[Cuenta]],1))</f>
        <v>1</v>
      </c>
      <c r="AK737" t="b">
        <f>+ISNUMBER(SEARCH('F-VTA'!$F$30,Tabla11[[#This Row],[Cuenta]],1))</f>
        <v>1</v>
      </c>
      <c r="AL737" t="b">
        <f>+ISNUMBER(SEARCH('F-VTA'!$F$31,Tabla11[[#This Row],[Cuenta]],1))</f>
        <v>1</v>
      </c>
      <c r="AM737" t="b">
        <f>+ISNUMBER(SEARCH('F-VTA'!$F$32,Tabla11[[#This Row],[Cuenta]],1))</f>
        <v>1</v>
      </c>
      <c r="AN737" t="b">
        <f>+ISNUMBER(SEARCH('F-VTA'!$F$33,Tabla11[[#This Row],[Cuenta]],1))</f>
        <v>1</v>
      </c>
      <c r="AO737" t="b">
        <f>+ISNUMBER(SEARCH('F-VTA'!$F$34,Tabla11[[#This Row],[Cuenta]],1))</f>
        <v>1</v>
      </c>
      <c r="AP737" t="b">
        <f>+ISNUMBER(SEARCH('F-VTA'!$F$35,Tabla11[[#This Row],[Cuenta]],1))</f>
        <v>1</v>
      </c>
      <c r="AQ737" t="b">
        <f>+ISNUMBER(SEARCH('F-VTA'!$F$36,Tabla11[[#This Row],[Cuenta]],1))</f>
        <v>1</v>
      </c>
      <c r="AR737" t="b">
        <f>+ISNUMBER(SEARCH(#REF!,Tabla11[[#This Row],[Cuenta]],1))</f>
        <v>0</v>
      </c>
      <c r="AS737" t="b">
        <f>+ISNUMBER(SEARCH(#REF!,Tabla11[[#This Row],[Cuenta]],1))</f>
        <v>0</v>
      </c>
      <c r="AT737" t="b">
        <f>+ISNUMBER(SEARCH(#REF!,Tabla11[[#This Row],[Cuenta]],1))</f>
        <v>0</v>
      </c>
      <c r="AU737" t="b">
        <f>+ISNUMBER(SEARCH('Conc. Ban.1'!$I$9,Tabla11[[#This Row],[Cuenta]],1))</f>
        <v>0</v>
      </c>
      <c r="AV737" t="b">
        <f>+ISNUMBER(SEARCH(CompConta!$F$21,Tabla11[[#This Row],[Cuenta]],1))</f>
        <v>1</v>
      </c>
      <c r="AW737" t="b">
        <f>+ISNUMBER(SEARCH(CompConta!$F$22,Tabla11[[#This Row],[Cuenta]],1))</f>
        <v>1</v>
      </c>
      <c r="AX737" t="b">
        <f>+ISNUMBER(SEARCH(CompConta!$F$23,Tabla11[[#This Row],[Cuenta]],1))</f>
        <v>1</v>
      </c>
      <c r="AY737" t="b">
        <f>+ISNUMBER(SEARCH(CompConta!$F$24,Tabla11[[#This Row],[Cuenta]],1))</f>
        <v>1</v>
      </c>
      <c r="AZ737" t="b">
        <f>+ISNUMBER(SEARCH(CompConta!$F$25,Tabla11[[#This Row],[Cuenta]],1))</f>
        <v>1</v>
      </c>
      <c r="BA737" t="b">
        <f>+ISNUMBER(SEARCH(CompConta!$F$26,Tabla11[[#This Row],[Cuenta]],1))</f>
        <v>1</v>
      </c>
      <c r="BB737" t="b">
        <f>+ISNUMBER(SEARCH(CompConta!$F$27,Tabla11[[#This Row],[Cuenta]],1))</f>
        <v>1</v>
      </c>
      <c r="BC737" t="b">
        <f>+ISNUMBER(SEARCH(CompConta!$F$28,Tabla11[[#This Row],[Cuenta]],1))</f>
        <v>1</v>
      </c>
      <c r="BD737" t="b">
        <f>+ISNUMBER(SEARCH(CompConta!$F$29,Tabla11[[#This Row],[Cuenta]],1))</f>
        <v>1</v>
      </c>
      <c r="BE737" t="b">
        <f>+ISNUMBER(SEARCH(CompConta!$F$30,Tabla11[[#This Row],[Cuenta]],1))</f>
        <v>1</v>
      </c>
      <c r="BF737" t="b">
        <f>+ISNUMBER(SEARCH('PAGO Compras'!$E$11,Tabla11[[#This Row],[Cuenta]],1))</f>
        <v>1</v>
      </c>
      <c r="BG737" t="b">
        <f>+ISNUMBER(SEARCH(#REF!,Tabla11[[#This Row],[Cuenta]],1))</f>
        <v>0</v>
      </c>
      <c r="BH737" t="b">
        <f>+ISNUMBER(SEARCH(#REF!,Tabla11[[#This Row],[Cuenta]],1))</f>
        <v>0</v>
      </c>
      <c r="BI737" t="b">
        <f>+ISNUMBER(SEARCH(#REF!,Tabla11[[#This Row],[Cuenta]],1))</f>
        <v>0</v>
      </c>
      <c r="BJ737" t="b">
        <f>+ISNUMBER(SEARCH(#REF!,Tabla11[[#This Row],[Cuenta]],1))</f>
        <v>0</v>
      </c>
      <c r="BS737" t="str">
        <v>421005 Intereses</v>
      </c>
      <c r="BT737" t="str">
        <v>421005 Intereses</v>
      </c>
      <c r="BU737" t="str">
        <v>421005 Intereses</v>
      </c>
      <c r="BV737" t="str">
        <v>421005 Intereses</v>
      </c>
      <c r="BZ737" t="str">
        <v>421005 Intereses</v>
      </c>
      <c r="CA737" t="str">
        <v>421005 Intereses</v>
      </c>
      <c r="CB737" t="str">
        <v>421005 Intereses</v>
      </c>
      <c r="CC737" t="str">
        <v>421005 Intereses</v>
      </c>
      <c r="CD737" t="str">
        <v>421005 Intereses</v>
      </c>
      <c r="CE737" t="str">
        <v>421005 Intereses</v>
      </c>
      <c r="CS737" s="141" t="str">
        <v>421005 Intereses</v>
      </c>
      <c r="CT737" s="141" t="str">
        <v>421005 Intereses</v>
      </c>
      <c r="CU737" s="141" t="str">
        <v>421005 Intereses</v>
      </c>
      <c r="CV737" s="141" t="str">
        <v>421005 Intereses</v>
      </c>
      <c r="CW737" s="141" t="str">
        <v>421005 Intereses</v>
      </c>
      <c r="CX737" s="141" t="str">
        <v>421005 Intereses</v>
      </c>
      <c r="CY737" s="141" t="str">
        <v>421005 Intereses</v>
      </c>
      <c r="CZ737" s="141" t="str">
        <v>421005 Intereses</v>
      </c>
      <c r="DA737" s="141" t="str">
        <v>421005 Intereses</v>
      </c>
      <c r="DF737" t="str">
        <v>421005 Intereses</v>
      </c>
      <c r="DG737" t="str">
        <v>421005 Intereses</v>
      </c>
      <c r="DH737" t="str">
        <v>421005 Intereses</v>
      </c>
      <c r="DI737" t="str">
        <v>421005 Intereses</v>
      </c>
      <c r="DJ737" t="str">
        <v>421005 Intereses</v>
      </c>
      <c r="DK737" t="str">
        <v>421005 Intereses</v>
      </c>
      <c r="DL737" t="str">
        <v>421005 Intereses</v>
      </c>
      <c r="DM737" t="str">
        <v>421005 Intereses</v>
      </c>
      <c r="DN737" t="str">
        <v>421005 Intereses</v>
      </c>
      <c r="DO737" t="str">
        <v>421005 Intereses</v>
      </c>
      <c r="DP737" t="str">
        <v>421005 Intereses</v>
      </c>
    </row>
    <row r="738" spans="4:120" ht="12.75">
      <c r="D738" s="7">
        <v>421010</v>
      </c>
      <c r="E738" s="6" t="s">
        <v>509</v>
      </c>
      <c r="F738" s="5">
        <v>4</v>
      </c>
      <c r="G738" s="34" t="s">
        <v>829</v>
      </c>
      <c r="H738" s="8" t="s">
        <v>56</v>
      </c>
      <c r="I738" t="b">
        <f>+ISNUMBER(SEARCH('F-COMPRA'!$F$28,Tabla11[[#This Row],[Cuenta]],1))</f>
        <v>1</v>
      </c>
      <c r="J738" t="b">
        <f>+ISNUMBER(SEARCH('F-COMPRA'!$F$29,Tabla11[[#This Row],[Cuenta]],1))</f>
        <v>1</v>
      </c>
      <c r="K738" t="b">
        <f>+ISNUMBER(SEARCH('F-COMPRA'!$F$30,Tabla11[[#This Row],[Cuenta]],1))</f>
        <v>1</v>
      </c>
      <c r="L738" t="b">
        <f>+ISNUMBER(SEARCH('F-COMPRA'!$F$31,Tabla11[[#This Row],[Cuenta]],1))</f>
        <v>1</v>
      </c>
      <c r="M738" t="b">
        <f>+ISNUMBER(SEARCH('F-COMPRA'!$G$25,Tabla11[[#This Row],[Cuenta]],1))</f>
        <v>0</v>
      </c>
      <c r="N738" t="b">
        <f>+ISNUMBER(SEARCH(#REF!,Tabla11[[#This Row],[Cuenta]],1))</f>
        <v>0</v>
      </c>
      <c r="O738" t="b">
        <f>+ISNUMBER(SEARCH(#REF!,Tabla11[[#This Row],[Cuenta]],1))</f>
        <v>0</v>
      </c>
      <c r="P738" t="b">
        <f>+ISNUMBER(SEARCH('F-COMPRA'!$F$32,Tabla11[[#This Row],[Cuenta]],1))</f>
        <v>1</v>
      </c>
      <c r="Q738" t="b">
        <f>+ISNUMBER(SEARCH('F-COMPRA'!$F$33,Tabla11[[#This Row],[Cuenta]],1))</f>
        <v>1</v>
      </c>
      <c r="R738" t="b">
        <f>+ISNUMBER(SEARCH('F-COMPRA'!$F$34,Tabla11[[#This Row],[Cuenta]],1))</f>
        <v>1</v>
      </c>
      <c r="S738" t="b">
        <f>+ISNUMBER(SEARCH('F-COMPRA'!$F$35,Tabla11[[#This Row],[Cuenta]],1))</f>
        <v>1</v>
      </c>
      <c r="T738" t="b">
        <f>+ISNUMBER(SEARCH('F-COMPRA'!$F$36,Tabla11[[#This Row],[Cuenta]],1))</f>
        <v>1</v>
      </c>
      <c r="U738" t="b">
        <f>+ISNUMBER(SEARCH('F-COMPRA'!$F$37,Tabla11[[#This Row],[Cuenta]],1))</f>
        <v>1</v>
      </c>
      <c r="V738" t="b">
        <f>+ISNUMBER(SEARCH(#REF!,Tabla11[[#This Row],[Cuenta]],1))</f>
        <v>0</v>
      </c>
      <c r="W738" t="b">
        <f>+ISNUMBER(SEARCH('F-COMPRA'!#REF!,Tabla11[[#This Row],[Cuenta]],1))</f>
        <v>0</v>
      </c>
      <c r="X738" t="b">
        <f>+ISNUMBER(SEARCH('F-COMPRA'!#REF!,Tabla11[[#This Row],[Cuenta]],1))</f>
        <v>0</v>
      </c>
      <c r="Y738" t="b">
        <f>+ISNUMBER(SEARCH('F-COMPRA'!#REF!,Tabla11[[#This Row],[Cuenta]],1))</f>
        <v>0</v>
      </c>
      <c r="Z738" t="b">
        <f>+ISNUMBER(SEARCH('F-COMPRA'!#REF!,Tabla11[[#This Row],[Cuenta]],1))</f>
        <v>0</v>
      </c>
      <c r="AA738" t="b">
        <f>+ISNUMBER(SEARCH('F-COMPRA'!#REF!,Tabla11[[#This Row],[Cuenta]],1))</f>
        <v>0</v>
      </c>
      <c r="AB738" t="b">
        <f>+ISNUMBER(SEARCH('F-COMPRA'!#REF!,Tabla11[[#This Row],[Cuenta]],1))</f>
        <v>0</v>
      </c>
      <c r="AC738" t="b">
        <f>+ISNUMBER(SEARCH('F-COMPRA'!#REF!,Tabla11[[#This Row],[Cuenta]],1))</f>
        <v>0</v>
      </c>
      <c r="AD738" t="b">
        <f>+ISNUMBER(SEARCH('F-COMPRA'!#REF!,Tabla11[[#This Row],[Cuenta]],1))</f>
        <v>0</v>
      </c>
      <c r="AE738" t="b">
        <f>+ISNUMBER(SEARCH('F-COMPRA'!#REF!,Tabla11[[#This Row],[Cuenta]],1))</f>
        <v>0</v>
      </c>
      <c r="AF738" t="b">
        <f>+ISNUMBER(SEARCH('F-VTA'!$G$23,Tabla11[[#This Row],[Cuenta]],1))</f>
        <v>0</v>
      </c>
      <c r="AG738" t="b">
        <f>+ISNUMBER(SEARCH('F-VTA'!$G$24,Tabla11[[#This Row],[Cuenta]],1))</f>
        <v>0</v>
      </c>
      <c r="AH738" t="b">
        <f>+ISNUMBER(SEARCH('F-VTA'!$G$25,Tabla11[[#This Row],[Cuenta]],1))</f>
        <v>0</v>
      </c>
      <c r="AI738" t="b">
        <f>+ISNUMBER(SEARCH('F-VTA'!$F$28,Tabla11[[#This Row],[Cuenta]],1))</f>
        <v>1</v>
      </c>
      <c r="AJ738" t="b">
        <f>+ISNUMBER(SEARCH('F-VTA'!$F$29,Tabla11[[#This Row],[Cuenta]],1))</f>
        <v>1</v>
      </c>
      <c r="AK738" t="b">
        <f>+ISNUMBER(SEARCH('F-VTA'!$F$30,Tabla11[[#This Row],[Cuenta]],1))</f>
        <v>1</v>
      </c>
      <c r="AL738" t="b">
        <f>+ISNUMBER(SEARCH('F-VTA'!$F$31,Tabla11[[#This Row],[Cuenta]],1))</f>
        <v>1</v>
      </c>
      <c r="AM738" t="b">
        <f>+ISNUMBER(SEARCH('F-VTA'!$F$32,Tabla11[[#This Row],[Cuenta]],1))</f>
        <v>1</v>
      </c>
      <c r="AN738" t="b">
        <f>+ISNUMBER(SEARCH('F-VTA'!$F$33,Tabla11[[#This Row],[Cuenta]],1))</f>
        <v>1</v>
      </c>
      <c r="AO738" t="b">
        <f>+ISNUMBER(SEARCH('F-VTA'!$F$34,Tabla11[[#This Row],[Cuenta]],1))</f>
        <v>1</v>
      </c>
      <c r="AP738" t="b">
        <f>+ISNUMBER(SEARCH('F-VTA'!$F$35,Tabla11[[#This Row],[Cuenta]],1))</f>
        <v>1</v>
      </c>
      <c r="AQ738" t="b">
        <f>+ISNUMBER(SEARCH('F-VTA'!$F$36,Tabla11[[#This Row],[Cuenta]],1))</f>
        <v>1</v>
      </c>
      <c r="AR738" t="b">
        <f>+ISNUMBER(SEARCH(#REF!,Tabla11[[#This Row],[Cuenta]],1))</f>
        <v>0</v>
      </c>
      <c r="AS738" t="b">
        <f>+ISNUMBER(SEARCH(#REF!,Tabla11[[#This Row],[Cuenta]],1))</f>
        <v>0</v>
      </c>
      <c r="AT738" t="b">
        <f>+ISNUMBER(SEARCH(#REF!,Tabla11[[#This Row],[Cuenta]],1))</f>
        <v>0</v>
      </c>
      <c r="AU738" t="b">
        <f>+ISNUMBER(SEARCH('Conc. Ban.1'!$I$9,Tabla11[[#This Row],[Cuenta]],1))</f>
        <v>0</v>
      </c>
      <c r="AV738" t="b">
        <f>+ISNUMBER(SEARCH(CompConta!$F$21,Tabla11[[#This Row],[Cuenta]],1))</f>
        <v>1</v>
      </c>
      <c r="AW738" t="b">
        <f>+ISNUMBER(SEARCH(CompConta!$F$22,Tabla11[[#This Row],[Cuenta]],1))</f>
        <v>1</v>
      </c>
      <c r="AX738" t="b">
        <f>+ISNUMBER(SEARCH(CompConta!$F$23,Tabla11[[#This Row],[Cuenta]],1))</f>
        <v>1</v>
      </c>
      <c r="AY738" t="b">
        <f>+ISNUMBER(SEARCH(CompConta!$F$24,Tabla11[[#This Row],[Cuenta]],1))</f>
        <v>1</v>
      </c>
      <c r="AZ738" t="b">
        <f>+ISNUMBER(SEARCH(CompConta!$F$25,Tabla11[[#This Row],[Cuenta]],1))</f>
        <v>1</v>
      </c>
      <c r="BA738" t="b">
        <f>+ISNUMBER(SEARCH(CompConta!$F$26,Tabla11[[#This Row],[Cuenta]],1))</f>
        <v>1</v>
      </c>
      <c r="BB738" t="b">
        <f>+ISNUMBER(SEARCH(CompConta!$F$27,Tabla11[[#This Row],[Cuenta]],1))</f>
        <v>1</v>
      </c>
      <c r="BC738" t="b">
        <f>+ISNUMBER(SEARCH(CompConta!$F$28,Tabla11[[#This Row],[Cuenta]],1))</f>
        <v>1</v>
      </c>
      <c r="BD738" t="b">
        <f>+ISNUMBER(SEARCH(CompConta!$F$29,Tabla11[[#This Row],[Cuenta]],1))</f>
        <v>1</v>
      </c>
      <c r="BE738" t="b">
        <f>+ISNUMBER(SEARCH(CompConta!$F$30,Tabla11[[#This Row],[Cuenta]],1))</f>
        <v>1</v>
      </c>
      <c r="BF738" t="b">
        <f>+ISNUMBER(SEARCH('PAGO Compras'!$E$11,Tabla11[[#This Row],[Cuenta]],1))</f>
        <v>1</v>
      </c>
      <c r="BG738" t="b">
        <f>+ISNUMBER(SEARCH(#REF!,Tabla11[[#This Row],[Cuenta]],1))</f>
        <v>0</v>
      </c>
      <c r="BH738" t="b">
        <f>+ISNUMBER(SEARCH(#REF!,Tabla11[[#This Row],[Cuenta]],1))</f>
        <v>0</v>
      </c>
      <c r="BI738" t="b">
        <f>+ISNUMBER(SEARCH(#REF!,Tabla11[[#This Row],[Cuenta]],1))</f>
        <v>0</v>
      </c>
      <c r="BJ738" t="b">
        <f>+ISNUMBER(SEARCH(#REF!,Tabla11[[#This Row],[Cuenta]],1))</f>
        <v>0</v>
      </c>
      <c r="BS738" t="str">
        <v>421010 Reajuste monetario-UPAC</v>
      </c>
      <c r="BT738" t="str">
        <v>421010 Reajuste monetario-UPAC</v>
      </c>
      <c r="BU738" t="str">
        <v>421010 Reajuste monetario-UPAC</v>
      </c>
      <c r="BV738" t="str">
        <v>421010 Reajuste monetario-UPAC</v>
      </c>
      <c r="BZ738" t="str">
        <v>421010 Reajuste monetario-UPAC</v>
      </c>
      <c r="CA738" t="str">
        <v>421010 Reajuste monetario-UPAC</v>
      </c>
      <c r="CB738" t="str">
        <v>421010 Reajuste monetario-UPAC</v>
      </c>
      <c r="CC738" t="str">
        <v>421010 Reajuste monetario-UPAC</v>
      </c>
      <c r="CD738" t="str">
        <v>421010 Reajuste monetario-UPAC</v>
      </c>
      <c r="CE738" t="str">
        <v>421010 Reajuste monetario-UPAC</v>
      </c>
      <c r="CS738" s="141" t="str">
        <v>421010 Reajuste monetario-UPAC</v>
      </c>
      <c r="CT738" s="141" t="str">
        <v>421010 Reajuste monetario-UPAC</v>
      </c>
      <c r="CU738" s="141" t="str">
        <v>421010 Reajuste monetario-UPAC</v>
      </c>
      <c r="CV738" s="141" t="str">
        <v>421010 Reajuste monetario-UPAC</v>
      </c>
      <c r="CW738" s="141" t="str">
        <v>421010 Reajuste monetario-UPAC</v>
      </c>
      <c r="CX738" s="141" t="str">
        <v>421010 Reajuste monetario-UPAC</v>
      </c>
      <c r="CY738" s="141" t="str">
        <v>421010 Reajuste monetario-UPAC</v>
      </c>
      <c r="CZ738" s="141" t="str">
        <v>421010 Reajuste monetario-UPAC</v>
      </c>
      <c r="DA738" s="141" t="str">
        <v>421010 Reajuste monetario-UPAC</v>
      </c>
      <c r="DF738" t="str">
        <v>421010 Reajuste monetario-UPAC</v>
      </c>
      <c r="DG738" t="str">
        <v>421010 Reajuste monetario-UPAC</v>
      </c>
      <c r="DH738" t="str">
        <v>421010 Reajuste monetario-UPAC</v>
      </c>
      <c r="DI738" t="str">
        <v>421010 Reajuste monetario-UPAC</v>
      </c>
      <c r="DJ738" t="str">
        <v>421010 Reajuste monetario-UPAC</v>
      </c>
      <c r="DK738" t="str">
        <v>421010 Reajuste monetario-UPAC</v>
      </c>
      <c r="DL738" t="str">
        <v>421010 Reajuste monetario-UPAC</v>
      </c>
      <c r="DM738" t="str">
        <v>421010 Reajuste monetario-UPAC</v>
      </c>
      <c r="DN738" t="str">
        <v>421010 Reajuste monetario-UPAC</v>
      </c>
      <c r="DO738" t="str">
        <v>421010 Reajuste monetario-UPAC</v>
      </c>
      <c r="DP738" t="str">
        <v>421010 Reajuste monetario-UPAC</v>
      </c>
    </row>
    <row r="739" spans="4:120" ht="12.75">
      <c r="D739" s="7">
        <v>421015</v>
      </c>
      <c r="E739" s="6" t="s">
        <v>513</v>
      </c>
      <c r="F739" s="5">
        <v>4</v>
      </c>
      <c r="G739" s="34" t="s">
        <v>829</v>
      </c>
      <c r="H739" s="8" t="s">
        <v>56</v>
      </c>
      <c r="I739" t="b">
        <f>+ISNUMBER(SEARCH('F-COMPRA'!$F$28,Tabla11[[#This Row],[Cuenta]],1))</f>
        <v>1</v>
      </c>
      <c r="J739" t="b">
        <f>+ISNUMBER(SEARCH('F-COMPRA'!$F$29,Tabla11[[#This Row],[Cuenta]],1))</f>
        <v>1</v>
      </c>
      <c r="K739" t="b">
        <f>+ISNUMBER(SEARCH('F-COMPRA'!$F$30,Tabla11[[#This Row],[Cuenta]],1))</f>
        <v>1</v>
      </c>
      <c r="L739" t="b">
        <f>+ISNUMBER(SEARCH('F-COMPRA'!$F$31,Tabla11[[#This Row],[Cuenta]],1))</f>
        <v>1</v>
      </c>
      <c r="M739" t="b">
        <f>+ISNUMBER(SEARCH('F-COMPRA'!$G$25,Tabla11[[#This Row],[Cuenta]],1))</f>
        <v>0</v>
      </c>
      <c r="N739" t="b">
        <f>+ISNUMBER(SEARCH(#REF!,Tabla11[[#This Row],[Cuenta]],1))</f>
        <v>0</v>
      </c>
      <c r="O739" t="b">
        <f>+ISNUMBER(SEARCH(#REF!,Tabla11[[#This Row],[Cuenta]],1))</f>
        <v>0</v>
      </c>
      <c r="P739" t="b">
        <f>+ISNUMBER(SEARCH('F-COMPRA'!$F$32,Tabla11[[#This Row],[Cuenta]],1))</f>
        <v>1</v>
      </c>
      <c r="Q739" t="b">
        <f>+ISNUMBER(SEARCH('F-COMPRA'!$F$33,Tabla11[[#This Row],[Cuenta]],1))</f>
        <v>1</v>
      </c>
      <c r="R739" t="b">
        <f>+ISNUMBER(SEARCH('F-COMPRA'!$F$34,Tabla11[[#This Row],[Cuenta]],1))</f>
        <v>1</v>
      </c>
      <c r="S739" t="b">
        <f>+ISNUMBER(SEARCH('F-COMPRA'!$F$35,Tabla11[[#This Row],[Cuenta]],1))</f>
        <v>1</v>
      </c>
      <c r="T739" t="b">
        <f>+ISNUMBER(SEARCH('F-COMPRA'!$F$36,Tabla11[[#This Row],[Cuenta]],1))</f>
        <v>1</v>
      </c>
      <c r="U739" t="b">
        <f>+ISNUMBER(SEARCH('F-COMPRA'!$F$37,Tabla11[[#This Row],[Cuenta]],1))</f>
        <v>1</v>
      </c>
      <c r="V739" t="b">
        <f>+ISNUMBER(SEARCH(#REF!,Tabla11[[#This Row],[Cuenta]],1))</f>
        <v>0</v>
      </c>
      <c r="W739" t="b">
        <f>+ISNUMBER(SEARCH('F-COMPRA'!#REF!,Tabla11[[#This Row],[Cuenta]],1))</f>
        <v>0</v>
      </c>
      <c r="X739" t="b">
        <f>+ISNUMBER(SEARCH('F-COMPRA'!#REF!,Tabla11[[#This Row],[Cuenta]],1))</f>
        <v>0</v>
      </c>
      <c r="Y739" t="b">
        <f>+ISNUMBER(SEARCH('F-COMPRA'!#REF!,Tabla11[[#This Row],[Cuenta]],1))</f>
        <v>0</v>
      </c>
      <c r="Z739" t="b">
        <f>+ISNUMBER(SEARCH('F-COMPRA'!#REF!,Tabla11[[#This Row],[Cuenta]],1))</f>
        <v>0</v>
      </c>
      <c r="AA739" t="b">
        <f>+ISNUMBER(SEARCH('F-COMPRA'!#REF!,Tabla11[[#This Row],[Cuenta]],1))</f>
        <v>0</v>
      </c>
      <c r="AB739" t="b">
        <f>+ISNUMBER(SEARCH('F-COMPRA'!#REF!,Tabla11[[#This Row],[Cuenta]],1))</f>
        <v>0</v>
      </c>
      <c r="AC739" t="b">
        <f>+ISNUMBER(SEARCH('F-COMPRA'!#REF!,Tabla11[[#This Row],[Cuenta]],1))</f>
        <v>0</v>
      </c>
      <c r="AD739" t="b">
        <f>+ISNUMBER(SEARCH('F-COMPRA'!#REF!,Tabla11[[#This Row],[Cuenta]],1))</f>
        <v>0</v>
      </c>
      <c r="AE739" t="b">
        <f>+ISNUMBER(SEARCH('F-COMPRA'!#REF!,Tabla11[[#This Row],[Cuenta]],1))</f>
        <v>0</v>
      </c>
      <c r="AF739" t="b">
        <f>+ISNUMBER(SEARCH('F-VTA'!$G$23,Tabla11[[#This Row],[Cuenta]],1))</f>
        <v>0</v>
      </c>
      <c r="AG739" t="b">
        <f>+ISNUMBER(SEARCH('F-VTA'!$G$24,Tabla11[[#This Row],[Cuenta]],1))</f>
        <v>0</v>
      </c>
      <c r="AH739" t="b">
        <f>+ISNUMBER(SEARCH('F-VTA'!$G$25,Tabla11[[#This Row],[Cuenta]],1))</f>
        <v>0</v>
      </c>
      <c r="AI739" t="b">
        <f>+ISNUMBER(SEARCH('F-VTA'!$F$28,Tabla11[[#This Row],[Cuenta]],1))</f>
        <v>1</v>
      </c>
      <c r="AJ739" t="b">
        <f>+ISNUMBER(SEARCH('F-VTA'!$F$29,Tabla11[[#This Row],[Cuenta]],1))</f>
        <v>1</v>
      </c>
      <c r="AK739" t="b">
        <f>+ISNUMBER(SEARCH('F-VTA'!$F$30,Tabla11[[#This Row],[Cuenta]],1))</f>
        <v>1</v>
      </c>
      <c r="AL739" t="b">
        <f>+ISNUMBER(SEARCH('F-VTA'!$F$31,Tabla11[[#This Row],[Cuenta]],1))</f>
        <v>1</v>
      </c>
      <c r="AM739" t="b">
        <f>+ISNUMBER(SEARCH('F-VTA'!$F$32,Tabla11[[#This Row],[Cuenta]],1))</f>
        <v>1</v>
      </c>
      <c r="AN739" t="b">
        <f>+ISNUMBER(SEARCH('F-VTA'!$F$33,Tabla11[[#This Row],[Cuenta]],1))</f>
        <v>1</v>
      </c>
      <c r="AO739" t="b">
        <f>+ISNUMBER(SEARCH('F-VTA'!$F$34,Tabla11[[#This Row],[Cuenta]],1))</f>
        <v>1</v>
      </c>
      <c r="AP739" t="b">
        <f>+ISNUMBER(SEARCH('F-VTA'!$F$35,Tabla11[[#This Row],[Cuenta]],1))</f>
        <v>1</v>
      </c>
      <c r="AQ739" t="b">
        <f>+ISNUMBER(SEARCH('F-VTA'!$F$36,Tabla11[[#This Row],[Cuenta]],1))</f>
        <v>1</v>
      </c>
      <c r="AR739" t="b">
        <f>+ISNUMBER(SEARCH(#REF!,Tabla11[[#This Row],[Cuenta]],1))</f>
        <v>0</v>
      </c>
      <c r="AS739" t="b">
        <f>+ISNUMBER(SEARCH(#REF!,Tabla11[[#This Row],[Cuenta]],1))</f>
        <v>0</v>
      </c>
      <c r="AT739" t="b">
        <f>+ISNUMBER(SEARCH(#REF!,Tabla11[[#This Row],[Cuenta]],1))</f>
        <v>0</v>
      </c>
      <c r="AU739" t="b">
        <f>+ISNUMBER(SEARCH('Conc. Ban.1'!$I$9,Tabla11[[#This Row],[Cuenta]],1))</f>
        <v>0</v>
      </c>
      <c r="AV739" t="b">
        <f>+ISNUMBER(SEARCH(CompConta!$F$21,Tabla11[[#This Row],[Cuenta]],1))</f>
        <v>1</v>
      </c>
      <c r="AW739" t="b">
        <f>+ISNUMBER(SEARCH(CompConta!$F$22,Tabla11[[#This Row],[Cuenta]],1))</f>
        <v>1</v>
      </c>
      <c r="AX739" t="b">
        <f>+ISNUMBER(SEARCH(CompConta!$F$23,Tabla11[[#This Row],[Cuenta]],1))</f>
        <v>1</v>
      </c>
      <c r="AY739" t="b">
        <f>+ISNUMBER(SEARCH(CompConta!$F$24,Tabla11[[#This Row],[Cuenta]],1))</f>
        <v>1</v>
      </c>
      <c r="AZ739" t="b">
        <f>+ISNUMBER(SEARCH(CompConta!$F$25,Tabla11[[#This Row],[Cuenta]],1))</f>
        <v>1</v>
      </c>
      <c r="BA739" t="b">
        <f>+ISNUMBER(SEARCH(CompConta!$F$26,Tabla11[[#This Row],[Cuenta]],1))</f>
        <v>1</v>
      </c>
      <c r="BB739" t="b">
        <f>+ISNUMBER(SEARCH(CompConta!$F$27,Tabla11[[#This Row],[Cuenta]],1))</f>
        <v>1</v>
      </c>
      <c r="BC739" t="b">
        <f>+ISNUMBER(SEARCH(CompConta!$F$28,Tabla11[[#This Row],[Cuenta]],1))</f>
        <v>1</v>
      </c>
      <c r="BD739" t="b">
        <f>+ISNUMBER(SEARCH(CompConta!$F$29,Tabla11[[#This Row],[Cuenta]],1))</f>
        <v>1</v>
      </c>
      <c r="BE739" t="b">
        <f>+ISNUMBER(SEARCH(CompConta!$F$30,Tabla11[[#This Row],[Cuenta]],1))</f>
        <v>1</v>
      </c>
      <c r="BF739" t="b">
        <f>+ISNUMBER(SEARCH('PAGO Compras'!$E$11,Tabla11[[#This Row],[Cuenta]],1))</f>
        <v>1</v>
      </c>
      <c r="BG739" t="b">
        <f>+ISNUMBER(SEARCH(#REF!,Tabla11[[#This Row],[Cuenta]],1))</f>
        <v>0</v>
      </c>
      <c r="BH739" t="b">
        <f>+ISNUMBER(SEARCH(#REF!,Tabla11[[#This Row],[Cuenta]],1))</f>
        <v>0</v>
      </c>
      <c r="BI739" t="b">
        <f>+ISNUMBER(SEARCH(#REF!,Tabla11[[#This Row],[Cuenta]],1))</f>
        <v>0</v>
      </c>
      <c r="BJ739" t="b">
        <f>+ISNUMBER(SEARCH(#REF!,Tabla11[[#This Row],[Cuenta]],1))</f>
        <v>0</v>
      </c>
      <c r="BS739" t="str">
        <v>421015 Descuentos amortizados</v>
      </c>
      <c r="BT739" t="str">
        <v>421015 Descuentos amortizados</v>
      </c>
      <c r="BU739" t="str">
        <v>421015 Descuentos amortizados</v>
      </c>
      <c r="BV739" t="str">
        <v>421015 Descuentos amortizados</v>
      </c>
      <c r="BZ739" t="str">
        <v>421015 Descuentos amortizados</v>
      </c>
      <c r="CA739" t="str">
        <v>421015 Descuentos amortizados</v>
      </c>
      <c r="CB739" t="str">
        <v>421015 Descuentos amortizados</v>
      </c>
      <c r="CC739" t="str">
        <v>421015 Descuentos amortizados</v>
      </c>
      <c r="CD739" t="str">
        <v>421015 Descuentos amortizados</v>
      </c>
      <c r="CE739" t="str">
        <v>421015 Descuentos amortizados</v>
      </c>
      <c r="CS739" s="141" t="str">
        <v>421015 Descuentos amortizados</v>
      </c>
      <c r="CT739" s="141" t="str">
        <v>421015 Descuentos amortizados</v>
      </c>
      <c r="CU739" s="141" t="str">
        <v>421015 Descuentos amortizados</v>
      </c>
      <c r="CV739" s="141" t="str">
        <v>421015 Descuentos amortizados</v>
      </c>
      <c r="CW739" s="141" t="str">
        <v>421015 Descuentos amortizados</v>
      </c>
      <c r="CX739" s="141" t="str">
        <v>421015 Descuentos amortizados</v>
      </c>
      <c r="CY739" s="141" t="str">
        <v>421015 Descuentos amortizados</v>
      </c>
      <c r="CZ739" s="141" t="str">
        <v>421015 Descuentos amortizados</v>
      </c>
      <c r="DA739" s="141" t="str">
        <v>421015 Descuentos amortizados</v>
      </c>
      <c r="DF739" t="str">
        <v>421015 Descuentos amortizados</v>
      </c>
      <c r="DG739" t="str">
        <v>421015 Descuentos amortizados</v>
      </c>
      <c r="DH739" t="str">
        <v>421015 Descuentos amortizados</v>
      </c>
      <c r="DI739" t="str">
        <v>421015 Descuentos amortizados</v>
      </c>
      <c r="DJ739" t="str">
        <v>421015 Descuentos amortizados</v>
      </c>
      <c r="DK739" t="str">
        <v>421015 Descuentos amortizados</v>
      </c>
      <c r="DL739" t="str">
        <v>421015 Descuentos amortizados</v>
      </c>
      <c r="DM739" t="str">
        <v>421015 Descuentos amortizados</v>
      </c>
      <c r="DN739" t="str">
        <v>421015 Descuentos amortizados</v>
      </c>
      <c r="DO739" t="str">
        <v>421015 Descuentos amortizados</v>
      </c>
      <c r="DP739" t="str">
        <v>421015 Descuentos amortizados</v>
      </c>
    </row>
    <row r="740" spans="4:120" ht="12.75">
      <c r="D740" s="7">
        <v>421020</v>
      </c>
      <c r="E740" s="6" t="s">
        <v>514</v>
      </c>
      <c r="F740" s="5">
        <v>4</v>
      </c>
      <c r="G740" s="34" t="s">
        <v>829</v>
      </c>
      <c r="H740" s="8" t="s">
        <v>56</v>
      </c>
      <c r="I740" t="b">
        <f>+ISNUMBER(SEARCH('F-COMPRA'!$F$28,Tabla11[[#This Row],[Cuenta]],1))</f>
        <v>1</v>
      </c>
      <c r="J740" t="b">
        <f>+ISNUMBER(SEARCH('F-COMPRA'!$F$29,Tabla11[[#This Row],[Cuenta]],1))</f>
        <v>1</v>
      </c>
      <c r="K740" t="b">
        <f>+ISNUMBER(SEARCH('F-COMPRA'!$F$30,Tabla11[[#This Row],[Cuenta]],1))</f>
        <v>1</v>
      </c>
      <c r="L740" t="b">
        <f>+ISNUMBER(SEARCH('F-COMPRA'!$F$31,Tabla11[[#This Row],[Cuenta]],1))</f>
        <v>1</v>
      </c>
      <c r="M740" t="b">
        <f>+ISNUMBER(SEARCH('F-COMPRA'!$G$25,Tabla11[[#This Row],[Cuenta]],1))</f>
        <v>0</v>
      </c>
      <c r="N740" t="b">
        <f>+ISNUMBER(SEARCH(#REF!,Tabla11[[#This Row],[Cuenta]],1))</f>
        <v>0</v>
      </c>
      <c r="O740" t="b">
        <f>+ISNUMBER(SEARCH(#REF!,Tabla11[[#This Row],[Cuenta]],1))</f>
        <v>0</v>
      </c>
      <c r="P740" t="b">
        <f>+ISNUMBER(SEARCH('F-COMPRA'!$F$32,Tabla11[[#This Row],[Cuenta]],1))</f>
        <v>1</v>
      </c>
      <c r="Q740" t="b">
        <f>+ISNUMBER(SEARCH('F-COMPRA'!$F$33,Tabla11[[#This Row],[Cuenta]],1))</f>
        <v>1</v>
      </c>
      <c r="R740" t="b">
        <f>+ISNUMBER(SEARCH('F-COMPRA'!$F$34,Tabla11[[#This Row],[Cuenta]],1))</f>
        <v>1</v>
      </c>
      <c r="S740" t="b">
        <f>+ISNUMBER(SEARCH('F-COMPRA'!$F$35,Tabla11[[#This Row],[Cuenta]],1))</f>
        <v>1</v>
      </c>
      <c r="T740" t="b">
        <f>+ISNUMBER(SEARCH('F-COMPRA'!$F$36,Tabla11[[#This Row],[Cuenta]],1))</f>
        <v>1</v>
      </c>
      <c r="U740" t="b">
        <f>+ISNUMBER(SEARCH('F-COMPRA'!$F$37,Tabla11[[#This Row],[Cuenta]],1))</f>
        <v>1</v>
      </c>
      <c r="V740" t="b">
        <f>+ISNUMBER(SEARCH(#REF!,Tabla11[[#This Row],[Cuenta]],1))</f>
        <v>0</v>
      </c>
      <c r="W740" t="b">
        <f>+ISNUMBER(SEARCH('F-COMPRA'!#REF!,Tabla11[[#This Row],[Cuenta]],1))</f>
        <v>0</v>
      </c>
      <c r="X740" t="b">
        <f>+ISNUMBER(SEARCH('F-COMPRA'!#REF!,Tabla11[[#This Row],[Cuenta]],1))</f>
        <v>0</v>
      </c>
      <c r="Y740" t="b">
        <f>+ISNUMBER(SEARCH('F-COMPRA'!#REF!,Tabla11[[#This Row],[Cuenta]],1))</f>
        <v>0</v>
      </c>
      <c r="Z740" t="b">
        <f>+ISNUMBER(SEARCH('F-COMPRA'!#REF!,Tabla11[[#This Row],[Cuenta]],1))</f>
        <v>0</v>
      </c>
      <c r="AA740" t="b">
        <f>+ISNUMBER(SEARCH('F-COMPRA'!#REF!,Tabla11[[#This Row],[Cuenta]],1))</f>
        <v>0</v>
      </c>
      <c r="AB740" t="b">
        <f>+ISNUMBER(SEARCH('F-COMPRA'!#REF!,Tabla11[[#This Row],[Cuenta]],1))</f>
        <v>0</v>
      </c>
      <c r="AC740" t="b">
        <f>+ISNUMBER(SEARCH('F-COMPRA'!#REF!,Tabla11[[#This Row],[Cuenta]],1))</f>
        <v>0</v>
      </c>
      <c r="AD740" t="b">
        <f>+ISNUMBER(SEARCH('F-COMPRA'!#REF!,Tabla11[[#This Row],[Cuenta]],1))</f>
        <v>0</v>
      </c>
      <c r="AE740" t="b">
        <f>+ISNUMBER(SEARCH('F-COMPRA'!#REF!,Tabla11[[#This Row],[Cuenta]],1))</f>
        <v>0</v>
      </c>
      <c r="AF740" t="b">
        <f>+ISNUMBER(SEARCH('F-VTA'!$G$23,Tabla11[[#This Row],[Cuenta]],1))</f>
        <v>0</v>
      </c>
      <c r="AG740" t="b">
        <f>+ISNUMBER(SEARCH('F-VTA'!$G$24,Tabla11[[#This Row],[Cuenta]],1))</f>
        <v>0</v>
      </c>
      <c r="AH740" t="b">
        <f>+ISNUMBER(SEARCH('F-VTA'!$G$25,Tabla11[[#This Row],[Cuenta]],1))</f>
        <v>0</v>
      </c>
      <c r="AI740" t="b">
        <f>+ISNUMBER(SEARCH('F-VTA'!$F$28,Tabla11[[#This Row],[Cuenta]],1))</f>
        <v>1</v>
      </c>
      <c r="AJ740" t="b">
        <f>+ISNUMBER(SEARCH('F-VTA'!$F$29,Tabla11[[#This Row],[Cuenta]],1))</f>
        <v>1</v>
      </c>
      <c r="AK740" t="b">
        <f>+ISNUMBER(SEARCH('F-VTA'!$F$30,Tabla11[[#This Row],[Cuenta]],1))</f>
        <v>1</v>
      </c>
      <c r="AL740" t="b">
        <f>+ISNUMBER(SEARCH('F-VTA'!$F$31,Tabla11[[#This Row],[Cuenta]],1))</f>
        <v>1</v>
      </c>
      <c r="AM740" t="b">
        <f>+ISNUMBER(SEARCH('F-VTA'!$F$32,Tabla11[[#This Row],[Cuenta]],1))</f>
        <v>1</v>
      </c>
      <c r="AN740" t="b">
        <f>+ISNUMBER(SEARCH('F-VTA'!$F$33,Tabla11[[#This Row],[Cuenta]],1))</f>
        <v>1</v>
      </c>
      <c r="AO740" t="b">
        <f>+ISNUMBER(SEARCH('F-VTA'!$F$34,Tabla11[[#This Row],[Cuenta]],1))</f>
        <v>1</v>
      </c>
      <c r="AP740" t="b">
        <f>+ISNUMBER(SEARCH('F-VTA'!$F$35,Tabla11[[#This Row],[Cuenta]],1))</f>
        <v>1</v>
      </c>
      <c r="AQ740" t="b">
        <f>+ISNUMBER(SEARCH('F-VTA'!$F$36,Tabla11[[#This Row],[Cuenta]],1))</f>
        <v>1</v>
      </c>
      <c r="AR740" t="b">
        <f>+ISNUMBER(SEARCH(#REF!,Tabla11[[#This Row],[Cuenta]],1))</f>
        <v>0</v>
      </c>
      <c r="AS740" t="b">
        <f>+ISNUMBER(SEARCH(#REF!,Tabla11[[#This Row],[Cuenta]],1))</f>
        <v>0</v>
      </c>
      <c r="AT740" t="b">
        <f>+ISNUMBER(SEARCH(#REF!,Tabla11[[#This Row],[Cuenta]],1))</f>
        <v>0</v>
      </c>
      <c r="AU740" t="b">
        <f>+ISNUMBER(SEARCH('Conc. Ban.1'!$I$9,Tabla11[[#This Row],[Cuenta]],1))</f>
        <v>0</v>
      </c>
      <c r="AV740" t="b">
        <f>+ISNUMBER(SEARCH(CompConta!$F$21,Tabla11[[#This Row],[Cuenta]],1))</f>
        <v>1</v>
      </c>
      <c r="AW740" t="b">
        <f>+ISNUMBER(SEARCH(CompConta!$F$22,Tabla11[[#This Row],[Cuenta]],1))</f>
        <v>1</v>
      </c>
      <c r="AX740" t="b">
        <f>+ISNUMBER(SEARCH(CompConta!$F$23,Tabla11[[#This Row],[Cuenta]],1))</f>
        <v>1</v>
      </c>
      <c r="AY740" t="b">
        <f>+ISNUMBER(SEARCH(CompConta!$F$24,Tabla11[[#This Row],[Cuenta]],1))</f>
        <v>1</v>
      </c>
      <c r="AZ740" t="b">
        <f>+ISNUMBER(SEARCH(CompConta!$F$25,Tabla11[[#This Row],[Cuenta]],1))</f>
        <v>1</v>
      </c>
      <c r="BA740" t="b">
        <f>+ISNUMBER(SEARCH(CompConta!$F$26,Tabla11[[#This Row],[Cuenta]],1))</f>
        <v>1</v>
      </c>
      <c r="BB740" t="b">
        <f>+ISNUMBER(SEARCH(CompConta!$F$27,Tabla11[[#This Row],[Cuenta]],1))</f>
        <v>1</v>
      </c>
      <c r="BC740" t="b">
        <f>+ISNUMBER(SEARCH(CompConta!$F$28,Tabla11[[#This Row],[Cuenta]],1))</f>
        <v>1</v>
      </c>
      <c r="BD740" t="b">
        <f>+ISNUMBER(SEARCH(CompConta!$F$29,Tabla11[[#This Row],[Cuenta]],1))</f>
        <v>1</v>
      </c>
      <c r="BE740" t="b">
        <f>+ISNUMBER(SEARCH(CompConta!$F$30,Tabla11[[#This Row],[Cuenta]],1))</f>
        <v>1</v>
      </c>
      <c r="BF740" t="b">
        <f>+ISNUMBER(SEARCH('PAGO Compras'!$E$11,Tabla11[[#This Row],[Cuenta]],1))</f>
        <v>1</v>
      </c>
      <c r="BG740" t="b">
        <f>+ISNUMBER(SEARCH(#REF!,Tabla11[[#This Row],[Cuenta]],1))</f>
        <v>0</v>
      </c>
      <c r="BH740" t="b">
        <f>+ISNUMBER(SEARCH(#REF!,Tabla11[[#This Row],[Cuenta]],1))</f>
        <v>0</v>
      </c>
      <c r="BI740" t="b">
        <f>+ISNUMBER(SEARCH(#REF!,Tabla11[[#This Row],[Cuenta]],1))</f>
        <v>0</v>
      </c>
      <c r="BJ740" t="b">
        <f>+ISNUMBER(SEARCH(#REF!,Tabla11[[#This Row],[Cuenta]],1))</f>
        <v>0</v>
      </c>
      <c r="BS740" t="str">
        <v>421020 Diferencia en cambio</v>
      </c>
      <c r="BT740" t="str">
        <v>421020 Diferencia en cambio</v>
      </c>
      <c r="BU740" t="str">
        <v>421020 Diferencia en cambio</v>
      </c>
      <c r="BV740" t="str">
        <v>421020 Diferencia en cambio</v>
      </c>
      <c r="BZ740" t="str">
        <v>421020 Diferencia en cambio</v>
      </c>
      <c r="CA740" t="str">
        <v>421020 Diferencia en cambio</v>
      </c>
      <c r="CB740" t="str">
        <v>421020 Diferencia en cambio</v>
      </c>
      <c r="CC740" t="str">
        <v>421020 Diferencia en cambio</v>
      </c>
      <c r="CD740" t="str">
        <v>421020 Diferencia en cambio</v>
      </c>
      <c r="CE740" t="str">
        <v>421020 Diferencia en cambio</v>
      </c>
      <c r="CS740" s="141" t="str">
        <v>421020 Diferencia en cambio</v>
      </c>
      <c r="CT740" s="141" t="str">
        <v>421020 Diferencia en cambio</v>
      </c>
      <c r="CU740" s="141" t="str">
        <v>421020 Diferencia en cambio</v>
      </c>
      <c r="CV740" s="141" t="str">
        <v>421020 Diferencia en cambio</v>
      </c>
      <c r="CW740" s="141" t="str">
        <v>421020 Diferencia en cambio</v>
      </c>
      <c r="CX740" s="141" t="str">
        <v>421020 Diferencia en cambio</v>
      </c>
      <c r="CY740" s="141" t="str">
        <v>421020 Diferencia en cambio</v>
      </c>
      <c r="CZ740" s="141" t="str">
        <v>421020 Diferencia en cambio</v>
      </c>
      <c r="DA740" s="141" t="str">
        <v>421020 Diferencia en cambio</v>
      </c>
      <c r="DF740" t="str">
        <v>421020 Diferencia en cambio</v>
      </c>
      <c r="DG740" t="str">
        <v>421020 Diferencia en cambio</v>
      </c>
      <c r="DH740" t="str">
        <v>421020 Diferencia en cambio</v>
      </c>
      <c r="DI740" t="str">
        <v>421020 Diferencia en cambio</v>
      </c>
      <c r="DJ740" t="str">
        <v>421020 Diferencia en cambio</v>
      </c>
      <c r="DK740" t="str">
        <v>421020 Diferencia en cambio</v>
      </c>
      <c r="DL740" t="str">
        <v>421020 Diferencia en cambio</v>
      </c>
      <c r="DM740" t="str">
        <v>421020 Diferencia en cambio</v>
      </c>
      <c r="DN740" t="str">
        <v>421020 Diferencia en cambio</v>
      </c>
      <c r="DO740" t="str">
        <v>421020 Diferencia en cambio</v>
      </c>
      <c r="DP740" t="str">
        <v>421020 Diferencia en cambio</v>
      </c>
    </row>
    <row r="741" spans="4:120" ht="12.75">
      <c r="D741" s="7">
        <v>421025</v>
      </c>
      <c r="E741" s="6" t="s">
        <v>515</v>
      </c>
      <c r="F741" s="5">
        <v>4</v>
      </c>
      <c r="G741" s="34" t="s">
        <v>829</v>
      </c>
      <c r="H741" s="8" t="s">
        <v>56</v>
      </c>
      <c r="I741" t="b">
        <f>+ISNUMBER(SEARCH('F-COMPRA'!$F$28,Tabla11[[#This Row],[Cuenta]],1))</f>
        <v>1</v>
      </c>
      <c r="J741" t="b">
        <f>+ISNUMBER(SEARCH('F-COMPRA'!$F$29,Tabla11[[#This Row],[Cuenta]],1))</f>
        <v>1</v>
      </c>
      <c r="K741" t="b">
        <f>+ISNUMBER(SEARCH('F-COMPRA'!$F$30,Tabla11[[#This Row],[Cuenta]],1))</f>
        <v>1</v>
      </c>
      <c r="L741" t="b">
        <f>+ISNUMBER(SEARCH('F-COMPRA'!$F$31,Tabla11[[#This Row],[Cuenta]],1))</f>
        <v>1</v>
      </c>
      <c r="M741" t="b">
        <f>+ISNUMBER(SEARCH('F-COMPRA'!$G$25,Tabla11[[#This Row],[Cuenta]],1))</f>
        <v>0</v>
      </c>
      <c r="N741" t="b">
        <f>+ISNUMBER(SEARCH(#REF!,Tabla11[[#This Row],[Cuenta]],1))</f>
        <v>0</v>
      </c>
      <c r="O741" t="b">
        <f>+ISNUMBER(SEARCH(#REF!,Tabla11[[#This Row],[Cuenta]],1))</f>
        <v>0</v>
      </c>
      <c r="P741" t="b">
        <f>+ISNUMBER(SEARCH('F-COMPRA'!$F$32,Tabla11[[#This Row],[Cuenta]],1))</f>
        <v>1</v>
      </c>
      <c r="Q741" t="b">
        <f>+ISNUMBER(SEARCH('F-COMPRA'!$F$33,Tabla11[[#This Row],[Cuenta]],1))</f>
        <v>1</v>
      </c>
      <c r="R741" t="b">
        <f>+ISNUMBER(SEARCH('F-COMPRA'!$F$34,Tabla11[[#This Row],[Cuenta]],1))</f>
        <v>1</v>
      </c>
      <c r="S741" t="b">
        <f>+ISNUMBER(SEARCH('F-COMPRA'!$F$35,Tabla11[[#This Row],[Cuenta]],1))</f>
        <v>1</v>
      </c>
      <c r="T741" t="b">
        <f>+ISNUMBER(SEARCH('F-COMPRA'!$F$36,Tabla11[[#This Row],[Cuenta]],1))</f>
        <v>1</v>
      </c>
      <c r="U741" t="b">
        <f>+ISNUMBER(SEARCH('F-COMPRA'!$F$37,Tabla11[[#This Row],[Cuenta]],1))</f>
        <v>1</v>
      </c>
      <c r="V741" t="b">
        <f>+ISNUMBER(SEARCH(#REF!,Tabla11[[#This Row],[Cuenta]],1))</f>
        <v>0</v>
      </c>
      <c r="W741" t="b">
        <f>+ISNUMBER(SEARCH('F-COMPRA'!#REF!,Tabla11[[#This Row],[Cuenta]],1))</f>
        <v>0</v>
      </c>
      <c r="X741" t="b">
        <f>+ISNUMBER(SEARCH('F-COMPRA'!#REF!,Tabla11[[#This Row],[Cuenta]],1))</f>
        <v>0</v>
      </c>
      <c r="Y741" t="b">
        <f>+ISNUMBER(SEARCH('F-COMPRA'!#REF!,Tabla11[[#This Row],[Cuenta]],1))</f>
        <v>0</v>
      </c>
      <c r="Z741" t="b">
        <f>+ISNUMBER(SEARCH('F-COMPRA'!#REF!,Tabla11[[#This Row],[Cuenta]],1))</f>
        <v>0</v>
      </c>
      <c r="AA741" t="b">
        <f>+ISNUMBER(SEARCH('F-COMPRA'!#REF!,Tabla11[[#This Row],[Cuenta]],1))</f>
        <v>0</v>
      </c>
      <c r="AB741" t="b">
        <f>+ISNUMBER(SEARCH('F-COMPRA'!#REF!,Tabla11[[#This Row],[Cuenta]],1))</f>
        <v>0</v>
      </c>
      <c r="AC741" t="b">
        <f>+ISNUMBER(SEARCH('F-COMPRA'!#REF!,Tabla11[[#This Row],[Cuenta]],1))</f>
        <v>0</v>
      </c>
      <c r="AD741" t="b">
        <f>+ISNUMBER(SEARCH('F-COMPRA'!#REF!,Tabla11[[#This Row],[Cuenta]],1))</f>
        <v>0</v>
      </c>
      <c r="AE741" t="b">
        <f>+ISNUMBER(SEARCH('F-COMPRA'!#REF!,Tabla11[[#This Row],[Cuenta]],1))</f>
        <v>0</v>
      </c>
      <c r="AF741" t="b">
        <f>+ISNUMBER(SEARCH('F-VTA'!$G$23,Tabla11[[#This Row],[Cuenta]],1))</f>
        <v>0</v>
      </c>
      <c r="AG741" t="b">
        <f>+ISNUMBER(SEARCH('F-VTA'!$G$24,Tabla11[[#This Row],[Cuenta]],1))</f>
        <v>0</v>
      </c>
      <c r="AH741" t="b">
        <f>+ISNUMBER(SEARCH('F-VTA'!$G$25,Tabla11[[#This Row],[Cuenta]],1))</f>
        <v>0</v>
      </c>
      <c r="AI741" t="b">
        <f>+ISNUMBER(SEARCH('F-VTA'!$F$28,Tabla11[[#This Row],[Cuenta]],1))</f>
        <v>1</v>
      </c>
      <c r="AJ741" t="b">
        <f>+ISNUMBER(SEARCH('F-VTA'!$F$29,Tabla11[[#This Row],[Cuenta]],1))</f>
        <v>1</v>
      </c>
      <c r="AK741" t="b">
        <f>+ISNUMBER(SEARCH('F-VTA'!$F$30,Tabla11[[#This Row],[Cuenta]],1))</f>
        <v>1</v>
      </c>
      <c r="AL741" t="b">
        <f>+ISNUMBER(SEARCH('F-VTA'!$F$31,Tabla11[[#This Row],[Cuenta]],1))</f>
        <v>1</v>
      </c>
      <c r="AM741" t="b">
        <f>+ISNUMBER(SEARCH('F-VTA'!$F$32,Tabla11[[#This Row],[Cuenta]],1))</f>
        <v>1</v>
      </c>
      <c r="AN741" t="b">
        <f>+ISNUMBER(SEARCH('F-VTA'!$F$33,Tabla11[[#This Row],[Cuenta]],1))</f>
        <v>1</v>
      </c>
      <c r="AO741" t="b">
        <f>+ISNUMBER(SEARCH('F-VTA'!$F$34,Tabla11[[#This Row],[Cuenta]],1))</f>
        <v>1</v>
      </c>
      <c r="AP741" t="b">
        <f>+ISNUMBER(SEARCH('F-VTA'!$F$35,Tabla11[[#This Row],[Cuenta]],1))</f>
        <v>1</v>
      </c>
      <c r="AQ741" t="b">
        <f>+ISNUMBER(SEARCH('F-VTA'!$F$36,Tabla11[[#This Row],[Cuenta]],1))</f>
        <v>1</v>
      </c>
      <c r="AR741" t="b">
        <f>+ISNUMBER(SEARCH(#REF!,Tabla11[[#This Row],[Cuenta]],1))</f>
        <v>0</v>
      </c>
      <c r="AS741" t="b">
        <f>+ISNUMBER(SEARCH(#REF!,Tabla11[[#This Row],[Cuenta]],1))</f>
        <v>0</v>
      </c>
      <c r="AT741" t="b">
        <f>+ISNUMBER(SEARCH(#REF!,Tabla11[[#This Row],[Cuenta]],1))</f>
        <v>0</v>
      </c>
      <c r="AU741" t="b">
        <f>+ISNUMBER(SEARCH('Conc. Ban.1'!$I$9,Tabla11[[#This Row],[Cuenta]],1))</f>
        <v>0</v>
      </c>
      <c r="AV741" t="b">
        <f>+ISNUMBER(SEARCH(CompConta!$F$21,Tabla11[[#This Row],[Cuenta]],1))</f>
        <v>1</v>
      </c>
      <c r="AW741" t="b">
        <f>+ISNUMBER(SEARCH(CompConta!$F$22,Tabla11[[#This Row],[Cuenta]],1))</f>
        <v>1</v>
      </c>
      <c r="AX741" t="b">
        <f>+ISNUMBER(SEARCH(CompConta!$F$23,Tabla11[[#This Row],[Cuenta]],1))</f>
        <v>1</v>
      </c>
      <c r="AY741" t="b">
        <f>+ISNUMBER(SEARCH(CompConta!$F$24,Tabla11[[#This Row],[Cuenta]],1))</f>
        <v>1</v>
      </c>
      <c r="AZ741" t="b">
        <f>+ISNUMBER(SEARCH(CompConta!$F$25,Tabla11[[#This Row],[Cuenta]],1))</f>
        <v>1</v>
      </c>
      <c r="BA741" t="b">
        <f>+ISNUMBER(SEARCH(CompConta!$F$26,Tabla11[[#This Row],[Cuenta]],1))</f>
        <v>1</v>
      </c>
      <c r="BB741" t="b">
        <f>+ISNUMBER(SEARCH(CompConta!$F$27,Tabla11[[#This Row],[Cuenta]],1))</f>
        <v>1</v>
      </c>
      <c r="BC741" t="b">
        <f>+ISNUMBER(SEARCH(CompConta!$F$28,Tabla11[[#This Row],[Cuenta]],1))</f>
        <v>1</v>
      </c>
      <c r="BD741" t="b">
        <f>+ISNUMBER(SEARCH(CompConta!$F$29,Tabla11[[#This Row],[Cuenta]],1))</f>
        <v>1</v>
      </c>
      <c r="BE741" t="b">
        <f>+ISNUMBER(SEARCH(CompConta!$F$30,Tabla11[[#This Row],[Cuenta]],1))</f>
        <v>1</v>
      </c>
      <c r="BF741" t="b">
        <f>+ISNUMBER(SEARCH('PAGO Compras'!$E$11,Tabla11[[#This Row],[Cuenta]],1))</f>
        <v>1</v>
      </c>
      <c r="BG741" t="b">
        <f>+ISNUMBER(SEARCH(#REF!,Tabla11[[#This Row],[Cuenta]],1))</f>
        <v>0</v>
      </c>
      <c r="BH741" t="b">
        <f>+ISNUMBER(SEARCH(#REF!,Tabla11[[#This Row],[Cuenta]],1))</f>
        <v>0</v>
      </c>
      <c r="BI741" t="b">
        <f>+ISNUMBER(SEARCH(#REF!,Tabla11[[#This Row],[Cuenta]],1))</f>
        <v>0</v>
      </c>
      <c r="BJ741" t="b">
        <f>+ISNUMBER(SEARCH(#REF!,Tabla11[[#This Row],[Cuenta]],1))</f>
        <v>0</v>
      </c>
      <c r="BS741" t="str">
        <v>421025 Financiación vehículos</v>
      </c>
      <c r="BT741" t="str">
        <v>421025 Financiación vehículos</v>
      </c>
      <c r="BU741" t="str">
        <v>421025 Financiación vehículos</v>
      </c>
      <c r="BV741" t="str">
        <v>421025 Financiación vehículos</v>
      </c>
      <c r="BZ741" t="str">
        <v>421025 Financiación vehículos</v>
      </c>
      <c r="CA741" t="str">
        <v>421025 Financiación vehículos</v>
      </c>
      <c r="CB741" t="str">
        <v>421025 Financiación vehículos</v>
      </c>
      <c r="CC741" t="str">
        <v>421025 Financiación vehículos</v>
      </c>
      <c r="CD741" t="str">
        <v>421025 Financiación vehículos</v>
      </c>
      <c r="CE741" t="str">
        <v>421025 Financiación vehículos</v>
      </c>
      <c r="CS741" s="141" t="str">
        <v>421025 Financiación vehículos</v>
      </c>
      <c r="CT741" s="141" t="str">
        <v>421025 Financiación vehículos</v>
      </c>
      <c r="CU741" s="141" t="str">
        <v>421025 Financiación vehículos</v>
      </c>
      <c r="CV741" s="141" t="str">
        <v>421025 Financiación vehículos</v>
      </c>
      <c r="CW741" s="141" t="str">
        <v>421025 Financiación vehículos</v>
      </c>
      <c r="CX741" s="141" t="str">
        <v>421025 Financiación vehículos</v>
      </c>
      <c r="CY741" s="141" t="str">
        <v>421025 Financiación vehículos</v>
      </c>
      <c r="CZ741" s="141" t="str">
        <v>421025 Financiación vehículos</v>
      </c>
      <c r="DA741" s="141" t="str">
        <v>421025 Financiación vehículos</v>
      </c>
      <c r="DF741" t="str">
        <v>421025 Financiación vehículos</v>
      </c>
      <c r="DG741" t="str">
        <v>421025 Financiación vehículos</v>
      </c>
      <c r="DH741" t="str">
        <v>421025 Financiación vehículos</v>
      </c>
      <c r="DI741" t="str">
        <v>421025 Financiación vehículos</v>
      </c>
      <c r="DJ741" t="str">
        <v>421025 Financiación vehículos</v>
      </c>
      <c r="DK741" t="str">
        <v>421025 Financiación vehículos</v>
      </c>
      <c r="DL741" t="str">
        <v>421025 Financiación vehículos</v>
      </c>
      <c r="DM741" t="str">
        <v>421025 Financiación vehículos</v>
      </c>
      <c r="DN741" t="str">
        <v>421025 Financiación vehículos</v>
      </c>
      <c r="DO741" t="str">
        <v>421025 Financiación vehículos</v>
      </c>
      <c r="DP741" t="str">
        <v>421025 Financiación vehículos</v>
      </c>
    </row>
    <row r="742" spans="4:120" ht="12.75">
      <c r="D742" s="7">
        <v>421030</v>
      </c>
      <c r="E742" s="6" t="s">
        <v>516</v>
      </c>
      <c r="F742" s="5">
        <v>4</v>
      </c>
      <c r="G742" s="34" t="s">
        <v>829</v>
      </c>
      <c r="H742" s="8" t="s">
        <v>56</v>
      </c>
      <c r="I742" t="b">
        <f>+ISNUMBER(SEARCH('F-COMPRA'!$F$28,Tabla11[[#This Row],[Cuenta]],1))</f>
        <v>1</v>
      </c>
      <c r="J742" t="b">
        <f>+ISNUMBER(SEARCH('F-COMPRA'!$F$29,Tabla11[[#This Row],[Cuenta]],1))</f>
        <v>1</v>
      </c>
      <c r="K742" t="b">
        <f>+ISNUMBER(SEARCH('F-COMPRA'!$F$30,Tabla11[[#This Row],[Cuenta]],1))</f>
        <v>1</v>
      </c>
      <c r="L742" t="b">
        <f>+ISNUMBER(SEARCH('F-COMPRA'!$F$31,Tabla11[[#This Row],[Cuenta]],1))</f>
        <v>1</v>
      </c>
      <c r="M742" t="b">
        <f>+ISNUMBER(SEARCH('F-COMPRA'!$G$25,Tabla11[[#This Row],[Cuenta]],1))</f>
        <v>0</v>
      </c>
      <c r="N742" t="b">
        <f>+ISNUMBER(SEARCH(#REF!,Tabla11[[#This Row],[Cuenta]],1))</f>
        <v>0</v>
      </c>
      <c r="O742" t="b">
        <f>+ISNUMBER(SEARCH(#REF!,Tabla11[[#This Row],[Cuenta]],1))</f>
        <v>0</v>
      </c>
      <c r="P742" t="b">
        <f>+ISNUMBER(SEARCH('F-COMPRA'!$F$32,Tabla11[[#This Row],[Cuenta]],1))</f>
        <v>1</v>
      </c>
      <c r="Q742" t="b">
        <f>+ISNUMBER(SEARCH('F-COMPRA'!$F$33,Tabla11[[#This Row],[Cuenta]],1))</f>
        <v>1</v>
      </c>
      <c r="R742" t="b">
        <f>+ISNUMBER(SEARCH('F-COMPRA'!$F$34,Tabla11[[#This Row],[Cuenta]],1))</f>
        <v>1</v>
      </c>
      <c r="S742" t="b">
        <f>+ISNUMBER(SEARCH('F-COMPRA'!$F$35,Tabla11[[#This Row],[Cuenta]],1))</f>
        <v>1</v>
      </c>
      <c r="T742" t="b">
        <f>+ISNUMBER(SEARCH('F-COMPRA'!$F$36,Tabla11[[#This Row],[Cuenta]],1))</f>
        <v>1</v>
      </c>
      <c r="U742" t="b">
        <f>+ISNUMBER(SEARCH('F-COMPRA'!$F$37,Tabla11[[#This Row],[Cuenta]],1))</f>
        <v>1</v>
      </c>
      <c r="V742" t="b">
        <f>+ISNUMBER(SEARCH(#REF!,Tabla11[[#This Row],[Cuenta]],1))</f>
        <v>0</v>
      </c>
      <c r="W742" t="b">
        <f>+ISNUMBER(SEARCH('F-COMPRA'!#REF!,Tabla11[[#This Row],[Cuenta]],1))</f>
        <v>0</v>
      </c>
      <c r="X742" t="b">
        <f>+ISNUMBER(SEARCH('F-COMPRA'!#REF!,Tabla11[[#This Row],[Cuenta]],1))</f>
        <v>0</v>
      </c>
      <c r="Y742" t="b">
        <f>+ISNUMBER(SEARCH('F-COMPRA'!#REF!,Tabla11[[#This Row],[Cuenta]],1))</f>
        <v>0</v>
      </c>
      <c r="Z742" t="b">
        <f>+ISNUMBER(SEARCH('F-COMPRA'!#REF!,Tabla11[[#This Row],[Cuenta]],1))</f>
        <v>0</v>
      </c>
      <c r="AA742" t="b">
        <f>+ISNUMBER(SEARCH('F-COMPRA'!#REF!,Tabla11[[#This Row],[Cuenta]],1))</f>
        <v>0</v>
      </c>
      <c r="AB742" t="b">
        <f>+ISNUMBER(SEARCH('F-COMPRA'!#REF!,Tabla11[[#This Row],[Cuenta]],1))</f>
        <v>0</v>
      </c>
      <c r="AC742" t="b">
        <f>+ISNUMBER(SEARCH('F-COMPRA'!#REF!,Tabla11[[#This Row],[Cuenta]],1))</f>
        <v>0</v>
      </c>
      <c r="AD742" t="b">
        <f>+ISNUMBER(SEARCH('F-COMPRA'!#REF!,Tabla11[[#This Row],[Cuenta]],1))</f>
        <v>0</v>
      </c>
      <c r="AE742" t="b">
        <f>+ISNUMBER(SEARCH('F-COMPRA'!#REF!,Tabla11[[#This Row],[Cuenta]],1))</f>
        <v>0</v>
      </c>
      <c r="AF742" t="b">
        <f>+ISNUMBER(SEARCH('F-VTA'!$G$23,Tabla11[[#This Row],[Cuenta]],1))</f>
        <v>0</v>
      </c>
      <c r="AG742" t="b">
        <f>+ISNUMBER(SEARCH('F-VTA'!$G$24,Tabla11[[#This Row],[Cuenta]],1))</f>
        <v>0</v>
      </c>
      <c r="AH742" t="b">
        <f>+ISNUMBER(SEARCH('F-VTA'!$G$25,Tabla11[[#This Row],[Cuenta]],1))</f>
        <v>0</v>
      </c>
      <c r="AI742" t="b">
        <f>+ISNUMBER(SEARCH('F-VTA'!$F$28,Tabla11[[#This Row],[Cuenta]],1))</f>
        <v>1</v>
      </c>
      <c r="AJ742" t="b">
        <f>+ISNUMBER(SEARCH('F-VTA'!$F$29,Tabla11[[#This Row],[Cuenta]],1))</f>
        <v>1</v>
      </c>
      <c r="AK742" t="b">
        <f>+ISNUMBER(SEARCH('F-VTA'!$F$30,Tabla11[[#This Row],[Cuenta]],1))</f>
        <v>1</v>
      </c>
      <c r="AL742" t="b">
        <f>+ISNUMBER(SEARCH('F-VTA'!$F$31,Tabla11[[#This Row],[Cuenta]],1))</f>
        <v>1</v>
      </c>
      <c r="AM742" t="b">
        <f>+ISNUMBER(SEARCH('F-VTA'!$F$32,Tabla11[[#This Row],[Cuenta]],1))</f>
        <v>1</v>
      </c>
      <c r="AN742" t="b">
        <f>+ISNUMBER(SEARCH('F-VTA'!$F$33,Tabla11[[#This Row],[Cuenta]],1))</f>
        <v>1</v>
      </c>
      <c r="AO742" t="b">
        <f>+ISNUMBER(SEARCH('F-VTA'!$F$34,Tabla11[[#This Row],[Cuenta]],1))</f>
        <v>1</v>
      </c>
      <c r="AP742" t="b">
        <f>+ISNUMBER(SEARCH('F-VTA'!$F$35,Tabla11[[#This Row],[Cuenta]],1))</f>
        <v>1</v>
      </c>
      <c r="AQ742" t="b">
        <f>+ISNUMBER(SEARCH('F-VTA'!$F$36,Tabla11[[#This Row],[Cuenta]],1))</f>
        <v>1</v>
      </c>
      <c r="AR742" t="b">
        <f>+ISNUMBER(SEARCH(#REF!,Tabla11[[#This Row],[Cuenta]],1))</f>
        <v>0</v>
      </c>
      <c r="AS742" t="b">
        <f>+ISNUMBER(SEARCH(#REF!,Tabla11[[#This Row],[Cuenta]],1))</f>
        <v>0</v>
      </c>
      <c r="AT742" t="b">
        <f>+ISNUMBER(SEARCH(#REF!,Tabla11[[#This Row],[Cuenta]],1))</f>
        <v>0</v>
      </c>
      <c r="AU742" t="b">
        <f>+ISNUMBER(SEARCH('Conc. Ban.1'!$I$9,Tabla11[[#This Row],[Cuenta]],1))</f>
        <v>0</v>
      </c>
      <c r="AV742" t="b">
        <f>+ISNUMBER(SEARCH(CompConta!$F$21,Tabla11[[#This Row],[Cuenta]],1))</f>
        <v>1</v>
      </c>
      <c r="AW742" t="b">
        <f>+ISNUMBER(SEARCH(CompConta!$F$22,Tabla11[[#This Row],[Cuenta]],1))</f>
        <v>1</v>
      </c>
      <c r="AX742" t="b">
        <f>+ISNUMBER(SEARCH(CompConta!$F$23,Tabla11[[#This Row],[Cuenta]],1))</f>
        <v>1</v>
      </c>
      <c r="AY742" t="b">
        <f>+ISNUMBER(SEARCH(CompConta!$F$24,Tabla11[[#This Row],[Cuenta]],1))</f>
        <v>1</v>
      </c>
      <c r="AZ742" t="b">
        <f>+ISNUMBER(SEARCH(CompConta!$F$25,Tabla11[[#This Row],[Cuenta]],1))</f>
        <v>1</v>
      </c>
      <c r="BA742" t="b">
        <f>+ISNUMBER(SEARCH(CompConta!$F$26,Tabla11[[#This Row],[Cuenta]],1))</f>
        <v>1</v>
      </c>
      <c r="BB742" t="b">
        <f>+ISNUMBER(SEARCH(CompConta!$F$27,Tabla11[[#This Row],[Cuenta]],1))</f>
        <v>1</v>
      </c>
      <c r="BC742" t="b">
        <f>+ISNUMBER(SEARCH(CompConta!$F$28,Tabla11[[#This Row],[Cuenta]],1))</f>
        <v>1</v>
      </c>
      <c r="BD742" t="b">
        <f>+ISNUMBER(SEARCH(CompConta!$F$29,Tabla11[[#This Row],[Cuenta]],1))</f>
        <v>1</v>
      </c>
      <c r="BE742" t="b">
        <f>+ISNUMBER(SEARCH(CompConta!$F$30,Tabla11[[#This Row],[Cuenta]],1))</f>
        <v>1</v>
      </c>
      <c r="BF742" t="b">
        <f>+ISNUMBER(SEARCH('PAGO Compras'!$E$11,Tabla11[[#This Row],[Cuenta]],1))</f>
        <v>1</v>
      </c>
      <c r="BG742" t="b">
        <f>+ISNUMBER(SEARCH(#REF!,Tabla11[[#This Row],[Cuenta]],1))</f>
        <v>0</v>
      </c>
      <c r="BH742" t="b">
        <f>+ISNUMBER(SEARCH(#REF!,Tabla11[[#This Row],[Cuenta]],1))</f>
        <v>0</v>
      </c>
      <c r="BI742" t="b">
        <f>+ISNUMBER(SEARCH(#REF!,Tabla11[[#This Row],[Cuenta]],1))</f>
        <v>0</v>
      </c>
      <c r="BJ742" t="b">
        <f>+ISNUMBER(SEARCH(#REF!,Tabla11[[#This Row],[Cuenta]],1))</f>
        <v>0</v>
      </c>
      <c r="BS742" t="str">
        <v>421030 Financiación sistemas de viajes</v>
      </c>
      <c r="BT742" t="str">
        <v>421030 Financiación sistemas de viajes</v>
      </c>
      <c r="BU742" t="str">
        <v>421030 Financiación sistemas de viajes</v>
      </c>
      <c r="BV742" t="str">
        <v>421030 Financiación sistemas de viajes</v>
      </c>
      <c r="BZ742" t="str">
        <v>421030 Financiación sistemas de viajes</v>
      </c>
      <c r="CA742" t="str">
        <v>421030 Financiación sistemas de viajes</v>
      </c>
      <c r="CB742" t="str">
        <v>421030 Financiación sistemas de viajes</v>
      </c>
      <c r="CC742" t="str">
        <v>421030 Financiación sistemas de viajes</v>
      </c>
      <c r="CD742" t="str">
        <v>421030 Financiación sistemas de viajes</v>
      </c>
      <c r="CE742" t="str">
        <v>421030 Financiación sistemas de viajes</v>
      </c>
      <c r="CS742" s="141" t="str">
        <v>421030 Financiación sistemas de viajes</v>
      </c>
      <c r="CT742" s="141" t="str">
        <v>421030 Financiación sistemas de viajes</v>
      </c>
      <c r="CU742" s="141" t="str">
        <v>421030 Financiación sistemas de viajes</v>
      </c>
      <c r="CV742" s="141" t="str">
        <v>421030 Financiación sistemas de viajes</v>
      </c>
      <c r="CW742" s="141" t="str">
        <v>421030 Financiación sistemas de viajes</v>
      </c>
      <c r="CX742" s="141" t="str">
        <v>421030 Financiación sistemas de viajes</v>
      </c>
      <c r="CY742" s="141" t="str">
        <v>421030 Financiación sistemas de viajes</v>
      </c>
      <c r="CZ742" s="141" t="str">
        <v>421030 Financiación sistemas de viajes</v>
      </c>
      <c r="DA742" s="141" t="str">
        <v>421030 Financiación sistemas de viajes</v>
      </c>
      <c r="DF742" t="str">
        <v>421030 Financiación sistemas de viajes</v>
      </c>
      <c r="DG742" t="str">
        <v>421030 Financiación sistemas de viajes</v>
      </c>
      <c r="DH742" t="str">
        <v>421030 Financiación sistemas de viajes</v>
      </c>
      <c r="DI742" t="str">
        <v>421030 Financiación sistemas de viajes</v>
      </c>
      <c r="DJ742" t="str">
        <v>421030 Financiación sistemas de viajes</v>
      </c>
      <c r="DK742" t="str">
        <v>421030 Financiación sistemas de viajes</v>
      </c>
      <c r="DL742" t="str">
        <v>421030 Financiación sistemas de viajes</v>
      </c>
      <c r="DM742" t="str">
        <v>421030 Financiación sistemas de viajes</v>
      </c>
      <c r="DN742" t="str">
        <v>421030 Financiación sistemas de viajes</v>
      </c>
      <c r="DO742" t="str">
        <v>421030 Financiación sistemas de viajes</v>
      </c>
      <c r="DP742" t="str">
        <v>421030 Financiación sistemas de viajes</v>
      </c>
    </row>
    <row r="743" spans="4:120" ht="12.75">
      <c r="D743" s="7">
        <v>421035</v>
      </c>
      <c r="E743" s="6" t="s">
        <v>299</v>
      </c>
      <c r="F743" s="5">
        <v>4</v>
      </c>
      <c r="G743" s="34" t="s">
        <v>829</v>
      </c>
      <c r="H743" s="8" t="s">
        <v>56</v>
      </c>
      <c r="I743" t="b">
        <f>+ISNUMBER(SEARCH('F-COMPRA'!$F$28,Tabla11[[#This Row],[Cuenta]],1))</f>
        <v>1</v>
      </c>
      <c r="J743" t="b">
        <f>+ISNUMBER(SEARCH('F-COMPRA'!$F$29,Tabla11[[#This Row],[Cuenta]],1))</f>
        <v>1</v>
      </c>
      <c r="K743" t="b">
        <f>+ISNUMBER(SEARCH('F-COMPRA'!$F$30,Tabla11[[#This Row],[Cuenta]],1))</f>
        <v>1</v>
      </c>
      <c r="L743" t="b">
        <f>+ISNUMBER(SEARCH('F-COMPRA'!$F$31,Tabla11[[#This Row],[Cuenta]],1))</f>
        <v>1</v>
      </c>
      <c r="M743" t="b">
        <f>+ISNUMBER(SEARCH('F-COMPRA'!$G$25,Tabla11[[#This Row],[Cuenta]],1))</f>
        <v>0</v>
      </c>
      <c r="N743" t="b">
        <f>+ISNUMBER(SEARCH(#REF!,Tabla11[[#This Row],[Cuenta]],1))</f>
        <v>0</v>
      </c>
      <c r="O743" t="b">
        <f>+ISNUMBER(SEARCH(#REF!,Tabla11[[#This Row],[Cuenta]],1))</f>
        <v>0</v>
      </c>
      <c r="P743" t="b">
        <f>+ISNUMBER(SEARCH('F-COMPRA'!$F$32,Tabla11[[#This Row],[Cuenta]],1))</f>
        <v>1</v>
      </c>
      <c r="Q743" t="b">
        <f>+ISNUMBER(SEARCH('F-COMPRA'!$F$33,Tabla11[[#This Row],[Cuenta]],1))</f>
        <v>1</v>
      </c>
      <c r="R743" t="b">
        <f>+ISNUMBER(SEARCH('F-COMPRA'!$F$34,Tabla11[[#This Row],[Cuenta]],1))</f>
        <v>1</v>
      </c>
      <c r="S743" t="b">
        <f>+ISNUMBER(SEARCH('F-COMPRA'!$F$35,Tabla11[[#This Row],[Cuenta]],1))</f>
        <v>1</v>
      </c>
      <c r="T743" t="b">
        <f>+ISNUMBER(SEARCH('F-COMPRA'!$F$36,Tabla11[[#This Row],[Cuenta]],1))</f>
        <v>1</v>
      </c>
      <c r="U743" t="b">
        <f>+ISNUMBER(SEARCH('F-COMPRA'!$F$37,Tabla11[[#This Row],[Cuenta]],1))</f>
        <v>1</v>
      </c>
      <c r="V743" t="b">
        <f>+ISNUMBER(SEARCH(#REF!,Tabla11[[#This Row],[Cuenta]],1))</f>
        <v>0</v>
      </c>
      <c r="W743" t="b">
        <f>+ISNUMBER(SEARCH('F-COMPRA'!#REF!,Tabla11[[#This Row],[Cuenta]],1))</f>
        <v>0</v>
      </c>
      <c r="X743" t="b">
        <f>+ISNUMBER(SEARCH('F-COMPRA'!#REF!,Tabla11[[#This Row],[Cuenta]],1))</f>
        <v>0</v>
      </c>
      <c r="Y743" t="b">
        <f>+ISNUMBER(SEARCH('F-COMPRA'!#REF!,Tabla11[[#This Row],[Cuenta]],1))</f>
        <v>0</v>
      </c>
      <c r="Z743" t="b">
        <f>+ISNUMBER(SEARCH('F-COMPRA'!#REF!,Tabla11[[#This Row],[Cuenta]],1))</f>
        <v>0</v>
      </c>
      <c r="AA743" t="b">
        <f>+ISNUMBER(SEARCH('F-COMPRA'!#REF!,Tabla11[[#This Row],[Cuenta]],1))</f>
        <v>0</v>
      </c>
      <c r="AB743" t="b">
        <f>+ISNUMBER(SEARCH('F-COMPRA'!#REF!,Tabla11[[#This Row],[Cuenta]],1))</f>
        <v>0</v>
      </c>
      <c r="AC743" t="b">
        <f>+ISNUMBER(SEARCH('F-COMPRA'!#REF!,Tabla11[[#This Row],[Cuenta]],1))</f>
        <v>0</v>
      </c>
      <c r="AD743" t="b">
        <f>+ISNUMBER(SEARCH('F-COMPRA'!#REF!,Tabla11[[#This Row],[Cuenta]],1))</f>
        <v>0</v>
      </c>
      <c r="AE743" t="b">
        <f>+ISNUMBER(SEARCH('F-COMPRA'!#REF!,Tabla11[[#This Row],[Cuenta]],1))</f>
        <v>0</v>
      </c>
      <c r="AF743" t="b">
        <f>+ISNUMBER(SEARCH('F-VTA'!$G$23,Tabla11[[#This Row],[Cuenta]],1))</f>
        <v>0</v>
      </c>
      <c r="AG743" t="b">
        <f>+ISNUMBER(SEARCH('F-VTA'!$G$24,Tabla11[[#This Row],[Cuenta]],1))</f>
        <v>0</v>
      </c>
      <c r="AH743" t="b">
        <f>+ISNUMBER(SEARCH('F-VTA'!$G$25,Tabla11[[#This Row],[Cuenta]],1))</f>
        <v>0</v>
      </c>
      <c r="AI743" t="b">
        <f>+ISNUMBER(SEARCH('F-VTA'!$F$28,Tabla11[[#This Row],[Cuenta]],1))</f>
        <v>1</v>
      </c>
      <c r="AJ743" t="b">
        <f>+ISNUMBER(SEARCH('F-VTA'!$F$29,Tabla11[[#This Row],[Cuenta]],1))</f>
        <v>1</v>
      </c>
      <c r="AK743" t="b">
        <f>+ISNUMBER(SEARCH('F-VTA'!$F$30,Tabla11[[#This Row],[Cuenta]],1))</f>
        <v>1</v>
      </c>
      <c r="AL743" t="b">
        <f>+ISNUMBER(SEARCH('F-VTA'!$F$31,Tabla11[[#This Row],[Cuenta]],1))</f>
        <v>1</v>
      </c>
      <c r="AM743" t="b">
        <f>+ISNUMBER(SEARCH('F-VTA'!$F$32,Tabla11[[#This Row],[Cuenta]],1))</f>
        <v>1</v>
      </c>
      <c r="AN743" t="b">
        <f>+ISNUMBER(SEARCH('F-VTA'!$F$33,Tabla11[[#This Row],[Cuenta]],1))</f>
        <v>1</v>
      </c>
      <c r="AO743" t="b">
        <f>+ISNUMBER(SEARCH('F-VTA'!$F$34,Tabla11[[#This Row],[Cuenta]],1))</f>
        <v>1</v>
      </c>
      <c r="AP743" t="b">
        <f>+ISNUMBER(SEARCH('F-VTA'!$F$35,Tabla11[[#This Row],[Cuenta]],1))</f>
        <v>1</v>
      </c>
      <c r="AQ743" t="b">
        <f>+ISNUMBER(SEARCH('F-VTA'!$F$36,Tabla11[[#This Row],[Cuenta]],1))</f>
        <v>1</v>
      </c>
      <c r="AR743" t="b">
        <f>+ISNUMBER(SEARCH(#REF!,Tabla11[[#This Row],[Cuenta]],1))</f>
        <v>0</v>
      </c>
      <c r="AS743" t="b">
        <f>+ISNUMBER(SEARCH(#REF!,Tabla11[[#This Row],[Cuenta]],1))</f>
        <v>0</v>
      </c>
      <c r="AT743" t="b">
        <f>+ISNUMBER(SEARCH(#REF!,Tabla11[[#This Row],[Cuenta]],1))</f>
        <v>0</v>
      </c>
      <c r="AU743" t="b">
        <f>+ISNUMBER(SEARCH('Conc. Ban.1'!$I$9,Tabla11[[#This Row],[Cuenta]],1))</f>
        <v>0</v>
      </c>
      <c r="AV743" t="b">
        <f>+ISNUMBER(SEARCH(CompConta!$F$21,Tabla11[[#This Row],[Cuenta]],1))</f>
        <v>1</v>
      </c>
      <c r="AW743" t="b">
        <f>+ISNUMBER(SEARCH(CompConta!$F$22,Tabla11[[#This Row],[Cuenta]],1))</f>
        <v>1</v>
      </c>
      <c r="AX743" t="b">
        <f>+ISNUMBER(SEARCH(CompConta!$F$23,Tabla11[[#This Row],[Cuenta]],1))</f>
        <v>1</v>
      </c>
      <c r="AY743" t="b">
        <f>+ISNUMBER(SEARCH(CompConta!$F$24,Tabla11[[#This Row],[Cuenta]],1))</f>
        <v>1</v>
      </c>
      <c r="AZ743" t="b">
        <f>+ISNUMBER(SEARCH(CompConta!$F$25,Tabla11[[#This Row],[Cuenta]],1))</f>
        <v>1</v>
      </c>
      <c r="BA743" t="b">
        <f>+ISNUMBER(SEARCH(CompConta!$F$26,Tabla11[[#This Row],[Cuenta]],1))</f>
        <v>1</v>
      </c>
      <c r="BB743" t="b">
        <f>+ISNUMBER(SEARCH(CompConta!$F$27,Tabla11[[#This Row],[Cuenta]],1))</f>
        <v>1</v>
      </c>
      <c r="BC743" t="b">
        <f>+ISNUMBER(SEARCH(CompConta!$F$28,Tabla11[[#This Row],[Cuenta]],1))</f>
        <v>1</v>
      </c>
      <c r="BD743" t="b">
        <f>+ISNUMBER(SEARCH(CompConta!$F$29,Tabla11[[#This Row],[Cuenta]],1))</f>
        <v>1</v>
      </c>
      <c r="BE743" t="b">
        <f>+ISNUMBER(SEARCH(CompConta!$F$30,Tabla11[[#This Row],[Cuenta]],1))</f>
        <v>1</v>
      </c>
      <c r="BF743" t="b">
        <f>+ISNUMBER(SEARCH('PAGO Compras'!$E$11,Tabla11[[#This Row],[Cuenta]],1))</f>
        <v>1</v>
      </c>
      <c r="BG743" t="b">
        <f>+ISNUMBER(SEARCH(#REF!,Tabla11[[#This Row],[Cuenta]],1))</f>
        <v>0</v>
      </c>
      <c r="BH743" t="b">
        <f>+ISNUMBER(SEARCH(#REF!,Tabla11[[#This Row],[Cuenta]],1))</f>
        <v>0</v>
      </c>
      <c r="BI743" t="b">
        <f>+ISNUMBER(SEARCH(#REF!,Tabla11[[#This Row],[Cuenta]],1))</f>
        <v>0</v>
      </c>
      <c r="BJ743" t="b">
        <f>+ISNUMBER(SEARCH(#REF!,Tabla11[[#This Row],[Cuenta]],1))</f>
        <v>0</v>
      </c>
      <c r="BS743" t="str">
        <v>421035 Aceptaciones bancarias</v>
      </c>
      <c r="BT743" t="str">
        <v>421035 Aceptaciones bancarias</v>
      </c>
      <c r="BU743" t="str">
        <v>421035 Aceptaciones bancarias</v>
      </c>
      <c r="BV743" t="str">
        <v>421035 Aceptaciones bancarias</v>
      </c>
      <c r="BZ743" t="str">
        <v>421035 Aceptaciones bancarias</v>
      </c>
      <c r="CA743" t="str">
        <v>421035 Aceptaciones bancarias</v>
      </c>
      <c r="CB743" t="str">
        <v>421035 Aceptaciones bancarias</v>
      </c>
      <c r="CC743" t="str">
        <v>421035 Aceptaciones bancarias</v>
      </c>
      <c r="CD743" t="str">
        <v>421035 Aceptaciones bancarias</v>
      </c>
      <c r="CE743" t="str">
        <v>421035 Aceptaciones bancarias</v>
      </c>
      <c r="CS743" s="141" t="str">
        <v>421035 Aceptaciones bancarias</v>
      </c>
      <c r="CT743" s="141" t="str">
        <v>421035 Aceptaciones bancarias</v>
      </c>
      <c r="CU743" s="141" t="str">
        <v>421035 Aceptaciones bancarias</v>
      </c>
      <c r="CV743" s="141" t="str">
        <v>421035 Aceptaciones bancarias</v>
      </c>
      <c r="CW743" s="141" t="str">
        <v>421035 Aceptaciones bancarias</v>
      </c>
      <c r="CX743" s="141" t="str">
        <v>421035 Aceptaciones bancarias</v>
      </c>
      <c r="CY743" s="141" t="str">
        <v>421035 Aceptaciones bancarias</v>
      </c>
      <c r="CZ743" s="141" t="str">
        <v>421035 Aceptaciones bancarias</v>
      </c>
      <c r="DA743" s="141" t="str">
        <v>421035 Aceptaciones bancarias</v>
      </c>
      <c r="DF743" t="str">
        <v>421035 Aceptaciones bancarias</v>
      </c>
      <c r="DG743" t="str">
        <v>421035 Aceptaciones bancarias</v>
      </c>
      <c r="DH743" t="str">
        <v>421035 Aceptaciones bancarias</v>
      </c>
      <c r="DI743" t="str">
        <v>421035 Aceptaciones bancarias</v>
      </c>
      <c r="DJ743" t="str">
        <v>421035 Aceptaciones bancarias</v>
      </c>
      <c r="DK743" t="str">
        <v>421035 Aceptaciones bancarias</v>
      </c>
      <c r="DL743" t="str">
        <v>421035 Aceptaciones bancarias</v>
      </c>
      <c r="DM743" t="str">
        <v>421035 Aceptaciones bancarias</v>
      </c>
      <c r="DN743" t="str">
        <v>421035 Aceptaciones bancarias</v>
      </c>
      <c r="DO743" t="str">
        <v>421035 Aceptaciones bancarias</v>
      </c>
      <c r="DP743" t="str">
        <v>421035 Aceptaciones bancarias</v>
      </c>
    </row>
    <row r="744" spans="4:120" ht="12.75">
      <c r="D744" s="7">
        <v>421040</v>
      </c>
      <c r="E744" s="6" t="s">
        <v>517</v>
      </c>
      <c r="F744" s="5">
        <v>4</v>
      </c>
      <c r="G744" s="34" t="s">
        <v>829</v>
      </c>
      <c r="H744" s="8" t="s">
        <v>56</v>
      </c>
      <c r="I744" t="b">
        <f>+ISNUMBER(SEARCH('F-COMPRA'!$F$28,Tabla11[[#This Row],[Cuenta]],1))</f>
        <v>1</v>
      </c>
      <c r="J744" t="b">
        <f>+ISNUMBER(SEARCH('F-COMPRA'!$F$29,Tabla11[[#This Row],[Cuenta]],1))</f>
        <v>1</v>
      </c>
      <c r="K744" t="b">
        <f>+ISNUMBER(SEARCH('F-COMPRA'!$F$30,Tabla11[[#This Row],[Cuenta]],1))</f>
        <v>1</v>
      </c>
      <c r="L744" t="b">
        <f>+ISNUMBER(SEARCH('F-COMPRA'!$F$31,Tabla11[[#This Row],[Cuenta]],1))</f>
        <v>1</v>
      </c>
      <c r="M744" t="b">
        <f>+ISNUMBER(SEARCH('F-COMPRA'!$G$25,Tabla11[[#This Row],[Cuenta]],1))</f>
        <v>0</v>
      </c>
      <c r="N744" t="b">
        <f>+ISNUMBER(SEARCH(#REF!,Tabla11[[#This Row],[Cuenta]],1))</f>
        <v>0</v>
      </c>
      <c r="O744" t="b">
        <f>+ISNUMBER(SEARCH(#REF!,Tabla11[[#This Row],[Cuenta]],1))</f>
        <v>0</v>
      </c>
      <c r="P744" t="b">
        <f>+ISNUMBER(SEARCH('F-COMPRA'!$F$32,Tabla11[[#This Row],[Cuenta]],1))</f>
        <v>1</v>
      </c>
      <c r="Q744" t="b">
        <f>+ISNUMBER(SEARCH('F-COMPRA'!$F$33,Tabla11[[#This Row],[Cuenta]],1))</f>
        <v>1</v>
      </c>
      <c r="R744" t="b">
        <f>+ISNUMBER(SEARCH('F-COMPRA'!$F$34,Tabla11[[#This Row],[Cuenta]],1))</f>
        <v>1</v>
      </c>
      <c r="S744" t="b">
        <f>+ISNUMBER(SEARCH('F-COMPRA'!$F$35,Tabla11[[#This Row],[Cuenta]],1))</f>
        <v>1</v>
      </c>
      <c r="T744" t="b">
        <f>+ISNUMBER(SEARCH('F-COMPRA'!$F$36,Tabla11[[#This Row],[Cuenta]],1))</f>
        <v>1</v>
      </c>
      <c r="U744" t="b">
        <f>+ISNUMBER(SEARCH('F-COMPRA'!$F$37,Tabla11[[#This Row],[Cuenta]],1))</f>
        <v>1</v>
      </c>
      <c r="V744" t="b">
        <f>+ISNUMBER(SEARCH(#REF!,Tabla11[[#This Row],[Cuenta]],1))</f>
        <v>0</v>
      </c>
      <c r="W744" t="b">
        <f>+ISNUMBER(SEARCH('F-COMPRA'!#REF!,Tabla11[[#This Row],[Cuenta]],1))</f>
        <v>0</v>
      </c>
      <c r="X744" t="b">
        <f>+ISNUMBER(SEARCH('F-COMPRA'!#REF!,Tabla11[[#This Row],[Cuenta]],1))</f>
        <v>0</v>
      </c>
      <c r="Y744" t="b">
        <f>+ISNUMBER(SEARCH('F-COMPRA'!#REF!,Tabla11[[#This Row],[Cuenta]],1))</f>
        <v>0</v>
      </c>
      <c r="Z744" t="b">
        <f>+ISNUMBER(SEARCH('F-COMPRA'!#REF!,Tabla11[[#This Row],[Cuenta]],1))</f>
        <v>0</v>
      </c>
      <c r="AA744" t="b">
        <f>+ISNUMBER(SEARCH('F-COMPRA'!#REF!,Tabla11[[#This Row],[Cuenta]],1))</f>
        <v>0</v>
      </c>
      <c r="AB744" t="b">
        <f>+ISNUMBER(SEARCH('F-COMPRA'!#REF!,Tabla11[[#This Row],[Cuenta]],1))</f>
        <v>0</v>
      </c>
      <c r="AC744" t="b">
        <f>+ISNUMBER(SEARCH('F-COMPRA'!#REF!,Tabla11[[#This Row],[Cuenta]],1))</f>
        <v>0</v>
      </c>
      <c r="AD744" t="b">
        <f>+ISNUMBER(SEARCH('F-COMPRA'!#REF!,Tabla11[[#This Row],[Cuenta]],1))</f>
        <v>0</v>
      </c>
      <c r="AE744" t="b">
        <f>+ISNUMBER(SEARCH('F-COMPRA'!#REF!,Tabla11[[#This Row],[Cuenta]],1))</f>
        <v>0</v>
      </c>
      <c r="AF744" t="b">
        <f>+ISNUMBER(SEARCH('F-VTA'!$G$23,Tabla11[[#This Row],[Cuenta]],1))</f>
        <v>0</v>
      </c>
      <c r="AG744" t="b">
        <f>+ISNUMBER(SEARCH('F-VTA'!$G$24,Tabla11[[#This Row],[Cuenta]],1))</f>
        <v>0</v>
      </c>
      <c r="AH744" t="b">
        <f>+ISNUMBER(SEARCH('F-VTA'!$G$25,Tabla11[[#This Row],[Cuenta]],1))</f>
        <v>0</v>
      </c>
      <c r="AI744" t="b">
        <f>+ISNUMBER(SEARCH('F-VTA'!$F$28,Tabla11[[#This Row],[Cuenta]],1))</f>
        <v>1</v>
      </c>
      <c r="AJ744" t="b">
        <f>+ISNUMBER(SEARCH('F-VTA'!$F$29,Tabla11[[#This Row],[Cuenta]],1))</f>
        <v>1</v>
      </c>
      <c r="AK744" t="b">
        <f>+ISNUMBER(SEARCH('F-VTA'!$F$30,Tabla11[[#This Row],[Cuenta]],1))</f>
        <v>1</v>
      </c>
      <c r="AL744" t="b">
        <f>+ISNUMBER(SEARCH('F-VTA'!$F$31,Tabla11[[#This Row],[Cuenta]],1))</f>
        <v>1</v>
      </c>
      <c r="AM744" t="b">
        <f>+ISNUMBER(SEARCH('F-VTA'!$F$32,Tabla11[[#This Row],[Cuenta]],1))</f>
        <v>1</v>
      </c>
      <c r="AN744" t="b">
        <f>+ISNUMBER(SEARCH('F-VTA'!$F$33,Tabla11[[#This Row],[Cuenta]],1))</f>
        <v>1</v>
      </c>
      <c r="AO744" t="b">
        <f>+ISNUMBER(SEARCH('F-VTA'!$F$34,Tabla11[[#This Row],[Cuenta]],1))</f>
        <v>1</v>
      </c>
      <c r="AP744" t="b">
        <f>+ISNUMBER(SEARCH('F-VTA'!$F$35,Tabla11[[#This Row],[Cuenta]],1))</f>
        <v>1</v>
      </c>
      <c r="AQ744" t="b">
        <f>+ISNUMBER(SEARCH('F-VTA'!$F$36,Tabla11[[#This Row],[Cuenta]],1))</f>
        <v>1</v>
      </c>
      <c r="AR744" t="b">
        <f>+ISNUMBER(SEARCH(#REF!,Tabla11[[#This Row],[Cuenta]],1))</f>
        <v>0</v>
      </c>
      <c r="AS744" t="b">
        <f>+ISNUMBER(SEARCH(#REF!,Tabla11[[#This Row],[Cuenta]],1))</f>
        <v>0</v>
      </c>
      <c r="AT744" t="b">
        <f>+ISNUMBER(SEARCH(#REF!,Tabla11[[#This Row],[Cuenta]],1))</f>
        <v>0</v>
      </c>
      <c r="AU744" t="b">
        <f>+ISNUMBER(SEARCH('Conc. Ban.1'!$I$9,Tabla11[[#This Row],[Cuenta]],1))</f>
        <v>0</v>
      </c>
      <c r="AV744" t="b">
        <f>+ISNUMBER(SEARCH(CompConta!$F$21,Tabla11[[#This Row],[Cuenta]],1))</f>
        <v>1</v>
      </c>
      <c r="AW744" t="b">
        <f>+ISNUMBER(SEARCH(CompConta!$F$22,Tabla11[[#This Row],[Cuenta]],1))</f>
        <v>1</v>
      </c>
      <c r="AX744" t="b">
        <f>+ISNUMBER(SEARCH(CompConta!$F$23,Tabla11[[#This Row],[Cuenta]],1))</f>
        <v>1</v>
      </c>
      <c r="AY744" t="b">
        <f>+ISNUMBER(SEARCH(CompConta!$F$24,Tabla11[[#This Row],[Cuenta]],1))</f>
        <v>1</v>
      </c>
      <c r="AZ744" t="b">
        <f>+ISNUMBER(SEARCH(CompConta!$F$25,Tabla11[[#This Row],[Cuenta]],1))</f>
        <v>1</v>
      </c>
      <c r="BA744" t="b">
        <f>+ISNUMBER(SEARCH(CompConta!$F$26,Tabla11[[#This Row],[Cuenta]],1))</f>
        <v>1</v>
      </c>
      <c r="BB744" t="b">
        <f>+ISNUMBER(SEARCH(CompConta!$F$27,Tabla11[[#This Row],[Cuenta]],1))</f>
        <v>1</v>
      </c>
      <c r="BC744" t="b">
        <f>+ISNUMBER(SEARCH(CompConta!$F$28,Tabla11[[#This Row],[Cuenta]],1))</f>
        <v>1</v>
      </c>
      <c r="BD744" t="b">
        <f>+ISNUMBER(SEARCH(CompConta!$F$29,Tabla11[[#This Row],[Cuenta]],1))</f>
        <v>1</v>
      </c>
      <c r="BE744" t="b">
        <f>+ISNUMBER(SEARCH(CompConta!$F$30,Tabla11[[#This Row],[Cuenta]],1))</f>
        <v>1</v>
      </c>
      <c r="BF744" t="b">
        <f>+ISNUMBER(SEARCH('PAGO Compras'!$E$11,Tabla11[[#This Row],[Cuenta]],1))</f>
        <v>1</v>
      </c>
      <c r="BG744" t="b">
        <f>+ISNUMBER(SEARCH(#REF!,Tabla11[[#This Row],[Cuenta]],1))</f>
        <v>0</v>
      </c>
      <c r="BH744" t="b">
        <f>+ISNUMBER(SEARCH(#REF!,Tabla11[[#This Row],[Cuenta]],1))</f>
        <v>0</v>
      </c>
      <c r="BI744" t="b">
        <f>+ISNUMBER(SEARCH(#REF!,Tabla11[[#This Row],[Cuenta]],1))</f>
        <v>0</v>
      </c>
      <c r="BJ744" t="b">
        <f>+ISNUMBER(SEARCH(#REF!,Tabla11[[#This Row],[Cuenta]],1))</f>
        <v>0</v>
      </c>
      <c r="BS744" t="str">
        <v>421040 Descuentos comerciales condicionados</v>
      </c>
      <c r="BT744" t="str">
        <v>421040 Descuentos comerciales condicionados</v>
      </c>
      <c r="BU744" t="str">
        <v>421040 Descuentos comerciales condicionados</v>
      </c>
      <c r="BV744" t="str">
        <v>421040 Descuentos comerciales condicionados</v>
      </c>
      <c r="BZ744" t="str">
        <v>421040 Descuentos comerciales condicionados</v>
      </c>
      <c r="CA744" t="str">
        <v>421040 Descuentos comerciales condicionados</v>
      </c>
      <c r="CB744" t="str">
        <v>421040 Descuentos comerciales condicionados</v>
      </c>
      <c r="CC744" t="str">
        <v>421040 Descuentos comerciales condicionados</v>
      </c>
      <c r="CD744" t="str">
        <v>421040 Descuentos comerciales condicionados</v>
      </c>
      <c r="CE744" t="str">
        <v>421040 Descuentos comerciales condicionados</v>
      </c>
      <c r="CS744" s="141" t="str">
        <v>421040 Descuentos comerciales condicionados</v>
      </c>
      <c r="CT744" s="141" t="str">
        <v>421040 Descuentos comerciales condicionados</v>
      </c>
      <c r="CU744" s="141" t="str">
        <v>421040 Descuentos comerciales condicionados</v>
      </c>
      <c r="CV744" s="141" t="str">
        <v>421040 Descuentos comerciales condicionados</v>
      </c>
      <c r="CW744" s="141" t="str">
        <v>421040 Descuentos comerciales condicionados</v>
      </c>
      <c r="CX744" s="141" t="str">
        <v>421040 Descuentos comerciales condicionados</v>
      </c>
      <c r="CY744" s="141" t="str">
        <v>421040 Descuentos comerciales condicionados</v>
      </c>
      <c r="CZ744" s="141" t="str">
        <v>421040 Descuentos comerciales condicionados</v>
      </c>
      <c r="DA744" s="141" t="str">
        <v>421040 Descuentos comerciales condicionados</v>
      </c>
      <c r="DF744" t="str">
        <v>421040 Descuentos comerciales condicionados</v>
      </c>
      <c r="DG744" t="str">
        <v>421040 Descuentos comerciales condicionados</v>
      </c>
      <c r="DH744" t="str">
        <v>421040 Descuentos comerciales condicionados</v>
      </c>
      <c r="DI744" t="str">
        <v>421040 Descuentos comerciales condicionados</v>
      </c>
      <c r="DJ744" t="str">
        <v>421040 Descuentos comerciales condicionados</v>
      </c>
      <c r="DK744" t="str">
        <v>421040 Descuentos comerciales condicionados</v>
      </c>
      <c r="DL744" t="str">
        <v>421040 Descuentos comerciales condicionados</v>
      </c>
      <c r="DM744" t="str">
        <v>421040 Descuentos comerciales condicionados</v>
      </c>
      <c r="DN744" t="str">
        <v>421040 Descuentos comerciales condicionados</v>
      </c>
      <c r="DO744" t="str">
        <v>421040 Descuentos comerciales condicionados</v>
      </c>
      <c r="DP744" t="str">
        <v>421040 Descuentos comerciales condicionados</v>
      </c>
    </row>
    <row r="745" spans="4:120" ht="12.75">
      <c r="D745" s="7">
        <v>421045</v>
      </c>
      <c r="E745" s="6" t="s">
        <v>518</v>
      </c>
      <c r="F745" s="5">
        <v>4</v>
      </c>
      <c r="G745" s="34" t="s">
        <v>829</v>
      </c>
      <c r="H745" s="8" t="s">
        <v>56</v>
      </c>
      <c r="I745" t="b">
        <f>+ISNUMBER(SEARCH('F-COMPRA'!$F$28,Tabla11[[#This Row],[Cuenta]],1))</f>
        <v>1</v>
      </c>
      <c r="J745" t="b">
        <f>+ISNUMBER(SEARCH('F-COMPRA'!$F$29,Tabla11[[#This Row],[Cuenta]],1))</f>
        <v>1</v>
      </c>
      <c r="K745" t="b">
        <f>+ISNUMBER(SEARCH('F-COMPRA'!$F$30,Tabla11[[#This Row],[Cuenta]],1))</f>
        <v>1</v>
      </c>
      <c r="L745" t="b">
        <f>+ISNUMBER(SEARCH('F-COMPRA'!$F$31,Tabla11[[#This Row],[Cuenta]],1))</f>
        <v>1</v>
      </c>
      <c r="M745" t="b">
        <f>+ISNUMBER(SEARCH('F-COMPRA'!$G$25,Tabla11[[#This Row],[Cuenta]],1))</f>
        <v>0</v>
      </c>
      <c r="N745" t="b">
        <f>+ISNUMBER(SEARCH(#REF!,Tabla11[[#This Row],[Cuenta]],1))</f>
        <v>0</v>
      </c>
      <c r="O745" t="b">
        <f>+ISNUMBER(SEARCH(#REF!,Tabla11[[#This Row],[Cuenta]],1))</f>
        <v>0</v>
      </c>
      <c r="P745" t="b">
        <f>+ISNUMBER(SEARCH('F-COMPRA'!$F$32,Tabla11[[#This Row],[Cuenta]],1))</f>
        <v>1</v>
      </c>
      <c r="Q745" t="b">
        <f>+ISNUMBER(SEARCH('F-COMPRA'!$F$33,Tabla11[[#This Row],[Cuenta]],1))</f>
        <v>1</v>
      </c>
      <c r="R745" t="b">
        <f>+ISNUMBER(SEARCH('F-COMPRA'!$F$34,Tabla11[[#This Row],[Cuenta]],1))</f>
        <v>1</v>
      </c>
      <c r="S745" t="b">
        <f>+ISNUMBER(SEARCH('F-COMPRA'!$F$35,Tabla11[[#This Row],[Cuenta]],1))</f>
        <v>1</v>
      </c>
      <c r="T745" t="b">
        <f>+ISNUMBER(SEARCH('F-COMPRA'!$F$36,Tabla11[[#This Row],[Cuenta]],1))</f>
        <v>1</v>
      </c>
      <c r="U745" t="b">
        <f>+ISNUMBER(SEARCH('F-COMPRA'!$F$37,Tabla11[[#This Row],[Cuenta]],1))</f>
        <v>1</v>
      </c>
      <c r="V745" t="b">
        <f>+ISNUMBER(SEARCH(#REF!,Tabla11[[#This Row],[Cuenta]],1))</f>
        <v>0</v>
      </c>
      <c r="W745" t="b">
        <f>+ISNUMBER(SEARCH('F-COMPRA'!#REF!,Tabla11[[#This Row],[Cuenta]],1))</f>
        <v>0</v>
      </c>
      <c r="X745" t="b">
        <f>+ISNUMBER(SEARCH('F-COMPRA'!#REF!,Tabla11[[#This Row],[Cuenta]],1))</f>
        <v>0</v>
      </c>
      <c r="Y745" t="b">
        <f>+ISNUMBER(SEARCH('F-COMPRA'!#REF!,Tabla11[[#This Row],[Cuenta]],1))</f>
        <v>0</v>
      </c>
      <c r="Z745" t="b">
        <f>+ISNUMBER(SEARCH('F-COMPRA'!#REF!,Tabla11[[#This Row],[Cuenta]],1))</f>
        <v>0</v>
      </c>
      <c r="AA745" t="b">
        <f>+ISNUMBER(SEARCH('F-COMPRA'!#REF!,Tabla11[[#This Row],[Cuenta]],1))</f>
        <v>0</v>
      </c>
      <c r="AB745" t="b">
        <f>+ISNUMBER(SEARCH('F-COMPRA'!#REF!,Tabla11[[#This Row],[Cuenta]],1))</f>
        <v>0</v>
      </c>
      <c r="AC745" t="b">
        <f>+ISNUMBER(SEARCH('F-COMPRA'!#REF!,Tabla11[[#This Row],[Cuenta]],1))</f>
        <v>0</v>
      </c>
      <c r="AD745" t="b">
        <f>+ISNUMBER(SEARCH('F-COMPRA'!#REF!,Tabla11[[#This Row],[Cuenta]],1))</f>
        <v>0</v>
      </c>
      <c r="AE745" t="b">
        <f>+ISNUMBER(SEARCH('F-COMPRA'!#REF!,Tabla11[[#This Row],[Cuenta]],1))</f>
        <v>0</v>
      </c>
      <c r="AF745" t="b">
        <f>+ISNUMBER(SEARCH('F-VTA'!$G$23,Tabla11[[#This Row],[Cuenta]],1))</f>
        <v>0</v>
      </c>
      <c r="AG745" t="b">
        <f>+ISNUMBER(SEARCH('F-VTA'!$G$24,Tabla11[[#This Row],[Cuenta]],1))</f>
        <v>0</v>
      </c>
      <c r="AH745" t="b">
        <f>+ISNUMBER(SEARCH('F-VTA'!$G$25,Tabla11[[#This Row],[Cuenta]],1))</f>
        <v>0</v>
      </c>
      <c r="AI745" t="b">
        <f>+ISNUMBER(SEARCH('F-VTA'!$F$28,Tabla11[[#This Row],[Cuenta]],1))</f>
        <v>1</v>
      </c>
      <c r="AJ745" t="b">
        <f>+ISNUMBER(SEARCH('F-VTA'!$F$29,Tabla11[[#This Row],[Cuenta]],1))</f>
        <v>1</v>
      </c>
      <c r="AK745" t="b">
        <f>+ISNUMBER(SEARCH('F-VTA'!$F$30,Tabla11[[#This Row],[Cuenta]],1))</f>
        <v>1</v>
      </c>
      <c r="AL745" t="b">
        <f>+ISNUMBER(SEARCH('F-VTA'!$F$31,Tabla11[[#This Row],[Cuenta]],1))</f>
        <v>1</v>
      </c>
      <c r="AM745" t="b">
        <f>+ISNUMBER(SEARCH('F-VTA'!$F$32,Tabla11[[#This Row],[Cuenta]],1))</f>
        <v>1</v>
      </c>
      <c r="AN745" t="b">
        <f>+ISNUMBER(SEARCH('F-VTA'!$F$33,Tabla11[[#This Row],[Cuenta]],1))</f>
        <v>1</v>
      </c>
      <c r="AO745" t="b">
        <f>+ISNUMBER(SEARCH('F-VTA'!$F$34,Tabla11[[#This Row],[Cuenta]],1))</f>
        <v>1</v>
      </c>
      <c r="AP745" t="b">
        <f>+ISNUMBER(SEARCH('F-VTA'!$F$35,Tabla11[[#This Row],[Cuenta]],1))</f>
        <v>1</v>
      </c>
      <c r="AQ745" t="b">
        <f>+ISNUMBER(SEARCH('F-VTA'!$F$36,Tabla11[[#This Row],[Cuenta]],1))</f>
        <v>1</v>
      </c>
      <c r="AR745" t="b">
        <f>+ISNUMBER(SEARCH(#REF!,Tabla11[[#This Row],[Cuenta]],1))</f>
        <v>0</v>
      </c>
      <c r="AS745" t="b">
        <f>+ISNUMBER(SEARCH(#REF!,Tabla11[[#This Row],[Cuenta]],1))</f>
        <v>0</v>
      </c>
      <c r="AT745" t="b">
        <f>+ISNUMBER(SEARCH(#REF!,Tabla11[[#This Row],[Cuenta]],1))</f>
        <v>0</v>
      </c>
      <c r="AU745" t="b">
        <f>+ISNUMBER(SEARCH('Conc. Ban.1'!$I$9,Tabla11[[#This Row],[Cuenta]],1))</f>
        <v>0</v>
      </c>
      <c r="AV745" t="b">
        <f>+ISNUMBER(SEARCH(CompConta!$F$21,Tabla11[[#This Row],[Cuenta]],1))</f>
        <v>1</v>
      </c>
      <c r="AW745" t="b">
        <f>+ISNUMBER(SEARCH(CompConta!$F$22,Tabla11[[#This Row],[Cuenta]],1))</f>
        <v>1</v>
      </c>
      <c r="AX745" t="b">
        <f>+ISNUMBER(SEARCH(CompConta!$F$23,Tabla11[[#This Row],[Cuenta]],1))</f>
        <v>1</v>
      </c>
      <c r="AY745" t="b">
        <f>+ISNUMBER(SEARCH(CompConta!$F$24,Tabla11[[#This Row],[Cuenta]],1))</f>
        <v>1</v>
      </c>
      <c r="AZ745" t="b">
        <f>+ISNUMBER(SEARCH(CompConta!$F$25,Tabla11[[#This Row],[Cuenta]],1))</f>
        <v>1</v>
      </c>
      <c r="BA745" t="b">
        <f>+ISNUMBER(SEARCH(CompConta!$F$26,Tabla11[[#This Row],[Cuenta]],1))</f>
        <v>1</v>
      </c>
      <c r="BB745" t="b">
        <f>+ISNUMBER(SEARCH(CompConta!$F$27,Tabla11[[#This Row],[Cuenta]],1))</f>
        <v>1</v>
      </c>
      <c r="BC745" t="b">
        <f>+ISNUMBER(SEARCH(CompConta!$F$28,Tabla11[[#This Row],[Cuenta]],1))</f>
        <v>1</v>
      </c>
      <c r="BD745" t="b">
        <f>+ISNUMBER(SEARCH(CompConta!$F$29,Tabla11[[#This Row],[Cuenta]],1))</f>
        <v>1</v>
      </c>
      <c r="BE745" t="b">
        <f>+ISNUMBER(SEARCH(CompConta!$F$30,Tabla11[[#This Row],[Cuenta]],1))</f>
        <v>1</v>
      </c>
      <c r="BF745" t="b">
        <f>+ISNUMBER(SEARCH('PAGO Compras'!$E$11,Tabla11[[#This Row],[Cuenta]],1))</f>
        <v>1</v>
      </c>
      <c r="BG745" t="b">
        <f>+ISNUMBER(SEARCH(#REF!,Tabla11[[#This Row],[Cuenta]],1))</f>
        <v>0</v>
      </c>
      <c r="BH745" t="b">
        <f>+ISNUMBER(SEARCH(#REF!,Tabla11[[#This Row],[Cuenta]],1))</f>
        <v>0</v>
      </c>
      <c r="BI745" t="b">
        <f>+ISNUMBER(SEARCH(#REF!,Tabla11[[#This Row],[Cuenta]],1))</f>
        <v>0</v>
      </c>
      <c r="BJ745" t="b">
        <f>+ISNUMBER(SEARCH(#REF!,Tabla11[[#This Row],[Cuenta]],1))</f>
        <v>0</v>
      </c>
      <c r="BS745" t="str">
        <v>421045 Descuentos bancarios</v>
      </c>
      <c r="BT745" t="str">
        <v>421045 Descuentos bancarios</v>
      </c>
      <c r="BU745" t="str">
        <v>421045 Descuentos bancarios</v>
      </c>
      <c r="BV745" t="str">
        <v>421045 Descuentos bancarios</v>
      </c>
      <c r="BZ745" t="str">
        <v>421045 Descuentos bancarios</v>
      </c>
      <c r="CA745" t="str">
        <v>421045 Descuentos bancarios</v>
      </c>
      <c r="CB745" t="str">
        <v>421045 Descuentos bancarios</v>
      </c>
      <c r="CC745" t="str">
        <v>421045 Descuentos bancarios</v>
      </c>
      <c r="CD745" t="str">
        <v>421045 Descuentos bancarios</v>
      </c>
      <c r="CE745" t="str">
        <v>421045 Descuentos bancarios</v>
      </c>
      <c r="CS745" s="141" t="str">
        <v>421045 Descuentos bancarios</v>
      </c>
      <c r="CT745" s="141" t="str">
        <v>421045 Descuentos bancarios</v>
      </c>
      <c r="CU745" s="141" t="str">
        <v>421045 Descuentos bancarios</v>
      </c>
      <c r="CV745" s="141" t="str">
        <v>421045 Descuentos bancarios</v>
      </c>
      <c r="CW745" s="141" t="str">
        <v>421045 Descuentos bancarios</v>
      </c>
      <c r="CX745" s="141" t="str">
        <v>421045 Descuentos bancarios</v>
      </c>
      <c r="CY745" s="141" t="str">
        <v>421045 Descuentos bancarios</v>
      </c>
      <c r="CZ745" s="141" t="str">
        <v>421045 Descuentos bancarios</v>
      </c>
      <c r="DA745" s="141" t="str">
        <v>421045 Descuentos bancarios</v>
      </c>
      <c r="DF745" t="str">
        <v>421045 Descuentos bancarios</v>
      </c>
      <c r="DG745" t="str">
        <v>421045 Descuentos bancarios</v>
      </c>
      <c r="DH745" t="str">
        <v>421045 Descuentos bancarios</v>
      </c>
      <c r="DI745" t="str">
        <v>421045 Descuentos bancarios</v>
      </c>
      <c r="DJ745" t="str">
        <v>421045 Descuentos bancarios</v>
      </c>
      <c r="DK745" t="str">
        <v>421045 Descuentos bancarios</v>
      </c>
      <c r="DL745" t="str">
        <v>421045 Descuentos bancarios</v>
      </c>
      <c r="DM745" t="str">
        <v>421045 Descuentos bancarios</v>
      </c>
      <c r="DN745" t="str">
        <v>421045 Descuentos bancarios</v>
      </c>
      <c r="DO745" t="str">
        <v>421045 Descuentos bancarios</v>
      </c>
      <c r="DP745" t="str">
        <v>421045 Descuentos bancarios</v>
      </c>
    </row>
    <row r="746" spans="4:120" ht="12.75">
      <c r="D746" s="7">
        <v>421050</v>
      </c>
      <c r="E746" s="6" t="s">
        <v>519</v>
      </c>
      <c r="F746" s="5">
        <v>4</v>
      </c>
      <c r="G746" s="34" t="s">
        <v>829</v>
      </c>
      <c r="H746" s="8" t="s">
        <v>56</v>
      </c>
      <c r="I746" t="b">
        <f>+ISNUMBER(SEARCH('F-COMPRA'!$F$28,Tabla11[[#This Row],[Cuenta]],1))</f>
        <v>1</v>
      </c>
      <c r="J746" t="b">
        <f>+ISNUMBER(SEARCH('F-COMPRA'!$F$29,Tabla11[[#This Row],[Cuenta]],1))</f>
        <v>1</v>
      </c>
      <c r="K746" t="b">
        <f>+ISNUMBER(SEARCH('F-COMPRA'!$F$30,Tabla11[[#This Row],[Cuenta]],1))</f>
        <v>1</v>
      </c>
      <c r="L746" t="b">
        <f>+ISNUMBER(SEARCH('F-COMPRA'!$F$31,Tabla11[[#This Row],[Cuenta]],1))</f>
        <v>1</v>
      </c>
      <c r="M746" t="b">
        <f>+ISNUMBER(SEARCH('F-COMPRA'!$G$25,Tabla11[[#This Row],[Cuenta]],1))</f>
        <v>0</v>
      </c>
      <c r="N746" t="b">
        <f>+ISNUMBER(SEARCH(#REF!,Tabla11[[#This Row],[Cuenta]],1))</f>
        <v>0</v>
      </c>
      <c r="O746" t="b">
        <f>+ISNUMBER(SEARCH(#REF!,Tabla11[[#This Row],[Cuenta]],1))</f>
        <v>0</v>
      </c>
      <c r="P746" t="b">
        <f>+ISNUMBER(SEARCH('F-COMPRA'!$F$32,Tabla11[[#This Row],[Cuenta]],1))</f>
        <v>1</v>
      </c>
      <c r="Q746" t="b">
        <f>+ISNUMBER(SEARCH('F-COMPRA'!$F$33,Tabla11[[#This Row],[Cuenta]],1))</f>
        <v>1</v>
      </c>
      <c r="R746" t="b">
        <f>+ISNUMBER(SEARCH('F-COMPRA'!$F$34,Tabla11[[#This Row],[Cuenta]],1))</f>
        <v>1</v>
      </c>
      <c r="S746" t="b">
        <f>+ISNUMBER(SEARCH('F-COMPRA'!$F$35,Tabla11[[#This Row],[Cuenta]],1))</f>
        <v>1</v>
      </c>
      <c r="T746" t="b">
        <f>+ISNUMBER(SEARCH('F-COMPRA'!$F$36,Tabla11[[#This Row],[Cuenta]],1))</f>
        <v>1</v>
      </c>
      <c r="U746" t="b">
        <f>+ISNUMBER(SEARCH('F-COMPRA'!$F$37,Tabla11[[#This Row],[Cuenta]],1))</f>
        <v>1</v>
      </c>
      <c r="V746" t="b">
        <f>+ISNUMBER(SEARCH(#REF!,Tabla11[[#This Row],[Cuenta]],1))</f>
        <v>0</v>
      </c>
      <c r="W746" t="b">
        <f>+ISNUMBER(SEARCH('F-COMPRA'!#REF!,Tabla11[[#This Row],[Cuenta]],1))</f>
        <v>0</v>
      </c>
      <c r="X746" t="b">
        <f>+ISNUMBER(SEARCH('F-COMPRA'!#REF!,Tabla11[[#This Row],[Cuenta]],1))</f>
        <v>0</v>
      </c>
      <c r="Y746" t="b">
        <f>+ISNUMBER(SEARCH('F-COMPRA'!#REF!,Tabla11[[#This Row],[Cuenta]],1))</f>
        <v>0</v>
      </c>
      <c r="Z746" t="b">
        <f>+ISNUMBER(SEARCH('F-COMPRA'!#REF!,Tabla11[[#This Row],[Cuenta]],1))</f>
        <v>0</v>
      </c>
      <c r="AA746" t="b">
        <f>+ISNUMBER(SEARCH('F-COMPRA'!#REF!,Tabla11[[#This Row],[Cuenta]],1))</f>
        <v>0</v>
      </c>
      <c r="AB746" t="b">
        <f>+ISNUMBER(SEARCH('F-COMPRA'!#REF!,Tabla11[[#This Row],[Cuenta]],1))</f>
        <v>0</v>
      </c>
      <c r="AC746" t="b">
        <f>+ISNUMBER(SEARCH('F-COMPRA'!#REF!,Tabla11[[#This Row],[Cuenta]],1))</f>
        <v>0</v>
      </c>
      <c r="AD746" t="b">
        <f>+ISNUMBER(SEARCH('F-COMPRA'!#REF!,Tabla11[[#This Row],[Cuenta]],1))</f>
        <v>0</v>
      </c>
      <c r="AE746" t="b">
        <f>+ISNUMBER(SEARCH('F-COMPRA'!#REF!,Tabla11[[#This Row],[Cuenta]],1))</f>
        <v>0</v>
      </c>
      <c r="AF746" t="b">
        <f>+ISNUMBER(SEARCH('F-VTA'!$G$23,Tabla11[[#This Row],[Cuenta]],1))</f>
        <v>0</v>
      </c>
      <c r="AG746" t="b">
        <f>+ISNUMBER(SEARCH('F-VTA'!$G$24,Tabla11[[#This Row],[Cuenta]],1))</f>
        <v>0</v>
      </c>
      <c r="AH746" t="b">
        <f>+ISNUMBER(SEARCH('F-VTA'!$G$25,Tabla11[[#This Row],[Cuenta]],1))</f>
        <v>0</v>
      </c>
      <c r="AI746" t="b">
        <f>+ISNUMBER(SEARCH('F-VTA'!$F$28,Tabla11[[#This Row],[Cuenta]],1))</f>
        <v>1</v>
      </c>
      <c r="AJ746" t="b">
        <f>+ISNUMBER(SEARCH('F-VTA'!$F$29,Tabla11[[#This Row],[Cuenta]],1))</f>
        <v>1</v>
      </c>
      <c r="AK746" t="b">
        <f>+ISNUMBER(SEARCH('F-VTA'!$F$30,Tabla11[[#This Row],[Cuenta]],1))</f>
        <v>1</v>
      </c>
      <c r="AL746" t="b">
        <f>+ISNUMBER(SEARCH('F-VTA'!$F$31,Tabla11[[#This Row],[Cuenta]],1))</f>
        <v>1</v>
      </c>
      <c r="AM746" t="b">
        <f>+ISNUMBER(SEARCH('F-VTA'!$F$32,Tabla11[[#This Row],[Cuenta]],1))</f>
        <v>1</v>
      </c>
      <c r="AN746" t="b">
        <f>+ISNUMBER(SEARCH('F-VTA'!$F$33,Tabla11[[#This Row],[Cuenta]],1))</f>
        <v>1</v>
      </c>
      <c r="AO746" t="b">
        <f>+ISNUMBER(SEARCH('F-VTA'!$F$34,Tabla11[[#This Row],[Cuenta]],1))</f>
        <v>1</v>
      </c>
      <c r="AP746" t="b">
        <f>+ISNUMBER(SEARCH('F-VTA'!$F$35,Tabla11[[#This Row],[Cuenta]],1))</f>
        <v>1</v>
      </c>
      <c r="AQ746" t="b">
        <f>+ISNUMBER(SEARCH('F-VTA'!$F$36,Tabla11[[#This Row],[Cuenta]],1))</f>
        <v>1</v>
      </c>
      <c r="AR746" t="b">
        <f>+ISNUMBER(SEARCH(#REF!,Tabla11[[#This Row],[Cuenta]],1))</f>
        <v>0</v>
      </c>
      <c r="AS746" t="b">
        <f>+ISNUMBER(SEARCH(#REF!,Tabla11[[#This Row],[Cuenta]],1))</f>
        <v>0</v>
      </c>
      <c r="AT746" t="b">
        <f>+ISNUMBER(SEARCH(#REF!,Tabla11[[#This Row],[Cuenta]],1))</f>
        <v>0</v>
      </c>
      <c r="AU746" t="b">
        <f>+ISNUMBER(SEARCH('Conc. Ban.1'!$I$9,Tabla11[[#This Row],[Cuenta]],1))</f>
        <v>0</v>
      </c>
      <c r="AV746" t="b">
        <f>+ISNUMBER(SEARCH(CompConta!$F$21,Tabla11[[#This Row],[Cuenta]],1))</f>
        <v>1</v>
      </c>
      <c r="AW746" t="b">
        <f>+ISNUMBER(SEARCH(CompConta!$F$22,Tabla11[[#This Row],[Cuenta]],1))</f>
        <v>1</v>
      </c>
      <c r="AX746" t="b">
        <f>+ISNUMBER(SEARCH(CompConta!$F$23,Tabla11[[#This Row],[Cuenta]],1))</f>
        <v>1</v>
      </c>
      <c r="AY746" t="b">
        <f>+ISNUMBER(SEARCH(CompConta!$F$24,Tabla11[[#This Row],[Cuenta]],1))</f>
        <v>1</v>
      </c>
      <c r="AZ746" t="b">
        <f>+ISNUMBER(SEARCH(CompConta!$F$25,Tabla11[[#This Row],[Cuenta]],1))</f>
        <v>1</v>
      </c>
      <c r="BA746" t="b">
        <f>+ISNUMBER(SEARCH(CompConta!$F$26,Tabla11[[#This Row],[Cuenta]],1))</f>
        <v>1</v>
      </c>
      <c r="BB746" t="b">
        <f>+ISNUMBER(SEARCH(CompConta!$F$27,Tabla11[[#This Row],[Cuenta]],1))</f>
        <v>1</v>
      </c>
      <c r="BC746" t="b">
        <f>+ISNUMBER(SEARCH(CompConta!$F$28,Tabla11[[#This Row],[Cuenta]],1))</f>
        <v>1</v>
      </c>
      <c r="BD746" t="b">
        <f>+ISNUMBER(SEARCH(CompConta!$F$29,Tabla11[[#This Row],[Cuenta]],1))</f>
        <v>1</v>
      </c>
      <c r="BE746" t="b">
        <f>+ISNUMBER(SEARCH(CompConta!$F$30,Tabla11[[#This Row],[Cuenta]],1))</f>
        <v>1</v>
      </c>
      <c r="BF746" t="b">
        <f>+ISNUMBER(SEARCH('PAGO Compras'!$E$11,Tabla11[[#This Row],[Cuenta]],1))</f>
        <v>1</v>
      </c>
      <c r="BG746" t="b">
        <f>+ISNUMBER(SEARCH(#REF!,Tabla11[[#This Row],[Cuenta]],1))</f>
        <v>0</v>
      </c>
      <c r="BH746" t="b">
        <f>+ISNUMBER(SEARCH(#REF!,Tabla11[[#This Row],[Cuenta]],1))</f>
        <v>0</v>
      </c>
      <c r="BI746" t="b">
        <f>+ISNUMBER(SEARCH(#REF!,Tabla11[[#This Row],[Cuenta]],1))</f>
        <v>0</v>
      </c>
      <c r="BJ746" t="b">
        <f>+ISNUMBER(SEARCH(#REF!,Tabla11[[#This Row],[Cuenta]],1))</f>
        <v>0</v>
      </c>
      <c r="BS746" t="str">
        <v>421050 Comisiones cheques de otras plazas</v>
      </c>
      <c r="BT746" t="str">
        <v>421050 Comisiones cheques de otras plazas</v>
      </c>
      <c r="BU746" t="str">
        <v>421050 Comisiones cheques de otras plazas</v>
      </c>
      <c r="BV746" t="str">
        <v>421050 Comisiones cheques de otras plazas</v>
      </c>
      <c r="BZ746" t="str">
        <v>421050 Comisiones cheques de otras plazas</v>
      </c>
      <c r="CA746" t="str">
        <v>421050 Comisiones cheques de otras plazas</v>
      </c>
      <c r="CB746" t="str">
        <v>421050 Comisiones cheques de otras plazas</v>
      </c>
      <c r="CC746" t="str">
        <v>421050 Comisiones cheques de otras plazas</v>
      </c>
      <c r="CD746" t="str">
        <v>421050 Comisiones cheques de otras plazas</v>
      </c>
      <c r="CE746" t="str">
        <v>421050 Comisiones cheques de otras plazas</v>
      </c>
      <c r="CS746" s="141" t="str">
        <v>421050 Comisiones cheques de otras plazas</v>
      </c>
      <c r="CT746" s="141" t="str">
        <v>421050 Comisiones cheques de otras plazas</v>
      </c>
      <c r="CU746" s="141" t="str">
        <v>421050 Comisiones cheques de otras plazas</v>
      </c>
      <c r="CV746" s="141" t="str">
        <v>421050 Comisiones cheques de otras plazas</v>
      </c>
      <c r="CW746" s="141" t="str">
        <v>421050 Comisiones cheques de otras plazas</v>
      </c>
      <c r="CX746" s="141" t="str">
        <v>421050 Comisiones cheques de otras plazas</v>
      </c>
      <c r="CY746" s="141" t="str">
        <v>421050 Comisiones cheques de otras plazas</v>
      </c>
      <c r="CZ746" s="141" t="str">
        <v>421050 Comisiones cheques de otras plazas</v>
      </c>
      <c r="DA746" s="141" t="str">
        <v>421050 Comisiones cheques de otras plazas</v>
      </c>
      <c r="DF746" t="str">
        <v>421050 Comisiones cheques de otras plazas</v>
      </c>
      <c r="DG746" t="str">
        <v>421050 Comisiones cheques de otras plazas</v>
      </c>
      <c r="DH746" t="str">
        <v>421050 Comisiones cheques de otras plazas</v>
      </c>
      <c r="DI746" t="str">
        <v>421050 Comisiones cheques de otras plazas</v>
      </c>
      <c r="DJ746" t="str">
        <v>421050 Comisiones cheques de otras plazas</v>
      </c>
      <c r="DK746" t="str">
        <v>421050 Comisiones cheques de otras plazas</v>
      </c>
      <c r="DL746" t="str">
        <v>421050 Comisiones cheques de otras plazas</v>
      </c>
      <c r="DM746" t="str">
        <v>421050 Comisiones cheques de otras plazas</v>
      </c>
      <c r="DN746" t="str">
        <v>421050 Comisiones cheques de otras plazas</v>
      </c>
      <c r="DO746" t="str">
        <v>421050 Comisiones cheques de otras plazas</v>
      </c>
      <c r="DP746" t="str">
        <v>421050 Comisiones cheques de otras plazas</v>
      </c>
    </row>
    <row r="747" spans="4:120" ht="12.75">
      <c r="D747" s="7">
        <v>421055</v>
      </c>
      <c r="E747" s="6" t="s">
        <v>520</v>
      </c>
      <c r="F747" s="5">
        <v>4</v>
      </c>
      <c r="G747" s="34" t="s">
        <v>829</v>
      </c>
      <c r="H747" s="8" t="s">
        <v>56</v>
      </c>
      <c r="I747" t="b">
        <f>+ISNUMBER(SEARCH('F-COMPRA'!$F$28,Tabla11[[#This Row],[Cuenta]],1))</f>
        <v>1</v>
      </c>
      <c r="J747" t="b">
        <f>+ISNUMBER(SEARCH('F-COMPRA'!$F$29,Tabla11[[#This Row],[Cuenta]],1))</f>
        <v>1</v>
      </c>
      <c r="K747" t="b">
        <f>+ISNUMBER(SEARCH('F-COMPRA'!$F$30,Tabla11[[#This Row],[Cuenta]],1))</f>
        <v>1</v>
      </c>
      <c r="L747" t="b">
        <f>+ISNUMBER(SEARCH('F-COMPRA'!$F$31,Tabla11[[#This Row],[Cuenta]],1))</f>
        <v>1</v>
      </c>
      <c r="M747" t="b">
        <f>+ISNUMBER(SEARCH('F-COMPRA'!$G$25,Tabla11[[#This Row],[Cuenta]],1))</f>
        <v>0</v>
      </c>
      <c r="N747" t="b">
        <f>+ISNUMBER(SEARCH(#REF!,Tabla11[[#This Row],[Cuenta]],1))</f>
        <v>0</v>
      </c>
      <c r="O747" t="b">
        <f>+ISNUMBER(SEARCH(#REF!,Tabla11[[#This Row],[Cuenta]],1))</f>
        <v>0</v>
      </c>
      <c r="P747" t="b">
        <f>+ISNUMBER(SEARCH('F-COMPRA'!$F$32,Tabla11[[#This Row],[Cuenta]],1))</f>
        <v>1</v>
      </c>
      <c r="Q747" t="b">
        <f>+ISNUMBER(SEARCH('F-COMPRA'!$F$33,Tabla11[[#This Row],[Cuenta]],1))</f>
        <v>1</v>
      </c>
      <c r="R747" t="b">
        <f>+ISNUMBER(SEARCH('F-COMPRA'!$F$34,Tabla11[[#This Row],[Cuenta]],1))</f>
        <v>1</v>
      </c>
      <c r="S747" t="b">
        <f>+ISNUMBER(SEARCH('F-COMPRA'!$F$35,Tabla11[[#This Row],[Cuenta]],1))</f>
        <v>1</v>
      </c>
      <c r="T747" t="b">
        <f>+ISNUMBER(SEARCH('F-COMPRA'!$F$36,Tabla11[[#This Row],[Cuenta]],1))</f>
        <v>1</v>
      </c>
      <c r="U747" t="b">
        <f>+ISNUMBER(SEARCH('F-COMPRA'!$F$37,Tabla11[[#This Row],[Cuenta]],1))</f>
        <v>1</v>
      </c>
      <c r="V747" t="b">
        <f>+ISNUMBER(SEARCH(#REF!,Tabla11[[#This Row],[Cuenta]],1))</f>
        <v>0</v>
      </c>
      <c r="W747" t="b">
        <f>+ISNUMBER(SEARCH('F-COMPRA'!#REF!,Tabla11[[#This Row],[Cuenta]],1))</f>
        <v>0</v>
      </c>
      <c r="X747" t="b">
        <f>+ISNUMBER(SEARCH('F-COMPRA'!#REF!,Tabla11[[#This Row],[Cuenta]],1))</f>
        <v>0</v>
      </c>
      <c r="Y747" t="b">
        <f>+ISNUMBER(SEARCH('F-COMPRA'!#REF!,Tabla11[[#This Row],[Cuenta]],1))</f>
        <v>0</v>
      </c>
      <c r="Z747" t="b">
        <f>+ISNUMBER(SEARCH('F-COMPRA'!#REF!,Tabla11[[#This Row],[Cuenta]],1))</f>
        <v>0</v>
      </c>
      <c r="AA747" t="b">
        <f>+ISNUMBER(SEARCH('F-COMPRA'!#REF!,Tabla11[[#This Row],[Cuenta]],1))</f>
        <v>0</v>
      </c>
      <c r="AB747" t="b">
        <f>+ISNUMBER(SEARCH('F-COMPRA'!#REF!,Tabla11[[#This Row],[Cuenta]],1))</f>
        <v>0</v>
      </c>
      <c r="AC747" t="b">
        <f>+ISNUMBER(SEARCH('F-COMPRA'!#REF!,Tabla11[[#This Row],[Cuenta]],1))</f>
        <v>0</v>
      </c>
      <c r="AD747" t="b">
        <f>+ISNUMBER(SEARCH('F-COMPRA'!#REF!,Tabla11[[#This Row],[Cuenta]],1))</f>
        <v>0</v>
      </c>
      <c r="AE747" t="b">
        <f>+ISNUMBER(SEARCH('F-COMPRA'!#REF!,Tabla11[[#This Row],[Cuenta]],1))</f>
        <v>0</v>
      </c>
      <c r="AF747" t="b">
        <f>+ISNUMBER(SEARCH('F-VTA'!$G$23,Tabla11[[#This Row],[Cuenta]],1))</f>
        <v>0</v>
      </c>
      <c r="AG747" t="b">
        <f>+ISNUMBER(SEARCH('F-VTA'!$G$24,Tabla11[[#This Row],[Cuenta]],1))</f>
        <v>0</v>
      </c>
      <c r="AH747" t="b">
        <f>+ISNUMBER(SEARCH('F-VTA'!$G$25,Tabla11[[#This Row],[Cuenta]],1))</f>
        <v>0</v>
      </c>
      <c r="AI747" t="b">
        <f>+ISNUMBER(SEARCH('F-VTA'!$F$28,Tabla11[[#This Row],[Cuenta]],1))</f>
        <v>1</v>
      </c>
      <c r="AJ747" t="b">
        <f>+ISNUMBER(SEARCH('F-VTA'!$F$29,Tabla11[[#This Row],[Cuenta]],1))</f>
        <v>1</v>
      </c>
      <c r="AK747" t="b">
        <f>+ISNUMBER(SEARCH('F-VTA'!$F$30,Tabla11[[#This Row],[Cuenta]],1))</f>
        <v>1</v>
      </c>
      <c r="AL747" t="b">
        <f>+ISNUMBER(SEARCH('F-VTA'!$F$31,Tabla11[[#This Row],[Cuenta]],1))</f>
        <v>1</v>
      </c>
      <c r="AM747" t="b">
        <f>+ISNUMBER(SEARCH('F-VTA'!$F$32,Tabla11[[#This Row],[Cuenta]],1))</f>
        <v>1</v>
      </c>
      <c r="AN747" t="b">
        <f>+ISNUMBER(SEARCH('F-VTA'!$F$33,Tabla11[[#This Row],[Cuenta]],1))</f>
        <v>1</v>
      </c>
      <c r="AO747" t="b">
        <f>+ISNUMBER(SEARCH('F-VTA'!$F$34,Tabla11[[#This Row],[Cuenta]],1))</f>
        <v>1</v>
      </c>
      <c r="AP747" t="b">
        <f>+ISNUMBER(SEARCH('F-VTA'!$F$35,Tabla11[[#This Row],[Cuenta]],1))</f>
        <v>1</v>
      </c>
      <c r="AQ747" t="b">
        <f>+ISNUMBER(SEARCH('F-VTA'!$F$36,Tabla11[[#This Row],[Cuenta]],1))</f>
        <v>1</v>
      </c>
      <c r="AR747" t="b">
        <f>+ISNUMBER(SEARCH(#REF!,Tabla11[[#This Row],[Cuenta]],1))</f>
        <v>0</v>
      </c>
      <c r="AS747" t="b">
        <f>+ISNUMBER(SEARCH(#REF!,Tabla11[[#This Row],[Cuenta]],1))</f>
        <v>0</v>
      </c>
      <c r="AT747" t="b">
        <f>+ISNUMBER(SEARCH(#REF!,Tabla11[[#This Row],[Cuenta]],1))</f>
        <v>0</v>
      </c>
      <c r="AU747" t="b">
        <f>+ISNUMBER(SEARCH('Conc. Ban.1'!$I$9,Tabla11[[#This Row],[Cuenta]],1))</f>
        <v>0</v>
      </c>
      <c r="AV747" t="b">
        <f>+ISNUMBER(SEARCH(CompConta!$F$21,Tabla11[[#This Row],[Cuenta]],1))</f>
        <v>1</v>
      </c>
      <c r="AW747" t="b">
        <f>+ISNUMBER(SEARCH(CompConta!$F$22,Tabla11[[#This Row],[Cuenta]],1))</f>
        <v>1</v>
      </c>
      <c r="AX747" t="b">
        <f>+ISNUMBER(SEARCH(CompConta!$F$23,Tabla11[[#This Row],[Cuenta]],1))</f>
        <v>1</v>
      </c>
      <c r="AY747" t="b">
        <f>+ISNUMBER(SEARCH(CompConta!$F$24,Tabla11[[#This Row],[Cuenta]],1))</f>
        <v>1</v>
      </c>
      <c r="AZ747" t="b">
        <f>+ISNUMBER(SEARCH(CompConta!$F$25,Tabla11[[#This Row],[Cuenta]],1))</f>
        <v>1</v>
      </c>
      <c r="BA747" t="b">
        <f>+ISNUMBER(SEARCH(CompConta!$F$26,Tabla11[[#This Row],[Cuenta]],1))</f>
        <v>1</v>
      </c>
      <c r="BB747" t="b">
        <f>+ISNUMBER(SEARCH(CompConta!$F$27,Tabla11[[#This Row],[Cuenta]],1))</f>
        <v>1</v>
      </c>
      <c r="BC747" t="b">
        <f>+ISNUMBER(SEARCH(CompConta!$F$28,Tabla11[[#This Row],[Cuenta]],1))</f>
        <v>1</v>
      </c>
      <c r="BD747" t="b">
        <f>+ISNUMBER(SEARCH(CompConta!$F$29,Tabla11[[#This Row],[Cuenta]],1))</f>
        <v>1</v>
      </c>
      <c r="BE747" t="b">
        <f>+ISNUMBER(SEARCH(CompConta!$F$30,Tabla11[[#This Row],[Cuenta]],1))</f>
        <v>1</v>
      </c>
      <c r="BF747" t="b">
        <f>+ISNUMBER(SEARCH('PAGO Compras'!$E$11,Tabla11[[#This Row],[Cuenta]],1))</f>
        <v>1</v>
      </c>
      <c r="BG747" t="b">
        <f>+ISNUMBER(SEARCH(#REF!,Tabla11[[#This Row],[Cuenta]],1))</f>
        <v>0</v>
      </c>
      <c r="BH747" t="b">
        <f>+ISNUMBER(SEARCH(#REF!,Tabla11[[#This Row],[Cuenta]],1))</f>
        <v>0</v>
      </c>
      <c r="BI747" t="b">
        <f>+ISNUMBER(SEARCH(#REF!,Tabla11[[#This Row],[Cuenta]],1))</f>
        <v>0</v>
      </c>
      <c r="BJ747" t="b">
        <f>+ISNUMBER(SEARCH(#REF!,Tabla11[[#This Row],[Cuenta]],1))</f>
        <v>0</v>
      </c>
      <c r="BS747" t="str">
        <v>421055 Multas y recargos</v>
      </c>
      <c r="BT747" t="str">
        <v>421055 Multas y recargos</v>
      </c>
      <c r="BU747" t="str">
        <v>421055 Multas y recargos</v>
      </c>
      <c r="BV747" t="str">
        <v>421055 Multas y recargos</v>
      </c>
      <c r="BZ747" t="str">
        <v>421055 Multas y recargos</v>
      </c>
      <c r="CA747" t="str">
        <v>421055 Multas y recargos</v>
      </c>
      <c r="CB747" t="str">
        <v>421055 Multas y recargos</v>
      </c>
      <c r="CC747" t="str">
        <v>421055 Multas y recargos</v>
      </c>
      <c r="CD747" t="str">
        <v>421055 Multas y recargos</v>
      </c>
      <c r="CE747" t="str">
        <v>421055 Multas y recargos</v>
      </c>
      <c r="CS747" s="141" t="str">
        <v>421055 Multas y recargos</v>
      </c>
      <c r="CT747" s="141" t="str">
        <v>421055 Multas y recargos</v>
      </c>
      <c r="CU747" s="141" t="str">
        <v>421055 Multas y recargos</v>
      </c>
      <c r="CV747" s="141" t="str">
        <v>421055 Multas y recargos</v>
      </c>
      <c r="CW747" s="141" t="str">
        <v>421055 Multas y recargos</v>
      </c>
      <c r="CX747" s="141" t="str">
        <v>421055 Multas y recargos</v>
      </c>
      <c r="CY747" s="141" t="str">
        <v>421055 Multas y recargos</v>
      </c>
      <c r="CZ747" s="141" t="str">
        <v>421055 Multas y recargos</v>
      </c>
      <c r="DA747" s="141" t="str">
        <v>421055 Multas y recargos</v>
      </c>
      <c r="DF747" t="str">
        <v>421055 Multas y recargos</v>
      </c>
      <c r="DG747" t="str">
        <v>421055 Multas y recargos</v>
      </c>
      <c r="DH747" t="str">
        <v>421055 Multas y recargos</v>
      </c>
      <c r="DI747" t="str">
        <v>421055 Multas y recargos</v>
      </c>
      <c r="DJ747" t="str">
        <v>421055 Multas y recargos</v>
      </c>
      <c r="DK747" t="str">
        <v>421055 Multas y recargos</v>
      </c>
      <c r="DL747" t="str">
        <v>421055 Multas y recargos</v>
      </c>
      <c r="DM747" t="str">
        <v>421055 Multas y recargos</v>
      </c>
      <c r="DN747" t="str">
        <v>421055 Multas y recargos</v>
      </c>
      <c r="DO747" t="str">
        <v>421055 Multas y recargos</v>
      </c>
      <c r="DP747" t="str">
        <v>421055 Multas y recargos</v>
      </c>
    </row>
    <row r="748" spans="4:120" ht="12.75">
      <c r="D748" s="7">
        <v>421060</v>
      </c>
      <c r="E748" s="6" t="s">
        <v>521</v>
      </c>
      <c r="F748" s="5">
        <v>4</v>
      </c>
      <c r="G748" s="34" t="s">
        <v>829</v>
      </c>
      <c r="H748" s="8" t="s">
        <v>56</v>
      </c>
      <c r="I748" t="b">
        <f>+ISNUMBER(SEARCH('F-COMPRA'!$F$28,Tabla11[[#This Row],[Cuenta]],1))</f>
        <v>1</v>
      </c>
      <c r="J748" t="b">
        <f>+ISNUMBER(SEARCH('F-COMPRA'!$F$29,Tabla11[[#This Row],[Cuenta]],1))</f>
        <v>1</v>
      </c>
      <c r="K748" t="b">
        <f>+ISNUMBER(SEARCH('F-COMPRA'!$F$30,Tabla11[[#This Row],[Cuenta]],1))</f>
        <v>1</v>
      </c>
      <c r="L748" t="b">
        <f>+ISNUMBER(SEARCH('F-COMPRA'!$F$31,Tabla11[[#This Row],[Cuenta]],1))</f>
        <v>1</v>
      </c>
      <c r="M748" t="b">
        <f>+ISNUMBER(SEARCH('F-COMPRA'!$G$25,Tabla11[[#This Row],[Cuenta]],1))</f>
        <v>0</v>
      </c>
      <c r="N748" t="b">
        <f>+ISNUMBER(SEARCH(#REF!,Tabla11[[#This Row],[Cuenta]],1))</f>
        <v>0</v>
      </c>
      <c r="O748" t="b">
        <f>+ISNUMBER(SEARCH(#REF!,Tabla11[[#This Row],[Cuenta]],1))</f>
        <v>0</v>
      </c>
      <c r="P748" t="b">
        <f>+ISNUMBER(SEARCH('F-COMPRA'!$F$32,Tabla11[[#This Row],[Cuenta]],1))</f>
        <v>1</v>
      </c>
      <c r="Q748" t="b">
        <f>+ISNUMBER(SEARCH('F-COMPRA'!$F$33,Tabla11[[#This Row],[Cuenta]],1))</f>
        <v>1</v>
      </c>
      <c r="R748" t="b">
        <f>+ISNUMBER(SEARCH('F-COMPRA'!$F$34,Tabla11[[#This Row],[Cuenta]],1))</f>
        <v>1</v>
      </c>
      <c r="S748" t="b">
        <f>+ISNUMBER(SEARCH('F-COMPRA'!$F$35,Tabla11[[#This Row],[Cuenta]],1))</f>
        <v>1</v>
      </c>
      <c r="T748" t="b">
        <f>+ISNUMBER(SEARCH('F-COMPRA'!$F$36,Tabla11[[#This Row],[Cuenta]],1))</f>
        <v>1</v>
      </c>
      <c r="U748" t="b">
        <f>+ISNUMBER(SEARCH('F-COMPRA'!$F$37,Tabla11[[#This Row],[Cuenta]],1))</f>
        <v>1</v>
      </c>
      <c r="V748" t="b">
        <f>+ISNUMBER(SEARCH(#REF!,Tabla11[[#This Row],[Cuenta]],1))</f>
        <v>0</v>
      </c>
      <c r="W748" t="b">
        <f>+ISNUMBER(SEARCH('F-COMPRA'!#REF!,Tabla11[[#This Row],[Cuenta]],1))</f>
        <v>0</v>
      </c>
      <c r="X748" t="b">
        <f>+ISNUMBER(SEARCH('F-COMPRA'!#REF!,Tabla11[[#This Row],[Cuenta]],1))</f>
        <v>0</v>
      </c>
      <c r="Y748" t="b">
        <f>+ISNUMBER(SEARCH('F-COMPRA'!#REF!,Tabla11[[#This Row],[Cuenta]],1))</f>
        <v>0</v>
      </c>
      <c r="Z748" t="b">
        <f>+ISNUMBER(SEARCH('F-COMPRA'!#REF!,Tabla11[[#This Row],[Cuenta]],1))</f>
        <v>0</v>
      </c>
      <c r="AA748" t="b">
        <f>+ISNUMBER(SEARCH('F-COMPRA'!#REF!,Tabla11[[#This Row],[Cuenta]],1))</f>
        <v>0</v>
      </c>
      <c r="AB748" t="b">
        <f>+ISNUMBER(SEARCH('F-COMPRA'!#REF!,Tabla11[[#This Row],[Cuenta]],1))</f>
        <v>0</v>
      </c>
      <c r="AC748" t="b">
        <f>+ISNUMBER(SEARCH('F-COMPRA'!#REF!,Tabla11[[#This Row],[Cuenta]],1))</f>
        <v>0</v>
      </c>
      <c r="AD748" t="b">
        <f>+ISNUMBER(SEARCH('F-COMPRA'!#REF!,Tabla11[[#This Row],[Cuenta]],1))</f>
        <v>0</v>
      </c>
      <c r="AE748" t="b">
        <f>+ISNUMBER(SEARCH('F-COMPRA'!#REF!,Tabla11[[#This Row],[Cuenta]],1))</f>
        <v>0</v>
      </c>
      <c r="AF748" t="b">
        <f>+ISNUMBER(SEARCH('F-VTA'!$G$23,Tabla11[[#This Row],[Cuenta]],1))</f>
        <v>0</v>
      </c>
      <c r="AG748" t="b">
        <f>+ISNUMBER(SEARCH('F-VTA'!$G$24,Tabla11[[#This Row],[Cuenta]],1))</f>
        <v>0</v>
      </c>
      <c r="AH748" t="b">
        <f>+ISNUMBER(SEARCH('F-VTA'!$G$25,Tabla11[[#This Row],[Cuenta]],1))</f>
        <v>0</v>
      </c>
      <c r="AI748" t="b">
        <f>+ISNUMBER(SEARCH('F-VTA'!$F$28,Tabla11[[#This Row],[Cuenta]],1))</f>
        <v>1</v>
      </c>
      <c r="AJ748" t="b">
        <f>+ISNUMBER(SEARCH('F-VTA'!$F$29,Tabla11[[#This Row],[Cuenta]],1))</f>
        <v>1</v>
      </c>
      <c r="AK748" t="b">
        <f>+ISNUMBER(SEARCH('F-VTA'!$F$30,Tabla11[[#This Row],[Cuenta]],1))</f>
        <v>1</v>
      </c>
      <c r="AL748" t="b">
        <f>+ISNUMBER(SEARCH('F-VTA'!$F$31,Tabla11[[#This Row],[Cuenta]],1))</f>
        <v>1</v>
      </c>
      <c r="AM748" t="b">
        <f>+ISNUMBER(SEARCH('F-VTA'!$F$32,Tabla11[[#This Row],[Cuenta]],1))</f>
        <v>1</v>
      </c>
      <c r="AN748" t="b">
        <f>+ISNUMBER(SEARCH('F-VTA'!$F$33,Tabla11[[#This Row],[Cuenta]],1))</f>
        <v>1</v>
      </c>
      <c r="AO748" t="b">
        <f>+ISNUMBER(SEARCH('F-VTA'!$F$34,Tabla11[[#This Row],[Cuenta]],1))</f>
        <v>1</v>
      </c>
      <c r="AP748" t="b">
        <f>+ISNUMBER(SEARCH('F-VTA'!$F$35,Tabla11[[#This Row],[Cuenta]],1))</f>
        <v>1</v>
      </c>
      <c r="AQ748" t="b">
        <f>+ISNUMBER(SEARCH('F-VTA'!$F$36,Tabla11[[#This Row],[Cuenta]],1))</f>
        <v>1</v>
      </c>
      <c r="AR748" t="b">
        <f>+ISNUMBER(SEARCH(#REF!,Tabla11[[#This Row],[Cuenta]],1))</f>
        <v>0</v>
      </c>
      <c r="AS748" t="b">
        <f>+ISNUMBER(SEARCH(#REF!,Tabla11[[#This Row],[Cuenta]],1))</f>
        <v>0</v>
      </c>
      <c r="AT748" t="b">
        <f>+ISNUMBER(SEARCH(#REF!,Tabla11[[#This Row],[Cuenta]],1))</f>
        <v>0</v>
      </c>
      <c r="AU748" t="b">
        <f>+ISNUMBER(SEARCH('Conc. Ban.1'!$I$9,Tabla11[[#This Row],[Cuenta]],1))</f>
        <v>0</v>
      </c>
      <c r="AV748" t="b">
        <f>+ISNUMBER(SEARCH(CompConta!$F$21,Tabla11[[#This Row],[Cuenta]],1))</f>
        <v>1</v>
      </c>
      <c r="AW748" t="b">
        <f>+ISNUMBER(SEARCH(CompConta!$F$22,Tabla11[[#This Row],[Cuenta]],1))</f>
        <v>1</v>
      </c>
      <c r="AX748" t="b">
        <f>+ISNUMBER(SEARCH(CompConta!$F$23,Tabla11[[#This Row],[Cuenta]],1))</f>
        <v>1</v>
      </c>
      <c r="AY748" t="b">
        <f>+ISNUMBER(SEARCH(CompConta!$F$24,Tabla11[[#This Row],[Cuenta]],1))</f>
        <v>1</v>
      </c>
      <c r="AZ748" t="b">
        <f>+ISNUMBER(SEARCH(CompConta!$F$25,Tabla11[[#This Row],[Cuenta]],1))</f>
        <v>1</v>
      </c>
      <c r="BA748" t="b">
        <f>+ISNUMBER(SEARCH(CompConta!$F$26,Tabla11[[#This Row],[Cuenta]],1))</f>
        <v>1</v>
      </c>
      <c r="BB748" t="b">
        <f>+ISNUMBER(SEARCH(CompConta!$F$27,Tabla11[[#This Row],[Cuenta]],1))</f>
        <v>1</v>
      </c>
      <c r="BC748" t="b">
        <f>+ISNUMBER(SEARCH(CompConta!$F$28,Tabla11[[#This Row],[Cuenta]],1))</f>
        <v>1</v>
      </c>
      <c r="BD748" t="b">
        <f>+ISNUMBER(SEARCH(CompConta!$F$29,Tabla11[[#This Row],[Cuenta]],1))</f>
        <v>1</v>
      </c>
      <c r="BE748" t="b">
        <f>+ISNUMBER(SEARCH(CompConta!$F$30,Tabla11[[#This Row],[Cuenta]],1))</f>
        <v>1</v>
      </c>
      <c r="BF748" t="b">
        <f>+ISNUMBER(SEARCH('PAGO Compras'!$E$11,Tabla11[[#This Row],[Cuenta]],1))</f>
        <v>1</v>
      </c>
      <c r="BG748" t="b">
        <f>+ISNUMBER(SEARCH(#REF!,Tabla11[[#This Row],[Cuenta]],1))</f>
        <v>0</v>
      </c>
      <c r="BH748" t="b">
        <f>+ISNUMBER(SEARCH(#REF!,Tabla11[[#This Row],[Cuenta]],1))</f>
        <v>0</v>
      </c>
      <c r="BI748" t="b">
        <f>+ISNUMBER(SEARCH(#REF!,Tabla11[[#This Row],[Cuenta]],1))</f>
        <v>0</v>
      </c>
      <c r="BJ748" t="b">
        <f>+ISNUMBER(SEARCH(#REF!,Tabla11[[#This Row],[Cuenta]],1))</f>
        <v>0</v>
      </c>
      <c r="BS748" t="str">
        <v>421060 Sanciones cheques devueltos</v>
      </c>
      <c r="BT748" t="str">
        <v>421060 Sanciones cheques devueltos</v>
      </c>
      <c r="BU748" t="str">
        <v>421060 Sanciones cheques devueltos</v>
      </c>
      <c r="BV748" t="str">
        <v>421060 Sanciones cheques devueltos</v>
      </c>
      <c r="BZ748" t="str">
        <v>421060 Sanciones cheques devueltos</v>
      </c>
      <c r="CA748" t="str">
        <v>421060 Sanciones cheques devueltos</v>
      </c>
      <c r="CB748" t="str">
        <v>421060 Sanciones cheques devueltos</v>
      </c>
      <c r="CC748" t="str">
        <v>421060 Sanciones cheques devueltos</v>
      </c>
      <c r="CD748" t="str">
        <v>421060 Sanciones cheques devueltos</v>
      </c>
      <c r="CE748" t="str">
        <v>421060 Sanciones cheques devueltos</v>
      </c>
      <c r="CS748" s="141" t="str">
        <v>421060 Sanciones cheques devueltos</v>
      </c>
      <c r="CT748" s="141" t="str">
        <v>421060 Sanciones cheques devueltos</v>
      </c>
      <c r="CU748" s="141" t="str">
        <v>421060 Sanciones cheques devueltos</v>
      </c>
      <c r="CV748" s="141" t="str">
        <v>421060 Sanciones cheques devueltos</v>
      </c>
      <c r="CW748" s="141" t="str">
        <v>421060 Sanciones cheques devueltos</v>
      </c>
      <c r="CX748" s="141" t="str">
        <v>421060 Sanciones cheques devueltos</v>
      </c>
      <c r="CY748" s="141" t="str">
        <v>421060 Sanciones cheques devueltos</v>
      </c>
      <c r="CZ748" s="141" t="str">
        <v>421060 Sanciones cheques devueltos</v>
      </c>
      <c r="DA748" s="141" t="str">
        <v>421060 Sanciones cheques devueltos</v>
      </c>
      <c r="DF748" t="str">
        <v>421060 Sanciones cheques devueltos</v>
      </c>
      <c r="DG748" t="str">
        <v>421060 Sanciones cheques devueltos</v>
      </c>
      <c r="DH748" t="str">
        <v>421060 Sanciones cheques devueltos</v>
      </c>
      <c r="DI748" t="str">
        <v>421060 Sanciones cheques devueltos</v>
      </c>
      <c r="DJ748" t="str">
        <v>421060 Sanciones cheques devueltos</v>
      </c>
      <c r="DK748" t="str">
        <v>421060 Sanciones cheques devueltos</v>
      </c>
      <c r="DL748" t="str">
        <v>421060 Sanciones cheques devueltos</v>
      </c>
      <c r="DM748" t="str">
        <v>421060 Sanciones cheques devueltos</v>
      </c>
      <c r="DN748" t="str">
        <v>421060 Sanciones cheques devueltos</v>
      </c>
      <c r="DO748" t="str">
        <v>421060 Sanciones cheques devueltos</v>
      </c>
      <c r="DP748" t="str">
        <v>421060 Sanciones cheques devueltos</v>
      </c>
    </row>
    <row r="749" spans="4:120" ht="12.75">
      <c r="D749" s="7">
        <v>421095</v>
      </c>
      <c r="E749" s="6" t="s">
        <v>45</v>
      </c>
      <c r="F749" s="5">
        <v>4</v>
      </c>
      <c r="G749" s="34" t="s">
        <v>829</v>
      </c>
      <c r="H749" s="8" t="s">
        <v>56</v>
      </c>
      <c r="I749" t="b">
        <f>+ISNUMBER(SEARCH('F-COMPRA'!$F$28,Tabla11[[#This Row],[Cuenta]],1))</f>
        <v>1</v>
      </c>
      <c r="J749" t="b">
        <f>+ISNUMBER(SEARCH('F-COMPRA'!$F$29,Tabla11[[#This Row],[Cuenta]],1))</f>
        <v>1</v>
      </c>
      <c r="K749" t="b">
        <f>+ISNUMBER(SEARCH('F-COMPRA'!$F$30,Tabla11[[#This Row],[Cuenta]],1))</f>
        <v>1</v>
      </c>
      <c r="L749" t="b">
        <f>+ISNUMBER(SEARCH('F-COMPRA'!$F$31,Tabla11[[#This Row],[Cuenta]],1))</f>
        <v>1</v>
      </c>
      <c r="M749" t="b">
        <f>+ISNUMBER(SEARCH('F-COMPRA'!$G$25,Tabla11[[#This Row],[Cuenta]],1))</f>
        <v>0</v>
      </c>
      <c r="N749" t="b">
        <f>+ISNUMBER(SEARCH(#REF!,Tabla11[[#This Row],[Cuenta]],1))</f>
        <v>0</v>
      </c>
      <c r="O749" t="b">
        <f>+ISNUMBER(SEARCH(#REF!,Tabla11[[#This Row],[Cuenta]],1))</f>
        <v>0</v>
      </c>
      <c r="P749" t="b">
        <f>+ISNUMBER(SEARCH('F-COMPRA'!$F$32,Tabla11[[#This Row],[Cuenta]],1))</f>
        <v>1</v>
      </c>
      <c r="Q749" t="b">
        <f>+ISNUMBER(SEARCH('F-COMPRA'!$F$33,Tabla11[[#This Row],[Cuenta]],1))</f>
        <v>1</v>
      </c>
      <c r="R749" t="b">
        <f>+ISNUMBER(SEARCH('F-COMPRA'!$F$34,Tabla11[[#This Row],[Cuenta]],1))</f>
        <v>1</v>
      </c>
      <c r="S749" t="b">
        <f>+ISNUMBER(SEARCH('F-COMPRA'!$F$35,Tabla11[[#This Row],[Cuenta]],1))</f>
        <v>1</v>
      </c>
      <c r="T749" t="b">
        <f>+ISNUMBER(SEARCH('F-COMPRA'!$F$36,Tabla11[[#This Row],[Cuenta]],1))</f>
        <v>1</v>
      </c>
      <c r="U749" t="b">
        <f>+ISNUMBER(SEARCH('F-COMPRA'!$F$37,Tabla11[[#This Row],[Cuenta]],1))</f>
        <v>1</v>
      </c>
      <c r="V749" t="b">
        <f>+ISNUMBER(SEARCH(#REF!,Tabla11[[#This Row],[Cuenta]],1))</f>
        <v>0</v>
      </c>
      <c r="W749" t="b">
        <f>+ISNUMBER(SEARCH('F-COMPRA'!#REF!,Tabla11[[#This Row],[Cuenta]],1))</f>
        <v>0</v>
      </c>
      <c r="X749" t="b">
        <f>+ISNUMBER(SEARCH('F-COMPRA'!#REF!,Tabla11[[#This Row],[Cuenta]],1))</f>
        <v>0</v>
      </c>
      <c r="Y749" t="b">
        <f>+ISNUMBER(SEARCH('F-COMPRA'!#REF!,Tabla11[[#This Row],[Cuenta]],1))</f>
        <v>0</v>
      </c>
      <c r="Z749" t="b">
        <f>+ISNUMBER(SEARCH('F-COMPRA'!#REF!,Tabla11[[#This Row],[Cuenta]],1))</f>
        <v>0</v>
      </c>
      <c r="AA749" t="b">
        <f>+ISNUMBER(SEARCH('F-COMPRA'!#REF!,Tabla11[[#This Row],[Cuenta]],1))</f>
        <v>0</v>
      </c>
      <c r="AB749" t="b">
        <f>+ISNUMBER(SEARCH('F-COMPRA'!#REF!,Tabla11[[#This Row],[Cuenta]],1))</f>
        <v>0</v>
      </c>
      <c r="AC749" t="b">
        <f>+ISNUMBER(SEARCH('F-COMPRA'!#REF!,Tabla11[[#This Row],[Cuenta]],1))</f>
        <v>0</v>
      </c>
      <c r="AD749" t="b">
        <f>+ISNUMBER(SEARCH('F-COMPRA'!#REF!,Tabla11[[#This Row],[Cuenta]],1))</f>
        <v>0</v>
      </c>
      <c r="AE749" t="b">
        <f>+ISNUMBER(SEARCH('F-COMPRA'!#REF!,Tabla11[[#This Row],[Cuenta]],1))</f>
        <v>0</v>
      </c>
      <c r="AF749" t="b">
        <f>+ISNUMBER(SEARCH('F-VTA'!$G$23,Tabla11[[#This Row],[Cuenta]],1))</f>
        <v>0</v>
      </c>
      <c r="AG749" t="b">
        <f>+ISNUMBER(SEARCH('F-VTA'!$G$24,Tabla11[[#This Row],[Cuenta]],1))</f>
        <v>0</v>
      </c>
      <c r="AH749" t="b">
        <f>+ISNUMBER(SEARCH('F-VTA'!$G$25,Tabla11[[#This Row],[Cuenta]],1))</f>
        <v>0</v>
      </c>
      <c r="AI749" t="b">
        <f>+ISNUMBER(SEARCH('F-VTA'!$F$28,Tabla11[[#This Row],[Cuenta]],1))</f>
        <v>1</v>
      </c>
      <c r="AJ749" t="b">
        <f>+ISNUMBER(SEARCH('F-VTA'!$F$29,Tabla11[[#This Row],[Cuenta]],1))</f>
        <v>1</v>
      </c>
      <c r="AK749" t="b">
        <f>+ISNUMBER(SEARCH('F-VTA'!$F$30,Tabla11[[#This Row],[Cuenta]],1))</f>
        <v>1</v>
      </c>
      <c r="AL749" t="b">
        <f>+ISNUMBER(SEARCH('F-VTA'!$F$31,Tabla11[[#This Row],[Cuenta]],1))</f>
        <v>1</v>
      </c>
      <c r="AM749" t="b">
        <f>+ISNUMBER(SEARCH('F-VTA'!$F$32,Tabla11[[#This Row],[Cuenta]],1))</f>
        <v>1</v>
      </c>
      <c r="AN749" t="b">
        <f>+ISNUMBER(SEARCH('F-VTA'!$F$33,Tabla11[[#This Row],[Cuenta]],1))</f>
        <v>1</v>
      </c>
      <c r="AO749" t="b">
        <f>+ISNUMBER(SEARCH('F-VTA'!$F$34,Tabla11[[#This Row],[Cuenta]],1))</f>
        <v>1</v>
      </c>
      <c r="AP749" t="b">
        <f>+ISNUMBER(SEARCH('F-VTA'!$F$35,Tabla11[[#This Row],[Cuenta]],1))</f>
        <v>1</v>
      </c>
      <c r="AQ749" t="b">
        <f>+ISNUMBER(SEARCH('F-VTA'!$F$36,Tabla11[[#This Row],[Cuenta]],1))</f>
        <v>1</v>
      </c>
      <c r="AR749" t="b">
        <f>+ISNUMBER(SEARCH(#REF!,Tabla11[[#This Row],[Cuenta]],1))</f>
        <v>0</v>
      </c>
      <c r="AS749" t="b">
        <f>+ISNUMBER(SEARCH(#REF!,Tabla11[[#This Row],[Cuenta]],1))</f>
        <v>0</v>
      </c>
      <c r="AT749" t="b">
        <f>+ISNUMBER(SEARCH(#REF!,Tabla11[[#This Row],[Cuenta]],1))</f>
        <v>0</v>
      </c>
      <c r="AU749" t="b">
        <f>+ISNUMBER(SEARCH('Conc. Ban.1'!$I$9,Tabla11[[#This Row],[Cuenta]],1))</f>
        <v>0</v>
      </c>
      <c r="AV749" t="b">
        <f>+ISNUMBER(SEARCH(CompConta!$F$21,Tabla11[[#This Row],[Cuenta]],1))</f>
        <v>1</v>
      </c>
      <c r="AW749" t="b">
        <f>+ISNUMBER(SEARCH(CompConta!$F$22,Tabla11[[#This Row],[Cuenta]],1))</f>
        <v>1</v>
      </c>
      <c r="AX749" t="b">
        <f>+ISNUMBER(SEARCH(CompConta!$F$23,Tabla11[[#This Row],[Cuenta]],1))</f>
        <v>1</v>
      </c>
      <c r="AY749" t="b">
        <f>+ISNUMBER(SEARCH(CompConta!$F$24,Tabla11[[#This Row],[Cuenta]],1))</f>
        <v>1</v>
      </c>
      <c r="AZ749" t="b">
        <f>+ISNUMBER(SEARCH(CompConta!$F$25,Tabla11[[#This Row],[Cuenta]],1))</f>
        <v>1</v>
      </c>
      <c r="BA749" t="b">
        <f>+ISNUMBER(SEARCH(CompConta!$F$26,Tabla11[[#This Row],[Cuenta]],1))</f>
        <v>1</v>
      </c>
      <c r="BB749" t="b">
        <f>+ISNUMBER(SEARCH(CompConta!$F$27,Tabla11[[#This Row],[Cuenta]],1))</f>
        <v>1</v>
      </c>
      <c r="BC749" t="b">
        <f>+ISNUMBER(SEARCH(CompConta!$F$28,Tabla11[[#This Row],[Cuenta]],1))</f>
        <v>1</v>
      </c>
      <c r="BD749" t="b">
        <f>+ISNUMBER(SEARCH(CompConta!$F$29,Tabla11[[#This Row],[Cuenta]],1))</f>
        <v>1</v>
      </c>
      <c r="BE749" t="b">
        <f>+ISNUMBER(SEARCH(CompConta!$F$30,Tabla11[[#This Row],[Cuenta]],1))</f>
        <v>1</v>
      </c>
      <c r="BF749" t="b">
        <f>+ISNUMBER(SEARCH('PAGO Compras'!$E$11,Tabla11[[#This Row],[Cuenta]],1))</f>
        <v>1</v>
      </c>
      <c r="BG749" t="b">
        <f>+ISNUMBER(SEARCH(#REF!,Tabla11[[#This Row],[Cuenta]],1))</f>
        <v>0</v>
      </c>
      <c r="BH749" t="b">
        <f>+ISNUMBER(SEARCH(#REF!,Tabla11[[#This Row],[Cuenta]],1))</f>
        <v>0</v>
      </c>
      <c r="BI749" t="b">
        <f>+ISNUMBER(SEARCH(#REF!,Tabla11[[#This Row],[Cuenta]],1))</f>
        <v>0</v>
      </c>
      <c r="BJ749" t="b">
        <f>+ISNUMBER(SEARCH(#REF!,Tabla11[[#This Row],[Cuenta]],1))</f>
        <v>0</v>
      </c>
      <c r="BS749" t="str">
        <v>421095 Otros</v>
      </c>
      <c r="BT749" t="str">
        <v>421095 Otros</v>
      </c>
      <c r="BU749" t="str">
        <v>421095 Otros</v>
      </c>
      <c r="BV749" t="str">
        <v>421095 Otros</v>
      </c>
      <c r="BZ749" t="str">
        <v>421095 Otros</v>
      </c>
      <c r="CA749" t="str">
        <v>421095 Otros</v>
      </c>
      <c r="CB749" t="str">
        <v>421095 Otros</v>
      </c>
      <c r="CC749" t="str">
        <v>421095 Otros</v>
      </c>
      <c r="CD749" t="str">
        <v>421095 Otros</v>
      </c>
      <c r="CE749" t="str">
        <v>421095 Otros</v>
      </c>
      <c r="CS749" s="141" t="str">
        <v>421095 Otros</v>
      </c>
      <c r="CT749" s="141" t="str">
        <v>421095 Otros</v>
      </c>
      <c r="CU749" s="141" t="str">
        <v>421095 Otros</v>
      </c>
      <c r="CV749" s="141" t="str">
        <v>421095 Otros</v>
      </c>
      <c r="CW749" s="141" t="str">
        <v>421095 Otros</v>
      </c>
      <c r="CX749" s="141" t="str">
        <v>421095 Otros</v>
      </c>
      <c r="CY749" s="141" t="str">
        <v>421095 Otros</v>
      </c>
      <c r="CZ749" s="141" t="str">
        <v>421095 Otros</v>
      </c>
      <c r="DA749" s="141" t="str">
        <v>421095 Otros</v>
      </c>
      <c r="DF749" t="str">
        <v>421095 Otros</v>
      </c>
      <c r="DG749" t="str">
        <v>421095 Otros</v>
      </c>
      <c r="DH749" t="str">
        <v>421095 Otros</v>
      </c>
      <c r="DI749" t="str">
        <v>421095 Otros</v>
      </c>
      <c r="DJ749" t="str">
        <v>421095 Otros</v>
      </c>
      <c r="DK749" t="str">
        <v>421095 Otros</v>
      </c>
      <c r="DL749" t="str">
        <v>421095 Otros</v>
      </c>
      <c r="DM749" t="str">
        <v>421095 Otros</v>
      </c>
      <c r="DN749" t="str">
        <v>421095 Otros</v>
      </c>
      <c r="DO749" t="str">
        <v>421095 Otros</v>
      </c>
      <c r="DP749" t="str">
        <v>421095 Otros</v>
      </c>
    </row>
    <row r="750" spans="4:120" ht="12.75">
      <c r="D750" s="7">
        <v>421099</v>
      </c>
      <c r="E750" s="6" t="s">
        <v>93</v>
      </c>
      <c r="F750" s="5">
        <v>4</v>
      </c>
      <c r="G750" s="34" t="s">
        <v>829</v>
      </c>
      <c r="H750" s="8" t="s">
        <v>56</v>
      </c>
      <c r="I750" t="b">
        <f>+ISNUMBER(SEARCH('F-COMPRA'!$F$28,Tabla11[[#This Row],[Cuenta]],1))</f>
        <v>1</v>
      </c>
      <c r="J750" t="b">
        <f>+ISNUMBER(SEARCH('F-COMPRA'!$F$29,Tabla11[[#This Row],[Cuenta]],1))</f>
        <v>1</v>
      </c>
      <c r="K750" t="b">
        <f>+ISNUMBER(SEARCH('F-COMPRA'!$F$30,Tabla11[[#This Row],[Cuenta]],1))</f>
        <v>1</v>
      </c>
      <c r="L750" t="b">
        <f>+ISNUMBER(SEARCH('F-COMPRA'!$F$31,Tabla11[[#This Row],[Cuenta]],1))</f>
        <v>1</v>
      </c>
      <c r="M750" t="b">
        <f>+ISNUMBER(SEARCH('F-COMPRA'!$G$25,Tabla11[[#This Row],[Cuenta]],1))</f>
        <v>0</v>
      </c>
      <c r="N750" t="b">
        <f>+ISNUMBER(SEARCH(#REF!,Tabla11[[#This Row],[Cuenta]],1))</f>
        <v>0</v>
      </c>
      <c r="O750" t="b">
        <f>+ISNUMBER(SEARCH(#REF!,Tabla11[[#This Row],[Cuenta]],1))</f>
        <v>0</v>
      </c>
      <c r="P750" t="b">
        <f>+ISNUMBER(SEARCH('F-COMPRA'!$F$32,Tabla11[[#This Row],[Cuenta]],1))</f>
        <v>1</v>
      </c>
      <c r="Q750" t="b">
        <f>+ISNUMBER(SEARCH('F-COMPRA'!$F$33,Tabla11[[#This Row],[Cuenta]],1))</f>
        <v>1</v>
      </c>
      <c r="R750" t="b">
        <f>+ISNUMBER(SEARCH('F-COMPRA'!$F$34,Tabla11[[#This Row],[Cuenta]],1))</f>
        <v>1</v>
      </c>
      <c r="S750" t="b">
        <f>+ISNUMBER(SEARCH('F-COMPRA'!$F$35,Tabla11[[#This Row],[Cuenta]],1))</f>
        <v>1</v>
      </c>
      <c r="T750" t="b">
        <f>+ISNUMBER(SEARCH('F-COMPRA'!$F$36,Tabla11[[#This Row],[Cuenta]],1))</f>
        <v>1</v>
      </c>
      <c r="U750" t="b">
        <f>+ISNUMBER(SEARCH('F-COMPRA'!$F$37,Tabla11[[#This Row],[Cuenta]],1))</f>
        <v>1</v>
      </c>
      <c r="V750" t="b">
        <f>+ISNUMBER(SEARCH(#REF!,Tabla11[[#This Row],[Cuenta]],1))</f>
        <v>0</v>
      </c>
      <c r="W750" t="b">
        <f>+ISNUMBER(SEARCH('F-COMPRA'!#REF!,Tabla11[[#This Row],[Cuenta]],1))</f>
        <v>0</v>
      </c>
      <c r="X750" t="b">
        <f>+ISNUMBER(SEARCH('F-COMPRA'!#REF!,Tabla11[[#This Row],[Cuenta]],1))</f>
        <v>0</v>
      </c>
      <c r="Y750" t="b">
        <f>+ISNUMBER(SEARCH('F-COMPRA'!#REF!,Tabla11[[#This Row],[Cuenta]],1))</f>
        <v>0</v>
      </c>
      <c r="Z750" t="b">
        <f>+ISNUMBER(SEARCH('F-COMPRA'!#REF!,Tabla11[[#This Row],[Cuenta]],1))</f>
        <v>0</v>
      </c>
      <c r="AA750" t="b">
        <f>+ISNUMBER(SEARCH('F-COMPRA'!#REF!,Tabla11[[#This Row],[Cuenta]],1))</f>
        <v>0</v>
      </c>
      <c r="AB750" t="b">
        <f>+ISNUMBER(SEARCH('F-COMPRA'!#REF!,Tabla11[[#This Row],[Cuenta]],1))</f>
        <v>0</v>
      </c>
      <c r="AC750" t="b">
        <f>+ISNUMBER(SEARCH('F-COMPRA'!#REF!,Tabla11[[#This Row],[Cuenta]],1))</f>
        <v>0</v>
      </c>
      <c r="AD750" t="b">
        <f>+ISNUMBER(SEARCH('F-COMPRA'!#REF!,Tabla11[[#This Row],[Cuenta]],1))</f>
        <v>0</v>
      </c>
      <c r="AE750" t="b">
        <f>+ISNUMBER(SEARCH('F-COMPRA'!#REF!,Tabla11[[#This Row],[Cuenta]],1))</f>
        <v>0</v>
      </c>
      <c r="AF750" t="b">
        <f>+ISNUMBER(SEARCH('F-VTA'!$G$23,Tabla11[[#This Row],[Cuenta]],1))</f>
        <v>0</v>
      </c>
      <c r="AG750" t="b">
        <f>+ISNUMBER(SEARCH('F-VTA'!$G$24,Tabla11[[#This Row],[Cuenta]],1))</f>
        <v>0</v>
      </c>
      <c r="AH750" t="b">
        <f>+ISNUMBER(SEARCH('F-VTA'!$G$25,Tabla11[[#This Row],[Cuenta]],1))</f>
        <v>0</v>
      </c>
      <c r="AI750" t="b">
        <f>+ISNUMBER(SEARCH('F-VTA'!$F$28,Tabla11[[#This Row],[Cuenta]],1))</f>
        <v>1</v>
      </c>
      <c r="AJ750" t="b">
        <f>+ISNUMBER(SEARCH('F-VTA'!$F$29,Tabla11[[#This Row],[Cuenta]],1))</f>
        <v>1</v>
      </c>
      <c r="AK750" t="b">
        <f>+ISNUMBER(SEARCH('F-VTA'!$F$30,Tabla11[[#This Row],[Cuenta]],1))</f>
        <v>1</v>
      </c>
      <c r="AL750" t="b">
        <f>+ISNUMBER(SEARCH('F-VTA'!$F$31,Tabla11[[#This Row],[Cuenta]],1))</f>
        <v>1</v>
      </c>
      <c r="AM750" t="b">
        <f>+ISNUMBER(SEARCH('F-VTA'!$F$32,Tabla11[[#This Row],[Cuenta]],1))</f>
        <v>1</v>
      </c>
      <c r="AN750" t="b">
        <f>+ISNUMBER(SEARCH('F-VTA'!$F$33,Tabla11[[#This Row],[Cuenta]],1))</f>
        <v>1</v>
      </c>
      <c r="AO750" t="b">
        <f>+ISNUMBER(SEARCH('F-VTA'!$F$34,Tabla11[[#This Row],[Cuenta]],1))</f>
        <v>1</v>
      </c>
      <c r="AP750" t="b">
        <f>+ISNUMBER(SEARCH('F-VTA'!$F$35,Tabla11[[#This Row],[Cuenta]],1))</f>
        <v>1</v>
      </c>
      <c r="AQ750" t="b">
        <f>+ISNUMBER(SEARCH('F-VTA'!$F$36,Tabla11[[#This Row],[Cuenta]],1))</f>
        <v>1</v>
      </c>
      <c r="AR750" t="b">
        <f>+ISNUMBER(SEARCH(#REF!,Tabla11[[#This Row],[Cuenta]],1))</f>
        <v>0</v>
      </c>
      <c r="AS750" t="b">
        <f>+ISNUMBER(SEARCH(#REF!,Tabla11[[#This Row],[Cuenta]],1))</f>
        <v>0</v>
      </c>
      <c r="AT750" t="b">
        <f>+ISNUMBER(SEARCH(#REF!,Tabla11[[#This Row],[Cuenta]],1))</f>
        <v>0</v>
      </c>
      <c r="AU750" t="b">
        <f>+ISNUMBER(SEARCH('Conc. Ban.1'!$I$9,Tabla11[[#This Row],[Cuenta]],1))</f>
        <v>0</v>
      </c>
      <c r="AV750" t="b">
        <f>+ISNUMBER(SEARCH(CompConta!$F$21,Tabla11[[#This Row],[Cuenta]],1))</f>
        <v>1</v>
      </c>
      <c r="AW750" t="b">
        <f>+ISNUMBER(SEARCH(CompConta!$F$22,Tabla11[[#This Row],[Cuenta]],1))</f>
        <v>1</v>
      </c>
      <c r="AX750" t="b">
        <f>+ISNUMBER(SEARCH(CompConta!$F$23,Tabla11[[#This Row],[Cuenta]],1))</f>
        <v>1</v>
      </c>
      <c r="AY750" t="b">
        <f>+ISNUMBER(SEARCH(CompConta!$F$24,Tabla11[[#This Row],[Cuenta]],1))</f>
        <v>1</v>
      </c>
      <c r="AZ750" t="b">
        <f>+ISNUMBER(SEARCH(CompConta!$F$25,Tabla11[[#This Row],[Cuenta]],1))</f>
        <v>1</v>
      </c>
      <c r="BA750" t="b">
        <f>+ISNUMBER(SEARCH(CompConta!$F$26,Tabla11[[#This Row],[Cuenta]],1))</f>
        <v>1</v>
      </c>
      <c r="BB750" t="b">
        <f>+ISNUMBER(SEARCH(CompConta!$F$27,Tabla11[[#This Row],[Cuenta]],1))</f>
        <v>1</v>
      </c>
      <c r="BC750" t="b">
        <f>+ISNUMBER(SEARCH(CompConta!$F$28,Tabla11[[#This Row],[Cuenta]],1))</f>
        <v>1</v>
      </c>
      <c r="BD750" t="b">
        <f>+ISNUMBER(SEARCH(CompConta!$F$29,Tabla11[[#This Row],[Cuenta]],1))</f>
        <v>1</v>
      </c>
      <c r="BE750" t="b">
        <f>+ISNUMBER(SEARCH(CompConta!$F$30,Tabla11[[#This Row],[Cuenta]],1))</f>
        <v>1</v>
      </c>
      <c r="BF750" t="b">
        <f>+ISNUMBER(SEARCH('PAGO Compras'!$E$11,Tabla11[[#This Row],[Cuenta]],1))</f>
        <v>1</v>
      </c>
      <c r="BG750" t="b">
        <f>+ISNUMBER(SEARCH(#REF!,Tabla11[[#This Row],[Cuenta]],1))</f>
        <v>0</v>
      </c>
      <c r="BH750" t="b">
        <f>+ISNUMBER(SEARCH(#REF!,Tabla11[[#This Row],[Cuenta]],1))</f>
        <v>0</v>
      </c>
      <c r="BI750" t="b">
        <f>+ISNUMBER(SEARCH(#REF!,Tabla11[[#This Row],[Cuenta]],1))</f>
        <v>0</v>
      </c>
      <c r="BJ750" t="b">
        <f>+ISNUMBER(SEARCH(#REF!,Tabla11[[#This Row],[Cuenta]],1))</f>
        <v>0</v>
      </c>
      <c r="BS750" t="str">
        <v>421099 *Ajustes por inflación</v>
      </c>
      <c r="BT750" t="str">
        <v>421099 *Ajustes por inflación</v>
      </c>
      <c r="BU750" t="str">
        <v>421099 *Ajustes por inflación</v>
      </c>
      <c r="BV750" t="str">
        <v>421099 *Ajustes por inflación</v>
      </c>
      <c r="BZ750" t="str">
        <v>421099 *Ajustes por inflación</v>
      </c>
      <c r="CA750" t="str">
        <v>421099 *Ajustes por inflación</v>
      </c>
      <c r="CB750" t="str">
        <v>421099 *Ajustes por inflación</v>
      </c>
      <c r="CC750" t="str">
        <v>421099 *Ajustes por inflación</v>
      </c>
      <c r="CD750" t="str">
        <v>421099 *Ajustes por inflación</v>
      </c>
      <c r="CE750" t="str">
        <v>421099 *Ajustes por inflación</v>
      </c>
      <c r="CS750" s="141" t="str">
        <v>421099 *Ajustes por inflación</v>
      </c>
      <c r="CT750" s="141" t="str">
        <v>421099 *Ajustes por inflación</v>
      </c>
      <c r="CU750" s="141" t="str">
        <v>421099 *Ajustes por inflación</v>
      </c>
      <c r="CV750" s="141" t="str">
        <v>421099 *Ajustes por inflación</v>
      </c>
      <c r="CW750" s="141" t="str">
        <v>421099 *Ajustes por inflación</v>
      </c>
      <c r="CX750" s="141" t="str">
        <v>421099 *Ajustes por inflación</v>
      </c>
      <c r="CY750" s="141" t="str">
        <v>421099 *Ajustes por inflación</v>
      </c>
      <c r="CZ750" s="141" t="str">
        <v>421099 *Ajustes por inflación</v>
      </c>
      <c r="DA750" s="141" t="str">
        <v>421099 *Ajustes por inflación</v>
      </c>
      <c r="DF750" t="str">
        <v>421099 *Ajustes por inflación</v>
      </c>
      <c r="DG750" t="str">
        <v>421099 *Ajustes por inflación</v>
      </c>
      <c r="DH750" t="str">
        <v>421099 *Ajustes por inflación</v>
      </c>
      <c r="DI750" t="str">
        <v>421099 *Ajustes por inflación</v>
      </c>
      <c r="DJ750" t="str">
        <v>421099 *Ajustes por inflación</v>
      </c>
      <c r="DK750" t="str">
        <v>421099 *Ajustes por inflación</v>
      </c>
      <c r="DL750" t="str">
        <v>421099 *Ajustes por inflación</v>
      </c>
      <c r="DM750" t="str">
        <v>421099 *Ajustes por inflación</v>
      </c>
      <c r="DN750" t="str">
        <v>421099 *Ajustes por inflación</v>
      </c>
      <c r="DO750" t="str">
        <v>421099 *Ajustes por inflación</v>
      </c>
      <c r="DP750" t="str">
        <v>421099 *Ajustes por inflación</v>
      </c>
    </row>
    <row r="751" spans="4:120" ht="12.75">
      <c r="D751" s="7">
        <v>4215</v>
      </c>
      <c r="E751" s="6" t="s">
        <v>522</v>
      </c>
      <c r="F751" s="5">
        <v>3</v>
      </c>
      <c r="G751" s="34" t="s">
        <v>829</v>
      </c>
      <c r="H751" s="8" t="s">
        <v>56</v>
      </c>
      <c r="I751" t="b">
        <f>+ISNUMBER(SEARCH('F-COMPRA'!$F$28,Tabla11[[#This Row],[Cuenta]],1))</f>
        <v>1</v>
      </c>
      <c r="J751" t="b">
        <f>+ISNUMBER(SEARCH('F-COMPRA'!$F$29,Tabla11[[#This Row],[Cuenta]],1))</f>
        <v>1</v>
      </c>
      <c r="K751" t="b">
        <f>+ISNUMBER(SEARCH('F-COMPRA'!$F$30,Tabla11[[#This Row],[Cuenta]],1))</f>
        <v>1</v>
      </c>
      <c r="L751" t="b">
        <f>+ISNUMBER(SEARCH('F-COMPRA'!$F$31,Tabla11[[#This Row],[Cuenta]],1))</f>
        <v>1</v>
      </c>
      <c r="M751" t="b">
        <f>+ISNUMBER(SEARCH('F-COMPRA'!$G$25,Tabla11[[#This Row],[Cuenta]],1))</f>
        <v>0</v>
      </c>
      <c r="N751" t="b">
        <f>+ISNUMBER(SEARCH(#REF!,Tabla11[[#This Row],[Cuenta]],1))</f>
        <v>0</v>
      </c>
      <c r="O751" t="b">
        <f>+ISNUMBER(SEARCH(#REF!,Tabla11[[#This Row],[Cuenta]],1))</f>
        <v>0</v>
      </c>
      <c r="P751" t="b">
        <f>+ISNUMBER(SEARCH('F-COMPRA'!$F$32,Tabla11[[#This Row],[Cuenta]],1))</f>
        <v>1</v>
      </c>
      <c r="Q751" t="b">
        <f>+ISNUMBER(SEARCH('F-COMPRA'!$F$33,Tabla11[[#This Row],[Cuenta]],1))</f>
        <v>1</v>
      </c>
      <c r="R751" t="b">
        <f>+ISNUMBER(SEARCH('F-COMPRA'!$F$34,Tabla11[[#This Row],[Cuenta]],1))</f>
        <v>1</v>
      </c>
      <c r="S751" t="b">
        <f>+ISNUMBER(SEARCH('F-COMPRA'!$F$35,Tabla11[[#This Row],[Cuenta]],1))</f>
        <v>1</v>
      </c>
      <c r="T751" t="b">
        <f>+ISNUMBER(SEARCH('F-COMPRA'!$F$36,Tabla11[[#This Row],[Cuenta]],1))</f>
        <v>1</v>
      </c>
      <c r="U751" t="b">
        <f>+ISNUMBER(SEARCH('F-COMPRA'!$F$37,Tabla11[[#This Row],[Cuenta]],1))</f>
        <v>1</v>
      </c>
      <c r="V751" t="b">
        <f>+ISNUMBER(SEARCH(#REF!,Tabla11[[#This Row],[Cuenta]],1))</f>
        <v>0</v>
      </c>
      <c r="W751" t="b">
        <f>+ISNUMBER(SEARCH('F-COMPRA'!#REF!,Tabla11[[#This Row],[Cuenta]],1))</f>
        <v>0</v>
      </c>
      <c r="X751" t="b">
        <f>+ISNUMBER(SEARCH('F-COMPRA'!#REF!,Tabla11[[#This Row],[Cuenta]],1))</f>
        <v>0</v>
      </c>
      <c r="Y751" t="b">
        <f>+ISNUMBER(SEARCH('F-COMPRA'!#REF!,Tabla11[[#This Row],[Cuenta]],1))</f>
        <v>0</v>
      </c>
      <c r="Z751" t="b">
        <f>+ISNUMBER(SEARCH('F-COMPRA'!#REF!,Tabla11[[#This Row],[Cuenta]],1))</f>
        <v>0</v>
      </c>
      <c r="AA751" t="b">
        <f>+ISNUMBER(SEARCH('F-COMPRA'!#REF!,Tabla11[[#This Row],[Cuenta]],1))</f>
        <v>0</v>
      </c>
      <c r="AB751" t="b">
        <f>+ISNUMBER(SEARCH('F-COMPRA'!#REF!,Tabla11[[#This Row],[Cuenta]],1))</f>
        <v>0</v>
      </c>
      <c r="AC751" t="b">
        <f>+ISNUMBER(SEARCH('F-COMPRA'!#REF!,Tabla11[[#This Row],[Cuenta]],1))</f>
        <v>0</v>
      </c>
      <c r="AD751" t="b">
        <f>+ISNUMBER(SEARCH('F-COMPRA'!#REF!,Tabla11[[#This Row],[Cuenta]],1))</f>
        <v>0</v>
      </c>
      <c r="AE751" t="b">
        <f>+ISNUMBER(SEARCH('F-COMPRA'!#REF!,Tabla11[[#This Row],[Cuenta]],1))</f>
        <v>0</v>
      </c>
      <c r="AF751" t="b">
        <f>+ISNUMBER(SEARCH('F-VTA'!$G$23,Tabla11[[#This Row],[Cuenta]],1))</f>
        <v>0</v>
      </c>
      <c r="AG751" t="b">
        <f>+ISNUMBER(SEARCH('F-VTA'!$G$24,Tabla11[[#This Row],[Cuenta]],1))</f>
        <v>0</v>
      </c>
      <c r="AH751" t="b">
        <f>+ISNUMBER(SEARCH('F-VTA'!$G$25,Tabla11[[#This Row],[Cuenta]],1))</f>
        <v>0</v>
      </c>
      <c r="AI751" t="b">
        <f>+ISNUMBER(SEARCH('F-VTA'!$F$28,Tabla11[[#This Row],[Cuenta]],1))</f>
        <v>1</v>
      </c>
      <c r="AJ751" t="b">
        <f>+ISNUMBER(SEARCH('F-VTA'!$F$29,Tabla11[[#This Row],[Cuenta]],1))</f>
        <v>1</v>
      </c>
      <c r="AK751" t="b">
        <f>+ISNUMBER(SEARCH('F-VTA'!$F$30,Tabla11[[#This Row],[Cuenta]],1))</f>
        <v>1</v>
      </c>
      <c r="AL751" t="b">
        <f>+ISNUMBER(SEARCH('F-VTA'!$F$31,Tabla11[[#This Row],[Cuenta]],1))</f>
        <v>1</v>
      </c>
      <c r="AM751" t="b">
        <f>+ISNUMBER(SEARCH('F-VTA'!$F$32,Tabla11[[#This Row],[Cuenta]],1))</f>
        <v>1</v>
      </c>
      <c r="AN751" t="b">
        <f>+ISNUMBER(SEARCH('F-VTA'!$F$33,Tabla11[[#This Row],[Cuenta]],1))</f>
        <v>1</v>
      </c>
      <c r="AO751" t="b">
        <f>+ISNUMBER(SEARCH('F-VTA'!$F$34,Tabla11[[#This Row],[Cuenta]],1))</f>
        <v>1</v>
      </c>
      <c r="AP751" t="b">
        <f>+ISNUMBER(SEARCH('F-VTA'!$F$35,Tabla11[[#This Row],[Cuenta]],1))</f>
        <v>1</v>
      </c>
      <c r="AQ751" t="b">
        <f>+ISNUMBER(SEARCH('F-VTA'!$F$36,Tabla11[[#This Row],[Cuenta]],1))</f>
        <v>1</v>
      </c>
      <c r="AR751" t="b">
        <f>+ISNUMBER(SEARCH(#REF!,Tabla11[[#This Row],[Cuenta]],1))</f>
        <v>0</v>
      </c>
      <c r="AS751" t="b">
        <f>+ISNUMBER(SEARCH(#REF!,Tabla11[[#This Row],[Cuenta]],1))</f>
        <v>0</v>
      </c>
      <c r="AT751" t="b">
        <f>+ISNUMBER(SEARCH(#REF!,Tabla11[[#This Row],[Cuenta]],1))</f>
        <v>0</v>
      </c>
      <c r="AU751" t="b">
        <f>+ISNUMBER(SEARCH('Conc. Ban.1'!$I$9,Tabla11[[#This Row],[Cuenta]],1))</f>
        <v>0</v>
      </c>
      <c r="AV751" t="b">
        <f>+ISNUMBER(SEARCH(CompConta!$F$21,Tabla11[[#This Row],[Cuenta]],1))</f>
        <v>1</v>
      </c>
      <c r="AW751" t="b">
        <f>+ISNUMBER(SEARCH(CompConta!$F$22,Tabla11[[#This Row],[Cuenta]],1))</f>
        <v>1</v>
      </c>
      <c r="AX751" t="b">
        <f>+ISNUMBER(SEARCH(CompConta!$F$23,Tabla11[[#This Row],[Cuenta]],1))</f>
        <v>1</v>
      </c>
      <c r="AY751" t="b">
        <f>+ISNUMBER(SEARCH(CompConta!$F$24,Tabla11[[#This Row],[Cuenta]],1))</f>
        <v>1</v>
      </c>
      <c r="AZ751" t="b">
        <f>+ISNUMBER(SEARCH(CompConta!$F$25,Tabla11[[#This Row],[Cuenta]],1))</f>
        <v>1</v>
      </c>
      <c r="BA751" t="b">
        <f>+ISNUMBER(SEARCH(CompConta!$F$26,Tabla11[[#This Row],[Cuenta]],1))</f>
        <v>1</v>
      </c>
      <c r="BB751" t="b">
        <f>+ISNUMBER(SEARCH(CompConta!$F$27,Tabla11[[#This Row],[Cuenta]],1))</f>
        <v>1</v>
      </c>
      <c r="BC751" t="b">
        <f>+ISNUMBER(SEARCH(CompConta!$F$28,Tabla11[[#This Row],[Cuenta]],1))</f>
        <v>1</v>
      </c>
      <c r="BD751" t="b">
        <f>+ISNUMBER(SEARCH(CompConta!$F$29,Tabla11[[#This Row],[Cuenta]],1))</f>
        <v>1</v>
      </c>
      <c r="BE751" t="b">
        <f>+ISNUMBER(SEARCH(CompConta!$F$30,Tabla11[[#This Row],[Cuenta]],1))</f>
        <v>1</v>
      </c>
      <c r="BF751" t="b">
        <f>+ISNUMBER(SEARCH('PAGO Compras'!$E$11,Tabla11[[#This Row],[Cuenta]],1))</f>
        <v>1</v>
      </c>
      <c r="BG751" t="b">
        <f>+ISNUMBER(SEARCH(#REF!,Tabla11[[#This Row],[Cuenta]],1))</f>
        <v>0</v>
      </c>
      <c r="BH751" t="b">
        <f>+ISNUMBER(SEARCH(#REF!,Tabla11[[#This Row],[Cuenta]],1))</f>
        <v>0</v>
      </c>
      <c r="BI751" t="b">
        <f>+ISNUMBER(SEARCH(#REF!,Tabla11[[#This Row],[Cuenta]],1))</f>
        <v>0</v>
      </c>
      <c r="BJ751" t="b">
        <f>+ISNUMBER(SEARCH(#REF!,Tabla11[[#This Row],[Cuenta]],1))</f>
        <v>0</v>
      </c>
      <c r="BS751" t="str">
        <v>4215 DIVIDENDOS Y PARTICIPACIONES</v>
      </c>
      <c r="BT751" t="str">
        <v>4215 DIVIDENDOS Y PARTICIPACIONES</v>
      </c>
      <c r="BU751" t="str">
        <v>4215 DIVIDENDOS Y PARTICIPACIONES</v>
      </c>
      <c r="BV751" t="str">
        <v>4215 DIVIDENDOS Y PARTICIPACIONES</v>
      </c>
      <c r="BZ751" t="str">
        <v>4215 DIVIDENDOS Y PARTICIPACIONES</v>
      </c>
      <c r="CA751" t="str">
        <v>4215 DIVIDENDOS Y PARTICIPACIONES</v>
      </c>
      <c r="CB751" t="str">
        <v>4215 DIVIDENDOS Y PARTICIPACIONES</v>
      </c>
      <c r="CC751" t="str">
        <v>4215 DIVIDENDOS Y PARTICIPACIONES</v>
      </c>
      <c r="CD751" t="str">
        <v>4215 DIVIDENDOS Y PARTICIPACIONES</v>
      </c>
      <c r="CE751" t="str">
        <v>4215 DIVIDENDOS Y PARTICIPACIONES</v>
      </c>
      <c r="CS751" s="141" t="str">
        <v>4215 DIVIDENDOS Y PARTICIPACIONES</v>
      </c>
      <c r="CT751" s="141" t="str">
        <v>4215 DIVIDENDOS Y PARTICIPACIONES</v>
      </c>
      <c r="CU751" s="141" t="str">
        <v>4215 DIVIDENDOS Y PARTICIPACIONES</v>
      </c>
      <c r="CV751" s="141" t="str">
        <v>4215 DIVIDENDOS Y PARTICIPACIONES</v>
      </c>
      <c r="CW751" s="141" t="str">
        <v>4215 DIVIDENDOS Y PARTICIPACIONES</v>
      </c>
      <c r="CX751" s="141" t="str">
        <v>4215 DIVIDENDOS Y PARTICIPACIONES</v>
      </c>
      <c r="CY751" s="141" t="str">
        <v>4215 DIVIDENDOS Y PARTICIPACIONES</v>
      </c>
      <c r="CZ751" s="141" t="str">
        <v>4215 DIVIDENDOS Y PARTICIPACIONES</v>
      </c>
      <c r="DA751" s="141" t="str">
        <v>4215 DIVIDENDOS Y PARTICIPACIONES</v>
      </c>
      <c r="DF751" t="str">
        <v>4215 DIVIDENDOS Y PARTICIPACIONES</v>
      </c>
      <c r="DG751" t="str">
        <v>4215 DIVIDENDOS Y PARTICIPACIONES</v>
      </c>
      <c r="DH751" t="str">
        <v>4215 DIVIDENDOS Y PARTICIPACIONES</v>
      </c>
      <c r="DI751" t="str">
        <v>4215 DIVIDENDOS Y PARTICIPACIONES</v>
      </c>
      <c r="DJ751" t="str">
        <v>4215 DIVIDENDOS Y PARTICIPACIONES</v>
      </c>
      <c r="DK751" t="str">
        <v>4215 DIVIDENDOS Y PARTICIPACIONES</v>
      </c>
      <c r="DL751" t="str">
        <v>4215 DIVIDENDOS Y PARTICIPACIONES</v>
      </c>
      <c r="DM751" t="str">
        <v>4215 DIVIDENDOS Y PARTICIPACIONES</v>
      </c>
      <c r="DN751" t="str">
        <v>4215 DIVIDENDOS Y PARTICIPACIONES</v>
      </c>
      <c r="DO751" t="str">
        <v>4215 DIVIDENDOS Y PARTICIPACIONES</v>
      </c>
      <c r="DP751" t="str">
        <v>4215 DIVIDENDOS Y PARTICIPACIONES</v>
      </c>
    </row>
    <row r="752" spans="4:120" ht="12.75">
      <c r="D752" s="7">
        <v>421505</v>
      </c>
      <c r="E752" s="6" t="s">
        <v>523</v>
      </c>
      <c r="F752" s="5">
        <v>4</v>
      </c>
      <c r="G752" s="34" t="s">
        <v>829</v>
      </c>
      <c r="H752" s="8" t="s">
        <v>56</v>
      </c>
      <c r="I752" t="b">
        <f>+ISNUMBER(SEARCH('F-COMPRA'!$F$28,Tabla11[[#This Row],[Cuenta]],1))</f>
        <v>1</v>
      </c>
      <c r="J752" t="b">
        <f>+ISNUMBER(SEARCH('F-COMPRA'!$F$29,Tabla11[[#This Row],[Cuenta]],1))</f>
        <v>1</v>
      </c>
      <c r="K752" t="b">
        <f>+ISNUMBER(SEARCH('F-COMPRA'!$F$30,Tabla11[[#This Row],[Cuenta]],1))</f>
        <v>1</v>
      </c>
      <c r="L752" t="b">
        <f>+ISNUMBER(SEARCH('F-COMPRA'!$F$31,Tabla11[[#This Row],[Cuenta]],1))</f>
        <v>1</v>
      </c>
      <c r="M752" t="b">
        <f>+ISNUMBER(SEARCH('F-COMPRA'!$G$25,Tabla11[[#This Row],[Cuenta]],1))</f>
        <v>0</v>
      </c>
      <c r="N752" t="b">
        <f>+ISNUMBER(SEARCH(#REF!,Tabla11[[#This Row],[Cuenta]],1))</f>
        <v>0</v>
      </c>
      <c r="O752" t="b">
        <f>+ISNUMBER(SEARCH(#REF!,Tabla11[[#This Row],[Cuenta]],1))</f>
        <v>0</v>
      </c>
      <c r="P752" t="b">
        <f>+ISNUMBER(SEARCH('F-COMPRA'!$F$32,Tabla11[[#This Row],[Cuenta]],1))</f>
        <v>1</v>
      </c>
      <c r="Q752" t="b">
        <f>+ISNUMBER(SEARCH('F-COMPRA'!$F$33,Tabla11[[#This Row],[Cuenta]],1))</f>
        <v>1</v>
      </c>
      <c r="R752" t="b">
        <f>+ISNUMBER(SEARCH('F-COMPRA'!$F$34,Tabla11[[#This Row],[Cuenta]],1))</f>
        <v>1</v>
      </c>
      <c r="S752" t="b">
        <f>+ISNUMBER(SEARCH('F-COMPRA'!$F$35,Tabla11[[#This Row],[Cuenta]],1))</f>
        <v>1</v>
      </c>
      <c r="T752" t="b">
        <f>+ISNUMBER(SEARCH('F-COMPRA'!$F$36,Tabla11[[#This Row],[Cuenta]],1))</f>
        <v>1</v>
      </c>
      <c r="U752" t="b">
        <f>+ISNUMBER(SEARCH('F-COMPRA'!$F$37,Tabla11[[#This Row],[Cuenta]],1))</f>
        <v>1</v>
      </c>
      <c r="V752" t="b">
        <f>+ISNUMBER(SEARCH(#REF!,Tabla11[[#This Row],[Cuenta]],1))</f>
        <v>0</v>
      </c>
      <c r="W752" t="b">
        <f>+ISNUMBER(SEARCH('F-COMPRA'!#REF!,Tabla11[[#This Row],[Cuenta]],1))</f>
        <v>0</v>
      </c>
      <c r="X752" t="b">
        <f>+ISNUMBER(SEARCH('F-COMPRA'!#REF!,Tabla11[[#This Row],[Cuenta]],1))</f>
        <v>0</v>
      </c>
      <c r="Y752" t="b">
        <f>+ISNUMBER(SEARCH('F-COMPRA'!#REF!,Tabla11[[#This Row],[Cuenta]],1))</f>
        <v>0</v>
      </c>
      <c r="Z752" t="b">
        <f>+ISNUMBER(SEARCH('F-COMPRA'!#REF!,Tabla11[[#This Row],[Cuenta]],1))</f>
        <v>0</v>
      </c>
      <c r="AA752" t="b">
        <f>+ISNUMBER(SEARCH('F-COMPRA'!#REF!,Tabla11[[#This Row],[Cuenta]],1))</f>
        <v>0</v>
      </c>
      <c r="AB752" t="b">
        <f>+ISNUMBER(SEARCH('F-COMPRA'!#REF!,Tabla11[[#This Row],[Cuenta]],1))</f>
        <v>0</v>
      </c>
      <c r="AC752" t="b">
        <f>+ISNUMBER(SEARCH('F-COMPRA'!#REF!,Tabla11[[#This Row],[Cuenta]],1))</f>
        <v>0</v>
      </c>
      <c r="AD752" t="b">
        <f>+ISNUMBER(SEARCH('F-COMPRA'!#REF!,Tabla11[[#This Row],[Cuenta]],1))</f>
        <v>0</v>
      </c>
      <c r="AE752" t="b">
        <f>+ISNUMBER(SEARCH('F-COMPRA'!#REF!,Tabla11[[#This Row],[Cuenta]],1))</f>
        <v>0</v>
      </c>
      <c r="AF752" t="b">
        <f>+ISNUMBER(SEARCH('F-VTA'!$G$23,Tabla11[[#This Row],[Cuenta]],1))</f>
        <v>0</v>
      </c>
      <c r="AG752" t="b">
        <f>+ISNUMBER(SEARCH('F-VTA'!$G$24,Tabla11[[#This Row],[Cuenta]],1))</f>
        <v>0</v>
      </c>
      <c r="AH752" t="b">
        <f>+ISNUMBER(SEARCH('F-VTA'!$G$25,Tabla11[[#This Row],[Cuenta]],1))</f>
        <v>0</v>
      </c>
      <c r="AI752" t="b">
        <f>+ISNUMBER(SEARCH('F-VTA'!$F$28,Tabla11[[#This Row],[Cuenta]],1))</f>
        <v>1</v>
      </c>
      <c r="AJ752" t="b">
        <f>+ISNUMBER(SEARCH('F-VTA'!$F$29,Tabla11[[#This Row],[Cuenta]],1))</f>
        <v>1</v>
      </c>
      <c r="AK752" t="b">
        <f>+ISNUMBER(SEARCH('F-VTA'!$F$30,Tabla11[[#This Row],[Cuenta]],1))</f>
        <v>1</v>
      </c>
      <c r="AL752" t="b">
        <f>+ISNUMBER(SEARCH('F-VTA'!$F$31,Tabla11[[#This Row],[Cuenta]],1))</f>
        <v>1</v>
      </c>
      <c r="AM752" t="b">
        <f>+ISNUMBER(SEARCH('F-VTA'!$F$32,Tabla11[[#This Row],[Cuenta]],1))</f>
        <v>1</v>
      </c>
      <c r="AN752" t="b">
        <f>+ISNUMBER(SEARCH('F-VTA'!$F$33,Tabla11[[#This Row],[Cuenta]],1))</f>
        <v>1</v>
      </c>
      <c r="AO752" t="b">
        <f>+ISNUMBER(SEARCH('F-VTA'!$F$34,Tabla11[[#This Row],[Cuenta]],1))</f>
        <v>1</v>
      </c>
      <c r="AP752" t="b">
        <f>+ISNUMBER(SEARCH('F-VTA'!$F$35,Tabla11[[#This Row],[Cuenta]],1))</f>
        <v>1</v>
      </c>
      <c r="AQ752" t="b">
        <f>+ISNUMBER(SEARCH('F-VTA'!$F$36,Tabla11[[#This Row],[Cuenta]],1))</f>
        <v>1</v>
      </c>
      <c r="AR752" t="b">
        <f>+ISNUMBER(SEARCH(#REF!,Tabla11[[#This Row],[Cuenta]],1))</f>
        <v>0</v>
      </c>
      <c r="AS752" t="b">
        <f>+ISNUMBER(SEARCH(#REF!,Tabla11[[#This Row],[Cuenta]],1))</f>
        <v>0</v>
      </c>
      <c r="AT752" t="b">
        <f>+ISNUMBER(SEARCH(#REF!,Tabla11[[#This Row],[Cuenta]],1))</f>
        <v>0</v>
      </c>
      <c r="AU752" t="b">
        <f>+ISNUMBER(SEARCH('Conc. Ban.1'!$I$9,Tabla11[[#This Row],[Cuenta]],1))</f>
        <v>0</v>
      </c>
      <c r="AV752" t="b">
        <f>+ISNUMBER(SEARCH(CompConta!$F$21,Tabla11[[#This Row],[Cuenta]],1))</f>
        <v>1</v>
      </c>
      <c r="AW752" t="b">
        <f>+ISNUMBER(SEARCH(CompConta!$F$22,Tabla11[[#This Row],[Cuenta]],1))</f>
        <v>1</v>
      </c>
      <c r="AX752" t="b">
        <f>+ISNUMBER(SEARCH(CompConta!$F$23,Tabla11[[#This Row],[Cuenta]],1))</f>
        <v>1</v>
      </c>
      <c r="AY752" t="b">
        <f>+ISNUMBER(SEARCH(CompConta!$F$24,Tabla11[[#This Row],[Cuenta]],1))</f>
        <v>1</v>
      </c>
      <c r="AZ752" t="b">
        <f>+ISNUMBER(SEARCH(CompConta!$F$25,Tabla11[[#This Row],[Cuenta]],1))</f>
        <v>1</v>
      </c>
      <c r="BA752" t="b">
        <f>+ISNUMBER(SEARCH(CompConta!$F$26,Tabla11[[#This Row],[Cuenta]],1))</f>
        <v>1</v>
      </c>
      <c r="BB752" t="b">
        <f>+ISNUMBER(SEARCH(CompConta!$F$27,Tabla11[[#This Row],[Cuenta]],1))</f>
        <v>1</v>
      </c>
      <c r="BC752" t="b">
        <f>+ISNUMBER(SEARCH(CompConta!$F$28,Tabla11[[#This Row],[Cuenta]],1))</f>
        <v>1</v>
      </c>
      <c r="BD752" t="b">
        <f>+ISNUMBER(SEARCH(CompConta!$F$29,Tabla11[[#This Row],[Cuenta]],1))</f>
        <v>1</v>
      </c>
      <c r="BE752" t="b">
        <f>+ISNUMBER(SEARCH(CompConta!$F$30,Tabla11[[#This Row],[Cuenta]],1))</f>
        <v>1</v>
      </c>
      <c r="BF752" t="b">
        <f>+ISNUMBER(SEARCH('PAGO Compras'!$E$11,Tabla11[[#This Row],[Cuenta]],1))</f>
        <v>1</v>
      </c>
      <c r="BG752" t="b">
        <f>+ISNUMBER(SEARCH(#REF!,Tabla11[[#This Row],[Cuenta]],1))</f>
        <v>0</v>
      </c>
      <c r="BH752" t="b">
        <f>+ISNUMBER(SEARCH(#REF!,Tabla11[[#This Row],[Cuenta]],1))</f>
        <v>0</v>
      </c>
      <c r="BI752" t="b">
        <f>+ISNUMBER(SEARCH(#REF!,Tabla11[[#This Row],[Cuenta]],1))</f>
        <v>0</v>
      </c>
      <c r="BJ752" t="b">
        <f>+ISNUMBER(SEARCH(#REF!,Tabla11[[#This Row],[Cuenta]],1))</f>
        <v>0</v>
      </c>
      <c r="BS752" t="str">
        <v>421505 De sociedades anónimas y/o asimiladas</v>
      </c>
      <c r="BT752" t="str">
        <v>421505 De sociedades anónimas y/o asimiladas</v>
      </c>
      <c r="BU752" t="str">
        <v>421505 De sociedades anónimas y/o asimiladas</v>
      </c>
      <c r="BV752" t="str">
        <v>421505 De sociedades anónimas y/o asimiladas</v>
      </c>
      <c r="BZ752" t="str">
        <v>421505 De sociedades anónimas y/o asimiladas</v>
      </c>
      <c r="CA752" t="str">
        <v>421505 De sociedades anónimas y/o asimiladas</v>
      </c>
      <c r="CB752" t="str">
        <v>421505 De sociedades anónimas y/o asimiladas</v>
      </c>
      <c r="CC752" t="str">
        <v>421505 De sociedades anónimas y/o asimiladas</v>
      </c>
      <c r="CD752" t="str">
        <v>421505 De sociedades anónimas y/o asimiladas</v>
      </c>
      <c r="CE752" t="str">
        <v>421505 De sociedades anónimas y/o asimiladas</v>
      </c>
      <c r="CS752" s="141" t="str">
        <v>421505 De sociedades anónimas y/o asimiladas</v>
      </c>
      <c r="CT752" s="141" t="str">
        <v>421505 De sociedades anónimas y/o asimiladas</v>
      </c>
      <c r="CU752" s="141" t="str">
        <v>421505 De sociedades anónimas y/o asimiladas</v>
      </c>
      <c r="CV752" s="141" t="str">
        <v>421505 De sociedades anónimas y/o asimiladas</v>
      </c>
      <c r="CW752" s="141" t="str">
        <v>421505 De sociedades anónimas y/o asimiladas</v>
      </c>
      <c r="CX752" s="141" t="str">
        <v>421505 De sociedades anónimas y/o asimiladas</v>
      </c>
      <c r="CY752" s="141" t="str">
        <v>421505 De sociedades anónimas y/o asimiladas</v>
      </c>
      <c r="CZ752" s="141" t="str">
        <v>421505 De sociedades anónimas y/o asimiladas</v>
      </c>
      <c r="DA752" s="141" t="str">
        <v>421505 De sociedades anónimas y/o asimiladas</v>
      </c>
      <c r="DF752" t="str">
        <v>421505 De sociedades anónimas y/o asimiladas</v>
      </c>
      <c r="DG752" t="str">
        <v>421505 De sociedades anónimas y/o asimiladas</v>
      </c>
      <c r="DH752" t="str">
        <v>421505 De sociedades anónimas y/o asimiladas</v>
      </c>
      <c r="DI752" t="str">
        <v>421505 De sociedades anónimas y/o asimiladas</v>
      </c>
      <c r="DJ752" t="str">
        <v>421505 De sociedades anónimas y/o asimiladas</v>
      </c>
      <c r="DK752" t="str">
        <v>421505 De sociedades anónimas y/o asimiladas</v>
      </c>
      <c r="DL752" t="str">
        <v>421505 De sociedades anónimas y/o asimiladas</v>
      </c>
      <c r="DM752" t="str">
        <v>421505 De sociedades anónimas y/o asimiladas</v>
      </c>
      <c r="DN752" t="str">
        <v>421505 De sociedades anónimas y/o asimiladas</v>
      </c>
      <c r="DO752" t="str">
        <v>421505 De sociedades anónimas y/o asimiladas</v>
      </c>
      <c r="DP752" t="str">
        <v>421505 De sociedades anónimas y/o asimiladas</v>
      </c>
    </row>
    <row r="753" spans="4:120" ht="12.75">
      <c r="D753" s="7">
        <v>421510</v>
      </c>
      <c r="E753" s="6" t="s">
        <v>524</v>
      </c>
      <c r="F753" s="5">
        <v>4</v>
      </c>
      <c r="G753" s="34" t="s">
        <v>829</v>
      </c>
      <c r="H753" s="8" t="s">
        <v>56</v>
      </c>
      <c r="I753" t="b">
        <f>+ISNUMBER(SEARCH('F-COMPRA'!$F$28,Tabla11[[#This Row],[Cuenta]],1))</f>
        <v>1</v>
      </c>
      <c r="J753" t="b">
        <f>+ISNUMBER(SEARCH('F-COMPRA'!$F$29,Tabla11[[#This Row],[Cuenta]],1))</f>
        <v>1</v>
      </c>
      <c r="K753" t="b">
        <f>+ISNUMBER(SEARCH('F-COMPRA'!$F$30,Tabla11[[#This Row],[Cuenta]],1))</f>
        <v>1</v>
      </c>
      <c r="L753" t="b">
        <f>+ISNUMBER(SEARCH('F-COMPRA'!$F$31,Tabla11[[#This Row],[Cuenta]],1))</f>
        <v>1</v>
      </c>
      <c r="M753" t="b">
        <f>+ISNUMBER(SEARCH('F-COMPRA'!$G$25,Tabla11[[#This Row],[Cuenta]],1))</f>
        <v>0</v>
      </c>
      <c r="N753" t="b">
        <f>+ISNUMBER(SEARCH(#REF!,Tabla11[[#This Row],[Cuenta]],1))</f>
        <v>0</v>
      </c>
      <c r="O753" t="b">
        <f>+ISNUMBER(SEARCH(#REF!,Tabla11[[#This Row],[Cuenta]],1))</f>
        <v>0</v>
      </c>
      <c r="P753" t="b">
        <f>+ISNUMBER(SEARCH('F-COMPRA'!$F$32,Tabla11[[#This Row],[Cuenta]],1))</f>
        <v>1</v>
      </c>
      <c r="Q753" t="b">
        <f>+ISNUMBER(SEARCH('F-COMPRA'!$F$33,Tabla11[[#This Row],[Cuenta]],1))</f>
        <v>1</v>
      </c>
      <c r="R753" t="b">
        <f>+ISNUMBER(SEARCH('F-COMPRA'!$F$34,Tabla11[[#This Row],[Cuenta]],1))</f>
        <v>1</v>
      </c>
      <c r="S753" t="b">
        <f>+ISNUMBER(SEARCH('F-COMPRA'!$F$35,Tabla11[[#This Row],[Cuenta]],1))</f>
        <v>1</v>
      </c>
      <c r="T753" t="b">
        <f>+ISNUMBER(SEARCH('F-COMPRA'!$F$36,Tabla11[[#This Row],[Cuenta]],1))</f>
        <v>1</v>
      </c>
      <c r="U753" t="b">
        <f>+ISNUMBER(SEARCH('F-COMPRA'!$F$37,Tabla11[[#This Row],[Cuenta]],1))</f>
        <v>1</v>
      </c>
      <c r="V753" t="b">
        <f>+ISNUMBER(SEARCH(#REF!,Tabla11[[#This Row],[Cuenta]],1))</f>
        <v>0</v>
      </c>
      <c r="W753" t="b">
        <f>+ISNUMBER(SEARCH('F-COMPRA'!#REF!,Tabla11[[#This Row],[Cuenta]],1))</f>
        <v>0</v>
      </c>
      <c r="X753" t="b">
        <f>+ISNUMBER(SEARCH('F-COMPRA'!#REF!,Tabla11[[#This Row],[Cuenta]],1))</f>
        <v>0</v>
      </c>
      <c r="Y753" t="b">
        <f>+ISNUMBER(SEARCH('F-COMPRA'!#REF!,Tabla11[[#This Row],[Cuenta]],1))</f>
        <v>0</v>
      </c>
      <c r="Z753" t="b">
        <f>+ISNUMBER(SEARCH('F-COMPRA'!#REF!,Tabla11[[#This Row],[Cuenta]],1))</f>
        <v>0</v>
      </c>
      <c r="AA753" t="b">
        <f>+ISNUMBER(SEARCH('F-COMPRA'!#REF!,Tabla11[[#This Row],[Cuenta]],1))</f>
        <v>0</v>
      </c>
      <c r="AB753" t="b">
        <f>+ISNUMBER(SEARCH('F-COMPRA'!#REF!,Tabla11[[#This Row],[Cuenta]],1))</f>
        <v>0</v>
      </c>
      <c r="AC753" t="b">
        <f>+ISNUMBER(SEARCH('F-COMPRA'!#REF!,Tabla11[[#This Row],[Cuenta]],1))</f>
        <v>0</v>
      </c>
      <c r="AD753" t="b">
        <f>+ISNUMBER(SEARCH('F-COMPRA'!#REF!,Tabla11[[#This Row],[Cuenta]],1))</f>
        <v>0</v>
      </c>
      <c r="AE753" t="b">
        <f>+ISNUMBER(SEARCH('F-COMPRA'!#REF!,Tabla11[[#This Row],[Cuenta]],1))</f>
        <v>0</v>
      </c>
      <c r="AF753" t="b">
        <f>+ISNUMBER(SEARCH('F-VTA'!$G$23,Tabla11[[#This Row],[Cuenta]],1))</f>
        <v>0</v>
      </c>
      <c r="AG753" t="b">
        <f>+ISNUMBER(SEARCH('F-VTA'!$G$24,Tabla11[[#This Row],[Cuenta]],1))</f>
        <v>0</v>
      </c>
      <c r="AH753" t="b">
        <f>+ISNUMBER(SEARCH('F-VTA'!$G$25,Tabla11[[#This Row],[Cuenta]],1))</f>
        <v>0</v>
      </c>
      <c r="AI753" t="b">
        <f>+ISNUMBER(SEARCH('F-VTA'!$F$28,Tabla11[[#This Row],[Cuenta]],1))</f>
        <v>1</v>
      </c>
      <c r="AJ753" t="b">
        <f>+ISNUMBER(SEARCH('F-VTA'!$F$29,Tabla11[[#This Row],[Cuenta]],1))</f>
        <v>1</v>
      </c>
      <c r="AK753" t="b">
        <f>+ISNUMBER(SEARCH('F-VTA'!$F$30,Tabla11[[#This Row],[Cuenta]],1))</f>
        <v>1</v>
      </c>
      <c r="AL753" t="b">
        <f>+ISNUMBER(SEARCH('F-VTA'!$F$31,Tabla11[[#This Row],[Cuenta]],1))</f>
        <v>1</v>
      </c>
      <c r="AM753" t="b">
        <f>+ISNUMBER(SEARCH('F-VTA'!$F$32,Tabla11[[#This Row],[Cuenta]],1))</f>
        <v>1</v>
      </c>
      <c r="AN753" t="b">
        <f>+ISNUMBER(SEARCH('F-VTA'!$F$33,Tabla11[[#This Row],[Cuenta]],1))</f>
        <v>1</v>
      </c>
      <c r="AO753" t="b">
        <f>+ISNUMBER(SEARCH('F-VTA'!$F$34,Tabla11[[#This Row],[Cuenta]],1))</f>
        <v>1</v>
      </c>
      <c r="AP753" t="b">
        <f>+ISNUMBER(SEARCH('F-VTA'!$F$35,Tabla11[[#This Row],[Cuenta]],1))</f>
        <v>1</v>
      </c>
      <c r="AQ753" t="b">
        <f>+ISNUMBER(SEARCH('F-VTA'!$F$36,Tabla11[[#This Row],[Cuenta]],1))</f>
        <v>1</v>
      </c>
      <c r="AR753" t="b">
        <f>+ISNUMBER(SEARCH(#REF!,Tabla11[[#This Row],[Cuenta]],1))</f>
        <v>0</v>
      </c>
      <c r="AS753" t="b">
        <f>+ISNUMBER(SEARCH(#REF!,Tabla11[[#This Row],[Cuenta]],1))</f>
        <v>0</v>
      </c>
      <c r="AT753" t="b">
        <f>+ISNUMBER(SEARCH(#REF!,Tabla11[[#This Row],[Cuenta]],1))</f>
        <v>0</v>
      </c>
      <c r="AU753" t="b">
        <f>+ISNUMBER(SEARCH('Conc. Ban.1'!$I$9,Tabla11[[#This Row],[Cuenta]],1))</f>
        <v>0</v>
      </c>
      <c r="AV753" t="b">
        <f>+ISNUMBER(SEARCH(CompConta!$F$21,Tabla11[[#This Row],[Cuenta]],1))</f>
        <v>1</v>
      </c>
      <c r="AW753" t="b">
        <f>+ISNUMBER(SEARCH(CompConta!$F$22,Tabla11[[#This Row],[Cuenta]],1))</f>
        <v>1</v>
      </c>
      <c r="AX753" t="b">
        <f>+ISNUMBER(SEARCH(CompConta!$F$23,Tabla11[[#This Row],[Cuenta]],1))</f>
        <v>1</v>
      </c>
      <c r="AY753" t="b">
        <f>+ISNUMBER(SEARCH(CompConta!$F$24,Tabla11[[#This Row],[Cuenta]],1))</f>
        <v>1</v>
      </c>
      <c r="AZ753" t="b">
        <f>+ISNUMBER(SEARCH(CompConta!$F$25,Tabla11[[#This Row],[Cuenta]],1))</f>
        <v>1</v>
      </c>
      <c r="BA753" t="b">
        <f>+ISNUMBER(SEARCH(CompConta!$F$26,Tabla11[[#This Row],[Cuenta]],1))</f>
        <v>1</v>
      </c>
      <c r="BB753" t="b">
        <f>+ISNUMBER(SEARCH(CompConta!$F$27,Tabla11[[#This Row],[Cuenta]],1))</f>
        <v>1</v>
      </c>
      <c r="BC753" t="b">
        <f>+ISNUMBER(SEARCH(CompConta!$F$28,Tabla11[[#This Row],[Cuenta]],1))</f>
        <v>1</v>
      </c>
      <c r="BD753" t="b">
        <f>+ISNUMBER(SEARCH(CompConta!$F$29,Tabla11[[#This Row],[Cuenta]],1))</f>
        <v>1</v>
      </c>
      <c r="BE753" t="b">
        <f>+ISNUMBER(SEARCH(CompConta!$F$30,Tabla11[[#This Row],[Cuenta]],1))</f>
        <v>1</v>
      </c>
      <c r="BF753" t="b">
        <f>+ISNUMBER(SEARCH('PAGO Compras'!$E$11,Tabla11[[#This Row],[Cuenta]],1))</f>
        <v>1</v>
      </c>
      <c r="BG753" t="b">
        <f>+ISNUMBER(SEARCH(#REF!,Tabla11[[#This Row],[Cuenta]],1))</f>
        <v>0</v>
      </c>
      <c r="BH753" t="b">
        <f>+ISNUMBER(SEARCH(#REF!,Tabla11[[#This Row],[Cuenta]],1))</f>
        <v>0</v>
      </c>
      <c r="BI753" t="b">
        <f>+ISNUMBER(SEARCH(#REF!,Tabla11[[#This Row],[Cuenta]],1))</f>
        <v>0</v>
      </c>
      <c r="BJ753" t="b">
        <f>+ISNUMBER(SEARCH(#REF!,Tabla11[[#This Row],[Cuenta]],1))</f>
        <v>0</v>
      </c>
      <c r="BS753" t="str">
        <v>421510 De sociedades limitadas y/o asimiladas</v>
      </c>
      <c r="BT753" t="str">
        <v>421510 De sociedades limitadas y/o asimiladas</v>
      </c>
      <c r="BU753" t="str">
        <v>421510 De sociedades limitadas y/o asimiladas</v>
      </c>
      <c r="BV753" t="str">
        <v>421510 De sociedades limitadas y/o asimiladas</v>
      </c>
      <c r="BZ753" t="str">
        <v>421510 De sociedades limitadas y/o asimiladas</v>
      </c>
      <c r="CA753" t="str">
        <v>421510 De sociedades limitadas y/o asimiladas</v>
      </c>
      <c r="CB753" t="str">
        <v>421510 De sociedades limitadas y/o asimiladas</v>
      </c>
      <c r="CC753" t="str">
        <v>421510 De sociedades limitadas y/o asimiladas</v>
      </c>
      <c r="CD753" t="str">
        <v>421510 De sociedades limitadas y/o asimiladas</v>
      </c>
      <c r="CE753" t="str">
        <v>421510 De sociedades limitadas y/o asimiladas</v>
      </c>
      <c r="CS753" s="141" t="str">
        <v>421510 De sociedades limitadas y/o asimiladas</v>
      </c>
      <c r="CT753" s="141" t="str">
        <v>421510 De sociedades limitadas y/o asimiladas</v>
      </c>
      <c r="CU753" s="141" t="str">
        <v>421510 De sociedades limitadas y/o asimiladas</v>
      </c>
      <c r="CV753" s="141" t="str">
        <v>421510 De sociedades limitadas y/o asimiladas</v>
      </c>
      <c r="CW753" s="141" t="str">
        <v>421510 De sociedades limitadas y/o asimiladas</v>
      </c>
      <c r="CX753" s="141" t="str">
        <v>421510 De sociedades limitadas y/o asimiladas</v>
      </c>
      <c r="CY753" s="141" t="str">
        <v>421510 De sociedades limitadas y/o asimiladas</v>
      </c>
      <c r="CZ753" s="141" t="str">
        <v>421510 De sociedades limitadas y/o asimiladas</v>
      </c>
      <c r="DA753" s="141" t="str">
        <v>421510 De sociedades limitadas y/o asimiladas</v>
      </c>
      <c r="DF753" t="str">
        <v>421510 De sociedades limitadas y/o asimiladas</v>
      </c>
      <c r="DG753" t="str">
        <v>421510 De sociedades limitadas y/o asimiladas</v>
      </c>
      <c r="DH753" t="str">
        <v>421510 De sociedades limitadas y/o asimiladas</v>
      </c>
      <c r="DI753" t="str">
        <v>421510 De sociedades limitadas y/o asimiladas</v>
      </c>
      <c r="DJ753" t="str">
        <v>421510 De sociedades limitadas y/o asimiladas</v>
      </c>
      <c r="DK753" t="str">
        <v>421510 De sociedades limitadas y/o asimiladas</v>
      </c>
      <c r="DL753" t="str">
        <v>421510 De sociedades limitadas y/o asimiladas</v>
      </c>
      <c r="DM753" t="str">
        <v>421510 De sociedades limitadas y/o asimiladas</v>
      </c>
      <c r="DN753" t="str">
        <v>421510 De sociedades limitadas y/o asimiladas</v>
      </c>
      <c r="DO753" t="str">
        <v>421510 De sociedades limitadas y/o asimiladas</v>
      </c>
      <c r="DP753" t="str">
        <v>421510 De sociedades limitadas y/o asimiladas</v>
      </c>
    </row>
    <row r="754" spans="4:120" ht="12.75">
      <c r="D754" s="7">
        <v>421599</v>
      </c>
      <c r="E754" s="6" t="s">
        <v>93</v>
      </c>
      <c r="F754" s="5">
        <v>4</v>
      </c>
      <c r="G754" s="34" t="s">
        <v>829</v>
      </c>
      <c r="H754" s="8" t="s">
        <v>56</v>
      </c>
      <c r="I754" t="b">
        <f>+ISNUMBER(SEARCH('F-COMPRA'!$F$28,Tabla11[[#This Row],[Cuenta]],1))</f>
        <v>1</v>
      </c>
      <c r="J754" t="b">
        <f>+ISNUMBER(SEARCH('F-COMPRA'!$F$29,Tabla11[[#This Row],[Cuenta]],1))</f>
        <v>1</v>
      </c>
      <c r="K754" t="b">
        <f>+ISNUMBER(SEARCH('F-COMPRA'!$F$30,Tabla11[[#This Row],[Cuenta]],1))</f>
        <v>1</v>
      </c>
      <c r="L754" t="b">
        <f>+ISNUMBER(SEARCH('F-COMPRA'!$F$31,Tabla11[[#This Row],[Cuenta]],1))</f>
        <v>1</v>
      </c>
      <c r="M754" t="b">
        <f>+ISNUMBER(SEARCH('F-COMPRA'!$G$25,Tabla11[[#This Row],[Cuenta]],1))</f>
        <v>0</v>
      </c>
      <c r="N754" t="b">
        <f>+ISNUMBER(SEARCH(#REF!,Tabla11[[#This Row],[Cuenta]],1))</f>
        <v>0</v>
      </c>
      <c r="O754" t="b">
        <f>+ISNUMBER(SEARCH(#REF!,Tabla11[[#This Row],[Cuenta]],1))</f>
        <v>0</v>
      </c>
      <c r="P754" t="b">
        <f>+ISNUMBER(SEARCH('F-COMPRA'!$F$32,Tabla11[[#This Row],[Cuenta]],1))</f>
        <v>1</v>
      </c>
      <c r="Q754" t="b">
        <f>+ISNUMBER(SEARCH('F-COMPRA'!$F$33,Tabla11[[#This Row],[Cuenta]],1))</f>
        <v>1</v>
      </c>
      <c r="R754" t="b">
        <f>+ISNUMBER(SEARCH('F-COMPRA'!$F$34,Tabla11[[#This Row],[Cuenta]],1))</f>
        <v>1</v>
      </c>
      <c r="S754" t="b">
        <f>+ISNUMBER(SEARCH('F-COMPRA'!$F$35,Tabla11[[#This Row],[Cuenta]],1))</f>
        <v>1</v>
      </c>
      <c r="T754" t="b">
        <f>+ISNUMBER(SEARCH('F-COMPRA'!$F$36,Tabla11[[#This Row],[Cuenta]],1))</f>
        <v>1</v>
      </c>
      <c r="U754" t="b">
        <f>+ISNUMBER(SEARCH('F-COMPRA'!$F$37,Tabla11[[#This Row],[Cuenta]],1))</f>
        <v>1</v>
      </c>
      <c r="V754" t="b">
        <f>+ISNUMBER(SEARCH(#REF!,Tabla11[[#This Row],[Cuenta]],1))</f>
        <v>0</v>
      </c>
      <c r="W754" t="b">
        <f>+ISNUMBER(SEARCH('F-COMPRA'!#REF!,Tabla11[[#This Row],[Cuenta]],1))</f>
        <v>0</v>
      </c>
      <c r="X754" t="b">
        <f>+ISNUMBER(SEARCH('F-COMPRA'!#REF!,Tabla11[[#This Row],[Cuenta]],1))</f>
        <v>0</v>
      </c>
      <c r="Y754" t="b">
        <f>+ISNUMBER(SEARCH('F-COMPRA'!#REF!,Tabla11[[#This Row],[Cuenta]],1))</f>
        <v>0</v>
      </c>
      <c r="Z754" t="b">
        <f>+ISNUMBER(SEARCH('F-COMPRA'!#REF!,Tabla11[[#This Row],[Cuenta]],1))</f>
        <v>0</v>
      </c>
      <c r="AA754" t="b">
        <f>+ISNUMBER(SEARCH('F-COMPRA'!#REF!,Tabla11[[#This Row],[Cuenta]],1))</f>
        <v>0</v>
      </c>
      <c r="AB754" t="b">
        <f>+ISNUMBER(SEARCH('F-COMPRA'!#REF!,Tabla11[[#This Row],[Cuenta]],1))</f>
        <v>0</v>
      </c>
      <c r="AC754" t="b">
        <f>+ISNUMBER(SEARCH('F-COMPRA'!#REF!,Tabla11[[#This Row],[Cuenta]],1))</f>
        <v>0</v>
      </c>
      <c r="AD754" t="b">
        <f>+ISNUMBER(SEARCH('F-COMPRA'!#REF!,Tabla11[[#This Row],[Cuenta]],1))</f>
        <v>0</v>
      </c>
      <c r="AE754" t="b">
        <f>+ISNUMBER(SEARCH('F-COMPRA'!#REF!,Tabla11[[#This Row],[Cuenta]],1))</f>
        <v>0</v>
      </c>
      <c r="AF754" t="b">
        <f>+ISNUMBER(SEARCH('F-VTA'!$G$23,Tabla11[[#This Row],[Cuenta]],1))</f>
        <v>0</v>
      </c>
      <c r="AG754" t="b">
        <f>+ISNUMBER(SEARCH('F-VTA'!$G$24,Tabla11[[#This Row],[Cuenta]],1))</f>
        <v>0</v>
      </c>
      <c r="AH754" t="b">
        <f>+ISNUMBER(SEARCH('F-VTA'!$G$25,Tabla11[[#This Row],[Cuenta]],1))</f>
        <v>0</v>
      </c>
      <c r="AI754" t="b">
        <f>+ISNUMBER(SEARCH('F-VTA'!$F$28,Tabla11[[#This Row],[Cuenta]],1))</f>
        <v>1</v>
      </c>
      <c r="AJ754" t="b">
        <f>+ISNUMBER(SEARCH('F-VTA'!$F$29,Tabla11[[#This Row],[Cuenta]],1))</f>
        <v>1</v>
      </c>
      <c r="AK754" t="b">
        <f>+ISNUMBER(SEARCH('F-VTA'!$F$30,Tabla11[[#This Row],[Cuenta]],1))</f>
        <v>1</v>
      </c>
      <c r="AL754" t="b">
        <f>+ISNUMBER(SEARCH('F-VTA'!$F$31,Tabla11[[#This Row],[Cuenta]],1))</f>
        <v>1</v>
      </c>
      <c r="AM754" t="b">
        <f>+ISNUMBER(SEARCH('F-VTA'!$F$32,Tabla11[[#This Row],[Cuenta]],1))</f>
        <v>1</v>
      </c>
      <c r="AN754" t="b">
        <f>+ISNUMBER(SEARCH('F-VTA'!$F$33,Tabla11[[#This Row],[Cuenta]],1))</f>
        <v>1</v>
      </c>
      <c r="AO754" t="b">
        <f>+ISNUMBER(SEARCH('F-VTA'!$F$34,Tabla11[[#This Row],[Cuenta]],1))</f>
        <v>1</v>
      </c>
      <c r="AP754" t="b">
        <f>+ISNUMBER(SEARCH('F-VTA'!$F$35,Tabla11[[#This Row],[Cuenta]],1))</f>
        <v>1</v>
      </c>
      <c r="AQ754" t="b">
        <f>+ISNUMBER(SEARCH('F-VTA'!$F$36,Tabla11[[#This Row],[Cuenta]],1))</f>
        <v>1</v>
      </c>
      <c r="AR754" t="b">
        <f>+ISNUMBER(SEARCH(#REF!,Tabla11[[#This Row],[Cuenta]],1))</f>
        <v>0</v>
      </c>
      <c r="AS754" t="b">
        <f>+ISNUMBER(SEARCH(#REF!,Tabla11[[#This Row],[Cuenta]],1))</f>
        <v>0</v>
      </c>
      <c r="AT754" t="b">
        <f>+ISNUMBER(SEARCH(#REF!,Tabla11[[#This Row],[Cuenta]],1))</f>
        <v>0</v>
      </c>
      <c r="AU754" t="b">
        <f>+ISNUMBER(SEARCH('Conc. Ban.1'!$I$9,Tabla11[[#This Row],[Cuenta]],1))</f>
        <v>0</v>
      </c>
      <c r="AV754" t="b">
        <f>+ISNUMBER(SEARCH(CompConta!$F$21,Tabla11[[#This Row],[Cuenta]],1))</f>
        <v>1</v>
      </c>
      <c r="AW754" t="b">
        <f>+ISNUMBER(SEARCH(CompConta!$F$22,Tabla11[[#This Row],[Cuenta]],1))</f>
        <v>1</v>
      </c>
      <c r="AX754" t="b">
        <f>+ISNUMBER(SEARCH(CompConta!$F$23,Tabla11[[#This Row],[Cuenta]],1))</f>
        <v>1</v>
      </c>
      <c r="AY754" t="b">
        <f>+ISNUMBER(SEARCH(CompConta!$F$24,Tabla11[[#This Row],[Cuenta]],1))</f>
        <v>1</v>
      </c>
      <c r="AZ754" t="b">
        <f>+ISNUMBER(SEARCH(CompConta!$F$25,Tabla11[[#This Row],[Cuenta]],1))</f>
        <v>1</v>
      </c>
      <c r="BA754" t="b">
        <f>+ISNUMBER(SEARCH(CompConta!$F$26,Tabla11[[#This Row],[Cuenta]],1))</f>
        <v>1</v>
      </c>
      <c r="BB754" t="b">
        <f>+ISNUMBER(SEARCH(CompConta!$F$27,Tabla11[[#This Row],[Cuenta]],1))</f>
        <v>1</v>
      </c>
      <c r="BC754" t="b">
        <f>+ISNUMBER(SEARCH(CompConta!$F$28,Tabla11[[#This Row],[Cuenta]],1))</f>
        <v>1</v>
      </c>
      <c r="BD754" t="b">
        <f>+ISNUMBER(SEARCH(CompConta!$F$29,Tabla11[[#This Row],[Cuenta]],1))</f>
        <v>1</v>
      </c>
      <c r="BE754" t="b">
        <f>+ISNUMBER(SEARCH(CompConta!$F$30,Tabla11[[#This Row],[Cuenta]],1))</f>
        <v>1</v>
      </c>
      <c r="BF754" t="b">
        <f>+ISNUMBER(SEARCH('PAGO Compras'!$E$11,Tabla11[[#This Row],[Cuenta]],1))</f>
        <v>1</v>
      </c>
      <c r="BG754" t="b">
        <f>+ISNUMBER(SEARCH(#REF!,Tabla11[[#This Row],[Cuenta]],1))</f>
        <v>0</v>
      </c>
      <c r="BH754" t="b">
        <f>+ISNUMBER(SEARCH(#REF!,Tabla11[[#This Row],[Cuenta]],1))</f>
        <v>0</v>
      </c>
      <c r="BI754" t="b">
        <f>+ISNUMBER(SEARCH(#REF!,Tabla11[[#This Row],[Cuenta]],1))</f>
        <v>0</v>
      </c>
      <c r="BJ754" t="b">
        <f>+ISNUMBER(SEARCH(#REF!,Tabla11[[#This Row],[Cuenta]],1))</f>
        <v>0</v>
      </c>
      <c r="BS754" t="str">
        <v>421599 *Ajustes por inflación</v>
      </c>
      <c r="BT754" t="str">
        <v>421599 *Ajustes por inflación</v>
      </c>
      <c r="BU754" t="str">
        <v>421599 *Ajustes por inflación</v>
      </c>
      <c r="BV754" t="str">
        <v>421599 *Ajustes por inflación</v>
      </c>
      <c r="BZ754" t="str">
        <v>421599 *Ajustes por inflación</v>
      </c>
      <c r="CA754" t="str">
        <v>421599 *Ajustes por inflación</v>
      </c>
      <c r="CB754" t="str">
        <v>421599 *Ajustes por inflación</v>
      </c>
      <c r="CC754" t="str">
        <v>421599 *Ajustes por inflación</v>
      </c>
      <c r="CD754" t="str">
        <v>421599 *Ajustes por inflación</v>
      </c>
      <c r="CE754" t="str">
        <v>421599 *Ajustes por inflación</v>
      </c>
      <c r="CS754" s="141" t="str">
        <v>421599 *Ajustes por inflación</v>
      </c>
      <c r="CT754" s="141" t="str">
        <v>421599 *Ajustes por inflación</v>
      </c>
      <c r="CU754" s="141" t="str">
        <v>421599 *Ajustes por inflación</v>
      </c>
      <c r="CV754" s="141" t="str">
        <v>421599 *Ajustes por inflación</v>
      </c>
      <c r="CW754" s="141" t="str">
        <v>421599 *Ajustes por inflación</v>
      </c>
      <c r="CX754" s="141" t="str">
        <v>421599 *Ajustes por inflación</v>
      </c>
      <c r="CY754" s="141" t="str">
        <v>421599 *Ajustes por inflación</v>
      </c>
      <c r="CZ754" s="141" t="str">
        <v>421599 *Ajustes por inflación</v>
      </c>
      <c r="DA754" s="141" t="str">
        <v>421599 *Ajustes por inflación</v>
      </c>
      <c r="DF754" t="str">
        <v>421599 *Ajustes por inflación</v>
      </c>
      <c r="DG754" t="str">
        <v>421599 *Ajustes por inflación</v>
      </c>
      <c r="DH754" t="str">
        <v>421599 *Ajustes por inflación</v>
      </c>
      <c r="DI754" t="str">
        <v>421599 *Ajustes por inflación</v>
      </c>
      <c r="DJ754" t="str">
        <v>421599 *Ajustes por inflación</v>
      </c>
      <c r="DK754" t="str">
        <v>421599 *Ajustes por inflación</v>
      </c>
      <c r="DL754" t="str">
        <v>421599 *Ajustes por inflación</v>
      </c>
      <c r="DM754" t="str">
        <v>421599 *Ajustes por inflación</v>
      </c>
      <c r="DN754" t="str">
        <v>421599 *Ajustes por inflación</v>
      </c>
      <c r="DO754" t="str">
        <v>421599 *Ajustes por inflación</v>
      </c>
      <c r="DP754" t="str">
        <v>421599 *Ajustes por inflación</v>
      </c>
    </row>
    <row r="755" spans="4:120" ht="12.75">
      <c r="D755" s="7">
        <v>4250</v>
      </c>
      <c r="E755" s="6" t="s">
        <v>799</v>
      </c>
      <c r="F755" s="5">
        <v>3</v>
      </c>
      <c r="G755" s="34" t="s">
        <v>829</v>
      </c>
      <c r="H755" s="8" t="s">
        <v>56</v>
      </c>
      <c r="I755" t="b">
        <f>+ISNUMBER(SEARCH('F-COMPRA'!$F$28,Tabla11[[#This Row],[Cuenta]],1))</f>
        <v>1</v>
      </c>
      <c r="J755" t="b">
        <f>+ISNUMBER(SEARCH('F-COMPRA'!$F$29,Tabla11[[#This Row],[Cuenta]],1))</f>
        <v>1</v>
      </c>
      <c r="K755" t="b">
        <f>+ISNUMBER(SEARCH('F-COMPRA'!$F$30,Tabla11[[#This Row],[Cuenta]],1))</f>
        <v>1</v>
      </c>
      <c r="L755" t="b">
        <f>+ISNUMBER(SEARCH('F-COMPRA'!$F$31,Tabla11[[#This Row],[Cuenta]],1))</f>
        <v>1</v>
      </c>
      <c r="M755" t="b">
        <f>+ISNUMBER(SEARCH('F-COMPRA'!$G$25,Tabla11[[#This Row],[Cuenta]],1))</f>
        <v>0</v>
      </c>
      <c r="N755" t="b">
        <f>+ISNUMBER(SEARCH(#REF!,Tabla11[[#This Row],[Cuenta]],1))</f>
        <v>0</v>
      </c>
      <c r="O755" t="b">
        <f>+ISNUMBER(SEARCH(#REF!,Tabla11[[#This Row],[Cuenta]],1))</f>
        <v>0</v>
      </c>
      <c r="P755" t="b">
        <f>+ISNUMBER(SEARCH('F-COMPRA'!$F$32,Tabla11[[#This Row],[Cuenta]],1))</f>
        <v>1</v>
      </c>
      <c r="Q755" t="b">
        <f>+ISNUMBER(SEARCH('F-COMPRA'!$F$33,Tabla11[[#This Row],[Cuenta]],1))</f>
        <v>1</v>
      </c>
      <c r="R755" t="b">
        <f>+ISNUMBER(SEARCH('F-COMPRA'!$F$34,Tabla11[[#This Row],[Cuenta]],1))</f>
        <v>1</v>
      </c>
      <c r="S755" t="b">
        <f>+ISNUMBER(SEARCH('F-COMPRA'!$F$35,Tabla11[[#This Row],[Cuenta]],1))</f>
        <v>1</v>
      </c>
      <c r="T755" t="b">
        <f>+ISNUMBER(SEARCH('F-COMPRA'!$F$36,Tabla11[[#This Row],[Cuenta]],1))</f>
        <v>1</v>
      </c>
      <c r="U755" t="b">
        <f>+ISNUMBER(SEARCH('F-COMPRA'!$F$37,Tabla11[[#This Row],[Cuenta]],1))</f>
        <v>1</v>
      </c>
      <c r="V755" t="b">
        <f>+ISNUMBER(SEARCH(#REF!,Tabla11[[#This Row],[Cuenta]],1))</f>
        <v>0</v>
      </c>
      <c r="W755" t="b">
        <f>+ISNUMBER(SEARCH('F-COMPRA'!#REF!,Tabla11[[#This Row],[Cuenta]],1))</f>
        <v>0</v>
      </c>
      <c r="X755" t="b">
        <f>+ISNUMBER(SEARCH('F-COMPRA'!#REF!,Tabla11[[#This Row],[Cuenta]],1))</f>
        <v>0</v>
      </c>
      <c r="Y755" t="b">
        <f>+ISNUMBER(SEARCH('F-COMPRA'!#REF!,Tabla11[[#This Row],[Cuenta]],1))</f>
        <v>0</v>
      </c>
      <c r="Z755" t="b">
        <f>+ISNUMBER(SEARCH('F-COMPRA'!#REF!,Tabla11[[#This Row],[Cuenta]],1))</f>
        <v>0</v>
      </c>
      <c r="AA755" t="b">
        <f>+ISNUMBER(SEARCH('F-COMPRA'!#REF!,Tabla11[[#This Row],[Cuenta]],1))</f>
        <v>0</v>
      </c>
      <c r="AB755" t="b">
        <f>+ISNUMBER(SEARCH('F-COMPRA'!#REF!,Tabla11[[#This Row],[Cuenta]],1))</f>
        <v>0</v>
      </c>
      <c r="AC755" t="b">
        <f>+ISNUMBER(SEARCH('F-COMPRA'!#REF!,Tabla11[[#This Row],[Cuenta]],1))</f>
        <v>0</v>
      </c>
      <c r="AD755" t="b">
        <f>+ISNUMBER(SEARCH('F-COMPRA'!#REF!,Tabla11[[#This Row],[Cuenta]],1))</f>
        <v>0</v>
      </c>
      <c r="AE755" t="b">
        <f>+ISNUMBER(SEARCH('F-COMPRA'!#REF!,Tabla11[[#This Row],[Cuenta]],1))</f>
        <v>0</v>
      </c>
      <c r="AF755" t="b">
        <f>+ISNUMBER(SEARCH('F-VTA'!$G$23,Tabla11[[#This Row],[Cuenta]],1))</f>
        <v>0</v>
      </c>
      <c r="AG755" t="b">
        <f>+ISNUMBER(SEARCH('F-VTA'!$G$24,Tabla11[[#This Row],[Cuenta]],1))</f>
        <v>0</v>
      </c>
      <c r="AH755" t="b">
        <f>+ISNUMBER(SEARCH('F-VTA'!$G$25,Tabla11[[#This Row],[Cuenta]],1))</f>
        <v>0</v>
      </c>
      <c r="AI755" t="b">
        <f>+ISNUMBER(SEARCH('F-VTA'!$F$28,Tabla11[[#This Row],[Cuenta]],1))</f>
        <v>1</v>
      </c>
      <c r="AJ755" t="b">
        <f>+ISNUMBER(SEARCH('F-VTA'!$F$29,Tabla11[[#This Row],[Cuenta]],1))</f>
        <v>1</v>
      </c>
      <c r="AK755" t="b">
        <f>+ISNUMBER(SEARCH('F-VTA'!$F$30,Tabla11[[#This Row],[Cuenta]],1))</f>
        <v>1</v>
      </c>
      <c r="AL755" t="b">
        <f>+ISNUMBER(SEARCH('F-VTA'!$F$31,Tabla11[[#This Row],[Cuenta]],1))</f>
        <v>1</v>
      </c>
      <c r="AM755" t="b">
        <f>+ISNUMBER(SEARCH('F-VTA'!$F$32,Tabla11[[#This Row],[Cuenta]],1))</f>
        <v>1</v>
      </c>
      <c r="AN755" t="b">
        <f>+ISNUMBER(SEARCH('F-VTA'!$F$33,Tabla11[[#This Row],[Cuenta]],1))</f>
        <v>1</v>
      </c>
      <c r="AO755" t="b">
        <f>+ISNUMBER(SEARCH('F-VTA'!$F$34,Tabla11[[#This Row],[Cuenta]],1))</f>
        <v>1</v>
      </c>
      <c r="AP755" t="b">
        <f>+ISNUMBER(SEARCH('F-VTA'!$F$35,Tabla11[[#This Row],[Cuenta]],1))</f>
        <v>1</v>
      </c>
      <c r="AQ755" t="b">
        <f>+ISNUMBER(SEARCH('F-VTA'!$F$36,Tabla11[[#This Row],[Cuenta]],1))</f>
        <v>1</v>
      </c>
      <c r="AR755" t="b">
        <f>+ISNUMBER(SEARCH(#REF!,Tabla11[[#This Row],[Cuenta]],1))</f>
        <v>0</v>
      </c>
      <c r="AS755" t="b">
        <f>+ISNUMBER(SEARCH(#REF!,Tabla11[[#This Row],[Cuenta]],1))</f>
        <v>0</v>
      </c>
      <c r="AT755" t="b">
        <f>+ISNUMBER(SEARCH(#REF!,Tabla11[[#This Row],[Cuenta]],1))</f>
        <v>0</v>
      </c>
      <c r="AU755" t="b">
        <f>+ISNUMBER(SEARCH('Conc. Ban.1'!$I$9,Tabla11[[#This Row],[Cuenta]],1))</f>
        <v>0</v>
      </c>
      <c r="AV755" t="b">
        <f>+ISNUMBER(SEARCH(CompConta!$F$21,Tabla11[[#This Row],[Cuenta]],1))</f>
        <v>1</v>
      </c>
      <c r="AW755" t="b">
        <f>+ISNUMBER(SEARCH(CompConta!$F$22,Tabla11[[#This Row],[Cuenta]],1))</f>
        <v>1</v>
      </c>
      <c r="AX755" t="b">
        <f>+ISNUMBER(SEARCH(CompConta!$F$23,Tabla11[[#This Row],[Cuenta]],1))</f>
        <v>1</v>
      </c>
      <c r="AY755" t="b">
        <f>+ISNUMBER(SEARCH(CompConta!$F$24,Tabla11[[#This Row],[Cuenta]],1))</f>
        <v>1</v>
      </c>
      <c r="AZ755" t="b">
        <f>+ISNUMBER(SEARCH(CompConta!$F$25,Tabla11[[#This Row],[Cuenta]],1))</f>
        <v>1</v>
      </c>
      <c r="BA755" t="b">
        <f>+ISNUMBER(SEARCH(CompConta!$F$26,Tabla11[[#This Row],[Cuenta]],1))</f>
        <v>1</v>
      </c>
      <c r="BB755" t="b">
        <f>+ISNUMBER(SEARCH(CompConta!$F$27,Tabla11[[#This Row],[Cuenta]],1))</f>
        <v>1</v>
      </c>
      <c r="BC755" t="b">
        <f>+ISNUMBER(SEARCH(CompConta!$F$28,Tabla11[[#This Row],[Cuenta]],1))</f>
        <v>1</v>
      </c>
      <c r="BD755" t="b">
        <f>+ISNUMBER(SEARCH(CompConta!$F$29,Tabla11[[#This Row],[Cuenta]],1))</f>
        <v>1</v>
      </c>
      <c r="BE755" t="b">
        <f>+ISNUMBER(SEARCH(CompConta!$F$30,Tabla11[[#This Row],[Cuenta]],1))</f>
        <v>1</v>
      </c>
      <c r="BF755" t="b">
        <f>+ISNUMBER(SEARCH('PAGO Compras'!$E$11,Tabla11[[#This Row],[Cuenta]],1))</f>
        <v>1</v>
      </c>
      <c r="BG755" t="b">
        <f>+ISNUMBER(SEARCH(#REF!,Tabla11[[#This Row],[Cuenta]],1))</f>
        <v>0</v>
      </c>
      <c r="BH755" t="b">
        <f>+ISNUMBER(SEARCH(#REF!,Tabla11[[#This Row],[Cuenta]],1))</f>
        <v>0</v>
      </c>
      <c r="BI755" t="b">
        <f>+ISNUMBER(SEARCH(#REF!,Tabla11[[#This Row],[Cuenta]],1))</f>
        <v>0</v>
      </c>
      <c r="BJ755" t="b">
        <f>+ISNUMBER(SEARCH(#REF!,Tabla11[[#This Row],[Cuenta]],1))</f>
        <v>0</v>
      </c>
      <c r="BS755" t="str">
        <v>4250 RECUPERACIONES</v>
      </c>
      <c r="BT755" t="str">
        <v>4250 RECUPERACIONES</v>
      </c>
      <c r="BU755" t="str">
        <v>4250 RECUPERACIONES</v>
      </c>
      <c r="BV755" t="str">
        <v>4250 RECUPERACIONES</v>
      </c>
      <c r="BZ755" t="str">
        <v>4250 RECUPERACIONES</v>
      </c>
      <c r="CA755" t="str">
        <v>4250 RECUPERACIONES</v>
      </c>
      <c r="CB755" t="str">
        <v>4250 RECUPERACIONES</v>
      </c>
      <c r="CC755" t="str">
        <v>4250 RECUPERACIONES</v>
      </c>
      <c r="CD755" t="str">
        <v>4250 RECUPERACIONES</v>
      </c>
      <c r="CE755" t="str">
        <v>4250 RECUPERACIONES</v>
      </c>
      <c r="CS755" s="141" t="str">
        <v>4250 RECUPERACIONES</v>
      </c>
      <c r="CT755" s="141" t="str">
        <v>4250 RECUPERACIONES</v>
      </c>
      <c r="CU755" s="141" t="str">
        <v>4250 RECUPERACIONES</v>
      </c>
      <c r="CV755" s="141" t="str">
        <v>4250 RECUPERACIONES</v>
      </c>
      <c r="CW755" s="141" t="str">
        <v>4250 RECUPERACIONES</v>
      </c>
      <c r="CX755" s="141" t="str">
        <v>4250 RECUPERACIONES</v>
      </c>
      <c r="CY755" s="141" t="str">
        <v>4250 RECUPERACIONES</v>
      </c>
      <c r="CZ755" s="141" t="str">
        <v>4250 RECUPERACIONES</v>
      </c>
      <c r="DA755" s="141" t="str">
        <v>4250 RECUPERACIONES</v>
      </c>
      <c r="DF755" t="str">
        <v>4250 RECUPERACIONES</v>
      </c>
      <c r="DG755" t="str">
        <v>4250 RECUPERACIONES</v>
      </c>
      <c r="DH755" t="str">
        <v>4250 RECUPERACIONES</v>
      </c>
      <c r="DI755" t="str">
        <v>4250 RECUPERACIONES</v>
      </c>
      <c r="DJ755" t="str">
        <v>4250 RECUPERACIONES</v>
      </c>
      <c r="DK755" t="str">
        <v>4250 RECUPERACIONES</v>
      </c>
      <c r="DL755" t="str">
        <v>4250 RECUPERACIONES</v>
      </c>
      <c r="DM755" t="str">
        <v>4250 RECUPERACIONES</v>
      </c>
      <c r="DN755" t="str">
        <v>4250 RECUPERACIONES</v>
      </c>
      <c r="DO755" t="str">
        <v>4250 RECUPERACIONES</v>
      </c>
      <c r="DP755" t="str">
        <v>4250 RECUPERACIONES</v>
      </c>
    </row>
    <row r="756" spans="4:120" ht="12.75">
      <c r="D756" s="7">
        <v>425050</v>
      </c>
      <c r="E756" s="6" t="s">
        <v>800</v>
      </c>
      <c r="F756" s="5">
        <v>4</v>
      </c>
      <c r="G756" s="34" t="s">
        <v>829</v>
      </c>
      <c r="H756" s="8" t="s">
        <v>56</v>
      </c>
      <c r="I756" t="b">
        <f>+ISNUMBER(SEARCH('F-COMPRA'!$F$28,Tabla11[[#This Row],[Cuenta]],1))</f>
        <v>1</v>
      </c>
      <c r="J756" t="b">
        <f>+ISNUMBER(SEARCH('F-COMPRA'!$F$29,Tabla11[[#This Row],[Cuenta]],1))</f>
        <v>1</v>
      </c>
      <c r="K756" t="b">
        <f>+ISNUMBER(SEARCH('F-COMPRA'!$F$30,Tabla11[[#This Row],[Cuenta]],1))</f>
        <v>1</v>
      </c>
      <c r="L756" t="b">
        <f>+ISNUMBER(SEARCH('F-COMPRA'!$F$31,Tabla11[[#This Row],[Cuenta]],1))</f>
        <v>1</v>
      </c>
      <c r="M756" t="b">
        <f>+ISNUMBER(SEARCH('F-COMPRA'!$G$25,Tabla11[[#This Row],[Cuenta]],1))</f>
        <v>0</v>
      </c>
      <c r="N756" t="b">
        <f>+ISNUMBER(SEARCH(#REF!,Tabla11[[#This Row],[Cuenta]],1))</f>
        <v>0</v>
      </c>
      <c r="O756" t="b">
        <f>+ISNUMBER(SEARCH(#REF!,Tabla11[[#This Row],[Cuenta]],1))</f>
        <v>0</v>
      </c>
      <c r="P756" t="b">
        <f>+ISNUMBER(SEARCH('F-COMPRA'!$F$32,Tabla11[[#This Row],[Cuenta]],1))</f>
        <v>1</v>
      </c>
      <c r="Q756" t="b">
        <f>+ISNUMBER(SEARCH('F-COMPRA'!$F$33,Tabla11[[#This Row],[Cuenta]],1))</f>
        <v>1</v>
      </c>
      <c r="R756" t="b">
        <f>+ISNUMBER(SEARCH('F-COMPRA'!$F$34,Tabla11[[#This Row],[Cuenta]],1))</f>
        <v>1</v>
      </c>
      <c r="S756" t="b">
        <f>+ISNUMBER(SEARCH('F-COMPRA'!$F$35,Tabla11[[#This Row],[Cuenta]],1))</f>
        <v>1</v>
      </c>
      <c r="T756" t="b">
        <f>+ISNUMBER(SEARCH('F-COMPRA'!$F$36,Tabla11[[#This Row],[Cuenta]],1))</f>
        <v>1</v>
      </c>
      <c r="U756" t="b">
        <f>+ISNUMBER(SEARCH('F-COMPRA'!$F$37,Tabla11[[#This Row],[Cuenta]],1))</f>
        <v>1</v>
      </c>
      <c r="V756" t="b">
        <f>+ISNUMBER(SEARCH(#REF!,Tabla11[[#This Row],[Cuenta]],1))</f>
        <v>0</v>
      </c>
      <c r="W756" t="b">
        <f>+ISNUMBER(SEARCH('F-COMPRA'!#REF!,Tabla11[[#This Row],[Cuenta]],1))</f>
        <v>0</v>
      </c>
      <c r="X756" t="b">
        <f>+ISNUMBER(SEARCH('F-COMPRA'!#REF!,Tabla11[[#This Row],[Cuenta]],1))</f>
        <v>0</v>
      </c>
      <c r="Y756" t="b">
        <f>+ISNUMBER(SEARCH('F-COMPRA'!#REF!,Tabla11[[#This Row],[Cuenta]],1))</f>
        <v>0</v>
      </c>
      <c r="Z756" t="b">
        <f>+ISNUMBER(SEARCH('F-COMPRA'!#REF!,Tabla11[[#This Row],[Cuenta]],1))</f>
        <v>0</v>
      </c>
      <c r="AA756" t="b">
        <f>+ISNUMBER(SEARCH('F-COMPRA'!#REF!,Tabla11[[#This Row],[Cuenta]],1))</f>
        <v>0</v>
      </c>
      <c r="AB756" t="b">
        <f>+ISNUMBER(SEARCH('F-COMPRA'!#REF!,Tabla11[[#This Row],[Cuenta]],1))</f>
        <v>0</v>
      </c>
      <c r="AC756" t="b">
        <f>+ISNUMBER(SEARCH('F-COMPRA'!#REF!,Tabla11[[#This Row],[Cuenta]],1))</f>
        <v>0</v>
      </c>
      <c r="AD756" t="b">
        <f>+ISNUMBER(SEARCH('F-COMPRA'!#REF!,Tabla11[[#This Row],[Cuenta]],1))</f>
        <v>0</v>
      </c>
      <c r="AE756" t="b">
        <f>+ISNUMBER(SEARCH('F-COMPRA'!#REF!,Tabla11[[#This Row],[Cuenta]],1))</f>
        <v>0</v>
      </c>
      <c r="AF756" t="b">
        <f>+ISNUMBER(SEARCH('F-VTA'!$G$23,Tabla11[[#This Row],[Cuenta]],1))</f>
        <v>0</v>
      </c>
      <c r="AG756" t="b">
        <f>+ISNUMBER(SEARCH('F-VTA'!$G$24,Tabla11[[#This Row],[Cuenta]],1))</f>
        <v>0</v>
      </c>
      <c r="AH756" t="b">
        <f>+ISNUMBER(SEARCH('F-VTA'!$G$25,Tabla11[[#This Row],[Cuenta]],1))</f>
        <v>0</v>
      </c>
      <c r="AI756" t="b">
        <f>+ISNUMBER(SEARCH('F-VTA'!$F$28,Tabla11[[#This Row],[Cuenta]],1))</f>
        <v>1</v>
      </c>
      <c r="AJ756" t="b">
        <f>+ISNUMBER(SEARCH('F-VTA'!$F$29,Tabla11[[#This Row],[Cuenta]],1))</f>
        <v>1</v>
      </c>
      <c r="AK756" t="b">
        <f>+ISNUMBER(SEARCH('F-VTA'!$F$30,Tabla11[[#This Row],[Cuenta]],1))</f>
        <v>1</v>
      </c>
      <c r="AL756" t="b">
        <f>+ISNUMBER(SEARCH('F-VTA'!$F$31,Tabla11[[#This Row],[Cuenta]],1))</f>
        <v>1</v>
      </c>
      <c r="AM756" t="b">
        <f>+ISNUMBER(SEARCH('F-VTA'!$F$32,Tabla11[[#This Row],[Cuenta]],1))</f>
        <v>1</v>
      </c>
      <c r="AN756" t="b">
        <f>+ISNUMBER(SEARCH('F-VTA'!$F$33,Tabla11[[#This Row],[Cuenta]],1))</f>
        <v>1</v>
      </c>
      <c r="AO756" t="b">
        <f>+ISNUMBER(SEARCH('F-VTA'!$F$34,Tabla11[[#This Row],[Cuenta]],1))</f>
        <v>1</v>
      </c>
      <c r="AP756" t="b">
        <f>+ISNUMBER(SEARCH('F-VTA'!$F$35,Tabla11[[#This Row],[Cuenta]],1))</f>
        <v>1</v>
      </c>
      <c r="AQ756" t="b">
        <f>+ISNUMBER(SEARCH('F-VTA'!$F$36,Tabla11[[#This Row],[Cuenta]],1))</f>
        <v>1</v>
      </c>
      <c r="AR756" t="b">
        <f>+ISNUMBER(SEARCH(#REF!,Tabla11[[#This Row],[Cuenta]],1))</f>
        <v>0</v>
      </c>
      <c r="AS756" t="b">
        <f>+ISNUMBER(SEARCH(#REF!,Tabla11[[#This Row],[Cuenta]],1))</f>
        <v>0</v>
      </c>
      <c r="AT756" t="b">
        <f>+ISNUMBER(SEARCH(#REF!,Tabla11[[#This Row],[Cuenta]],1))</f>
        <v>0</v>
      </c>
      <c r="AU756" t="b">
        <f>+ISNUMBER(SEARCH('Conc. Ban.1'!$I$9,Tabla11[[#This Row],[Cuenta]],1))</f>
        <v>0</v>
      </c>
      <c r="AV756" t="b">
        <f>+ISNUMBER(SEARCH(CompConta!$F$21,Tabla11[[#This Row],[Cuenta]],1))</f>
        <v>1</v>
      </c>
      <c r="AW756" t="b">
        <f>+ISNUMBER(SEARCH(CompConta!$F$22,Tabla11[[#This Row],[Cuenta]],1))</f>
        <v>1</v>
      </c>
      <c r="AX756" t="b">
        <f>+ISNUMBER(SEARCH(CompConta!$F$23,Tabla11[[#This Row],[Cuenta]],1))</f>
        <v>1</v>
      </c>
      <c r="AY756" t="b">
        <f>+ISNUMBER(SEARCH(CompConta!$F$24,Tabla11[[#This Row],[Cuenta]],1))</f>
        <v>1</v>
      </c>
      <c r="AZ756" t="b">
        <f>+ISNUMBER(SEARCH(CompConta!$F$25,Tabla11[[#This Row],[Cuenta]],1))</f>
        <v>1</v>
      </c>
      <c r="BA756" t="b">
        <f>+ISNUMBER(SEARCH(CompConta!$F$26,Tabla11[[#This Row],[Cuenta]],1))</f>
        <v>1</v>
      </c>
      <c r="BB756" t="b">
        <f>+ISNUMBER(SEARCH(CompConta!$F$27,Tabla11[[#This Row],[Cuenta]],1))</f>
        <v>1</v>
      </c>
      <c r="BC756" t="b">
        <f>+ISNUMBER(SEARCH(CompConta!$F$28,Tabla11[[#This Row],[Cuenta]],1))</f>
        <v>1</v>
      </c>
      <c r="BD756" t="b">
        <f>+ISNUMBER(SEARCH(CompConta!$F$29,Tabla11[[#This Row],[Cuenta]],1))</f>
        <v>1</v>
      </c>
      <c r="BE756" t="b">
        <f>+ISNUMBER(SEARCH(CompConta!$F$30,Tabla11[[#This Row],[Cuenta]],1))</f>
        <v>1</v>
      </c>
      <c r="BF756" t="b">
        <f>+ISNUMBER(SEARCH('PAGO Compras'!$E$11,Tabla11[[#This Row],[Cuenta]],1))</f>
        <v>1</v>
      </c>
      <c r="BG756" t="b">
        <f>+ISNUMBER(SEARCH(#REF!,Tabla11[[#This Row],[Cuenta]],1))</f>
        <v>0</v>
      </c>
      <c r="BH756" t="b">
        <f>+ISNUMBER(SEARCH(#REF!,Tabla11[[#This Row],[Cuenta]],1))</f>
        <v>0</v>
      </c>
      <c r="BI756" t="b">
        <f>+ISNUMBER(SEARCH(#REF!,Tabla11[[#This Row],[Cuenta]],1))</f>
        <v>0</v>
      </c>
      <c r="BJ756" t="b">
        <f>+ISNUMBER(SEARCH(#REF!,Tabla11[[#This Row],[Cuenta]],1))</f>
        <v>0</v>
      </c>
      <c r="BS756" t="str">
        <v>425050 REINTEGRO DE OTROS COSTOS Y GASTOS</v>
      </c>
      <c r="BT756" t="str">
        <v>425050 REINTEGRO DE OTROS COSTOS Y GASTOS</v>
      </c>
      <c r="BU756" t="str">
        <v>425050 REINTEGRO DE OTROS COSTOS Y GASTOS</v>
      </c>
      <c r="BV756" t="str">
        <v>425050 REINTEGRO DE OTROS COSTOS Y GASTOS</v>
      </c>
      <c r="BZ756" t="str">
        <v>425050 REINTEGRO DE OTROS COSTOS Y GASTOS</v>
      </c>
      <c r="CA756" t="str">
        <v>425050 REINTEGRO DE OTROS COSTOS Y GASTOS</v>
      </c>
      <c r="CB756" t="str">
        <v>425050 REINTEGRO DE OTROS COSTOS Y GASTOS</v>
      </c>
      <c r="CC756" t="str">
        <v>425050 REINTEGRO DE OTROS COSTOS Y GASTOS</v>
      </c>
      <c r="CD756" t="str">
        <v>425050 REINTEGRO DE OTROS COSTOS Y GASTOS</v>
      </c>
      <c r="CE756" t="str">
        <v>425050 REINTEGRO DE OTROS COSTOS Y GASTOS</v>
      </c>
      <c r="CS756" s="141" t="str">
        <v>425050 REINTEGRO DE OTROS COSTOS Y GASTOS</v>
      </c>
      <c r="CT756" s="141" t="str">
        <v>425050 REINTEGRO DE OTROS COSTOS Y GASTOS</v>
      </c>
      <c r="CU756" s="141" t="str">
        <v>425050 REINTEGRO DE OTROS COSTOS Y GASTOS</v>
      </c>
      <c r="CV756" s="141" t="str">
        <v>425050 REINTEGRO DE OTROS COSTOS Y GASTOS</v>
      </c>
      <c r="CW756" s="141" t="str">
        <v>425050 REINTEGRO DE OTROS COSTOS Y GASTOS</v>
      </c>
      <c r="CX756" s="141" t="str">
        <v>425050 REINTEGRO DE OTROS COSTOS Y GASTOS</v>
      </c>
      <c r="CY756" s="141" t="str">
        <v>425050 REINTEGRO DE OTROS COSTOS Y GASTOS</v>
      </c>
      <c r="CZ756" s="141" t="str">
        <v>425050 REINTEGRO DE OTROS COSTOS Y GASTOS</v>
      </c>
      <c r="DA756" s="141" t="str">
        <v>425050 REINTEGRO DE OTROS COSTOS Y GASTOS</v>
      </c>
      <c r="DF756" t="str">
        <v>425050 REINTEGRO DE OTROS COSTOS Y GASTOS</v>
      </c>
      <c r="DG756" t="str">
        <v>425050 REINTEGRO DE OTROS COSTOS Y GASTOS</v>
      </c>
      <c r="DH756" t="str">
        <v>425050 REINTEGRO DE OTROS COSTOS Y GASTOS</v>
      </c>
      <c r="DI756" t="str">
        <v>425050 REINTEGRO DE OTROS COSTOS Y GASTOS</v>
      </c>
      <c r="DJ756" t="str">
        <v>425050 REINTEGRO DE OTROS COSTOS Y GASTOS</v>
      </c>
      <c r="DK756" t="str">
        <v>425050 REINTEGRO DE OTROS COSTOS Y GASTOS</v>
      </c>
      <c r="DL756" t="str">
        <v>425050 REINTEGRO DE OTROS COSTOS Y GASTOS</v>
      </c>
      <c r="DM756" t="str">
        <v>425050 REINTEGRO DE OTROS COSTOS Y GASTOS</v>
      </c>
      <c r="DN756" t="str">
        <v>425050 REINTEGRO DE OTROS COSTOS Y GASTOS</v>
      </c>
      <c r="DO756" t="str">
        <v>425050 REINTEGRO DE OTROS COSTOS Y GASTOS</v>
      </c>
      <c r="DP756" t="str">
        <v>425050 REINTEGRO DE OTROS COSTOS Y GASTOS</v>
      </c>
    </row>
    <row r="757" spans="4:120" ht="12.75">
      <c r="D757" s="7">
        <v>4295</v>
      </c>
      <c r="E757" s="6" t="s">
        <v>801</v>
      </c>
      <c r="F757" s="5">
        <v>3</v>
      </c>
      <c r="G757" s="34" t="s">
        <v>829</v>
      </c>
      <c r="H757" s="8" t="s">
        <v>56</v>
      </c>
      <c r="I757" t="b">
        <f>+ISNUMBER(SEARCH('F-COMPRA'!$F$28,Tabla11[[#This Row],[Cuenta]],1))</f>
        <v>1</v>
      </c>
      <c r="J757" t="b">
        <f>+ISNUMBER(SEARCH('F-COMPRA'!$F$29,Tabla11[[#This Row],[Cuenta]],1))</f>
        <v>1</v>
      </c>
      <c r="K757" t="b">
        <f>+ISNUMBER(SEARCH('F-COMPRA'!$F$30,Tabla11[[#This Row],[Cuenta]],1))</f>
        <v>1</v>
      </c>
      <c r="L757" t="b">
        <f>+ISNUMBER(SEARCH('F-COMPRA'!$F$31,Tabla11[[#This Row],[Cuenta]],1))</f>
        <v>1</v>
      </c>
      <c r="M757" t="b">
        <f>+ISNUMBER(SEARCH('F-COMPRA'!$G$25,Tabla11[[#This Row],[Cuenta]],1))</f>
        <v>0</v>
      </c>
      <c r="N757" t="b">
        <f>+ISNUMBER(SEARCH(#REF!,Tabla11[[#This Row],[Cuenta]],1))</f>
        <v>0</v>
      </c>
      <c r="O757" t="b">
        <f>+ISNUMBER(SEARCH(#REF!,Tabla11[[#This Row],[Cuenta]],1))</f>
        <v>0</v>
      </c>
      <c r="P757" t="b">
        <f>+ISNUMBER(SEARCH('F-COMPRA'!$F$32,Tabla11[[#This Row],[Cuenta]],1))</f>
        <v>1</v>
      </c>
      <c r="Q757" t="b">
        <f>+ISNUMBER(SEARCH('F-COMPRA'!$F$33,Tabla11[[#This Row],[Cuenta]],1))</f>
        <v>1</v>
      </c>
      <c r="R757" t="b">
        <f>+ISNUMBER(SEARCH('F-COMPRA'!$F$34,Tabla11[[#This Row],[Cuenta]],1))</f>
        <v>1</v>
      </c>
      <c r="S757" t="b">
        <f>+ISNUMBER(SEARCH('F-COMPRA'!$F$35,Tabla11[[#This Row],[Cuenta]],1))</f>
        <v>1</v>
      </c>
      <c r="T757" t="b">
        <f>+ISNUMBER(SEARCH('F-COMPRA'!$F$36,Tabla11[[#This Row],[Cuenta]],1))</f>
        <v>1</v>
      </c>
      <c r="U757" t="b">
        <f>+ISNUMBER(SEARCH('F-COMPRA'!$F$37,Tabla11[[#This Row],[Cuenta]],1))</f>
        <v>1</v>
      </c>
      <c r="V757" t="b">
        <f>+ISNUMBER(SEARCH(#REF!,Tabla11[[#This Row],[Cuenta]],1))</f>
        <v>0</v>
      </c>
      <c r="W757" t="b">
        <f>+ISNUMBER(SEARCH('F-COMPRA'!#REF!,Tabla11[[#This Row],[Cuenta]],1))</f>
        <v>0</v>
      </c>
      <c r="X757" t="b">
        <f>+ISNUMBER(SEARCH('F-COMPRA'!#REF!,Tabla11[[#This Row],[Cuenta]],1))</f>
        <v>0</v>
      </c>
      <c r="Y757" t="b">
        <f>+ISNUMBER(SEARCH('F-COMPRA'!#REF!,Tabla11[[#This Row],[Cuenta]],1))</f>
        <v>0</v>
      </c>
      <c r="Z757" t="b">
        <f>+ISNUMBER(SEARCH('F-COMPRA'!#REF!,Tabla11[[#This Row],[Cuenta]],1))</f>
        <v>0</v>
      </c>
      <c r="AA757" t="b">
        <f>+ISNUMBER(SEARCH('F-COMPRA'!#REF!,Tabla11[[#This Row],[Cuenta]],1))</f>
        <v>0</v>
      </c>
      <c r="AB757" t="b">
        <f>+ISNUMBER(SEARCH('F-COMPRA'!#REF!,Tabla11[[#This Row],[Cuenta]],1))</f>
        <v>0</v>
      </c>
      <c r="AC757" t="b">
        <f>+ISNUMBER(SEARCH('F-COMPRA'!#REF!,Tabla11[[#This Row],[Cuenta]],1))</f>
        <v>0</v>
      </c>
      <c r="AD757" t="b">
        <f>+ISNUMBER(SEARCH('F-COMPRA'!#REF!,Tabla11[[#This Row],[Cuenta]],1))</f>
        <v>0</v>
      </c>
      <c r="AE757" t="b">
        <f>+ISNUMBER(SEARCH('F-COMPRA'!#REF!,Tabla11[[#This Row],[Cuenta]],1))</f>
        <v>0</v>
      </c>
      <c r="AF757" t="b">
        <f>+ISNUMBER(SEARCH('F-VTA'!$G$23,Tabla11[[#This Row],[Cuenta]],1))</f>
        <v>0</v>
      </c>
      <c r="AG757" t="b">
        <f>+ISNUMBER(SEARCH('F-VTA'!$G$24,Tabla11[[#This Row],[Cuenta]],1))</f>
        <v>0</v>
      </c>
      <c r="AH757" t="b">
        <f>+ISNUMBER(SEARCH('F-VTA'!$G$25,Tabla11[[#This Row],[Cuenta]],1))</f>
        <v>0</v>
      </c>
      <c r="AI757" t="b">
        <f>+ISNUMBER(SEARCH('F-VTA'!$F$28,Tabla11[[#This Row],[Cuenta]],1))</f>
        <v>1</v>
      </c>
      <c r="AJ757" t="b">
        <f>+ISNUMBER(SEARCH('F-VTA'!$F$29,Tabla11[[#This Row],[Cuenta]],1))</f>
        <v>1</v>
      </c>
      <c r="AK757" t="b">
        <f>+ISNUMBER(SEARCH('F-VTA'!$F$30,Tabla11[[#This Row],[Cuenta]],1))</f>
        <v>1</v>
      </c>
      <c r="AL757" t="b">
        <f>+ISNUMBER(SEARCH('F-VTA'!$F$31,Tabla11[[#This Row],[Cuenta]],1))</f>
        <v>1</v>
      </c>
      <c r="AM757" t="b">
        <f>+ISNUMBER(SEARCH('F-VTA'!$F$32,Tabla11[[#This Row],[Cuenta]],1))</f>
        <v>1</v>
      </c>
      <c r="AN757" t="b">
        <f>+ISNUMBER(SEARCH('F-VTA'!$F$33,Tabla11[[#This Row],[Cuenta]],1))</f>
        <v>1</v>
      </c>
      <c r="AO757" t="b">
        <f>+ISNUMBER(SEARCH('F-VTA'!$F$34,Tabla11[[#This Row],[Cuenta]],1))</f>
        <v>1</v>
      </c>
      <c r="AP757" t="b">
        <f>+ISNUMBER(SEARCH('F-VTA'!$F$35,Tabla11[[#This Row],[Cuenta]],1))</f>
        <v>1</v>
      </c>
      <c r="AQ757" t="b">
        <f>+ISNUMBER(SEARCH('F-VTA'!$F$36,Tabla11[[#This Row],[Cuenta]],1))</f>
        <v>1</v>
      </c>
      <c r="AR757" t="b">
        <f>+ISNUMBER(SEARCH(#REF!,Tabla11[[#This Row],[Cuenta]],1))</f>
        <v>0</v>
      </c>
      <c r="AS757" t="b">
        <f>+ISNUMBER(SEARCH(#REF!,Tabla11[[#This Row],[Cuenta]],1))</f>
        <v>0</v>
      </c>
      <c r="AT757" t="b">
        <f>+ISNUMBER(SEARCH(#REF!,Tabla11[[#This Row],[Cuenta]],1))</f>
        <v>0</v>
      </c>
      <c r="AU757" t="b">
        <f>+ISNUMBER(SEARCH('Conc. Ban.1'!$I$9,Tabla11[[#This Row],[Cuenta]],1))</f>
        <v>0</v>
      </c>
      <c r="AV757" t="b">
        <f>+ISNUMBER(SEARCH(CompConta!$F$21,Tabla11[[#This Row],[Cuenta]],1))</f>
        <v>1</v>
      </c>
      <c r="AW757" t="b">
        <f>+ISNUMBER(SEARCH(CompConta!$F$22,Tabla11[[#This Row],[Cuenta]],1))</f>
        <v>1</v>
      </c>
      <c r="AX757" t="b">
        <f>+ISNUMBER(SEARCH(CompConta!$F$23,Tabla11[[#This Row],[Cuenta]],1))</f>
        <v>1</v>
      </c>
      <c r="AY757" t="b">
        <f>+ISNUMBER(SEARCH(CompConta!$F$24,Tabla11[[#This Row],[Cuenta]],1))</f>
        <v>1</v>
      </c>
      <c r="AZ757" t="b">
        <f>+ISNUMBER(SEARCH(CompConta!$F$25,Tabla11[[#This Row],[Cuenta]],1))</f>
        <v>1</v>
      </c>
      <c r="BA757" t="b">
        <f>+ISNUMBER(SEARCH(CompConta!$F$26,Tabla11[[#This Row],[Cuenta]],1))</f>
        <v>1</v>
      </c>
      <c r="BB757" t="b">
        <f>+ISNUMBER(SEARCH(CompConta!$F$27,Tabla11[[#This Row],[Cuenta]],1))</f>
        <v>1</v>
      </c>
      <c r="BC757" t="b">
        <f>+ISNUMBER(SEARCH(CompConta!$F$28,Tabla11[[#This Row],[Cuenta]],1))</f>
        <v>1</v>
      </c>
      <c r="BD757" t="b">
        <f>+ISNUMBER(SEARCH(CompConta!$F$29,Tabla11[[#This Row],[Cuenta]],1))</f>
        <v>1</v>
      </c>
      <c r="BE757" t="b">
        <f>+ISNUMBER(SEARCH(CompConta!$F$30,Tabla11[[#This Row],[Cuenta]],1))</f>
        <v>1</v>
      </c>
      <c r="BF757" t="b">
        <f>+ISNUMBER(SEARCH('PAGO Compras'!$E$11,Tabla11[[#This Row],[Cuenta]],1))</f>
        <v>1</v>
      </c>
      <c r="BG757" t="b">
        <f>+ISNUMBER(SEARCH(#REF!,Tabla11[[#This Row],[Cuenta]],1))</f>
        <v>0</v>
      </c>
      <c r="BH757" t="b">
        <f>+ISNUMBER(SEARCH(#REF!,Tabla11[[#This Row],[Cuenta]],1))</f>
        <v>0</v>
      </c>
      <c r="BI757" t="b">
        <f>+ISNUMBER(SEARCH(#REF!,Tabla11[[#This Row],[Cuenta]],1))</f>
        <v>0</v>
      </c>
      <c r="BJ757" t="b">
        <f>+ISNUMBER(SEARCH(#REF!,Tabla11[[#This Row],[Cuenta]],1))</f>
        <v>0</v>
      </c>
      <c r="BS757" t="str">
        <v>4295 DIVERSOS</v>
      </c>
      <c r="BT757" t="str">
        <v>4295 DIVERSOS</v>
      </c>
      <c r="BU757" t="str">
        <v>4295 DIVERSOS</v>
      </c>
      <c r="BV757" t="str">
        <v>4295 DIVERSOS</v>
      </c>
      <c r="BZ757" t="str">
        <v>4295 DIVERSOS</v>
      </c>
      <c r="CA757" t="str">
        <v>4295 DIVERSOS</v>
      </c>
      <c r="CB757" t="str">
        <v>4295 DIVERSOS</v>
      </c>
      <c r="CC757" t="str">
        <v>4295 DIVERSOS</v>
      </c>
      <c r="CD757" t="str">
        <v>4295 DIVERSOS</v>
      </c>
      <c r="CE757" t="str">
        <v>4295 DIVERSOS</v>
      </c>
      <c r="CS757" s="141" t="str">
        <v>4295 DIVERSOS</v>
      </c>
      <c r="CT757" s="141" t="str">
        <v>4295 DIVERSOS</v>
      </c>
      <c r="CU757" s="141" t="str">
        <v>4295 DIVERSOS</v>
      </c>
      <c r="CV757" s="141" t="str">
        <v>4295 DIVERSOS</v>
      </c>
      <c r="CW757" s="141" t="str">
        <v>4295 DIVERSOS</v>
      </c>
      <c r="CX757" s="141" t="str">
        <v>4295 DIVERSOS</v>
      </c>
      <c r="CY757" s="141" t="str">
        <v>4295 DIVERSOS</v>
      </c>
      <c r="CZ757" s="141" t="str">
        <v>4295 DIVERSOS</v>
      </c>
      <c r="DA757" s="141" t="str">
        <v>4295 DIVERSOS</v>
      </c>
      <c r="DF757" t="str">
        <v>4295 DIVERSOS</v>
      </c>
      <c r="DG757" t="str">
        <v>4295 DIVERSOS</v>
      </c>
      <c r="DH757" t="str">
        <v>4295 DIVERSOS</v>
      </c>
      <c r="DI757" t="str">
        <v>4295 DIVERSOS</v>
      </c>
      <c r="DJ757" t="str">
        <v>4295 DIVERSOS</v>
      </c>
      <c r="DK757" t="str">
        <v>4295 DIVERSOS</v>
      </c>
      <c r="DL757" t="str">
        <v>4295 DIVERSOS</v>
      </c>
      <c r="DM757" t="str">
        <v>4295 DIVERSOS</v>
      </c>
      <c r="DN757" t="str">
        <v>4295 DIVERSOS</v>
      </c>
      <c r="DO757" t="str">
        <v>4295 DIVERSOS</v>
      </c>
      <c r="DP757" t="str">
        <v>4295 DIVERSOS</v>
      </c>
    </row>
    <row r="758" spans="4:120" ht="12.75">
      <c r="D758" s="7">
        <v>429581</v>
      </c>
      <c r="E758" s="6" t="s">
        <v>802</v>
      </c>
      <c r="F758" s="5">
        <v>4</v>
      </c>
      <c r="G758" s="34" t="s">
        <v>829</v>
      </c>
      <c r="H758" s="8" t="s">
        <v>56</v>
      </c>
      <c r="I758" t="b">
        <f>+ISNUMBER(SEARCH('F-COMPRA'!$F$28,Tabla11[[#This Row],[Cuenta]],1))</f>
        <v>1</v>
      </c>
      <c r="J758" t="b">
        <f>+ISNUMBER(SEARCH('F-COMPRA'!$F$29,Tabla11[[#This Row],[Cuenta]],1))</f>
        <v>1</v>
      </c>
      <c r="K758" t="b">
        <f>+ISNUMBER(SEARCH('F-COMPRA'!$F$30,Tabla11[[#This Row],[Cuenta]],1))</f>
        <v>1</v>
      </c>
      <c r="L758" t="b">
        <f>+ISNUMBER(SEARCH('F-COMPRA'!$F$31,Tabla11[[#This Row],[Cuenta]],1))</f>
        <v>1</v>
      </c>
      <c r="M758" t="b">
        <f>+ISNUMBER(SEARCH('F-COMPRA'!$G$25,Tabla11[[#This Row],[Cuenta]],1))</f>
        <v>0</v>
      </c>
      <c r="N758" t="b">
        <f>+ISNUMBER(SEARCH(#REF!,Tabla11[[#This Row],[Cuenta]],1))</f>
        <v>0</v>
      </c>
      <c r="O758" t="b">
        <f>+ISNUMBER(SEARCH(#REF!,Tabla11[[#This Row],[Cuenta]],1))</f>
        <v>0</v>
      </c>
      <c r="P758" t="b">
        <f>+ISNUMBER(SEARCH('F-COMPRA'!$F$32,Tabla11[[#This Row],[Cuenta]],1))</f>
        <v>1</v>
      </c>
      <c r="Q758" t="b">
        <f>+ISNUMBER(SEARCH('F-COMPRA'!$F$33,Tabla11[[#This Row],[Cuenta]],1))</f>
        <v>1</v>
      </c>
      <c r="R758" t="b">
        <f>+ISNUMBER(SEARCH('F-COMPRA'!$F$34,Tabla11[[#This Row],[Cuenta]],1))</f>
        <v>1</v>
      </c>
      <c r="S758" t="b">
        <f>+ISNUMBER(SEARCH('F-COMPRA'!$F$35,Tabla11[[#This Row],[Cuenta]],1))</f>
        <v>1</v>
      </c>
      <c r="T758" t="b">
        <f>+ISNUMBER(SEARCH('F-COMPRA'!$F$36,Tabla11[[#This Row],[Cuenta]],1))</f>
        <v>1</v>
      </c>
      <c r="U758" t="b">
        <f>+ISNUMBER(SEARCH('F-COMPRA'!$F$37,Tabla11[[#This Row],[Cuenta]],1))</f>
        <v>1</v>
      </c>
      <c r="V758" t="b">
        <f>+ISNUMBER(SEARCH(#REF!,Tabla11[[#This Row],[Cuenta]],1))</f>
        <v>0</v>
      </c>
      <c r="W758" t="b">
        <f>+ISNUMBER(SEARCH('F-COMPRA'!#REF!,Tabla11[[#This Row],[Cuenta]],1))</f>
        <v>0</v>
      </c>
      <c r="X758" t="b">
        <f>+ISNUMBER(SEARCH('F-COMPRA'!#REF!,Tabla11[[#This Row],[Cuenta]],1))</f>
        <v>0</v>
      </c>
      <c r="Y758" t="b">
        <f>+ISNUMBER(SEARCH('F-COMPRA'!#REF!,Tabla11[[#This Row],[Cuenta]],1))</f>
        <v>0</v>
      </c>
      <c r="Z758" t="b">
        <f>+ISNUMBER(SEARCH('F-COMPRA'!#REF!,Tabla11[[#This Row],[Cuenta]],1))</f>
        <v>0</v>
      </c>
      <c r="AA758" t="b">
        <f>+ISNUMBER(SEARCH('F-COMPRA'!#REF!,Tabla11[[#This Row],[Cuenta]],1))</f>
        <v>0</v>
      </c>
      <c r="AB758" t="b">
        <f>+ISNUMBER(SEARCH('F-COMPRA'!#REF!,Tabla11[[#This Row],[Cuenta]],1))</f>
        <v>0</v>
      </c>
      <c r="AC758" t="b">
        <f>+ISNUMBER(SEARCH('F-COMPRA'!#REF!,Tabla11[[#This Row],[Cuenta]],1))</f>
        <v>0</v>
      </c>
      <c r="AD758" t="b">
        <f>+ISNUMBER(SEARCH('F-COMPRA'!#REF!,Tabla11[[#This Row],[Cuenta]],1))</f>
        <v>0</v>
      </c>
      <c r="AE758" t="b">
        <f>+ISNUMBER(SEARCH('F-COMPRA'!#REF!,Tabla11[[#This Row],[Cuenta]],1))</f>
        <v>0</v>
      </c>
      <c r="AF758" t="b">
        <f>+ISNUMBER(SEARCH('F-VTA'!$G$23,Tabla11[[#This Row],[Cuenta]],1))</f>
        <v>0</v>
      </c>
      <c r="AG758" t="b">
        <f>+ISNUMBER(SEARCH('F-VTA'!$G$24,Tabla11[[#This Row],[Cuenta]],1))</f>
        <v>0</v>
      </c>
      <c r="AH758" t="b">
        <f>+ISNUMBER(SEARCH('F-VTA'!$G$25,Tabla11[[#This Row],[Cuenta]],1))</f>
        <v>0</v>
      </c>
      <c r="AI758" t="b">
        <f>+ISNUMBER(SEARCH('F-VTA'!$F$28,Tabla11[[#This Row],[Cuenta]],1))</f>
        <v>1</v>
      </c>
      <c r="AJ758" t="b">
        <f>+ISNUMBER(SEARCH('F-VTA'!$F$29,Tabla11[[#This Row],[Cuenta]],1))</f>
        <v>1</v>
      </c>
      <c r="AK758" t="b">
        <f>+ISNUMBER(SEARCH('F-VTA'!$F$30,Tabla11[[#This Row],[Cuenta]],1))</f>
        <v>1</v>
      </c>
      <c r="AL758" t="b">
        <f>+ISNUMBER(SEARCH('F-VTA'!$F$31,Tabla11[[#This Row],[Cuenta]],1))</f>
        <v>1</v>
      </c>
      <c r="AM758" t="b">
        <f>+ISNUMBER(SEARCH('F-VTA'!$F$32,Tabla11[[#This Row],[Cuenta]],1))</f>
        <v>1</v>
      </c>
      <c r="AN758" t="b">
        <f>+ISNUMBER(SEARCH('F-VTA'!$F$33,Tabla11[[#This Row],[Cuenta]],1))</f>
        <v>1</v>
      </c>
      <c r="AO758" t="b">
        <f>+ISNUMBER(SEARCH('F-VTA'!$F$34,Tabla11[[#This Row],[Cuenta]],1))</f>
        <v>1</v>
      </c>
      <c r="AP758" t="b">
        <f>+ISNUMBER(SEARCH('F-VTA'!$F$35,Tabla11[[#This Row],[Cuenta]],1))</f>
        <v>1</v>
      </c>
      <c r="AQ758" t="b">
        <f>+ISNUMBER(SEARCH('F-VTA'!$F$36,Tabla11[[#This Row],[Cuenta]],1))</f>
        <v>1</v>
      </c>
      <c r="AR758" t="b">
        <f>+ISNUMBER(SEARCH(#REF!,Tabla11[[#This Row],[Cuenta]],1))</f>
        <v>0</v>
      </c>
      <c r="AS758" t="b">
        <f>+ISNUMBER(SEARCH(#REF!,Tabla11[[#This Row],[Cuenta]],1))</f>
        <v>0</v>
      </c>
      <c r="AT758" t="b">
        <f>+ISNUMBER(SEARCH(#REF!,Tabla11[[#This Row],[Cuenta]],1))</f>
        <v>0</v>
      </c>
      <c r="AU758" t="b">
        <f>+ISNUMBER(SEARCH('Conc. Ban.1'!$I$9,Tabla11[[#This Row],[Cuenta]],1))</f>
        <v>0</v>
      </c>
      <c r="AV758" t="b">
        <f>+ISNUMBER(SEARCH(CompConta!$F$21,Tabla11[[#This Row],[Cuenta]],1))</f>
        <v>1</v>
      </c>
      <c r="AW758" t="b">
        <f>+ISNUMBER(SEARCH(CompConta!$F$22,Tabla11[[#This Row],[Cuenta]],1))</f>
        <v>1</v>
      </c>
      <c r="AX758" t="b">
        <f>+ISNUMBER(SEARCH(CompConta!$F$23,Tabla11[[#This Row],[Cuenta]],1))</f>
        <v>1</v>
      </c>
      <c r="AY758" t="b">
        <f>+ISNUMBER(SEARCH(CompConta!$F$24,Tabla11[[#This Row],[Cuenta]],1))</f>
        <v>1</v>
      </c>
      <c r="AZ758" t="b">
        <f>+ISNUMBER(SEARCH(CompConta!$F$25,Tabla11[[#This Row],[Cuenta]],1))</f>
        <v>1</v>
      </c>
      <c r="BA758" t="b">
        <f>+ISNUMBER(SEARCH(CompConta!$F$26,Tabla11[[#This Row],[Cuenta]],1))</f>
        <v>1</v>
      </c>
      <c r="BB758" t="b">
        <f>+ISNUMBER(SEARCH(CompConta!$F$27,Tabla11[[#This Row],[Cuenta]],1))</f>
        <v>1</v>
      </c>
      <c r="BC758" t="b">
        <f>+ISNUMBER(SEARCH(CompConta!$F$28,Tabla11[[#This Row],[Cuenta]],1))</f>
        <v>1</v>
      </c>
      <c r="BD758" t="b">
        <f>+ISNUMBER(SEARCH(CompConta!$F$29,Tabla11[[#This Row],[Cuenta]],1))</f>
        <v>1</v>
      </c>
      <c r="BE758" t="b">
        <f>+ISNUMBER(SEARCH(CompConta!$F$30,Tabla11[[#This Row],[Cuenta]],1))</f>
        <v>1</v>
      </c>
      <c r="BF758" t="b">
        <f>+ISNUMBER(SEARCH('PAGO Compras'!$E$11,Tabla11[[#This Row],[Cuenta]],1))</f>
        <v>1</v>
      </c>
      <c r="BG758" t="b">
        <f>+ISNUMBER(SEARCH(#REF!,Tabla11[[#This Row],[Cuenta]],1))</f>
        <v>0</v>
      </c>
      <c r="BH758" t="b">
        <f>+ISNUMBER(SEARCH(#REF!,Tabla11[[#This Row],[Cuenta]],1))</f>
        <v>0</v>
      </c>
      <c r="BI758" t="b">
        <f>+ISNUMBER(SEARCH(#REF!,Tabla11[[#This Row],[Cuenta]],1))</f>
        <v>0</v>
      </c>
      <c r="BJ758" t="b">
        <f>+ISNUMBER(SEARCH(#REF!,Tabla11[[#This Row],[Cuenta]],1))</f>
        <v>0</v>
      </c>
      <c r="BS758" t="str">
        <v>429581 AJUSTE AL PESO</v>
      </c>
      <c r="BT758" t="str">
        <v>429581 AJUSTE AL PESO</v>
      </c>
      <c r="BU758" t="str">
        <v>429581 AJUSTE AL PESO</v>
      </c>
      <c r="BV758" t="str">
        <v>429581 AJUSTE AL PESO</v>
      </c>
      <c r="BZ758" t="str">
        <v>429581 AJUSTE AL PESO</v>
      </c>
      <c r="CA758" t="str">
        <v>429581 AJUSTE AL PESO</v>
      </c>
      <c r="CB758" t="str">
        <v>429581 AJUSTE AL PESO</v>
      </c>
      <c r="CC758" t="str">
        <v>429581 AJUSTE AL PESO</v>
      </c>
      <c r="CD758" t="str">
        <v>429581 AJUSTE AL PESO</v>
      </c>
      <c r="CE758" t="str">
        <v>429581 AJUSTE AL PESO</v>
      </c>
      <c r="CS758" s="141" t="str">
        <v>429581 AJUSTE AL PESO</v>
      </c>
      <c r="CT758" s="141" t="str">
        <v>429581 AJUSTE AL PESO</v>
      </c>
      <c r="CU758" s="141" t="str">
        <v>429581 AJUSTE AL PESO</v>
      </c>
      <c r="CV758" s="141" t="str">
        <v>429581 AJUSTE AL PESO</v>
      </c>
      <c r="CW758" s="141" t="str">
        <v>429581 AJUSTE AL PESO</v>
      </c>
      <c r="CX758" s="141" t="str">
        <v>429581 AJUSTE AL PESO</v>
      </c>
      <c r="CY758" s="141" t="str">
        <v>429581 AJUSTE AL PESO</v>
      </c>
      <c r="CZ758" s="141" t="str">
        <v>429581 AJUSTE AL PESO</v>
      </c>
      <c r="DA758" s="141" t="str">
        <v>429581 AJUSTE AL PESO</v>
      </c>
      <c r="DF758" t="str">
        <v>429581 AJUSTE AL PESO</v>
      </c>
      <c r="DG758" t="str">
        <v>429581 AJUSTE AL PESO</v>
      </c>
      <c r="DH758" t="str">
        <v>429581 AJUSTE AL PESO</v>
      </c>
      <c r="DI758" t="str">
        <v>429581 AJUSTE AL PESO</v>
      </c>
      <c r="DJ758" t="str">
        <v>429581 AJUSTE AL PESO</v>
      </c>
      <c r="DK758" t="str">
        <v>429581 AJUSTE AL PESO</v>
      </c>
      <c r="DL758" t="str">
        <v>429581 AJUSTE AL PESO</v>
      </c>
      <c r="DM758" t="str">
        <v>429581 AJUSTE AL PESO</v>
      </c>
      <c r="DN758" t="str">
        <v>429581 AJUSTE AL PESO</v>
      </c>
      <c r="DO758" t="str">
        <v>429581 AJUSTE AL PESO</v>
      </c>
      <c r="DP758" t="str">
        <v>429581 AJUSTE AL PESO</v>
      </c>
    </row>
    <row r="759" spans="4:120" ht="12.75">
      <c r="D759" s="7">
        <v>429595</v>
      </c>
      <c r="E759" s="6" t="s">
        <v>803</v>
      </c>
      <c r="F759" s="5">
        <v>4</v>
      </c>
      <c r="G759" s="34" t="s">
        <v>829</v>
      </c>
      <c r="H759" s="8" t="s">
        <v>56</v>
      </c>
      <c r="I759" t="b">
        <f>+ISNUMBER(SEARCH('F-COMPRA'!$F$28,Tabla11[[#This Row],[Cuenta]],1))</f>
        <v>1</v>
      </c>
      <c r="J759" t="b">
        <f>+ISNUMBER(SEARCH('F-COMPRA'!$F$29,Tabla11[[#This Row],[Cuenta]],1))</f>
        <v>1</v>
      </c>
      <c r="K759" t="b">
        <f>+ISNUMBER(SEARCH('F-COMPRA'!$F$30,Tabla11[[#This Row],[Cuenta]],1))</f>
        <v>1</v>
      </c>
      <c r="L759" t="b">
        <f>+ISNUMBER(SEARCH('F-COMPRA'!$F$31,Tabla11[[#This Row],[Cuenta]],1))</f>
        <v>1</v>
      </c>
      <c r="M759" t="b">
        <f>+ISNUMBER(SEARCH('F-COMPRA'!$G$25,Tabla11[[#This Row],[Cuenta]],1))</f>
        <v>0</v>
      </c>
      <c r="N759" t="b">
        <f>+ISNUMBER(SEARCH(#REF!,Tabla11[[#This Row],[Cuenta]],1))</f>
        <v>0</v>
      </c>
      <c r="O759" t="b">
        <f>+ISNUMBER(SEARCH(#REF!,Tabla11[[#This Row],[Cuenta]],1))</f>
        <v>0</v>
      </c>
      <c r="P759" t="b">
        <f>+ISNUMBER(SEARCH('F-COMPRA'!$F$32,Tabla11[[#This Row],[Cuenta]],1))</f>
        <v>1</v>
      </c>
      <c r="Q759" t="b">
        <f>+ISNUMBER(SEARCH('F-COMPRA'!$F$33,Tabla11[[#This Row],[Cuenta]],1))</f>
        <v>1</v>
      </c>
      <c r="R759" t="b">
        <f>+ISNUMBER(SEARCH('F-COMPRA'!$F$34,Tabla11[[#This Row],[Cuenta]],1))</f>
        <v>1</v>
      </c>
      <c r="S759" t="b">
        <f>+ISNUMBER(SEARCH('F-COMPRA'!$F$35,Tabla11[[#This Row],[Cuenta]],1))</f>
        <v>1</v>
      </c>
      <c r="T759" t="b">
        <f>+ISNUMBER(SEARCH('F-COMPRA'!$F$36,Tabla11[[#This Row],[Cuenta]],1))</f>
        <v>1</v>
      </c>
      <c r="U759" t="b">
        <f>+ISNUMBER(SEARCH('F-COMPRA'!$F$37,Tabla11[[#This Row],[Cuenta]],1))</f>
        <v>1</v>
      </c>
      <c r="V759" t="b">
        <f>+ISNUMBER(SEARCH(#REF!,Tabla11[[#This Row],[Cuenta]],1))</f>
        <v>0</v>
      </c>
      <c r="W759" t="b">
        <f>+ISNUMBER(SEARCH('F-COMPRA'!#REF!,Tabla11[[#This Row],[Cuenta]],1))</f>
        <v>0</v>
      </c>
      <c r="X759" t="b">
        <f>+ISNUMBER(SEARCH('F-COMPRA'!#REF!,Tabla11[[#This Row],[Cuenta]],1))</f>
        <v>0</v>
      </c>
      <c r="Y759" t="b">
        <f>+ISNUMBER(SEARCH('F-COMPRA'!#REF!,Tabla11[[#This Row],[Cuenta]],1))</f>
        <v>0</v>
      </c>
      <c r="Z759" t="b">
        <f>+ISNUMBER(SEARCH('F-COMPRA'!#REF!,Tabla11[[#This Row],[Cuenta]],1))</f>
        <v>0</v>
      </c>
      <c r="AA759" t="b">
        <f>+ISNUMBER(SEARCH('F-COMPRA'!#REF!,Tabla11[[#This Row],[Cuenta]],1))</f>
        <v>0</v>
      </c>
      <c r="AB759" t="b">
        <f>+ISNUMBER(SEARCH('F-COMPRA'!#REF!,Tabla11[[#This Row],[Cuenta]],1))</f>
        <v>0</v>
      </c>
      <c r="AC759" t="b">
        <f>+ISNUMBER(SEARCH('F-COMPRA'!#REF!,Tabla11[[#This Row],[Cuenta]],1))</f>
        <v>0</v>
      </c>
      <c r="AD759" t="b">
        <f>+ISNUMBER(SEARCH('F-COMPRA'!#REF!,Tabla11[[#This Row],[Cuenta]],1))</f>
        <v>0</v>
      </c>
      <c r="AE759" t="b">
        <f>+ISNUMBER(SEARCH('F-COMPRA'!#REF!,Tabla11[[#This Row],[Cuenta]],1))</f>
        <v>0</v>
      </c>
      <c r="AF759" t="b">
        <f>+ISNUMBER(SEARCH('F-VTA'!$G$23,Tabla11[[#This Row],[Cuenta]],1))</f>
        <v>0</v>
      </c>
      <c r="AG759" t="b">
        <f>+ISNUMBER(SEARCH('F-VTA'!$G$24,Tabla11[[#This Row],[Cuenta]],1))</f>
        <v>0</v>
      </c>
      <c r="AH759" t="b">
        <f>+ISNUMBER(SEARCH('F-VTA'!$G$25,Tabla11[[#This Row],[Cuenta]],1))</f>
        <v>0</v>
      </c>
      <c r="AI759" t="b">
        <f>+ISNUMBER(SEARCH('F-VTA'!$F$28,Tabla11[[#This Row],[Cuenta]],1))</f>
        <v>1</v>
      </c>
      <c r="AJ759" t="b">
        <f>+ISNUMBER(SEARCH('F-VTA'!$F$29,Tabla11[[#This Row],[Cuenta]],1))</f>
        <v>1</v>
      </c>
      <c r="AK759" t="b">
        <f>+ISNUMBER(SEARCH('F-VTA'!$F$30,Tabla11[[#This Row],[Cuenta]],1))</f>
        <v>1</v>
      </c>
      <c r="AL759" t="b">
        <f>+ISNUMBER(SEARCH('F-VTA'!$F$31,Tabla11[[#This Row],[Cuenta]],1))</f>
        <v>1</v>
      </c>
      <c r="AM759" t="b">
        <f>+ISNUMBER(SEARCH('F-VTA'!$F$32,Tabla11[[#This Row],[Cuenta]],1))</f>
        <v>1</v>
      </c>
      <c r="AN759" t="b">
        <f>+ISNUMBER(SEARCH('F-VTA'!$F$33,Tabla11[[#This Row],[Cuenta]],1))</f>
        <v>1</v>
      </c>
      <c r="AO759" t="b">
        <f>+ISNUMBER(SEARCH('F-VTA'!$F$34,Tabla11[[#This Row],[Cuenta]],1))</f>
        <v>1</v>
      </c>
      <c r="AP759" t="b">
        <f>+ISNUMBER(SEARCH('F-VTA'!$F$35,Tabla11[[#This Row],[Cuenta]],1))</f>
        <v>1</v>
      </c>
      <c r="AQ759" t="b">
        <f>+ISNUMBER(SEARCH('F-VTA'!$F$36,Tabla11[[#This Row],[Cuenta]],1))</f>
        <v>1</v>
      </c>
      <c r="AR759" t="b">
        <f>+ISNUMBER(SEARCH(#REF!,Tabla11[[#This Row],[Cuenta]],1))</f>
        <v>0</v>
      </c>
      <c r="AS759" t="b">
        <f>+ISNUMBER(SEARCH(#REF!,Tabla11[[#This Row],[Cuenta]],1))</f>
        <v>0</v>
      </c>
      <c r="AT759" t="b">
        <f>+ISNUMBER(SEARCH(#REF!,Tabla11[[#This Row],[Cuenta]],1))</f>
        <v>0</v>
      </c>
      <c r="AU759" t="b">
        <f>+ISNUMBER(SEARCH('Conc. Ban.1'!$I$9,Tabla11[[#This Row],[Cuenta]],1))</f>
        <v>0</v>
      </c>
      <c r="AV759" t="b">
        <f>+ISNUMBER(SEARCH(CompConta!$F$21,Tabla11[[#This Row],[Cuenta]],1))</f>
        <v>1</v>
      </c>
      <c r="AW759" t="b">
        <f>+ISNUMBER(SEARCH(CompConta!$F$22,Tabla11[[#This Row],[Cuenta]],1))</f>
        <v>1</v>
      </c>
      <c r="AX759" t="b">
        <f>+ISNUMBER(SEARCH(CompConta!$F$23,Tabla11[[#This Row],[Cuenta]],1))</f>
        <v>1</v>
      </c>
      <c r="AY759" t="b">
        <f>+ISNUMBER(SEARCH(CompConta!$F$24,Tabla11[[#This Row],[Cuenta]],1))</f>
        <v>1</v>
      </c>
      <c r="AZ759" t="b">
        <f>+ISNUMBER(SEARCH(CompConta!$F$25,Tabla11[[#This Row],[Cuenta]],1))</f>
        <v>1</v>
      </c>
      <c r="BA759" t="b">
        <f>+ISNUMBER(SEARCH(CompConta!$F$26,Tabla11[[#This Row],[Cuenta]],1))</f>
        <v>1</v>
      </c>
      <c r="BB759" t="b">
        <f>+ISNUMBER(SEARCH(CompConta!$F$27,Tabla11[[#This Row],[Cuenta]],1))</f>
        <v>1</v>
      </c>
      <c r="BC759" t="b">
        <f>+ISNUMBER(SEARCH(CompConta!$F$28,Tabla11[[#This Row],[Cuenta]],1))</f>
        <v>1</v>
      </c>
      <c r="BD759" t="b">
        <f>+ISNUMBER(SEARCH(CompConta!$F$29,Tabla11[[#This Row],[Cuenta]],1))</f>
        <v>1</v>
      </c>
      <c r="BE759" t="b">
        <f>+ISNUMBER(SEARCH(CompConta!$F$30,Tabla11[[#This Row],[Cuenta]],1))</f>
        <v>1</v>
      </c>
      <c r="BF759" t="b">
        <f>+ISNUMBER(SEARCH('PAGO Compras'!$E$11,Tabla11[[#This Row],[Cuenta]],1))</f>
        <v>1</v>
      </c>
      <c r="BG759" t="b">
        <f>+ISNUMBER(SEARCH(#REF!,Tabla11[[#This Row],[Cuenta]],1))</f>
        <v>0</v>
      </c>
      <c r="BH759" t="b">
        <f>+ISNUMBER(SEARCH(#REF!,Tabla11[[#This Row],[Cuenta]],1))</f>
        <v>0</v>
      </c>
      <c r="BI759" t="b">
        <f>+ISNUMBER(SEARCH(#REF!,Tabla11[[#This Row],[Cuenta]],1))</f>
        <v>0</v>
      </c>
      <c r="BJ759" t="b">
        <f>+ISNUMBER(SEARCH(#REF!,Tabla11[[#This Row],[Cuenta]],1))</f>
        <v>0</v>
      </c>
      <c r="BS759" t="str">
        <v>429595 OTROS APROVECHAMIENTOS</v>
      </c>
      <c r="BT759" t="str">
        <v>429595 OTROS APROVECHAMIENTOS</v>
      </c>
      <c r="BU759" t="str">
        <v>429595 OTROS APROVECHAMIENTOS</v>
      </c>
      <c r="BV759" t="str">
        <v>429595 OTROS APROVECHAMIENTOS</v>
      </c>
      <c r="BZ759" t="str">
        <v>429595 OTROS APROVECHAMIENTOS</v>
      </c>
      <c r="CA759" t="str">
        <v>429595 OTROS APROVECHAMIENTOS</v>
      </c>
      <c r="CB759" t="str">
        <v>429595 OTROS APROVECHAMIENTOS</v>
      </c>
      <c r="CC759" t="str">
        <v>429595 OTROS APROVECHAMIENTOS</v>
      </c>
      <c r="CD759" t="str">
        <v>429595 OTROS APROVECHAMIENTOS</v>
      </c>
      <c r="CE759" t="str">
        <v>429595 OTROS APROVECHAMIENTOS</v>
      </c>
      <c r="CS759" s="141" t="str">
        <v>429595 OTROS APROVECHAMIENTOS</v>
      </c>
      <c r="CT759" s="141" t="str">
        <v>429595 OTROS APROVECHAMIENTOS</v>
      </c>
      <c r="CU759" s="141" t="str">
        <v>429595 OTROS APROVECHAMIENTOS</v>
      </c>
      <c r="CV759" s="141" t="str">
        <v>429595 OTROS APROVECHAMIENTOS</v>
      </c>
      <c r="CW759" s="141" t="str">
        <v>429595 OTROS APROVECHAMIENTOS</v>
      </c>
      <c r="CX759" s="141" t="str">
        <v>429595 OTROS APROVECHAMIENTOS</v>
      </c>
      <c r="CY759" s="141" t="str">
        <v>429595 OTROS APROVECHAMIENTOS</v>
      </c>
      <c r="CZ759" s="141" t="str">
        <v>429595 OTROS APROVECHAMIENTOS</v>
      </c>
      <c r="DA759" s="141" t="str">
        <v>429595 OTROS APROVECHAMIENTOS</v>
      </c>
      <c r="DF759" t="str">
        <v>429595 OTROS APROVECHAMIENTOS</v>
      </c>
      <c r="DG759" t="str">
        <v>429595 OTROS APROVECHAMIENTOS</v>
      </c>
      <c r="DH759" t="str">
        <v>429595 OTROS APROVECHAMIENTOS</v>
      </c>
      <c r="DI759" t="str">
        <v>429595 OTROS APROVECHAMIENTOS</v>
      </c>
      <c r="DJ759" t="str">
        <v>429595 OTROS APROVECHAMIENTOS</v>
      </c>
      <c r="DK759" t="str">
        <v>429595 OTROS APROVECHAMIENTOS</v>
      </c>
      <c r="DL759" t="str">
        <v>429595 OTROS APROVECHAMIENTOS</v>
      </c>
      <c r="DM759" t="str">
        <v>429595 OTROS APROVECHAMIENTOS</v>
      </c>
      <c r="DN759" t="str">
        <v>429595 OTROS APROVECHAMIENTOS</v>
      </c>
      <c r="DO759" t="str">
        <v>429595 OTROS APROVECHAMIENTOS</v>
      </c>
      <c r="DP759" t="str">
        <v>429595 OTROS APROVECHAMIENTOS</v>
      </c>
    </row>
    <row r="760" spans="4:120" ht="12.75">
      <c r="D760" s="7">
        <v>5</v>
      </c>
      <c r="E760" s="6" t="s">
        <v>531</v>
      </c>
      <c r="F760" s="5">
        <v>1</v>
      </c>
      <c r="G760" s="34"/>
      <c r="H760" s="8" t="s">
        <v>32</v>
      </c>
      <c r="I760" t="b">
        <f>+ISNUMBER(SEARCH('F-COMPRA'!$F$28,Tabla11[[#This Row],[Cuenta]],1))</f>
        <v>1</v>
      </c>
      <c r="J760" t="b">
        <f>+ISNUMBER(SEARCH('F-COMPRA'!$F$29,Tabla11[[#This Row],[Cuenta]],1))</f>
        <v>1</v>
      </c>
      <c r="K760" t="b">
        <f>+ISNUMBER(SEARCH('F-COMPRA'!$F$30,Tabla11[[#This Row],[Cuenta]],1))</f>
        <v>1</v>
      </c>
      <c r="L760" t="b">
        <f>+ISNUMBER(SEARCH('F-COMPRA'!$F$31,Tabla11[[#This Row],[Cuenta]],1))</f>
        <v>1</v>
      </c>
      <c r="M760" t="b">
        <f>+ISNUMBER(SEARCH('F-COMPRA'!$G$25,Tabla11[[#This Row],[Cuenta]],1))</f>
        <v>0</v>
      </c>
      <c r="N760" t="b">
        <f>+ISNUMBER(SEARCH(#REF!,Tabla11[[#This Row],[Cuenta]],1))</f>
        <v>0</v>
      </c>
      <c r="O760" t="b">
        <f>+ISNUMBER(SEARCH(#REF!,Tabla11[[#This Row],[Cuenta]],1))</f>
        <v>0</v>
      </c>
      <c r="P760" t="b">
        <f>+ISNUMBER(SEARCH('F-COMPRA'!$F$32,Tabla11[[#This Row],[Cuenta]],1))</f>
        <v>1</v>
      </c>
      <c r="Q760" t="b">
        <f>+ISNUMBER(SEARCH('F-COMPRA'!$F$33,Tabla11[[#This Row],[Cuenta]],1))</f>
        <v>1</v>
      </c>
      <c r="R760" t="b">
        <f>+ISNUMBER(SEARCH('F-COMPRA'!$F$34,Tabla11[[#This Row],[Cuenta]],1))</f>
        <v>1</v>
      </c>
      <c r="S760" t="b">
        <f>+ISNUMBER(SEARCH('F-COMPRA'!$F$35,Tabla11[[#This Row],[Cuenta]],1))</f>
        <v>1</v>
      </c>
      <c r="T760" t="b">
        <f>+ISNUMBER(SEARCH('F-COMPRA'!$F$36,Tabla11[[#This Row],[Cuenta]],1))</f>
        <v>1</v>
      </c>
      <c r="U760" t="b">
        <f>+ISNUMBER(SEARCH('F-COMPRA'!$F$37,Tabla11[[#This Row],[Cuenta]],1))</f>
        <v>1</v>
      </c>
      <c r="V760" t="b">
        <f>+ISNUMBER(SEARCH(#REF!,Tabla11[[#This Row],[Cuenta]],1))</f>
        <v>0</v>
      </c>
      <c r="W760" t="b">
        <f>+ISNUMBER(SEARCH('F-COMPRA'!#REF!,Tabla11[[#This Row],[Cuenta]],1))</f>
        <v>0</v>
      </c>
      <c r="X760" t="b">
        <f>+ISNUMBER(SEARCH('F-COMPRA'!#REF!,Tabla11[[#This Row],[Cuenta]],1))</f>
        <v>0</v>
      </c>
      <c r="Y760" t="b">
        <f>+ISNUMBER(SEARCH('F-COMPRA'!#REF!,Tabla11[[#This Row],[Cuenta]],1))</f>
        <v>0</v>
      </c>
      <c r="Z760" t="b">
        <f>+ISNUMBER(SEARCH('F-COMPRA'!#REF!,Tabla11[[#This Row],[Cuenta]],1))</f>
        <v>0</v>
      </c>
      <c r="AA760" t="b">
        <f>+ISNUMBER(SEARCH('F-COMPRA'!#REF!,Tabla11[[#This Row],[Cuenta]],1))</f>
        <v>0</v>
      </c>
      <c r="AB760" t="b">
        <f>+ISNUMBER(SEARCH('F-COMPRA'!#REF!,Tabla11[[#This Row],[Cuenta]],1))</f>
        <v>0</v>
      </c>
      <c r="AC760" t="b">
        <f>+ISNUMBER(SEARCH('F-COMPRA'!#REF!,Tabla11[[#This Row],[Cuenta]],1))</f>
        <v>0</v>
      </c>
      <c r="AD760" t="b">
        <f>+ISNUMBER(SEARCH('F-COMPRA'!#REF!,Tabla11[[#This Row],[Cuenta]],1))</f>
        <v>0</v>
      </c>
      <c r="AE760" t="b">
        <f>+ISNUMBER(SEARCH('F-COMPRA'!#REF!,Tabla11[[#This Row],[Cuenta]],1))</f>
        <v>0</v>
      </c>
      <c r="AF760" t="b">
        <f>+ISNUMBER(SEARCH('F-VTA'!$G$23,Tabla11[[#This Row],[Cuenta]],1))</f>
        <v>0</v>
      </c>
      <c r="AG760" t="b">
        <f>+ISNUMBER(SEARCH('F-VTA'!$G$24,Tabla11[[#This Row],[Cuenta]],1))</f>
        <v>0</v>
      </c>
      <c r="AH760" t="b">
        <f>+ISNUMBER(SEARCH('F-VTA'!$G$25,Tabla11[[#This Row],[Cuenta]],1))</f>
        <v>0</v>
      </c>
      <c r="AI760" t="b">
        <f>+ISNUMBER(SEARCH('F-VTA'!$F$28,Tabla11[[#This Row],[Cuenta]],1))</f>
        <v>1</v>
      </c>
      <c r="AJ760" t="b">
        <f>+ISNUMBER(SEARCH('F-VTA'!$F$29,Tabla11[[#This Row],[Cuenta]],1))</f>
        <v>1</v>
      </c>
      <c r="AK760" t="b">
        <f>+ISNUMBER(SEARCH('F-VTA'!$F$30,Tabla11[[#This Row],[Cuenta]],1))</f>
        <v>1</v>
      </c>
      <c r="AL760" t="b">
        <f>+ISNUMBER(SEARCH('F-VTA'!$F$31,Tabla11[[#This Row],[Cuenta]],1))</f>
        <v>1</v>
      </c>
      <c r="AM760" t="b">
        <f>+ISNUMBER(SEARCH('F-VTA'!$F$32,Tabla11[[#This Row],[Cuenta]],1))</f>
        <v>1</v>
      </c>
      <c r="AN760" t="b">
        <f>+ISNUMBER(SEARCH('F-VTA'!$F$33,Tabla11[[#This Row],[Cuenta]],1))</f>
        <v>1</v>
      </c>
      <c r="AO760" t="b">
        <f>+ISNUMBER(SEARCH('F-VTA'!$F$34,Tabla11[[#This Row],[Cuenta]],1))</f>
        <v>1</v>
      </c>
      <c r="AP760" t="b">
        <f>+ISNUMBER(SEARCH('F-VTA'!$F$35,Tabla11[[#This Row],[Cuenta]],1))</f>
        <v>1</v>
      </c>
      <c r="AQ760" t="b">
        <f>+ISNUMBER(SEARCH('F-VTA'!$F$36,Tabla11[[#This Row],[Cuenta]],1))</f>
        <v>1</v>
      </c>
      <c r="AR760" t="b">
        <f>+ISNUMBER(SEARCH(#REF!,Tabla11[[#This Row],[Cuenta]],1))</f>
        <v>0</v>
      </c>
      <c r="AS760" t="b">
        <f>+ISNUMBER(SEARCH(#REF!,Tabla11[[#This Row],[Cuenta]],1))</f>
        <v>0</v>
      </c>
      <c r="AT760" t="b">
        <f>+ISNUMBER(SEARCH(#REF!,Tabla11[[#This Row],[Cuenta]],1))</f>
        <v>0</v>
      </c>
      <c r="AU760" t="b">
        <f>+ISNUMBER(SEARCH('Conc. Ban.1'!$I$9,Tabla11[[#This Row],[Cuenta]],1))</f>
        <v>0</v>
      </c>
      <c r="AV760" t="b">
        <f>+ISNUMBER(SEARCH(CompConta!$F$21,Tabla11[[#This Row],[Cuenta]],1))</f>
        <v>1</v>
      </c>
      <c r="AW760" t="b">
        <f>+ISNUMBER(SEARCH(CompConta!$F$22,Tabla11[[#This Row],[Cuenta]],1))</f>
        <v>1</v>
      </c>
      <c r="AX760" t="b">
        <f>+ISNUMBER(SEARCH(CompConta!$F$23,Tabla11[[#This Row],[Cuenta]],1))</f>
        <v>1</v>
      </c>
      <c r="AY760" t="b">
        <f>+ISNUMBER(SEARCH(CompConta!$F$24,Tabla11[[#This Row],[Cuenta]],1))</f>
        <v>1</v>
      </c>
      <c r="AZ760" t="b">
        <f>+ISNUMBER(SEARCH(CompConta!$F$25,Tabla11[[#This Row],[Cuenta]],1))</f>
        <v>1</v>
      </c>
      <c r="BA760" t="b">
        <f>+ISNUMBER(SEARCH(CompConta!$F$26,Tabla11[[#This Row],[Cuenta]],1))</f>
        <v>1</v>
      </c>
      <c r="BB760" t="b">
        <f>+ISNUMBER(SEARCH(CompConta!$F$27,Tabla11[[#This Row],[Cuenta]],1))</f>
        <v>1</v>
      </c>
      <c r="BC760" t="b">
        <f>+ISNUMBER(SEARCH(CompConta!$F$28,Tabla11[[#This Row],[Cuenta]],1))</f>
        <v>1</v>
      </c>
      <c r="BD760" t="b">
        <f>+ISNUMBER(SEARCH(CompConta!$F$29,Tabla11[[#This Row],[Cuenta]],1))</f>
        <v>1</v>
      </c>
      <c r="BE760" t="b">
        <f>+ISNUMBER(SEARCH(CompConta!$F$30,Tabla11[[#This Row],[Cuenta]],1))</f>
        <v>1</v>
      </c>
      <c r="BF760" t="b">
        <f>+ISNUMBER(SEARCH('PAGO Compras'!$E$11,Tabla11[[#This Row],[Cuenta]],1))</f>
        <v>1</v>
      </c>
      <c r="BG760" t="b">
        <f>+ISNUMBER(SEARCH(#REF!,Tabla11[[#This Row],[Cuenta]],1))</f>
        <v>0</v>
      </c>
      <c r="BH760" t="b">
        <f>+ISNUMBER(SEARCH(#REF!,Tabla11[[#This Row],[Cuenta]],1))</f>
        <v>0</v>
      </c>
      <c r="BI760" t="b">
        <f>+ISNUMBER(SEARCH(#REF!,Tabla11[[#This Row],[Cuenta]],1))</f>
        <v>0</v>
      </c>
      <c r="BJ760" t="b">
        <f>+ISNUMBER(SEARCH(#REF!,Tabla11[[#This Row],[Cuenta]],1))</f>
        <v>0</v>
      </c>
      <c r="BS760" t="str">
        <v>5 GASTOS</v>
      </c>
      <c r="BT760" t="str">
        <v>5 GASTOS</v>
      </c>
      <c r="BU760" t="str">
        <v>5 GASTOS</v>
      </c>
      <c r="BV760" t="str">
        <v>5 GASTOS</v>
      </c>
      <c r="BZ760" t="str">
        <v>5 GASTOS</v>
      </c>
      <c r="CA760" t="str">
        <v>5 GASTOS</v>
      </c>
      <c r="CB760" t="str">
        <v>5 GASTOS</v>
      </c>
      <c r="CC760" t="str">
        <v>5 GASTOS</v>
      </c>
      <c r="CD760" t="str">
        <v>5 GASTOS</v>
      </c>
      <c r="CE760" t="str">
        <v>5 GASTOS</v>
      </c>
      <c r="CS760" s="141" t="str">
        <v>5 GASTOS</v>
      </c>
      <c r="CT760" s="141" t="str">
        <v>5 GASTOS</v>
      </c>
      <c r="CU760" s="141" t="str">
        <v>5 GASTOS</v>
      </c>
      <c r="CV760" s="141" t="str">
        <v>5 GASTOS</v>
      </c>
      <c r="CW760" s="141" t="str">
        <v>5 GASTOS</v>
      </c>
      <c r="CX760" s="141" t="str">
        <v>5 GASTOS</v>
      </c>
      <c r="CY760" s="141" t="str">
        <v>5 GASTOS</v>
      </c>
      <c r="CZ760" s="141" t="str">
        <v>5 GASTOS</v>
      </c>
      <c r="DA760" s="141" t="str">
        <v>5 GASTOS</v>
      </c>
      <c r="DF760" t="str">
        <v>5 GASTOS</v>
      </c>
      <c r="DG760" t="str">
        <v>5 GASTOS</v>
      </c>
      <c r="DH760" t="str">
        <v>5 GASTOS</v>
      </c>
      <c r="DI760" t="str">
        <v>5 GASTOS</v>
      </c>
      <c r="DJ760" t="str">
        <v>5 GASTOS</v>
      </c>
      <c r="DK760" t="str">
        <v>5 GASTOS</v>
      </c>
      <c r="DL760" t="str">
        <v>5 GASTOS</v>
      </c>
      <c r="DM760" t="str">
        <v>5 GASTOS</v>
      </c>
      <c r="DN760" t="str">
        <v>5 GASTOS</v>
      </c>
      <c r="DO760" t="str">
        <v>5 GASTOS</v>
      </c>
      <c r="DP760" t="str">
        <v>5 GASTOS</v>
      </c>
    </row>
    <row r="761" spans="4:120" ht="12.75">
      <c r="D761" s="7">
        <v>51</v>
      </c>
      <c r="E761" s="6" t="s">
        <v>532</v>
      </c>
      <c r="F761" s="5">
        <v>2</v>
      </c>
      <c r="G761" s="34" t="s">
        <v>830</v>
      </c>
      <c r="H761" s="8" t="s">
        <v>32</v>
      </c>
      <c r="I761" t="b">
        <f>+ISNUMBER(SEARCH('F-COMPRA'!$F$28,Tabla11[[#This Row],[Cuenta]],1))</f>
        <v>1</v>
      </c>
      <c r="J761" t="b">
        <f>+ISNUMBER(SEARCH('F-COMPRA'!$F$29,Tabla11[[#This Row],[Cuenta]],1))</f>
        <v>1</v>
      </c>
      <c r="K761" t="b">
        <f>+ISNUMBER(SEARCH('F-COMPRA'!$F$30,Tabla11[[#This Row],[Cuenta]],1))</f>
        <v>1</v>
      </c>
      <c r="L761" t="b">
        <f>+ISNUMBER(SEARCH('F-COMPRA'!$F$31,Tabla11[[#This Row],[Cuenta]],1))</f>
        <v>1</v>
      </c>
      <c r="M761" t="b">
        <f>+ISNUMBER(SEARCH('F-COMPRA'!$G$25,Tabla11[[#This Row],[Cuenta]],1))</f>
        <v>0</v>
      </c>
      <c r="N761" t="b">
        <f>+ISNUMBER(SEARCH(#REF!,Tabla11[[#This Row],[Cuenta]],1))</f>
        <v>0</v>
      </c>
      <c r="O761" t="b">
        <f>+ISNUMBER(SEARCH(#REF!,Tabla11[[#This Row],[Cuenta]],1))</f>
        <v>0</v>
      </c>
      <c r="P761" t="b">
        <f>+ISNUMBER(SEARCH('F-COMPRA'!$F$32,Tabla11[[#This Row],[Cuenta]],1))</f>
        <v>1</v>
      </c>
      <c r="Q761" t="b">
        <f>+ISNUMBER(SEARCH('F-COMPRA'!$F$33,Tabla11[[#This Row],[Cuenta]],1))</f>
        <v>1</v>
      </c>
      <c r="R761" t="b">
        <f>+ISNUMBER(SEARCH('F-COMPRA'!$F$34,Tabla11[[#This Row],[Cuenta]],1))</f>
        <v>1</v>
      </c>
      <c r="S761" t="b">
        <f>+ISNUMBER(SEARCH('F-COMPRA'!$F$35,Tabla11[[#This Row],[Cuenta]],1))</f>
        <v>1</v>
      </c>
      <c r="T761" t="b">
        <f>+ISNUMBER(SEARCH('F-COMPRA'!$F$36,Tabla11[[#This Row],[Cuenta]],1))</f>
        <v>1</v>
      </c>
      <c r="U761" t="b">
        <f>+ISNUMBER(SEARCH('F-COMPRA'!$F$37,Tabla11[[#This Row],[Cuenta]],1))</f>
        <v>1</v>
      </c>
      <c r="V761" t="b">
        <f>+ISNUMBER(SEARCH(#REF!,Tabla11[[#This Row],[Cuenta]],1))</f>
        <v>0</v>
      </c>
      <c r="W761" t="b">
        <f>+ISNUMBER(SEARCH('F-COMPRA'!#REF!,Tabla11[[#This Row],[Cuenta]],1))</f>
        <v>0</v>
      </c>
      <c r="X761" t="b">
        <f>+ISNUMBER(SEARCH('F-COMPRA'!#REF!,Tabla11[[#This Row],[Cuenta]],1))</f>
        <v>0</v>
      </c>
      <c r="Y761" t="b">
        <f>+ISNUMBER(SEARCH('F-COMPRA'!#REF!,Tabla11[[#This Row],[Cuenta]],1))</f>
        <v>0</v>
      </c>
      <c r="Z761" t="b">
        <f>+ISNUMBER(SEARCH('F-COMPRA'!#REF!,Tabla11[[#This Row],[Cuenta]],1))</f>
        <v>0</v>
      </c>
      <c r="AA761" t="b">
        <f>+ISNUMBER(SEARCH('F-COMPRA'!#REF!,Tabla11[[#This Row],[Cuenta]],1))</f>
        <v>0</v>
      </c>
      <c r="AB761" t="b">
        <f>+ISNUMBER(SEARCH('F-COMPRA'!#REF!,Tabla11[[#This Row],[Cuenta]],1))</f>
        <v>0</v>
      </c>
      <c r="AC761" t="b">
        <f>+ISNUMBER(SEARCH('F-COMPRA'!#REF!,Tabla11[[#This Row],[Cuenta]],1))</f>
        <v>0</v>
      </c>
      <c r="AD761" t="b">
        <f>+ISNUMBER(SEARCH('F-COMPRA'!#REF!,Tabla11[[#This Row],[Cuenta]],1))</f>
        <v>0</v>
      </c>
      <c r="AE761" t="b">
        <f>+ISNUMBER(SEARCH('F-COMPRA'!#REF!,Tabla11[[#This Row],[Cuenta]],1))</f>
        <v>0</v>
      </c>
      <c r="AF761" t="b">
        <f>+ISNUMBER(SEARCH('F-VTA'!$G$23,Tabla11[[#This Row],[Cuenta]],1))</f>
        <v>0</v>
      </c>
      <c r="AG761" t="b">
        <f>+ISNUMBER(SEARCH('F-VTA'!$G$24,Tabla11[[#This Row],[Cuenta]],1))</f>
        <v>0</v>
      </c>
      <c r="AH761" t="b">
        <f>+ISNUMBER(SEARCH('F-VTA'!$G$25,Tabla11[[#This Row],[Cuenta]],1))</f>
        <v>0</v>
      </c>
      <c r="AI761" t="b">
        <f>+ISNUMBER(SEARCH('F-VTA'!$F$28,Tabla11[[#This Row],[Cuenta]],1))</f>
        <v>1</v>
      </c>
      <c r="AJ761" t="b">
        <f>+ISNUMBER(SEARCH('F-VTA'!$F$29,Tabla11[[#This Row],[Cuenta]],1))</f>
        <v>1</v>
      </c>
      <c r="AK761" t="b">
        <f>+ISNUMBER(SEARCH('F-VTA'!$F$30,Tabla11[[#This Row],[Cuenta]],1))</f>
        <v>1</v>
      </c>
      <c r="AL761" t="b">
        <f>+ISNUMBER(SEARCH('F-VTA'!$F$31,Tabla11[[#This Row],[Cuenta]],1))</f>
        <v>1</v>
      </c>
      <c r="AM761" t="b">
        <f>+ISNUMBER(SEARCH('F-VTA'!$F$32,Tabla11[[#This Row],[Cuenta]],1))</f>
        <v>1</v>
      </c>
      <c r="AN761" t="b">
        <f>+ISNUMBER(SEARCH('F-VTA'!$F$33,Tabla11[[#This Row],[Cuenta]],1))</f>
        <v>1</v>
      </c>
      <c r="AO761" t="b">
        <f>+ISNUMBER(SEARCH('F-VTA'!$F$34,Tabla11[[#This Row],[Cuenta]],1))</f>
        <v>1</v>
      </c>
      <c r="AP761" t="b">
        <f>+ISNUMBER(SEARCH('F-VTA'!$F$35,Tabla11[[#This Row],[Cuenta]],1))</f>
        <v>1</v>
      </c>
      <c r="AQ761" t="b">
        <f>+ISNUMBER(SEARCH('F-VTA'!$F$36,Tabla11[[#This Row],[Cuenta]],1))</f>
        <v>1</v>
      </c>
      <c r="AR761" t="b">
        <f>+ISNUMBER(SEARCH(#REF!,Tabla11[[#This Row],[Cuenta]],1))</f>
        <v>0</v>
      </c>
      <c r="AS761" t="b">
        <f>+ISNUMBER(SEARCH(#REF!,Tabla11[[#This Row],[Cuenta]],1))</f>
        <v>0</v>
      </c>
      <c r="AT761" t="b">
        <f>+ISNUMBER(SEARCH(#REF!,Tabla11[[#This Row],[Cuenta]],1))</f>
        <v>0</v>
      </c>
      <c r="AU761" t="b">
        <f>+ISNUMBER(SEARCH('Conc. Ban.1'!$I$9,Tabla11[[#This Row],[Cuenta]],1))</f>
        <v>0</v>
      </c>
      <c r="AV761" t="b">
        <f>+ISNUMBER(SEARCH(CompConta!$F$21,Tabla11[[#This Row],[Cuenta]],1))</f>
        <v>1</v>
      </c>
      <c r="AW761" t="b">
        <f>+ISNUMBER(SEARCH(CompConta!$F$22,Tabla11[[#This Row],[Cuenta]],1))</f>
        <v>1</v>
      </c>
      <c r="AX761" t="b">
        <f>+ISNUMBER(SEARCH(CompConta!$F$23,Tabla11[[#This Row],[Cuenta]],1))</f>
        <v>1</v>
      </c>
      <c r="AY761" t="b">
        <f>+ISNUMBER(SEARCH(CompConta!$F$24,Tabla11[[#This Row],[Cuenta]],1))</f>
        <v>1</v>
      </c>
      <c r="AZ761" t="b">
        <f>+ISNUMBER(SEARCH(CompConta!$F$25,Tabla11[[#This Row],[Cuenta]],1))</f>
        <v>1</v>
      </c>
      <c r="BA761" t="b">
        <f>+ISNUMBER(SEARCH(CompConta!$F$26,Tabla11[[#This Row],[Cuenta]],1))</f>
        <v>1</v>
      </c>
      <c r="BB761" t="b">
        <f>+ISNUMBER(SEARCH(CompConta!$F$27,Tabla11[[#This Row],[Cuenta]],1))</f>
        <v>1</v>
      </c>
      <c r="BC761" t="b">
        <f>+ISNUMBER(SEARCH(CompConta!$F$28,Tabla11[[#This Row],[Cuenta]],1))</f>
        <v>1</v>
      </c>
      <c r="BD761" t="b">
        <f>+ISNUMBER(SEARCH(CompConta!$F$29,Tabla11[[#This Row],[Cuenta]],1))</f>
        <v>1</v>
      </c>
      <c r="BE761" t="b">
        <f>+ISNUMBER(SEARCH(CompConta!$F$30,Tabla11[[#This Row],[Cuenta]],1))</f>
        <v>1</v>
      </c>
      <c r="BF761" t="b">
        <f>+ISNUMBER(SEARCH('PAGO Compras'!$E$11,Tabla11[[#This Row],[Cuenta]],1))</f>
        <v>1</v>
      </c>
      <c r="BG761" t="b">
        <f>+ISNUMBER(SEARCH(#REF!,Tabla11[[#This Row],[Cuenta]],1))</f>
        <v>0</v>
      </c>
      <c r="BH761" t="b">
        <f>+ISNUMBER(SEARCH(#REF!,Tabla11[[#This Row],[Cuenta]],1))</f>
        <v>0</v>
      </c>
      <c r="BI761" t="b">
        <f>+ISNUMBER(SEARCH(#REF!,Tabla11[[#This Row],[Cuenta]],1))</f>
        <v>0</v>
      </c>
      <c r="BJ761" t="b">
        <f>+ISNUMBER(SEARCH(#REF!,Tabla11[[#This Row],[Cuenta]],1))</f>
        <v>0</v>
      </c>
      <c r="BS761" t="str">
        <v>51 OPERACIONALES DE ADMINISTRACIÓN</v>
      </c>
      <c r="BT761" t="str">
        <v>51 OPERACIONALES DE ADMINISTRACIÓN</v>
      </c>
      <c r="BU761" t="str">
        <v>51 OPERACIONALES DE ADMINISTRACIÓN</v>
      </c>
      <c r="BV761" t="str">
        <v>51 OPERACIONALES DE ADMINISTRACIÓN</v>
      </c>
      <c r="BZ761" t="str">
        <v>51 OPERACIONALES DE ADMINISTRACIÓN</v>
      </c>
      <c r="CA761" t="str">
        <v>51 OPERACIONALES DE ADMINISTRACIÓN</v>
      </c>
      <c r="CB761" t="str">
        <v>51 OPERACIONALES DE ADMINISTRACIÓN</v>
      </c>
      <c r="CC761" t="str">
        <v>51 OPERACIONALES DE ADMINISTRACIÓN</v>
      </c>
      <c r="CD761" t="str">
        <v>51 OPERACIONALES DE ADMINISTRACIÓN</v>
      </c>
      <c r="CE761" t="str">
        <v>51 OPERACIONALES DE ADMINISTRACIÓN</v>
      </c>
      <c r="CS761" s="141" t="str">
        <v>51 OPERACIONALES DE ADMINISTRACIÓN</v>
      </c>
      <c r="CT761" s="141" t="str">
        <v>51 OPERACIONALES DE ADMINISTRACIÓN</v>
      </c>
      <c r="CU761" s="141" t="str">
        <v>51 OPERACIONALES DE ADMINISTRACIÓN</v>
      </c>
      <c r="CV761" s="141" t="str">
        <v>51 OPERACIONALES DE ADMINISTRACIÓN</v>
      </c>
      <c r="CW761" s="141" t="str">
        <v>51 OPERACIONALES DE ADMINISTRACIÓN</v>
      </c>
      <c r="CX761" s="141" t="str">
        <v>51 OPERACIONALES DE ADMINISTRACIÓN</v>
      </c>
      <c r="CY761" s="141" t="str">
        <v>51 OPERACIONALES DE ADMINISTRACIÓN</v>
      </c>
      <c r="CZ761" s="141" t="str">
        <v>51 OPERACIONALES DE ADMINISTRACIÓN</v>
      </c>
      <c r="DA761" s="141" t="str">
        <v>51 OPERACIONALES DE ADMINISTRACIÓN</v>
      </c>
      <c r="DF761" t="str">
        <v>51 OPERACIONALES DE ADMINISTRACIÓN</v>
      </c>
      <c r="DG761" t="str">
        <v>51 OPERACIONALES DE ADMINISTRACIÓN</v>
      </c>
      <c r="DH761" t="str">
        <v>51 OPERACIONALES DE ADMINISTRACIÓN</v>
      </c>
      <c r="DI761" t="str">
        <v>51 OPERACIONALES DE ADMINISTRACIÓN</v>
      </c>
      <c r="DJ761" t="str">
        <v>51 OPERACIONALES DE ADMINISTRACIÓN</v>
      </c>
      <c r="DK761" t="str">
        <v>51 OPERACIONALES DE ADMINISTRACIÓN</v>
      </c>
      <c r="DL761" t="str">
        <v>51 OPERACIONALES DE ADMINISTRACIÓN</v>
      </c>
      <c r="DM761" t="str">
        <v>51 OPERACIONALES DE ADMINISTRACIÓN</v>
      </c>
      <c r="DN761" t="str">
        <v>51 OPERACIONALES DE ADMINISTRACIÓN</v>
      </c>
      <c r="DO761" t="str">
        <v>51 OPERACIONALES DE ADMINISTRACIÓN</v>
      </c>
      <c r="DP761" t="str">
        <v>51 OPERACIONALES DE ADMINISTRACIÓN</v>
      </c>
    </row>
    <row r="762" spans="4:120" ht="12.75">
      <c r="D762" s="7">
        <v>5105</v>
      </c>
      <c r="E762" s="6" t="s">
        <v>533</v>
      </c>
      <c r="F762" s="5">
        <v>3</v>
      </c>
      <c r="G762" s="34" t="s">
        <v>830</v>
      </c>
      <c r="H762" s="8" t="s">
        <v>32</v>
      </c>
      <c r="I762" t="b">
        <f>+ISNUMBER(SEARCH('F-COMPRA'!$F$28,Tabla11[[#This Row],[Cuenta]],1))</f>
        <v>1</v>
      </c>
      <c r="J762" t="b">
        <f>+ISNUMBER(SEARCH('F-COMPRA'!$F$29,Tabla11[[#This Row],[Cuenta]],1))</f>
        <v>1</v>
      </c>
      <c r="K762" t="b">
        <f>+ISNUMBER(SEARCH('F-COMPRA'!$F$30,Tabla11[[#This Row],[Cuenta]],1))</f>
        <v>1</v>
      </c>
      <c r="L762" t="b">
        <f>+ISNUMBER(SEARCH('F-COMPRA'!$F$31,Tabla11[[#This Row],[Cuenta]],1))</f>
        <v>1</v>
      </c>
      <c r="M762" t="b">
        <f>+ISNUMBER(SEARCH('F-COMPRA'!$G$25,Tabla11[[#This Row],[Cuenta]],1))</f>
        <v>0</v>
      </c>
      <c r="N762" t="b">
        <f>+ISNUMBER(SEARCH(#REF!,Tabla11[[#This Row],[Cuenta]],1))</f>
        <v>0</v>
      </c>
      <c r="O762" t="b">
        <f>+ISNUMBER(SEARCH(#REF!,Tabla11[[#This Row],[Cuenta]],1))</f>
        <v>0</v>
      </c>
      <c r="P762" t="b">
        <f>+ISNUMBER(SEARCH('F-COMPRA'!$F$32,Tabla11[[#This Row],[Cuenta]],1))</f>
        <v>1</v>
      </c>
      <c r="Q762" t="b">
        <f>+ISNUMBER(SEARCH('F-COMPRA'!$F$33,Tabla11[[#This Row],[Cuenta]],1))</f>
        <v>1</v>
      </c>
      <c r="R762" t="b">
        <f>+ISNUMBER(SEARCH('F-COMPRA'!$F$34,Tabla11[[#This Row],[Cuenta]],1))</f>
        <v>1</v>
      </c>
      <c r="S762" t="b">
        <f>+ISNUMBER(SEARCH('F-COMPRA'!$F$35,Tabla11[[#This Row],[Cuenta]],1))</f>
        <v>1</v>
      </c>
      <c r="T762" t="b">
        <f>+ISNUMBER(SEARCH('F-COMPRA'!$F$36,Tabla11[[#This Row],[Cuenta]],1))</f>
        <v>1</v>
      </c>
      <c r="U762" t="b">
        <f>+ISNUMBER(SEARCH('F-COMPRA'!$F$37,Tabla11[[#This Row],[Cuenta]],1))</f>
        <v>1</v>
      </c>
      <c r="V762" t="b">
        <f>+ISNUMBER(SEARCH(#REF!,Tabla11[[#This Row],[Cuenta]],1))</f>
        <v>0</v>
      </c>
      <c r="W762" t="b">
        <f>+ISNUMBER(SEARCH('F-COMPRA'!#REF!,Tabla11[[#This Row],[Cuenta]],1))</f>
        <v>0</v>
      </c>
      <c r="X762" t="b">
        <f>+ISNUMBER(SEARCH('F-COMPRA'!#REF!,Tabla11[[#This Row],[Cuenta]],1))</f>
        <v>0</v>
      </c>
      <c r="Y762" t="b">
        <f>+ISNUMBER(SEARCH('F-COMPRA'!#REF!,Tabla11[[#This Row],[Cuenta]],1))</f>
        <v>0</v>
      </c>
      <c r="Z762" t="b">
        <f>+ISNUMBER(SEARCH('F-COMPRA'!#REF!,Tabla11[[#This Row],[Cuenta]],1))</f>
        <v>0</v>
      </c>
      <c r="AA762" t="b">
        <f>+ISNUMBER(SEARCH('F-COMPRA'!#REF!,Tabla11[[#This Row],[Cuenta]],1))</f>
        <v>0</v>
      </c>
      <c r="AB762" t="b">
        <f>+ISNUMBER(SEARCH('F-COMPRA'!#REF!,Tabla11[[#This Row],[Cuenta]],1))</f>
        <v>0</v>
      </c>
      <c r="AC762" t="b">
        <f>+ISNUMBER(SEARCH('F-COMPRA'!#REF!,Tabla11[[#This Row],[Cuenta]],1))</f>
        <v>0</v>
      </c>
      <c r="AD762" t="b">
        <f>+ISNUMBER(SEARCH('F-COMPRA'!#REF!,Tabla11[[#This Row],[Cuenta]],1))</f>
        <v>0</v>
      </c>
      <c r="AE762" t="b">
        <f>+ISNUMBER(SEARCH('F-COMPRA'!#REF!,Tabla11[[#This Row],[Cuenta]],1))</f>
        <v>0</v>
      </c>
      <c r="AF762" t="b">
        <f>+ISNUMBER(SEARCH('F-VTA'!$G$23,Tabla11[[#This Row],[Cuenta]],1))</f>
        <v>0</v>
      </c>
      <c r="AG762" t="b">
        <f>+ISNUMBER(SEARCH('F-VTA'!$G$24,Tabla11[[#This Row],[Cuenta]],1))</f>
        <v>0</v>
      </c>
      <c r="AH762" t="b">
        <f>+ISNUMBER(SEARCH('F-VTA'!$G$25,Tabla11[[#This Row],[Cuenta]],1))</f>
        <v>0</v>
      </c>
      <c r="AI762" t="b">
        <f>+ISNUMBER(SEARCH('F-VTA'!$F$28,Tabla11[[#This Row],[Cuenta]],1))</f>
        <v>1</v>
      </c>
      <c r="AJ762" t="b">
        <f>+ISNUMBER(SEARCH('F-VTA'!$F$29,Tabla11[[#This Row],[Cuenta]],1))</f>
        <v>1</v>
      </c>
      <c r="AK762" t="b">
        <f>+ISNUMBER(SEARCH('F-VTA'!$F$30,Tabla11[[#This Row],[Cuenta]],1))</f>
        <v>1</v>
      </c>
      <c r="AL762" t="b">
        <f>+ISNUMBER(SEARCH('F-VTA'!$F$31,Tabla11[[#This Row],[Cuenta]],1))</f>
        <v>1</v>
      </c>
      <c r="AM762" t="b">
        <f>+ISNUMBER(SEARCH('F-VTA'!$F$32,Tabla11[[#This Row],[Cuenta]],1))</f>
        <v>1</v>
      </c>
      <c r="AN762" t="b">
        <f>+ISNUMBER(SEARCH('F-VTA'!$F$33,Tabla11[[#This Row],[Cuenta]],1))</f>
        <v>1</v>
      </c>
      <c r="AO762" t="b">
        <f>+ISNUMBER(SEARCH('F-VTA'!$F$34,Tabla11[[#This Row],[Cuenta]],1))</f>
        <v>1</v>
      </c>
      <c r="AP762" t="b">
        <f>+ISNUMBER(SEARCH('F-VTA'!$F$35,Tabla11[[#This Row],[Cuenta]],1))</f>
        <v>1</v>
      </c>
      <c r="AQ762" t="b">
        <f>+ISNUMBER(SEARCH('F-VTA'!$F$36,Tabla11[[#This Row],[Cuenta]],1))</f>
        <v>1</v>
      </c>
      <c r="AR762" t="b">
        <f>+ISNUMBER(SEARCH(#REF!,Tabla11[[#This Row],[Cuenta]],1))</f>
        <v>0</v>
      </c>
      <c r="AS762" t="b">
        <f>+ISNUMBER(SEARCH(#REF!,Tabla11[[#This Row],[Cuenta]],1))</f>
        <v>0</v>
      </c>
      <c r="AT762" t="b">
        <f>+ISNUMBER(SEARCH(#REF!,Tabla11[[#This Row],[Cuenta]],1))</f>
        <v>0</v>
      </c>
      <c r="AU762" t="b">
        <f>+ISNUMBER(SEARCH('Conc. Ban.1'!$I$9,Tabla11[[#This Row],[Cuenta]],1))</f>
        <v>0</v>
      </c>
      <c r="AV762" t="b">
        <f>+ISNUMBER(SEARCH(CompConta!$F$21,Tabla11[[#This Row],[Cuenta]],1))</f>
        <v>1</v>
      </c>
      <c r="AW762" t="b">
        <f>+ISNUMBER(SEARCH(CompConta!$F$22,Tabla11[[#This Row],[Cuenta]],1))</f>
        <v>1</v>
      </c>
      <c r="AX762" t="b">
        <f>+ISNUMBER(SEARCH(CompConta!$F$23,Tabla11[[#This Row],[Cuenta]],1))</f>
        <v>1</v>
      </c>
      <c r="AY762" t="b">
        <f>+ISNUMBER(SEARCH(CompConta!$F$24,Tabla11[[#This Row],[Cuenta]],1))</f>
        <v>1</v>
      </c>
      <c r="AZ762" t="b">
        <f>+ISNUMBER(SEARCH(CompConta!$F$25,Tabla11[[#This Row],[Cuenta]],1))</f>
        <v>1</v>
      </c>
      <c r="BA762" t="b">
        <f>+ISNUMBER(SEARCH(CompConta!$F$26,Tabla11[[#This Row],[Cuenta]],1))</f>
        <v>1</v>
      </c>
      <c r="BB762" t="b">
        <f>+ISNUMBER(SEARCH(CompConta!$F$27,Tabla11[[#This Row],[Cuenta]],1))</f>
        <v>1</v>
      </c>
      <c r="BC762" t="b">
        <f>+ISNUMBER(SEARCH(CompConta!$F$28,Tabla11[[#This Row],[Cuenta]],1))</f>
        <v>1</v>
      </c>
      <c r="BD762" t="b">
        <f>+ISNUMBER(SEARCH(CompConta!$F$29,Tabla11[[#This Row],[Cuenta]],1))</f>
        <v>1</v>
      </c>
      <c r="BE762" t="b">
        <f>+ISNUMBER(SEARCH(CompConta!$F$30,Tabla11[[#This Row],[Cuenta]],1))</f>
        <v>1</v>
      </c>
      <c r="BF762" t="b">
        <f>+ISNUMBER(SEARCH('PAGO Compras'!$E$11,Tabla11[[#This Row],[Cuenta]],1))</f>
        <v>1</v>
      </c>
      <c r="BG762" t="b">
        <f>+ISNUMBER(SEARCH(#REF!,Tabla11[[#This Row],[Cuenta]],1))</f>
        <v>0</v>
      </c>
      <c r="BH762" t="b">
        <f>+ISNUMBER(SEARCH(#REF!,Tabla11[[#This Row],[Cuenta]],1))</f>
        <v>0</v>
      </c>
      <c r="BI762" t="b">
        <f>+ISNUMBER(SEARCH(#REF!,Tabla11[[#This Row],[Cuenta]],1))</f>
        <v>0</v>
      </c>
      <c r="BJ762" t="b">
        <f>+ISNUMBER(SEARCH(#REF!,Tabla11[[#This Row],[Cuenta]],1))</f>
        <v>0</v>
      </c>
      <c r="BS762" t="str">
        <v>5105 GASTOS DE PERSONAL</v>
      </c>
      <c r="BT762" t="str">
        <v>5105 GASTOS DE PERSONAL</v>
      </c>
      <c r="BU762" t="str">
        <v>5105 GASTOS DE PERSONAL</v>
      </c>
      <c r="BV762" t="str">
        <v>5105 GASTOS DE PERSONAL</v>
      </c>
      <c r="BZ762" t="str">
        <v>5105 GASTOS DE PERSONAL</v>
      </c>
      <c r="CA762" t="str">
        <v>5105 GASTOS DE PERSONAL</v>
      </c>
      <c r="CB762" t="str">
        <v>5105 GASTOS DE PERSONAL</v>
      </c>
      <c r="CC762" t="str">
        <v>5105 GASTOS DE PERSONAL</v>
      </c>
      <c r="CD762" t="str">
        <v>5105 GASTOS DE PERSONAL</v>
      </c>
      <c r="CE762" t="str">
        <v>5105 GASTOS DE PERSONAL</v>
      </c>
      <c r="CS762" s="141" t="str">
        <v>5105 GASTOS DE PERSONAL</v>
      </c>
      <c r="CT762" s="141" t="str">
        <v>5105 GASTOS DE PERSONAL</v>
      </c>
      <c r="CU762" s="141" t="str">
        <v>5105 GASTOS DE PERSONAL</v>
      </c>
      <c r="CV762" s="141" t="str">
        <v>5105 GASTOS DE PERSONAL</v>
      </c>
      <c r="CW762" s="141" t="str">
        <v>5105 GASTOS DE PERSONAL</v>
      </c>
      <c r="CX762" s="141" t="str">
        <v>5105 GASTOS DE PERSONAL</v>
      </c>
      <c r="CY762" s="141" t="str">
        <v>5105 GASTOS DE PERSONAL</v>
      </c>
      <c r="CZ762" s="141" t="str">
        <v>5105 GASTOS DE PERSONAL</v>
      </c>
      <c r="DA762" s="141" t="str">
        <v>5105 GASTOS DE PERSONAL</v>
      </c>
      <c r="DF762" t="str">
        <v>5105 GASTOS DE PERSONAL</v>
      </c>
      <c r="DG762" t="str">
        <v>5105 GASTOS DE PERSONAL</v>
      </c>
      <c r="DH762" t="str">
        <v>5105 GASTOS DE PERSONAL</v>
      </c>
      <c r="DI762" t="str">
        <v>5105 GASTOS DE PERSONAL</v>
      </c>
      <c r="DJ762" t="str">
        <v>5105 GASTOS DE PERSONAL</v>
      </c>
      <c r="DK762" t="str">
        <v>5105 GASTOS DE PERSONAL</v>
      </c>
      <c r="DL762" t="str">
        <v>5105 GASTOS DE PERSONAL</v>
      </c>
      <c r="DM762" t="str">
        <v>5105 GASTOS DE PERSONAL</v>
      </c>
      <c r="DN762" t="str">
        <v>5105 GASTOS DE PERSONAL</v>
      </c>
      <c r="DO762" t="str">
        <v>5105 GASTOS DE PERSONAL</v>
      </c>
      <c r="DP762" t="str">
        <v>5105 GASTOS DE PERSONAL</v>
      </c>
    </row>
    <row r="763" spans="4:120" ht="12.75">
      <c r="D763" s="7">
        <v>510503</v>
      </c>
      <c r="E763" s="6" t="s">
        <v>534</v>
      </c>
      <c r="F763" s="5">
        <v>4</v>
      </c>
      <c r="G763" s="34" t="s">
        <v>830</v>
      </c>
      <c r="H763" s="8" t="s">
        <v>32</v>
      </c>
      <c r="I763" t="b">
        <f>+ISNUMBER(SEARCH('F-COMPRA'!$F$28,Tabla11[[#This Row],[Cuenta]],1))</f>
        <v>1</v>
      </c>
      <c r="J763" t="b">
        <f>+ISNUMBER(SEARCH('F-COMPRA'!$F$29,Tabla11[[#This Row],[Cuenta]],1))</f>
        <v>1</v>
      </c>
      <c r="K763" t="b">
        <f>+ISNUMBER(SEARCH('F-COMPRA'!$F$30,Tabla11[[#This Row],[Cuenta]],1))</f>
        <v>1</v>
      </c>
      <c r="L763" t="b">
        <f>+ISNUMBER(SEARCH('F-COMPRA'!$F$31,Tabla11[[#This Row],[Cuenta]],1))</f>
        <v>1</v>
      </c>
      <c r="M763" t="b">
        <f>+ISNUMBER(SEARCH('F-COMPRA'!$G$25,Tabla11[[#This Row],[Cuenta]],1))</f>
        <v>0</v>
      </c>
      <c r="N763" t="b">
        <f>+ISNUMBER(SEARCH(#REF!,Tabla11[[#This Row],[Cuenta]],1))</f>
        <v>0</v>
      </c>
      <c r="O763" t="b">
        <f>+ISNUMBER(SEARCH(#REF!,Tabla11[[#This Row],[Cuenta]],1))</f>
        <v>0</v>
      </c>
      <c r="P763" t="b">
        <f>+ISNUMBER(SEARCH('F-COMPRA'!$F$32,Tabla11[[#This Row],[Cuenta]],1))</f>
        <v>1</v>
      </c>
      <c r="Q763" t="b">
        <f>+ISNUMBER(SEARCH('F-COMPRA'!$F$33,Tabla11[[#This Row],[Cuenta]],1))</f>
        <v>1</v>
      </c>
      <c r="R763" t="b">
        <f>+ISNUMBER(SEARCH('F-COMPRA'!$F$34,Tabla11[[#This Row],[Cuenta]],1))</f>
        <v>1</v>
      </c>
      <c r="S763" t="b">
        <f>+ISNUMBER(SEARCH('F-COMPRA'!$F$35,Tabla11[[#This Row],[Cuenta]],1))</f>
        <v>1</v>
      </c>
      <c r="T763" t="b">
        <f>+ISNUMBER(SEARCH('F-COMPRA'!$F$36,Tabla11[[#This Row],[Cuenta]],1))</f>
        <v>1</v>
      </c>
      <c r="U763" t="b">
        <f>+ISNUMBER(SEARCH('F-COMPRA'!$F$37,Tabla11[[#This Row],[Cuenta]],1))</f>
        <v>1</v>
      </c>
      <c r="V763" t="b">
        <f>+ISNUMBER(SEARCH(#REF!,Tabla11[[#This Row],[Cuenta]],1))</f>
        <v>0</v>
      </c>
      <c r="W763" t="b">
        <f>+ISNUMBER(SEARCH('F-COMPRA'!#REF!,Tabla11[[#This Row],[Cuenta]],1))</f>
        <v>0</v>
      </c>
      <c r="X763" t="b">
        <f>+ISNUMBER(SEARCH('F-COMPRA'!#REF!,Tabla11[[#This Row],[Cuenta]],1))</f>
        <v>0</v>
      </c>
      <c r="Y763" t="b">
        <f>+ISNUMBER(SEARCH('F-COMPRA'!#REF!,Tabla11[[#This Row],[Cuenta]],1))</f>
        <v>0</v>
      </c>
      <c r="Z763" t="b">
        <f>+ISNUMBER(SEARCH('F-COMPRA'!#REF!,Tabla11[[#This Row],[Cuenta]],1))</f>
        <v>0</v>
      </c>
      <c r="AA763" t="b">
        <f>+ISNUMBER(SEARCH('F-COMPRA'!#REF!,Tabla11[[#This Row],[Cuenta]],1))</f>
        <v>0</v>
      </c>
      <c r="AB763" t="b">
        <f>+ISNUMBER(SEARCH('F-COMPRA'!#REF!,Tabla11[[#This Row],[Cuenta]],1))</f>
        <v>0</v>
      </c>
      <c r="AC763" t="b">
        <f>+ISNUMBER(SEARCH('F-COMPRA'!#REF!,Tabla11[[#This Row],[Cuenta]],1))</f>
        <v>0</v>
      </c>
      <c r="AD763" t="b">
        <f>+ISNUMBER(SEARCH('F-COMPRA'!#REF!,Tabla11[[#This Row],[Cuenta]],1))</f>
        <v>0</v>
      </c>
      <c r="AE763" t="b">
        <f>+ISNUMBER(SEARCH('F-COMPRA'!#REF!,Tabla11[[#This Row],[Cuenta]],1))</f>
        <v>0</v>
      </c>
      <c r="AF763" t="b">
        <f>+ISNUMBER(SEARCH('F-VTA'!$G$23,Tabla11[[#This Row],[Cuenta]],1))</f>
        <v>0</v>
      </c>
      <c r="AG763" t="b">
        <f>+ISNUMBER(SEARCH('F-VTA'!$G$24,Tabla11[[#This Row],[Cuenta]],1))</f>
        <v>0</v>
      </c>
      <c r="AH763" t="b">
        <f>+ISNUMBER(SEARCH('F-VTA'!$G$25,Tabla11[[#This Row],[Cuenta]],1))</f>
        <v>0</v>
      </c>
      <c r="AI763" t="b">
        <f>+ISNUMBER(SEARCH('F-VTA'!$F$28,Tabla11[[#This Row],[Cuenta]],1))</f>
        <v>1</v>
      </c>
      <c r="AJ763" t="b">
        <f>+ISNUMBER(SEARCH('F-VTA'!$F$29,Tabla11[[#This Row],[Cuenta]],1))</f>
        <v>1</v>
      </c>
      <c r="AK763" t="b">
        <f>+ISNUMBER(SEARCH('F-VTA'!$F$30,Tabla11[[#This Row],[Cuenta]],1))</f>
        <v>1</v>
      </c>
      <c r="AL763" t="b">
        <f>+ISNUMBER(SEARCH('F-VTA'!$F$31,Tabla11[[#This Row],[Cuenta]],1))</f>
        <v>1</v>
      </c>
      <c r="AM763" t="b">
        <f>+ISNUMBER(SEARCH('F-VTA'!$F$32,Tabla11[[#This Row],[Cuenta]],1))</f>
        <v>1</v>
      </c>
      <c r="AN763" t="b">
        <f>+ISNUMBER(SEARCH('F-VTA'!$F$33,Tabla11[[#This Row],[Cuenta]],1))</f>
        <v>1</v>
      </c>
      <c r="AO763" t="b">
        <f>+ISNUMBER(SEARCH('F-VTA'!$F$34,Tabla11[[#This Row],[Cuenta]],1))</f>
        <v>1</v>
      </c>
      <c r="AP763" t="b">
        <f>+ISNUMBER(SEARCH('F-VTA'!$F$35,Tabla11[[#This Row],[Cuenta]],1))</f>
        <v>1</v>
      </c>
      <c r="AQ763" t="b">
        <f>+ISNUMBER(SEARCH('F-VTA'!$F$36,Tabla11[[#This Row],[Cuenta]],1))</f>
        <v>1</v>
      </c>
      <c r="AR763" t="b">
        <f>+ISNUMBER(SEARCH(#REF!,Tabla11[[#This Row],[Cuenta]],1))</f>
        <v>0</v>
      </c>
      <c r="AS763" t="b">
        <f>+ISNUMBER(SEARCH(#REF!,Tabla11[[#This Row],[Cuenta]],1))</f>
        <v>0</v>
      </c>
      <c r="AT763" t="b">
        <f>+ISNUMBER(SEARCH(#REF!,Tabla11[[#This Row],[Cuenta]],1))</f>
        <v>0</v>
      </c>
      <c r="AU763" t="b">
        <f>+ISNUMBER(SEARCH('Conc. Ban.1'!$I$9,Tabla11[[#This Row],[Cuenta]],1))</f>
        <v>0</v>
      </c>
      <c r="AV763" t="b">
        <f>+ISNUMBER(SEARCH(CompConta!$F$21,Tabla11[[#This Row],[Cuenta]],1))</f>
        <v>1</v>
      </c>
      <c r="AW763" t="b">
        <f>+ISNUMBER(SEARCH(CompConta!$F$22,Tabla11[[#This Row],[Cuenta]],1))</f>
        <v>1</v>
      </c>
      <c r="AX763" t="b">
        <f>+ISNUMBER(SEARCH(CompConta!$F$23,Tabla11[[#This Row],[Cuenta]],1))</f>
        <v>1</v>
      </c>
      <c r="AY763" t="b">
        <f>+ISNUMBER(SEARCH(CompConta!$F$24,Tabla11[[#This Row],[Cuenta]],1))</f>
        <v>1</v>
      </c>
      <c r="AZ763" t="b">
        <f>+ISNUMBER(SEARCH(CompConta!$F$25,Tabla11[[#This Row],[Cuenta]],1))</f>
        <v>1</v>
      </c>
      <c r="BA763" t="b">
        <f>+ISNUMBER(SEARCH(CompConta!$F$26,Tabla11[[#This Row],[Cuenta]],1))</f>
        <v>1</v>
      </c>
      <c r="BB763" t="b">
        <f>+ISNUMBER(SEARCH(CompConta!$F$27,Tabla11[[#This Row],[Cuenta]],1))</f>
        <v>1</v>
      </c>
      <c r="BC763" t="b">
        <f>+ISNUMBER(SEARCH(CompConta!$F$28,Tabla11[[#This Row],[Cuenta]],1))</f>
        <v>1</v>
      </c>
      <c r="BD763" t="b">
        <f>+ISNUMBER(SEARCH(CompConta!$F$29,Tabla11[[#This Row],[Cuenta]],1))</f>
        <v>1</v>
      </c>
      <c r="BE763" t="b">
        <f>+ISNUMBER(SEARCH(CompConta!$F$30,Tabla11[[#This Row],[Cuenta]],1))</f>
        <v>1</v>
      </c>
      <c r="BF763" t="b">
        <f>+ISNUMBER(SEARCH('PAGO Compras'!$E$11,Tabla11[[#This Row],[Cuenta]],1))</f>
        <v>1</v>
      </c>
      <c r="BG763" t="b">
        <f>+ISNUMBER(SEARCH(#REF!,Tabla11[[#This Row],[Cuenta]],1))</f>
        <v>0</v>
      </c>
      <c r="BH763" t="b">
        <f>+ISNUMBER(SEARCH(#REF!,Tabla11[[#This Row],[Cuenta]],1))</f>
        <v>0</v>
      </c>
      <c r="BI763" t="b">
        <f>+ISNUMBER(SEARCH(#REF!,Tabla11[[#This Row],[Cuenta]],1))</f>
        <v>0</v>
      </c>
      <c r="BJ763" t="b">
        <f>+ISNUMBER(SEARCH(#REF!,Tabla11[[#This Row],[Cuenta]],1))</f>
        <v>0</v>
      </c>
      <c r="BS763" t="str">
        <v>510503 Salario integral</v>
      </c>
      <c r="BT763" t="str">
        <v>510503 Salario integral</v>
      </c>
      <c r="BU763" t="str">
        <v>510503 Salario integral</v>
      </c>
      <c r="BV763" t="str">
        <v>510503 Salario integral</v>
      </c>
      <c r="BZ763" t="str">
        <v>510503 Salario integral</v>
      </c>
      <c r="CA763" t="str">
        <v>510503 Salario integral</v>
      </c>
      <c r="CB763" t="str">
        <v>510503 Salario integral</v>
      </c>
      <c r="CC763" t="str">
        <v>510503 Salario integral</v>
      </c>
      <c r="CD763" t="str">
        <v>510503 Salario integral</v>
      </c>
      <c r="CE763" t="str">
        <v>510503 Salario integral</v>
      </c>
      <c r="CS763" s="141" t="str">
        <v>510503 Salario integral</v>
      </c>
      <c r="CT763" s="141" t="str">
        <v>510503 Salario integral</v>
      </c>
      <c r="CU763" s="141" t="str">
        <v>510503 Salario integral</v>
      </c>
      <c r="CV763" s="141" t="str">
        <v>510503 Salario integral</v>
      </c>
      <c r="CW763" s="141" t="str">
        <v>510503 Salario integral</v>
      </c>
      <c r="CX763" s="141" t="str">
        <v>510503 Salario integral</v>
      </c>
      <c r="CY763" s="141" t="str">
        <v>510503 Salario integral</v>
      </c>
      <c r="CZ763" s="141" t="str">
        <v>510503 Salario integral</v>
      </c>
      <c r="DA763" s="141" t="str">
        <v>510503 Salario integral</v>
      </c>
      <c r="DF763" t="str">
        <v>510503 Salario integral</v>
      </c>
      <c r="DG763" t="str">
        <v>510503 Salario integral</v>
      </c>
      <c r="DH763" t="str">
        <v>510503 Salario integral</v>
      </c>
      <c r="DI763" t="str">
        <v>510503 Salario integral</v>
      </c>
      <c r="DJ763" t="str">
        <v>510503 Salario integral</v>
      </c>
      <c r="DK763" t="str">
        <v>510503 Salario integral</v>
      </c>
      <c r="DL763" t="str">
        <v>510503 Salario integral</v>
      </c>
      <c r="DM763" t="str">
        <v>510503 Salario integral</v>
      </c>
      <c r="DN763" t="str">
        <v>510503 Salario integral</v>
      </c>
      <c r="DO763" t="str">
        <v>510503 Salario integral</v>
      </c>
      <c r="DP763" t="str">
        <v>510503 Salario integral</v>
      </c>
    </row>
    <row r="764" spans="4:120" ht="12.75">
      <c r="D764" s="7">
        <v>510506</v>
      </c>
      <c r="E764" s="6" t="s">
        <v>535</v>
      </c>
      <c r="F764" s="5">
        <v>4</v>
      </c>
      <c r="G764" s="34" t="s">
        <v>830</v>
      </c>
      <c r="H764" s="8" t="s">
        <v>32</v>
      </c>
      <c r="I764" t="b">
        <f>+ISNUMBER(SEARCH('F-COMPRA'!$F$28,Tabla11[[#This Row],[Cuenta]],1))</f>
        <v>1</v>
      </c>
      <c r="J764" t="b">
        <f>+ISNUMBER(SEARCH('F-COMPRA'!$F$29,Tabla11[[#This Row],[Cuenta]],1))</f>
        <v>1</v>
      </c>
      <c r="K764" t="b">
        <f>+ISNUMBER(SEARCH('F-COMPRA'!$F$30,Tabla11[[#This Row],[Cuenta]],1))</f>
        <v>1</v>
      </c>
      <c r="L764" t="b">
        <f>+ISNUMBER(SEARCH('F-COMPRA'!$F$31,Tabla11[[#This Row],[Cuenta]],1))</f>
        <v>1</v>
      </c>
      <c r="M764" t="b">
        <f>+ISNUMBER(SEARCH('F-COMPRA'!$G$25,Tabla11[[#This Row],[Cuenta]],1))</f>
        <v>0</v>
      </c>
      <c r="N764" t="b">
        <f>+ISNUMBER(SEARCH(#REF!,Tabla11[[#This Row],[Cuenta]],1))</f>
        <v>0</v>
      </c>
      <c r="O764" t="b">
        <f>+ISNUMBER(SEARCH(#REF!,Tabla11[[#This Row],[Cuenta]],1))</f>
        <v>0</v>
      </c>
      <c r="P764" t="b">
        <f>+ISNUMBER(SEARCH('F-COMPRA'!$F$32,Tabla11[[#This Row],[Cuenta]],1))</f>
        <v>1</v>
      </c>
      <c r="Q764" t="b">
        <f>+ISNUMBER(SEARCH('F-COMPRA'!$F$33,Tabla11[[#This Row],[Cuenta]],1))</f>
        <v>1</v>
      </c>
      <c r="R764" t="b">
        <f>+ISNUMBER(SEARCH('F-COMPRA'!$F$34,Tabla11[[#This Row],[Cuenta]],1))</f>
        <v>1</v>
      </c>
      <c r="S764" t="b">
        <f>+ISNUMBER(SEARCH('F-COMPRA'!$F$35,Tabla11[[#This Row],[Cuenta]],1))</f>
        <v>1</v>
      </c>
      <c r="T764" t="b">
        <f>+ISNUMBER(SEARCH('F-COMPRA'!$F$36,Tabla11[[#This Row],[Cuenta]],1))</f>
        <v>1</v>
      </c>
      <c r="U764" t="b">
        <f>+ISNUMBER(SEARCH('F-COMPRA'!$F$37,Tabla11[[#This Row],[Cuenta]],1))</f>
        <v>1</v>
      </c>
      <c r="V764" t="b">
        <f>+ISNUMBER(SEARCH(#REF!,Tabla11[[#This Row],[Cuenta]],1))</f>
        <v>0</v>
      </c>
      <c r="W764" t="b">
        <f>+ISNUMBER(SEARCH('F-COMPRA'!#REF!,Tabla11[[#This Row],[Cuenta]],1))</f>
        <v>0</v>
      </c>
      <c r="X764" t="b">
        <f>+ISNUMBER(SEARCH('F-COMPRA'!#REF!,Tabla11[[#This Row],[Cuenta]],1))</f>
        <v>0</v>
      </c>
      <c r="Y764" t="b">
        <f>+ISNUMBER(SEARCH('F-COMPRA'!#REF!,Tabla11[[#This Row],[Cuenta]],1))</f>
        <v>0</v>
      </c>
      <c r="Z764" t="b">
        <f>+ISNUMBER(SEARCH('F-COMPRA'!#REF!,Tabla11[[#This Row],[Cuenta]],1))</f>
        <v>0</v>
      </c>
      <c r="AA764" t="b">
        <f>+ISNUMBER(SEARCH('F-COMPRA'!#REF!,Tabla11[[#This Row],[Cuenta]],1))</f>
        <v>0</v>
      </c>
      <c r="AB764" t="b">
        <f>+ISNUMBER(SEARCH('F-COMPRA'!#REF!,Tabla11[[#This Row],[Cuenta]],1))</f>
        <v>0</v>
      </c>
      <c r="AC764" t="b">
        <f>+ISNUMBER(SEARCH('F-COMPRA'!#REF!,Tabla11[[#This Row],[Cuenta]],1))</f>
        <v>0</v>
      </c>
      <c r="AD764" t="b">
        <f>+ISNUMBER(SEARCH('F-COMPRA'!#REF!,Tabla11[[#This Row],[Cuenta]],1))</f>
        <v>0</v>
      </c>
      <c r="AE764" t="b">
        <f>+ISNUMBER(SEARCH('F-COMPRA'!#REF!,Tabla11[[#This Row],[Cuenta]],1))</f>
        <v>0</v>
      </c>
      <c r="AF764" t="b">
        <f>+ISNUMBER(SEARCH('F-VTA'!$G$23,Tabla11[[#This Row],[Cuenta]],1))</f>
        <v>0</v>
      </c>
      <c r="AG764" t="b">
        <f>+ISNUMBER(SEARCH('F-VTA'!$G$24,Tabla11[[#This Row],[Cuenta]],1))</f>
        <v>0</v>
      </c>
      <c r="AH764" t="b">
        <f>+ISNUMBER(SEARCH('F-VTA'!$G$25,Tabla11[[#This Row],[Cuenta]],1))</f>
        <v>0</v>
      </c>
      <c r="AI764" t="b">
        <f>+ISNUMBER(SEARCH('F-VTA'!$F$28,Tabla11[[#This Row],[Cuenta]],1))</f>
        <v>1</v>
      </c>
      <c r="AJ764" t="b">
        <f>+ISNUMBER(SEARCH('F-VTA'!$F$29,Tabla11[[#This Row],[Cuenta]],1))</f>
        <v>1</v>
      </c>
      <c r="AK764" t="b">
        <f>+ISNUMBER(SEARCH('F-VTA'!$F$30,Tabla11[[#This Row],[Cuenta]],1))</f>
        <v>1</v>
      </c>
      <c r="AL764" t="b">
        <f>+ISNUMBER(SEARCH('F-VTA'!$F$31,Tabla11[[#This Row],[Cuenta]],1))</f>
        <v>1</v>
      </c>
      <c r="AM764" t="b">
        <f>+ISNUMBER(SEARCH('F-VTA'!$F$32,Tabla11[[#This Row],[Cuenta]],1))</f>
        <v>1</v>
      </c>
      <c r="AN764" t="b">
        <f>+ISNUMBER(SEARCH('F-VTA'!$F$33,Tabla11[[#This Row],[Cuenta]],1))</f>
        <v>1</v>
      </c>
      <c r="AO764" t="b">
        <f>+ISNUMBER(SEARCH('F-VTA'!$F$34,Tabla11[[#This Row],[Cuenta]],1))</f>
        <v>1</v>
      </c>
      <c r="AP764" t="b">
        <f>+ISNUMBER(SEARCH('F-VTA'!$F$35,Tabla11[[#This Row],[Cuenta]],1))</f>
        <v>1</v>
      </c>
      <c r="AQ764" t="b">
        <f>+ISNUMBER(SEARCH('F-VTA'!$F$36,Tabla11[[#This Row],[Cuenta]],1))</f>
        <v>1</v>
      </c>
      <c r="AR764" t="b">
        <f>+ISNUMBER(SEARCH(#REF!,Tabla11[[#This Row],[Cuenta]],1))</f>
        <v>0</v>
      </c>
      <c r="AS764" t="b">
        <f>+ISNUMBER(SEARCH(#REF!,Tabla11[[#This Row],[Cuenta]],1))</f>
        <v>0</v>
      </c>
      <c r="AT764" t="b">
        <f>+ISNUMBER(SEARCH(#REF!,Tabla11[[#This Row],[Cuenta]],1))</f>
        <v>0</v>
      </c>
      <c r="AU764" t="b">
        <f>+ISNUMBER(SEARCH('Conc. Ban.1'!$I$9,Tabla11[[#This Row],[Cuenta]],1))</f>
        <v>0</v>
      </c>
      <c r="AV764" t="b">
        <f>+ISNUMBER(SEARCH(CompConta!$F$21,Tabla11[[#This Row],[Cuenta]],1))</f>
        <v>1</v>
      </c>
      <c r="AW764" t="b">
        <f>+ISNUMBER(SEARCH(CompConta!$F$22,Tabla11[[#This Row],[Cuenta]],1))</f>
        <v>1</v>
      </c>
      <c r="AX764" t="b">
        <f>+ISNUMBER(SEARCH(CompConta!$F$23,Tabla11[[#This Row],[Cuenta]],1))</f>
        <v>1</v>
      </c>
      <c r="AY764" t="b">
        <f>+ISNUMBER(SEARCH(CompConta!$F$24,Tabla11[[#This Row],[Cuenta]],1))</f>
        <v>1</v>
      </c>
      <c r="AZ764" t="b">
        <f>+ISNUMBER(SEARCH(CompConta!$F$25,Tabla11[[#This Row],[Cuenta]],1))</f>
        <v>1</v>
      </c>
      <c r="BA764" t="b">
        <f>+ISNUMBER(SEARCH(CompConta!$F$26,Tabla11[[#This Row],[Cuenta]],1))</f>
        <v>1</v>
      </c>
      <c r="BB764" t="b">
        <f>+ISNUMBER(SEARCH(CompConta!$F$27,Tabla11[[#This Row],[Cuenta]],1))</f>
        <v>1</v>
      </c>
      <c r="BC764" t="b">
        <f>+ISNUMBER(SEARCH(CompConta!$F$28,Tabla11[[#This Row],[Cuenta]],1))</f>
        <v>1</v>
      </c>
      <c r="BD764" t="b">
        <f>+ISNUMBER(SEARCH(CompConta!$F$29,Tabla11[[#This Row],[Cuenta]],1))</f>
        <v>1</v>
      </c>
      <c r="BE764" t="b">
        <f>+ISNUMBER(SEARCH(CompConta!$F$30,Tabla11[[#This Row],[Cuenta]],1))</f>
        <v>1</v>
      </c>
      <c r="BF764" t="b">
        <f>+ISNUMBER(SEARCH('PAGO Compras'!$E$11,Tabla11[[#This Row],[Cuenta]],1))</f>
        <v>1</v>
      </c>
      <c r="BG764" t="b">
        <f>+ISNUMBER(SEARCH(#REF!,Tabla11[[#This Row],[Cuenta]],1))</f>
        <v>0</v>
      </c>
      <c r="BH764" t="b">
        <f>+ISNUMBER(SEARCH(#REF!,Tabla11[[#This Row],[Cuenta]],1))</f>
        <v>0</v>
      </c>
      <c r="BI764" t="b">
        <f>+ISNUMBER(SEARCH(#REF!,Tabla11[[#This Row],[Cuenta]],1))</f>
        <v>0</v>
      </c>
      <c r="BJ764" t="b">
        <f>+ISNUMBER(SEARCH(#REF!,Tabla11[[#This Row],[Cuenta]],1))</f>
        <v>0</v>
      </c>
      <c r="BS764" t="str">
        <v>510506 Sueldos</v>
      </c>
      <c r="BT764" t="str">
        <v>510506 Sueldos</v>
      </c>
      <c r="BU764" t="str">
        <v>510506 Sueldos</v>
      </c>
      <c r="BV764" t="str">
        <v>510506 Sueldos</v>
      </c>
      <c r="BZ764" t="str">
        <v>510506 Sueldos</v>
      </c>
      <c r="CA764" t="str">
        <v>510506 Sueldos</v>
      </c>
      <c r="CB764" t="str">
        <v>510506 Sueldos</v>
      </c>
      <c r="CC764" t="str">
        <v>510506 Sueldos</v>
      </c>
      <c r="CD764" t="str">
        <v>510506 Sueldos</v>
      </c>
      <c r="CE764" t="str">
        <v>510506 Sueldos</v>
      </c>
      <c r="CS764" s="141" t="str">
        <v>510506 Sueldos</v>
      </c>
      <c r="CT764" s="141" t="str">
        <v>510506 Sueldos</v>
      </c>
      <c r="CU764" s="141" t="str">
        <v>510506 Sueldos</v>
      </c>
      <c r="CV764" s="141" t="str">
        <v>510506 Sueldos</v>
      </c>
      <c r="CW764" s="141" t="str">
        <v>510506 Sueldos</v>
      </c>
      <c r="CX764" s="141" t="str">
        <v>510506 Sueldos</v>
      </c>
      <c r="CY764" s="141" t="str">
        <v>510506 Sueldos</v>
      </c>
      <c r="CZ764" s="141" t="str">
        <v>510506 Sueldos</v>
      </c>
      <c r="DA764" s="141" t="str">
        <v>510506 Sueldos</v>
      </c>
      <c r="DF764" t="str">
        <v>510506 Sueldos</v>
      </c>
      <c r="DG764" t="str">
        <v>510506 Sueldos</v>
      </c>
      <c r="DH764" t="str">
        <v>510506 Sueldos</v>
      </c>
      <c r="DI764" t="str">
        <v>510506 Sueldos</v>
      </c>
      <c r="DJ764" t="str">
        <v>510506 Sueldos</v>
      </c>
      <c r="DK764" t="str">
        <v>510506 Sueldos</v>
      </c>
      <c r="DL764" t="str">
        <v>510506 Sueldos</v>
      </c>
      <c r="DM764" t="str">
        <v>510506 Sueldos</v>
      </c>
      <c r="DN764" t="str">
        <v>510506 Sueldos</v>
      </c>
      <c r="DO764" t="str">
        <v>510506 Sueldos</v>
      </c>
      <c r="DP764" t="str">
        <v>510506 Sueldos</v>
      </c>
    </row>
    <row r="765" spans="4:120" ht="12.75">
      <c r="D765" s="7">
        <v>510512</v>
      </c>
      <c r="E765" s="6" t="s">
        <v>536</v>
      </c>
      <c r="F765" s="5">
        <v>4</v>
      </c>
      <c r="G765" s="34" t="s">
        <v>830</v>
      </c>
      <c r="H765" s="8" t="s">
        <v>32</v>
      </c>
      <c r="I765" t="b">
        <f>+ISNUMBER(SEARCH('F-COMPRA'!$F$28,Tabla11[[#This Row],[Cuenta]],1))</f>
        <v>1</v>
      </c>
      <c r="J765" t="b">
        <f>+ISNUMBER(SEARCH('F-COMPRA'!$F$29,Tabla11[[#This Row],[Cuenta]],1))</f>
        <v>1</v>
      </c>
      <c r="K765" t="b">
        <f>+ISNUMBER(SEARCH('F-COMPRA'!$F$30,Tabla11[[#This Row],[Cuenta]],1))</f>
        <v>1</v>
      </c>
      <c r="L765" t="b">
        <f>+ISNUMBER(SEARCH('F-COMPRA'!$F$31,Tabla11[[#This Row],[Cuenta]],1))</f>
        <v>1</v>
      </c>
      <c r="M765" t="b">
        <f>+ISNUMBER(SEARCH('F-COMPRA'!$G$25,Tabla11[[#This Row],[Cuenta]],1))</f>
        <v>0</v>
      </c>
      <c r="N765" t="b">
        <f>+ISNUMBER(SEARCH(#REF!,Tabla11[[#This Row],[Cuenta]],1))</f>
        <v>0</v>
      </c>
      <c r="O765" t="b">
        <f>+ISNUMBER(SEARCH(#REF!,Tabla11[[#This Row],[Cuenta]],1))</f>
        <v>0</v>
      </c>
      <c r="P765" t="b">
        <f>+ISNUMBER(SEARCH('F-COMPRA'!$F$32,Tabla11[[#This Row],[Cuenta]],1))</f>
        <v>1</v>
      </c>
      <c r="Q765" t="b">
        <f>+ISNUMBER(SEARCH('F-COMPRA'!$F$33,Tabla11[[#This Row],[Cuenta]],1))</f>
        <v>1</v>
      </c>
      <c r="R765" t="b">
        <f>+ISNUMBER(SEARCH('F-COMPRA'!$F$34,Tabla11[[#This Row],[Cuenta]],1))</f>
        <v>1</v>
      </c>
      <c r="S765" t="b">
        <f>+ISNUMBER(SEARCH('F-COMPRA'!$F$35,Tabla11[[#This Row],[Cuenta]],1))</f>
        <v>1</v>
      </c>
      <c r="T765" t="b">
        <f>+ISNUMBER(SEARCH('F-COMPRA'!$F$36,Tabla11[[#This Row],[Cuenta]],1))</f>
        <v>1</v>
      </c>
      <c r="U765" t="b">
        <f>+ISNUMBER(SEARCH('F-COMPRA'!$F$37,Tabla11[[#This Row],[Cuenta]],1))</f>
        <v>1</v>
      </c>
      <c r="V765" t="b">
        <f>+ISNUMBER(SEARCH(#REF!,Tabla11[[#This Row],[Cuenta]],1))</f>
        <v>0</v>
      </c>
      <c r="W765" t="b">
        <f>+ISNUMBER(SEARCH('F-COMPRA'!#REF!,Tabla11[[#This Row],[Cuenta]],1))</f>
        <v>0</v>
      </c>
      <c r="X765" t="b">
        <f>+ISNUMBER(SEARCH('F-COMPRA'!#REF!,Tabla11[[#This Row],[Cuenta]],1))</f>
        <v>0</v>
      </c>
      <c r="Y765" t="b">
        <f>+ISNUMBER(SEARCH('F-COMPRA'!#REF!,Tabla11[[#This Row],[Cuenta]],1))</f>
        <v>0</v>
      </c>
      <c r="Z765" t="b">
        <f>+ISNUMBER(SEARCH('F-COMPRA'!#REF!,Tabla11[[#This Row],[Cuenta]],1))</f>
        <v>0</v>
      </c>
      <c r="AA765" t="b">
        <f>+ISNUMBER(SEARCH('F-COMPRA'!#REF!,Tabla11[[#This Row],[Cuenta]],1))</f>
        <v>0</v>
      </c>
      <c r="AB765" t="b">
        <f>+ISNUMBER(SEARCH('F-COMPRA'!#REF!,Tabla11[[#This Row],[Cuenta]],1))</f>
        <v>0</v>
      </c>
      <c r="AC765" t="b">
        <f>+ISNUMBER(SEARCH('F-COMPRA'!#REF!,Tabla11[[#This Row],[Cuenta]],1))</f>
        <v>0</v>
      </c>
      <c r="AD765" t="b">
        <f>+ISNUMBER(SEARCH('F-COMPRA'!#REF!,Tabla11[[#This Row],[Cuenta]],1))</f>
        <v>0</v>
      </c>
      <c r="AE765" t="b">
        <f>+ISNUMBER(SEARCH('F-COMPRA'!#REF!,Tabla11[[#This Row],[Cuenta]],1))</f>
        <v>0</v>
      </c>
      <c r="AF765" t="b">
        <f>+ISNUMBER(SEARCH('F-VTA'!$G$23,Tabla11[[#This Row],[Cuenta]],1))</f>
        <v>0</v>
      </c>
      <c r="AG765" t="b">
        <f>+ISNUMBER(SEARCH('F-VTA'!$G$24,Tabla11[[#This Row],[Cuenta]],1))</f>
        <v>0</v>
      </c>
      <c r="AH765" t="b">
        <f>+ISNUMBER(SEARCH('F-VTA'!$G$25,Tabla11[[#This Row],[Cuenta]],1))</f>
        <v>0</v>
      </c>
      <c r="AI765" t="b">
        <f>+ISNUMBER(SEARCH('F-VTA'!$F$28,Tabla11[[#This Row],[Cuenta]],1))</f>
        <v>1</v>
      </c>
      <c r="AJ765" t="b">
        <f>+ISNUMBER(SEARCH('F-VTA'!$F$29,Tabla11[[#This Row],[Cuenta]],1))</f>
        <v>1</v>
      </c>
      <c r="AK765" t="b">
        <f>+ISNUMBER(SEARCH('F-VTA'!$F$30,Tabla11[[#This Row],[Cuenta]],1))</f>
        <v>1</v>
      </c>
      <c r="AL765" t="b">
        <f>+ISNUMBER(SEARCH('F-VTA'!$F$31,Tabla11[[#This Row],[Cuenta]],1))</f>
        <v>1</v>
      </c>
      <c r="AM765" t="b">
        <f>+ISNUMBER(SEARCH('F-VTA'!$F$32,Tabla11[[#This Row],[Cuenta]],1))</f>
        <v>1</v>
      </c>
      <c r="AN765" t="b">
        <f>+ISNUMBER(SEARCH('F-VTA'!$F$33,Tabla11[[#This Row],[Cuenta]],1))</f>
        <v>1</v>
      </c>
      <c r="AO765" t="b">
        <f>+ISNUMBER(SEARCH('F-VTA'!$F$34,Tabla11[[#This Row],[Cuenta]],1))</f>
        <v>1</v>
      </c>
      <c r="AP765" t="b">
        <f>+ISNUMBER(SEARCH('F-VTA'!$F$35,Tabla11[[#This Row],[Cuenta]],1))</f>
        <v>1</v>
      </c>
      <c r="AQ765" t="b">
        <f>+ISNUMBER(SEARCH('F-VTA'!$F$36,Tabla11[[#This Row],[Cuenta]],1))</f>
        <v>1</v>
      </c>
      <c r="AR765" t="b">
        <f>+ISNUMBER(SEARCH(#REF!,Tabla11[[#This Row],[Cuenta]],1))</f>
        <v>0</v>
      </c>
      <c r="AS765" t="b">
        <f>+ISNUMBER(SEARCH(#REF!,Tabla11[[#This Row],[Cuenta]],1))</f>
        <v>0</v>
      </c>
      <c r="AT765" t="b">
        <f>+ISNUMBER(SEARCH(#REF!,Tabla11[[#This Row],[Cuenta]],1))</f>
        <v>0</v>
      </c>
      <c r="AU765" t="b">
        <f>+ISNUMBER(SEARCH('Conc. Ban.1'!$I$9,Tabla11[[#This Row],[Cuenta]],1))</f>
        <v>0</v>
      </c>
      <c r="AV765" t="b">
        <f>+ISNUMBER(SEARCH(CompConta!$F$21,Tabla11[[#This Row],[Cuenta]],1))</f>
        <v>1</v>
      </c>
      <c r="AW765" t="b">
        <f>+ISNUMBER(SEARCH(CompConta!$F$22,Tabla11[[#This Row],[Cuenta]],1))</f>
        <v>1</v>
      </c>
      <c r="AX765" t="b">
        <f>+ISNUMBER(SEARCH(CompConta!$F$23,Tabla11[[#This Row],[Cuenta]],1))</f>
        <v>1</v>
      </c>
      <c r="AY765" t="b">
        <f>+ISNUMBER(SEARCH(CompConta!$F$24,Tabla11[[#This Row],[Cuenta]],1))</f>
        <v>1</v>
      </c>
      <c r="AZ765" t="b">
        <f>+ISNUMBER(SEARCH(CompConta!$F$25,Tabla11[[#This Row],[Cuenta]],1))</f>
        <v>1</v>
      </c>
      <c r="BA765" t="b">
        <f>+ISNUMBER(SEARCH(CompConta!$F$26,Tabla11[[#This Row],[Cuenta]],1))</f>
        <v>1</v>
      </c>
      <c r="BB765" t="b">
        <f>+ISNUMBER(SEARCH(CompConta!$F$27,Tabla11[[#This Row],[Cuenta]],1))</f>
        <v>1</v>
      </c>
      <c r="BC765" t="b">
        <f>+ISNUMBER(SEARCH(CompConta!$F$28,Tabla11[[#This Row],[Cuenta]],1))</f>
        <v>1</v>
      </c>
      <c r="BD765" t="b">
        <f>+ISNUMBER(SEARCH(CompConta!$F$29,Tabla11[[#This Row],[Cuenta]],1))</f>
        <v>1</v>
      </c>
      <c r="BE765" t="b">
        <f>+ISNUMBER(SEARCH(CompConta!$F$30,Tabla11[[#This Row],[Cuenta]],1))</f>
        <v>1</v>
      </c>
      <c r="BF765" t="b">
        <f>+ISNUMBER(SEARCH('PAGO Compras'!$E$11,Tabla11[[#This Row],[Cuenta]],1))</f>
        <v>1</v>
      </c>
      <c r="BG765" t="b">
        <f>+ISNUMBER(SEARCH(#REF!,Tabla11[[#This Row],[Cuenta]],1))</f>
        <v>0</v>
      </c>
      <c r="BH765" t="b">
        <f>+ISNUMBER(SEARCH(#REF!,Tabla11[[#This Row],[Cuenta]],1))</f>
        <v>0</v>
      </c>
      <c r="BI765" t="b">
        <f>+ISNUMBER(SEARCH(#REF!,Tabla11[[#This Row],[Cuenta]],1))</f>
        <v>0</v>
      </c>
      <c r="BJ765" t="b">
        <f>+ISNUMBER(SEARCH(#REF!,Tabla11[[#This Row],[Cuenta]],1))</f>
        <v>0</v>
      </c>
      <c r="BS765" t="str">
        <v>510512 Jornales</v>
      </c>
      <c r="BT765" t="str">
        <v>510512 Jornales</v>
      </c>
      <c r="BU765" t="str">
        <v>510512 Jornales</v>
      </c>
      <c r="BV765" t="str">
        <v>510512 Jornales</v>
      </c>
      <c r="BZ765" t="str">
        <v>510512 Jornales</v>
      </c>
      <c r="CA765" t="str">
        <v>510512 Jornales</v>
      </c>
      <c r="CB765" t="str">
        <v>510512 Jornales</v>
      </c>
      <c r="CC765" t="str">
        <v>510512 Jornales</v>
      </c>
      <c r="CD765" t="str">
        <v>510512 Jornales</v>
      </c>
      <c r="CE765" t="str">
        <v>510512 Jornales</v>
      </c>
      <c r="CS765" s="141" t="str">
        <v>510512 Jornales</v>
      </c>
      <c r="CT765" s="141" t="str">
        <v>510512 Jornales</v>
      </c>
      <c r="CU765" s="141" t="str">
        <v>510512 Jornales</v>
      </c>
      <c r="CV765" s="141" t="str">
        <v>510512 Jornales</v>
      </c>
      <c r="CW765" s="141" t="str">
        <v>510512 Jornales</v>
      </c>
      <c r="CX765" s="141" t="str">
        <v>510512 Jornales</v>
      </c>
      <c r="CY765" s="141" t="str">
        <v>510512 Jornales</v>
      </c>
      <c r="CZ765" s="141" t="str">
        <v>510512 Jornales</v>
      </c>
      <c r="DA765" s="141" t="str">
        <v>510512 Jornales</v>
      </c>
      <c r="DF765" t="str">
        <v>510512 Jornales</v>
      </c>
      <c r="DG765" t="str">
        <v>510512 Jornales</v>
      </c>
      <c r="DH765" t="str">
        <v>510512 Jornales</v>
      </c>
      <c r="DI765" t="str">
        <v>510512 Jornales</v>
      </c>
      <c r="DJ765" t="str">
        <v>510512 Jornales</v>
      </c>
      <c r="DK765" t="str">
        <v>510512 Jornales</v>
      </c>
      <c r="DL765" t="str">
        <v>510512 Jornales</v>
      </c>
      <c r="DM765" t="str">
        <v>510512 Jornales</v>
      </c>
      <c r="DN765" t="str">
        <v>510512 Jornales</v>
      </c>
      <c r="DO765" t="str">
        <v>510512 Jornales</v>
      </c>
      <c r="DP765" t="str">
        <v>510512 Jornales</v>
      </c>
    </row>
    <row r="766" spans="4:120" ht="12.75">
      <c r="D766" s="7">
        <v>510515</v>
      </c>
      <c r="E766" s="6" t="s">
        <v>537</v>
      </c>
      <c r="F766" s="5">
        <v>4</v>
      </c>
      <c r="G766" s="34" t="s">
        <v>830</v>
      </c>
      <c r="H766" s="8" t="s">
        <v>32</v>
      </c>
      <c r="I766" t="b">
        <f>+ISNUMBER(SEARCH('F-COMPRA'!$F$28,Tabla11[[#This Row],[Cuenta]],1))</f>
        <v>1</v>
      </c>
      <c r="J766" t="b">
        <f>+ISNUMBER(SEARCH('F-COMPRA'!$F$29,Tabla11[[#This Row],[Cuenta]],1))</f>
        <v>1</v>
      </c>
      <c r="K766" t="b">
        <f>+ISNUMBER(SEARCH('F-COMPRA'!$F$30,Tabla11[[#This Row],[Cuenta]],1))</f>
        <v>1</v>
      </c>
      <c r="L766" t="b">
        <f>+ISNUMBER(SEARCH('F-COMPRA'!$F$31,Tabla11[[#This Row],[Cuenta]],1))</f>
        <v>1</v>
      </c>
      <c r="M766" t="b">
        <f>+ISNUMBER(SEARCH('F-COMPRA'!$G$25,Tabla11[[#This Row],[Cuenta]],1))</f>
        <v>0</v>
      </c>
      <c r="N766" t="b">
        <f>+ISNUMBER(SEARCH(#REF!,Tabla11[[#This Row],[Cuenta]],1))</f>
        <v>0</v>
      </c>
      <c r="O766" t="b">
        <f>+ISNUMBER(SEARCH(#REF!,Tabla11[[#This Row],[Cuenta]],1))</f>
        <v>0</v>
      </c>
      <c r="P766" t="b">
        <f>+ISNUMBER(SEARCH('F-COMPRA'!$F$32,Tabla11[[#This Row],[Cuenta]],1))</f>
        <v>1</v>
      </c>
      <c r="Q766" t="b">
        <f>+ISNUMBER(SEARCH('F-COMPRA'!$F$33,Tabla11[[#This Row],[Cuenta]],1))</f>
        <v>1</v>
      </c>
      <c r="R766" t="b">
        <f>+ISNUMBER(SEARCH('F-COMPRA'!$F$34,Tabla11[[#This Row],[Cuenta]],1))</f>
        <v>1</v>
      </c>
      <c r="S766" t="b">
        <f>+ISNUMBER(SEARCH('F-COMPRA'!$F$35,Tabla11[[#This Row],[Cuenta]],1))</f>
        <v>1</v>
      </c>
      <c r="T766" t="b">
        <f>+ISNUMBER(SEARCH('F-COMPRA'!$F$36,Tabla11[[#This Row],[Cuenta]],1))</f>
        <v>1</v>
      </c>
      <c r="U766" t="b">
        <f>+ISNUMBER(SEARCH('F-COMPRA'!$F$37,Tabla11[[#This Row],[Cuenta]],1))</f>
        <v>1</v>
      </c>
      <c r="V766" t="b">
        <f>+ISNUMBER(SEARCH(#REF!,Tabla11[[#This Row],[Cuenta]],1))</f>
        <v>0</v>
      </c>
      <c r="W766" t="b">
        <f>+ISNUMBER(SEARCH('F-COMPRA'!#REF!,Tabla11[[#This Row],[Cuenta]],1))</f>
        <v>0</v>
      </c>
      <c r="X766" t="b">
        <f>+ISNUMBER(SEARCH('F-COMPRA'!#REF!,Tabla11[[#This Row],[Cuenta]],1))</f>
        <v>0</v>
      </c>
      <c r="Y766" t="b">
        <f>+ISNUMBER(SEARCH('F-COMPRA'!#REF!,Tabla11[[#This Row],[Cuenta]],1))</f>
        <v>0</v>
      </c>
      <c r="Z766" t="b">
        <f>+ISNUMBER(SEARCH('F-COMPRA'!#REF!,Tabla11[[#This Row],[Cuenta]],1))</f>
        <v>0</v>
      </c>
      <c r="AA766" t="b">
        <f>+ISNUMBER(SEARCH('F-COMPRA'!#REF!,Tabla11[[#This Row],[Cuenta]],1))</f>
        <v>0</v>
      </c>
      <c r="AB766" t="b">
        <f>+ISNUMBER(SEARCH('F-COMPRA'!#REF!,Tabla11[[#This Row],[Cuenta]],1))</f>
        <v>0</v>
      </c>
      <c r="AC766" t="b">
        <f>+ISNUMBER(SEARCH('F-COMPRA'!#REF!,Tabla11[[#This Row],[Cuenta]],1))</f>
        <v>0</v>
      </c>
      <c r="AD766" t="b">
        <f>+ISNUMBER(SEARCH('F-COMPRA'!#REF!,Tabla11[[#This Row],[Cuenta]],1))</f>
        <v>0</v>
      </c>
      <c r="AE766" t="b">
        <f>+ISNUMBER(SEARCH('F-COMPRA'!#REF!,Tabla11[[#This Row],[Cuenta]],1))</f>
        <v>0</v>
      </c>
      <c r="AF766" t="b">
        <f>+ISNUMBER(SEARCH('F-VTA'!$G$23,Tabla11[[#This Row],[Cuenta]],1))</f>
        <v>0</v>
      </c>
      <c r="AG766" t="b">
        <f>+ISNUMBER(SEARCH('F-VTA'!$G$24,Tabla11[[#This Row],[Cuenta]],1))</f>
        <v>0</v>
      </c>
      <c r="AH766" t="b">
        <f>+ISNUMBER(SEARCH('F-VTA'!$G$25,Tabla11[[#This Row],[Cuenta]],1))</f>
        <v>0</v>
      </c>
      <c r="AI766" t="b">
        <f>+ISNUMBER(SEARCH('F-VTA'!$F$28,Tabla11[[#This Row],[Cuenta]],1))</f>
        <v>1</v>
      </c>
      <c r="AJ766" t="b">
        <f>+ISNUMBER(SEARCH('F-VTA'!$F$29,Tabla11[[#This Row],[Cuenta]],1))</f>
        <v>1</v>
      </c>
      <c r="AK766" t="b">
        <f>+ISNUMBER(SEARCH('F-VTA'!$F$30,Tabla11[[#This Row],[Cuenta]],1))</f>
        <v>1</v>
      </c>
      <c r="AL766" t="b">
        <f>+ISNUMBER(SEARCH('F-VTA'!$F$31,Tabla11[[#This Row],[Cuenta]],1))</f>
        <v>1</v>
      </c>
      <c r="AM766" t="b">
        <f>+ISNUMBER(SEARCH('F-VTA'!$F$32,Tabla11[[#This Row],[Cuenta]],1))</f>
        <v>1</v>
      </c>
      <c r="AN766" t="b">
        <f>+ISNUMBER(SEARCH('F-VTA'!$F$33,Tabla11[[#This Row],[Cuenta]],1))</f>
        <v>1</v>
      </c>
      <c r="AO766" t="b">
        <f>+ISNUMBER(SEARCH('F-VTA'!$F$34,Tabla11[[#This Row],[Cuenta]],1))</f>
        <v>1</v>
      </c>
      <c r="AP766" t="b">
        <f>+ISNUMBER(SEARCH('F-VTA'!$F$35,Tabla11[[#This Row],[Cuenta]],1))</f>
        <v>1</v>
      </c>
      <c r="AQ766" t="b">
        <f>+ISNUMBER(SEARCH('F-VTA'!$F$36,Tabla11[[#This Row],[Cuenta]],1))</f>
        <v>1</v>
      </c>
      <c r="AR766" t="b">
        <f>+ISNUMBER(SEARCH(#REF!,Tabla11[[#This Row],[Cuenta]],1))</f>
        <v>0</v>
      </c>
      <c r="AS766" t="b">
        <f>+ISNUMBER(SEARCH(#REF!,Tabla11[[#This Row],[Cuenta]],1))</f>
        <v>0</v>
      </c>
      <c r="AT766" t="b">
        <f>+ISNUMBER(SEARCH(#REF!,Tabla11[[#This Row],[Cuenta]],1))</f>
        <v>0</v>
      </c>
      <c r="AU766" t="b">
        <f>+ISNUMBER(SEARCH('Conc. Ban.1'!$I$9,Tabla11[[#This Row],[Cuenta]],1))</f>
        <v>0</v>
      </c>
      <c r="AV766" t="b">
        <f>+ISNUMBER(SEARCH(CompConta!$F$21,Tabla11[[#This Row],[Cuenta]],1))</f>
        <v>1</v>
      </c>
      <c r="AW766" t="b">
        <f>+ISNUMBER(SEARCH(CompConta!$F$22,Tabla11[[#This Row],[Cuenta]],1))</f>
        <v>1</v>
      </c>
      <c r="AX766" t="b">
        <f>+ISNUMBER(SEARCH(CompConta!$F$23,Tabla11[[#This Row],[Cuenta]],1))</f>
        <v>1</v>
      </c>
      <c r="AY766" t="b">
        <f>+ISNUMBER(SEARCH(CompConta!$F$24,Tabla11[[#This Row],[Cuenta]],1))</f>
        <v>1</v>
      </c>
      <c r="AZ766" t="b">
        <f>+ISNUMBER(SEARCH(CompConta!$F$25,Tabla11[[#This Row],[Cuenta]],1))</f>
        <v>1</v>
      </c>
      <c r="BA766" t="b">
        <f>+ISNUMBER(SEARCH(CompConta!$F$26,Tabla11[[#This Row],[Cuenta]],1))</f>
        <v>1</v>
      </c>
      <c r="BB766" t="b">
        <f>+ISNUMBER(SEARCH(CompConta!$F$27,Tabla11[[#This Row],[Cuenta]],1))</f>
        <v>1</v>
      </c>
      <c r="BC766" t="b">
        <f>+ISNUMBER(SEARCH(CompConta!$F$28,Tabla11[[#This Row],[Cuenta]],1))</f>
        <v>1</v>
      </c>
      <c r="BD766" t="b">
        <f>+ISNUMBER(SEARCH(CompConta!$F$29,Tabla11[[#This Row],[Cuenta]],1))</f>
        <v>1</v>
      </c>
      <c r="BE766" t="b">
        <f>+ISNUMBER(SEARCH(CompConta!$F$30,Tabla11[[#This Row],[Cuenta]],1))</f>
        <v>1</v>
      </c>
      <c r="BF766" t="b">
        <f>+ISNUMBER(SEARCH('PAGO Compras'!$E$11,Tabla11[[#This Row],[Cuenta]],1))</f>
        <v>1</v>
      </c>
      <c r="BG766" t="b">
        <f>+ISNUMBER(SEARCH(#REF!,Tabla11[[#This Row],[Cuenta]],1))</f>
        <v>0</v>
      </c>
      <c r="BH766" t="b">
        <f>+ISNUMBER(SEARCH(#REF!,Tabla11[[#This Row],[Cuenta]],1))</f>
        <v>0</v>
      </c>
      <c r="BI766" t="b">
        <f>+ISNUMBER(SEARCH(#REF!,Tabla11[[#This Row],[Cuenta]],1))</f>
        <v>0</v>
      </c>
      <c r="BJ766" t="b">
        <f>+ISNUMBER(SEARCH(#REF!,Tabla11[[#This Row],[Cuenta]],1))</f>
        <v>0</v>
      </c>
      <c r="BS766" t="str">
        <v>510515 Horas extras y recargos</v>
      </c>
      <c r="BT766" t="str">
        <v>510515 Horas extras y recargos</v>
      </c>
      <c r="BU766" t="str">
        <v>510515 Horas extras y recargos</v>
      </c>
      <c r="BV766" t="str">
        <v>510515 Horas extras y recargos</v>
      </c>
      <c r="BZ766" t="str">
        <v>510515 Horas extras y recargos</v>
      </c>
      <c r="CA766" t="str">
        <v>510515 Horas extras y recargos</v>
      </c>
      <c r="CB766" t="str">
        <v>510515 Horas extras y recargos</v>
      </c>
      <c r="CC766" t="str">
        <v>510515 Horas extras y recargos</v>
      </c>
      <c r="CD766" t="str">
        <v>510515 Horas extras y recargos</v>
      </c>
      <c r="CE766" t="str">
        <v>510515 Horas extras y recargos</v>
      </c>
      <c r="CS766" s="141" t="str">
        <v>510515 Horas extras y recargos</v>
      </c>
      <c r="CT766" s="141" t="str">
        <v>510515 Horas extras y recargos</v>
      </c>
      <c r="CU766" s="141" t="str">
        <v>510515 Horas extras y recargos</v>
      </c>
      <c r="CV766" s="141" t="str">
        <v>510515 Horas extras y recargos</v>
      </c>
      <c r="CW766" s="141" t="str">
        <v>510515 Horas extras y recargos</v>
      </c>
      <c r="CX766" s="141" t="str">
        <v>510515 Horas extras y recargos</v>
      </c>
      <c r="CY766" s="141" t="str">
        <v>510515 Horas extras y recargos</v>
      </c>
      <c r="CZ766" s="141" t="str">
        <v>510515 Horas extras y recargos</v>
      </c>
      <c r="DA766" s="141" t="str">
        <v>510515 Horas extras y recargos</v>
      </c>
      <c r="DF766" t="str">
        <v>510515 Horas extras y recargos</v>
      </c>
      <c r="DG766" t="str">
        <v>510515 Horas extras y recargos</v>
      </c>
      <c r="DH766" t="str">
        <v>510515 Horas extras y recargos</v>
      </c>
      <c r="DI766" t="str">
        <v>510515 Horas extras y recargos</v>
      </c>
      <c r="DJ766" t="str">
        <v>510515 Horas extras y recargos</v>
      </c>
      <c r="DK766" t="str">
        <v>510515 Horas extras y recargos</v>
      </c>
      <c r="DL766" t="str">
        <v>510515 Horas extras y recargos</v>
      </c>
      <c r="DM766" t="str">
        <v>510515 Horas extras y recargos</v>
      </c>
      <c r="DN766" t="str">
        <v>510515 Horas extras y recargos</v>
      </c>
      <c r="DO766" t="str">
        <v>510515 Horas extras y recargos</v>
      </c>
      <c r="DP766" t="str">
        <v>510515 Horas extras y recargos</v>
      </c>
    </row>
    <row r="767" spans="4:120" ht="12.75">
      <c r="D767" s="7">
        <v>510518</v>
      </c>
      <c r="E767" s="6" t="s">
        <v>74</v>
      </c>
      <c r="F767" s="5">
        <v>4</v>
      </c>
      <c r="G767" s="34" t="s">
        <v>830</v>
      </c>
      <c r="H767" s="8" t="s">
        <v>32</v>
      </c>
      <c r="I767" t="b">
        <f>+ISNUMBER(SEARCH('F-COMPRA'!$F$28,Tabla11[[#This Row],[Cuenta]],1))</f>
        <v>1</v>
      </c>
      <c r="J767" t="b">
        <f>+ISNUMBER(SEARCH('F-COMPRA'!$F$29,Tabla11[[#This Row],[Cuenta]],1))</f>
        <v>1</v>
      </c>
      <c r="K767" t="b">
        <f>+ISNUMBER(SEARCH('F-COMPRA'!$F$30,Tabla11[[#This Row],[Cuenta]],1))</f>
        <v>1</v>
      </c>
      <c r="L767" t="b">
        <f>+ISNUMBER(SEARCH('F-COMPRA'!$F$31,Tabla11[[#This Row],[Cuenta]],1))</f>
        <v>1</v>
      </c>
      <c r="M767" t="b">
        <f>+ISNUMBER(SEARCH('F-COMPRA'!$G$25,Tabla11[[#This Row],[Cuenta]],1))</f>
        <v>0</v>
      </c>
      <c r="N767" t="b">
        <f>+ISNUMBER(SEARCH(#REF!,Tabla11[[#This Row],[Cuenta]],1))</f>
        <v>0</v>
      </c>
      <c r="O767" t="b">
        <f>+ISNUMBER(SEARCH(#REF!,Tabla11[[#This Row],[Cuenta]],1))</f>
        <v>0</v>
      </c>
      <c r="P767" t="b">
        <f>+ISNUMBER(SEARCH('F-COMPRA'!$F$32,Tabla11[[#This Row],[Cuenta]],1))</f>
        <v>1</v>
      </c>
      <c r="Q767" t="b">
        <f>+ISNUMBER(SEARCH('F-COMPRA'!$F$33,Tabla11[[#This Row],[Cuenta]],1))</f>
        <v>1</v>
      </c>
      <c r="R767" t="b">
        <f>+ISNUMBER(SEARCH('F-COMPRA'!$F$34,Tabla11[[#This Row],[Cuenta]],1))</f>
        <v>1</v>
      </c>
      <c r="S767" t="b">
        <f>+ISNUMBER(SEARCH('F-COMPRA'!$F$35,Tabla11[[#This Row],[Cuenta]],1))</f>
        <v>1</v>
      </c>
      <c r="T767" t="b">
        <f>+ISNUMBER(SEARCH('F-COMPRA'!$F$36,Tabla11[[#This Row],[Cuenta]],1))</f>
        <v>1</v>
      </c>
      <c r="U767" t="b">
        <f>+ISNUMBER(SEARCH('F-COMPRA'!$F$37,Tabla11[[#This Row],[Cuenta]],1))</f>
        <v>1</v>
      </c>
      <c r="V767" t="b">
        <f>+ISNUMBER(SEARCH(#REF!,Tabla11[[#This Row],[Cuenta]],1))</f>
        <v>0</v>
      </c>
      <c r="W767" t="b">
        <f>+ISNUMBER(SEARCH('F-COMPRA'!#REF!,Tabla11[[#This Row],[Cuenta]],1))</f>
        <v>0</v>
      </c>
      <c r="X767" t="b">
        <f>+ISNUMBER(SEARCH('F-COMPRA'!#REF!,Tabla11[[#This Row],[Cuenta]],1))</f>
        <v>0</v>
      </c>
      <c r="Y767" t="b">
        <f>+ISNUMBER(SEARCH('F-COMPRA'!#REF!,Tabla11[[#This Row],[Cuenta]],1))</f>
        <v>0</v>
      </c>
      <c r="Z767" t="b">
        <f>+ISNUMBER(SEARCH('F-COMPRA'!#REF!,Tabla11[[#This Row],[Cuenta]],1))</f>
        <v>0</v>
      </c>
      <c r="AA767" t="b">
        <f>+ISNUMBER(SEARCH('F-COMPRA'!#REF!,Tabla11[[#This Row],[Cuenta]],1))</f>
        <v>0</v>
      </c>
      <c r="AB767" t="b">
        <f>+ISNUMBER(SEARCH('F-COMPRA'!#REF!,Tabla11[[#This Row],[Cuenta]],1))</f>
        <v>0</v>
      </c>
      <c r="AC767" t="b">
        <f>+ISNUMBER(SEARCH('F-COMPRA'!#REF!,Tabla11[[#This Row],[Cuenta]],1))</f>
        <v>0</v>
      </c>
      <c r="AD767" t="b">
        <f>+ISNUMBER(SEARCH('F-COMPRA'!#REF!,Tabla11[[#This Row],[Cuenta]],1))</f>
        <v>0</v>
      </c>
      <c r="AE767" t="b">
        <f>+ISNUMBER(SEARCH('F-COMPRA'!#REF!,Tabla11[[#This Row],[Cuenta]],1))</f>
        <v>0</v>
      </c>
      <c r="AF767" t="b">
        <f>+ISNUMBER(SEARCH('F-VTA'!$G$23,Tabla11[[#This Row],[Cuenta]],1))</f>
        <v>0</v>
      </c>
      <c r="AG767" t="b">
        <f>+ISNUMBER(SEARCH('F-VTA'!$G$24,Tabla11[[#This Row],[Cuenta]],1))</f>
        <v>0</v>
      </c>
      <c r="AH767" t="b">
        <f>+ISNUMBER(SEARCH('F-VTA'!$G$25,Tabla11[[#This Row],[Cuenta]],1))</f>
        <v>0</v>
      </c>
      <c r="AI767" t="b">
        <f>+ISNUMBER(SEARCH('F-VTA'!$F$28,Tabla11[[#This Row],[Cuenta]],1))</f>
        <v>1</v>
      </c>
      <c r="AJ767" t="b">
        <f>+ISNUMBER(SEARCH('F-VTA'!$F$29,Tabla11[[#This Row],[Cuenta]],1))</f>
        <v>1</v>
      </c>
      <c r="AK767" t="b">
        <f>+ISNUMBER(SEARCH('F-VTA'!$F$30,Tabla11[[#This Row],[Cuenta]],1))</f>
        <v>1</v>
      </c>
      <c r="AL767" t="b">
        <f>+ISNUMBER(SEARCH('F-VTA'!$F$31,Tabla11[[#This Row],[Cuenta]],1))</f>
        <v>1</v>
      </c>
      <c r="AM767" t="b">
        <f>+ISNUMBER(SEARCH('F-VTA'!$F$32,Tabla11[[#This Row],[Cuenta]],1))</f>
        <v>1</v>
      </c>
      <c r="AN767" t="b">
        <f>+ISNUMBER(SEARCH('F-VTA'!$F$33,Tabla11[[#This Row],[Cuenta]],1))</f>
        <v>1</v>
      </c>
      <c r="AO767" t="b">
        <f>+ISNUMBER(SEARCH('F-VTA'!$F$34,Tabla11[[#This Row],[Cuenta]],1))</f>
        <v>1</v>
      </c>
      <c r="AP767" t="b">
        <f>+ISNUMBER(SEARCH('F-VTA'!$F$35,Tabla11[[#This Row],[Cuenta]],1))</f>
        <v>1</v>
      </c>
      <c r="AQ767" t="b">
        <f>+ISNUMBER(SEARCH('F-VTA'!$F$36,Tabla11[[#This Row],[Cuenta]],1))</f>
        <v>1</v>
      </c>
      <c r="AR767" t="b">
        <f>+ISNUMBER(SEARCH(#REF!,Tabla11[[#This Row],[Cuenta]],1))</f>
        <v>0</v>
      </c>
      <c r="AS767" t="b">
        <f>+ISNUMBER(SEARCH(#REF!,Tabla11[[#This Row],[Cuenta]],1))</f>
        <v>0</v>
      </c>
      <c r="AT767" t="b">
        <f>+ISNUMBER(SEARCH(#REF!,Tabla11[[#This Row],[Cuenta]],1))</f>
        <v>0</v>
      </c>
      <c r="AU767" t="b">
        <f>+ISNUMBER(SEARCH('Conc. Ban.1'!$I$9,Tabla11[[#This Row],[Cuenta]],1))</f>
        <v>0</v>
      </c>
      <c r="AV767" t="b">
        <f>+ISNUMBER(SEARCH(CompConta!$F$21,Tabla11[[#This Row],[Cuenta]],1))</f>
        <v>1</v>
      </c>
      <c r="AW767" t="b">
        <f>+ISNUMBER(SEARCH(CompConta!$F$22,Tabla11[[#This Row],[Cuenta]],1))</f>
        <v>1</v>
      </c>
      <c r="AX767" t="b">
        <f>+ISNUMBER(SEARCH(CompConta!$F$23,Tabla11[[#This Row],[Cuenta]],1))</f>
        <v>1</v>
      </c>
      <c r="AY767" t="b">
        <f>+ISNUMBER(SEARCH(CompConta!$F$24,Tabla11[[#This Row],[Cuenta]],1))</f>
        <v>1</v>
      </c>
      <c r="AZ767" t="b">
        <f>+ISNUMBER(SEARCH(CompConta!$F$25,Tabla11[[#This Row],[Cuenta]],1))</f>
        <v>1</v>
      </c>
      <c r="BA767" t="b">
        <f>+ISNUMBER(SEARCH(CompConta!$F$26,Tabla11[[#This Row],[Cuenta]],1))</f>
        <v>1</v>
      </c>
      <c r="BB767" t="b">
        <f>+ISNUMBER(SEARCH(CompConta!$F$27,Tabla11[[#This Row],[Cuenta]],1))</f>
        <v>1</v>
      </c>
      <c r="BC767" t="b">
        <f>+ISNUMBER(SEARCH(CompConta!$F$28,Tabla11[[#This Row],[Cuenta]],1))</f>
        <v>1</v>
      </c>
      <c r="BD767" t="b">
        <f>+ISNUMBER(SEARCH(CompConta!$F$29,Tabla11[[#This Row],[Cuenta]],1))</f>
        <v>1</v>
      </c>
      <c r="BE767" t="b">
        <f>+ISNUMBER(SEARCH(CompConta!$F$30,Tabla11[[#This Row],[Cuenta]],1))</f>
        <v>1</v>
      </c>
      <c r="BF767" t="b">
        <f>+ISNUMBER(SEARCH('PAGO Compras'!$E$11,Tabla11[[#This Row],[Cuenta]],1))</f>
        <v>1</v>
      </c>
      <c r="BG767" t="b">
        <f>+ISNUMBER(SEARCH(#REF!,Tabla11[[#This Row],[Cuenta]],1))</f>
        <v>0</v>
      </c>
      <c r="BH767" t="b">
        <f>+ISNUMBER(SEARCH(#REF!,Tabla11[[#This Row],[Cuenta]],1))</f>
        <v>0</v>
      </c>
      <c r="BI767" t="b">
        <f>+ISNUMBER(SEARCH(#REF!,Tabla11[[#This Row],[Cuenta]],1))</f>
        <v>0</v>
      </c>
      <c r="BJ767" t="b">
        <f>+ISNUMBER(SEARCH(#REF!,Tabla11[[#This Row],[Cuenta]],1))</f>
        <v>0</v>
      </c>
      <c r="BS767" t="str">
        <v>510518 Comisiones</v>
      </c>
      <c r="BT767" t="str">
        <v>510518 Comisiones</v>
      </c>
      <c r="BU767" t="str">
        <v>510518 Comisiones</v>
      </c>
      <c r="BV767" t="str">
        <v>510518 Comisiones</v>
      </c>
      <c r="BZ767" t="str">
        <v>510518 Comisiones</v>
      </c>
      <c r="CA767" t="str">
        <v>510518 Comisiones</v>
      </c>
      <c r="CB767" t="str">
        <v>510518 Comisiones</v>
      </c>
      <c r="CC767" t="str">
        <v>510518 Comisiones</v>
      </c>
      <c r="CD767" t="str">
        <v>510518 Comisiones</v>
      </c>
      <c r="CE767" t="str">
        <v>510518 Comisiones</v>
      </c>
      <c r="CS767" s="141" t="str">
        <v>510518 Comisiones</v>
      </c>
      <c r="CT767" s="141" t="str">
        <v>510518 Comisiones</v>
      </c>
      <c r="CU767" s="141" t="str">
        <v>510518 Comisiones</v>
      </c>
      <c r="CV767" s="141" t="str">
        <v>510518 Comisiones</v>
      </c>
      <c r="CW767" s="141" t="str">
        <v>510518 Comisiones</v>
      </c>
      <c r="CX767" s="141" t="str">
        <v>510518 Comisiones</v>
      </c>
      <c r="CY767" s="141" t="str">
        <v>510518 Comisiones</v>
      </c>
      <c r="CZ767" s="141" t="str">
        <v>510518 Comisiones</v>
      </c>
      <c r="DA767" s="141" t="str">
        <v>510518 Comisiones</v>
      </c>
      <c r="DF767" t="str">
        <v>510518 Comisiones</v>
      </c>
      <c r="DG767" t="str">
        <v>510518 Comisiones</v>
      </c>
      <c r="DH767" t="str">
        <v>510518 Comisiones</v>
      </c>
      <c r="DI767" t="str">
        <v>510518 Comisiones</v>
      </c>
      <c r="DJ767" t="str">
        <v>510518 Comisiones</v>
      </c>
      <c r="DK767" t="str">
        <v>510518 Comisiones</v>
      </c>
      <c r="DL767" t="str">
        <v>510518 Comisiones</v>
      </c>
      <c r="DM767" t="str">
        <v>510518 Comisiones</v>
      </c>
      <c r="DN767" t="str">
        <v>510518 Comisiones</v>
      </c>
      <c r="DO767" t="str">
        <v>510518 Comisiones</v>
      </c>
      <c r="DP767" t="str">
        <v>510518 Comisiones</v>
      </c>
    </row>
    <row r="768" spans="4:120" ht="12.75">
      <c r="D768" s="7">
        <v>510521</v>
      </c>
      <c r="E768" s="6" t="s">
        <v>402</v>
      </c>
      <c r="F768" s="5">
        <v>4</v>
      </c>
      <c r="G768" s="34" t="s">
        <v>830</v>
      </c>
      <c r="H768" s="8" t="s">
        <v>32</v>
      </c>
      <c r="I768" t="b">
        <f>+ISNUMBER(SEARCH('F-COMPRA'!$F$28,Tabla11[[#This Row],[Cuenta]],1))</f>
        <v>1</v>
      </c>
      <c r="J768" t="b">
        <f>+ISNUMBER(SEARCH('F-COMPRA'!$F$29,Tabla11[[#This Row],[Cuenta]],1))</f>
        <v>1</v>
      </c>
      <c r="K768" t="b">
        <f>+ISNUMBER(SEARCH('F-COMPRA'!$F$30,Tabla11[[#This Row],[Cuenta]],1))</f>
        <v>1</v>
      </c>
      <c r="L768" t="b">
        <f>+ISNUMBER(SEARCH('F-COMPRA'!$F$31,Tabla11[[#This Row],[Cuenta]],1))</f>
        <v>1</v>
      </c>
      <c r="M768" t="b">
        <f>+ISNUMBER(SEARCH('F-COMPRA'!$G$25,Tabla11[[#This Row],[Cuenta]],1))</f>
        <v>0</v>
      </c>
      <c r="N768" t="b">
        <f>+ISNUMBER(SEARCH(#REF!,Tabla11[[#This Row],[Cuenta]],1))</f>
        <v>0</v>
      </c>
      <c r="O768" t="b">
        <f>+ISNUMBER(SEARCH(#REF!,Tabla11[[#This Row],[Cuenta]],1))</f>
        <v>0</v>
      </c>
      <c r="P768" t="b">
        <f>+ISNUMBER(SEARCH('F-COMPRA'!$F$32,Tabla11[[#This Row],[Cuenta]],1))</f>
        <v>1</v>
      </c>
      <c r="Q768" t="b">
        <f>+ISNUMBER(SEARCH('F-COMPRA'!$F$33,Tabla11[[#This Row],[Cuenta]],1))</f>
        <v>1</v>
      </c>
      <c r="R768" t="b">
        <f>+ISNUMBER(SEARCH('F-COMPRA'!$F$34,Tabla11[[#This Row],[Cuenta]],1))</f>
        <v>1</v>
      </c>
      <c r="S768" t="b">
        <f>+ISNUMBER(SEARCH('F-COMPRA'!$F$35,Tabla11[[#This Row],[Cuenta]],1))</f>
        <v>1</v>
      </c>
      <c r="T768" t="b">
        <f>+ISNUMBER(SEARCH('F-COMPRA'!$F$36,Tabla11[[#This Row],[Cuenta]],1))</f>
        <v>1</v>
      </c>
      <c r="U768" t="b">
        <f>+ISNUMBER(SEARCH('F-COMPRA'!$F$37,Tabla11[[#This Row],[Cuenta]],1))</f>
        <v>1</v>
      </c>
      <c r="V768" t="b">
        <f>+ISNUMBER(SEARCH(#REF!,Tabla11[[#This Row],[Cuenta]],1))</f>
        <v>0</v>
      </c>
      <c r="W768" t="b">
        <f>+ISNUMBER(SEARCH('F-COMPRA'!#REF!,Tabla11[[#This Row],[Cuenta]],1))</f>
        <v>0</v>
      </c>
      <c r="X768" t="b">
        <f>+ISNUMBER(SEARCH('F-COMPRA'!#REF!,Tabla11[[#This Row],[Cuenta]],1))</f>
        <v>0</v>
      </c>
      <c r="Y768" t="b">
        <f>+ISNUMBER(SEARCH('F-COMPRA'!#REF!,Tabla11[[#This Row],[Cuenta]],1))</f>
        <v>0</v>
      </c>
      <c r="Z768" t="b">
        <f>+ISNUMBER(SEARCH('F-COMPRA'!#REF!,Tabla11[[#This Row],[Cuenta]],1))</f>
        <v>0</v>
      </c>
      <c r="AA768" t="b">
        <f>+ISNUMBER(SEARCH('F-COMPRA'!#REF!,Tabla11[[#This Row],[Cuenta]],1))</f>
        <v>0</v>
      </c>
      <c r="AB768" t="b">
        <f>+ISNUMBER(SEARCH('F-COMPRA'!#REF!,Tabla11[[#This Row],[Cuenta]],1))</f>
        <v>0</v>
      </c>
      <c r="AC768" t="b">
        <f>+ISNUMBER(SEARCH('F-COMPRA'!#REF!,Tabla11[[#This Row],[Cuenta]],1))</f>
        <v>0</v>
      </c>
      <c r="AD768" t="b">
        <f>+ISNUMBER(SEARCH('F-COMPRA'!#REF!,Tabla11[[#This Row],[Cuenta]],1))</f>
        <v>0</v>
      </c>
      <c r="AE768" t="b">
        <f>+ISNUMBER(SEARCH('F-COMPRA'!#REF!,Tabla11[[#This Row],[Cuenta]],1))</f>
        <v>0</v>
      </c>
      <c r="AF768" t="b">
        <f>+ISNUMBER(SEARCH('F-VTA'!$G$23,Tabla11[[#This Row],[Cuenta]],1))</f>
        <v>0</v>
      </c>
      <c r="AG768" t="b">
        <f>+ISNUMBER(SEARCH('F-VTA'!$G$24,Tabla11[[#This Row],[Cuenta]],1))</f>
        <v>0</v>
      </c>
      <c r="AH768" t="b">
        <f>+ISNUMBER(SEARCH('F-VTA'!$G$25,Tabla11[[#This Row],[Cuenta]],1))</f>
        <v>0</v>
      </c>
      <c r="AI768" t="b">
        <f>+ISNUMBER(SEARCH('F-VTA'!$F$28,Tabla11[[#This Row],[Cuenta]],1))</f>
        <v>1</v>
      </c>
      <c r="AJ768" t="b">
        <f>+ISNUMBER(SEARCH('F-VTA'!$F$29,Tabla11[[#This Row],[Cuenta]],1))</f>
        <v>1</v>
      </c>
      <c r="AK768" t="b">
        <f>+ISNUMBER(SEARCH('F-VTA'!$F$30,Tabla11[[#This Row],[Cuenta]],1))</f>
        <v>1</v>
      </c>
      <c r="AL768" t="b">
        <f>+ISNUMBER(SEARCH('F-VTA'!$F$31,Tabla11[[#This Row],[Cuenta]],1))</f>
        <v>1</v>
      </c>
      <c r="AM768" t="b">
        <f>+ISNUMBER(SEARCH('F-VTA'!$F$32,Tabla11[[#This Row],[Cuenta]],1))</f>
        <v>1</v>
      </c>
      <c r="AN768" t="b">
        <f>+ISNUMBER(SEARCH('F-VTA'!$F$33,Tabla11[[#This Row],[Cuenta]],1))</f>
        <v>1</v>
      </c>
      <c r="AO768" t="b">
        <f>+ISNUMBER(SEARCH('F-VTA'!$F$34,Tabla11[[#This Row],[Cuenta]],1))</f>
        <v>1</v>
      </c>
      <c r="AP768" t="b">
        <f>+ISNUMBER(SEARCH('F-VTA'!$F$35,Tabla11[[#This Row],[Cuenta]],1))</f>
        <v>1</v>
      </c>
      <c r="AQ768" t="b">
        <f>+ISNUMBER(SEARCH('F-VTA'!$F$36,Tabla11[[#This Row],[Cuenta]],1))</f>
        <v>1</v>
      </c>
      <c r="AR768" t="b">
        <f>+ISNUMBER(SEARCH(#REF!,Tabla11[[#This Row],[Cuenta]],1))</f>
        <v>0</v>
      </c>
      <c r="AS768" t="b">
        <f>+ISNUMBER(SEARCH(#REF!,Tabla11[[#This Row],[Cuenta]],1))</f>
        <v>0</v>
      </c>
      <c r="AT768" t="b">
        <f>+ISNUMBER(SEARCH(#REF!,Tabla11[[#This Row],[Cuenta]],1))</f>
        <v>0</v>
      </c>
      <c r="AU768" t="b">
        <f>+ISNUMBER(SEARCH('Conc. Ban.1'!$I$9,Tabla11[[#This Row],[Cuenta]],1))</f>
        <v>0</v>
      </c>
      <c r="AV768" t="b">
        <f>+ISNUMBER(SEARCH(CompConta!$F$21,Tabla11[[#This Row],[Cuenta]],1))</f>
        <v>1</v>
      </c>
      <c r="AW768" t="b">
        <f>+ISNUMBER(SEARCH(CompConta!$F$22,Tabla11[[#This Row],[Cuenta]],1))</f>
        <v>1</v>
      </c>
      <c r="AX768" t="b">
        <f>+ISNUMBER(SEARCH(CompConta!$F$23,Tabla11[[#This Row],[Cuenta]],1))</f>
        <v>1</v>
      </c>
      <c r="AY768" t="b">
        <f>+ISNUMBER(SEARCH(CompConta!$F$24,Tabla11[[#This Row],[Cuenta]],1))</f>
        <v>1</v>
      </c>
      <c r="AZ768" t="b">
        <f>+ISNUMBER(SEARCH(CompConta!$F$25,Tabla11[[#This Row],[Cuenta]],1))</f>
        <v>1</v>
      </c>
      <c r="BA768" t="b">
        <f>+ISNUMBER(SEARCH(CompConta!$F$26,Tabla11[[#This Row],[Cuenta]],1))</f>
        <v>1</v>
      </c>
      <c r="BB768" t="b">
        <f>+ISNUMBER(SEARCH(CompConta!$F$27,Tabla11[[#This Row],[Cuenta]],1))</f>
        <v>1</v>
      </c>
      <c r="BC768" t="b">
        <f>+ISNUMBER(SEARCH(CompConta!$F$28,Tabla11[[#This Row],[Cuenta]],1))</f>
        <v>1</v>
      </c>
      <c r="BD768" t="b">
        <f>+ISNUMBER(SEARCH(CompConta!$F$29,Tabla11[[#This Row],[Cuenta]],1))</f>
        <v>1</v>
      </c>
      <c r="BE768" t="b">
        <f>+ISNUMBER(SEARCH(CompConta!$F$30,Tabla11[[#This Row],[Cuenta]],1))</f>
        <v>1</v>
      </c>
      <c r="BF768" t="b">
        <f>+ISNUMBER(SEARCH('PAGO Compras'!$E$11,Tabla11[[#This Row],[Cuenta]],1))</f>
        <v>1</v>
      </c>
      <c r="BG768" t="b">
        <f>+ISNUMBER(SEARCH(#REF!,Tabla11[[#This Row],[Cuenta]],1))</f>
        <v>0</v>
      </c>
      <c r="BH768" t="b">
        <f>+ISNUMBER(SEARCH(#REF!,Tabla11[[#This Row],[Cuenta]],1))</f>
        <v>0</v>
      </c>
      <c r="BI768" t="b">
        <f>+ISNUMBER(SEARCH(#REF!,Tabla11[[#This Row],[Cuenta]],1))</f>
        <v>0</v>
      </c>
      <c r="BJ768" t="b">
        <f>+ISNUMBER(SEARCH(#REF!,Tabla11[[#This Row],[Cuenta]],1))</f>
        <v>0</v>
      </c>
      <c r="BS768" t="str">
        <v>510521 Viáticos</v>
      </c>
      <c r="BT768" t="str">
        <v>510521 Viáticos</v>
      </c>
      <c r="BU768" t="str">
        <v>510521 Viáticos</v>
      </c>
      <c r="BV768" t="str">
        <v>510521 Viáticos</v>
      </c>
      <c r="BZ768" t="str">
        <v>510521 Viáticos</v>
      </c>
      <c r="CA768" t="str">
        <v>510521 Viáticos</v>
      </c>
      <c r="CB768" t="str">
        <v>510521 Viáticos</v>
      </c>
      <c r="CC768" t="str">
        <v>510521 Viáticos</v>
      </c>
      <c r="CD768" t="str">
        <v>510521 Viáticos</v>
      </c>
      <c r="CE768" t="str">
        <v>510521 Viáticos</v>
      </c>
      <c r="CS768" s="141" t="str">
        <v>510521 Viáticos</v>
      </c>
      <c r="CT768" s="141" t="str">
        <v>510521 Viáticos</v>
      </c>
      <c r="CU768" s="141" t="str">
        <v>510521 Viáticos</v>
      </c>
      <c r="CV768" s="141" t="str">
        <v>510521 Viáticos</v>
      </c>
      <c r="CW768" s="141" t="str">
        <v>510521 Viáticos</v>
      </c>
      <c r="CX768" s="141" t="str">
        <v>510521 Viáticos</v>
      </c>
      <c r="CY768" s="141" t="str">
        <v>510521 Viáticos</v>
      </c>
      <c r="CZ768" s="141" t="str">
        <v>510521 Viáticos</v>
      </c>
      <c r="DA768" s="141" t="str">
        <v>510521 Viáticos</v>
      </c>
      <c r="DF768" t="str">
        <v>510521 Viáticos</v>
      </c>
      <c r="DG768" t="str">
        <v>510521 Viáticos</v>
      </c>
      <c r="DH768" t="str">
        <v>510521 Viáticos</v>
      </c>
      <c r="DI768" t="str">
        <v>510521 Viáticos</v>
      </c>
      <c r="DJ768" t="str">
        <v>510521 Viáticos</v>
      </c>
      <c r="DK768" t="str">
        <v>510521 Viáticos</v>
      </c>
      <c r="DL768" t="str">
        <v>510521 Viáticos</v>
      </c>
      <c r="DM768" t="str">
        <v>510521 Viáticos</v>
      </c>
      <c r="DN768" t="str">
        <v>510521 Viáticos</v>
      </c>
      <c r="DO768" t="str">
        <v>510521 Viáticos</v>
      </c>
      <c r="DP768" t="str">
        <v>510521 Viáticos</v>
      </c>
    </row>
    <row r="769" spans="4:120" ht="12.75">
      <c r="D769" s="7">
        <v>510524</v>
      </c>
      <c r="E769" s="6" t="s">
        <v>538</v>
      </c>
      <c r="F769" s="5">
        <v>4</v>
      </c>
      <c r="G769" s="34" t="s">
        <v>830</v>
      </c>
      <c r="H769" s="8" t="s">
        <v>32</v>
      </c>
      <c r="I769" t="b">
        <f>+ISNUMBER(SEARCH('F-COMPRA'!$F$28,Tabla11[[#This Row],[Cuenta]],1))</f>
        <v>1</v>
      </c>
      <c r="J769" t="b">
        <f>+ISNUMBER(SEARCH('F-COMPRA'!$F$29,Tabla11[[#This Row],[Cuenta]],1))</f>
        <v>1</v>
      </c>
      <c r="K769" t="b">
        <f>+ISNUMBER(SEARCH('F-COMPRA'!$F$30,Tabla11[[#This Row],[Cuenta]],1))</f>
        <v>1</v>
      </c>
      <c r="L769" t="b">
        <f>+ISNUMBER(SEARCH('F-COMPRA'!$F$31,Tabla11[[#This Row],[Cuenta]],1))</f>
        <v>1</v>
      </c>
      <c r="M769" t="b">
        <f>+ISNUMBER(SEARCH('F-COMPRA'!$G$25,Tabla11[[#This Row],[Cuenta]],1))</f>
        <v>0</v>
      </c>
      <c r="N769" t="b">
        <f>+ISNUMBER(SEARCH(#REF!,Tabla11[[#This Row],[Cuenta]],1))</f>
        <v>0</v>
      </c>
      <c r="O769" t="b">
        <f>+ISNUMBER(SEARCH(#REF!,Tabla11[[#This Row],[Cuenta]],1))</f>
        <v>0</v>
      </c>
      <c r="P769" t="b">
        <f>+ISNUMBER(SEARCH('F-COMPRA'!$F$32,Tabla11[[#This Row],[Cuenta]],1))</f>
        <v>1</v>
      </c>
      <c r="Q769" t="b">
        <f>+ISNUMBER(SEARCH('F-COMPRA'!$F$33,Tabla11[[#This Row],[Cuenta]],1))</f>
        <v>1</v>
      </c>
      <c r="R769" t="b">
        <f>+ISNUMBER(SEARCH('F-COMPRA'!$F$34,Tabla11[[#This Row],[Cuenta]],1))</f>
        <v>1</v>
      </c>
      <c r="S769" t="b">
        <f>+ISNUMBER(SEARCH('F-COMPRA'!$F$35,Tabla11[[#This Row],[Cuenta]],1))</f>
        <v>1</v>
      </c>
      <c r="T769" t="b">
        <f>+ISNUMBER(SEARCH('F-COMPRA'!$F$36,Tabla11[[#This Row],[Cuenta]],1))</f>
        <v>1</v>
      </c>
      <c r="U769" t="b">
        <f>+ISNUMBER(SEARCH('F-COMPRA'!$F$37,Tabla11[[#This Row],[Cuenta]],1))</f>
        <v>1</v>
      </c>
      <c r="V769" t="b">
        <f>+ISNUMBER(SEARCH(#REF!,Tabla11[[#This Row],[Cuenta]],1))</f>
        <v>0</v>
      </c>
      <c r="W769" t="b">
        <f>+ISNUMBER(SEARCH('F-COMPRA'!#REF!,Tabla11[[#This Row],[Cuenta]],1))</f>
        <v>0</v>
      </c>
      <c r="X769" t="b">
        <f>+ISNUMBER(SEARCH('F-COMPRA'!#REF!,Tabla11[[#This Row],[Cuenta]],1))</f>
        <v>0</v>
      </c>
      <c r="Y769" t="b">
        <f>+ISNUMBER(SEARCH('F-COMPRA'!#REF!,Tabla11[[#This Row],[Cuenta]],1))</f>
        <v>0</v>
      </c>
      <c r="Z769" t="b">
        <f>+ISNUMBER(SEARCH('F-COMPRA'!#REF!,Tabla11[[#This Row],[Cuenta]],1))</f>
        <v>0</v>
      </c>
      <c r="AA769" t="b">
        <f>+ISNUMBER(SEARCH('F-COMPRA'!#REF!,Tabla11[[#This Row],[Cuenta]],1))</f>
        <v>0</v>
      </c>
      <c r="AB769" t="b">
        <f>+ISNUMBER(SEARCH('F-COMPRA'!#REF!,Tabla11[[#This Row],[Cuenta]],1))</f>
        <v>0</v>
      </c>
      <c r="AC769" t="b">
        <f>+ISNUMBER(SEARCH('F-COMPRA'!#REF!,Tabla11[[#This Row],[Cuenta]],1))</f>
        <v>0</v>
      </c>
      <c r="AD769" t="b">
        <f>+ISNUMBER(SEARCH('F-COMPRA'!#REF!,Tabla11[[#This Row],[Cuenta]],1))</f>
        <v>0</v>
      </c>
      <c r="AE769" t="b">
        <f>+ISNUMBER(SEARCH('F-COMPRA'!#REF!,Tabla11[[#This Row],[Cuenta]],1))</f>
        <v>0</v>
      </c>
      <c r="AF769" t="b">
        <f>+ISNUMBER(SEARCH('F-VTA'!$G$23,Tabla11[[#This Row],[Cuenta]],1))</f>
        <v>0</v>
      </c>
      <c r="AG769" t="b">
        <f>+ISNUMBER(SEARCH('F-VTA'!$G$24,Tabla11[[#This Row],[Cuenta]],1))</f>
        <v>0</v>
      </c>
      <c r="AH769" t="b">
        <f>+ISNUMBER(SEARCH('F-VTA'!$G$25,Tabla11[[#This Row],[Cuenta]],1))</f>
        <v>0</v>
      </c>
      <c r="AI769" t="b">
        <f>+ISNUMBER(SEARCH('F-VTA'!$F$28,Tabla11[[#This Row],[Cuenta]],1))</f>
        <v>1</v>
      </c>
      <c r="AJ769" t="b">
        <f>+ISNUMBER(SEARCH('F-VTA'!$F$29,Tabla11[[#This Row],[Cuenta]],1))</f>
        <v>1</v>
      </c>
      <c r="AK769" t="b">
        <f>+ISNUMBER(SEARCH('F-VTA'!$F$30,Tabla11[[#This Row],[Cuenta]],1))</f>
        <v>1</v>
      </c>
      <c r="AL769" t="b">
        <f>+ISNUMBER(SEARCH('F-VTA'!$F$31,Tabla11[[#This Row],[Cuenta]],1))</f>
        <v>1</v>
      </c>
      <c r="AM769" t="b">
        <f>+ISNUMBER(SEARCH('F-VTA'!$F$32,Tabla11[[#This Row],[Cuenta]],1))</f>
        <v>1</v>
      </c>
      <c r="AN769" t="b">
        <f>+ISNUMBER(SEARCH('F-VTA'!$F$33,Tabla11[[#This Row],[Cuenta]],1))</f>
        <v>1</v>
      </c>
      <c r="AO769" t="b">
        <f>+ISNUMBER(SEARCH('F-VTA'!$F$34,Tabla11[[#This Row],[Cuenta]],1))</f>
        <v>1</v>
      </c>
      <c r="AP769" t="b">
        <f>+ISNUMBER(SEARCH('F-VTA'!$F$35,Tabla11[[#This Row],[Cuenta]],1))</f>
        <v>1</v>
      </c>
      <c r="AQ769" t="b">
        <f>+ISNUMBER(SEARCH('F-VTA'!$F$36,Tabla11[[#This Row],[Cuenta]],1))</f>
        <v>1</v>
      </c>
      <c r="AR769" t="b">
        <f>+ISNUMBER(SEARCH(#REF!,Tabla11[[#This Row],[Cuenta]],1))</f>
        <v>0</v>
      </c>
      <c r="AS769" t="b">
        <f>+ISNUMBER(SEARCH(#REF!,Tabla11[[#This Row],[Cuenta]],1))</f>
        <v>0</v>
      </c>
      <c r="AT769" t="b">
        <f>+ISNUMBER(SEARCH(#REF!,Tabla11[[#This Row],[Cuenta]],1))</f>
        <v>0</v>
      </c>
      <c r="AU769" t="b">
        <f>+ISNUMBER(SEARCH('Conc. Ban.1'!$I$9,Tabla11[[#This Row],[Cuenta]],1))</f>
        <v>0</v>
      </c>
      <c r="AV769" t="b">
        <f>+ISNUMBER(SEARCH(CompConta!$F$21,Tabla11[[#This Row],[Cuenta]],1))</f>
        <v>1</v>
      </c>
      <c r="AW769" t="b">
        <f>+ISNUMBER(SEARCH(CompConta!$F$22,Tabla11[[#This Row],[Cuenta]],1))</f>
        <v>1</v>
      </c>
      <c r="AX769" t="b">
        <f>+ISNUMBER(SEARCH(CompConta!$F$23,Tabla11[[#This Row],[Cuenta]],1))</f>
        <v>1</v>
      </c>
      <c r="AY769" t="b">
        <f>+ISNUMBER(SEARCH(CompConta!$F$24,Tabla11[[#This Row],[Cuenta]],1))</f>
        <v>1</v>
      </c>
      <c r="AZ769" t="b">
        <f>+ISNUMBER(SEARCH(CompConta!$F$25,Tabla11[[#This Row],[Cuenta]],1))</f>
        <v>1</v>
      </c>
      <c r="BA769" t="b">
        <f>+ISNUMBER(SEARCH(CompConta!$F$26,Tabla11[[#This Row],[Cuenta]],1))</f>
        <v>1</v>
      </c>
      <c r="BB769" t="b">
        <f>+ISNUMBER(SEARCH(CompConta!$F$27,Tabla11[[#This Row],[Cuenta]],1))</f>
        <v>1</v>
      </c>
      <c r="BC769" t="b">
        <f>+ISNUMBER(SEARCH(CompConta!$F$28,Tabla11[[#This Row],[Cuenta]],1))</f>
        <v>1</v>
      </c>
      <c r="BD769" t="b">
        <f>+ISNUMBER(SEARCH(CompConta!$F$29,Tabla11[[#This Row],[Cuenta]],1))</f>
        <v>1</v>
      </c>
      <c r="BE769" t="b">
        <f>+ISNUMBER(SEARCH(CompConta!$F$30,Tabla11[[#This Row],[Cuenta]],1))</f>
        <v>1</v>
      </c>
      <c r="BF769" t="b">
        <f>+ISNUMBER(SEARCH('PAGO Compras'!$E$11,Tabla11[[#This Row],[Cuenta]],1))</f>
        <v>1</v>
      </c>
      <c r="BG769" t="b">
        <f>+ISNUMBER(SEARCH(#REF!,Tabla11[[#This Row],[Cuenta]],1))</f>
        <v>0</v>
      </c>
      <c r="BH769" t="b">
        <f>+ISNUMBER(SEARCH(#REF!,Tabla11[[#This Row],[Cuenta]],1))</f>
        <v>0</v>
      </c>
      <c r="BI769" t="b">
        <f>+ISNUMBER(SEARCH(#REF!,Tabla11[[#This Row],[Cuenta]],1))</f>
        <v>0</v>
      </c>
      <c r="BJ769" t="b">
        <f>+ISNUMBER(SEARCH(#REF!,Tabla11[[#This Row],[Cuenta]],1))</f>
        <v>0</v>
      </c>
      <c r="BS769" t="str">
        <v>510524 Incapacidades</v>
      </c>
      <c r="BT769" t="str">
        <v>510524 Incapacidades</v>
      </c>
      <c r="BU769" t="str">
        <v>510524 Incapacidades</v>
      </c>
      <c r="BV769" t="str">
        <v>510524 Incapacidades</v>
      </c>
      <c r="BZ769" t="str">
        <v>510524 Incapacidades</v>
      </c>
      <c r="CA769" t="str">
        <v>510524 Incapacidades</v>
      </c>
      <c r="CB769" t="str">
        <v>510524 Incapacidades</v>
      </c>
      <c r="CC769" t="str">
        <v>510524 Incapacidades</v>
      </c>
      <c r="CD769" t="str">
        <v>510524 Incapacidades</v>
      </c>
      <c r="CE769" t="str">
        <v>510524 Incapacidades</v>
      </c>
      <c r="CS769" s="141" t="str">
        <v>510524 Incapacidades</v>
      </c>
      <c r="CT769" s="141" t="str">
        <v>510524 Incapacidades</v>
      </c>
      <c r="CU769" s="141" t="str">
        <v>510524 Incapacidades</v>
      </c>
      <c r="CV769" s="141" t="str">
        <v>510524 Incapacidades</v>
      </c>
      <c r="CW769" s="141" t="str">
        <v>510524 Incapacidades</v>
      </c>
      <c r="CX769" s="141" t="str">
        <v>510524 Incapacidades</v>
      </c>
      <c r="CY769" s="141" t="str">
        <v>510524 Incapacidades</v>
      </c>
      <c r="CZ769" s="141" t="str">
        <v>510524 Incapacidades</v>
      </c>
      <c r="DA769" s="141" t="str">
        <v>510524 Incapacidades</v>
      </c>
      <c r="DF769" t="str">
        <v>510524 Incapacidades</v>
      </c>
      <c r="DG769" t="str">
        <v>510524 Incapacidades</v>
      </c>
      <c r="DH769" t="str">
        <v>510524 Incapacidades</v>
      </c>
      <c r="DI769" t="str">
        <v>510524 Incapacidades</v>
      </c>
      <c r="DJ769" t="str">
        <v>510524 Incapacidades</v>
      </c>
      <c r="DK769" t="str">
        <v>510524 Incapacidades</v>
      </c>
      <c r="DL769" t="str">
        <v>510524 Incapacidades</v>
      </c>
      <c r="DM769" t="str">
        <v>510524 Incapacidades</v>
      </c>
      <c r="DN769" t="str">
        <v>510524 Incapacidades</v>
      </c>
      <c r="DO769" t="str">
        <v>510524 Incapacidades</v>
      </c>
      <c r="DP769" t="str">
        <v>510524 Incapacidades</v>
      </c>
    </row>
    <row r="770" spans="4:120" ht="12.75">
      <c r="D770" s="7">
        <v>510527</v>
      </c>
      <c r="E770" s="6" t="s">
        <v>539</v>
      </c>
      <c r="F770" s="5">
        <v>4</v>
      </c>
      <c r="G770" s="34" t="s">
        <v>830</v>
      </c>
      <c r="H770" s="8" t="s">
        <v>32</v>
      </c>
      <c r="I770" t="b">
        <f>+ISNUMBER(SEARCH('F-COMPRA'!$F$28,Tabla11[[#This Row],[Cuenta]],1))</f>
        <v>1</v>
      </c>
      <c r="J770" t="b">
        <f>+ISNUMBER(SEARCH('F-COMPRA'!$F$29,Tabla11[[#This Row],[Cuenta]],1))</f>
        <v>1</v>
      </c>
      <c r="K770" t="b">
        <f>+ISNUMBER(SEARCH('F-COMPRA'!$F$30,Tabla11[[#This Row],[Cuenta]],1))</f>
        <v>1</v>
      </c>
      <c r="L770" t="b">
        <f>+ISNUMBER(SEARCH('F-COMPRA'!$F$31,Tabla11[[#This Row],[Cuenta]],1))</f>
        <v>1</v>
      </c>
      <c r="M770" t="b">
        <f>+ISNUMBER(SEARCH('F-COMPRA'!$G$25,Tabla11[[#This Row],[Cuenta]],1))</f>
        <v>0</v>
      </c>
      <c r="N770" t="b">
        <f>+ISNUMBER(SEARCH(#REF!,Tabla11[[#This Row],[Cuenta]],1))</f>
        <v>0</v>
      </c>
      <c r="O770" t="b">
        <f>+ISNUMBER(SEARCH(#REF!,Tabla11[[#This Row],[Cuenta]],1))</f>
        <v>0</v>
      </c>
      <c r="P770" t="b">
        <f>+ISNUMBER(SEARCH('F-COMPRA'!$F$32,Tabla11[[#This Row],[Cuenta]],1))</f>
        <v>1</v>
      </c>
      <c r="Q770" t="b">
        <f>+ISNUMBER(SEARCH('F-COMPRA'!$F$33,Tabla11[[#This Row],[Cuenta]],1))</f>
        <v>1</v>
      </c>
      <c r="R770" t="b">
        <f>+ISNUMBER(SEARCH('F-COMPRA'!$F$34,Tabla11[[#This Row],[Cuenta]],1))</f>
        <v>1</v>
      </c>
      <c r="S770" t="b">
        <f>+ISNUMBER(SEARCH('F-COMPRA'!$F$35,Tabla11[[#This Row],[Cuenta]],1))</f>
        <v>1</v>
      </c>
      <c r="T770" t="b">
        <f>+ISNUMBER(SEARCH('F-COMPRA'!$F$36,Tabla11[[#This Row],[Cuenta]],1))</f>
        <v>1</v>
      </c>
      <c r="U770" t="b">
        <f>+ISNUMBER(SEARCH('F-COMPRA'!$F$37,Tabla11[[#This Row],[Cuenta]],1))</f>
        <v>1</v>
      </c>
      <c r="V770" t="b">
        <f>+ISNUMBER(SEARCH(#REF!,Tabla11[[#This Row],[Cuenta]],1))</f>
        <v>0</v>
      </c>
      <c r="W770" t="b">
        <f>+ISNUMBER(SEARCH('F-COMPRA'!#REF!,Tabla11[[#This Row],[Cuenta]],1))</f>
        <v>0</v>
      </c>
      <c r="X770" t="b">
        <f>+ISNUMBER(SEARCH('F-COMPRA'!#REF!,Tabla11[[#This Row],[Cuenta]],1))</f>
        <v>0</v>
      </c>
      <c r="Y770" t="b">
        <f>+ISNUMBER(SEARCH('F-COMPRA'!#REF!,Tabla11[[#This Row],[Cuenta]],1))</f>
        <v>0</v>
      </c>
      <c r="Z770" t="b">
        <f>+ISNUMBER(SEARCH('F-COMPRA'!#REF!,Tabla11[[#This Row],[Cuenta]],1))</f>
        <v>0</v>
      </c>
      <c r="AA770" t="b">
        <f>+ISNUMBER(SEARCH('F-COMPRA'!#REF!,Tabla11[[#This Row],[Cuenta]],1))</f>
        <v>0</v>
      </c>
      <c r="AB770" t="b">
        <f>+ISNUMBER(SEARCH('F-COMPRA'!#REF!,Tabla11[[#This Row],[Cuenta]],1))</f>
        <v>0</v>
      </c>
      <c r="AC770" t="b">
        <f>+ISNUMBER(SEARCH('F-COMPRA'!#REF!,Tabla11[[#This Row],[Cuenta]],1))</f>
        <v>0</v>
      </c>
      <c r="AD770" t="b">
        <f>+ISNUMBER(SEARCH('F-COMPRA'!#REF!,Tabla11[[#This Row],[Cuenta]],1))</f>
        <v>0</v>
      </c>
      <c r="AE770" t="b">
        <f>+ISNUMBER(SEARCH('F-COMPRA'!#REF!,Tabla11[[#This Row],[Cuenta]],1))</f>
        <v>0</v>
      </c>
      <c r="AF770" t="b">
        <f>+ISNUMBER(SEARCH('F-VTA'!$G$23,Tabla11[[#This Row],[Cuenta]],1))</f>
        <v>0</v>
      </c>
      <c r="AG770" t="b">
        <f>+ISNUMBER(SEARCH('F-VTA'!$G$24,Tabla11[[#This Row],[Cuenta]],1))</f>
        <v>0</v>
      </c>
      <c r="AH770" t="b">
        <f>+ISNUMBER(SEARCH('F-VTA'!$G$25,Tabla11[[#This Row],[Cuenta]],1))</f>
        <v>0</v>
      </c>
      <c r="AI770" t="b">
        <f>+ISNUMBER(SEARCH('F-VTA'!$F$28,Tabla11[[#This Row],[Cuenta]],1))</f>
        <v>1</v>
      </c>
      <c r="AJ770" t="b">
        <f>+ISNUMBER(SEARCH('F-VTA'!$F$29,Tabla11[[#This Row],[Cuenta]],1))</f>
        <v>1</v>
      </c>
      <c r="AK770" t="b">
        <f>+ISNUMBER(SEARCH('F-VTA'!$F$30,Tabla11[[#This Row],[Cuenta]],1))</f>
        <v>1</v>
      </c>
      <c r="AL770" t="b">
        <f>+ISNUMBER(SEARCH('F-VTA'!$F$31,Tabla11[[#This Row],[Cuenta]],1))</f>
        <v>1</v>
      </c>
      <c r="AM770" t="b">
        <f>+ISNUMBER(SEARCH('F-VTA'!$F$32,Tabla11[[#This Row],[Cuenta]],1))</f>
        <v>1</v>
      </c>
      <c r="AN770" t="b">
        <f>+ISNUMBER(SEARCH('F-VTA'!$F$33,Tabla11[[#This Row],[Cuenta]],1))</f>
        <v>1</v>
      </c>
      <c r="AO770" t="b">
        <f>+ISNUMBER(SEARCH('F-VTA'!$F$34,Tabla11[[#This Row],[Cuenta]],1))</f>
        <v>1</v>
      </c>
      <c r="AP770" t="b">
        <f>+ISNUMBER(SEARCH('F-VTA'!$F$35,Tabla11[[#This Row],[Cuenta]],1))</f>
        <v>1</v>
      </c>
      <c r="AQ770" t="b">
        <f>+ISNUMBER(SEARCH('F-VTA'!$F$36,Tabla11[[#This Row],[Cuenta]],1))</f>
        <v>1</v>
      </c>
      <c r="AR770" t="b">
        <f>+ISNUMBER(SEARCH(#REF!,Tabla11[[#This Row],[Cuenta]],1))</f>
        <v>0</v>
      </c>
      <c r="AS770" t="b">
        <f>+ISNUMBER(SEARCH(#REF!,Tabla11[[#This Row],[Cuenta]],1))</f>
        <v>0</v>
      </c>
      <c r="AT770" t="b">
        <f>+ISNUMBER(SEARCH(#REF!,Tabla11[[#This Row],[Cuenta]],1))</f>
        <v>0</v>
      </c>
      <c r="AU770" t="b">
        <f>+ISNUMBER(SEARCH('Conc. Ban.1'!$I$9,Tabla11[[#This Row],[Cuenta]],1))</f>
        <v>0</v>
      </c>
      <c r="AV770" t="b">
        <f>+ISNUMBER(SEARCH(CompConta!$F$21,Tabla11[[#This Row],[Cuenta]],1))</f>
        <v>1</v>
      </c>
      <c r="AW770" t="b">
        <f>+ISNUMBER(SEARCH(CompConta!$F$22,Tabla11[[#This Row],[Cuenta]],1))</f>
        <v>1</v>
      </c>
      <c r="AX770" t="b">
        <f>+ISNUMBER(SEARCH(CompConta!$F$23,Tabla11[[#This Row],[Cuenta]],1))</f>
        <v>1</v>
      </c>
      <c r="AY770" t="b">
        <f>+ISNUMBER(SEARCH(CompConta!$F$24,Tabla11[[#This Row],[Cuenta]],1))</f>
        <v>1</v>
      </c>
      <c r="AZ770" t="b">
        <f>+ISNUMBER(SEARCH(CompConta!$F$25,Tabla11[[#This Row],[Cuenta]],1))</f>
        <v>1</v>
      </c>
      <c r="BA770" t="b">
        <f>+ISNUMBER(SEARCH(CompConta!$F$26,Tabla11[[#This Row],[Cuenta]],1))</f>
        <v>1</v>
      </c>
      <c r="BB770" t="b">
        <f>+ISNUMBER(SEARCH(CompConta!$F$27,Tabla11[[#This Row],[Cuenta]],1))</f>
        <v>1</v>
      </c>
      <c r="BC770" t="b">
        <f>+ISNUMBER(SEARCH(CompConta!$F$28,Tabla11[[#This Row],[Cuenta]],1))</f>
        <v>1</v>
      </c>
      <c r="BD770" t="b">
        <f>+ISNUMBER(SEARCH(CompConta!$F$29,Tabla11[[#This Row],[Cuenta]],1))</f>
        <v>1</v>
      </c>
      <c r="BE770" t="b">
        <f>+ISNUMBER(SEARCH(CompConta!$F$30,Tabla11[[#This Row],[Cuenta]],1))</f>
        <v>1</v>
      </c>
      <c r="BF770" t="b">
        <f>+ISNUMBER(SEARCH('PAGO Compras'!$E$11,Tabla11[[#This Row],[Cuenta]],1))</f>
        <v>1</v>
      </c>
      <c r="BG770" t="b">
        <f>+ISNUMBER(SEARCH(#REF!,Tabla11[[#This Row],[Cuenta]],1))</f>
        <v>0</v>
      </c>
      <c r="BH770" t="b">
        <f>+ISNUMBER(SEARCH(#REF!,Tabla11[[#This Row],[Cuenta]],1))</f>
        <v>0</v>
      </c>
      <c r="BI770" t="b">
        <f>+ISNUMBER(SEARCH(#REF!,Tabla11[[#This Row],[Cuenta]],1))</f>
        <v>0</v>
      </c>
      <c r="BJ770" t="b">
        <f>+ISNUMBER(SEARCH(#REF!,Tabla11[[#This Row],[Cuenta]],1))</f>
        <v>0</v>
      </c>
      <c r="BS770" t="str">
        <v>510527 Auxilio de transporte</v>
      </c>
      <c r="BT770" t="str">
        <v>510527 Auxilio de transporte</v>
      </c>
      <c r="BU770" t="str">
        <v>510527 Auxilio de transporte</v>
      </c>
      <c r="BV770" t="str">
        <v>510527 Auxilio de transporte</v>
      </c>
      <c r="BZ770" t="str">
        <v>510527 Auxilio de transporte</v>
      </c>
      <c r="CA770" t="str">
        <v>510527 Auxilio de transporte</v>
      </c>
      <c r="CB770" t="str">
        <v>510527 Auxilio de transporte</v>
      </c>
      <c r="CC770" t="str">
        <v>510527 Auxilio de transporte</v>
      </c>
      <c r="CD770" t="str">
        <v>510527 Auxilio de transporte</v>
      </c>
      <c r="CE770" t="str">
        <v>510527 Auxilio de transporte</v>
      </c>
      <c r="CS770" s="141" t="str">
        <v>510527 Auxilio de transporte</v>
      </c>
      <c r="CT770" s="141" t="str">
        <v>510527 Auxilio de transporte</v>
      </c>
      <c r="CU770" s="141" t="str">
        <v>510527 Auxilio de transporte</v>
      </c>
      <c r="CV770" s="141" t="str">
        <v>510527 Auxilio de transporte</v>
      </c>
      <c r="CW770" s="141" t="str">
        <v>510527 Auxilio de transporte</v>
      </c>
      <c r="CX770" s="141" t="str">
        <v>510527 Auxilio de transporte</v>
      </c>
      <c r="CY770" s="141" t="str">
        <v>510527 Auxilio de transporte</v>
      </c>
      <c r="CZ770" s="141" t="str">
        <v>510527 Auxilio de transporte</v>
      </c>
      <c r="DA770" s="141" t="str">
        <v>510527 Auxilio de transporte</v>
      </c>
      <c r="DF770" t="str">
        <v>510527 Auxilio de transporte</v>
      </c>
      <c r="DG770" t="str">
        <v>510527 Auxilio de transporte</v>
      </c>
      <c r="DH770" t="str">
        <v>510527 Auxilio de transporte</v>
      </c>
      <c r="DI770" t="str">
        <v>510527 Auxilio de transporte</v>
      </c>
      <c r="DJ770" t="str">
        <v>510527 Auxilio de transporte</v>
      </c>
      <c r="DK770" t="str">
        <v>510527 Auxilio de transporte</v>
      </c>
      <c r="DL770" t="str">
        <v>510527 Auxilio de transporte</v>
      </c>
      <c r="DM770" t="str">
        <v>510527 Auxilio de transporte</v>
      </c>
      <c r="DN770" t="str">
        <v>510527 Auxilio de transporte</v>
      </c>
      <c r="DO770" t="str">
        <v>510527 Auxilio de transporte</v>
      </c>
      <c r="DP770" t="str">
        <v>510527 Auxilio de transporte</v>
      </c>
    </row>
    <row r="771" spans="4:120" ht="12.75">
      <c r="D771" s="7">
        <v>510530</v>
      </c>
      <c r="E771" s="6" t="s">
        <v>397</v>
      </c>
      <c r="F771" s="5">
        <v>4</v>
      </c>
      <c r="G771" s="34" t="s">
        <v>830</v>
      </c>
      <c r="H771" s="8" t="s">
        <v>32</v>
      </c>
      <c r="I771" t="b">
        <f>+ISNUMBER(SEARCH('F-COMPRA'!$F$28,Tabla11[[#This Row],[Cuenta]],1))</f>
        <v>1</v>
      </c>
      <c r="J771" t="b">
        <f>+ISNUMBER(SEARCH('F-COMPRA'!$F$29,Tabla11[[#This Row],[Cuenta]],1))</f>
        <v>1</v>
      </c>
      <c r="K771" t="b">
        <f>+ISNUMBER(SEARCH('F-COMPRA'!$F$30,Tabla11[[#This Row],[Cuenta]],1))</f>
        <v>1</v>
      </c>
      <c r="L771" t="b">
        <f>+ISNUMBER(SEARCH('F-COMPRA'!$F$31,Tabla11[[#This Row],[Cuenta]],1))</f>
        <v>1</v>
      </c>
      <c r="M771" t="b">
        <f>+ISNUMBER(SEARCH('F-COMPRA'!$G$25,Tabla11[[#This Row],[Cuenta]],1))</f>
        <v>0</v>
      </c>
      <c r="N771" t="b">
        <f>+ISNUMBER(SEARCH(#REF!,Tabla11[[#This Row],[Cuenta]],1))</f>
        <v>0</v>
      </c>
      <c r="O771" t="b">
        <f>+ISNUMBER(SEARCH(#REF!,Tabla11[[#This Row],[Cuenta]],1))</f>
        <v>0</v>
      </c>
      <c r="P771" t="b">
        <f>+ISNUMBER(SEARCH('F-COMPRA'!$F$32,Tabla11[[#This Row],[Cuenta]],1))</f>
        <v>1</v>
      </c>
      <c r="Q771" t="b">
        <f>+ISNUMBER(SEARCH('F-COMPRA'!$F$33,Tabla11[[#This Row],[Cuenta]],1))</f>
        <v>1</v>
      </c>
      <c r="R771" t="b">
        <f>+ISNUMBER(SEARCH('F-COMPRA'!$F$34,Tabla11[[#This Row],[Cuenta]],1))</f>
        <v>1</v>
      </c>
      <c r="S771" t="b">
        <f>+ISNUMBER(SEARCH('F-COMPRA'!$F$35,Tabla11[[#This Row],[Cuenta]],1))</f>
        <v>1</v>
      </c>
      <c r="T771" t="b">
        <f>+ISNUMBER(SEARCH('F-COMPRA'!$F$36,Tabla11[[#This Row],[Cuenta]],1))</f>
        <v>1</v>
      </c>
      <c r="U771" t="b">
        <f>+ISNUMBER(SEARCH('F-COMPRA'!$F$37,Tabla11[[#This Row],[Cuenta]],1))</f>
        <v>1</v>
      </c>
      <c r="V771" t="b">
        <f>+ISNUMBER(SEARCH(#REF!,Tabla11[[#This Row],[Cuenta]],1))</f>
        <v>0</v>
      </c>
      <c r="W771" t="b">
        <f>+ISNUMBER(SEARCH('F-COMPRA'!#REF!,Tabla11[[#This Row],[Cuenta]],1))</f>
        <v>0</v>
      </c>
      <c r="X771" t="b">
        <f>+ISNUMBER(SEARCH('F-COMPRA'!#REF!,Tabla11[[#This Row],[Cuenta]],1))</f>
        <v>0</v>
      </c>
      <c r="Y771" t="b">
        <f>+ISNUMBER(SEARCH('F-COMPRA'!#REF!,Tabla11[[#This Row],[Cuenta]],1))</f>
        <v>0</v>
      </c>
      <c r="Z771" t="b">
        <f>+ISNUMBER(SEARCH('F-COMPRA'!#REF!,Tabla11[[#This Row],[Cuenta]],1))</f>
        <v>0</v>
      </c>
      <c r="AA771" t="b">
        <f>+ISNUMBER(SEARCH('F-COMPRA'!#REF!,Tabla11[[#This Row],[Cuenta]],1))</f>
        <v>0</v>
      </c>
      <c r="AB771" t="b">
        <f>+ISNUMBER(SEARCH('F-COMPRA'!#REF!,Tabla11[[#This Row],[Cuenta]],1))</f>
        <v>0</v>
      </c>
      <c r="AC771" t="b">
        <f>+ISNUMBER(SEARCH('F-COMPRA'!#REF!,Tabla11[[#This Row],[Cuenta]],1))</f>
        <v>0</v>
      </c>
      <c r="AD771" t="b">
        <f>+ISNUMBER(SEARCH('F-COMPRA'!#REF!,Tabla11[[#This Row],[Cuenta]],1))</f>
        <v>0</v>
      </c>
      <c r="AE771" t="b">
        <f>+ISNUMBER(SEARCH('F-COMPRA'!#REF!,Tabla11[[#This Row],[Cuenta]],1))</f>
        <v>0</v>
      </c>
      <c r="AF771" t="b">
        <f>+ISNUMBER(SEARCH('F-VTA'!$G$23,Tabla11[[#This Row],[Cuenta]],1))</f>
        <v>0</v>
      </c>
      <c r="AG771" t="b">
        <f>+ISNUMBER(SEARCH('F-VTA'!$G$24,Tabla11[[#This Row],[Cuenta]],1))</f>
        <v>0</v>
      </c>
      <c r="AH771" t="b">
        <f>+ISNUMBER(SEARCH('F-VTA'!$G$25,Tabla11[[#This Row],[Cuenta]],1))</f>
        <v>0</v>
      </c>
      <c r="AI771" t="b">
        <f>+ISNUMBER(SEARCH('F-VTA'!$F$28,Tabla11[[#This Row],[Cuenta]],1))</f>
        <v>1</v>
      </c>
      <c r="AJ771" t="b">
        <f>+ISNUMBER(SEARCH('F-VTA'!$F$29,Tabla11[[#This Row],[Cuenta]],1))</f>
        <v>1</v>
      </c>
      <c r="AK771" t="b">
        <f>+ISNUMBER(SEARCH('F-VTA'!$F$30,Tabla11[[#This Row],[Cuenta]],1))</f>
        <v>1</v>
      </c>
      <c r="AL771" t="b">
        <f>+ISNUMBER(SEARCH('F-VTA'!$F$31,Tabla11[[#This Row],[Cuenta]],1))</f>
        <v>1</v>
      </c>
      <c r="AM771" t="b">
        <f>+ISNUMBER(SEARCH('F-VTA'!$F$32,Tabla11[[#This Row],[Cuenta]],1))</f>
        <v>1</v>
      </c>
      <c r="AN771" t="b">
        <f>+ISNUMBER(SEARCH('F-VTA'!$F$33,Tabla11[[#This Row],[Cuenta]],1))</f>
        <v>1</v>
      </c>
      <c r="AO771" t="b">
        <f>+ISNUMBER(SEARCH('F-VTA'!$F$34,Tabla11[[#This Row],[Cuenta]],1))</f>
        <v>1</v>
      </c>
      <c r="AP771" t="b">
        <f>+ISNUMBER(SEARCH('F-VTA'!$F$35,Tabla11[[#This Row],[Cuenta]],1))</f>
        <v>1</v>
      </c>
      <c r="AQ771" t="b">
        <f>+ISNUMBER(SEARCH('F-VTA'!$F$36,Tabla11[[#This Row],[Cuenta]],1))</f>
        <v>1</v>
      </c>
      <c r="AR771" t="b">
        <f>+ISNUMBER(SEARCH(#REF!,Tabla11[[#This Row],[Cuenta]],1))</f>
        <v>0</v>
      </c>
      <c r="AS771" t="b">
        <f>+ISNUMBER(SEARCH(#REF!,Tabla11[[#This Row],[Cuenta]],1))</f>
        <v>0</v>
      </c>
      <c r="AT771" t="b">
        <f>+ISNUMBER(SEARCH(#REF!,Tabla11[[#This Row],[Cuenta]],1))</f>
        <v>0</v>
      </c>
      <c r="AU771" t="b">
        <f>+ISNUMBER(SEARCH('Conc. Ban.1'!$I$9,Tabla11[[#This Row],[Cuenta]],1))</f>
        <v>0</v>
      </c>
      <c r="AV771" t="b">
        <f>+ISNUMBER(SEARCH(CompConta!$F$21,Tabla11[[#This Row],[Cuenta]],1))</f>
        <v>1</v>
      </c>
      <c r="AW771" t="b">
        <f>+ISNUMBER(SEARCH(CompConta!$F$22,Tabla11[[#This Row],[Cuenta]],1))</f>
        <v>1</v>
      </c>
      <c r="AX771" t="b">
        <f>+ISNUMBER(SEARCH(CompConta!$F$23,Tabla11[[#This Row],[Cuenta]],1))</f>
        <v>1</v>
      </c>
      <c r="AY771" t="b">
        <f>+ISNUMBER(SEARCH(CompConta!$F$24,Tabla11[[#This Row],[Cuenta]],1))</f>
        <v>1</v>
      </c>
      <c r="AZ771" t="b">
        <f>+ISNUMBER(SEARCH(CompConta!$F$25,Tabla11[[#This Row],[Cuenta]],1))</f>
        <v>1</v>
      </c>
      <c r="BA771" t="b">
        <f>+ISNUMBER(SEARCH(CompConta!$F$26,Tabla11[[#This Row],[Cuenta]],1))</f>
        <v>1</v>
      </c>
      <c r="BB771" t="b">
        <f>+ISNUMBER(SEARCH(CompConta!$F$27,Tabla11[[#This Row],[Cuenta]],1))</f>
        <v>1</v>
      </c>
      <c r="BC771" t="b">
        <f>+ISNUMBER(SEARCH(CompConta!$F$28,Tabla11[[#This Row],[Cuenta]],1))</f>
        <v>1</v>
      </c>
      <c r="BD771" t="b">
        <f>+ISNUMBER(SEARCH(CompConta!$F$29,Tabla11[[#This Row],[Cuenta]],1))</f>
        <v>1</v>
      </c>
      <c r="BE771" t="b">
        <f>+ISNUMBER(SEARCH(CompConta!$F$30,Tabla11[[#This Row],[Cuenta]],1))</f>
        <v>1</v>
      </c>
      <c r="BF771" t="b">
        <f>+ISNUMBER(SEARCH('PAGO Compras'!$E$11,Tabla11[[#This Row],[Cuenta]],1))</f>
        <v>1</v>
      </c>
      <c r="BG771" t="b">
        <f>+ISNUMBER(SEARCH(#REF!,Tabla11[[#This Row],[Cuenta]],1))</f>
        <v>0</v>
      </c>
      <c r="BH771" t="b">
        <f>+ISNUMBER(SEARCH(#REF!,Tabla11[[#This Row],[Cuenta]],1))</f>
        <v>0</v>
      </c>
      <c r="BI771" t="b">
        <f>+ISNUMBER(SEARCH(#REF!,Tabla11[[#This Row],[Cuenta]],1))</f>
        <v>0</v>
      </c>
      <c r="BJ771" t="b">
        <f>+ISNUMBER(SEARCH(#REF!,Tabla11[[#This Row],[Cuenta]],1))</f>
        <v>0</v>
      </c>
      <c r="BS771" t="str">
        <v>510530 Cesantías</v>
      </c>
      <c r="BT771" t="str">
        <v>510530 Cesantías</v>
      </c>
      <c r="BU771" t="str">
        <v>510530 Cesantías</v>
      </c>
      <c r="BV771" t="str">
        <v>510530 Cesantías</v>
      </c>
      <c r="BZ771" t="str">
        <v>510530 Cesantías</v>
      </c>
      <c r="CA771" t="str">
        <v>510530 Cesantías</v>
      </c>
      <c r="CB771" t="str">
        <v>510530 Cesantías</v>
      </c>
      <c r="CC771" t="str">
        <v>510530 Cesantías</v>
      </c>
      <c r="CD771" t="str">
        <v>510530 Cesantías</v>
      </c>
      <c r="CE771" t="str">
        <v>510530 Cesantías</v>
      </c>
      <c r="CS771" s="141" t="str">
        <v>510530 Cesantías</v>
      </c>
      <c r="CT771" s="141" t="str">
        <v>510530 Cesantías</v>
      </c>
      <c r="CU771" s="141" t="str">
        <v>510530 Cesantías</v>
      </c>
      <c r="CV771" s="141" t="str">
        <v>510530 Cesantías</v>
      </c>
      <c r="CW771" s="141" t="str">
        <v>510530 Cesantías</v>
      </c>
      <c r="CX771" s="141" t="str">
        <v>510530 Cesantías</v>
      </c>
      <c r="CY771" s="141" t="str">
        <v>510530 Cesantías</v>
      </c>
      <c r="CZ771" s="141" t="str">
        <v>510530 Cesantías</v>
      </c>
      <c r="DA771" s="141" t="str">
        <v>510530 Cesantías</v>
      </c>
      <c r="DF771" t="str">
        <v>510530 Cesantías</v>
      </c>
      <c r="DG771" t="str">
        <v>510530 Cesantías</v>
      </c>
      <c r="DH771" t="str">
        <v>510530 Cesantías</v>
      </c>
      <c r="DI771" t="str">
        <v>510530 Cesantías</v>
      </c>
      <c r="DJ771" t="str">
        <v>510530 Cesantías</v>
      </c>
      <c r="DK771" t="str">
        <v>510530 Cesantías</v>
      </c>
      <c r="DL771" t="str">
        <v>510530 Cesantías</v>
      </c>
      <c r="DM771" t="str">
        <v>510530 Cesantías</v>
      </c>
      <c r="DN771" t="str">
        <v>510530 Cesantías</v>
      </c>
      <c r="DO771" t="str">
        <v>510530 Cesantías</v>
      </c>
      <c r="DP771" t="str">
        <v>510530 Cesantías</v>
      </c>
    </row>
    <row r="772" spans="4:120" ht="12.75">
      <c r="D772" s="7">
        <v>510533</v>
      </c>
      <c r="E772" s="6" t="s">
        <v>398</v>
      </c>
      <c r="F772" s="5">
        <v>4</v>
      </c>
      <c r="G772" s="34" t="s">
        <v>830</v>
      </c>
      <c r="H772" s="8" t="s">
        <v>32</v>
      </c>
      <c r="I772" t="b">
        <f>+ISNUMBER(SEARCH('F-COMPRA'!$F$28,Tabla11[[#This Row],[Cuenta]],1))</f>
        <v>1</v>
      </c>
      <c r="J772" t="b">
        <f>+ISNUMBER(SEARCH('F-COMPRA'!$F$29,Tabla11[[#This Row],[Cuenta]],1))</f>
        <v>1</v>
      </c>
      <c r="K772" t="b">
        <f>+ISNUMBER(SEARCH('F-COMPRA'!$F$30,Tabla11[[#This Row],[Cuenta]],1))</f>
        <v>1</v>
      </c>
      <c r="L772" t="b">
        <f>+ISNUMBER(SEARCH('F-COMPRA'!$F$31,Tabla11[[#This Row],[Cuenta]],1))</f>
        <v>1</v>
      </c>
      <c r="M772" t="b">
        <f>+ISNUMBER(SEARCH('F-COMPRA'!$G$25,Tabla11[[#This Row],[Cuenta]],1))</f>
        <v>0</v>
      </c>
      <c r="N772" t="b">
        <f>+ISNUMBER(SEARCH(#REF!,Tabla11[[#This Row],[Cuenta]],1))</f>
        <v>0</v>
      </c>
      <c r="O772" t="b">
        <f>+ISNUMBER(SEARCH(#REF!,Tabla11[[#This Row],[Cuenta]],1))</f>
        <v>0</v>
      </c>
      <c r="P772" t="b">
        <f>+ISNUMBER(SEARCH('F-COMPRA'!$F$32,Tabla11[[#This Row],[Cuenta]],1))</f>
        <v>1</v>
      </c>
      <c r="Q772" t="b">
        <f>+ISNUMBER(SEARCH('F-COMPRA'!$F$33,Tabla11[[#This Row],[Cuenta]],1))</f>
        <v>1</v>
      </c>
      <c r="R772" t="b">
        <f>+ISNUMBER(SEARCH('F-COMPRA'!$F$34,Tabla11[[#This Row],[Cuenta]],1))</f>
        <v>1</v>
      </c>
      <c r="S772" t="b">
        <f>+ISNUMBER(SEARCH('F-COMPRA'!$F$35,Tabla11[[#This Row],[Cuenta]],1))</f>
        <v>1</v>
      </c>
      <c r="T772" t="b">
        <f>+ISNUMBER(SEARCH('F-COMPRA'!$F$36,Tabla11[[#This Row],[Cuenta]],1))</f>
        <v>1</v>
      </c>
      <c r="U772" t="b">
        <f>+ISNUMBER(SEARCH('F-COMPRA'!$F$37,Tabla11[[#This Row],[Cuenta]],1))</f>
        <v>1</v>
      </c>
      <c r="V772" t="b">
        <f>+ISNUMBER(SEARCH(#REF!,Tabla11[[#This Row],[Cuenta]],1))</f>
        <v>0</v>
      </c>
      <c r="W772" t="b">
        <f>+ISNUMBER(SEARCH('F-COMPRA'!#REF!,Tabla11[[#This Row],[Cuenta]],1))</f>
        <v>0</v>
      </c>
      <c r="X772" t="b">
        <f>+ISNUMBER(SEARCH('F-COMPRA'!#REF!,Tabla11[[#This Row],[Cuenta]],1))</f>
        <v>0</v>
      </c>
      <c r="Y772" t="b">
        <f>+ISNUMBER(SEARCH('F-COMPRA'!#REF!,Tabla11[[#This Row],[Cuenta]],1))</f>
        <v>0</v>
      </c>
      <c r="Z772" t="b">
        <f>+ISNUMBER(SEARCH('F-COMPRA'!#REF!,Tabla11[[#This Row],[Cuenta]],1))</f>
        <v>0</v>
      </c>
      <c r="AA772" t="b">
        <f>+ISNUMBER(SEARCH('F-COMPRA'!#REF!,Tabla11[[#This Row],[Cuenta]],1))</f>
        <v>0</v>
      </c>
      <c r="AB772" t="b">
        <f>+ISNUMBER(SEARCH('F-COMPRA'!#REF!,Tabla11[[#This Row],[Cuenta]],1))</f>
        <v>0</v>
      </c>
      <c r="AC772" t="b">
        <f>+ISNUMBER(SEARCH('F-COMPRA'!#REF!,Tabla11[[#This Row],[Cuenta]],1))</f>
        <v>0</v>
      </c>
      <c r="AD772" t="b">
        <f>+ISNUMBER(SEARCH('F-COMPRA'!#REF!,Tabla11[[#This Row],[Cuenta]],1))</f>
        <v>0</v>
      </c>
      <c r="AE772" t="b">
        <f>+ISNUMBER(SEARCH('F-COMPRA'!#REF!,Tabla11[[#This Row],[Cuenta]],1))</f>
        <v>0</v>
      </c>
      <c r="AF772" t="b">
        <f>+ISNUMBER(SEARCH('F-VTA'!$G$23,Tabla11[[#This Row],[Cuenta]],1))</f>
        <v>0</v>
      </c>
      <c r="AG772" t="b">
        <f>+ISNUMBER(SEARCH('F-VTA'!$G$24,Tabla11[[#This Row],[Cuenta]],1))</f>
        <v>0</v>
      </c>
      <c r="AH772" t="b">
        <f>+ISNUMBER(SEARCH('F-VTA'!$G$25,Tabla11[[#This Row],[Cuenta]],1))</f>
        <v>0</v>
      </c>
      <c r="AI772" t="b">
        <f>+ISNUMBER(SEARCH('F-VTA'!$F$28,Tabla11[[#This Row],[Cuenta]],1))</f>
        <v>1</v>
      </c>
      <c r="AJ772" t="b">
        <f>+ISNUMBER(SEARCH('F-VTA'!$F$29,Tabla11[[#This Row],[Cuenta]],1))</f>
        <v>1</v>
      </c>
      <c r="AK772" t="b">
        <f>+ISNUMBER(SEARCH('F-VTA'!$F$30,Tabla11[[#This Row],[Cuenta]],1))</f>
        <v>1</v>
      </c>
      <c r="AL772" t="b">
        <f>+ISNUMBER(SEARCH('F-VTA'!$F$31,Tabla11[[#This Row],[Cuenta]],1))</f>
        <v>1</v>
      </c>
      <c r="AM772" t="b">
        <f>+ISNUMBER(SEARCH('F-VTA'!$F$32,Tabla11[[#This Row],[Cuenta]],1))</f>
        <v>1</v>
      </c>
      <c r="AN772" t="b">
        <f>+ISNUMBER(SEARCH('F-VTA'!$F$33,Tabla11[[#This Row],[Cuenta]],1))</f>
        <v>1</v>
      </c>
      <c r="AO772" t="b">
        <f>+ISNUMBER(SEARCH('F-VTA'!$F$34,Tabla11[[#This Row],[Cuenta]],1))</f>
        <v>1</v>
      </c>
      <c r="AP772" t="b">
        <f>+ISNUMBER(SEARCH('F-VTA'!$F$35,Tabla11[[#This Row],[Cuenta]],1))</f>
        <v>1</v>
      </c>
      <c r="AQ772" t="b">
        <f>+ISNUMBER(SEARCH('F-VTA'!$F$36,Tabla11[[#This Row],[Cuenta]],1))</f>
        <v>1</v>
      </c>
      <c r="AR772" t="b">
        <f>+ISNUMBER(SEARCH(#REF!,Tabla11[[#This Row],[Cuenta]],1))</f>
        <v>0</v>
      </c>
      <c r="AS772" t="b">
        <f>+ISNUMBER(SEARCH(#REF!,Tabla11[[#This Row],[Cuenta]],1))</f>
        <v>0</v>
      </c>
      <c r="AT772" t="b">
        <f>+ISNUMBER(SEARCH(#REF!,Tabla11[[#This Row],[Cuenta]],1))</f>
        <v>0</v>
      </c>
      <c r="AU772" t="b">
        <f>+ISNUMBER(SEARCH('Conc. Ban.1'!$I$9,Tabla11[[#This Row],[Cuenta]],1))</f>
        <v>0</v>
      </c>
      <c r="AV772" t="b">
        <f>+ISNUMBER(SEARCH(CompConta!$F$21,Tabla11[[#This Row],[Cuenta]],1))</f>
        <v>1</v>
      </c>
      <c r="AW772" t="b">
        <f>+ISNUMBER(SEARCH(CompConta!$F$22,Tabla11[[#This Row],[Cuenta]],1))</f>
        <v>1</v>
      </c>
      <c r="AX772" t="b">
        <f>+ISNUMBER(SEARCH(CompConta!$F$23,Tabla11[[#This Row],[Cuenta]],1))</f>
        <v>1</v>
      </c>
      <c r="AY772" t="b">
        <f>+ISNUMBER(SEARCH(CompConta!$F$24,Tabla11[[#This Row],[Cuenta]],1))</f>
        <v>1</v>
      </c>
      <c r="AZ772" t="b">
        <f>+ISNUMBER(SEARCH(CompConta!$F$25,Tabla11[[#This Row],[Cuenta]],1))</f>
        <v>1</v>
      </c>
      <c r="BA772" t="b">
        <f>+ISNUMBER(SEARCH(CompConta!$F$26,Tabla11[[#This Row],[Cuenta]],1))</f>
        <v>1</v>
      </c>
      <c r="BB772" t="b">
        <f>+ISNUMBER(SEARCH(CompConta!$F$27,Tabla11[[#This Row],[Cuenta]],1))</f>
        <v>1</v>
      </c>
      <c r="BC772" t="b">
        <f>+ISNUMBER(SEARCH(CompConta!$F$28,Tabla11[[#This Row],[Cuenta]],1))</f>
        <v>1</v>
      </c>
      <c r="BD772" t="b">
        <f>+ISNUMBER(SEARCH(CompConta!$F$29,Tabla11[[#This Row],[Cuenta]],1))</f>
        <v>1</v>
      </c>
      <c r="BE772" t="b">
        <f>+ISNUMBER(SEARCH(CompConta!$F$30,Tabla11[[#This Row],[Cuenta]],1))</f>
        <v>1</v>
      </c>
      <c r="BF772" t="b">
        <f>+ISNUMBER(SEARCH('PAGO Compras'!$E$11,Tabla11[[#This Row],[Cuenta]],1))</f>
        <v>1</v>
      </c>
      <c r="BG772" t="b">
        <f>+ISNUMBER(SEARCH(#REF!,Tabla11[[#This Row],[Cuenta]],1))</f>
        <v>0</v>
      </c>
      <c r="BH772" t="b">
        <f>+ISNUMBER(SEARCH(#REF!,Tabla11[[#This Row],[Cuenta]],1))</f>
        <v>0</v>
      </c>
      <c r="BI772" t="b">
        <f>+ISNUMBER(SEARCH(#REF!,Tabla11[[#This Row],[Cuenta]],1))</f>
        <v>0</v>
      </c>
      <c r="BJ772" t="b">
        <f>+ISNUMBER(SEARCH(#REF!,Tabla11[[#This Row],[Cuenta]],1))</f>
        <v>0</v>
      </c>
      <c r="BS772" t="str">
        <v>510533 Intereses sobre cesantías</v>
      </c>
      <c r="BT772" t="str">
        <v>510533 Intereses sobre cesantías</v>
      </c>
      <c r="BU772" t="str">
        <v>510533 Intereses sobre cesantías</v>
      </c>
      <c r="BV772" t="str">
        <v>510533 Intereses sobre cesantías</v>
      </c>
      <c r="BZ772" t="str">
        <v>510533 Intereses sobre cesantías</v>
      </c>
      <c r="CA772" t="str">
        <v>510533 Intereses sobre cesantías</v>
      </c>
      <c r="CB772" t="str">
        <v>510533 Intereses sobre cesantías</v>
      </c>
      <c r="CC772" t="str">
        <v>510533 Intereses sobre cesantías</v>
      </c>
      <c r="CD772" t="str">
        <v>510533 Intereses sobre cesantías</v>
      </c>
      <c r="CE772" t="str">
        <v>510533 Intereses sobre cesantías</v>
      </c>
      <c r="CS772" s="141" t="str">
        <v>510533 Intereses sobre cesantías</v>
      </c>
      <c r="CT772" s="141" t="str">
        <v>510533 Intereses sobre cesantías</v>
      </c>
      <c r="CU772" s="141" t="str">
        <v>510533 Intereses sobre cesantías</v>
      </c>
      <c r="CV772" s="141" t="str">
        <v>510533 Intereses sobre cesantías</v>
      </c>
      <c r="CW772" s="141" t="str">
        <v>510533 Intereses sobre cesantías</v>
      </c>
      <c r="CX772" s="141" t="str">
        <v>510533 Intereses sobre cesantías</v>
      </c>
      <c r="CY772" s="141" t="str">
        <v>510533 Intereses sobre cesantías</v>
      </c>
      <c r="CZ772" s="141" t="str">
        <v>510533 Intereses sobre cesantías</v>
      </c>
      <c r="DA772" s="141" t="str">
        <v>510533 Intereses sobre cesantías</v>
      </c>
      <c r="DF772" t="str">
        <v>510533 Intereses sobre cesantías</v>
      </c>
      <c r="DG772" t="str">
        <v>510533 Intereses sobre cesantías</v>
      </c>
      <c r="DH772" t="str">
        <v>510533 Intereses sobre cesantías</v>
      </c>
      <c r="DI772" t="str">
        <v>510533 Intereses sobre cesantías</v>
      </c>
      <c r="DJ772" t="str">
        <v>510533 Intereses sobre cesantías</v>
      </c>
      <c r="DK772" t="str">
        <v>510533 Intereses sobre cesantías</v>
      </c>
      <c r="DL772" t="str">
        <v>510533 Intereses sobre cesantías</v>
      </c>
      <c r="DM772" t="str">
        <v>510533 Intereses sobre cesantías</v>
      </c>
      <c r="DN772" t="str">
        <v>510533 Intereses sobre cesantías</v>
      </c>
      <c r="DO772" t="str">
        <v>510533 Intereses sobre cesantías</v>
      </c>
      <c r="DP772" t="str">
        <v>510533 Intereses sobre cesantías</v>
      </c>
    </row>
    <row r="773" spans="4:120" ht="12.75">
      <c r="D773" s="7">
        <v>510536</v>
      </c>
      <c r="E773" s="6" t="s">
        <v>400</v>
      </c>
      <c r="F773" s="5">
        <v>4</v>
      </c>
      <c r="G773" s="34" t="s">
        <v>830</v>
      </c>
      <c r="H773" s="8" t="s">
        <v>32</v>
      </c>
      <c r="I773" t="b">
        <f>+ISNUMBER(SEARCH('F-COMPRA'!$F$28,Tabla11[[#This Row],[Cuenta]],1))</f>
        <v>1</v>
      </c>
      <c r="J773" t="b">
        <f>+ISNUMBER(SEARCH('F-COMPRA'!$F$29,Tabla11[[#This Row],[Cuenta]],1))</f>
        <v>1</v>
      </c>
      <c r="K773" t="b">
        <f>+ISNUMBER(SEARCH('F-COMPRA'!$F$30,Tabla11[[#This Row],[Cuenta]],1))</f>
        <v>1</v>
      </c>
      <c r="L773" t="b">
        <f>+ISNUMBER(SEARCH('F-COMPRA'!$F$31,Tabla11[[#This Row],[Cuenta]],1))</f>
        <v>1</v>
      </c>
      <c r="M773" t="b">
        <f>+ISNUMBER(SEARCH('F-COMPRA'!$G$25,Tabla11[[#This Row],[Cuenta]],1))</f>
        <v>0</v>
      </c>
      <c r="N773" t="b">
        <f>+ISNUMBER(SEARCH(#REF!,Tabla11[[#This Row],[Cuenta]],1))</f>
        <v>0</v>
      </c>
      <c r="O773" t="b">
        <f>+ISNUMBER(SEARCH(#REF!,Tabla11[[#This Row],[Cuenta]],1))</f>
        <v>0</v>
      </c>
      <c r="P773" t="b">
        <f>+ISNUMBER(SEARCH('F-COMPRA'!$F$32,Tabla11[[#This Row],[Cuenta]],1))</f>
        <v>1</v>
      </c>
      <c r="Q773" t="b">
        <f>+ISNUMBER(SEARCH('F-COMPRA'!$F$33,Tabla11[[#This Row],[Cuenta]],1))</f>
        <v>1</v>
      </c>
      <c r="R773" t="b">
        <f>+ISNUMBER(SEARCH('F-COMPRA'!$F$34,Tabla11[[#This Row],[Cuenta]],1))</f>
        <v>1</v>
      </c>
      <c r="S773" t="b">
        <f>+ISNUMBER(SEARCH('F-COMPRA'!$F$35,Tabla11[[#This Row],[Cuenta]],1))</f>
        <v>1</v>
      </c>
      <c r="T773" t="b">
        <f>+ISNUMBER(SEARCH('F-COMPRA'!$F$36,Tabla11[[#This Row],[Cuenta]],1))</f>
        <v>1</v>
      </c>
      <c r="U773" t="b">
        <f>+ISNUMBER(SEARCH('F-COMPRA'!$F$37,Tabla11[[#This Row],[Cuenta]],1))</f>
        <v>1</v>
      </c>
      <c r="V773" t="b">
        <f>+ISNUMBER(SEARCH(#REF!,Tabla11[[#This Row],[Cuenta]],1))</f>
        <v>0</v>
      </c>
      <c r="W773" t="b">
        <f>+ISNUMBER(SEARCH('F-COMPRA'!#REF!,Tabla11[[#This Row],[Cuenta]],1))</f>
        <v>0</v>
      </c>
      <c r="X773" t="b">
        <f>+ISNUMBER(SEARCH('F-COMPRA'!#REF!,Tabla11[[#This Row],[Cuenta]],1))</f>
        <v>0</v>
      </c>
      <c r="Y773" t="b">
        <f>+ISNUMBER(SEARCH('F-COMPRA'!#REF!,Tabla11[[#This Row],[Cuenta]],1))</f>
        <v>0</v>
      </c>
      <c r="Z773" t="b">
        <f>+ISNUMBER(SEARCH('F-COMPRA'!#REF!,Tabla11[[#This Row],[Cuenta]],1))</f>
        <v>0</v>
      </c>
      <c r="AA773" t="b">
        <f>+ISNUMBER(SEARCH('F-COMPRA'!#REF!,Tabla11[[#This Row],[Cuenta]],1))</f>
        <v>0</v>
      </c>
      <c r="AB773" t="b">
        <f>+ISNUMBER(SEARCH('F-COMPRA'!#REF!,Tabla11[[#This Row],[Cuenta]],1))</f>
        <v>0</v>
      </c>
      <c r="AC773" t="b">
        <f>+ISNUMBER(SEARCH('F-COMPRA'!#REF!,Tabla11[[#This Row],[Cuenta]],1))</f>
        <v>0</v>
      </c>
      <c r="AD773" t="b">
        <f>+ISNUMBER(SEARCH('F-COMPRA'!#REF!,Tabla11[[#This Row],[Cuenta]],1))</f>
        <v>0</v>
      </c>
      <c r="AE773" t="b">
        <f>+ISNUMBER(SEARCH('F-COMPRA'!#REF!,Tabla11[[#This Row],[Cuenta]],1))</f>
        <v>0</v>
      </c>
      <c r="AF773" t="b">
        <f>+ISNUMBER(SEARCH('F-VTA'!$G$23,Tabla11[[#This Row],[Cuenta]],1))</f>
        <v>0</v>
      </c>
      <c r="AG773" t="b">
        <f>+ISNUMBER(SEARCH('F-VTA'!$G$24,Tabla11[[#This Row],[Cuenta]],1))</f>
        <v>0</v>
      </c>
      <c r="AH773" t="b">
        <f>+ISNUMBER(SEARCH('F-VTA'!$G$25,Tabla11[[#This Row],[Cuenta]],1))</f>
        <v>0</v>
      </c>
      <c r="AI773" t="b">
        <f>+ISNUMBER(SEARCH('F-VTA'!$F$28,Tabla11[[#This Row],[Cuenta]],1))</f>
        <v>1</v>
      </c>
      <c r="AJ773" t="b">
        <f>+ISNUMBER(SEARCH('F-VTA'!$F$29,Tabla11[[#This Row],[Cuenta]],1))</f>
        <v>1</v>
      </c>
      <c r="AK773" t="b">
        <f>+ISNUMBER(SEARCH('F-VTA'!$F$30,Tabla11[[#This Row],[Cuenta]],1))</f>
        <v>1</v>
      </c>
      <c r="AL773" t="b">
        <f>+ISNUMBER(SEARCH('F-VTA'!$F$31,Tabla11[[#This Row],[Cuenta]],1))</f>
        <v>1</v>
      </c>
      <c r="AM773" t="b">
        <f>+ISNUMBER(SEARCH('F-VTA'!$F$32,Tabla11[[#This Row],[Cuenta]],1))</f>
        <v>1</v>
      </c>
      <c r="AN773" t="b">
        <f>+ISNUMBER(SEARCH('F-VTA'!$F$33,Tabla11[[#This Row],[Cuenta]],1))</f>
        <v>1</v>
      </c>
      <c r="AO773" t="b">
        <f>+ISNUMBER(SEARCH('F-VTA'!$F$34,Tabla11[[#This Row],[Cuenta]],1))</f>
        <v>1</v>
      </c>
      <c r="AP773" t="b">
        <f>+ISNUMBER(SEARCH('F-VTA'!$F$35,Tabla11[[#This Row],[Cuenta]],1))</f>
        <v>1</v>
      </c>
      <c r="AQ773" t="b">
        <f>+ISNUMBER(SEARCH('F-VTA'!$F$36,Tabla11[[#This Row],[Cuenta]],1))</f>
        <v>1</v>
      </c>
      <c r="AR773" t="b">
        <f>+ISNUMBER(SEARCH(#REF!,Tabla11[[#This Row],[Cuenta]],1))</f>
        <v>0</v>
      </c>
      <c r="AS773" t="b">
        <f>+ISNUMBER(SEARCH(#REF!,Tabla11[[#This Row],[Cuenta]],1))</f>
        <v>0</v>
      </c>
      <c r="AT773" t="b">
        <f>+ISNUMBER(SEARCH(#REF!,Tabla11[[#This Row],[Cuenta]],1))</f>
        <v>0</v>
      </c>
      <c r="AU773" t="b">
        <f>+ISNUMBER(SEARCH('Conc. Ban.1'!$I$9,Tabla11[[#This Row],[Cuenta]],1))</f>
        <v>0</v>
      </c>
      <c r="AV773" t="b">
        <f>+ISNUMBER(SEARCH(CompConta!$F$21,Tabla11[[#This Row],[Cuenta]],1))</f>
        <v>1</v>
      </c>
      <c r="AW773" t="b">
        <f>+ISNUMBER(SEARCH(CompConta!$F$22,Tabla11[[#This Row],[Cuenta]],1))</f>
        <v>1</v>
      </c>
      <c r="AX773" t="b">
        <f>+ISNUMBER(SEARCH(CompConta!$F$23,Tabla11[[#This Row],[Cuenta]],1))</f>
        <v>1</v>
      </c>
      <c r="AY773" t="b">
        <f>+ISNUMBER(SEARCH(CompConta!$F$24,Tabla11[[#This Row],[Cuenta]],1))</f>
        <v>1</v>
      </c>
      <c r="AZ773" t="b">
        <f>+ISNUMBER(SEARCH(CompConta!$F$25,Tabla11[[#This Row],[Cuenta]],1))</f>
        <v>1</v>
      </c>
      <c r="BA773" t="b">
        <f>+ISNUMBER(SEARCH(CompConta!$F$26,Tabla11[[#This Row],[Cuenta]],1))</f>
        <v>1</v>
      </c>
      <c r="BB773" t="b">
        <f>+ISNUMBER(SEARCH(CompConta!$F$27,Tabla11[[#This Row],[Cuenta]],1))</f>
        <v>1</v>
      </c>
      <c r="BC773" t="b">
        <f>+ISNUMBER(SEARCH(CompConta!$F$28,Tabla11[[#This Row],[Cuenta]],1))</f>
        <v>1</v>
      </c>
      <c r="BD773" t="b">
        <f>+ISNUMBER(SEARCH(CompConta!$F$29,Tabla11[[#This Row],[Cuenta]],1))</f>
        <v>1</v>
      </c>
      <c r="BE773" t="b">
        <f>+ISNUMBER(SEARCH(CompConta!$F$30,Tabla11[[#This Row],[Cuenta]],1))</f>
        <v>1</v>
      </c>
      <c r="BF773" t="b">
        <f>+ISNUMBER(SEARCH('PAGO Compras'!$E$11,Tabla11[[#This Row],[Cuenta]],1))</f>
        <v>1</v>
      </c>
      <c r="BG773" t="b">
        <f>+ISNUMBER(SEARCH(#REF!,Tabla11[[#This Row],[Cuenta]],1))</f>
        <v>0</v>
      </c>
      <c r="BH773" t="b">
        <f>+ISNUMBER(SEARCH(#REF!,Tabla11[[#This Row],[Cuenta]],1))</f>
        <v>0</v>
      </c>
      <c r="BI773" t="b">
        <f>+ISNUMBER(SEARCH(#REF!,Tabla11[[#This Row],[Cuenta]],1))</f>
        <v>0</v>
      </c>
      <c r="BJ773" t="b">
        <f>+ISNUMBER(SEARCH(#REF!,Tabla11[[#This Row],[Cuenta]],1))</f>
        <v>0</v>
      </c>
      <c r="BS773" t="str">
        <v>510536 Prima de servicios</v>
      </c>
      <c r="BT773" t="str">
        <v>510536 Prima de servicios</v>
      </c>
      <c r="BU773" t="str">
        <v>510536 Prima de servicios</v>
      </c>
      <c r="BV773" t="str">
        <v>510536 Prima de servicios</v>
      </c>
      <c r="BZ773" t="str">
        <v>510536 Prima de servicios</v>
      </c>
      <c r="CA773" t="str">
        <v>510536 Prima de servicios</v>
      </c>
      <c r="CB773" t="str">
        <v>510536 Prima de servicios</v>
      </c>
      <c r="CC773" t="str">
        <v>510536 Prima de servicios</v>
      </c>
      <c r="CD773" t="str">
        <v>510536 Prima de servicios</v>
      </c>
      <c r="CE773" t="str">
        <v>510536 Prima de servicios</v>
      </c>
      <c r="CS773" s="141" t="str">
        <v>510536 Prima de servicios</v>
      </c>
      <c r="CT773" s="141" t="str">
        <v>510536 Prima de servicios</v>
      </c>
      <c r="CU773" s="141" t="str">
        <v>510536 Prima de servicios</v>
      </c>
      <c r="CV773" s="141" t="str">
        <v>510536 Prima de servicios</v>
      </c>
      <c r="CW773" s="141" t="str">
        <v>510536 Prima de servicios</v>
      </c>
      <c r="CX773" s="141" t="str">
        <v>510536 Prima de servicios</v>
      </c>
      <c r="CY773" s="141" t="str">
        <v>510536 Prima de servicios</v>
      </c>
      <c r="CZ773" s="141" t="str">
        <v>510536 Prima de servicios</v>
      </c>
      <c r="DA773" s="141" t="str">
        <v>510536 Prima de servicios</v>
      </c>
      <c r="DF773" t="str">
        <v>510536 Prima de servicios</v>
      </c>
      <c r="DG773" t="str">
        <v>510536 Prima de servicios</v>
      </c>
      <c r="DH773" t="str">
        <v>510536 Prima de servicios</v>
      </c>
      <c r="DI773" t="str">
        <v>510536 Prima de servicios</v>
      </c>
      <c r="DJ773" t="str">
        <v>510536 Prima de servicios</v>
      </c>
      <c r="DK773" t="str">
        <v>510536 Prima de servicios</v>
      </c>
      <c r="DL773" t="str">
        <v>510536 Prima de servicios</v>
      </c>
      <c r="DM773" t="str">
        <v>510536 Prima de servicios</v>
      </c>
      <c r="DN773" t="str">
        <v>510536 Prima de servicios</v>
      </c>
      <c r="DO773" t="str">
        <v>510536 Prima de servicios</v>
      </c>
      <c r="DP773" t="str">
        <v>510536 Prima de servicios</v>
      </c>
    </row>
    <row r="774" spans="4:120" ht="12.75">
      <c r="D774" s="7">
        <v>510539</v>
      </c>
      <c r="E774" s="6" t="s">
        <v>399</v>
      </c>
      <c r="F774" s="5">
        <v>4</v>
      </c>
      <c r="G774" s="34" t="s">
        <v>830</v>
      </c>
      <c r="H774" s="8" t="s">
        <v>32</v>
      </c>
      <c r="I774" t="b">
        <f>+ISNUMBER(SEARCH('F-COMPRA'!$F$28,Tabla11[[#This Row],[Cuenta]],1))</f>
        <v>1</v>
      </c>
      <c r="J774" t="b">
        <f>+ISNUMBER(SEARCH('F-COMPRA'!$F$29,Tabla11[[#This Row],[Cuenta]],1))</f>
        <v>1</v>
      </c>
      <c r="K774" t="b">
        <f>+ISNUMBER(SEARCH('F-COMPRA'!$F$30,Tabla11[[#This Row],[Cuenta]],1))</f>
        <v>1</v>
      </c>
      <c r="L774" t="b">
        <f>+ISNUMBER(SEARCH('F-COMPRA'!$F$31,Tabla11[[#This Row],[Cuenta]],1))</f>
        <v>1</v>
      </c>
      <c r="M774" t="b">
        <f>+ISNUMBER(SEARCH('F-COMPRA'!$G$25,Tabla11[[#This Row],[Cuenta]],1))</f>
        <v>0</v>
      </c>
      <c r="N774" t="b">
        <f>+ISNUMBER(SEARCH(#REF!,Tabla11[[#This Row],[Cuenta]],1))</f>
        <v>0</v>
      </c>
      <c r="O774" t="b">
        <f>+ISNUMBER(SEARCH(#REF!,Tabla11[[#This Row],[Cuenta]],1))</f>
        <v>0</v>
      </c>
      <c r="P774" t="b">
        <f>+ISNUMBER(SEARCH('F-COMPRA'!$F$32,Tabla11[[#This Row],[Cuenta]],1))</f>
        <v>1</v>
      </c>
      <c r="Q774" t="b">
        <f>+ISNUMBER(SEARCH('F-COMPRA'!$F$33,Tabla11[[#This Row],[Cuenta]],1))</f>
        <v>1</v>
      </c>
      <c r="R774" t="b">
        <f>+ISNUMBER(SEARCH('F-COMPRA'!$F$34,Tabla11[[#This Row],[Cuenta]],1))</f>
        <v>1</v>
      </c>
      <c r="S774" t="b">
        <f>+ISNUMBER(SEARCH('F-COMPRA'!$F$35,Tabla11[[#This Row],[Cuenta]],1))</f>
        <v>1</v>
      </c>
      <c r="T774" t="b">
        <f>+ISNUMBER(SEARCH('F-COMPRA'!$F$36,Tabla11[[#This Row],[Cuenta]],1))</f>
        <v>1</v>
      </c>
      <c r="U774" t="b">
        <f>+ISNUMBER(SEARCH('F-COMPRA'!$F$37,Tabla11[[#This Row],[Cuenta]],1))</f>
        <v>1</v>
      </c>
      <c r="V774" t="b">
        <f>+ISNUMBER(SEARCH(#REF!,Tabla11[[#This Row],[Cuenta]],1))</f>
        <v>0</v>
      </c>
      <c r="W774" t="b">
        <f>+ISNUMBER(SEARCH('F-COMPRA'!#REF!,Tabla11[[#This Row],[Cuenta]],1))</f>
        <v>0</v>
      </c>
      <c r="X774" t="b">
        <f>+ISNUMBER(SEARCH('F-COMPRA'!#REF!,Tabla11[[#This Row],[Cuenta]],1))</f>
        <v>0</v>
      </c>
      <c r="Y774" t="b">
        <f>+ISNUMBER(SEARCH('F-COMPRA'!#REF!,Tabla11[[#This Row],[Cuenta]],1))</f>
        <v>0</v>
      </c>
      <c r="Z774" t="b">
        <f>+ISNUMBER(SEARCH('F-COMPRA'!#REF!,Tabla11[[#This Row],[Cuenta]],1))</f>
        <v>0</v>
      </c>
      <c r="AA774" t="b">
        <f>+ISNUMBER(SEARCH('F-COMPRA'!#REF!,Tabla11[[#This Row],[Cuenta]],1))</f>
        <v>0</v>
      </c>
      <c r="AB774" t="b">
        <f>+ISNUMBER(SEARCH('F-COMPRA'!#REF!,Tabla11[[#This Row],[Cuenta]],1))</f>
        <v>0</v>
      </c>
      <c r="AC774" t="b">
        <f>+ISNUMBER(SEARCH('F-COMPRA'!#REF!,Tabla11[[#This Row],[Cuenta]],1))</f>
        <v>0</v>
      </c>
      <c r="AD774" t="b">
        <f>+ISNUMBER(SEARCH('F-COMPRA'!#REF!,Tabla11[[#This Row],[Cuenta]],1))</f>
        <v>0</v>
      </c>
      <c r="AE774" t="b">
        <f>+ISNUMBER(SEARCH('F-COMPRA'!#REF!,Tabla11[[#This Row],[Cuenta]],1))</f>
        <v>0</v>
      </c>
      <c r="AF774" t="b">
        <f>+ISNUMBER(SEARCH('F-VTA'!$G$23,Tabla11[[#This Row],[Cuenta]],1))</f>
        <v>0</v>
      </c>
      <c r="AG774" t="b">
        <f>+ISNUMBER(SEARCH('F-VTA'!$G$24,Tabla11[[#This Row],[Cuenta]],1))</f>
        <v>0</v>
      </c>
      <c r="AH774" t="b">
        <f>+ISNUMBER(SEARCH('F-VTA'!$G$25,Tabla11[[#This Row],[Cuenta]],1))</f>
        <v>0</v>
      </c>
      <c r="AI774" t="b">
        <f>+ISNUMBER(SEARCH('F-VTA'!$F$28,Tabla11[[#This Row],[Cuenta]],1))</f>
        <v>1</v>
      </c>
      <c r="AJ774" t="b">
        <f>+ISNUMBER(SEARCH('F-VTA'!$F$29,Tabla11[[#This Row],[Cuenta]],1))</f>
        <v>1</v>
      </c>
      <c r="AK774" t="b">
        <f>+ISNUMBER(SEARCH('F-VTA'!$F$30,Tabla11[[#This Row],[Cuenta]],1))</f>
        <v>1</v>
      </c>
      <c r="AL774" t="b">
        <f>+ISNUMBER(SEARCH('F-VTA'!$F$31,Tabla11[[#This Row],[Cuenta]],1))</f>
        <v>1</v>
      </c>
      <c r="AM774" t="b">
        <f>+ISNUMBER(SEARCH('F-VTA'!$F$32,Tabla11[[#This Row],[Cuenta]],1))</f>
        <v>1</v>
      </c>
      <c r="AN774" t="b">
        <f>+ISNUMBER(SEARCH('F-VTA'!$F$33,Tabla11[[#This Row],[Cuenta]],1))</f>
        <v>1</v>
      </c>
      <c r="AO774" t="b">
        <f>+ISNUMBER(SEARCH('F-VTA'!$F$34,Tabla11[[#This Row],[Cuenta]],1))</f>
        <v>1</v>
      </c>
      <c r="AP774" t="b">
        <f>+ISNUMBER(SEARCH('F-VTA'!$F$35,Tabla11[[#This Row],[Cuenta]],1))</f>
        <v>1</v>
      </c>
      <c r="AQ774" t="b">
        <f>+ISNUMBER(SEARCH('F-VTA'!$F$36,Tabla11[[#This Row],[Cuenta]],1))</f>
        <v>1</v>
      </c>
      <c r="AR774" t="b">
        <f>+ISNUMBER(SEARCH(#REF!,Tabla11[[#This Row],[Cuenta]],1))</f>
        <v>0</v>
      </c>
      <c r="AS774" t="b">
        <f>+ISNUMBER(SEARCH(#REF!,Tabla11[[#This Row],[Cuenta]],1))</f>
        <v>0</v>
      </c>
      <c r="AT774" t="b">
        <f>+ISNUMBER(SEARCH(#REF!,Tabla11[[#This Row],[Cuenta]],1))</f>
        <v>0</v>
      </c>
      <c r="AU774" t="b">
        <f>+ISNUMBER(SEARCH('Conc. Ban.1'!$I$9,Tabla11[[#This Row],[Cuenta]],1))</f>
        <v>0</v>
      </c>
      <c r="AV774" t="b">
        <f>+ISNUMBER(SEARCH(CompConta!$F$21,Tabla11[[#This Row],[Cuenta]],1))</f>
        <v>1</v>
      </c>
      <c r="AW774" t="b">
        <f>+ISNUMBER(SEARCH(CompConta!$F$22,Tabla11[[#This Row],[Cuenta]],1))</f>
        <v>1</v>
      </c>
      <c r="AX774" t="b">
        <f>+ISNUMBER(SEARCH(CompConta!$F$23,Tabla11[[#This Row],[Cuenta]],1))</f>
        <v>1</v>
      </c>
      <c r="AY774" t="b">
        <f>+ISNUMBER(SEARCH(CompConta!$F$24,Tabla11[[#This Row],[Cuenta]],1))</f>
        <v>1</v>
      </c>
      <c r="AZ774" t="b">
        <f>+ISNUMBER(SEARCH(CompConta!$F$25,Tabla11[[#This Row],[Cuenta]],1))</f>
        <v>1</v>
      </c>
      <c r="BA774" t="b">
        <f>+ISNUMBER(SEARCH(CompConta!$F$26,Tabla11[[#This Row],[Cuenta]],1))</f>
        <v>1</v>
      </c>
      <c r="BB774" t="b">
        <f>+ISNUMBER(SEARCH(CompConta!$F$27,Tabla11[[#This Row],[Cuenta]],1))</f>
        <v>1</v>
      </c>
      <c r="BC774" t="b">
        <f>+ISNUMBER(SEARCH(CompConta!$F$28,Tabla11[[#This Row],[Cuenta]],1))</f>
        <v>1</v>
      </c>
      <c r="BD774" t="b">
        <f>+ISNUMBER(SEARCH(CompConta!$F$29,Tabla11[[#This Row],[Cuenta]],1))</f>
        <v>1</v>
      </c>
      <c r="BE774" t="b">
        <f>+ISNUMBER(SEARCH(CompConta!$F$30,Tabla11[[#This Row],[Cuenta]],1))</f>
        <v>1</v>
      </c>
      <c r="BF774" t="b">
        <f>+ISNUMBER(SEARCH('PAGO Compras'!$E$11,Tabla11[[#This Row],[Cuenta]],1))</f>
        <v>1</v>
      </c>
      <c r="BG774" t="b">
        <f>+ISNUMBER(SEARCH(#REF!,Tabla11[[#This Row],[Cuenta]],1))</f>
        <v>0</v>
      </c>
      <c r="BH774" t="b">
        <f>+ISNUMBER(SEARCH(#REF!,Tabla11[[#This Row],[Cuenta]],1))</f>
        <v>0</v>
      </c>
      <c r="BI774" t="b">
        <f>+ISNUMBER(SEARCH(#REF!,Tabla11[[#This Row],[Cuenta]],1))</f>
        <v>0</v>
      </c>
      <c r="BJ774" t="b">
        <f>+ISNUMBER(SEARCH(#REF!,Tabla11[[#This Row],[Cuenta]],1))</f>
        <v>0</v>
      </c>
      <c r="BS774" t="str">
        <v>510539 Vacaciones</v>
      </c>
      <c r="BT774" t="str">
        <v>510539 Vacaciones</v>
      </c>
      <c r="BU774" t="str">
        <v>510539 Vacaciones</v>
      </c>
      <c r="BV774" t="str">
        <v>510539 Vacaciones</v>
      </c>
      <c r="BZ774" t="str">
        <v>510539 Vacaciones</v>
      </c>
      <c r="CA774" t="str">
        <v>510539 Vacaciones</v>
      </c>
      <c r="CB774" t="str">
        <v>510539 Vacaciones</v>
      </c>
      <c r="CC774" t="str">
        <v>510539 Vacaciones</v>
      </c>
      <c r="CD774" t="str">
        <v>510539 Vacaciones</v>
      </c>
      <c r="CE774" t="str">
        <v>510539 Vacaciones</v>
      </c>
      <c r="CS774" s="141" t="str">
        <v>510539 Vacaciones</v>
      </c>
      <c r="CT774" s="141" t="str">
        <v>510539 Vacaciones</v>
      </c>
      <c r="CU774" s="141" t="str">
        <v>510539 Vacaciones</v>
      </c>
      <c r="CV774" s="141" t="str">
        <v>510539 Vacaciones</v>
      </c>
      <c r="CW774" s="141" t="str">
        <v>510539 Vacaciones</v>
      </c>
      <c r="CX774" s="141" t="str">
        <v>510539 Vacaciones</v>
      </c>
      <c r="CY774" s="141" t="str">
        <v>510539 Vacaciones</v>
      </c>
      <c r="CZ774" s="141" t="str">
        <v>510539 Vacaciones</v>
      </c>
      <c r="DA774" s="141" t="str">
        <v>510539 Vacaciones</v>
      </c>
      <c r="DF774" t="str">
        <v>510539 Vacaciones</v>
      </c>
      <c r="DG774" t="str">
        <v>510539 Vacaciones</v>
      </c>
      <c r="DH774" t="str">
        <v>510539 Vacaciones</v>
      </c>
      <c r="DI774" t="str">
        <v>510539 Vacaciones</v>
      </c>
      <c r="DJ774" t="str">
        <v>510539 Vacaciones</v>
      </c>
      <c r="DK774" t="str">
        <v>510539 Vacaciones</v>
      </c>
      <c r="DL774" t="str">
        <v>510539 Vacaciones</v>
      </c>
      <c r="DM774" t="str">
        <v>510539 Vacaciones</v>
      </c>
      <c r="DN774" t="str">
        <v>510539 Vacaciones</v>
      </c>
      <c r="DO774" t="str">
        <v>510539 Vacaciones</v>
      </c>
      <c r="DP774" t="str">
        <v>510539 Vacaciones</v>
      </c>
    </row>
    <row r="775" spans="4:120" ht="12.75">
      <c r="D775" s="7">
        <v>510542</v>
      </c>
      <c r="E775" s="6" t="s">
        <v>540</v>
      </c>
      <c r="F775" s="5">
        <v>4</v>
      </c>
      <c r="G775" s="34" t="s">
        <v>830</v>
      </c>
      <c r="H775" s="8" t="s">
        <v>32</v>
      </c>
      <c r="I775" t="b">
        <f>+ISNUMBER(SEARCH('F-COMPRA'!$F$28,Tabla11[[#This Row],[Cuenta]],1))</f>
        <v>1</v>
      </c>
      <c r="J775" t="b">
        <f>+ISNUMBER(SEARCH('F-COMPRA'!$F$29,Tabla11[[#This Row],[Cuenta]],1))</f>
        <v>1</v>
      </c>
      <c r="K775" t="b">
        <f>+ISNUMBER(SEARCH('F-COMPRA'!$F$30,Tabla11[[#This Row],[Cuenta]],1))</f>
        <v>1</v>
      </c>
      <c r="L775" t="b">
        <f>+ISNUMBER(SEARCH('F-COMPRA'!$F$31,Tabla11[[#This Row],[Cuenta]],1))</f>
        <v>1</v>
      </c>
      <c r="M775" t="b">
        <f>+ISNUMBER(SEARCH('F-COMPRA'!$G$25,Tabla11[[#This Row],[Cuenta]],1))</f>
        <v>0</v>
      </c>
      <c r="N775" t="b">
        <f>+ISNUMBER(SEARCH(#REF!,Tabla11[[#This Row],[Cuenta]],1))</f>
        <v>0</v>
      </c>
      <c r="O775" t="b">
        <f>+ISNUMBER(SEARCH(#REF!,Tabla11[[#This Row],[Cuenta]],1))</f>
        <v>0</v>
      </c>
      <c r="P775" t="b">
        <f>+ISNUMBER(SEARCH('F-COMPRA'!$F$32,Tabla11[[#This Row],[Cuenta]],1))</f>
        <v>1</v>
      </c>
      <c r="Q775" t="b">
        <f>+ISNUMBER(SEARCH('F-COMPRA'!$F$33,Tabla11[[#This Row],[Cuenta]],1))</f>
        <v>1</v>
      </c>
      <c r="R775" t="b">
        <f>+ISNUMBER(SEARCH('F-COMPRA'!$F$34,Tabla11[[#This Row],[Cuenta]],1))</f>
        <v>1</v>
      </c>
      <c r="S775" t="b">
        <f>+ISNUMBER(SEARCH('F-COMPRA'!$F$35,Tabla11[[#This Row],[Cuenta]],1))</f>
        <v>1</v>
      </c>
      <c r="T775" t="b">
        <f>+ISNUMBER(SEARCH('F-COMPRA'!$F$36,Tabla11[[#This Row],[Cuenta]],1))</f>
        <v>1</v>
      </c>
      <c r="U775" t="b">
        <f>+ISNUMBER(SEARCH('F-COMPRA'!$F$37,Tabla11[[#This Row],[Cuenta]],1))</f>
        <v>1</v>
      </c>
      <c r="V775" t="b">
        <f>+ISNUMBER(SEARCH(#REF!,Tabla11[[#This Row],[Cuenta]],1))</f>
        <v>0</v>
      </c>
      <c r="W775" t="b">
        <f>+ISNUMBER(SEARCH('F-COMPRA'!#REF!,Tabla11[[#This Row],[Cuenta]],1))</f>
        <v>0</v>
      </c>
      <c r="X775" t="b">
        <f>+ISNUMBER(SEARCH('F-COMPRA'!#REF!,Tabla11[[#This Row],[Cuenta]],1))</f>
        <v>0</v>
      </c>
      <c r="Y775" t="b">
        <f>+ISNUMBER(SEARCH('F-COMPRA'!#REF!,Tabla11[[#This Row],[Cuenta]],1))</f>
        <v>0</v>
      </c>
      <c r="Z775" t="b">
        <f>+ISNUMBER(SEARCH('F-COMPRA'!#REF!,Tabla11[[#This Row],[Cuenta]],1))</f>
        <v>0</v>
      </c>
      <c r="AA775" t="b">
        <f>+ISNUMBER(SEARCH('F-COMPRA'!#REF!,Tabla11[[#This Row],[Cuenta]],1))</f>
        <v>0</v>
      </c>
      <c r="AB775" t="b">
        <f>+ISNUMBER(SEARCH('F-COMPRA'!#REF!,Tabla11[[#This Row],[Cuenta]],1))</f>
        <v>0</v>
      </c>
      <c r="AC775" t="b">
        <f>+ISNUMBER(SEARCH('F-COMPRA'!#REF!,Tabla11[[#This Row],[Cuenta]],1))</f>
        <v>0</v>
      </c>
      <c r="AD775" t="b">
        <f>+ISNUMBER(SEARCH('F-COMPRA'!#REF!,Tabla11[[#This Row],[Cuenta]],1))</f>
        <v>0</v>
      </c>
      <c r="AE775" t="b">
        <f>+ISNUMBER(SEARCH('F-COMPRA'!#REF!,Tabla11[[#This Row],[Cuenta]],1))</f>
        <v>0</v>
      </c>
      <c r="AF775" t="b">
        <f>+ISNUMBER(SEARCH('F-VTA'!$G$23,Tabla11[[#This Row],[Cuenta]],1))</f>
        <v>0</v>
      </c>
      <c r="AG775" t="b">
        <f>+ISNUMBER(SEARCH('F-VTA'!$G$24,Tabla11[[#This Row],[Cuenta]],1))</f>
        <v>0</v>
      </c>
      <c r="AH775" t="b">
        <f>+ISNUMBER(SEARCH('F-VTA'!$G$25,Tabla11[[#This Row],[Cuenta]],1))</f>
        <v>0</v>
      </c>
      <c r="AI775" t="b">
        <f>+ISNUMBER(SEARCH('F-VTA'!$F$28,Tabla11[[#This Row],[Cuenta]],1))</f>
        <v>1</v>
      </c>
      <c r="AJ775" t="b">
        <f>+ISNUMBER(SEARCH('F-VTA'!$F$29,Tabla11[[#This Row],[Cuenta]],1))</f>
        <v>1</v>
      </c>
      <c r="AK775" t="b">
        <f>+ISNUMBER(SEARCH('F-VTA'!$F$30,Tabla11[[#This Row],[Cuenta]],1))</f>
        <v>1</v>
      </c>
      <c r="AL775" t="b">
        <f>+ISNUMBER(SEARCH('F-VTA'!$F$31,Tabla11[[#This Row],[Cuenta]],1))</f>
        <v>1</v>
      </c>
      <c r="AM775" t="b">
        <f>+ISNUMBER(SEARCH('F-VTA'!$F$32,Tabla11[[#This Row],[Cuenta]],1))</f>
        <v>1</v>
      </c>
      <c r="AN775" t="b">
        <f>+ISNUMBER(SEARCH('F-VTA'!$F$33,Tabla11[[#This Row],[Cuenta]],1))</f>
        <v>1</v>
      </c>
      <c r="AO775" t="b">
        <f>+ISNUMBER(SEARCH('F-VTA'!$F$34,Tabla11[[#This Row],[Cuenta]],1))</f>
        <v>1</v>
      </c>
      <c r="AP775" t="b">
        <f>+ISNUMBER(SEARCH('F-VTA'!$F$35,Tabla11[[#This Row],[Cuenta]],1))</f>
        <v>1</v>
      </c>
      <c r="AQ775" t="b">
        <f>+ISNUMBER(SEARCH('F-VTA'!$F$36,Tabla11[[#This Row],[Cuenta]],1))</f>
        <v>1</v>
      </c>
      <c r="AR775" t="b">
        <f>+ISNUMBER(SEARCH(#REF!,Tabla11[[#This Row],[Cuenta]],1))</f>
        <v>0</v>
      </c>
      <c r="AS775" t="b">
        <f>+ISNUMBER(SEARCH(#REF!,Tabla11[[#This Row],[Cuenta]],1))</f>
        <v>0</v>
      </c>
      <c r="AT775" t="b">
        <f>+ISNUMBER(SEARCH(#REF!,Tabla11[[#This Row],[Cuenta]],1))</f>
        <v>0</v>
      </c>
      <c r="AU775" t="b">
        <f>+ISNUMBER(SEARCH('Conc. Ban.1'!$I$9,Tabla11[[#This Row],[Cuenta]],1))</f>
        <v>0</v>
      </c>
      <c r="AV775" t="b">
        <f>+ISNUMBER(SEARCH(CompConta!$F$21,Tabla11[[#This Row],[Cuenta]],1))</f>
        <v>1</v>
      </c>
      <c r="AW775" t="b">
        <f>+ISNUMBER(SEARCH(CompConta!$F$22,Tabla11[[#This Row],[Cuenta]],1))</f>
        <v>1</v>
      </c>
      <c r="AX775" t="b">
        <f>+ISNUMBER(SEARCH(CompConta!$F$23,Tabla11[[#This Row],[Cuenta]],1))</f>
        <v>1</v>
      </c>
      <c r="AY775" t="b">
        <f>+ISNUMBER(SEARCH(CompConta!$F$24,Tabla11[[#This Row],[Cuenta]],1))</f>
        <v>1</v>
      </c>
      <c r="AZ775" t="b">
        <f>+ISNUMBER(SEARCH(CompConta!$F$25,Tabla11[[#This Row],[Cuenta]],1))</f>
        <v>1</v>
      </c>
      <c r="BA775" t="b">
        <f>+ISNUMBER(SEARCH(CompConta!$F$26,Tabla11[[#This Row],[Cuenta]],1))</f>
        <v>1</v>
      </c>
      <c r="BB775" t="b">
        <f>+ISNUMBER(SEARCH(CompConta!$F$27,Tabla11[[#This Row],[Cuenta]],1))</f>
        <v>1</v>
      </c>
      <c r="BC775" t="b">
        <f>+ISNUMBER(SEARCH(CompConta!$F$28,Tabla11[[#This Row],[Cuenta]],1))</f>
        <v>1</v>
      </c>
      <c r="BD775" t="b">
        <f>+ISNUMBER(SEARCH(CompConta!$F$29,Tabla11[[#This Row],[Cuenta]],1))</f>
        <v>1</v>
      </c>
      <c r="BE775" t="b">
        <f>+ISNUMBER(SEARCH(CompConta!$F$30,Tabla11[[#This Row],[Cuenta]],1))</f>
        <v>1</v>
      </c>
      <c r="BF775" t="b">
        <f>+ISNUMBER(SEARCH('PAGO Compras'!$E$11,Tabla11[[#This Row],[Cuenta]],1))</f>
        <v>1</v>
      </c>
      <c r="BG775" t="b">
        <f>+ISNUMBER(SEARCH(#REF!,Tabla11[[#This Row],[Cuenta]],1))</f>
        <v>0</v>
      </c>
      <c r="BH775" t="b">
        <f>+ISNUMBER(SEARCH(#REF!,Tabla11[[#This Row],[Cuenta]],1))</f>
        <v>0</v>
      </c>
      <c r="BI775" t="b">
        <f>+ISNUMBER(SEARCH(#REF!,Tabla11[[#This Row],[Cuenta]],1))</f>
        <v>0</v>
      </c>
      <c r="BJ775" t="b">
        <f>+ISNUMBER(SEARCH(#REF!,Tabla11[[#This Row],[Cuenta]],1))</f>
        <v>0</v>
      </c>
      <c r="BS775" t="str">
        <v>510542 Primas extralegales</v>
      </c>
      <c r="BT775" t="str">
        <v>510542 Primas extralegales</v>
      </c>
      <c r="BU775" t="str">
        <v>510542 Primas extralegales</v>
      </c>
      <c r="BV775" t="str">
        <v>510542 Primas extralegales</v>
      </c>
      <c r="BZ775" t="str">
        <v>510542 Primas extralegales</v>
      </c>
      <c r="CA775" t="str">
        <v>510542 Primas extralegales</v>
      </c>
      <c r="CB775" t="str">
        <v>510542 Primas extralegales</v>
      </c>
      <c r="CC775" t="str">
        <v>510542 Primas extralegales</v>
      </c>
      <c r="CD775" t="str">
        <v>510542 Primas extralegales</v>
      </c>
      <c r="CE775" t="str">
        <v>510542 Primas extralegales</v>
      </c>
      <c r="CS775" s="141" t="str">
        <v>510542 Primas extralegales</v>
      </c>
      <c r="CT775" s="141" t="str">
        <v>510542 Primas extralegales</v>
      </c>
      <c r="CU775" s="141" t="str">
        <v>510542 Primas extralegales</v>
      </c>
      <c r="CV775" s="141" t="str">
        <v>510542 Primas extralegales</v>
      </c>
      <c r="CW775" s="141" t="str">
        <v>510542 Primas extralegales</v>
      </c>
      <c r="CX775" s="141" t="str">
        <v>510542 Primas extralegales</v>
      </c>
      <c r="CY775" s="141" t="str">
        <v>510542 Primas extralegales</v>
      </c>
      <c r="CZ775" s="141" t="str">
        <v>510542 Primas extralegales</v>
      </c>
      <c r="DA775" s="141" t="str">
        <v>510542 Primas extralegales</v>
      </c>
      <c r="DF775" t="str">
        <v>510542 Primas extralegales</v>
      </c>
      <c r="DG775" t="str">
        <v>510542 Primas extralegales</v>
      </c>
      <c r="DH775" t="str">
        <v>510542 Primas extralegales</v>
      </c>
      <c r="DI775" t="str">
        <v>510542 Primas extralegales</v>
      </c>
      <c r="DJ775" t="str">
        <v>510542 Primas extralegales</v>
      </c>
      <c r="DK775" t="str">
        <v>510542 Primas extralegales</v>
      </c>
      <c r="DL775" t="str">
        <v>510542 Primas extralegales</v>
      </c>
      <c r="DM775" t="str">
        <v>510542 Primas extralegales</v>
      </c>
      <c r="DN775" t="str">
        <v>510542 Primas extralegales</v>
      </c>
      <c r="DO775" t="str">
        <v>510542 Primas extralegales</v>
      </c>
      <c r="DP775" t="str">
        <v>510542 Primas extralegales</v>
      </c>
    </row>
    <row r="776" spans="4:120" ht="12.75">
      <c r="D776" s="7">
        <v>510545</v>
      </c>
      <c r="E776" s="6" t="s">
        <v>386</v>
      </c>
      <c r="F776" s="5">
        <v>4</v>
      </c>
      <c r="G776" s="34" t="s">
        <v>830</v>
      </c>
      <c r="H776" s="8" t="s">
        <v>32</v>
      </c>
      <c r="I776" t="b">
        <f>+ISNUMBER(SEARCH('F-COMPRA'!$F$28,Tabla11[[#This Row],[Cuenta]],1))</f>
        <v>1</v>
      </c>
      <c r="J776" t="b">
        <f>+ISNUMBER(SEARCH('F-COMPRA'!$F$29,Tabla11[[#This Row],[Cuenta]],1))</f>
        <v>1</v>
      </c>
      <c r="K776" t="b">
        <f>+ISNUMBER(SEARCH('F-COMPRA'!$F$30,Tabla11[[#This Row],[Cuenta]],1))</f>
        <v>1</v>
      </c>
      <c r="L776" t="b">
        <f>+ISNUMBER(SEARCH('F-COMPRA'!$F$31,Tabla11[[#This Row],[Cuenta]],1))</f>
        <v>1</v>
      </c>
      <c r="M776" t="b">
        <f>+ISNUMBER(SEARCH('F-COMPRA'!$G$25,Tabla11[[#This Row],[Cuenta]],1))</f>
        <v>0</v>
      </c>
      <c r="N776" t="b">
        <f>+ISNUMBER(SEARCH(#REF!,Tabla11[[#This Row],[Cuenta]],1))</f>
        <v>0</v>
      </c>
      <c r="O776" t="b">
        <f>+ISNUMBER(SEARCH(#REF!,Tabla11[[#This Row],[Cuenta]],1))</f>
        <v>0</v>
      </c>
      <c r="P776" t="b">
        <f>+ISNUMBER(SEARCH('F-COMPRA'!$F$32,Tabla11[[#This Row],[Cuenta]],1))</f>
        <v>1</v>
      </c>
      <c r="Q776" t="b">
        <f>+ISNUMBER(SEARCH('F-COMPRA'!$F$33,Tabla11[[#This Row],[Cuenta]],1))</f>
        <v>1</v>
      </c>
      <c r="R776" t="b">
        <f>+ISNUMBER(SEARCH('F-COMPRA'!$F$34,Tabla11[[#This Row],[Cuenta]],1))</f>
        <v>1</v>
      </c>
      <c r="S776" t="b">
        <f>+ISNUMBER(SEARCH('F-COMPRA'!$F$35,Tabla11[[#This Row],[Cuenta]],1))</f>
        <v>1</v>
      </c>
      <c r="T776" t="b">
        <f>+ISNUMBER(SEARCH('F-COMPRA'!$F$36,Tabla11[[#This Row],[Cuenta]],1))</f>
        <v>1</v>
      </c>
      <c r="U776" t="b">
        <f>+ISNUMBER(SEARCH('F-COMPRA'!$F$37,Tabla11[[#This Row],[Cuenta]],1))</f>
        <v>1</v>
      </c>
      <c r="V776" t="b">
        <f>+ISNUMBER(SEARCH(#REF!,Tabla11[[#This Row],[Cuenta]],1))</f>
        <v>0</v>
      </c>
      <c r="W776" t="b">
        <f>+ISNUMBER(SEARCH('F-COMPRA'!#REF!,Tabla11[[#This Row],[Cuenta]],1))</f>
        <v>0</v>
      </c>
      <c r="X776" t="b">
        <f>+ISNUMBER(SEARCH('F-COMPRA'!#REF!,Tabla11[[#This Row],[Cuenta]],1))</f>
        <v>0</v>
      </c>
      <c r="Y776" t="b">
        <f>+ISNUMBER(SEARCH('F-COMPRA'!#REF!,Tabla11[[#This Row],[Cuenta]],1))</f>
        <v>0</v>
      </c>
      <c r="Z776" t="b">
        <f>+ISNUMBER(SEARCH('F-COMPRA'!#REF!,Tabla11[[#This Row],[Cuenta]],1))</f>
        <v>0</v>
      </c>
      <c r="AA776" t="b">
        <f>+ISNUMBER(SEARCH('F-COMPRA'!#REF!,Tabla11[[#This Row],[Cuenta]],1))</f>
        <v>0</v>
      </c>
      <c r="AB776" t="b">
        <f>+ISNUMBER(SEARCH('F-COMPRA'!#REF!,Tabla11[[#This Row],[Cuenta]],1))</f>
        <v>0</v>
      </c>
      <c r="AC776" t="b">
        <f>+ISNUMBER(SEARCH('F-COMPRA'!#REF!,Tabla11[[#This Row],[Cuenta]],1))</f>
        <v>0</v>
      </c>
      <c r="AD776" t="b">
        <f>+ISNUMBER(SEARCH('F-COMPRA'!#REF!,Tabla11[[#This Row],[Cuenta]],1))</f>
        <v>0</v>
      </c>
      <c r="AE776" t="b">
        <f>+ISNUMBER(SEARCH('F-COMPRA'!#REF!,Tabla11[[#This Row],[Cuenta]],1))</f>
        <v>0</v>
      </c>
      <c r="AF776" t="b">
        <f>+ISNUMBER(SEARCH('F-VTA'!$G$23,Tabla11[[#This Row],[Cuenta]],1))</f>
        <v>0</v>
      </c>
      <c r="AG776" t="b">
        <f>+ISNUMBER(SEARCH('F-VTA'!$G$24,Tabla11[[#This Row],[Cuenta]],1))</f>
        <v>0</v>
      </c>
      <c r="AH776" t="b">
        <f>+ISNUMBER(SEARCH('F-VTA'!$G$25,Tabla11[[#This Row],[Cuenta]],1))</f>
        <v>0</v>
      </c>
      <c r="AI776" t="b">
        <f>+ISNUMBER(SEARCH('F-VTA'!$F$28,Tabla11[[#This Row],[Cuenta]],1))</f>
        <v>1</v>
      </c>
      <c r="AJ776" t="b">
        <f>+ISNUMBER(SEARCH('F-VTA'!$F$29,Tabla11[[#This Row],[Cuenta]],1))</f>
        <v>1</v>
      </c>
      <c r="AK776" t="b">
        <f>+ISNUMBER(SEARCH('F-VTA'!$F$30,Tabla11[[#This Row],[Cuenta]],1))</f>
        <v>1</v>
      </c>
      <c r="AL776" t="b">
        <f>+ISNUMBER(SEARCH('F-VTA'!$F$31,Tabla11[[#This Row],[Cuenta]],1))</f>
        <v>1</v>
      </c>
      <c r="AM776" t="b">
        <f>+ISNUMBER(SEARCH('F-VTA'!$F$32,Tabla11[[#This Row],[Cuenta]],1))</f>
        <v>1</v>
      </c>
      <c r="AN776" t="b">
        <f>+ISNUMBER(SEARCH('F-VTA'!$F$33,Tabla11[[#This Row],[Cuenta]],1))</f>
        <v>1</v>
      </c>
      <c r="AO776" t="b">
        <f>+ISNUMBER(SEARCH('F-VTA'!$F$34,Tabla11[[#This Row],[Cuenta]],1))</f>
        <v>1</v>
      </c>
      <c r="AP776" t="b">
        <f>+ISNUMBER(SEARCH('F-VTA'!$F$35,Tabla11[[#This Row],[Cuenta]],1))</f>
        <v>1</v>
      </c>
      <c r="AQ776" t="b">
        <f>+ISNUMBER(SEARCH('F-VTA'!$F$36,Tabla11[[#This Row],[Cuenta]],1))</f>
        <v>1</v>
      </c>
      <c r="AR776" t="b">
        <f>+ISNUMBER(SEARCH(#REF!,Tabla11[[#This Row],[Cuenta]],1))</f>
        <v>0</v>
      </c>
      <c r="AS776" t="b">
        <f>+ISNUMBER(SEARCH(#REF!,Tabla11[[#This Row],[Cuenta]],1))</f>
        <v>0</v>
      </c>
      <c r="AT776" t="b">
        <f>+ISNUMBER(SEARCH(#REF!,Tabla11[[#This Row],[Cuenta]],1))</f>
        <v>0</v>
      </c>
      <c r="AU776" t="b">
        <f>+ISNUMBER(SEARCH('Conc. Ban.1'!$I$9,Tabla11[[#This Row],[Cuenta]],1))</f>
        <v>0</v>
      </c>
      <c r="AV776" t="b">
        <f>+ISNUMBER(SEARCH(CompConta!$F$21,Tabla11[[#This Row],[Cuenta]],1))</f>
        <v>1</v>
      </c>
      <c r="AW776" t="b">
        <f>+ISNUMBER(SEARCH(CompConta!$F$22,Tabla11[[#This Row],[Cuenta]],1))</f>
        <v>1</v>
      </c>
      <c r="AX776" t="b">
        <f>+ISNUMBER(SEARCH(CompConta!$F$23,Tabla11[[#This Row],[Cuenta]],1))</f>
        <v>1</v>
      </c>
      <c r="AY776" t="b">
        <f>+ISNUMBER(SEARCH(CompConta!$F$24,Tabla11[[#This Row],[Cuenta]],1))</f>
        <v>1</v>
      </c>
      <c r="AZ776" t="b">
        <f>+ISNUMBER(SEARCH(CompConta!$F$25,Tabla11[[#This Row],[Cuenta]],1))</f>
        <v>1</v>
      </c>
      <c r="BA776" t="b">
        <f>+ISNUMBER(SEARCH(CompConta!$F$26,Tabla11[[#This Row],[Cuenta]],1))</f>
        <v>1</v>
      </c>
      <c r="BB776" t="b">
        <f>+ISNUMBER(SEARCH(CompConta!$F$27,Tabla11[[#This Row],[Cuenta]],1))</f>
        <v>1</v>
      </c>
      <c r="BC776" t="b">
        <f>+ISNUMBER(SEARCH(CompConta!$F$28,Tabla11[[#This Row],[Cuenta]],1))</f>
        <v>1</v>
      </c>
      <c r="BD776" t="b">
        <f>+ISNUMBER(SEARCH(CompConta!$F$29,Tabla11[[#This Row],[Cuenta]],1))</f>
        <v>1</v>
      </c>
      <c r="BE776" t="b">
        <f>+ISNUMBER(SEARCH(CompConta!$F$30,Tabla11[[#This Row],[Cuenta]],1))</f>
        <v>1</v>
      </c>
      <c r="BF776" t="b">
        <f>+ISNUMBER(SEARCH('PAGO Compras'!$E$11,Tabla11[[#This Row],[Cuenta]],1))</f>
        <v>1</v>
      </c>
      <c r="BG776" t="b">
        <f>+ISNUMBER(SEARCH(#REF!,Tabla11[[#This Row],[Cuenta]],1))</f>
        <v>0</v>
      </c>
      <c r="BH776" t="b">
        <f>+ISNUMBER(SEARCH(#REF!,Tabla11[[#This Row],[Cuenta]],1))</f>
        <v>0</v>
      </c>
      <c r="BI776" t="b">
        <f>+ISNUMBER(SEARCH(#REF!,Tabla11[[#This Row],[Cuenta]],1))</f>
        <v>0</v>
      </c>
      <c r="BJ776" t="b">
        <f>+ISNUMBER(SEARCH(#REF!,Tabla11[[#This Row],[Cuenta]],1))</f>
        <v>0</v>
      </c>
      <c r="BS776" t="str">
        <v>510545 Auxilios</v>
      </c>
      <c r="BT776" t="str">
        <v>510545 Auxilios</v>
      </c>
      <c r="BU776" t="str">
        <v>510545 Auxilios</v>
      </c>
      <c r="BV776" t="str">
        <v>510545 Auxilios</v>
      </c>
      <c r="BZ776" t="str">
        <v>510545 Auxilios</v>
      </c>
      <c r="CA776" t="str">
        <v>510545 Auxilios</v>
      </c>
      <c r="CB776" t="str">
        <v>510545 Auxilios</v>
      </c>
      <c r="CC776" t="str">
        <v>510545 Auxilios</v>
      </c>
      <c r="CD776" t="str">
        <v>510545 Auxilios</v>
      </c>
      <c r="CE776" t="str">
        <v>510545 Auxilios</v>
      </c>
      <c r="CS776" s="141" t="str">
        <v>510545 Auxilios</v>
      </c>
      <c r="CT776" s="141" t="str">
        <v>510545 Auxilios</v>
      </c>
      <c r="CU776" s="141" t="str">
        <v>510545 Auxilios</v>
      </c>
      <c r="CV776" s="141" t="str">
        <v>510545 Auxilios</v>
      </c>
      <c r="CW776" s="141" t="str">
        <v>510545 Auxilios</v>
      </c>
      <c r="CX776" s="141" t="str">
        <v>510545 Auxilios</v>
      </c>
      <c r="CY776" s="141" t="str">
        <v>510545 Auxilios</v>
      </c>
      <c r="CZ776" s="141" t="str">
        <v>510545 Auxilios</v>
      </c>
      <c r="DA776" s="141" t="str">
        <v>510545 Auxilios</v>
      </c>
      <c r="DF776" t="str">
        <v>510545 Auxilios</v>
      </c>
      <c r="DG776" t="str">
        <v>510545 Auxilios</v>
      </c>
      <c r="DH776" t="str">
        <v>510545 Auxilios</v>
      </c>
      <c r="DI776" t="str">
        <v>510545 Auxilios</v>
      </c>
      <c r="DJ776" t="str">
        <v>510545 Auxilios</v>
      </c>
      <c r="DK776" t="str">
        <v>510545 Auxilios</v>
      </c>
      <c r="DL776" t="str">
        <v>510545 Auxilios</v>
      </c>
      <c r="DM776" t="str">
        <v>510545 Auxilios</v>
      </c>
      <c r="DN776" t="str">
        <v>510545 Auxilios</v>
      </c>
      <c r="DO776" t="str">
        <v>510545 Auxilios</v>
      </c>
      <c r="DP776" t="str">
        <v>510545 Auxilios</v>
      </c>
    </row>
    <row r="777" spans="4:120" ht="12.75">
      <c r="D777" s="7">
        <v>510548</v>
      </c>
      <c r="E777" s="6" t="s">
        <v>387</v>
      </c>
      <c r="F777" s="5">
        <v>4</v>
      </c>
      <c r="G777" s="34" t="s">
        <v>830</v>
      </c>
      <c r="H777" s="8" t="s">
        <v>32</v>
      </c>
      <c r="I777" t="b">
        <f>+ISNUMBER(SEARCH('F-COMPRA'!$F$28,Tabla11[[#This Row],[Cuenta]],1))</f>
        <v>1</v>
      </c>
      <c r="J777" t="b">
        <f>+ISNUMBER(SEARCH('F-COMPRA'!$F$29,Tabla11[[#This Row],[Cuenta]],1))</f>
        <v>1</v>
      </c>
      <c r="K777" t="b">
        <f>+ISNUMBER(SEARCH('F-COMPRA'!$F$30,Tabla11[[#This Row],[Cuenta]],1))</f>
        <v>1</v>
      </c>
      <c r="L777" t="b">
        <f>+ISNUMBER(SEARCH('F-COMPRA'!$F$31,Tabla11[[#This Row],[Cuenta]],1))</f>
        <v>1</v>
      </c>
      <c r="M777" t="b">
        <f>+ISNUMBER(SEARCH('F-COMPRA'!$G$25,Tabla11[[#This Row],[Cuenta]],1))</f>
        <v>0</v>
      </c>
      <c r="N777" t="b">
        <f>+ISNUMBER(SEARCH(#REF!,Tabla11[[#This Row],[Cuenta]],1))</f>
        <v>0</v>
      </c>
      <c r="O777" t="b">
        <f>+ISNUMBER(SEARCH(#REF!,Tabla11[[#This Row],[Cuenta]],1))</f>
        <v>0</v>
      </c>
      <c r="P777" t="b">
        <f>+ISNUMBER(SEARCH('F-COMPRA'!$F$32,Tabla11[[#This Row],[Cuenta]],1))</f>
        <v>1</v>
      </c>
      <c r="Q777" t="b">
        <f>+ISNUMBER(SEARCH('F-COMPRA'!$F$33,Tabla11[[#This Row],[Cuenta]],1))</f>
        <v>1</v>
      </c>
      <c r="R777" t="b">
        <f>+ISNUMBER(SEARCH('F-COMPRA'!$F$34,Tabla11[[#This Row],[Cuenta]],1))</f>
        <v>1</v>
      </c>
      <c r="S777" t="b">
        <f>+ISNUMBER(SEARCH('F-COMPRA'!$F$35,Tabla11[[#This Row],[Cuenta]],1))</f>
        <v>1</v>
      </c>
      <c r="T777" t="b">
        <f>+ISNUMBER(SEARCH('F-COMPRA'!$F$36,Tabla11[[#This Row],[Cuenta]],1))</f>
        <v>1</v>
      </c>
      <c r="U777" t="b">
        <f>+ISNUMBER(SEARCH('F-COMPRA'!$F$37,Tabla11[[#This Row],[Cuenta]],1))</f>
        <v>1</v>
      </c>
      <c r="V777" t="b">
        <f>+ISNUMBER(SEARCH(#REF!,Tabla11[[#This Row],[Cuenta]],1))</f>
        <v>0</v>
      </c>
      <c r="W777" t="b">
        <f>+ISNUMBER(SEARCH('F-COMPRA'!#REF!,Tabla11[[#This Row],[Cuenta]],1))</f>
        <v>0</v>
      </c>
      <c r="X777" t="b">
        <f>+ISNUMBER(SEARCH('F-COMPRA'!#REF!,Tabla11[[#This Row],[Cuenta]],1))</f>
        <v>0</v>
      </c>
      <c r="Y777" t="b">
        <f>+ISNUMBER(SEARCH('F-COMPRA'!#REF!,Tabla11[[#This Row],[Cuenta]],1))</f>
        <v>0</v>
      </c>
      <c r="Z777" t="b">
        <f>+ISNUMBER(SEARCH('F-COMPRA'!#REF!,Tabla11[[#This Row],[Cuenta]],1))</f>
        <v>0</v>
      </c>
      <c r="AA777" t="b">
        <f>+ISNUMBER(SEARCH('F-COMPRA'!#REF!,Tabla11[[#This Row],[Cuenta]],1))</f>
        <v>0</v>
      </c>
      <c r="AB777" t="b">
        <f>+ISNUMBER(SEARCH('F-COMPRA'!#REF!,Tabla11[[#This Row],[Cuenta]],1))</f>
        <v>0</v>
      </c>
      <c r="AC777" t="b">
        <f>+ISNUMBER(SEARCH('F-COMPRA'!#REF!,Tabla11[[#This Row],[Cuenta]],1))</f>
        <v>0</v>
      </c>
      <c r="AD777" t="b">
        <f>+ISNUMBER(SEARCH('F-COMPRA'!#REF!,Tabla11[[#This Row],[Cuenta]],1))</f>
        <v>0</v>
      </c>
      <c r="AE777" t="b">
        <f>+ISNUMBER(SEARCH('F-COMPRA'!#REF!,Tabla11[[#This Row],[Cuenta]],1))</f>
        <v>0</v>
      </c>
      <c r="AF777" t="b">
        <f>+ISNUMBER(SEARCH('F-VTA'!$G$23,Tabla11[[#This Row],[Cuenta]],1))</f>
        <v>0</v>
      </c>
      <c r="AG777" t="b">
        <f>+ISNUMBER(SEARCH('F-VTA'!$G$24,Tabla11[[#This Row],[Cuenta]],1))</f>
        <v>0</v>
      </c>
      <c r="AH777" t="b">
        <f>+ISNUMBER(SEARCH('F-VTA'!$G$25,Tabla11[[#This Row],[Cuenta]],1))</f>
        <v>0</v>
      </c>
      <c r="AI777" t="b">
        <f>+ISNUMBER(SEARCH('F-VTA'!$F$28,Tabla11[[#This Row],[Cuenta]],1))</f>
        <v>1</v>
      </c>
      <c r="AJ777" t="b">
        <f>+ISNUMBER(SEARCH('F-VTA'!$F$29,Tabla11[[#This Row],[Cuenta]],1))</f>
        <v>1</v>
      </c>
      <c r="AK777" t="b">
        <f>+ISNUMBER(SEARCH('F-VTA'!$F$30,Tabla11[[#This Row],[Cuenta]],1))</f>
        <v>1</v>
      </c>
      <c r="AL777" t="b">
        <f>+ISNUMBER(SEARCH('F-VTA'!$F$31,Tabla11[[#This Row],[Cuenta]],1))</f>
        <v>1</v>
      </c>
      <c r="AM777" t="b">
        <f>+ISNUMBER(SEARCH('F-VTA'!$F$32,Tabla11[[#This Row],[Cuenta]],1))</f>
        <v>1</v>
      </c>
      <c r="AN777" t="b">
        <f>+ISNUMBER(SEARCH('F-VTA'!$F$33,Tabla11[[#This Row],[Cuenta]],1))</f>
        <v>1</v>
      </c>
      <c r="AO777" t="b">
        <f>+ISNUMBER(SEARCH('F-VTA'!$F$34,Tabla11[[#This Row],[Cuenta]],1))</f>
        <v>1</v>
      </c>
      <c r="AP777" t="b">
        <f>+ISNUMBER(SEARCH('F-VTA'!$F$35,Tabla11[[#This Row],[Cuenta]],1))</f>
        <v>1</v>
      </c>
      <c r="AQ777" t="b">
        <f>+ISNUMBER(SEARCH('F-VTA'!$F$36,Tabla11[[#This Row],[Cuenta]],1))</f>
        <v>1</v>
      </c>
      <c r="AR777" t="b">
        <f>+ISNUMBER(SEARCH(#REF!,Tabla11[[#This Row],[Cuenta]],1))</f>
        <v>0</v>
      </c>
      <c r="AS777" t="b">
        <f>+ISNUMBER(SEARCH(#REF!,Tabla11[[#This Row],[Cuenta]],1))</f>
        <v>0</v>
      </c>
      <c r="AT777" t="b">
        <f>+ISNUMBER(SEARCH(#REF!,Tabla11[[#This Row],[Cuenta]],1))</f>
        <v>0</v>
      </c>
      <c r="AU777" t="b">
        <f>+ISNUMBER(SEARCH('Conc. Ban.1'!$I$9,Tabla11[[#This Row],[Cuenta]],1))</f>
        <v>0</v>
      </c>
      <c r="AV777" t="b">
        <f>+ISNUMBER(SEARCH(CompConta!$F$21,Tabla11[[#This Row],[Cuenta]],1))</f>
        <v>1</v>
      </c>
      <c r="AW777" t="b">
        <f>+ISNUMBER(SEARCH(CompConta!$F$22,Tabla11[[#This Row],[Cuenta]],1))</f>
        <v>1</v>
      </c>
      <c r="AX777" t="b">
        <f>+ISNUMBER(SEARCH(CompConta!$F$23,Tabla11[[#This Row],[Cuenta]],1))</f>
        <v>1</v>
      </c>
      <c r="AY777" t="b">
        <f>+ISNUMBER(SEARCH(CompConta!$F$24,Tabla11[[#This Row],[Cuenta]],1))</f>
        <v>1</v>
      </c>
      <c r="AZ777" t="b">
        <f>+ISNUMBER(SEARCH(CompConta!$F$25,Tabla11[[#This Row],[Cuenta]],1))</f>
        <v>1</v>
      </c>
      <c r="BA777" t="b">
        <f>+ISNUMBER(SEARCH(CompConta!$F$26,Tabla11[[#This Row],[Cuenta]],1))</f>
        <v>1</v>
      </c>
      <c r="BB777" t="b">
        <f>+ISNUMBER(SEARCH(CompConta!$F$27,Tabla11[[#This Row],[Cuenta]],1))</f>
        <v>1</v>
      </c>
      <c r="BC777" t="b">
        <f>+ISNUMBER(SEARCH(CompConta!$F$28,Tabla11[[#This Row],[Cuenta]],1))</f>
        <v>1</v>
      </c>
      <c r="BD777" t="b">
        <f>+ISNUMBER(SEARCH(CompConta!$F$29,Tabla11[[#This Row],[Cuenta]],1))</f>
        <v>1</v>
      </c>
      <c r="BE777" t="b">
        <f>+ISNUMBER(SEARCH(CompConta!$F$30,Tabla11[[#This Row],[Cuenta]],1))</f>
        <v>1</v>
      </c>
      <c r="BF777" t="b">
        <f>+ISNUMBER(SEARCH('PAGO Compras'!$E$11,Tabla11[[#This Row],[Cuenta]],1))</f>
        <v>1</v>
      </c>
      <c r="BG777" t="b">
        <f>+ISNUMBER(SEARCH(#REF!,Tabla11[[#This Row],[Cuenta]],1))</f>
        <v>0</v>
      </c>
      <c r="BH777" t="b">
        <f>+ISNUMBER(SEARCH(#REF!,Tabla11[[#This Row],[Cuenta]],1))</f>
        <v>0</v>
      </c>
      <c r="BI777" t="b">
        <f>+ISNUMBER(SEARCH(#REF!,Tabla11[[#This Row],[Cuenta]],1))</f>
        <v>0</v>
      </c>
      <c r="BJ777" t="b">
        <f>+ISNUMBER(SEARCH(#REF!,Tabla11[[#This Row],[Cuenta]],1))</f>
        <v>0</v>
      </c>
      <c r="BS777" t="str">
        <v>510548 Bonificaciones</v>
      </c>
      <c r="BT777" t="str">
        <v>510548 Bonificaciones</v>
      </c>
      <c r="BU777" t="str">
        <v>510548 Bonificaciones</v>
      </c>
      <c r="BV777" t="str">
        <v>510548 Bonificaciones</v>
      </c>
      <c r="BZ777" t="str">
        <v>510548 Bonificaciones</v>
      </c>
      <c r="CA777" t="str">
        <v>510548 Bonificaciones</v>
      </c>
      <c r="CB777" t="str">
        <v>510548 Bonificaciones</v>
      </c>
      <c r="CC777" t="str">
        <v>510548 Bonificaciones</v>
      </c>
      <c r="CD777" t="str">
        <v>510548 Bonificaciones</v>
      </c>
      <c r="CE777" t="str">
        <v>510548 Bonificaciones</v>
      </c>
      <c r="CS777" s="141" t="str">
        <v>510548 Bonificaciones</v>
      </c>
      <c r="CT777" s="141" t="str">
        <v>510548 Bonificaciones</v>
      </c>
      <c r="CU777" s="141" t="str">
        <v>510548 Bonificaciones</v>
      </c>
      <c r="CV777" s="141" t="str">
        <v>510548 Bonificaciones</v>
      </c>
      <c r="CW777" s="141" t="str">
        <v>510548 Bonificaciones</v>
      </c>
      <c r="CX777" s="141" t="str">
        <v>510548 Bonificaciones</v>
      </c>
      <c r="CY777" s="141" t="str">
        <v>510548 Bonificaciones</v>
      </c>
      <c r="CZ777" s="141" t="str">
        <v>510548 Bonificaciones</v>
      </c>
      <c r="DA777" s="141" t="str">
        <v>510548 Bonificaciones</v>
      </c>
      <c r="DF777" t="str">
        <v>510548 Bonificaciones</v>
      </c>
      <c r="DG777" t="str">
        <v>510548 Bonificaciones</v>
      </c>
      <c r="DH777" t="str">
        <v>510548 Bonificaciones</v>
      </c>
      <c r="DI777" t="str">
        <v>510548 Bonificaciones</v>
      </c>
      <c r="DJ777" t="str">
        <v>510548 Bonificaciones</v>
      </c>
      <c r="DK777" t="str">
        <v>510548 Bonificaciones</v>
      </c>
      <c r="DL777" t="str">
        <v>510548 Bonificaciones</v>
      </c>
      <c r="DM777" t="str">
        <v>510548 Bonificaciones</v>
      </c>
      <c r="DN777" t="str">
        <v>510548 Bonificaciones</v>
      </c>
      <c r="DO777" t="str">
        <v>510548 Bonificaciones</v>
      </c>
      <c r="DP777" t="str">
        <v>510548 Bonificaciones</v>
      </c>
    </row>
    <row r="778" spans="4:120" ht="12.75">
      <c r="D778" s="7">
        <v>510551</v>
      </c>
      <c r="E778" s="6" t="s">
        <v>276</v>
      </c>
      <c r="F778" s="5">
        <v>4</v>
      </c>
      <c r="G778" s="34" t="s">
        <v>830</v>
      </c>
      <c r="H778" s="8" t="s">
        <v>32</v>
      </c>
      <c r="I778" t="b">
        <f>+ISNUMBER(SEARCH('F-COMPRA'!$F$28,Tabla11[[#This Row],[Cuenta]],1))</f>
        <v>1</v>
      </c>
      <c r="J778" t="b">
        <f>+ISNUMBER(SEARCH('F-COMPRA'!$F$29,Tabla11[[#This Row],[Cuenta]],1))</f>
        <v>1</v>
      </c>
      <c r="K778" t="b">
        <f>+ISNUMBER(SEARCH('F-COMPRA'!$F$30,Tabla11[[#This Row],[Cuenta]],1))</f>
        <v>1</v>
      </c>
      <c r="L778" t="b">
        <f>+ISNUMBER(SEARCH('F-COMPRA'!$F$31,Tabla11[[#This Row],[Cuenta]],1))</f>
        <v>1</v>
      </c>
      <c r="M778" t="b">
        <f>+ISNUMBER(SEARCH('F-COMPRA'!$G$25,Tabla11[[#This Row],[Cuenta]],1))</f>
        <v>0</v>
      </c>
      <c r="N778" t="b">
        <f>+ISNUMBER(SEARCH(#REF!,Tabla11[[#This Row],[Cuenta]],1))</f>
        <v>0</v>
      </c>
      <c r="O778" t="b">
        <f>+ISNUMBER(SEARCH(#REF!,Tabla11[[#This Row],[Cuenta]],1))</f>
        <v>0</v>
      </c>
      <c r="P778" t="b">
        <f>+ISNUMBER(SEARCH('F-COMPRA'!$F$32,Tabla11[[#This Row],[Cuenta]],1))</f>
        <v>1</v>
      </c>
      <c r="Q778" t="b">
        <f>+ISNUMBER(SEARCH('F-COMPRA'!$F$33,Tabla11[[#This Row],[Cuenta]],1))</f>
        <v>1</v>
      </c>
      <c r="R778" t="b">
        <f>+ISNUMBER(SEARCH('F-COMPRA'!$F$34,Tabla11[[#This Row],[Cuenta]],1))</f>
        <v>1</v>
      </c>
      <c r="S778" t="b">
        <f>+ISNUMBER(SEARCH('F-COMPRA'!$F$35,Tabla11[[#This Row],[Cuenta]],1))</f>
        <v>1</v>
      </c>
      <c r="T778" t="b">
        <f>+ISNUMBER(SEARCH('F-COMPRA'!$F$36,Tabla11[[#This Row],[Cuenta]],1))</f>
        <v>1</v>
      </c>
      <c r="U778" t="b">
        <f>+ISNUMBER(SEARCH('F-COMPRA'!$F$37,Tabla11[[#This Row],[Cuenta]],1))</f>
        <v>1</v>
      </c>
      <c r="V778" t="b">
        <f>+ISNUMBER(SEARCH(#REF!,Tabla11[[#This Row],[Cuenta]],1))</f>
        <v>0</v>
      </c>
      <c r="W778" t="b">
        <f>+ISNUMBER(SEARCH('F-COMPRA'!#REF!,Tabla11[[#This Row],[Cuenta]],1))</f>
        <v>0</v>
      </c>
      <c r="X778" t="b">
        <f>+ISNUMBER(SEARCH('F-COMPRA'!#REF!,Tabla11[[#This Row],[Cuenta]],1))</f>
        <v>0</v>
      </c>
      <c r="Y778" t="b">
        <f>+ISNUMBER(SEARCH('F-COMPRA'!#REF!,Tabla11[[#This Row],[Cuenta]],1))</f>
        <v>0</v>
      </c>
      <c r="Z778" t="b">
        <f>+ISNUMBER(SEARCH('F-COMPRA'!#REF!,Tabla11[[#This Row],[Cuenta]],1))</f>
        <v>0</v>
      </c>
      <c r="AA778" t="b">
        <f>+ISNUMBER(SEARCH('F-COMPRA'!#REF!,Tabla11[[#This Row],[Cuenta]],1))</f>
        <v>0</v>
      </c>
      <c r="AB778" t="b">
        <f>+ISNUMBER(SEARCH('F-COMPRA'!#REF!,Tabla11[[#This Row],[Cuenta]],1))</f>
        <v>0</v>
      </c>
      <c r="AC778" t="b">
        <f>+ISNUMBER(SEARCH('F-COMPRA'!#REF!,Tabla11[[#This Row],[Cuenta]],1))</f>
        <v>0</v>
      </c>
      <c r="AD778" t="b">
        <f>+ISNUMBER(SEARCH('F-COMPRA'!#REF!,Tabla11[[#This Row],[Cuenta]],1))</f>
        <v>0</v>
      </c>
      <c r="AE778" t="b">
        <f>+ISNUMBER(SEARCH('F-COMPRA'!#REF!,Tabla11[[#This Row],[Cuenta]],1))</f>
        <v>0</v>
      </c>
      <c r="AF778" t="b">
        <f>+ISNUMBER(SEARCH('F-VTA'!$G$23,Tabla11[[#This Row],[Cuenta]],1))</f>
        <v>0</v>
      </c>
      <c r="AG778" t="b">
        <f>+ISNUMBER(SEARCH('F-VTA'!$G$24,Tabla11[[#This Row],[Cuenta]],1))</f>
        <v>0</v>
      </c>
      <c r="AH778" t="b">
        <f>+ISNUMBER(SEARCH('F-VTA'!$G$25,Tabla11[[#This Row],[Cuenta]],1))</f>
        <v>0</v>
      </c>
      <c r="AI778" t="b">
        <f>+ISNUMBER(SEARCH('F-VTA'!$F$28,Tabla11[[#This Row],[Cuenta]],1))</f>
        <v>1</v>
      </c>
      <c r="AJ778" t="b">
        <f>+ISNUMBER(SEARCH('F-VTA'!$F$29,Tabla11[[#This Row],[Cuenta]],1))</f>
        <v>1</v>
      </c>
      <c r="AK778" t="b">
        <f>+ISNUMBER(SEARCH('F-VTA'!$F$30,Tabla11[[#This Row],[Cuenta]],1))</f>
        <v>1</v>
      </c>
      <c r="AL778" t="b">
        <f>+ISNUMBER(SEARCH('F-VTA'!$F$31,Tabla11[[#This Row],[Cuenta]],1))</f>
        <v>1</v>
      </c>
      <c r="AM778" t="b">
        <f>+ISNUMBER(SEARCH('F-VTA'!$F$32,Tabla11[[#This Row],[Cuenta]],1))</f>
        <v>1</v>
      </c>
      <c r="AN778" t="b">
        <f>+ISNUMBER(SEARCH('F-VTA'!$F$33,Tabla11[[#This Row],[Cuenta]],1))</f>
        <v>1</v>
      </c>
      <c r="AO778" t="b">
        <f>+ISNUMBER(SEARCH('F-VTA'!$F$34,Tabla11[[#This Row],[Cuenta]],1))</f>
        <v>1</v>
      </c>
      <c r="AP778" t="b">
        <f>+ISNUMBER(SEARCH('F-VTA'!$F$35,Tabla11[[#This Row],[Cuenta]],1))</f>
        <v>1</v>
      </c>
      <c r="AQ778" t="b">
        <f>+ISNUMBER(SEARCH('F-VTA'!$F$36,Tabla11[[#This Row],[Cuenta]],1))</f>
        <v>1</v>
      </c>
      <c r="AR778" t="b">
        <f>+ISNUMBER(SEARCH(#REF!,Tabla11[[#This Row],[Cuenta]],1))</f>
        <v>0</v>
      </c>
      <c r="AS778" t="b">
        <f>+ISNUMBER(SEARCH(#REF!,Tabla11[[#This Row],[Cuenta]],1))</f>
        <v>0</v>
      </c>
      <c r="AT778" t="b">
        <f>+ISNUMBER(SEARCH(#REF!,Tabla11[[#This Row],[Cuenta]],1))</f>
        <v>0</v>
      </c>
      <c r="AU778" t="b">
        <f>+ISNUMBER(SEARCH('Conc. Ban.1'!$I$9,Tabla11[[#This Row],[Cuenta]],1))</f>
        <v>0</v>
      </c>
      <c r="AV778" t="b">
        <f>+ISNUMBER(SEARCH(CompConta!$F$21,Tabla11[[#This Row],[Cuenta]],1))</f>
        <v>1</v>
      </c>
      <c r="AW778" t="b">
        <f>+ISNUMBER(SEARCH(CompConta!$F$22,Tabla11[[#This Row],[Cuenta]],1))</f>
        <v>1</v>
      </c>
      <c r="AX778" t="b">
        <f>+ISNUMBER(SEARCH(CompConta!$F$23,Tabla11[[#This Row],[Cuenta]],1))</f>
        <v>1</v>
      </c>
      <c r="AY778" t="b">
        <f>+ISNUMBER(SEARCH(CompConta!$F$24,Tabla11[[#This Row],[Cuenta]],1))</f>
        <v>1</v>
      </c>
      <c r="AZ778" t="b">
        <f>+ISNUMBER(SEARCH(CompConta!$F$25,Tabla11[[#This Row],[Cuenta]],1))</f>
        <v>1</v>
      </c>
      <c r="BA778" t="b">
        <f>+ISNUMBER(SEARCH(CompConta!$F$26,Tabla11[[#This Row],[Cuenta]],1))</f>
        <v>1</v>
      </c>
      <c r="BB778" t="b">
        <f>+ISNUMBER(SEARCH(CompConta!$F$27,Tabla11[[#This Row],[Cuenta]],1))</f>
        <v>1</v>
      </c>
      <c r="BC778" t="b">
        <f>+ISNUMBER(SEARCH(CompConta!$F$28,Tabla11[[#This Row],[Cuenta]],1))</f>
        <v>1</v>
      </c>
      <c r="BD778" t="b">
        <f>+ISNUMBER(SEARCH(CompConta!$F$29,Tabla11[[#This Row],[Cuenta]],1))</f>
        <v>1</v>
      </c>
      <c r="BE778" t="b">
        <f>+ISNUMBER(SEARCH(CompConta!$F$30,Tabla11[[#This Row],[Cuenta]],1))</f>
        <v>1</v>
      </c>
      <c r="BF778" t="b">
        <f>+ISNUMBER(SEARCH('PAGO Compras'!$E$11,Tabla11[[#This Row],[Cuenta]],1))</f>
        <v>1</v>
      </c>
      <c r="BG778" t="b">
        <f>+ISNUMBER(SEARCH(#REF!,Tabla11[[#This Row],[Cuenta]],1))</f>
        <v>0</v>
      </c>
      <c r="BH778" t="b">
        <f>+ISNUMBER(SEARCH(#REF!,Tabla11[[#This Row],[Cuenta]],1))</f>
        <v>0</v>
      </c>
      <c r="BI778" t="b">
        <f>+ISNUMBER(SEARCH(#REF!,Tabla11[[#This Row],[Cuenta]],1))</f>
        <v>0</v>
      </c>
      <c r="BJ778" t="b">
        <f>+ISNUMBER(SEARCH(#REF!,Tabla11[[#This Row],[Cuenta]],1))</f>
        <v>0</v>
      </c>
      <c r="BS778" t="str">
        <v>510551 Dotación y suministro a trabajadores</v>
      </c>
      <c r="BT778" t="str">
        <v>510551 Dotación y suministro a trabajadores</v>
      </c>
      <c r="BU778" t="str">
        <v>510551 Dotación y suministro a trabajadores</v>
      </c>
      <c r="BV778" t="str">
        <v>510551 Dotación y suministro a trabajadores</v>
      </c>
      <c r="BZ778" t="str">
        <v>510551 Dotación y suministro a trabajadores</v>
      </c>
      <c r="CA778" t="str">
        <v>510551 Dotación y suministro a trabajadores</v>
      </c>
      <c r="CB778" t="str">
        <v>510551 Dotación y suministro a trabajadores</v>
      </c>
      <c r="CC778" t="str">
        <v>510551 Dotación y suministro a trabajadores</v>
      </c>
      <c r="CD778" t="str">
        <v>510551 Dotación y suministro a trabajadores</v>
      </c>
      <c r="CE778" t="str">
        <v>510551 Dotación y suministro a trabajadores</v>
      </c>
      <c r="CS778" s="141" t="str">
        <v>510551 Dotación y suministro a trabajadores</v>
      </c>
      <c r="CT778" s="141" t="str">
        <v>510551 Dotación y suministro a trabajadores</v>
      </c>
      <c r="CU778" s="141" t="str">
        <v>510551 Dotación y suministro a trabajadores</v>
      </c>
      <c r="CV778" s="141" t="str">
        <v>510551 Dotación y suministro a trabajadores</v>
      </c>
      <c r="CW778" s="141" t="str">
        <v>510551 Dotación y suministro a trabajadores</v>
      </c>
      <c r="CX778" s="141" t="str">
        <v>510551 Dotación y suministro a trabajadores</v>
      </c>
      <c r="CY778" s="141" t="str">
        <v>510551 Dotación y suministro a trabajadores</v>
      </c>
      <c r="CZ778" s="141" t="str">
        <v>510551 Dotación y suministro a trabajadores</v>
      </c>
      <c r="DA778" s="141" t="str">
        <v>510551 Dotación y suministro a trabajadores</v>
      </c>
      <c r="DF778" t="str">
        <v>510551 Dotación y suministro a trabajadores</v>
      </c>
      <c r="DG778" t="str">
        <v>510551 Dotación y suministro a trabajadores</v>
      </c>
      <c r="DH778" t="str">
        <v>510551 Dotación y suministro a trabajadores</v>
      </c>
      <c r="DI778" t="str">
        <v>510551 Dotación y suministro a trabajadores</v>
      </c>
      <c r="DJ778" t="str">
        <v>510551 Dotación y suministro a trabajadores</v>
      </c>
      <c r="DK778" t="str">
        <v>510551 Dotación y suministro a trabajadores</v>
      </c>
      <c r="DL778" t="str">
        <v>510551 Dotación y suministro a trabajadores</v>
      </c>
      <c r="DM778" t="str">
        <v>510551 Dotación y suministro a trabajadores</v>
      </c>
      <c r="DN778" t="str">
        <v>510551 Dotación y suministro a trabajadores</v>
      </c>
      <c r="DO778" t="str">
        <v>510551 Dotación y suministro a trabajadores</v>
      </c>
      <c r="DP778" t="str">
        <v>510551 Dotación y suministro a trabajadores</v>
      </c>
    </row>
    <row r="779" spans="4:120" ht="12.75">
      <c r="D779" s="7">
        <v>510554</v>
      </c>
      <c r="E779" s="6" t="s">
        <v>321</v>
      </c>
      <c r="F779" s="5">
        <v>4</v>
      </c>
      <c r="G779" s="34" t="s">
        <v>830</v>
      </c>
      <c r="H779" s="8" t="s">
        <v>32</v>
      </c>
      <c r="I779" t="b">
        <f>+ISNUMBER(SEARCH('F-COMPRA'!$F$28,Tabla11[[#This Row],[Cuenta]],1))</f>
        <v>1</v>
      </c>
      <c r="J779" t="b">
        <f>+ISNUMBER(SEARCH('F-COMPRA'!$F$29,Tabla11[[#This Row],[Cuenta]],1))</f>
        <v>1</v>
      </c>
      <c r="K779" t="b">
        <f>+ISNUMBER(SEARCH('F-COMPRA'!$F$30,Tabla11[[#This Row],[Cuenta]],1))</f>
        <v>1</v>
      </c>
      <c r="L779" t="b">
        <f>+ISNUMBER(SEARCH('F-COMPRA'!$F$31,Tabla11[[#This Row],[Cuenta]],1))</f>
        <v>1</v>
      </c>
      <c r="M779" t="b">
        <f>+ISNUMBER(SEARCH('F-COMPRA'!$G$25,Tabla11[[#This Row],[Cuenta]],1))</f>
        <v>0</v>
      </c>
      <c r="N779" t="b">
        <f>+ISNUMBER(SEARCH(#REF!,Tabla11[[#This Row],[Cuenta]],1))</f>
        <v>0</v>
      </c>
      <c r="O779" t="b">
        <f>+ISNUMBER(SEARCH(#REF!,Tabla11[[#This Row],[Cuenta]],1))</f>
        <v>0</v>
      </c>
      <c r="P779" t="b">
        <f>+ISNUMBER(SEARCH('F-COMPRA'!$F$32,Tabla11[[#This Row],[Cuenta]],1))</f>
        <v>1</v>
      </c>
      <c r="Q779" t="b">
        <f>+ISNUMBER(SEARCH('F-COMPRA'!$F$33,Tabla11[[#This Row],[Cuenta]],1))</f>
        <v>1</v>
      </c>
      <c r="R779" t="b">
        <f>+ISNUMBER(SEARCH('F-COMPRA'!$F$34,Tabla11[[#This Row],[Cuenta]],1))</f>
        <v>1</v>
      </c>
      <c r="S779" t="b">
        <f>+ISNUMBER(SEARCH('F-COMPRA'!$F$35,Tabla11[[#This Row],[Cuenta]],1))</f>
        <v>1</v>
      </c>
      <c r="T779" t="b">
        <f>+ISNUMBER(SEARCH('F-COMPRA'!$F$36,Tabla11[[#This Row],[Cuenta]],1))</f>
        <v>1</v>
      </c>
      <c r="U779" t="b">
        <f>+ISNUMBER(SEARCH('F-COMPRA'!$F$37,Tabla11[[#This Row],[Cuenta]],1))</f>
        <v>1</v>
      </c>
      <c r="V779" t="b">
        <f>+ISNUMBER(SEARCH(#REF!,Tabla11[[#This Row],[Cuenta]],1))</f>
        <v>0</v>
      </c>
      <c r="W779" t="b">
        <f>+ISNUMBER(SEARCH('F-COMPRA'!#REF!,Tabla11[[#This Row],[Cuenta]],1))</f>
        <v>0</v>
      </c>
      <c r="X779" t="b">
        <f>+ISNUMBER(SEARCH('F-COMPRA'!#REF!,Tabla11[[#This Row],[Cuenta]],1))</f>
        <v>0</v>
      </c>
      <c r="Y779" t="b">
        <f>+ISNUMBER(SEARCH('F-COMPRA'!#REF!,Tabla11[[#This Row],[Cuenta]],1))</f>
        <v>0</v>
      </c>
      <c r="Z779" t="b">
        <f>+ISNUMBER(SEARCH('F-COMPRA'!#REF!,Tabla11[[#This Row],[Cuenta]],1))</f>
        <v>0</v>
      </c>
      <c r="AA779" t="b">
        <f>+ISNUMBER(SEARCH('F-COMPRA'!#REF!,Tabla11[[#This Row],[Cuenta]],1))</f>
        <v>0</v>
      </c>
      <c r="AB779" t="b">
        <f>+ISNUMBER(SEARCH('F-COMPRA'!#REF!,Tabla11[[#This Row],[Cuenta]],1))</f>
        <v>0</v>
      </c>
      <c r="AC779" t="b">
        <f>+ISNUMBER(SEARCH('F-COMPRA'!#REF!,Tabla11[[#This Row],[Cuenta]],1))</f>
        <v>0</v>
      </c>
      <c r="AD779" t="b">
        <f>+ISNUMBER(SEARCH('F-COMPRA'!#REF!,Tabla11[[#This Row],[Cuenta]],1))</f>
        <v>0</v>
      </c>
      <c r="AE779" t="b">
        <f>+ISNUMBER(SEARCH('F-COMPRA'!#REF!,Tabla11[[#This Row],[Cuenta]],1))</f>
        <v>0</v>
      </c>
      <c r="AF779" t="b">
        <f>+ISNUMBER(SEARCH('F-VTA'!$G$23,Tabla11[[#This Row],[Cuenta]],1))</f>
        <v>0</v>
      </c>
      <c r="AG779" t="b">
        <f>+ISNUMBER(SEARCH('F-VTA'!$G$24,Tabla11[[#This Row],[Cuenta]],1))</f>
        <v>0</v>
      </c>
      <c r="AH779" t="b">
        <f>+ISNUMBER(SEARCH('F-VTA'!$G$25,Tabla11[[#This Row],[Cuenta]],1))</f>
        <v>0</v>
      </c>
      <c r="AI779" t="b">
        <f>+ISNUMBER(SEARCH('F-VTA'!$F$28,Tabla11[[#This Row],[Cuenta]],1))</f>
        <v>1</v>
      </c>
      <c r="AJ779" t="b">
        <f>+ISNUMBER(SEARCH('F-VTA'!$F$29,Tabla11[[#This Row],[Cuenta]],1))</f>
        <v>1</v>
      </c>
      <c r="AK779" t="b">
        <f>+ISNUMBER(SEARCH('F-VTA'!$F$30,Tabla11[[#This Row],[Cuenta]],1))</f>
        <v>1</v>
      </c>
      <c r="AL779" t="b">
        <f>+ISNUMBER(SEARCH('F-VTA'!$F$31,Tabla11[[#This Row],[Cuenta]],1))</f>
        <v>1</v>
      </c>
      <c r="AM779" t="b">
        <f>+ISNUMBER(SEARCH('F-VTA'!$F$32,Tabla11[[#This Row],[Cuenta]],1))</f>
        <v>1</v>
      </c>
      <c r="AN779" t="b">
        <f>+ISNUMBER(SEARCH('F-VTA'!$F$33,Tabla11[[#This Row],[Cuenta]],1))</f>
        <v>1</v>
      </c>
      <c r="AO779" t="b">
        <f>+ISNUMBER(SEARCH('F-VTA'!$F$34,Tabla11[[#This Row],[Cuenta]],1))</f>
        <v>1</v>
      </c>
      <c r="AP779" t="b">
        <f>+ISNUMBER(SEARCH('F-VTA'!$F$35,Tabla11[[#This Row],[Cuenta]],1))</f>
        <v>1</v>
      </c>
      <c r="AQ779" t="b">
        <f>+ISNUMBER(SEARCH('F-VTA'!$F$36,Tabla11[[#This Row],[Cuenta]],1))</f>
        <v>1</v>
      </c>
      <c r="AR779" t="b">
        <f>+ISNUMBER(SEARCH(#REF!,Tabla11[[#This Row],[Cuenta]],1))</f>
        <v>0</v>
      </c>
      <c r="AS779" t="b">
        <f>+ISNUMBER(SEARCH(#REF!,Tabla11[[#This Row],[Cuenta]],1))</f>
        <v>0</v>
      </c>
      <c r="AT779" t="b">
        <f>+ISNUMBER(SEARCH(#REF!,Tabla11[[#This Row],[Cuenta]],1))</f>
        <v>0</v>
      </c>
      <c r="AU779" t="b">
        <f>+ISNUMBER(SEARCH('Conc. Ban.1'!$I$9,Tabla11[[#This Row],[Cuenta]],1))</f>
        <v>0</v>
      </c>
      <c r="AV779" t="b">
        <f>+ISNUMBER(SEARCH(CompConta!$F$21,Tabla11[[#This Row],[Cuenta]],1))</f>
        <v>1</v>
      </c>
      <c r="AW779" t="b">
        <f>+ISNUMBER(SEARCH(CompConta!$F$22,Tabla11[[#This Row],[Cuenta]],1))</f>
        <v>1</v>
      </c>
      <c r="AX779" t="b">
        <f>+ISNUMBER(SEARCH(CompConta!$F$23,Tabla11[[#This Row],[Cuenta]],1))</f>
        <v>1</v>
      </c>
      <c r="AY779" t="b">
        <f>+ISNUMBER(SEARCH(CompConta!$F$24,Tabla11[[#This Row],[Cuenta]],1))</f>
        <v>1</v>
      </c>
      <c r="AZ779" t="b">
        <f>+ISNUMBER(SEARCH(CompConta!$F$25,Tabla11[[#This Row],[Cuenta]],1))</f>
        <v>1</v>
      </c>
      <c r="BA779" t="b">
        <f>+ISNUMBER(SEARCH(CompConta!$F$26,Tabla11[[#This Row],[Cuenta]],1))</f>
        <v>1</v>
      </c>
      <c r="BB779" t="b">
        <f>+ISNUMBER(SEARCH(CompConta!$F$27,Tabla11[[#This Row],[Cuenta]],1))</f>
        <v>1</v>
      </c>
      <c r="BC779" t="b">
        <f>+ISNUMBER(SEARCH(CompConta!$F$28,Tabla11[[#This Row],[Cuenta]],1))</f>
        <v>1</v>
      </c>
      <c r="BD779" t="b">
        <f>+ISNUMBER(SEARCH(CompConta!$F$29,Tabla11[[#This Row],[Cuenta]],1))</f>
        <v>1</v>
      </c>
      <c r="BE779" t="b">
        <f>+ISNUMBER(SEARCH(CompConta!$F$30,Tabla11[[#This Row],[Cuenta]],1))</f>
        <v>1</v>
      </c>
      <c r="BF779" t="b">
        <f>+ISNUMBER(SEARCH('PAGO Compras'!$E$11,Tabla11[[#This Row],[Cuenta]],1))</f>
        <v>1</v>
      </c>
      <c r="BG779" t="b">
        <f>+ISNUMBER(SEARCH(#REF!,Tabla11[[#This Row],[Cuenta]],1))</f>
        <v>0</v>
      </c>
      <c r="BH779" t="b">
        <f>+ISNUMBER(SEARCH(#REF!,Tabla11[[#This Row],[Cuenta]],1))</f>
        <v>0</v>
      </c>
      <c r="BI779" t="b">
        <f>+ISNUMBER(SEARCH(#REF!,Tabla11[[#This Row],[Cuenta]],1))</f>
        <v>0</v>
      </c>
      <c r="BJ779" t="b">
        <f>+ISNUMBER(SEARCH(#REF!,Tabla11[[#This Row],[Cuenta]],1))</f>
        <v>0</v>
      </c>
      <c r="BS779" t="str">
        <v>510554 Seguros</v>
      </c>
      <c r="BT779" t="str">
        <v>510554 Seguros</v>
      </c>
      <c r="BU779" t="str">
        <v>510554 Seguros</v>
      </c>
      <c r="BV779" t="str">
        <v>510554 Seguros</v>
      </c>
      <c r="BZ779" t="str">
        <v>510554 Seguros</v>
      </c>
      <c r="CA779" t="str">
        <v>510554 Seguros</v>
      </c>
      <c r="CB779" t="str">
        <v>510554 Seguros</v>
      </c>
      <c r="CC779" t="str">
        <v>510554 Seguros</v>
      </c>
      <c r="CD779" t="str">
        <v>510554 Seguros</v>
      </c>
      <c r="CE779" t="str">
        <v>510554 Seguros</v>
      </c>
      <c r="CS779" s="141" t="str">
        <v>510554 Seguros</v>
      </c>
      <c r="CT779" s="141" t="str">
        <v>510554 Seguros</v>
      </c>
      <c r="CU779" s="141" t="str">
        <v>510554 Seguros</v>
      </c>
      <c r="CV779" s="141" t="str">
        <v>510554 Seguros</v>
      </c>
      <c r="CW779" s="141" t="str">
        <v>510554 Seguros</v>
      </c>
      <c r="CX779" s="141" t="str">
        <v>510554 Seguros</v>
      </c>
      <c r="CY779" s="141" t="str">
        <v>510554 Seguros</v>
      </c>
      <c r="CZ779" s="141" t="str">
        <v>510554 Seguros</v>
      </c>
      <c r="DA779" s="141" t="str">
        <v>510554 Seguros</v>
      </c>
      <c r="DF779" t="str">
        <v>510554 Seguros</v>
      </c>
      <c r="DG779" t="str">
        <v>510554 Seguros</v>
      </c>
      <c r="DH779" t="str">
        <v>510554 Seguros</v>
      </c>
      <c r="DI779" t="str">
        <v>510554 Seguros</v>
      </c>
      <c r="DJ779" t="str">
        <v>510554 Seguros</v>
      </c>
      <c r="DK779" t="str">
        <v>510554 Seguros</v>
      </c>
      <c r="DL779" t="str">
        <v>510554 Seguros</v>
      </c>
      <c r="DM779" t="str">
        <v>510554 Seguros</v>
      </c>
      <c r="DN779" t="str">
        <v>510554 Seguros</v>
      </c>
      <c r="DO779" t="str">
        <v>510554 Seguros</v>
      </c>
      <c r="DP779" t="str">
        <v>510554 Seguros</v>
      </c>
    </row>
    <row r="780" spans="4:120" ht="12.75">
      <c r="D780" s="7">
        <v>510557</v>
      </c>
      <c r="E780" s="6" t="s">
        <v>541</v>
      </c>
      <c r="F780" s="5">
        <v>4</v>
      </c>
      <c r="G780" s="34" t="s">
        <v>830</v>
      </c>
      <c r="H780" s="8" t="s">
        <v>32</v>
      </c>
      <c r="I780" t="b">
        <f>+ISNUMBER(SEARCH('F-COMPRA'!$F$28,Tabla11[[#This Row],[Cuenta]],1))</f>
        <v>1</v>
      </c>
      <c r="J780" t="b">
        <f>+ISNUMBER(SEARCH('F-COMPRA'!$F$29,Tabla11[[#This Row],[Cuenta]],1))</f>
        <v>1</v>
      </c>
      <c r="K780" t="b">
        <f>+ISNUMBER(SEARCH('F-COMPRA'!$F$30,Tabla11[[#This Row],[Cuenta]],1))</f>
        <v>1</v>
      </c>
      <c r="L780" t="b">
        <f>+ISNUMBER(SEARCH('F-COMPRA'!$F$31,Tabla11[[#This Row],[Cuenta]],1))</f>
        <v>1</v>
      </c>
      <c r="M780" t="b">
        <f>+ISNUMBER(SEARCH('F-COMPRA'!$G$25,Tabla11[[#This Row],[Cuenta]],1))</f>
        <v>0</v>
      </c>
      <c r="N780" t="b">
        <f>+ISNUMBER(SEARCH(#REF!,Tabla11[[#This Row],[Cuenta]],1))</f>
        <v>0</v>
      </c>
      <c r="O780" t="b">
        <f>+ISNUMBER(SEARCH(#REF!,Tabla11[[#This Row],[Cuenta]],1))</f>
        <v>0</v>
      </c>
      <c r="P780" t="b">
        <f>+ISNUMBER(SEARCH('F-COMPRA'!$F$32,Tabla11[[#This Row],[Cuenta]],1))</f>
        <v>1</v>
      </c>
      <c r="Q780" t="b">
        <f>+ISNUMBER(SEARCH('F-COMPRA'!$F$33,Tabla11[[#This Row],[Cuenta]],1))</f>
        <v>1</v>
      </c>
      <c r="R780" t="b">
        <f>+ISNUMBER(SEARCH('F-COMPRA'!$F$34,Tabla11[[#This Row],[Cuenta]],1))</f>
        <v>1</v>
      </c>
      <c r="S780" t="b">
        <f>+ISNUMBER(SEARCH('F-COMPRA'!$F$35,Tabla11[[#This Row],[Cuenta]],1))</f>
        <v>1</v>
      </c>
      <c r="T780" t="b">
        <f>+ISNUMBER(SEARCH('F-COMPRA'!$F$36,Tabla11[[#This Row],[Cuenta]],1))</f>
        <v>1</v>
      </c>
      <c r="U780" t="b">
        <f>+ISNUMBER(SEARCH('F-COMPRA'!$F$37,Tabla11[[#This Row],[Cuenta]],1))</f>
        <v>1</v>
      </c>
      <c r="V780" t="b">
        <f>+ISNUMBER(SEARCH(#REF!,Tabla11[[#This Row],[Cuenta]],1))</f>
        <v>0</v>
      </c>
      <c r="W780" t="b">
        <f>+ISNUMBER(SEARCH('F-COMPRA'!#REF!,Tabla11[[#This Row],[Cuenta]],1))</f>
        <v>0</v>
      </c>
      <c r="X780" t="b">
        <f>+ISNUMBER(SEARCH('F-COMPRA'!#REF!,Tabla11[[#This Row],[Cuenta]],1))</f>
        <v>0</v>
      </c>
      <c r="Y780" t="b">
        <f>+ISNUMBER(SEARCH('F-COMPRA'!#REF!,Tabla11[[#This Row],[Cuenta]],1))</f>
        <v>0</v>
      </c>
      <c r="Z780" t="b">
        <f>+ISNUMBER(SEARCH('F-COMPRA'!#REF!,Tabla11[[#This Row],[Cuenta]],1))</f>
        <v>0</v>
      </c>
      <c r="AA780" t="b">
        <f>+ISNUMBER(SEARCH('F-COMPRA'!#REF!,Tabla11[[#This Row],[Cuenta]],1))</f>
        <v>0</v>
      </c>
      <c r="AB780" t="b">
        <f>+ISNUMBER(SEARCH('F-COMPRA'!#REF!,Tabla11[[#This Row],[Cuenta]],1))</f>
        <v>0</v>
      </c>
      <c r="AC780" t="b">
        <f>+ISNUMBER(SEARCH('F-COMPRA'!#REF!,Tabla11[[#This Row],[Cuenta]],1))</f>
        <v>0</v>
      </c>
      <c r="AD780" t="b">
        <f>+ISNUMBER(SEARCH('F-COMPRA'!#REF!,Tabla11[[#This Row],[Cuenta]],1))</f>
        <v>0</v>
      </c>
      <c r="AE780" t="b">
        <f>+ISNUMBER(SEARCH('F-COMPRA'!#REF!,Tabla11[[#This Row],[Cuenta]],1))</f>
        <v>0</v>
      </c>
      <c r="AF780" t="b">
        <f>+ISNUMBER(SEARCH('F-VTA'!$G$23,Tabla11[[#This Row],[Cuenta]],1))</f>
        <v>0</v>
      </c>
      <c r="AG780" t="b">
        <f>+ISNUMBER(SEARCH('F-VTA'!$G$24,Tabla11[[#This Row],[Cuenta]],1))</f>
        <v>0</v>
      </c>
      <c r="AH780" t="b">
        <f>+ISNUMBER(SEARCH('F-VTA'!$G$25,Tabla11[[#This Row],[Cuenta]],1))</f>
        <v>0</v>
      </c>
      <c r="AI780" t="b">
        <f>+ISNUMBER(SEARCH('F-VTA'!$F$28,Tabla11[[#This Row],[Cuenta]],1))</f>
        <v>1</v>
      </c>
      <c r="AJ780" t="b">
        <f>+ISNUMBER(SEARCH('F-VTA'!$F$29,Tabla11[[#This Row],[Cuenta]],1))</f>
        <v>1</v>
      </c>
      <c r="AK780" t="b">
        <f>+ISNUMBER(SEARCH('F-VTA'!$F$30,Tabla11[[#This Row],[Cuenta]],1))</f>
        <v>1</v>
      </c>
      <c r="AL780" t="b">
        <f>+ISNUMBER(SEARCH('F-VTA'!$F$31,Tabla11[[#This Row],[Cuenta]],1))</f>
        <v>1</v>
      </c>
      <c r="AM780" t="b">
        <f>+ISNUMBER(SEARCH('F-VTA'!$F$32,Tabla11[[#This Row],[Cuenta]],1))</f>
        <v>1</v>
      </c>
      <c r="AN780" t="b">
        <f>+ISNUMBER(SEARCH('F-VTA'!$F$33,Tabla11[[#This Row],[Cuenta]],1))</f>
        <v>1</v>
      </c>
      <c r="AO780" t="b">
        <f>+ISNUMBER(SEARCH('F-VTA'!$F$34,Tabla11[[#This Row],[Cuenta]],1))</f>
        <v>1</v>
      </c>
      <c r="AP780" t="b">
        <f>+ISNUMBER(SEARCH('F-VTA'!$F$35,Tabla11[[#This Row],[Cuenta]],1))</f>
        <v>1</v>
      </c>
      <c r="AQ780" t="b">
        <f>+ISNUMBER(SEARCH('F-VTA'!$F$36,Tabla11[[#This Row],[Cuenta]],1))</f>
        <v>1</v>
      </c>
      <c r="AR780" t="b">
        <f>+ISNUMBER(SEARCH(#REF!,Tabla11[[#This Row],[Cuenta]],1))</f>
        <v>0</v>
      </c>
      <c r="AS780" t="b">
        <f>+ISNUMBER(SEARCH(#REF!,Tabla11[[#This Row],[Cuenta]],1))</f>
        <v>0</v>
      </c>
      <c r="AT780" t="b">
        <f>+ISNUMBER(SEARCH(#REF!,Tabla11[[#This Row],[Cuenta]],1))</f>
        <v>0</v>
      </c>
      <c r="AU780" t="b">
        <f>+ISNUMBER(SEARCH('Conc. Ban.1'!$I$9,Tabla11[[#This Row],[Cuenta]],1))</f>
        <v>0</v>
      </c>
      <c r="AV780" t="b">
        <f>+ISNUMBER(SEARCH(CompConta!$F$21,Tabla11[[#This Row],[Cuenta]],1))</f>
        <v>1</v>
      </c>
      <c r="AW780" t="b">
        <f>+ISNUMBER(SEARCH(CompConta!$F$22,Tabla11[[#This Row],[Cuenta]],1))</f>
        <v>1</v>
      </c>
      <c r="AX780" t="b">
        <f>+ISNUMBER(SEARCH(CompConta!$F$23,Tabla11[[#This Row],[Cuenta]],1))</f>
        <v>1</v>
      </c>
      <c r="AY780" t="b">
        <f>+ISNUMBER(SEARCH(CompConta!$F$24,Tabla11[[#This Row],[Cuenta]],1))</f>
        <v>1</v>
      </c>
      <c r="AZ780" t="b">
        <f>+ISNUMBER(SEARCH(CompConta!$F$25,Tabla11[[#This Row],[Cuenta]],1))</f>
        <v>1</v>
      </c>
      <c r="BA780" t="b">
        <f>+ISNUMBER(SEARCH(CompConta!$F$26,Tabla11[[#This Row],[Cuenta]],1))</f>
        <v>1</v>
      </c>
      <c r="BB780" t="b">
        <f>+ISNUMBER(SEARCH(CompConta!$F$27,Tabla11[[#This Row],[Cuenta]],1))</f>
        <v>1</v>
      </c>
      <c r="BC780" t="b">
        <f>+ISNUMBER(SEARCH(CompConta!$F$28,Tabla11[[#This Row],[Cuenta]],1))</f>
        <v>1</v>
      </c>
      <c r="BD780" t="b">
        <f>+ISNUMBER(SEARCH(CompConta!$F$29,Tabla11[[#This Row],[Cuenta]],1))</f>
        <v>1</v>
      </c>
      <c r="BE780" t="b">
        <f>+ISNUMBER(SEARCH(CompConta!$F$30,Tabla11[[#This Row],[Cuenta]],1))</f>
        <v>1</v>
      </c>
      <c r="BF780" t="b">
        <f>+ISNUMBER(SEARCH('PAGO Compras'!$E$11,Tabla11[[#This Row],[Cuenta]],1))</f>
        <v>1</v>
      </c>
      <c r="BG780" t="b">
        <f>+ISNUMBER(SEARCH(#REF!,Tabla11[[#This Row],[Cuenta]],1))</f>
        <v>0</v>
      </c>
      <c r="BH780" t="b">
        <f>+ISNUMBER(SEARCH(#REF!,Tabla11[[#This Row],[Cuenta]],1))</f>
        <v>0</v>
      </c>
      <c r="BI780" t="b">
        <f>+ISNUMBER(SEARCH(#REF!,Tabla11[[#This Row],[Cuenta]],1))</f>
        <v>0</v>
      </c>
      <c r="BJ780" t="b">
        <f>+ISNUMBER(SEARCH(#REF!,Tabla11[[#This Row],[Cuenta]],1))</f>
        <v>0</v>
      </c>
      <c r="BS780" t="str">
        <v>510557 Cuotas partes pensiones de jubilación</v>
      </c>
      <c r="BT780" t="str">
        <v>510557 Cuotas partes pensiones de jubilación</v>
      </c>
      <c r="BU780" t="str">
        <v>510557 Cuotas partes pensiones de jubilación</v>
      </c>
      <c r="BV780" t="str">
        <v>510557 Cuotas partes pensiones de jubilación</v>
      </c>
      <c r="BZ780" t="str">
        <v>510557 Cuotas partes pensiones de jubilación</v>
      </c>
      <c r="CA780" t="str">
        <v>510557 Cuotas partes pensiones de jubilación</v>
      </c>
      <c r="CB780" t="str">
        <v>510557 Cuotas partes pensiones de jubilación</v>
      </c>
      <c r="CC780" t="str">
        <v>510557 Cuotas partes pensiones de jubilación</v>
      </c>
      <c r="CD780" t="str">
        <v>510557 Cuotas partes pensiones de jubilación</v>
      </c>
      <c r="CE780" t="str">
        <v>510557 Cuotas partes pensiones de jubilación</v>
      </c>
      <c r="CS780" s="141" t="str">
        <v>510557 Cuotas partes pensiones de jubilación</v>
      </c>
      <c r="CT780" s="141" t="str">
        <v>510557 Cuotas partes pensiones de jubilación</v>
      </c>
      <c r="CU780" s="141" t="str">
        <v>510557 Cuotas partes pensiones de jubilación</v>
      </c>
      <c r="CV780" s="141" t="str">
        <v>510557 Cuotas partes pensiones de jubilación</v>
      </c>
      <c r="CW780" s="141" t="str">
        <v>510557 Cuotas partes pensiones de jubilación</v>
      </c>
      <c r="CX780" s="141" t="str">
        <v>510557 Cuotas partes pensiones de jubilación</v>
      </c>
      <c r="CY780" s="141" t="str">
        <v>510557 Cuotas partes pensiones de jubilación</v>
      </c>
      <c r="CZ780" s="141" t="str">
        <v>510557 Cuotas partes pensiones de jubilación</v>
      </c>
      <c r="DA780" s="141" t="str">
        <v>510557 Cuotas partes pensiones de jubilación</v>
      </c>
      <c r="DF780" t="str">
        <v>510557 Cuotas partes pensiones de jubilación</v>
      </c>
      <c r="DG780" t="str">
        <v>510557 Cuotas partes pensiones de jubilación</v>
      </c>
      <c r="DH780" t="str">
        <v>510557 Cuotas partes pensiones de jubilación</v>
      </c>
      <c r="DI780" t="str">
        <v>510557 Cuotas partes pensiones de jubilación</v>
      </c>
      <c r="DJ780" t="str">
        <v>510557 Cuotas partes pensiones de jubilación</v>
      </c>
      <c r="DK780" t="str">
        <v>510557 Cuotas partes pensiones de jubilación</v>
      </c>
      <c r="DL780" t="str">
        <v>510557 Cuotas partes pensiones de jubilación</v>
      </c>
      <c r="DM780" t="str">
        <v>510557 Cuotas partes pensiones de jubilación</v>
      </c>
      <c r="DN780" t="str">
        <v>510557 Cuotas partes pensiones de jubilación</v>
      </c>
      <c r="DO780" t="str">
        <v>510557 Cuotas partes pensiones de jubilación</v>
      </c>
      <c r="DP780" t="str">
        <v>510557 Cuotas partes pensiones de jubilación</v>
      </c>
    </row>
    <row r="781" spans="4:120" ht="12.75">
      <c r="D781" s="7">
        <v>510558</v>
      </c>
      <c r="E781" s="6" t="s">
        <v>542</v>
      </c>
      <c r="F781" s="5">
        <v>4</v>
      </c>
      <c r="G781" s="34" t="s">
        <v>830</v>
      </c>
      <c r="H781" s="8" t="s">
        <v>32</v>
      </c>
      <c r="I781" t="b">
        <f>+ISNUMBER(SEARCH('F-COMPRA'!$F$28,Tabla11[[#This Row],[Cuenta]],1))</f>
        <v>1</v>
      </c>
      <c r="J781" t="b">
        <f>+ISNUMBER(SEARCH('F-COMPRA'!$F$29,Tabla11[[#This Row],[Cuenta]],1))</f>
        <v>1</v>
      </c>
      <c r="K781" t="b">
        <f>+ISNUMBER(SEARCH('F-COMPRA'!$F$30,Tabla11[[#This Row],[Cuenta]],1))</f>
        <v>1</v>
      </c>
      <c r="L781" t="b">
        <f>+ISNUMBER(SEARCH('F-COMPRA'!$F$31,Tabla11[[#This Row],[Cuenta]],1))</f>
        <v>1</v>
      </c>
      <c r="M781" t="b">
        <f>+ISNUMBER(SEARCH('F-COMPRA'!$G$25,Tabla11[[#This Row],[Cuenta]],1))</f>
        <v>0</v>
      </c>
      <c r="N781" t="b">
        <f>+ISNUMBER(SEARCH(#REF!,Tabla11[[#This Row],[Cuenta]],1))</f>
        <v>0</v>
      </c>
      <c r="O781" t="b">
        <f>+ISNUMBER(SEARCH(#REF!,Tabla11[[#This Row],[Cuenta]],1))</f>
        <v>0</v>
      </c>
      <c r="P781" t="b">
        <f>+ISNUMBER(SEARCH('F-COMPRA'!$F$32,Tabla11[[#This Row],[Cuenta]],1))</f>
        <v>1</v>
      </c>
      <c r="Q781" t="b">
        <f>+ISNUMBER(SEARCH('F-COMPRA'!$F$33,Tabla11[[#This Row],[Cuenta]],1))</f>
        <v>1</v>
      </c>
      <c r="R781" t="b">
        <f>+ISNUMBER(SEARCH('F-COMPRA'!$F$34,Tabla11[[#This Row],[Cuenta]],1))</f>
        <v>1</v>
      </c>
      <c r="S781" t="b">
        <f>+ISNUMBER(SEARCH('F-COMPRA'!$F$35,Tabla11[[#This Row],[Cuenta]],1))</f>
        <v>1</v>
      </c>
      <c r="T781" t="b">
        <f>+ISNUMBER(SEARCH('F-COMPRA'!$F$36,Tabla11[[#This Row],[Cuenta]],1))</f>
        <v>1</v>
      </c>
      <c r="U781" t="b">
        <f>+ISNUMBER(SEARCH('F-COMPRA'!$F$37,Tabla11[[#This Row],[Cuenta]],1))</f>
        <v>1</v>
      </c>
      <c r="V781" t="b">
        <f>+ISNUMBER(SEARCH(#REF!,Tabla11[[#This Row],[Cuenta]],1))</f>
        <v>0</v>
      </c>
      <c r="W781" t="b">
        <f>+ISNUMBER(SEARCH('F-COMPRA'!#REF!,Tabla11[[#This Row],[Cuenta]],1))</f>
        <v>0</v>
      </c>
      <c r="X781" t="b">
        <f>+ISNUMBER(SEARCH('F-COMPRA'!#REF!,Tabla11[[#This Row],[Cuenta]],1))</f>
        <v>0</v>
      </c>
      <c r="Y781" t="b">
        <f>+ISNUMBER(SEARCH('F-COMPRA'!#REF!,Tabla11[[#This Row],[Cuenta]],1))</f>
        <v>0</v>
      </c>
      <c r="Z781" t="b">
        <f>+ISNUMBER(SEARCH('F-COMPRA'!#REF!,Tabla11[[#This Row],[Cuenta]],1))</f>
        <v>0</v>
      </c>
      <c r="AA781" t="b">
        <f>+ISNUMBER(SEARCH('F-COMPRA'!#REF!,Tabla11[[#This Row],[Cuenta]],1))</f>
        <v>0</v>
      </c>
      <c r="AB781" t="b">
        <f>+ISNUMBER(SEARCH('F-COMPRA'!#REF!,Tabla11[[#This Row],[Cuenta]],1))</f>
        <v>0</v>
      </c>
      <c r="AC781" t="b">
        <f>+ISNUMBER(SEARCH('F-COMPRA'!#REF!,Tabla11[[#This Row],[Cuenta]],1))</f>
        <v>0</v>
      </c>
      <c r="AD781" t="b">
        <f>+ISNUMBER(SEARCH('F-COMPRA'!#REF!,Tabla11[[#This Row],[Cuenta]],1))</f>
        <v>0</v>
      </c>
      <c r="AE781" t="b">
        <f>+ISNUMBER(SEARCH('F-COMPRA'!#REF!,Tabla11[[#This Row],[Cuenta]],1))</f>
        <v>0</v>
      </c>
      <c r="AF781" t="b">
        <f>+ISNUMBER(SEARCH('F-VTA'!$G$23,Tabla11[[#This Row],[Cuenta]],1))</f>
        <v>0</v>
      </c>
      <c r="AG781" t="b">
        <f>+ISNUMBER(SEARCH('F-VTA'!$G$24,Tabla11[[#This Row],[Cuenta]],1))</f>
        <v>0</v>
      </c>
      <c r="AH781" t="b">
        <f>+ISNUMBER(SEARCH('F-VTA'!$G$25,Tabla11[[#This Row],[Cuenta]],1))</f>
        <v>0</v>
      </c>
      <c r="AI781" t="b">
        <f>+ISNUMBER(SEARCH('F-VTA'!$F$28,Tabla11[[#This Row],[Cuenta]],1))</f>
        <v>1</v>
      </c>
      <c r="AJ781" t="b">
        <f>+ISNUMBER(SEARCH('F-VTA'!$F$29,Tabla11[[#This Row],[Cuenta]],1))</f>
        <v>1</v>
      </c>
      <c r="AK781" t="b">
        <f>+ISNUMBER(SEARCH('F-VTA'!$F$30,Tabla11[[#This Row],[Cuenta]],1))</f>
        <v>1</v>
      </c>
      <c r="AL781" t="b">
        <f>+ISNUMBER(SEARCH('F-VTA'!$F$31,Tabla11[[#This Row],[Cuenta]],1))</f>
        <v>1</v>
      </c>
      <c r="AM781" t="b">
        <f>+ISNUMBER(SEARCH('F-VTA'!$F$32,Tabla11[[#This Row],[Cuenta]],1))</f>
        <v>1</v>
      </c>
      <c r="AN781" t="b">
        <f>+ISNUMBER(SEARCH('F-VTA'!$F$33,Tabla11[[#This Row],[Cuenta]],1))</f>
        <v>1</v>
      </c>
      <c r="AO781" t="b">
        <f>+ISNUMBER(SEARCH('F-VTA'!$F$34,Tabla11[[#This Row],[Cuenta]],1))</f>
        <v>1</v>
      </c>
      <c r="AP781" t="b">
        <f>+ISNUMBER(SEARCH('F-VTA'!$F$35,Tabla11[[#This Row],[Cuenta]],1))</f>
        <v>1</v>
      </c>
      <c r="AQ781" t="b">
        <f>+ISNUMBER(SEARCH('F-VTA'!$F$36,Tabla11[[#This Row],[Cuenta]],1))</f>
        <v>1</v>
      </c>
      <c r="AR781" t="b">
        <f>+ISNUMBER(SEARCH(#REF!,Tabla11[[#This Row],[Cuenta]],1))</f>
        <v>0</v>
      </c>
      <c r="AS781" t="b">
        <f>+ISNUMBER(SEARCH(#REF!,Tabla11[[#This Row],[Cuenta]],1))</f>
        <v>0</v>
      </c>
      <c r="AT781" t="b">
        <f>+ISNUMBER(SEARCH(#REF!,Tabla11[[#This Row],[Cuenta]],1))</f>
        <v>0</v>
      </c>
      <c r="AU781" t="b">
        <f>+ISNUMBER(SEARCH('Conc. Ban.1'!$I$9,Tabla11[[#This Row],[Cuenta]],1))</f>
        <v>0</v>
      </c>
      <c r="AV781" t="b">
        <f>+ISNUMBER(SEARCH(CompConta!$F$21,Tabla11[[#This Row],[Cuenta]],1))</f>
        <v>1</v>
      </c>
      <c r="AW781" t="b">
        <f>+ISNUMBER(SEARCH(CompConta!$F$22,Tabla11[[#This Row],[Cuenta]],1))</f>
        <v>1</v>
      </c>
      <c r="AX781" t="b">
        <f>+ISNUMBER(SEARCH(CompConta!$F$23,Tabla11[[#This Row],[Cuenta]],1))</f>
        <v>1</v>
      </c>
      <c r="AY781" t="b">
        <f>+ISNUMBER(SEARCH(CompConta!$F$24,Tabla11[[#This Row],[Cuenta]],1))</f>
        <v>1</v>
      </c>
      <c r="AZ781" t="b">
        <f>+ISNUMBER(SEARCH(CompConta!$F$25,Tabla11[[#This Row],[Cuenta]],1))</f>
        <v>1</v>
      </c>
      <c r="BA781" t="b">
        <f>+ISNUMBER(SEARCH(CompConta!$F$26,Tabla11[[#This Row],[Cuenta]],1))</f>
        <v>1</v>
      </c>
      <c r="BB781" t="b">
        <f>+ISNUMBER(SEARCH(CompConta!$F$27,Tabla11[[#This Row],[Cuenta]],1))</f>
        <v>1</v>
      </c>
      <c r="BC781" t="b">
        <f>+ISNUMBER(SEARCH(CompConta!$F$28,Tabla11[[#This Row],[Cuenta]],1))</f>
        <v>1</v>
      </c>
      <c r="BD781" t="b">
        <f>+ISNUMBER(SEARCH(CompConta!$F$29,Tabla11[[#This Row],[Cuenta]],1))</f>
        <v>1</v>
      </c>
      <c r="BE781" t="b">
        <f>+ISNUMBER(SEARCH(CompConta!$F$30,Tabla11[[#This Row],[Cuenta]],1))</f>
        <v>1</v>
      </c>
      <c r="BF781" t="b">
        <f>+ISNUMBER(SEARCH('PAGO Compras'!$E$11,Tabla11[[#This Row],[Cuenta]],1))</f>
        <v>1</v>
      </c>
      <c r="BG781" t="b">
        <f>+ISNUMBER(SEARCH(#REF!,Tabla11[[#This Row],[Cuenta]],1))</f>
        <v>0</v>
      </c>
      <c r="BH781" t="b">
        <f>+ISNUMBER(SEARCH(#REF!,Tabla11[[#This Row],[Cuenta]],1))</f>
        <v>0</v>
      </c>
      <c r="BI781" t="b">
        <f>+ISNUMBER(SEARCH(#REF!,Tabla11[[#This Row],[Cuenta]],1))</f>
        <v>0</v>
      </c>
      <c r="BJ781" t="b">
        <f>+ISNUMBER(SEARCH(#REF!,Tabla11[[#This Row],[Cuenta]],1))</f>
        <v>0</v>
      </c>
      <c r="BS781" t="str">
        <v>510558 Amortiz cálculo actuarial pens de jubilación</v>
      </c>
      <c r="BT781" t="str">
        <v>510558 Amortiz cálculo actuarial pens de jubilación</v>
      </c>
      <c r="BU781" t="str">
        <v>510558 Amortiz cálculo actuarial pens de jubilación</v>
      </c>
      <c r="BV781" t="str">
        <v>510558 Amortiz cálculo actuarial pens de jubilación</v>
      </c>
      <c r="BZ781" t="str">
        <v>510558 Amortiz cálculo actuarial pens de jubilación</v>
      </c>
      <c r="CA781" t="str">
        <v>510558 Amortiz cálculo actuarial pens de jubilación</v>
      </c>
      <c r="CB781" t="str">
        <v>510558 Amortiz cálculo actuarial pens de jubilación</v>
      </c>
      <c r="CC781" t="str">
        <v>510558 Amortiz cálculo actuarial pens de jubilación</v>
      </c>
      <c r="CD781" t="str">
        <v>510558 Amortiz cálculo actuarial pens de jubilación</v>
      </c>
      <c r="CE781" t="str">
        <v>510558 Amortiz cálculo actuarial pens de jubilación</v>
      </c>
      <c r="CS781" s="141" t="str">
        <v>510558 Amortiz cálculo actuarial pens de jubilación</v>
      </c>
      <c r="CT781" s="141" t="str">
        <v>510558 Amortiz cálculo actuarial pens de jubilación</v>
      </c>
      <c r="CU781" s="141" t="str">
        <v>510558 Amortiz cálculo actuarial pens de jubilación</v>
      </c>
      <c r="CV781" s="141" t="str">
        <v>510558 Amortiz cálculo actuarial pens de jubilación</v>
      </c>
      <c r="CW781" s="141" t="str">
        <v>510558 Amortiz cálculo actuarial pens de jubilación</v>
      </c>
      <c r="CX781" s="141" t="str">
        <v>510558 Amortiz cálculo actuarial pens de jubilación</v>
      </c>
      <c r="CY781" s="141" t="str">
        <v>510558 Amortiz cálculo actuarial pens de jubilación</v>
      </c>
      <c r="CZ781" s="141" t="str">
        <v>510558 Amortiz cálculo actuarial pens de jubilación</v>
      </c>
      <c r="DA781" s="141" t="str">
        <v>510558 Amortiz cálculo actuarial pens de jubilación</v>
      </c>
      <c r="DF781" t="str">
        <v>510558 Amortiz cálculo actuarial pens de jubilación</v>
      </c>
      <c r="DG781" t="str">
        <v>510558 Amortiz cálculo actuarial pens de jubilación</v>
      </c>
      <c r="DH781" t="str">
        <v>510558 Amortiz cálculo actuarial pens de jubilación</v>
      </c>
      <c r="DI781" t="str">
        <v>510558 Amortiz cálculo actuarial pens de jubilación</v>
      </c>
      <c r="DJ781" t="str">
        <v>510558 Amortiz cálculo actuarial pens de jubilación</v>
      </c>
      <c r="DK781" t="str">
        <v>510558 Amortiz cálculo actuarial pens de jubilación</v>
      </c>
      <c r="DL781" t="str">
        <v>510558 Amortiz cálculo actuarial pens de jubilación</v>
      </c>
      <c r="DM781" t="str">
        <v>510558 Amortiz cálculo actuarial pens de jubilación</v>
      </c>
      <c r="DN781" t="str">
        <v>510558 Amortiz cálculo actuarial pens de jubilación</v>
      </c>
      <c r="DO781" t="str">
        <v>510558 Amortiz cálculo actuarial pens de jubilación</v>
      </c>
      <c r="DP781" t="str">
        <v>510558 Amortiz cálculo actuarial pens de jubilación</v>
      </c>
    </row>
    <row r="782" spans="4:120" ht="12.75">
      <c r="D782" s="7">
        <v>510559</v>
      </c>
      <c r="E782" s="6" t="s">
        <v>543</v>
      </c>
      <c r="F782" s="5">
        <v>4</v>
      </c>
      <c r="G782" s="34" t="s">
        <v>830</v>
      </c>
      <c r="H782" s="8" t="s">
        <v>32</v>
      </c>
      <c r="I782" t="b">
        <f>+ISNUMBER(SEARCH('F-COMPRA'!$F$28,Tabla11[[#This Row],[Cuenta]],1))</f>
        <v>1</v>
      </c>
      <c r="J782" t="b">
        <f>+ISNUMBER(SEARCH('F-COMPRA'!$F$29,Tabla11[[#This Row],[Cuenta]],1))</f>
        <v>1</v>
      </c>
      <c r="K782" t="b">
        <f>+ISNUMBER(SEARCH('F-COMPRA'!$F$30,Tabla11[[#This Row],[Cuenta]],1))</f>
        <v>1</v>
      </c>
      <c r="L782" t="b">
        <f>+ISNUMBER(SEARCH('F-COMPRA'!$F$31,Tabla11[[#This Row],[Cuenta]],1))</f>
        <v>1</v>
      </c>
      <c r="M782" t="b">
        <f>+ISNUMBER(SEARCH('F-COMPRA'!$G$25,Tabla11[[#This Row],[Cuenta]],1))</f>
        <v>0</v>
      </c>
      <c r="N782" t="b">
        <f>+ISNUMBER(SEARCH(#REF!,Tabla11[[#This Row],[Cuenta]],1))</f>
        <v>0</v>
      </c>
      <c r="O782" t="b">
        <f>+ISNUMBER(SEARCH(#REF!,Tabla11[[#This Row],[Cuenta]],1))</f>
        <v>0</v>
      </c>
      <c r="P782" t="b">
        <f>+ISNUMBER(SEARCH('F-COMPRA'!$F$32,Tabla11[[#This Row],[Cuenta]],1))</f>
        <v>1</v>
      </c>
      <c r="Q782" t="b">
        <f>+ISNUMBER(SEARCH('F-COMPRA'!$F$33,Tabla11[[#This Row],[Cuenta]],1))</f>
        <v>1</v>
      </c>
      <c r="R782" t="b">
        <f>+ISNUMBER(SEARCH('F-COMPRA'!$F$34,Tabla11[[#This Row],[Cuenta]],1))</f>
        <v>1</v>
      </c>
      <c r="S782" t="b">
        <f>+ISNUMBER(SEARCH('F-COMPRA'!$F$35,Tabla11[[#This Row],[Cuenta]],1))</f>
        <v>1</v>
      </c>
      <c r="T782" t="b">
        <f>+ISNUMBER(SEARCH('F-COMPRA'!$F$36,Tabla11[[#This Row],[Cuenta]],1))</f>
        <v>1</v>
      </c>
      <c r="U782" t="b">
        <f>+ISNUMBER(SEARCH('F-COMPRA'!$F$37,Tabla11[[#This Row],[Cuenta]],1))</f>
        <v>1</v>
      </c>
      <c r="V782" t="b">
        <f>+ISNUMBER(SEARCH(#REF!,Tabla11[[#This Row],[Cuenta]],1))</f>
        <v>0</v>
      </c>
      <c r="W782" t="b">
        <f>+ISNUMBER(SEARCH('F-COMPRA'!#REF!,Tabla11[[#This Row],[Cuenta]],1))</f>
        <v>0</v>
      </c>
      <c r="X782" t="b">
        <f>+ISNUMBER(SEARCH('F-COMPRA'!#REF!,Tabla11[[#This Row],[Cuenta]],1))</f>
        <v>0</v>
      </c>
      <c r="Y782" t="b">
        <f>+ISNUMBER(SEARCH('F-COMPRA'!#REF!,Tabla11[[#This Row],[Cuenta]],1))</f>
        <v>0</v>
      </c>
      <c r="Z782" t="b">
        <f>+ISNUMBER(SEARCH('F-COMPRA'!#REF!,Tabla11[[#This Row],[Cuenta]],1))</f>
        <v>0</v>
      </c>
      <c r="AA782" t="b">
        <f>+ISNUMBER(SEARCH('F-COMPRA'!#REF!,Tabla11[[#This Row],[Cuenta]],1))</f>
        <v>0</v>
      </c>
      <c r="AB782" t="b">
        <f>+ISNUMBER(SEARCH('F-COMPRA'!#REF!,Tabla11[[#This Row],[Cuenta]],1))</f>
        <v>0</v>
      </c>
      <c r="AC782" t="b">
        <f>+ISNUMBER(SEARCH('F-COMPRA'!#REF!,Tabla11[[#This Row],[Cuenta]],1))</f>
        <v>0</v>
      </c>
      <c r="AD782" t="b">
        <f>+ISNUMBER(SEARCH('F-COMPRA'!#REF!,Tabla11[[#This Row],[Cuenta]],1))</f>
        <v>0</v>
      </c>
      <c r="AE782" t="b">
        <f>+ISNUMBER(SEARCH('F-COMPRA'!#REF!,Tabla11[[#This Row],[Cuenta]],1))</f>
        <v>0</v>
      </c>
      <c r="AF782" t="b">
        <f>+ISNUMBER(SEARCH('F-VTA'!$G$23,Tabla11[[#This Row],[Cuenta]],1))</f>
        <v>0</v>
      </c>
      <c r="AG782" t="b">
        <f>+ISNUMBER(SEARCH('F-VTA'!$G$24,Tabla11[[#This Row],[Cuenta]],1))</f>
        <v>0</v>
      </c>
      <c r="AH782" t="b">
        <f>+ISNUMBER(SEARCH('F-VTA'!$G$25,Tabla11[[#This Row],[Cuenta]],1))</f>
        <v>0</v>
      </c>
      <c r="AI782" t="b">
        <f>+ISNUMBER(SEARCH('F-VTA'!$F$28,Tabla11[[#This Row],[Cuenta]],1))</f>
        <v>1</v>
      </c>
      <c r="AJ782" t="b">
        <f>+ISNUMBER(SEARCH('F-VTA'!$F$29,Tabla11[[#This Row],[Cuenta]],1))</f>
        <v>1</v>
      </c>
      <c r="AK782" t="b">
        <f>+ISNUMBER(SEARCH('F-VTA'!$F$30,Tabla11[[#This Row],[Cuenta]],1))</f>
        <v>1</v>
      </c>
      <c r="AL782" t="b">
        <f>+ISNUMBER(SEARCH('F-VTA'!$F$31,Tabla11[[#This Row],[Cuenta]],1))</f>
        <v>1</v>
      </c>
      <c r="AM782" t="b">
        <f>+ISNUMBER(SEARCH('F-VTA'!$F$32,Tabla11[[#This Row],[Cuenta]],1))</f>
        <v>1</v>
      </c>
      <c r="AN782" t="b">
        <f>+ISNUMBER(SEARCH('F-VTA'!$F$33,Tabla11[[#This Row],[Cuenta]],1))</f>
        <v>1</v>
      </c>
      <c r="AO782" t="b">
        <f>+ISNUMBER(SEARCH('F-VTA'!$F$34,Tabla11[[#This Row],[Cuenta]],1))</f>
        <v>1</v>
      </c>
      <c r="AP782" t="b">
        <f>+ISNUMBER(SEARCH('F-VTA'!$F$35,Tabla11[[#This Row],[Cuenta]],1))</f>
        <v>1</v>
      </c>
      <c r="AQ782" t="b">
        <f>+ISNUMBER(SEARCH('F-VTA'!$F$36,Tabla11[[#This Row],[Cuenta]],1))</f>
        <v>1</v>
      </c>
      <c r="AR782" t="b">
        <f>+ISNUMBER(SEARCH(#REF!,Tabla11[[#This Row],[Cuenta]],1))</f>
        <v>0</v>
      </c>
      <c r="AS782" t="b">
        <f>+ISNUMBER(SEARCH(#REF!,Tabla11[[#This Row],[Cuenta]],1))</f>
        <v>0</v>
      </c>
      <c r="AT782" t="b">
        <f>+ISNUMBER(SEARCH(#REF!,Tabla11[[#This Row],[Cuenta]],1))</f>
        <v>0</v>
      </c>
      <c r="AU782" t="b">
        <f>+ISNUMBER(SEARCH('Conc. Ban.1'!$I$9,Tabla11[[#This Row],[Cuenta]],1))</f>
        <v>0</v>
      </c>
      <c r="AV782" t="b">
        <f>+ISNUMBER(SEARCH(CompConta!$F$21,Tabla11[[#This Row],[Cuenta]],1))</f>
        <v>1</v>
      </c>
      <c r="AW782" t="b">
        <f>+ISNUMBER(SEARCH(CompConta!$F$22,Tabla11[[#This Row],[Cuenta]],1))</f>
        <v>1</v>
      </c>
      <c r="AX782" t="b">
        <f>+ISNUMBER(SEARCH(CompConta!$F$23,Tabla11[[#This Row],[Cuenta]],1))</f>
        <v>1</v>
      </c>
      <c r="AY782" t="b">
        <f>+ISNUMBER(SEARCH(CompConta!$F$24,Tabla11[[#This Row],[Cuenta]],1))</f>
        <v>1</v>
      </c>
      <c r="AZ782" t="b">
        <f>+ISNUMBER(SEARCH(CompConta!$F$25,Tabla11[[#This Row],[Cuenta]],1))</f>
        <v>1</v>
      </c>
      <c r="BA782" t="b">
        <f>+ISNUMBER(SEARCH(CompConta!$F$26,Tabla11[[#This Row],[Cuenta]],1))</f>
        <v>1</v>
      </c>
      <c r="BB782" t="b">
        <f>+ISNUMBER(SEARCH(CompConta!$F$27,Tabla11[[#This Row],[Cuenta]],1))</f>
        <v>1</v>
      </c>
      <c r="BC782" t="b">
        <f>+ISNUMBER(SEARCH(CompConta!$F$28,Tabla11[[#This Row],[Cuenta]],1))</f>
        <v>1</v>
      </c>
      <c r="BD782" t="b">
        <f>+ISNUMBER(SEARCH(CompConta!$F$29,Tabla11[[#This Row],[Cuenta]],1))</f>
        <v>1</v>
      </c>
      <c r="BE782" t="b">
        <f>+ISNUMBER(SEARCH(CompConta!$F$30,Tabla11[[#This Row],[Cuenta]],1))</f>
        <v>1</v>
      </c>
      <c r="BF782" t="b">
        <f>+ISNUMBER(SEARCH('PAGO Compras'!$E$11,Tabla11[[#This Row],[Cuenta]],1))</f>
        <v>1</v>
      </c>
      <c r="BG782" t="b">
        <f>+ISNUMBER(SEARCH(#REF!,Tabla11[[#This Row],[Cuenta]],1))</f>
        <v>0</v>
      </c>
      <c r="BH782" t="b">
        <f>+ISNUMBER(SEARCH(#REF!,Tabla11[[#This Row],[Cuenta]],1))</f>
        <v>0</v>
      </c>
      <c r="BI782" t="b">
        <f>+ISNUMBER(SEARCH(#REF!,Tabla11[[#This Row],[Cuenta]],1))</f>
        <v>0</v>
      </c>
      <c r="BJ782" t="b">
        <f>+ISNUMBER(SEARCH(#REF!,Tabla11[[#This Row],[Cuenta]],1))</f>
        <v>0</v>
      </c>
      <c r="BS782" t="str">
        <v>510559 Pensiones de jubilación</v>
      </c>
      <c r="BT782" t="str">
        <v>510559 Pensiones de jubilación</v>
      </c>
      <c r="BU782" t="str">
        <v>510559 Pensiones de jubilación</v>
      </c>
      <c r="BV782" t="str">
        <v>510559 Pensiones de jubilación</v>
      </c>
      <c r="BZ782" t="str">
        <v>510559 Pensiones de jubilación</v>
      </c>
      <c r="CA782" t="str">
        <v>510559 Pensiones de jubilación</v>
      </c>
      <c r="CB782" t="str">
        <v>510559 Pensiones de jubilación</v>
      </c>
      <c r="CC782" t="str">
        <v>510559 Pensiones de jubilación</v>
      </c>
      <c r="CD782" t="str">
        <v>510559 Pensiones de jubilación</v>
      </c>
      <c r="CE782" t="str">
        <v>510559 Pensiones de jubilación</v>
      </c>
      <c r="CS782" s="141" t="str">
        <v>510559 Pensiones de jubilación</v>
      </c>
      <c r="CT782" s="141" t="str">
        <v>510559 Pensiones de jubilación</v>
      </c>
      <c r="CU782" s="141" t="str">
        <v>510559 Pensiones de jubilación</v>
      </c>
      <c r="CV782" s="141" t="str">
        <v>510559 Pensiones de jubilación</v>
      </c>
      <c r="CW782" s="141" t="str">
        <v>510559 Pensiones de jubilación</v>
      </c>
      <c r="CX782" s="141" t="str">
        <v>510559 Pensiones de jubilación</v>
      </c>
      <c r="CY782" s="141" t="str">
        <v>510559 Pensiones de jubilación</v>
      </c>
      <c r="CZ782" s="141" t="str">
        <v>510559 Pensiones de jubilación</v>
      </c>
      <c r="DA782" s="141" t="str">
        <v>510559 Pensiones de jubilación</v>
      </c>
      <c r="DF782" t="str">
        <v>510559 Pensiones de jubilación</v>
      </c>
      <c r="DG782" t="str">
        <v>510559 Pensiones de jubilación</v>
      </c>
      <c r="DH782" t="str">
        <v>510559 Pensiones de jubilación</v>
      </c>
      <c r="DI782" t="str">
        <v>510559 Pensiones de jubilación</v>
      </c>
      <c r="DJ782" t="str">
        <v>510559 Pensiones de jubilación</v>
      </c>
      <c r="DK782" t="str">
        <v>510559 Pensiones de jubilación</v>
      </c>
      <c r="DL782" t="str">
        <v>510559 Pensiones de jubilación</v>
      </c>
      <c r="DM782" t="str">
        <v>510559 Pensiones de jubilación</v>
      </c>
      <c r="DN782" t="str">
        <v>510559 Pensiones de jubilación</v>
      </c>
      <c r="DO782" t="str">
        <v>510559 Pensiones de jubilación</v>
      </c>
      <c r="DP782" t="str">
        <v>510559 Pensiones de jubilación</v>
      </c>
    </row>
    <row r="783" spans="4:120" ht="12.75">
      <c r="D783" s="7">
        <v>510560</v>
      </c>
      <c r="E783" s="6" t="s">
        <v>544</v>
      </c>
      <c r="F783" s="5">
        <v>4</v>
      </c>
      <c r="G783" s="34" t="s">
        <v>830</v>
      </c>
      <c r="H783" s="8" t="s">
        <v>32</v>
      </c>
      <c r="I783" t="b">
        <f>+ISNUMBER(SEARCH('F-COMPRA'!$F$28,Tabla11[[#This Row],[Cuenta]],1))</f>
        <v>1</v>
      </c>
      <c r="J783" t="b">
        <f>+ISNUMBER(SEARCH('F-COMPRA'!$F$29,Tabla11[[#This Row],[Cuenta]],1))</f>
        <v>1</v>
      </c>
      <c r="K783" t="b">
        <f>+ISNUMBER(SEARCH('F-COMPRA'!$F$30,Tabla11[[#This Row],[Cuenta]],1))</f>
        <v>1</v>
      </c>
      <c r="L783" t="b">
        <f>+ISNUMBER(SEARCH('F-COMPRA'!$F$31,Tabla11[[#This Row],[Cuenta]],1))</f>
        <v>1</v>
      </c>
      <c r="M783" t="b">
        <f>+ISNUMBER(SEARCH('F-COMPRA'!$G$25,Tabla11[[#This Row],[Cuenta]],1))</f>
        <v>0</v>
      </c>
      <c r="N783" t="b">
        <f>+ISNUMBER(SEARCH(#REF!,Tabla11[[#This Row],[Cuenta]],1))</f>
        <v>0</v>
      </c>
      <c r="O783" t="b">
        <f>+ISNUMBER(SEARCH(#REF!,Tabla11[[#This Row],[Cuenta]],1))</f>
        <v>0</v>
      </c>
      <c r="P783" t="b">
        <f>+ISNUMBER(SEARCH('F-COMPRA'!$F$32,Tabla11[[#This Row],[Cuenta]],1))</f>
        <v>1</v>
      </c>
      <c r="Q783" t="b">
        <f>+ISNUMBER(SEARCH('F-COMPRA'!$F$33,Tabla11[[#This Row],[Cuenta]],1))</f>
        <v>1</v>
      </c>
      <c r="R783" t="b">
        <f>+ISNUMBER(SEARCH('F-COMPRA'!$F$34,Tabla11[[#This Row],[Cuenta]],1))</f>
        <v>1</v>
      </c>
      <c r="S783" t="b">
        <f>+ISNUMBER(SEARCH('F-COMPRA'!$F$35,Tabla11[[#This Row],[Cuenta]],1))</f>
        <v>1</v>
      </c>
      <c r="T783" t="b">
        <f>+ISNUMBER(SEARCH('F-COMPRA'!$F$36,Tabla11[[#This Row],[Cuenta]],1))</f>
        <v>1</v>
      </c>
      <c r="U783" t="b">
        <f>+ISNUMBER(SEARCH('F-COMPRA'!$F$37,Tabla11[[#This Row],[Cuenta]],1))</f>
        <v>1</v>
      </c>
      <c r="V783" t="b">
        <f>+ISNUMBER(SEARCH(#REF!,Tabla11[[#This Row],[Cuenta]],1))</f>
        <v>0</v>
      </c>
      <c r="W783" t="b">
        <f>+ISNUMBER(SEARCH('F-COMPRA'!#REF!,Tabla11[[#This Row],[Cuenta]],1))</f>
        <v>0</v>
      </c>
      <c r="X783" t="b">
        <f>+ISNUMBER(SEARCH('F-COMPRA'!#REF!,Tabla11[[#This Row],[Cuenta]],1))</f>
        <v>0</v>
      </c>
      <c r="Y783" t="b">
        <f>+ISNUMBER(SEARCH('F-COMPRA'!#REF!,Tabla11[[#This Row],[Cuenta]],1))</f>
        <v>0</v>
      </c>
      <c r="Z783" t="b">
        <f>+ISNUMBER(SEARCH('F-COMPRA'!#REF!,Tabla11[[#This Row],[Cuenta]],1))</f>
        <v>0</v>
      </c>
      <c r="AA783" t="b">
        <f>+ISNUMBER(SEARCH('F-COMPRA'!#REF!,Tabla11[[#This Row],[Cuenta]],1))</f>
        <v>0</v>
      </c>
      <c r="AB783" t="b">
        <f>+ISNUMBER(SEARCH('F-COMPRA'!#REF!,Tabla11[[#This Row],[Cuenta]],1))</f>
        <v>0</v>
      </c>
      <c r="AC783" t="b">
        <f>+ISNUMBER(SEARCH('F-COMPRA'!#REF!,Tabla11[[#This Row],[Cuenta]],1))</f>
        <v>0</v>
      </c>
      <c r="AD783" t="b">
        <f>+ISNUMBER(SEARCH('F-COMPRA'!#REF!,Tabla11[[#This Row],[Cuenta]],1))</f>
        <v>0</v>
      </c>
      <c r="AE783" t="b">
        <f>+ISNUMBER(SEARCH('F-COMPRA'!#REF!,Tabla11[[#This Row],[Cuenta]],1))</f>
        <v>0</v>
      </c>
      <c r="AF783" t="b">
        <f>+ISNUMBER(SEARCH('F-VTA'!$G$23,Tabla11[[#This Row],[Cuenta]],1))</f>
        <v>0</v>
      </c>
      <c r="AG783" t="b">
        <f>+ISNUMBER(SEARCH('F-VTA'!$G$24,Tabla11[[#This Row],[Cuenta]],1))</f>
        <v>0</v>
      </c>
      <c r="AH783" t="b">
        <f>+ISNUMBER(SEARCH('F-VTA'!$G$25,Tabla11[[#This Row],[Cuenta]],1))</f>
        <v>0</v>
      </c>
      <c r="AI783" t="b">
        <f>+ISNUMBER(SEARCH('F-VTA'!$F$28,Tabla11[[#This Row],[Cuenta]],1))</f>
        <v>1</v>
      </c>
      <c r="AJ783" t="b">
        <f>+ISNUMBER(SEARCH('F-VTA'!$F$29,Tabla11[[#This Row],[Cuenta]],1))</f>
        <v>1</v>
      </c>
      <c r="AK783" t="b">
        <f>+ISNUMBER(SEARCH('F-VTA'!$F$30,Tabla11[[#This Row],[Cuenta]],1))</f>
        <v>1</v>
      </c>
      <c r="AL783" t="b">
        <f>+ISNUMBER(SEARCH('F-VTA'!$F$31,Tabla11[[#This Row],[Cuenta]],1))</f>
        <v>1</v>
      </c>
      <c r="AM783" t="b">
        <f>+ISNUMBER(SEARCH('F-VTA'!$F$32,Tabla11[[#This Row],[Cuenta]],1))</f>
        <v>1</v>
      </c>
      <c r="AN783" t="b">
        <f>+ISNUMBER(SEARCH('F-VTA'!$F$33,Tabla11[[#This Row],[Cuenta]],1))</f>
        <v>1</v>
      </c>
      <c r="AO783" t="b">
        <f>+ISNUMBER(SEARCH('F-VTA'!$F$34,Tabla11[[#This Row],[Cuenta]],1))</f>
        <v>1</v>
      </c>
      <c r="AP783" t="b">
        <f>+ISNUMBER(SEARCH('F-VTA'!$F$35,Tabla11[[#This Row],[Cuenta]],1))</f>
        <v>1</v>
      </c>
      <c r="AQ783" t="b">
        <f>+ISNUMBER(SEARCH('F-VTA'!$F$36,Tabla11[[#This Row],[Cuenta]],1))</f>
        <v>1</v>
      </c>
      <c r="AR783" t="b">
        <f>+ISNUMBER(SEARCH(#REF!,Tabla11[[#This Row],[Cuenta]],1))</f>
        <v>0</v>
      </c>
      <c r="AS783" t="b">
        <f>+ISNUMBER(SEARCH(#REF!,Tabla11[[#This Row],[Cuenta]],1))</f>
        <v>0</v>
      </c>
      <c r="AT783" t="b">
        <f>+ISNUMBER(SEARCH(#REF!,Tabla11[[#This Row],[Cuenta]],1))</f>
        <v>0</v>
      </c>
      <c r="AU783" t="b">
        <f>+ISNUMBER(SEARCH('Conc. Ban.1'!$I$9,Tabla11[[#This Row],[Cuenta]],1))</f>
        <v>0</v>
      </c>
      <c r="AV783" t="b">
        <f>+ISNUMBER(SEARCH(CompConta!$F$21,Tabla11[[#This Row],[Cuenta]],1))</f>
        <v>1</v>
      </c>
      <c r="AW783" t="b">
        <f>+ISNUMBER(SEARCH(CompConta!$F$22,Tabla11[[#This Row],[Cuenta]],1))</f>
        <v>1</v>
      </c>
      <c r="AX783" t="b">
        <f>+ISNUMBER(SEARCH(CompConta!$F$23,Tabla11[[#This Row],[Cuenta]],1))</f>
        <v>1</v>
      </c>
      <c r="AY783" t="b">
        <f>+ISNUMBER(SEARCH(CompConta!$F$24,Tabla11[[#This Row],[Cuenta]],1))</f>
        <v>1</v>
      </c>
      <c r="AZ783" t="b">
        <f>+ISNUMBER(SEARCH(CompConta!$F$25,Tabla11[[#This Row],[Cuenta]],1))</f>
        <v>1</v>
      </c>
      <c r="BA783" t="b">
        <f>+ISNUMBER(SEARCH(CompConta!$F$26,Tabla11[[#This Row],[Cuenta]],1))</f>
        <v>1</v>
      </c>
      <c r="BB783" t="b">
        <f>+ISNUMBER(SEARCH(CompConta!$F$27,Tabla11[[#This Row],[Cuenta]],1))</f>
        <v>1</v>
      </c>
      <c r="BC783" t="b">
        <f>+ISNUMBER(SEARCH(CompConta!$F$28,Tabla11[[#This Row],[Cuenta]],1))</f>
        <v>1</v>
      </c>
      <c r="BD783" t="b">
        <f>+ISNUMBER(SEARCH(CompConta!$F$29,Tabla11[[#This Row],[Cuenta]],1))</f>
        <v>1</v>
      </c>
      <c r="BE783" t="b">
        <f>+ISNUMBER(SEARCH(CompConta!$F$30,Tabla11[[#This Row],[Cuenta]],1))</f>
        <v>1</v>
      </c>
      <c r="BF783" t="b">
        <f>+ISNUMBER(SEARCH('PAGO Compras'!$E$11,Tabla11[[#This Row],[Cuenta]],1))</f>
        <v>1</v>
      </c>
      <c r="BG783" t="b">
        <f>+ISNUMBER(SEARCH(#REF!,Tabla11[[#This Row],[Cuenta]],1))</f>
        <v>0</v>
      </c>
      <c r="BH783" t="b">
        <f>+ISNUMBER(SEARCH(#REF!,Tabla11[[#This Row],[Cuenta]],1))</f>
        <v>0</v>
      </c>
      <c r="BI783" t="b">
        <f>+ISNUMBER(SEARCH(#REF!,Tabla11[[#This Row],[Cuenta]],1))</f>
        <v>0</v>
      </c>
      <c r="BJ783" t="b">
        <f>+ISNUMBER(SEARCH(#REF!,Tabla11[[#This Row],[Cuenta]],1))</f>
        <v>0</v>
      </c>
      <c r="BS783" t="str">
        <v>510560 Indemnizaciones laborales</v>
      </c>
      <c r="BT783" t="str">
        <v>510560 Indemnizaciones laborales</v>
      </c>
      <c r="BU783" t="str">
        <v>510560 Indemnizaciones laborales</v>
      </c>
      <c r="BV783" t="str">
        <v>510560 Indemnizaciones laborales</v>
      </c>
      <c r="BZ783" t="str">
        <v>510560 Indemnizaciones laborales</v>
      </c>
      <c r="CA783" t="str">
        <v>510560 Indemnizaciones laborales</v>
      </c>
      <c r="CB783" t="str">
        <v>510560 Indemnizaciones laborales</v>
      </c>
      <c r="CC783" t="str">
        <v>510560 Indemnizaciones laborales</v>
      </c>
      <c r="CD783" t="str">
        <v>510560 Indemnizaciones laborales</v>
      </c>
      <c r="CE783" t="str">
        <v>510560 Indemnizaciones laborales</v>
      </c>
      <c r="CS783" s="141" t="str">
        <v>510560 Indemnizaciones laborales</v>
      </c>
      <c r="CT783" s="141" t="str">
        <v>510560 Indemnizaciones laborales</v>
      </c>
      <c r="CU783" s="141" t="str">
        <v>510560 Indemnizaciones laborales</v>
      </c>
      <c r="CV783" s="141" t="str">
        <v>510560 Indemnizaciones laborales</v>
      </c>
      <c r="CW783" s="141" t="str">
        <v>510560 Indemnizaciones laborales</v>
      </c>
      <c r="CX783" s="141" t="str">
        <v>510560 Indemnizaciones laborales</v>
      </c>
      <c r="CY783" s="141" t="str">
        <v>510560 Indemnizaciones laborales</v>
      </c>
      <c r="CZ783" s="141" t="str">
        <v>510560 Indemnizaciones laborales</v>
      </c>
      <c r="DA783" s="141" t="str">
        <v>510560 Indemnizaciones laborales</v>
      </c>
      <c r="DF783" t="str">
        <v>510560 Indemnizaciones laborales</v>
      </c>
      <c r="DG783" t="str">
        <v>510560 Indemnizaciones laborales</v>
      </c>
      <c r="DH783" t="str">
        <v>510560 Indemnizaciones laborales</v>
      </c>
      <c r="DI783" t="str">
        <v>510560 Indemnizaciones laborales</v>
      </c>
      <c r="DJ783" t="str">
        <v>510560 Indemnizaciones laborales</v>
      </c>
      <c r="DK783" t="str">
        <v>510560 Indemnizaciones laborales</v>
      </c>
      <c r="DL783" t="str">
        <v>510560 Indemnizaciones laborales</v>
      </c>
      <c r="DM783" t="str">
        <v>510560 Indemnizaciones laborales</v>
      </c>
      <c r="DN783" t="str">
        <v>510560 Indemnizaciones laborales</v>
      </c>
      <c r="DO783" t="str">
        <v>510560 Indemnizaciones laborales</v>
      </c>
      <c r="DP783" t="str">
        <v>510560 Indemnizaciones laborales</v>
      </c>
    </row>
    <row r="784" spans="4:120" ht="12.75">
      <c r="D784" s="7">
        <v>510561</v>
      </c>
      <c r="E784" s="6" t="s">
        <v>545</v>
      </c>
      <c r="F784" s="5">
        <v>4</v>
      </c>
      <c r="G784" s="34" t="s">
        <v>830</v>
      </c>
      <c r="H784" s="8" t="s">
        <v>32</v>
      </c>
      <c r="I784" t="b">
        <f>+ISNUMBER(SEARCH('F-COMPRA'!$F$28,Tabla11[[#This Row],[Cuenta]],1))</f>
        <v>1</v>
      </c>
      <c r="J784" t="b">
        <f>+ISNUMBER(SEARCH('F-COMPRA'!$F$29,Tabla11[[#This Row],[Cuenta]],1))</f>
        <v>1</v>
      </c>
      <c r="K784" t="b">
        <f>+ISNUMBER(SEARCH('F-COMPRA'!$F$30,Tabla11[[#This Row],[Cuenta]],1))</f>
        <v>1</v>
      </c>
      <c r="L784" t="b">
        <f>+ISNUMBER(SEARCH('F-COMPRA'!$F$31,Tabla11[[#This Row],[Cuenta]],1))</f>
        <v>1</v>
      </c>
      <c r="M784" t="b">
        <f>+ISNUMBER(SEARCH('F-COMPRA'!$G$25,Tabla11[[#This Row],[Cuenta]],1))</f>
        <v>0</v>
      </c>
      <c r="N784" t="b">
        <f>+ISNUMBER(SEARCH(#REF!,Tabla11[[#This Row],[Cuenta]],1))</f>
        <v>0</v>
      </c>
      <c r="O784" t="b">
        <f>+ISNUMBER(SEARCH(#REF!,Tabla11[[#This Row],[Cuenta]],1))</f>
        <v>0</v>
      </c>
      <c r="P784" t="b">
        <f>+ISNUMBER(SEARCH('F-COMPRA'!$F$32,Tabla11[[#This Row],[Cuenta]],1))</f>
        <v>1</v>
      </c>
      <c r="Q784" t="b">
        <f>+ISNUMBER(SEARCH('F-COMPRA'!$F$33,Tabla11[[#This Row],[Cuenta]],1))</f>
        <v>1</v>
      </c>
      <c r="R784" t="b">
        <f>+ISNUMBER(SEARCH('F-COMPRA'!$F$34,Tabla11[[#This Row],[Cuenta]],1))</f>
        <v>1</v>
      </c>
      <c r="S784" t="b">
        <f>+ISNUMBER(SEARCH('F-COMPRA'!$F$35,Tabla11[[#This Row],[Cuenta]],1))</f>
        <v>1</v>
      </c>
      <c r="T784" t="b">
        <f>+ISNUMBER(SEARCH('F-COMPRA'!$F$36,Tabla11[[#This Row],[Cuenta]],1))</f>
        <v>1</v>
      </c>
      <c r="U784" t="b">
        <f>+ISNUMBER(SEARCH('F-COMPRA'!$F$37,Tabla11[[#This Row],[Cuenta]],1))</f>
        <v>1</v>
      </c>
      <c r="V784" t="b">
        <f>+ISNUMBER(SEARCH(#REF!,Tabla11[[#This Row],[Cuenta]],1))</f>
        <v>0</v>
      </c>
      <c r="W784" t="b">
        <f>+ISNUMBER(SEARCH('F-COMPRA'!#REF!,Tabla11[[#This Row],[Cuenta]],1))</f>
        <v>0</v>
      </c>
      <c r="X784" t="b">
        <f>+ISNUMBER(SEARCH('F-COMPRA'!#REF!,Tabla11[[#This Row],[Cuenta]],1))</f>
        <v>0</v>
      </c>
      <c r="Y784" t="b">
        <f>+ISNUMBER(SEARCH('F-COMPRA'!#REF!,Tabla11[[#This Row],[Cuenta]],1))</f>
        <v>0</v>
      </c>
      <c r="Z784" t="b">
        <f>+ISNUMBER(SEARCH('F-COMPRA'!#REF!,Tabla11[[#This Row],[Cuenta]],1))</f>
        <v>0</v>
      </c>
      <c r="AA784" t="b">
        <f>+ISNUMBER(SEARCH('F-COMPRA'!#REF!,Tabla11[[#This Row],[Cuenta]],1))</f>
        <v>0</v>
      </c>
      <c r="AB784" t="b">
        <f>+ISNUMBER(SEARCH('F-COMPRA'!#REF!,Tabla11[[#This Row],[Cuenta]],1))</f>
        <v>0</v>
      </c>
      <c r="AC784" t="b">
        <f>+ISNUMBER(SEARCH('F-COMPRA'!#REF!,Tabla11[[#This Row],[Cuenta]],1))</f>
        <v>0</v>
      </c>
      <c r="AD784" t="b">
        <f>+ISNUMBER(SEARCH('F-COMPRA'!#REF!,Tabla11[[#This Row],[Cuenta]],1))</f>
        <v>0</v>
      </c>
      <c r="AE784" t="b">
        <f>+ISNUMBER(SEARCH('F-COMPRA'!#REF!,Tabla11[[#This Row],[Cuenta]],1))</f>
        <v>0</v>
      </c>
      <c r="AF784" t="b">
        <f>+ISNUMBER(SEARCH('F-VTA'!$G$23,Tabla11[[#This Row],[Cuenta]],1))</f>
        <v>0</v>
      </c>
      <c r="AG784" t="b">
        <f>+ISNUMBER(SEARCH('F-VTA'!$G$24,Tabla11[[#This Row],[Cuenta]],1))</f>
        <v>0</v>
      </c>
      <c r="AH784" t="b">
        <f>+ISNUMBER(SEARCH('F-VTA'!$G$25,Tabla11[[#This Row],[Cuenta]],1))</f>
        <v>0</v>
      </c>
      <c r="AI784" t="b">
        <f>+ISNUMBER(SEARCH('F-VTA'!$F$28,Tabla11[[#This Row],[Cuenta]],1))</f>
        <v>1</v>
      </c>
      <c r="AJ784" t="b">
        <f>+ISNUMBER(SEARCH('F-VTA'!$F$29,Tabla11[[#This Row],[Cuenta]],1))</f>
        <v>1</v>
      </c>
      <c r="AK784" t="b">
        <f>+ISNUMBER(SEARCH('F-VTA'!$F$30,Tabla11[[#This Row],[Cuenta]],1))</f>
        <v>1</v>
      </c>
      <c r="AL784" t="b">
        <f>+ISNUMBER(SEARCH('F-VTA'!$F$31,Tabla11[[#This Row],[Cuenta]],1))</f>
        <v>1</v>
      </c>
      <c r="AM784" t="b">
        <f>+ISNUMBER(SEARCH('F-VTA'!$F$32,Tabla11[[#This Row],[Cuenta]],1))</f>
        <v>1</v>
      </c>
      <c r="AN784" t="b">
        <f>+ISNUMBER(SEARCH('F-VTA'!$F$33,Tabla11[[#This Row],[Cuenta]],1))</f>
        <v>1</v>
      </c>
      <c r="AO784" t="b">
        <f>+ISNUMBER(SEARCH('F-VTA'!$F$34,Tabla11[[#This Row],[Cuenta]],1))</f>
        <v>1</v>
      </c>
      <c r="AP784" t="b">
        <f>+ISNUMBER(SEARCH('F-VTA'!$F$35,Tabla11[[#This Row],[Cuenta]],1))</f>
        <v>1</v>
      </c>
      <c r="AQ784" t="b">
        <f>+ISNUMBER(SEARCH('F-VTA'!$F$36,Tabla11[[#This Row],[Cuenta]],1))</f>
        <v>1</v>
      </c>
      <c r="AR784" t="b">
        <f>+ISNUMBER(SEARCH(#REF!,Tabla11[[#This Row],[Cuenta]],1))</f>
        <v>0</v>
      </c>
      <c r="AS784" t="b">
        <f>+ISNUMBER(SEARCH(#REF!,Tabla11[[#This Row],[Cuenta]],1))</f>
        <v>0</v>
      </c>
      <c r="AT784" t="b">
        <f>+ISNUMBER(SEARCH(#REF!,Tabla11[[#This Row],[Cuenta]],1))</f>
        <v>0</v>
      </c>
      <c r="AU784" t="b">
        <f>+ISNUMBER(SEARCH('Conc. Ban.1'!$I$9,Tabla11[[#This Row],[Cuenta]],1))</f>
        <v>0</v>
      </c>
      <c r="AV784" t="b">
        <f>+ISNUMBER(SEARCH(CompConta!$F$21,Tabla11[[#This Row],[Cuenta]],1))</f>
        <v>1</v>
      </c>
      <c r="AW784" t="b">
        <f>+ISNUMBER(SEARCH(CompConta!$F$22,Tabla11[[#This Row],[Cuenta]],1))</f>
        <v>1</v>
      </c>
      <c r="AX784" t="b">
        <f>+ISNUMBER(SEARCH(CompConta!$F$23,Tabla11[[#This Row],[Cuenta]],1))</f>
        <v>1</v>
      </c>
      <c r="AY784" t="b">
        <f>+ISNUMBER(SEARCH(CompConta!$F$24,Tabla11[[#This Row],[Cuenta]],1))</f>
        <v>1</v>
      </c>
      <c r="AZ784" t="b">
        <f>+ISNUMBER(SEARCH(CompConta!$F$25,Tabla11[[#This Row],[Cuenta]],1))</f>
        <v>1</v>
      </c>
      <c r="BA784" t="b">
        <f>+ISNUMBER(SEARCH(CompConta!$F$26,Tabla11[[#This Row],[Cuenta]],1))</f>
        <v>1</v>
      </c>
      <c r="BB784" t="b">
        <f>+ISNUMBER(SEARCH(CompConta!$F$27,Tabla11[[#This Row],[Cuenta]],1))</f>
        <v>1</v>
      </c>
      <c r="BC784" t="b">
        <f>+ISNUMBER(SEARCH(CompConta!$F$28,Tabla11[[#This Row],[Cuenta]],1))</f>
        <v>1</v>
      </c>
      <c r="BD784" t="b">
        <f>+ISNUMBER(SEARCH(CompConta!$F$29,Tabla11[[#This Row],[Cuenta]],1))</f>
        <v>1</v>
      </c>
      <c r="BE784" t="b">
        <f>+ISNUMBER(SEARCH(CompConta!$F$30,Tabla11[[#This Row],[Cuenta]],1))</f>
        <v>1</v>
      </c>
      <c r="BF784" t="b">
        <f>+ISNUMBER(SEARCH('PAGO Compras'!$E$11,Tabla11[[#This Row],[Cuenta]],1))</f>
        <v>1</v>
      </c>
      <c r="BG784" t="b">
        <f>+ISNUMBER(SEARCH(#REF!,Tabla11[[#This Row],[Cuenta]],1))</f>
        <v>0</v>
      </c>
      <c r="BH784" t="b">
        <f>+ISNUMBER(SEARCH(#REF!,Tabla11[[#This Row],[Cuenta]],1))</f>
        <v>0</v>
      </c>
      <c r="BI784" t="b">
        <f>+ISNUMBER(SEARCH(#REF!,Tabla11[[#This Row],[Cuenta]],1))</f>
        <v>0</v>
      </c>
      <c r="BJ784" t="b">
        <f>+ISNUMBER(SEARCH(#REF!,Tabla11[[#This Row],[Cuenta]],1))</f>
        <v>0</v>
      </c>
      <c r="BS784" t="str">
        <v>510561 Amortización bonos pensionales</v>
      </c>
      <c r="BT784" t="str">
        <v>510561 Amortización bonos pensionales</v>
      </c>
      <c r="BU784" t="str">
        <v>510561 Amortización bonos pensionales</v>
      </c>
      <c r="BV784" t="str">
        <v>510561 Amortización bonos pensionales</v>
      </c>
      <c r="BZ784" t="str">
        <v>510561 Amortización bonos pensionales</v>
      </c>
      <c r="CA784" t="str">
        <v>510561 Amortización bonos pensionales</v>
      </c>
      <c r="CB784" t="str">
        <v>510561 Amortización bonos pensionales</v>
      </c>
      <c r="CC784" t="str">
        <v>510561 Amortización bonos pensionales</v>
      </c>
      <c r="CD784" t="str">
        <v>510561 Amortización bonos pensionales</v>
      </c>
      <c r="CE784" t="str">
        <v>510561 Amortización bonos pensionales</v>
      </c>
      <c r="CS784" s="141" t="str">
        <v>510561 Amortización bonos pensionales</v>
      </c>
      <c r="CT784" s="141" t="str">
        <v>510561 Amortización bonos pensionales</v>
      </c>
      <c r="CU784" s="141" t="str">
        <v>510561 Amortización bonos pensionales</v>
      </c>
      <c r="CV784" s="141" t="str">
        <v>510561 Amortización bonos pensionales</v>
      </c>
      <c r="CW784" s="141" t="str">
        <v>510561 Amortización bonos pensionales</v>
      </c>
      <c r="CX784" s="141" t="str">
        <v>510561 Amortización bonos pensionales</v>
      </c>
      <c r="CY784" s="141" t="str">
        <v>510561 Amortización bonos pensionales</v>
      </c>
      <c r="CZ784" s="141" t="str">
        <v>510561 Amortización bonos pensionales</v>
      </c>
      <c r="DA784" s="141" t="str">
        <v>510561 Amortización bonos pensionales</v>
      </c>
      <c r="DF784" t="str">
        <v>510561 Amortización bonos pensionales</v>
      </c>
      <c r="DG784" t="str">
        <v>510561 Amortización bonos pensionales</v>
      </c>
      <c r="DH784" t="str">
        <v>510561 Amortización bonos pensionales</v>
      </c>
      <c r="DI784" t="str">
        <v>510561 Amortización bonos pensionales</v>
      </c>
      <c r="DJ784" t="str">
        <v>510561 Amortización bonos pensionales</v>
      </c>
      <c r="DK784" t="str">
        <v>510561 Amortización bonos pensionales</v>
      </c>
      <c r="DL784" t="str">
        <v>510561 Amortización bonos pensionales</v>
      </c>
      <c r="DM784" t="str">
        <v>510561 Amortización bonos pensionales</v>
      </c>
      <c r="DN784" t="str">
        <v>510561 Amortización bonos pensionales</v>
      </c>
      <c r="DO784" t="str">
        <v>510561 Amortización bonos pensionales</v>
      </c>
      <c r="DP784" t="str">
        <v>510561 Amortización bonos pensionales</v>
      </c>
    </row>
    <row r="785" spans="4:120" ht="12.75">
      <c r="D785" s="7">
        <v>510562</v>
      </c>
      <c r="E785" s="6" t="s">
        <v>546</v>
      </c>
      <c r="F785" s="5">
        <v>4</v>
      </c>
      <c r="G785" s="34" t="s">
        <v>830</v>
      </c>
      <c r="H785" s="8" t="s">
        <v>32</v>
      </c>
      <c r="I785" t="b">
        <f>+ISNUMBER(SEARCH('F-COMPRA'!$F$28,Tabla11[[#This Row],[Cuenta]],1))</f>
        <v>1</v>
      </c>
      <c r="J785" t="b">
        <f>+ISNUMBER(SEARCH('F-COMPRA'!$F$29,Tabla11[[#This Row],[Cuenta]],1))</f>
        <v>1</v>
      </c>
      <c r="K785" t="b">
        <f>+ISNUMBER(SEARCH('F-COMPRA'!$F$30,Tabla11[[#This Row],[Cuenta]],1))</f>
        <v>1</v>
      </c>
      <c r="L785" t="b">
        <f>+ISNUMBER(SEARCH('F-COMPRA'!$F$31,Tabla11[[#This Row],[Cuenta]],1))</f>
        <v>1</v>
      </c>
      <c r="M785" t="b">
        <f>+ISNUMBER(SEARCH('F-COMPRA'!$G$25,Tabla11[[#This Row],[Cuenta]],1))</f>
        <v>0</v>
      </c>
      <c r="N785" t="b">
        <f>+ISNUMBER(SEARCH(#REF!,Tabla11[[#This Row],[Cuenta]],1))</f>
        <v>0</v>
      </c>
      <c r="O785" t="b">
        <f>+ISNUMBER(SEARCH(#REF!,Tabla11[[#This Row],[Cuenta]],1))</f>
        <v>0</v>
      </c>
      <c r="P785" t="b">
        <f>+ISNUMBER(SEARCH('F-COMPRA'!$F$32,Tabla11[[#This Row],[Cuenta]],1))</f>
        <v>1</v>
      </c>
      <c r="Q785" t="b">
        <f>+ISNUMBER(SEARCH('F-COMPRA'!$F$33,Tabla11[[#This Row],[Cuenta]],1))</f>
        <v>1</v>
      </c>
      <c r="R785" t="b">
        <f>+ISNUMBER(SEARCH('F-COMPRA'!$F$34,Tabla11[[#This Row],[Cuenta]],1))</f>
        <v>1</v>
      </c>
      <c r="S785" t="b">
        <f>+ISNUMBER(SEARCH('F-COMPRA'!$F$35,Tabla11[[#This Row],[Cuenta]],1))</f>
        <v>1</v>
      </c>
      <c r="T785" t="b">
        <f>+ISNUMBER(SEARCH('F-COMPRA'!$F$36,Tabla11[[#This Row],[Cuenta]],1))</f>
        <v>1</v>
      </c>
      <c r="U785" t="b">
        <f>+ISNUMBER(SEARCH('F-COMPRA'!$F$37,Tabla11[[#This Row],[Cuenta]],1))</f>
        <v>1</v>
      </c>
      <c r="V785" t="b">
        <f>+ISNUMBER(SEARCH(#REF!,Tabla11[[#This Row],[Cuenta]],1))</f>
        <v>0</v>
      </c>
      <c r="W785" t="b">
        <f>+ISNUMBER(SEARCH('F-COMPRA'!#REF!,Tabla11[[#This Row],[Cuenta]],1))</f>
        <v>0</v>
      </c>
      <c r="X785" t="b">
        <f>+ISNUMBER(SEARCH('F-COMPRA'!#REF!,Tabla11[[#This Row],[Cuenta]],1))</f>
        <v>0</v>
      </c>
      <c r="Y785" t="b">
        <f>+ISNUMBER(SEARCH('F-COMPRA'!#REF!,Tabla11[[#This Row],[Cuenta]],1))</f>
        <v>0</v>
      </c>
      <c r="Z785" t="b">
        <f>+ISNUMBER(SEARCH('F-COMPRA'!#REF!,Tabla11[[#This Row],[Cuenta]],1))</f>
        <v>0</v>
      </c>
      <c r="AA785" t="b">
        <f>+ISNUMBER(SEARCH('F-COMPRA'!#REF!,Tabla11[[#This Row],[Cuenta]],1))</f>
        <v>0</v>
      </c>
      <c r="AB785" t="b">
        <f>+ISNUMBER(SEARCH('F-COMPRA'!#REF!,Tabla11[[#This Row],[Cuenta]],1))</f>
        <v>0</v>
      </c>
      <c r="AC785" t="b">
        <f>+ISNUMBER(SEARCH('F-COMPRA'!#REF!,Tabla11[[#This Row],[Cuenta]],1))</f>
        <v>0</v>
      </c>
      <c r="AD785" t="b">
        <f>+ISNUMBER(SEARCH('F-COMPRA'!#REF!,Tabla11[[#This Row],[Cuenta]],1))</f>
        <v>0</v>
      </c>
      <c r="AE785" t="b">
        <f>+ISNUMBER(SEARCH('F-COMPRA'!#REF!,Tabla11[[#This Row],[Cuenta]],1))</f>
        <v>0</v>
      </c>
      <c r="AF785" t="b">
        <f>+ISNUMBER(SEARCH('F-VTA'!$G$23,Tabla11[[#This Row],[Cuenta]],1))</f>
        <v>0</v>
      </c>
      <c r="AG785" t="b">
        <f>+ISNUMBER(SEARCH('F-VTA'!$G$24,Tabla11[[#This Row],[Cuenta]],1))</f>
        <v>0</v>
      </c>
      <c r="AH785" t="b">
        <f>+ISNUMBER(SEARCH('F-VTA'!$G$25,Tabla11[[#This Row],[Cuenta]],1))</f>
        <v>0</v>
      </c>
      <c r="AI785" t="b">
        <f>+ISNUMBER(SEARCH('F-VTA'!$F$28,Tabla11[[#This Row],[Cuenta]],1))</f>
        <v>1</v>
      </c>
      <c r="AJ785" t="b">
        <f>+ISNUMBER(SEARCH('F-VTA'!$F$29,Tabla11[[#This Row],[Cuenta]],1))</f>
        <v>1</v>
      </c>
      <c r="AK785" t="b">
        <f>+ISNUMBER(SEARCH('F-VTA'!$F$30,Tabla11[[#This Row],[Cuenta]],1))</f>
        <v>1</v>
      </c>
      <c r="AL785" t="b">
        <f>+ISNUMBER(SEARCH('F-VTA'!$F$31,Tabla11[[#This Row],[Cuenta]],1))</f>
        <v>1</v>
      </c>
      <c r="AM785" t="b">
        <f>+ISNUMBER(SEARCH('F-VTA'!$F$32,Tabla11[[#This Row],[Cuenta]],1))</f>
        <v>1</v>
      </c>
      <c r="AN785" t="b">
        <f>+ISNUMBER(SEARCH('F-VTA'!$F$33,Tabla11[[#This Row],[Cuenta]],1))</f>
        <v>1</v>
      </c>
      <c r="AO785" t="b">
        <f>+ISNUMBER(SEARCH('F-VTA'!$F$34,Tabla11[[#This Row],[Cuenta]],1))</f>
        <v>1</v>
      </c>
      <c r="AP785" t="b">
        <f>+ISNUMBER(SEARCH('F-VTA'!$F$35,Tabla11[[#This Row],[Cuenta]],1))</f>
        <v>1</v>
      </c>
      <c r="AQ785" t="b">
        <f>+ISNUMBER(SEARCH('F-VTA'!$F$36,Tabla11[[#This Row],[Cuenta]],1))</f>
        <v>1</v>
      </c>
      <c r="AR785" t="b">
        <f>+ISNUMBER(SEARCH(#REF!,Tabla11[[#This Row],[Cuenta]],1))</f>
        <v>0</v>
      </c>
      <c r="AS785" t="b">
        <f>+ISNUMBER(SEARCH(#REF!,Tabla11[[#This Row],[Cuenta]],1))</f>
        <v>0</v>
      </c>
      <c r="AT785" t="b">
        <f>+ISNUMBER(SEARCH(#REF!,Tabla11[[#This Row],[Cuenta]],1))</f>
        <v>0</v>
      </c>
      <c r="AU785" t="b">
        <f>+ISNUMBER(SEARCH('Conc. Ban.1'!$I$9,Tabla11[[#This Row],[Cuenta]],1))</f>
        <v>0</v>
      </c>
      <c r="AV785" t="b">
        <f>+ISNUMBER(SEARCH(CompConta!$F$21,Tabla11[[#This Row],[Cuenta]],1))</f>
        <v>1</v>
      </c>
      <c r="AW785" t="b">
        <f>+ISNUMBER(SEARCH(CompConta!$F$22,Tabla11[[#This Row],[Cuenta]],1))</f>
        <v>1</v>
      </c>
      <c r="AX785" t="b">
        <f>+ISNUMBER(SEARCH(CompConta!$F$23,Tabla11[[#This Row],[Cuenta]],1))</f>
        <v>1</v>
      </c>
      <c r="AY785" t="b">
        <f>+ISNUMBER(SEARCH(CompConta!$F$24,Tabla11[[#This Row],[Cuenta]],1))</f>
        <v>1</v>
      </c>
      <c r="AZ785" t="b">
        <f>+ISNUMBER(SEARCH(CompConta!$F$25,Tabla11[[#This Row],[Cuenta]],1))</f>
        <v>1</v>
      </c>
      <c r="BA785" t="b">
        <f>+ISNUMBER(SEARCH(CompConta!$F$26,Tabla11[[#This Row],[Cuenta]],1))</f>
        <v>1</v>
      </c>
      <c r="BB785" t="b">
        <f>+ISNUMBER(SEARCH(CompConta!$F$27,Tabla11[[#This Row],[Cuenta]],1))</f>
        <v>1</v>
      </c>
      <c r="BC785" t="b">
        <f>+ISNUMBER(SEARCH(CompConta!$F$28,Tabla11[[#This Row],[Cuenta]],1))</f>
        <v>1</v>
      </c>
      <c r="BD785" t="b">
        <f>+ISNUMBER(SEARCH(CompConta!$F$29,Tabla11[[#This Row],[Cuenta]],1))</f>
        <v>1</v>
      </c>
      <c r="BE785" t="b">
        <f>+ISNUMBER(SEARCH(CompConta!$F$30,Tabla11[[#This Row],[Cuenta]],1))</f>
        <v>1</v>
      </c>
      <c r="BF785" t="b">
        <f>+ISNUMBER(SEARCH('PAGO Compras'!$E$11,Tabla11[[#This Row],[Cuenta]],1))</f>
        <v>1</v>
      </c>
      <c r="BG785" t="b">
        <f>+ISNUMBER(SEARCH(#REF!,Tabla11[[#This Row],[Cuenta]],1))</f>
        <v>0</v>
      </c>
      <c r="BH785" t="b">
        <f>+ISNUMBER(SEARCH(#REF!,Tabla11[[#This Row],[Cuenta]],1))</f>
        <v>0</v>
      </c>
      <c r="BI785" t="b">
        <f>+ISNUMBER(SEARCH(#REF!,Tabla11[[#This Row],[Cuenta]],1))</f>
        <v>0</v>
      </c>
      <c r="BJ785" t="b">
        <f>+ISNUMBER(SEARCH(#REF!,Tabla11[[#This Row],[Cuenta]],1))</f>
        <v>0</v>
      </c>
      <c r="BS785" t="str">
        <v>510562 Amortización títulos pensionales</v>
      </c>
      <c r="BT785" t="str">
        <v>510562 Amortización títulos pensionales</v>
      </c>
      <c r="BU785" t="str">
        <v>510562 Amortización títulos pensionales</v>
      </c>
      <c r="BV785" t="str">
        <v>510562 Amortización títulos pensionales</v>
      </c>
      <c r="BZ785" t="str">
        <v>510562 Amortización títulos pensionales</v>
      </c>
      <c r="CA785" t="str">
        <v>510562 Amortización títulos pensionales</v>
      </c>
      <c r="CB785" t="str">
        <v>510562 Amortización títulos pensionales</v>
      </c>
      <c r="CC785" t="str">
        <v>510562 Amortización títulos pensionales</v>
      </c>
      <c r="CD785" t="str">
        <v>510562 Amortización títulos pensionales</v>
      </c>
      <c r="CE785" t="str">
        <v>510562 Amortización títulos pensionales</v>
      </c>
      <c r="CS785" s="141" t="str">
        <v>510562 Amortización títulos pensionales</v>
      </c>
      <c r="CT785" s="141" t="str">
        <v>510562 Amortización títulos pensionales</v>
      </c>
      <c r="CU785" s="141" t="str">
        <v>510562 Amortización títulos pensionales</v>
      </c>
      <c r="CV785" s="141" t="str">
        <v>510562 Amortización títulos pensionales</v>
      </c>
      <c r="CW785" s="141" t="str">
        <v>510562 Amortización títulos pensionales</v>
      </c>
      <c r="CX785" s="141" t="str">
        <v>510562 Amortización títulos pensionales</v>
      </c>
      <c r="CY785" s="141" t="str">
        <v>510562 Amortización títulos pensionales</v>
      </c>
      <c r="CZ785" s="141" t="str">
        <v>510562 Amortización títulos pensionales</v>
      </c>
      <c r="DA785" s="141" t="str">
        <v>510562 Amortización títulos pensionales</v>
      </c>
      <c r="DF785" t="str">
        <v>510562 Amortización títulos pensionales</v>
      </c>
      <c r="DG785" t="str">
        <v>510562 Amortización títulos pensionales</v>
      </c>
      <c r="DH785" t="str">
        <v>510562 Amortización títulos pensionales</v>
      </c>
      <c r="DI785" t="str">
        <v>510562 Amortización títulos pensionales</v>
      </c>
      <c r="DJ785" t="str">
        <v>510562 Amortización títulos pensionales</v>
      </c>
      <c r="DK785" t="str">
        <v>510562 Amortización títulos pensionales</v>
      </c>
      <c r="DL785" t="str">
        <v>510562 Amortización títulos pensionales</v>
      </c>
      <c r="DM785" t="str">
        <v>510562 Amortización títulos pensionales</v>
      </c>
      <c r="DN785" t="str">
        <v>510562 Amortización títulos pensionales</v>
      </c>
      <c r="DO785" t="str">
        <v>510562 Amortización títulos pensionales</v>
      </c>
      <c r="DP785" t="str">
        <v>510562 Amortización títulos pensionales</v>
      </c>
    </row>
    <row r="786" spans="4:120" ht="12.75">
      <c r="D786" s="7">
        <v>510563</v>
      </c>
      <c r="E786" s="6" t="s">
        <v>547</v>
      </c>
      <c r="F786" s="5">
        <v>4</v>
      </c>
      <c r="G786" s="34" t="s">
        <v>830</v>
      </c>
      <c r="H786" s="8" t="s">
        <v>32</v>
      </c>
      <c r="I786" t="b">
        <f>+ISNUMBER(SEARCH('F-COMPRA'!$F$28,Tabla11[[#This Row],[Cuenta]],1))</f>
        <v>1</v>
      </c>
      <c r="J786" t="b">
        <f>+ISNUMBER(SEARCH('F-COMPRA'!$F$29,Tabla11[[#This Row],[Cuenta]],1))</f>
        <v>1</v>
      </c>
      <c r="K786" t="b">
        <f>+ISNUMBER(SEARCH('F-COMPRA'!$F$30,Tabla11[[#This Row],[Cuenta]],1))</f>
        <v>1</v>
      </c>
      <c r="L786" t="b">
        <f>+ISNUMBER(SEARCH('F-COMPRA'!$F$31,Tabla11[[#This Row],[Cuenta]],1))</f>
        <v>1</v>
      </c>
      <c r="M786" t="b">
        <f>+ISNUMBER(SEARCH('F-COMPRA'!$G$25,Tabla11[[#This Row],[Cuenta]],1))</f>
        <v>0</v>
      </c>
      <c r="N786" t="b">
        <f>+ISNUMBER(SEARCH(#REF!,Tabla11[[#This Row],[Cuenta]],1))</f>
        <v>0</v>
      </c>
      <c r="O786" t="b">
        <f>+ISNUMBER(SEARCH(#REF!,Tabla11[[#This Row],[Cuenta]],1))</f>
        <v>0</v>
      </c>
      <c r="P786" t="b">
        <f>+ISNUMBER(SEARCH('F-COMPRA'!$F$32,Tabla11[[#This Row],[Cuenta]],1))</f>
        <v>1</v>
      </c>
      <c r="Q786" t="b">
        <f>+ISNUMBER(SEARCH('F-COMPRA'!$F$33,Tabla11[[#This Row],[Cuenta]],1))</f>
        <v>1</v>
      </c>
      <c r="R786" t="b">
        <f>+ISNUMBER(SEARCH('F-COMPRA'!$F$34,Tabla11[[#This Row],[Cuenta]],1))</f>
        <v>1</v>
      </c>
      <c r="S786" t="b">
        <f>+ISNUMBER(SEARCH('F-COMPRA'!$F$35,Tabla11[[#This Row],[Cuenta]],1))</f>
        <v>1</v>
      </c>
      <c r="T786" t="b">
        <f>+ISNUMBER(SEARCH('F-COMPRA'!$F$36,Tabla11[[#This Row],[Cuenta]],1))</f>
        <v>1</v>
      </c>
      <c r="U786" t="b">
        <f>+ISNUMBER(SEARCH('F-COMPRA'!$F$37,Tabla11[[#This Row],[Cuenta]],1))</f>
        <v>1</v>
      </c>
      <c r="V786" t="b">
        <f>+ISNUMBER(SEARCH(#REF!,Tabla11[[#This Row],[Cuenta]],1))</f>
        <v>0</v>
      </c>
      <c r="W786" t="b">
        <f>+ISNUMBER(SEARCH('F-COMPRA'!#REF!,Tabla11[[#This Row],[Cuenta]],1))</f>
        <v>0</v>
      </c>
      <c r="X786" t="b">
        <f>+ISNUMBER(SEARCH('F-COMPRA'!#REF!,Tabla11[[#This Row],[Cuenta]],1))</f>
        <v>0</v>
      </c>
      <c r="Y786" t="b">
        <f>+ISNUMBER(SEARCH('F-COMPRA'!#REF!,Tabla11[[#This Row],[Cuenta]],1))</f>
        <v>0</v>
      </c>
      <c r="Z786" t="b">
        <f>+ISNUMBER(SEARCH('F-COMPRA'!#REF!,Tabla11[[#This Row],[Cuenta]],1))</f>
        <v>0</v>
      </c>
      <c r="AA786" t="b">
        <f>+ISNUMBER(SEARCH('F-COMPRA'!#REF!,Tabla11[[#This Row],[Cuenta]],1))</f>
        <v>0</v>
      </c>
      <c r="AB786" t="b">
        <f>+ISNUMBER(SEARCH('F-COMPRA'!#REF!,Tabla11[[#This Row],[Cuenta]],1))</f>
        <v>0</v>
      </c>
      <c r="AC786" t="b">
        <f>+ISNUMBER(SEARCH('F-COMPRA'!#REF!,Tabla11[[#This Row],[Cuenta]],1))</f>
        <v>0</v>
      </c>
      <c r="AD786" t="b">
        <f>+ISNUMBER(SEARCH('F-COMPRA'!#REF!,Tabla11[[#This Row],[Cuenta]],1))</f>
        <v>0</v>
      </c>
      <c r="AE786" t="b">
        <f>+ISNUMBER(SEARCH('F-COMPRA'!#REF!,Tabla11[[#This Row],[Cuenta]],1))</f>
        <v>0</v>
      </c>
      <c r="AF786" t="b">
        <f>+ISNUMBER(SEARCH('F-VTA'!$G$23,Tabla11[[#This Row],[Cuenta]],1))</f>
        <v>0</v>
      </c>
      <c r="AG786" t="b">
        <f>+ISNUMBER(SEARCH('F-VTA'!$G$24,Tabla11[[#This Row],[Cuenta]],1))</f>
        <v>0</v>
      </c>
      <c r="AH786" t="b">
        <f>+ISNUMBER(SEARCH('F-VTA'!$G$25,Tabla11[[#This Row],[Cuenta]],1))</f>
        <v>0</v>
      </c>
      <c r="AI786" t="b">
        <f>+ISNUMBER(SEARCH('F-VTA'!$F$28,Tabla11[[#This Row],[Cuenta]],1))</f>
        <v>1</v>
      </c>
      <c r="AJ786" t="b">
        <f>+ISNUMBER(SEARCH('F-VTA'!$F$29,Tabla11[[#This Row],[Cuenta]],1))</f>
        <v>1</v>
      </c>
      <c r="AK786" t="b">
        <f>+ISNUMBER(SEARCH('F-VTA'!$F$30,Tabla11[[#This Row],[Cuenta]],1))</f>
        <v>1</v>
      </c>
      <c r="AL786" t="b">
        <f>+ISNUMBER(SEARCH('F-VTA'!$F$31,Tabla11[[#This Row],[Cuenta]],1))</f>
        <v>1</v>
      </c>
      <c r="AM786" t="b">
        <f>+ISNUMBER(SEARCH('F-VTA'!$F$32,Tabla11[[#This Row],[Cuenta]],1))</f>
        <v>1</v>
      </c>
      <c r="AN786" t="b">
        <f>+ISNUMBER(SEARCH('F-VTA'!$F$33,Tabla11[[#This Row],[Cuenta]],1))</f>
        <v>1</v>
      </c>
      <c r="AO786" t="b">
        <f>+ISNUMBER(SEARCH('F-VTA'!$F$34,Tabla11[[#This Row],[Cuenta]],1))</f>
        <v>1</v>
      </c>
      <c r="AP786" t="b">
        <f>+ISNUMBER(SEARCH('F-VTA'!$F$35,Tabla11[[#This Row],[Cuenta]],1))</f>
        <v>1</v>
      </c>
      <c r="AQ786" t="b">
        <f>+ISNUMBER(SEARCH('F-VTA'!$F$36,Tabla11[[#This Row],[Cuenta]],1))</f>
        <v>1</v>
      </c>
      <c r="AR786" t="b">
        <f>+ISNUMBER(SEARCH(#REF!,Tabla11[[#This Row],[Cuenta]],1))</f>
        <v>0</v>
      </c>
      <c r="AS786" t="b">
        <f>+ISNUMBER(SEARCH(#REF!,Tabla11[[#This Row],[Cuenta]],1))</f>
        <v>0</v>
      </c>
      <c r="AT786" t="b">
        <f>+ISNUMBER(SEARCH(#REF!,Tabla11[[#This Row],[Cuenta]],1))</f>
        <v>0</v>
      </c>
      <c r="AU786" t="b">
        <f>+ISNUMBER(SEARCH('Conc. Ban.1'!$I$9,Tabla11[[#This Row],[Cuenta]],1))</f>
        <v>0</v>
      </c>
      <c r="AV786" t="b">
        <f>+ISNUMBER(SEARCH(CompConta!$F$21,Tabla11[[#This Row],[Cuenta]],1))</f>
        <v>1</v>
      </c>
      <c r="AW786" t="b">
        <f>+ISNUMBER(SEARCH(CompConta!$F$22,Tabla11[[#This Row],[Cuenta]],1))</f>
        <v>1</v>
      </c>
      <c r="AX786" t="b">
        <f>+ISNUMBER(SEARCH(CompConta!$F$23,Tabla11[[#This Row],[Cuenta]],1))</f>
        <v>1</v>
      </c>
      <c r="AY786" t="b">
        <f>+ISNUMBER(SEARCH(CompConta!$F$24,Tabla11[[#This Row],[Cuenta]],1))</f>
        <v>1</v>
      </c>
      <c r="AZ786" t="b">
        <f>+ISNUMBER(SEARCH(CompConta!$F$25,Tabla11[[#This Row],[Cuenta]],1))</f>
        <v>1</v>
      </c>
      <c r="BA786" t="b">
        <f>+ISNUMBER(SEARCH(CompConta!$F$26,Tabla11[[#This Row],[Cuenta]],1))</f>
        <v>1</v>
      </c>
      <c r="BB786" t="b">
        <f>+ISNUMBER(SEARCH(CompConta!$F$27,Tabla11[[#This Row],[Cuenta]],1))</f>
        <v>1</v>
      </c>
      <c r="BC786" t="b">
        <f>+ISNUMBER(SEARCH(CompConta!$F$28,Tabla11[[#This Row],[Cuenta]],1))</f>
        <v>1</v>
      </c>
      <c r="BD786" t="b">
        <f>+ISNUMBER(SEARCH(CompConta!$F$29,Tabla11[[#This Row],[Cuenta]],1))</f>
        <v>1</v>
      </c>
      <c r="BE786" t="b">
        <f>+ISNUMBER(SEARCH(CompConta!$F$30,Tabla11[[#This Row],[Cuenta]],1))</f>
        <v>1</v>
      </c>
      <c r="BF786" t="b">
        <f>+ISNUMBER(SEARCH('PAGO Compras'!$E$11,Tabla11[[#This Row],[Cuenta]],1))</f>
        <v>1</v>
      </c>
      <c r="BG786" t="b">
        <f>+ISNUMBER(SEARCH(#REF!,Tabla11[[#This Row],[Cuenta]],1))</f>
        <v>0</v>
      </c>
      <c r="BH786" t="b">
        <f>+ISNUMBER(SEARCH(#REF!,Tabla11[[#This Row],[Cuenta]],1))</f>
        <v>0</v>
      </c>
      <c r="BI786" t="b">
        <f>+ISNUMBER(SEARCH(#REF!,Tabla11[[#This Row],[Cuenta]],1))</f>
        <v>0</v>
      </c>
      <c r="BJ786" t="b">
        <f>+ISNUMBER(SEARCH(#REF!,Tabla11[[#This Row],[Cuenta]],1))</f>
        <v>0</v>
      </c>
      <c r="BS786" t="str">
        <v>510563 Capacitación al personal</v>
      </c>
      <c r="BT786" t="str">
        <v>510563 Capacitación al personal</v>
      </c>
      <c r="BU786" t="str">
        <v>510563 Capacitación al personal</v>
      </c>
      <c r="BV786" t="str">
        <v>510563 Capacitación al personal</v>
      </c>
      <c r="BZ786" t="str">
        <v>510563 Capacitación al personal</v>
      </c>
      <c r="CA786" t="str">
        <v>510563 Capacitación al personal</v>
      </c>
      <c r="CB786" t="str">
        <v>510563 Capacitación al personal</v>
      </c>
      <c r="CC786" t="str">
        <v>510563 Capacitación al personal</v>
      </c>
      <c r="CD786" t="str">
        <v>510563 Capacitación al personal</v>
      </c>
      <c r="CE786" t="str">
        <v>510563 Capacitación al personal</v>
      </c>
      <c r="CS786" s="141" t="str">
        <v>510563 Capacitación al personal</v>
      </c>
      <c r="CT786" s="141" t="str">
        <v>510563 Capacitación al personal</v>
      </c>
      <c r="CU786" s="141" t="str">
        <v>510563 Capacitación al personal</v>
      </c>
      <c r="CV786" s="141" t="str">
        <v>510563 Capacitación al personal</v>
      </c>
      <c r="CW786" s="141" t="str">
        <v>510563 Capacitación al personal</v>
      </c>
      <c r="CX786" s="141" t="str">
        <v>510563 Capacitación al personal</v>
      </c>
      <c r="CY786" s="141" t="str">
        <v>510563 Capacitación al personal</v>
      </c>
      <c r="CZ786" s="141" t="str">
        <v>510563 Capacitación al personal</v>
      </c>
      <c r="DA786" s="141" t="str">
        <v>510563 Capacitación al personal</v>
      </c>
      <c r="DF786" t="str">
        <v>510563 Capacitación al personal</v>
      </c>
      <c r="DG786" t="str">
        <v>510563 Capacitación al personal</v>
      </c>
      <c r="DH786" t="str">
        <v>510563 Capacitación al personal</v>
      </c>
      <c r="DI786" t="str">
        <v>510563 Capacitación al personal</v>
      </c>
      <c r="DJ786" t="str">
        <v>510563 Capacitación al personal</v>
      </c>
      <c r="DK786" t="str">
        <v>510563 Capacitación al personal</v>
      </c>
      <c r="DL786" t="str">
        <v>510563 Capacitación al personal</v>
      </c>
      <c r="DM786" t="str">
        <v>510563 Capacitación al personal</v>
      </c>
      <c r="DN786" t="str">
        <v>510563 Capacitación al personal</v>
      </c>
      <c r="DO786" t="str">
        <v>510563 Capacitación al personal</v>
      </c>
      <c r="DP786" t="str">
        <v>510563 Capacitación al personal</v>
      </c>
    </row>
    <row r="787" spans="4:120" ht="12.75">
      <c r="D787" s="7">
        <v>510566</v>
      </c>
      <c r="E787" s="6" t="s">
        <v>548</v>
      </c>
      <c r="F787" s="5">
        <v>4</v>
      </c>
      <c r="G787" s="34" t="s">
        <v>830</v>
      </c>
      <c r="H787" s="8" t="s">
        <v>32</v>
      </c>
      <c r="I787" t="b">
        <f>+ISNUMBER(SEARCH('F-COMPRA'!$F$28,Tabla11[[#This Row],[Cuenta]],1))</f>
        <v>1</v>
      </c>
      <c r="J787" t="b">
        <f>+ISNUMBER(SEARCH('F-COMPRA'!$F$29,Tabla11[[#This Row],[Cuenta]],1))</f>
        <v>1</v>
      </c>
      <c r="K787" t="b">
        <f>+ISNUMBER(SEARCH('F-COMPRA'!$F$30,Tabla11[[#This Row],[Cuenta]],1))</f>
        <v>1</v>
      </c>
      <c r="L787" t="b">
        <f>+ISNUMBER(SEARCH('F-COMPRA'!$F$31,Tabla11[[#This Row],[Cuenta]],1))</f>
        <v>1</v>
      </c>
      <c r="M787" t="b">
        <f>+ISNUMBER(SEARCH('F-COMPRA'!$G$25,Tabla11[[#This Row],[Cuenta]],1))</f>
        <v>0</v>
      </c>
      <c r="N787" t="b">
        <f>+ISNUMBER(SEARCH(#REF!,Tabla11[[#This Row],[Cuenta]],1))</f>
        <v>0</v>
      </c>
      <c r="O787" t="b">
        <f>+ISNUMBER(SEARCH(#REF!,Tabla11[[#This Row],[Cuenta]],1))</f>
        <v>0</v>
      </c>
      <c r="P787" t="b">
        <f>+ISNUMBER(SEARCH('F-COMPRA'!$F$32,Tabla11[[#This Row],[Cuenta]],1))</f>
        <v>1</v>
      </c>
      <c r="Q787" t="b">
        <f>+ISNUMBER(SEARCH('F-COMPRA'!$F$33,Tabla11[[#This Row],[Cuenta]],1))</f>
        <v>1</v>
      </c>
      <c r="R787" t="b">
        <f>+ISNUMBER(SEARCH('F-COMPRA'!$F$34,Tabla11[[#This Row],[Cuenta]],1))</f>
        <v>1</v>
      </c>
      <c r="S787" t="b">
        <f>+ISNUMBER(SEARCH('F-COMPRA'!$F$35,Tabla11[[#This Row],[Cuenta]],1))</f>
        <v>1</v>
      </c>
      <c r="T787" t="b">
        <f>+ISNUMBER(SEARCH('F-COMPRA'!$F$36,Tabla11[[#This Row],[Cuenta]],1))</f>
        <v>1</v>
      </c>
      <c r="U787" t="b">
        <f>+ISNUMBER(SEARCH('F-COMPRA'!$F$37,Tabla11[[#This Row],[Cuenta]],1))</f>
        <v>1</v>
      </c>
      <c r="V787" t="b">
        <f>+ISNUMBER(SEARCH(#REF!,Tabla11[[#This Row],[Cuenta]],1))</f>
        <v>0</v>
      </c>
      <c r="W787" t="b">
        <f>+ISNUMBER(SEARCH('F-COMPRA'!#REF!,Tabla11[[#This Row],[Cuenta]],1))</f>
        <v>0</v>
      </c>
      <c r="X787" t="b">
        <f>+ISNUMBER(SEARCH('F-COMPRA'!#REF!,Tabla11[[#This Row],[Cuenta]],1))</f>
        <v>0</v>
      </c>
      <c r="Y787" t="b">
        <f>+ISNUMBER(SEARCH('F-COMPRA'!#REF!,Tabla11[[#This Row],[Cuenta]],1))</f>
        <v>0</v>
      </c>
      <c r="Z787" t="b">
        <f>+ISNUMBER(SEARCH('F-COMPRA'!#REF!,Tabla11[[#This Row],[Cuenta]],1))</f>
        <v>0</v>
      </c>
      <c r="AA787" t="b">
        <f>+ISNUMBER(SEARCH('F-COMPRA'!#REF!,Tabla11[[#This Row],[Cuenta]],1))</f>
        <v>0</v>
      </c>
      <c r="AB787" t="b">
        <f>+ISNUMBER(SEARCH('F-COMPRA'!#REF!,Tabla11[[#This Row],[Cuenta]],1))</f>
        <v>0</v>
      </c>
      <c r="AC787" t="b">
        <f>+ISNUMBER(SEARCH('F-COMPRA'!#REF!,Tabla11[[#This Row],[Cuenta]],1))</f>
        <v>0</v>
      </c>
      <c r="AD787" t="b">
        <f>+ISNUMBER(SEARCH('F-COMPRA'!#REF!,Tabla11[[#This Row],[Cuenta]],1))</f>
        <v>0</v>
      </c>
      <c r="AE787" t="b">
        <f>+ISNUMBER(SEARCH('F-COMPRA'!#REF!,Tabla11[[#This Row],[Cuenta]],1))</f>
        <v>0</v>
      </c>
      <c r="AF787" t="b">
        <f>+ISNUMBER(SEARCH('F-VTA'!$G$23,Tabla11[[#This Row],[Cuenta]],1))</f>
        <v>0</v>
      </c>
      <c r="AG787" t="b">
        <f>+ISNUMBER(SEARCH('F-VTA'!$G$24,Tabla11[[#This Row],[Cuenta]],1))</f>
        <v>0</v>
      </c>
      <c r="AH787" t="b">
        <f>+ISNUMBER(SEARCH('F-VTA'!$G$25,Tabla11[[#This Row],[Cuenta]],1))</f>
        <v>0</v>
      </c>
      <c r="AI787" t="b">
        <f>+ISNUMBER(SEARCH('F-VTA'!$F$28,Tabla11[[#This Row],[Cuenta]],1))</f>
        <v>1</v>
      </c>
      <c r="AJ787" t="b">
        <f>+ISNUMBER(SEARCH('F-VTA'!$F$29,Tabla11[[#This Row],[Cuenta]],1))</f>
        <v>1</v>
      </c>
      <c r="AK787" t="b">
        <f>+ISNUMBER(SEARCH('F-VTA'!$F$30,Tabla11[[#This Row],[Cuenta]],1))</f>
        <v>1</v>
      </c>
      <c r="AL787" t="b">
        <f>+ISNUMBER(SEARCH('F-VTA'!$F$31,Tabla11[[#This Row],[Cuenta]],1))</f>
        <v>1</v>
      </c>
      <c r="AM787" t="b">
        <f>+ISNUMBER(SEARCH('F-VTA'!$F$32,Tabla11[[#This Row],[Cuenta]],1))</f>
        <v>1</v>
      </c>
      <c r="AN787" t="b">
        <f>+ISNUMBER(SEARCH('F-VTA'!$F$33,Tabla11[[#This Row],[Cuenta]],1))</f>
        <v>1</v>
      </c>
      <c r="AO787" t="b">
        <f>+ISNUMBER(SEARCH('F-VTA'!$F$34,Tabla11[[#This Row],[Cuenta]],1))</f>
        <v>1</v>
      </c>
      <c r="AP787" t="b">
        <f>+ISNUMBER(SEARCH('F-VTA'!$F$35,Tabla11[[#This Row],[Cuenta]],1))</f>
        <v>1</v>
      </c>
      <c r="AQ787" t="b">
        <f>+ISNUMBER(SEARCH('F-VTA'!$F$36,Tabla11[[#This Row],[Cuenta]],1))</f>
        <v>1</v>
      </c>
      <c r="AR787" t="b">
        <f>+ISNUMBER(SEARCH(#REF!,Tabla11[[#This Row],[Cuenta]],1))</f>
        <v>0</v>
      </c>
      <c r="AS787" t="b">
        <f>+ISNUMBER(SEARCH(#REF!,Tabla11[[#This Row],[Cuenta]],1))</f>
        <v>0</v>
      </c>
      <c r="AT787" t="b">
        <f>+ISNUMBER(SEARCH(#REF!,Tabla11[[#This Row],[Cuenta]],1))</f>
        <v>0</v>
      </c>
      <c r="AU787" t="b">
        <f>+ISNUMBER(SEARCH('Conc. Ban.1'!$I$9,Tabla11[[#This Row],[Cuenta]],1))</f>
        <v>0</v>
      </c>
      <c r="AV787" t="b">
        <f>+ISNUMBER(SEARCH(CompConta!$F$21,Tabla11[[#This Row],[Cuenta]],1))</f>
        <v>1</v>
      </c>
      <c r="AW787" t="b">
        <f>+ISNUMBER(SEARCH(CompConta!$F$22,Tabla11[[#This Row],[Cuenta]],1))</f>
        <v>1</v>
      </c>
      <c r="AX787" t="b">
        <f>+ISNUMBER(SEARCH(CompConta!$F$23,Tabla11[[#This Row],[Cuenta]],1))</f>
        <v>1</v>
      </c>
      <c r="AY787" t="b">
        <f>+ISNUMBER(SEARCH(CompConta!$F$24,Tabla11[[#This Row],[Cuenta]],1))</f>
        <v>1</v>
      </c>
      <c r="AZ787" t="b">
        <f>+ISNUMBER(SEARCH(CompConta!$F$25,Tabla11[[#This Row],[Cuenta]],1))</f>
        <v>1</v>
      </c>
      <c r="BA787" t="b">
        <f>+ISNUMBER(SEARCH(CompConta!$F$26,Tabla11[[#This Row],[Cuenta]],1))</f>
        <v>1</v>
      </c>
      <c r="BB787" t="b">
        <f>+ISNUMBER(SEARCH(CompConta!$F$27,Tabla11[[#This Row],[Cuenta]],1))</f>
        <v>1</v>
      </c>
      <c r="BC787" t="b">
        <f>+ISNUMBER(SEARCH(CompConta!$F$28,Tabla11[[#This Row],[Cuenta]],1))</f>
        <v>1</v>
      </c>
      <c r="BD787" t="b">
        <f>+ISNUMBER(SEARCH(CompConta!$F$29,Tabla11[[#This Row],[Cuenta]],1))</f>
        <v>1</v>
      </c>
      <c r="BE787" t="b">
        <f>+ISNUMBER(SEARCH(CompConta!$F$30,Tabla11[[#This Row],[Cuenta]],1))</f>
        <v>1</v>
      </c>
      <c r="BF787" t="b">
        <f>+ISNUMBER(SEARCH('PAGO Compras'!$E$11,Tabla11[[#This Row],[Cuenta]],1))</f>
        <v>1</v>
      </c>
      <c r="BG787" t="b">
        <f>+ISNUMBER(SEARCH(#REF!,Tabla11[[#This Row],[Cuenta]],1))</f>
        <v>0</v>
      </c>
      <c r="BH787" t="b">
        <f>+ISNUMBER(SEARCH(#REF!,Tabla11[[#This Row],[Cuenta]],1))</f>
        <v>0</v>
      </c>
      <c r="BI787" t="b">
        <f>+ISNUMBER(SEARCH(#REF!,Tabla11[[#This Row],[Cuenta]],1))</f>
        <v>0</v>
      </c>
      <c r="BJ787" t="b">
        <f>+ISNUMBER(SEARCH(#REF!,Tabla11[[#This Row],[Cuenta]],1))</f>
        <v>0</v>
      </c>
      <c r="BS787" t="str">
        <v>510566 Gastos deportivos y de recreación</v>
      </c>
      <c r="BT787" t="str">
        <v>510566 Gastos deportivos y de recreación</v>
      </c>
      <c r="BU787" t="str">
        <v>510566 Gastos deportivos y de recreación</v>
      </c>
      <c r="BV787" t="str">
        <v>510566 Gastos deportivos y de recreación</v>
      </c>
      <c r="BZ787" t="str">
        <v>510566 Gastos deportivos y de recreación</v>
      </c>
      <c r="CA787" t="str">
        <v>510566 Gastos deportivos y de recreación</v>
      </c>
      <c r="CB787" t="str">
        <v>510566 Gastos deportivos y de recreación</v>
      </c>
      <c r="CC787" t="str">
        <v>510566 Gastos deportivos y de recreación</v>
      </c>
      <c r="CD787" t="str">
        <v>510566 Gastos deportivos y de recreación</v>
      </c>
      <c r="CE787" t="str">
        <v>510566 Gastos deportivos y de recreación</v>
      </c>
      <c r="CS787" s="141" t="str">
        <v>510566 Gastos deportivos y de recreación</v>
      </c>
      <c r="CT787" s="141" t="str">
        <v>510566 Gastos deportivos y de recreación</v>
      </c>
      <c r="CU787" s="141" t="str">
        <v>510566 Gastos deportivos y de recreación</v>
      </c>
      <c r="CV787" s="141" t="str">
        <v>510566 Gastos deportivos y de recreación</v>
      </c>
      <c r="CW787" s="141" t="str">
        <v>510566 Gastos deportivos y de recreación</v>
      </c>
      <c r="CX787" s="141" t="str">
        <v>510566 Gastos deportivos y de recreación</v>
      </c>
      <c r="CY787" s="141" t="str">
        <v>510566 Gastos deportivos y de recreación</v>
      </c>
      <c r="CZ787" s="141" t="str">
        <v>510566 Gastos deportivos y de recreación</v>
      </c>
      <c r="DA787" s="141" t="str">
        <v>510566 Gastos deportivos y de recreación</v>
      </c>
      <c r="DF787" t="str">
        <v>510566 Gastos deportivos y de recreación</v>
      </c>
      <c r="DG787" t="str">
        <v>510566 Gastos deportivos y de recreación</v>
      </c>
      <c r="DH787" t="str">
        <v>510566 Gastos deportivos y de recreación</v>
      </c>
      <c r="DI787" t="str">
        <v>510566 Gastos deportivos y de recreación</v>
      </c>
      <c r="DJ787" t="str">
        <v>510566 Gastos deportivos y de recreación</v>
      </c>
      <c r="DK787" t="str">
        <v>510566 Gastos deportivos y de recreación</v>
      </c>
      <c r="DL787" t="str">
        <v>510566 Gastos deportivos y de recreación</v>
      </c>
      <c r="DM787" t="str">
        <v>510566 Gastos deportivos y de recreación</v>
      </c>
      <c r="DN787" t="str">
        <v>510566 Gastos deportivos y de recreación</v>
      </c>
      <c r="DO787" t="str">
        <v>510566 Gastos deportivos y de recreación</v>
      </c>
      <c r="DP787" t="str">
        <v>510566 Gastos deportivos y de recreación</v>
      </c>
    </row>
    <row r="788" spans="4:120" ht="12.75">
      <c r="D788" s="7">
        <v>510568</v>
      </c>
      <c r="E788" s="6" t="s">
        <v>343</v>
      </c>
      <c r="F788" s="5">
        <v>4</v>
      </c>
      <c r="G788" s="34" t="s">
        <v>830</v>
      </c>
      <c r="H788" s="8" t="s">
        <v>32</v>
      </c>
      <c r="I788" t="b">
        <f>+ISNUMBER(SEARCH('F-COMPRA'!$F$28,Tabla11[[#This Row],[Cuenta]],1))</f>
        <v>1</v>
      </c>
      <c r="J788" t="b">
        <f>+ISNUMBER(SEARCH('F-COMPRA'!$F$29,Tabla11[[#This Row],[Cuenta]],1))</f>
        <v>1</v>
      </c>
      <c r="K788" t="b">
        <f>+ISNUMBER(SEARCH('F-COMPRA'!$F$30,Tabla11[[#This Row],[Cuenta]],1))</f>
        <v>1</v>
      </c>
      <c r="L788" t="b">
        <f>+ISNUMBER(SEARCH('F-COMPRA'!$F$31,Tabla11[[#This Row],[Cuenta]],1))</f>
        <v>1</v>
      </c>
      <c r="M788" t="b">
        <f>+ISNUMBER(SEARCH('F-COMPRA'!$G$25,Tabla11[[#This Row],[Cuenta]],1))</f>
        <v>0</v>
      </c>
      <c r="N788" t="b">
        <f>+ISNUMBER(SEARCH(#REF!,Tabla11[[#This Row],[Cuenta]],1))</f>
        <v>0</v>
      </c>
      <c r="O788" t="b">
        <f>+ISNUMBER(SEARCH(#REF!,Tabla11[[#This Row],[Cuenta]],1))</f>
        <v>0</v>
      </c>
      <c r="P788" t="b">
        <f>+ISNUMBER(SEARCH('F-COMPRA'!$F$32,Tabla11[[#This Row],[Cuenta]],1))</f>
        <v>1</v>
      </c>
      <c r="Q788" t="b">
        <f>+ISNUMBER(SEARCH('F-COMPRA'!$F$33,Tabla11[[#This Row],[Cuenta]],1))</f>
        <v>1</v>
      </c>
      <c r="R788" t="b">
        <f>+ISNUMBER(SEARCH('F-COMPRA'!$F$34,Tabla11[[#This Row],[Cuenta]],1))</f>
        <v>1</v>
      </c>
      <c r="S788" t="b">
        <f>+ISNUMBER(SEARCH('F-COMPRA'!$F$35,Tabla11[[#This Row],[Cuenta]],1))</f>
        <v>1</v>
      </c>
      <c r="T788" t="b">
        <f>+ISNUMBER(SEARCH('F-COMPRA'!$F$36,Tabla11[[#This Row],[Cuenta]],1))</f>
        <v>1</v>
      </c>
      <c r="U788" t="b">
        <f>+ISNUMBER(SEARCH('F-COMPRA'!$F$37,Tabla11[[#This Row],[Cuenta]],1))</f>
        <v>1</v>
      </c>
      <c r="V788" t="b">
        <f>+ISNUMBER(SEARCH(#REF!,Tabla11[[#This Row],[Cuenta]],1))</f>
        <v>0</v>
      </c>
      <c r="W788" t="b">
        <f>+ISNUMBER(SEARCH('F-COMPRA'!#REF!,Tabla11[[#This Row],[Cuenta]],1))</f>
        <v>0</v>
      </c>
      <c r="X788" t="b">
        <f>+ISNUMBER(SEARCH('F-COMPRA'!#REF!,Tabla11[[#This Row],[Cuenta]],1))</f>
        <v>0</v>
      </c>
      <c r="Y788" t="b">
        <f>+ISNUMBER(SEARCH('F-COMPRA'!#REF!,Tabla11[[#This Row],[Cuenta]],1))</f>
        <v>0</v>
      </c>
      <c r="Z788" t="b">
        <f>+ISNUMBER(SEARCH('F-COMPRA'!#REF!,Tabla11[[#This Row],[Cuenta]],1))</f>
        <v>0</v>
      </c>
      <c r="AA788" t="b">
        <f>+ISNUMBER(SEARCH('F-COMPRA'!#REF!,Tabla11[[#This Row],[Cuenta]],1))</f>
        <v>0</v>
      </c>
      <c r="AB788" t="b">
        <f>+ISNUMBER(SEARCH('F-COMPRA'!#REF!,Tabla11[[#This Row],[Cuenta]],1))</f>
        <v>0</v>
      </c>
      <c r="AC788" t="b">
        <f>+ISNUMBER(SEARCH('F-COMPRA'!#REF!,Tabla11[[#This Row],[Cuenta]],1))</f>
        <v>0</v>
      </c>
      <c r="AD788" t="b">
        <f>+ISNUMBER(SEARCH('F-COMPRA'!#REF!,Tabla11[[#This Row],[Cuenta]],1))</f>
        <v>0</v>
      </c>
      <c r="AE788" t="b">
        <f>+ISNUMBER(SEARCH('F-COMPRA'!#REF!,Tabla11[[#This Row],[Cuenta]],1))</f>
        <v>0</v>
      </c>
      <c r="AF788" t="b">
        <f>+ISNUMBER(SEARCH('F-VTA'!$G$23,Tabla11[[#This Row],[Cuenta]],1))</f>
        <v>0</v>
      </c>
      <c r="AG788" t="b">
        <f>+ISNUMBER(SEARCH('F-VTA'!$G$24,Tabla11[[#This Row],[Cuenta]],1))</f>
        <v>0</v>
      </c>
      <c r="AH788" t="b">
        <f>+ISNUMBER(SEARCH('F-VTA'!$G$25,Tabla11[[#This Row],[Cuenta]],1))</f>
        <v>0</v>
      </c>
      <c r="AI788" t="b">
        <f>+ISNUMBER(SEARCH('F-VTA'!$F$28,Tabla11[[#This Row],[Cuenta]],1))</f>
        <v>1</v>
      </c>
      <c r="AJ788" t="b">
        <f>+ISNUMBER(SEARCH('F-VTA'!$F$29,Tabla11[[#This Row],[Cuenta]],1))</f>
        <v>1</v>
      </c>
      <c r="AK788" t="b">
        <f>+ISNUMBER(SEARCH('F-VTA'!$F$30,Tabla11[[#This Row],[Cuenta]],1))</f>
        <v>1</v>
      </c>
      <c r="AL788" t="b">
        <f>+ISNUMBER(SEARCH('F-VTA'!$F$31,Tabla11[[#This Row],[Cuenta]],1))</f>
        <v>1</v>
      </c>
      <c r="AM788" t="b">
        <f>+ISNUMBER(SEARCH('F-VTA'!$F$32,Tabla11[[#This Row],[Cuenta]],1))</f>
        <v>1</v>
      </c>
      <c r="AN788" t="b">
        <f>+ISNUMBER(SEARCH('F-VTA'!$F$33,Tabla11[[#This Row],[Cuenta]],1))</f>
        <v>1</v>
      </c>
      <c r="AO788" t="b">
        <f>+ISNUMBER(SEARCH('F-VTA'!$F$34,Tabla11[[#This Row],[Cuenta]],1))</f>
        <v>1</v>
      </c>
      <c r="AP788" t="b">
        <f>+ISNUMBER(SEARCH('F-VTA'!$F$35,Tabla11[[#This Row],[Cuenta]],1))</f>
        <v>1</v>
      </c>
      <c r="AQ788" t="b">
        <f>+ISNUMBER(SEARCH('F-VTA'!$F$36,Tabla11[[#This Row],[Cuenta]],1))</f>
        <v>1</v>
      </c>
      <c r="AR788" t="b">
        <f>+ISNUMBER(SEARCH(#REF!,Tabla11[[#This Row],[Cuenta]],1))</f>
        <v>0</v>
      </c>
      <c r="AS788" t="b">
        <f>+ISNUMBER(SEARCH(#REF!,Tabla11[[#This Row],[Cuenta]],1))</f>
        <v>0</v>
      </c>
      <c r="AT788" t="b">
        <f>+ISNUMBER(SEARCH(#REF!,Tabla11[[#This Row],[Cuenta]],1))</f>
        <v>0</v>
      </c>
      <c r="AU788" t="b">
        <f>+ISNUMBER(SEARCH('Conc. Ban.1'!$I$9,Tabla11[[#This Row],[Cuenta]],1))</f>
        <v>0</v>
      </c>
      <c r="AV788" t="b">
        <f>+ISNUMBER(SEARCH(CompConta!$F$21,Tabla11[[#This Row],[Cuenta]],1))</f>
        <v>1</v>
      </c>
      <c r="AW788" t="b">
        <f>+ISNUMBER(SEARCH(CompConta!$F$22,Tabla11[[#This Row],[Cuenta]],1))</f>
        <v>1</v>
      </c>
      <c r="AX788" t="b">
        <f>+ISNUMBER(SEARCH(CompConta!$F$23,Tabla11[[#This Row],[Cuenta]],1))</f>
        <v>1</v>
      </c>
      <c r="AY788" t="b">
        <f>+ISNUMBER(SEARCH(CompConta!$F$24,Tabla11[[#This Row],[Cuenta]],1))</f>
        <v>1</v>
      </c>
      <c r="AZ788" t="b">
        <f>+ISNUMBER(SEARCH(CompConta!$F$25,Tabla11[[#This Row],[Cuenta]],1))</f>
        <v>1</v>
      </c>
      <c r="BA788" t="b">
        <f>+ISNUMBER(SEARCH(CompConta!$F$26,Tabla11[[#This Row],[Cuenta]],1))</f>
        <v>1</v>
      </c>
      <c r="BB788" t="b">
        <f>+ISNUMBER(SEARCH(CompConta!$F$27,Tabla11[[#This Row],[Cuenta]],1))</f>
        <v>1</v>
      </c>
      <c r="BC788" t="b">
        <f>+ISNUMBER(SEARCH(CompConta!$F$28,Tabla11[[#This Row],[Cuenta]],1))</f>
        <v>1</v>
      </c>
      <c r="BD788" t="b">
        <f>+ISNUMBER(SEARCH(CompConta!$F$29,Tabla11[[#This Row],[Cuenta]],1))</f>
        <v>1</v>
      </c>
      <c r="BE788" t="b">
        <f>+ISNUMBER(SEARCH(CompConta!$F$30,Tabla11[[#This Row],[Cuenta]],1))</f>
        <v>1</v>
      </c>
      <c r="BF788" t="b">
        <f>+ISNUMBER(SEARCH('PAGO Compras'!$E$11,Tabla11[[#This Row],[Cuenta]],1))</f>
        <v>1</v>
      </c>
      <c r="BG788" t="b">
        <f>+ISNUMBER(SEARCH(#REF!,Tabla11[[#This Row],[Cuenta]],1))</f>
        <v>0</v>
      </c>
      <c r="BH788" t="b">
        <f>+ISNUMBER(SEARCH(#REF!,Tabla11[[#This Row],[Cuenta]],1))</f>
        <v>0</v>
      </c>
      <c r="BI788" t="b">
        <f>+ISNUMBER(SEARCH(#REF!,Tabla11[[#This Row],[Cuenta]],1))</f>
        <v>0</v>
      </c>
      <c r="BJ788" t="b">
        <f>+ISNUMBER(SEARCH(#REF!,Tabla11[[#This Row],[Cuenta]],1))</f>
        <v>0</v>
      </c>
      <c r="BS788" t="str">
        <v>510568 Aportes a administrador de riesgos profes ARP</v>
      </c>
      <c r="BT788" t="str">
        <v>510568 Aportes a administrador de riesgos profes ARP</v>
      </c>
      <c r="BU788" t="str">
        <v>510568 Aportes a administrador de riesgos profes ARP</v>
      </c>
      <c r="BV788" t="str">
        <v>510568 Aportes a administrador de riesgos profes ARP</v>
      </c>
      <c r="BZ788" t="str">
        <v>510568 Aportes a administrador de riesgos profes ARP</v>
      </c>
      <c r="CA788" t="str">
        <v>510568 Aportes a administrador de riesgos profes ARP</v>
      </c>
      <c r="CB788" t="str">
        <v>510568 Aportes a administrador de riesgos profes ARP</v>
      </c>
      <c r="CC788" t="str">
        <v>510568 Aportes a administrador de riesgos profes ARP</v>
      </c>
      <c r="CD788" t="str">
        <v>510568 Aportes a administrador de riesgos profes ARP</v>
      </c>
      <c r="CE788" t="str">
        <v>510568 Aportes a administrador de riesgos profes ARP</v>
      </c>
      <c r="CS788" s="141" t="str">
        <v>510568 Aportes a administrador de riesgos profes ARP</v>
      </c>
      <c r="CT788" s="141" t="str">
        <v>510568 Aportes a administrador de riesgos profes ARP</v>
      </c>
      <c r="CU788" s="141" t="str">
        <v>510568 Aportes a administrador de riesgos profes ARP</v>
      </c>
      <c r="CV788" s="141" t="str">
        <v>510568 Aportes a administrador de riesgos profes ARP</v>
      </c>
      <c r="CW788" s="141" t="str">
        <v>510568 Aportes a administrador de riesgos profes ARP</v>
      </c>
      <c r="CX788" s="141" t="str">
        <v>510568 Aportes a administrador de riesgos profes ARP</v>
      </c>
      <c r="CY788" s="141" t="str">
        <v>510568 Aportes a administrador de riesgos profes ARP</v>
      </c>
      <c r="CZ788" s="141" t="str">
        <v>510568 Aportes a administrador de riesgos profes ARP</v>
      </c>
      <c r="DA788" s="141" t="str">
        <v>510568 Aportes a administrador de riesgos profes ARP</v>
      </c>
      <c r="DF788" t="str">
        <v>510568 Aportes a administrador de riesgos profes ARP</v>
      </c>
      <c r="DG788" t="str">
        <v>510568 Aportes a administrador de riesgos profes ARP</v>
      </c>
      <c r="DH788" t="str">
        <v>510568 Aportes a administrador de riesgos profes ARP</v>
      </c>
      <c r="DI788" t="str">
        <v>510568 Aportes a administrador de riesgos profes ARP</v>
      </c>
      <c r="DJ788" t="str">
        <v>510568 Aportes a administrador de riesgos profes ARP</v>
      </c>
      <c r="DK788" t="str">
        <v>510568 Aportes a administrador de riesgos profes ARP</v>
      </c>
      <c r="DL788" t="str">
        <v>510568 Aportes a administrador de riesgos profes ARP</v>
      </c>
      <c r="DM788" t="str">
        <v>510568 Aportes a administrador de riesgos profes ARP</v>
      </c>
      <c r="DN788" t="str">
        <v>510568 Aportes a administrador de riesgos profes ARP</v>
      </c>
      <c r="DO788" t="str">
        <v>510568 Aportes a administrador de riesgos profes ARP</v>
      </c>
      <c r="DP788" t="str">
        <v>510568 Aportes a administrador de riesgos profes ARP</v>
      </c>
    </row>
    <row r="789" spans="4:120" ht="12.75">
      <c r="D789" s="7">
        <v>510569</v>
      </c>
      <c r="E789" s="6" t="s">
        <v>342</v>
      </c>
      <c r="F789" s="5">
        <v>4</v>
      </c>
      <c r="G789" s="34" t="s">
        <v>830</v>
      </c>
      <c r="H789" s="8" t="s">
        <v>32</v>
      </c>
      <c r="I789" t="b">
        <f>+ISNUMBER(SEARCH('F-COMPRA'!$F$28,Tabla11[[#This Row],[Cuenta]],1))</f>
        <v>1</v>
      </c>
      <c r="J789" t="b">
        <f>+ISNUMBER(SEARCH('F-COMPRA'!$F$29,Tabla11[[#This Row],[Cuenta]],1))</f>
        <v>1</v>
      </c>
      <c r="K789" t="b">
        <f>+ISNUMBER(SEARCH('F-COMPRA'!$F$30,Tabla11[[#This Row],[Cuenta]],1))</f>
        <v>1</v>
      </c>
      <c r="L789" t="b">
        <f>+ISNUMBER(SEARCH('F-COMPRA'!$F$31,Tabla11[[#This Row],[Cuenta]],1))</f>
        <v>1</v>
      </c>
      <c r="M789" t="b">
        <f>+ISNUMBER(SEARCH('F-COMPRA'!$G$25,Tabla11[[#This Row],[Cuenta]],1))</f>
        <v>0</v>
      </c>
      <c r="N789" t="b">
        <f>+ISNUMBER(SEARCH(#REF!,Tabla11[[#This Row],[Cuenta]],1))</f>
        <v>0</v>
      </c>
      <c r="O789" t="b">
        <f>+ISNUMBER(SEARCH(#REF!,Tabla11[[#This Row],[Cuenta]],1))</f>
        <v>0</v>
      </c>
      <c r="P789" t="b">
        <f>+ISNUMBER(SEARCH('F-COMPRA'!$F$32,Tabla11[[#This Row],[Cuenta]],1))</f>
        <v>1</v>
      </c>
      <c r="Q789" t="b">
        <f>+ISNUMBER(SEARCH('F-COMPRA'!$F$33,Tabla11[[#This Row],[Cuenta]],1))</f>
        <v>1</v>
      </c>
      <c r="R789" t="b">
        <f>+ISNUMBER(SEARCH('F-COMPRA'!$F$34,Tabla11[[#This Row],[Cuenta]],1))</f>
        <v>1</v>
      </c>
      <c r="S789" t="b">
        <f>+ISNUMBER(SEARCH('F-COMPRA'!$F$35,Tabla11[[#This Row],[Cuenta]],1))</f>
        <v>1</v>
      </c>
      <c r="T789" t="b">
        <f>+ISNUMBER(SEARCH('F-COMPRA'!$F$36,Tabla11[[#This Row],[Cuenta]],1))</f>
        <v>1</v>
      </c>
      <c r="U789" t="b">
        <f>+ISNUMBER(SEARCH('F-COMPRA'!$F$37,Tabla11[[#This Row],[Cuenta]],1))</f>
        <v>1</v>
      </c>
      <c r="V789" t="b">
        <f>+ISNUMBER(SEARCH(#REF!,Tabla11[[#This Row],[Cuenta]],1))</f>
        <v>0</v>
      </c>
      <c r="W789" t="b">
        <f>+ISNUMBER(SEARCH('F-COMPRA'!#REF!,Tabla11[[#This Row],[Cuenta]],1))</f>
        <v>0</v>
      </c>
      <c r="X789" t="b">
        <f>+ISNUMBER(SEARCH('F-COMPRA'!#REF!,Tabla11[[#This Row],[Cuenta]],1))</f>
        <v>0</v>
      </c>
      <c r="Y789" t="b">
        <f>+ISNUMBER(SEARCH('F-COMPRA'!#REF!,Tabla11[[#This Row],[Cuenta]],1))</f>
        <v>0</v>
      </c>
      <c r="Z789" t="b">
        <f>+ISNUMBER(SEARCH('F-COMPRA'!#REF!,Tabla11[[#This Row],[Cuenta]],1))</f>
        <v>0</v>
      </c>
      <c r="AA789" t="b">
        <f>+ISNUMBER(SEARCH('F-COMPRA'!#REF!,Tabla11[[#This Row],[Cuenta]],1))</f>
        <v>0</v>
      </c>
      <c r="AB789" t="b">
        <f>+ISNUMBER(SEARCH('F-COMPRA'!#REF!,Tabla11[[#This Row],[Cuenta]],1))</f>
        <v>0</v>
      </c>
      <c r="AC789" t="b">
        <f>+ISNUMBER(SEARCH('F-COMPRA'!#REF!,Tabla11[[#This Row],[Cuenta]],1))</f>
        <v>0</v>
      </c>
      <c r="AD789" t="b">
        <f>+ISNUMBER(SEARCH('F-COMPRA'!#REF!,Tabla11[[#This Row],[Cuenta]],1))</f>
        <v>0</v>
      </c>
      <c r="AE789" t="b">
        <f>+ISNUMBER(SEARCH('F-COMPRA'!#REF!,Tabla11[[#This Row],[Cuenta]],1))</f>
        <v>0</v>
      </c>
      <c r="AF789" t="b">
        <f>+ISNUMBER(SEARCH('F-VTA'!$G$23,Tabla11[[#This Row],[Cuenta]],1))</f>
        <v>0</v>
      </c>
      <c r="AG789" t="b">
        <f>+ISNUMBER(SEARCH('F-VTA'!$G$24,Tabla11[[#This Row],[Cuenta]],1))</f>
        <v>0</v>
      </c>
      <c r="AH789" t="b">
        <f>+ISNUMBER(SEARCH('F-VTA'!$G$25,Tabla11[[#This Row],[Cuenta]],1))</f>
        <v>0</v>
      </c>
      <c r="AI789" t="b">
        <f>+ISNUMBER(SEARCH('F-VTA'!$F$28,Tabla11[[#This Row],[Cuenta]],1))</f>
        <v>1</v>
      </c>
      <c r="AJ789" t="b">
        <f>+ISNUMBER(SEARCH('F-VTA'!$F$29,Tabla11[[#This Row],[Cuenta]],1))</f>
        <v>1</v>
      </c>
      <c r="AK789" t="b">
        <f>+ISNUMBER(SEARCH('F-VTA'!$F$30,Tabla11[[#This Row],[Cuenta]],1))</f>
        <v>1</v>
      </c>
      <c r="AL789" t="b">
        <f>+ISNUMBER(SEARCH('F-VTA'!$F$31,Tabla11[[#This Row],[Cuenta]],1))</f>
        <v>1</v>
      </c>
      <c r="AM789" t="b">
        <f>+ISNUMBER(SEARCH('F-VTA'!$F$32,Tabla11[[#This Row],[Cuenta]],1))</f>
        <v>1</v>
      </c>
      <c r="AN789" t="b">
        <f>+ISNUMBER(SEARCH('F-VTA'!$F$33,Tabla11[[#This Row],[Cuenta]],1))</f>
        <v>1</v>
      </c>
      <c r="AO789" t="b">
        <f>+ISNUMBER(SEARCH('F-VTA'!$F$34,Tabla11[[#This Row],[Cuenta]],1))</f>
        <v>1</v>
      </c>
      <c r="AP789" t="b">
        <f>+ISNUMBER(SEARCH('F-VTA'!$F$35,Tabla11[[#This Row],[Cuenta]],1))</f>
        <v>1</v>
      </c>
      <c r="AQ789" t="b">
        <f>+ISNUMBER(SEARCH('F-VTA'!$F$36,Tabla11[[#This Row],[Cuenta]],1))</f>
        <v>1</v>
      </c>
      <c r="AR789" t="b">
        <f>+ISNUMBER(SEARCH(#REF!,Tabla11[[#This Row],[Cuenta]],1))</f>
        <v>0</v>
      </c>
      <c r="AS789" t="b">
        <f>+ISNUMBER(SEARCH(#REF!,Tabla11[[#This Row],[Cuenta]],1))</f>
        <v>0</v>
      </c>
      <c r="AT789" t="b">
        <f>+ISNUMBER(SEARCH(#REF!,Tabla11[[#This Row],[Cuenta]],1))</f>
        <v>0</v>
      </c>
      <c r="AU789" t="b">
        <f>+ISNUMBER(SEARCH('Conc. Ban.1'!$I$9,Tabla11[[#This Row],[Cuenta]],1))</f>
        <v>0</v>
      </c>
      <c r="AV789" t="b">
        <f>+ISNUMBER(SEARCH(CompConta!$F$21,Tabla11[[#This Row],[Cuenta]],1))</f>
        <v>1</v>
      </c>
      <c r="AW789" t="b">
        <f>+ISNUMBER(SEARCH(CompConta!$F$22,Tabla11[[#This Row],[Cuenta]],1))</f>
        <v>1</v>
      </c>
      <c r="AX789" t="b">
        <f>+ISNUMBER(SEARCH(CompConta!$F$23,Tabla11[[#This Row],[Cuenta]],1))</f>
        <v>1</v>
      </c>
      <c r="AY789" t="b">
        <f>+ISNUMBER(SEARCH(CompConta!$F$24,Tabla11[[#This Row],[Cuenta]],1))</f>
        <v>1</v>
      </c>
      <c r="AZ789" t="b">
        <f>+ISNUMBER(SEARCH(CompConta!$F$25,Tabla11[[#This Row],[Cuenta]],1))</f>
        <v>1</v>
      </c>
      <c r="BA789" t="b">
        <f>+ISNUMBER(SEARCH(CompConta!$F$26,Tabla11[[#This Row],[Cuenta]],1))</f>
        <v>1</v>
      </c>
      <c r="BB789" t="b">
        <f>+ISNUMBER(SEARCH(CompConta!$F$27,Tabla11[[#This Row],[Cuenta]],1))</f>
        <v>1</v>
      </c>
      <c r="BC789" t="b">
        <f>+ISNUMBER(SEARCH(CompConta!$F$28,Tabla11[[#This Row],[Cuenta]],1))</f>
        <v>1</v>
      </c>
      <c r="BD789" t="b">
        <f>+ISNUMBER(SEARCH(CompConta!$F$29,Tabla11[[#This Row],[Cuenta]],1))</f>
        <v>1</v>
      </c>
      <c r="BE789" t="b">
        <f>+ISNUMBER(SEARCH(CompConta!$F$30,Tabla11[[#This Row],[Cuenta]],1))</f>
        <v>1</v>
      </c>
      <c r="BF789" t="b">
        <f>+ISNUMBER(SEARCH('PAGO Compras'!$E$11,Tabla11[[#This Row],[Cuenta]],1))</f>
        <v>1</v>
      </c>
      <c r="BG789" t="b">
        <f>+ISNUMBER(SEARCH(#REF!,Tabla11[[#This Row],[Cuenta]],1))</f>
        <v>0</v>
      </c>
      <c r="BH789" t="b">
        <f>+ISNUMBER(SEARCH(#REF!,Tabla11[[#This Row],[Cuenta]],1))</f>
        <v>0</v>
      </c>
      <c r="BI789" t="b">
        <f>+ISNUMBER(SEARCH(#REF!,Tabla11[[#This Row],[Cuenta]],1))</f>
        <v>0</v>
      </c>
      <c r="BJ789" t="b">
        <f>+ISNUMBER(SEARCH(#REF!,Tabla11[[#This Row],[Cuenta]],1))</f>
        <v>0</v>
      </c>
      <c r="BS789" t="str">
        <v>510569 Aportes a entidades promotoras de salud EPS</v>
      </c>
      <c r="BT789" t="str">
        <v>510569 Aportes a entidades promotoras de salud EPS</v>
      </c>
      <c r="BU789" t="str">
        <v>510569 Aportes a entidades promotoras de salud EPS</v>
      </c>
      <c r="BV789" t="str">
        <v>510569 Aportes a entidades promotoras de salud EPS</v>
      </c>
      <c r="BZ789" t="str">
        <v>510569 Aportes a entidades promotoras de salud EPS</v>
      </c>
      <c r="CA789" t="str">
        <v>510569 Aportes a entidades promotoras de salud EPS</v>
      </c>
      <c r="CB789" t="str">
        <v>510569 Aportes a entidades promotoras de salud EPS</v>
      </c>
      <c r="CC789" t="str">
        <v>510569 Aportes a entidades promotoras de salud EPS</v>
      </c>
      <c r="CD789" t="str">
        <v>510569 Aportes a entidades promotoras de salud EPS</v>
      </c>
      <c r="CE789" t="str">
        <v>510569 Aportes a entidades promotoras de salud EPS</v>
      </c>
      <c r="CS789" s="141" t="str">
        <v>510569 Aportes a entidades promotoras de salud EPS</v>
      </c>
      <c r="CT789" s="141" t="str">
        <v>510569 Aportes a entidades promotoras de salud EPS</v>
      </c>
      <c r="CU789" s="141" t="str">
        <v>510569 Aportes a entidades promotoras de salud EPS</v>
      </c>
      <c r="CV789" s="141" t="str">
        <v>510569 Aportes a entidades promotoras de salud EPS</v>
      </c>
      <c r="CW789" s="141" t="str">
        <v>510569 Aportes a entidades promotoras de salud EPS</v>
      </c>
      <c r="CX789" s="141" t="str">
        <v>510569 Aportes a entidades promotoras de salud EPS</v>
      </c>
      <c r="CY789" s="141" t="str">
        <v>510569 Aportes a entidades promotoras de salud EPS</v>
      </c>
      <c r="CZ789" s="141" t="str">
        <v>510569 Aportes a entidades promotoras de salud EPS</v>
      </c>
      <c r="DA789" s="141" t="str">
        <v>510569 Aportes a entidades promotoras de salud EPS</v>
      </c>
      <c r="DF789" t="str">
        <v>510569 Aportes a entidades promotoras de salud EPS</v>
      </c>
      <c r="DG789" t="str">
        <v>510569 Aportes a entidades promotoras de salud EPS</v>
      </c>
      <c r="DH789" t="str">
        <v>510569 Aportes a entidades promotoras de salud EPS</v>
      </c>
      <c r="DI789" t="str">
        <v>510569 Aportes a entidades promotoras de salud EPS</v>
      </c>
      <c r="DJ789" t="str">
        <v>510569 Aportes a entidades promotoras de salud EPS</v>
      </c>
      <c r="DK789" t="str">
        <v>510569 Aportes a entidades promotoras de salud EPS</v>
      </c>
      <c r="DL789" t="str">
        <v>510569 Aportes a entidades promotoras de salud EPS</v>
      </c>
      <c r="DM789" t="str">
        <v>510569 Aportes a entidades promotoras de salud EPS</v>
      </c>
      <c r="DN789" t="str">
        <v>510569 Aportes a entidades promotoras de salud EPS</v>
      </c>
      <c r="DO789" t="str">
        <v>510569 Aportes a entidades promotoras de salud EPS</v>
      </c>
      <c r="DP789" t="str">
        <v>510569 Aportes a entidades promotoras de salud EPS</v>
      </c>
    </row>
    <row r="790" spans="4:120" ht="12.75">
      <c r="D790" s="7">
        <v>510570</v>
      </c>
      <c r="E790" s="6" t="s">
        <v>549</v>
      </c>
      <c r="F790" s="5">
        <v>4</v>
      </c>
      <c r="G790" s="34" t="s">
        <v>830</v>
      </c>
      <c r="H790" s="8" t="s">
        <v>32</v>
      </c>
      <c r="I790" t="b">
        <f>+ISNUMBER(SEARCH('F-COMPRA'!$F$28,Tabla11[[#This Row],[Cuenta]],1))</f>
        <v>1</v>
      </c>
      <c r="J790" t="b">
        <f>+ISNUMBER(SEARCH('F-COMPRA'!$F$29,Tabla11[[#This Row],[Cuenta]],1))</f>
        <v>1</v>
      </c>
      <c r="K790" t="b">
        <f>+ISNUMBER(SEARCH('F-COMPRA'!$F$30,Tabla11[[#This Row],[Cuenta]],1))</f>
        <v>1</v>
      </c>
      <c r="L790" t="b">
        <f>+ISNUMBER(SEARCH('F-COMPRA'!$F$31,Tabla11[[#This Row],[Cuenta]],1))</f>
        <v>1</v>
      </c>
      <c r="M790" t="b">
        <f>+ISNUMBER(SEARCH('F-COMPRA'!$G$25,Tabla11[[#This Row],[Cuenta]],1))</f>
        <v>0</v>
      </c>
      <c r="N790" t="b">
        <f>+ISNUMBER(SEARCH(#REF!,Tabla11[[#This Row],[Cuenta]],1))</f>
        <v>0</v>
      </c>
      <c r="O790" t="b">
        <f>+ISNUMBER(SEARCH(#REF!,Tabla11[[#This Row],[Cuenta]],1))</f>
        <v>0</v>
      </c>
      <c r="P790" t="b">
        <f>+ISNUMBER(SEARCH('F-COMPRA'!$F$32,Tabla11[[#This Row],[Cuenta]],1))</f>
        <v>1</v>
      </c>
      <c r="Q790" t="b">
        <f>+ISNUMBER(SEARCH('F-COMPRA'!$F$33,Tabla11[[#This Row],[Cuenta]],1))</f>
        <v>1</v>
      </c>
      <c r="R790" t="b">
        <f>+ISNUMBER(SEARCH('F-COMPRA'!$F$34,Tabla11[[#This Row],[Cuenta]],1))</f>
        <v>1</v>
      </c>
      <c r="S790" t="b">
        <f>+ISNUMBER(SEARCH('F-COMPRA'!$F$35,Tabla11[[#This Row],[Cuenta]],1))</f>
        <v>1</v>
      </c>
      <c r="T790" t="b">
        <f>+ISNUMBER(SEARCH('F-COMPRA'!$F$36,Tabla11[[#This Row],[Cuenta]],1))</f>
        <v>1</v>
      </c>
      <c r="U790" t="b">
        <f>+ISNUMBER(SEARCH('F-COMPRA'!$F$37,Tabla11[[#This Row],[Cuenta]],1))</f>
        <v>1</v>
      </c>
      <c r="V790" t="b">
        <f>+ISNUMBER(SEARCH(#REF!,Tabla11[[#This Row],[Cuenta]],1))</f>
        <v>0</v>
      </c>
      <c r="W790" t="b">
        <f>+ISNUMBER(SEARCH('F-COMPRA'!#REF!,Tabla11[[#This Row],[Cuenta]],1))</f>
        <v>0</v>
      </c>
      <c r="X790" t="b">
        <f>+ISNUMBER(SEARCH('F-COMPRA'!#REF!,Tabla11[[#This Row],[Cuenta]],1))</f>
        <v>0</v>
      </c>
      <c r="Y790" t="b">
        <f>+ISNUMBER(SEARCH('F-COMPRA'!#REF!,Tabla11[[#This Row],[Cuenta]],1))</f>
        <v>0</v>
      </c>
      <c r="Z790" t="b">
        <f>+ISNUMBER(SEARCH('F-COMPRA'!#REF!,Tabla11[[#This Row],[Cuenta]],1))</f>
        <v>0</v>
      </c>
      <c r="AA790" t="b">
        <f>+ISNUMBER(SEARCH('F-COMPRA'!#REF!,Tabla11[[#This Row],[Cuenta]],1))</f>
        <v>0</v>
      </c>
      <c r="AB790" t="b">
        <f>+ISNUMBER(SEARCH('F-COMPRA'!#REF!,Tabla11[[#This Row],[Cuenta]],1))</f>
        <v>0</v>
      </c>
      <c r="AC790" t="b">
        <f>+ISNUMBER(SEARCH('F-COMPRA'!#REF!,Tabla11[[#This Row],[Cuenta]],1))</f>
        <v>0</v>
      </c>
      <c r="AD790" t="b">
        <f>+ISNUMBER(SEARCH('F-COMPRA'!#REF!,Tabla11[[#This Row],[Cuenta]],1))</f>
        <v>0</v>
      </c>
      <c r="AE790" t="b">
        <f>+ISNUMBER(SEARCH('F-COMPRA'!#REF!,Tabla11[[#This Row],[Cuenta]],1))</f>
        <v>0</v>
      </c>
      <c r="AF790" t="b">
        <f>+ISNUMBER(SEARCH('F-VTA'!$G$23,Tabla11[[#This Row],[Cuenta]],1))</f>
        <v>0</v>
      </c>
      <c r="AG790" t="b">
        <f>+ISNUMBER(SEARCH('F-VTA'!$G$24,Tabla11[[#This Row],[Cuenta]],1))</f>
        <v>0</v>
      </c>
      <c r="AH790" t="b">
        <f>+ISNUMBER(SEARCH('F-VTA'!$G$25,Tabla11[[#This Row],[Cuenta]],1))</f>
        <v>0</v>
      </c>
      <c r="AI790" t="b">
        <f>+ISNUMBER(SEARCH('F-VTA'!$F$28,Tabla11[[#This Row],[Cuenta]],1))</f>
        <v>1</v>
      </c>
      <c r="AJ790" t="b">
        <f>+ISNUMBER(SEARCH('F-VTA'!$F$29,Tabla11[[#This Row],[Cuenta]],1))</f>
        <v>1</v>
      </c>
      <c r="AK790" t="b">
        <f>+ISNUMBER(SEARCH('F-VTA'!$F$30,Tabla11[[#This Row],[Cuenta]],1))</f>
        <v>1</v>
      </c>
      <c r="AL790" t="b">
        <f>+ISNUMBER(SEARCH('F-VTA'!$F$31,Tabla11[[#This Row],[Cuenta]],1))</f>
        <v>1</v>
      </c>
      <c r="AM790" t="b">
        <f>+ISNUMBER(SEARCH('F-VTA'!$F$32,Tabla11[[#This Row],[Cuenta]],1))</f>
        <v>1</v>
      </c>
      <c r="AN790" t="b">
        <f>+ISNUMBER(SEARCH('F-VTA'!$F$33,Tabla11[[#This Row],[Cuenta]],1))</f>
        <v>1</v>
      </c>
      <c r="AO790" t="b">
        <f>+ISNUMBER(SEARCH('F-VTA'!$F$34,Tabla11[[#This Row],[Cuenta]],1))</f>
        <v>1</v>
      </c>
      <c r="AP790" t="b">
        <f>+ISNUMBER(SEARCH('F-VTA'!$F$35,Tabla11[[#This Row],[Cuenta]],1))</f>
        <v>1</v>
      </c>
      <c r="AQ790" t="b">
        <f>+ISNUMBER(SEARCH('F-VTA'!$F$36,Tabla11[[#This Row],[Cuenta]],1))</f>
        <v>1</v>
      </c>
      <c r="AR790" t="b">
        <f>+ISNUMBER(SEARCH(#REF!,Tabla11[[#This Row],[Cuenta]],1))</f>
        <v>0</v>
      </c>
      <c r="AS790" t="b">
        <f>+ISNUMBER(SEARCH(#REF!,Tabla11[[#This Row],[Cuenta]],1))</f>
        <v>0</v>
      </c>
      <c r="AT790" t="b">
        <f>+ISNUMBER(SEARCH(#REF!,Tabla11[[#This Row],[Cuenta]],1))</f>
        <v>0</v>
      </c>
      <c r="AU790" t="b">
        <f>+ISNUMBER(SEARCH('Conc. Ban.1'!$I$9,Tabla11[[#This Row],[Cuenta]],1))</f>
        <v>0</v>
      </c>
      <c r="AV790" t="b">
        <f>+ISNUMBER(SEARCH(CompConta!$F$21,Tabla11[[#This Row],[Cuenta]],1))</f>
        <v>1</v>
      </c>
      <c r="AW790" t="b">
        <f>+ISNUMBER(SEARCH(CompConta!$F$22,Tabla11[[#This Row],[Cuenta]],1))</f>
        <v>1</v>
      </c>
      <c r="AX790" t="b">
        <f>+ISNUMBER(SEARCH(CompConta!$F$23,Tabla11[[#This Row],[Cuenta]],1))</f>
        <v>1</v>
      </c>
      <c r="AY790" t="b">
        <f>+ISNUMBER(SEARCH(CompConta!$F$24,Tabla11[[#This Row],[Cuenta]],1))</f>
        <v>1</v>
      </c>
      <c r="AZ790" t="b">
        <f>+ISNUMBER(SEARCH(CompConta!$F$25,Tabla11[[#This Row],[Cuenta]],1))</f>
        <v>1</v>
      </c>
      <c r="BA790" t="b">
        <f>+ISNUMBER(SEARCH(CompConta!$F$26,Tabla11[[#This Row],[Cuenta]],1))</f>
        <v>1</v>
      </c>
      <c r="BB790" t="b">
        <f>+ISNUMBER(SEARCH(CompConta!$F$27,Tabla11[[#This Row],[Cuenta]],1))</f>
        <v>1</v>
      </c>
      <c r="BC790" t="b">
        <f>+ISNUMBER(SEARCH(CompConta!$F$28,Tabla11[[#This Row],[Cuenta]],1))</f>
        <v>1</v>
      </c>
      <c r="BD790" t="b">
        <f>+ISNUMBER(SEARCH(CompConta!$F$29,Tabla11[[#This Row],[Cuenta]],1))</f>
        <v>1</v>
      </c>
      <c r="BE790" t="b">
        <f>+ISNUMBER(SEARCH(CompConta!$F$30,Tabla11[[#This Row],[Cuenta]],1))</f>
        <v>1</v>
      </c>
      <c r="BF790" t="b">
        <f>+ISNUMBER(SEARCH('PAGO Compras'!$E$11,Tabla11[[#This Row],[Cuenta]],1))</f>
        <v>1</v>
      </c>
      <c r="BG790" t="b">
        <f>+ISNUMBER(SEARCH(#REF!,Tabla11[[#This Row],[Cuenta]],1))</f>
        <v>0</v>
      </c>
      <c r="BH790" t="b">
        <f>+ISNUMBER(SEARCH(#REF!,Tabla11[[#This Row],[Cuenta]],1))</f>
        <v>0</v>
      </c>
      <c r="BI790" t="b">
        <f>+ISNUMBER(SEARCH(#REF!,Tabla11[[#This Row],[Cuenta]],1))</f>
        <v>0</v>
      </c>
      <c r="BJ790" t="b">
        <f>+ISNUMBER(SEARCH(#REF!,Tabla11[[#This Row],[Cuenta]],1))</f>
        <v>0</v>
      </c>
      <c r="BS790" t="str">
        <v>510570 Aportes a fondos de pensiones y/o cesantías</v>
      </c>
      <c r="BT790" t="str">
        <v>510570 Aportes a fondos de pensiones y/o cesantías</v>
      </c>
      <c r="BU790" t="str">
        <v>510570 Aportes a fondos de pensiones y/o cesantías</v>
      </c>
      <c r="BV790" t="str">
        <v>510570 Aportes a fondos de pensiones y/o cesantías</v>
      </c>
      <c r="BZ790" t="str">
        <v>510570 Aportes a fondos de pensiones y/o cesantías</v>
      </c>
      <c r="CA790" t="str">
        <v>510570 Aportes a fondos de pensiones y/o cesantías</v>
      </c>
      <c r="CB790" t="str">
        <v>510570 Aportes a fondos de pensiones y/o cesantías</v>
      </c>
      <c r="CC790" t="str">
        <v>510570 Aportes a fondos de pensiones y/o cesantías</v>
      </c>
      <c r="CD790" t="str">
        <v>510570 Aportes a fondos de pensiones y/o cesantías</v>
      </c>
      <c r="CE790" t="str">
        <v>510570 Aportes a fondos de pensiones y/o cesantías</v>
      </c>
      <c r="CS790" s="141" t="str">
        <v>510570 Aportes a fondos de pensiones y/o cesantías</v>
      </c>
      <c r="CT790" s="141" t="str">
        <v>510570 Aportes a fondos de pensiones y/o cesantías</v>
      </c>
      <c r="CU790" s="141" t="str">
        <v>510570 Aportes a fondos de pensiones y/o cesantías</v>
      </c>
      <c r="CV790" s="141" t="str">
        <v>510570 Aportes a fondos de pensiones y/o cesantías</v>
      </c>
      <c r="CW790" s="141" t="str">
        <v>510570 Aportes a fondos de pensiones y/o cesantías</v>
      </c>
      <c r="CX790" s="141" t="str">
        <v>510570 Aportes a fondos de pensiones y/o cesantías</v>
      </c>
      <c r="CY790" s="141" t="str">
        <v>510570 Aportes a fondos de pensiones y/o cesantías</v>
      </c>
      <c r="CZ790" s="141" t="str">
        <v>510570 Aportes a fondos de pensiones y/o cesantías</v>
      </c>
      <c r="DA790" s="141" t="str">
        <v>510570 Aportes a fondos de pensiones y/o cesantías</v>
      </c>
      <c r="DF790" t="str">
        <v>510570 Aportes a fondos de pensiones y/o cesantías</v>
      </c>
      <c r="DG790" t="str">
        <v>510570 Aportes a fondos de pensiones y/o cesantías</v>
      </c>
      <c r="DH790" t="str">
        <v>510570 Aportes a fondos de pensiones y/o cesantías</v>
      </c>
      <c r="DI790" t="str">
        <v>510570 Aportes a fondos de pensiones y/o cesantías</v>
      </c>
      <c r="DJ790" t="str">
        <v>510570 Aportes a fondos de pensiones y/o cesantías</v>
      </c>
      <c r="DK790" t="str">
        <v>510570 Aportes a fondos de pensiones y/o cesantías</v>
      </c>
      <c r="DL790" t="str">
        <v>510570 Aportes a fondos de pensiones y/o cesantías</v>
      </c>
      <c r="DM790" t="str">
        <v>510570 Aportes a fondos de pensiones y/o cesantías</v>
      </c>
      <c r="DN790" t="str">
        <v>510570 Aportes a fondos de pensiones y/o cesantías</v>
      </c>
      <c r="DO790" t="str">
        <v>510570 Aportes a fondos de pensiones y/o cesantías</v>
      </c>
      <c r="DP790" t="str">
        <v>510570 Aportes a fondos de pensiones y/o cesantías</v>
      </c>
    </row>
    <row r="791" spans="4:120" ht="12.75">
      <c r="D791" s="7">
        <v>510572</v>
      </c>
      <c r="E791" s="6" t="s">
        <v>550</v>
      </c>
      <c r="F791" s="5">
        <v>4</v>
      </c>
      <c r="G791" s="34" t="s">
        <v>830</v>
      </c>
      <c r="H791" s="8" t="s">
        <v>32</v>
      </c>
      <c r="I791" t="b">
        <f>+ISNUMBER(SEARCH('F-COMPRA'!$F$28,Tabla11[[#This Row],[Cuenta]],1))</f>
        <v>1</v>
      </c>
      <c r="J791" t="b">
        <f>+ISNUMBER(SEARCH('F-COMPRA'!$F$29,Tabla11[[#This Row],[Cuenta]],1))</f>
        <v>1</v>
      </c>
      <c r="K791" t="b">
        <f>+ISNUMBER(SEARCH('F-COMPRA'!$F$30,Tabla11[[#This Row],[Cuenta]],1))</f>
        <v>1</v>
      </c>
      <c r="L791" t="b">
        <f>+ISNUMBER(SEARCH('F-COMPRA'!$F$31,Tabla11[[#This Row],[Cuenta]],1))</f>
        <v>1</v>
      </c>
      <c r="M791" t="b">
        <f>+ISNUMBER(SEARCH('F-COMPRA'!$G$25,Tabla11[[#This Row],[Cuenta]],1))</f>
        <v>0</v>
      </c>
      <c r="N791" t="b">
        <f>+ISNUMBER(SEARCH(#REF!,Tabla11[[#This Row],[Cuenta]],1))</f>
        <v>0</v>
      </c>
      <c r="O791" t="b">
        <f>+ISNUMBER(SEARCH(#REF!,Tabla11[[#This Row],[Cuenta]],1))</f>
        <v>0</v>
      </c>
      <c r="P791" t="b">
        <f>+ISNUMBER(SEARCH('F-COMPRA'!$F$32,Tabla11[[#This Row],[Cuenta]],1))</f>
        <v>1</v>
      </c>
      <c r="Q791" t="b">
        <f>+ISNUMBER(SEARCH('F-COMPRA'!$F$33,Tabla11[[#This Row],[Cuenta]],1))</f>
        <v>1</v>
      </c>
      <c r="R791" t="b">
        <f>+ISNUMBER(SEARCH('F-COMPRA'!$F$34,Tabla11[[#This Row],[Cuenta]],1))</f>
        <v>1</v>
      </c>
      <c r="S791" t="b">
        <f>+ISNUMBER(SEARCH('F-COMPRA'!$F$35,Tabla11[[#This Row],[Cuenta]],1))</f>
        <v>1</v>
      </c>
      <c r="T791" t="b">
        <f>+ISNUMBER(SEARCH('F-COMPRA'!$F$36,Tabla11[[#This Row],[Cuenta]],1))</f>
        <v>1</v>
      </c>
      <c r="U791" t="b">
        <f>+ISNUMBER(SEARCH('F-COMPRA'!$F$37,Tabla11[[#This Row],[Cuenta]],1))</f>
        <v>1</v>
      </c>
      <c r="V791" t="b">
        <f>+ISNUMBER(SEARCH(#REF!,Tabla11[[#This Row],[Cuenta]],1))</f>
        <v>0</v>
      </c>
      <c r="W791" t="b">
        <f>+ISNUMBER(SEARCH('F-COMPRA'!#REF!,Tabla11[[#This Row],[Cuenta]],1))</f>
        <v>0</v>
      </c>
      <c r="X791" t="b">
        <f>+ISNUMBER(SEARCH('F-COMPRA'!#REF!,Tabla11[[#This Row],[Cuenta]],1))</f>
        <v>0</v>
      </c>
      <c r="Y791" t="b">
        <f>+ISNUMBER(SEARCH('F-COMPRA'!#REF!,Tabla11[[#This Row],[Cuenta]],1))</f>
        <v>0</v>
      </c>
      <c r="Z791" t="b">
        <f>+ISNUMBER(SEARCH('F-COMPRA'!#REF!,Tabla11[[#This Row],[Cuenta]],1))</f>
        <v>0</v>
      </c>
      <c r="AA791" t="b">
        <f>+ISNUMBER(SEARCH('F-COMPRA'!#REF!,Tabla11[[#This Row],[Cuenta]],1))</f>
        <v>0</v>
      </c>
      <c r="AB791" t="b">
        <f>+ISNUMBER(SEARCH('F-COMPRA'!#REF!,Tabla11[[#This Row],[Cuenta]],1))</f>
        <v>0</v>
      </c>
      <c r="AC791" t="b">
        <f>+ISNUMBER(SEARCH('F-COMPRA'!#REF!,Tabla11[[#This Row],[Cuenta]],1))</f>
        <v>0</v>
      </c>
      <c r="AD791" t="b">
        <f>+ISNUMBER(SEARCH('F-COMPRA'!#REF!,Tabla11[[#This Row],[Cuenta]],1))</f>
        <v>0</v>
      </c>
      <c r="AE791" t="b">
        <f>+ISNUMBER(SEARCH('F-COMPRA'!#REF!,Tabla11[[#This Row],[Cuenta]],1))</f>
        <v>0</v>
      </c>
      <c r="AF791" t="b">
        <f>+ISNUMBER(SEARCH('F-VTA'!$G$23,Tabla11[[#This Row],[Cuenta]],1))</f>
        <v>0</v>
      </c>
      <c r="AG791" t="b">
        <f>+ISNUMBER(SEARCH('F-VTA'!$G$24,Tabla11[[#This Row],[Cuenta]],1))</f>
        <v>0</v>
      </c>
      <c r="AH791" t="b">
        <f>+ISNUMBER(SEARCH('F-VTA'!$G$25,Tabla11[[#This Row],[Cuenta]],1))</f>
        <v>0</v>
      </c>
      <c r="AI791" t="b">
        <f>+ISNUMBER(SEARCH('F-VTA'!$F$28,Tabla11[[#This Row],[Cuenta]],1))</f>
        <v>1</v>
      </c>
      <c r="AJ791" t="b">
        <f>+ISNUMBER(SEARCH('F-VTA'!$F$29,Tabla11[[#This Row],[Cuenta]],1))</f>
        <v>1</v>
      </c>
      <c r="AK791" t="b">
        <f>+ISNUMBER(SEARCH('F-VTA'!$F$30,Tabla11[[#This Row],[Cuenta]],1))</f>
        <v>1</v>
      </c>
      <c r="AL791" t="b">
        <f>+ISNUMBER(SEARCH('F-VTA'!$F$31,Tabla11[[#This Row],[Cuenta]],1))</f>
        <v>1</v>
      </c>
      <c r="AM791" t="b">
        <f>+ISNUMBER(SEARCH('F-VTA'!$F$32,Tabla11[[#This Row],[Cuenta]],1))</f>
        <v>1</v>
      </c>
      <c r="AN791" t="b">
        <f>+ISNUMBER(SEARCH('F-VTA'!$F$33,Tabla11[[#This Row],[Cuenta]],1))</f>
        <v>1</v>
      </c>
      <c r="AO791" t="b">
        <f>+ISNUMBER(SEARCH('F-VTA'!$F$34,Tabla11[[#This Row],[Cuenta]],1))</f>
        <v>1</v>
      </c>
      <c r="AP791" t="b">
        <f>+ISNUMBER(SEARCH('F-VTA'!$F$35,Tabla11[[#This Row],[Cuenta]],1))</f>
        <v>1</v>
      </c>
      <c r="AQ791" t="b">
        <f>+ISNUMBER(SEARCH('F-VTA'!$F$36,Tabla11[[#This Row],[Cuenta]],1))</f>
        <v>1</v>
      </c>
      <c r="AR791" t="b">
        <f>+ISNUMBER(SEARCH(#REF!,Tabla11[[#This Row],[Cuenta]],1))</f>
        <v>0</v>
      </c>
      <c r="AS791" t="b">
        <f>+ISNUMBER(SEARCH(#REF!,Tabla11[[#This Row],[Cuenta]],1))</f>
        <v>0</v>
      </c>
      <c r="AT791" t="b">
        <f>+ISNUMBER(SEARCH(#REF!,Tabla11[[#This Row],[Cuenta]],1))</f>
        <v>0</v>
      </c>
      <c r="AU791" t="b">
        <f>+ISNUMBER(SEARCH('Conc. Ban.1'!$I$9,Tabla11[[#This Row],[Cuenta]],1))</f>
        <v>0</v>
      </c>
      <c r="AV791" t="b">
        <f>+ISNUMBER(SEARCH(CompConta!$F$21,Tabla11[[#This Row],[Cuenta]],1))</f>
        <v>1</v>
      </c>
      <c r="AW791" t="b">
        <f>+ISNUMBER(SEARCH(CompConta!$F$22,Tabla11[[#This Row],[Cuenta]],1))</f>
        <v>1</v>
      </c>
      <c r="AX791" t="b">
        <f>+ISNUMBER(SEARCH(CompConta!$F$23,Tabla11[[#This Row],[Cuenta]],1))</f>
        <v>1</v>
      </c>
      <c r="AY791" t="b">
        <f>+ISNUMBER(SEARCH(CompConta!$F$24,Tabla11[[#This Row],[Cuenta]],1))</f>
        <v>1</v>
      </c>
      <c r="AZ791" t="b">
        <f>+ISNUMBER(SEARCH(CompConta!$F$25,Tabla11[[#This Row],[Cuenta]],1))</f>
        <v>1</v>
      </c>
      <c r="BA791" t="b">
        <f>+ISNUMBER(SEARCH(CompConta!$F$26,Tabla11[[#This Row],[Cuenta]],1))</f>
        <v>1</v>
      </c>
      <c r="BB791" t="b">
        <f>+ISNUMBER(SEARCH(CompConta!$F$27,Tabla11[[#This Row],[Cuenta]],1))</f>
        <v>1</v>
      </c>
      <c r="BC791" t="b">
        <f>+ISNUMBER(SEARCH(CompConta!$F$28,Tabla11[[#This Row],[Cuenta]],1))</f>
        <v>1</v>
      </c>
      <c r="BD791" t="b">
        <f>+ISNUMBER(SEARCH(CompConta!$F$29,Tabla11[[#This Row],[Cuenta]],1))</f>
        <v>1</v>
      </c>
      <c r="BE791" t="b">
        <f>+ISNUMBER(SEARCH(CompConta!$F$30,Tabla11[[#This Row],[Cuenta]],1))</f>
        <v>1</v>
      </c>
      <c r="BF791" t="b">
        <f>+ISNUMBER(SEARCH('PAGO Compras'!$E$11,Tabla11[[#This Row],[Cuenta]],1))</f>
        <v>1</v>
      </c>
      <c r="BG791" t="b">
        <f>+ISNUMBER(SEARCH(#REF!,Tabla11[[#This Row],[Cuenta]],1))</f>
        <v>0</v>
      </c>
      <c r="BH791" t="b">
        <f>+ISNUMBER(SEARCH(#REF!,Tabla11[[#This Row],[Cuenta]],1))</f>
        <v>0</v>
      </c>
      <c r="BI791" t="b">
        <f>+ISNUMBER(SEARCH(#REF!,Tabla11[[#This Row],[Cuenta]],1))</f>
        <v>0</v>
      </c>
      <c r="BJ791" t="b">
        <f>+ISNUMBER(SEARCH(#REF!,Tabla11[[#This Row],[Cuenta]],1))</f>
        <v>0</v>
      </c>
      <c r="BS791" t="str">
        <v>510572 Aportes cajas de compensación familiar</v>
      </c>
      <c r="BT791" t="str">
        <v>510572 Aportes cajas de compensación familiar</v>
      </c>
      <c r="BU791" t="str">
        <v>510572 Aportes cajas de compensación familiar</v>
      </c>
      <c r="BV791" t="str">
        <v>510572 Aportes cajas de compensación familiar</v>
      </c>
      <c r="BZ791" t="str">
        <v>510572 Aportes cajas de compensación familiar</v>
      </c>
      <c r="CA791" t="str">
        <v>510572 Aportes cajas de compensación familiar</v>
      </c>
      <c r="CB791" t="str">
        <v>510572 Aportes cajas de compensación familiar</v>
      </c>
      <c r="CC791" t="str">
        <v>510572 Aportes cajas de compensación familiar</v>
      </c>
      <c r="CD791" t="str">
        <v>510572 Aportes cajas de compensación familiar</v>
      </c>
      <c r="CE791" t="str">
        <v>510572 Aportes cajas de compensación familiar</v>
      </c>
      <c r="CS791" s="141" t="str">
        <v>510572 Aportes cajas de compensación familiar</v>
      </c>
      <c r="CT791" s="141" t="str">
        <v>510572 Aportes cajas de compensación familiar</v>
      </c>
      <c r="CU791" s="141" t="str">
        <v>510572 Aportes cajas de compensación familiar</v>
      </c>
      <c r="CV791" s="141" t="str">
        <v>510572 Aportes cajas de compensación familiar</v>
      </c>
      <c r="CW791" s="141" t="str">
        <v>510572 Aportes cajas de compensación familiar</v>
      </c>
      <c r="CX791" s="141" t="str">
        <v>510572 Aportes cajas de compensación familiar</v>
      </c>
      <c r="CY791" s="141" t="str">
        <v>510572 Aportes cajas de compensación familiar</v>
      </c>
      <c r="CZ791" s="141" t="str">
        <v>510572 Aportes cajas de compensación familiar</v>
      </c>
      <c r="DA791" s="141" t="str">
        <v>510572 Aportes cajas de compensación familiar</v>
      </c>
      <c r="DF791" t="str">
        <v>510572 Aportes cajas de compensación familiar</v>
      </c>
      <c r="DG791" t="str">
        <v>510572 Aportes cajas de compensación familiar</v>
      </c>
      <c r="DH791" t="str">
        <v>510572 Aportes cajas de compensación familiar</v>
      </c>
      <c r="DI791" t="str">
        <v>510572 Aportes cajas de compensación familiar</v>
      </c>
      <c r="DJ791" t="str">
        <v>510572 Aportes cajas de compensación familiar</v>
      </c>
      <c r="DK791" t="str">
        <v>510572 Aportes cajas de compensación familiar</v>
      </c>
      <c r="DL791" t="str">
        <v>510572 Aportes cajas de compensación familiar</v>
      </c>
      <c r="DM791" t="str">
        <v>510572 Aportes cajas de compensación familiar</v>
      </c>
      <c r="DN791" t="str">
        <v>510572 Aportes cajas de compensación familiar</v>
      </c>
      <c r="DO791" t="str">
        <v>510572 Aportes cajas de compensación familiar</v>
      </c>
      <c r="DP791" t="str">
        <v>510572 Aportes cajas de compensación familiar</v>
      </c>
    </row>
    <row r="792" spans="4:120" ht="12.75">
      <c r="D792" s="7">
        <v>510575</v>
      </c>
      <c r="E792" s="6" t="s">
        <v>551</v>
      </c>
      <c r="F792" s="5">
        <v>4</v>
      </c>
      <c r="G792" s="34" t="s">
        <v>830</v>
      </c>
      <c r="H792" s="8" t="s">
        <v>32</v>
      </c>
      <c r="I792" t="b">
        <f>+ISNUMBER(SEARCH('F-COMPRA'!$F$28,Tabla11[[#This Row],[Cuenta]],1))</f>
        <v>1</v>
      </c>
      <c r="J792" t="b">
        <f>+ISNUMBER(SEARCH('F-COMPRA'!$F$29,Tabla11[[#This Row],[Cuenta]],1))</f>
        <v>1</v>
      </c>
      <c r="K792" t="b">
        <f>+ISNUMBER(SEARCH('F-COMPRA'!$F$30,Tabla11[[#This Row],[Cuenta]],1))</f>
        <v>1</v>
      </c>
      <c r="L792" t="b">
        <f>+ISNUMBER(SEARCH('F-COMPRA'!$F$31,Tabla11[[#This Row],[Cuenta]],1))</f>
        <v>1</v>
      </c>
      <c r="M792" t="b">
        <f>+ISNUMBER(SEARCH('F-COMPRA'!$G$25,Tabla11[[#This Row],[Cuenta]],1))</f>
        <v>0</v>
      </c>
      <c r="N792" t="b">
        <f>+ISNUMBER(SEARCH(#REF!,Tabla11[[#This Row],[Cuenta]],1))</f>
        <v>0</v>
      </c>
      <c r="O792" t="b">
        <f>+ISNUMBER(SEARCH(#REF!,Tabla11[[#This Row],[Cuenta]],1))</f>
        <v>0</v>
      </c>
      <c r="P792" t="b">
        <f>+ISNUMBER(SEARCH('F-COMPRA'!$F$32,Tabla11[[#This Row],[Cuenta]],1))</f>
        <v>1</v>
      </c>
      <c r="Q792" t="b">
        <f>+ISNUMBER(SEARCH('F-COMPRA'!$F$33,Tabla11[[#This Row],[Cuenta]],1))</f>
        <v>1</v>
      </c>
      <c r="R792" t="b">
        <f>+ISNUMBER(SEARCH('F-COMPRA'!$F$34,Tabla11[[#This Row],[Cuenta]],1))</f>
        <v>1</v>
      </c>
      <c r="S792" t="b">
        <f>+ISNUMBER(SEARCH('F-COMPRA'!$F$35,Tabla11[[#This Row],[Cuenta]],1))</f>
        <v>1</v>
      </c>
      <c r="T792" t="b">
        <f>+ISNUMBER(SEARCH('F-COMPRA'!$F$36,Tabla11[[#This Row],[Cuenta]],1))</f>
        <v>1</v>
      </c>
      <c r="U792" t="b">
        <f>+ISNUMBER(SEARCH('F-COMPRA'!$F$37,Tabla11[[#This Row],[Cuenta]],1))</f>
        <v>1</v>
      </c>
      <c r="V792" t="b">
        <f>+ISNUMBER(SEARCH(#REF!,Tabla11[[#This Row],[Cuenta]],1))</f>
        <v>0</v>
      </c>
      <c r="W792" t="b">
        <f>+ISNUMBER(SEARCH('F-COMPRA'!#REF!,Tabla11[[#This Row],[Cuenta]],1))</f>
        <v>0</v>
      </c>
      <c r="X792" t="b">
        <f>+ISNUMBER(SEARCH('F-COMPRA'!#REF!,Tabla11[[#This Row],[Cuenta]],1))</f>
        <v>0</v>
      </c>
      <c r="Y792" t="b">
        <f>+ISNUMBER(SEARCH('F-COMPRA'!#REF!,Tabla11[[#This Row],[Cuenta]],1))</f>
        <v>0</v>
      </c>
      <c r="Z792" t="b">
        <f>+ISNUMBER(SEARCH('F-COMPRA'!#REF!,Tabla11[[#This Row],[Cuenta]],1))</f>
        <v>0</v>
      </c>
      <c r="AA792" t="b">
        <f>+ISNUMBER(SEARCH('F-COMPRA'!#REF!,Tabla11[[#This Row],[Cuenta]],1))</f>
        <v>0</v>
      </c>
      <c r="AB792" t="b">
        <f>+ISNUMBER(SEARCH('F-COMPRA'!#REF!,Tabla11[[#This Row],[Cuenta]],1))</f>
        <v>0</v>
      </c>
      <c r="AC792" t="b">
        <f>+ISNUMBER(SEARCH('F-COMPRA'!#REF!,Tabla11[[#This Row],[Cuenta]],1))</f>
        <v>0</v>
      </c>
      <c r="AD792" t="b">
        <f>+ISNUMBER(SEARCH('F-COMPRA'!#REF!,Tabla11[[#This Row],[Cuenta]],1))</f>
        <v>0</v>
      </c>
      <c r="AE792" t="b">
        <f>+ISNUMBER(SEARCH('F-COMPRA'!#REF!,Tabla11[[#This Row],[Cuenta]],1))</f>
        <v>0</v>
      </c>
      <c r="AF792" t="b">
        <f>+ISNUMBER(SEARCH('F-VTA'!$G$23,Tabla11[[#This Row],[Cuenta]],1))</f>
        <v>0</v>
      </c>
      <c r="AG792" t="b">
        <f>+ISNUMBER(SEARCH('F-VTA'!$G$24,Tabla11[[#This Row],[Cuenta]],1))</f>
        <v>0</v>
      </c>
      <c r="AH792" t="b">
        <f>+ISNUMBER(SEARCH('F-VTA'!$G$25,Tabla11[[#This Row],[Cuenta]],1))</f>
        <v>0</v>
      </c>
      <c r="AI792" t="b">
        <f>+ISNUMBER(SEARCH('F-VTA'!$F$28,Tabla11[[#This Row],[Cuenta]],1))</f>
        <v>1</v>
      </c>
      <c r="AJ792" t="b">
        <f>+ISNUMBER(SEARCH('F-VTA'!$F$29,Tabla11[[#This Row],[Cuenta]],1))</f>
        <v>1</v>
      </c>
      <c r="AK792" t="b">
        <f>+ISNUMBER(SEARCH('F-VTA'!$F$30,Tabla11[[#This Row],[Cuenta]],1))</f>
        <v>1</v>
      </c>
      <c r="AL792" t="b">
        <f>+ISNUMBER(SEARCH('F-VTA'!$F$31,Tabla11[[#This Row],[Cuenta]],1))</f>
        <v>1</v>
      </c>
      <c r="AM792" t="b">
        <f>+ISNUMBER(SEARCH('F-VTA'!$F$32,Tabla11[[#This Row],[Cuenta]],1))</f>
        <v>1</v>
      </c>
      <c r="AN792" t="b">
        <f>+ISNUMBER(SEARCH('F-VTA'!$F$33,Tabla11[[#This Row],[Cuenta]],1))</f>
        <v>1</v>
      </c>
      <c r="AO792" t="b">
        <f>+ISNUMBER(SEARCH('F-VTA'!$F$34,Tabla11[[#This Row],[Cuenta]],1))</f>
        <v>1</v>
      </c>
      <c r="AP792" t="b">
        <f>+ISNUMBER(SEARCH('F-VTA'!$F$35,Tabla11[[#This Row],[Cuenta]],1))</f>
        <v>1</v>
      </c>
      <c r="AQ792" t="b">
        <f>+ISNUMBER(SEARCH('F-VTA'!$F$36,Tabla11[[#This Row],[Cuenta]],1))</f>
        <v>1</v>
      </c>
      <c r="AR792" t="b">
        <f>+ISNUMBER(SEARCH(#REF!,Tabla11[[#This Row],[Cuenta]],1))</f>
        <v>0</v>
      </c>
      <c r="AS792" t="b">
        <f>+ISNUMBER(SEARCH(#REF!,Tabla11[[#This Row],[Cuenta]],1))</f>
        <v>0</v>
      </c>
      <c r="AT792" t="b">
        <f>+ISNUMBER(SEARCH(#REF!,Tabla11[[#This Row],[Cuenta]],1))</f>
        <v>0</v>
      </c>
      <c r="AU792" t="b">
        <f>+ISNUMBER(SEARCH('Conc. Ban.1'!$I$9,Tabla11[[#This Row],[Cuenta]],1))</f>
        <v>0</v>
      </c>
      <c r="AV792" t="b">
        <f>+ISNUMBER(SEARCH(CompConta!$F$21,Tabla11[[#This Row],[Cuenta]],1))</f>
        <v>1</v>
      </c>
      <c r="AW792" t="b">
        <f>+ISNUMBER(SEARCH(CompConta!$F$22,Tabla11[[#This Row],[Cuenta]],1))</f>
        <v>1</v>
      </c>
      <c r="AX792" t="b">
        <f>+ISNUMBER(SEARCH(CompConta!$F$23,Tabla11[[#This Row],[Cuenta]],1))</f>
        <v>1</v>
      </c>
      <c r="AY792" t="b">
        <f>+ISNUMBER(SEARCH(CompConta!$F$24,Tabla11[[#This Row],[Cuenta]],1))</f>
        <v>1</v>
      </c>
      <c r="AZ792" t="b">
        <f>+ISNUMBER(SEARCH(CompConta!$F$25,Tabla11[[#This Row],[Cuenta]],1))</f>
        <v>1</v>
      </c>
      <c r="BA792" t="b">
        <f>+ISNUMBER(SEARCH(CompConta!$F$26,Tabla11[[#This Row],[Cuenta]],1))</f>
        <v>1</v>
      </c>
      <c r="BB792" t="b">
        <f>+ISNUMBER(SEARCH(CompConta!$F$27,Tabla11[[#This Row],[Cuenta]],1))</f>
        <v>1</v>
      </c>
      <c r="BC792" t="b">
        <f>+ISNUMBER(SEARCH(CompConta!$F$28,Tabla11[[#This Row],[Cuenta]],1))</f>
        <v>1</v>
      </c>
      <c r="BD792" t="b">
        <f>+ISNUMBER(SEARCH(CompConta!$F$29,Tabla11[[#This Row],[Cuenta]],1))</f>
        <v>1</v>
      </c>
      <c r="BE792" t="b">
        <f>+ISNUMBER(SEARCH(CompConta!$F$30,Tabla11[[#This Row],[Cuenta]],1))</f>
        <v>1</v>
      </c>
      <c r="BF792" t="b">
        <f>+ISNUMBER(SEARCH('PAGO Compras'!$E$11,Tabla11[[#This Row],[Cuenta]],1))</f>
        <v>1</v>
      </c>
      <c r="BG792" t="b">
        <f>+ISNUMBER(SEARCH(#REF!,Tabla11[[#This Row],[Cuenta]],1))</f>
        <v>0</v>
      </c>
      <c r="BH792" t="b">
        <f>+ISNUMBER(SEARCH(#REF!,Tabla11[[#This Row],[Cuenta]],1))</f>
        <v>0</v>
      </c>
      <c r="BI792" t="b">
        <f>+ISNUMBER(SEARCH(#REF!,Tabla11[[#This Row],[Cuenta]],1))</f>
        <v>0</v>
      </c>
      <c r="BJ792" t="b">
        <f>+ISNUMBER(SEARCH(#REF!,Tabla11[[#This Row],[Cuenta]],1))</f>
        <v>0</v>
      </c>
      <c r="BS792" t="str">
        <v>510575 Aportes ICBF</v>
      </c>
      <c r="BT792" t="str">
        <v>510575 Aportes ICBF</v>
      </c>
      <c r="BU792" t="str">
        <v>510575 Aportes ICBF</v>
      </c>
      <c r="BV792" t="str">
        <v>510575 Aportes ICBF</v>
      </c>
      <c r="BZ792" t="str">
        <v>510575 Aportes ICBF</v>
      </c>
      <c r="CA792" t="str">
        <v>510575 Aportes ICBF</v>
      </c>
      <c r="CB792" t="str">
        <v>510575 Aportes ICBF</v>
      </c>
      <c r="CC792" t="str">
        <v>510575 Aportes ICBF</v>
      </c>
      <c r="CD792" t="str">
        <v>510575 Aportes ICBF</v>
      </c>
      <c r="CE792" t="str">
        <v>510575 Aportes ICBF</v>
      </c>
      <c r="CS792" s="141" t="str">
        <v>510575 Aportes ICBF</v>
      </c>
      <c r="CT792" s="141" t="str">
        <v>510575 Aportes ICBF</v>
      </c>
      <c r="CU792" s="141" t="str">
        <v>510575 Aportes ICBF</v>
      </c>
      <c r="CV792" s="141" t="str">
        <v>510575 Aportes ICBF</v>
      </c>
      <c r="CW792" s="141" t="str">
        <v>510575 Aportes ICBF</v>
      </c>
      <c r="CX792" s="141" t="str">
        <v>510575 Aportes ICBF</v>
      </c>
      <c r="CY792" s="141" t="str">
        <v>510575 Aportes ICBF</v>
      </c>
      <c r="CZ792" s="141" t="str">
        <v>510575 Aportes ICBF</v>
      </c>
      <c r="DA792" s="141" t="str">
        <v>510575 Aportes ICBF</v>
      </c>
      <c r="DF792" t="str">
        <v>510575 Aportes ICBF</v>
      </c>
      <c r="DG792" t="str">
        <v>510575 Aportes ICBF</v>
      </c>
      <c r="DH792" t="str">
        <v>510575 Aportes ICBF</v>
      </c>
      <c r="DI792" t="str">
        <v>510575 Aportes ICBF</v>
      </c>
      <c r="DJ792" t="str">
        <v>510575 Aportes ICBF</v>
      </c>
      <c r="DK792" t="str">
        <v>510575 Aportes ICBF</v>
      </c>
      <c r="DL792" t="str">
        <v>510575 Aportes ICBF</v>
      </c>
      <c r="DM792" t="str">
        <v>510575 Aportes ICBF</v>
      </c>
      <c r="DN792" t="str">
        <v>510575 Aportes ICBF</v>
      </c>
      <c r="DO792" t="str">
        <v>510575 Aportes ICBF</v>
      </c>
      <c r="DP792" t="str">
        <v>510575 Aportes ICBF</v>
      </c>
    </row>
    <row r="793" spans="4:120" ht="12.75">
      <c r="D793" s="7">
        <v>510578</v>
      </c>
      <c r="E793" s="6" t="s">
        <v>552</v>
      </c>
      <c r="F793" s="5">
        <v>4</v>
      </c>
      <c r="G793" s="34" t="s">
        <v>830</v>
      </c>
      <c r="H793" s="8" t="s">
        <v>32</v>
      </c>
      <c r="I793" t="b">
        <f>+ISNUMBER(SEARCH('F-COMPRA'!$F$28,Tabla11[[#This Row],[Cuenta]],1))</f>
        <v>1</v>
      </c>
      <c r="J793" t="b">
        <f>+ISNUMBER(SEARCH('F-COMPRA'!$F$29,Tabla11[[#This Row],[Cuenta]],1))</f>
        <v>1</v>
      </c>
      <c r="K793" t="b">
        <f>+ISNUMBER(SEARCH('F-COMPRA'!$F$30,Tabla11[[#This Row],[Cuenta]],1))</f>
        <v>1</v>
      </c>
      <c r="L793" t="b">
        <f>+ISNUMBER(SEARCH('F-COMPRA'!$F$31,Tabla11[[#This Row],[Cuenta]],1))</f>
        <v>1</v>
      </c>
      <c r="M793" t="b">
        <f>+ISNUMBER(SEARCH('F-COMPRA'!$G$25,Tabla11[[#This Row],[Cuenta]],1))</f>
        <v>0</v>
      </c>
      <c r="N793" t="b">
        <f>+ISNUMBER(SEARCH(#REF!,Tabla11[[#This Row],[Cuenta]],1))</f>
        <v>0</v>
      </c>
      <c r="O793" t="b">
        <f>+ISNUMBER(SEARCH(#REF!,Tabla11[[#This Row],[Cuenta]],1))</f>
        <v>0</v>
      </c>
      <c r="P793" t="b">
        <f>+ISNUMBER(SEARCH('F-COMPRA'!$F$32,Tabla11[[#This Row],[Cuenta]],1))</f>
        <v>1</v>
      </c>
      <c r="Q793" t="b">
        <f>+ISNUMBER(SEARCH('F-COMPRA'!$F$33,Tabla11[[#This Row],[Cuenta]],1))</f>
        <v>1</v>
      </c>
      <c r="R793" t="b">
        <f>+ISNUMBER(SEARCH('F-COMPRA'!$F$34,Tabla11[[#This Row],[Cuenta]],1))</f>
        <v>1</v>
      </c>
      <c r="S793" t="b">
        <f>+ISNUMBER(SEARCH('F-COMPRA'!$F$35,Tabla11[[#This Row],[Cuenta]],1))</f>
        <v>1</v>
      </c>
      <c r="T793" t="b">
        <f>+ISNUMBER(SEARCH('F-COMPRA'!$F$36,Tabla11[[#This Row],[Cuenta]],1))</f>
        <v>1</v>
      </c>
      <c r="U793" t="b">
        <f>+ISNUMBER(SEARCH('F-COMPRA'!$F$37,Tabla11[[#This Row],[Cuenta]],1))</f>
        <v>1</v>
      </c>
      <c r="V793" t="b">
        <f>+ISNUMBER(SEARCH(#REF!,Tabla11[[#This Row],[Cuenta]],1))</f>
        <v>0</v>
      </c>
      <c r="W793" t="b">
        <f>+ISNUMBER(SEARCH('F-COMPRA'!#REF!,Tabla11[[#This Row],[Cuenta]],1))</f>
        <v>0</v>
      </c>
      <c r="X793" t="b">
        <f>+ISNUMBER(SEARCH('F-COMPRA'!#REF!,Tabla11[[#This Row],[Cuenta]],1))</f>
        <v>0</v>
      </c>
      <c r="Y793" t="b">
        <f>+ISNUMBER(SEARCH('F-COMPRA'!#REF!,Tabla11[[#This Row],[Cuenta]],1))</f>
        <v>0</v>
      </c>
      <c r="Z793" t="b">
        <f>+ISNUMBER(SEARCH('F-COMPRA'!#REF!,Tabla11[[#This Row],[Cuenta]],1))</f>
        <v>0</v>
      </c>
      <c r="AA793" t="b">
        <f>+ISNUMBER(SEARCH('F-COMPRA'!#REF!,Tabla11[[#This Row],[Cuenta]],1))</f>
        <v>0</v>
      </c>
      <c r="AB793" t="b">
        <f>+ISNUMBER(SEARCH('F-COMPRA'!#REF!,Tabla11[[#This Row],[Cuenta]],1))</f>
        <v>0</v>
      </c>
      <c r="AC793" t="b">
        <f>+ISNUMBER(SEARCH('F-COMPRA'!#REF!,Tabla11[[#This Row],[Cuenta]],1))</f>
        <v>0</v>
      </c>
      <c r="AD793" t="b">
        <f>+ISNUMBER(SEARCH('F-COMPRA'!#REF!,Tabla11[[#This Row],[Cuenta]],1))</f>
        <v>0</v>
      </c>
      <c r="AE793" t="b">
        <f>+ISNUMBER(SEARCH('F-COMPRA'!#REF!,Tabla11[[#This Row],[Cuenta]],1))</f>
        <v>0</v>
      </c>
      <c r="AF793" t="b">
        <f>+ISNUMBER(SEARCH('F-VTA'!$G$23,Tabla11[[#This Row],[Cuenta]],1))</f>
        <v>0</v>
      </c>
      <c r="AG793" t="b">
        <f>+ISNUMBER(SEARCH('F-VTA'!$G$24,Tabla11[[#This Row],[Cuenta]],1))</f>
        <v>0</v>
      </c>
      <c r="AH793" t="b">
        <f>+ISNUMBER(SEARCH('F-VTA'!$G$25,Tabla11[[#This Row],[Cuenta]],1))</f>
        <v>0</v>
      </c>
      <c r="AI793" t="b">
        <f>+ISNUMBER(SEARCH('F-VTA'!$F$28,Tabla11[[#This Row],[Cuenta]],1))</f>
        <v>1</v>
      </c>
      <c r="AJ793" t="b">
        <f>+ISNUMBER(SEARCH('F-VTA'!$F$29,Tabla11[[#This Row],[Cuenta]],1))</f>
        <v>1</v>
      </c>
      <c r="AK793" t="b">
        <f>+ISNUMBER(SEARCH('F-VTA'!$F$30,Tabla11[[#This Row],[Cuenta]],1))</f>
        <v>1</v>
      </c>
      <c r="AL793" t="b">
        <f>+ISNUMBER(SEARCH('F-VTA'!$F$31,Tabla11[[#This Row],[Cuenta]],1))</f>
        <v>1</v>
      </c>
      <c r="AM793" t="b">
        <f>+ISNUMBER(SEARCH('F-VTA'!$F$32,Tabla11[[#This Row],[Cuenta]],1))</f>
        <v>1</v>
      </c>
      <c r="AN793" t="b">
        <f>+ISNUMBER(SEARCH('F-VTA'!$F$33,Tabla11[[#This Row],[Cuenta]],1))</f>
        <v>1</v>
      </c>
      <c r="AO793" t="b">
        <f>+ISNUMBER(SEARCH('F-VTA'!$F$34,Tabla11[[#This Row],[Cuenta]],1))</f>
        <v>1</v>
      </c>
      <c r="AP793" t="b">
        <f>+ISNUMBER(SEARCH('F-VTA'!$F$35,Tabla11[[#This Row],[Cuenta]],1))</f>
        <v>1</v>
      </c>
      <c r="AQ793" t="b">
        <f>+ISNUMBER(SEARCH('F-VTA'!$F$36,Tabla11[[#This Row],[Cuenta]],1))</f>
        <v>1</v>
      </c>
      <c r="AR793" t="b">
        <f>+ISNUMBER(SEARCH(#REF!,Tabla11[[#This Row],[Cuenta]],1))</f>
        <v>0</v>
      </c>
      <c r="AS793" t="b">
        <f>+ISNUMBER(SEARCH(#REF!,Tabla11[[#This Row],[Cuenta]],1))</f>
        <v>0</v>
      </c>
      <c r="AT793" t="b">
        <f>+ISNUMBER(SEARCH(#REF!,Tabla11[[#This Row],[Cuenta]],1))</f>
        <v>0</v>
      </c>
      <c r="AU793" t="b">
        <f>+ISNUMBER(SEARCH('Conc. Ban.1'!$I$9,Tabla11[[#This Row],[Cuenta]],1))</f>
        <v>0</v>
      </c>
      <c r="AV793" t="b">
        <f>+ISNUMBER(SEARCH(CompConta!$F$21,Tabla11[[#This Row],[Cuenta]],1))</f>
        <v>1</v>
      </c>
      <c r="AW793" t="b">
        <f>+ISNUMBER(SEARCH(CompConta!$F$22,Tabla11[[#This Row],[Cuenta]],1))</f>
        <v>1</v>
      </c>
      <c r="AX793" t="b">
        <f>+ISNUMBER(SEARCH(CompConta!$F$23,Tabla11[[#This Row],[Cuenta]],1))</f>
        <v>1</v>
      </c>
      <c r="AY793" t="b">
        <f>+ISNUMBER(SEARCH(CompConta!$F$24,Tabla11[[#This Row],[Cuenta]],1))</f>
        <v>1</v>
      </c>
      <c r="AZ793" t="b">
        <f>+ISNUMBER(SEARCH(CompConta!$F$25,Tabla11[[#This Row],[Cuenta]],1))</f>
        <v>1</v>
      </c>
      <c r="BA793" t="b">
        <f>+ISNUMBER(SEARCH(CompConta!$F$26,Tabla11[[#This Row],[Cuenta]],1))</f>
        <v>1</v>
      </c>
      <c r="BB793" t="b">
        <f>+ISNUMBER(SEARCH(CompConta!$F$27,Tabla11[[#This Row],[Cuenta]],1))</f>
        <v>1</v>
      </c>
      <c r="BC793" t="b">
        <f>+ISNUMBER(SEARCH(CompConta!$F$28,Tabla11[[#This Row],[Cuenta]],1))</f>
        <v>1</v>
      </c>
      <c r="BD793" t="b">
        <f>+ISNUMBER(SEARCH(CompConta!$F$29,Tabla11[[#This Row],[Cuenta]],1))</f>
        <v>1</v>
      </c>
      <c r="BE793" t="b">
        <f>+ISNUMBER(SEARCH(CompConta!$F$30,Tabla11[[#This Row],[Cuenta]],1))</f>
        <v>1</v>
      </c>
      <c r="BF793" t="b">
        <f>+ISNUMBER(SEARCH('PAGO Compras'!$E$11,Tabla11[[#This Row],[Cuenta]],1))</f>
        <v>1</v>
      </c>
      <c r="BG793" t="b">
        <f>+ISNUMBER(SEARCH(#REF!,Tabla11[[#This Row],[Cuenta]],1))</f>
        <v>0</v>
      </c>
      <c r="BH793" t="b">
        <f>+ISNUMBER(SEARCH(#REF!,Tabla11[[#This Row],[Cuenta]],1))</f>
        <v>0</v>
      </c>
      <c r="BI793" t="b">
        <f>+ISNUMBER(SEARCH(#REF!,Tabla11[[#This Row],[Cuenta]],1))</f>
        <v>0</v>
      </c>
      <c r="BJ793" t="b">
        <f>+ISNUMBER(SEARCH(#REF!,Tabla11[[#This Row],[Cuenta]],1))</f>
        <v>0</v>
      </c>
      <c r="BS793" t="str">
        <v>510578 SENA</v>
      </c>
      <c r="BT793" t="str">
        <v>510578 SENA</v>
      </c>
      <c r="BU793" t="str">
        <v>510578 SENA</v>
      </c>
      <c r="BV793" t="str">
        <v>510578 SENA</v>
      </c>
      <c r="BZ793" t="str">
        <v>510578 SENA</v>
      </c>
      <c r="CA793" t="str">
        <v>510578 SENA</v>
      </c>
      <c r="CB793" t="str">
        <v>510578 SENA</v>
      </c>
      <c r="CC793" t="str">
        <v>510578 SENA</v>
      </c>
      <c r="CD793" t="str">
        <v>510578 SENA</v>
      </c>
      <c r="CE793" t="str">
        <v>510578 SENA</v>
      </c>
      <c r="CS793" s="141" t="str">
        <v>510578 SENA</v>
      </c>
      <c r="CT793" s="141" t="str">
        <v>510578 SENA</v>
      </c>
      <c r="CU793" s="141" t="str">
        <v>510578 SENA</v>
      </c>
      <c r="CV793" s="141" t="str">
        <v>510578 SENA</v>
      </c>
      <c r="CW793" s="141" t="str">
        <v>510578 SENA</v>
      </c>
      <c r="CX793" s="141" t="str">
        <v>510578 SENA</v>
      </c>
      <c r="CY793" s="141" t="str">
        <v>510578 SENA</v>
      </c>
      <c r="CZ793" s="141" t="str">
        <v>510578 SENA</v>
      </c>
      <c r="DA793" s="141" t="str">
        <v>510578 SENA</v>
      </c>
      <c r="DF793" t="str">
        <v>510578 SENA</v>
      </c>
      <c r="DG793" t="str">
        <v>510578 SENA</v>
      </c>
      <c r="DH793" t="str">
        <v>510578 SENA</v>
      </c>
      <c r="DI793" t="str">
        <v>510578 SENA</v>
      </c>
      <c r="DJ793" t="str">
        <v>510578 SENA</v>
      </c>
      <c r="DK793" t="str">
        <v>510578 SENA</v>
      </c>
      <c r="DL793" t="str">
        <v>510578 SENA</v>
      </c>
      <c r="DM793" t="str">
        <v>510578 SENA</v>
      </c>
      <c r="DN793" t="str">
        <v>510578 SENA</v>
      </c>
      <c r="DO793" t="str">
        <v>510578 SENA</v>
      </c>
      <c r="DP793" t="str">
        <v>510578 SENA</v>
      </c>
    </row>
    <row r="794" spans="4:120" ht="12.75">
      <c r="D794" s="7">
        <v>510581</v>
      </c>
      <c r="E794" s="6" t="s">
        <v>553</v>
      </c>
      <c r="F794" s="5">
        <v>4</v>
      </c>
      <c r="G794" s="34" t="s">
        <v>830</v>
      </c>
      <c r="H794" s="8" t="s">
        <v>32</v>
      </c>
      <c r="I794" t="b">
        <f>+ISNUMBER(SEARCH('F-COMPRA'!$F$28,Tabla11[[#This Row],[Cuenta]],1))</f>
        <v>1</v>
      </c>
      <c r="J794" t="b">
        <f>+ISNUMBER(SEARCH('F-COMPRA'!$F$29,Tabla11[[#This Row],[Cuenta]],1))</f>
        <v>1</v>
      </c>
      <c r="K794" t="b">
        <f>+ISNUMBER(SEARCH('F-COMPRA'!$F$30,Tabla11[[#This Row],[Cuenta]],1))</f>
        <v>1</v>
      </c>
      <c r="L794" t="b">
        <f>+ISNUMBER(SEARCH('F-COMPRA'!$F$31,Tabla11[[#This Row],[Cuenta]],1))</f>
        <v>1</v>
      </c>
      <c r="M794" t="b">
        <f>+ISNUMBER(SEARCH('F-COMPRA'!$G$25,Tabla11[[#This Row],[Cuenta]],1))</f>
        <v>0</v>
      </c>
      <c r="N794" t="b">
        <f>+ISNUMBER(SEARCH(#REF!,Tabla11[[#This Row],[Cuenta]],1))</f>
        <v>0</v>
      </c>
      <c r="O794" t="b">
        <f>+ISNUMBER(SEARCH(#REF!,Tabla11[[#This Row],[Cuenta]],1))</f>
        <v>0</v>
      </c>
      <c r="P794" t="b">
        <f>+ISNUMBER(SEARCH('F-COMPRA'!$F$32,Tabla11[[#This Row],[Cuenta]],1))</f>
        <v>1</v>
      </c>
      <c r="Q794" t="b">
        <f>+ISNUMBER(SEARCH('F-COMPRA'!$F$33,Tabla11[[#This Row],[Cuenta]],1))</f>
        <v>1</v>
      </c>
      <c r="R794" t="b">
        <f>+ISNUMBER(SEARCH('F-COMPRA'!$F$34,Tabla11[[#This Row],[Cuenta]],1))</f>
        <v>1</v>
      </c>
      <c r="S794" t="b">
        <f>+ISNUMBER(SEARCH('F-COMPRA'!$F$35,Tabla11[[#This Row],[Cuenta]],1))</f>
        <v>1</v>
      </c>
      <c r="T794" t="b">
        <f>+ISNUMBER(SEARCH('F-COMPRA'!$F$36,Tabla11[[#This Row],[Cuenta]],1))</f>
        <v>1</v>
      </c>
      <c r="U794" t="b">
        <f>+ISNUMBER(SEARCH('F-COMPRA'!$F$37,Tabla11[[#This Row],[Cuenta]],1))</f>
        <v>1</v>
      </c>
      <c r="V794" t="b">
        <f>+ISNUMBER(SEARCH(#REF!,Tabla11[[#This Row],[Cuenta]],1))</f>
        <v>0</v>
      </c>
      <c r="W794" t="b">
        <f>+ISNUMBER(SEARCH('F-COMPRA'!#REF!,Tabla11[[#This Row],[Cuenta]],1))</f>
        <v>0</v>
      </c>
      <c r="X794" t="b">
        <f>+ISNUMBER(SEARCH('F-COMPRA'!#REF!,Tabla11[[#This Row],[Cuenta]],1))</f>
        <v>0</v>
      </c>
      <c r="Y794" t="b">
        <f>+ISNUMBER(SEARCH('F-COMPRA'!#REF!,Tabla11[[#This Row],[Cuenta]],1))</f>
        <v>0</v>
      </c>
      <c r="Z794" t="b">
        <f>+ISNUMBER(SEARCH('F-COMPRA'!#REF!,Tabla11[[#This Row],[Cuenta]],1))</f>
        <v>0</v>
      </c>
      <c r="AA794" t="b">
        <f>+ISNUMBER(SEARCH('F-COMPRA'!#REF!,Tabla11[[#This Row],[Cuenta]],1))</f>
        <v>0</v>
      </c>
      <c r="AB794" t="b">
        <f>+ISNUMBER(SEARCH('F-COMPRA'!#REF!,Tabla11[[#This Row],[Cuenta]],1))</f>
        <v>0</v>
      </c>
      <c r="AC794" t="b">
        <f>+ISNUMBER(SEARCH('F-COMPRA'!#REF!,Tabla11[[#This Row],[Cuenta]],1))</f>
        <v>0</v>
      </c>
      <c r="AD794" t="b">
        <f>+ISNUMBER(SEARCH('F-COMPRA'!#REF!,Tabla11[[#This Row],[Cuenta]],1))</f>
        <v>0</v>
      </c>
      <c r="AE794" t="b">
        <f>+ISNUMBER(SEARCH('F-COMPRA'!#REF!,Tabla11[[#This Row],[Cuenta]],1))</f>
        <v>0</v>
      </c>
      <c r="AF794" t="b">
        <f>+ISNUMBER(SEARCH('F-VTA'!$G$23,Tabla11[[#This Row],[Cuenta]],1))</f>
        <v>0</v>
      </c>
      <c r="AG794" t="b">
        <f>+ISNUMBER(SEARCH('F-VTA'!$G$24,Tabla11[[#This Row],[Cuenta]],1))</f>
        <v>0</v>
      </c>
      <c r="AH794" t="b">
        <f>+ISNUMBER(SEARCH('F-VTA'!$G$25,Tabla11[[#This Row],[Cuenta]],1))</f>
        <v>0</v>
      </c>
      <c r="AI794" t="b">
        <f>+ISNUMBER(SEARCH('F-VTA'!$F$28,Tabla11[[#This Row],[Cuenta]],1))</f>
        <v>1</v>
      </c>
      <c r="AJ794" t="b">
        <f>+ISNUMBER(SEARCH('F-VTA'!$F$29,Tabla11[[#This Row],[Cuenta]],1))</f>
        <v>1</v>
      </c>
      <c r="AK794" t="b">
        <f>+ISNUMBER(SEARCH('F-VTA'!$F$30,Tabla11[[#This Row],[Cuenta]],1))</f>
        <v>1</v>
      </c>
      <c r="AL794" t="b">
        <f>+ISNUMBER(SEARCH('F-VTA'!$F$31,Tabla11[[#This Row],[Cuenta]],1))</f>
        <v>1</v>
      </c>
      <c r="AM794" t="b">
        <f>+ISNUMBER(SEARCH('F-VTA'!$F$32,Tabla11[[#This Row],[Cuenta]],1))</f>
        <v>1</v>
      </c>
      <c r="AN794" t="b">
        <f>+ISNUMBER(SEARCH('F-VTA'!$F$33,Tabla11[[#This Row],[Cuenta]],1))</f>
        <v>1</v>
      </c>
      <c r="AO794" t="b">
        <f>+ISNUMBER(SEARCH('F-VTA'!$F$34,Tabla11[[#This Row],[Cuenta]],1))</f>
        <v>1</v>
      </c>
      <c r="AP794" t="b">
        <f>+ISNUMBER(SEARCH('F-VTA'!$F$35,Tabla11[[#This Row],[Cuenta]],1))</f>
        <v>1</v>
      </c>
      <c r="AQ794" t="b">
        <f>+ISNUMBER(SEARCH('F-VTA'!$F$36,Tabla11[[#This Row],[Cuenta]],1))</f>
        <v>1</v>
      </c>
      <c r="AR794" t="b">
        <f>+ISNUMBER(SEARCH(#REF!,Tabla11[[#This Row],[Cuenta]],1))</f>
        <v>0</v>
      </c>
      <c r="AS794" t="b">
        <f>+ISNUMBER(SEARCH(#REF!,Tabla11[[#This Row],[Cuenta]],1))</f>
        <v>0</v>
      </c>
      <c r="AT794" t="b">
        <f>+ISNUMBER(SEARCH(#REF!,Tabla11[[#This Row],[Cuenta]],1))</f>
        <v>0</v>
      </c>
      <c r="AU794" t="b">
        <f>+ISNUMBER(SEARCH('Conc. Ban.1'!$I$9,Tabla11[[#This Row],[Cuenta]],1))</f>
        <v>0</v>
      </c>
      <c r="AV794" t="b">
        <f>+ISNUMBER(SEARCH(CompConta!$F$21,Tabla11[[#This Row],[Cuenta]],1))</f>
        <v>1</v>
      </c>
      <c r="AW794" t="b">
        <f>+ISNUMBER(SEARCH(CompConta!$F$22,Tabla11[[#This Row],[Cuenta]],1))</f>
        <v>1</v>
      </c>
      <c r="AX794" t="b">
        <f>+ISNUMBER(SEARCH(CompConta!$F$23,Tabla11[[#This Row],[Cuenta]],1))</f>
        <v>1</v>
      </c>
      <c r="AY794" t="b">
        <f>+ISNUMBER(SEARCH(CompConta!$F$24,Tabla11[[#This Row],[Cuenta]],1))</f>
        <v>1</v>
      </c>
      <c r="AZ794" t="b">
        <f>+ISNUMBER(SEARCH(CompConta!$F$25,Tabla11[[#This Row],[Cuenta]],1))</f>
        <v>1</v>
      </c>
      <c r="BA794" t="b">
        <f>+ISNUMBER(SEARCH(CompConta!$F$26,Tabla11[[#This Row],[Cuenta]],1))</f>
        <v>1</v>
      </c>
      <c r="BB794" t="b">
        <f>+ISNUMBER(SEARCH(CompConta!$F$27,Tabla11[[#This Row],[Cuenta]],1))</f>
        <v>1</v>
      </c>
      <c r="BC794" t="b">
        <f>+ISNUMBER(SEARCH(CompConta!$F$28,Tabla11[[#This Row],[Cuenta]],1))</f>
        <v>1</v>
      </c>
      <c r="BD794" t="b">
        <f>+ISNUMBER(SEARCH(CompConta!$F$29,Tabla11[[#This Row],[Cuenta]],1))</f>
        <v>1</v>
      </c>
      <c r="BE794" t="b">
        <f>+ISNUMBER(SEARCH(CompConta!$F$30,Tabla11[[#This Row],[Cuenta]],1))</f>
        <v>1</v>
      </c>
      <c r="BF794" t="b">
        <f>+ISNUMBER(SEARCH('PAGO Compras'!$E$11,Tabla11[[#This Row],[Cuenta]],1))</f>
        <v>1</v>
      </c>
      <c r="BG794" t="b">
        <f>+ISNUMBER(SEARCH(#REF!,Tabla11[[#This Row],[Cuenta]],1))</f>
        <v>0</v>
      </c>
      <c r="BH794" t="b">
        <f>+ISNUMBER(SEARCH(#REF!,Tabla11[[#This Row],[Cuenta]],1))</f>
        <v>0</v>
      </c>
      <c r="BI794" t="b">
        <f>+ISNUMBER(SEARCH(#REF!,Tabla11[[#This Row],[Cuenta]],1))</f>
        <v>0</v>
      </c>
      <c r="BJ794" t="b">
        <f>+ISNUMBER(SEARCH(#REF!,Tabla11[[#This Row],[Cuenta]],1))</f>
        <v>0</v>
      </c>
      <c r="BS794" t="str">
        <v>510581 Aportes sindicales</v>
      </c>
      <c r="BT794" t="str">
        <v>510581 Aportes sindicales</v>
      </c>
      <c r="BU794" t="str">
        <v>510581 Aportes sindicales</v>
      </c>
      <c r="BV794" t="str">
        <v>510581 Aportes sindicales</v>
      </c>
      <c r="BZ794" t="str">
        <v>510581 Aportes sindicales</v>
      </c>
      <c r="CA794" t="str">
        <v>510581 Aportes sindicales</v>
      </c>
      <c r="CB794" t="str">
        <v>510581 Aportes sindicales</v>
      </c>
      <c r="CC794" t="str">
        <v>510581 Aportes sindicales</v>
      </c>
      <c r="CD794" t="str">
        <v>510581 Aportes sindicales</v>
      </c>
      <c r="CE794" t="str">
        <v>510581 Aportes sindicales</v>
      </c>
      <c r="CS794" s="141" t="str">
        <v>510581 Aportes sindicales</v>
      </c>
      <c r="CT794" s="141" t="str">
        <v>510581 Aportes sindicales</v>
      </c>
      <c r="CU794" s="141" t="str">
        <v>510581 Aportes sindicales</v>
      </c>
      <c r="CV794" s="141" t="str">
        <v>510581 Aportes sindicales</v>
      </c>
      <c r="CW794" s="141" t="str">
        <v>510581 Aportes sindicales</v>
      </c>
      <c r="CX794" s="141" t="str">
        <v>510581 Aportes sindicales</v>
      </c>
      <c r="CY794" s="141" t="str">
        <v>510581 Aportes sindicales</v>
      </c>
      <c r="CZ794" s="141" t="str">
        <v>510581 Aportes sindicales</v>
      </c>
      <c r="DA794" s="141" t="str">
        <v>510581 Aportes sindicales</v>
      </c>
      <c r="DF794" t="str">
        <v>510581 Aportes sindicales</v>
      </c>
      <c r="DG794" t="str">
        <v>510581 Aportes sindicales</v>
      </c>
      <c r="DH794" t="str">
        <v>510581 Aportes sindicales</v>
      </c>
      <c r="DI794" t="str">
        <v>510581 Aportes sindicales</v>
      </c>
      <c r="DJ794" t="str">
        <v>510581 Aportes sindicales</v>
      </c>
      <c r="DK794" t="str">
        <v>510581 Aportes sindicales</v>
      </c>
      <c r="DL794" t="str">
        <v>510581 Aportes sindicales</v>
      </c>
      <c r="DM794" t="str">
        <v>510581 Aportes sindicales</v>
      </c>
      <c r="DN794" t="str">
        <v>510581 Aportes sindicales</v>
      </c>
      <c r="DO794" t="str">
        <v>510581 Aportes sindicales</v>
      </c>
      <c r="DP794" t="str">
        <v>510581 Aportes sindicales</v>
      </c>
    </row>
    <row r="795" spans="4:120" ht="12.75">
      <c r="D795" s="7">
        <v>510584</v>
      </c>
      <c r="E795" s="6" t="s">
        <v>554</v>
      </c>
      <c r="F795" s="5">
        <v>4</v>
      </c>
      <c r="G795" s="34" t="s">
        <v>830</v>
      </c>
      <c r="H795" s="8" t="s">
        <v>32</v>
      </c>
      <c r="I795" t="b">
        <f>+ISNUMBER(SEARCH('F-COMPRA'!$F$28,Tabla11[[#This Row],[Cuenta]],1))</f>
        <v>1</v>
      </c>
      <c r="J795" t="b">
        <f>+ISNUMBER(SEARCH('F-COMPRA'!$F$29,Tabla11[[#This Row],[Cuenta]],1))</f>
        <v>1</v>
      </c>
      <c r="K795" t="b">
        <f>+ISNUMBER(SEARCH('F-COMPRA'!$F$30,Tabla11[[#This Row],[Cuenta]],1))</f>
        <v>1</v>
      </c>
      <c r="L795" t="b">
        <f>+ISNUMBER(SEARCH('F-COMPRA'!$F$31,Tabla11[[#This Row],[Cuenta]],1))</f>
        <v>1</v>
      </c>
      <c r="M795" t="b">
        <f>+ISNUMBER(SEARCH('F-COMPRA'!$G$25,Tabla11[[#This Row],[Cuenta]],1))</f>
        <v>0</v>
      </c>
      <c r="N795" t="b">
        <f>+ISNUMBER(SEARCH(#REF!,Tabla11[[#This Row],[Cuenta]],1))</f>
        <v>0</v>
      </c>
      <c r="O795" t="b">
        <f>+ISNUMBER(SEARCH(#REF!,Tabla11[[#This Row],[Cuenta]],1))</f>
        <v>0</v>
      </c>
      <c r="P795" t="b">
        <f>+ISNUMBER(SEARCH('F-COMPRA'!$F$32,Tabla11[[#This Row],[Cuenta]],1))</f>
        <v>1</v>
      </c>
      <c r="Q795" t="b">
        <f>+ISNUMBER(SEARCH('F-COMPRA'!$F$33,Tabla11[[#This Row],[Cuenta]],1))</f>
        <v>1</v>
      </c>
      <c r="R795" t="b">
        <f>+ISNUMBER(SEARCH('F-COMPRA'!$F$34,Tabla11[[#This Row],[Cuenta]],1))</f>
        <v>1</v>
      </c>
      <c r="S795" t="b">
        <f>+ISNUMBER(SEARCH('F-COMPRA'!$F$35,Tabla11[[#This Row],[Cuenta]],1))</f>
        <v>1</v>
      </c>
      <c r="T795" t="b">
        <f>+ISNUMBER(SEARCH('F-COMPRA'!$F$36,Tabla11[[#This Row],[Cuenta]],1))</f>
        <v>1</v>
      </c>
      <c r="U795" t="b">
        <f>+ISNUMBER(SEARCH('F-COMPRA'!$F$37,Tabla11[[#This Row],[Cuenta]],1))</f>
        <v>1</v>
      </c>
      <c r="V795" t="b">
        <f>+ISNUMBER(SEARCH(#REF!,Tabla11[[#This Row],[Cuenta]],1))</f>
        <v>0</v>
      </c>
      <c r="W795" t="b">
        <f>+ISNUMBER(SEARCH('F-COMPRA'!#REF!,Tabla11[[#This Row],[Cuenta]],1))</f>
        <v>0</v>
      </c>
      <c r="X795" t="b">
        <f>+ISNUMBER(SEARCH('F-COMPRA'!#REF!,Tabla11[[#This Row],[Cuenta]],1))</f>
        <v>0</v>
      </c>
      <c r="Y795" t="b">
        <f>+ISNUMBER(SEARCH('F-COMPRA'!#REF!,Tabla11[[#This Row],[Cuenta]],1))</f>
        <v>0</v>
      </c>
      <c r="Z795" t="b">
        <f>+ISNUMBER(SEARCH('F-COMPRA'!#REF!,Tabla11[[#This Row],[Cuenta]],1))</f>
        <v>0</v>
      </c>
      <c r="AA795" t="b">
        <f>+ISNUMBER(SEARCH('F-COMPRA'!#REF!,Tabla11[[#This Row],[Cuenta]],1))</f>
        <v>0</v>
      </c>
      <c r="AB795" t="b">
        <f>+ISNUMBER(SEARCH('F-COMPRA'!#REF!,Tabla11[[#This Row],[Cuenta]],1))</f>
        <v>0</v>
      </c>
      <c r="AC795" t="b">
        <f>+ISNUMBER(SEARCH('F-COMPRA'!#REF!,Tabla11[[#This Row],[Cuenta]],1))</f>
        <v>0</v>
      </c>
      <c r="AD795" t="b">
        <f>+ISNUMBER(SEARCH('F-COMPRA'!#REF!,Tabla11[[#This Row],[Cuenta]],1))</f>
        <v>0</v>
      </c>
      <c r="AE795" t="b">
        <f>+ISNUMBER(SEARCH('F-COMPRA'!#REF!,Tabla11[[#This Row],[Cuenta]],1))</f>
        <v>0</v>
      </c>
      <c r="AF795" t="b">
        <f>+ISNUMBER(SEARCH('F-VTA'!$G$23,Tabla11[[#This Row],[Cuenta]],1))</f>
        <v>0</v>
      </c>
      <c r="AG795" t="b">
        <f>+ISNUMBER(SEARCH('F-VTA'!$G$24,Tabla11[[#This Row],[Cuenta]],1))</f>
        <v>0</v>
      </c>
      <c r="AH795" t="b">
        <f>+ISNUMBER(SEARCH('F-VTA'!$G$25,Tabla11[[#This Row],[Cuenta]],1))</f>
        <v>0</v>
      </c>
      <c r="AI795" t="b">
        <f>+ISNUMBER(SEARCH('F-VTA'!$F$28,Tabla11[[#This Row],[Cuenta]],1))</f>
        <v>1</v>
      </c>
      <c r="AJ795" t="b">
        <f>+ISNUMBER(SEARCH('F-VTA'!$F$29,Tabla11[[#This Row],[Cuenta]],1))</f>
        <v>1</v>
      </c>
      <c r="AK795" t="b">
        <f>+ISNUMBER(SEARCH('F-VTA'!$F$30,Tabla11[[#This Row],[Cuenta]],1))</f>
        <v>1</v>
      </c>
      <c r="AL795" t="b">
        <f>+ISNUMBER(SEARCH('F-VTA'!$F$31,Tabla11[[#This Row],[Cuenta]],1))</f>
        <v>1</v>
      </c>
      <c r="AM795" t="b">
        <f>+ISNUMBER(SEARCH('F-VTA'!$F$32,Tabla11[[#This Row],[Cuenta]],1))</f>
        <v>1</v>
      </c>
      <c r="AN795" t="b">
        <f>+ISNUMBER(SEARCH('F-VTA'!$F$33,Tabla11[[#This Row],[Cuenta]],1))</f>
        <v>1</v>
      </c>
      <c r="AO795" t="b">
        <f>+ISNUMBER(SEARCH('F-VTA'!$F$34,Tabla11[[#This Row],[Cuenta]],1))</f>
        <v>1</v>
      </c>
      <c r="AP795" t="b">
        <f>+ISNUMBER(SEARCH('F-VTA'!$F$35,Tabla11[[#This Row],[Cuenta]],1))</f>
        <v>1</v>
      </c>
      <c r="AQ795" t="b">
        <f>+ISNUMBER(SEARCH('F-VTA'!$F$36,Tabla11[[#This Row],[Cuenta]],1))</f>
        <v>1</v>
      </c>
      <c r="AR795" t="b">
        <f>+ISNUMBER(SEARCH(#REF!,Tabla11[[#This Row],[Cuenta]],1))</f>
        <v>0</v>
      </c>
      <c r="AS795" t="b">
        <f>+ISNUMBER(SEARCH(#REF!,Tabla11[[#This Row],[Cuenta]],1))</f>
        <v>0</v>
      </c>
      <c r="AT795" t="b">
        <f>+ISNUMBER(SEARCH(#REF!,Tabla11[[#This Row],[Cuenta]],1))</f>
        <v>0</v>
      </c>
      <c r="AU795" t="b">
        <f>+ISNUMBER(SEARCH('Conc. Ban.1'!$I$9,Tabla11[[#This Row],[Cuenta]],1))</f>
        <v>0</v>
      </c>
      <c r="AV795" t="b">
        <f>+ISNUMBER(SEARCH(CompConta!$F$21,Tabla11[[#This Row],[Cuenta]],1))</f>
        <v>1</v>
      </c>
      <c r="AW795" t="b">
        <f>+ISNUMBER(SEARCH(CompConta!$F$22,Tabla11[[#This Row],[Cuenta]],1))</f>
        <v>1</v>
      </c>
      <c r="AX795" t="b">
        <f>+ISNUMBER(SEARCH(CompConta!$F$23,Tabla11[[#This Row],[Cuenta]],1))</f>
        <v>1</v>
      </c>
      <c r="AY795" t="b">
        <f>+ISNUMBER(SEARCH(CompConta!$F$24,Tabla11[[#This Row],[Cuenta]],1))</f>
        <v>1</v>
      </c>
      <c r="AZ795" t="b">
        <f>+ISNUMBER(SEARCH(CompConta!$F$25,Tabla11[[#This Row],[Cuenta]],1))</f>
        <v>1</v>
      </c>
      <c r="BA795" t="b">
        <f>+ISNUMBER(SEARCH(CompConta!$F$26,Tabla11[[#This Row],[Cuenta]],1))</f>
        <v>1</v>
      </c>
      <c r="BB795" t="b">
        <f>+ISNUMBER(SEARCH(CompConta!$F$27,Tabla11[[#This Row],[Cuenta]],1))</f>
        <v>1</v>
      </c>
      <c r="BC795" t="b">
        <f>+ISNUMBER(SEARCH(CompConta!$F$28,Tabla11[[#This Row],[Cuenta]],1))</f>
        <v>1</v>
      </c>
      <c r="BD795" t="b">
        <f>+ISNUMBER(SEARCH(CompConta!$F$29,Tabla11[[#This Row],[Cuenta]],1))</f>
        <v>1</v>
      </c>
      <c r="BE795" t="b">
        <f>+ISNUMBER(SEARCH(CompConta!$F$30,Tabla11[[#This Row],[Cuenta]],1))</f>
        <v>1</v>
      </c>
      <c r="BF795" t="b">
        <f>+ISNUMBER(SEARCH('PAGO Compras'!$E$11,Tabla11[[#This Row],[Cuenta]],1))</f>
        <v>1</v>
      </c>
      <c r="BG795" t="b">
        <f>+ISNUMBER(SEARCH(#REF!,Tabla11[[#This Row],[Cuenta]],1))</f>
        <v>0</v>
      </c>
      <c r="BH795" t="b">
        <f>+ISNUMBER(SEARCH(#REF!,Tabla11[[#This Row],[Cuenta]],1))</f>
        <v>0</v>
      </c>
      <c r="BI795" t="b">
        <f>+ISNUMBER(SEARCH(#REF!,Tabla11[[#This Row],[Cuenta]],1))</f>
        <v>0</v>
      </c>
      <c r="BJ795" t="b">
        <f>+ISNUMBER(SEARCH(#REF!,Tabla11[[#This Row],[Cuenta]],1))</f>
        <v>0</v>
      </c>
      <c r="BS795" t="str">
        <v>510584 Gastos médicos y drogas</v>
      </c>
      <c r="BT795" t="str">
        <v>510584 Gastos médicos y drogas</v>
      </c>
      <c r="BU795" t="str">
        <v>510584 Gastos médicos y drogas</v>
      </c>
      <c r="BV795" t="str">
        <v>510584 Gastos médicos y drogas</v>
      </c>
      <c r="BZ795" t="str">
        <v>510584 Gastos médicos y drogas</v>
      </c>
      <c r="CA795" t="str">
        <v>510584 Gastos médicos y drogas</v>
      </c>
      <c r="CB795" t="str">
        <v>510584 Gastos médicos y drogas</v>
      </c>
      <c r="CC795" t="str">
        <v>510584 Gastos médicos y drogas</v>
      </c>
      <c r="CD795" t="str">
        <v>510584 Gastos médicos y drogas</v>
      </c>
      <c r="CE795" t="str">
        <v>510584 Gastos médicos y drogas</v>
      </c>
      <c r="CS795" s="141" t="str">
        <v>510584 Gastos médicos y drogas</v>
      </c>
      <c r="CT795" s="141" t="str">
        <v>510584 Gastos médicos y drogas</v>
      </c>
      <c r="CU795" s="141" t="str">
        <v>510584 Gastos médicos y drogas</v>
      </c>
      <c r="CV795" s="141" t="str">
        <v>510584 Gastos médicos y drogas</v>
      </c>
      <c r="CW795" s="141" t="str">
        <v>510584 Gastos médicos y drogas</v>
      </c>
      <c r="CX795" s="141" t="str">
        <v>510584 Gastos médicos y drogas</v>
      </c>
      <c r="CY795" s="141" t="str">
        <v>510584 Gastos médicos y drogas</v>
      </c>
      <c r="CZ795" s="141" t="str">
        <v>510584 Gastos médicos y drogas</v>
      </c>
      <c r="DA795" s="141" t="str">
        <v>510584 Gastos médicos y drogas</v>
      </c>
      <c r="DF795" t="str">
        <v>510584 Gastos médicos y drogas</v>
      </c>
      <c r="DG795" t="str">
        <v>510584 Gastos médicos y drogas</v>
      </c>
      <c r="DH795" t="str">
        <v>510584 Gastos médicos y drogas</v>
      </c>
      <c r="DI795" t="str">
        <v>510584 Gastos médicos y drogas</v>
      </c>
      <c r="DJ795" t="str">
        <v>510584 Gastos médicos y drogas</v>
      </c>
      <c r="DK795" t="str">
        <v>510584 Gastos médicos y drogas</v>
      </c>
      <c r="DL795" t="str">
        <v>510584 Gastos médicos y drogas</v>
      </c>
      <c r="DM795" t="str">
        <v>510584 Gastos médicos y drogas</v>
      </c>
      <c r="DN795" t="str">
        <v>510584 Gastos médicos y drogas</v>
      </c>
      <c r="DO795" t="str">
        <v>510584 Gastos médicos y drogas</v>
      </c>
      <c r="DP795" t="str">
        <v>510584 Gastos médicos y drogas</v>
      </c>
    </row>
    <row r="796" spans="4:120" ht="12.75">
      <c r="D796" s="7">
        <v>510595</v>
      </c>
      <c r="E796" s="6" t="s">
        <v>45</v>
      </c>
      <c r="F796" s="5">
        <v>4</v>
      </c>
      <c r="G796" s="34" t="s">
        <v>830</v>
      </c>
      <c r="H796" s="8" t="s">
        <v>32</v>
      </c>
      <c r="I796" t="b">
        <f>+ISNUMBER(SEARCH('F-COMPRA'!$F$28,Tabla11[[#This Row],[Cuenta]],1))</f>
        <v>1</v>
      </c>
      <c r="J796" t="b">
        <f>+ISNUMBER(SEARCH('F-COMPRA'!$F$29,Tabla11[[#This Row],[Cuenta]],1))</f>
        <v>1</v>
      </c>
      <c r="K796" t="b">
        <f>+ISNUMBER(SEARCH('F-COMPRA'!$F$30,Tabla11[[#This Row],[Cuenta]],1))</f>
        <v>1</v>
      </c>
      <c r="L796" t="b">
        <f>+ISNUMBER(SEARCH('F-COMPRA'!$F$31,Tabla11[[#This Row],[Cuenta]],1))</f>
        <v>1</v>
      </c>
      <c r="M796" t="b">
        <f>+ISNUMBER(SEARCH('F-COMPRA'!$G$25,Tabla11[[#This Row],[Cuenta]],1))</f>
        <v>0</v>
      </c>
      <c r="N796" t="b">
        <f>+ISNUMBER(SEARCH(#REF!,Tabla11[[#This Row],[Cuenta]],1))</f>
        <v>0</v>
      </c>
      <c r="O796" t="b">
        <f>+ISNUMBER(SEARCH(#REF!,Tabla11[[#This Row],[Cuenta]],1))</f>
        <v>0</v>
      </c>
      <c r="P796" t="b">
        <f>+ISNUMBER(SEARCH('F-COMPRA'!$F$32,Tabla11[[#This Row],[Cuenta]],1))</f>
        <v>1</v>
      </c>
      <c r="Q796" t="b">
        <f>+ISNUMBER(SEARCH('F-COMPRA'!$F$33,Tabla11[[#This Row],[Cuenta]],1))</f>
        <v>1</v>
      </c>
      <c r="R796" t="b">
        <f>+ISNUMBER(SEARCH('F-COMPRA'!$F$34,Tabla11[[#This Row],[Cuenta]],1))</f>
        <v>1</v>
      </c>
      <c r="S796" t="b">
        <f>+ISNUMBER(SEARCH('F-COMPRA'!$F$35,Tabla11[[#This Row],[Cuenta]],1))</f>
        <v>1</v>
      </c>
      <c r="T796" t="b">
        <f>+ISNUMBER(SEARCH('F-COMPRA'!$F$36,Tabla11[[#This Row],[Cuenta]],1))</f>
        <v>1</v>
      </c>
      <c r="U796" t="b">
        <f>+ISNUMBER(SEARCH('F-COMPRA'!$F$37,Tabla11[[#This Row],[Cuenta]],1))</f>
        <v>1</v>
      </c>
      <c r="V796" t="b">
        <f>+ISNUMBER(SEARCH(#REF!,Tabla11[[#This Row],[Cuenta]],1))</f>
        <v>0</v>
      </c>
      <c r="W796" t="b">
        <f>+ISNUMBER(SEARCH('F-COMPRA'!#REF!,Tabla11[[#This Row],[Cuenta]],1))</f>
        <v>0</v>
      </c>
      <c r="X796" t="b">
        <f>+ISNUMBER(SEARCH('F-COMPRA'!#REF!,Tabla11[[#This Row],[Cuenta]],1))</f>
        <v>0</v>
      </c>
      <c r="Y796" t="b">
        <f>+ISNUMBER(SEARCH('F-COMPRA'!#REF!,Tabla11[[#This Row],[Cuenta]],1))</f>
        <v>0</v>
      </c>
      <c r="Z796" t="b">
        <f>+ISNUMBER(SEARCH('F-COMPRA'!#REF!,Tabla11[[#This Row],[Cuenta]],1))</f>
        <v>0</v>
      </c>
      <c r="AA796" t="b">
        <f>+ISNUMBER(SEARCH('F-COMPRA'!#REF!,Tabla11[[#This Row],[Cuenta]],1))</f>
        <v>0</v>
      </c>
      <c r="AB796" t="b">
        <f>+ISNUMBER(SEARCH('F-COMPRA'!#REF!,Tabla11[[#This Row],[Cuenta]],1))</f>
        <v>0</v>
      </c>
      <c r="AC796" t="b">
        <f>+ISNUMBER(SEARCH('F-COMPRA'!#REF!,Tabla11[[#This Row],[Cuenta]],1))</f>
        <v>0</v>
      </c>
      <c r="AD796" t="b">
        <f>+ISNUMBER(SEARCH('F-COMPRA'!#REF!,Tabla11[[#This Row],[Cuenta]],1))</f>
        <v>0</v>
      </c>
      <c r="AE796" t="b">
        <f>+ISNUMBER(SEARCH('F-COMPRA'!#REF!,Tabla11[[#This Row],[Cuenta]],1))</f>
        <v>0</v>
      </c>
      <c r="AF796" t="b">
        <f>+ISNUMBER(SEARCH('F-VTA'!$G$23,Tabla11[[#This Row],[Cuenta]],1))</f>
        <v>0</v>
      </c>
      <c r="AG796" t="b">
        <f>+ISNUMBER(SEARCH('F-VTA'!$G$24,Tabla11[[#This Row],[Cuenta]],1))</f>
        <v>0</v>
      </c>
      <c r="AH796" t="b">
        <f>+ISNUMBER(SEARCH('F-VTA'!$G$25,Tabla11[[#This Row],[Cuenta]],1))</f>
        <v>0</v>
      </c>
      <c r="AI796" t="b">
        <f>+ISNUMBER(SEARCH('F-VTA'!$F$28,Tabla11[[#This Row],[Cuenta]],1))</f>
        <v>1</v>
      </c>
      <c r="AJ796" t="b">
        <f>+ISNUMBER(SEARCH('F-VTA'!$F$29,Tabla11[[#This Row],[Cuenta]],1))</f>
        <v>1</v>
      </c>
      <c r="AK796" t="b">
        <f>+ISNUMBER(SEARCH('F-VTA'!$F$30,Tabla11[[#This Row],[Cuenta]],1))</f>
        <v>1</v>
      </c>
      <c r="AL796" t="b">
        <f>+ISNUMBER(SEARCH('F-VTA'!$F$31,Tabla11[[#This Row],[Cuenta]],1))</f>
        <v>1</v>
      </c>
      <c r="AM796" t="b">
        <f>+ISNUMBER(SEARCH('F-VTA'!$F$32,Tabla11[[#This Row],[Cuenta]],1))</f>
        <v>1</v>
      </c>
      <c r="AN796" t="b">
        <f>+ISNUMBER(SEARCH('F-VTA'!$F$33,Tabla11[[#This Row],[Cuenta]],1))</f>
        <v>1</v>
      </c>
      <c r="AO796" t="b">
        <f>+ISNUMBER(SEARCH('F-VTA'!$F$34,Tabla11[[#This Row],[Cuenta]],1))</f>
        <v>1</v>
      </c>
      <c r="AP796" t="b">
        <f>+ISNUMBER(SEARCH('F-VTA'!$F$35,Tabla11[[#This Row],[Cuenta]],1))</f>
        <v>1</v>
      </c>
      <c r="AQ796" t="b">
        <f>+ISNUMBER(SEARCH('F-VTA'!$F$36,Tabla11[[#This Row],[Cuenta]],1))</f>
        <v>1</v>
      </c>
      <c r="AR796" t="b">
        <f>+ISNUMBER(SEARCH(#REF!,Tabla11[[#This Row],[Cuenta]],1))</f>
        <v>0</v>
      </c>
      <c r="AS796" t="b">
        <f>+ISNUMBER(SEARCH(#REF!,Tabla11[[#This Row],[Cuenta]],1))</f>
        <v>0</v>
      </c>
      <c r="AT796" t="b">
        <f>+ISNUMBER(SEARCH(#REF!,Tabla11[[#This Row],[Cuenta]],1))</f>
        <v>0</v>
      </c>
      <c r="AU796" t="b">
        <f>+ISNUMBER(SEARCH('Conc. Ban.1'!$I$9,Tabla11[[#This Row],[Cuenta]],1))</f>
        <v>0</v>
      </c>
      <c r="AV796" t="b">
        <f>+ISNUMBER(SEARCH(CompConta!$F$21,Tabla11[[#This Row],[Cuenta]],1))</f>
        <v>1</v>
      </c>
      <c r="AW796" t="b">
        <f>+ISNUMBER(SEARCH(CompConta!$F$22,Tabla11[[#This Row],[Cuenta]],1))</f>
        <v>1</v>
      </c>
      <c r="AX796" t="b">
        <f>+ISNUMBER(SEARCH(CompConta!$F$23,Tabla11[[#This Row],[Cuenta]],1))</f>
        <v>1</v>
      </c>
      <c r="AY796" t="b">
        <f>+ISNUMBER(SEARCH(CompConta!$F$24,Tabla11[[#This Row],[Cuenta]],1))</f>
        <v>1</v>
      </c>
      <c r="AZ796" t="b">
        <f>+ISNUMBER(SEARCH(CompConta!$F$25,Tabla11[[#This Row],[Cuenta]],1))</f>
        <v>1</v>
      </c>
      <c r="BA796" t="b">
        <f>+ISNUMBER(SEARCH(CompConta!$F$26,Tabla11[[#This Row],[Cuenta]],1))</f>
        <v>1</v>
      </c>
      <c r="BB796" t="b">
        <f>+ISNUMBER(SEARCH(CompConta!$F$27,Tabla11[[#This Row],[Cuenta]],1))</f>
        <v>1</v>
      </c>
      <c r="BC796" t="b">
        <f>+ISNUMBER(SEARCH(CompConta!$F$28,Tabla11[[#This Row],[Cuenta]],1))</f>
        <v>1</v>
      </c>
      <c r="BD796" t="b">
        <f>+ISNUMBER(SEARCH(CompConta!$F$29,Tabla11[[#This Row],[Cuenta]],1))</f>
        <v>1</v>
      </c>
      <c r="BE796" t="b">
        <f>+ISNUMBER(SEARCH(CompConta!$F$30,Tabla11[[#This Row],[Cuenta]],1))</f>
        <v>1</v>
      </c>
      <c r="BF796" t="b">
        <f>+ISNUMBER(SEARCH('PAGO Compras'!$E$11,Tabla11[[#This Row],[Cuenta]],1))</f>
        <v>1</v>
      </c>
      <c r="BG796" t="b">
        <f>+ISNUMBER(SEARCH(#REF!,Tabla11[[#This Row],[Cuenta]],1))</f>
        <v>0</v>
      </c>
      <c r="BH796" t="b">
        <f>+ISNUMBER(SEARCH(#REF!,Tabla11[[#This Row],[Cuenta]],1))</f>
        <v>0</v>
      </c>
      <c r="BI796" t="b">
        <f>+ISNUMBER(SEARCH(#REF!,Tabla11[[#This Row],[Cuenta]],1))</f>
        <v>0</v>
      </c>
      <c r="BJ796" t="b">
        <f>+ISNUMBER(SEARCH(#REF!,Tabla11[[#This Row],[Cuenta]],1))</f>
        <v>0</v>
      </c>
      <c r="BS796" t="str">
        <v>510595 Otros</v>
      </c>
      <c r="BT796" t="str">
        <v>510595 Otros</v>
      </c>
      <c r="BU796" t="str">
        <v>510595 Otros</v>
      </c>
      <c r="BV796" t="str">
        <v>510595 Otros</v>
      </c>
      <c r="BZ796" t="str">
        <v>510595 Otros</v>
      </c>
      <c r="CA796" t="str">
        <v>510595 Otros</v>
      </c>
      <c r="CB796" t="str">
        <v>510595 Otros</v>
      </c>
      <c r="CC796" t="str">
        <v>510595 Otros</v>
      </c>
      <c r="CD796" t="str">
        <v>510595 Otros</v>
      </c>
      <c r="CE796" t="str">
        <v>510595 Otros</v>
      </c>
      <c r="CS796" s="141" t="str">
        <v>510595 Otros</v>
      </c>
      <c r="CT796" s="141" t="str">
        <v>510595 Otros</v>
      </c>
      <c r="CU796" s="141" t="str">
        <v>510595 Otros</v>
      </c>
      <c r="CV796" s="141" t="str">
        <v>510595 Otros</v>
      </c>
      <c r="CW796" s="141" t="str">
        <v>510595 Otros</v>
      </c>
      <c r="CX796" s="141" t="str">
        <v>510595 Otros</v>
      </c>
      <c r="CY796" s="141" t="str">
        <v>510595 Otros</v>
      </c>
      <c r="CZ796" s="141" t="str">
        <v>510595 Otros</v>
      </c>
      <c r="DA796" s="141" t="str">
        <v>510595 Otros</v>
      </c>
      <c r="DF796" t="str">
        <v>510595 Otros</v>
      </c>
      <c r="DG796" t="str">
        <v>510595 Otros</v>
      </c>
      <c r="DH796" t="str">
        <v>510595 Otros</v>
      </c>
      <c r="DI796" t="str">
        <v>510595 Otros</v>
      </c>
      <c r="DJ796" t="str">
        <v>510595 Otros</v>
      </c>
      <c r="DK796" t="str">
        <v>510595 Otros</v>
      </c>
      <c r="DL796" t="str">
        <v>510595 Otros</v>
      </c>
      <c r="DM796" t="str">
        <v>510595 Otros</v>
      </c>
      <c r="DN796" t="str">
        <v>510595 Otros</v>
      </c>
      <c r="DO796" t="str">
        <v>510595 Otros</v>
      </c>
      <c r="DP796" t="str">
        <v>510595 Otros</v>
      </c>
    </row>
    <row r="797" spans="4:120" ht="12.75">
      <c r="D797" s="7">
        <v>510599</v>
      </c>
      <c r="E797" s="6" t="s">
        <v>93</v>
      </c>
      <c r="F797" s="5">
        <v>4</v>
      </c>
      <c r="G797" s="34" t="s">
        <v>830</v>
      </c>
      <c r="H797" s="8" t="s">
        <v>32</v>
      </c>
      <c r="I797" t="b">
        <f>+ISNUMBER(SEARCH('F-COMPRA'!$F$28,Tabla11[[#This Row],[Cuenta]],1))</f>
        <v>1</v>
      </c>
      <c r="J797" t="b">
        <f>+ISNUMBER(SEARCH('F-COMPRA'!$F$29,Tabla11[[#This Row],[Cuenta]],1))</f>
        <v>1</v>
      </c>
      <c r="K797" t="b">
        <f>+ISNUMBER(SEARCH('F-COMPRA'!$F$30,Tabla11[[#This Row],[Cuenta]],1))</f>
        <v>1</v>
      </c>
      <c r="L797" t="b">
        <f>+ISNUMBER(SEARCH('F-COMPRA'!$F$31,Tabla11[[#This Row],[Cuenta]],1))</f>
        <v>1</v>
      </c>
      <c r="M797" t="b">
        <f>+ISNUMBER(SEARCH('F-COMPRA'!$G$25,Tabla11[[#This Row],[Cuenta]],1))</f>
        <v>0</v>
      </c>
      <c r="N797" t="b">
        <f>+ISNUMBER(SEARCH(#REF!,Tabla11[[#This Row],[Cuenta]],1))</f>
        <v>0</v>
      </c>
      <c r="O797" t="b">
        <f>+ISNUMBER(SEARCH(#REF!,Tabla11[[#This Row],[Cuenta]],1))</f>
        <v>0</v>
      </c>
      <c r="P797" t="b">
        <f>+ISNUMBER(SEARCH('F-COMPRA'!$F$32,Tabla11[[#This Row],[Cuenta]],1))</f>
        <v>1</v>
      </c>
      <c r="Q797" t="b">
        <f>+ISNUMBER(SEARCH('F-COMPRA'!$F$33,Tabla11[[#This Row],[Cuenta]],1))</f>
        <v>1</v>
      </c>
      <c r="R797" t="b">
        <f>+ISNUMBER(SEARCH('F-COMPRA'!$F$34,Tabla11[[#This Row],[Cuenta]],1))</f>
        <v>1</v>
      </c>
      <c r="S797" t="b">
        <f>+ISNUMBER(SEARCH('F-COMPRA'!$F$35,Tabla11[[#This Row],[Cuenta]],1))</f>
        <v>1</v>
      </c>
      <c r="T797" t="b">
        <f>+ISNUMBER(SEARCH('F-COMPRA'!$F$36,Tabla11[[#This Row],[Cuenta]],1))</f>
        <v>1</v>
      </c>
      <c r="U797" t="b">
        <f>+ISNUMBER(SEARCH('F-COMPRA'!$F$37,Tabla11[[#This Row],[Cuenta]],1))</f>
        <v>1</v>
      </c>
      <c r="V797" t="b">
        <f>+ISNUMBER(SEARCH(#REF!,Tabla11[[#This Row],[Cuenta]],1))</f>
        <v>0</v>
      </c>
      <c r="W797" t="b">
        <f>+ISNUMBER(SEARCH('F-COMPRA'!#REF!,Tabla11[[#This Row],[Cuenta]],1))</f>
        <v>0</v>
      </c>
      <c r="X797" t="b">
        <f>+ISNUMBER(SEARCH('F-COMPRA'!#REF!,Tabla11[[#This Row],[Cuenta]],1))</f>
        <v>0</v>
      </c>
      <c r="Y797" t="b">
        <f>+ISNUMBER(SEARCH('F-COMPRA'!#REF!,Tabla11[[#This Row],[Cuenta]],1))</f>
        <v>0</v>
      </c>
      <c r="Z797" t="b">
        <f>+ISNUMBER(SEARCH('F-COMPRA'!#REF!,Tabla11[[#This Row],[Cuenta]],1))</f>
        <v>0</v>
      </c>
      <c r="AA797" t="b">
        <f>+ISNUMBER(SEARCH('F-COMPRA'!#REF!,Tabla11[[#This Row],[Cuenta]],1))</f>
        <v>0</v>
      </c>
      <c r="AB797" t="b">
        <f>+ISNUMBER(SEARCH('F-COMPRA'!#REF!,Tabla11[[#This Row],[Cuenta]],1))</f>
        <v>0</v>
      </c>
      <c r="AC797" t="b">
        <f>+ISNUMBER(SEARCH('F-COMPRA'!#REF!,Tabla11[[#This Row],[Cuenta]],1))</f>
        <v>0</v>
      </c>
      <c r="AD797" t="b">
        <f>+ISNUMBER(SEARCH('F-COMPRA'!#REF!,Tabla11[[#This Row],[Cuenta]],1))</f>
        <v>0</v>
      </c>
      <c r="AE797" t="b">
        <f>+ISNUMBER(SEARCH('F-COMPRA'!#REF!,Tabla11[[#This Row],[Cuenta]],1))</f>
        <v>0</v>
      </c>
      <c r="AF797" t="b">
        <f>+ISNUMBER(SEARCH('F-VTA'!$G$23,Tabla11[[#This Row],[Cuenta]],1))</f>
        <v>0</v>
      </c>
      <c r="AG797" t="b">
        <f>+ISNUMBER(SEARCH('F-VTA'!$G$24,Tabla11[[#This Row],[Cuenta]],1))</f>
        <v>0</v>
      </c>
      <c r="AH797" t="b">
        <f>+ISNUMBER(SEARCH('F-VTA'!$G$25,Tabla11[[#This Row],[Cuenta]],1))</f>
        <v>0</v>
      </c>
      <c r="AI797" t="b">
        <f>+ISNUMBER(SEARCH('F-VTA'!$F$28,Tabla11[[#This Row],[Cuenta]],1))</f>
        <v>1</v>
      </c>
      <c r="AJ797" t="b">
        <f>+ISNUMBER(SEARCH('F-VTA'!$F$29,Tabla11[[#This Row],[Cuenta]],1))</f>
        <v>1</v>
      </c>
      <c r="AK797" t="b">
        <f>+ISNUMBER(SEARCH('F-VTA'!$F$30,Tabla11[[#This Row],[Cuenta]],1))</f>
        <v>1</v>
      </c>
      <c r="AL797" t="b">
        <f>+ISNUMBER(SEARCH('F-VTA'!$F$31,Tabla11[[#This Row],[Cuenta]],1))</f>
        <v>1</v>
      </c>
      <c r="AM797" t="b">
        <f>+ISNUMBER(SEARCH('F-VTA'!$F$32,Tabla11[[#This Row],[Cuenta]],1))</f>
        <v>1</v>
      </c>
      <c r="AN797" t="b">
        <f>+ISNUMBER(SEARCH('F-VTA'!$F$33,Tabla11[[#This Row],[Cuenta]],1))</f>
        <v>1</v>
      </c>
      <c r="AO797" t="b">
        <f>+ISNUMBER(SEARCH('F-VTA'!$F$34,Tabla11[[#This Row],[Cuenta]],1))</f>
        <v>1</v>
      </c>
      <c r="AP797" t="b">
        <f>+ISNUMBER(SEARCH('F-VTA'!$F$35,Tabla11[[#This Row],[Cuenta]],1))</f>
        <v>1</v>
      </c>
      <c r="AQ797" t="b">
        <f>+ISNUMBER(SEARCH('F-VTA'!$F$36,Tabla11[[#This Row],[Cuenta]],1))</f>
        <v>1</v>
      </c>
      <c r="AR797" t="b">
        <f>+ISNUMBER(SEARCH(#REF!,Tabla11[[#This Row],[Cuenta]],1))</f>
        <v>0</v>
      </c>
      <c r="AS797" t="b">
        <f>+ISNUMBER(SEARCH(#REF!,Tabla11[[#This Row],[Cuenta]],1))</f>
        <v>0</v>
      </c>
      <c r="AT797" t="b">
        <f>+ISNUMBER(SEARCH(#REF!,Tabla11[[#This Row],[Cuenta]],1))</f>
        <v>0</v>
      </c>
      <c r="AU797" t="b">
        <f>+ISNUMBER(SEARCH('Conc. Ban.1'!$I$9,Tabla11[[#This Row],[Cuenta]],1))</f>
        <v>0</v>
      </c>
      <c r="AV797" t="b">
        <f>+ISNUMBER(SEARCH(CompConta!$F$21,Tabla11[[#This Row],[Cuenta]],1))</f>
        <v>1</v>
      </c>
      <c r="AW797" t="b">
        <f>+ISNUMBER(SEARCH(CompConta!$F$22,Tabla11[[#This Row],[Cuenta]],1))</f>
        <v>1</v>
      </c>
      <c r="AX797" t="b">
        <f>+ISNUMBER(SEARCH(CompConta!$F$23,Tabla11[[#This Row],[Cuenta]],1))</f>
        <v>1</v>
      </c>
      <c r="AY797" t="b">
        <f>+ISNUMBER(SEARCH(CompConta!$F$24,Tabla11[[#This Row],[Cuenta]],1))</f>
        <v>1</v>
      </c>
      <c r="AZ797" t="b">
        <f>+ISNUMBER(SEARCH(CompConta!$F$25,Tabla11[[#This Row],[Cuenta]],1))</f>
        <v>1</v>
      </c>
      <c r="BA797" t="b">
        <f>+ISNUMBER(SEARCH(CompConta!$F$26,Tabla11[[#This Row],[Cuenta]],1))</f>
        <v>1</v>
      </c>
      <c r="BB797" t="b">
        <f>+ISNUMBER(SEARCH(CompConta!$F$27,Tabla11[[#This Row],[Cuenta]],1))</f>
        <v>1</v>
      </c>
      <c r="BC797" t="b">
        <f>+ISNUMBER(SEARCH(CompConta!$F$28,Tabla11[[#This Row],[Cuenta]],1))</f>
        <v>1</v>
      </c>
      <c r="BD797" t="b">
        <f>+ISNUMBER(SEARCH(CompConta!$F$29,Tabla11[[#This Row],[Cuenta]],1))</f>
        <v>1</v>
      </c>
      <c r="BE797" t="b">
        <f>+ISNUMBER(SEARCH(CompConta!$F$30,Tabla11[[#This Row],[Cuenta]],1))</f>
        <v>1</v>
      </c>
      <c r="BF797" t="b">
        <f>+ISNUMBER(SEARCH('PAGO Compras'!$E$11,Tabla11[[#This Row],[Cuenta]],1))</f>
        <v>1</v>
      </c>
      <c r="BG797" t="b">
        <f>+ISNUMBER(SEARCH(#REF!,Tabla11[[#This Row],[Cuenta]],1))</f>
        <v>0</v>
      </c>
      <c r="BH797" t="b">
        <f>+ISNUMBER(SEARCH(#REF!,Tabla11[[#This Row],[Cuenta]],1))</f>
        <v>0</v>
      </c>
      <c r="BI797" t="b">
        <f>+ISNUMBER(SEARCH(#REF!,Tabla11[[#This Row],[Cuenta]],1))</f>
        <v>0</v>
      </c>
      <c r="BJ797" t="b">
        <f>+ISNUMBER(SEARCH(#REF!,Tabla11[[#This Row],[Cuenta]],1))</f>
        <v>0</v>
      </c>
      <c r="BS797" t="str">
        <v>510599 *Ajustes por inflación</v>
      </c>
      <c r="BT797" t="str">
        <v>510599 *Ajustes por inflación</v>
      </c>
      <c r="BU797" t="str">
        <v>510599 *Ajustes por inflación</v>
      </c>
      <c r="BV797" t="str">
        <v>510599 *Ajustes por inflación</v>
      </c>
      <c r="BZ797" t="str">
        <v>510599 *Ajustes por inflación</v>
      </c>
      <c r="CA797" t="str">
        <v>510599 *Ajustes por inflación</v>
      </c>
      <c r="CB797" t="str">
        <v>510599 *Ajustes por inflación</v>
      </c>
      <c r="CC797" t="str">
        <v>510599 *Ajustes por inflación</v>
      </c>
      <c r="CD797" t="str">
        <v>510599 *Ajustes por inflación</v>
      </c>
      <c r="CE797" t="str">
        <v>510599 *Ajustes por inflación</v>
      </c>
      <c r="CS797" s="141" t="str">
        <v>510599 *Ajustes por inflación</v>
      </c>
      <c r="CT797" s="141" t="str">
        <v>510599 *Ajustes por inflación</v>
      </c>
      <c r="CU797" s="141" t="str">
        <v>510599 *Ajustes por inflación</v>
      </c>
      <c r="CV797" s="141" t="str">
        <v>510599 *Ajustes por inflación</v>
      </c>
      <c r="CW797" s="141" t="str">
        <v>510599 *Ajustes por inflación</v>
      </c>
      <c r="CX797" s="141" t="str">
        <v>510599 *Ajustes por inflación</v>
      </c>
      <c r="CY797" s="141" t="str">
        <v>510599 *Ajustes por inflación</v>
      </c>
      <c r="CZ797" s="141" t="str">
        <v>510599 *Ajustes por inflación</v>
      </c>
      <c r="DA797" s="141" t="str">
        <v>510599 *Ajustes por inflación</v>
      </c>
      <c r="DF797" t="str">
        <v>510599 *Ajustes por inflación</v>
      </c>
      <c r="DG797" t="str">
        <v>510599 *Ajustes por inflación</v>
      </c>
      <c r="DH797" t="str">
        <v>510599 *Ajustes por inflación</v>
      </c>
      <c r="DI797" t="str">
        <v>510599 *Ajustes por inflación</v>
      </c>
      <c r="DJ797" t="str">
        <v>510599 *Ajustes por inflación</v>
      </c>
      <c r="DK797" t="str">
        <v>510599 *Ajustes por inflación</v>
      </c>
      <c r="DL797" t="str">
        <v>510599 *Ajustes por inflación</v>
      </c>
      <c r="DM797" t="str">
        <v>510599 *Ajustes por inflación</v>
      </c>
      <c r="DN797" t="str">
        <v>510599 *Ajustes por inflación</v>
      </c>
      <c r="DO797" t="str">
        <v>510599 *Ajustes por inflación</v>
      </c>
      <c r="DP797" t="str">
        <v>510599 *Ajustes por inflación</v>
      </c>
    </row>
    <row r="798" spans="4:120" ht="12.75">
      <c r="D798" s="7">
        <v>5110</v>
      </c>
      <c r="E798" s="6" t="s">
        <v>526</v>
      </c>
      <c r="F798" s="5">
        <v>3</v>
      </c>
      <c r="G798" s="34" t="s">
        <v>830</v>
      </c>
      <c r="H798" s="8" t="s">
        <v>32</v>
      </c>
      <c r="I798" t="b">
        <f>+ISNUMBER(SEARCH('F-COMPRA'!$F$28,Tabla11[[#This Row],[Cuenta]],1))</f>
        <v>1</v>
      </c>
      <c r="J798" t="b">
        <f>+ISNUMBER(SEARCH('F-COMPRA'!$F$29,Tabla11[[#This Row],[Cuenta]],1))</f>
        <v>1</v>
      </c>
      <c r="K798" t="b">
        <f>+ISNUMBER(SEARCH('F-COMPRA'!$F$30,Tabla11[[#This Row],[Cuenta]],1))</f>
        <v>1</v>
      </c>
      <c r="L798" t="b">
        <f>+ISNUMBER(SEARCH('F-COMPRA'!$F$31,Tabla11[[#This Row],[Cuenta]],1))</f>
        <v>1</v>
      </c>
      <c r="M798" t="b">
        <f>+ISNUMBER(SEARCH('F-COMPRA'!$G$25,Tabla11[[#This Row],[Cuenta]],1))</f>
        <v>0</v>
      </c>
      <c r="N798" t="b">
        <f>+ISNUMBER(SEARCH(#REF!,Tabla11[[#This Row],[Cuenta]],1))</f>
        <v>0</v>
      </c>
      <c r="O798" t="b">
        <f>+ISNUMBER(SEARCH(#REF!,Tabla11[[#This Row],[Cuenta]],1))</f>
        <v>0</v>
      </c>
      <c r="P798" t="b">
        <f>+ISNUMBER(SEARCH('F-COMPRA'!$F$32,Tabla11[[#This Row],[Cuenta]],1))</f>
        <v>1</v>
      </c>
      <c r="Q798" t="b">
        <f>+ISNUMBER(SEARCH('F-COMPRA'!$F$33,Tabla11[[#This Row],[Cuenta]],1))</f>
        <v>1</v>
      </c>
      <c r="R798" t="b">
        <f>+ISNUMBER(SEARCH('F-COMPRA'!$F$34,Tabla11[[#This Row],[Cuenta]],1))</f>
        <v>1</v>
      </c>
      <c r="S798" t="b">
        <f>+ISNUMBER(SEARCH('F-COMPRA'!$F$35,Tabla11[[#This Row],[Cuenta]],1))</f>
        <v>1</v>
      </c>
      <c r="T798" t="b">
        <f>+ISNUMBER(SEARCH('F-COMPRA'!$F$36,Tabla11[[#This Row],[Cuenta]],1))</f>
        <v>1</v>
      </c>
      <c r="U798" t="b">
        <f>+ISNUMBER(SEARCH('F-COMPRA'!$F$37,Tabla11[[#This Row],[Cuenta]],1))</f>
        <v>1</v>
      </c>
      <c r="V798" t="b">
        <f>+ISNUMBER(SEARCH(#REF!,Tabla11[[#This Row],[Cuenta]],1))</f>
        <v>0</v>
      </c>
      <c r="W798" t="b">
        <f>+ISNUMBER(SEARCH('F-COMPRA'!#REF!,Tabla11[[#This Row],[Cuenta]],1))</f>
        <v>0</v>
      </c>
      <c r="X798" t="b">
        <f>+ISNUMBER(SEARCH('F-COMPRA'!#REF!,Tabla11[[#This Row],[Cuenta]],1))</f>
        <v>0</v>
      </c>
      <c r="Y798" t="b">
        <f>+ISNUMBER(SEARCH('F-COMPRA'!#REF!,Tabla11[[#This Row],[Cuenta]],1))</f>
        <v>0</v>
      </c>
      <c r="Z798" t="b">
        <f>+ISNUMBER(SEARCH('F-COMPRA'!#REF!,Tabla11[[#This Row],[Cuenta]],1))</f>
        <v>0</v>
      </c>
      <c r="AA798" t="b">
        <f>+ISNUMBER(SEARCH('F-COMPRA'!#REF!,Tabla11[[#This Row],[Cuenta]],1))</f>
        <v>0</v>
      </c>
      <c r="AB798" t="b">
        <f>+ISNUMBER(SEARCH('F-COMPRA'!#REF!,Tabla11[[#This Row],[Cuenta]],1))</f>
        <v>0</v>
      </c>
      <c r="AC798" t="b">
        <f>+ISNUMBER(SEARCH('F-COMPRA'!#REF!,Tabla11[[#This Row],[Cuenta]],1))</f>
        <v>0</v>
      </c>
      <c r="AD798" t="b">
        <f>+ISNUMBER(SEARCH('F-COMPRA'!#REF!,Tabla11[[#This Row],[Cuenta]],1))</f>
        <v>0</v>
      </c>
      <c r="AE798" t="b">
        <f>+ISNUMBER(SEARCH('F-COMPRA'!#REF!,Tabla11[[#This Row],[Cuenta]],1))</f>
        <v>0</v>
      </c>
      <c r="AF798" t="b">
        <f>+ISNUMBER(SEARCH('F-VTA'!$G$23,Tabla11[[#This Row],[Cuenta]],1))</f>
        <v>0</v>
      </c>
      <c r="AG798" t="b">
        <f>+ISNUMBER(SEARCH('F-VTA'!$G$24,Tabla11[[#This Row],[Cuenta]],1))</f>
        <v>0</v>
      </c>
      <c r="AH798" t="b">
        <f>+ISNUMBER(SEARCH('F-VTA'!$G$25,Tabla11[[#This Row],[Cuenta]],1))</f>
        <v>0</v>
      </c>
      <c r="AI798" t="b">
        <f>+ISNUMBER(SEARCH('F-VTA'!$F$28,Tabla11[[#This Row],[Cuenta]],1))</f>
        <v>1</v>
      </c>
      <c r="AJ798" t="b">
        <f>+ISNUMBER(SEARCH('F-VTA'!$F$29,Tabla11[[#This Row],[Cuenta]],1))</f>
        <v>1</v>
      </c>
      <c r="AK798" t="b">
        <f>+ISNUMBER(SEARCH('F-VTA'!$F$30,Tabla11[[#This Row],[Cuenta]],1))</f>
        <v>1</v>
      </c>
      <c r="AL798" t="b">
        <f>+ISNUMBER(SEARCH('F-VTA'!$F$31,Tabla11[[#This Row],[Cuenta]],1))</f>
        <v>1</v>
      </c>
      <c r="AM798" t="b">
        <f>+ISNUMBER(SEARCH('F-VTA'!$F$32,Tabla11[[#This Row],[Cuenta]],1))</f>
        <v>1</v>
      </c>
      <c r="AN798" t="b">
        <f>+ISNUMBER(SEARCH('F-VTA'!$F$33,Tabla11[[#This Row],[Cuenta]],1))</f>
        <v>1</v>
      </c>
      <c r="AO798" t="b">
        <f>+ISNUMBER(SEARCH('F-VTA'!$F$34,Tabla11[[#This Row],[Cuenta]],1))</f>
        <v>1</v>
      </c>
      <c r="AP798" t="b">
        <f>+ISNUMBER(SEARCH('F-VTA'!$F$35,Tabla11[[#This Row],[Cuenta]],1))</f>
        <v>1</v>
      </c>
      <c r="AQ798" t="b">
        <f>+ISNUMBER(SEARCH('F-VTA'!$F$36,Tabla11[[#This Row],[Cuenta]],1))</f>
        <v>1</v>
      </c>
      <c r="AR798" t="b">
        <f>+ISNUMBER(SEARCH(#REF!,Tabla11[[#This Row],[Cuenta]],1))</f>
        <v>0</v>
      </c>
      <c r="AS798" t="b">
        <f>+ISNUMBER(SEARCH(#REF!,Tabla11[[#This Row],[Cuenta]],1))</f>
        <v>0</v>
      </c>
      <c r="AT798" t="b">
        <f>+ISNUMBER(SEARCH(#REF!,Tabla11[[#This Row],[Cuenta]],1))</f>
        <v>0</v>
      </c>
      <c r="AU798" t="b">
        <f>+ISNUMBER(SEARCH('Conc. Ban.1'!$I$9,Tabla11[[#This Row],[Cuenta]],1))</f>
        <v>0</v>
      </c>
      <c r="AV798" t="b">
        <f>+ISNUMBER(SEARCH(CompConta!$F$21,Tabla11[[#This Row],[Cuenta]],1))</f>
        <v>1</v>
      </c>
      <c r="AW798" t="b">
        <f>+ISNUMBER(SEARCH(CompConta!$F$22,Tabla11[[#This Row],[Cuenta]],1))</f>
        <v>1</v>
      </c>
      <c r="AX798" t="b">
        <f>+ISNUMBER(SEARCH(CompConta!$F$23,Tabla11[[#This Row],[Cuenta]],1))</f>
        <v>1</v>
      </c>
      <c r="AY798" t="b">
        <f>+ISNUMBER(SEARCH(CompConta!$F$24,Tabla11[[#This Row],[Cuenta]],1))</f>
        <v>1</v>
      </c>
      <c r="AZ798" t="b">
        <f>+ISNUMBER(SEARCH(CompConta!$F$25,Tabla11[[#This Row],[Cuenta]],1))</f>
        <v>1</v>
      </c>
      <c r="BA798" t="b">
        <f>+ISNUMBER(SEARCH(CompConta!$F$26,Tabla11[[#This Row],[Cuenta]],1))</f>
        <v>1</v>
      </c>
      <c r="BB798" t="b">
        <f>+ISNUMBER(SEARCH(CompConta!$F$27,Tabla11[[#This Row],[Cuenta]],1))</f>
        <v>1</v>
      </c>
      <c r="BC798" t="b">
        <f>+ISNUMBER(SEARCH(CompConta!$F$28,Tabla11[[#This Row],[Cuenta]],1))</f>
        <v>1</v>
      </c>
      <c r="BD798" t="b">
        <f>+ISNUMBER(SEARCH(CompConta!$F$29,Tabla11[[#This Row],[Cuenta]],1))</f>
        <v>1</v>
      </c>
      <c r="BE798" t="b">
        <f>+ISNUMBER(SEARCH(CompConta!$F$30,Tabla11[[#This Row],[Cuenta]],1))</f>
        <v>1</v>
      </c>
      <c r="BF798" t="b">
        <f>+ISNUMBER(SEARCH('PAGO Compras'!$E$11,Tabla11[[#This Row],[Cuenta]],1))</f>
        <v>1</v>
      </c>
      <c r="BG798" t="b">
        <f>+ISNUMBER(SEARCH(#REF!,Tabla11[[#This Row],[Cuenta]],1))</f>
        <v>0</v>
      </c>
      <c r="BH798" t="b">
        <f>+ISNUMBER(SEARCH(#REF!,Tabla11[[#This Row],[Cuenta]],1))</f>
        <v>0</v>
      </c>
      <c r="BI798" t="b">
        <f>+ISNUMBER(SEARCH(#REF!,Tabla11[[#This Row],[Cuenta]],1))</f>
        <v>0</v>
      </c>
      <c r="BJ798" t="b">
        <f>+ISNUMBER(SEARCH(#REF!,Tabla11[[#This Row],[Cuenta]],1))</f>
        <v>0</v>
      </c>
      <c r="BS798" t="str">
        <v>5110 HONORARIOS</v>
      </c>
      <c r="BT798" t="str">
        <v>5110 HONORARIOS</v>
      </c>
      <c r="BU798" t="str">
        <v>5110 HONORARIOS</v>
      </c>
      <c r="BV798" t="str">
        <v>5110 HONORARIOS</v>
      </c>
      <c r="BZ798" t="str">
        <v>5110 HONORARIOS</v>
      </c>
      <c r="CA798" t="str">
        <v>5110 HONORARIOS</v>
      </c>
      <c r="CB798" t="str">
        <v>5110 HONORARIOS</v>
      </c>
      <c r="CC798" t="str">
        <v>5110 HONORARIOS</v>
      </c>
      <c r="CD798" t="str">
        <v>5110 HONORARIOS</v>
      </c>
      <c r="CE798" t="str">
        <v>5110 HONORARIOS</v>
      </c>
      <c r="CS798" s="141" t="str">
        <v>5110 HONORARIOS</v>
      </c>
      <c r="CT798" s="141" t="str">
        <v>5110 HONORARIOS</v>
      </c>
      <c r="CU798" s="141" t="str">
        <v>5110 HONORARIOS</v>
      </c>
      <c r="CV798" s="141" t="str">
        <v>5110 HONORARIOS</v>
      </c>
      <c r="CW798" s="141" t="str">
        <v>5110 HONORARIOS</v>
      </c>
      <c r="CX798" s="141" t="str">
        <v>5110 HONORARIOS</v>
      </c>
      <c r="CY798" s="141" t="str">
        <v>5110 HONORARIOS</v>
      </c>
      <c r="CZ798" s="141" t="str">
        <v>5110 HONORARIOS</v>
      </c>
      <c r="DA798" s="141" t="str">
        <v>5110 HONORARIOS</v>
      </c>
      <c r="DF798" t="str">
        <v>5110 HONORARIOS</v>
      </c>
      <c r="DG798" t="str">
        <v>5110 HONORARIOS</v>
      </c>
      <c r="DH798" t="str">
        <v>5110 HONORARIOS</v>
      </c>
      <c r="DI798" t="str">
        <v>5110 HONORARIOS</v>
      </c>
      <c r="DJ798" t="str">
        <v>5110 HONORARIOS</v>
      </c>
      <c r="DK798" t="str">
        <v>5110 HONORARIOS</v>
      </c>
      <c r="DL798" t="str">
        <v>5110 HONORARIOS</v>
      </c>
      <c r="DM798" t="str">
        <v>5110 HONORARIOS</v>
      </c>
      <c r="DN798" t="str">
        <v>5110 HONORARIOS</v>
      </c>
      <c r="DO798" t="str">
        <v>5110 HONORARIOS</v>
      </c>
      <c r="DP798" t="str">
        <v>5110 HONORARIOS</v>
      </c>
    </row>
    <row r="799" spans="4:120" ht="12.75">
      <c r="D799" s="7">
        <v>511005</v>
      </c>
      <c r="E799" s="6" t="s">
        <v>555</v>
      </c>
      <c r="F799" s="5">
        <v>4</v>
      </c>
      <c r="G799" s="34" t="s">
        <v>830</v>
      </c>
      <c r="H799" s="8" t="s">
        <v>32</v>
      </c>
      <c r="I799" t="b">
        <f>+ISNUMBER(SEARCH('F-COMPRA'!$F$28,Tabla11[[#This Row],[Cuenta]],1))</f>
        <v>1</v>
      </c>
      <c r="J799" t="b">
        <f>+ISNUMBER(SEARCH('F-COMPRA'!$F$29,Tabla11[[#This Row],[Cuenta]],1))</f>
        <v>1</v>
      </c>
      <c r="K799" t="b">
        <f>+ISNUMBER(SEARCH('F-COMPRA'!$F$30,Tabla11[[#This Row],[Cuenta]],1))</f>
        <v>1</v>
      </c>
      <c r="L799" t="b">
        <f>+ISNUMBER(SEARCH('F-COMPRA'!$F$31,Tabla11[[#This Row],[Cuenta]],1))</f>
        <v>1</v>
      </c>
      <c r="M799" t="b">
        <f>+ISNUMBER(SEARCH('F-COMPRA'!$G$25,Tabla11[[#This Row],[Cuenta]],1))</f>
        <v>0</v>
      </c>
      <c r="N799" t="b">
        <f>+ISNUMBER(SEARCH(#REF!,Tabla11[[#This Row],[Cuenta]],1))</f>
        <v>0</v>
      </c>
      <c r="O799" t="b">
        <f>+ISNUMBER(SEARCH(#REF!,Tabla11[[#This Row],[Cuenta]],1))</f>
        <v>0</v>
      </c>
      <c r="P799" t="b">
        <f>+ISNUMBER(SEARCH('F-COMPRA'!$F$32,Tabla11[[#This Row],[Cuenta]],1))</f>
        <v>1</v>
      </c>
      <c r="Q799" t="b">
        <f>+ISNUMBER(SEARCH('F-COMPRA'!$F$33,Tabla11[[#This Row],[Cuenta]],1))</f>
        <v>1</v>
      </c>
      <c r="R799" t="b">
        <f>+ISNUMBER(SEARCH('F-COMPRA'!$F$34,Tabla11[[#This Row],[Cuenta]],1))</f>
        <v>1</v>
      </c>
      <c r="S799" t="b">
        <f>+ISNUMBER(SEARCH('F-COMPRA'!$F$35,Tabla11[[#This Row],[Cuenta]],1))</f>
        <v>1</v>
      </c>
      <c r="T799" t="b">
        <f>+ISNUMBER(SEARCH('F-COMPRA'!$F$36,Tabla11[[#This Row],[Cuenta]],1))</f>
        <v>1</v>
      </c>
      <c r="U799" t="b">
        <f>+ISNUMBER(SEARCH('F-COMPRA'!$F$37,Tabla11[[#This Row],[Cuenta]],1))</f>
        <v>1</v>
      </c>
      <c r="V799" t="b">
        <f>+ISNUMBER(SEARCH(#REF!,Tabla11[[#This Row],[Cuenta]],1))</f>
        <v>0</v>
      </c>
      <c r="W799" t="b">
        <f>+ISNUMBER(SEARCH('F-COMPRA'!#REF!,Tabla11[[#This Row],[Cuenta]],1))</f>
        <v>0</v>
      </c>
      <c r="X799" t="b">
        <f>+ISNUMBER(SEARCH('F-COMPRA'!#REF!,Tabla11[[#This Row],[Cuenta]],1))</f>
        <v>0</v>
      </c>
      <c r="Y799" t="b">
        <f>+ISNUMBER(SEARCH('F-COMPRA'!#REF!,Tabla11[[#This Row],[Cuenta]],1))</f>
        <v>0</v>
      </c>
      <c r="Z799" t="b">
        <f>+ISNUMBER(SEARCH('F-COMPRA'!#REF!,Tabla11[[#This Row],[Cuenta]],1))</f>
        <v>0</v>
      </c>
      <c r="AA799" t="b">
        <f>+ISNUMBER(SEARCH('F-COMPRA'!#REF!,Tabla11[[#This Row],[Cuenta]],1))</f>
        <v>0</v>
      </c>
      <c r="AB799" t="b">
        <f>+ISNUMBER(SEARCH('F-COMPRA'!#REF!,Tabla11[[#This Row],[Cuenta]],1))</f>
        <v>0</v>
      </c>
      <c r="AC799" t="b">
        <f>+ISNUMBER(SEARCH('F-COMPRA'!#REF!,Tabla11[[#This Row],[Cuenta]],1))</f>
        <v>0</v>
      </c>
      <c r="AD799" t="b">
        <f>+ISNUMBER(SEARCH('F-COMPRA'!#REF!,Tabla11[[#This Row],[Cuenta]],1))</f>
        <v>0</v>
      </c>
      <c r="AE799" t="b">
        <f>+ISNUMBER(SEARCH('F-COMPRA'!#REF!,Tabla11[[#This Row],[Cuenta]],1))</f>
        <v>0</v>
      </c>
      <c r="AF799" t="b">
        <f>+ISNUMBER(SEARCH('F-VTA'!$G$23,Tabla11[[#This Row],[Cuenta]],1))</f>
        <v>0</v>
      </c>
      <c r="AG799" t="b">
        <f>+ISNUMBER(SEARCH('F-VTA'!$G$24,Tabla11[[#This Row],[Cuenta]],1))</f>
        <v>0</v>
      </c>
      <c r="AH799" t="b">
        <f>+ISNUMBER(SEARCH('F-VTA'!$G$25,Tabla11[[#This Row],[Cuenta]],1))</f>
        <v>0</v>
      </c>
      <c r="AI799" t="b">
        <f>+ISNUMBER(SEARCH('F-VTA'!$F$28,Tabla11[[#This Row],[Cuenta]],1))</f>
        <v>1</v>
      </c>
      <c r="AJ799" t="b">
        <f>+ISNUMBER(SEARCH('F-VTA'!$F$29,Tabla11[[#This Row],[Cuenta]],1))</f>
        <v>1</v>
      </c>
      <c r="AK799" t="b">
        <f>+ISNUMBER(SEARCH('F-VTA'!$F$30,Tabla11[[#This Row],[Cuenta]],1))</f>
        <v>1</v>
      </c>
      <c r="AL799" t="b">
        <f>+ISNUMBER(SEARCH('F-VTA'!$F$31,Tabla11[[#This Row],[Cuenta]],1))</f>
        <v>1</v>
      </c>
      <c r="AM799" t="b">
        <f>+ISNUMBER(SEARCH('F-VTA'!$F$32,Tabla11[[#This Row],[Cuenta]],1))</f>
        <v>1</v>
      </c>
      <c r="AN799" t="b">
        <f>+ISNUMBER(SEARCH('F-VTA'!$F$33,Tabla11[[#This Row],[Cuenta]],1))</f>
        <v>1</v>
      </c>
      <c r="AO799" t="b">
        <f>+ISNUMBER(SEARCH('F-VTA'!$F$34,Tabla11[[#This Row],[Cuenta]],1))</f>
        <v>1</v>
      </c>
      <c r="AP799" t="b">
        <f>+ISNUMBER(SEARCH('F-VTA'!$F$35,Tabla11[[#This Row],[Cuenta]],1))</f>
        <v>1</v>
      </c>
      <c r="AQ799" t="b">
        <f>+ISNUMBER(SEARCH('F-VTA'!$F$36,Tabla11[[#This Row],[Cuenta]],1))</f>
        <v>1</v>
      </c>
      <c r="AR799" t="b">
        <f>+ISNUMBER(SEARCH(#REF!,Tabla11[[#This Row],[Cuenta]],1))</f>
        <v>0</v>
      </c>
      <c r="AS799" t="b">
        <f>+ISNUMBER(SEARCH(#REF!,Tabla11[[#This Row],[Cuenta]],1))</f>
        <v>0</v>
      </c>
      <c r="AT799" t="b">
        <f>+ISNUMBER(SEARCH(#REF!,Tabla11[[#This Row],[Cuenta]],1))</f>
        <v>0</v>
      </c>
      <c r="AU799" t="b">
        <f>+ISNUMBER(SEARCH('Conc. Ban.1'!$I$9,Tabla11[[#This Row],[Cuenta]],1))</f>
        <v>0</v>
      </c>
      <c r="AV799" t="b">
        <f>+ISNUMBER(SEARCH(CompConta!$F$21,Tabla11[[#This Row],[Cuenta]],1))</f>
        <v>1</v>
      </c>
      <c r="AW799" t="b">
        <f>+ISNUMBER(SEARCH(CompConta!$F$22,Tabla11[[#This Row],[Cuenta]],1))</f>
        <v>1</v>
      </c>
      <c r="AX799" t="b">
        <f>+ISNUMBER(SEARCH(CompConta!$F$23,Tabla11[[#This Row],[Cuenta]],1))</f>
        <v>1</v>
      </c>
      <c r="AY799" t="b">
        <f>+ISNUMBER(SEARCH(CompConta!$F$24,Tabla11[[#This Row],[Cuenta]],1))</f>
        <v>1</v>
      </c>
      <c r="AZ799" t="b">
        <f>+ISNUMBER(SEARCH(CompConta!$F$25,Tabla11[[#This Row],[Cuenta]],1))</f>
        <v>1</v>
      </c>
      <c r="BA799" t="b">
        <f>+ISNUMBER(SEARCH(CompConta!$F$26,Tabla11[[#This Row],[Cuenta]],1))</f>
        <v>1</v>
      </c>
      <c r="BB799" t="b">
        <f>+ISNUMBER(SEARCH(CompConta!$F$27,Tabla11[[#This Row],[Cuenta]],1))</f>
        <v>1</v>
      </c>
      <c r="BC799" t="b">
        <f>+ISNUMBER(SEARCH(CompConta!$F$28,Tabla11[[#This Row],[Cuenta]],1))</f>
        <v>1</v>
      </c>
      <c r="BD799" t="b">
        <f>+ISNUMBER(SEARCH(CompConta!$F$29,Tabla11[[#This Row],[Cuenta]],1))</f>
        <v>1</v>
      </c>
      <c r="BE799" t="b">
        <f>+ISNUMBER(SEARCH(CompConta!$F$30,Tabla11[[#This Row],[Cuenta]],1))</f>
        <v>1</v>
      </c>
      <c r="BF799" t="b">
        <f>+ISNUMBER(SEARCH('PAGO Compras'!$E$11,Tabla11[[#This Row],[Cuenta]],1))</f>
        <v>1</v>
      </c>
      <c r="BG799" t="b">
        <f>+ISNUMBER(SEARCH(#REF!,Tabla11[[#This Row],[Cuenta]],1))</f>
        <v>0</v>
      </c>
      <c r="BH799" t="b">
        <f>+ISNUMBER(SEARCH(#REF!,Tabla11[[#This Row],[Cuenta]],1))</f>
        <v>0</v>
      </c>
      <c r="BI799" t="b">
        <f>+ISNUMBER(SEARCH(#REF!,Tabla11[[#This Row],[Cuenta]],1))</f>
        <v>0</v>
      </c>
      <c r="BJ799" t="b">
        <f>+ISNUMBER(SEARCH(#REF!,Tabla11[[#This Row],[Cuenta]],1))</f>
        <v>0</v>
      </c>
      <c r="BS799" t="str">
        <v>511005 Junta directiva</v>
      </c>
      <c r="BT799" t="str">
        <v>511005 Junta directiva</v>
      </c>
      <c r="BU799" t="str">
        <v>511005 Junta directiva</v>
      </c>
      <c r="BV799" t="str">
        <v>511005 Junta directiva</v>
      </c>
      <c r="BZ799" t="str">
        <v>511005 Junta directiva</v>
      </c>
      <c r="CA799" t="str">
        <v>511005 Junta directiva</v>
      </c>
      <c r="CB799" t="str">
        <v>511005 Junta directiva</v>
      </c>
      <c r="CC799" t="str">
        <v>511005 Junta directiva</v>
      </c>
      <c r="CD799" t="str">
        <v>511005 Junta directiva</v>
      </c>
      <c r="CE799" t="str">
        <v>511005 Junta directiva</v>
      </c>
      <c r="CS799" s="141" t="str">
        <v>511005 Junta directiva</v>
      </c>
      <c r="CT799" s="141" t="str">
        <v>511005 Junta directiva</v>
      </c>
      <c r="CU799" s="141" t="str">
        <v>511005 Junta directiva</v>
      </c>
      <c r="CV799" s="141" t="str">
        <v>511005 Junta directiva</v>
      </c>
      <c r="CW799" s="141" t="str">
        <v>511005 Junta directiva</v>
      </c>
      <c r="CX799" s="141" t="str">
        <v>511005 Junta directiva</v>
      </c>
      <c r="CY799" s="141" t="str">
        <v>511005 Junta directiva</v>
      </c>
      <c r="CZ799" s="141" t="str">
        <v>511005 Junta directiva</v>
      </c>
      <c r="DA799" s="141" t="str">
        <v>511005 Junta directiva</v>
      </c>
      <c r="DF799" t="str">
        <v>511005 Junta directiva</v>
      </c>
      <c r="DG799" t="str">
        <v>511005 Junta directiva</v>
      </c>
      <c r="DH799" t="str">
        <v>511005 Junta directiva</v>
      </c>
      <c r="DI799" t="str">
        <v>511005 Junta directiva</v>
      </c>
      <c r="DJ799" t="str">
        <v>511005 Junta directiva</v>
      </c>
      <c r="DK799" t="str">
        <v>511005 Junta directiva</v>
      </c>
      <c r="DL799" t="str">
        <v>511005 Junta directiva</v>
      </c>
      <c r="DM799" t="str">
        <v>511005 Junta directiva</v>
      </c>
      <c r="DN799" t="str">
        <v>511005 Junta directiva</v>
      </c>
      <c r="DO799" t="str">
        <v>511005 Junta directiva</v>
      </c>
      <c r="DP799" t="str">
        <v>511005 Junta directiva</v>
      </c>
    </row>
    <row r="800" spans="4:120" ht="12.75">
      <c r="D800" s="7">
        <v>511010</v>
      </c>
      <c r="E800" s="6" t="s">
        <v>556</v>
      </c>
      <c r="F800" s="5">
        <v>4</v>
      </c>
      <c r="G800" s="34" t="s">
        <v>830</v>
      </c>
      <c r="H800" s="8" t="s">
        <v>32</v>
      </c>
      <c r="I800" t="b">
        <f>+ISNUMBER(SEARCH('F-COMPRA'!$F$28,Tabla11[[#This Row],[Cuenta]],1))</f>
        <v>1</v>
      </c>
      <c r="J800" t="b">
        <f>+ISNUMBER(SEARCH('F-COMPRA'!$F$29,Tabla11[[#This Row],[Cuenta]],1))</f>
        <v>1</v>
      </c>
      <c r="K800" t="b">
        <f>+ISNUMBER(SEARCH('F-COMPRA'!$F$30,Tabla11[[#This Row],[Cuenta]],1))</f>
        <v>1</v>
      </c>
      <c r="L800" t="b">
        <f>+ISNUMBER(SEARCH('F-COMPRA'!$F$31,Tabla11[[#This Row],[Cuenta]],1))</f>
        <v>1</v>
      </c>
      <c r="M800" t="b">
        <f>+ISNUMBER(SEARCH('F-COMPRA'!$G$25,Tabla11[[#This Row],[Cuenta]],1))</f>
        <v>0</v>
      </c>
      <c r="N800" t="b">
        <f>+ISNUMBER(SEARCH(#REF!,Tabla11[[#This Row],[Cuenta]],1))</f>
        <v>0</v>
      </c>
      <c r="O800" t="b">
        <f>+ISNUMBER(SEARCH(#REF!,Tabla11[[#This Row],[Cuenta]],1))</f>
        <v>0</v>
      </c>
      <c r="P800" t="b">
        <f>+ISNUMBER(SEARCH('F-COMPRA'!$F$32,Tabla11[[#This Row],[Cuenta]],1))</f>
        <v>1</v>
      </c>
      <c r="Q800" t="b">
        <f>+ISNUMBER(SEARCH('F-COMPRA'!$F$33,Tabla11[[#This Row],[Cuenta]],1))</f>
        <v>1</v>
      </c>
      <c r="R800" t="b">
        <f>+ISNUMBER(SEARCH('F-COMPRA'!$F$34,Tabla11[[#This Row],[Cuenta]],1))</f>
        <v>1</v>
      </c>
      <c r="S800" t="b">
        <f>+ISNUMBER(SEARCH('F-COMPRA'!$F$35,Tabla11[[#This Row],[Cuenta]],1))</f>
        <v>1</v>
      </c>
      <c r="T800" t="b">
        <f>+ISNUMBER(SEARCH('F-COMPRA'!$F$36,Tabla11[[#This Row],[Cuenta]],1))</f>
        <v>1</v>
      </c>
      <c r="U800" t="b">
        <f>+ISNUMBER(SEARCH('F-COMPRA'!$F$37,Tabla11[[#This Row],[Cuenta]],1))</f>
        <v>1</v>
      </c>
      <c r="V800" t="b">
        <f>+ISNUMBER(SEARCH(#REF!,Tabla11[[#This Row],[Cuenta]],1))</f>
        <v>0</v>
      </c>
      <c r="W800" t="b">
        <f>+ISNUMBER(SEARCH('F-COMPRA'!#REF!,Tabla11[[#This Row],[Cuenta]],1))</f>
        <v>0</v>
      </c>
      <c r="X800" t="b">
        <f>+ISNUMBER(SEARCH('F-COMPRA'!#REF!,Tabla11[[#This Row],[Cuenta]],1))</f>
        <v>0</v>
      </c>
      <c r="Y800" t="b">
        <f>+ISNUMBER(SEARCH('F-COMPRA'!#REF!,Tabla11[[#This Row],[Cuenta]],1))</f>
        <v>0</v>
      </c>
      <c r="Z800" t="b">
        <f>+ISNUMBER(SEARCH('F-COMPRA'!#REF!,Tabla11[[#This Row],[Cuenta]],1))</f>
        <v>0</v>
      </c>
      <c r="AA800" t="b">
        <f>+ISNUMBER(SEARCH('F-COMPRA'!#REF!,Tabla11[[#This Row],[Cuenta]],1))</f>
        <v>0</v>
      </c>
      <c r="AB800" t="b">
        <f>+ISNUMBER(SEARCH('F-COMPRA'!#REF!,Tabla11[[#This Row],[Cuenta]],1))</f>
        <v>0</v>
      </c>
      <c r="AC800" t="b">
        <f>+ISNUMBER(SEARCH('F-COMPRA'!#REF!,Tabla11[[#This Row],[Cuenta]],1))</f>
        <v>0</v>
      </c>
      <c r="AD800" t="b">
        <f>+ISNUMBER(SEARCH('F-COMPRA'!#REF!,Tabla11[[#This Row],[Cuenta]],1))</f>
        <v>0</v>
      </c>
      <c r="AE800" t="b">
        <f>+ISNUMBER(SEARCH('F-COMPRA'!#REF!,Tabla11[[#This Row],[Cuenta]],1))</f>
        <v>0</v>
      </c>
      <c r="AF800" t="b">
        <f>+ISNUMBER(SEARCH('F-VTA'!$G$23,Tabla11[[#This Row],[Cuenta]],1))</f>
        <v>0</v>
      </c>
      <c r="AG800" t="b">
        <f>+ISNUMBER(SEARCH('F-VTA'!$G$24,Tabla11[[#This Row],[Cuenta]],1))</f>
        <v>0</v>
      </c>
      <c r="AH800" t="b">
        <f>+ISNUMBER(SEARCH('F-VTA'!$G$25,Tabla11[[#This Row],[Cuenta]],1))</f>
        <v>0</v>
      </c>
      <c r="AI800" t="b">
        <f>+ISNUMBER(SEARCH('F-VTA'!$F$28,Tabla11[[#This Row],[Cuenta]],1))</f>
        <v>1</v>
      </c>
      <c r="AJ800" t="b">
        <f>+ISNUMBER(SEARCH('F-VTA'!$F$29,Tabla11[[#This Row],[Cuenta]],1))</f>
        <v>1</v>
      </c>
      <c r="AK800" t="b">
        <f>+ISNUMBER(SEARCH('F-VTA'!$F$30,Tabla11[[#This Row],[Cuenta]],1))</f>
        <v>1</v>
      </c>
      <c r="AL800" t="b">
        <f>+ISNUMBER(SEARCH('F-VTA'!$F$31,Tabla11[[#This Row],[Cuenta]],1))</f>
        <v>1</v>
      </c>
      <c r="AM800" t="b">
        <f>+ISNUMBER(SEARCH('F-VTA'!$F$32,Tabla11[[#This Row],[Cuenta]],1))</f>
        <v>1</v>
      </c>
      <c r="AN800" t="b">
        <f>+ISNUMBER(SEARCH('F-VTA'!$F$33,Tabla11[[#This Row],[Cuenta]],1))</f>
        <v>1</v>
      </c>
      <c r="AO800" t="b">
        <f>+ISNUMBER(SEARCH('F-VTA'!$F$34,Tabla11[[#This Row],[Cuenta]],1))</f>
        <v>1</v>
      </c>
      <c r="AP800" t="b">
        <f>+ISNUMBER(SEARCH('F-VTA'!$F$35,Tabla11[[#This Row],[Cuenta]],1))</f>
        <v>1</v>
      </c>
      <c r="AQ800" t="b">
        <f>+ISNUMBER(SEARCH('F-VTA'!$F$36,Tabla11[[#This Row],[Cuenta]],1))</f>
        <v>1</v>
      </c>
      <c r="AR800" t="b">
        <f>+ISNUMBER(SEARCH(#REF!,Tabla11[[#This Row],[Cuenta]],1))</f>
        <v>0</v>
      </c>
      <c r="AS800" t="b">
        <f>+ISNUMBER(SEARCH(#REF!,Tabla11[[#This Row],[Cuenta]],1))</f>
        <v>0</v>
      </c>
      <c r="AT800" t="b">
        <f>+ISNUMBER(SEARCH(#REF!,Tabla11[[#This Row],[Cuenta]],1))</f>
        <v>0</v>
      </c>
      <c r="AU800" t="b">
        <f>+ISNUMBER(SEARCH('Conc. Ban.1'!$I$9,Tabla11[[#This Row],[Cuenta]],1))</f>
        <v>0</v>
      </c>
      <c r="AV800" t="b">
        <f>+ISNUMBER(SEARCH(CompConta!$F$21,Tabla11[[#This Row],[Cuenta]],1))</f>
        <v>1</v>
      </c>
      <c r="AW800" t="b">
        <f>+ISNUMBER(SEARCH(CompConta!$F$22,Tabla11[[#This Row],[Cuenta]],1))</f>
        <v>1</v>
      </c>
      <c r="AX800" t="b">
        <f>+ISNUMBER(SEARCH(CompConta!$F$23,Tabla11[[#This Row],[Cuenta]],1))</f>
        <v>1</v>
      </c>
      <c r="AY800" t="b">
        <f>+ISNUMBER(SEARCH(CompConta!$F$24,Tabla11[[#This Row],[Cuenta]],1))</f>
        <v>1</v>
      </c>
      <c r="AZ800" t="b">
        <f>+ISNUMBER(SEARCH(CompConta!$F$25,Tabla11[[#This Row],[Cuenta]],1))</f>
        <v>1</v>
      </c>
      <c r="BA800" t="b">
        <f>+ISNUMBER(SEARCH(CompConta!$F$26,Tabla11[[#This Row],[Cuenta]],1))</f>
        <v>1</v>
      </c>
      <c r="BB800" t="b">
        <f>+ISNUMBER(SEARCH(CompConta!$F$27,Tabla11[[#This Row],[Cuenta]],1))</f>
        <v>1</v>
      </c>
      <c r="BC800" t="b">
        <f>+ISNUMBER(SEARCH(CompConta!$F$28,Tabla11[[#This Row],[Cuenta]],1))</f>
        <v>1</v>
      </c>
      <c r="BD800" t="b">
        <f>+ISNUMBER(SEARCH(CompConta!$F$29,Tabla11[[#This Row],[Cuenta]],1))</f>
        <v>1</v>
      </c>
      <c r="BE800" t="b">
        <f>+ISNUMBER(SEARCH(CompConta!$F$30,Tabla11[[#This Row],[Cuenta]],1))</f>
        <v>1</v>
      </c>
      <c r="BF800" t="b">
        <f>+ISNUMBER(SEARCH('PAGO Compras'!$E$11,Tabla11[[#This Row],[Cuenta]],1))</f>
        <v>1</v>
      </c>
      <c r="BG800" t="b">
        <f>+ISNUMBER(SEARCH(#REF!,Tabla11[[#This Row],[Cuenta]],1))</f>
        <v>0</v>
      </c>
      <c r="BH800" t="b">
        <f>+ISNUMBER(SEARCH(#REF!,Tabla11[[#This Row],[Cuenta]],1))</f>
        <v>0</v>
      </c>
      <c r="BI800" t="b">
        <f>+ISNUMBER(SEARCH(#REF!,Tabla11[[#This Row],[Cuenta]],1))</f>
        <v>0</v>
      </c>
      <c r="BJ800" t="b">
        <f>+ISNUMBER(SEARCH(#REF!,Tabla11[[#This Row],[Cuenta]],1))</f>
        <v>0</v>
      </c>
      <c r="BS800" t="str">
        <v>511010 Revisoría fiscal</v>
      </c>
      <c r="BT800" t="str">
        <v>511010 Revisoría fiscal</v>
      </c>
      <c r="BU800" t="str">
        <v>511010 Revisoría fiscal</v>
      </c>
      <c r="BV800" t="str">
        <v>511010 Revisoría fiscal</v>
      </c>
      <c r="BZ800" t="str">
        <v>511010 Revisoría fiscal</v>
      </c>
      <c r="CA800" t="str">
        <v>511010 Revisoría fiscal</v>
      </c>
      <c r="CB800" t="str">
        <v>511010 Revisoría fiscal</v>
      </c>
      <c r="CC800" t="str">
        <v>511010 Revisoría fiscal</v>
      </c>
      <c r="CD800" t="str">
        <v>511010 Revisoría fiscal</v>
      </c>
      <c r="CE800" t="str">
        <v>511010 Revisoría fiscal</v>
      </c>
      <c r="CS800" s="141" t="str">
        <v>511010 Revisoría fiscal</v>
      </c>
      <c r="CT800" s="141" t="str">
        <v>511010 Revisoría fiscal</v>
      </c>
      <c r="CU800" s="141" t="str">
        <v>511010 Revisoría fiscal</v>
      </c>
      <c r="CV800" s="141" t="str">
        <v>511010 Revisoría fiscal</v>
      </c>
      <c r="CW800" s="141" t="str">
        <v>511010 Revisoría fiscal</v>
      </c>
      <c r="CX800" s="141" t="str">
        <v>511010 Revisoría fiscal</v>
      </c>
      <c r="CY800" s="141" t="str">
        <v>511010 Revisoría fiscal</v>
      </c>
      <c r="CZ800" s="141" t="str">
        <v>511010 Revisoría fiscal</v>
      </c>
      <c r="DA800" s="141" t="str">
        <v>511010 Revisoría fiscal</v>
      </c>
      <c r="DF800" t="str">
        <v>511010 Revisoría fiscal</v>
      </c>
      <c r="DG800" t="str">
        <v>511010 Revisoría fiscal</v>
      </c>
      <c r="DH800" t="str">
        <v>511010 Revisoría fiscal</v>
      </c>
      <c r="DI800" t="str">
        <v>511010 Revisoría fiscal</v>
      </c>
      <c r="DJ800" t="str">
        <v>511010 Revisoría fiscal</v>
      </c>
      <c r="DK800" t="str">
        <v>511010 Revisoría fiscal</v>
      </c>
      <c r="DL800" t="str">
        <v>511010 Revisoría fiscal</v>
      </c>
      <c r="DM800" t="str">
        <v>511010 Revisoría fiscal</v>
      </c>
      <c r="DN800" t="str">
        <v>511010 Revisoría fiscal</v>
      </c>
      <c r="DO800" t="str">
        <v>511010 Revisoría fiscal</v>
      </c>
      <c r="DP800" t="str">
        <v>511010 Revisoría fiscal</v>
      </c>
    </row>
    <row r="801" spans="4:120" ht="12.75">
      <c r="D801" s="7">
        <v>511015</v>
      </c>
      <c r="E801" s="6" t="s">
        <v>557</v>
      </c>
      <c r="F801" s="5">
        <v>4</v>
      </c>
      <c r="G801" s="34" t="s">
        <v>830</v>
      </c>
      <c r="H801" s="8" t="s">
        <v>32</v>
      </c>
      <c r="I801" t="b">
        <f>+ISNUMBER(SEARCH('F-COMPRA'!$F$28,Tabla11[[#This Row],[Cuenta]],1))</f>
        <v>1</v>
      </c>
      <c r="J801" t="b">
        <f>+ISNUMBER(SEARCH('F-COMPRA'!$F$29,Tabla11[[#This Row],[Cuenta]],1))</f>
        <v>1</v>
      </c>
      <c r="K801" t="b">
        <f>+ISNUMBER(SEARCH('F-COMPRA'!$F$30,Tabla11[[#This Row],[Cuenta]],1))</f>
        <v>1</v>
      </c>
      <c r="L801" t="b">
        <f>+ISNUMBER(SEARCH('F-COMPRA'!$F$31,Tabla11[[#This Row],[Cuenta]],1))</f>
        <v>1</v>
      </c>
      <c r="M801" t="b">
        <f>+ISNUMBER(SEARCH('F-COMPRA'!$G$25,Tabla11[[#This Row],[Cuenta]],1))</f>
        <v>0</v>
      </c>
      <c r="N801" t="b">
        <f>+ISNUMBER(SEARCH(#REF!,Tabla11[[#This Row],[Cuenta]],1))</f>
        <v>0</v>
      </c>
      <c r="O801" t="b">
        <f>+ISNUMBER(SEARCH(#REF!,Tabla11[[#This Row],[Cuenta]],1))</f>
        <v>0</v>
      </c>
      <c r="P801" t="b">
        <f>+ISNUMBER(SEARCH('F-COMPRA'!$F$32,Tabla11[[#This Row],[Cuenta]],1))</f>
        <v>1</v>
      </c>
      <c r="Q801" t="b">
        <f>+ISNUMBER(SEARCH('F-COMPRA'!$F$33,Tabla11[[#This Row],[Cuenta]],1))</f>
        <v>1</v>
      </c>
      <c r="R801" t="b">
        <f>+ISNUMBER(SEARCH('F-COMPRA'!$F$34,Tabla11[[#This Row],[Cuenta]],1))</f>
        <v>1</v>
      </c>
      <c r="S801" t="b">
        <f>+ISNUMBER(SEARCH('F-COMPRA'!$F$35,Tabla11[[#This Row],[Cuenta]],1))</f>
        <v>1</v>
      </c>
      <c r="T801" t="b">
        <f>+ISNUMBER(SEARCH('F-COMPRA'!$F$36,Tabla11[[#This Row],[Cuenta]],1))</f>
        <v>1</v>
      </c>
      <c r="U801" t="b">
        <f>+ISNUMBER(SEARCH('F-COMPRA'!$F$37,Tabla11[[#This Row],[Cuenta]],1))</f>
        <v>1</v>
      </c>
      <c r="V801" t="b">
        <f>+ISNUMBER(SEARCH(#REF!,Tabla11[[#This Row],[Cuenta]],1))</f>
        <v>0</v>
      </c>
      <c r="W801" t="b">
        <f>+ISNUMBER(SEARCH('F-COMPRA'!#REF!,Tabla11[[#This Row],[Cuenta]],1))</f>
        <v>0</v>
      </c>
      <c r="X801" t="b">
        <f>+ISNUMBER(SEARCH('F-COMPRA'!#REF!,Tabla11[[#This Row],[Cuenta]],1))</f>
        <v>0</v>
      </c>
      <c r="Y801" t="b">
        <f>+ISNUMBER(SEARCH('F-COMPRA'!#REF!,Tabla11[[#This Row],[Cuenta]],1))</f>
        <v>0</v>
      </c>
      <c r="Z801" t="b">
        <f>+ISNUMBER(SEARCH('F-COMPRA'!#REF!,Tabla11[[#This Row],[Cuenta]],1))</f>
        <v>0</v>
      </c>
      <c r="AA801" t="b">
        <f>+ISNUMBER(SEARCH('F-COMPRA'!#REF!,Tabla11[[#This Row],[Cuenta]],1))</f>
        <v>0</v>
      </c>
      <c r="AB801" t="b">
        <f>+ISNUMBER(SEARCH('F-COMPRA'!#REF!,Tabla11[[#This Row],[Cuenta]],1))</f>
        <v>0</v>
      </c>
      <c r="AC801" t="b">
        <f>+ISNUMBER(SEARCH('F-COMPRA'!#REF!,Tabla11[[#This Row],[Cuenta]],1))</f>
        <v>0</v>
      </c>
      <c r="AD801" t="b">
        <f>+ISNUMBER(SEARCH('F-COMPRA'!#REF!,Tabla11[[#This Row],[Cuenta]],1))</f>
        <v>0</v>
      </c>
      <c r="AE801" t="b">
        <f>+ISNUMBER(SEARCH('F-COMPRA'!#REF!,Tabla11[[#This Row],[Cuenta]],1))</f>
        <v>0</v>
      </c>
      <c r="AF801" t="b">
        <f>+ISNUMBER(SEARCH('F-VTA'!$G$23,Tabla11[[#This Row],[Cuenta]],1))</f>
        <v>0</v>
      </c>
      <c r="AG801" t="b">
        <f>+ISNUMBER(SEARCH('F-VTA'!$G$24,Tabla11[[#This Row],[Cuenta]],1))</f>
        <v>0</v>
      </c>
      <c r="AH801" t="b">
        <f>+ISNUMBER(SEARCH('F-VTA'!$G$25,Tabla11[[#This Row],[Cuenta]],1))</f>
        <v>0</v>
      </c>
      <c r="AI801" t="b">
        <f>+ISNUMBER(SEARCH('F-VTA'!$F$28,Tabla11[[#This Row],[Cuenta]],1))</f>
        <v>1</v>
      </c>
      <c r="AJ801" t="b">
        <f>+ISNUMBER(SEARCH('F-VTA'!$F$29,Tabla11[[#This Row],[Cuenta]],1))</f>
        <v>1</v>
      </c>
      <c r="AK801" t="b">
        <f>+ISNUMBER(SEARCH('F-VTA'!$F$30,Tabla11[[#This Row],[Cuenta]],1))</f>
        <v>1</v>
      </c>
      <c r="AL801" t="b">
        <f>+ISNUMBER(SEARCH('F-VTA'!$F$31,Tabla11[[#This Row],[Cuenta]],1))</f>
        <v>1</v>
      </c>
      <c r="AM801" t="b">
        <f>+ISNUMBER(SEARCH('F-VTA'!$F$32,Tabla11[[#This Row],[Cuenta]],1))</f>
        <v>1</v>
      </c>
      <c r="AN801" t="b">
        <f>+ISNUMBER(SEARCH('F-VTA'!$F$33,Tabla11[[#This Row],[Cuenta]],1))</f>
        <v>1</v>
      </c>
      <c r="AO801" t="b">
        <f>+ISNUMBER(SEARCH('F-VTA'!$F$34,Tabla11[[#This Row],[Cuenta]],1))</f>
        <v>1</v>
      </c>
      <c r="AP801" t="b">
        <f>+ISNUMBER(SEARCH('F-VTA'!$F$35,Tabla11[[#This Row],[Cuenta]],1))</f>
        <v>1</v>
      </c>
      <c r="AQ801" t="b">
        <f>+ISNUMBER(SEARCH('F-VTA'!$F$36,Tabla11[[#This Row],[Cuenta]],1))</f>
        <v>1</v>
      </c>
      <c r="AR801" t="b">
        <f>+ISNUMBER(SEARCH(#REF!,Tabla11[[#This Row],[Cuenta]],1))</f>
        <v>0</v>
      </c>
      <c r="AS801" t="b">
        <f>+ISNUMBER(SEARCH(#REF!,Tabla11[[#This Row],[Cuenta]],1))</f>
        <v>0</v>
      </c>
      <c r="AT801" t="b">
        <f>+ISNUMBER(SEARCH(#REF!,Tabla11[[#This Row],[Cuenta]],1))</f>
        <v>0</v>
      </c>
      <c r="AU801" t="b">
        <f>+ISNUMBER(SEARCH('Conc. Ban.1'!$I$9,Tabla11[[#This Row],[Cuenta]],1))</f>
        <v>0</v>
      </c>
      <c r="AV801" t="b">
        <f>+ISNUMBER(SEARCH(CompConta!$F$21,Tabla11[[#This Row],[Cuenta]],1))</f>
        <v>1</v>
      </c>
      <c r="AW801" t="b">
        <f>+ISNUMBER(SEARCH(CompConta!$F$22,Tabla11[[#This Row],[Cuenta]],1))</f>
        <v>1</v>
      </c>
      <c r="AX801" t="b">
        <f>+ISNUMBER(SEARCH(CompConta!$F$23,Tabla11[[#This Row],[Cuenta]],1))</f>
        <v>1</v>
      </c>
      <c r="AY801" t="b">
        <f>+ISNUMBER(SEARCH(CompConta!$F$24,Tabla11[[#This Row],[Cuenta]],1))</f>
        <v>1</v>
      </c>
      <c r="AZ801" t="b">
        <f>+ISNUMBER(SEARCH(CompConta!$F$25,Tabla11[[#This Row],[Cuenta]],1))</f>
        <v>1</v>
      </c>
      <c r="BA801" t="b">
        <f>+ISNUMBER(SEARCH(CompConta!$F$26,Tabla11[[#This Row],[Cuenta]],1))</f>
        <v>1</v>
      </c>
      <c r="BB801" t="b">
        <f>+ISNUMBER(SEARCH(CompConta!$F$27,Tabla11[[#This Row],[Cuenta]],1))</f>
        <v>1</v>
      </c>
      <c r="BC801" t="b">
        <f>+ISNUMBER(SEARCH(CompConta!$F$28,Tabla11[[#This Row],[Cuenta]],1))</f>
        <v>1</v>
      </c>
      <c r="BD801" t="b">
        <f>+ISNUMBER(SEARCH(CompConta!$F$29,Tabla11[[#This Row],[Cuenta]],1))</f>
        <v>1</v>
      </c>
      <c r="BE801" t="b">
        <f>+ISNUMBER(SEARCH(CompConta!$F$30,Tabla11[[#This Row],[Cuenta]],1))</f>
        <v>1</v>
      </c>
      <c r="BF801" t="b">
        <f>+ISNUMBER(SEARCH('PAGO Compras'!$E$11,Tabla11[[#This Row],[Cuenta]],1))</f>
        <v>1</v>
      </c>
      <c r="BG801" t="b">
        <f>+ISNUMBER(SEARCH(#REF!,Tabla11[[#This Row],[Cuenta]],1))</f>
        <v>0</v>
      </c>
      <c r="BH801" t="b">
        <f>+ISNUMBER(SEARCH(#REF!,Tabla11[[#This Row],[Cuenta]],1))</f>
        <v>0</v>
      </c>
      <c r="BI801" t="b">
        <f>+ISNUMBER(SEARCH(#REF!,Tabla11[[#This Row],[Cuenta]],1))</f>
        <v>0</v>
      </c>
      <c r="BJ801" t="b">
        <f>+ISNUMBER(SEARCH(#REF!,Tabla11[[#This Row],[Cuenta]],1))</f>
        <v>0</v>
      </c>
      <c r="BS801" t="str">
        <v>511015 Auditoría externa</v>
      </c>
      <c r="BT801" t="str">
        <v>511015 Auditoría externa</v>
      </c>
      <c r="BU801" t="str">
        <v>511015 Auditoría externa</v>
      </c>
      <c r="BV801" t="str">
        <v>511015 Auditoría externa</v>
      </c>
      <c r="BZ801" t="str">
        <v>511015 Auditoría externa</v>
      </c>
      <c r="CA801" t="str">
        <v>511015 Auditoría externa</v>
      </c>
      <c r="CB801" t="str">
        <v>511015 Auditoría externa</v>
      </c>
      <c r="CC801" t="str">
        <v>511015 Auditoría externa</v>
      </c>
      <c r="CD801" t="str">
        <v>511015 Auditoría externa</v>
      </c>
      <c r="CE801" t="str">
        <v>511015 Auditoría externa</v>
      </c>
      <c r="CS801" s="141" t="str">
        <v>511015 Auditoría externa</v>
      </c>
      <c r="CT801" s="141" t="str">
        <v>511015 Auditoría externa</v>
      </c>
      <c r="CU801" s="141" t="str">
        <v>511015 Auditoría externa</v>
      </c>
      <c r="CV801" s="141" t="str">
        <v>511015 Auditoría externa</v>
      </c>
      <c r="CW801" s="141" t="str">
        <v>511015 Auditoría externa</v>
      </c>
      <c r="CX801" s="141" t="str">
        <v>511015 Auditoría externa</v>
      </c>
      <c r="CY801" s="141" t="str">
        <v>511015 Auditoría externa</v>
      </c>
      <c r="CZ801" s="141" t="str">
        <v>511015 Auditoría externa</v>
      </c>
      <c r="DA801" s="141" t="str">
        <v>511015 Auditoría externa</v>
      </c>
      <c r="DF801" t="str">
        <v>511015 Auditoría externa</v>
      </c>
      <c r="DG801" t="str">
        <v>511015 Auditoría externa</v>
      </c>
      <c r="DH801" t="str">
        <v>511015 Auditoría externa</v>
      </c>
      <c r="DI801" t="str">
        <v>511015 Auditoría externa</v>
      </c>
      <c r="DJ801" t="str">
        <v>511015 Auditoría externa</v>
      </c>
      <c r="DK801" t="str">
        <v>511015 Auditoría externa</v>
      </c>
      <c r="DL801" t="str">
        <v>511015 Auditoría externa</v>
      </c>
      <c r="DM801" t="str">
        <v>511015 Auditoría externa</v>
      </c>
      <c r="DN801" t="str">
        <v>511015 Auditoría externa</v>
      </c>
      <c r="DO801" t="str">
        <v>511015 Auditoría externa</v>
      </c>
      <c r="DP801" t="str">
        <v>511015 Auditoría externa</v>
      </c>
    </row>
    <row r="802" spans="4:120" ht="12.75">
      <c r="D802" s="7">
        <v>511020</v>
      </c>
      <c r="E802" s="6" t="s">
        <v>558</v>
      </c>
      <c r="F802" s="5">
        <v>4</v>
      </c>
      <c r="G802" s="34" t="s">
        <v>830</v>
      </c>
      <c r="H802" s="8" t="s">
        <v>32</v>
      </c>
      <c r="I802" t="b">
        <f>+ISNUMBER(SEARCH('F-COMPRA'!$F$28,Tabla11[[#This Row],[Cuenta]],1))</f>
        <v>1</v>
      </c>
      <c r="J802" t="b">
        <f>+ISNUMBER(SEARCH('F-COMPRA'!$F$29,Tabla11[[#This Row],[Cuenta]],1))</f>
        <v>1</v>
      </c>
      <c r="K802" t="b">
        <f>+ISNUMBER(SEARCH('F-COMPRA'!$F$30,Tabla11[[#This Row],[Cuenta]],1))</f>
        <v>1</v>
      </c>
      <c r="L802" t="b">
        <f>+ISNUMBER(SEARCH('F-COMPRA'!$F$31,Tabla11[[#This Row],[Cuenta]],1))</f>
        <v>1</v>
      </c>
      <c r="M802" t="b">
        <f>+ISNUMBER(SEARCH('F-COMPRA'!$G$25,Tabla11[[#This Row],[Cuenta]],1))</f>
        <v>0</v>
      </c>
      <c r="N802" t="b">
        <f>+ISNUMBER(SEARCH(#REF!,Tabla11[[#This Row],[Cuenta]],1))</f>
        <v>0</v>
      </c>
      <c r="O802" t="b">
        <f>+ISNUMBER(SEARCH(#REF!,Tabla11[[#This Row],[Cuenta]],1))</f>
        <v>0</v>
      </c>
      <c r="P802" t="b">
        <f>+ISNUMBER(SEARCH('F-COMPRA'!$F$32,Tabla11[[#This Row],[Cuenta]],1))</f>
        <v>1</v>
      </c>
      <c r="Q802" t="b">
        <f>+ISNUMBER(SEARCH('F-COMPRA'!$F$33,Tabla11[[#This Row],[Cuenta]],1))</f>
        <v>1</v>
      </c>
      <c r="R802" t="b">
        <f>+ISNUMBER(SEARCH('F-COMPRA'!$F$34,Tabla11[[#This Row],[Cuenta]],1))</f>
        <v>1</v>
      </c>
      <c r="S802" t="b">
        <f>+ISNUMBER(SEARCH('F-COMPRA'!$F$35,Tabla11[[#This Row],[Cuenta]],1))</f>
        <v>1</v>
      </c>
      <c r="T802" t="b">
        <f>+ISNUMBER(SEARCH('F-COMPRA'!$F$36,Tabla11[[#This Row],[Cuenta]],1))</f>
        <v>1</v>
      </c>
      <c r="U802" t="b">
        <f>+ISNUMBER(SEARCH('F-COMPRA'!$F$37,Tabla11[[#This Row],[Cuenta]],1))</f>
        <v>1</v>
      </c>
      <c r="V802" t="b">
        <f>+ISNUMBER(SEARCH(#REF!,Tabla11[[#This Row],[Cuenta]],1))</f>
        <v>0</v>
      </c>
      <c r="W802" t="b">
        <f>+ISNUMBER(SEARCH('F-COMPRA'!#REF!,Tabla11[[#This Row],[Cuenta]],1))</f>
        <v>0</v>
      </c>
      <c r="X802" t="b">
        <f>+ISNUMBER(SEARCH('F-COMPRA'!#REF!,Tabla11[[#This Row],[Cuenta]],1))</f>
        <v>0</v>
      </c>
      <c r="Y802" t="b">
        <f>+ISNUMBER(SEARCH('F-COMPRA'!#REF!,Tabla11[[#This Row],[Cuenta]],1))</f>
        <v>0</v>
      </c>
      <c r="Z802" t="b">
        <f>+ISNUMBER(SEARCH('F-COMPRA'!#REF!,Tabla11[[#This Row],[Cuenta]],1))</f>
        <v>0</v>
      </c>
      <c r="AA802" t="b">
        <f>+ISNUMBER(SEARCH('F-COMPRA'!#REF!,Tabla11[[#This Row],[Cuenta]],1))</f>
        <v>0</v>
      </c>
      <c r="AB802" t="b">
        <f>+ISNUMBER(SEARCH('F-COMPRA'!#REF!,Tabla11[[#This Row],[Cuenta]],1))</f>
        <v>0</v>
      </c>
      <c r="AC802" t="b">
        <f>+ISNUMBER(SEARCH('F-COMPRA'!#REF!,Tabla11[[#This Row],[Cuenta]],1))</f>
        <v>0</v>
      </c>
      <c r="AD802" t="b">
        <f>+ISNUMBER(SEARCH('F-COMPRA'!#REF!,Tabla11[[#This Row],[Cuenta]],1))</f>
        <v>0</v>
      </c>
      <c r="AE802" t="b">
        <f>+ISNUMBER(SEARCH('F-COMPRA'!#REF!,Tabla11[[#This Row],[Cuenta]],1))</f>
        <v>0</v>
      </c>
      <c r="AF802" t="b">
        <f>+ISNUMBER(SEARCH('F-VTA'!$G$23,Tabla11[[#This Row],[Cuenta]],1))</f>
        <v>0</v>
      </c>
      <c r="AG802" t="b">
        <f>+ISNUMBER(SEARCH('F-VTA'!$G$24,Tabla11[[#This Row],[Cuenta]],1))</f>
        <v>0</v>
      </c>
      <c r="AH802" t="b">
        <f>+ISNUMBER(SEARCH('F-VTA'!$G$25,Tabla11[[#This Row],[Cuenta]],1))</f>
        <v>0</v>
      </c>
      <c r="AI802" t="b">
        <f>+ISNUMBER(SEARCH('F-VTA'!$F$28,Tabla11[[#This Row],[Cuenta]],1))</f>
        <v>1</v>
      </c>
      <c r="AJ802" t="b">
        <f>+ISNUMBER(SEARCH('F-VTA'!$F$29,Tabla11[[#This Row],[Cuenta]],1))</f>
        <v>1</v>
      </c>
      <c r="AK802" t="b">
        <f>+ISNUMBER(SEARCH('F-VTA'!$F$30,Tabla11[[#This Row],[Cuenta]],1))</f>
        <v>1</v>
      </c>
      <c r="AL802" t="b">
        <f>+ISNUMBER(SEARCH('F-VTA'!$F$31,Tabla11[[#This Row],[Cuenta]],1))</f>
        <v>1</v>
      </c>
      <c r="AM802" t="b">
        <f>+ISNUMBER(SEARCH('F-VTA'!$F$32,Tabla11[[#This Row],[Cuenta]],1))</f>
        <v>1</v>
      </c>
      <c r="AN802" t="b">
        <f>+ISNUMBER(SEARCH('F-VTA'!$F$33,Tabla11[[#This Row],[Cuenta]],1))</f>
        <v>1</v>
      </c>
      <c r="AO802" t="b">
        <f>+ISNUMBER(SEARCH('F-VTA'!$F$34,Tabla11[[#This Row],[Cuenta]],1))</f>
        <v>1</v>
      </c>
      <c r="AP802" t="b">
        <f>+ISNUMBER(SEARCH('F-VTA'!$F$35,Tabla11[[#This Row],[Cuenta]],1))</f>
        <v>1</v>
      </c>
      <c r="AQ802" t="b">
        <f>+ISNUMBER(SEARCH('F-VTA'!$F$36,Tabla11[[#This Row],[Cuenta]],1))</f>
        <v>1</v>
      </c>
      <c r="AR802" t="b">
        <f>+ISNUMBER(SEARCH(#REF!,Tabla11[[#This Row],[Cuenta]],1))</f>
        <v>0</v>
      </c>
      <c r="AS802" t="b">
        <f>+ISNUMBER(SEARCH(#REF!,Tabla11[[#This Row],[Cuenta]],1))</f>
        <v>0</v>
      </c>
      <c r="AT802" t="b">
        <f>+ISNUMBER(SEARCH(#REF!,Tabla11[[#This Row],[Cuenta]],1))</f>
        <v>0</v>
      </c>
      <c r="AU802" t="b">
        <f>+ISNUMBER(SEARCH('Conc. Ban.1'!$I$9,Tabla11[[#This Row],[Cuenta]],1))</f>
        <v>0</v>
      </c>
      <c r="AV802" t="b">
        <f>+ISNUMBER(SEARCH(CompConta!$F$21,Tabla11[[#This Row],[Cuenta]],1))</f>
        <v>1</v>
      </c>
      <c r="AW802" t="b">
        <f>+ISNUMBER(SEARCH(CompConta!$F$22,Tabla11[[#This Row],[Cuenta]],1))</f>
        <v>1</v>
      </c>
      <c r="AX802" t="b">
        <f>+ISNUMBER(SEARCH(CompConta!$F$23,Tabla11[[#This Row],[Cuenta]],1))</f>
        <v>1</v>
      </c>
      <c r="AY802" t="b">
        <f>+ISNUMBER(SEARCH(CompConta!$F$24,Tabla11[[#This Row],[Cuenta]],1))</f>
        <v>1</v>
      </c>
      <c r="AZ802" t="b">
        <f>+ISNUMBER(SEARCH(CompConta!$F$25,Tabla11[[#This Row],[Cuenta]],1))</f>
        <v>1</v>
      </c>
      <c r="BA802" t="b">
        <f>+ISNUMBER(SEARCH(CompConta!$F$26,Tabla11[[#This Row],[Cuenta]],1))</f>
        <v>1</v>
      </c>
      <c r="BB802" t="b">
        <f>+ISNUMBER(SEARCH(CompConta!$F$27,Tabla11[[#This Row],[Cuenta]],1))</f>
        <v>1</v>
      </c>
      <c r="BC802" t="b">
        <f>+ISNUMBER(SEARCH(CompConta!$F$28,Tabla11[[#This Row],[Cuenta]],1))</f>
        <v>1</v>
      </c>
      <c r="BD802" t="b">
        <f>+ISNUMBER(SEARCH(CompConta!$F$29,Tabla11[[#This Row],[Cuenta]],1))</f>
        <v>1</v>
      </c>
      <c r="BE802" t="b">
        <f>+ISNUMBER(SEARCH(CompConta!$F$30,Tabla11[[#This Row],[Cuenta]],1))</f>
        <v>1</v>
      </c>
      <c r="BF802" t="b">
        <f>+ISNUMBER(SEARCH('PAGO Compras'!$E$11,Tabla11[[#This Row],[Cuenta]],1))</f>
        <v>1</v>
      </c>
      <c r="BG802" t="b">
        <f>+ISNUMBER(SEARCH(#REF!,Tabla11[[#This Row],[Cuenta]],1))</f>
        <v>0</v>
      </c>
      <c r="BH802" t="b">
        <f>+ISNUMBER(SEARCH(#REF!,Tabla11[[#This Row],[Cuenta]],1))</f>
        <v>0</v>
      </c>
      <c r="BI802" t="b">
        <f>+ISNUMBER(SEARCH(#REF!,Tabla11[[#This Row],[Cuenta]],1))</f>
        <v>0</v>
      </c>
      <c r="BJ802" t="b">
        <f>+ISNUMBER(SEARCH(#REF!,Tabla11[[#This Row],[Cuenta]],1))</f>
        <v>0</v>
      </c>
      <c r="BS802" t="str">
        <v>511020 Avalúos</v>
      </c>
      <c r="BT802" t="str">
        <v>511020 Avalúos</v>
      </c>
      <c r="BU802" t="str">
        <v>511020 Avalúos</v>
      </c>
      <c r="BV802" t="str">
        <v>511020 Avalúos</v>
      </c>
      <c r="BZ802" t="str">
        <v>511020 Avalúos</v>
      </c>
      <c r="CA802" t="str">
        <v>511020 Avalúos</v>
      </c>
      <c r="CB802" t="str">
        <v>511020 Avalúos</v>
      </c>
      <c r="CC802" t="str">
        <v>511020 Avalúos</v>
      </c>
      <c r="CD802" t="str">
        <v>511020 Avalúos</v>
      </c>
      <c r="CE802" t="str">
        <v>511020 Avalúos</v>
      </c>
      <c r="CS802" s="141" t="str">
        <v>511020 Avalúos</v>
      </c>
      <c r="CT802" s="141" t="str">
        <v>511020 Avalúos</v>
      </c>
      <c r="CU802" s="141" t="str">
        <v>511020 Avalúos</v>
      </c>
      <c r="CV802" s="141" t="str">
        <v>511020 Avalúos</v>
      </c>
      <c r="CW802" s="141" t="str">
        <v>511020 Avalúos</v>
      </c>
      <c r="CX802" s="141" t="str">
        <v>511020 Avalúos</v>
      </c>
      <c r="CY802" s="141" t="str">
        <v>511020 Avalúos</v>
      </c>
      <c r="CZ802" s="141" t="str">
        <v>511020 Avalúos</v>
      </c>
      <c r="DA802" s="141" t="str">
        <v>511020 Avalúos</v>
      </c>
      <c r="DF802" t="str">
        <v>511020 Avalúos</v>
      </c>
      <c r="DG802" t="str">
        <v>511020 Avalúos</v>
      </c>
      <c r="DH802" t="str">
        <v>511020 Avalúos</v>
      </c>
      <c r="DI802" t="str">
        <v>511020 Avalúos</v>
      </c>
      <c r="DJ802" t="str">
        <v>511020 Avalúos</v>
      </c>
      <c r="DK802" t="str">
        <v>511020 Avalúos</v>
      </c>
      <c r="DL802" t="str">
        <v>511020 Avalúos</v>
      </c>
      <c r="DM802" t="str">
        <v>511020 Avalúos</v>
      </c>
      <c r="DN802" t="str">
        <v>511020 Avalúos</v>
      </c>
      <c r="DO802" t="str">
        <v>511020 Avalúos</v>
      </c>
      <c r="DP802" t="str">
        <v>511020 Avalúos</v>
      </c>
    </row>
    <row r="803" spans="4:120" ht="12.75">
      <c r="D803" s="7">
        <v>511025</v>
      </c>
      <c r="E803" s="6" t="s">
        <v>559</v>
      </c>
      <c r="F803" s="5">
        <v>4</v>
      </c>
      <c r="G803" s="34" t="s">
        <v>830</v>
      </c>
      <c r="H803" s="8" t="s">
        <v>32</v>
      </c>
      <c r="I803" t="b">
        <f>+ISNUMBER(SEARCH('F-COMPRA'!$F$28,Tabla11[[#This Row],[Cuenta]],1))</f>
        <v>1</v>
      </c>
      <c r="J803" t="b">
        <f>+ISNUMBER(SEARCH('F-COMPRA'!$F$29,Tabla11[[#This Row],[Cuenta]],1))</f>
        <v>1</v>
      </c>
      <c r="K803" t="b">
        <f>+ISNUMBER(SEARCH('F-COMPRA'!$F$30,Tabla11[[#This Row],[Cuenta]],1))</f>
        <v>1</v>
      </c>
      <c r="L803" t="b">
        <f>+ISNUMBER(SEARCH('F-COMPRA'!$F$31,Tabla11[[#This Row],[Cuenta]],1))</f>
        <v>1</v>
      </c>
      <c r="M803" t="b">
        <f>+ISNUMBER(SEARCH('F-COMPRA'!$G$25,Tabla11[[#This Row],[Cuenta]],1))</f>
        <v>0</v>
      </c>
      <c r="N803" t="b">
        <f>+ISNUMBER(SEARCH(#REF!,Tabla11[[#This Row],[Cuenta]],1))</f>
        <v>0</v>
      </c>
      <c r="O803" t="b">
        <f>+ISNUMBER(SEARCH(#REF!,Tabla11[[#This Row],[Cuenta]],1))</f>
        <v>0</v>
      </c>
      <c r="P803" t="b">
        <f>+ISNUMBER(SEARCH('F-COMPRA'!$F$32,Tabla11[[#This Row],[Cuenta]],1))</f>
        <v>1</v>
      </c>
      <c r="Q803" t="b">
        <f>+ISNUMBER(SEARCH('F-COMPRA'!$F$33,Tabla11[[#This Row],[Cuenta]],1))</f>
        <v>1</v>
      </c>
      <c r="R803" t="b">
        <f>+ISNUMBER(SEARCH('F-COMPRA'!$F$34,Tabla11[[#This Row],[Cuenta]],1))</f>
        <v>1</v>
      </c>
      <c r="S803" t="b">
        <f>+ISNUMBER(SEARCH('F-COMPRA'!$F$35,Tabla11[[#This Row],[Cuenta]],1))</f>
        <v>1</v>
      </c>
      <c r="T803" t="b">
        <f>+ISNUMBER(SEARCH('F-COMPRA'!$F$36,Tabla11[[#This Row],[Cuenta]],1))</f>
        <v>1</v>
      </c>
      <c r="U803" t="b">
        <f>+ISNUMBER(SEARCH('F-COMPRA'!$F$37,Tabla11[[#This Row],[Cuenta]],1))</f>
        <v>1</v>
      </c>
      <c r="V803" t="b">
        <f>+ISNUMBER(SEARCH(#REF!,Tabla11[[#This Row],[Cuenta]],1))</f>
        <v>0</v>
      </c>
      <c r="W803" t="b">
        <f>+ISNUMBER(SEARCH('F-COMPRA'!#REF!,Tabla11[[#This Row],[Cuenta]],1))</f>
        <v>0</v>
      </c>
      <c r="X803" t="b">
        <f>+ISNUMBER(SEARCH('F-COMPRA'!#REF!,Tabla11[[#This Row],[Cuenta]],1))</f>
        <v>0</v>
      </c>
      <c r="Y803" t="b">
        <f>+ISNUMBER(SEARCH('F-COMPRA'!#REF!,Tabla11[[#This Row],[Cuenta]],1))</f>
        <v>0</v>
      </c>
      <c r="Z803" t="b">
        <f>+ISNUMBER(SEARCH('F-COMPRA'!#REF!,Tabla11[[#This Row],[Cuenta]],1))</f>
        <v>0</v>
      </c>
      <c r="AA803" t="b">
        <f>+ISNUMBER(SEARCH('F-COMPRA'!#REF!,Tabla11[[#This Row],[Cuenta]],1))</f>
        <v>0</v>
      </c>
      <c r="AB803" t="b">
        <f>+ISNUMBER(SEARCH('F-COMPRA'!#REF!,Tabla11[[#This Row],[Cuenta]],1))</f>
        <v>0</v>
      </c>
      <c r="AC803" t="b">
        <f>+ISNUMBER(SEARCH('F-COMPRA'!#REF!,Tabla11[[#This Row],[Cuenta]],1))</f>
        <v>0</v>
      </c>
      <c r="AD803" t="b">
        <f>+ISNUMBER(SEARCH('F-COMPRA'!#REF!,Tabla11[[#This Row],[Cuenta]],1))</f>
        <v>0</v>
      </c>
      <c r="AE803" t="b">
        <f>+ISNUMBER(SEARCH('F-COMPRA'!#REF!,Tabla11[[#This Row],[Cuenta]],1))</f>
        <v>0</v>
      </c>
      <c r="AF803" t="b">
        <f>+ISNUMBER(SEARCH('F-VTA'!$G$23,Tabla11[[#This Row],[Cuenta]],1))</f>
        <v>0</v>
      </c>
      <c r="AG803" t="b">
        <f>+ISNUMBER(SEARCH('F-VTA'!$G$24,Tabla11[[#This Row],[Cuenta]],1))</f>
        <v>0</v>
      </c>
      <c r="AH803" t="b">
        <f>+ISNUMBER(SEARCH('F-VTA'!$G$25,Tabla11[[#This Row],[Cuenta]],1))</f>
        <v>0</v>
      </c>
      <c r="AI803" t="b">
        <f>+ISNUMBER(SEARCH('F-VTA'!$F$28,Tabla11[[#This Row],[Cuenta]],1))</f>
        <v>1</v>
      </c>
      <c r="AJ803" t="b">
        <f>+ISNUMBER(SEARCH('F-VTA'!$F$29,Tabla11[[#This Row],[Cuenta]],1))</f>
        <v>1</v>
      </c>
      <c r="AK803" t="b">
        <f>+ISNUMBER(SEARCH('F-VTA'!$F$30,Tabla11[[#This Row],[Cuenta]],1))</f>
        <v>1</v>
      </c>
      <c r="AL803" t="b">
        <f>+ISNUMBER(SEARCH('F-VTA'!$F$31,Tabla11[[#This Row],[Cuenta]],1))</f>
        <v>1</v>
      </c>
      <c r="AM803" t="b">
        <f>+ISNUMBER(SEARCH('F-VTA'!$F$32,Tabla11[[#This Row],[Cuenta]],1))</f>
        <v>1</v>
      </c>
      <c r="AN803" t="b">
        <f>+ISNUMBER(SEARCH('F-VTA'!$F$33,Tabla11[[#This Row],[Cuenta]],1))</f>
        <v>1</v>
      </c>
      <c r="AO803" t="b">
        <f>+ISNUMBER(SEARCH('F-VTA'!$F$34,Tabla11[[#This Row],[Cuenta]],1))</f>
        <v>1</v>
      </c>
      <c r="AP803" t="b">
        <f>+ISNUMBER(SEARCH('F-VTA'!$F$35,Tabla11[[#This Row],[Cuenta]],1))</f>
        <v>1</v>
      </c>
      <c r="AQ803" t="b">
        <f>+ISNUMBER(SEARCH('F-VTA'!$F$36,Tabla11[[#This Row],[Cuenta]],1))</f>
        <v>1</v>
      </c>
      <c r="AR803" t="b">
        <f>+ISNUMBER(SEARCH(#REF!,Tabla11[[#This Row],[Cuenta]],1))</f>
        <v>0</v>
      </c>
      <c r="AS803" t="b">
        <f>+ISNUMBER(SEARCH(#REF!,Tabla11[[#This Row],[Cuenta]],1))</f>
        <v>0</v>
      </c>
      <c r="AT803" t="b">
        <f>+ISNUMBER(SEARCH(#REF!,Tabla11[[#This Row],[Cuenta]],1))</f>
        <v>0</v>
      </c>
      <c r="AU803" t="b">
        <f>+ISNUMBER(SEARCH('Conc. Ban.1'!$I$9,Tabla11[[#This Row],[Cuenta]],1))</f>
        <v>0</v>
      </c>
      <c r="AV803" t="b">
        <f>+ISNUMBER(SEARCH(CompConta!$F$21,Tabla11[[#This Row],[Cuenta]],1))</f>
        <v>1</v>
      </c>
      <c r="AW803" t="b">
        <f>+ISNUMBER(SEARCH(CompConta!$F$22,Tabla11[[#This Row],[Cuenta]],1))</f>
        <v>1</v>
      </c>
      <c r="AX803" t="b">
        <f>+ISNUMBER(SEARCH(CompConta!$F$23,Tabla11[[#This Row],[Cuenta]],1))</f>
        <v>1</v>
      </c>
      <c r="AY803" t="b">
        <f>+ISNUMBER(SEARCH(CompConta!$F$24,Tabla11[[#This Row],[Cuenta]],1))</f>
        <v>1</v>
      </c>
      <c r="AZ803" t="b">
        <f>+ISNUMBER(SEARCH(CompConta!$F$25,Tabla11[[#This Row],[Cuenta]],1))</f>
        <v>1</v>
      </c>
      <c r="BA803" t="b">
        <f>+ISNUMBER(SEARCH(CompConta!$F$26,Tabla11[[#This Row],[Cuenta]],1))</f>
        <v>1</v>
      </c>
      <c r="BB803" t="b">
        <f>+ISNUMBER(SEARCH(CompConta!$F$27,Tabla11[[#This Row],[Cuenta]],1))</f>
        <v>1</v>
      </c>
      <c r="BC803" t="b">
        <f>+ISNUMBER(SEARCH(CompConta!$F$28,Tabla11[[#This Row],[Cuenta]],1))</f>
        <v>1</v>
      </c>
      <c r="BD803" t="b">
        <f>+ISNUMBER(SEARCH(CompConta!$F$29,Tabla11[[#This Row],[Cuenta]],1))</f>
        <v>1</v>
      </c>
      <c r="BE803" t="b">
        <f>+ISNUMBER(SEARCH(CompConta!$F$30,Tabla11[[#This Row],[Cuenta]],1))</f>
        <v>1</v>
      </c>
      <c r="BF803" t="b">
        <f>+ISNUMBER(SEARCH('PAGO Compras'!$E$11,Tabla11[[#This Row],[Cuenta]],1))</f>
        <v>1</v>
      </c>
      <c r="BG803" t="b">
        <f>+ISNUMBER(SEARCH(#REF!,Tabla11[[#This Row],[Cuenta]],1))</f>
        <v>0</v>
      </c>
      <c r="BH803" t="b">
        <f>+ISNUMBER(SEARCH(#REF!,Tabla11[[#This Row],[Cuenta]],1))</f>
        <v>0</v>
      </c>
      <c r="BI803" t="b">
        <f>+ISNUMBER(SEARCH(#REF!,Tabla11[[#This Row],[Cuenta]],1))</f>
        <v>0</v>
      </c>
      <c r="BJ803" t="b">
        <f>+ISNUMBER(SEARCH(#REF!,Tabla11[[#This Row],[Cuenta]],1))</f>
        <v>0</v>
      </c>
      <c r="BS803" t="str">
        <v>511025 Asesoría jurídica</v>
      </c>
      <c r="BT803" t="str">
        <v>511025 Asesoría jurídica</v>
      </c>
      <c r="BU803" t="str">
        <v>511025 Asesoría jurídica</v>
      </c>
      <c r="BV803" t="str">
        <v>511025 Asesoría jurídica</v>
      </c>
      <c r="BZ803" t="str">
        <v>511025 Asesoría jurídica</v>
      </c>
      <c r="CA803" t="str">
        <v>511025 Asesoría jurídica</v>
      </c>
      <c r="CB803" t="str">
        <v>511025 Asesoría jurídica</v>
      </c>
      <c r="CC803" t="str">
        <v>511025 Asesoría jurídica</v>
      </c>
      <c r="CD803" t="str">
        <v>511025 Asesoría jurídica</v>
      </c>
      <c r="CE803" t="str">
        <v>511025 Asesoría jurídica</v>
      </c>
      <c r="CS803" s="141" t="str">
        <v>511025 Asesoría jurídica</v>
      </c>
      <c r="CT803" s="141" t="str">
        <v>511025 Asesoría jurídica</v>
      </c>
      <c r="CU803" s="141" t="str">
        <v>511025 Asesoría jurídica</v>
      </c>
      <c r="CV803" s="141" t="str">
        <v>511025 Asesoría jurídica</v>
      </c>
      <c r="CW803" s="141" t="str">
        <v>511025 Asesoría jurídica</v>
      </c>
      <c r="CX803" s="141" t="str">
        <v>511025 Asesoría jurídica</v>
      </c>
      <c r="CY803" s="141" t="str">
        <v>511025 Asesoría jurídica</v>
      </c>
      <c r="CZ803" s="141" t="str">
        <v>511025 Asesoría jurídica</v>
      </c>
      <c r="DA803" s="141" t="str">
        <v>511025 Asesoría jurídica</v>
      </c>
      <c r="DF803" t="str">
        <v>511025 Asesoría jurídica</v>
      </c>
      <c r="DG803" t="str">
        <v>511025 Asesoría jurídica</v>
      </c>
      <c r="DH803" t="str">
        <v>511025 Asesoría jurídica</v>
      </c>
      <c r="DI803" t="str">
        <v>511025 Asesoría jurídica</v>
      </c>
      <c r="DJ803" t="str">
        <v>511025 Asesoría jurídica</v>
      </c>
      <c r="DK803" t="str">
        <v>511025 Asesoría jurídica</v>
      </c>
      <c r="DL803" t="str">
        <v>511025 Asesoría jurídica</v>
      </c>
      <c r="DM803" t="str">
        <v>511025 Asesoría jurídica</v>
      </c>
      <c r="DN803" t="str">
        <v>511025 Asesoría jurídica</v>
      </c>
      <c r="DO803" t="str">
        <v>511025 Asesoría jurídica</v>
      </c>
      <c r="DP803" t="str">
        <v>511025 Asesoría jurídica</v>
      </c>
    </row>
    <row r="804" spans="4:120" ht="12.75">
      <c r="D804" s="7">
        <v>511030</v>
      </c>
      <c r="E804" s="6" t="s">
        <v>560</v>
      </c>
      <c r="F804" s="5">
        <v>4</v>
      </c>
      <c r="G804" s="34" t="s">
        <v>830</v>
      </c>
      <c r="H804" s="8" t="s">
        <v>32</v>
      </c>
      <c r="I804" t="b">
        <f>+ISNUMBER(SEARCH('F-COMPRA'!$F$28,Tabla11[[#This Row],[Cuenta]],1))</f>
        <v>1</v>
      </c>
      <c r="J804" t="b">
        <f>+ISNUMBER(SEARCH('F-COMPRA'!$F$29,Tabla11[[#This Row],[Cuenta]],1))</f>
        <v>1</v>
      </c>
      <c r="K804" t="b">
        <f>+ISNUMBER(SEARCH('F-COMPRA'!$F$30,Tabla11[[#This Row],[Cuenta]],1))</f>
        <v>1</v>
      </c>
      <c r="L804" t="b">
        <f>+ISNUMBER(SEARCH('F-COMPRA'!$F$31,Tabla11[[#This Row],[Cuenta]],1))</f>
        <v>1</v>
      </c>
      <c r="M804" t="b">
        <f>+ISNUMBER(SEARCH('F-COMPRA'!$G$25,Tabla11[[#This Row],[Cuenta]],1))</f>
        <v>0</v>
      </c>
      <c r="N804" t="b">
        <f>+ISNUMBER(SEARCH(#REF!,Tabla11[[#This Row],[Cuenta]],1))</f>
        <v>0</v>
      </c>
      <c r="O804" t="b">
        <f>+ISNUMBER(SEARCH(#REF!,Tabla11[[#This Row],[Cuenta]],1))</f>
        <v>0</v>
      </c>
      <c r="P804" t="b">
        <f>+ISNUMBER(SEARCH('F-COMPRA'!$F$32,Tabla11[[#This Row],[Cuenta]],1))</f>
        <v>1</v>
      </c>
      <c r="Q804" t="b">
        <f>+ISNUMBER(SEARCH('F-COMPRA'!$F$33,Tabla11[[#This Row],[Cuenta]],1))</f>
        <v>1</v>
      </c>
      <c r="R804" t="b">
        <f>+ISNUMBER(SEARCH('F-COMPRA'!$F$34,Tabla11[[#This Row],[Cuenta]],1))</f>
        <v>1</v>
      </c>
      <c r="S804" t="b">
        <f>+ISNUMBER(SEARCH('F-COMPRA'!$F$35,Tabla11[[#This Row],[Cuenta]],1))</f>
        <v>1</v>
      </c>
      <c r="T804" t="b">
        <f>+ISNUMBER(SEARCH('F-COMPRA'!$F$36,Tabla11[[#This Row],[Cuenta]],1))</f>
        <v>1</v>
      </c>
      <c r="U804" t="b">
        <f>+ISNUMBER(SEARCH('F-COMPRA'!$F$37,Tabla11[[#This Row],[Cuenta]],1))</f>
        <v>1</v>
      </c>
      <c r="V804" t="b">
        <f>+ISNUMBER(SEARCH(#REF!,Tabla11[[#This Row],[Cuenta]],1))</f>
        <v>0</v>
      </c>
      <c r="W804" t="b">
        <f>+ISNUMBER(SEARCH('F-COMPRA'!#REF!,Tabla11[[#This Row],[Cuenta]],1))</f>
        <v>0</v>
      </c>
      <c r="X804" t="b">
        <f>+ISNUMBER(SEARCH('F-COMPRA'!#REF!,Tabla11[[#This Row],[Cuenta]],1))</f>
        <v>0</v>
      </c>
      <c r="Y804" t="b">
        <f>+ISNUMBER(SEARCH('F-COMPRA'!#REF!,Tabla11[[#This Row],[Cuenta]],1))</f>
        <v>0</v>
      </c>
      <c r="Z804" t="b">
        <f>+ISNUMBER(SEARCH('F-COMPRA'!#REF!,Tabla11[[#This Row],[Cuenta]],1))</f>
        <v>0</v>
      </c>
      <c r="AA804" t="b">
        <f>+ISNUMBER(SEARCH('F-COMPRA'!#REF!,Tabla11[[#This Row],[Cuenta]],1))</f>
        <v>0</v>
      </c>
      <c r="AB804" t="b">
        <f>+ISNUMBER(SEARCH('F-COMPRA'!#REF!,Tabla11[[#This Row],[Cuenta]],1))</f>
        <v>0</v>
      </c>
      <c r="AC804" t="b">
        <f>+ISNUMBER(SEARCH('F-COMPRA'!#REF!,Tabla11[[#This Row],[Cuenta]],1))</f>
        <v>0</v>
      </c>
      <c r="AD804" t="b">
        <f>+ISNUMBER(SEARCH('F-COMPRA'!#REF!,Tabla11[[#This Row],[Cuenta]],1))</f>
        <v>0</v>
      </c>
      <c r="AE804" t="b">
        <f>+ISNUMBER(SEARCH('F-COMPRA'!#REF!,Tabla11[[#This Row],[Cuenta]],1))</f>
        <v>0</v>
      </c>
      <c r="AF804" t="b">
        <f>+ISNUMBER(SEARCH('F-VTA'!$G$23,Tabla11[[#This Row],[Cuenta]],1))</f>
        <v>0</v>
      </c>
      <c r="AG804" t="b">
        <f>+ISNUMBER(SEARCH('F-VTA'!$G$24,Tabla11[[#This Row],[Cuenta]],1))</f>
        <v>0</v>
      </c>
      <c r="AH804" t="b">
        <f>+ISNUMBER(SEARCH('F-VTA'!$G$25,Tabla11[[#This Row],[Cuenta]],1))</f>
        <v>0</v>
      </c>
      <c r="AI804" t="b">
        <f>+ISNUMBER(SEARCH('F-VTA'!$F$28,Tabla11[[#This Row],[Cuenta]],1))</f>
        <v>1</v>
      </c>
      <c r="AJ804" t="b">
        <f>+ISNUMBER(SEARCH('F-VTA'!$F$29,Tabla11[[#This Row],[Cuenta]],1))</f>
        <v>1</v>
      </c>
      <c r="AK804" t="b">
        <f>+ISNUMBER(SEARCH('F-VTA'!$F$30,Tabla11[[#This Row],[Cuenta]],1))</f>
        <v>1</v>
      </c>
      <c r="AL804" t="b">
        <f>+ISNUMBER(SEARCH('F-VTA'!$F$31,Tabla11[[#This Row],[Cuenta]],1))</f>
        <v>1</v>
      </c>
      <c r="AM804" t="b">
        <f>+ISNUMBER(SEARCH('F-VTA'!$F$32,Tabla11[[#This Row],[Cuenta]],1))</f>
        <v>1</v>
      </c>
      <c r="AN804" t="b">
        <f>+ISNUMBER(SEARCH('F-VTA'!$F$33,Tabla11[[#This Row],[Cuenta]],1))</f>
        <v>1</v>
      </c>
      <c r="AO804" t="b">
        <f>+ISNUMBER(SEARCH('F-VTA'!$F$34,Tabla11[[#This Row],[Cuenta]],1))</f>
        <v>1</v>
      </c>
      <c r="AP804" t="b">
        <f>+ISNUMBER(SEARCH('F-VTA'!$F$35,Tabla11[[#This Row],[Cuenta]],1))</f>
        <v>1</v>
      </c>
      <c r="AQ804" t="b">
        <f>+ISNUMBER(SEARCH('F-VTA'!$F$36,Tabla11[[#This Row],[Cuenta]],1))</f>
        <v>1</v>
      </c>
      <c r="AR804" t="b">
        <f>+ISNUMBER(SEARCH(#REF!,Tabla11[[#This Row],[Cuenta]],1))</f>
        <v>0</v>
      </c>
      <c r="AS804" t="b">
        <f>+ISNUMBER(SEARCH(#REF!,Tabla11[[#This Row],[Cuenta]],1))</f>
        <v>0</v>
      </c>
      <c r="AT804" t="b">
        <f>+ISNUMBER(SEARCH(#REF!,Tabla11[[#This Row],[Cuenta]],1))</f>
        <v>0</v>
      </c>
      <c r="AU804" t="b">
        <f>+ISNUMBER(SEARCH('Conc. Ban.1'!$I$9,Tabla11[[#This Row],[Cuenta]],1))</f>
        <v>0</v>
      </c>
      <c r="AV804" t="b">
        <f>+ISNUMBER(SEARCH(CompConta!$F$21,Tabla11[[#This Row],[Cuenta]],1))</f>
        <v>1</v>
      </c>
      <c r="AW804" t="b">
        <f>+ISNUMBER(SEARCH(CompConta!$F$22,Tabla11[[#This Row],[Cuenta]],1))</f>
        <v>1</v>
      </c>
      <c r="AX804" t="b">
        <f>+ISNUMBER(SEARCH(CompConta!$F$23,Tabla11[[#This Row],[Cuenta]],1))</f>
        <v>1</v>
      </c>
      <c r="AY804" t="b">
        <f>+ISNUMBER(SEARCH(CompConta!$F$24,Tabla11[[#This Row],[Cuenta]],1))</f>
        <v>1</v>
      </c>
      <c r="AZ804" t="b">
        <f>+ISNUMBER(SEARCH(CompConta!$F$25,Tabla11[[#This Row],[Cuenta]],1))</f>
        <v>1</v>
      </c>
      <c r="BA804" t="b">
        <f>+ISNUMBER(SEARCH(CompConta!$F$26,Tabla11[[#This Row],[Cuenta]],1))</f>
        <v>1</v>
      </c>
      <c r="BB804" t="b">
        <f>+ISNUMBER(SEARCH(CompConta!$F$27,Tabla11[[#This Row],[Cuenta]],1))</f>
        <v>1</v>
      </c>
      <c r="BC804" t="b">
        <f>+ISNUMBER(SEARCH(CompConta!$F$28,Tabla11[[#This Row],[Cuenta]],1))</f>
        <v>1</v>
      </c>
      <c r="BD804" t="b">
        <f>+ISNUMBER(SEARCH(CompConta!$F$29,Tabla11[[#This Row],[Cuenta]],1))</f>
        <v>1</v>
      </c>
      <c r="BE804" t="b">
        <f>+ISNUMBER(SEARCH(CompConta!$F$30,Tabla11[[#This Row],[Cuenta]],1))</f>
        <v>1</v>
      </c>
      <c r="BF804" t="b">
        <f>+ISNUMBER(SEARCH('PAGO Compras'!$E$11,Tabla11[[#This Row],[Cuenta]],1))</f>
        <v>1</v>
      </c>
      <c r="BG804" t="b">
        <f>+ISNUMBER(SEARCH(#REF!,Tabla11[[#This Row],[Cuenta]],1))</f>
        <v>0</v>
      </c>
      <c r="BH804" t="b">
        <f>+ISNUMBER(SEARCH(#REF!,Tabla11[[#This Row],[Cuenta]],1))</f>
        <v>0</v>
      </c>
      <c r="BI804" t="b">
        <f>+ISNUMBER(SEARCH(#REF!,Tabla11[[#This Row],[Cuenta]],1))</f>
        <v>0</v>
      </c>
      <c r="BJ804" t="b">
        <f>+ISNUMBER(SEARCH(#REF!,Tabla11[[#This Row],[Cuenta]],1))</f>
        <v>0</v>
      </c>
      <c r="BS804" t="str">
        <v>511030 Asesoría financiera</v>
      </c>
      <c r="BT804" t="str">
        <v>511030 Asesoría financiera</v>
      </c>
      <c r="BU804" t="str">
        <v>511030 Asesoría financiera</v>
      </c>
      <c r="BV804" t="str">
        <v>511030 Asesoría financiera</v>
      </c>
      <c r="BZ804" t="str">
        <v>511030 Asesoría financiera</v>
      </c>
      <c r="CA804" t="str">
        <v>511030 Asesoría financiera</v>
      </c>
      <c r="CB804" t="str">
        <v>511030 Asesoría financiera</v>
      </c>
      <c r="CC804" t="str">
        <v>511030 Asesoría financiera</v>
      </c>
      <c r="CD804" t="str">
        <v>511030 Asesoría financiera</v>
      </c>
      <c r="CE804" t="str">
        <v>511030 Asesoría financiera</v>
      </c>
      <c r="CS804" s="141" t="str">
        <v>511030 Asesoría financiera</v>
      </c>
      <c r="CT804" s="141" t="str">
        <v>511030 Asesoría financiera</v>
      </c>
      <c r="CU804" s="141" t="str">
        <v>511030 Asesoría financiera</v>
      </c>
      <c r="CV804" s="141" t="str">
        <v>511030 Asesoría financiera</v>
      </c>
      <c r="CW804" s="141" t="str">
        <v>511030 Asesoría financiera</v>
      </c>
      <c r="CX804" s="141" t="str">
        <v>511030 Asesoría financiera</v>
      </c>
      <c r="CY804" s="141" t="str">
        <v>511030 Asesoría financiera</v>
      </c>
      <c r="CZ804" s="141" t="str">
        <v>511030 Asesoría financiera</v>
      </c>
      <c r="DA804" s="141" t="str">
        <v>511030 Asesoría financiera</v>
      </c>
      <c r="DF804" t="str">
        <v>511030 Asesoría financiera</v>
      </c>
      <c r="DG804" t="str">
        <v>511030 Asesoría financiera</v>
      </c>
      <c r="DH804" t="str">
        <v>511030 Asesoría financiera</v>
      </c>
      <c r="DI804" t="str">
        <v>511030 Asesoría financiera</v>
      </c>
      <c r="DJ804" t="str">
        <v>511030 Asesoría financiera</v>
      </c>
      <c r="DK804" t="str">
        <v>511030 Asesoría financiera</v>
      </c>
      <c r="DL804" t="str">
        <v>511030 Asesoría financiera</v>
      </c>
      <c r="DM804" t="str">
        <v>511030 Asesoría financiera</v>
      </c>
      <c r="DN804" t="str">
        <v>511030 Asesoría financiera</v>
      </c>
      <c r="DO804" t="str">
        <v>511030 Asesoría financiera</v>
      </c>
      <c r="DP804" t="str">
        <v>511030 Asesoría financiera</v>
      </c>
    </row>
    <row r="805" spans="4:120" ht="12.75">
      <c r="D805" s="7">
        <v>511035</v>
      </c>
      <c r="E805" s="6" t="s">
        <v>561</v>
      </c>
      <c r="F805" s="5">
        <v>4</v>
      </c>
      <c r="G805" s="34" t="s">
        <v>830</v>
      </c>
      <c r="H805" s="8" t="s">
        <v>32</v>
      </c>
      <c r="I805" t="b">
        <f>+ISNUMBER(SEARCH('F-COMPRA'!$F$28,Tabla11[[#This Row],[Cuenta]],1))</f>
        <v>1</v>
      </c>
      <c r="J805" t="b">
        <f>+ISNUMBER(SEARCH('F-COMPRA'!$F$29,Tabla11[[#This Row],[Cuenta]],1))</f>
        <v>1</v>
      </c>
      <c r="K805" t="b">
        <f>+ISNUMBER(SEARCH('F-COMPRA'!$F$30,Tabla11[[#This Row],[Cuenta]],1))</f>
        <v>1</v>
      </c>
      <c r="L805" t="b">
        <f>+ISNUMBER(SEARCH('F-COMPRA'!$F$31,Tabla11[[#This Row],[Cuenta]],1))</f>
        <v>1</v>
      </c>
      <c r="M805" t="b">
        <f>+ISNUMBER(SEARCH('F-COMPRA'!$G$25,Tabla11[[#This Row],[Cuenta]],1))</f>
        <v>0</v>
      </c>
      <c r="N805" t="b">
        <f>+ISNUMBER(SEARCH(#REF!,Tabla11[[#This Row],[Cuenta]],1))</f>
        <v>0</v>
      </c>
      <c r="O805" t="b">
        <f>+ISNUMBER(SEARCH(#REF!,Tabla11[[#This Row],[Cuenta]],1))</f>
        <v>0</v>
      </c>
      <c r="P805" t="b">
        <f>+ISNUMBER(SEARCH('F-COMPRA'!$F$32,Tabla11[[#This Row],[Cuenta]],1))</f>
        <v>1</v>
      </c>
      <c r="Q805" t="b">
        <f>+ISNUMBER(SEARCH('F-COMPRA'!$F$33,Tabla11[[#This Row],[Cuenta]],1))</f>
        <v>1</v>
      </c>
      <c r="R805" t="b">
        <f>+ISNUMBER(SEARCH('F-COMPRA'!$F$34,Tabla11[[#This Row],[Cuenta]],1))</f>
        <v>1</v>
      </c>
      <c r="S805" t="b">
        <f>+ISNUMBER(SEARCH('F-COMPRA'!$F$35,Tabla11[[#This Row],[Cuenta]],1))</f>
        <v>1</v>
      </c>
      <c r="T805" t="b">
        <f>+ISNUMBER(SEARCH('F-COMPRA'!$F$36,Tabla11[[#This Row],[Cuenta]],1))</f>
        <v>1</v>
      </c>
      <c r="U805" t="b">
        <f>+ISNUMBER(SEARCH('F-COMPRA'!$F$37,Tabla11[[#This Row],[Cuenta]],1))</f>
        <v>1</v>
      </c>
      <c r="V805" t="b">
        <f>+ISNUMBER(SEARCH(#REF!,Tabla11[[#This Row],[Cuenta]],1))</f>
        <v>0</v>
      </c>
      <c r="W805" t="b">
        <f>+ISNUMBER(SEARCH('F-COMPRA'!#REF!,Tabla11[[#This Row],[Cuenta]],1))</f>
        <v>0</v>
      </c>
      <c r="X805" t="b">
        <f>+ISNUMBER(SEARCH('F-COMPRA'!#REF!,Tabla11[[#This Row],[Cuenta]],1))</f>
        <v>0</v>
      </c>
      <c r="Y805" t="b">
        <f>+ISNUMBER(SEARCH('F-COMPRA'!#REF!,Tabla11[[#This Row],[Cuenta]],1))</f>
        <v>0</v>
      </c>
      <c r="Z805" t="b">
        <f>+ISNUMBER(SEARCH('F-COMPRA'!#REF!,Tabla11[[#This Row],[Cuenta]],1))</f>
        <v>0</v>
      </c>
      <c r="AA805" t="b">
        <f>+ISNUMBER(SEARCH('F-COMPRA'!#REF!,Tabla11[[#This Row],[Cuenta]],1))</f>
        <v>0</v>
      </c>
      <c r="AB805" t="b">
        <f>+ISNUMBER(SEARCH('F-COMPRA'!#REF!,Tabla11[[#This Row],[Cuenta]],1))</f>
        <v>0</v>
      </c>
      <c r="AC805" t="b">
        <f>+ISNUMBER(SEARCH('F-COMPRA'!#REF!,Tabla11[[#This Row],[Cuenta]],1))</f>
        <v>0</v>
      </c>
      <c r="AD805" t="b">
        <f>+ISNUMBER(SEARCH('F-COMPRA'!#REF!,Tabla11[[#This Row],[Cuenta]],1))</f>
        <v>0</v>
      </c>
      <c r="AE805" t="b">
        <f>+ISNUMBER(SEARCH('F-COMPRA'!#REF!,Tabla11[[#This Row],[Cuenta]],1))</f>
        <v>0</v>
      </c>
      <c r="AF805" t="b">
        <f>+ISNUMBER(SEARCH('F-VTA'!$G$23,Tabla11[[#This Row],[Cuenta]],1))</f>
        <v>0</v>
      </c>
      <c r="AG805" t="b">
        <f>+ISNUMBER(SEARCH('F-VTA'!$G$24,Tabla11[[#This Row],[Cuenta]],1))</f>
        <v>0</v>
      </c>
      <c r="AH805" t="b">
        <f>+ISNUMBER(SEARCH('F-VTA'!$G$25,Tabla11[[#This Row],[Cuenta]],1))</f>
        <v>0</v>
      </c>
      <c r="AI805" t="b">
        <f>+ISNUMBER(SEARCH('F-VTA'!$F$28,Tabla11[[#This Row],[Cuenta]],1))</f>
        <v>1</v>
      </c>
      <c r="AJ805" t="b">
        <f>+ISNUMBER(SEARCH('F-VTA'!$F$29,Tabla11[[#This Row],[Cuenta]],1))</f>
        <v>1</v>
      </c>
      <c r="AK805" t="b">
        <f>+ISNUMBER(SEARCH('F-VTA'!$F$30,Tabla11[[#This Row],[Cuenta]],1))</f>
        <v>1</v>
      </c>
      <c r="AL805" t="b">
        <f>+ISNUMBER(SEARCH('F-VTA'!$F$31,Tabla11[[#This Row],[Cuenta]],1))</f>
        <v>1</v>
      </c>
      <c r="AM805" t="b">
        <f>+ISNUMBER(SEARCH('F-VTA'!$F$32,Tabla11[[#This Row],[Cuenta]],1))</f>
        <v>1</v>
      </c>
      <c r="AN805" t="b">
        <f>+ISNUMBER(SEARCH('F-VTA'!$F$33,Tabla11[[#This Row],[Cuenta]],1))</f>
        <v>1</v>
      </c>
      <c r="AO805" t="b">
        <f>+ISNUMBER(SEARCH('F-VTA'!$F$34,Tabla11[[#This Row],[Cuenta]],1))</f>
        <v>1</v>
      </c>
      <c r="AP805" t="b">
        <f>+ISNUMBER(SEARCH('F-VTA'!$F$35,Tabla11[[#This Row],[Cuenta]],1))</f>
        <v>1</v>
      </c>
      <c r="AQ805" t="b">
        <f>+ISNUMBER(SEARCH('F-VTA'!$F$36,Tabla11[[#This Row],[Cuenta]],1))</f>
        <v>1</v>
      </c>
      <c r="AR805" t="b">
        <f>+ISNUMBER(SEARCH(#REF!,Tabla11[[#This Row],[Cuenta]],1))</f>
        <v>0</v>
      </c>
      <c r="AS805" t="b">
        <f>+ISNUMBER(SEARCH(#REF!,Tabla11[[#This Row],[Cuenta]],1))</f>
        <v>0</v>
      </c>
      <c r="AT805" t="b">
        <f>+ISNUMBER(SEARCH(#REF!,Tabla11[[#This Row],[Cuenta]],1))</f>
        <v>0</v>
      </c>
      <c r="AU805" t="b">
        <f>+ISNUMBER(SEARCH('Conc. Ban.1'!$I$9,Tabla11[[#This Row],[Cuenta]],1))</f>
        <v>0</v>
      </c>
      <c r="AV805" t="b">
        <f>+ISNUMBER(SEARCH(CompConta!$F$21,Tabla11[[#This Row],[Cuenta]],1))</f>
        <v>1</v>
      </c>
      <c r="AW805" t="b">
        <f>+ISNUMBER(SEARCH(CompConta!$F$22,Tabla11[[#This Row],[Cuenta]],1))</f>
        <v>1</v>
      </c>
      <c r="AX805" t="b">
        <f>+ISNUMBER(SEARCH(CompConta!$F$23,Tabla11[[#This Row],[Cuenta]],1))</f>
        <v>1</v>
      </c>
      <c r="AY805" t="b">
        <f>+ISNUMBER(SEARCH(CompConta!$F$24,Tabla11[[#This Row],[Cuenta]],1))</f>
        <v>1</v>
      </c>
      <c r="AZ805" t="b">
        <f>+ISNUMBER(SEARCH(CompConta!$F$25,Tabla11[[#This Row],[Cuenta]],1))</f>
        <v>1</v>
      </c>
      <c r="BA805" t="b">
        <f>+ISNUMBER(SEARCH(CompConta!$F$26,Tabla11[[#This Row],[Cuenta]],1))</f>
        <v>1</v>
      </c>
      <c r="BB805" t="b">
        <f>+ISNUMBER(SEARCH(CompConta!$F$27,Tabla11[[#This Row],[Cuenta]],1))</f>
        <v>1</v>
      </c>
      <c r="BC805" t="b">
        <f>+ISNUMBER(SEARCH(CompConta!$F$28,Tabla11[[#This Row],[Cuenta]],1))</f>
        <v>1</v>
      </c>
      <c r="BD805" t="b">
        <f>+ISNUMBER(SEARCH(CompConta!$F$29,Tabla11[[#This Row],[Cuenta]],1))</f>
        <v>1</v>
      </c>
      <c r="BE805" t="b">
        <f>+ISNUMBER(SEARCH(CompConta!$F$30,Tabla11[[#This Row],[Cuenta]],1))</f>
        <v>1</v>
      </c>
      <c r="BF805" t="b">
        <f>+ISNUMBER(SEARCH('PAGO Compras'!$E$11,Tabla11[[#This Row],[Cuenta]],1))</f>
        <v>1</v>
      </c>
      <c r="BG805" t="b">
        <f>+ISNUMBER(SEARCH(#REF!,Tabla11[[#This Row],[Cuenta]],1))</f>
        <v>0</v>
      </c>
      <c r="BH805" t="b">
        <f>+ISNUMBER(SEARCH(#REF!,Tabla11[[#This Row],[Cuenta]],1))</f>
        <v>0</v>
      </c>
      <c r="BI805" t="b">
        <f>+ISNUMBER(SEARCH(#REF!,Tabla11[[#This Row],[Cuenta]],1))</f>
        <v>0</v>
      </c>
      <c r="BJ805" t="b">
        <f>+ISNUMBER(SEARCH(#REF!,Tabla11[[#This Row],[Cuenta]],1))</f>
        <v>0</v>
      </c>
      <c r="BS805" t="str">
        <v>511035 Asesoría técnica</v>
      </c>
      <c r="BT805" t="str">
        <v>511035 Asesoría técnica</v>
      </c>
      <c r="BU805" t="str">
        <v>511035 Asesoría técnica</v>
      </c>
      <c r="BV805" t="str">
        <v>511035 Asesoría técnica</v>
      </c>
      <c r="BZ805" t="str">
        <v>511035 Asesoría técnica</v>
      </c>
      <c r="CA805" t="str">
        <v>511035 Asesoría técnica</v>
      </c>
      <c r="CB805" t="str">
        <v>511035 Asesoría técnica</v>
      </c>
      <c r="CC805" t="str">
        <v>511035 Asesoría técnica</v>
      </c>
      <c r="CD805" t="str">
        <v>511035 Asesoría técnica</v>
      </c>
      <c r="CE805" t="str">
        <v>511035 Asesoría técnica</v>
      </c>
      <c r="CS805" s="141" t="str">
        <v>511035 Asesoría técnica</v>
      </c>
      <c r="CT805" s="141" t="str">
        <v>511035 Asesoría técnica</v>
      </c>
      <c r="CU805" s="141" t="str">
        <v>511035 Asesoría técnica</v>
      </c>
      <c r="CV805" s="141" t="str">
        <v>511035 Asesoría técnica</v>
      </c>
      <c r="CW805" s="141" t="str">
        <v>511035 Asesoría técnica</v>
      </c>
      <c r="CX805" s="141" t="str">
        <v>511035 Asesoría técnica</v>
      </c>
      <c r="CY805" s="141" t="str">
        <v>511035 Asesoría técnica</v>
      </c>
      <c r="CZ805" s="141" t="str">
        <v>511035 Asesoría técnica</v>
      </c>
      <c r="DA805" s="141" t="str">
        <v>511035 Asesoría técnica</v>
      </c>
      <c r="DF805" t="str">
        <v>511035 Asesoría técnica</v>
      </c>
      <c r="DG805" t="str">
        <v>511035 Asesoría técnica</v>
      </c>
      <c r="DH805" t="str">
        <v>511035 Asesoría técnica</v>
      </c>
      <c r="DI805" t="str">
        <v>511035 Asesoría técnica</v>
      </c>
      <c r="DJ805" t="str">
        <v>511035 Asesoría técnica</v>
      </c>
      <c r="DK805" t="str">
        <v>511035 Asesoría técnica</v>
      </c>
      <c r="DL805" t="str">
        <v>511035 Asesoría técnica</v>
      </c>
      <c r="DM805" t="str">
        <v>511035 Asesoría técnica</v>
      </c>
      <c r="DN805" t="str">
        <v>511035 Asesoría técnica</v>
      </c>
      <c r="DO805" t="str">
        <v>511035 Asesoría técnica</v>
      </c>
      <c r="DP805" t="str">
        <v>511035 Asesoría técnica</v>
      </c>
    </row>
    <row r="806" spans="4:120" ht="12.75">
      <c r="D806" s="7">
        <v>511095</v>
      </c>
      <c r="E806" s="6" t="s">
        <v>45</v>
      </c>
      <c r="F806" s="5">
        <v>4</v>
      </c>
      <c r="G806" s="34" t="s">
        <v>830</v>
      </c>
      <c r="H806" s="8" t="s">
        <v>32</v>
      </c>
      <c r="I806" t="b">
        <f>+ISNUMBER(SEARCH('F-COMPRA'!$F$28,Tabla11[[#This Row],[Cuenta]],1))</f>
        <v>1</v>
      </c>
      <c r="J806" t="b">
        <f>+ISNUMBER(SEARCH('F-COMPRA'!$F$29,Tabla11[[#This Row],[Cuenta]],1))</f>
        <v>1</v>
      </c>
      <c r="K806" t="b">
        <f>+ISNUMBER(SEARCH('F-COMPRA'!$F$30,Tabla11[[#This Row],[Cuenta]],1))</f>
        <v>1</v>
      </c>
      <c r="L806" t="b">
        <f>+ISNUMBER(SEARCH('F-COMPRA'!$F$31,Tabla11[[#This Row],[Cuenta]],1))</f>
        <v>1</v>
      </c>
      <c r="M806" t="b">
        <f>+ISNUMBER(SEARCH('F-COMPRA'!$G$25,Tabla11[[#This Row],[Cuenta]],1))</f>
        <v>0</v>
      </c>
      <c r="N806" t="b">
        <f>+ISNUMBER(SEARCH(#REF!,Tabla11[[#This Row],[Cuenta]],1))</f>
        <v>0</v>
      </c>
      <c r="O806" t="b">
        <f>+ISNUMBER(SEARCH(#REF!,Tabla11[[#This Row],[Cuenta]],1))</f>
        <v>0</v>
      </c>
      <c r="P806" t="b">
        <f>+ISNUMBER(SEARCH('F-COMPRA'!$F$32,Tabla11[[#This Row],[Cuenta]],1))</f>
        <v>1</v>
      </c>
      <c r="Q806" t="b">
        <f>+ISNUMBER(SEARCH('F-COMPRA'!$F$33,Tabla11[[#This Row],[Cuenta]],1))</f>
        <v>1</v>
      </c>
      <c r="R806" t="b">
        <f>+ISNUMBER(SEARCH('F-COMPRA'!$F$34,Tabla11[[#This Row],[Cuenta]],1))</f>
        <v>1</v>
      </c>
      <c r="S806" t="b">
        <f>+ISNUMBER(SEARCH('F-COMPRA'!$F$35,Tabla11[[#This Row],[Cuenta]],1))</f>
        <v>1</v>
      </c>
      <c r="T806" t="b">
        <f>+ISNUMBER(SEARCH('F-COMPRA'!$F$36,Tabla11[[#This Row],[Cuenta]],1))</f>
        <v>1</v>
      </c>
      <c r="U806" t="b">
        <f>+ISNUMBER(SEARCH('F-COMPRA'!$F$37,Tabla11[[#This Row],[Cuenta]],1))</f>
        <v>1</v>
      </c>
      <c r="V806" t="b">
        <f>+ISNUMBER(SEARCH(#REF!,Tabla11[[#This Row],[Cuenta]],1))</f>
        <v>0</v>
      </c>
      <c r="W806" t="b">
        <f>+ISNUMBER(SEARCH('F-COMPRA'!#REF!,Tabla11[[#This Row],[Cuenta]],1))</f>
        <v>0</v>
      </c>
      <c r="X806" t="b">
        <f>+ISNUMBER(SEARCH('F-COMPRA'!#REF!,Tabla11[[#This Row],[Cuenta]],1))</f>
        <v>0</v>
      </c>
      <c r="Y806" t="b">
        <f>+ISNUMBER(SEARCH('F-COMPRA'!#REF!,Tabla11[[#This Row],[Cuenta]],1))</f>
        <v>0</v>
      </c>
      <c r="Z806" t="b">
        <f>+ISNUMBER(SEARCH('F-COMPRA'!#REF!,Tabla11[[#This Row],[Cuenta]],1))</f>
        <v>0</v>
      </c>
      <c r="AA806" t="b">
        <f>+ISNUMBER(SEARCH('F-COMPRA'!#REF!,Tabla11[[#This Row],[Cuenta]],1))</f>
        <v>0</v>
      </c>
      <c r="AB806" t="b">
        <f>+ISNUMBER(SEARCH('F-COMPRA'!#REF!,Tabla11[[#This Row],[Cuenta]],1))</f>
        <v>0</v>
      </c>
      <c r="AC806" t="b">
        <f>+ISNUMBER(SEARCH('F-COMPRA'!#REF!,Tabla11[[#This Row],[Cuenta]],1))</f>
        <v>0</v>
      </c>
      <c r="AD806" t="b">
        <f>+ISNUMBER(SEARCH('F-COMPRA'!#REF!,Tabla11[[#This Row],[Cuenta]],1))</f>
        <v>0</v>
      </c>
      <c r="AE806" t="b">
        <f>+ISNUMBER(SEARCH('F-COMPRA'!#REF!,Tabla11[[#This Row],[Cuenta]],1))</f>
        <v>0</v>
      </c>
      <c r="AF806" t="b">
        <f>+ISNUMBER(SEARCH('F-VTA'!$G$23,Tabla11[[#This Row],[Cuenta]],1))</f>
        <v>0</v>
      </c>
      <c r="AG806" t="b">
        <f>+ISNUMBER(SEARCH('F-VTA'!$G$24,Tabla11[[#This Row],[Cuenta]],1))</f>
        <v>0</v>
      </c>
      <c r="AH806" t="b">
        <f>+ISNUMBER(SEARCH('F-VTA'!$G$25,Tabla11[[#This Row],[Cuenta]],1))</f>
        <v>0</v>
      </c>
      <c r="AI806" t="b">
        <f>+ISNUMBER(SEARCH('F-VTA'!$F$28,Tabla11[[#This Row],[Cuenta]],1))</f>
        <v>1</v>
      </c>
      <c r="AJ806" t="b">
        <f>+ISNUMBER(SEARCH('F-VTA'!$F$29,Tabla11[[#This Row],[Cuenta]],1))</f>
        <v>1</v>
      </c>
      <c r="AK806" t="b">
        <f>+ISNUMBER(SEARCH('F-VTA'!$F$30,Tabla11[[#This Row],[Cuenta]],1))</f>
        <v>1</v>
      </c>
      <c r="AL806" t="b">
        <f>+ISNUMBER(SEARCH('F-VTA'!$F$31,Tabla11[[#This Row],[Cuenta]],1))</f>
        <v>1</v>
      </c>
      <c r="AM806" t="b">
        <f>+ISNUMBER(SEARCH('F-VTA'!$F$32,Tabla11[[#This Row],[Cuenta]],1))</f>
        <v>1</v>
      </c>
      <c r="AN806" t="b">
        <f>+ISNUMBER(SEARCH('F-VTA'!$F$33,Tabla11[[#This Row],[Cuenta]],1))</f>
        <v>1</v>
      </c>
      <c r="AO806" t="b">
        <f>+ISNUMBER(SEARCH('F-VTA'!$F$34,Tabla11[[#This Row],[Cuenta]],1))</f>
        <v>1</v>
      </c>
      <c r="AP806" t="b">
        <f>+ISNUMBER(SEARCH('F-VTA'!$F$35,Tabla11[[#This Row],[Cuenta]],1))</f>
        <v>1</v>
      </c>
      <c r="AQ806" t="b">
        <f>+ISNUMBER(SEARCH('F-VTA'!$F$36,Tabla11[[#This Row],[Cuenta]],1))</f>
        <v>1</v>
      </c>
      <c r="AR806" t="b">
        <f>+ISNUMBER(SEARCH(#REF!,Tabla11[[#This Row],[Cuenta]],1))</f>
        <v>0</v>
      </c>
      <c r="AS806" t="b">
        <f>+ISNUMBER(SEARCH(#REF!,Tabla11[[#This Row],[Cuenta]],1))</f>
        <v>0</v>
      </c>
      <c r="AT806" t="b">
        <f>+ISNUMBER(SEARCH(#REF!,Tabla11[[#This Row],[Cuenta]],1))</f>
        <v>0</v>
      </c>
      <c r="AU806" t="b">
        <f>+ISNUMBER(SEARCH('Conc. Ban.1'!$I$9,Tabla11[[#This Row],[Cuenta]],1))</f>
        <v>0</v>
      </c>
      <c r="AV806" t="b">
        <f>+ISNUMBER(SEARCH(CompConta!$F$21,Tabla11[[#This Row],[Cuenta]],1))</f>
        <v>1</v>
      </c>
      <c r="AW806" t="b">
        <f>+ISNUMBER(SEARCH(CompConta!$F$22,Tabla11[[#This Row],[Cuenta]],1))</f>
        <v>1</v>
      </c>
      <c r="AX806" t="b">
        <f>+ISNUMBER(SEARCH(CompConta!$F$23,Tabla11[[#This Row],[Cuenta]],1))</f>
        <v>1</v>
      </c>
      <c r="AY806" t="b">
        <f>+ISNUMBER(SEARCH(CompConta!$F$24,Tabla11[[#This Row],[Cuenta]],1))</f>
        <v>1</v>
      </c>
      <c r="AZ806" t="b">
        <f>+ISNUMBER(SEARCH(CompConta!$F$25,Tabla11[[#This Row],[Cuenta]],1))</f>
        <v>1</v>
      </c>
      <c r="BA806" t="b">
        <f>+ISNUMBER(SEARCH(CompConta!$F$26,Tabla11[[#This Row],[Cuenta]],1))</f>
        <v>1</v>
      </c>
      <c r="BB806" t="b">
        <f>+ISNUMBER(SEARCH(CompConta!$F$27,Tabla11[[#This Row],[Cuenta]],1))</f>
        <v>1</v>
      </c>
      <c r="BC806" t="b">
        <f>+ISNUMBER(SEARCH(CompConta!$F$28,Tabla11[[#This Row],[Cuenta]],1))</f>
        <v>1</v>
      </c>
      <c r="BD806" t="b">
        <f>+ISNUMBER(SEARCH(CompConta!$F$29,Tabla11[[#This Row],[Cuenta]],1))</f>
        <v>1</v>
      </c>
      <c r="BE806" t="b">
        <f>+ISNUMBER(SEARCH(CompConta!$F$30,Tabla11[[#This Row],[Cuenta]],1))</f>
        <v>1</v>
      </c>
      <c r="BF806" t="b">
        <f>+ISNUMBER(SEARCH('PAGO Compras'!$E$11,Tabla11[[#This Row],[Cuenta]],1))</f>
        <v>1</v>
      </c>
      <c r="BG806" t="b">
        <f>+ISNUMBER(SEARCH(#REF!,Tabla11[[#This Row],[Cuenta]],1))</f>
        <v>0</v>
      </c>
      <c r="BH806" t="b">
        <f>+ISNUMBER(SEARCH(#REF!,Tabla11[[#This Row],[Cuenta]],1))</f>
        <v>0</v>
      </c>
      <c r="BI806" t="b">
        <f>+ISNUMBER(SEARCH(#REF!,Tabla11[[#This Row],[Cuenta]],1))</f>
        <v>0</v>
      </c>
      <c r="BJ806" t="b">
        <f>+ISNUMBER(SEARCH(#REF!,Tabla11[[#This Row],[Cuenta]],1))</f>
        <v>0</v>
      </c>
      <c r="BS806" t="str">
        <v>511095 Otros</v>
      </c>
      <c r="BT806" t="str">
        <v>511095 Otros</v>
      </c>
      <c r="BU806" t="str">
        <v>511095 Otros</v>
      </c>
      <c r="BV806" t="str">
        <v>511095 Otros</v>
      </c>
      <c r="BZ806" t="str">
        <v>511095 Otros</v>
      </c>
      <c r="CA806" t="str">
        <v>511095 Otros</v>
      </c>
      <c r="CB806" t="str">
        <v>511095 Otros</v>
      </c>
      <c r="CC806" t="str">
        <v>511095 Otros</v>
      </c>
      <c r="CD806" t="str">
        <v>511095 Otros</v>
      </c>
      <c r="CE806" t="str">
        <v>511095 Otros</v>
      </c>
      <c r="CS806" s="141" t="str">
        <v>511095 Otros</v>
      </c>
      <c r="CT806" s="141" t="str">
        <v>511095 Otros</v>
      </c>
      <c r="CU806" s="141" t="str">
        <v>511095 Otros</v>
      </c>
      <c r="CV806" s="141" t="str">
        <v>511095 Otros</v>
      </c>
      <c r="CW806" s="141" t="str">
        <v>511095 Otros</v>
      </c>
      <c r="CX806" s="141" t="str">
        <v>511095 Otros</v>
      </c>
      <c r="CY806" s="141" t="str">
        <v>511095 Otros</v>
      </c>
      <c r="CZ806" s="141" t="str">
        <v>511095 Otros</v>
      </c>
      <c r="DA806" s="141" t="str">
        <v>511095 Otros</v>
      </c>
      <c r="DF806" t="str">
        <v>511095 Otros</v>
      </c>
      <c r="DG806" t="str">
        <v>511095 Otros</v>
      </c>
      <c r="DH806" t="str">
        <v>511095 Otros</v>
      </c>
      <c r="DI806" t="str">
        <v>511095 Otros</v>
      </c>
      <c r="DJ806" t="str">
        <v>511095 Otros</v>
      </c>
      <c r="DK806" t="str">
        <v>511095 Otros</v>
      </c>
      <c r="DL806" t="str">
        <v>511095 Otros</v>
      </c>
      <c r="DM806" t="str">
        <v>511095 Otros</v>
      </c>
      <c r="DN806" t="str">
        <v>511095 Otros</v>
      </c>
      <c r="DO806" t="str">
        <v>511095 Otros</v>
      </c>
      <c r="DP806" t="str">
        <v>511095 Otros</v>
      </c>
    </row>
    <row r="807" spans="4:120" ht="12.75">
      <c r="D807" s="7">
        <v>511099</v>
      </c>
      <c r="E807" s="6" t="s">
        <v>93</v>
      </c>
      <c r="F807" s="5">
        <v>4</v>
      </c>
      <c r="G807" s="34" t="s">
        <v>830</v>
      </c>
      <c r="H807" s="8" t="s">
        <v>32</v>
      </c>
      <c r="I807" t="b">
        <f>+ISNUMBER(SEARCH('F-COMPRA'!$F$28,Tabla11[[#This Row],[Cuenta]],1))</f>
        <v>1</v>
      </c>
      <c r="J807" t="b">
        <f>+ISNUMBER(SEARCH('F-COMPRA'!$F$29,Tabla11[[#This Row],[Cuenta]],1))</f>
        <v>1</v>
      </c>
      <c r="K807" t="b">
        <f>+ISNUMBER(SEARCH('F-COMPRA'!$F$30,Tabla11[[#This Row],[Cuenta]],1))</f>
        <v>1</v>
      </c>
      <c r="L807" t="b">
        <f>+ISNUMBER(SEARCH('F-COMPRA'!$F$31,Tabla11[[#This Row],[Cuenta]],1))</f>
        <v>1</v>
      </c>
      <c r="M807" t="b">
        <f>+ISNUMBER(SEARCH('F-COMPRA'!$G$25,Tabla11[[#This Row],[Cuenta]],1))</f>
        <v>0</v>
      </c>
      <c r="N807" t="b">
        <f>+ISNUMBER(SEARCH(#REF!,Tabla11[[#This Row],[Cuenta]],1))</f>
        <v>0</v>
      </c>
      <c r="O807" t="b">
        <f>+ISNUMBER(SEARCH(#REF!,Tabla11[[#This Row],[Cuenta]],1))</f>
        <v>0</v>
      </c>
      <c r="P807" t="b">
        <f>+ISNUMBER(SEARCH('F-COMPRA'!$F$32,Tabla11[[#This Row],[Cuenta]],1))</f>
        <v>1</v>
      </c>
      <c r="Q807" t="b">
        <f>+ISNUMBER(SEARCH('F-COMPRA'!$F$33,Tabla11[[#This Row],[Cuenta]],1))</f>
        <v>1</v>
      </c>
      <c r="R807" t="b">
        <f>+ISNUMBER(SEARCH('F-COMPRA'!$F$34,Tabla11[[#This Row],[Cuenta]],1))</f>
        <v>1</v>
      </c>
      <c r="S807" t="b">
        <f>+ISNUMBER(SEARCH('F-COMPRA'!$F$35,Tabla11[[#This Row],[Cuenta]],1))</f>
        <v>1</v>
      </c>
      <c r="T807" t="b">
        <f>+ISNUMBER(SEARCH('F-COMPRA'!$F$36,Tabla11[[#This Row],[Cuenta]],1))</f>
        <v>1</v>
      </c>
      <c r="U807" t="b">
        <f>+ISNUMBER(SEARCH('F-COMPRA'!$F$37,Tabla11[[#This Row],[Cuenta]],1))</f>
        <v>1</v>
      </c>
      <c r="V807" t="b">
        <f>+ISNUMBER(SEARCH(#REF!,Tabla11[[#This Row],[Cuenta]],1))</f>
        <v>0</v>
      </c>
      <c r="W807" t="b">
        <f>+ISNUMBER(SEARCH('F-COMPRA'!#REF!,Tabla11[[#This Row],[Cuenta]],1))</f>
        <v>0</v>
      </c>
      <c r="X807" t="b">
        <f>+ISNUMBER(SEARCH('F-COMPRA'!#REF!,Tabla11[[#This Row],[Cuenta]],1))</f>
        <v>0</v>
      </c>
      <c r="Y807" t="b">
        <f>+ISNUMBER(SEARCH('F-COMPRA'!#REF!,Tabla11[[#This Row],[Cuenta]],1))</f>
        <v>0</v>
      </c>
      <c r="Z807" t="b">
        <f>+ISNUMBER(SEARCH('F-COMPRA'!#REF!,Tabla11[[#This Row],[Cuenta]],1))</f>
        <v>0</v>
      </c>
      <c r="AA807" t="b">
        <f>+ISNUMBER(SEARCH('F-COMPRA'!#REF!,Tabla11[[#This Row],[Cuenta]],1))</f>
        <v>0</v>
      </c>
      <c r="AB807" t="b">
        <f>+ISNUMBER(SEARCH('F-COMPRA'!#REF!,Tabla11[[#This Row],[Cuenta]],1))</f>
        <v>0</v>
      </c>
      <c r="AC807" t="b">
        <f>+ISNUMBER(SEARCH('F-COMPRA'!#REF!,Tabla11[[#This Row],[Cuenta]],1))</f>
        <v>0</v>
      </c>
      <c r="AD807" t="b">
        <f>+ISNUMBER(SEARCH('F-COMPRA'!#REF!,Tabla11[[#This Row],[Cuenta]],1))</f>
        <v>0</v>
      </c>
      <c r="AE807" t="b">
        <f>+ISNUMBER(SEARCH('F-COMPRA'!#REF!,Tabla11[[#This Row],[Cuenta]],1))</f>
        <v>0</v>
      </c>
      <c r="AF807" t="b">
        <f>+ISNUMBER(SEARCH('F-VTA'!$G$23,Tabla11[[#This Row],[Cuenta]],1))</f>
        <v>0</v>
      </c>
      <c r="AG807" t="b">
        <f>+ISNUMBER(SEARCH('F-VTA'!$G$24,Tabla11[[#This Row],[Cuenta]],1))</f>
        <v>0</v>
      </c>
      <c r="AH807" t="b">
        <f>+ISNUMBER(SEARCH('F-VTA'!$G$25,Tabla11[[#This Row],[Cuenta]],1))</f>
        <v>0</v>
      </c>
      <c r="AI807" t="b">
        <f>+ISNUMBER(SEARCH('F-VTA'!$F$28,Tabla11[[#This Row],[Cuenta]],1))</f>
        <v>1</v>
      </c>
      <c r="AJ807" t="b">
        <f>+ISNUMBER(SEARCH('F-VTA'!$F$29,Tabla11[[#This Row],[Cuenta]],1))</f>
        <v>1</v>
      </c>
      <c r="AK807" t="b">
        <f>+ISNUMBER(SEARCH('F-VTA'!$F$30,Tabla11[[#This Row],[Cuenta]],1))</f>
        <v>1</v>
      </c>
      <c r="AL807" t="b">
        <f>+ISNUMBER(SEARCH('F-VTA'!$F$31,Tabla11[[#This Row],[Cuenta]],1))</f>
        <v>1</v>
      </c>
      <c r="AM807" t="b">
        <f>+ISNUMBER(SEARCH('F-VTA'!$F$32,Tabla11[[#This Row],[Cuenta]],1))</f>
        <v>1</v>
      </c>
      <c r="AN807" t="b">
        <f>+ISNUMBER(SEARCH('F-VTA'!$F$33,Tabla11[[#This Row],[Cuenta]],1))</f>
        <v>1</v>
      </c>
      <c r="AO807" t="b">
        <f>+ISNUMBER(SEARCH('F-VTA'!$F$34,Tabla11[[#This Row],[Cuenta]],1))</f>
        <v>1</v>
      </c>
      <c r="AP807" t="b">
        <f>+ISNUMBER(SEARCH('F-VTA'!$F$35,Tabla11[[#This Row],[Cuenta]],1))</f>
        <v>1</v>
      </c>
      <c r="AQ807" t="b">
        <f>+ISNUMBER(SEARCH('F-VTA'!$F$36,Tabla11[[#This Row],[Cuenta]],1))</f>
        <v>1</v>
      </c>
      <c r="AR807" t="b">
        <f>+ISNUMBER(SEARCH(#REF!,Tabla11[[#This Row],[Cuenta]],1))</f>
        <v>0</v>
      </c>
      <c r="AS807" t="b">
        <f>+ISNUMBER(SEARCH(#REF!,Tabla11[[#This Row],[Cuenta]],1))</f>
        <v>0</v>
      </c>
      <c r="AT807" t="b">
        <f>+ISNUMBER(SEARCH(#REF!,Tabla11[[#This Row],[Cuenta]],1))</f>
        <v>0</v>
      </c>
      <c r="AU807" t="b">
        <f>+ISNUMBER(SEARCH('Conc. Ban.1'!$I$9,Tabla11[[#This Row],[Cuenta]],1))</f>
        <v>0</v>
      </c>
      <c r="AV807" t="b">
        <f>+ISNUMBER(SEARCH(CompConta!$F$21,Tabla11[[#This Row],[Cuenta]],1))</f>
        <v>1</v>
      </c>
      <c r="AW807" t="b">
        <f>+ISNUMBER(SEARCH(CompConta!$F$22,Tabla11[[#This Row],[Cuenta]],1))</f>
        <v>1</v>
      </c>
      <c r="AX807" t="b">
        <f>+ISNUMBER(SEARCH(CompConta!$F$23,Tabla11[[#This Row],[Cuenta]],1))</f>
        <v>1</v>
      </c>
      <c r="AY807" t="b">
        <f>+ISNUMBER(SEARCH(CompConta!$F$24,Tabla11[[#This Row],[Cuenta]],1))</f>
        <v>1</v>
      </c>
      <c r="AZ807" t="b">
        <f>+ISNUMBER(SEARCH(CompConta!$F$25,Tabla11[[#This Row],[Cuenta]],1))</f>
        <v>1</v>
      </c>
      <c r="BA807" t="b">
        <f>+ISNUMBER(SEARCH(CompConta!$F$26,Tabla11[[#This Row],[Cuenta]],1))</f>
        <v>1</v>
      </c>
      <c r="BB807" t="b">
        <f>+ISNUMBER(SEARCH(CompConta!$F$27,Tabla11[[#This Row],[Cuenta]],1))</f>
        <v>1</v>
      </c>
      <c r="BC807" t="b">
        <f>+ISNUMBER(SEARCH(CompConta!$F$28,Tabla11[[#This Row],[Cuenta]],1))</f>
        <v>1</v>
      </c>
      <c r="BD807" t="b">
        <f>+ISNUMBER(SEARCH(CompConta!$F$29,Tabla11[[#This Row],[Cuenta]],1))</f>
        <v>1</v>
      </c>
      <c r="BE807" t="b">
        <f>+ISNUMBER(SEARCH(CompConta!$F$30,Tabla11[[#This Row],[Cuenta]],1))</f>
        <v>1</v>
      </c>
      <c r="BF807" t="b">
        <f>+ISNUMBER(SEARCH('PAGO Compras'!$E$11,Tabla11[[#This Row],[Cuenta]],1))</f>
        <v>1</v>
      </c>
      <c r="BG807" t="b">
        <f>+ISNUMBER(SEARCH(#REF!,Tabla11[[#This Row],[Cuenta]],1))</f>
        <v>0</v>
      </c>
      <c r="BH807" t="b">
        <f>+ISNUMBER(SEARCH(#REF!,Tabla11[[#This Row],[Cuenta]],1))</f>
        <v>0</v>
      </c>
      <c r="BI807" t="b">
        <f>+ISNUMBER(SEARCH(#REF!,Tabla11[[#This Row],[Cuenta]],1))</f>
        <v>0</v>
      </c>
      <c r="BJ807" t="b">
        <f>+ISNUMBER(SEARCH(#REF!,Tabla11[[#This Row],[Cuenta]],1))</f>
        <v>0</v>
      </c>
      <c r="BS807" t="str">
        <v>511099 *Ajustes por inflación</v>
      </c>
      <c r="BT807" t="str">
        <v>511099 *Ajustes por inflación</v>
      </c>
      <c r="BU807" t="str">
        <v>511099 *Ajustes por inflación</v>
      </c>
      <c r="BV807" t="str">
        <v>511099 *Ajustes por inflación</v>
      </c>
      <c r="BZ807" t="str">
        <v>511099 *Ajustes por inflación</v>
      </c>
      <c r="CA807" t="str">
        <v>511099 *Ajustes por inflación</v>
      </c>
      <c r="CB807" t="str">
        <v>511099 *Ajustes por inflación</v>
      </c>
      <c r="CC807" t="str">
        <v>511099 *Ajustes por inflación</v>
      </c>
      <c r="CD807" t="str">
        <v>511099 *Ajustes por inflación</v>
      </c>
      <c r="CE807" t="str">
        <v>511099 *Ajustes por inflación</v>
      </c>
      <c r="CS807" s="141" t="str">
        <v>511099 *Ajustes por inflación</v>
      </c>
      <c r="CT807" s="141" t="str">
        <v>511099 *Ajustes por inflación</v>
      </c>
      <c r="CU807" s="141" t="str">
        <v>511099 *Ajustes por inflación</v>
      </c>
      <c r="CV807" s="141" t="str">
        <v>511099 *Ajustes por inflación</v>
      </c>
      <c r="CW807" s="141" t="str">
        <v>511099 *Ajustes por inflación</v>
      </c>
      <c r="CX807" s="141" t="str">
        <v>511099 *Ajustes por inflación</v>
      </c>
      <c r="CY807" s="141" t="str">
        <v>511099 *Ajustes por inflación</v>
      </c>
      <c r="CZ807" s="141" t="str">
        <v>511099 *Ajustes por inflación</v>
      </c>
      <c r="DA807" s="141" t="str">
        <v>511099 *Ajustes por inflación</v>
      </c>
      <c r="DF807" t="str">
        <v>511099 *Ajustes por inflación</v>
      </c>
      <c r="DG807" t="str">
        <v>511099 *Ajustes por inflación</v>
      </c>
      <c r="DH807" t="str">
        <v>511099 *Ajustes por inflación</v>
      </c>
      <c r="DI807" t="str">
        <v>511099 *Ajustes por inflación</v>
      </c>
      <c r="DJ807" t="str">
        <v>511099 *Ajustes por inflación</v>
      </c>
      <c r="DK807" t="str">
        <v>511099 *Ajustes por inflación</v>
      </c>
      <c r="DL807" t="str">
        <v>511099 *Ajustes por inflación</v>
      </c>
      <c r="DM807" t="str">
        <v>511099 *Ajustes por inflación</v>
      </c>
      <c r="DN807" t="str">
        <v>511099 *Ajustes por inflación</v>
      </c>
      <c r="DO807" t="str">
        <v>511099 *Ajustes por inflación</v>
      </c>
      <c r="DP807" t="str">
        <v>511099 *Ajustes por inflación</v>
      </c>
    </row>
    <row r="808" spans="4:120" ht="12.75">
      <c r="D808" s="7">
        <v>5115</v>
      </c>
      <c r="E808" s="6" t="s">
        <v>562</v>
      </c>
      <c r="F808" s="5">
        <v>3</v>
      </c>
      <c r="G808" s="34" t="s">
        <v>830</v>
      </c>
      <c r="H808" s="8" t="s">
        <v>32</v>
      </c>
      <c r="I808" t="b">
        <f>+ISNUMBER(SEARCH('F-COMPRA'!$F$28,Tabla11[[#This Row],[Cuenta]],1))</f>
        <v>1</v>
      </c>
      <c r="J808" t="b">
        <f>+ISNUMBER(SEARCH('F-COMPRA'!$F$29,Tabla11[[#This Row],[Cuenta]],1))</f>
        <v>1</v>
      </c>
      <c r="K808" t="b">
        <f>+ISNUMBER(SEARCH('F-COMPRA'!$F$30,Tabla11[[#This Row],[Cuenta]],1))</f>
        <v>1</v>
      </c>
      <c r="L808" t="b">
        <f>+ISNUMBER(SEARCH('F-COMPRA'!$F$31,Tabla11[[#This Row],[Cuenta]],1))</f>
        <v>1</v>
      </c>
      <c r="M808" t="b">
        <f>+ISNUMBER(SEARCH('F-COMPRA'!$G$25,Tabla11[[#This Row],[Cuenta]],1))</f>
        <v>0</v>
      </c>
      <c r="N808" t="b">
        <f>+ISNUMBER(SEARCH(#REF!,Tabla11[[#This Row],[Cuenta]],1))</f>
        <v>0</v>
      </c>
      <c r="O808" t="b">
        <f>+ISNUMBER(SEARCH(#REF!,Tabla11[[#This Row],[Cuenta]],1))</f>
        <v>0</v>
      </c>
      <c r="P808" t="b">
        <f>+ISNUMBER(SEARCH('F-COMPRA'!$F$32,Tabla11[[#This Row],[Cuenta]],1))</f>
        <v>1</v>
      </c>
      <c r="Q808" t="b">
        <f>+ISNUMBER(SEARCH('F-COMPRA'!$F$33,Tabla11[[#This Row],[Cuenta]],1))</f>
        <v>1</v>
      </c>
      <c r="R808" t="b">
        <f>+ISNUMBER(SEARCH('F-COMPRA'!$F$34,Tabla11[[#This Row],[Cuenta]],1))</f>
        <v>1</v>
      </c>
      <c r="S808" t="b">
        <f>+ISNUMBER(SEARCH('F-COMPRA'!$F$35,Tabla11[[#This Row],[Cuenta]],1))</f>
        <v>1</v>
      </c>
      <c r="T808" t="b">
        <f>+ISNUMBER(SEARCH('F-COMPRA'!$F$36,Tabla11[[#This Row],[Cuenta]],1))</f>
        <v>1</v>
      </c>
      <c r="U808" t="b">
        <f>+ISNUMBER(SEARCH('F-COMPRA'!$F$37,Tabla11[[#This Row],[Cuenta]],1))</f>
        <v>1</v>
      </c>
      <c r="V808" t="b">
        <f>+ISNUMBER(SEARCH(#REF!,Tabla11[[#This Row],[Cuenta]],1))</f>
        <v>0</v>
      </c>
      <c r="W808" t="b">
        <f>+ISNUMBER(SEARCH('F-COMPRA'!#REF!,Tabla11[[#This Row],[Cuenta]],1))</f>
        <v>0</v>
      </c>
      <c r="X808" t="b">
        <f>+ISNUMBER(SEARCH('F-COMPRA'!#REF!,Tabla11[[#This Row],[Cuenta]],1))</f>
        <v>0</v>
      </c>
      <c r="Y808" t="b">
        <f>+ISNUMBER(SEARCH('F-COMPRA'!#REF!,Tabla11[[#This Row],[Cuenta]],1))</f>
        <v>0</v>
      </c>
      <c r="Z808" t="b">
        <f>+ISNUMBER(SEARCH('F-COMPRA'!#REF!,Tabla11[[#This Row],[Cuenta]],1))</f>
        <v>0</v>
      </c>
      <c r="AA808" t="b">
        <f>+ISNUMBER(SEARCH('F-COMPRA'!#REF!,Tabla11[[#This Row],[Cuenta]],1))</f>
        <v>0</v>
      </c>
      <c r="AB808" t="b">
        <f>+ISNUMBER(SEARCH('F-COMPRA'!#REF!,Tabla11[[#This Row],[Cuenta]],1))</f>
        <v>0</v>
      </c>
      <c r="AC808" t="b">
        <f>+ISNUMBER(SEARCH('F-COMPRA'!#REF!,Tabla11[[#This Row],[Cuenta]],1))</f>
        <v>0</v>
      </c>
      <c r="AD808" t="b">
        <f>+ISNUMBER(SEARCH('F-COMPRA'!#REF!,Tabla11[[#This Row],[Cuenta]],1))</f>
        <v>0</v>
      </c>
      <c r="AE808" t="b">
        <f>+ISNUMBER(SEARCH('F-COMPRA'!#REF!,Tabla11[[#This Row],[Cuenta]],1))</f>
        <v>0</v>
      </c>
      <c r="AF808" t="b">
        <f>+ISNUMBER(SEARCH('F-VTA'!$G$23,Tabla11[[#This Row],[Cuenta]],1))</f>
        <v>0</v>
      </c>
      <c r="AG808" t="b">
        <f>+ISNUMBER(SEARCH('F-VTA'!$G$24,Tabla11[[#This Row],[Cuenta]],1))</f>
        <v>0</v>
      </c>
      <c r="AH808" t="b">
        <f>+ISNUMBER(SEARCH('F-VTA'!$G$25,Tabla11[[#This Row],[Cuenta]],1))</f>
        <v>0</v>
      </c>
      <c r="AI808" t="b">
        <f>+ISNUMBER(SEARCH('F-VTA'!$F$28,Tabla11[[#This Row],[Cuenta]],1))</f>
        <v>1</v>
      </c>
      <c r="AJ808" t="b">
        <f>+ISNUMBER(SEARCH('F-VTA'!$F$29,Tabla11[[#This Row],[Cuenta]],1))</f>
        <v>1</v>
      </c>
      <c r="AK808" t="b">
        <f>+ISNUMBER(SEARCH('F-VTA'!$F$30,Tabla11[[#This Row],[Cuenta]],1))</f>
        <v>1</v>
      </c>
      <c r="AL808" t="b">
        <f>+ISNUMBER(SEARCH('F-VTA'!$F$31,Tabla11[[#This Row],[Cuenta]],1))</f>
        <v>1</v>
      </c>
      <c r="AM808" t="b">
        <f>+ISNUMBER(SEARCH('F-VTA'!$F$32,Tabla11[[#This Row],[Cuenta]],1))</f>
        <v>1</v>
      </c>
      <c r="AN808" t="b">
        <f>+ISNUMBER(SEARCH('F-VTA'!$F$33,Tabla11[[#This Row],[Cuenta]],1))</f>
        <v>1</v>
      </c>
      <c r="AO808" t="b">
        <f>+ISNUMBER(SEARCH('F-VTA'!$F$34,Tabla11[[#This Row],[Cuenta]],1))</f>
        <v>1</v>
      </c>
      <c r="AP808" t="b">
        <f>+ISNUMBER(SEARCH('F-VTA'!$F$35,Tabla11[[#This Row],[Cuenta]],1))</f>
        <v>1</v>
      </c>
      <c r="AQ808" t="b">
        <f>+ISNUMBER(SEARCH('F-VTA'!$F$36,Tabla11[[#This Row],[Cuenta]],1))</f>
        <v>1</v>
      </c>
      <c r="AR808" t="b">
        <f>+ISNUMBER(SEARCH(#REF!,Tabla11[[#This Row],[Cuenta]],1))</f>
        <v>0</v>
      </c>
      <c r="AS808" t="b">
        <f>+ISNUMBER(SEARCH(#REF!,Tabla11[[#This Row],[Cuenta]],1))</f>
        <v>0</v>
      </c>
      <c r="AT808" t="b">
        <f>+ISNUMBER(SEARCH(#REF!,Tabla11[[#This Row],[Cuenta]],1))</f>
        <v>0</v>
      </c>
      <c r="AU808" t="b">
        <f>+ISNUMBER(SEARCH('Conc. Ban.1'!$I$9,Tabla11[[#This Row],[Cuenta]],1))</f>
        <v>0</v>
      </c>
      <c r="AV808" t="b">
        <f>+ISNUMBER(SEARCH(CompConta!$F$21,Tabla11[[#This Row],[Cuenta]],1))</f>
        <v>1</v>
      </c>
      <c r="AW808" t="b">
        <f>+ISNUMBER(SEARCH(CompConta!$F$22,Tabla11[[#This Row],[Cuenta]],1))</f>
        <v>1</v>
      </c>
      <c r="AX808" t="b">
        <f>+ISNUMBER(SEARCH(CompConta!$F$23,Tabla11[[#This Row],[Cuenta]],1))</f>
        <v>1</v>
      </c>
      <c r="AY808" t="b">
        <f>+ISNUMBER(SEARCH(CompConta!$F$24,Tabla11[[#This Row],[Cuenta]],1))</f>
        <v>1</v>
      </c>
      <c r="AZ808" t="b">
        <f>+ISNUMBER(SEARCH(CompConta!$F$25,Tabla11[[#This Row],[Cuenta]],1))</f>
        <v>1</v>
      </c>
      <c r="BA808" t="b">
        <f>+ISNUMBER(SEARCH(CompConta!$F$26,Tabla11[[#This Row],[Cuenta]],1))</f>
        <v>1</v>
      </c>
      <c r="BB808" t="b">
        <f>+ISNUMBER(SEARCH(CompConta!$F$27,Tabla11[[#This Row],[Cuenta]],1))</f>
        <v>1</v>
      </c>
      <c r="BC808" t="b">
        <f>+ISNUMBER(SEARCH(CompConta!$F$28,Tabla11[[#This Row],[Cuenta]],1))</f>
        <v>1</v>
      </c>
      <c r="BD808" t="b">
        <f>+ISNUMBER(SEARCH(CompConta!$F$29,Tabla11[[#This Row],[Cuenta]],1))</f>
        <v>1</v>
      </c>
      <c r="BE808" t="b">
        <f>+ISNUMBER(SEARCH(CompConta!$F$30,Tabla11[[#This Row],[Cuenta]],1))</f>
        <v>1</v>
      </c>
      <c r="BF808" t="b">
        <f>+ISNUMBER(SEARCH('PAGO Compras'!$E$11,Tabla11[[#This Row],[Cuenta]],1))</f>
        <v>1</v>
      </c>
      <c r="BG808" t="b">
        <f>+ISNUMBER(SEARCH(#REF!,Tabla11[[#This Row],[Cuenta]],1))</f>
        <v>0</v>
      </c>
      <c r="BH808" t="b">
        <f>+ISNUMBER(SEARCH(#REF!,Tabla11[[#This Row],[Cuenta]],1))</f>
        <v>0</v>
      </c>
      <c r="BI808" t="b">
        <f>+ISNUMBER(SEARCH(#REF!,Tabla11[[#This Row],[Cuenta]],1))</f>
        <v>0</v>
      </c>
      <c r="BJ808" t="b">
        <f>+ISNUMBER(SEARCH(#REF!,Tabla11[[#This Row],[Cuenta]],1))</f>
        <v>0</v>
      </c>
      <c r="BS808" t="str">
        <v>5115 IMPUESTOS</v>
      </c>
      <c r="BT808" t="str">
        <v>5115 IMPUESTOS</v>
      </c>
      <c r="BU808" t="str">
        <v>5115 IMPUESTOS</v>
      </c>
      <c r="BV808" t="str">
        <v>5115 IMPUESTOS</v>
      </c>
      <c r="BZ808" t="str">
        <v>5115 IMPUESTOS</v>
      </c>
      <c r="CA808" t="str">
        <v>5115 IMPUESTOS</v>
      </c>
      <c r="CB808" t="str">
        <v>5115 IMPUESTOS</v>
      </c>
      <c r="CC808" t="str">
        <v>5115 IMPUESTOS</v>
      </c>
      <c r="CD808" t="str">
        <v>5115 IMPUESTOS</v>
      </c>
      <c r="CE808" t="str">
        <v>5115 IMPUESTOS</v>
      </c>
      <c r="CS808" s="141" t="str">
        <v>5115 IMPUESTOS</v>
      </c>
      <c r="CT808" s="141" t="str">
        <v>5115 IMPUESTOS</v>
      </c>
      <c r="CU808" s="141" t="str">
        <v>5115 IMPUESTOS</v>
      </c>
      <c r="CV808" s="141" t="str">
        <v>5115 IMPUESTOS</v>
      </c>
      <c r="CW808" s="141" t="str">
        <v>5115 IMPUESTOS</v>
      </c>
      <c r="CX808" s="141" t="str">
        <v>5115 IMPUESTOS</v>
      </c>
      <c r="CY808" s="141" t="str">
        <v>5115 IMPUESTOS</v>
      </c>
      <c r="CZ808" s="141" t="str">
        <v>5115 IMPUESTOS</v>
      </c>
      <c r="DA808" s="141" t="str">
        <v>5115 IMPUESTOS</v>
      </c>
      <c r="DF808" t="str">
        <v>5115 IMPUESTOS</v>
      </c>
      <c r="DG808" t="str">
        <v>5115 IMPUESTOS</v>
      </c>
      <c r="DH808" t="str">
        <v>5115 IMPUESTOS</v>
      </c>
      <c r="DI808" t="str">
        <v>5115 IMPUESTOS</v>
      </c>
      <c r="DJ808" t="str">
        <v>5115 IMPUESTOS</v>
      </c>
      <c r="DK808" t="str">
        <v>5115 IMPUESTOS</v>
      </c>
      <c r="DL808" t="str">
        <v>5115 IMPUESTOS</v>
      </c>
      <c r="DM808" t="str">
        <v>5115 IMPUESTOS</v>
      </c>
      <c r="DN808" t="str">
        <v>5115 IMPUESTOS</v>
      </c>
      <c r="DO808" t="str">
        <v>5115 IMPUESTOS</v>
      </c>
      <c r="DP808" t="str">
        <v>5115 IMPUESTOS</v>
      </c>
    </row>
    <row r="809" spans="4:120" ht="12.75">
      <c r="D809" s="7">
        <v>511505</v>
      </c>
      <c r="E809" s="6" t="s">
        <v>563</v>
      </c>
      <c r="F809" s="5">
        <v>4</v>
      </c>
      <c r="G809" s="34" t="s">
        <v>830</v>
      </c>
      <c r="H809" s="8" t="s">
        <v>32</v>
      </c>
      <c r="I809" t="b">
        <f>+ISNUMBER(SEARCH('F-COMPRA'!$F$28,Tabla11[[#This Row],[Cuenta]],1))</f>
        <v>1</v>
      </c>
      <c r="J809" t="b">
        <f>+ISNUMBER(SEARCH('F-COMPRA'!$F$29,Tabla11[[#This Row],[Cuenta]],1))</f>
        <v>1</v>
      </c>
      <c r="K809" t="b">
        <f>+ISNUMBER(SEARCH('F-COMPRA'!$F$30,Tabla11[[#This Row],[Cuenta]],1))</f>
        <v>1</v>
      </c>
      <c r="L809" t="b">
        <f>+ISNUMBER(SEARCH('F-COMPRA'!$F$31,Tabla11[[#This Row],[Cuenta]],1))</f>
        <v>1</v>
      </c>
      <c r="M809" t="b">
        <f>+ISNUMBER(SEARCH('F-COMPRA'!$G$25,Tabla11[[#This Row],[Cuenta]],1))</f>
        <v>0</v>
      </c>
      <c r="N809" t="b">
        <f>+ISNUMBER(SEARCH(#REF!,Tabla11[[#This Row],[Cuenta]],1))</f>
        <v>0</v>
      </c>
      <c r="O809" t="b">
        <f>+ISNUMBER(SEARCH(#REF!,Tabla11[[#This Row],[Cuenta]],1))</f>
        <v>0</v>
      </c>
      <c r="P809" t="b">
        <f>+ISNUMBER(SEARCH('F-COMPRA'!$F$32,Tabla11[[#This Row],[Cuenta]],1))</f>
        <v>1</v>
      </c>
      <c r="Q809" t="b">
        <f>+ISNUMBER(SEARCH('F-COMPRA'!$F$33,Tabla11[[#This Row],[Cuenta]],1))</f>
        <v>1</v>
      </c>
      <c r="R809" t="b">
        <f>+ISNUMBER(SEARCH('F-COMPRA'!$F$34,Tabla11[[#This Row],[Cuenta]],1))</f>
        <v>1</v>
      </c>
      <c r="S809" t="b">
        <f>+ISNUMBER(SEARCH('F-COMPRA'!$F$35,Tabla11[[#This Row],[Cuenta]],1))</f>
        <v>1</v>
      </c>
      <c r="T809" t="b">
        <f>+ISNUMBER(SEARCH('F-COMPRA'!$F$36,Tabla11[[#This Row],[Cuenta]],1))</f>
        <v>1</v>
      </c>
      <c r="U809" t="b">
        <f>+ISNUMBER(SEARCH('F-COMPRA'!$F$37,Tabla11[[#This Row],[Cuenta]],1))</f>
        <v>1</v>
      </c>
      <c r="V809" t="b">
        <f>+ISNUMBER(SEARCH(#REF!,Tabla11[[#This Row],[Cuenta]],1))</f>
        <v>0</v>
      </c>
      <c r="W809" t="b">
        <f>+ISNUMBER(SEARCH('F-COMPRA'!#REF!,Tabla11[[#This Row],[Cuenta]],1))</f>
        <v>0</v>
      </c>
      <c r="X809" t="b">
        <f>+ISNUMBER(SEARCH('F-COMPRA'!#REF!,Tabla11[[#This Row],[Cuenta]],1))</f>
        <v>0</v>
      </c>
      <c r="Y809" t="b">
        <f>+ISNUMBER(SEARCH('F-COMPRA'!#REF!,Tabla11[[#This Row],[Cuenta]],1))</f>
        <v>0</v>
      </c>
      <c r="Z809" t="b">
        <f>+ISNUMBER(SEARCH('F-COMPRA'!#REF!,Tabla11[[#This Row],[Cuenta]],1))</f>
        <v>0</v>
      </c>
      <c r="AA809" t="b">
        <f>+ISNUMBER(SEARCH('F-COMPRA'!#REF!,Tabla11[[#This Row],[Cuenta]],1))</f>
        <v>0</v>
      </c>
      <c r="AB809" t="b">
        <f>+ISNUMBER(SEARCH('F-COMPRA'!#REF!,Tabla11[[#This Row],[Cuenta]],1))</f>
        <v>0</v>
      </c>
      <c r="AC809" t="b">
        <f>+ISNUMBER(SEARCH('F-COMPRA'!#REF!,Tabla11[[#This Row],[Cuenta]],1))</f>
        <v>0</v>
      </c>
      <c r="AD809" t="b">
        <f>+ISNUMBER(SEARCH('F-COMPRA'!#REF!,Tabla11[[#This Row],[Cuenta]],1))</f>
        <v>0</v>
      </c>
      <c r="AE809" t="b">
        <f>+ISNUMBER(SEARCH('F-COMPRA'!#REF!,Tabla11[[#This Row],[Cuenta]],1))</f>
        <v>0</v>
      </c>
      <c r="AF809" t="b">
        <f>+ISNUMBER(SEARCH('F-VTA'!$G$23,Tabla11[[#This Row],[Cuenta]],1))</f>
        <v>0</v>
      </c>
      <c r="AG809" t="b">
        <f>+ISNUMBER(SEARCH('F-VTA'!$G$24,Tabla11[[#This Row],[Cuenta]],1))</f>
        <v>0</v>
      </c>
      <c r="AH809" t="b">
        <f>+ISNUMBER(SEARCH('F-VTA'!$G$25,Tabla11[[#This Row],[Cuenta]],1))</f>
        <v>0</v>
      </c>
      <c r="AI809" t="b">
        <f>+ISNUMBER(SEARCH('F-VTA'!$F$28,Tabla11[[#This Row],[Cuenta]],1))</f>
        <v>1</v>
      </c>
      <c r="AJ809" t="b">
        <f>+ISNUMBER(SEARCH('F-VTA'!$F$29,Tabla11[[#This Row],[Cuenta]],1))</f>
        <v>1</v>
      </c>
      <c r="AK809" t="b">
        <f>+ISNUMBER(SEARCH('F-VTA'!$F$30,Tabla11[[#This Row],[Cuenta]],1))</f>
        <v>1</v>
      </c>
      <c r="AL809" t="b">
        <f>+ISNUMBER(SEARCH('F-VTA'!$F$31,Tabla11[[#This Row],[Cuenta]],1))</f>
        <v>1</v>
      </c>
      <c r="AM809" t="b">
        <f>+ISNUMBER(SEARCH('F-VTA'!$F$32,Tabla11[[#This Row],[Cuenta]],1))</f>
        <v>1</v>
      </c>
      <c r="AN809" t="b">
        <f>+ISNUMBER(SEARCH('F-VTA'!$F$33,Tabla11[[#This Row],[Cuenta]],1))</f>
        <v>1</v>
      </c>
      <c r="AO809" t="b">
        <f>+ISNUMBER(SEARCH('F-VTA'!$F$34,Tabla11[[#This Row],[Cuenta]],1))</f>
        <v>1</v>
      </c>
      <c r="AP809" t="b">
        <f>+ISNUMBER(SEARCH('F-VTA'!$F$35,Tabla11[[#This Row],[Cuenta]],1))</f>
        <v>1</v>
      </c>
      <c r="AQ809" t="b">
        <f>+ISNUMBER(SEARCH('F-VTA'!$F$36,Tabla11[[#This Row],[Cuenta]],1))</f>
        <v>1</v>
      </c>
      <c r="AR809" t="b">
        <f>+ISNUMBER(SEARCH(#REF!,Tabla11[[#This Row],[Cuenta]],1))</f>
        <v>0</v>
      </c>
      <c r="AS809" t="b">
        <f>+ISNUMBER(SEARCH(#REF!,Tabla11[[#This Row],[Cuenta]],1))</f>
        <v>0</v>
      </c>
      <c r="AT809" t="b">
        <f>+ISNUMBER(SEARCH(#REF!,Tabla11[[#This Row],[Cuenta]],1))</f>
        <v>0</v>
      </c>
      <c r="AU809" t="b">
        <f>+ISNUMBER(SEARCH('Conc. Ban.1'!$I$9,Tabla11[[#This Row],[Cuenta]],1))</f>
        <v>0</v>
      </c>
      <c r="AV809" t="b">
        <f>+ISNUMBER(SEARCH(CompConta!$F$21,Tabla11[[#This Row],[Cuenta]],1))</f>
        <v>1</v>
      </c>
      <c r="AW809" t="b">
        <f>+ISNUMBER(SEARCH(CompConta!$F$22,Tabla11[[#This Row],[Cuenta]],1))</f>
        <v>1</v>
      </c>
      <c r="AX809" t="b">
        <f>+ISNUMBER(SEARCH(CompConta!$F$23,Tabla11[[#This Row],[Cuenta]],1))</f>
        <v>1</v>
      </c>
      <c r="AY809" t="b">
        <f>+ISNUMBER(SEARCH(CompConta!$F$24,Tabla11[[#This Row],[Cuenta]],1))</f>
        <v>1</v>
      </c>
      <c r="AZ809" t="b">
        <f>+ISNUMBER(SEARCH(CompConta!$F$25,Tabla11[[#This Row],[Cuenta]],1))</f>
        <v>1</v>
      </c>
      <c r="BA809" t="b">
        <f>+ISNUMBER(SEARCH(CompConta!$F$26,Tabla11[[#This Row],[Cuenta]],1))</f>
        <v>1</v>
      </c>
      <c r="BB809" t="b">
        <f>+ISNUMBER(SEARCH(CompConta!$F$27,Tabla11[[#This Row],[Cuenta]],1))</f>
        <v>1</v>
      </c>
      <c r="BC809" t="b">
        <f>+ISNUMBER(SEARCH(CompConta!$F$28,Tabla11[[#This Row],[Cuenta]],1))</f>
        <v>1</v>
      </c>
      <c r="BD809" t="b">
        <f>+ISNUMBER(SEARCH(CompConta!$F$29,Tabla11[[#This Row],[Cuenta]],1))</f>
        <v>1</v>
      </c>
      <c r="BE809" t="b">
        <f>+ISNUMBER(SEARCH(CompConta!$F$30,Tabla11[[#This Row],[Cuenta]],1))</f>
        <v>1</v>
      </c>
      <c r="BF809" t="b">
        <f>+ISNUMBER(SEARCH('PAGO Compras'!$E$11,Tabla11[[#This Row],[Cuenta]],1))</f>
        <v>1</v>
      </c>
      <c r="BG809" t="b">
        <f>+ISNUMBER(SEARCH(#REF!,Tabla11[[#This Row],[Cuenta]],1))</f>
        <v>0</v>
      </c>
      <c r="BH809" t="b">
        <f>+ISNUMBER(SEARCH(#REF!,Tabla11[[#This Row],[Cuenta]],1))</f>
        <v>0</v>
      </c>
      <c r="BI809" t="b">
        <f>+ISNUMBER(SEARCH(#REF!,Tabla11[[#This Row],[Cuenta]],1))</f>
        <v>0</v>
      </c>
      <c r="BJ809" t="b">
        <f>+ISNUMBER(SEARCH(#REF!,Tabla11[[#This Row],[Cuenta]],1))</f>
        <v>0</v>
      </c>
      <c r="BS809" t="str">
        <v>511505 Industria y comercio</v>
      </c>
      <c r="BT809" t="str">
        <v>511505 Industria y comercio</v>
      </c>
      <c r="BU809" t="str">
        <v>511505 Industria y comercio</v>
      </c>
      <c r="BV809" t="str">
        <v>511505 Industria y comercio</v>
      </c>
      <c r="BZ809" t="str">
        <v>511505 Industria y comercio</v>
      </c>
      <c r="CA809" t="str">
        <v>511505 Industria y comercio</v>
      </c>
      <c r="CB809" t="str">
        <v>511505 Industria y comercio</v>
      </c>
      <c r="CC809" t="str">
        <v>511505 Industria y comercio</v>
      </c>
      <c r="CD809" t="str">
        <v>511505 Industria y comercio</v>
      </c>
      <c r="CE809" t="str">
        <v>511505 Industria y comercio</v>
      </c>
      <c r="CS809" s="141" t="str">
        <v>511505 Industria y comercio</v>
      </c>
      <c r="CT809" s="141" t="str">
        <v>511505 Industria y comercio</v>
      </c>
      <c r="CU809" s="141" t="str">
        <v>511505 Industria y comercio</v>
      </c>
      <c r="CV809" s="141" t="str">
        <v>511505 Industria y comercio</v>
      </c>
      <c r="CW809" s="141" t="str">
        <v>511505 Industria y comercio</v>
      </c>
      <c r="CX809" s="141" t="str">
        <v>511505 Industria y comercio</v>
      </c>
      <c r="CY809" s="141" t="str">
        <v>511505 Industria y comercio</v>
      </c>
      <c r="CZ809" s="141" t="str">
        <v>511505 Industria y comercio</v>
      </c>
      <c r="DA809" s="141" t="str">
        <v>511505 Industria y comercio</v>
      </c>
      <c r="DF809" t="str">
        <v>511505 Industria y comercio</v>
      </c>
      <c r="DG809" t="str">
        <v>511505 Industria y comercio</v>
      </c>
      <c r="DH809" t="str">
        <v>511505 Industria y comercio</v>
      </c>
      <c r="DI809" t="str">
        <v>511505 Industria y comercio</v>
      </c>
      <c r="DJ809" t="str">
        <v>511505 Industria y comercio</v>
      </c>
      <c r="DK809" t="str">
        <v>511505 Industria y comercio</v>
      </c>
      <c r="DL809" t="str">
        <v>511505 Industria y comercio</v>
      </c>
      <c r="DM809" t="str">
        <v>511505 Industria y comercio</v>
      </c>
      <c r="DN809" t="str">
        <v>511505 Industria y comercio</v>
      </c>
      <c r="DO809" t="str">
        <v>511505 Industria y comercio</v>
      </c>
      <c r="DP809" t="str">
        <v>511505 Industria y comercio</v>
      </c>
    </row>
    <row r="810" spans="4:120" ht="12.75">
      <c r="D810" s="7">
        <v>511510</v>
      </c>
      <c r="E810" s="6" t="s">
        <v>564</v>
      </c>
      <c r="F810" s="5">
        <v>4</v>
      </c>
      <c r="G810" s="34" t="s">
        <v>830</v>
      </c>
      <c r="H810" s="8" t="s">
        <v>32</v>
      </c>
      <c r="I810" t="b">
        <f>+ISNUMBER(SEARCH('F-COMPRA'!$F$28,Tabla11[[#This Row],[Cuenta]],1))</f>
        <v>1</v>
      </c>
      <c r="J810" t="b">
        <f>+ISNUMBER(SEARCH('F-COMPRA'!$F$29,Tabla11[[#This Row],[Cuenta]],1))</f>
        <v>1</v>
      </c>
      <c r="K810" t="b">
        <f>+ISNUMBER(SEARCH('F-COMPRA'!$F$30,Tabla11[[#This Row],[Cuenta]],1))</f>
        <v>1</v>
      </c>
      <c r="L810" t="b">
        <f>+ISNUMBER(SEARCH('F-COMPRA'!$F$31,Tabla11[[#This Row],[Cuenta]],1))</f>
        <v>1</v>
      </c>
      <c r="M810" t="b">
        <f>+ISNUMBER(SEARCH('F-COMPRA'!$G$25,Tabla11[[#This Row],[Cuenta]],1))</f>
        <v>0</v>
      </c>
      <c r="N810" t="b">
        <f>+ISNUMBER(SEARCH(#REF!,Tabla11[[#This Row],[Cuenta]],1))</f>
        <v>0</v>
      </c>
      <c r="O810" t="b">
        <f>+ISNUMBER(SEARCH(#REF!,Tabla11[[#This Row],[Cuenta]],1))</f>
        <v>0</v>
      </c>
      <c r="P810" t="b">
        <f>+ISNUMBER(SEARCH('F-COMPRA'!$F$32,Tabla11[[#This Row],[Cuenta]],1))</f>
        <v>1</v>
      </c>
      <c r="Q810" t="b">
        <f>+ISNUMBER(SEARCH('F-COMPRA'!$F$33,Tabla11[[#This Row],[Cuenta]],1))</f>
        <v>1</v>
      </c>
      <c r="R810" t="b">
        <f>+ISNUMBER(SEARCH('F-COMPRA'!$F$34,Tabla11[[#This Row],[Cuenta]],1))</f>
        <v>1</v>
      </c>
      <c r="S810" t="b">
        <f>+ISNUMBER(SEARCH('F-COMPRA'!$F$35,Tabla11[[#This Row],[Cuenta]],1))</f>
        <v>1</v>
      </c>
      <c r="T810" t="b">
        <f>+ISNUMBER(SEARCH('F-COMPRA'!$F$36,Tabla11[[#This Row],[Cuenta]],1))</f>
        <v>1</v>
      </c>
      <c r="U810" t="b">
        <f>+ISNUMBER(SEARCH('F-COMPRA'!$F$37,Tabla11[[#This Row],[Cuenta]],1))</f>
        <v>1</v>
      </c>
      <c r="V810" t="b">
        <f>+ISNUMBER(SEARCH(#REF!,Tabla11[[#This Row],[Cuenta]],1))</f>
        <v>0</v>
      </c>
      <c r="W810" t="b">
        <f>+ISNUMBER(SEARCH('F-COMPRA'!#REF!,Tabla11[[#This Row],[Cuenta]],1))</f>
        <v>0</v>
      </c>
      <c r="X810" t="b">
        <f>+ISNUMBER(SEARCH('F-COMPRA'!#REF!,Tabla11[[#This Row],[Cuenta]],1))</f>
        <v>0</v>
      </c>
      <c r="Y810" t="b">
        <f>+ISNUMBER(SEARCH('F-COMPRA'!#REF!,Tabla11[[#This Row],[Cuenta]],1))</f>
        <v>0</v>
      </c>
      <c r="Z810" t="b">
        <f>+ISNUMBER(SEARCH('F-COMPRA'!#REF!,Tabla11[[#This Row],[Cuenta]],1))</f>
        <v>0</v>
      </c>
      <c r="AA810" t="b">
        <f>+ISNUMBER(SEARCH('F-COMPRA'!#REF!,Tabla11[[#This Row],[Cuenta]],1))</f>
        <v>0</v>
      </c>
      <c r="AB810" t="b">
        <f>+ISNUMBER(SEARCH('F-COMPRA'!#REF!,Tabla11[[#This Row],[Cuenta]],1))</f>
        <v>0</v>
      </c>
      <c r="AC810" t="b">
        <f>+ISNUMBER(SEARCH('F-COMPRA'!#REF!,Tabla11[[#This Row],[Cuenta]],1))</f>
        <v>0</v>
      </c>
      <c r="AD810" t="b">
        <f>+ISNUMBER(SEARCH('F-COMPRA'!#REF!,Tabla11[[#This Row],[Cuenta]],1))</f>
        <v>0</v>
      </c>
      <c r="AE810" t="b">
        <f>+ISNUMBER(SEARCH('F-COMPRA'!#REF!,Tabla11[[#This Row],[Cuenta]],1))</f>
        <v>0</v>
      </c>
      <c r="AF810" t="b">
        <f>+ISNUMBER(SEARCH('F-VTA'!$G$23,Tabla11[[#This Row],[Cuenta]],1))</f>
        <v>0</v>
      </c>
      <c r="AG810" t="b">
        <f>+ISNUMBER(SEARCH('F-VTA'!$G$24,Tabla11[[#This Row],[Cuenta]],1))</f>
        <v>0</v>
      </c>
      <c r="AH810" t="b">
        <f>+ISNUMBER(SEARCH('F-VTA'!$G$25,Tabla11[[#This Row],[Cuenta]],1))</f>
        <v>0</v>
      </c>
      <c r="AI810" t="b">
        <f>+ISNUMBER(SEARCH('F-VTA'!$F$28,Tabla11[[#This Row],[Cuenta]],1))</f>
        <v>1</v>
      </c>
      <c r="AJ810" t="b">
        <f>+ISNUMBER(SEARCH('F-VTA'!$F$29,Tabla11[[#This Row],[Cuenta]],1))</f>
        <v>1</v>
      </c>
      <c r="AK810" t="b">
        <f>+ISNUMBER(SEARCH('F-VTA'!$F$30,Tabla11[[#This Row],[Cuenta]],1))</f>
        <v>1</v>
      </c>
      <c r="AL810" t="b">
        <f>+ISNUMBER(SEARCH('F-VTA'!$F$31,Tabla11[[#This Row],[Cuenta]],1))</f>
        <v>1</v>
      </c>
      <c r="AM810" t="b">
        <f>+ISNUMBER(SEARCH('F-VTA'!$F$32,Tabla11[[#This Row],[Cuenta]],1))</f>
        <v>1</v>
      </c>
      <c r="AN810" t="b">
        <f>+ISNUMBER(SEARCH('F-VTA'!$F$33,Tabla11[[#This Row],[Cuenta]],1))</f>
        <v>1</v>
      </c>
      <c r="AO810" t="b">
        <f>+ISNUMBER(SEARCH('F-VTA'!$F$34,Tabla11[[#This Row],[Cuenta]],1))</f>
        <v>1</v>
      </c>
      <c r="AP810" t="b">
        <f>+ISNUMBER(SEARCH('F-VTA'!$F$35,Tabla11[[#This Row],[Cuenta]],1))</f>
        <v>1</v>
      </c>
      <c r="AQ810" t="b">
        <f>+ISNUMBER(SEARCH('F-VTA'!$F$36,Tabla11[[#This Row],[Cuenta]],1))</f>
        <v>1</v>
      </c>
      <c r="AR810" t="b">
        <f>+ISNUMBER(SEARCH(#REF!,Tabla11[[#This Row],[Cuenta]],1))</f>
        <v>0</v>
      </c>
      <c r="AS810" t="b">
        <f>+ISNUMBER(SEARCH(#REF!,Tabla11[[#This Row],[Cuenta]],1))</f>
        <v>0</v>
      </c>
      <c r="AT810" t="b">
        <f>+ISNUMBER(SEARCH(#REF!,Tabla11[[#This Row],[Cuenta]],1))</f>
        <v>0</v>
      </c>
      <c r="AU810" t="b">
        <f>+ISNUMBER(SEARCH('Conc. Ban.1'!$I$9,Tabla11[[#This Row],[Cuenta]],1))</f>
        <v>0</v>
      </c>
      <c r="AV810" t="b">
        <f>+ISNUMBER(SEARCH(CompConta!$F$21,Tabla11[[#This Row],[Cuenta]],1))</f>
        <v>1</v>
      </c>
      <c r="AW810" t="b">
        <f>+ISNUMBER(SEARCH(CompConta!$F$22,Tabla11[[#This Row],[Cuenta]],1))</f>
        <v>1</v>
      </c>
      <c r="AX810" t="b">
        <f>+ISNUMBER(SEARCH(CompConta!$F$23,Tabla11[[#This Row],[Cuenta]],1))</f>
        <v>1</v>
      </c>
      <c r="AY810" t="b">
        <f>+ISNUMBER(SEARCH(CompConta!$F$24,Tabla11[[#This Row],[Cuenta]],1))</f>
        <v>1</v>
      </c>
      <c r="AZ810" t="b">
        <f>+ISNUMBER(SEARCH(CompConta!$F$25,Tabla11[[#This Row],[Cuenta]],1))</f>
        <v>1</v>
      </c>
      <c r="BA810" t="b">
        <f>+ISNUMBER(SEARCH(CompConta!$F$26,Tabla11[[#This Row],[Cuenta]],1))</f>
        <v>1</v>
      </c>
      <c r="BB810" t="b">
        <f>+ISNUMBER(SEARCH(CompConta!$F$27,Tabla11[[#This Row],[Cuenta]],1))</f>
        <v>1</v>
      </c>
      <c r="BC810" t="b">
        <f>+ISNUMBER(SEARCH(CompConta!$F$28,Tabla11[[#This Row],[Cuenta]],1))</f>
        <v>1</v>
      </c>
      <c r="BD810" t="b">
        <f>+ISNUMBER(SEARCH(CompConta!$F$29,Tabla11[[#This Row],[Cuenta]],1))</f>
        <v>1</v>
      </c>
      <c r="BE810" t="b">
        <f>+ISNUMBER(SEARCH(CompConta!$F$30,Tabla11[[#This Row],[Cuenta]],1))</f>
        <v>1</v>
      </c>
      <c r="BF810" t="b">
        <f>+ISNUMBER(SEARCH('PAGO Compras'!$E$11,Tabla11[[#This Row],[Cuenta]],1))</f>
        <v>1</v>
      </c>
      <c r="BG810" t="b">
        <f>+ISNUMBER(SEARCH(#REF!,Tabla11[[#This Row],[Cuenta]],1))</f>
        <v>0</v>
      </c>
      <c r="BH810" t="b">
        <f>+ISNUMBER(SEARCH(#REF!,Tabla11[[#This Row],[Cuenta]],1))</f>
        <v>0</v>
      </c>
      <c r="BI810" t="b">
        <f>+ISNUMBER(SEARCH(#REF!,Tabla11[[#This Row],[Cuenta]],1))</f>
        <v>0</v>
      </c>
      <c r="BJ810" t="b">
        <f>+ISNUMBER(SEARCH(#REF!,Tabla11[[#This Row],[Cuenta]],1))</f>
        <v>0</v>
      </c>
      <c r="BS810" t="str">
        <v>511510 De timbres</v>
      </c>
      <c r="BT810" t="str">
        <v>511510 De timbres</v>
      </c>
      <c r="BU810" t="str">
        <v>511510 De timbres</v>
      </c>
      <c r="BV810" t="str">
        <v>511510 De timbres</v>
      </c>
      <c r="BZ810" t="str">
        <v>511510 De timbres</v>
      </c>
      <c r="CA810" t="str">
        <v>511510 De timbres</v>
      </c>
      <c r="CB810" t="str">
        <v>511510 De timbres</v>
      </c>
      <c r="CC810" t="str">
        <v>511510 De timbres</v>
      </c>
      <c r="CD810" t="str">
        <v>511510 De timbres</v>
      </c>
      <c r="CE810" t="str">
        <v>511510 De timbres</v>
      </c>
      <c r="CS810" s="141" t="str">
        <v>511510 De timbres</v>
      </c>
      <c r="CT810" s="141" t="str">
        <v>511510 De timbres</v>
      </c>
      <c r="CU810" s="141" t="str">
        <v>511510 De timbres</v>
      </c>
      <c r="CV810" s="141" t="str">
        <v>511510 De timbres</v>
      </c>
      <c r="CW810" s="141" t="str">
        <v>511510 De timbres</v>
      </c>
      <c r="CX810" s="141" t="str">
        <v>511510 De timbres</v>
      </c>
      <c r="CY810" s="141" t="str">
        <v>511510 De timbres</v>
      </c>
      <c r="CZ810" s="141" t="str">
        <v>511510 De timbres</v>
      </c>
      <c r="DA810" s="141" t="str">
        <v>511510 De timbres</v>
      </c>
      <c r="DF810" t="str">
        <v>511510 De timbres</v>
      </c>
      <c r="DG810" t="str">
        <v>511510 De timbres</v>
      </c>
      <c r="DH810" t="str">
        <v>511510 De timbres</v>
      </c>
      <c r="DI810" t="str">
        <v>511510 De timbres</v>
      </c>
      <c r="DJ810" t="str">
        <v>511510 De timbres</v>
      </c>
      <c r="DK810" t="str">
        <v>511510 De timbres</v>
      </c>
      <c r="DL810" t="str">
        <v>511510 De timbres</v>
      </c>
      <c r="DM810" t="str">
        <v>511510 De timbres</v>
      </c>
      <c r="DN810" t="str">
        <v>511510 De timbres</v>
      </c>
      <c r="DO810" t="str">
        <v>511510 De timbres</v>
      </c>
      <c r="DP810" t="str">
        <v>511510 De timbres</v>
      </c>
    </row>
    <row r="811" spans="4:120" ht="12.75">
      <c r="D811" s="7">
        <v>511515</v>
      </c>
      <c r="E811" s="6" t="s">
        <v>565</v>
      </c>
      <c r="F811" s="5">
        <v>4</v>
      </c>
      <c r="G811" s="34" t="s">
        <v>830</v>
      </c>
      <c r="H811" s="8" t="s">
        <v>32</v>
      </c>
      <c r="I811" t="b">
        <f>+ISNUMBER(SEARCH('F-COMPRA'!$F$28,Tabla11[[#This Row],[Cuenta]],1))</f>
        <v>1</v>
      </c>
      <c r="J811" t="b">
        <f>+ISNUMBER(SEARCH('F-COMPRA'!$F$29,Tabla11[[#This Row],[Cuenta]],1))</f>
        <v>1</v>
      </c>
      <c r="K811" t="b">
        <f>+ISNUMBER(SEARCH('F-COMPRA'!$F$30,Tabla11[[#This Row],[Cuenta]],1))</f>
        <v>1</v>
      </c>
      <c r="L811" t="b">
        <f>+ISNUMBER(SEARCH('F-COMPRA'!$F$31,Tabla11[[#This Row],[Cuenta]],1))</f>
        <v>1</v>
      </c>
      <c r="M811" t="b">
        <f>+ISNUMBER(SEARCH('F-COMPRA'!$G$25,Tabla11[[#This Row],[Cuenta]],1))</f>
        <v>0</v>
      </c>
      <c r="N811" t="b">
        <f>+ISNUMBER(SEARCH(#REF!,Tabla11[[#This Row],[Cuenta]],1))</f>
        <v>0</v>
      </c>
      <c r="O811" t="b">
        <f>+ISNUMBER(SEARCH(#REF!,Tabla11[[#This Row],[Cuenta]],1))</f>
        <v>0</v>
      </c>
      <c r="P811" t="b">
        <f>+ISNUMBER(SEARCH('F-COMPRA'!$F$32,Tabla11[[#This Row],[Cuenta]],1))</f>
        <v>1</v>
      </c>
      <c r="Q811" t="b">
        <f>+ISNUMBER(SEARCH('F-COMPRA'!$F$33,Tabla11[[#This Row],[Cuenta]],1))</f>
        <v>1</v>
      </c>
      <c r="R811" t="b">
        <f>+ISNUMBER(SEARCH('F-COMPRA'!$F$34,Tabla11[[#This Row],[Cuenta]],1))</f>
        <v>1</v>
      </c>
      <c r="S811" t="b">
        <f>+ISNUMBER(SEARCH('F-COMPRA'!$F$35,Tabla11[[#This Row],[Cuenta]],1))</f>
        <v>1</v>
      </c>
      <c r="T811" t="b">
        <f>+ISNUMBER(SEARCH('F-COMPRA'!$F$36,Tabla11[[#This Row],[Cuenta]],1))</f>
        <v>1</v>
      </c>
      <c r="U811" t="b">
        <f>+ISNUMBER(SEARCH('F-COMPRA'!$F$37,Tabla11[[#This Row],[Cuenta]],1))</f>
        <v>1</v>
      </c>
      <c r="V811" t="b">
        <f>+ISNUMBER(SEARCH(#REF!,Tabla11[[#This Row],[Cuenta]],1))</f>
        <v>0</v>
      </c>
      <c r="W811" t="b">
        <f>+ISNUMBER(SEARCH('F-COMPRA'!#REF!,Tabla11[[#This Row],[Cuenta]],1))</f>
        <v>0</v>
      </c>
      <c r="X811" t="b">
        <f>+ISNUMBER(SEARCH('F-COMPRA'!#REF!,Tabla11[[#This Row],[Cuenta]],1))</f>
        <v>0</v>
      </c>
      <c r="Y811" t="b">
        <f>+ISNUMBER(SEARCH('F-COMPRA'!#REF!,Tabla11[[#This Row],[Cuenta]],1))</f>
        <v>0</v>
      </c>
      <c r="Z811" t="b">
        <f>+ISNUMBER(SEARCH('F-COMPRA'!#REF!,Tabla11[[#This Row],[Cuenta]],1))</f>
        <v>0</v>
      </c>
      <c r="AA811" t="b">
        <f>+ISNUMBER(SEARCH('F-COMPRA'!#REF!,Tabla11[[#This Row],[Cuenta]],1))</f>
        <v>0</v>
      </c>
      <c r="AB811" t="b">
        <f>+ISNUMBER(SEARCH('F-COMPRA'!#REF!,Tabla11[[#This Row],[Cuenta]],1))</f>
        <v>0</v>
      </c>
      <c r="AC811" t="b">
        <f>+ISNUMBER(SEARCH('F-COMPRA'!#REF!,Tabla11[[#This Row],[Cuenta]],1))</f>
        <v>0</v>
      </c>
      <c r="AD811" t="b">
        <f>+ISNUMBER(SEARCH('F-COMPRA'!#REF!,Tabla11[[#This Row],[Cuenta]],1))</f>
        <v>0</v>
      </c>
      <c r="AE811" t="b">
        <f>+ISNUMBER(SEARCH('F-COMPRA'!#REF!,Tabla11[[#This Row],[Cuenta]],1))</f>
        <v>0</v>
      </c>
      <c r="AF811" t="b">
        <f>+ISNUMBER(SEARCH('F-VTA'!$G$23,Tabla11[[#This Row],[Cuenta]],1))</f>
        <v>0</v>
      </c>
      <c r="AG811" t="b">
        <f>+ISNUMBER(SEARCH('F-VTA'!$G$24,Tabla11[[#This Row],[Cuenta]],1))</f>
        <v>0</v>
      </c>
      <c r="AH811" t="b">
        <f>+ISNUMBER(SEARCH('F-VTA'!$G$25,Tabla11[[#This Row],[Cuenta]],1))</f>
        <v>0</v>
      </c>
      <c r="AI811" t="b">
        <f>+ISNUMBER(SEARCH('F-VTA'!$F$28,Tabla11[[#This Row],[Cuenta]],1))</f>
        <v>1</v>
      </c>
      <c r="AJ811" t="b">
        <f>+ISNUMBER(SEARCH('F-VTA'!$F$29,Tabla11[[#This Row],[Cuenta]],1))</f>
        <v>1</v>
      </c>
      <c r="AK811" t="b">
        <f>+ISNUMBER(SEARCH('F-VTA'!$F$30,Tabla11[[#This Row],[Cuenta]],1))</f>
        <v>1</v>
      </c>
      <c r="AL811" t="b">
        <f>+ISNUMBER(SEARCH('F-VTA'!$F$31,Tabla11[[#This Row],[Cuenta]],1))</f>
        <v>1</v>
      </c>
      <c r="AM811" t="b">
        <f>+ISNUMBER(SEARCH('F-VTA'!$F$32,Tabla11[[#This Row],[Cuenta]],1))</f>
        <v>1</v>
      </c>
      <c r="AN811" t="b">
        <f>+ISNUMBER(SEARCH('F-VTA'!$F$33,Tabla11[[#This Row],[Cuenta]],1))</f>
        <v>1</v>
      </c>
      <c r="AO811" t="b">
        <f>+ISNUMBER(SEARCH('F-VTA'!$F$34,Tabla11[[#This Row],[Cuenta]],1))</f>
        <v>1</v>
      </c>
      <c r="AP811" t="b">
        <f>+ISNUMBER(SEARCH('F-VTA'!$F$35,Tabla11[[#This Row],[Cuenta]],1))</f>
        <v>1</v>
      </c>
      <c r="AQ811" t="b">
        <f>+ISNUMBER(SEARCH('F-VTA'!$F$36,Tabla11[[#This Row],[Cuenta]],1))</f>
        <v>1</v>
      </c>
      <c r="AR811" t="b">
        <f>+ISNUMBER(SEARCH(#REF!,Tabla11[[#This Row],[Cuenta]],1))</f>
        <v>0</v>
      </c>
      <c r="AS811" t="b">
        <f>+ISNUMBER(SEARCH(#REF!,Tabla11[[#This Row],[Cuenta]],1))</f>
        <v>0</v>
      </c>
      <c r="AT811" t="b">
        <f>+ISNUMBER(SEARCH(#REF!,Tabla11[[#This Row],[Cuenta]],1))</f>
        <v>0</v>
      </c>
      <c r="AU811" t="b">
        <f>+ISNUMBER(SEARCH('Conc. Ban.1'!$I$9,Tabla11[[#This Row],[Cuenta]],1))</f>
        <v>0</v>
      </c>
      <c r="AV811" t="b">
        <f>+ISNUMBER(SEARCH(CompConta!$F$21,Tabla11[[#This Row],[Cuenta]],1))</f>
        <v>1</v>
      </c>
      <c r="AW811" t="b">
        <f>+ISNUMBER(SEARCH(CompConta!$F$22,Tabla11[[#This Row],[Cuenta]],1))</f>
        <v>1</v>
      </c>
      <c r="AX811" t="b">
        <f>+ISNUMBER(SEARCH(CompConta!$F$23,Tabla11[[#This Row],[Cuenta]],1))</f>
        <v>1</v>
      </c>
      <c r="AY811" t="b">
        <f>+ISNUMBER(SEARCH(CompConta!$F$24,Tabla11[[#This Row],[Cuenta]],1))</f>
        <v>1</v>
      </c>
      <c r="AZ811" t="b">
        <f>+ISNUMBER(SEARCH(CompConta!$F$25,Tabla11[[#This Row],[Cuenta]],1))</f>
        <v>1</v>
      </c>
      <c r="BA811" t="b">
        <f>+ISNUMBER(SEARCH(CompConta!$F$26,Tabla11[[#This Row],[Cuenta]],1))</f>
        <v>1</v>
      </c>
      <c r="BB811" t="b">
        <f>+ISNUMBER(SEARCH(CompConta!$F$27,Tabla11[[#This Row],[Cuenta]],1))</f>
        <v>1</v>
      </c>
      <c r="BC811" t="b">
        <f>+ISNUMBER(SEARCH(CompConta!$F$28,Tabla11[[#This Row],[Cuenta]],1))</f>
        <v>1</v>
      </c>
      <c r="BD811" t="b">
        <f>+ISNUMBER(SEARCH(CompConta!$F$29,Tabla11[[#This Row],[Cuenta]],1))</f>
        <v>1</v>
      </c>
      <c r="BE811" t="b">
        <f>+ISNUMBER(SEARCH(CompConta!$F$30,Tabla11[[#This Row],[Cuenta]],1))</f>
        <v>1</v>
      </c>
      <c r="BF811" t="b">
        <f>+ISNUMBER(SEARCH('PAGO Compras'!$E$11,Tabla11[[#This Row],[Cuenta]],1))</f>
        <v>1</v>
      </c>
      <c r="BG811" t="b">
        <f>+ISNUMBER(SEARCH(#REF!,Tabla11[[#This Row],[Cuenta]],1))</f>
        <v>0</v>
      </c>
      <c r="BH811" t="b">
        <f>+ISNUMBER(SEARCH(#REF!,Tabla11[[#This Row],[Cuenta]],1))</f>
        <v>0</v>
      </c>
      <c r="BI811" t="b">
        <f>+ISNUMBER(SEARCH(#REF!,Tabla11[[#This Row],[Cuenta]],1))</f>
        <v>0</v>
      </c>
      <c r="BJ811" t="b">
        <f>+ISNUMBER(SEARCH(#REF!,Tabla11[[#This Row],[Cuenta]],1))</f>
        <v>0</v>
      </c>
      <c r="BS811" t="str">
        <v>511515 A la propiedad raíz</v>
      </c>
      <c r="BT811" t="str">
        <v>511515 A la propiedad raíz</v>
      </c>
      <c r="BU811" t="str">
        <v>511515 A la propiedad raíz</v>
      </c>
      <c r="BV811" t="str">
        <v>511515 A la propiedad raíz</v>
      </c>
      <c r="BZ811" t="str">
        <v>511515 A la propiedad raíz</v>
      </c>
      <c r="CA811" t="str">
        <v>511515 A la propiedad raíz</v>
      </c>
      <c r="CB811" t="str">
        <v>511515 A la propiedad raíz</v>
      </c>
      <c r="CC811" t="str">
        <v>511515 A la propiedad raíz</v>
      </c>
      <c r="CD811" t="str">
        <v>511515 A la propiedad raíz</v>
      </c>
      <c r="CE811" t="str">
        <v>511515 A la propiedad raíz</v>
      </c>
      <c r="CS811" s="141" t="str">
        <v>511515 A la propiedad raíz</v>
      </c>
      <c r="CT811" s="141" t="str">
        <v>511515 A la propiedad raíz</v>
      </c>
      <c r="CU811" s="141" t="str">
        <v>511515 A la propiedad raíz</v>
      </c>
      <c r="CV811" s="141" t="str">
        <v>511515 A la propiedad raíz</v>
      </c>
      <c r="CW811" s="141" t="str">
        <v>511515 A la propiedad raíz</v>
      </c>
      <c r="CX811" s="141" t="str">
        <v>511515 A la propiedad raíz</v>
      </c>
      <c r="CY811" s="141" t="str">
        <v>511515 A la propiedad raíz</v>
      </c>
      <c r="CZ811" s="141" t="str">
        <v>511515 A la propiedad raíz</v>
      </c>
      <c r="DA811" s="141" t="str">
        <v>511515 A la propiedad raíz</v>
      </c>
      <c r="DF811" t="str">
        <v>511515 A la propiedad raíz</v>
      </c>
      <c r="DG811" t="str">
        <v>511515 A la propiedad raíz</v>
      </c>
      <c r="DH811" t="str">
        <v>511515 A la propiedad raíz</v>
      </c>
      <c r="DI811" t="str">
        <v>511515 A la propiedad raíz</v>
      </c>
      <c r="DJ811" t="str">
        <v>511515 A la propiedad raíz</v>
      </c>
      <c r="DK811" t="str">
        <v>511515 A la propiedad raíz</v>
      </c>
      <c r="DL811" t="str">
        <v>511515 A la propiedad raíz</v>
      </c>
      <c r="DM811" t="str">
        <v>511515 A la propiedad raíz</v>
      </c>
      <c r="DN811" t="str">
        <v>511515 A la propiedad raíz</v>
      </c>
      <c r="DO811" t="str">
        <v>511515 A la propiedad raíz</v>
      </c>
      <c r="DP811" t="str">
        <v>511515 A la propiedad raíz</v>
      </c>
    </row>
    <row r="812" spans="4:120" ht="12.75">
      <c r="D812" s="7">
        <v>511520</v>
      </c>
      <c r="E812" s="6" t="s">
        <v>566</v>
      </c>
      <c r="F812" s="5">
        <v>4</v>
      </c>
      <c r="G812" s="34" t="s">
        <v>830</v>
      </c>
      <c r="H812" s="8" t="s">
        <v>32</v>
      </c>
      <c r="I812" t="b">
        <f>+ISNUMBER(SEARCH('F-COMPRA'!$F$28,Tabla11[[#This Row],[Cuenta]],1))</f>
        <v>1</v>
      </c>
      <c r="J812" t="b">
        <f>+ISNUMBER(SEARCH('F-COMPRA'!$F$29,Tabla11[[#This Row],[Cuenta]],1))</f>
        <v>1</v>
      </c>
      <c r="K812" t="b">
        <f>+ISNUMBER(SEARCH('F-COMPRA'!$F$30,Tabla11[[#This Row],[Cuenta]],1))</f>
        <v>1</v>
      </c>
      <c r="L812" t="b">
        <f>+ISNUMBER(SEARCH('F-COMPRA'!$F$31,Tabla11[[#This Row],[Cuenta]],1))</f>
        <v>1</v>
      </c>
      <c r="M812" t="b">
        <f>+ISNUMBER(SEARCH('F-COMPRA'!$G$25,Tabla11[[#This Row],[Cuenta]],1))</f>
        <v>0</v>
      </c>
      <c r="N812" t="b">
        <f>+ISNUMBER(SEARCH(#REF!,Tabla11[[#This Row],[Cuenta]],1))</f>
        <v>0</v>
      </c>
      <c r="O812" t="b">
        <f>+ISNUMBER(SEARCH(#REF!,Tabla11[[#This Row],[Cuenta]],1))</f>
        <v>0</v>
      </c>
      <c r="P812" t="b">
        <f>+ISNUMBER(SEARCH('F-COMPRA'!$F$32,Tabla11[[#This Row],[Cuenta]],1))</f>
        <v>1</v>
      </c>
      <c r="Q812" t="b">
        <f>+ISNUMBER(SEARCH('F-COMPRA'!$F$33,Tabla11[[#This Row],[Cuenta]],1))</f>
        <v>1</v>
      </c>
      <c r="R812" t="b">
        <f>+ISNUMBER(SEARCH('F-COMPRA'!$F$34,Tabla11[[#This Row],[Cuenta]],1))</f>
        <v>1</v>
      </c>
      <c r="S812" t="b">
        <f>+ISNUMBER(SEARCH('F-COMPRA'!$F$35,Tabla11[[#This Row],[Cuenta]],1))</f>
        <v>1</v>
      </c>
      <c r="T812" t="b">
        <f>+ISNUMBER(SEARCH('F-COMPRA'!$F$36,Tabla11[[#This Row],[Cuenta]],1))</f>
        <v>1</v>
      </c>
      <c r="U812" t="b">
        <f>+ISNUMBER(SEARCH('F-COMPRA'!$F$37,Tabla11[[#This Row],[Cuenta]],1))</f>
        <v>1</v>
      </c>
      <c r="V812" t="b">
        <f>+ISNUMBER(SEARCH(#REF!,Tabla11[[#This Row],[Cuenta]],1))</f>
        <v>0</v>
      </c>
      <c r="W812" t="b">
        <f>+ISNUMBER(SEARCH('F-COMPRA'!#REF!,Tabla11[[#This Row],[Cuenta]],1))</f>
        <v>0</v>
      </c>
      <c r="X812" t="b">
        <f>+ISNUMBER(SEARCH('F-COMPRA'!#REF!,Tabla11[[#This Row],[Cuenta]],1))</f>
        <v>0</v>
      </c>
      <c r="Y812" t="b">
        <f>+ISNUMBER(SEARCH('F-COMPRA'!#REF!,Tabla11[[#This Row],[Cuenta]],1))</f>
        <v>0</v>
      </c>
      <c r="Z812" t="b">
        <f>+ISNUMBER(SEARCH('F-COMPRA'!#REF!,Tabla11[[#This Row],[Cuenta]],1))</f>
        <v>0</v>
      </c>
      <c r="AA812" t="b">
        <f>+ISNUMBER(SEARCH('F-COMPRA'!#REF!,Tabla11[[#This Row],[Cuenta]],1))</f>
        <v>0</v>
      </c>
      <c r="AB812" t="b">
        <f>+ISNUMBER(SEARCH('F-COMPRA'!#REF!,Tabla11[[#This Row],[Cuenta]],1))</f>
        <v>0</v>
      </c>
      <c r="AC812" t="b">
        <f>+ISNUMBER(SEARCH('F-COMPRA'!#REF!,Tabla11[[#This Row],[Cuenta]],1))</f>
        <v>0</v>
      </c>
      <c r="AD812" t="b">
        <f>+ISNUMBER(SEARCH('F-COMPRA'!#REF!,Tabla11[[#This Row],[Cuenta]],1))</f>
        <v>0</v>
      </c>
      <c r="AE812" t="b">
        <f>+ISNUMBER(SEARCH('F-COMPRA'!#REF!,Tabla11[[#This Row],[Cuenta]],1))</f>
        <v>0</v>
      </c>
      <c r="AF812" t="b">
        <f>+ISNUMBER(SEARCH('F-VTA'!$G$23,Tabla11[[#This Row],[Cuenta]],1))</f>
        <v>0</v>
      </c>
      <c r="AG812" t="b">
        <f>+ISNUMBER(SEARCH('F-VTA'!$G$24,Tabla11[[#This Row],[Cuenta]],1))</f>
        <v>0</v>
      </c>
      <c r="AH812" t="b">
        <f>+ISNUMBER(SEARCH('F-VTA'!$G$25,Tabla11[[#This Row],[Cuenta]],1))</f>
        <v>0</v>
      </c>
      <c r="AI812" t="b">
        <f>+ISNUMBER(SEARCH('F-VTA'!$F$28,Tabla11[[#This Row],[Cuenta]],1))</f>
        <v>1</v>
      </c>
      <c r="AJ812" t="b">
        <f>+ISNUMBER(SEARCH('F-VTA'!$F$29,Tabla11[[#This Row],[Cuenta]],1))</f>
        <v>1</v>
      </c>
      <c r="AK812" t="b">
        <f>+ISNUMBER(SEARCH('F-VTA'!$F$30,Tabla11[[#This Row],[Cuenta]],1))</f>
        <v>1</v>
      </c>
      <c r="AL812" t="b">
        <f>+ISNUMBER(SEARCH('F-VTA'!$F$31,Tabla11[[#This Row],[Cuenta]],1))</f>
        <v>1</v>
      </c>
      <c r="AM812" t="b">
        <f>+ISNUMBER(SEARCH('F-VTA'!$F$32,Tabla11[[#This Row],[Cuenta]],1))</f>
        <v>1</v>
      </c>
      <c r="AN812" t="b">
        <f>+ISNUMBER(SEARCH('F-VTA'!$F$33,Tabla11[[#This Row],[Cuenta]],1))</f>
        <v>1</v>
      </c>
      <c r="AO812" t="b">
        <f>+ISNUMBER(SEARCH('F-VTA'!$F$34,Tabla11[[#This Row],[Cuenta]],1))</f>
        <v>1</v>
      </c>
      <c r="AP812" t="b">
        <f>+ISNUMBER(SEARCH('F-VTA'!$F$35,Tabla11[[#This Row],[Cuenta]],1))</f>
        <v>1</v>
      </c>
      <c r="AQ812" t="b">
        <f>+ISNUMBER(SEARCH('F-VTA'!$F$36,Tabla11[[#This Row],[Cuenta]],1))</f>
        <v>1</v>
      </c>
      <c r="AR812" t="b">
        <f>+ISNUMBER(SEARCH(#REF!,Tabla11[[#This Row],[Cuenta]],1))</f>
        <v>0</v>
      </c>
      <c r="AS812" t="b">
        <f>+ISNUMBER(SEARCH(#REF!,Tabla11[[#This Row],[Cuenta]],1))</f>
        <v>0</v>
      </c>
      <c r="AT812" t="b">
        <f>+ISNUMBER(SEARCH(#REF!,Tabla11[[#This Row],[Cuenta]],1))</f>
        <v>0</v>
      </c>
      <c r="AU812" t="b">
        <f>+ISNUMBER(SEARCH('Conc. Ban.1'!$I$9,Tabla11[[#This Row],[Cuenta]],1))</f>
        <v>0</v>
      </c>
      <c r="AV812" t="b">
        <f>+ISNUMBER(SEARCH(CompConta!$F$21,Tabla11[[#This Row],[Cuenta]],1))</f>
        <v>1</v>
      </c>
      <c r="AW812" t="b">
        <f>+ISNUMBER(SEARCH(CompConta!$F$22,Tabla11[[#This Row],[Cuenta]],1))</f>
        <v>1</v>
      </c>
      <c r="AX812" t="b">
        <f>+ISNUMBER(SEARCH(CompConta!$F$23,Tabla11[[#This Row],[Cuenta]],1))</f>
        <v>1</v>
      </c>
      <c r="AY812" t="b">
        <f>+ISNUMBER(SEARCH(CompConta!$F$24,Tabla11[[#This Row],[Cuenta]],1))</f>
        <v>1</v>
      </c>
      <c r="AZ812" t="b">
        <f>+ISNUMBER(SEARCH(CompConta!$F$25,Tabla11[[#This Row],[Cuenta]],1))</f>
        <v>1</v>
      </c>
      <c r="BA812" t="b">
        <f>+ISNUMBER(SEARCH(CompConta!$F$26,Tabla11[[#This Row],[Cuenta]],1))</f>
        <v>1</v>
      </c>
      <c r="BB812" t="b">
        <f>+ISNUMBER(SEARCH(CompConta!$F$27,Tabla11[[#This Row],[Cuenta]],1))</f>
        <v>1</v>
      </c>
      <c r="BC812" t="b">
        <f>+ISNUMBER(SEARCH(CompConta!$F$28,Tabla11[[#This Row],[Cuenta]],1))</f>
        <v>1</v>
      </c>
      <c r="BD812" t="b">
        <f>+ISNUMBER(SEARCH(CompConta!$F$29,Tabla11[[#This Row],[Cuenta]],1))</f>
        <v>1</v>
      </c>
      <c r="BE812" t="b">
        <f>+ISNUMBER(SEARCH(CompConta!$F$30,Tabla11[[#This Row],[Cuenta]],1))</f>
        <v>1</v>
      </c>
      <c r="BF812" t="b">
        <f>+ISNUMBER(SEARCH('PAGO Compras'!$E$11,Tabla11[[#This Row],[Cuenta]],1))</f>
        <v>1</v>
      </c>
      <c r="BG812" t="b">
        <f>+ISNUMBER(SEARCH(#REF!,Tabla11[[#This Row],[Cuenta]],1))</f>
        <v>0</v>
      </c>
      <c r="BH812" t="b">
        <f>+ISNUMBER(SEARCH(#REF!,Tabla11[[#This Row],[Cuenta]],1))</f>
        <v>0</v>
      </c>
      <c r="BI812" t="b">
        <f>+ISNUMBER(SEARCH(#REF!,Tabla11[[#This Row],[Cuenta]],1))</f>
        <v>0</v>
      </c>
      <c r="BJ812" t="b">
        <f>+ISNUMBER(SEARCH(#REF!,Tabla11[[#This Row],[Cuenta]],1))</f>
        <v>0</v>
      </c>
      <c r="BS812" t="str">
        <v>511520 Derechos sobre instrumentos públicos</v>
      </c>
      <c r="BT812" t="str">
        <v>511520 Derechos sobre instrumentos públicos</v>
      </c>
      <c r="BU812" t="str">
        <v>511520 Derechos sobre instrumentos públicos</v>
      </c>
      <c r="BV812" t="str">
        <v>511520 Derechos sobre instrumentos públicos</v>
      </c>
      <c r="BZ812" t="str">
        <v>511520 Derechos sobre instrumentos públicos</v>
      </c>
      <c r="CA812" t="str">
        <v>511520 Derechos sobre instrumentos públicos</v>
      </c>
      <c r="CB812" t="str">
        <v>511520 Derechos sobre instrumentos públicos</v>
      </c>
      <c r="CC812" t="str">
        <v>511520 Derechos sobre instrumentos públicos</v>
      </c>
      <c r="CD812" t="str">
        <v>511520 Derechos sobre instrumentos públicos</v>
      </c>
      <c r="CE812" t="str">
        <v>511520 Derechos sobre instrumentos públicos</v>
      </c>
      <c r="CS812" s="141" t="str">
        <v>511520 Derechos sobre instrumentos públicos</v>
      </c>
      <c r="CT812" s="141" t="str">
        <v>511520 Derechos sobre instrumentos públicos</v>
      </c>
      <c r="CU812" s="141" t="str">
        <v>511520 Derechos sobre instrumentos públicos</v>
      </c>
      <c r="CV812" s="141" t="str">
        <v>511520 Derechos sobre instrumentos públicos</v>
      </c>
      <c r="CW812" s="141" t="str">
        <v>511520 Derechos sobre instrumentos públicos</v>
      </c>
      <c r="CX812" s="141" t="str">
        <v>511520 Derechos sobre instrumentos públicos</v>
      </c>
      <c r="CY812" s="141" t="str">
        <v>511520 Derechos sobre instrumentos públicos</v>
      </c>
      <c r="CZ812" s="141" t="str">
        <v>511520 Derechos sobre instrumentos públicos</v>
      </c>
      <c r="DA812" s="141" t="str">
        <v>511520 Derechos sobre instrumentos públicos</v>
      </c>
      <c r="DF812" t="str">
        <v>511520 Derechos sobre instrumentos públicos</v>
      </c>
      <c r="DG812" t="str">
        <v>511520 Derechos sobre instrumentos públicos</v>
      </c>
      <c r="DH812" t="str">
        <v>511520 Derechos sobre instrumentos públicos</v>
      </c>
      <c r="DI812" t="str">
        <v>511520 Derechos sobre instrumentos públicos</v>
      </c>
      <c r="DJ812" t="str">
        <v>511520 Derechos sobre instrumentos públicos</v>
      </c>
      <c r="DK812" t="str">
        <v>511520 Derechos sobre instrumentos públicos</v>
      </c>
      <c r="DL812" t="str">
        <v>511520 Derechos sobre instrumentos públicos</v>
      </c>
      <c r="DM812" t="str">
        <v>511520 Derechos sobre instrumentos públicos</v>
      </c>
      <c r="DN812" t="str">
        <v>511520 Derechos sobre instrumentos públicos</v>
      </c>
      <c r="DO812" t="str">
        <v>511520 Derechos sobre instrumentos públicos</v>
      </c>
      <c r="DP812" t="str">
        <v>511520 Derechos sobre instrumentos públicos</v>
      </c>
    </row>
    <row r="813" spans="4:120" ht="12.75">
      <c r="D813" s="7">
        <v>511525</v>
      </c>
      <c r="E813" s="6" t="s">
        <v>567</v>
      </c>
      <c r="F813" s="5">
        <v>4</v>
      </c>
      <c r="G813" s="34" t="s">
        <v>830</v>
      </c>
      <c r="H813" s="8" t="s">
        <v>32</v>
      </c>
      <c r="I813" t="b">
        <f>+ISNUMBER(SEARCH('F-COMPRA'!$F$28,Tabla11[[#This Row],[Cuenta]],1))</f>
        <v>1</v>
      </c>
      <c r="J813" t="b">
        <f>+ISNUMBER(SEARCH('F-COMPRA'!$F$29,Tabla11[[#This Row],[Cuenta]],1))</f>
        <v>1</v>
      </c>
      <c r="K813" t="b">
        <f>+ISNUMBER(SEARCH('F-COMPRA'!$F$30,Tabla11[[#This Row],[Cuenta]],1))</f>
        <v>1</v>
      </c>
      <c r="L813" t="b">
        <f>+ISNUMBER(SEARCH('F-COMPRA'!$F$31,Tabla11[[#This Row],[Cuenta]],1))</f>
        <v>1</v>
      </c>
      <c r="M813" t="b">
        <f>+ISNUMBER(SEARCH('F-COMPRA'!$G$25,Tabla11[[#This Row],[Cuenta]],1))</f>
        <v>0</v>
      </c>
      <c r="N813" t="b">
        <f>+ISNUMBER(SEARCH(#REF!,Tabla11[[#This Row],[Cuenta]],1))</f>
        <v>0</v>
      </c>
      <c r="O813" t="b">
        <f>+ISNUMBER(SEARCH(#REF!,Tabla11[[#This Row],[Cuenta]],1))</f>
        <v>0</v>
      </c>
      <c r="P813" t="b">
        <f>+ISNUMBER(SEARCH('F-COMPRA'!$F$32,Tabla11[[#This Row],[Cuenta]],1))</f>
        <v>1</v>
      </c>
      <c r="Q813" t="b">
        <f>+ISNUMBER(SEARCH('F-COMPRA'!$F$33,Tabla11[[#This Row],[Cuenta]],1))</f>
        <v>1</v>
      </c>
      <c r="R813" t="b">
        <f>+ISNUMBER(SEARCH('F-COMPRA'!$F$34,Tabla11[[#This Row],[Cuenta]],1))</f>
        <v>1</v>
      </c>
      <c r="S813" t="b">
        <f>+ISNUMBER(SEARCH('F-COMPRA'!$F$35,Tabla11[[#This Row],[Cuenta]],1))</f>
        <v>1</v>
      </c>
      <c r="T813" t="b">
        <f>+ISNUMBER(SEARCH('F-COMPRA'!$F$36,Tabla11[[#This Row],[Cuenta]],1))</f>
        <v>1</v>
      </c>
      <c r="U813" t="b">
        <f>+ISNUMBER(SEARCH('F-COMPRA'!$F$37,Tabla11[[#This Row],[Cuenta]],1))</f>
        <v>1</v>
      </c>
      <c r="V813" t="b">
        <f>+ISNUMBER(SEARCH(#REF!,Tabla11[[#This Row],[Cuenta]],1))</f>
        <v>0</v>
      </c>
      <c r="W813" t="b">
        <f>+ISNUMBER(SEARCH('F-COMPRA'!#REF!,Tabla11[[#This Row],[Cuenta]],1))</f>
        <v>0</v>
      </c>
      <c r="X813" t="b">
        <f>+ISNUMBER(SEARCH('F-COMPRA'!#REF!,Tabla11[[#This Row],[Cuenta]],1))</f>
        <v>0</v>
      </c>
      <c r="Y813" t="b">
        <f>+ISNUMBER(SEARCH('F-COMPRA'!#REF!,Tabla11[[#This Row],[Cuenta]],1))</f>
        <v>0</v>
      </c>
      <c r="Z813" t="b">
        <f>+ISNUMBER(SEARCH('F-COMPRA'!#REF!,Tabla11[[#This Row],[Cuenta]],1))</f>
        <v>0</v>
      </c>
      <c r="AA813" t="b">
        <f>+ISNUMBER(SEARCH('F-COMPRA'!#REF!,Tabla11[[#This Row],[Cuenta]],1))</f>
        <v>0</v>
      </c>
      <c r="AB813" t="b">
        <f>+ISNUMBER(SEARCH('F-COMPRA'!#REF!,Tabla11[[#This Row],[Cuenta]],1))</f>
        <v>0</v>
      </c>
      <c r="AC813" t="b">
        <f>+ISNUMBER(SEARCH('F-COMPRA'!#REF!,Tabla11[[#This Row],[Cuenta]],1))</f>
        <v>0</v>
      </c>
      <c r="AD813" t="b">
        <f>+ISNUMBER(SEARCH('F-COMPRA'!#REF!,Tabla11[[#This Row],[Cuenta]],1))</f>
        <v>0</v>
      </c>
      <c r="AE813" t="b">
        <f>+ISNUMBER(SEARCH('F-COMPRA'!#REF!,Tabla11[[#This Row],[Cuenta]],1))</f>
        <v>0</v>
      </c>
      <c r="AF813" t="b">
        <f>+ISNUMBER(SEARCH('F-VTA'!$G$23,Tabla11[[#This Row],[Cuenta]],1))</f>
        <v>0</v>
      </c>
      <c r="AG813" t="b">
        <f>+ISNUMBER(SEARCH('F-VTA'!$G$24,Tabla11[[#This Row],[Cuenta]],1))</f>
        <v>0</v>
      </c>
      <c r="AH813" t="b">
        <f>+ISNUMBER(SEARCH('F-VTA'!$G$25,Tabla11[[#This Row],[Cuenta]],1))</f>
        <v>0</v>
      </c>
      <c r="AI813" t="b">
        <f>+ISNUMBER(SEARCH('F-VTA'!$F$28,Tabla11[[#This Row],[Cuenta]],1))</f>
        <v>1</v>
      </c>
      <c r="AJ813" t="b">
        <f>+ISNUMBER(SEARCH('F-VTA'!$F$29,Tabla11[[#This Row],[Cuenta]],1))</f>
        <v>1</v>
      </c>
      <c r="AK813" t="b">
        <f>+ISNUMBER(SEARCH('F-VTA'!$F$30,Tabla11[[#This Row],[Cuenta]],1))</f>
        <v>1</v>
      </c>
      <c r="AL813" t="b">
        <f>+ISNUMBER(SEARCH('F-VTA'!$F$31,Tabla11[[#This Row],[Cuenta]],1))</f>
        <v>1</v>
      </c>
      <c r="AM813" t="b">
        <f>+ISNUMBER(SEARCH('F-VTA'!$F$32,Tabla11[[#This Row],[Cuenta]],1))</f>
        <v>1</v>
      </c>
      <c r="AN813" t="b">
        <f>+ISNUMBER(SEARCH('F-VTA'!$F$33,Tabla11[[#This Row],[Cuenta]],1))</f>
        <v>1</v>
      </c>
      <c r="AO813" t="b">
        <f>+ISNUMBER(SEARCH('F-VTA'!$F$34,Tabla11[[#This Row],[Cuenta]],1))</f>
        <v>1</v>
      </c>
      <c r="AP813" t="b">
        <f>+ISNUMBER(SEARCH('F-VTA'!$F$35,Tabla11[[#This Row],[Cuenta]],1))</f>
        <v>1</v>
      </c>
      <c r="AQ813" t="b">
        <f>+ISNUMBER(SEARCH('F-VTA'!$F$36,Tabla11[[#This Row],[Cuenta]],1))</f>
        <v>1</v>
      </c>
      <c r="AR813" t="b">
        <f>+ISNUMBER(SEARCH(#REF!,Tabla11[[#This Row],[Cuenta]],1))</f>
        <v>0</v>
      </c>
      <c r="AS813" t="b">
        <f>+ISNUMBER(SEARCH(#REF!,Tabla11[[#This Row],[Cuenta]],1))</f>
        <v>0</v>
      </c>
      <c r="AT813" t="b">
        <f>+ISNUMBER(SEARCH(#REF!,Tabla11[[#This Row],[Cuenta]],1))</f>
        <v>0</v>
      </c>
      <c r="AU813" t="b">
        <f>+ISNUMBER(SEARCH('Conc. Ban.1'!$I$9,Tabla11[[#This Row],[Cuenta]],1))</f>
        <v>0</v>
      </c>
      <c r="AV813" t="b">
        <f>+ISNUMBER(SEARCH(CompConta!$F$21,Tabla11[[#This Row],[Cuenta]],1))</f>
        <v>1</v>
      </c>
      <c r="AW813" t="b">
        <f>+ISNUMBER(SEARCH(CompConta!$F$22,Tabla11[[#This Row],[Cuenta]],1))</f>
        <v>1</v>
      </c>
      <c r="AX813" t="b">
        <f>+ISNUMBER(SEARCH(CompConta!$F$23,Tabla11[[#This Row],[Cuenta]],1))</f>
        <v>1</v>
      </c>
      <c r="AY813" t="b">
        <f>+ISNUMBER(SEARCH(CompConta!$F$24,Tabla11[[#This Row],[Cuenta]],1))</f>
        <v>1</v>
      </c>
      <c r="AZ813" t="b">
        <f>+ISNUMBER(SEARCH(CompConta!$F$25,Tabla11[[#This Row],[Cuenta]],1))</f>
        <v>1</v>
      </c>
      <c r="BA813" t="b">
        <f>+ISNUMBER(SEARCH(CompConta!$F$26,Tabla11[[#This Row],[Cuenta]],1))</f>
        <v>1</v>
      </c>
      <c r="BB813" t="b">
        <f>+ISNUMBER(SEARCH(CompConta!$F$27,Tabla11[[#This Row],[Cuenta]],1))</f>
        <v>1</v>
      </c>
      <c r="BC813" t="b">
        <f>+ISNUMBER(SEARCH(CompConta!$F$28,Tabla11[[#This Row],[Cuenta]],1))</f>
        <v>1</v>
      </c>
      <c r="BD813" t="b">
        <f>+ISNUMBER(SEARCH(CompConta!$F$29,Tabla11[[#This Row],[Cuenta]],1))</f>
        <v>1</v>
      </c>
      <c r="BE813" t="b">
        <f>+ISNUMBER(SEARCH(CompConta!$F$30,Tabla11[[#This Row],[Cuenta]],1))</f>
        <v>1</v>
      </c>
      <c r="BF813" t="b">
        <f>+ISNUMBER(SEARCH('PAGO Compras'!$E$11,Tabla11[[#This Row],[Cuenta]],1))</f>
        <v>1</v>
      </c>
      <c r="BG813" t="b">
        <f>+ISNUMBER(SEARCH(#REF!,Tabla11[[#This Row],[Cuenta]],1))</f>
        <v>0</v>
      </c>
      <c r="BH813" t="b">
        <f>+ISNUMBER(SEARCH(#REF!,Tabla11[[#This Row],[Cuenta]],1))</f>
        <v>0</v>
      </c>
      <c r="BI813" t="b">
        <f>+ISNUMBER(SEARCH(#REF!,Tabla11[[#This Row],[Cuenta]],1))</f>
        <v>0</v>
      </c>
      <c r="BJ813" t="b">
        <f>+ISNUMBER(SEARCH(#REF!,Tabla11[[#This Row],[Cuenta]],1))</f>
        <v>0</v>
      </c>
      <c r="BS813" t="str">
        <v>511525 De valorización</v>
      </c>
      <c r="BT813" t="str">
        <v>511525 De valorización</v>
      </c>
      <c r="BU813" t="str">
        <v>511525 De valorización</v>
      </c>
      <c r="BV813" t="str">
        <v>511525 De valorización</v>
      </c>
      <c r="BZ813" t="str">
        <v>511525 De valorización</v>
      </c>
      <c r="CA813" t="str">
        <v>511525 De valorización</v>
      </c>
      <c r="CB813" t="str">
        <v>511525 De valorización</v>
      </c>
      <c r="CC813" t="str">
        <v>511525 De valorización</v>
      </c>
      <c r="CD813" t="str">
        <v>511525 De valorización</v>
      </c>
      <c r="CE813" t="str">
        <v>511525 De valorización</v>
      </c>
      <c r="CS813" s="141" t="str">
        <v>511525 De valorización</v>
      </c>
      <c r="CT813" s="141" t="str">
        <v>511525 De valorización</v>
      </c>
      <c r="CU813" s="141" t="str">
        <v>511525 De valorización</v>
      </c>
      <c r="CV813" s="141" t="str">
        <v>511525 De valorización</v>
      </c>
      <c r="CW813" s="141" t="str">
        <v>511525 De valorización</v>
      </c>
      <c r="CX813" s="141" t="str">
        <v>511525 De valorización</v>
      </c>
      <c r="CY813" s="141" t="str">
        <v>511525 De valorización</v>
      </c>
      <c r="CZ813" s="141" t="str">
        <v>511525 De valorización</v>
      </c>
      <c r="DA813" s="141" t="str">
        <v>511525 De valorización</v>
      </c>
      <c r="DF813" t="str">
        <v>511525 De valorización</v>
      </c>
      <c r="DG813" t="str">
        <v>511525 De valorización</v>
      </c>
      <c r="DH813" t="str">
        <v>511525 De valorización</v>
      </c>
      <c r="DI813" t="str">
        <v>511525 De valorización</v>
      </c>
      <c r="DJ813" t="str">
        <v>511525 De valorización</v>
      </c>
      <c r="DK813" t="str">
        <v>511525 De valorización</v>
      </c>
      <c r="DL813" t="str">
        <v>511525 De valorización</v>
      </c>
      <c r="DM813" t="str">
        <v>511525 De valorización</v>
      </c>
      <c r="DN813" t="str">
        <v>511525 De valorización</v>
      </c>
      <c r="DO813" t="str">
        <v>511525 De valorización</v>
      </c>
      <c r="DP813" t="str">
        <v>511525 De valorización</v>
      </c>
    </row>
    <row r="814" spans="4:120" ht="12.75">
      <c r="D814" s="7">
        <v>511530</v>
      </c>
      <c r="E814" s="6" t="s">
        <v>568</v>
      </c>
      <c r="F814" s="5">
        <v>4</v>
      </c>
      <c r="G814" s="34" t="s">
        <v>830</v>
      </c>
      <c r="H814" s="8" t="s">
        <v>32</v>
      </c>
      <c r="I814" t="b">
        <f>+ISNUMBER(SEARCH('F-COMPRA'!$F$28,Tabla11[[#This Row],[Cuenta]],1))</f>
        <v>1</v>
      </c>
      <c r="J814" t="b">
        <f>+ISNUMBER(SEARCH('F-COMPRA'!$F$29,Tabla11[[#This Row],[Cuenta]],1))</f>
        <v>1</v>
      </c>
      <c r="K814" t="b">
        <f>+ISNUMBER(SEARCH('F-COMPRA'!$F$30,Tabla11[[#This Row],[Cuenta]],1))</f>
        <v>1</v>
      </c>
      <c r="L814" t="b">
        <f>+ISNUMBER(SEARCH('F-COMPRA'!$F$31,Tabla11[[#This Row],[Cuenta]],1))</f>
        <v>1</v>
      </c>
      <c r="M814" t="b">
        <f>+ISNUMBER(SEARCH('F-COMPRA'!$G$25,Tabla11[[#This Row],[Cuenta]],1))</f>
        <v>0</v>
      </c>
      <c r="N814" t="b">
        <f>+ISNUMBER(SEARCH(#REF!,Tabla11[[#This Row],[Cuenta]],1))</f>
        <v>0</v>
      </c>
      <c r="O814" t="b">
        <f>+ISNUMBER(SEARCH(#REF!,Tabla11[[#This Row],[Cuenta]],1))</f>
        <v>0</v>
      </c>
      <c r="P814" t="b">
        <f>+ISNUMBER(SEARCH('F-COMPRA'!$F$32,Tabla11[[#This Row],[Cuenta]],1))</f>
        <v>1</v>
      </c>
      <c r="Q814" t="b">
        <f>+ISNUMBER(SEARCH('F-COMPRA'!$F$33,Tabla11[[#This Row],[Cuenta]],1))</f>
        <v>1</v>
      </c>
      <c r="R814" t="b">
        <f>+ISNUMBER(SEARCH('F-COMPRA'!$F$34,Tabla11[[#This Row],[Cuenta]],1))</f>
        <v>1</v>
      </c>
      <c r="S814" t="b">
        <f>+ISNUMBER(SEARCH('F-COMPRA'!$F$35,Tabla11[[#This Row],[Cuenta]],1))</f>
        <v>1</v>
      </c>
      <c r="T814" t="b">
        <f>+ISNUMBER(SEARCH('F-COMPRA'!$F$36,Tabla11[[#This Row],[Cuenta]],1))</f>
        <v>1</v>
      </c>
      <c r="U814" t="b">
        <f>+ISNUMBER(SEARCH('F-COMPRA'!$F$37,Tabla11[[#This Row],[Cuenta]],1))</f>
        <v>1</v>
      </c>
      <c r="V814" t="b">
        <f>+ISNUMBER(SEARCH(#REF!,Tabla11[[#This Row],[Cuenta]],1))</f>
        <v>0</v>
      </c>
      <c r="W814" t="b">
        <f>+ISNUMBER(SEARCH('F-COMPRA'!#REF!,Tabla11[[#This Row],[Cuenta]],1))</f>
        <v>0</v>
      </c>
      <c r="X814" t="b">
        <f>+ISNUMBER(SEARCH('F-COMPRA'!#REF!,Tabla11[[#This Row],[Cuenta]],1))</f>
        <v>0</v>
      </c>
      <c r="Y814" t="b">
        <f>+ISNUMBER(SEARCH('F-COMPRA'!#REF!,Tabla11[[#This Row],[Cuenta]],1))</f>
        <v>0</v>
      </c>
      <c r="Z814" t="b">
        <f>+ISNUMBER(SEARCH('F-COMPRA'!#REF!,Tabla11[[#This Row],[Cuenta]],1))</f>
        <v>0</v>
      </c>
      <c r="AA814" t="b">
        <f>+ISNUMBER(SEARCH('F-COMPRA'!#REF!,Tabla11[[#This Row],[Cuenta]],1))</f>
        <v>0</v>
      </c>
      <c r="AB814" t="b">
        <f>+ISNUMBER(SEARCH('F-COMPRA'!#REF!,Tabla11[[#This Row],[Cuenta]],1))</f>
        <v>0</v>
      </c>
      <c r="AC814" t="b">
        <f>+ISNUMBER(SEARCH('F-COMPRA'!#REF!,Tabla11[[#This Row],[Cuenta]],1))</f>
        <v>0</v>
      </c>
      <c r="AD814" t="b">
        <f>+ISNUMBER(SEARCH('F-COMPRA'!#REF!,Tabla11[[#This Row],[Cuenta]],1))</f>
        <v>0</v>
      </c>
      <c r="AE814" t="b">
        <f>+ISNUMBER(SEARCH('F-COMPRA'!#REF!,Tabla11[[#This Row],[Cuenta]],1))</f>
        <v>0</v>
      </c>
      <c r="AF814" t="b">
        <f>+ISNUMBER(SEARCH('F-VTA'!$G$23,Tabla11[[#This Row],[Cuenta]],1))</f>
        <v>0</v>
      </c>
      <c r="AG814" t="b">
        <f>+ISNUMBER(SEARCH('F-VTA'!$G$24,Tabla11[[#This Row],[Cuenta]],1))</f>
        <v>0</v>
      </c>
      <c r="AH814" t="b">
        <f>+ISNUMBER(SEARCH('F-VTA'!$G$25,Tabla11[[#This Row],[Cuenta]],1))</f>
        <v>0</v>
      </c>
      <c r="AI814" t="b">
        <f>+ISNUMBER(SEARCH('F-VTA'!$F$28,Tabla11[[#This Row],[Cuenta]],1))</f>
        <v>1</v>
      </c>
      <c r="AJ814" t="b">
        <f>+ISNUMBER(SEARCH('F-VTA'!$F$29,Tabla11[[#This Row],[Cuenta]],1))</f>
        <v>1</v>
      </c>
      <c r="AK814" t="b">
        <f>+ISNUMBER(SEARCH('F-VTA'!$F$30,Tabla11[[#This Row],[Cuenta]],1))</f>
        <v>1</v>
      </c>
      <c r="AL814" t="b">
        <f>+ISNUMBER(SEARCH('F-VTA'!$F$31,Tabla11[[#This Row],[Cuenta]],1))</f>
        <v>1</v>
      </c>
      <c r="AM814" t="b">
        <f>+ISNUMBER(SEARCH('F-VTA'!$F$32,Tabla11[[#This Row],[Cuenta]],1))</f>
        <v>1</v>
      </c>
      <c r="AN814" t="b">
        <f>+ISNUMBER(SEARCH('F-VTA'!$F$33,Tabla11[[#This Row],[Cuenta]],1))</f>
        <v>1</v>
      </c>
      <c r="AO814" t="b">
        <f>+ISNUMBER(SEARCH('F-VTA'!$F$34,Tabla11[[#This Row],[Cuenta]],1))</f>
        <v>1</v>
      </c>
      <c r="AP814" t="b">
        <f>+ISNUMBER(SEARCH('F-VTA'!$F$35,Tabla11[[#This Row],[Cuenta]],1))</f>
        <v>1</v>
      </c>
      <c r="AQ814" t="b">
        <f>+ISNUMBER(SEARCH('F-VTA'!$F$36,Tabla11[[#This Row],[Cuenta]],1))</f>
        <v>1</v>
      </c>
      <c r="AR814" t="b">
        <f>+ISNUMBER(SEARCH(#REF!,Tabla11[[#This Row],[Cuenta]],1))</f>
        <v>0</v>
      </c>
      <c r="AS814" t="b">
        <f>+ISNUMBER(SEARCH(#REF!,Tabla11[[#This Row],[Cuenta]],1))</f>
        <v>0</v>
      </c>
      <c r="AT814" t="b">
        <f>+ISNUMBER(SEARCH(#REF!,Tabla11[[#This Row],[Cuenta]],1))</f>
        <v>0</v>
      </c>
      <c r="AU814" t="b">
        <f>+ISNUMBER(SEARCH('Conc. Ban.1'!$I$9,Tabla11[[#This Row],[Cuenta]],1))</f>
        <v>0</v>
      </c>
      <c r="AV814" t="b">
        <f>+ISNUMBER(SEARCH(CompConta!$F$21,Tabla11[[#This Row],[Cuenta]],1))</f>
        <v>1</v>
      </c>
      <c r="AW814" t="b">
        <f>+ISNUMBER(SEARCH(CompConta!$F$22,Tabla11[[#This Row],[Cuenta]],1))</f>
        <v>1</v>
      </c>
      <c r="AX814" t="b">
        <f>+ISNUMBER(SEARCH(CompConta!$F$23,Tabla11[[#This Row],[Cuenta]],1))</f>
        <v>1</v>
      </c>
      <c r="AY814" t="b">
        <f>+ISNUMBER(SEARCH(CompConta!$F$24,Tabla11[[#This Row],[Cuenta]],1))</f>
        <v>1</v>
      </c>
      <c r="AZ814" t="b">
        <f>+ISNUMBER(SEARCH(CompConta!$F$25,Tabla11[[#This Row],[Cuenta]],1))</f>
        <v>1</v>
      </c>
      <c r="BA814" t="b">
        <f>+ISNUMBER(SEARCH(CompConta!$F$26,Tabla11[[#This Row],[Cuenta]],1))</f>
        <v>1</v>
      </c>
      <c r="BB814" t="b">
        <f>+ISNUMBER(SEARCH(CompConta!$F$27,Tabla11[[#This Row],[Cuenta]],1))</f>
        <v>1</v>
      </c>
      <c r="BC814" t="b">
        <f>+ISNUMBER(SEARCH(CompConta!$F$28,Tabla11[[#This Row],[Cuenta]],1))</f>
        <v>1</v>
      </c>
      <c r="BD814" t="b">
        <f>+ISNUMBER(SEARCH(CompConta!$F$29,Tabla11[[#This Row],[Cuenta]],1))</f>
        <v>1</v>
      </c>
      <c r="BE814" t="b">
        <f>+ISNUMBER(SEARCH(CompConta!$F$30,Tabla11[[#This Row],[Cuenta]],1))</f>
        <v>1</v>
      </c>
      <c r="BF814" t="b">
        <f>+ISNUMBER(SEARCH('PAGO Compras'!$E$11,Tabla11[[#This Row],[Cuenta]],1))</f>
        <v>1</v>
      </c>
      <c r="BG814" t="b">
        <f>+ISNUMBER(SEARCH(#REF!,Tabla11[[#This Row],[Cuenta]],1))</f>
        <v>0</v>
      </c>
      <c r="BH814" t="b">
        <f>+ISNUMBER(SEARCH(#REF!,Tabla11[[#This Row],[Cuenta]],1))</f>
        <v>0</v>
      </c>
      <c r="BI814" t="b">
        <f>+ISNUMBER(SEARCH(#REF!,Tabla11[[#This Row],[Cuenta]],1))</f>
        <v>0</v>
      </c>
      <c r="BJ814" t="b">
        <f>+ISNUMBER(SEARCH(#REF!,Tabla11[[#This Row],[Cuenta]],1))</f>
        <v>0</v>
      </c>
      <c r="BS814" t="str">
        <v>511530 De turismo</v>
      </c>
      <c r="BT814" t="str">
        <v>511530 De turismo</v>
      </c>
      <c r="BU814" t="str">
        <v>511530 De turismo</v>
      </c>
      <c r="BV814" t="str">
        <v>511530 De turismo</v>
      </c>
      <c r="BZ814" t="str">
        <v>511530 De turismo</v>
      </c>
      <c r="CA814" t="str">
        <v>511530 De turismo</v>
      </c>
      <c r="CB814" t="str">
        <v>511530 De turismo</v>
      </c>
      <c r="CC814" t="str">
        <v>511530 De turismo</v>
      </c>
      <c r="CD814" t="str">
        <v>511530 De turismo</v>
      </c>
      <c r="CE814" t="str">
        <v>511530 De turismo</v>
      </c>
      <c r="CS814" s="141" t="str">
        <v>511530 De turismo</v>
      </c>
      <c r="CT814" s="141" t="str">
        <v>511530 De turismo</v>
      </c>
      <c r="CU814" s="141" t="str">
        <v>511530 De turismo</v>
      </c>
      <c r="CV814" s="141" t="str">
        <v>511530 De turismo</v>
      </c>
      <c r="CW814" s="141" t="str">
        <v>511530 De turismo</v>
      </c>
      <c r="CX814" s="141" t="str">
        <v>511530 De turismo</v>
      </c>
      <c r="CY814" s="141" t="str">
        <v>511530 De turismo</v>
      </c>
      <c r="CZ814" s="141" t="str">
        <v>511530 De turismo</v>
      </c>
      <c r="DA814" s="141" t="str">
        <v>511530 De turismo</v>
      </c>
      <c r="DF814" t="str">
        <v>511530 De turismo</v>
      </c>
      <c r="DG814" t="str">
        <v>511530 De turismo</v>
      </c>
      <c r="DH814" t="str">
        <v>511530 De turismo</v>
      </c>
      <c r="DI814" t="str">
        <v>511530 De turismo</v>
      </c>
      <c r="DJ814" t="str">
        <v>511530 De turismo</v>
      </c>
      <c r="DK814" t="str">
        <v>511530 De turismo</v>
      </c>
      <c r="DL814" t="str">
        <v>511530 De turismo</v>
      </c>
      <c r="DM814" t="str">
        <v>511530 De turismo</v>
      </c>
      <c r="DN814" t="str">
        <v>511530 De turismo</v>
      </c>
      <c r="DO814" t="str">
        <v>511530 De turismo</v>
      </c>
      <c r="DP814" t="str">
        <v>511530 De turismo</v>
      </c>
    </row>
    <row r="815" spans="4:120" ht="12.75">
      <c r="D815" s="7">
        <v>511535</v>
      </c>
      <c r="E815" s="6" t="s">
        <v>406</v>
      </c>
      <c r="F815" s="5">
        <v>4</v>
      </c>
      <c r="G815" s="34" t="s">
        <v>830</v>
      </c>
      <c r="H815" s="8" t="s">
        <v>32</v>
      </c>
      <c r="I815" t="b">
        <f>+ISNUMBER(SEARCH('F-COMPRA'!$F$28,Tabla11[[#This Row],[Cuenta]],1))</f>
        <v>1</v>
      </c>
      <c r="J815" t="b">
        <f>+ISNUMBER(SEARCH('F-COMPRA'!$F$29,Tabla11[[#This Row],[Cuenta]],1))</f>
        <v>1</v>
      </c>
      <c r="K815" t="b">
        <f>+ISNUMBER(SEARCH('F-COMPRA'!$F$30,Tabla11[[#This Row],[Cuenta]],1))</f>
        <v>1</v>
      </c>
      <c r="L815" t="b">
        <f>+ISNUMBER(SEARCH('F-COMPRA'!$F$31,Tabla11[[#This Row],[Cuenta]],1))</f>
        <v>1</v>
      </c>
      <c r="M815" t="b">
        <f>+ISNUMBER(SEARCH('F-COMPRA'!$G$25,Tabla11[[#This Row],[Cuenta]],1))</f>
        <v>0</v>
      </c>
      <c r="N815" t="b">
        <f>+ISNUMBER(SEARCH(#REF!,Tabla11[[#This Row],[Cuenta]],1))</f>
        <v>0</v>
      </c>
      <c r="O815" t="b">
        <f>+ISNUMBER(SEARCH(#REF!,Tabla11[[#This Row],[Cuenta]],1))</f>
        <v>0</v>
      </c>
      <c r="P815" t="b">
        <f>+ISNUMBER(SEARCH('F-COMPRA'!$F$32,Tabla11[[#This Row],[Cuenta]],1))</f>
        <v>1</v>
      </c>
      <c r="Q815" t="b">
        <f>+ISNUMBER(SEARCH('F-COMPRA'!$F$33,Tabla11[[#This Row],[Cuenta]],1))</f>
        <v>1</v>
      </c>
      <c r="R815" t="b">
        <f>+ISNUMBER(SEARCH('F-COMPRA'!$F$34,Tabla11[[#This Row],[Cuenta]],1))</f>
        <v>1</v>
      </c>
      <c r="S815" t="b">
        <f>+ISNUMBER(SEARCH('F-COMPRA'!$F$35,Tabla11[[#This Row],[Cuenta]],1))</f>
        <v>1</v>
      </c>
      <c r="T815" t="b">
        <f>+ISNUMBER(SEARCH('F-COMPRA'!$F$36,Tabla11[[#This Row],[Cuenta]],1))</f>
        <v>1</v>
      </c>
      <c r="U815" t="b">
        <f>+ISNUMBER(SEARCH('F-COMPRA'!$F$37,Tabla11[[#This Row],[Cuenta]],1))</f>
        <v>1</v>
      </c>
      <c r="V815" t="b">
        <f>+ISNUMBER(SEARCH(#REF!,Tabla11[[#This Row],[Cuenta]],1))</f>
        <v>0</v>
      </c>
      <c r="W815" t="b">
        <f>+ISNUMBER(SEARCH('F-COMPRA'!#REF!,Tabla11[[#This Row],[Cuenta]],1))</f>
        <v>0</v>
      </c>
      <c r="X815" t="b">
        <f>+ISNUMBER(SEARCH('F-COMPRA'!#REF!,Tabla11[[#This Row],[Cuenta]],1))</f>
        <v>0</v>
      </c>
      <c r="Y815" t="b">
        <f>+ISNUMBER(SEARCH('F-COMPRA'!#REF!,Tabla11[[#This Row],[Cuenta]],1))</f>
        <v>0</v>
      </c>
      <c r="Z815" t="b">
        <f>+ISNUMBER(SEARCH('F-COMPRA'!#REF!,Tabla11[[#This Row],[Cuenta]],1))</f>
        <v>0</v>
      </c>
      <c r="AA815" t="b">
        <f>+ISNUMBER(SEARCH('F-COMPRA'!#REF!,Tabla11[[#This Row],[Cuenta]],1))</f>
        <v>0</v>
      </c>
      <c r="AB815" t="b">
        <f>+ISNUMBER(SEARCH('F-COMPRA'!#REF!,Tabla11[[#This Row],[Cuenta]],1))</f>
        <v>0</v>
      </c>
      <c r="AC815" t="b">
        <f>+ISNUMBER(SEARCH('F-COMPRA'!#REF!,Tabla11[[#This Row],[Cuenta]],1))</f>
        <v>0</v>
      </c>
      <c r="AD815" t="b">
        <f>+ISNUMBER(SEARCH('F-COMPRA'!#REF!,Tabla11[[#This Row],[Cuenta]],1))</f>
        <v>0</v>
      </c>
      <c r="AE815" t="b">
        <f>+ISNUMBER(SEARCH('F-COMPRA'!#REF!,Tabla11[[#This Row],[Cuenta]],1))</f>
        <v>0</v>
      </c>
      <c r="AF815" t="b">
        <f>+ISNUMBER(SEARCH('F-VTA'!$G$23,Tabla11[[#This Row],[Cuenta]],1))</f>
        <v>0</v>
      </c>
      <c r="AG815" t="b">
        <f>+ISNUMBER(SEARCH('F-VTA'!$G$24,Tabla11[[#This Row],[Cuenta]],1))</f>
        <v>0</v>
      </c>
      <c r="AH815" t="b">
        <f>+ISNUMBER(SEARCH('F-VTA'!$G$25,Tabla11[[#This Row],[Cuenta]],1))</f>
        <v>0</v>
      </c>
      <c r="AI815" t="b">
        <f>+ISNUMBER(SEARCH('F-VTA'!$F$28,Tabla11[[#This Row],[Cuenta]],1))</f>
        <v>1</v>
      </c>
      <c r="AJ815" t="b">
        <f>+ISNUMBER(SEARCH('F-VTA'!$F$29,Tabla11[[#This Row],[Cuenta]],1))</f>
        <v>1</v>
      </c>
      <c r="AK815" t="b">
        <f>+ISNUMBER(SEARCH('F-VTA'!$F$30,Tabla11[[#This Row],[Cuenta]],1))</f>
        <v>1</v>
      </c>
      <c r="AL815" t="b">
        <f>+ISNUMBER(SEARCH('F-VTA'!$F$31,Tabla11[[#This Row],[Cuenta]],1))</f>
        <v>1</v>
      </c>
      <c r="AM815" t="b">
        <f>+ISNUMBER(SEARCH('F-VTA'!$F$32,Tabla11[[#This Row],[Cuenta]],1))</f>
        <v>1</v>
      </c>
      <c r="AN815" t="b">
        <f>+ISNUMBER(SEARCH('F-VTA'!$F$33,Tabla11[[#This Row],[Cuenta]],1))</f>
        <v>1</v>
      </c>
      <c r="AO815" t="b">
        <f>+ISNUMBER(SEARCH('F-VTA'!$F$34,Tabla11[[#This Row],[Cuenta]],1))</f>
        <v>1</v>
      </c>
      <c r="AP815" t="b">
        <f>+ISNUMBER(SEARCH('F-VTA'!$F$35,Tabla11[[#This Row],[Cuenta]],1))</f>
        <v>1</v>
      </c>
      <c r="AQ815" t="b">
        <f>+ISNUMBER(SEARCH('F-VTA'!$F$36,Tabla11[[#This Row],[Cuenta]],1))</f>
        <v>1</v>
      </c>
      <c r="AR815" t="b">
        <f>+ISNUMBER(SEARCH(#REF!,Tabla11[[#This Row],[Cuenta]],1))</f>
        <v>0</v>
      </c>
      <c r="AS815" t="b">
        <f>+ISNUMBER(SEARCH(#REF!,Tabla11[[#This Row],[Cuenta]],1))</f>
        <v>0</v>
      </c>
      <c r="AT815" t="b">
        <f>+ISNUMBER(SEARCH(#REF!,Tabla11[[#This Row],[Cuenta]],1))</f>
        <v>0</v>
      </c>
      <c r="AU815" t="b">
        <f>+ISNUMBER(SEARCH('Conc. Ban.1'!$I$9,Tabla11[[#This Row],[Cuenta]],1))</f>
        <v>0</v>
      </c>
      <c r="AV815" t="b">
        <f>+ISNUMBER(SEARCH(CompConta!$F$21,Tabla11[[#This Row],[Cuenta]],1))</f>
        <v>1</v>
      </c>
      <c r="AW815" t="b">
        <f>+ISNUMBER(SEARCH(CompConta!$F$22,Tabla11[[#This Row],[Cuenta]],1))</f>
        <v>1</v>
      </c>
      <c r="AX815" t="b">
        <f>+ISNUMBER(SEARCH(CompConta!$F$23,Tabla11[[#This Row],[Cuenta]],1))</f>
        <v>1</v>
      </c>
      <c r="AY815" t="b">
        <f>+ISNUMBER(SEARCH(CompConta!$F$24,Tabla11[[#This Row],[Cuenta]],1))</f>
        <v>1</v>
      </c>
      <c r="AZ815" t="b">
        <f>+ISNUMBER(SEARCH(CompConta!$F$25,Tabla11[[#This Row],[Cuenta]],1))</f>
        <v>1</v>
      </c>
      <c r="BA815" t="b">
        <f>+ISNUMBER(SEARCH(CompConta!$F$26,Tabla11[[#This Row],[Cuenta]],1))</f>
        <v>1</v>
      </c>
      <c r="BB815" t="b">
        <f>+ISNUMBER(SEARCH(CompConta!$F$27,Tabla11[[#This Row],[Cuenta]],1))</f>
        <v>1</v>
      </c>
      <c r="BC815" t="b">
        <f>+ISNUMBER(SEARCH(CompConta!$F$28,Tabla11[[#This Row],[Cuenta]],1))</f>
        <v>1</v>
      </c>
      <c r="BD815" t="b">
        <f>+ISNUMBER(SEARCH(CompConta!$F$29,Tabla11[[#This Row],[Cuenta]],1))</f>
        <v>1</v>
      </c>
      <c r="BE815" t="b">
        <f>+ISNUMBER(SEARCH(CompConta!$F$30,Tabla11[[#This Row],[Cuenta]],1))</f>
        <v>1</v>
      </c>
      <c r="BF815" t="b">
        <f>+ISNUMBER(SEARCH('PAGO Compras'!$E$11,Tabla11[[#This Row],[Cuenta]],1))</f>
        <v>1</v>
      </c>
      <c r="BG815" t="b">
        <f>+ISNUMBER(SEARCH(#REF!,Tabla11[[#This Row],[Cuenta]],1))</f>
        <v>0</v>
      </c>
      <c r="BH815" t="b">
        <f>+ISNUMBER(SEARCH(#REF!,Tabla11[[#This Row],[Cuenta]],1))</f>
        <v>0</v>
      </c>
      <c r="BI815" t="b">
        <f>+ISNUMBER(SEARCH(#REF!,Tabla11[[#This Row],[Cuenta]],1))</f>
        <v>0</v>
      </c>
      <c r="BJ815" t="b">
        <f>+ISNUMBER(SEARCH(#REF!,Tabla11[[#This Row],[Cuenta]],1))</f>
        <v>0</v>
      </c>
      <c r="BS815" t="str">
        <v>511535 Tasa por utilización de puertos</v>
      </c>
      <c r="BT815" t="str">
        <v>511535 Tasa por utilización de puertos</v>
      </c>
      <c r="BU815" t="str">
        <v>511535 Tasa por utilización de puertos</v>
      </c>
      <c r="BV815" t="str">
        <v>511535 Tasa por utilización de puertos</v>
      </c>
      <c r="BZ815" t="str">
        <v>511535 Tasa por utilización de puertos</v>
      </c>
      <c r="CA815" t="str">
        <v>511535 Tasa por utilización de puertos</v>
      </c>
      <c r="CB815" t="str">
        <v>511535 Tasa por utilización de puertos</v>
      </c>
      <c r="CC815" t="str">
        <v>511535 Tasa por utilización de puertos</v>
      </c>
      <c r="CD815" t="str">
        <v>511535 Tasa por utilización de puertos</v>
      </c>
      <c r="CE815" t="str">
        <v>511535 Tasa por utilización de puertos</v>
      </c>
      <c r="CS815" s="141" t="str">
        <v>511535 Tasa por utilización de puertos</v>
      </c>
      <c r="CT815" s="141" t="str">
        <v>511535 Tasa por utilización de puertos</v>
      </c>
      <c r="CU815" s="141" t="str">
        <v>511535 Tasa por utilización de puertos</v>
      </c>
      <c r="CV815" s="141" t="str">
        <v>511535 Tasa por utilización de puertos</v>
      </c>
      <c r="CW815" s="141" t="str">
        <v>511535 Tasa por utilización de puertos</v>
      </c>
      <c r="CX815" s="141" t="str">
        <v>511535 Tasa por utilización de puertos</v>
      </c>
      <c r="CY815" s="141" t="str">
        <v>511535 Tasa por utilización de puertos</v>
      </c>
      <c r="CZ815" s="141" t="str">
        <v>511535 Tasa por utilización de puertos</v>
      </c>
      <c r="DA815" s="141" t="str">
        <v>511535 Tasa por utilización de puertos</v>
      </c>
      <c r="DF815" t="str">
        <v>511535 Tasa por utilización de puertos</v>
      </c>
      <c r="DG815" t="str">
        <v>511535 Tasa por utilización de puertos</v>
      </c>
      <c r="DH815" t="str">
        <v>511535 Tasa por utilización de puertos</v>
      </c>
      <c r="DI815" t="str">
        <v>511535 Tasa por utilización de puertos</v>
      </c>
      <c r="DJ815" t="str">
        <v>511535 Tasa por utilización de puertos</v>
      </c>
      <c r="DK815" t="str">
        <v>511535 Tasa por utilización de puertos</v>
      </c>
      <c r="DL815" t="str">
        <v>511535 Tasa por utilización de puertos</v>
      </c>
      <c r="DM815" t="str">
        <v>511535 Tasa por utilización de puertos</v>
      </c>
      <c r="DN815" t="str">
        <v>511535 Tasa por utilización de puertos</v>
      </c>
      <c r="DO815" t="str">
        <v>511535 Tasa por utilización de puertos</v>
      </c>
      <c r="DP815" t="str">
        <v>511535 Tasa por utilización de puertos</v>
      </c>
    </row>
    <row r="816" spans="4:120" ht="12.75">
      <c r="D816" s="7">
        <v>511540</v>
      </c>
      <c r="E816" s="6" t="s">
        <v>407</v>
      </c>
      <c r="F816" s="5">
        <v>4</v>
      </c>
      <c r="G816" s="34" t="s">
        <v>830</v>
      </c>
      <c r="H816" s="8" t="s">
        <v>32</v>
      </c>
      <c r="I816" t="b">
        <f>+ISNUMBER(SEARCH('F-COMPRA'!$F$28,Tabla11[[#This Row],[Cuenta]],1))</f>
        <v>1</v>
      </c>
      <c r="J816" t="b">
        <f>+ISNUMBER(SEARCH('F-COMPRA'!$F$29,Tabla11[[#This Row],[Cuenta]],1))</f>
        <v>1</v>
      </c>
      <c r="K816" t="b">
        <f>+ISNUMBER(SEARCH('F-COMPRA'!$F$30,Tabla11[[#This Row],[Cuenta]],1))</f>
        <v>1</v>
      </c>
      <c r="L816" t="b">
        <f>+ISNUMBER(SEARCH('F-COMPRA'!$F$31,Tabla11[[#This Row],[Cuenta]],1))</f>
        <v>1</v>
      </c>
      <c r="M816" t="b">
        <f>+ISNUMBER(SEARCH('F-COMPRA'!$G$25,Tabla11[[#This Row],[Cuenta]],1))</f>
        <v>0</v>
      </c>
      <c r="N816" t="b">
        <f>+ISNUMBER(SEARCH(#REF!,Tabla11[[#This Row],[Cuenta]],1))</f>
        <v>0</v>
      </c>
      <c r="O816" t="b">
        <f>+ISNUMBER(SEARCH(#REF!,Tabla11[[#This Row],[Cuenta]],1))</f>
        <v>0</v>
      </c>
      <c r="P816" t="b">
        <f>+ISNUMBER(SEARCH('F-COMPRA'!$F$32,Tabla11[[#This Row],[Cuenta]],1))</f>
        <v>1</v>
      </c>
      <c r="Q816" t="b">
        <f>+ISNUMBER(SEARCH('F-COMPRA'!$F$33,Tabla11[[#This Row],[Cuenta]],1))</f>
        <v>1</v>
      </c>
      <c r="R816" t="b">
        <f>+ISNUMBER(SEARCH('F-COMPRA'!$F$34,Tabla11[[#This Row],[Cuenta]],1))</f>
        <v>1</v>
      </c>
      <c r="S816" t="b">
        <f>+ISNUMBER(SEARCH('F-COMPRA'!$F$35,Tabla11[[#This Row],[Cuenta]],1))</f>
        <v>1</v>
      </c>
      <c r="T816" t="b">
        <f>+ISNUMBER(SEARCH('F-COMPRA'!$F$36,Tabla11[[#This Row],[Cuenta]],1))</f>
        <v>1</v>
      </c>
      <c r="U816" t="b">
        <f>+ISNUMBER(SEARCH('F-COMPRA'!$F$37,Tabla11[[#This Row],[Cuenta]],1))</f>
        <v>1</v>
      </c>
      <c r="V816" t="b">
        <f>+ISNUMBER(SEARCH(#REF!,Tabla11[[#This Row],[Cuenta]],1))</f>
        <v>0</v>
      </c>
      <c r="W816" t="b">
        <f>+ISNUMBER(SEARCH('F-COMPRA'!#REF!,Tabla11[[#This Row],[Cuenta]],1))</f>
        <v>0</v>
      </c>
      <c r="X816" t="b">
        <f>+ISNUMBER(SEARCH('F-COMPRA'!#REF!,Tabla11[[#This Row],[Cuenta]],1))</f>
        <v>0</v>
      </c>
      <c r="Y816" t="b">
        <f>+ISNUMBER(SEARCH('F-COMPRA'!#REF!,Tabla11[[#This Row],[Cuenta]],1))</f>
        <v>0</v>
      </c>
      <c r="Z816" t="b">
        <f>+ISNUMBER(SEARCH('F-COMPRA'!#REF!,Tabla11[[#This Row],[Cuenta]],1))</f>
        <v>0</v>
      </c>
      <c r="AA816" t="b">
        <f>+ISNUMBER(SEARCH('F-COMPRA'!#REF!,Tabla11[[#This Row],[Cuenta]],1))</f>
        <v>0</v>
      </c>
      <c r="AB816" t="b">
        <f>+ISNUMBER(SEARCH('F-COMPRA'!#REF!,Tabla11[[#This Row],[Cuenta]],1))</f>
        <v>0</v>
      </c>
      <c r="AC816" t="b">
        <f>+ISNUMBER(SEARCH('F-COMPRA'!#REF!,Tabla11[[#This Row],[Cuenta]],1))</f>
        <v>0</v>
      </c>
      <c r="AD816" t="b">
        <f>+ISNUMBER(SEARCH('F-COMPRA'!#REF!,Tabla11[[#This Row],[Cuenta]],1))</f>
        <v>0</v>
      </c>
      <c r="AE816" t="b">
        <f>+ISNUMBER(SEARCH('F-COMPRA'!#REF!,Tabla11[[#This Row],[Cuenta]],1))</f>
        <v>0</v>
      </c>
      <c r="AF816" t="b">
        <f>+ISNUMBER(SEARCH('F-VTA'!$G$23,Tabla11[[#This Row],[Cuenta]],1))</f>
        <v>0</v>
      </c>
      <c r="AG816" t="b">
        <f>+ISNUMBER(SEARCH('F-VTA'!$G$24,Tabla11[[#This Row],[Cuenta]],1))</f>
        <v>0</v>
      </c>
      <c r="AH816" t="b">
        <f>+ISNUMBER(SEARCH('F-VTA'!$G$25,Tabla11[[#This Row],[Cuenta]],1))</f>
        <v>0</v>
      </c>
      <c r="AI816" t="b">
        <f>+ISNUMBER(SEARCH('F-VTA'!$F$28,Tabla11[[#This Row],[Cuenta]],1))</f>
        <v>1</v>
      </c>
      <c r="AJ816" t="b">
        <f>+ISNUMBER(SEARCH('F-VTA'!$F$29,Tabla11[[#This Row],[Cuenta]],1))</f>
        <v>1</v>
      </c>
      <c r="AK816" t="b">
        <f>+ISNUMBER(SEARCH('F-VTA'!$F$30,Tabla11[[#This Row],[Cuenta]],1))</f>
        <v>1</v>
      </c>
      <c r="AL816" t="b">
        <f>+ISNUMBER(SEARCH('F-VTA'!$F$31,Tabla11[[#This Row],[Cuenta]],1))</f>
        <v>1</v>
      </c>
      <c r="AM816" t="b">
        <f>+ISNUMBER(SEARCH('F-VTA'!$F$32,Tabla11[[#This Row],[Cuenta]],1))</f>
        <v>1</v>
      </c>
      <c r="AN816" t="b">
        <f>+ISNUMBER(SEARCH('F-VTA'!$F$33,Tabla11[[#This Row],[Cuenta]],1))</f>
        <v>1</v>
      </c>
      <c r="AO816" t="b">
        <f>+ISNUMBER(SEARCH('F-VTA'!$F$34,Tabla11[[#This Row],[Cuenta]],1))</f>
        <v>1</v>
      </c>
      <c r="AP816" t="b">
        <f>+ISNUMBER(SEARCH('F-VTA'!$F$35,Tabla11[[#This Row],[Cuenta]],1))</f>
        <v>1</v>
      </c>
      <c r="AQ816" t="b">
        <f>+ISNUMBER(SEARCH('F-VTA'!$F$36,Tabla11[[#This Row],[Cuenta]],1))</f>
        <v>1</v>
      </c>
      <c r="AR816" t="b">
        <f>+ISNUMBER(SEARCH(#REF!,Tabla11[[#This Row],[Cuenta]],1))</f>
        <v>0</v>
      </c>
      <c r="AS816" t="b">
        <f>+ISNUMBER(SEARCH(#REF!,Tabla11[[#This Row],[Cuenta]],1))</f>
        <v>0</v>
      </c>
      <c r="AT816" t="b">
        <f>+ISNUMBER(SEARCH(#REF!,Tabla11[[#This Row],[Cuenta]],1))</f>
        <v>0</v>
      </c>
      <c r="AU816" t="b">
        <f>+ISNUMBER(SEARCH('Conc. Ban.1'!$I$9,Tabla11[[#This Row],[Cuenta]],1))</f>
        <v>0</v>
      </c>
      <c r="AV816" t="b">
        <f>+ISNUMBER(SEARCH(CompConta!$F$21,Tabla11[[#This Row],[Cuenta]],1))</f>
        <v>1</v>
      </c>
      <c r="AW816" t="b">
        <f>+ISNUMBER(SEARCH(CompConta!$F$22,Tabla11[[#This Row],[Cuenta]],1))</f>
        <v>1</v>
      </c>
      <c r="AX816" t="b">
        <f>+ISNUMBER(SEARCH(CompConta!$F$23,Tabla11[[#This Row],[Cuenta]],1))</f>
        <v>1</v>
      </c>
      <c r="AY816" t="b">
        <f>+ISNUMBER(SEARCH(CompConta!$F$24,Tabla11[[#This Row],[Cuenta]],1))</f>
        <v>1</v>
      </c>
      <c r="AZ816" t="b">
        <f>+ISNUMBER(SEARCH(CompConta!$F$25,Tabla11[[#This Row],[Cuenta]],1))</f>
        <v>1</v>
      </c>
      <c r="BA816" t="b">
        <f>+ISNUMBER(SEARCH(CompConta!$F$26,Tabla11[[#This Row],[Cuenta]],1))</f>
        <v>1</v>
      </c>
      <c r="BB816" t="b">
        <f>+ISNUMBER(SEARCH(CompConta!$F$27,Tabla11[[#This Row],[Cuenta]],1))</f>
        <v>1</v>
      </c>
      <c r="BC816" t="b">
        <f>+ISNUMBER(SEARCH(CompConta!$F$28,Tabla11[[#This Row],[Cuenta]],1))</f>
        <v>1</v>
      </c>
      <c r="BD816" t="b">
        <f>+ISNUMBER(SEARCH(CompConta!$F$29,Tabla11[[#This Row],[Cuenta]],1))</f>
        <v>1</v>
      </c>
      <c r="BE816" t="b">
        <f>+ISNUMBER(SEARCH(CompConta!$F$30,Tabla11[[#This Row],[Cuenta]],1))</f>
        <v>1</v>
      </c>
      <c r="BF816" t="b">
        <f>+ISNUMBER(SEARCH('PAGO Compras'!$E$11,Tabla11[[#This Row],[Cuenta]],1))</f>
        <v>1</v>
      </c>
      <c r="BG816" t="b">
        <f>+ISNUMBER(SEARCH(#REF!,Tabla11[[#This Row],[Cuenta]],1))</f>
        <v>0</v>
      </c>
      <c r="BH816" t="b">
        <f>+ISNUMBER(SEARCH(#REF!,Tabla11[[#This Row],[Cuenta]],1))</f>
        <v>0</v>
      </c>
      <c r="BI816" t="b">
        <f>+ISNUMBER(SEARCH(#REF!,Tabla11[[#This Row],[Cuenta]],1))</f>
        <v>0</v>
      </c>
      <c r="BJ816" t="b">
        <f>+ISNUMBER(SEARCH(#REF!,Tabla11[[#This Row],[Cuenta]],1))</f>
        <v>0</v>
      </c>
      <c r="BS816" t="str">
        <v>511540 De vehículos</v>
      </c>
      <c r="BT816" t="str">
        <v>511540 De vehículos</v>
      </c>
      <c r="BU816" t="str">
        <v>511540 De vehículos</v>
      </c>
      <c r="BV816" t="str">
        <v>511540 De vehículos</v>
      </c>
      <c r="BZ816" t="str">
        <v>511540 De vehículos</v>
      </c>
      <c r="CA816" t="str">
        <v>511540 De vehículos</v>
      </c>
      <c r="CB816" t="str">
        <v>511540 De vehículos</v>
      </c>
      <c r="CC816" t="str">
        <v>511540 De vehículos</v>
      </c>
      <c r="CD816" t="str">
        <v>511540 De vehículos</v>
      </c>
      <c r="CE816" t="str">
        <v>511540 De vehículos</v>
      </c>
      <c r="CS816" s="141" t="str">
        <v>511540 De vehículos</v>
      </c>
      <c r="CT816" s="141" t="str">
        <v>511540 De vehículos</v>
      </c>
      <c r="CU816" s="141" t="str">
        <v>511540 De vehículos</v>
      </c>
      <c r="CV816" s="141" t="str">
        <v>511540 De vehículos</v>
      </c>
      <c r="CW816" s="141" t="str">
        <v>511540 De vehículos</v>
      </c>
      <c r="CX816" s="141" t="str">
        <v>511540 De vehículos</v>
      </c>
      <c r="CY816" s="141" t="str">
        <v>511540 De vehículos</v>
      </c>
      <c r="CZ816" s="141" t="str">
        <v>511540 De vehículos</v>
      </c>
      <c r="DA816" s="141" t="str">
        <v>511540 De vehículos</v>
      </c>
      <c r="DF816" t="str">
        <v>511540 De vehículos</v>
      </c>
      <c r="DG816" t="str">
        <v>511540 De vehículos</v>
      </c>
      <c r="DH816" t="str">
        <v>511540 De vehículos</v>
      </c>
      <c r="DI816" t="str">
        <v>511540 De vehículos</v>
      </c>
      <c r="DJ816" t="str">
        <v>511540 De vehículos</v>
      </c>
      <c r="DK816" t="str">
        <v>511540 De vehículos</v>
      </c>
      <c r="DL816" t="str">
        <v>511540 De vehículos</v>
      </c>
      <c r="DM816" t="str">
        <v>511540 De vehículos</v>
      </c>
      <c r="DN816" t="str">
        <v>511540 De vehículos</v>
      </c>
      <c r="DO816" t="str">
        <v>511540 De vehículos</v>
      </c>
      <c r="DP816" t="str">
        <v>511540 De vehículos</v>
      </c>
    </row>
    <row r="817" spans="4:120" ht="12.75">
      <c r="D817" s="7">
        <v>511545</v>
      </c>
      <c r="E817" s="6" t="s">
        <v>569</v>
      </c>
      <c r="F817" s="5">
        <v>4</v>
      </c>
      <c r="G817" s="34" t="s">
        <v>830</v>
      </c>
      <c r="H817" s="8" t="s">
        <v>32</v>
      </c>
      <c r="I817" t="b">
        <f>+ISNUMBER(SEARCH('F-COMPRA'!$F$28,Tabla11[[#This Row],[Cuenta]],1))</f>
        <v>1</v>
      </c>
      <c r="J817" t="b">
        <f>+ISNUMBER(SEARCH('F-COMPRA'!$F$29,Tabla11[[#This Row],[Cuenta]],1))</f>
        <v>1</v>
      </c>
      <c r="K817" t="b">
        <f>+ISNUMBER(SEARCH('F-COMPRA'!$F$30,Tabla11[[#This Row],[Cuenta]],1))</f>
        <v>1</v>
      </c>
      <c r="L817" t="b">
        <f>+ISNUMBER(SEARCH('F-COMPRA'!$F$31,Tabla11[[#This Row],[Cuenta]],1))</f>
        <v>1</v>
      </c>
      <c r="M817" t="b">
        <f>+ISNUMBER(SEARCH('F-COMPRA'!$G$25,Tabla11[[#This Row],[Cuenta]],1))</f>
        <v>0</v>
      </c>
      <c r="N817" t="b">
        <f>+ISNUMBER(SEARCH(#REF!,Tabla11[[#This Row],[Cuenta]],1))</f>
        <v>0</v>
      </c>
      <c r="O817" t="b">
        <f>+ISNUMBER(SEARCH(#REF!,Tabla11[[#This Row],[Cuenta]],1))</f>
        <v>0</v>
      </c>
      <c r="P817" t="b">
        <f>+ISNUMBER(SEARCH('F-COMPRA'!$F$32,Tabla11[[#This Row],[Cuenta]],1))</f>
        <v>1</v>
      </c>
      <c r="Q817" t="b">
        <f>+ISNUMBER(SEARCH('F-COMPRA'!$F$33,Tabla11[[#This Row],[Cuenta]],1))</f>
        <v>1</v>
      </c>
      <c r="R817" t="b">
        <f>+ISNUMBER(SEARCH('F-COMPRA'!$F$34,Tabla11[[#This Row],[Cuenta]],1))</f>
        <v>1</v>
      </c>
      <c r="S817" t="b">
        <f>+ISNUMBER(SEARCH('F-COMPRA'!$F$35,Tabla11[[#This Row],[Cuenta]],1))</f>
        <v>1</v>
      </c>
      <c r="T817" t="b">
        <f>+ISNUMBER(SEARCH('F-COMPRA'!$F$36,Tabla11[[#This Row],[Cuenta]],1))</f>
        <v>1</v>
      </c>
      <c r="U817" t="b">
        <f>+ISNUMBER(SEARCH('F-COMPRA'!$F$37,Tabla11[[#This Row],[Cuenta]],1))</f>
        <v>1</v>
      </c>
      <c r="V817" t="b">
        <f>+ISNUMBER(SEARCH(#REF!,Tabla11[[#This Row],[Cuenta]],1))</f>
        <v>0</v>
      </c>
      <c r="W817" t="b">
        <f>+ISNUMBER(SEARCH('F-COMPRA'!#REF!,Tabla11[[#This Row],[Cuenta]],1))</f>
        <v>0</v>
      </c>
      <c r="X817" t="b">
        <f>+ISNUMBER(SEARCH('F-COMPRA'!#REF!,Tabla11[[#This Row],[Cuenta]],1))</f>
        <v>0</v>
      </c>
      <c r="Y817" t="b">
        <f>+ISNUMBER(SEARCH('F-COMPRA'!#REF!,Tabla11[[#This Row],[Cuenta]],1))</f>
        <v>0</v>
      </c>
      <c r="Z817" t="b">
        <f>+ISNUMBER(SEARCH('F-COMPRA'!#REF!,Tabla11[[#This Row],[Cuenta]],1))</f>
        <v>0</v>
      </c>
      <c r="AA817" t="b">
        <f>+ISNUMBER(SEARCH('F-COMPRA'!#REF!,Tabla11[[#This Row],[Cuenta]],1))</f>
        <v>0</v>
      </c>
      <c r="AB817" t="b">
        <f>+ISNUMBER(SEARCH('F-COMPRA'!#REF!,Tabla11[[#This Row],[Cuenta]],1))</f>
        <v>0</v>
      </c>
      <c r="AC817" t="b">
        <f>+ISNUMBER(SEARCH('F-COMPRA'!#REF!,Tabla11[[#This Row],[Cuenta]],1))</f>
        <v>0</v>
      </c>
      <c r="AD817" t="b">
        <f>+ISNUMBER(SEARCH('F-COMPRA'!#REF!,Tabla11[[#This Row],[Cuenta]],1))</f>
        <v>0</v>
      </c>
      <c r="AE817" t="b">
        <f>+ISNUMBER(SEARCH('F-COMPRA'!#REF!,Tabla11[[#This Row],[Cuenta]],1))</f>
        <v>0</v>
      </c>
      <c r="AF817" t="b">
        <f>+ISNUMBER(SEARCH('F-VTA'!$G$23,Tabla11[[#This Row],[Cuenta]],1))</f>
        <v>0</v>
      </c>
      <c r="AG817" t="b">
        <f>+ISNUMBER(SEARCH('F-VTA'!$G$24,Tabla11[[#This Row],[Cuenta]],1))</f>
        <v>0</v>
      </c>
      <c r="AH817" t="b">
        <f>+ISNUMBER(SEARCH('F-VTA'!$G$25,Tabla11[[#This Row],[Cuenta]],1))</f>
        <v>0</v>
      </c>
      <c r="AI817" t="b">
        <f>+ISNUMBER(SEARCH('F-VTA'!$F$28,Tabla11[[#This Row],[Cuenta]],1))</f>
        <v>1</v>
      </c>
      <c r="AJ817" t="b">
        <f>+ISNUMBER(SEARCH('F-VTA'!$F$29,Tabla11[[#This Row],[Cuenta]],1))</f>
        <v>1</v>
      </c>
      <c r="AK817" t="b">
        <f>+ISNUMBER(SEARCH('F-VTA'!$F$30,Tabla11[[#This Row],[Cuenta]],1))</f>
        <v>1</v>
      </c>
      <c r="AL817" t="b">
        <f>+ISNUMBER(SEARCH('F-VTA'!$F$31,Tabla11[[#This Row],[Cuenta]],1))</f>
        <v>1</v>
      </c>
      <c r="AM817" t="b">
        <f>+ISNUMBER(SEARCH('F-VTA'!$F$32,Tabla11[[#This Row],[Cuenta]],1))</f>
        <v>1</v>
      </c>
      <c r="AN817" t="b">
        <f>+ISNUMBER(SEARCH('F-VTA'!$F$33,Tabla11[[#This Row],[Cuenta]],1))</f>
        <v>1</v>
      </c>
      <c r="AO817" t="b">
        <f>+ISNUMBER(SEARCH('F-VTA'!$F$34,Tabla11[[#This Row],[Cuenta]],1))</f>
        <v>1</v>
      </c>
      <c r="AP817" t="b">
        <f>+ISNUMBER(SEARCH('F-VTA'!$F$35,Tabla11[[#This Row],[Cuenta]],1))</f>
        <v>1</v>
      </c>
      <c r="AQ817" t="b">
        <f>+ISNUMBER(SEARCH('F-VTA'!$F$36,Tabla11[[#This Row],[Cuenta]],1))</f>
        <v>1</v>
      </c>
      <c r="AR817" t="b">
        <f>+ISNUMBER(SEARCH(#REF!,Tabla11[[#This Row],[Cuenta]],1))</f>
        <v>0</v>
      </c>
      <c r="AS817" t="b">
        <f>+ISNUMBER(SEARCH(#REF!,Tabla11[[#This Row],[Cuenta]],1))</f>
        <v>0</v>
      </c>
      <c r="AT817" t="b">
        <f>+ISNUMBER(SEARCH(#REF!,Tabla11[[#This Row],[Cuenta]],1))</f>
        <v>0</v>
      </c>
      <c r="AU817" t="b">
        <f>+ISNUMBER(SEARCH('Conc. Ban.1'!$I$9,Tabla11[[#This Row],[Cuenta]],1))</f>
        <v>0</v>
      </c>
      <c r="AV817" t="b">
        <f>+ISNUMBER(SEARCH(CompConta!$F$21,Tabla11[[#This Row],[Cuenta]],1))</f>
        <v>1</v>
      </c>
      <c r="AW817" t="b">
        <f>+ISNUMBER(SEARCH(CompConta!$F$22,Tabla11[[#This Row],[Cuenta]],1))</f>
        <v>1</v>
      </c>
      <c r="AX817" t="b">
        <f>+ISNUMBER(SEARCH(CompConta!$F$23,Tabla11[[#This Row],[Cuenta]],1))</f>
        <v>1</v>
      </c>
      <c r="AY817" t="b">
        <f>+ISNUMBER(SEARCH(CompConta!$F$24,Tabla11[[#This Row],[Cuenta]],1))</f>
        <v>1</v>
      </c>
      <c r="AZ817" t="b">
        <f>+ISNUMBER(SEARCH(CompConta!$F$25,Tabla11[[#This Row],[Cuenta]],1))</f>
        <v>1</v>
      </c>
      <c r="BA817" t="b">
        <f>+ISNUMBER(SEARCH(CompConta!$F$26,Tabla11[[#This Row],[Cuenta]],1))</f>
        <v>1</v>
      </c>
      <c r="BB817" t="b">
        <f>+ISNUMBER(SEARCH(CompConta!$F$27,Tabla11[[#This Row],[Cuenta]],1))</f>
        <v>1</v>
      </c>
      <c r="BC817" t="b">
        <f>+ISNUMBER(SEARCH(CompConta!$F$28,Tabla11[[#This Row],[Cuenta]],1))</f>
        <v>1</v>
      </c>
      <c r="BD817" t="b">
        <f>+ISNUMBER(SEARCH(CompConta!$F$29,Tabla11[[#This Row],[Cuenta]],1))</f>
        <v>1</v>
      </c>
      <c r="BE817" t="b">
        <f>+ISNUMBER(SEARCH(CompConta!$F$30,Tabla11[[#This Row],[Cuenta]],1))</f>
        <v>1</v>
      </c>
      <c r="BF817" t="b">
        <f>+ISNUMBER(SEARCH('PAGO Compras'!$E$11,Tabla11[[#This Row],[Cuenta]],1))</f>
        <v>1</v>
      </c>
      <c r="BG817" t="b">
        <f>+ISNUMBER(SEARCH(#REF!,Tabla11[[#This Row],[Cuenta]],1))</f>
        <v>0</v>
      </c>
      <c r="BH817" t="b">
        <f>+ISNUMBER(SEARCH(#REF!,Tabla11[[#This Row],[Cuenta]],1))</f>
        <v>0</v>
      </c>
      <c r="BI817" t="b">
        <f>+ISNUMBER(SEARCH(#REF!,Tabla11[[#This Row],[Cuenta]],1))</f>
        <v>0</v>
      </c>
      <c r="BJ817" t="b">
        <f>+ISNUMBER(SEARCH(#REF!,Tabla11[[#This Row],[Cuenta]],1))</f>
        <v>0</v>
      </c>
      <c r="BS817" t="str">
        <v>511545 Espectáculos públicos</v>
      </c>
      <c r="BT817" t="str">
        <v>511545 Espectáculos públicos</v>
      </c>
      <c r="BU817" t="str">
        <v>511545 Espectáculos públicos</v>
      </c>
      <c r="BV817" t="str">
        <v>511545 Espectáculos públicos</v>
      </c>
      <c r="BZ817" t="str">
        <v>511545 Espectáculos públicos</v>
      </c>
      <c r="CA817" t="str">
        <v>511545 Espectáculos públicos</v>
      </c>
      <c r="CB817" t="str">
        <v>511545 Espectáculos públicos</v>
      </c>
      <c r="CC817" t="str">
        <v>511545 Espectáculos públicos</v>
      </c>
      <c r="CD817" t="str">
        <v>511545 Espectáculos públicos</v>
      </c>
      <c r="CE817" t="str">
        <v>511545 Espectáculos públicos</v>
      </c>
      <c r="CS817" s="141" t="str">
        <v>511545 Espectáculos públicos</v>
      </c>
      <c r="CT817" s="141" t="str">
        <v>511545 Espectáculos públicos</v>
      </c>
      <c r="CU817" s="141" t="str">
        <v>511545 Espectáculos públicos</v>
      </c>
      <c r="CV817" s="141" t="str">
        <v>511545 Espectáculos públicos</v>
      </c>
      <c r="CW817" s="141" t="str">
        <v>511545 Espectáculos públicos</v>
      </c>
      <c r="CX817" s="141" t="str">
        <v>511545 Espectáculos públicos</v>
      </c>
      <c r="CY817" s="141" t="str">
        <v>511545 Espectáculos públicos</v>
      </c>
      <c r="CZ817" s="141" t="str">
        <v>511545 Espectáculos públicos</v>
      </c>
      <c r="DA817" s="141" t="str">
        <v>511545 Espectáculos públicos</v>
      </c>
      <c r="DF817" t="str">
        <v>511545 Espectáculos públicos</v>
      </c>
      <c r="DG817" t="str">
        <v>511545 Espectáculos públicos</v>
      </c>
      <c r="DH817" t="str">
        <v>511545 Espectáculos públicos</v>
      </c>
      <c r="DI817" t="str">
        <v>511545 Espectáculos públicos</v>
      </c>
      <c r="DJ817" t="str">
        <v>511545 Espectáculos públicos</v>
      </c>
      <c r="DK817" t="str">
        <v>511545 Espectáculos públicos</v>
      </c>
      <c r="DL817" t="str">
        <v>511545 Espectáculos públicos</v>
      </c>
      <c r="DM817" t="str">
        <v>511545 Espectáculos públicos</v>
      </c>
      <c r="DN817" t="str">
        <v>511545 Espectáculos públicos</v>
      </c>
      <c r="DO817" t="str">
        <v>511545 Espectáculos públicos</v>
      </c>
      <c r="DP817" t="str">
        <v>511545 Espectáculos públicos</v>
      </c>
    </row>
    <row r="818" spans="4:120" ht="12.75">
      <c r="D818" s="7">
        <v>511550</v>
      </c>
      <c r="E818" s="6" t="s">
        <v>570</v>
      </c>
      <c r="F818" s="5">
        <v>4</v>
      </c>
      <c r="G818" s="34" t="s">
        <v>830</v>
      </c>
      <c r="H818" s="8" t="s">
        <v>32</v>
      </c>
      <c r="I818" t="b">
        <f>+ISNUMBER(SEARCH('F-COMPRA'!$F$28,Tabla11[[#This Row],[Cuenta]],1))</f>
        <v>1</v>
      </c>
      <c r="J818" t="b">
        <f>+ISNUMBER(SEARCH('F-COMPRA'!$F$29,Tabla11[[#This Row],[Cuenta]],1))</f>
        <v>1</v>
      </c>
      <c r="K818" t="b">
        <f>+ISNUMBER(SEARCH('F-COMPRA'!$F$30,Tabla11[[#This Row],[Cuenta]],1))</f>
        <v>1</v>
      </c>
      <c r="L818" t="b">
        <f>+ISNUMBER(SEARCH('F-COMPRA'!$F$31,Tabla11[[#This Row],[Cuenta]],1))</f>
        <v>1</v>
      </c>
      <c r="M818" t="b">
        <f>+ISNUMBER(SEARCH('F-COMPRA'!$G$25,Tabla11[[#This Row],[Cuenta]],1))</f>
        <v>0</v>
      </c>
      <c r="N818" t="b">
        <f>+ISNUMBER(SEARCH(#REF!,Tabla11[[#This Row],[Cuenta]],1))</f>
        <v>0</v>
      </c>
      <c r="O818" t="b">
        <f>+ISNUMBER(SEARCH(#REF!,Tabla11[[#This Row],[Cuenta]],1))</f>
        <v>0</v>
      </c>
      <c r="P818" t="b">
        <f>+ISNUMBER(SEARCH('F-COMPRA'!$F$32,Tabla11[[#This Row],[Cuenta]],1))</f>
        <v>1</v>
      </c>
      <c r="Q818" t="b">
        <f>+ISNUMBER(SEARCH('F-COMPRA'!$F$33,Tabla11[[#This Row],[Cuenta]],1))</f>
        <v>1</v>
      </c>
      <c r="R818" t="b">
        <f>+ISNUMBER(SEARCH('F-COMPRA'!$F$34,Tabla11[[#This Row],[Cuenta]],1))</f>
        <v>1</v>
      </c>
      <c r="S818" t="b">
        <f>+ISNUMBER(SEARCH('F-COMPRA'!$F$35,Tabla11[[#This Row],[Cuenta]],1))</f>
        <v>1</v>
      </c>
      <c r="T818" t="b">
        <f>+ISNUMBER(SEARCH('F-COMPRA'!$F$36,Tabla11[[#This Row],[Cuenta]],1))</f>
        <v>1</v>
      </c>
      <c r="U818" t="b">
        <f>+ISNUMBER(SEARCH('F-COMPRA'!$F$37,Tabla11[[#This Row],[Cuenta]],1))</f>
        <v>1</v>
      </c>
      <c r="V818" t="b">
        <f>+ISNUMBER(SEARCH(#REF!,Tabla11[[#This Row],[Cuenta]],1))</f>
        <v>0</v>
      </c>
      <c r="W818" t="b">
        <f>+ISNUMBER(SEARCH('F-COMPRA'!#REF!,Tabla11[[#This Row],[Cuenta]],1))</f>
        <v>0</v>
      </c>
      <c r="X818" t="b">
        <f>+ISNUMBER(SEARCH('F-COMPRA'!#REF!,Tabla11[[#This Row],[Cuenta]],1))</f>
        <v>0</v>
      </c>
      <c r="Y818" t="b">
        <f>+ISNUMBER(SEARCH('F-COMPRA'!#REF!,Tabla11[[#This Row],[Cuenta]],1))</f>
        <v>0</v>
      </c>
      <c r="Z818" t="b">
        <f>+ISNUMBER(SEARCH('F-COMPRA'!#REF!,Tabla11[[#This Row],[Cuenta]],1))</f>
        <v>0</v>
      </c>
      <c r="AA818" t="b">
        <f>+ISNUMBER(SEARCH('F-COMPRA'!#REF!,Tabla11[[#This Row],[Cuenta]],1))</f>
        <v>0</v>
      </c>
      <c r="AB818" t="b">
        <f>+ISNUMBER(SEARCH('F-COMPRA'!#REF!,Tabla11[[#This Row],[Cuenta]],1))</f>
        <v>0</v>
      </c>
      <c r="AC818" t="b">
        <f>+ISNUMBER(SEARCH('F-COMPRA'!#REF!,Tabla11[[#This Row],[Cuenta]],1))</f>
        <v>0</v>
      </c>
      <c r="AD818" t="b">
        <f>+ISNUMBER(SEARCH('F-COMPRA'!#REF!,Tabla11[[#This Row],[Cuenta]],1))</f>
        <v>0</v>
      </c>
      <c r="AE818" t="b">
        <f>+ISNUMBER(SEARCH('F-COMPRA'!#REF!,Tabla11[[#This Row],[Cuenta]],1))</f>
        <v>0</v>
      </c>
      <c r="AF818" t="b">
        <f>+ISNUMBER(SEARCH('F-VTA'!$G$23,Tabla11[[#This Row],[Cuenta]],1))</f>
        <v>0</v>
      </c>
      <c r="AG818" t="b">
        <f>+ISNUMBER(SEARCH('F-VTA'!$G$24,Tabla11[[#This Row],[Cuenta]],1))</f>
        <v>0</v>
      </c>
      <c r="AH818" t="b">
        <f>+ISNUMBER(SEARCH('F-VTA'!$G$25,Tabla11[[#This Row],[Cuenta]],1))</f>
        <v>0</v>
      </c>
      <c r="AI818" t="b">
        <f>+ISNUMBER(SEARCH('F-VTA'!$F$28,Tabla11[[#This Row],[Cuenta]],1))</f>
        <v>1</v>
      </c>
      <c r="AJ818" t="b">
        <f>+ISNUMBER(SEARCH('F-VTA'!$F$29,Tabla11[[#This Row],[Cuenta]],1))</f>
        <v>1</v>
      </c>
      <c r="AK818" t="b">
        <f>+ISNUMBER(SEARCH('F-VTA'!$F$30,Tabla11[[#This Row],[Cuenta]],1))</f>
        <v>1</v>
      </c>
      <c r="AL818" t="b">
        <f>+ISNUMBER(SEARCH('F-VTA'!$F$31,Tabla11[[#This Row],[Cuenta]],1))</f>
        <v>1</v>
      </c>
      <c r="AM818" t="b">
        <f>+ISNUMBER(SEARCH('F-VTA'!$F$32,Tabla11[[#This Row],[Cuenta]],1))</f>
        <v>1</v>
      </c>
      <c r="AN818" t="b">
        <f>+ISNUMBER(SEARCH('F-VTA'!$F$33,Tabla11[[#This Row],[Cuenta]],1))</f>
        <v>1</v>
      </c>
      <c r="AO818" t="b">
        <f>+ISNUMBER(SEARCH('F-VTA'!$F$34,Tabla11[[#This Row],[Cuenta]],1))</f>
        <v>1</v>
      </c>
      <c r="AP818" t="b">
        <f>+ISNUMBER(SEARCH('F-VTA'!$F$35,Tabla11[[#This Row],[Cuenta]],1))</f>
        <v>1</v>
      </c>
      <c r="AQ818" t="b">
        <f>+ISNUMBER(SEARCH('F-VTA'!$F$36,Tabla11[[#This Row],[Cuenta]],1))</f>
        <v>1</v>
      </c>
      <c r="AR818" t="b">
        <f>+ISNUMBER(SEARCH(#REF!,Tabla11[[#This Row],[Cuenta]],1))</f>
        <v>0</v>
      </c>
      <c r="AS818" t="b">
        <f>+ISNUMBER(SEARCH(#REF!,Tabla11[[#This Row],[Cuenta]],1))</f>
        <v>0</v>
      </c>
      <c r="AT818" t="b">
        <f>+ISNUMBER(SEARCH(#REF!,Tabla11[[#This Row],[Cuenta]],1))</f>
        <v>0</v>
      </c>
      <c r="AU818" t="b">
        <f>+ISNUMBER(SEARCH('Conc. Ban.1'!$I$9,Tabla11[[#This Row],[Cuenta]],1))</f>
        <v>0</v>
      </c>
      <c r="AV818" t="b">
        <f>+ISNUMBER(SEARCH(CompConta!$F$21,Tabla11[[#This Row],[Cuenta]],1))</f>
        <v>1</v>
      </c>
      <c r="AW818" t="b">
        <f>+ISNUMBER(SEARCH(CompConta!$F$22,Tabla11[[#This Row],[Cuenta]],1))</f>
        <v>1</v>
      </c>
      <c r="AX818" t="b">
        <f>+ISNUMBER(SEARCH(CompConta!$F$23,Tabla11[[#This Row],[Cuenta]],1))</f>
        <v>1</v>
      </c>
      <c r="AY818" t="b">
        <f>+ISNUMBER(SEARCH(CompConta!$F$24,Tabla11[[#This Row],[Cuenta]],1))</f>
        <v>1</v>
      </c>
      <c r="AZ818" t="b">
        <f>+ISNUMBER(SEARCH(CompConta!$F$25,Tabla11[[#This Row],[Cuenta]],1))</f>
        <v>1</v>
      </c>
      <c r="BA818" t="b">
        <f>+ISNUMBER(SEARCH(CompConta!$F$26,Tabla11[[#This Row],[Cuenta]],1))</f>
        <v>1</v>
      </c>
      <c r="BB818" t="b">
        <f>+ISNUMBER(SEARCH(CompConta!$F$27,Tabla11[[#This Row],[Cuenta]],1))</f>
        <v>1</v>
      </c>
      <c r="BC818" t="b">
        <f>+ISNUMBER(SEARCH(CompConta!$F$28,Tabla11[[#This Row],[Cuenta]],1))</f>
        <v>1</v>
      </c>
      <c r="BD818" t="b">
        <f>+ISNUMBER(SEARCH(CompConta!$F$29,Tabla11[[#This Row],[Cuenta]],1))</f>
        <v>1</v>
      </c>
      <c r="BE818" t="b">
        <f>+ISNUMBER(SEARCH(CompConta!$F$30,Tabla11[[#This Row],[Cuenta]],1))</f>
        <v>1</v>
      </c>
      <c r="BF818" t="b">
        <f>+ISNUMBER(SEARCH('PAGO Compras'!$E$11,Tabla11[[#This Row],[Cuenta]],1))</f>
        <v>1</v>
      </c>
      <c r="BG818" t="b">
        <f>+ISNUMBER(SEARCH(#REF!,Tabla11[[#This Row],[Cuenta]],1))</f>
        <v>0</v>
      </c>
      <c r="BH818" t="b">
        <f>+ISNUMBER(SEARCH(#REF!,Tabla11[[#This Row],[Cuenta]],1))</f>
        <v>0</v>
      </c>
      <c r="BI818" t="b">
        <f>+ISNUMBER(SEARCH(#REF!,Tabla11[[#This Row],[Cuenta]],1))</f>
        <v>0</v>
      </c>
      <c r="BJ818" t="b">
        <f>+ISNUMBER(SEARCH(#REF!,Tabla11[[#This Row],[Cuenta]],1))</f>
        <v>0</v>
      </c>
      <c r="BS818" t="str">
        <v>511550 Cuotas de fomento</v>
      </c>
      <c r="BT818" t="str">
        <v>511550 Cuotas de fomento</v>
      </c>
      <c r="BU818" t="str">
        <v>511550 Cuotas de fomento</v>
      </c>
      <c r="BV818" t="str">
        <v>511550 Cuotas de fomento</v>
      </c>
      <c r="BZ818" t="str">
        <v>511550 Cuotas de fomento</v>
      </c>
      <c r="CA818" t="str">
        <v>511550 Cuotas de fomento</v>
      </c>
      <c r="CB818" t="str">
        <v>511550 Cuotas de fomento</v>
      </c>
      <c r="CC818" t="str">
        <v>511550 Cuotas de fomento</v>
      </c>
      <c r="CD818" t="str">
        <v>511550 Cuotas de fomento</v>
      </c>
      <c r="CE818" t="str">
        <v>511550 Cuotas de fomento</v>
      </c>
      <c r="CS818" s="141" t="str">
        <v>511550 Cuotas de fomento</v>
      </c>
      <c r="CT818" s="141" t="str">
        <v>511550 Cuotas de fomento</v>
      </c>
      <c r="CU818" s="141" t="str">
        <v>511550 Cuotas de fomento</v>
      </c>
      <c r="CV818" s="141" t="str">
        <v>511550 Cuotas de fomento</v>
      </c>
      <c r="CW818" s="141" t="str">
        <v>511550 Cuotas de fomento</v>
      </c>
      <c r="CX818" s="141" t="str">
        <v>511550 Cuotas de fomento</v>
      </c>
      <c r="CY818" s="141" t="str">
        <v>511550 Cuotas de fomento</v>
      </c>
      <c r="CZ818" s="141" t="str">
        <v>511550 Cuotas de fomento</v>
      </c>
      <c r="DA818" s="141" t="str">
        <v>511550 Cuotas de fomento</v>
      </c>
      <c r="DF818" t="str">
        <v>511550 Cuotas de fomento</v>
      </c>
      <c r="DG818" t="str">
        <v>511550 Cuotas de fomento</v>
      </c>
      <c r="DH818" t="str">
        <v>511550 Cuotas de fomento</v>
      </c>
      <c r="DI818" t="str">
        <v>511550 Cuotas de fomento</v>
      </c>
      <c r="DJ818" t="str">
        <v>511550 Cuotas de fomento</v>
      </c>
      <c r="DK818" t="str">
        <v>511550 Cuotas de fomento</v>
      </c>
      <c r="DL818" t="str">
        <v>511550 Cuotas de fomento</v>
      </c>
      <c r="DM818" t="str">
        <v>511550 Cuotas de fomento</v>
      </c>
      <c r="DN818" t="str">
        <v>511550 Cuotas de fomento</v>
      </c>
      <c r="DO818" t="str">
        <v>511550 Cuotas de fomento</v>
      </c>
      <c r="DP818" t="str">
        <v>511550 Cuotas de fomento</v>
      </c>
    </row>
    <row r="819" spans="4:120" ht="12.75">
      <c r="D819" s="7">
        <v>511570</v>
      </c>
      <c r="E819" s="6" t="s">
        <v>571</v>
      </c>
      <c r="F819" s="5">
        <v>4</v>
      </c>
      <c r="G819" s="34" t="s">
        <v>830</v>
      </c>
      <c r="H819" s="8" t="s">
        <v>32</v>
      </c>
      <c r="I819" t="b">
        <f>+ISNUMBER(SEARCH('F-COMPRA'!$F$28,Tabla11[[#This Row],[Cuenta]],1))</f>
        <v>1</v>
      </c>
      <c r="J819" t="b">
        <f>+ISNUMBER(SEARCH('F-COMPRA'!$F$29,Tabla11[[#This Row],[Cuenta]],1))</f>
        <v>1</v>
      </c>
      <c r="K819" t="b">
        <f>+ISNUMBER(SEARCH('F-COMPRA'!$F$30,Tabla11[[#This Row],[Cuenta]],1))</f>
        <v>1</v>
      </c>
      <c r="L819" t="b">
        <f>+ISNUMBER(SEARCH('F-COMPRA'!$F$31,Tabla11[[#This Row],[Cuenta]],1))</f>
        <v>1</v>
      </c>
      <c r="M819" t="b">
        <f>+ISNUMBER(SEARCH('F-COMPRA'!$G$25,Tabla11[[#This Row],[Cuenta]],1))</f>
        <v>0</v>
      </c>
      <c r="N819" t="b">
        <f>+ISNUMBER(SEARCH(#REF!,Tabla11[[#This Row],[Cuenta]],1))</f>
        <v>0</v>
      </c>
      <c r="O819" t="b">
        <f>+ISNUMBER(SEARCH(#REF!,Tabla11[[#This Row],[Cuenta]],1))</f>
        <v>0</v>
      </c>
      <c r="P819" t="b">
        <f>+ISNUMBER(SEARCH('F-COMPRA'!$F$32,Tabla11[[#This Row],[Cuenta]],1))</f>
        <v>1</v>
      </c>
      <c r="Q819" t="b">
        <f>+ISNUMBER(SEARCH('F-COMPRA'!$F$33,Tabla11[[#This Row],[Cuenta]],1))</f>
        <v>1</v>
      </c>
      <c r="R819" t="b">
        <f>+ISNUMBER(SEARCH('F-COMPRA'!$F$34,Tabla11[[#This Row],[Cuenta]],1))</f>
        <v>1</v>
      </c>
      <c r="S819" t="b">
        <f>+ISNUMBER(SEARCH('F-COMPRA'!$F$35,Tabla11[[#This Row],[Cuenta]],1))</f>
        <v>1</v>
      </c>
      <c r="T819" t="b">
        <f>+ISNUMBER(SEARCH('F-COMPRA'!$F$36,Tabla11[[#This Row],[Cuenta]],1))</f>
        <v>1</v>
      </c>
      <c r="U819" t="b">
        <f>+ISNUMBER(SEARCH('F-COMPRA'!$F$37,Tabla11[[#This Row],[Cuenta]],1))</f>
        <v>1</v>
      </c>
      <c r="V819" t="b">
        <f>+ISNUMBER(SEARCH(#REF!,Tabla11[[#This Row],[Cuenta]],1))</f>
        <v>0</v>
      </c>
      <c r="W819" t="b">
        <f>+ISNUMBER(SEARCH('F-COMPRA'!#REF!,Tabla11[[#This Row],[Cuenta]],1))</f>
        <v>0</v>
      </c>
      <c r="X819" t="b">
        <f>+ISNUMBER(SEARCH('F-COMPRA'!#REF!,Tabla11[[#This Row],[Cuenta]],1))</f>
        <v>0</v>
      </c>
      <c r="Y819" t="b">
        <f>+ISNUMBER(SEARCH('F-COMPRA'!#REF!,Tabla11[[#This Row],[Cuenta]],1))</f>
        <v>0</v>
      </c>
      <c r="Z819" t="b">
        <f>+ISNUMBER(SEARCH('F-COMPRA'!#REF!,Tabla11[[#This Row],[Cuenta]],1))</f>
        <v>0</v>
      </c>
      <c r="AA819" t="b">
        <f>+ISNUMBER(SEARCH('F-COMPRA'!#REF!,Tabla11[[#This Row],[Cuenta]],1))</f>
        <v>0</v>
      </c>
      <c r="AB819" t="b">
        <f>+ISNUMBER(SEARCH('F-COMPRA'!#REF!,Tabla11[[#This Row],[Cuenta]],1))</f>
        <v>0</v>
      </c>
      <c r="AC819" t="b">
        <f>+ISNUMBER(SEARCH('F-COMPRA'!#REF!,Tabla11[[#This Row],[Cuenta]],1))</f>
        <v>0</v>
      </c>
      <c r="AD819" t="b">
        <f>+ISNUMBER(SEARCH('F-COMPRA'!#REF!,Tabla11[[#This Row],[Cuenta]],1))</f>
        <v>0</v>
      </c>
      <c r="AE819" t="b">
        <f>+ISNUMBER(SEARCH('F-COMPRA'!#REF!,Tabla11[[#This Row],[Cuenta]],1))</f>
        <v>0</v>
      </c>
      <c r="AF819" t="b">
        <f>+ISNUMBER(SEARCH('F-VTA'!$G$23,Tabla11[[#This Row],[Cuenta]],1))</f>
        <v>0</v>
      </c>
      <c r="AG819" t="b">
        <f>+ISNUMBER(SEARCH('F-VTA'!$G$24,Tabla11[[#This Row],[Cuenta]],1))</f>
        <v>0</v>
      </c>
      <c r="AH819" t="b">
        <f>+ISNUMBER(SEARCH('F-VTA'!$G$25,Tabla11[[#This Row],[Cuenta]],1))</f>
        <v>0</v>
      </c>
      <c r="AI819" t="b">
        <f>+ISNUMBER(SEARCH('F-VTA'!$F$28,Tabla11[[#This Row],[Cuenta]],1))</f>
        <v>1</v>
      </c>
      <c r="AJ819" t="b">
        <f>+ISNUMBER(SEARCH('F-VTA'!$F$29,Tabla11[[#This Row],[Cuenta]],1))</f>
        <v>1</v>
      </c>
      <c r="AK819" t="b">
        <f>+ISNUMBER(SEARCH('F-VTA'!$F$30,Tabla11[[#This Row],[Cuenta]],1))</f>
        <v>1</v>
      </c>
      <c r="AL819" t="b">
        <f>+ISNUMBER(SEARCH('F-VTA'!$F$31,Tabla11[[#This Row],[Cuenta]],1))</f>
        <v>1</v>
      </c>
      <c r="AM819" t="b">
        <f>+ISNUMBER(SEARCH('F-VTA'!$F$32,Tabla11[[#This Row],[Cuenta]],1))</f>
        <v>1</v>
      </c>
      <c r="AN819" t="b">
        <f>+ISNUMBER(SEARCH('F-VTA'!$F$33,Tabla11[[#This Row],[Cuenta]],1))</f>
        <v>1</v>
      </c>
      <c r="AO819" t="b">
        <f>+ISNUMBER(SEARCH('F-VTA'!$F$34,Tabla11[[#This Row],[Cuenta]],1))</f>
        <v>1</v>
      </c>
      <c r="AP819" t="b">
        <f>+ISNUMBER(SEARCH('F-VTA'!$F$35,Tabla11[[#This Row],[Cuenta]],1))</f>
        <v>1</v>
      </c>
      <c r="AQ819" t="b">
        <f>+ISNUMBER(SEARCH('F-VTA'!$F$36,Tabla11[[#This Row],[Cuenta]],1))</f>
        <v>1</v>
      </c>
      <c r="AR819" t="b">
        <f>+ISNUMBER(SEARCH(#REF!,Tabla11[[#This Row],[Cuenta]],1))</f>
        <v>0</v>
      </c>
      <c r="AS819" t="b">
        <f>+ISNUMBER(SEARCH(#REF!,Tabla11[[#This Row],[Cuenta]],1))</f>
        <v>0</v>
      </c>
      <c r="AT819" t="b">
        <f>+ISNUMBER(SEARCH(#REF!,Tabla11[[#This Row],[Cuenta]],1))</f>
        <v>0</v>
      </c>
      <c r="AU819" t="b">
        <f>+ISNUMBER(SEARCH('Conc. Ban.1'!$I$9,Tabla11[[#This Row],[Cuenta]],1))</f>
        <v>0</v>
      </c>
      <c r="AV819" t="b">
        <f>+ISNUMBER(SEARCH(CompConta!$F$21,Tabla11[[#This Row],[Cuenta]],1))</f>
        <v>1</v>
      </c>
      <c r="AW819" t="b">
        <f>+ISNUMBER(SEARCH(CompConta!$F$22,Tabla11[[#This Row],[Cuenta]],1))</f>
        <v>1</v>
      </c>
      <c r="AX819" t="b">
        <f>+ISNUMBER(SEARCH(CompConta!$F$23,Tabla11[[#This Row],[Cuenta]],1))</f>
        <v>1</v>
      </c>
      <c r="AY819" t="b">
        <f>+ISNUMBER(SEARCH(CompConta!$F$24,Tabla11[[#This Row],[Cuenta]],1))</f>
        <v>1</v>
      </c>
      <c r="AZ819" t="b">
        <f>+ISNUMBER(SEARCH(CompConta!$F$25,Tabla11[[#This Row],[Cuenta]],1))</f>
        <v>1</v>
      </c>
      <c r="BA819" t="b">
        <f>+ISNUMBER(SEARCH(CompConta!$F$26,Tabla11[[#This Row],[Cuenta]],1))</f>
        <v>1</v>
      </c>
      <c r="BB819" t="b">
        <f>+ISNUMBER(SEARCH(CompConta!$F$27,Tabla11[[#This Row],[Cuenta]],1))</f>
        <v>1</v>
      </c>
      <c r="BC819" t="b">
        <f>+ISNUMBER(SEARCH(CompConta!$F$28,Tabla11[[#This Row],[Cuenta]],1))</f>
        <v>1</v>
      </c>
      <c r="BD819" t="b">
        <f>+ISNUMBER(SEARCH(CompConta!$F$29,Tabla11[[#This Row],[Cuenta]],1))</f>
        <v>1</v>
      </c>
      <c r="BE819" t="b">
        <f>+ISNUMBER(SEARCH(CompConta!$F$30,Tabla11[[#This Row],[Cuenta]],1))</f>
        <v>1</v>
      </c>
      <c r="BF819" t="b">
        <f>+ISNUMBER(SEARCH('PAGO Compras'!$E$11,Tabla11[[#This Row],[Cuenta]],1))</f>
        <v>1</v>
      </c>
      <c r="BG819" t="b">
        <f>+ISNUMBER(SEARCH(#REF!,Tabla11[[#This Row],[Cuenta]],1))</f>
        <v>0</v>
      </c>
      <c r="BH819" t="b">
        <f>+ISNUMBER(SEARCH(#REF!,Tabla11[[#This Row],[Cuenta]],1))</f>
        <v>0</v>
      </c>
      <c r="BI819" t="b">
        <f>+ISNUMBER(SEARCH(#REF!,Tabla11[[#This Row],[Cuenta]],1))</f>
        <v>0</v>
      </c>
      <c r="BJ819" t="b">
        <f>+ISNUMBER(SEARCH(#REF!,Tabla11[[#This Row],[Cuenta]],1))</f>
        <v>0</v>
      </c>
      <c r="BS819" t="str">
        <v>511570 IVA descontable</v>
      </c>
      <c r="BT819" t="str">
        <v>511570 IVA descontable</v>
      </c>
      <c r="BU819" t="str">
        <v>511570 IVA descontable</v>
      </c>
      <c r="BV819" t="str">
        <v>511570 IVA descontable</v>
      </c>
      <c r="BZ819" t="str">
        <v>511570 IVA descontable</v>
      </c>
      <c r="CA819" t="str">
        <v>511570 IVA descontable</v>
      </c>
      <c r="CB819" t="str">
        <v>511570 IVA descontable</v>
      </c>
      <c r="CC819" t="str">
        <v>511570 IVA descontable</v>
      </c>
      <c r="CD819" t="str">
        <v>511570 IVA descontable</v>
      </c>
      <c r="CE819" t="str">
        <v>511570 IVA descontable</v>
      </c>
      <c r="CS819" s="141" t="str">
        <v>511570 IVA descontable</v>
      </c>
      <c r="CT819" s="141" t="str">
        <v>511570 IVA descontable</v>
      </c>
      <c r="CU819" s="141" t="str">
        <v>511570 IVA descontable</v>
      </c>
      <c r="CV819" s="141" t="str">
        <v>511570 IVA descontable</v>
      </c>
      <c r="CW819" s="141" t="str">
        <v>511570 IVA descontable</v>
      </c>
      <c r="CX819" s="141" t="str">
        <v>511570 IVA descontable</v>
      </c>
      <c r="CY819" s="141" t="str">
        <v>511570 IVA descontable</v>
      </c>
      <c r="CZ819" s="141" t="str">
        <v>511570 IVA descontable</v>
      </c>
      <c r="DA819" s="141" t="str">
        <v>511570 IVA descontable</v>
      </c>
      <c r="DF819" t="str">
        <v>511570 IVA descontable</v>
      </c>
      <c r="DG819" t="str">
        <v>511570 IVA descontable</v>
      </c>
      <c r="DH819" t="str">
        <v>511570 IVA descontable</v>
      </c>
      <c r="DI819" t="str">
        <v>511570 IVA descontable</v>
      </c>
      <c r="DJ819" t="str">
        <v>511570 IVA descontable</v>
      </c>
      <c r="DK819" t="str">
        <v>511570 IVA descontable</v>
      </c>
      <c r="DL819" t="str">
        <v>511570 IVA descontable</v>
      </c>
      <c r="DM819" t="str">
        <v>511570 IVA descontable</v>
      </c>
      <c r="DN819" t="str">
        <v>511570 IVA descontable</v>
      </c>
      <c r="DO819" t="str">
        <v>511570 IVA descontable</v>
      </c>
      <c r="DP819" t="str">
        <v>511570 IVA descontable</v>
      </c>
    </row>
    <row r="820" spans="4:120" ht="12.75">
      <c r="D820" s="7">
        <v>511595</v>
      </c>
      <c r="E820" s="6" t="s">
        <v>45</v>
      </c>
      <c r="F820" s="5">
        <v>4</v>
      </c>
      <c r="G820" s="34" t="s">
        <v>830</v>
      </c>
      <c r="H820" s="8" t="s">
        <v>32</v>
      </c>
      <c r="I820" t="b">
        <f>+ISNUMBER(SEARCH('F-COMPRA'!$F$28,Tabla11[[#This Row],[Cuenta]],1))</f>
        <v>1</v>
      </c>
      <c r="J820" t="b">
        <f>+ISNUMBER(SEARCH('F-COMPRA'!$F$29,Tabla11[[#This Row],[Cuenta]],1))</f>
        <v>1</v>
      </c>
      <c r="K820" t="b">
        <f>+ISNUMBER(SEARCH('F-COMPRA'!$F$30,Tabla11[[#This Row],[Cuenta]],1))</f>
        <v>1</v>
      </c>
      <c r="L820" t="b">
        <f>+ISNUMBER(SEARCH('F-COMPRA'!$F$31,Tabla11[[#This Row],[Cuenta]],1))</f>
        <v>1</v>
      </c>
      <c r="M820" t="b">
        <f>+ISNUMBER(SEARCH('F-COMPRA'!$G$25,Tabla11[[#This Row],[Cuenta]],1))</f>
        <v>0</v>
      </c>
      <c r="N820" t="b">
        <f>+ISNUMBER(SEARCH(#REF!,Tabla11[[#This Row],[Cuenta]],1))</f>
        <v>0</v>
      </c>
      <c r="O820" t="b">
        <f>+ISNUMBER(SEARCH(#REF!,Tabla11[[#This Row],[Cuenta]],1))</f>
        <v>0</v>
      </c>
      <c r="P820" t="b">
        <f>+ISNUMBER(SEARCH('F-COMPRA'!$F$32,Tabla11[[#This Row],[Cuenta]],1))</f>
        <v>1</v>
      </c>
      <c r="Q820" t="b">
        <f>+ISNUMBER(SEARCH('F-COMPRA'!$F$33,Tabla11[[#This Row],[Cuenta]],1))</f>
        <v>1</v>
      </c>
      <c r="R820" t="b">
        <f>+ISNUMBER(SEARCH('F-COMPRA'!$F$34,Tabla11[[#This Row],[Cuenta]],1))</f>
        <v>1</v>
      </c>
      <c r="S820" t="b">
        <f>+ISNUMBER(SEARCH('F-COMPRA'!$F$35,Tabla11[[#This Row],[Cuenta]],1))</f>
        <v>1</v>
      </c>
      <c r="T820" t="b">
        <f>+ISNUMBER(SEARCH('F-COMPRA'!$F$36,Tabla11[[#This Row],[Cuenta]],1))</f>
        <v>1</v>
      </c>
      <c r="U820" t="b">
        <f>+ISNUMBER(SEARCH('F-COMPRA'!$F$37,Tabla11[[#This Row],[Cuenta]],1))</f>
        <v>1</v>
      </c>
      <c r="V820" t="b">
        <f>+ISNUMBER(SEARCH(#REF!,Tabla11[[#This Row],[Cuenta]],1))</f>
        <v>0</v>
      </c>
      <c r="W820" t="b">
        <f>+ISNUMBER(SEARCH('F-COMPRA'!#REF!,Tabla11[[#This Row],[Cuenta]],1))</f>
        <v>0</v>
      </c>
      <c r="X820" t="b">
        <f>+ISNUMBER(SEARCH('F-COMPRA'!#REF!,Tabla11[[#This Row],[Cuenta]],1))</f>
        <v>0</v>
      </c>
      <c r="Y820" t="b">
        <f>+ISNUMBER(SEARCH('F-COMPRA'!#REF!,Tabla11[[#This Row],[Cuenta]],1))</f>
        <v>0</v>
      </c>
      <c r="Z820" t="b">
        <f>+ISNUMBER(SEARCH('F-COMPRA'!#REF!,Tabla11[[#This Row],[Cuenta]],1))</f>
        <v>0</v>
      </c>
      <c r="AA820" t="b">
        <f>+ISNUMBER(SEARCH('F-COMPRA'!#REF!,Tabla11[[#This Row],[Cuenta]],1))</f>
        <v>0</v>
      </c>
      <c r="AB820" t="b">
        <f>+ISNUMBER(SEARCH('F-COMPRA'!#REF!,Tabla11[[#This Row],[Cuenta]],1))</f>
        <v>0</v>
      </c>
      <c r="AC820" t="b">
        <f>+ISNUMBER(SEARCH('F-COMPRA'!#REF!,Tabla11[[#This Row],[Cuenta]],1))</f>
        <v>0</v>
      </c>
      <c r="AD820" t="b">
        <f>+ISNUMBER(SEARCH('F-COMPRA'!#REF!,Tabla11[[#This Row],[Cuenta]],1))</f>
        <v>0</v>
      </c>
      <c r="AE820" t="b">
        <f>+ISNUMBER(SEARCH('F-COMPRA'!#REF!,Tabla11[[#This Row],[Cuenta]],1))</f>
        <v>0</v>
      </c>
      <c r="AF820" t="b">
        <f>+ISNUMBER(SEARCH('F-VTA'!$G$23,Tabla11[[#This Row],[Cuenta]],1))</f>
        <v>0</v>
      </c>
      <c r="AG820" t="b">
        <f>+ISNUMBER(SEARCH('F-VTA'!$G$24,Tabla11[[#This Row],[Cuenta]],1))</f>
        <v>0</v>
      </c>
      <c r="AH820" t="b">
        <f>+ISNUMBER(SEARCH('F-VTA'!$G$25,Tabla11[[#This Row],[Cuenta]],1))</f>
        <v>0</v>
      </c>
      <c r="AI820" t="b">
        <f>+ISNUMBER(SEARCH('F-VTA'!$F$28,Tabla11[[#This Row],[Cuenta]],1))</f>
        <v>1</v>
      </c>
      <c r="AJ820" t="b">
        <f>+ISNUMBER(SEARCH('F-VTA'!$F$29,Tabla11[[#This Row],[Cuenta]],1))</f>
        <v>1</v>
      </c>
      <c r="AK820" t="b">
        <f>+ISNUMBER(SEARCH('F-VTA'!$F$30,Tabla11[[#This Row],[Cuenta]],1))</f>
        <v>1</v>
      </c>
      <c r="AL820" t="b">
        <f>+ISNUMBER(SEARCH('F-VTA'!$F$31,Tabla11[[#This Row],[Cuenta]],1))</f>
        <v>1</v>
      </c>
      <c r="AM820" t="b">
        <f>+ISNUMBER(SEARCH('F-VTA'!$F$32,Tabla11[[#This Row],[Cuenta]],1))</f>
        <v>1</v>
      </c>
      <c r="AN820" t="b">
        <f>+ISNUMBER(SEARCH('F-VTA'!$F$33,Tabla11[[#This Row],[Cuenta]],1))</f>
        <v>1</v>
      </c>
      <c r="AO820" t="b">
        <f>+ISNUMBER(SEARCH('F-VTA'!$F$34,Tabla11[[#This Row],[Cuenta]],1))</f>
        <v>1</v>
      </c>
      <c r="AP820" t="b">
        <f>+ISNUMBER(SEARCH('F-VTA'!$F$35,Tabla11[[#This Row],[Cuenta]],1))</f>
        <v>1</v>
      </c>
      <c r="AQ820" t="b">
        <f>+ISNUMBER(SEARCH('F-VTA'!$F$36,Tabla11[[#This Row],[Cuenta]],1))</f>
        <v>1</v>
      </c>
      <c r="AR820" t="b">
        <f>+ISNUMBER(SEARCH(#REF!,Tabla11[[#This Row],[Cuenta]],1))</f>
        <v>0</v>
      </c>
      <c r="AS820" t="b">
        <f>+ISNUMBER(SEARCH(#REF!,Tabla11[[#This Row],[Cuenta]],1))</f>
        <v>0</v>
      </c>
      <c r="AT820" t="b">
        <f>+ISNUMBER(SEARCH(#REF!,Tabla11[[#This Row],[Cuenta]],1))</f>
        <v>0</v>
      </c>
      <c r="AU820" t="b">
        <f>+ISNUMBER(SEARCH('Conc. Ban.1'!$I$9,Tabla11[[#This Row],[Cuenta]],1))</f>
        <v>0</v>
      </c>
      <c r="AV820" t="b">
        <f>+ISNUMBER(SEARCH(CompConta!$F$21,Tabla11[[#This Row],[Cuenta]],1))</f>
        <v>1</v>
      </c>
      <c r="AW820" t="b">
        <f>+ISNUMBER(SEARCH(CompConta!$F$22,Tabla11[[#This Row],[Cuenta]],1))</f>
        <v>1</v>
      </c>
      <c r="AX820" t="b">
        <f>+ISNUMBER(SEARCH(CompConta!$F$23,Tabla11[[#This Row],[Cuenta]],1))</f>
        <v>1</v>
      </c>
      <c r="AY820" t="b">
        <f>+ISNUMBER(SEARCH(CompConta!$F$24,Tabla11[[#This Row],[Cuenta]],1))</f>
        <v>1</v>
      </c>
      <c r="AZ820" t="b">
        <f>+ISNUMBER(SEARCH(CompConta!$F$25,Tabla11[[#This Row],[Cuenta]],1))</f>
        <v>1</v>
      </c>
      <c r="BA820" t="b">
        <f>+ISNUMBER(SEARCH(CompConta!$F$26,Tabla11[[#This Row],[Cuenta]],1))</f>
        <v>1</v>
      </c>
      <c r="BB820" t="b">
        <f>+ISNUMBER(SEARCH(CompConta!$F$27,Tabla11[[#This Row],[Cuenta]],1))</f>
        <v>1</v>
      </c>
      <c r="BC820" t="b">
        <f>+ISNUMBER(SEARCH(CompConta!$F$28,Tabla11[[#This Row],[Cuenta]],1))</f>
        <v>1</v>
      </c>
      <c r="BD820" t="b">
        <f>+ISNUMBER(SEARCH(CompConta!$F$29,Tabla11[[#This Row],[Cuenta]],1))</f>
        <v>1</v>
      </c>
      <c r="BE820" t="b">
        <f>+ISNUMBER(SEARCH(CompConta!$F$30,Tabla11[[#This Row],[Cuenta]],1))</f>
        <v>1</v>
      </c>
      <c r="BF820" t="b">
        <f>+ISNUMBER(SEARCH('PAGO Compras'!$E$11,Tabla11[[#This Row],[Cuenta]],1))</f>
        <v>1</v>
      </c>
      <c r="BG820" t="b">
        <f>+ISNUMBER(SEARCH(#REF!,Tabla11[[#This Row],[Cuenta]],1))</f>
        <v>0</v>
      </c>
      <c r="BH820" t="b">
        <f>+ISNUMBER(SEARCH(#REF!,Tabla11[[#This Row],[Cuenta]],1))</f>
        <v>0</v>
      </c>
      <c r="BI820" t="b">
        <f>+ISNUMBER(SEARCH(#REF!,Tabla11[[#This Row],[Cuenta]],1))</f>
        <v>0</v>
      </c>
      <c r="BJ820" t="b">
        <f>+ISNUMBER(SEARCH(#REF!,Tabla11[[#This Row],[Cuenta]],1))</f>
        <v>0</v>
      </c>
      <c r="BS820" t="str">
        <v>511595 Otros</v>
      </c>
      <c r="BT820" t="str">
        <v>511595 Otros</v>
      </c>
      <c r="BU820" t="str">
        <v>511595 Otros</v>
      </c>
      <c r="BV820" t="str">
        <v>511595 Otros</v>
      </c>
      <c r="BZ820" t="str">
        <v>511595 Otros</v>
      </c>
      <c r="CA820" t="str">
        <v>511595 Otros</v>
      </c>
      <c r="CB820" t="str">
        <v>511595 Otros</v>
      </c>
      <c r="CC820" t="str">
        <v>511595 Otros</v>
      </c>
      <c r="CD820" t="str">
        <v>511595 Otros</v>
      </c>
      <c r="CE820" t="str">
        <v>511595 Otros</v>
      </c>
      <c r="CS820" s="141" t="str">
        <v>511595 Otros</v>
      </c>
      <c r="CT820" s="141" t="str">
        <v>511595 Otros</v>
      </c>
      <c r="CU820" s="141" t="str">
        <v>511595 Otros</v>
      </c>
      <c r="CV820" s="141" t="str">
        <v>511595 Otros</v>
      </c>
      <c r="CW820" s="141" t="str">
        <v>511595 Otros</v>
      </c>
      <c r="CX820" s="141" t="str">
        <v>511595 Otros</v>
      </c>
      <c r="CY820" s="141" t="str">
        <v>511595 Otros</v>
      </c>
      <c r="CZ820" s="141" t="str">
        <v>511595 Otros</v>
      </c>
      <c r="DA820" s="141" t="str">
        <v>511595 Otros</v>
      </c>
      <c r="DF820" t="str">
        <v>511595 Otros</v>
      </c>
      <c r="DG820" t="str">
        <v>511595 Otros</v>
      </c>
      <c r="DH820" t="str">
        <v>511595 Otros</v>
      </c>
      <c r="DI820" t="str">
        <v>511595 Otros</v>
      </c>
      <c r="DJ820" t="str">
        <v>511595 Otros</v>
      </c>
      <c r="DK820" t="str">
        <v>511595 Otros</v>
      </c>
      <c r="DL820" t="str">
        <v>511595 Otros</v>
      </c>
      <c r="DM820" t="str">
        <v>511595 Otros</v>
      </c>
      <c r="DN820" t="str">
        <v>511595 Otros</v>
      </c>
      <c r="DO820" t="str">
        <v>511595 Otros</v>
      </c>
      <c r="DP820" t="str">
        <v>511595 Otros</v>
      </c>
    </row>
    <row r="821" spans="4:120" ht="12.75">
      <c r="D821" s="7">
        <v>511599</v>
      </c>
      <c r="E821" s="6" t="s">
        <v>93</v>
      </c>
      <c r="F821" s="5">
        <v>4</v>
      </c>
      <c r="G821" s="34" t="s">
        <v>830</v>
      </c>
      <c r="H821" s="8" t="s">
        <v>32</v>
      </c>
      <c r="I821" t="b">
        <f>+ISNUMBER(SEARCH('F-COMPRA'!$F$28,Tabla11[[#This Row],[Cuenta]],1))</f>
        <v>1</v>
      </c>
      <c r="J821" t="b">
        <f>+ISNUMBER(SEARCH('F-COMPRA'!$F$29,Tabla11[[#This Row],[Cuenta]],1))</f>
        <v>1</v>
      </c>
      <c r="K821" t="b">
        <f>+ISNUMBER(SEARCH('F-COMPRA'!$F$30,Tabla11[[#This Row],[Cuenta]],1))</f>
        <v>1</v>
      </c>
      <c r="L821" t="b">
        <f>+ISNUMBER(SEARCH('F-COMPRA'!$F$31,Tabla11[[#This Row],[Cuenta]],1))</f>
        <v>1</v>
      </c>
      <c r="M821" t="b">
        <f>+ISNUMBER(SEARCH('F-COMPRA'!$G$25,Tabla11[[#This Row],[Cuenta]],1))</f>
        <v>0</v>
      </c>
      <c r="N821" t="b">
        <f>+ISNUMBER(SEARCH(#REF!,Tabla11[[#This Row],[Cuenta]],1))</f>
        <v>0</v>
      </c>
      <c r="O821" t="b">
        <f>+ISNUMBER(SEARCH(#REF!,Tabla11[[#This Row],[Cuenta]],1))</f>
        <v>0</v>
      </c>
      <c r="P821" t="b">
        <f>+ISNUMBER(SEARCH('F-COMPRA'!$F$32,Tabla11[[#This Row],[Cuenta]],1))</f>
        <v>1</v>
      </c>
      <c r="Q821" t="b">
        <f>+ISNUMBER(SEARCH('F-COMPRA'!$F$33,Tabla11[[#This Row],[Cuenta]],1))</f>
        <v>1</v>
      </c>
      <c r="R821" t="b">
        <f>+ISNUMBER(SEARCH('F-COMPRA'!$F$34,Tabla11[[#This Row],[Cuenta]],1))</f>
        <v>1</v>
      </c>
      <c r="S821" t="b">
        <f>+ISNUMBER(SEARCH('F-COMPRA'!$F$35,Tabla11[[#This Row],[Cuenta]],1))</f>
        <v>1</v>
      </c>
      <c r="T821" t="b">
        <f>+ISNUMBER(SEARCH('F-COMPRA'!$F$36,Tabla11[[#This Row],[Cuenta]],1))</f>
        <v>1</v>
      </c>
      <c r="U821" t="b">
        <f>+ISNUMBER(SEARCH('F-COMPRA'!$F$37,Tabla11[[#This Row],[Cuenta]],1))</f>
        <v>1</v>
      </c>
      <c r="V821" t="b">
        <f>+ISNUMBER(SEARCH(#REF!,Tabla11[[#This Row],[Cuenta]],1))</f>
        <v>0</v>
      </c>
      <c r="W821" t="b">
        <f>+ISNUMBER(SEARCH('F-COMPRA'!#REF!,Tabla11[[#This Row],[Cuenta]],1))</f>
        <v>0</v>
      </c>
      <c r="X821" t="b">
        <f>+ISNUMBER(SEARCH('F-COMPRA'!#REF!,Tabla11[[#This Row],[Cuenta]],1))</f>
        <v>0</v>
      </c>
      <c r="Y821" t="b">
        <f>+ISNUMBER(SEARCH('F-COMPRA'!#REF!,Tabla11[[#This Row],[Cuenta]],1))</f>
        <v>0</v>
      </c>
      <c r="Z821" t="b">
        <f>+ISNUMBER(SEARCH('F-COMPRA'!#REF!,Tabla11[[#This Row],[Cuenta]],1))</f>
        <v>0</v>
      </c>
      <c r="AA821" t="b">
        <f>+ISNUMBER(SEARCH('F-COMPRA'!#REF!,Tabla11[[#This Row],[Cuenta]],1))</f>
        <v>0</v>
      </c>
      <c r="AB821" t="b">
        <f>+ISNUMBER(SEARCH('F-COMPRA'!#REF!,Tabla11[[#This Row],[Cuenta]],1))</f>
        <v>0</v>
      </c>
      <c r="AC821" t="b">
        <f>+ISNUMBER(SEARCH('F-COMPRA'!#REF!,Tabla11[[#This Row],[Cuenta]],1))</f>
        <v>0</v>
      </c>
      <c r="AD821" t="b">
        <f>+ISNUMBER(SEARCH('F-COMPRA'!#REF!,Tabla11[[#This Row],[Cuenta]],1))</f>
        <v>0</v>
      </c>
      <c r="AE821" t="b">
        <f>+ISNUMBER(SEARCH('F-COMPRA'!#REF!,Tabla11[[#This Row],[Cuenta]],1))</f>
        <v>0</v>
      </c>
      <c r="AF821" t="b">
        <f>+ISNUMBER(SEARCH('F-VTA'!$G$23,Tabla11[[#This Row],[Cuenta]],1))</f>
        <v>0</v>
      </c>
      <c r="AG821" t="b">
        <f>+ISNUMBER(SEARCH('F-VTA'!$G$24,Tabla11[[#This Row],[Cuenta]],1))</f>
        <v>0</v>
      </c>
      <c r="AH821" t="b">
        <f>+ISNUMBER(SEARCH('F-VTA'!$G$25,Tabla11[[#This Row],[Cuenta]],1))</f>
        <v>0</v>
      </c>
      <c r="AI821" t="b">
        <f>+ISNUMBER(SEARCH('F-VTA'!$F$28,Tabla11[[#This Row],[Cuenta]],1))</f>
        <v>1</v>
      </c>
      <c r="AJ821" t="b">
        <f>+ISNUMBER(SEARCH('F-VTA'!$F$29,Tabla11[[#This Row],[Cuenta]],1))</f>
        <v>1</v>
      </c>
      <c r="AK821" t="b">
        <f>+ISNUMBER(SEARCH('F-VTA'!$F$30,Tabla11[[#This Row],[Cuenta]],1))</f>
        <v>1</v>
      </c>
      <c r="AL821" t="b">
        <f>+ISNUMBER(SEARCH('F-VTA'!$F$31,Tabla11[[#This Row],[Cuenta]],1))</f>
        <v>1</v>
      </c>
      <c r="AM821" t="b">
        <f>+ISNUMBER(SEARCH('F-VTA'!$F$32,Tabla11[[#This Row],[Cuenta]],1))</f>
        <v>1</v>
      </c>
      <c r="AN821" t="b">
        <f>+ISNUMBER(SEARCH('F-VTA'!$F$33,Tabla11[[#This Row],[Cuenta]],1))</f>
        <v>1</v>
      </c>
      <c r="AO821" t="b">
        <f>+ISNUMBER(SEARCH('F-VTA'!$F$34,Tabla11[[#This Row],[Cuenta]],1))</f>
        <v>1</v>
      </c>
      <c r="AP821" t="b">
        <f>+ISNUMBER(SEARCH('F-VTA'!$F$35,Tabla11[[#This Row],[Cuenta]],1))</f>
        <v>1</v>
      </c>
      <c r="AQ821" t="b">
        <f>+ISNUMBER(SEARCH('F-VTA'!$F$36,Tabla11[[#This Row],[Cuenta]],1))</f>
        <v>1</v>
      </c>
      <c r="AR821" t="b">
        <f>+ISNUMBER(SEARCH(#REF!,Tabla11[[#This Row],[Cuenta]],1))</f>
        <v>0</v>
      </c>
      <c r="AS821" t="b">
        <f>+ISNUMBER(SEARCH(#REF!,Tabla11[[#This Row],[Cuenta]],1))</f>
        <v>0</v>
      </c>
      <c r="AT821" t="b">
        <f>+ISNUMBER(SEARCH(#REF!,Tabla11[[#This Row],[Cuenta]],1))</f>
        <v>0</v>
      </c>
      <c r="AU821" t="b">
        <f>+ISNUMBER(SEARCH('Conc. Ban.1'!$I$9,Tabla11[[#This Row],[Cuenta]],1))</f>
        <v>0</v>
      </c>
      <c r="AV821" t="b">
        <f>+ISNUMBER(SEARCH(CompConta!$F$21,Tabla11[[#This Row],[Cuenta]],1))</f>
        <v>1</v>
      </c>
      <c r="AW821" t="b">
        <f>+ISNUMBER(SEARCH(CompConta!$F$22,Tabla11[[#This Row],[Cuenta]],1))</f>
        <v>1</v>
      </c>
      <c r="AX821" t="b">
        <f>+ISNUMBER(SEARCH(CompConta!$F$23,Tabla11[[#This Row],[Cuenta]],1))</f>
        <v>1</v>
      </c>
      <c r="AY821" t="b">
        <f>+ISNUMBER(SEARCH(CompConta!$F$24,Tabla11[[#This Row],[Cuenta]],1))</f>
        <v>1</v>
      </c>
      <c r="AZ821" t="b">
        <f>+ISNUMBER(SEARCH(CompConta!$F$25,Tabla11[[#This Row],[Cuenta]],1))</f>
        <v>1</v>
      </c>
      <c r="BA821" t="b">
        <f>+ISNUMBER(SEARCH(CompConta!$F$26,Tabla11[[#This Row],[Cuenta]],1))</f>
        <v>1</v>
      </c>
      <c r="BB821" t="b">
        <f>+ISNUMBER(SEARCH(CompConta!$F$27,Tabla11[[#This Row],[Cuenta]],1))</f>
        <v>1</v>
      </c>
      <c r="BC821" t="b">
        <f>+ISNUMBER(SEARCH(CompConta!$F$28,Tabla11[[#This Row],[Cuenta]],1))</f>
        <v>1</v>
      </c>
      <c r="BD821" t="b">
        <f>+ISNUMBER(SEARCH(CompConta!$F$29,Tabla11[[#This Row],[Cuenta]],1))</f>
        <v>1</v>
      </c>
      <c r="BE821" t="b">
        <f>+ISNUMBER(SEARCH(CompConta!$F$30,Tabla11[[#This Row],[Cuenta]],1))</f>
        <v>1</v>
      </c>
      <c r="BF821" t="b">
        <f>+ISNUMBER(SEARCH('PAGO Compras'!$E$11,Tabla11[[#This Row],[Cuenta]],1))</f>
        <v>1</v>
      </c>
      <c r="BG821" t="b">
        <f>+ISNUMBER(SEARCH(#REF!,Tabla11[[#This Row],[Cuenta]],1))</f>
        <v>0</v>
      </c>
      <c r="BH821" t="b">
        <f>+ISNUMBER(SEARCH(#REF!,Tabla11[[#This Row],[Cuenta]],1))</f>
        <v>0</v>
      </c>
      <c r="BI821" t="b">
        <f>+ISNUMBER(SEARCH(#REF!,Tabla11[[#This Row],[Cuenta]],1))</f>
        <v>0</v>
      </c>
      <c r="BJ821" t="b">
        <f>+ISNUMBER(SEARCH(#REF!,Tabla11[[#This Row],[Cuenta]],1))</f>
        <v>0</v>
      </c>
      <c r="BS821" t="str">
        <v>511599 *Ajustes por inflación</v>
      </c>
      <c r="BT821" t="str">
        <v>511599 *Ajustes por inflación</v>
      </c>
      <c r="BU821" t="str">
        <v>511599 *Ajustes por inflación</v>
      </c>
      <c r="BV821" t="str">
        <v>511599 *Ajustes por inflación</v>
      </c>
      <c r="BZ821" t="str">
        <v>511599 *Ajustes por inflación</v>
      </c>
      <c r="CA821" t="str">
        <v>511599 *Ajustes por inflación</v>
      </c>
      <c r="CB821" t="str">
        <v>511599 *Ajustes por inflación</v>
      </c>
      <c r="CC821" t="str">
        <v>511599 *Ajustes por inflación</v>
      </c>
      <c r="CD821" t="str">
        <v>511599 *Ajustes por inflación</v>
      </c>
      <c r="CE821" t="str">
        <v>511599 *Ajustes por inflación</v>
      </c>
      <c r="CS821" s="141" t="str">
        <v>511599 *Ajustes por inflación</v>
      </c>
      <c r="CT821" s="141" t="str">
        <v>511599 *Ajustes por inflación</v>
      </c>
      <c r="CU821" s="141" t="str">
        <v>511599 *Ajustes por inflación</v>
      </c>
      <c r="CV821" s="141" t="str">
        <v>511599 *Ajustes por inflación</v>
      </c>
      <c r="CW821" s="141" t="str">
        <v>511599 *Ajustes por inflación</v>
      </c>
      <c r="CX821" s="141" t="str">
        <v>511599 *Ajustes por inflación</v>
      </c>
      <c r="CY821" s="141" t="str">
        <v>511599 *Ajustes por inflación</v>
      </c>
      <c r="CZ821" s="141" t="str">
        <v>511599 *Ajustes por inflación</v>
      </c>
      <c r="DA821" s="141" t="str">
        <v>511599 *Ajustes por inflación</v>
      </c>
      <c r="DF821" t="str">
        <v>511599 *Ajustes por inflación</v>
      </c>
      <c r="DG821" t="str">
        <v>511599 *Ajustes por inflación</v>
      </c>
      <c r="DH821" t="str">
        <v>511599 *Ajustes por inflación</v>
      </c>
      <c r="DI821" t="str">
        <v>511599 *Ajustes por inflación</v>
      </c>
      <c r="DJ821" t="str">
        <v>511599 *Ajustes por inflación</v>
      </c>
      <c r="DK821" t="str">
        <v>511599 *Ajustes por inflación</v>
      </c>
      <c r="DL821" t="str">
        <v>511599 *Ajustes por inflación</v>
      </c>
      <c r="DM821" t="str">
        <v>511599 *Ajustes por inflación</v>
      </c>
      <c r="DN821" t="str">
        <v>511599 *Ajustes por inflación</v>
      </c>
      <c r="DO821" t="str">
        <v>511599 *Ajustes por inflación</v>
      </c>
      <c r="DP821" t="str">
        <v>511599 *Ajustes por inflación</v>
      </c>
    </row>
    <row r="822" spans="4:120" ht="12.75">
      <c r="D822" s="7">
        <v>5120</v>
      </c>
      <c r="E822" s="6" t="s">
        <v>525</v>
      </c>
      <c r="F822" s="5">
        <v>3</v>
      </c>
      <c r="G822" s="34" t="s">
        <v>830</v>
      </c>
      <c r="H822" s="8" t="s">
        <v>32</v>
      </c>
      <c r="I822" t="b">
        <f>+ISNUMBER(SEARCH('F-COMPRA'!$F$28,Tabla11[[#This Row],[Cuenta]],1))</f>
        <v>1</v>
      </c>
      <c r="J822" t="b">
        <f>+ISNUMBER(SEARCH('F-COMPRA'!$F$29,Tabla11[[#This Row],[Cuenta]],1))</f>
        <v>1</v>
      </c>
      <c r="K822" t="b">
        <f>+ISNUMBER(SEARCH('F-COMPRA'!$F$30,Tabla11[[#This Row],[Cuenta]],1))</f>
        <v>1</v>
      </c>
      <c r="L822" t="b">
        <f>+ISNUMBER(SEARCH('F-COMPRA'!$F$31,Tabla11[[#This Row],[Cuenta]],1))</f>
        <v>1</v>
      </c>
      <c r="M822" t="b">
        <f>+ISNUMBER(SEARCH('F-COMPRA'!$G$25,Tabla11[[#This Row],[Cuenta]],1))</f>
        <v>0</v>
      </c>
      <c r="N822" t="b">
        <f>+ISNUMBER(SEARCH(#REF!,Tabla11[[#This Row],[Cuenta]],1))</f>
        <v>0</v>
      </c>
      <c r="O822" t="b">
        <f>+ISNUMBER(SEARCH(#REF!,Tabla11[[#This Row],[Cuenta]],1))</f>
        <v>0</v>
      </c>
      <c r="P822" t="b">
        <f>+ISNUMBER(SEARCH('F-COMPRA'!$F$32,Tabla11[[#This Row],[Cuenta]],1))</f>
        <v>1</v>
      </c>
      <c r="Q822" t="b">
        <f>+ISNUMBER(SEARCH('F-COMPRA'!$F$33,Tabla11[[#This Row],[Cuenta]],1))</f>
        <v>1</v>
      </c>
      <c r="R822" t="b">
        <f>+ISNUMBER(SEARCH('F-COMPRA'!$F$34,Tabla11[[#This Row],[Cuenta]],1))</f>
        <v>1</v>
      </c>
      <c r="S822" t="b">
        <f>+ISNUMBER(SEARCH('F-COMPRA'!$F$35,Tabla11[[#This Row],[Cuenta]],1))</f>
        <v>1</v>
      </c>
      <c r="T822" t="b">
        <f>+ISNUMBER(SEARCH('F-COMPRA'!$F$36,Tabla11[[#This Row],[Cuenta]],1))</f>
        <v>1</v>
      </c>
      <c r="U822" t="b">
        <f>+ISNUMBER(SEARCH('F-COMPRA'!$F$37,Tabla11[[#This Row],[Cuenta]],1))</f>
        <v>1</v>
      </c>
      <c r="V822" t="b">
        <f>+ISNUMBER(SEARCH(#REF!,Tabla11[[#This Row],[Cuenta]],1))</f>
        <v>0</v>
      </c>
      <c r="W822" t="b">
        <f>+ISNUMBER(SEARCH('F-COMPRA'!#REF!,Tabla11[[#This Row],[Cuenta]],1))</f>
        <v>0</v>
      </c>
      <c r="X822" t="b">
        <f>+ISNUMBER(SEARCH('F-COMPRA'!#REF!,Tabla11[[#This Row],[Cuenta]],1))</f>
        <v>0</v>
      </c>
      <c r="Y822" t="b">
        <f>+ISNUMBER(SEARCH('F-COMPRA'!#REF!,Tabla11[[#This Row],[Cuenta]],1))</f>
        <v>0</v>
      </c>
      <c r="Z822" t="b">
        <f>+ISNUMBER(SEARCH('F-COMPRA'!#REF!,Tabla11[[#This Row],[Cuenta]],1))</f>
        <v>0</v>
      </c>
      <c r="AA822" t="b">
        <f>+ISNUMBER(SEARCH('F-COMPRA'!#REF!,Tabla11[[#This Row],[Cuenta]],1))</f>
        <v>0</v>
      </c>
      <c r="AB822" t="b">
        <f>+ISNUMBER(SEARCH('F-COMPRA'!#REF!,Tabla11[[#This Row],[Cuenta]],1))</f>
        <v>0</v>
      </c>
      <c r="AC822" t="b">
        <f>+ISNUMBER(SEARCH('F-COMPRA'!#REF!,Tabla11[[#This Row],[Cuenta]],1))</f>
        <v>0</v>
      </c>
      <c r="AD822" t="b">
        <f>+ISNUMBER(SEARCH('F-COMPRA'!#REF!,Tabla11[[#This Row],[Cuenta]],1))</f>
        <v>0</v>
      </c>
      <c r="AE822" t="b">
        <f>+ISNUMBER(SEARCH('F-COMPRA'!#REF!,Tabla11[[#This Row],[Cuenta]],1))</f>
        <v>0</v>
      </c>
      <c r="AF822" t="b">
        <f>+ISNUMBER(SEARCH('F-VTA'!$G$23,Tabla11[[#This Row],[Cuenta]],1))</f>
        <v>0</v>
      </c>
      <c r="AG822" t="b">
        <f>+ISNUMBER(SEARCH('F-VTA'!$G$24,Tabla11[[#This Row],[Cuenta]],1))</f>
        <v>0</v>
      </c>
      <c r="AH822" t="b">
        <f>+ISNUMBER(SEARCH('F-VTA'!$G$25,Tabla11[[#This Row],[Cuenta]],1))</f>
        <v>0</v>
      </c>
      <c r="AI822" t="b">
        <f>+ISNUMBER(SEARCH('F-VTA'!$F$28,Tabla11[[#This Row],[Cuenta]],1))</f>
        <v>1</v>
      </c>
      <c r="AJ822" t="b">
        <f>+ISNUMBER(SEARCH('F-VTA'!$F$29,Tabla11[[#This Row],[Cuenta]],1))</f>
        <v>1</v>
      </c>
      <c r="AK822" t="b">
        <f>+ISNUMBER(SEARCH('F-VTA'!$F$30,Tabla11[[#This Row],[Cuenta]],1))</f>
        <v>1</v>
      </c>
      <c r="AL822" t="b">
        <f>+ISNUMBER(SEARCH('F-VTA'!$F$31,Tabla11[[#This Row],[Cuenta]],1))</f>
        <v>1</v>
      </c>
      <c r="AM822" t="b">
        <f>+ISNUMBER(SEARCH('F-VTA'!$F$32,Tabla11[[#This Row],[Cuenta]],1))</f>
        <v>1</v>
      </c>
      <c r="AN822" t="b">
        <f>+ISNUMBER(SEARCH('F-VTA'!$F$33,Tabla11[[#This Row],[Cuenta]],1))</f>
        <v>1</v>
      </c>
      <c r="AO822" t="b">
        <f>+ISNUMBER(SEARCH('F-VTA'!$F$34,Tabla11[[#This Row],[Cuenta]],1))</f>
        <v>1</v>
      </c>
      <c r="AP822" t="b">
        <f>+ISNUMBER(SEARCH('F-VTA'!$F$35,Tabla11[[#This Row],[Cuenta]],1))</f>
        <v>1</v>
      </c>
      <c r="AQ822" t="b">
        <f>+ISNUMBER(SEARCH('F-VTA'!$F$36,Tabla11[[#This Row],[Cuenta]],1))</f>
        <v>1</v>
      </c>
      <c r="AR822" t="b">
        <f>+ISNUMBER(SEARCH(#REF!,Tabla11[[#This Row],[Cuenta]],1))</f>
        <v>0</v>
      </c>
      <c r="AS822" t="b">
        <f>+ISNUMBER(SEARCH(#REF!,Tabla11[[#This Row],[Cuenta]],1))</f>
        <v>0</v>
      </c>
      <c r="AT822" t="b">
        <f>+ISNUMBER(SEARCH(#REF!,Tabla11[[#This Row],[Cuenta]],1))</f>
        <v>0</v>
      </c>
      <c r="AU822" t="b">
        <f>+ISNUMBER(SEARCH('Conc. Ban.1'!$I$9,Tabla11[[#This Row],[Cuenta]],1))</f>
        <v>0</v>
      </c>
      <c r="AV822" t="b">
        <f>+ISNUMBER(SEARCH(CompConta!$F$21,Tabla11[[#This Row],[Cuenta]],1))</f>
        <v>1</v>
      </c>
      <c r="AW822" t="b">
        <f>+ISNUMBER(SEARCH(CompConta!$F$22,Tabla11[[#This Row],[Cuenta]],1))</f>
        <v>1</v>
      </c>
      <c r="AX822" t="b">
        <f>+ISNUMBER(SEARCH(CompConta!$F$23,Tabla11[[#This Row],[Cuenta]],1))</f>
        <v>1</v>
      </c>
      <c r="AY822" t="b">
        <f>+ISNUMBER(SEARCH(CompConta!$F$24,Tabla11[[#This Row],[Cuenta]],1))</f>
        <v>1</v>
      </c>
      <c r="AZ822" t="b">
        <f>+ISNUMBER(SEARCH(CompConta!$F$25,Tabla11[[#This Row],[Cuenta]],1))</f>
        <v>1</v>
      </c>
      <c r="BA822" t="b">
        <f>+ISNUMBER(SEARCH(CompConta!$F$26,Tabla11[[#This Row],[Cuenta]],1))</f>
        <v>1</v>
      </c>
      <c r="BB822" t="b">
        <f>+ISNUMBER(SEARCH(CompConta!$F$27,Tabla11[[#This Row],[Cuenta]],1))</f>
        <v>1</v>
      </c>
      <c r="BC822" t="b">
        <f>+ISNUMBER(SEARCH(CompConta!$F$28,Tabla11[[#This Row],[Cuenta]],1))</f>
        <v>1</v>
      </c>
      <c r="BD822" t="b">
        <f>+ISNUMBER(SEARCH(CompConta!$F$29,Tabla11[[#This Row],[Cuenta]],1))</f>
        <v>1</v>
      </c>
      <c r="BE822" t="b">
        <f>+ISNUMBER(SEARCH(CompConta!$F$30,Tabla11[[#This Row],[Cuenta]],1))</f>
        <v>1</v>
      </c>
      <c r="BF822" t="b">
        <f>+ISNUMBER(SEARCH('PAGO Compras'!$E$11,Tabla11[[#This Row],[Cuenta]],1))</f>
        <v>1</v>
      </c>
      <c r="BG822" t="b">
        <f>+ISNUMBER(SEARCH(#REF!,Tabla11[[#This Row],[Cuenta]],1))</f>
        <v>0</v>
      </c>
      <c r="BH822" t="b">
        <f>+ISNUMBER(SEARCH(#REF!,Tabla11[[#This Row],[Cuenta]],1))</f>
        <v>0</v>
      </c>
      <c r="BI822" t="b">
        <f>+ISNUMBER(SEARCH(#REF!,Tabla11[[#This Row],[Cuenta]],1))</f>
        <v>0</v>
      </c>
      <c r="BJ822" t="b">
        <f>+ISNUMBER(SEARCH(#REF!,Tabla11[[#This Row],[Cuenta]],1))</f>
        <v>0</v>
      </c>
      <c r="BS822" t="str">
        <v>5120 ARRENDAMIENTOS</v>
      </c>
      <c r="BT822" t="str">
        <v>5120 ARRENDAMIENTOS</v>
      </c>
      <c r="BU822" t="str">
        <v>5120 ARRENDAMIENTOS</v>
      </c>
      <c r="BV822" t="str">
        <v>5120 ARRENDAMIENTOS</v>
      </c>
      <c r="BZ822" t="str">
        <v>5120 ARRENDAMIENTOS</v>
      </c>
      <c r="CA822" t="str">
        <v>5120 ARRENDAMIENTOS</v>
      </c>
      <c r="CB822" t="str">
        <v>5120 ARRENDAMIENTOS</v>
      </c>
      <c r="CC822" t="str">
        <v>5120 ARRENDAMIENTOS</v>
      </c>
      <c r="CD822" t="str">
        <v>5120 ARRENDAMIENTOS</v>
      </c>
      <c r="CE822" t="str">
        <v>5120 ARRENDAMIENTOS</v>
      </c>
      <c r="CS822" s="141" t="str">
        <v>5120 ARRENDAMIENTOS</v>
      </c>
      <c r="CT822" s="141" t="str">
        <v>5120 ARRENDAMIENTOS</v>
      </c>
      <c r="CU822" s="141" t="str">
        <v>5120 ARRENDAMIENTOS</v>
      </c>
      <c r="CV822" s="141" t="str">
        <v>5120 ARRENDAMIENTOS</v>
      </c>
      <c r="CW822" s="141" t="str">
        <v>5120 ARRENDAMIENTOS</v>
      </c>
      <c r="CX822" s="141" t="str">
        <v>5120 ARRENDAMIENTOS</v>
      </c>
      <c r="CY822" s="141" t="str">
        <v>5120 ARRENDAMIENTOS</v>
      </c>
      <c r="CZ822" s="141" t="str">
        <v>5120 ARRENDAMIENTOS</v>
      </c>
      <c r="DA822" s="141" t="str">
        <v>5120 ARRENDAMIENTOS</v>
      </c>
      <c r="DF822" t="str">
        <v>5120 ARRENDAMIENTOS</v>
      </c>
      <c r="DG822" t="str">
        <v>5120 ARRENDAMIENTOS</v>
      </c>
      <c r="DH822" t="str">
        <v>5120 ARRENDAMIENTOS</v>
      </c>
      <c r="DI822" t="str">
        <v>5120 ARRENDAMIENTOS</v>
      </c>
      <c r="DJ822" t="str">
        <v>5120 ARRENDAMIENTOS</v>
      </c>
      <c r="DK822" t="str">
        <v>5120 ARRENDAMIENTOS</v>
      </c>
      <c r="DL822" t="str">
        <v>5120 ARRENDAMIENTOS</v>
      </c>
      <c r="DM822" t="str">
        <v>5120 ARRENDAMIENTOS</v>
      </c>
      <c r="DN822" t="str">
        <v>5120 ARRENDAMIENTOS</v>
      </c>
      <c r="DO822" t="str">
        <v>5120 ARRENDAMIENTOS</v>
      </c>
      <c r="DP822" t="str">
        <v>5120 ARRENDAMIENTOS</v>
      </c>
    </row>
    <row r="823" spans="4:120" ht="12.75">
      <c r="D823" s="7">
        <v>512005</v>
      </c>
      <c r="E823" s="6" t="s">
        <v>223</v>
      </c>
      <c r="F823" s="5">
        <v>4</v>
      </c>
      <c r="G823" s="34" t="s">
        <v>830</v>
      </c>
      <c r="H823" s="8" t="s">
        <v>32</v>
      </c>
      <c r="I823" t="b">
        <f>+ISNUMBER(SEARCH('F-COMPRA'!$F$28,Tabla11[[#This Row],[Cuenta]],1))</f>
        <v>1</v>
      </c>
      <c r="J823" t="b">
        <f>+ISNUMBER(SEARCH('F-COMPRA'!$F$29,Tabla11[[#This Row],[Cuenta]],1))</f>
        <v>1</v>
      </c>
      <c r="K823" t="b">
        <f>+ISNUMBER(SEARCH('F-COMPRA'!$F$30,Tabla11[[#This Row],[Cuenta]],1))</f>
        <v>1</v>
      </c>
      <c r="L823" t="b">
        <f>+ISNUMBER(SEARCH('F-COMPRA'!$F$31,Tabla11[[#This Row],[Cuenta]],1))</f>
        <v>1</v>
      </c>
      <c r="M823" t="b">
        <f>+ISNUMBER(SEARCH('F-COMPRA'!$G$25,Tabla11[[#This Row],[Cuenta]],1))</f>
        <v>0</v>
      </c>
      <c r="N823" t="b">
        <f>+ISNUMBER(SEARCH(#REF!,Tabla11[[#This Row],[Cuenta]],1))</f>
        <v>0</v>
      </c>
      <c r="O823" t="b">
        <f>+ISNUMBER(SEARCH(#REF!,Tabla11[[#This Row],[Cuenta]],1))</f>
        <v>0</v>
      </c>
      <c r="P823" t="b">
        <f>+ISNUMBER(SEARCH('F-COMPRA'!$F$32,Tabla11[[#This Row],[Cuenta]],1))</f>
        <v>1</v>
      </c>
      <c r="Q823" t="b">
        <f>+ISNUMBER(SEARCH('F-COMPRA'!$F$33,Tabla11[[#This Row],[Cuenta]],1))</f>
        <v>1</v>
      </c>
      <c r="R823" t="b">
        <f>+ISNUMBER(SEARCH('F-COMPRA'!$F$34,Tabla11[[#This Row],[Cuenta]],1))</f>
        <v>1</v>
      </c>
      <c r="S823" t="b">
        <f>+ISNUMBER(SEARCH('F-COMPRA'!$F$35,Tabla11[[#This Row],[Cuenta]],1))</f>
        <v>1</v>
      </c>
      <c r="T823" t="b">
        <f>+ISNUMBER(SEARCH('F-COMPRA'!$F$36,Tabla11[[#This Row],[Cuenta]],1))</f>
        <v>1</v>
      </c>
      <c r="U823" t="b">
        <f>+ISNUMBER(SEARCH('F-COMPRA'!$F$37,Tabla11[[#This Row],[Cuenta]],1))</f>
        <v>1</v>
      </c>
      <c r="V823" t="b">
        <f>+ISNUMBER(SEARCH(#REF!,Tabla11[[#This Row],[Cuenta]],1))</f>
        <v>0</v>
      </c>
      <c r="W823" t="b">
        <f>+ISNUMBER(SEARCH('F-COMPRA'!#REF!,Tabla11[[#This Row],[Cuenta]],1))</f>
        <v>0</v>
      </c>
      <c r="X823" t="b">
        <f>+ISNUMBER(SEARCH('F-COMPRA'!#REF!,Tabla11[[#This Row],[Cuenta]],1))</f>
        <v>0</v>
      </c>
      <c r="Y823" t="b">
        <f>+ISNUMBER(SEARCH('F-COMPRA'!#REF!,Tabla11[[#This Row],[Cuenta]],1))</f>
        <v>0</v>
      </c>
      <c r="Z823" t="b">
        <f>+ISNUMBER(SEARCH('F-COMPRA'!#REF!,Tabla11[[#This Row],[Cuenta]],1))</f>
        <v>0</v>
      </c>
      <c r="AA823" t="b">
        <f>+ISNUMBER(SEARCH('F-COMPRA'!#REF!,Tabla11[[#This Row],[Cuenta]],1))</f>
        <v>0</v>
      </c>
      <c r="AB823" t="b">
        <f>+ISNUMBER(SEARCH('F-COMPRA'!#REF!,Tabla11[[#This Row],[Cuenta]],1))</f>
        <v>0</v>
      </c>
      <c r="AC823" t="b">
        <f>+ISNUMBER(SEARCH('F-COMPRA'!#REF!,Tabla11[[#This Row],[Cuenta]],1))</f>
        <v>0</v>
      </c>
      <c r="AD823" t="b">
        <f>+ISNUMBER(SEARCH('F-COMPRA'!#REF!,Tabla11[[#This Row],[Cuenta]],1))</f>
        <v>0</v>
      </c>
      <c r="AE823" t="b">
        <f>+ISNUMBER(SEARCH('F-COMPRA'!#REF!,Tabla11[[#This Row],[Cuenta]],1))</f>
        <v>0</v>
      </c>
      <c r="AF823" t="b">
        <f>+ISNUMBER(SEARCH('F-VTA'!$G$23,Tabla11[[#This Row],[Cuenta]],1))</f>
        <v>0</v>
      </c>
      <c r="AG823" t="b">
        <f>+ISNUMBER(SEARCH('F-VTA'!$G$24,Tabla11[[#This Row],[Cuenta]],1))</f>
        <v>0</v>
      </c>
      <c r="AH823" t="b">
        <f>+ISNUMBER(SEARCH('F-VTA'!$G$25,Tabla11[[#This Row],[Cuenta]],1))</f>
        <v>0</v>
      </c>
      <c r="AI823" t="b">
        <f>+ISNUMBER(SEARCH('F-VTA'!$F$28,Tabla11[[#This Row],[Cuenta]],1))</f>
        <v>1</v>
      </c>
      <c r="AJ823" t="b">
        <f>+ISNUMBER(SEARCH('F-VTA'!$F$29,Tabla11[[#This Row],[Cuenta]],1))</f>
        <v>1</v>
      </c>
      <c r="AK823" t="b">
        <f>+ISNUMBER(SEARCH('F-VTA'!$F$30,Tabla11[[#This Row],[Cuenta]],1))</f>
        <v>1</v>
      </c>
      <c r="AL823" t="b">
        <f>+ISNUMBER(SEARCH('F-VTA'!$F$31,Tabla11[[#This Row],[Cuenta]],1))</f>
        <v>1</v>
      </c>
      <c r="AM823" t="b">
        <f>+ISNUMBER(SEARCH('F-VTA'!$F$32,Tabla11[[#This Row],[Cuenta]],1))</f>
        <v>1</v>
      </c>
      <c r="AN823" t="b">
        <f>+ISNUMBER(SEARCH('F-VTA'!$F$33,Tabla11[[#This Row],[Cuenta]],1))</f>
        <v>1</v>
      </c>
      <c r="AO823" t="b">
        <f>+ISNUMBER(SEARCH('F-VTA'!$F$34,Tabla11[[#This Row],[Cuenta]],1))</f>
        <v>1</v>
      </c>
      <c r="AP823" t="b">
        <f>+ISNUMBER(SEARCH('F-VTA'!$F$35,Tabla11[[#This Row],[Cuenta]],1))</f>
        <v>1</v>
      </c>
      <c r="AQ823" t="b">
        <f>+ISNUMBER(SEARCH('F-VTA'!$F$36,Tabla11[[#This Row],[Cuenta]],1))</f>
        <v>1</v>
      </c>
      <c r="AR823" t="b">
        <f>+ISNUMBER(SEARCH(#REF!,Tabla11[[#This Row],[Cuenta]],1))</f>
        <v>0</v>
      </c>
      <c r="AS823" t="b">
        <f>+ISNUMBER(SEARCH(#REF!,Tabla11[[#This Row],[Cuenta]],1))</f>
        <v>0</v>
      </c>
      <c r="AT823" t="b">
        <f>+ISNUMBER(SEARCH(#REF!,Tabla11[[#This Row],[Cuenta]],1))</f>
        <v>0</v>
      </c>
      <c r="AU823" t="b">
        <f>+ISNUMBER(SEARCH('Conc. Ban.1'!$I$9,Tabla11[[#This Row],[Cuenta]],1))</f>
        <v>0</v>
      </c>
      <c r="AV823" t="b">
        <f>+ISNUMBER(SEARCH(CompConta!$F$21,Tabla11[[#This Row],[Cuenta]],1))</f>
        <v>1</v>
      </c>
      <c r="AW823" t="b">
        <f>+ISNUMBER(SEARCH(CompConta!$F$22,Tabla11[[#This Row],[Cuenta]],1))</f>
        <v>1</v>
      </c>
      <c r="AX823" t="b">
        <f>+ISNUMBER(SEARCH(CompConta!$F$23,Tabla11[[#This Row],[Cuenta]],1))</f>
        <v>1</v>
      </c>
      <c r="AY823" t="b">
        <f>+ISNUMBER(SEARCH(CompConta!$F$24,Tabla11[[#This Row],[Cuenta]],1))</f>
        <v>1</v>
      </c>
      <c r="AZ823" t="b">
        <f>+ISNUMBER(SEARCH(CompConta!$F$25,Tabla11[[#This Row],[Cuenta]],1))</f>
        <v>1</v>
      </c>
      <c r="BA823" t="b">
        <f>+ISNUMBER(SEARCH(CompConta!$F$26,Tabla11[[#This Row],[Cuenta]],1))</f>
        <v>1</v>
      </c>
      <c r="BB823" t="b">
        <f>+ISNUMBER(SEARCH(CompConta!$F$27,Tabla11[[#This Row],[Cuenta]],1))</f>
        <v>1</v>
      </c>
      <c r="BC823" t="b">
        <f>+ISNUMBER(SEARCH(CompConta!$F$28,Tabla11[[#This Row],[Cuenta]],1))</f>
        <v>1</v>
      </c>
      <c r="BD823" t="b">
        <f>+ISNUMBER(SEARCH(CompConta!$F$29,Tabla11[[#This Row],[Cuenta]],1))</f>
        <v>1</v>
      </c>
      <c r="BE823" t="b">
        <f>+ISNUMBER(SEARCH(CompConta!$F$30,Tabla11[[#This Row],[Cuenta]],1))</f>
        <v>1</v>
      </c>
      <c r="BF823" t="b">
        <f>+ISNUMBER(SEARCH('PAGO Compras'!$E$11,Tabla11[[#This Row],[Cuenta]],1))</f>
        <v>1</v>
      </c>
      <c r="BG823" t="b">
        <f>+ISNUMBER(SEARCH(#REF!,Tabla11[[#This Row],[Cuenta]],1))</f>
        <v>0</v>
      </c>
      <c r="BH823" t="b">
        <f>+ISNUMBER(SEARCH(#REF!,Tabla11[[#This Row],[Cuenta]],1))</f>
        <v>0</v>
      </c>
      <c r="BI823" t="b">
        <f>+ISNUMBER(SEARCH(#REF!,Tabla11[[#This Row],[Cuenta]],1))</f>
        <v>0</v>
      </c>
      <c r="BJ823" t="b">
        <f>+ISNUMBER(SEARCH(#REF!,Tabla11[[#This Row],[Cuenta]],1))</f>
        <v>0</v>
      </c>
      <c r="BS823" t="str">
        <v>512005 Terrenos</v>
      </c>
      <c r="BT823" t="str">
        <v>512005 Terrenos</v>
      </c>
      <c r="BU823" t="str">
        <v>512005 Terrenos</v>
      </c>
      <c r="BV823" t="str">
        <v>512005 Terrenos</v>
      </c>
      <c r="BZ823" t="str">
        <v>512005 Terrenos</v>
      </c>
      <c r="CA823" t="str">
        <v>512005 Terrenos</v>
      </c>
      <c r="CB823" t="str">
        <v>512005 Terrenos</v>
      </c>
      <c r="CC823" t="str">
        <v>512005 Terrenos</v>
      </c>
      <c r="CD823" t="str">
        <v>512005 Terrenos</v>
      </c>
      <c r="CE823" t="str">
        <v>512005 Terrenos</v>
      </c>
      <c r="CS823" s="141" t="str">
        <v>512005 Terrenos</v>
      </c>
      <c r="CT823" s="141" t="str">
        <v>512005 Terrenos</v>
      </c>
      <c r="CU823" s="141" t="str">
        <v>512005 Terrenos</v>
      </c>
      <c r="CV823" s="141" t="str">
        <v>512005 Terrenos</v>
      </c>
      <c r="CW823" s="141" t="str">
        <v>512005 Terrenos</v>
      </c>
      <c r="CX823" s="141" t="str">
        <v>512005 Terrenos</v>
      </c>
      <c r="CY823" s="141" t="str">
        <v>512005 Terrenos</v>
      </c>
      <c r="CZ823" s="141" t="str">
        <v>512005 Terrenos</v>
      </c>
      <c r="DA823" s="141" t="str">
        <v>512005 Terrenos</v>
      </c>
      <c r="DF823" t="str">
        <v>512005 Terrenos</v>
      </c>
      <c r="DG823" t="str">
        <v>512005 Terrenos</v>
      </c>
      <c r="DH823" t="str">
        <v>512005 Terrenos</v>
      </c>
      <c r="DI823" t="str">
        <v>512005 Terrenos</v>
      </c>
      <c r="DJ823" t="str">
        <v>512005 Terrenos</v>
      </c>
      <c r="DK823" t="str">
        <v>512005 Terrenos</v>
      </c>
      <c r="DL823" t="str">
        <v>512005 Terrenos</v>
      </c>
      <c r="DM823" t="str">
        <v>512005 Terrenos</v>
      </c>
      <c r="DN823" t="str">
        <v>512005 Terrenos</v>
      </c>
      <c r="DO823" t="str">
        <v>512005 Terrenos</v>
      </c>
      <c r="DP823" t="str">
        <v>512005 Terrenos</v>
      </c>
    </row>
    <row r="824" spans="4:120" ht="12.75">
      <c r="D824" s="7">
        <v>512010</v>
      </c>
      <c r="E824" s="6" t="s">
        <v>121</v>
      </c>
      <c r="F824" s="5">
        <v>4</v>
      </c>
      <c r="G824" s="34" t="s">
        <v>830</v>
      </c>
      <c r="H824" s="8" t="s">
        <v>32</v>
      </c>
      <c r="I824" t="b">
        <f>+ISNUMBER(SEARCH('F-COMPRA'!$F$28,Tabla11[[#This Row],[Cuenta]],1))</f>
        <v>1</v>
      </c>
      <c r="J824" t="b">
        <f>+ISNUMBER(SEARCH('F-COMPRA'!$F$29,Tabla11[[#This Row],[Cuenta]],1))</f>
        <v>1</v>
      </c>
      <c r="K824" t="b">
        <f>+ISNUMBER(SEARCH('F-COMPRA'!$F$30,Tabla11[[#This Row],[Cuenta]],1))</f>
        <v>1</v>
      </c>
      <c r="L824" t="b">
        <f>+ISNUMBER(SEARCH('F-COMPRA'!$F$31,Tabla11[[#This Row],[Cuenta]],1))</f>
        <v>1</v>
      </c>
      <c r="M824" t="b">
        <f>+ISNUMBER(SEARCH('F-COMPRA'!$G$25,Tabla11[[#This Row],[Cuenta]],1))</f>
        <v>0</v>
      </c>
      <c r="N824" t="b">
        <f>+ISNUMBER(SEARCH(#REF!,Tabla11[[#This Row],[Cuenta]],1))</f>
        <v>0</v>
      </c>
      <c r="O824" t="b">
        <f>+ISNUMBER(SEARCH(#REF!,Tabla11[[#This Row],[Cuenta]],1))</f>
        <v>0</v>
      </c>
      <c r="P824" t="b">
        <f>+ISNUMBER(SEARCH('F-COMPRA'!$F$32,Tabla11[[#This Row],[Cuenta]],1))</f>
        <v>1</v>
      </c>
      <c r="Q824" t="b">
        <f>+ISNUMBER(SEARCH('F-COMPRA'!$F$33,Tabla11[[#This Row],[Cuenta]],1))</f>
        <v>1</v>
      </c>
      <c r="R824" t="b">
        <f>+ISNUMBER(SEARCH('F-COMPRA'!$F$34,Tabla11[[#This Row],[Cuenta]],1))</f>
        <v>1</v>
      </c>
      <c r="S824" t="b">
        <f>+ISNUMBER(SEARCH('F-COMPRA'!$F$35,Tabla11[[#This Row],[Cuenta]],1))</f>
        <v>1</v>
      </c>
      <c r="T824" t="b">
        <f>+ISNUMBER(SEARCH('F-COMPRA'!$F$36,Tabla11[[#This Row],[Cuenta]],1))</f>
        <v>1</v>
      </c>
      <c r="U824" t="b">
        <f>+ISNUMBER(SEARCH('F-COMPRA'!$F$37,Tabla11[[#This Row],[Cuenta]],1))</f>
        <v>1</v>
      </c>
      <c r="V824" t="b">
        <f>+ISNUMBER(SEARCH(#REF!,Tabla11[[#This Row],[Cuenta]],1))</f>
        <v>0</v>
      </c>
      <c r="W824" t="b">
        <f>+ISNUMBER(SEARCH('F-COMPRA'!#REF!,Tabla11[[#This Row],[Cuenta]],1))</f>
        <v>0</v>
      </c>
      <c r="X824" t="b">
        <f>+ISNUMBER(SEARCH('F-COMPRA'!#REF!,Tabla11[[#This Row],[Cuenta]],1))</f>
        <v>0</v>
      </c>
      <c r="Y824" t="b">
        <f>+ISNUMBER(SEARCH('F-COMPRA'!#REF!,Tabla11[[#This Row],[Cuenta]],1))</f>
        <v>0</v>
      </c>
      <c r="Z824" t="b">
        <f>+ISNUMBER(SEARCH('F-COMPRA'!#REF!,Tabla11[[#This Row],[Cuenta]],1))</f>
        <v>0</v>
      </c>
      <c r="AA824" t="b">
        <f>+ISNUMBER(SEARCH('F-COMPRA'!#REF!,Tabla11[[#This Row],[Cuenta]],1))</f>
        <v>0</v>
      </c>
      <c r="AB824" t="b">
        <f>+ISNUMBER(SEARCH('F-COMPRA'!#REF!,Tabla11[[#This Row],[Cuenta]],1))</f>
        <v>0</v>
      </c>
      <c r="AC824" t="b">
        <f>+ISNUMBER(SEARCH('F-COMPRA'!#REF!,Tabla11[[#This Row],[Cuenta]],1))</f>
        <v>0</v>
      </c>
      <c r="AD824" t="b">
        <f>+ISNUMBER(SEARCH('F-COMPRA'!#REF!,Tabla11[[#This Row],[Cuenta]],1))</f>
        <v>0</v>
      </c>
      <c r="AE824" t="b">
        <f>+ISNUMBER(SEARCH('F-COMPRA'!#REF!,Tabla11[[#This Row],[Cuenta]],1))</f>
        <v>0</v>
      </c>
      <c r="AF824" t="b">
        <f>+ISNUMBER(SEARCH('F-VTA'!$G$23,Tabla11[[#This Row],[Cuenta]],1))</f>
        <v>0</v>
      </c>
      <c r="AG824" t="b">
        <f>+ISNUMBER(SEARCH('F-VTA'!$G$24,Tabla11[[#This Row],[Cuenta]],1))</f>
        <v>0</v>
      </c>
      <c r="AH824" t="b">
        <f>+ISNUMBER(SEARCH('F-VTA'!$G$25,Tabla11[[#This Row],[Cuenta]],1))</f>
        <v>0</v>
      </c>
      <c r="AI824" t="b">
        <f>+ISNUMBER(SEARCH('F-VTA'!$F$28,Tabla11[[#This Row],[Cuenta]],1))</f>
        <v>1</v>
      </c>
      <c r="AJ824" t="b">
        <f>+ISNUMBER(SEARCH('F-VTA'!$F$29,Tabla11[[#This Row],[Cuenta]],1))</f>
        <v>1</v>
      </c>
      <c r="AK824" t="b">
        <f>+ISNUMBER(SEARCH('F-VTA'!$F$30,Tabla11[[#This Row],[Cuenta]],1))</f>
        <v>1</v>
      </c>
      <c r="AL824" t="b">
        <f>+ISNUMBER(SEARCH('F-VTA'!$F$31,Tabla11[[#This Row],[Cuenta]],1))</f>
        <v>1</v>
      </c>
      <c r="AM824" t="b">
        <f>+ISNUMBER(SEARCH('F-VTA'!$F$32,Tabla11[[#This Row],[Cuenta]],1))</f>
        <v>1</v>
      </c>
      <c r="AN824" t="b">
        <f>+ISNUMBER(SEARCH('F-VTA'!$F$33,Tabla11[[#This Row],[Cuenta]],1))</f>
        <v>1</v>
      </c>
      <c r="AO824" t="b">
        <f>+ISNUMBER(SEARCH('F-VTA'!$F$34,Tabla11[[#This Row],[Cuenta]],1))</f>
        <v>1</v>
      </c>
      <c r="AP824" t="b">
        <f>+ISNUMBER(SEARCH('F-VTA'!$F$35,Tabla11[[#This Row],[Cuenta]],1))</f>
        <v>1</v>
      </c>
      <c r="AQ824" t="b">
        <f>+ISNUMBER(SEARCH('F-VTA'!$F$36,Tabla11[[#This Row],[Cuenta]],1))</f>
        <v>1</v>
      </c>
      <c r="AR824" t="b">
        <f>+ISNUMBER(SEARCH(#REF!,Tabla11[[#This Row],[Cuenta]],1))</f>
        <v>0</v>
      </c>
      <c r="AS824" t="b">
        <f>+ISNUMBER(SEARCH(#REF!,Tabla11[[#This Row],[Cuenta]],1))</f>
        <v>0</v>
      </c>
      <c r="AT824" t="b">
        <f>+ISNUMBER(SEARCH(#REF!,Tabla11[[#This Row],[Cuenta]],1))</f>
        <v>0</v>
      </c>
      <c r="AU824" t="b">
        <f>+ISNUMBER(SEARCH('Conc. Ban.1'!$I$9,Tabla11[[#This Row],[Cuenta]],1))</f>
        <v>0</v>
      </c>
      <c r="AV824" t="b">
        <f>+ISNUMBER(SEARCH(CompConta!$F$21,Tabla11[[#This Row],[Cuenta]],1))</f>
        <v>1</v>
      </c>
      <c r="AW824" t="b">
        <f>+ISNUMBER(SEARCH(CompConta!$F$22,Tabla11[[#This Row],[Cuenta]],1))</f>
        <v>1</v>
      </c>
      <c r="AX824" t="b">
        <f>+ISNUMBER(SEARCH(CompConta!$F$23,Tabla11[[#This Row],[Cuenta]],1))</f>
        <v>1</v>
      </c>
      <c r="AY824" t="b">
        <f>+ISNUMBER(SEARCH(CompConta!$F$24,Tabla11[[#This Row],[Cuenta]],1))</f>
        <v>1</v>
      </c>
      <c r="AZ824" t="b">
        <f>+ISNUMBER(SEARCH(CompConta!$F$25,Tabla11[[#This Row],[Cuenta]],1))</f>
        <v>1</v>
      </c>
      <c r="BA824" t="b">
        <f>+ISNUMBER(SEARCH(CompConta!$F$26,Tabla11[[#This Row],[Cuenta]],1))</f>
        <v>1</v>
      </c>
      <c r="BB824" t="b">
        <f>+ISNUMBER(SEARCH(CompConta!$F$27,Tabla11[[#This Row],[Cuenta]],1))</f>
        <v>1</v>
      </c>
      <c r="BC824" t="b">
        <f>+ISNUMBER(SEARCH(CompConta!$F$28,Tabla11[[#This Row],[Cuenta]],1))</f>
        <v>1</v>
      </c>
      <c r="BD824" t="b">
        <f>+ISNUMBER(SEARCH(CompConta!$F$29,Tabla11[[#This Row],[Cuenta]],1))</f>
        <v>1</v>
      </c>
      <c r="BE824" t="b">
        <f>+ISNUMBER(SEARCH(CompConta!$F$30,Tabla11[[#This Row],[Cuenta]],1))</f>
        <v>1</v>
      </c>
      <c r="BF824" t="b">
        <f>+ISNUMBER(SEARCH('PAGO Compras'!$E$11,Tabla11[[#This Row],[Cuenta]],1))</f>
        <v>1</v>
      </c>
      <c r="BG824" t="b">
        <f>+ISNUMBER(SEARCH(#REF!,Tabla11[[#This Row],[Cuenta]],1))</f>
        <v>0</v>
      </c>
      <c r="BH824" t="b">
        <f>+ISNUMBER(SEARCH(#REF!,Tabla11[[#This Row],[Cuenta]],1))</f>
        <v>0</v>
      </c>
      <c r="BI824" t="b">
        <f>+ISNUMBER(SEARCH(#REF!,Tabla11[[#This Row],[Cuenta]],1))</f>
        <v>0</v>
      </c>
      <c r="BJ824" t="b">
        <f>+ISNUMBER(SEARCH(#REF!,Tabla11[[#This Row],[Cuenta]],1))</f>
        <v>0</v>
      </c>
      <c r="BS824" t="str">
        <v>512010 Construcciones y edificaciones</v>
      </c>
      <c r="BT824" t="str">
        <v>512010 Construcciones y edificaciones</v>
      </c>
      <c r="BU824" t="str">
        <v>512010 Construcciones y edificaciones</v>
      </c>
      <c r="BV824" t="str">
        <v>512010 Construcciones y edificaciones</v>
      </c>
      <c r="BZ824" t="str">
        <v>512010 Construcciones y edificaciones</v>
      </c>
      <c r="CA824" t="str">
        <v>512010 Construcciones y edificaciones</v>
      </c>
      <c r="CB824" t="str">
        <v>512010 Construcciones y edificaciones</v>
      </c>
      <c r="CC824" t="str">
        <v>512010 Construcciones y edificaciones</v>
      </c>
      <c r="CD824" t="str">
        <v>512010 Construcciones y edificaciones</v>
      </c>
      <c r="CE824" t="str">
        <v>512010 Construcciones y edificaciones</v>
      </c>
      <c r="CS824" s="141" t="str">
        <v>512010 Construcciones y edificaciones</v>
      </c>
      <c r="CT824" s="141" t="str">
        <v>512010 Construcciones y edificaciones</v>
      </c>
      <c r="CU824" s="141" t="str">
        <v>512010 Construcciones y edificaciones</v>
      </c>
      <c r="CV824" s="141" t="str">
        <v>512010 Construcciones y edificaciones</v>
      </c>
      <c r="CW824" s="141" t="str">
        <v>512010 Construcciones y edificaciones</v>
      </c>
      <c r="CX824" s="141" t="str">
        <v>512010 Construcciones y edificaciones</v>
      </c>
      <c r="CY824" s="141" t="str">
        <v>512010 Construcciones y edificaciones</v>
      </c>
      <c r="CZ824" s="141" t="str">
        <v>512010 Construcciones y edificaciones</v>
      </c>
      <c r="DA824" s="141" t="str">
        <v>512010 Construcciones y edificaciones</v>
      </c>
      <c r="DF824" t="str">
        <v>512010 Construcciones y edificaciones</v>
      </c>
      <c r="DG824" t="str">
        <v>512010 Construcciones y edificaciones</v>
      </c>
      <c r="DH824" t="str">
        <v>512010 Construcciones y edificaciones</v>
      </c>
      <c r="DI824" t="str">
        <v>512010 Construcciones y edificaciones</v>
      </c>
      <c r="DJ824" t="str">
        <v>512010 Construcciones y edificaciones</v>
      </c>
      <c r="DK824" t="str">
        <v>512010 Construcciones y edificaciones</v>
      </c>
      <c r="DL824" t="str">
        <v>512010 Construcciones y edificaciones</v>
      </c>
      <c r="DM824" t="str">
        <v>512010 Construcciones y edificaciones</v>
      </c>
      <c r="DN824" t="str">
        <v>512010 Construcciones y edificaciones</v>
      </c>
      <c r="DO824" t="str">
        <v>512010 Construcciones y edificaciones</v>
      </c>
      <c r="DP824" t="str">
        <v>512010 Construcciones y edificaciones</v>
      </c>
    </row>
    <row r="825" spans="4:120" ht="12.75">
      <c r="D825" s="7">
        <v>512015</v>
      </c>
      <c r="E825" s="6" t="s">
        <v>128</v>
      </c>
      <c r="F825" s="5">
        <v>4</v>
      </c>
      <c r="G825" s="34" t="s">
        <v>830</v>
      </c>
      <c r="H825" s="8" t="s">
        <v>32</v>
      </c>
      <c r="I825" t="b">
        <f>+ISNUMBER(SEARCH('F-COMPRA'!$F$28,Tabla11[[#This Row],[Cuenta]],1))</f>
        <v>1</v>
      </c>
      <c r="J825" t="b">
        <f>+ISNUMBER(SEARCH('F-COMPRA'!$F$29,Tabla11[[#This Row],[Cuenta]],1))</f>
        <v>1</v>
      </c>
      <c r="K825" t="b">
        <f>+ISNUMBER(SEARCH('F-COMPRA'!$F$30,Tabla11[[#This Row],[Cuenta]],1))</f>
        <v>1</v>
      </c>
      <c r="L825" t="b">
        <f>+ISNUMBER(SEARCH('F-COMPRA'!$F$31,Tabla11[[#This Row],[Cuenta]],1))</f>
        <v>1</v>
      </c>
      <c r="M825" t="b">
        <f>+ISNUMBER(SEARCH('F-COMPRA'!$G$25,Tabla11[[#This Row],[Cuenta]],1))</f>
        <v>0</v>
      </c>
      <c r="N825" t="b">
        <f>+ISNUMBER(SEARCH(#REF!,Tabla11[[#This Row],[Cuenta]],1))</f>
        <v>0</v>
      </c>
      <c r="O825" t="b">
        <f>+ISNUMBER(SEARCH(#REF!,Tabla11[[#This Row],[Cuenta]],1))</f>
        <v>0</v>
      </c>
      <c r="P825" t="b">
        <f>+ISNUMBER(SEARCH('F-COMPRA'!$F$32,Tabla11[[#This Row],[Cuenta]],1))</f>
        <v>1</v>
      </c>
      <c r="Q825" t="b">
        <f>+ISNUMBER(SEARCH('F-COMPRA'!$F$33,Tabla11[[#This Row],[Cuenta]],1))</f>
        <v>1</v>
      </c>
      <c r="R825" t="b">
        <f>+ISNUMBER(SEARCH('F-COMPRA'!$F$34,Tabla11[[#This Row],[Cuenta]],1))</f>
        <v>1</v>
      </c>
      <c r="S825" t="b">
        <f>+ISNUMBER(SEARCH('F-COMPRA'!$F$35,Tabla11[[#This Row],[Cuenta]],1))</f>
        <v>1</v>
      </c>
      <c r="T825" t="b">
        <f>+ISNUMBER(SEARCH('F-COMPRA'!$F$36,Tabla11[[#This Row],[Cuenta]],1))</f>
        <v>1</v>
      </c>
      <c r="U825" t="b">
        <f>+ISNUMBER(SEARCH('F-COMPRA'!$F$37,Tabla11[[#This Row],[Cuenta]],1))</f>
        <v>1</v>
      </c>
      <c r="V825" t="b">
        <f>+ISNUMBER(SEARCH(#REF!,Tabla11[[#This Row],[Cuenta]],1))</f>
        <v>0</v>
      </c>
      <c r="W825" t="b">
        <f>+ISNUMBER(SEARCH('F-COMPRA'!#REF!,Tabla11[[#This Row],[Cuenta]],1))</f>
        <v>0</v>
      </c>
      <c r="X825" t="b">
        <f>+ISNUMBER(SEARCH('F-COMPRA'!#REF!,Tabla11[[#This Row],[Cuenta]],1))</f>
        <v>0</v>
      </c>
      <c r="Y825" t="b">
        <f>+ISNUMBER(SEARCH('F-COMPRA'!#REF!,Tabla11[[#This Row],[Cuenta]],1))</f>
        <v>0</v>
      </c>
      <c r="Z825" t="b">
        <f>+ISNUMBER(SEARCH('F-COMPRA'!#REF!,Tabla11[[#This Row],[Cuenta]],1))</f>
        <v>0</v>
      </c>
      <c r="AA825" t="b">
        <f>+ISNUMBER(SEARCH('F-COMPRA'!#REF!,Tabla11[[#This Row],[Cuenta]],1))</f>
        <v>0</v>
      </c>
      <c r="AB825" t="b">
        <f>+ISNUMBER(SEARCH('F-COMPRA'!#REF!,Tabla11[[#This Row],[Cuenta]],1))</f>
        <v>0</v>
      </c>
      <c r="AC825" t="b">
        <f>+ISNUMBER(SEARCH('F-COMPRA'!#REF!,Tabla11[[#This Row],[Cuenta]],1))</f>
        <v>0</v>
      </c>
      <c r="AD825" t="b">
        <f>+ISNUMBER(SEARCH('F-COMPRA'!#REF!,Tabla11[[#This Row],[Cuenta]],1))</f>
        <v>0</v>
      </c>
      <c r="AE825" t="b">
        <f>+ISNUMBER(SEARCH('F-COMPRA'!#REF!,Tabla11[[#This Row],[Cuenta]],1))</f>
        <v>0</v>
      </c>
      <c r="AF825" t="b">
        <f>+ISNUMBER(SEARCH('F-VTA'!$G$23,Tabla11[[#This Row],[Cuenta]],1))</f>
        <v>0</v>
      </c>
      <c r="AG825" t="b">
        <f>+ISNUMBER(SEARCH('F-VTA'!$G$24,Tabla11[[#This Row],[Cuenta]],1))</f>
        <v>0</v>
      </c>
      <c r="AH825" t="b">
        <f>+ISNUMBER(SEARCH('F-VTA'!$G$25,Tabla11[[#This Row],[Cuenta]],1))</f>
        <v>0</v>
      </c>
      <c r="AI825" t="b">
        <f>+ISNUMBER(SEARCH('F-VTA'!$F$28,Tabla11[[#This Row],[Cuenta]],1))</f>
        <v>1</v>
      </c>
      <c r="AJ825" t="b">
        <f>+ISNUMBER(SEARCH('F-VTA'!$F$29,Tabla11[[#This Row],[Cuenta]],1))</f>
        <v>1</v>
      </c>
      <c r="AK825" t="b">
        <f>+ISNUMBER(SEARCH('F-VTA'!$F$30,Tabla11[[#This Row],[Cuenta]],1))</f>
        <v>1</v>
      </c>
      <c r="AL825" t="b">
        <f>+ISNUMBER(SEARCH('F-VTA'!$F$31,Tabla11[[#This Row],[Cuenta]],1))</f>
        <v>1</v>
      </c>
      <c r="AM825" t="b">
        <f>+ISNUMBER(SEARCH('F-VTA'!$F$32,Tabla11[[#This Row],[Cuenta]],1))</f>
        <v>1</v>
      </c>
      <c r="AN825" t="b">
        <f>+ISNUMBER(SEARCH('F-VTA'!$F$33,Tabla11[[#This Row],[Cuenta]],1))</f>
        <v>1</v>
      </c>
      <c r="AO825" t="b">
        <f>+ISNUMBER(SEARCH('F-VTA'!$F$34,Tabla11[[#This Row],[Cuenta]],1))</f>
        <v>1</v>
      </c>
      <c r="AP825" t="b">
        <f>+ISNUMBER(SEARCH('F-VTA'!$F$35,Tabla11[[#This Row],[Cuenta]],1))</f>
        <v>1</v>
      </c>
      <c r="AQ825" t="b">
        <f>+ISNUMBER(SEARCH('F-VTA'!$F$36,Tabla11[[#This Row],[Cuenta]],1))</f>
        <v>1</v>
      </c>
      <c r="AR825" t="b">
        <f>+ISNUMBER(SEARCH(#REF!,Tabla11[[#This Row],[Cuenta]],1))</f>
        <v>0</v>
      </c>
      <c r="AS825" t="b">
        <f>+ISNUMBER(SEARCH(#REF!,Tabla11[[#This Row],[Cuenta]],1))</f>
        <v>0</v>
      </c>
      <c r="AT825" t="b">
        <f>+ISNUMBER(SEARCH(#REF!,Tabla11[[#This Row],[Cuenta]],1))</f>
        <v>0</v>
      </c>
      <c r="AU825" t="b">
        <f>+ISNUMBER(SEARCH('Conc. Ban.1'!$I$9,Tabla11[[#This Row],[Cuenta]],1))</f>
        <v>0</v>
      </c>
      <c r="AV825" t="b">
        <f>+ISNUMBER(SEARCH(CompConta!$F$21,Tabla11[[#This Row],[Cuenta]],1))</f>
        <v>1</v>
      </c>
      <c r="AW825" t="b">
        <f>+ISNUMBER(SEARCH(CompConta!$F$22,Tabla11[[#This Row],[Cuenta]],1))</f>
        <v>1</v>
      </c>
      <c r="AX825" t="b">
        <f>+ISNUMBER(SEARCH(CompConta!$F$23,Tabla11[[#This Row],[Cuenta]],1))</f>
        <v>1</v>
      </c>
      <c r="AY825" t="b">
        <f>+ISNUMBER(SEARCH(CompConta!$F$24,Tabla11[[#This Row],[Cuenta]],1))</f>
        <v>1</v>
      </c>
      <c r="AZ825" t="b">
        <f>+ISNUMBER(SEARCH(CompConta!$F$25,Tabla11[[#This Row],[Cuenta]],1))</f>
        <v>1</v>
      </c>
      <c r="BA825" t="b">
        <f>+ISNUMBER(SEARCH(CompConta!$F$26,Tabla11[[#This Row],[Cuenta]],1))</f>
        <v>1</v>
      </c>
      <c r="BB825" t="b">
        <f>+ISNUMBER(SEARCH(CompConta!$F$27,Tabla11[[#This Row],[Cuenta]],1))</f>
        <v>1</v>
      </c>
      <c r="BC825" t="b">
        <f>+ISNUMBER(SEARCH(CompConta!$F$28,Tabla11[[#This Row],[Cuenta]],1))</f>
        <v>1</v>
      </c>
      <c r="BD825" t="b">
        <f>+ISNUMBER(SEARCH(CompConta!$F$29,Tabla11[[#This Row],[Cuenta]],1))</f>
        <v>1</v>
      </c>
      <c r="BE825" t="b">
        <f>+ISNUMBER(SEARCH(CompConta!$F$30,Tabla11[[#This Row],[Cuenta]],1))</f>
        <v>1</v>
      </c>
      <c r="BF825" t="b">
        <f>+ISNUMBER(SEARCH('PAGO Compras'!$E$11,Tabla11[[#This Row],[Cuenta]],1))</f>
        <v>1</v>
      </c>
      <c r="BG825" t="b">
        <f>+ISNUMBER(SEARCH(#REF!,Tabla11[[#This Row],[Cuenta]],1))</f>
        <v>0</v>
      </c>
      <c r="BH825" t="b">
        <f>+ISNUMBER(SEARCH(#REF!,Tabla11[[#This Row],[Cuenta]],1))</f>
        <v>0</v>
      </c>
      <c r="BI825" t="b">
        <f>+ISNUMBER(SEARCH(#REF!,Tabla11[[#This Row],[Cuenta]],1))</f>
        <v>0</v>
      </c>
      <c r="BJ825" t="b">
        <f>+ISNUMBER(SEARCH(#REF!,Tabla11[[#This Row],[Cuenta]],1))</f>
        <v>0</v>
      </c>
      <c r="BS825" t="str">
        <v>512015 Maquinaria y equipo</v>
      </c>
      <c r="BT825" t="str">
        <v>512015 Maquinaria y equipo</v>
      </c>
      <c r="BU825" t="str">
        <v>512015 Maquinaria y equipo</v>
      </c>
      <c r="BV825" t="str">
        <v>512015 Maquinaria y equipo</v>
      </c>
      <c r="BZ825" t="str">
        <v>512015 Maquinaria y equipo</v>
      </c>
      <c r="CA825" t="str">
        <v>512015 Maquinaria y equipo</v>
      </c>
      <c r="CB825" t="str">
        <v>512015 Maquinaria y equipo</v>
      </c>
      <c r="CC825" t="str">
        <v>512015 Maquinaria y equipo</v>
      </c>
      <c r="CD825" t="str">
        <v>512015 Maquinaria y equipo</v>
      </c>
      <c r="CE825" t="str">
        <v>512015 Maquinaria y equipo</v>
      </c>
      <c r="CS825" s="141" t="str">
        <v>512015 Maquinaria y equipo</v>
      </c>
      <c r="CT825" s="141" t="str">
        <v>512015 Maquinaria y equipo</v>
      </c>
      <c r="CU825" s="141" t="str">
        <v>512015 Maquinaria y equipo</v>
      </c>
      <c r="CV825" s="141" t="str">
        <v>512015 Maquinaria y equipo</v>
      </c>
      <c r="CW825" s="141" t="str">
        <v>512015 Maquinaria y equipo</v>
      </c>
      <c r="CX825" s="141" t="str">
        <v>512015 Maquinaria y equipo</v>
      </c>
      <c r="CY825" s="141" t="str">
        <v>512015 Maquinaria y equipo</v>
      </c>
      <c r="CZ825" s="141" t="str">
        <v>512015 Maquinaria y equipo</v>
      </c>
      <c r="DA825" s="141" t="str">
        <v>512015 Maquinaria y equipo</v>
      </c>
      <c r="DF825" t="str">
        <v>512015 Maquinaria y equipo</v>
      </c>
      <c r="DG825" t="str">
        <v>512015 Maquinaria y equipo</v>
      </c>
      <c r="DH825" t="str">
        <v>512015 Maquinaria y equipo</v>
      </c>
      <c r="DI825" t="str">
        <v>512015 Maquinaria y equipo</v>
      </c>
      <c r="DJ825" t="str">
        <v>512015 Maquinaria y equipo</v>
      </c>
      <c r="DK825" t="str">
        <v>512015 Maquinaria y equipo</v>
      </c>
      <c r="DL825" t="str">
        <v>512015 Maquinaria y equipo</v>
      </c>
      <c r="DM825" t="str">
        <v>512015 Maquinaria y equipo</v>
      </c>
      <c r="DN825" t="str">
        <v>512015 Maquinaria y equipo</v>
      </c>
      <c r="DO825" t="str">
        <v>512015 Maquinaria y equipo</v>
      </c>
      <c r="DP825" t="str">
        <v>512015 Maquinaria y equipo</v>
      </c>
    </row>
    <row r="826" spans="4:120" ht="12.75">
      <c r="D826" s="7">
        <v>512020</v>
      </c>
      <c r="E826" s="6" t="s">
        <v>129</v>
      </c>
      <c r="F826" s="5">
        <v>4</v>
      </c>
      <c r="G826" s="34" t="s">
        <v>830</v>
      </c>
      <c r="H826" s="8" t="s">
        <v>32</v>
      </c>
      <c r="I826" t="b">
        <f>+ISNUMBER(SEARCH('F-COMPRA'!$F$28,Tabla11[[#This Row],[Cuenta]],1))</f>
        <v>1</v>
      </c>
      <c r="J826" t="b">
        <f>+ISNUMBER(SEARCH('F-COMPRA'!$F$29,Tabla11[[#This Row],[Cuenta]],1))</f>
        <v>1</v>
      </c>
      <c r="K826" t="b">
        <f>+ISNUMBER(SEARCH('F-COMPRA'!$F$30,Tabla11[[#This Row],[Cuenta]],1))</f>
        <v>1</v>
      </c>
      <c r="L826" t="b">
        <f>+ISNUMBER(SEARCH('F-COMPRA'!$F$31,Tabla11[[#This Row],[Cuenta]],1))</f>
        <v>1</v>
      </c>
      <c r="M826" t="b">
        <f>+ISNUMBER(SEARCH('F-COMPRA'!$G$25,Tabla11[[#This Row],[Cuenta]],1))</f>
        <v>0</v>
      </c>
      <c r="N826" t="b">
        <f>+ISNUMBER(SEARCH(#REF!,Tabla11[[#This Row],[Cuenta]],1))</f>
        <v>0</v>
      </c>
      <c r="O826" t="b">
        <f>+ISNUMBER(SEARCH(#REF!,Tabla11[[#This Row],[Cuenta]],1))</f>
        <v>0</v>
      </c>
      <c r="P826" t="b">
        <f>+ISNUMBER(SEARCH('F-COMPRA'!$F$32,Tabla11[[#This Row],[Cuenta]],1))</f>
        <v>1</v>
      </c>
      <c r="Q826" t="b">
        <f>+ISNUMBER(SEARCH('F-COMPRA'!$F$33,Tabla11[[#This Row],[Cuenta]],1))</f>
        <v>1</v>
      </c>
      <c r="R826" t="b">
        <f>+ISNUMBER(SEARCH('F-COMPRA'!$F$34,Tabla11[[#This Row],[Cuenta]],1))</f>
        <v>1</v>
      </c>
      <c r="S826" t="b">
        <f>+ISNUMBER(SEARCH('F-COMPRA'!$F$35,Tabla11[[#This Row],[Cuenta]],1))</f>
        <v>1</v>
      </c>
      <c r="T826" t="b">
        <f>+ISNUMBER(SEARCH('F-COMPRA'!$F$36,Tabla11[[#This Row],[Cuenta]],1))</f>
        <v>1</v>
      </c>
      <c r="U826" t="b">
        <f>+ISNUMBER(SEARCH('F-COMPRA'!$F$37,Tabla11[[#This Row],[Cuenta]],1))</f>
        <v>1</v>
      </c>
      <c r="V826" t="b">
        <f>+ISNUMBER(SEARCH(#REF!,Tabla11[[#This Row],[Cuenta]],1))</f>
        <v>0</v>
      </c>
      <c r="W826" t="b">
        <f>+ISNUMBER(SEARCH('F-COMPRA'!#REF!,Tabla11[[#This Row],[Cuenta]],1))</f>
        <v>0</v>
      </c>
      <c r="X826" t="b">
        <f>+ISNUMBER(SEARCH('F-COMPRA'!#REF!,Tabla11[[#This Row],[Cuenta]],1))</f>
        <v>0</v>
      </c>
      <c r="Y826" t="b">
        <f>+ISNUMBER(SEARCH('F-COMPRA'!#REF!,Tabla11[[#This Row],[Cuenta]],1))</f>
        <v>0</v>
      </c>
      <c r="Z826" t="b">
        <f>+ISNUMBER(SEARCH('F-COMPRA'!#REF!,Tabla11[[#This Row],[Cuenta]],1))</f>
        <v>0</v>
      </c>
      <c r="AA826" t="b">
        <f>+ISNUMBER(SEARCH('F-COMPRA'!#REF!,Tabla11[[#This Row],[Cuenta]],1))</f>
        <v>0</v>
      </c>
      <c r="AB826" t="b">
        <f>+ISNUMBER(SEARCH('F-COMPRA'!#REF!,Tabla11[[#This Row],[Cuenta]],1))</f>
        <v>0</v>
      </c>
      <c r="AC826" t="b">
        <f>+ISNUMBER(SEARCH('F-COMPRA'!#REF!,Tabla11[[#This Row],[Cuenta]],1))</f>
        <v>0</v>
      </c>
      <c r="AD826" t="b">
        <f>+ISNUMBER(SEARCH('F-COMPRA'!#REF!,Tabla11[[#This Row],[Cuenta]],1))</f>
        <v>0</v>
      </c>
      <c r="AE826" t="b">
        <f>+ISNUMBER(SEARCH('F-COMPRA'!#REF!,Tabla11[[#This Row],[Cuenta]],1))</f>
        <v>0</v>
      </c>
      <c r="AF826" t="b">
        <f>+ISNUMBER(SEARCH('F-VTA'!$G$23,Tabla11[[#This Row],[Cuenta]],1))</f>
        <v>0</v>
      </c>
      <c r="AG826" t="b">
        <f>+ISNUMBER(SEARCH('F-VTA'!$G$24,Tabla11[[#This Row],[Cuenta]],1))</f>
        <v>0</v>
      </c>
      <c r="AH826" t="b">
        <f>+ISNUMBER(SEARCH('F-VTA'!$G$25,Tabla11[[#This Row],[Cuenta]],1))</f>
        <v>0</v>
      </c>
      <c r="AI826" t="b">
        <f>+ISNUMBER(SEARCH('F-VTA'!$F$28,Tabla11[[#This Row],[Cuenta]],1))</f>
        <v>1</v>
      </c>
      <c r="AJ826" t="b">
        <f>+ISNUMBER(SEARCH('F-VTA'!$F$29,Tabla11[[#This Row],[Cuenta]],1))</f>
        <v>1</v>
      </c>
      <c r="AK826" t="b">
        <f>+ISNUMBER(SEARCH('F-VTA'!$F$30,Tabla11[[#This Row],[Cuenta]],1))</f>
        <v>1</v>
      </c>
      <c r="AL826" t="b">
        <f>+ISNUMBER(SEARCH('F-VTA'!$F$31,Tabla11[[#This Row],[Cuenta]],1))</f>
        <v>1</v>
      </c>
      <c r="AM826" t="b">
        <f>+ISNUMBER(SEARCH('F-VTA'!$F$32,Tabla11[[#This Row],[Cuenta]],1))</f>
        <v>1</v>
      </c>
      <c r="AN826" t="b">
        <f>+ISNUMBER(SEARCH('F-VTA'!$F$33,Tabla11[[#This Row],[Cuenta]],1))</f>
        <v>1</v>
      </c>
      <c r="AO826" t="b">
        <f>+ISNUMBER(SEARCH('F-VTA'!$F$34,Tabla11[[#This Row],[Cuenta]],1))</f>
        <v>1</v>
      </c>
      <c r="AP826" t="b">
        <f>+ISNUMBER(SEARCH('F-VTA'!$F$35,Tabla11[[#This Row],[Cuenta]],1))</f>
        <v>1</v>
      </c>
      <c r="AQ826" t="b">
        <f>+ISNUMBER(SEARCH('F-VTA'!$F$36,Tabla11[[#This Row],[Cuenta]],1))</f>
        <v>1</v>
      </c>
      <c r="AR826" t="b">
        <f>+ISNUMBER(SEARCH(#REF!,Tabla11[[#This Row],[Cuenta]],1))</f>
        <v>0</v>
      </c>
      <c r="AS826" t="b">
        <f>+ISNUMBER(SEARCH(#REF!,Tabla11[[#This Row],[Cuenta]],1))</f>
        <v>0</v>
      </c>
      <c r="AT826" t="b">
        <f>+ISNUMBER(SEARCH(#REF!,Tabla11[[#This Row],[Cuenta]],1))</f>
        <v>0</v>
      </c>
      <c r="AU826" t="b">
        <f>+ISNUMBER(SEARCH('Conc. Ban.1'!$I$9,Tabla11[[#This Row],[Cuenta]],1))</f>
        <v>0</v>
      </c>
      <c r="AV826" t="b">
        <f>+ISNUMBER(SEARCH(CompConta!$F$21,Tabla11[[#This Row],[Cuenta]],1))</f>
        <v>1</v>
      </c>
      <c r="AW826" t="b">
        <f>+ISNUMBER(SEARCH(CompConta!$F$22,Tabla11[[#This Row],[Cuenta]],1))</f>
        <v>1</v>
      </c>
      <c r="AX826" t="b">
        <f>+ISNUMBER(SEARCH(CompConta!$F$23,Tabla11[[#This Row],[Cuenta]],1))</f>
        <v>1</v>
      </c>
      <c r="AY826" t="b">
        <f>+ISNUMBER(SEARCH(CompConta!$F$24,Tabla11[[#This Row],[Cuenta]],1))</f>
        <v>1</v>
      </c>
      <c r="AZ826" t="b">
        <f>+ISNUMBER(SEARCH(CompConta!$F$25,Tabla11[[#This Row],[Cuenta]],1))</f>
        <v>1</v>
      </c>
      <c r="BA826" t="b">
        <f>+ISNUMBER(SEARCH(CompConta!$F$26,Tabla11[[#This Row],[Cuenta]],1))</f>
        <v>1</v>
      </c>
      <c r="BB826" t="b">
        <f>+ISNUMBER(SEARCH(CompConta!$F$27,Tabla11[[#This Row],[Cuenta]],1))</f>
        <v>1</v>
      </c>
      <c r="BC826" t="b">
        <f>+ISNUMBER(SEARCH(CompConta!$F$28,Tabla11[[#This Row],[Cuenta]],1))</f>
        <v>1</v>
      </c>
      <c r="BD826" t="b">
        <f>+ISNUMBER(SEARCH(CompConta!$F$29,Tabla11[[#This Row],[Cuenta]],1))</f>
        <v>1</v>
      </c>
      <c r="BE826" t="b">
        <f>+ISNUMBER(SEARCH(CompConta!$F$30,Tabla11[[#This Row],[Cuenta]],1))</f>
        <v>1</v>
      </c>
      <c r="BF826" t="b">
        <f>+ISNUMBER(SEARCH('PAGO Compras'!$E$11,Tabla11[[#This Row],[Cuenta]],1))</f>
        <v>1</v>
      </c>
      <c r="BG826" t="b">
        <f>+ISNUMBER(SEARCH(#REF!,Tabla11[[#This Row],[Cuenta]],1))</f>
        <v>0</v>
      </c>
      <c r="BH826" t="b">
        <f>+ISNUMBER(SEARCH(#REF!,Tabla11[[#This Row],[Cuenta]],1))</f>
        <v>0</v>
      </c>
      <c r="BI826" t="b">
        <f>+ISNUMBER(SEARCH(#REF!,Tabla11[[#This Row],[Cuenta]],1))</f>
        <v>0</v>
      </c>
      <c r="BJ826" t="b">
        <f>+ISNUMBER(SEARCH(#REF!,Tabla11[[#This Row],[Cuenta]],1))</f>
        <v>0</v>
      </c>
      <c r="BS826" t="str">
        <v>512020 Equipo de oficina</v>
      </c>
      <c r="BT826" t="str">
        <v>512020 Equipo de oficina</v>
      </c>
      <c r="BU826" t="str">
        <v>512020 Equipo de oficina</v>
      </c>
      <c r="BV826" t="str">
        <v>512020 Equipo de oficina</v>
      </c>
      <c r="BZ826" t="str">
        <v>512020 Equipo de oficina</v>
      </c>
      <c r="CA826" t="str">
        <v>512020 Equipo de oficina</v>
      </c>
      <c r="CB826" t="str">
        <v>512020 Equipo de oficina</v>
      </c>
      <c r="CC826" t="str">
        <v>512020 Equipo de oficina</v>
      </c>
      <c r="CD826" t="str">
        <v>512020 Equipo de oficina</v>
      </c>
      <c r="CE826" t="str">
        <v>512020 Equipo de oficina</v>
      </c>
      <c r="CS826" s="141" t="str">
        <v>512020 Equipo de oficina</v>
      </c>
      <c r="CT826" s="141" t="str">
        <v>512020 Equipo de oficina</v>
      </c>
      <c r="CU826" s="141" t="str">
        <v>512020 Equipo de oficina</v>
      </c>
      <c r="CV826" s="141" t="str">
        <v>512020 Equipo de oficina</v>
      </c>
      <c r="CW826" s="141" t="str">
        <v>512020 Equipo de oficina</v>
      </c>
      <c r="CX826" s="141" t="str">
        <v>512020 Equipo de oficina</v>
      </c>
      <c r="CY826" s="141" t="str">
        <v>512020 Equipo de oficina</v>
      </c>
      <c r="CZ826" s="141" t="str">
        <v>512020 Equipo de oficina</v>
      </c>
      <c r="DA826" s="141" t="str">
        <v>512020 Equipo de oficina</v>
      </c>
      <c r="DF826" t="str">
        <v>512020 Equipo de oficina</v>
      </c>
      <c r="DG826" t="str">
        <v>512020 Equipo de oficina</v>
      </c>
      <c r="DH826" t="str">
        <v>512020 Equipo de oficina</v>
      </c>
      <c r="DI826" t="str">
        <v>512020 Equipo de oficina</v>
      </c>
      <c r="DJ826" t="str">
        <v>512020 Equipo de oficina</v>
      </c>
      <c r="DK826" t="str">
        <v>512020 Equipo de oficina</v>
      </c>
      <c r="DL826" t="str">
        <v>512020 Equipo de oficina</v>
      </c>
      <c r="DM826" t="str">
        <v>512020 Equipo de oficina</v>
      </c>
      <c r="DN826" t="str">
        <v>512020 Equipo de oficina</v>
      </c>
      <c r="DO826" t="str">
        <v>512020 Equipo de oficina</v>
      </c>
      <c r="DP826" t="str">
        <v>512020 Equipo de oficina</v>
      </c>
    </row>
    <row r="827" spans="4:120" ht="12.75">
      <c r="D827" s="7">
        <v>512025</v>
      </c>
      <c r="E827" s="6" t="s">
        <v>130</v>
      </c>
      <c r="F827" s="5">
        <v>4</v>
      </c>
      <c r="G827" s="34" t="s">
        <v>830</v>
      </c>
      <c r="H827" s="8" t="s">
        <v>32</v>
      </c>
      <c r="I827" t="b">
        <f>+ISNUMBER(SEARCH('F-COMPRA'!$F$28,Tabla11[[#This Row],[Cuenta]],1))</f>
        <v>1</v>
      </c>
      <c r="J827" t="b">
        <f>+ISNUMBER(SEARCH('F-COMPRA'!$F$29,Tabla11[[#This Row],[Cuenta]],1))</f>
        <v>1</v>
      </c>
      <c r="K827" t="b">
        <f>+ISNUMBER(SEARCH('F-COMPRA'!$F$30,Tabla11[[#This Row],[Cuenta]],1))</f>
        <v>1</v>
      </c>
      <c r="L827" t="b">
        <f>+ISNUMBER(SEARCH('F-COMPRA'!$F$31,Tabla11[[#This Row],[Cuenta]],1))</f>
        <v>1</v>
      </c>
      <c r="M827" t="b">
        <f>+ISNUMBER(SEARCH('F-COMPRA'!$G$25,Tabla11[[#This Row],[Cuenta]],1))</f>
        <v>0</v>
      </c>
      <c r="N827" t="b">
        <f>+ISNUMBER(SEARCH(#REF!,Tabla11[[#This Row],[Cuenta]],1))</f>
        <v>0</v>
      </c>
      <c r="O827" t="b">
        <f>+ISNUMBER(SEARCH(#REF!,Tabla11[[#This Row],[Cuenta]],1))</f>
        <v>0</v>
      </c>
      <c r="P827" t="b">
        <f>+ISNUMBER(SEARCH('F-COMPRA'!$F$32,Tabla11[[#This Row],[Cuenta]],1))</f>
        <v>1</v>
      </c>
      <c r="Q827" t="b">
        <f>+ISNUMBER(SEARCH('F-COMPRA'!$F$33,Tabla11[[#This Row],[Cuenta]],1))</f>
        <v>1</v>
      </c>
      <c r="R827" t="b">
        <f>+ISNUMBER(SEARCH('F-COMPRA'!$F$34,Tabla11[[#This Row],[Cuenta]],1))</f>
        <v>1</v>
      </c>
      <c r="S827" t="b">
        <f>+ISNUMBER(SEARCH('F-COMPRA'!$F$35,Tabla11[[#This Row],[Cuenta]],1))</f>
        <v>1</v>
      </c>
      <c r="T827" t="b">
        <f>+ISNUMBER(SEARCH('F-COMPRA'!$F$36,Tabla11[[#This Row],[Cuenta]],1))</f>
        <v>1</v>
      </c>
      <c r="U827" t="b">
        <f>+ISNUMBER(SEARCH('F-COMPRA'!$F$37,Tabla11[[#This Row],[Cuenta]],1))</f>
        <v>1</v>
      </c>
      <c r="V827" t="b">
        <f>+ISNUMBER(SEARCH(#REF!,Tabla11[[#This Row],[Cuenta]],1))</f>
        <v>0</v>
      </c>
      <c r="W827" t="b">
        <f>+ISNUMBER(SEARCH('F-COMPRA'!#REF!,Tabla11[[#This Row],[Cuenta]],1))</f>
        <v>0</v>
      </c>
      <c r="X827" t="b">
        <f>+ISNUMBER(SEARCH('F-COMPRA'!#REF!,Tabla11[[#This Row],[Cuenta]],1))</f>
        <v>0</v>
      </c>
      <c r="Y827" t="b">
        <f>+ISNUMBER(SEARCH('F-COMPRA'!#REF!,Tabla11[[#This Row],[Cuenta]],1))</f>
        <v>0</v>
      </c>
      <c r="Z827" t="b">
        <f>+ISNUMBER(SEARCH('F-COMPRA'!#REF!,Tabla11[[#This Row],[Cuenta]],1))</f>
        <v>0</v>
      </c>
      <c r="AA827" t="b">
        <f>+ISNUMBER(SEARCH('F-COMPRA'!#REF!,Tabla11[[#This Row],[Cuenta]],1))</f>
        <v>0</v>
      </c>
      <c r="AB827" t="b">
        <f>+ISNUMBER(SEARCH('F-COMPRA'!#REF!,Tabla11[[#This Row],[Cuenta]],1))</f>
        <v>0</v>
      </c>
      <c r="AC827" t="b">
        <f>+ISNUMBER(SEARCH('F-COMPRA'!#REF!,Tabla11[[#This Row],[Cuenta]],1))</f>
        <v>0</v>
      </c>
      <c r="AD827" t="b">
        <f>+ISNUMBER(SEARCH('F-COMPRA'!#REF!,Tabla11[[#This Row],[Cuenta]],1))</f>
        <v>0</v>
      </c>
      <c r="AE827" t="b">
        <f>+ISNUMBER(SEARCH('F-COMPRA'!#REF!,Tabla11[[#This Row],[Cuenta]],1))</f>
        <v>0</v>
      </c>
      <c r="AF827" t="b">
        <f>+ISNUMBER(SEARCH('F-VTA'!$G$23,Tabla11[[#This Row],[Cuenta]],1))</f>
        <v>0</v>
      </c>
      <c r="AG827" t="b">
        <f>+ISNUMBER(SEARCH('F-VTA'!$G$24,Tabla11[[#This Row],[Cuenta]],1))</f>
        <v>0</v>
      </c>
      <c r="AH827" t="b">
        <f>+ISNUMBER(SEARCH('F-VTA'!$G$25,Tabla11[[#This Row],[Cuenta]],1))</f>
        <v>0</v>
      </c>
      <c r="AI827" t="b">
        <f>+ISNUMBER(SEARCH('F-VTA'!$F$28,Tabla11[[#This Row],[Cuenta]],1))</f>
        <v>1</v>
      </c>
      <c r="AJ827" t="b">
        <f>+ISNUMBER(SEARCH('F-VTA'!$F$29,Tabla11[[#This Row],[Cuenta]],1))</f>
        <v>1</v>
      </c>
      <c r="AK827" t="b">
        <f>+ISNUMBER(SEARCH('F-VTA'!$F$30,Tabla11[[#This Row],[Cuenta]],1))</f>
        <v>1</v>
      </c>
      <c r="AL827" t="b">
        <f>+ISNUMBER(SEARCH('F-VTA'!$F$31,Tabla11[[#This Row],[Cuenta]],1))</f>
        <v>1</v>
      </c>
      <c r="AM827" t="b">
        <f>+ISNUMBER(SEARCH('F-VTA'!$F$32,Tabla11[[#This Row],[Cuenta]],1))</f>
        <v>1</v>
      </c>
      <c r="AN827" t="b">
        <f>+ISNUMBER(SEARCH('F-VTA'!$F$33,Tabla11[[#This Row],[Cuenta]],1))</f>
        <v>1</v>
      </c>
      <c r="AO827" t="b">
        <f>+ISNUMBER(SEARCH('F-VTA'!$F$34,Tabla11[[#This Row],[Cuenta]],1))</f>
        <v>1</v>
      </c>
      <c r="AP827" t="b">
        <f>+ISNUMBER(SEARCH('F-VTA'!$F$35,Tabla11[[#This Row],[Cuenta]],1))</f>
        <v>1</v>
      </c>
      <c r="AQ827" t="b">
        <f>+ISNUMBER(SEARCH('F-VTA'!$F$36,Tabla11[[#This Row],[Cuenta]],1))</f>
        <v>1</v>
      </c>
      <c r="AR827" t="b">
        <f>+ISNUMBER(SEARCH(#REF!,Tabla11[[#This Row],[Cuenta]],1))</f>
        <v>0</v>
      </c>
      <c r="AS827" t="b">
        <f>+ISNUMBER(SEARCH(#REF!,Tabla11[[#This Row],[Cuenta]],1))</f>
        <v>0</v>
      </c>
      <c r="AT827" t="b">
        <f>+ISNUMBER(SEARCH(#REF!,Tabla11[[#This Row],[Cuenta]],1))</f>
        <v>0</v>
      </c>
      <c r="AU827" t="b">
        <f>+ISNUMBER(SEARCH('Conc. Ban.1'!$I$9,Tabla11[[#This Row],[Cuenta]],1))</f>
        <v>0</v>
      </c>
      <c r="AV827" t="b">
        <f>+ISNUMBER(SEARCH(CompConta!$F$21,Tabla11[[#This Row],[Cuenta]],1))</f>
        <v>1</v>
      </c>
      <c r="AW827" t="b">
        <f>+ISNUMBER(SEARCH(CompConta!$F$22,Tabla11[[#This Row],[Cuenta]],1))</f>
        <v>1</v>
      </c>
      <c r="AX827" t="b">
        <f>+ISNUMBER(SEARCH(CompConta!$F$23,Tabla11[[#This Row],[Cuenta]],1))</f>
        <v>1</v>
      </c>
      <c r="AY827" t="b">
        <f>+ISNUMBER(SEARCH(CompConta!$F$24,Tabla11[[#This Row],[Cuenta]],1))</f>
        <v>1</v>
      </c>
      <c r="AZ827" t="b">
        <f>+ISNUMBER(SEARCH(CompConta!$F$25,Tabla11[[#This Row],[Cuenta]],1))</f>
        <v>1</v>
      </c>
      <c r="BA827" t="b">
        <f>+ISNUMBER(SEARCH(CompConta!$F$26,Tabla11[[#This Row],[Cuenta]],1))</f>
        <v>1</v>
      </c>
      <c r="BB827" t="b">
        <f>+ISNUMBER(SEARCH(CompConta!$F$27,Tabla11[[#This Row],[Cuenta]],1))</f>
        <v>1</v>
      </c>
      <c r="BC827" t="b">
        <f>+ISNUMBER(SEARCH(CompConta!$F$28,Tabla11[[#This Row],[Cuenta]],1))</f>
        <v>1</v>
      </c>
      <c r="BD827" t="b">
        <f>+ISNUMBER(SEARCH(CompConta!$F$29,Tabla11[[#This Row],[Cuenta]],1))</f>
        <v>1</v>
      </c>
      <c r="BE827" t="b">
        <f>+ISNUMBER(SEARCH(CompConta!$F$30,Tabla11[[#This Row],[Cuenta]],1))</f>
        <v>1</v>
      </c>
      <c r="BF827" t="b">
        <f>+ISNUMBER(SEARCH('PAGO Compras'!$E$11,Tabla11[[#This Row],[Cuenta]],1))</f>
        <v>1</v>
      </c>
      <c r="BG827" t="b">
        <f>+ISNUMBER(SEARCH(#REF!,Tabla11[[#This Row],[Cuenta]],1))</f>
        <v>0</v>
      </c>
      <c r="BH827" t="b">
        <f>+ISNUMBER(SEARCH(#REF!,Tabla11[[#This Row],[Cuenta]],1))</f>
        <v>0</v>
      </c>
      <c r="BI827" t="b">
        <f>+ISNUMBER(SEARCH(#REF!,Tabla11[[#This Row],[Cuenta]],1))</f>
        <v>0</v>
      </c>
      <c r="BJ827" t="b">
        <f>+ISNUMBER(SEARCH(#REF!,Tabla11[[#This Row],[Cuenta]],1))</f>
        <v>0</v>
      </c>
      <c r="BS827" t="str">
        <v>512025 Equipo de computación y comunicación</v>
      </c>
      <c r="BT827" t="str">
        <v>512025 Equipo de computación y comunicación</v>
      </c>
      <c r="BU827" t="str">
        <v>512025 Equipo de computación y comunicación</v>
      </c>
      <c r="BV827" t="str">
        <v>512025 Equipo de computación y comunicación</v>
      </c>
      <c r="BZ827" t="str">
        <v>512025 Equipo de computación y comunicación</v>
      </c>
      <c r="CA827" t="str">
        <v>512025 Equipo de computación y comunicación</v>
      </c>
      <c r="CB827" t="str">
        <v>512025 Equipo de computación y comunicación</v>
      </c>
      <c r="CC827" t="str">
        <v>512025 Equipo de computación y comunicación</v>
      </c>
      <c r="CD827" t="str">
        <v>512025 Equipo de computación y comunicación</v>
      </c>
      <c r="CE827" t="str">
        <v>512025 Equipo de computación y comunicación</v>
      </c>
      <c r="CS827" s="141" t="str">
        <v>512025 Equipo de computación y comunicación</v>
      </c>
      <c r="CT827" s="141" t="str">
        <v>512025 Equipo de computación y comunicación</v>
      </c>
      <c r="CU827" s="141" t="str">
        <v>512025 Equipo de computación y comunicación</v>
      </c>
      <c r="CV827" s="141" t="str">
        <v>512025 Equipo de computación y comunicación</v>
      </c>
      <c r="CW827" s="141" t="str">
        <v>512025 Equipo de computación y comunicación</v>
      </c>
      <c r="CX827" s="141" t="str">
        <v>512025 Equipo de computación y comunicación</v>
      </c>
      <c r="CY827" s="141" t="str">
        <v>512025 Equipo de computación y comunicación</v>
      </c>
      <c r="CZ827" s="141" t="str">
        <v>512025 Equipo de computación y comunicación</v>
      </c>
      <c r="DA827" s="141" t="str">
        <v>512025 Equipo de computación y comunicación</v>
      </c>
      <c r="DF827" t="str">
        <v>512025 Equipo de computación y comunicación</v>
      </c>
      <c r="DG827" t="str">
        <v>512025 Equipo de computación y comunicación</v>
      </c>
      <c r="DH827" t="str">
        <v>512025 Equipo de computación y comunicación</v>
      </c>
      <c r="DI827" t="str">
        <v>512025 Equipo de computación y comunicación</v>
      </c>
      <c r="DJ827" t="str">
        <v>512025 Equipo de computación y comunicación</v>
      </c>
      <c r="DK827" t="str">
        <v>512025 Equipo de computación y comunicación</v>
      </c>
      <c r="DL827" t="str">
        <v>512025 Equipo de computación y comunicación</v>
      </c>
      <c r="DM827" t="str">
        <v>512025 Equipo de computación y comunicación</v>
      </c>
      <c r="DN827" t="str">
        <v>512025 Equipo de computación y comunicación</v>
      </c>
      <c r="DO827" t="str">
        <v>512025 Equipo de computación y comunicación</v>
      </c>
      <c r="DP827" t="str">
        <v>512025 Equipo de computación y comunicación</v>
      </c>
    </row>
    <row r="828" spans="4:120" ht="12.75">
      <c r="D828" s="7">
        <v>512030</v>
      </c>
      <c r="E828" s="6" t="s">
        <v>131</v>
      </c>
      <c r="F828" s="5">
        <v>4</v>
      </c>
      <c r="G828" s="34" t="s">
        <v>830</v>
      </c>
      <c r="H828" s="8" t="s">
        <v>32</v>
      </c>
      <c r="I828" t="b">
        <f>+ISNUMBER(SEARCH('F-COMPRA'!$F$28,Tabla11[[#This Row],[Cuenta]],1))</f>
        <v>1</v>
      </c>
      <c r="J828" t="b">
        <f>+ISNUMBER(SEARCH('F-COMPRA'!$F$29,Tabla11[[#This Row],[Cuenta]],1))</f>
        <v>1</v>
      </c>
      <c r="K828" t="b">
        <f>+ISNUMBER(SEARCH('F-COMPRA'!$F$30,Tabla11[[#This Row],[Cuenta]],1))</f>
        <v>1</v>
      </c>
      <c r="L828" t="b">
        <f>+ISNUMBER(SEARCH('F-COMPRA'!$F$31,Tabla11[[#This Row],[Cuenta]],1))</f>
        <v>1</v>
      </c>
      <c r="M828" t="b">
        <f>+ISNUMBER(SEARCH('F-COMPRA'!$G$25,Tabla11[[#This Row],[Cuenta]],1))</f>
        <v>0</v>
      </c>
      <c r="N828" t="b">
        <f>+ISNUMBER(SEARCH(#REF!,Tabla11[[#This Row],[Cuenta]],1))</f>
        <v>0</v>
      </c>
      <c r="O828" t="b">
        <f>+ISNUMBER(SEARCH(#REF!,Tabla11[[#This Row],[Cuenta]],1))</f>
        <v>0</v>
      </c>
      <c r="P828" t="b">
        <f>+ISNUMBER(SEARCH('F-COMPRA'!$F$32,Tabla11[[#This Row],[Cuenta]],1))</f>
        <v>1</v>
      </c>
      <c r="Q828" t="b">
        <f>+ISNUMBER(SEARCH('F-COMPRA'!$F$33,Tabla11[[#This Row],[Cuenta]],1))</f>
        <v>1</v>
      </c>
      <c r="R828" t="b">
        <f>+ISNUMBER(SEARCH('F-COMPRA'!$F$34,Tabla11[[#This Row],[Cuenta]],1))</f>
        <v>1</v>
      </c>
      <c r="S828" t="b">
        <f>+ISNUMBER(SEARCH('F-COMPRA'!$F$35,Tabla11[[#This Row],[Cuenta]],1))</f>
        <v>1</v>
      </c>
      <c r="T828" t="b">
        <f>+ISNUMBER(SEARCH('F-COMPRA'!$F$36,Tabla11[[#This Row],[Cuenta]],1))</f>
        <v>1</v>
      </c>
      <c r="U828" t="b">
        <f>+ISNUMBER(SEARCH('F-COMPRA'!$F$37,Tabla11[[#This Row],[Cuenta]],1))</f>
        <v>1</v>
      </c>
      <c r="V828" t="b">
        <f>+ISNUMBER(SEARCH(#REF!,Tabla11[[#This Row],[Cuenta]],1))</f>
        <v>0</v>
      </c>
      <c r="W828" t="b">
        <f>+ISNUMBER(SEARCH('F-COMPRA'!#REF!,Tabla11[[#This Row],[Cuenta]],1))</f>
        <v>0</v>
      </c>
      <c r="X828" t="b">
        <f>+ISNUMBER(SEARCH('F-COMPRA'!#REF!,Tabla11[[#This Row],[Cuenta]],1))</f>
        <v>0</v>
      </c>
      <c r="Y828" t="b">
        <f>+ISNUMBER(SEARCH('F-COMPRA'!#REF!,Tabla11[[#This Row],[Cuenta]],1))</f>
        <v>0</v>
      </c>
      <c r="Z828" t="b">
        <f>+ISNUMBER(SEARCH('F-COMPRA'!#REF!,Tabla11[[#This Row],[Cuenta]],1))</f>
        <v>0</v>
      </c>
      <c r="AA828" t="b">
        <f>+ISNUMBER(SEARCH('F-COMPRA'!#REF!,Tabla11[[#This Row],[Cuenta]],1))</f>
        <v>0</v>
      </c>
      <c r="AB828" t="b">
        <f>+ISNUMBER(SEARCH('F-COMPRA'!#REF!,Tabla11[[#This Row],[Cuenta]],1))</f>
        <v>0</v>
      </c>
      <c r="AC828" t="b">
        <f>+ISNUMBER(SEARCH('F-COMPRA'!#REF!,Tabla11[[#This Row],[Cuenta]],1))</f>
        <v>0</v>
      </c>
      <c r="AD828" t="b">
        <f>+ISNUMBER(SEARCH('F-COMPRA'!#REF!,Tabla11[[#This Row],[Cuenta]],1))</f>
        <v>0</v>
      </c>
      <c r="AE828" t="b">
        <f>+ISNUMBER(SEARCH('F-COMPRA'!#REF!,Tabla11[[#This Row],[Cuenta]],1))</f>
        <v>0</v>
      </c>
      <c r="AF828" t="b">
        <f>+ISNUMBER(SEARCH('F-VTA'!$G$23,Tabla11[[#This Row],[Cuenta]],1))</f>
        <v>0</v>
      </c>
      <c r="AG828" t="b">
        <f>+ISNUMBER(SEARCH('F-VTA'!$G$24,Tabla11[[#This Row],[Cuenta]],1))</f>
        <v>0</v>
      </c>
      <c r="AH828" t="b">
        <f>+ISNUMBER(SEARCH('F-VTA'!$G$25,Tabla11[[#This Row],[Cuenta]],1))</f>
        <v>0</v>
      </c>
      <c r="AI828" t="b">
        <f>+ISNUMBER(SEARCH('F-VTA'!$F$28,Tabla11[[#This Row],[Cuenta]],1))</f>
        <v>1</v>
      </c>
      <c r="AJ828" t="b">
        <f>+ISNUMBER(SEARCH('F-VTA'!$F$29,Tabla11[[#This Row],[Cuenta]],1))</f>
        <v>1</v>
      </c>
      <c r="AK828" t="b">
        <f>+ISNUMBER(SEARCH('F-VTA'!$F$30,Tabla11[[#This Row],[Cuenta]],1))</f>
        <v>1</v>
      </c>
      <c r="AL828" t="b">
        <f>+ISNUMBER(SEARCH('F-VTA'!$F$31,Tabla11[[#This Row],[Cuenta]],1))</f>
        <v>1</v>
      </c>
      <c r="AM828" t="b">
        <f>+ISNUMBER(SEARCH('F-VTA'!$F$32,Tabla11[[#This Row],[Cuenta]],1))</f>
        <v>1</v>
      </c>
      <c r="AN828" t="b">
        <f>+ISNUMBER(SEARCH('F-VTA'!$F$33,Tabla11[[#This Row],[Cuenta]],1))</f>
        <v>1</v>
      </c>
      <c r="AO828" t="b">
        <f>+ISNUMBER(SEARCH('F-VTA'!$F$34,Tabla11[[#This Row],[Cuenta]],1))</f>
        <v>1</v>
      </c>
      <c r="AP828" t="b">
        <f>+ISNUMBER(SEARCH('F-VTA'!$F$35,Tabla11[[#This Row],[Cuenta]],1))</f>
        <v>1</v>
      </c>
      <c r="AQ828" t="b">
        <f>+ISNUMBER(SEARCH('F-VTA'!$F$36,Tabla11[[#This Row],[Cuenta]],1))</f>
        <v>1</v>
      </c>
      <c r="AR828" t="b">
        <f>+ISNUMBER(SEARCH(#REF!,Tabla11[[#This Row],[Cuenta]],1))</f>
        <v>0</v>
      </c>
      <c r="AS828" t="b">
        <f>+ISNUMBER(SEARCH(#REF!,Tabla11[[#This Row],[Cuenta]],1))</f>
        <v>0</v>
      </c>
      <c r="AT828" t="b">
        <f>+ISNUMBER(SEARCH(#REF!,Tabla11[[#This Row],[Cuenta]],1))</f>
        <v>0</v>
      </c>
      <c r="AU828" t="b">
        <f>+ISNUMBER(SEARCH('Conc. Ban.1'!$I$9,Tabla11[[#This Row],[Cuenta]],1))</f>
        <v>0</v>
      </c>
      <c r="AV828" t="b">
        <f>+ISNUMBER(SEARCH(CompConta!$F$21,Tabla11[[#This Row],[Cuenta]],1))</f>
        <v>1</v>
      </c>
      <c r="AW828" t="b">
        <f>+ISNUMBER(SEARCH(CompConta!$F$22,Tabla11[[#This Row],[Cuenta]],1))</f>
        <v>1</v>
      </c>
      <c r="AX828" t="b">
        <f>+ISNUMBER(SEARCH(CompConta!$F$23,Tabla11[[#This Row],[Cuenta]],1))</f>
        <v>1</v>
      </c>
      <c r="AY828" t="b">
        <f>+ISNUMBER(SEARCH(CompConta!$F$24,Tabla11[[#This Row],[Cuenta]],1))</f>
        <v>1</v>
      </c>
      <c r="AZ828" t="b">
        <f>+ISNUMBER(SEARCH(CompConta!$F$25,Tabla11[[#This Row],[Cuenta]],1))</f>
        <v>1</v>
      </c>
      <c r="BA828" t="b">
        <f>+ISNUMBER(SEARCH(CompConta!$F$26,Tabla11[[#This Row],[Cuenta]],1))</f>
        <v>1</v>
      </c>
      <c r="BB828" t="b">
        <f>+ISNUMBER(SEARCH(CompConta!$F$27,Tabla11[[#This Row],[Cuenta]],1))</f>
        <v>1</v>
      </c>
      <c r="BC828" t="b">
        <f>+ISNUMBER(SEARCH(CompConta!$F$28,Tabla11[[#This Row],[Cuenta]],1))</f>
        <v>1</v>
      </c>
      <c r="BD828" t="b">
        <f>+ISNUMBER(SEARCH(CompConta!$F$29,Tabla11[[#This Row],[Cuenta]],1))</f>
        <v>1</v>
      </c>
      <c r="BE828" t="b">
        <f>+ISNUMBER(SEARCH(CompConta!$F$30,Tabla11[[#This Row],[Cuenta]],1))</f>
        <v>1</v>
      </c>
      <c r="BF828" t="b">
        <f>+ISNUMBER(SEARCH('PAGO Compras'!$E$11,Tabla11[[#This Row],[Cuenta]],1))</f>
        <v>1</v>
      </c>
      <c r="BG828" t="b">
        <f>+ISNUMBER(SEARCH(#REF!,Tabla11[[#This Row],[Cuenta]],1))</f>
        <v>0</v>
      </c>
      <c r="BH828" t="b">
        <f>+ISNUMBER(SEARCH(#REF!,Tabla11[[#This Row],[Cuenta]],1))</f>
        <v>0</v>
      </c>
      <c r="BI828" t="b">
        <f>+ISNUMBER(SEARCH(#REF!,Tabla11[[#This Row],[Cuenta]],1))</f>
        <v>0</v>
      </c>
      <c r="BJ828" t="b">
        <f>+ISNUMBER(SEARCH(#REF!,Tabla11[[#This Row],[Cuenta]],1))</f>
        <v>0</v>
      </c>
      <c r="BS828" t="str">
        <v>512030 Equipo médico-científico</v>
      </c>
      <c r="BT828" t="str">
        <v>512030 Equipo médico-científico</v>
      </c>
      <c r="BU828" t="str">
        <v>512030 Equipo médico-científico</v>
      </c>
      <c r="BV828" t="str">
        <v>512030 Equipo médico-científico</v>
      </c>
      <c r="BZ828" t="str">
        <v>512030 Equipo médico-científico</v>
      </c>
      <c r="CA828" t="str">
        <v>512030 Equipo médico-científico</v>
      </c>
      <c r="CB828" t="str">
        <v>512030 Equipo médico-científico</v>
      </c>
      <c r="CC828" t="str">
        <v>512030 Equipo médico-científico</v>
      </c>
      <c r="CD828" t="str">
        <v>512030 Equipo médico-científico</v>
      </c>
      <c r="CE828" t="str">
        <v>512030 Equipo médico-científico</v>
      </c>
      <c r="CS828" s="141" t="str">
        <v>512030 Equipo médico-científico</v>
      </c>
      <c r="CT828" s="141" t="str">
        <v>512030 Equipo médico-científico</v>
      </c>
      <c r="CU828" s="141" t="str">
        <v>512030 Equipo médico-científico</v>
      </c>
      <c r="CV828" s="141" t="str">
        <v>512030 Equipo médico-científico</v>
      </c>
      <c r="CW828" s="141" t="str">
        <v>512030 Equipo médico-científico</v>
      </c>
      <c r="CX828" s="141" t="str">
        <v>512030 Equipo médico-científico</v>
      </c>
      <c r="CY828" s="141" t="str">
        <v>512030 Equipo médico-científico</v>
      </c>
      <c r="CZ828" s="141" t="str">
        <v>512030 Equipo médico-científico</v>
      </c>
      <c r="DA828" s="141" t="str">
        <v>512030 Equipo médico-científico</v>
      </c>
      <c r="DF828" t="str">
        <v>512030 Equipo médico-científico</v>
      </c>
      <c r="DG828" t="str">
        <v>512030 Equipo médico-científico</v>
      </c>
      <c r="DH828" t="str">
        <v>512030 Equipo médico-científico</v>
      </c>
      <c r="DI828" t="str">
        <v>512030 Equipo médico-científico</v>
      </c>
      <c r="DJ828" t="str">
        <v>512030 Equipo médico-científico</v>
      </c>
      <c r="DK828" t="str">
        <v>512030 Equipo médico-científico</v>
      </c>
      <c r="DL828" t="str">
        <v>512030 Equipo médico-científico</v>
      </c>
      <c r="DM828" t="str">
        <v>512030 Equipo médico-científico</v>
      </c>
      <c r="DN828" t="str">
        <v>512030 Equipo médico-científico</v>
      </c>
      <c r="DO828" t="str">
        <v>512030 Equipo médico-científico</v>
      </c>
      <c r="DP828" t="str">
        <v>512030 Equipo médico-científico</v>
      </c>
    </row>
    <row r="829" spans="4:120" ht="12.75">
      <c r="D829" s="7">
        <v>512035</v>
      </c>
      <c r="E829" s="6" t="s">
        <v>132</v>
      </c>
      <c r="F829" s="5">
        <v>4</v>
      </c>
      <c r="G829" s="34" t="s">
        <v>830</v>
      </c>
      <c r="H829" s="8" t="s">
        <v>32</v>
      </c>
      <c r="I829" t="b">
        <f>+ISNUMBER(SEARCH('F-COMPRA'!$F$28,Tabla11[[#This Row],[Cuenta]],1))</f>
        <v>1</v>
      </c>
      <c r="J829" t="b">
        <f>+ISNUMBER(SEARCH('F-COMPRA'!$F$29,Tabla11[[#This Row],[Cuenta]],1))</f>
        <v>1</v>
      </c>
      <c r="K829" t="b">
        <f>+ISNUMBER(SEARCH('F-COMPRA'!$F$30,Tabla11[[#This Row],[Cuenta]],1))</f>
        <v>1</v>
      </c>
      <c r="L829" t="b">
        <f>+ISNUMBER(SEARCH('F-COMPRA'!$F$31,Tabla11[[#This Row],[Cuenta]],1))</f>
        <v>1</v>
      </c>
      <c r="M829" t="b">
        <f>+ISNUMBER(SEARCH('F-COMPRA'!$G$25,Tabla11[[#This Row],[Cuenta]],1))</f>
        <v>0</v>
      </c>
      <c r="N829" t="b">
        <f>+ISNUMBER(SEARCH(#REF!,Tabla11[[#This Row],[Cuenta]],1))</f>
        <v>0</v>
      </c>
      <c r="O829" t="b">
        <f>+ISNUMBER(SEARCH(#REF!,Tabla11[[#This Row],[Cuenta]],1))</f>
        <v>0</v>
      </c>
      <c r="P829" t="b">
        <f>+ISNUMBER(SEARCH('F-COMPRA'!$F$32,Tabla11[[#This Row],[Cuenta]],1))</f>
        <v>1</v>
      </c>
      <c r="Q829" t="b">
        <f>+ISNUMBER(SEARCH('F-COMPRA'!$F$33,Tabla11[[#This Row],[Cuenta]],1))</f>
        <v>1</v>
      </c>
      <c r="R829" t="b">
        <f>+ISNUMBER(SEARCH('F-COMPRA'!$F$34,Tabla11[[#This Row],[Cuenta]],1))</f>
        <v>1</v>
      </c>
      <c r="S829" t="b">
        <f>+ISNUMBER(SEARCH('F-COMPRA'!$F$35,Tabla11[[#This Row],[Cuenta]],1))</f>
        <v>1</v>
      </c>
      <c r="T829" t="b">
        <f>+ISNUMBER(SEARCH('F-COMPRA'!$F$36,Tabla11[[#This Row],[Cuenta]],1))</f>
        <v>1</v>
      </c>
      <c r="U829" t="b">
        <f>+ISNUMBER(SEARCH('F-COMPRA'!$F$37,Tabla11[[#This Row],[Cuenta]],1))</f>
        <v>1</v>
      </c>
      <c r="V829" t="b">
        <f>+ISNUMBER(SEARCH(#REF!,Tabla11[[#This Row],[Cuenta]],1))</f>
        <v>0</v>
      </c>
      <c r="W829" t="b">
        <f>+ISNUMBER(SEARCH('F-COMPRA'!#REF!,Tabla11[[#This Row],[Cuenta]],1))</f>
        <v>0</v>
      </c>
      <c r="X829" t="b">
        <f>+ISNUMBER(SEARCH('F-COMPRA'!#REF!,Tabla11[[#This Row],[Cuenta]],1))</f>
        <v>0</v>
      </c>
      <c r="Y829" t="b">
        <f>+ISNUMBER(SEARCH('F-COMPRA'!#REF!,Tabla11[[#This Row],[Cuenta]],1))</f>
        <v>0</v>
      </c>
      <c r="Z829" t="b">
        <f>+ISNUMBER(SEARCH('F-COMPRA'!#REF!,Tabla11[[#This Row],[Cuenta]],1))</f>
        <v>0</v>
      </c>
      <c r="AA829" t="b">
        <f>+ISNUMBER(SEARCH('F-COMPRA'!#REF!,Tabla11[[#This Row],[Cuenta]],1))</f>
        <v>0</v>
      </c>
      <c r="AB829" t="b">
        <f>+ISNUMBER(SEARCH('F-COMPRA'!#REF!,Tabla11[[#This Row],[Cuenta]],1))</f>
        <v>0</v>
      </c>
      <c r="AC829" t="b">
        <f>+ISNUMBER(SEARCH('F-COMPRA'!#REF!,Tabla11[[#This Row],[Cuenta]],1))</f>
        <v>0</v>
      </c>
      <c r="AD829" t="b">
        <f>+ISNUMBER(SEARCH('F-COMPRA'!#REF!,Tabla11[[#This Row],[Cuenta]],1))</f>
        <v>0</v>
      </c>
      <c r="AE829" t="b">
        <f>+ISNUMBER(SEARCH('F-COMPRA'!#REF!,Tabla11[[#This Row],[Cuenta]],1))</f>
        <v>0</v>
      </c>
      <c r="AF829" t="b">
        <f>+ISNUMBER(SEARCH('F-VTA'!$G$23,Tabla11[[#This Row],[Cuenta]],1))</f>
        <v>0</v>
      </c>
      <c r="AG829" t="b">
        <f>+ISNUMBER(SEARCH('F-VTA'!$G$24,Tabla11[[#This Row],[Cuenta]],1))</f>
        <v>0</v>
      </c>
      <c r="AH829" t="b">
        <f>+ISNUMBER(SEARCH('F-VTA'!$G$25,Tabla11[[#This Row],[Cuenta]],1))</f>
        <v>0</v>
      </c>
      <c r="AI829" t="b">
        <f>+ISNUMBER(SEARCH('F-VTA'!$F$28,Tabla11[[#This Row],[Cuenta]],1))</f>
        <v>1</v>
      </c>
      <c r="AJ829" t="b">
        <f>+ISNUMBER(SEARCH('F-VTA'!$F$29,Tabla11[[#This Row],[Cuenta]],1))</f>
        <v>1</v>
      </c>
      <c r="AK829" t="b">
        <f>+ISNUMBER(SEARCH('F-VTA'!$F$30,Tabla11[[#This Row],[Cuenta]],1))</f>
        <v>1</v>
      </c>
      <c r="AL829" t="b">
        <f>+ISNUMBER(SEARCH('F-VTA'!$F$31,Tabla11[[#This Row],[Cuenta]],1))</f>
        <v>1</v>
      </c>
      <c r="AM829" t="b">
        <f>+ISNUMBER(SEARCH('F-VTA'!$F$32,Tabla11[[#This Row],[Cuenta]],1))</f>
        <v>1</v>
      </c>
      <c r="AN829" t="b">
        <f>+ISNUMBER(SEARCH('F-VTA'!$F$33,Tabla11[[#This Row],[Cuenta]],1))</f>
        <v>1</v>
      </c>
      <c r="AO829" t="b">
        <f>+ISNUMBER(SEARCH('F-VTA'!$F$34,Tabla11[[#This Row],[Cuenta]],1))</f>
        <v>1</v>
      </c>
      <c r="AP829" t="b">
        <f>+ISNUMBER(SEARCH('F-VTA'!$F$35,Tabla11[[#This Row],[Cuenta]],1))</f>
        <v>1</v>
      </c>
      <c r="AQ829" t="b">
        <f>+ISNUMBER(SEARCH('F-VTA'!$F$36,Tabla11[[#This Row],[Cuenta]],1))</f>
        <v>1</v>
      </c>
      <c r="AR829" t="b">
        <f>+ISNUMBER(SEARCH(#REF!,Tabla11[[#This Row],[Cuenta]],1))</f>
        <v>0</v>
      </c>
      <c r="AS829" t="b">
        <f>+ISNUMBER(SEARCH(#REF!,Tabla11[[#This Row],[Cuenta]],1))</f>
        <v>0</v>
      </c>
      <c r="AT829" t="b">
        <f>+ISNUMBER(SEARCH(#REF!,Tabla11[[#This Row],[Cuenta]],1))</f>
        <v>0</v>
      </c>
      <c r="AU829" t="b">
        <f>+ISNUMBER(SEARCH('Conc. Ban.1'!$I$9,Tabla11[[#This Row],[Cuenta]],1))</f>
        <v>0</v>
      </c>
      <c r="AV829" t="b">
        <f>+ISNUMBER(SEARCH(CompConta!$F$21,Tabla11[[#This Row],[Cuenta]],1))</f>
        <v>1</v>
      </c>
      <c r="AW829" t="b">
        <f>+ISNUMBER(SEARCH(CompConta!$F$22,Tabla11[[#This Row],[Cuenta]],1))</f>
        <v>1</v>
      </c>
      <c r="AX829" t="b">
        <f>+ISNUMBER(SEARCH(CompConta!$F$23,Tabla11[[#This Row],[Cuenta]],1))</f>
        <v>1</v>
      </c>
      <c r="AY829" t="b">
        <f>+ISNUMBER(SEARCH(CompConta!$F$24,Tabla11[[#This Row],[Cuenta]],1))</f>
        <v>1</v>
      </c>
      <c r="AZ829" t="b">
        <f>+ISNUMBER(SEARCH(CompConta!$F$25,Tabla11[[#This Row],[Cuenta]],1))</f>
        <v>1</v>
      </c>
      <c r="BA829" t="b">
        <f>+ISNUMBER(SEARCH(CompConta!$F$26,Tabla11[[#This Row],[Cuenta]],1))</f>
        <v>1</v>
      </c>
      <c r="BB829" t="b">
        <f>+ISNUMBER(SEARCH(CompConta!$F$27,Tabla11[[#This Row],[Cuenta]],1))</f>
        <v>1</v>
      </c>
      <c r="BC829" t="b">
        <f>+ISNUMBER(SEARCH(CompConta!$F$28,Tabla11[[#This Row],[Cuenta]],1))</f>
        <v>1</v>
      </c>
      <c r="BD829" t="b">
        <f>+ISNUMBER(SEARCH(CompConta!$F$29,Tabla11[[#This Row],[Cuenta]],1))</f>
        <v>1</v>
      </c>
      <c r="BE829" t="b">
        <f>+ISNUMBER(SEARCH(CompConta!$F$30,Tabla11[[#This Row],[Cuenta]],1))</f>
        <v>1</v>
      </c>
      <c r="BF829" t="b">
        <f>+ISNUMBER(SEARCH('PAGO Compras'!$E$11,Tabla11[[#This Row],[Cuenta]],1))</f>
        <v>1</v>
      </c>
      <c r="BG829" t="b">
        <f>+ISNUMBER(SEARCH(#REF!,Tabla11[[#This Row],[Cuenta]],1))</f>
        <v>0</v>
      </c>
      <c r="BH829" t="b">
        <f>+ISNUMBER(SEARCH(#REF!,Tabla11[[#This Row],[Cuenta]],1))</f>
        <v>0</v>
      </c>
      <c r="BI829" t="b">
        <f>+ISNUMBER(SEARCH(#REF!,Tabla11[[#This Row],[Cuenta]],1))</f>
        <v>0</v>
      </c>
      <c r="BJ829" t="b">
        <f>+ISNUMBER(SEARCH(#REF!,Tabla11[[#This Row],[Cuenta]],1))</f>
        <v>0</v>
      </c>
      <c r="BS829" t="str">
        <v>512035 Equipo de hoteles y restaurantes</v>
      </c>
      <c r="BT829" t="str">
        <v>512035 Equipo de hoteles y restaurantes</v>
      </c>
      <c r="BU829" t="str">
        <v>512035 Equipo de hoteles y restaurantes</v>
      </c>
      <c r="BV829" t="str">
        <v>512035 Equipo de hoteles y restaurantes</v>
      </c>
      <c r="BZ829" t="str">
        <v>512035 Equipo de hoteles y restaurantes</v>
      </c>
      <c r="CA829" t="str">
        <v>512035 Equipo de hoteles y restaurantes</v>
      </c>
      <c r="CB829" t="str">
        <v>512035 Equipo de hoteles y restaurantes</v>
      </c>
      <c r="CC829" t="str">
        <v>512035 Equipo de hoteles y restaurantes</v>
      </c>
      <c r="CD829" t="str">
        <v>512035 Equipo de hoteles y restaurantes</v>
      </c>
      <c r="CE829" t="str">
        <v>512035 Equipo de hoteles y restaurantes</v>
      </c>
      <c r="CS829" s="141" t="str">
        <v>512035 Equipo de hoteles y restaurantes</v>
      </c>
      <c r="CT829" s="141" t="str">
        <v>512035 Equipo de hoteles y restaurantes</v>
      </c>
      <c r="CU829" s="141" t="str">
        <v>512035 Equipo de hoteles y restaurantes</v>
      </c>
      <c r="CV829" s="141" t="str">
        <v>512035 Equipo de hoteles y restaurantes</v>
      </c>
      <c r="CW829" s="141" t="str">
        <v>512035 Equipo de hoteles y restaurantes</v>
      </c>
      <c r="CX829" s="141" t="str">
        <v>512035 Equipo de hoteles y restaurantes</v>
      </c>
      <c r="CY829" s="141" t="str">
        <v>512035 Equipo de hoteles y restaurantes</v>
      </c>
      <c r="CZ829" s="141" t="str">
        <v>512035 Equipo de hoteles y restaurantes</v>
      </c>
      <c r="DA829" s="141" t="str">
        <v>512035 Equipo de hoteles y restaurantes</v>
      </c>
      <c r="DF829" t="str">
        <v>512035 Equipo de hoteles y restaurantes</v>
      </c>
      <c r="DG829" t="str">
        <v>512035 Equipo de hoteles y restaurantes</v>
      </c>
      <c r="DH829" t="str">
        <v>512035 Equipo de hoteles y restaurantes</v>
      </c>
      <c r="DI829" t="str">
        <v>512035 Equipo de hoteles y restaurantes</v>
      </c>
      <c r="DJ829" t="str">
        <v>512035 Equipo de hoteles y restaurantes</v>
      </c>
      <c r="DK829" t="str">
        <v>512035 Equipo de hoteles y restaurantes</v>
      </c>
      <c r="DL829" t="str">
        <v>512035 Equipo de hoteles y restaurantes</v>
      </c>
      <c r="DM829" t="str">
        <v>512035 Equipo de hoteles y restaurantes</v>
      </c>
      <c r="DN829" t="str">
        <v>512035 Equipo de hoteles y restaurantes</v>
      </c>
      <c r="DO829" t="str">
        <v>512035 Equipo de hoteles y restaurantes</v>
      </c>
      <c r="DP829" t="str">
        <v>512035 Equipo de hoteles y restaurantes</v>
      </c>
    </row>
    <row r="830" spans="4:120" ht="12.75">
      <c r="D830" s="7">
        <v>512040</v>
      </c>
      <c r="E830" s="6" t="s">
        <v>133</v>
      </c>
      <c r="F830" s="5">
        <v>4</v>
      </c>
      <c r="G830" s="34" t="s">
        <v>830</v>
      </c>
      <c r="H830" s="8" t="s">
        <v>32</v>
      </c>
      <c r="I830" t="b">
        <f>+ISNUMBER(SEARCH('F-COMPRA'!$F$28,Tabla11[[#This Row],[Cuenta]],1))</f>
        <v>1</v>
      </c>
      <c r="J830" t="b">
        <f>+ISNUMBER(SEARCH('F-COMPRA'!$F$29,Tabla11[[#This Row],[Cuenta]],1))</f>
        <v>1</v>
      </c>
      <c r="K830" t="b">
        <f>+ISNUMBER(SEARCH('F-COMPRA'!$F$30,Tabla11[[#This Row],[Cuenta]],1))</f>
        <v>1</v>
      </c>
      <c r="L830" t="b">
        <f>+ISNUMBER(SEARCH('F-COMPRA'!$F$31,Tabla11[[#This Row],[Cuenta]],1))</f>
        <v>1</v>
      </c>
      <c r="M830" t="b">
        <f>+ISNUMBER(SEARCH('F-COMPRA'!$G$25,Tabla11[[#This Row],[Cuenta]],1))</f>
        <v>0</v>
      </c>
      <c r="N830" t="b">
        <f>+ISNUMBER(SEARCH(#REF!,Tabla11[[#This Row],[Cuenta]],1))</f>
        <v>0</v>
      </c>
      <c r="O830" t="b">
        <f>+ISNUMBER(SEARCH(#REF!,Tabla11[[#This Row],[Cuenta]],1))</f>
        <v>0</v>
      </c>
      <c r="P830" t="b">
        <f>+ISNUMBER(SEARCH('F-COMPRA'!$F$32,Tabla11[[#This Row],[Cuenta]],1))</f>
        <v>1</v>
      </c>
      <c r="Q830" t="b">
        <f>+ISNUMBER(SEARCH('F-COMPRA'!$F$33,Tabla11[[#This Row],[Cuenta]],1))</f>
        <v>1</v>
      </c>
      <c r="R830" t="b">
        <f>+ISNUMBER(SEARCH('F-COMPRA'!$F$34,Tabla11[[#This Row],[Cuenta]],1))</f>
        <v>1</v>
      </c>
      <c r="S830" t="b">
        <f>+ISNUMBER(SEARCH('F-COMPRA'!$F$35,Tabla11[[#This Row],[Cuenta]],1))</f>
        <v>1</v>
      </c>
      <c r="T830" t="b">
        <f>+ISNUMBER(SEARCH('F-COMPRA'!$F$36,Tabla11[[#This Row],[Cuenta]],1))</f>
        <v>1</v>
      </c>
      <c r="U830" t="b">
        <f>+ISNUMBER(SEARCH('F-COMPRA'!$F$37,Tabla11[[#This Row],[Cuenta]],1))</f>
        <v>1</v>
      </c>
      <c r="V830" t="b">
        <f>+ISNUMBER(SEARCH(#REF!,Tabla11[[#This Row],[Cuenta]],1))</f>
        <v>0</v>
      </c>
      <c r="W830" t="b">
        <f>+ISNUMBER(SEARCH('F-COMPRA'!#REF!,Tabla11[[#This Row],[Cuenta]],1))</f>
        <v>0</v>
      </c>
      <c r="X830" t="b">
        <f>+ISNUMBER(SEARCH('F-COMPRA'!#REF!,Tabla11[[#This Row],[Cuenta]],1))</f>
        <v>0</v>
      </c>
      <c r="Y830" t="b">
        <f>+ISNUMBER(SEARCH('F-COMPRA'!#REF!,Tabla11[[#This Row],[Cuenta]],1))</f>
        <v>0</v>
      </c>
      <c r="Z830" t="b">
        <f>+ISNUMBER(SEARCH('F-COMPRA'!#REF!,Tabla11[[#This Row],[Cuenta]],1))</f>
        <v>0</v>
      </c>
      <c r="AA830" t="b">
        <f>+ISNUMBER(SEARCH('F-COMPRA'!#REF!,Tabla11[[#This Row],[Cuenta]],1))</f>
        <v>0</v>
      </c>
      <c r="AB830" t="b">
        <f>+ISNUMBER(SEARCH('F-COMPRA'!#REF!,Tabla11[[#This Row],[Cuenta]],1))</f>
        <v>0</v>
      </c>
      <c r="AC830" t="b">
        <f>+ISNUMBER(SEARCH('F-COMPRA'!#REF!,Tabla11[[#This Row],[Cuenta]],1))</f>
        <v>0</v>
      </c>
      <c r="AD830" t="b">
        <f>+ISNUMBER(SEARCH('F-COMPRA'!#REF!,Tabla11[[#This Row],[Cuenta]],1))</f>
        <v>0</v>
      </c>
      <c r="AE830" t="b">
        <f>+ISNUMBER(SEARCH('F-COMPRA'!#REF!,Tabla11[[#This Row],[Cuenta]],1))</f>
        <v>0</v>
      </c>
      <c r="AF830" t="b">
        <f>+ISNUMBER(SEARCH('F-VTA'!$G$23,Tabla11[[#This Row],[Cuenta]],1))</f>
        <v>0</v>
      </c>
      <c r="AG830" t="b">
        <f>+ISNUMBER(SEARCH('F-VTA'!$G$24,Tabla11[[#This Row],[Cuenta]],1))</f>
        <v>0</v>
      </c>
      <c r="AH830" t="b">
        <f>+ISNUMBER(SEARCH('F-VTA'!$G$25,Tabla11[[#This Row],[Cuenta]],1))</f>
        <v>0</v>
      </c>
      <c r="AI830" t="b">
        <f>+ISNUMBER(SEARCH('F-VTA'!$F$28,Tabla11[[#This Row],[Cuenta]],1))</f>
        <v>1</v>
      </c>
      <c r="AJ830" t="b">
        <f>+ISNUMBER(SEARCH('F-VTA'!$F$29,Tabla11[[#This Row],[Cuenta]],1))</f>
        <v>1</v>
      </c>
      <c r="AK830" t="b">
        <f>+ISNUMBER(SEARCH('F-VTA'!$F$30,Tabla11[[#This Row],[Cuenta]],1))</f>
        <v>1</v>
      </c>
      <c r="AL830" t="b">
        <f>+ISNUMBER(SEARCH('F-VTA'!$F$31,Tabla11[[#This Row],[Cuenta]],1))</f>
        <v>1</v>
      </c>
      <c r="AM830" t="b">
        <f>+ISNUMBER(SEARCH('F-VTA'!$F$32,Tabla11[[#This Row],[Cuenta]],1))</f>
        <v>1</v>
      </c>
      <c r="AN830" t="b">
        <f>+ISNUMBER(SEARCH('F-VTA'!$F$33,Tabla11[[#This Row],[Cuenta]],1))</f>
        <v>1</v>
      </c>
      <c r="AO830" t="b">
        <f>+ISNUMBER(SEARCH('F-VTA'!$F$34,Tabla11[[#This Row],[Cuenta]],1))</f>
        <v>1</v>
      </c>
      <c r="AP830" t="b">
        <f>+ISNUMBER(SEARCH('F-VTA'!$F$35,Tabla11[[#This Row],[Cuenta]],1))</f>
        <v>1</v>
      </c>
      <c r="AQ830" t="b">
        <f>+ISNUMBER(SEARCH('F-VTA'!$F$36,Tabla11[[#This Row],[Cuenta]],1))</f>
        <v>1</v>
      </c>
      <c r="AR830" t="b">
        <f>+ISNUMBER(SEARCH(#REF!,Tabla11[[#This Row],[Cuenta]],1))</f>
        <v>0</v>
      </c>
      <c r="AS830" t="b">
        <f>+ISNUMBER(SEARCH(#REF!,Tabla11[[#This Row],[Cuenta]],1))</f>
        <v>0</v>
      </c>
      <c r="AT830" t="b">
        <f>+ISNUMBER(SEARCH(#REF!,Tabla11[[#This Row],[Cuenta]],1))</f>
        <v>0</v>
      </c>
      <c r="AU830" t="b">
        <f>+ISNUMBER(SEARCH('Conc. Ban.1'!$I$9,Tabla11[[#This Row],[Cuenta]],1))</f>
        <v>0</v>
      </c>
      <c r="AV830" t="b">
        <f>+ISNUMBER(SEARCH(CompConta!$F$21,Tabla11[[#This Row],[Cuenta]],1))</f>
        <v>1</v>
      </c>
      <c r="AW830" t="b">
        <f>+ISNUMBER(SEARCH(CompConta!$F$22,Tabla11[[#This Row],[Cuenta]],1))</f>
        <v>1</v>
      </c>
      <c r="AX830" t="b">
        <f>+ISNUMBER(SEARCH(CompConta!$F$23,Tabla11[[#This Row],[Cuenta]],1))</f>
        <v>1</v>
      </c>
      <c r="AY830" t="b">
        <f>+ISNUMBER(SEARCH(CompConta!$F$24,Tabla11[[#This Row],[Cuenta]],1))</f>
        <v>1</v>
      </c>
      <c r="AZ830" t="b">
        <f>+ISNUMBER(SEARCH(CompConta!$F$25,Tabla11[[#This Row],[Cuenta]],1))</f>
        <v>1</v>
      </c>
      <c r="BA830" t="b">
        <f>+ISNUMBER(SEARCH(CompConta!$F$26,Tabla11[[#This Row],[Cuenta]],1))</f>
        <v>1</v>
      </c>
      <c r="BB830" t="b">
        <f>+ISNUMBER(SEARCH(CompConta!$F$27,Tabla11[[#This Row],[Cuenta]],1))</f>
        <v>1</v>
      </c>
      <c r="BC830" t="b">
        <f>+ISNUMBER(SEARCH(CompConta!$F$28,Tabla11[[#This Row],[Cuenta]],1))</f>
        <v>1</v>
      </c>
      <c r="BD830" t="b">
        <f>+ISNUMBER(SEARCH(CompConta!$F$29,Tabla11[[#This Row],[Cuenta]],1))</f>
        <v>1</v>
      </c>
      <c r="BE830" t="b">
        <f>+ISNUMBER(SEARCH(CompConta!$F$30,Tabla11[[#This Row],[Cuenta]],1))</f>
        <v>1</v>
      </c>
      <c r="BF830" t="b">
        <f>+ISNUMBER(SEARCH('PAGO Compras'!$E$11,Tabla11[[#This Row],[Cuenta]],1))</f>
        <v>1</v>
      </c>
      <c r="BG830" t="b">
        <f>+ISNUMBER(SEARCH(#REF!,Tabla11[[#This Row],[Cuenta]],1))</f>
        <v>0</v>
      </c>
      <c r="BH830" t="b">
        <f>+ISNUMBER(SEARCH(#REF!,Tabla11[[#This Row],[Cuenta]],1))</f>
        <v>0</v>
      </c>
      <c r="BI830" t="b">
        <f>+ISNUMBER(SEARCH(#REF!,Tabla11[[#This Row],[Cuenta]],1))</f>
        <v>0</v>
      </c>
      <c r="BJ830" t="b">
        <f>+ISNUMBER(SEARCH(#REF!,Tabla11[[#This Row],[Cuenta]],1))</f>
        <v>0</v>
      </c>
      <c r="BS830" t="str">
        <v>512040 Flota y equipo de transporte</v>
      </c>
      <c r="BT830" t="str">
        <v>512040 Flota y equipo de transporte</v>
      </c>
      <c r="BU830" t="str">
        <v>512040 Flota y equipo de transporte</v>
      </c>
      <c r="BV830" t="str">
        <v>512040 Flota y equipo de transporte</v>
      </c>
      <c r="BZ830" t="str">
        <v>512040 Flota y equipo de transporte</v>
      </c>
      <c r="CA830" t="str">
        <v>512040 Flota y equipo de transporte</v>
      </c>
      <c r="CB830" t="str">
        <v>512040 Flota y equipo de transporte</v>
      </c>
      <c r="CC830" t="str">
        <v>512040 Flota y equipo de transporte</v>
      </c>
      <c r="CD830" t="str">
        <v>512040 Flota y equipo de transporte</v>
      </c>
      <c r="CE830" t="str">
        <v>512040 Flota y equipo de transporte</v>
      </c>
      <c r="CS830" s="141" t="str">
        <v>512040 Flota y equipo de transporte</v>
      </c>
      <c r="CT830" s="141" t="str">
        <v>512040 Flota y equipo de transporte</v>
      </c>
      <c r="CU830" s="141" t="str">
        <v>512040 Flota y equipo de transporte</v>
      </c>
      <c r="CV830" s="141" t="str">
        <v>512040 Flota y equipo de transporte</v>
      </c>
      <c r="CW830" s="141" t="str">
        <v>512040 Flota y equipo de transporte</v>
      </c>
      <c r="CX830" s="141" t="str">
        <v>512040 Flota y equipo de transporte</v>
      </c>
      <c r="CY830" s="141" t="str">
        <v>512040 Flota y equipo de transporte</v>
      </c>
      <c r="CZ830" s="141" t="str">
        <v>512040 Flota y equipo de transporte</v>
      </c>
      <c r="DA830" s="141" t="str">
        <v>512040 Flota y equipo de transporte</v>
      </c>
      <c r="DF830" t="str">
        <v>512040 Flota y equipo de transporte</v>
      </c>
      <c r="DG830" t="str">
        <v>512040 Flota y equipo de transporte</v>
      </c>
      <c r="DH830" t="str">
        <v>512040 Flota y equipo de transporte</v>
      </c>
      <c r="DI830" t="str">
        <v>512040 Flota y equipo de transporte</v>
      </c>
      <c r="DJ830" t="str">
        <v>512040 Flota y equipo de transporte</v>
      </c>
      <c r="DK830" t="str">
        <v>512040 Flota y equipo de transporte</v>
      </c>
      <c r="DL830" t="str">
        <v>512040 Flota y equipo de transporte</v>
      </c>
      <c r="DM830" t="str">
        <v>512040 Flota y equipo de transporte</v>
      </c>
      <c r="DN830" t="str">
        <v>512040 Flota y equipo de transporte</v>
      </c>
      <c r="DO830" t="str">
        <v>512040 Flota y equipo de transporte</v>
      </c>
      <c r="DP830" t="str">
        <v>512040 Flota y equipo de transporte</v>
      </c>
    </row>
    <row r="831" spans="4:120" ht="12.75">
      <c r="D831" s="7">
        <v>512045</v>
      </c>
      <c r="E831" s="6" t="s">
        <v>134</v>
      </c>
      <c r="F831" s="5">
        <v>4</v>
      </c>
      <c r="G831" s="34" t="s">
        <v>830</v>
      </c>
      <c r="H831" s="8" t="s">
        <v>32</v>
      </c>
      <c r="I831" t="b">
        <f>+ISNUMBER(SEARCH('F-COMPRA'!$F$28,Tabla11[[#This Row],[Cuenta]],1))</f>
        <v>1</v>
      </c>
      <c r="J831" t="b">
        <f>+ISNUMBER(SEARCH('F-COMPRA'!$F$29,Tabla11[[#This Row],[Cuenta]],1))</f>
        <v>1</v>
      </c>
      <c r="K831" t="b">
        <f>+ISNUMBER(SEARCH('F-COMPRA'!$F$30,Tabla11[[#This Row],[Cuenta]],1))</f>
        <v>1</v>
      </c>
      <c r="L831" t="b">
        <f>+ISNUMBER(SEARCH('F-COMPRA'!$F$31,Tabla11[[#This Row],[Cuenta]],1))</f>
        <v>1</v>
      </c>
      <c r="M831" t="b">
        <f>+ISNUMBER(SEARCH('F-COMPRA'!$G$25,Tabla11[[#This Row],[Cuenta]],1))</f>
        <v>0</v>
      </c>
      <c r="N831" t="b">
        <f>+ISNUMBER(SEARCH(#REF!,Tabla11[[#This Row],[Cuenta]],1))</f>
        <v>0</v>
      </c>
      <c r="O831" t="b">
        <f>+ISNUMBER(SEARCH(#REF!,Tabla11[[#This Row],[Cuenta]],1))</f>
        <v>0</v>
      </c>
      <c r="P831" t="b">
        <f>+ISNUMBER(SEARCH('F-COMPRA'!$F$32,Tabla11[[#This Row],[Cuenta]],1))</f>
        <v>1</v>
      </c>
      <c r="Q831" t="b">
        <f>+ISNUMBER(SEARCH('F-COMPRA'!$F$33,Tabla11[[#This Row],[Cuenta]],1))</f>
        <v>1</v>
      </c>
      <c r="R831" t="b">
        <f>+ISNUMBER(SEARCH('F-COMPRA'!$F$34,Tabla11[[#This Row],[Cuenta]],1))</f>
        <v>1</v>
      </c>
      <c r="S831" t="b">
        <f>+ISNUMBER(SEARCH('F-COMPRA'!$F$35,Tabla11[[#This Row],[Cuenta]],1))</f>
        <v>1</v>
      </c>
      <c r="T831" t="b">
        <f>+ISNUMBER(SEARCH('F-COMPRA'!$F$36,Tabla11[[#This Row],[Cuenta]],1))</f>
        <v>1</v>
      </c>
      <c r="U831" t="b">
        <f>+ISNUMBER(SEARCH('F-COMPRA'!$F$37,Tabla11[[#This Row],[Cuenta]],1))</f>
        <v>1</v>
      </c>
      <c r="V831" t="b">
        <f>+ISNUMBER(SEARCH(#REF!,Tabla11[[#This Row],[Cuenta]],1))</f>
        <v>0</v>
      </c>
      <c r="W831" t="b">
        <f>+ISNUMBER(SEARCH('F-COMPRA'!#REF!,Tabla11[[#This Row],[Cuenta]],1))</f>
        <v>0</v>
      </c>
      <c r="X831" t="b">
        <f>+ISNUMBER(SEARCH('F-COMPRA'!#REF!,Tabla11[[#This Row],[Cuenta]],1))</f>
        <v>0</v>
      </c>
      <c r="Y831" t="b">
        <f>+ISNUMBER(SEARCH('F-COMPRA'!#REF!,Tabla11[[#This Row],[Cuenta]],1))</f>
        <v>0</v>
      </c>
      <c r="Z831" t="b">
        <f>+ISNUMBER(SEARCH('F-COMPRA'!#REF!,Tabla11[[#This Row],[Cuenta]],1))</f>
        <v>0</v>
      </c>
      <c r="AA831" t="b">
        <f>+ISNUMBER(SEARCH('F-COMPRA'!#REF!,Tabla11[[#This Row],[Cuenta]],1))</f>
        <v>0</v>
      </c>
      <c r="AB831" t="b">
        <f>+ISNUMBER(SEARCH('F-COMPRA'!#REF!,Tabla11[[#This Row],[Cuenta]],1))</f>
        <v>0</v>
      </c>
      <c r="AC831" t="b">
        <f>+ISNUMBER(SEARCH('F-COMPRA'!#REF!,Tabla11[[#This Row],[Cuenta]],1))</f>
        <v>0</v>
      </c>
      <c r="AD831" t="b">
        <f>+ISNUMBER(SEARCH('F-COMPRA'!#REF!,Tabla11[[#This Row],[Cuenta]],1))</f>
        <v>0</v>
      </c>
      <c r="AE831" t="b">
        <f>+ISNUMBER(SEARCH('F-COMPRA'!#REF!,Tabla11[[#This Row],[Cuenta]],1))</f>
        <v>0</v>
      </c>
      <c r="AF831" t="b">
        <f>+ISNUMBER(SEARCH('F-VTA'!$G$23,Tabla11[[#This Row],[Cuenta]],1))</f>
        <v>0</v>
      </c>
      <c r="AG831" t="b">
        <f>+ISNUMBER(SEARCH('F-VTA'!$G$24,Tabla11[[#This Row],[Cuenta]],1))</f>
        <v>0</v>
      </c>
      <c r="AH831" t="b">
        <f>+ISNUMBER(SEARCH('F-VTA'!$G$25,Tabla11[[#This Row],[Cuenta]],1))</f>
        <v>0</v>
      </c>
      <c r="AI831" t="b">
        <f>+ISNUMBER(SEARCH('F-VTA'!$F$28,Tabla11[[#This Row],[Cuenta]],1))</f>
        <v>1</v>
      </c>
      <c r="AJ831" t="b">
        <f>+ISNUMBER(SEARCH('F-VTA'!$F$29,Tabla11[[#This Row],[Cuenta]],1))</f>
        <v>1</v>
      </c>
      <c r="AK831" t="b">
        <f>+ISNUMBER(SEARCH('F-VTA'!$F$30,Tabla11[[#This Row],[Cuenta]],1))</f>
        <v>1</v>
      </c>
      <c r="AL831" t="b">
        <f>+ISNUMBER(SEARCH('F-VTA'!$F$31,Tabla11[[#This Row],[Cuenta]],1))</f>
        <v>1</v>
      </c>
      <c r="AM831" t="b">
        <f>+ISNUMBER(SEARCH('F-VTA'!$F$32,Tabla11[[#This Row],[Cuenta]],1))</f>
        <v>1</v>
      </c>
      <c r="AN831" t="b">
        <f>+ISNUMBER(SEARCH('F-VTA'!$F$33,Tabla11[[#This Row],[Cuenta]],1))</f>
        <v>1</v>
      </c>
      <c r="AO831" t="b">
        <f>+ISNUMBER(SEARCH('F-VTA'!$F$34,Tabla11[[#This Row],[Cuenta]],1))</f>
        <v>1</v>
      </c>
      <c r="AP831" t="b">
        <f>+ISNUMBER(SEARCH('F-VTA'!$F$35,Tabla11[[#This Row],[Cuenta]],1))</f>
        <v>1</v>
      </c>
      <c r="AQ831" t="b">
        <f>+ISNUMBER(SEARCH('F-VTA'!$F$36,Tabla11[[#This Row],[Cuenta]],1))</f>
        <v>1</v>
      </c>
      <c r="AR831" t="b">
        <f>+ISNUMBER(SEARCH(#REF!,Tabla11[[#This Row],[Cuenta]],1))</f>
        <v>0</v>
      </c>
      <c r="AS831" t="b">
        <f>+ISNUMBER(SEARCH(#REF!,Tabla11[[#This Row],[Cuenta]],1))</f>
        <v>0</v>
      </c>
      <c r="AT831" t="b">
        <f>+ISNUMBER(SEARCH(#REF!,Tabla11[[#This Row],[Cuenta]],1))</f>
        <v>0</v>
      </c>
      <c r="AU831" t="b">
        <f>+ISNUMBER(SEARCH('Conc. Ban.1'!$I$9,Tabla11[[#This Row],[Cuenta]],1))</f>
        <v>0</v>
      </c>
      <c r="AV831" t="b">
        <f>+ISNUMBER(SEARCH(CompConta!$F$21,Tabla11[[#This Row],[Cuenta]],1))</f>
        <v>1</v>
      </c>
      <c r="AW831" t="b">
        <f>+ISNUMBER(SEARCH(CompConta!$F$22,Tabla11[[#This Row],[Cuenta]],1))</f>
        <v>1</v>
      </c>
      <c r="AX831" t="b">
        <f>+ISNUMBER(SEARCH(CompConta!$F$23,Tabla11[[#This Row],[Cuenta]],1))</f>
        <v>1</v>
      </c>
      <c r="AY831" t="b">
        <f>+ISNUMBER(SEARCH(CompConta!$F$24,Tabla11[[#This Row],[Cuenta]],1))</f>
        <v>1</v>
      </c>
      <c r="AZ831" t="b">
        <f>+ISNUMBER(SEARCH(CompConta!$F$25,Tabla11[[#This Row],[Cuenta]],1))</f>
        <v>1</v>
      </c>
      <c r="BA831" t="b">
        <f>+ISNUMBER(SEARCH(CompConta!$F$26,Tabla11[[#This Row],[Cuenta]],1))</f>
        <v>1</v>
      </c>
      <c r="BB831" t="b">
        <f>+ISNUMBER(SEARCH(CompConta!$F$27,Tabla11[[#This Row],[Cuenta]],1))</f>
        <v>1</v>
      </c>
      <c r="BC831" t="b">
        <f>+ISNUMBER(SEARCH(CompConta!$F$28,Tabla11[[#This Row],[Cuenta]],1))</f>
        <v>1</v>
      </c>
      <c r="BD831" t="b">
        <f>+ISNUMBER(SEARCH(CompConta!$F$29,Tabla11[[#This Row],[Cuenta]],1))</f>
        <v>1</v>
      </c>
      <c r="BE831" t="b">
        <f>+ISNUMBER(SEARCH(CompConta!$F$30,Tabla11[[#This Row],[Cuenta]],1))</f>
        <v>1</v>
      </c>
      <c r="BF831" t="b">
        <f>+ISNUMBER(SEARCH('PAGO Compras'!$E$11,Tabla11[[#This Row],[Cuenta]],1))</f>
        <v>1</v>
      </c>
      <c r="BG831" t="b">
        <f>+ISNUMBER(SEARCH(#REF!,Tabla11[[#This Row],[Cuenta]],1))</f>
        <v>0</v>
      </c>
      <c r="BH831" t="b">
        <f>+ISNUMBER(SEARCH(#REF!,Tabla11[[#This Row],[Cuenta]],1))</f>
        <v>0</v>
      </c>
      <c r="BI831" t="b">
        <f>+ISNUMBER(SEARCH(#REF!,Tabla11[[#This Row],[Cuenta]],1))</f>
        <v>0</v>
      </c>
      <c r="BJ831" t="b">
        <f>+ISNUMBER(SEARCH(#REF!,Tabla11[[#This Row],[Cuenta]],1))</f>
        <v>0</v>
      </c>
      <c r="BS831" t="str">
        <v>512045 Flota y equipo fluvial y/o marítimo</v>
      </c>
      <c r="BT831" t="str">
        <v>512045 Flota y equipo fluvial y/o marítimo</v>
      </c>
      <c r="BU831" t="str">
        <v>512045 Flota y equipo fluvial y/o marítimo</v>
      </c>
      <c r="BV831" t="str">
        <v>512045 Flota y equipo fluvial y/o marítimo</v>
      </c>
      <c r="BZ831" t="str">
        <v>512045 Flota y equipo fluvial y/o marítimo</v>
      </c>
      <c r="CA831" t="str">
        <v>512045 Flota y equipo fluvial y/o marítimo</v>
      </c>
      <c r="CB831" t="str">
        <v>512045 Flota y equipo fluvial y/o marítimo</v>
      </c>
      <c r="CC831" t="str">
        <v>512045 Flota y equipo fluvial y/o marítimo</v>
      </c>
      <c r="CD831" t="str">
        <v>512045 Flota y equipo fluvial y/o marítimo</v>
      </c>
      <c r="CE831" t="str">
        <v>512045 Flota y equipo fluvial y/o marítimo</v>
      </c>
      <c r="CS831" s="141" t="str">
        <v>512045 Flota y equipo fluvial y/o marítimo</v>
      </c>
      <c r="CT831" s="141" t="str">
        <v>512045 Flota y equipo fluvial y/o marítimo</v>
      </c>
      <c r="CU831" s="141" t="str">
        <v>512045 Flota y equipo fluvial y/o marítimo</v>
      </c>
      <c r="CV831" s="141" t="str">
        <v>512045 Flota y equipo fluvial y/o marítimo</v>
      </c>
      <c r="CW831" s="141" t="str">
        <v>512045 Flota y equipo fluvial y/o marítimo</v>
      </c>
      <c r="CX831" s="141" t="str">
        <v>512045 Flota y equipo fluvial y/o marítimo</v>
      </c>
      <c r="CY831" s="141" t="str">
        <v>512045 Flota y equipo fluvial y/o marítimo</v>
      </c>
      <c r="CZ831" s="141" t="str">
        <v>512045 Flota y equipo fluvial y/o marítimo</v>
      </c>
      <c r="DA831" s="141" t="str">
        <v>512045 Flota y equipo fluvial y/o marítimo</v>
      </c>
      <c r="DF831" t="str">
        <v>512045 Flota y equipo fluvial y/o marítimo</v>
      </c>
      <c r="DG831" t="str">
        <v>512045 Flota y equipo fluvial y/o marítimo</v>
      </c>
      <c r="DH831" t="str">
        <v>512045 Flota y equipo fluvial y/o marítimo</v>
      </c>
      <c r="DI831" t="str">
        <v>512045 Flota y equipo fluvial y/o marítimo</v>
      </c>
      <c r="DJ831" t="str">
        <v>512045 Flota y equipo fluvial y/o marítimo</v>
      </c>
      <c r="DK831" t="str">
        <v>512045 Flota y equipo fluvial y/o marítimo</v>
      </c>
      <c r="DL831" t="str">
        <v>512045 Flota y equipo fluvial y/o marítimo</v>
      </c>
      <c r="DM831" t="str">
        <v>512045 Flota y equipo fluvial y/o marítimo</v>
      </c>
      <c r="DN831" t="str">
        <v>512045 Flota y equipo fluvial y/o marítimo</v>
      </c>
      <c r="DO831" t="str">
        <v>512045 Flota y equipo fluvial y/o marítimo</v>
      </c>
      <c r="DP831" t="str">
        <v>512045 Flota y equipo fluvial y/o marítimo</v>
      </c>
    </row>
    <row r="832" spans="4:120" ht="12.75">
      <c r="D832" s="7">
        <v>512095</v>
      </c>
      <c r="E832" s="6" t="s">
        <v>45</v>
      </c>
      <c r="F832" s="5">
        <v>4</v>
      </c>
      <c r="G832" s="34" t="s">
        <v>830</v>
      </c>
      <c r="H832" s="8" t="s">
        <v>32</v>
      </c>
      <c r="I832" t="b">
        <f>+ISNUMBER(SEARCH('F-COMPRA'!$F$28,Tabla11[[#This Row],[Cuenta]],1))</f>
        <v>1</v>
      </c>
      <c r="J832" t="b">
        <f>+ISNUMBER(SEARCH('F-COMPRA'!$F$29,Tabla11[[#This Row],[Cuenta]],1))</f>
        <v>1</v>
      </c>
      <c r="K832" t="b">
        <f>+ISNUMBER(SEARCH('F-COMPRA'!$F$30,Tabla11[[#This Row],[Cuenta]],1))</f>
        <v>1</v>
      </c>
      <c r="L832" t="b">
        <f>+ISNUMBER(SEARCH('F-COMPRA'!$F$31,Tabla11[[#This Row],[Cuenta]],1))</f>
        <v>1</v>
      </c>
      <c r="M832" t="b">
        <f>+ISNUMBER(SEARCH('F-COMPRA'!$G$25,Tabla11[[#This Row],[Cuenta]],1))</f>
        <v>0</v>
      </c>
      <c r="N832" t="b">
        <f>+ISNUMBER(SEARCH(#REF!,Tabla11[[#This Row],[Cuenta]],1))</f>
        <v>0</v>
      </c>
      <c r="O832" t="b">
        <f>+ISNUMBER(SEARCH(#REF!,Tabla11[[#This Row],[Cuenta]],1))</f>
        <v>0</v>
      </c>
      <c r="P832" t="b">
        <f>+ISNUMBER(SEARCH('F-COMPRA'!$F$32,Tabla11[[#This Row],[Cuenta]],1))</f>
        <v>1</v>
      </c>
      <c r="Q832" t="b">
        <f>+ISNUMBER(SEARCH('F-COMPRA'!$F$33,Tabla11[[#This Row],[Cuenta]],1))</f>
        <v>1</v>
      </c>
      <c r="R832" t="b">
        <f>+ISNUMBER(SEARCH('F-COMPRA'!$F$34,Tabla11[[#This Row],[Cuenta]],1))</f>
        <v>1</v>
      </c>
      <c r="S832" t="b">
        <f>+ISNUMBER(SEARCH('F-COMPRA'!$F$35,Tabla11[[#This Row],[Cuenta]],1))</f>
        <v>1</v>
      </c>
      <c r="T832" t="b">
        <f>+ISNUMBER(SEARCH('F-COMPRA'!$F$36,Tabla11[[#This Row],[Cuenta]],1))</f>
        <v>1</v>
      </c>
      <c r="U832" t="b">
        <f>+ISNUMBER(SEARCH('F-COMPRA'!$F$37,Tabla11[[#This Row],[Cuenta]],1))</f>
        <v>1</v>
      </c>
      <c r="V832" t="b">
        <f>+ISNUMBER(SEARCH(#REF!,Tabla11[[#This Row],[Cuenta]],1))</f>
        <v>0</v>
      </c>
      <c r="W832" t="b">
        <f>+ISNUMBER(SEARCH('F-COMPRA'!#REF!,Tabla11[[#This Row],[Cuenta]],1))</f>
        <v>0</v>
      </c>
      <c r="X832" t="b">
        <f>+ISNUMBER(SEARCH('F-COMPRA'!#REF!,Tabla11[[#This Row],[Cuenta]],1))</f>
        <v>0</v>
      </c>
      <c r="Y832" t="b">
        <f>+ISNUMBER(SEARCH('F-COMPRA'!#REF!,Tabla11[[#This Row],[Cuenta]],1))</f>
        <v>0</v>
      </c>
      <c r="Z832" t="b">
        <f>+ISNUMBER(SEARCH('F-COMPRA'!#REF!,Tabla11[[#This Row],[Cuenta]],1))</f>
        <v>0</v>
      </c>
      <c r="AA832" t="b">
        <f>+ISNUMBER(SEARCH('F-COMPRA'!#REF!,Tabla11[[#This Row],[Cuenta]],1))</f>
        <v>0</v>
      </c>
      <c r="AB832" t="b">
        <f>+ISNUMBER(SEARCH('F-COMPRA'!#REF!,Tabla11[[#This Row],[Cuenta]],1))</f>
        <v>0</v>
      </c>
      <c r="AC832" t="b">
        <f>+ISNUMBER(SEARCH('F-COMPRA'!#REF!,Tabla11[[#This Row],[Cuenta]],1))</f>
        <v>0</v>
      </c>
      <c r="AD832" t="b">
        <f>+ISNUMBER(SEARCH('F-COMPRA'!#REF!,Tabla11[[#This Row],[Cuenta]],1))</f>
        <v>0</v>
      </c>
      <c r="AE832" t="b">
        <f>+ISNUMBER(SEARCH('F-COMPRA'!#REF!,Tabla11[[#This Row],[Cuenta]],1))</f>
        <v>0</v>
      </c>
      <c r="AF832" t="b">
        <f>+ISNUMBER(SEARCH('F-VTA'!$G$23,Tabla11[[#This Row],[Cuenta]],1))</f>
        <v>0</v>
      </c>
      <c r="AG832" t="b">
        <f>+ISNUMBER(SEARCH('F-VTA'!$G$24,Tabla11[[#This Row],[Cuenta]],1))</f>
        <v>0</v>
      </c>
      <c r="AH832" t="b">
        <f>+ISNUMBER(SEARCH('F-VTA'!$G$25,Tabla11[[#This Row],[Cuenta]],1))</f>
        <v>0</v>
      </c>
      <c r="AI832" t="b">
        <f>+ISNUMBER(SEARCH('F-VTA'!$F$28,Tabla11[[#This Row],[Cuenta]],1))</f>
        <v>1</v>
      </c>
      <c r="AJ832" t="b">
        <f>+ISNUMBER(SEARCH('F-VTA'!$F$29,Tabla11[[#This Row],[Cuenta]],1))</f>
        <v>1</v>
      </c>
      <c r="AK832" t="b">
        <f>+ISNUMBER(SEARCH('F-VTA'!$F$30,Tabla11[[#This Row],[Cuenta]],1))</f>
        <v>1</v>
      </c>
      <c r="AL832" t="b">
        <f>+ISNUMBER(SEARCH('F-VTA'!$F$31,Tabla11[[#This Row],[Cuenta]],1))</f>
        <v>1</v>
      </c>
      <c r="AM832" t="b">
        <f>+ISNUMBER(SEARCH('F-VTA'!$F$32,Tabla11[[#This Row],[Cuenta]],1))</f>
        <v>1</v>
      </c>
      <c r="AN832" t="b">
        <f>+ISNUMBER(SEARCH('F-VTA'!$F$33,Tabla11[[#This Row],[Cuenta]],1))</f>
        <v>1</v>
      </c>
      <c r="AO832" t="b">
        <f>+ISNUMBER(SEARCH('F-VTA'!$F$34,Tabla11[[#This Row],[Cuenta]],1))</f>
        <v>1</v>
      </c>
      <c r="AP832" t="b">
        <f>+ISNUMBER(SEARCH('F-VTA'!$F$35,Tabla11[[#This Row],[Cuenta]],1))</f>
        <v>1</v>
      </c>
      <c r="AQ832" t="b">
        <f>+ISNUMBER(SEARCH('F-VTA'!$F$36,Tabla11[[#This Row],[Cuenta]],1))</f>
        <v>1</v>
      </c>
      <c r="AR832" t="b">
        <f>+ISNUMBER(SEARCH(#REF!,Tabla11[[#This Row],[Cuenta]],1))</f>
        <v>0</v>
      </c>
      <c r="AS832" t="b">
        <f>+ISNUMBER(SEARCH(#REF!,Tabla11[[#This Row],[Cuenta]],1))</f>
        <v>0</v>
      </c>
      <c r="AT832" t="b">
        <f>+ISNUMBER(SEARCH(#REF!,Tabla11[[#This Row],[Cuenta]],1))</f>
        <v>0</v>
      </c>
      <c r="AU832" t="b">
        <f>+ISNUMBER(SEARCH('Conc. Ban.1'!$I$9,Tabla11[[#This Row],[Cuenta]],1))</f>
        <v>0</v>
      </c>
      <c r="AV832" t="b">
        <f>+ISNUMBER(SEARCH(CompConta!$F$21,Tabla11[[#This Row],[Cuenta]],1))</f>
        <v>1</v>
      </c>
      <c r="AW832" t="b">
        <f>+ISNUMBER(SEARCH(CompConta!$F$22,Tabla11[[#This Row],[Cuenta]],1))</f>
        <v>1</v>
      </c>
      <c r="AX832" t="b">
        <f>+ISNUMBER(SEARCH(CompConta!$F$23,Tabla11[[#This Row],[Cuenta]],1))</f>
        <v>1</v>
      </c>
      <c r="AY832" t="b">
        <f>+ISNUMBER(SEARCH(CompConta!$F$24,Tabla11[[#This Row],[Cuenta]],1))</f>
        <v>1</v>
      </c>
      <c r="AZ832" t="b">
        <f>+ISNUMBER(SEARCH(CompConta!$F$25,Tabla11[[#This Row],[Cuenta]],1))</f>
        <v>1</v>
      </c>
      <c r="BA832" t="b">
        <f>+ISNUMBER(SEARCH(CompConta!$F$26,Tabla11[[#This Row],[Cuenta]],1))</f>
        <v>1</v>
      </c>
      <c r="BB832" t="b">
        <f>+ISNUMBER(SEARCH(CompConta!$F$27,Tabla11[[#This Row],[Cuenta]],1))</f>
        <v>1</v>
      </c>
      <c r="BC832" t="b">
        <f>+ISNUMBER(SEARCH(CompConta!$F$28,Tabla11[[#This Row],[Cuenta]],1))</f>
        <v>1</v>
      </c>
      <c r="BD832" t="b">
        <f>+ISNUMBER(SEARCH(CompConta!$F$29,Tabla11[[#This Row],[Cuenta]],1))</f>
        <v>1</v>
      </c>
      <c r="BE832" t="b">
        <f>+ISNUMBER(SEARCH(CompConta!$F$30,Tabla11[[#This Row],[Cuenta]],1))</f>
        <v>1</v>
      </c>
      <c r="BF832" t="b">
        <f>+ISNUMBER(SEARCH('PAGO Compras'!$E$11,Tabla11[[#This Row],[Cuenta]],1))</f>
        <v>1</v>
      </c>
      <c r="BG832" t="b">
        <f>+ISNUMBER(SEARCH(#REF!,Tabla11[[#This Row],[Cuenta]],1))</f>
        <v>0</v>
      </c>
      <c r="BH832" t="b">
        <f>+ISNUMBER(SEARCH(#REF!,Tabla11[[#This Row],[Cuenta]],1))</f>
        <v>0</v>
      </c>
      <c r="BI832" t="b">
        <f>+ISNUMBER(SEARCH(#REF!,Tabla11[[#This Row],[Cuenta]],1))</f>
        <v>0</v>
      </c>
      <c r="BJ832" t="b">
        <f>+ISNUMBER(SEARCH(#REF!,Tabla11[[#This Row],[Cuenta]],1))</f>
        <v>0</v>
      </c>
      <c r="BS832" t="str">
        <v>512095 Otros</v>
      </c>
      <c r="BT832" t="str">
        <v>512095 Otros</v>
      </c>
      <c r="BU832" t="str">
        <v>512095 Otros</v>
      </c>
      <c r="BV832" t="str">
        <v>512095 Otros</v>
      </c>
      <c r="BZ832" t="str">
        <v>512095 Otros</v>
      </c>
      <c r="CA832" t="str">
        <v>512095 Otros</v>
      </c>
      <c r="CB832" t="str">
        <v>512095 Otros</v>
      </c>
      <c r="CC832" t="str">
        <v>512095 Otros</v>
      </c>
      <c r="CD832" t="str">
        <v>512095 Otros</v>
      </c>
      <c r="CE832" t="str">
        <v>512095 Otros</v>
      </c>
      <c r="CS832" s="141" t="str">
        <v>512095 Otros</v>
      </c>
      <c r="CT832" s="141" t="str">
        <v>512095 Otros</v>
      </c>
      <c r="CU832" s="141" t="str">
        <v>512095 Otros</v>
      </c>
      <c r="CV832" s="141" t="str">
        <v>512095 Otros</v>
      </c>
      <c r="CW832" s="141" t="str">
        <v>512095 Otros</v>
      </c>
      <c r="CX832" s="141" t="str">
        <v>512095 Otros</v>
      </c>
      <c r="CY832" s="141" t="str">
        <v>512095 Otros</v>
      </c>
      <c r="CZ832" s="141" t="str">
        <v>512095 Otros</v>
      </c>
      <c r="DA832" s="141" t="str">
        <v>512095 Otros</v>
      </c>
      <c r="DF832" t="str">
        <v>512095 Otros</v>
      </c>
      <c r="DG832" t="str">
        <v>512095 Otros</v>
      </c>
      <c r="DH832" t="str">
        <v>512095 Otros</v>
      </c>
      <c r="DI832" t="str">
        <v>512095 Otros</v>
      </c>
      <c r="DJ832" t="str">
        <v>512095 Otros</v>
      </c>
      <c r="DK832" t="str">
        <v>512095 Otros</v>
      </c>
      <c r="DL832" t="str">
        <v>512095 Otros</v>
      </c>
      <c r="DM832" t="str">
        <v>512095 Otros</v>
      </c>
      <c r="DN832" t="str">
        <v>512095 Otros</v>
      </c>
      <c r="DO832" t="str">
        <v>512095 Otros</v>
      </c>
      <c r="DP832" t="str">
        <v>512095 Otros</v>
      </c>
    </row>
    <row r="833" spans="4:120" ht="12.75">
      <c r="D833" s="7">
        <v>512099</v>
      </c>
      <c r="E833" s="6" t="s">
        <v>93</v>
      </c>
      <c r="F833" s="5">
        <v>4</v>
      </c>
      <c r="G833" s="34" t="s">
        <v>830</v>
      </c>
      <c r="H833" s="8" t="s">
        <v>32</v>
      </c>
      <c r="I833" t="b">
        <f>+ISNUMBER(SEARCH('F-COMPRA'!$F$28,Tabla11[[#This Row],[Cuenta]],1))</f>
        <v>1</v>
      </c>
      <c r="J833" t="b">
        <f>+ISNUMBER(SEARCH('F-COMPRA'!$F$29,Tabla11[[#This Row],[Cuenta]],1))</f>
        <v>1</v>
      </c>
      <c r="K833" t="b">
        <f>+ISNUMBER(SEARCH('F-COMPRA'!$F$30,Tabla11[[#This Row],[Cuenta]],1))</f>
        <v>1</v>
      </c>
      <c r="L833" t="b">
        <f>+ISNUMBER(SEARCH('F-COMPRA'!$F$31,Tabla11[[#This Row],[Cuenta]],1))</f>
        <v>1</v>
      </c>
      <c r="M833" t="b">
        <f>+ISNUMBER(SEARCH('F-COMPRA'!$G$25,Tabla11[[#This Row],[Cuenta]],1))</f>
        <v>0</v>
      </c>
      <c r="N833" t="b">
        <f>+ISNUMBER(SEARCH(#REF!,Tabla11[[#This Row],[Cuenta]],1))</f>
        <v>0</v>
      </c>
      <c r="O833" t="b">
        <f>+ISNUMBER(SEARCH(#REF!,Tabla11[[#This Row],[Cuenta]],1))</f>
        <v>0</v>
      </c>
      <c r="P833" t="b">
        <f>+ISNUMBER(SEARCH('F-COMPRA'!$F$32,Tabla11[[#This Row],[Cuenta]],1))</f>
        <v>1</v>
      </c>
      <c r="Q833" t="b">
        <f>+ISNUMBER(SEARCH('F-COMPRA'!$F$33,Tabla11[[#This Row],[Cuenta]],1))</f>
        <v>1</v>
      </c>
      <c r="R833" t="b">
        <f>+ISNUMBER(SEARCH('F-COMPRA'!$F$34,Tabla11[[#This Row],[Cuenta]],1))</f>
        <v>1</v>
      </c>
      <c r="S833" t="b">
        <f>+ISNUMBER(SEARCH('F-COMPRA'!$F$35,Tabla11[[#This Row],[Cuenta]],1))</f>
        <v>1</v>
      </c>
      <c r="T833" t="b">
        <f>+ISNUMBER(SEARCH('F-COMPRA'!$F$36,Tabla11[[#This Row],[Cuenta]],1))</f>
        <v>1</v>
      </c>
      <c r="U833" t="b">
        <f>+ISNUMBER(SEARCH('F-COMPRA'!$F$37,Tabla11[[#This Row],[Cuenta]],1))</f>
        <v>1</v>
      </c>
      <c r="V833" t="b">
        <f>+ISNUMBER(SEARCH(#REF!,Tabla11[[#This Row],[Cuenta]],1))</f>
        <v>0</v>
      </c>
      <c r="W833" t="b">
        <f>+ISNUMBER(SEARCH('F-COMPRA'!#REF!,Tabla11[[#This Row],[Cuenta]],1))</f>
        <v>0</v>
      </c>
      <c r="X833" t="b">
        <f>+ISNUMBER(SEARCH('F-COMPRA'!#REF!,Tabla11[[#This Row],[Cuenta]],1))</f>
        <v>0</v>
      </c>
      <c r="Y833" t="b">
        <f>+ISNUMBER(SEARCH('F-COMPRA'!#REF!,Tabla11[[#This Row],[Cuenta]],1))</f>
        <v>0</v>
      </c>
      <c r="Z833" t="b">
        <f>+ISNUMBER(SEARCH('F-COMPRA'!#REF!,Tabla11[[#This Row],[Cuenta]],1))</f>
        <v>0</v>
      </c>
      <c r="AA833" t="b">
        <f>+ISNUMBER(SEARCH('F-COMPRA'!#REF!,Tabla11[[#This Row],[Cuenta]],1))</f>
        <v>0</v>
      </c>
      <c r="AB833" t="b">
        <f>+ISNUMBER(SEARCH('F-COMPRA'!#REF!,Tabla11[[#This Row],[Cuenta]],1))</f>
        <v>0</v>
      </c>
      <c r="AC833" t="b">
        <f>+ISNUMBER(SEARCH('F-COMPRA'!#REF!,Tabla11[[#This Row],[Cuenta]],1))</f>
        <v>0</v>
      </c>
      <c r="AD833" t="b">
        <f>+ISNUMBER(SEARCH('F-COMPRA'!#REF!,Tabla11[[#This Row],[Cuenta]],1))</f>
        <v>0</v>
      </c>
      <c r="AE833" t="b">
        <f>+ISNUMBER(SEARCH('F-COMPRA'!#REF!,Tabla11[[#This Row],[Cuenta]],1))</f>
        <v>0</v>
      </c>
      <c r="AF833" t="b">
        <f>+ISNUMBER(SEARCH('F-VTA'!$G$23,Tabla11[[#This Row],[Cuenta]],1))</f>
        <v>0</v>
      </c>
      <c r="AG833" t="b">
        <f>+ISNUMBER(SEARCH('F-VTA'!$G$24,Tabla11[[#This Row],[Cuenta]],1))</f>
        <v>0</v>
      </c>
      <c r="AH833" t="b">
        <f>+ISNUMBER(SEARCH('F-VTA'!$G$25,Tabla11[[#This Row],[Cuenta]],1))</f>
        <v>0</v>
      </c>
      <c r="AI833" t="b">
        <f>+ISNUMBER(SEARCH('F-VTA'!$F$28,Tabla11[[#This Row],[Cuenta]],1))</f>
        <v>1</v>
      </c>
      <c r="AJ833" t="b">
        <f>+ISNUMBER(SEARCH('F-VTA'!$F$29,Tabla11[[#This Row],[Cuenta]],1))</f>
        <v>1</v>
      </c>
      <c r="AK833" t="b">
        <f>+ISNUMBER(SEARCH('F-VTA'!$F$30,Tabla11[[#This Row],[Cuenta]],1))</f>
        <v>1</v>
      </c>
      <c r="AL833" t="b">
        <f>+ISNUMBER(SEARCH('F-VTA'!$F$31,Tabla11[[#This Row],[Cuenta]],1))</f>
        <v>1</v>
      </c>
      <c r="AM833" t="b">
        <f>+ISNUMBER(SEARCH('F-VTA'!$F$32,Tabla11[[#This Row],[Cuenta]],1))</f>
        <v>1</v>
      </c>
      <c r="AN833" t="b">
        <f>+ISNUMBER(SEARCH('F-VTA'!$F$33,Tabla11[[#This Row],[Cuenta]],1))</f>
        <v>1</v>
      </c>
      <c r="AO833" t="b">
        <f>+ISNUMBER(SEARCH('F-VTA'!$F$34,Tabla11[[#This Row],[Cuenta]],1))</f>
        <v>1</v>
      </c>
      <c r="AP833" t="b">
        <f>+ISNUMBER(SEARCH('F-VTA'!$F$35,Tabla11[[#This Row],[Cuenta]],1))</f>
        <v>1</v>
      </c>
      <c r="AQ833" t="b">
        <f>+ISNUMBER(SEARCH('F-VTA'!$F$36,Tabla11[[#This Row],[Cuenta]],1))</f>
        <v>1</v>
      </c>
      <c r="AR833" t="b">
        <f>+ISNUMBER(SEARCH(#REF!,Tabla11[[#This Row],[Cuenta]],1))</f>
        <v>0</v>
      </c>
      <c r="AS833" t="b">
        <f>+ISNUMBER(SEARCH(#REF!,Tabla11[[#This Row],[Cuenta]],1))</f>
        <v>0</v>
      </c>
      <c r="AT833" t="b">
        <f>+ISNUMBER(SEARCH(#REF!,Tabla11[[#This Row],[Cuenta]],1))</f>
        <v>0</v>
      </c>
      <c r="AU833" t="b">
        <f>+ISNUMBER(SEARCH('Conc. Ban.1'!$I$9,Tabla11[[#This Row],[Cuenta]],1))</f>
        <v>0</v>
      </c>
      <c r="AV833" t="b">
        <f>+ISNUMBER(SEARCH(CompConta!$F$21,Tabla11[[#This Row],[Cuenta]],1))</f>
        <v>1</v>
      </c>
      <c r="AW833" t="b">
        <f>+ISNUMBER(SEARCH(CompConta!$F$22,Tabla11[[#This Row],[Cuenta]],1))</f>
        <v>1</v>
      </c>
      <c r="AX833" t="b">
        <f>+ISNUMBER(SEARCH(CompConta!$F$23,Tabla11[[#This Row],[Cuenta]],1))</f>
        <v>1</v>
      </c>
      <c r="AY833" t="b">
        <f>+ISNUMBER(SEARCH(CompConta!$F$24,Tabla11[[#This Row],[Cuenta]],1))</f>
        <v>1</v>
      </c>
      <c r="AZ833" t="b">
        <f>+ISNUMBER(SEARCH(CompConta!$F$25,Tabla11[[#This Row],[Cuenta]],1))</f>
        <v>1</v>
      </c>
      <c r="BA833" t="b">
        <f>+ISNUMBER(SEARCH(CompConta!$F$26,Tabla11[[#This Row],[Cuenta]],1))</f>
        <v>1</v>
      </c>
      <c r="BB833" t="b">
        <f>+ISNUMBER(SEARCH(CompConta!$F$27,Tabla11[[#This Row],[Cuenta]],1))</f>
        <v>1</v>
      </c>
      <c r="BC833" t="b">
        <f>+ISNUMBER(SEARCH(CompConta!$F$28,Tabla11[[#This Row],[Cuenta]],1))</f>
        <v>1</v>
      </c>
      <c r="BD833" t="b">
        <f>+ISNUMBER(SEARCH(CompConta!$F$29,Tabla11[[#This Row],[Cuenta]],1))</f>
        <v>1</v>
      </c>
      <c r="BE833" t="b">
        <f>+ISNUMBER(SEARCH(CompConta!$F$30,Tabla11[[#This Row],[Cuenta]],1))</f>
        <v>1</v>
      </c>
      <c r="BF833" t="b">
        <f>+ISNUMBER(SEARCH('PAGO Compras'!$E$11,Tabla11[[#This Row],[Cuenta]],1))</f>
        <v>1</v>
      </c>
      <c r="BG833" t="b">
        <f>+ISNUMBER(SEARCH(#REF!,Tabla11[[#This Row],[Cuenta]],1))</f>
        <v>0</v>
      </c>
      <c r="BH833" t="b">
        <f>+ISNUMBER(SEARCH(#REF!,Tabla11[[#This Row],[Cuenta]],1))</f>
        <v>0</v>
      </c>
      <c r="BI833" t="b">
        <f>+ISNUMBER(SEARCH(#REF!,Tabla11[[#This Row],[Cuenta]],1))</f>
        <v>0</v>
      </c>
      <c r="BJ833" t="b">
        <f>+ISNUMBER(SEARCH(#REF!,Tabla11[[#This Row],[Cuenta]],1))</f>
        <v>0</v>
      </c>
      <c r="BS833" t="str">
        <v>512099 *Ajustes por inflación</v>
      </c>
      <c r="BT833" t="str">
        <v>512099 *Ajustes por inflación</v>
      </c>
      <c r="BU833" t="str">
        <v>512099 *Ajustes por inflación</v>
      </c>
      <c r="BV833" t="str">
        <v>512099 *Ajustes por inflación</v>
      </c>
      <c r="BZ833" t="str">
        <v>512099 *Ajustes por inflación</v>
      </c>
      <c r="CA833" t="str">
        <v>512099 *Ajustes por inflación</v>
      </c>
      <c r="CB833" t="str">
        <v>512099 *Ajustes por inflación</v>
      </c>
      <c r="CC833" t="str">
        <v>512099 *Ajustes por inflación</v>
      </c>
      <c r="CD833" t="str">
        <v>512099 *Ajustes por inflación</v>
      </c>
      <c r="CE833" t="str">
        <v>512099 *Ajustes por inflación</v>
      </c>
      <c r="CS833" s="141" t="str">
        <v>512099 *Ajustes por inflación</v>
      </c>
      <c r="CT833" s="141" t="str">
        <v>512099 *Ajustes por inflación</v>
      </c>
      <c r="CU833" s="141" t="str">
        <v>512099 *Ajustes por inflación</v>
      </c>
      <c r="CV833" s="141" t="str">
        <v>512099 *Ajustes por inflación</v>
      </c>
      <c r="CW833" s="141" t="str">
        <v>512099 *Ajustes por inflación</v>
      </c>
      <c r="CX833" s="141" t="str">
        <v>512099 *Ajustes por inflación</v>
      </c>
      <c r="CY833" s="141" t="str">
        <v>512099 *Ajustes por inflación</v>
      </c>
      <c r="CZ833" s="141" t="str">
        <v>512099 *Ajustes por inflación</v>
      </c>
      <c r="DA833" s="141" t="str">
        <v>512099 *Ajustes por inflación</v>
      </c>
      <c r="DF833" t="str">
        <v>512099 *Ajustes por inflación</v>
      </c>
      <c r="DG833" t="str">
        <v>512099 *Ajustes por inflación</v>
      </c>
      <c r="DH833" t="str">
        <v>512099 *Ajustes por inflación</v>
      </c>
      <c r="DI833" t="str">
        <v>512099 *Ajustes por inflación</v>
      </c>
      <c r="DJ833" t="str">
        <v>512099 *Ajustes por inflación</v>
      </c>
      <c r="DK833" t="str">
        <v>512099 *Ajustes por inflación</v>
      </c>
      <c r="DL833" t="str">
        <v>512099 *Ajustes por inflación</v>
      </c>
      <c r="DM833" t="str">
        <v>512099 *Ajustes por inflación</v>
      </c>
      <c r="DN833" t="str">
        <v>512099 *Ajustes por inflación</v>
      </c>
      <c r="DO833" t="str">
        <v>512099 *Ajustes por inflación</v>
      </c>
      <c r="DP833" t="str">
        <v>512099 *Ajustes por inflación</v>
      </c>
    </row>
    <row r="834" spans="4:120" ht="12.75">
      <c r="D834" s="7">
        <v>5130</v>
      </c>
      <c r="E834" s="6" t="s">
        <v>572</v>
      </c>
      <c r="F834" s="5">
        <v>3</v>
      </c>
      <c r="G834" s="34" t="s">
        <v>830</v>
      </c>
      <c r="H834" s="8" t="s">
        <v>32</v>
      </c>
      <c r="I834" t="b">
        <f>+ISNUMBER(SEARCH('F-COMPRA'!$F$28,Tabla11[[#This Row],[Cuenta]],1))</f>
        <v>1</v>
      </c>
      <c r="J834" t="b">
        <f>+ISNUMBER(SEARCH('F-COMPRA'!$F$29,Tabla11[[#This Row],[Cuenta]],1))</f>
        <v>1</v>
      </c>
      <c r="K834" t="b">
        <f>+ISNUMBER(SEARCH('F-COMPRA'!$F$30,Tabla11[[#This Row],[Cuenta]],1))</f>
        <v>1</v>
      </c>
      <c r="L834" t="b">
        <f>+ISNUMBER(SEARCH('F-COMPRA'!$F$31,Tabla11[[#This Row],[Cuenta]],1))</f>
        <v>1</v>
      </c>
      <c r="M834" t="b">
        <f>+ISNUMBER(SEARCH('F-COMPRA'!$G$25,Tabla11[[#This Row],[Cuenta]],1))</f>
        <v>0</v>
      </c>
      <c r="N834" t="b">
        <f>+ISNUMBER(SEARCH(#REF!,Tabla11[[#This Row],[Cuenta]],1))</f>
        <v>0</v>
      </c>
      <c r="O834" t="b">
        <f>+ISNUMBER(SEARCH(#REF!,Tabla11[[#This Row],[Cuenta]],1))</f>
        <v>0</v>
      </c>
      <c r="P834" t="b">
        <f>+ISNUMBER(SEARCH('F-COMPRA'!$F$32,Tabla11[[#This Row],[Cuenta]],1))</f>
        <v>1</v>
      </c>
      <c r="Q834" t="b">
        <f>+ISNUMBER(SEARCH('F-COMPRA'!$F$33,Tabla11[[#This Row],[Cuenta]],1))</f>
        <v>1</v>
      </c>
      <c r="R834" t="b">
        <f>+ISNUMBER(SEARCH('F-COMPRA'!$F$34,Tabla11[[#This Row],[Cuenta]],1))</f>
        <v>1</v>
      </c>
      <c r="S834" t="b">
        <f>+ISNUMBER(SEARCH('F-COMPRA'!$F$35,Tabla11[[#This Row],[Cuenta]],1))</f>
        <v>1</v>
      </c>
      <c r="T834" t="b">
        <f>+ISNUMBER(SEARCH('F-COMPRA'!$F$36,Tabla11[[#This Row],[Cuenta]],1))</f>
        <v>1</v>
      </c>
      <c r="U834" t="b">
        <f>+ISNUMBER(SEARCH('F-COMPRA'!$F$37,Tabla11[[#This Row],[Cuenta]],1))</f>
        <v>1</v>
      </c>
      <c r="V834" t="b">
        <f>+ISNUMBER(SEARCH(#REF!,Tabla11[[#This Row],[Cuenta]],1))</f>
        <v>0</v>
      </c>
      <c r="W834" t="b">
        <f>+ISNUMBER(SEARCH('F-COMPRA'!#REF!,Tabla11[[#This Row],[Cuenta]],1))</f>
        <v>0</v>
      </c>
      <c r="X834" t="b">
        <f>+ISNUMBER(SEARCH('F-COMPRA'!#REF!,Tabla11[[#This Row],[Cuenta]],1))</f>
        <v>0</v>
      </c>
      <c r="Y834" t="b">
        <f>+ISNUMBER(SEARCH('F-COMPRA'!#REF!,Tabla11[[#This Row],[Cuenta]],1))</f>
        <v>0</v>
      </c>
      <c r="Z834" t="b">
        <f>+ISNUMBER(SEARCH('F-COMPRA'!#REF!,Tabla11[[#This Row],[Cuenta]],1))</f>
        <v>0</v>
      </c>
      <c r="AA834" t="b">
        <f>+ISNUMBER(SEARCH('F-COMPRA'!#REF!,Tabla11[[#This Row],[Cuenta]],1))</f>
        <v>0</v>
      </c>
      <c r="AB834" t="b">
        <f>+ISNUMBER(SEARCH('F-COMPRA'!#REF!,Tabla11[[#This Row],[Cuenta]],1))</f>
        <v>0</v>
      </c>
      <c r="AC834" t="b">
        <f>+ISNUMBER(SEARCH('F-COMPRA'!#REF!,Tabla11[[#This Row],[Cuenta]],1))</f>
        <v>0</v>
      </c>
      <c r="AD834" t="b">
        <f>+ISNUMBER(SEARCH('F-COMPRA'!#REF!,Tabla11[[#This Row],[Cuenta]],1))</f>
        <v>0</v>
      </c>
      <c r="AE834" t="b">
        <f>+ISNUMBER(SEARCH('F-COMPRA'!#REF!,Tabla11[[#This Row],[Cuenta]],1))</f>
        <v>0</v>
      </c>
      <c r="AF834" t="b">
        <f>+ISNUMBER(SEARCH('F-VTA'!$G$23,Tabla11[[#This Row],[Cuenta]],1))</f>
        <v>0</v>
      </c>
      <c r="AG834" t="b">
        <f>+ISNUMBER(SEARCH('F-VTA'!$G$24,Tabla11[[#This Row],[Cuenta]],1))</f>
        <v>0</v>
      </c>
      <c r="AH834" t="b">
        <f>+ISNUMBER(SEARCH('F-VTA'!$G$25,Tabla11[[#This Row],[Cuenta]],1))</f>
        <v>0</v>
      </c>
      <c r="AI834" t="b">
        <f>+ISNUMBER(SEARCH('F-VTA'!$F$28,Tabla11[[#This Row],[Cuenta]],1))</f>
        <v>1</v>
      </c>
      <c r="AJ834" t="b">
        <f>+ISNUMBER(SEARCH('F-VTA'!$F$29,Tabla11[[#This Row],[Cuenta]],1))</f>
        <v>1</v>
      </c>
      <c r="AK834" t="b">
        <f>+ISNUMBER(SEARCH('F-VTA'!$F$30,Tabla11[[#This Row],[Cuenta]],1))</f>
        <v>1</v>
      </c>
      <c r="AL834" t="b">
        <f>+ISNUMBER(SEARCH('F-VTA'!$F$31,Tabla11[[#This Row],[Cuenta]],1))</f>
        <v>1</v>
      </c>
      <c r="AM834" t="b">
        <f>+ISNUMBER(SEARCH('F-VTA'!$F$32,Tabla11[[#This Row],[Cuenta]],1))</f>
        <v>1</v>
      </c>
      <c r="AN834" t="b">
        <f>+ISNUMBER(SEARCH('F-VTA'!$F$33,Tabla11[[#This Row],[Cuenta]],1))</f>
        <v>1</v>
      </c>
      <c r="AO834" t="b">
        <f>+ISNUMBER(SEARCH('F-VTA'!$F$34,Tabla11[[#This Row],[Cuenta]],1))</f>
        <v>1</v>
      </c>
      <c r="AP834" t="b">
        <f>+ISNUMBER(SEARCH('F-VTA'!$F$35,Tabla11[[#This Row],[Cuenta]],1))</f>
        <v>1</v>
      </c>
      <c r="AQ834" t="b">
        <f>+ISNUMBER(SEARCH('F-VTA'!$F$36,Tabla11[[#This Row],[Cuenta]],1))</f>
        <v>1</v>
      </c>
      <c r="AR834" t="b">
        <f>+ISNUMBER(SEARCH(#REF!,Tabla11[[#This Row],[Cuenta]],1))</f>
        <v>0</v>
      </c>
      <c r="AS834" t="b">
        <f>+ISNUMBER(SEARCH(#REF!,Tabla11[[#This Row],[Cuenta]],1))</f>
        <v>0</v>
      </c>
      <c r="AT834" t="b">
        <f>+ISNUMBER(SEARCH(#REF!,Tabla11[[#This Row],[Cuenta]],1))</f>
        <v>0</v>
      </c>
      <c r="AU834" t="b">
        <f>+ISNUMBER(SEARCH('Conc. Ban.1'!$I$9,Tabla11[[#This Row],[Cuenta]],1))</f>
        <v>0</v>
      </c>
      <c r="AV834" t="b">
        <f>+ISNUMBER(SEARCH(CompConta!$F$21,Tabla11[[#This Row],[Cuenta]],1))</f>
        <v>1</v>
      </c>
      <c r="AW834" t="b">
        <f>+ISNUMBER(SEARCH(CompConta!$F$22,Tabla11[[#This Row],[Cuenta]],1))</f>
        <v>1</v>
      </c>
      <c r="AX834" t="b">
        <f>+ISNUMBER(SEARCH(CompConta!$F$23,Tabla11[[#This Row],[Cuenta]],1))</f>
        <v>1</v>
      </c>
      <c r="AY834" t="b">
        <f>+ISNUMBER(SEARCH(CompConta!$F$24,Tabla11[[#This Row],[Cuenta]],1))</f>
        <v>1</v>
      </c>
      <c r="AZ834" t="b">
        <f>+ISNUMBER(SEARCH(CompConta!$F$25,Tabla11[[#This Row],[Cuenta]],1))</f>
        <v>1</v>
      </c>
      <c r="BA834" t="b">
        <f>+ISNUMBER(SEARCH(CompConta!$F$26,Tabla11[[#This Row],[Cuenta]],1))</f>
        <v>1</v>
      </c>
      <c r="BB834" t="b">
        <f>+ISNUMBER(SEARCH(CompConta!$F$27,Tabla11[[#This Row],[Cuenta]],1))</f>
        <v>1</v>
      </c>
      <c r="BC834" t="b">
        <f>+ISNUMBER(SEARCH(CompConta!$F$28,Tabla11[[#This Row],[Cuenta]],1))</f>
        <v>1</v>
      </c>
      <c r="BD834" t="b">
        <f>+ISNUMBER(SEARCH(CompConta!$F$29,Tabla11[[#This Row],[Cuenta]],1))</f>
        <v>1</v>
      </c>
      <c r="BE834" t="b">
        <f>+ISNUMBER(SEARCH(CompConta!$F$30,Tabla11[[#This Row],[Cuenta]],1))</f>
        <v>1</v>
      </c>
      <c r="BF834" t="b">
        <f>+ISNUMBER(SEARCH('PAGO Compras'!$E$11,Tabla11[[#This Row],[Cuenta]],1))</f>
        <v>1</v>
      </c>
      <c r="BG834" t="b">
        <f>+ISNUMBER(SEARCH(#REF!,Tabla11[[#This Row],[Cuenta]],1))</f>
        <v>0</v>
      </c>
      <c r="BH834" t="b">
        <f>+ISNUMBER(SEARCH(#REF!,Tabla11[[#This Row],[Cuenta]],1))</f>
        <v>0</v>
      </c>
      <c r="BI834" t="b">
        <f>+ISNUMBER(SEARCH(#REF!,Tabla11[[#This Row],[Cuenta]],1))</f>
        <v>0</v>
      </c>
      <c r="BJ834" t="b">
        <f>+ISNUMBER(SEARCH(#REF!,Tabla11[[#This Row],[Cuenta]],1))</f>
        <v>0</v>
      </c>
      <c r="BS834" t="str">
        <v>5130 SEGUROS</v>
      </c>
      <c r="BT834" t="str">
        <v>5130 SEGUROS</v>
      </c>
      <c r="BU834" t="str">
        <v>5130 SEGUROS</v>
      </c>
      <c r="BV834" t="str">
        <v>5130 SEGUROS</v>
      </c>
      <c r="BZ834" t="str">
        <v>5130 SEGUROS</v>
      </c>
      <c r="CA834" t="str">
        <v>5130 SEGUROS</v>
      </c>
      <c r="CB834" t="str">
        <v>5130 SEGUROS</v>
      </c>
      <c r="CC834" t="str">
        <v>5130 SEGUROS</v>
      </c>
      <c r="CD834" t="str">
        <v>5130 SEGUROS</v>
      </c>
      <c r="CE834" t="str">
        <v>5130 SEGUROS</v>
      </c>
      <c r="CS834" s="141" t="str">
        <v>5130 SEGUROS</v>
      </c>
      <c r="CT834" s="141" t="str">
        <v>5130 SEGUROS</v>
      </c>
      <c r="CU834" s="141" t="str">
        <v>5130 SEGUROS</v>
      </c>
      <c r="CV834" s="141" t="str">
        <v>5130 SEGUROS</v>
      </c>
      <c r="CW834" s="141" t="str">
        <v>5130 SEGUROS</v>
      </c>
      <c r="CX834" s="141" t="str">
        <v>5130 SEGUROS</v>
      </c>
      <c r="CY834" s="141" t="str">
        <v>5130 SEGUROS</v>
      </c>
      <c r="CZ834" s="141" t="str">
        <v>5130 SEGUROS</v>
      </c>
      <c r="DA834" s="141" t="str">
        <v>5130 SEGUROS</v>
      </c>
      <c r="DF834" t="str">
        <v>5130 SEGUROS</v>
      </c>
      <c r="DG834" t="str">
        <v>5130 SEGUROS</v>
      </c>
      <c r="DH834" t="str">
        <v>5130 SEGUROS</v>
      </c>
      <c r="DI834" t="str">
        <v>5130 SEGUROS</v>
      </c>
      <c r="DJ834" t="str">
        <v>5130 SEGUROS</v>
      </c>
      <c r="DK834" t="str">
        <v>5130 SEGUROS</v>
      </c>
      <c r="DL834" t="str">
        <v>5130 SEGUROS</v>
      </c>
      <c r="DM834" t="str">
        <v>5130 SEGUROS</v>
      </c>
      <c r="DN834" t="str">
        <v>5130 SEGUROS</v>
      </c>
      <c r="DO834" t="str">
        <v>5130 SEGUROS</v>
      </c>
      <c r="DP834" t="str">
        <v>5130 SEGUROS</v>
      </c>
    </row>
    <row r="835" spans="4:120" ht="12.75">
      <c r="D835" s="7">
        <v>513005</v>
      </c>
      <c r="E835" s="6" t="s">
        <v>573</v>
      </c>
      <c r="F835" s="5">
        <v>4</v>
      </c>
      <c r="G835" s="34" t="s">
        <v>830</v>
      </c>
      <c r="H835" s="8" t="s">
        <v>32</v>
      </c>
      <c r="I835" t="b">
        <f>+ISNUMBER(SEARCH('F-COMPRA'!$F$28,Tabla11[[#This Row],[Cuenta]],1))</f>
        <v>1</v>
      </c>
      <c r="J835" t="b">
        <f>+ISNUMBER(SEARCH('F-COMPRA'!$F$29,Tabla11[[#This Row],[Cuenta]],1))</f>
        <v>1</v>
      </c>
      <c r="K835" t="b">
        <f>+ISNUMBER(SEARCH('F-COMPRA'!$F$30,Tabla11[[#This Row],[Cuenta]],1))</f>
        <v>1</v>
      </c>
      <c r="L835" t="b">
        <f>+ISNUMBER(SEARCH('F-COMPRA'!$F$31,Tabla11[[#This Row],[Cuenta]],1))</f>
        <v>1</v>
      </c>
      <c r="M835" t="b">
        <f>+ISNUMBER(SEARCH('F-COMPRA'!$G$25,Tabla11[[#This Row],[Cuenta]],1))</f>
        <v>0</v>
      </c>
      <c r="N835" t="b">
        <f>+ISNUMBER(SEARCH(#REF!,Tabla11[[#This Row],[Cuenta]],1))</f>
        <v>0</v>
      </c>
      <c r="O835" t="b">
        <f>+ISNUMBER(SEARCH(#REF!,Tabla11[[#This Row],[Cuenta]],1))</f>
        <v>0</v>
      </c>
      <c r="P835" t="b">
        <f>+ISNUMBER(SEARCH('F-COMPRA'!$F$32,Tabla11[[#This Row],[Cuenta]],1))</f>
        <v>1</v>
      </c>
      <c r="Q835" t="b">
        <f>+ISNUMBER(SEARCH('F-COMPRA'!$F$33,Tabla11[[#This Row],[Cuenta]],1))</f>
        <v>1</v>
      </c>
      <c r="R835" t="b">
        <f>+ISNUMBER(SEARCH('F-COMPRA'!$F$34,Tabla11[[#This Row],[Cuenta]],1))</f>
        <v>1</v>
      </c>
      <c r="S835" t="b">
        <f>+ISNUMBER(SEARCH('F-COMPRA'!$F$35,Tabla11[[#This Row],[Cuenta]],1))</f>
        <v>1</v>
      </c>
      <c r="T835" t="b">
        <f>+ISNUMBER(SEARCH('F-COMPRA'!$F$36,Tabla11[[#This Row],[Cuenta]],1))</f>
        <v>1</v>
      </c>
      <c r="U835" t="b">
        <f>+ISNUMBER(SEARCH('F-COMPRA'!$F$37,Tabla11[[#This Row],[Cuenta]],1))</f>
        <v>1</v>
      </c>
      <c r="V835" t="b">
        <f>+ISNUMBER(SEARCH(#REF!,Tabla11[[#This Row],[Cuenta]],1))</f>
        <v>0</v>
      </c>
      <c r="W835" t="b">
        <f>+ISNUMBER(SEARCH('F-COMPRA'!#REF!,Tabla11[[#This Row],[Cuenta]],1))</f>
        <v>0</v>
      </c>
      <c r="X835" t="b">
        <f>+ISNUMBER(SEARCH('F-COMPRA'!#REF!,Tabla11[[#This Row],[Cuenta]],1))</f>
        <v>0</v>
      </c>
      <c r="Y835" t="b">
        <f>+ISNUMBER(SEARCH('F-COMPRA'!#REF!,Tabla11[[#This Row],[Cuenta]],1))</f>
        <v>0</v>
      </c>
      <c r="Z835" t="b">
        <f>+ISNUMBER(SEARCH('F-COMPRA'!#REF!,Tabla11[[#This Row],[Cuenta]],1))</f>
        <v>0</v>
      </c>
      <c r="AA835" t="b">
        <f>+ISNUMBER(SEARCH('F-COMPRA'!#REF!,Tabla11[[#This Row],[Cuenta]],1))</f>
        <v>0</v>
      </c>
      <c r="AB835" t="b">
        <f>+ISNUMBER(SEARCH('F-COMPRA'!#REF!,Tabla11[[#This Row],[Cuenta]],1))</f>
        <v>0</v>
      </c>
      <c r="AC835" t="b">
        <f>+ISNUMBER(SEARCH('F-COMPRA'!#REF!,Tabla11[[#This Row],[Cuenta]],1))</f>
        <v>0</v>
      </c>
      <c r="AD835" t="b">
        <f>+ISNUMBER(SEARCH('F-COMPRA'!#REF!,Tabla11[[#This Row],[Cuenta]],1))</f>
        <v>0</v>
      </c>
      <c r="AE835" t="b">
        <f>+ISNUMBER(SEARCH('F-COMPRA'!#REF!,Tabla11[[#This Row],[Cuenta]],1))</f>
        <v>0</v>
      </c>
      <c r="AF835" t="b">
        <f>+ISNUMBER(SEARCH('F-VTA'!$G$23,Tabla11[[#This Row],[Cuenta]],1))</f>
        <v>0</v>
      </c>
      <c r="AG835" t="b">
        <f>+ISNUMBER(SEARCH('F-VTA'!$G$24,Tabla11[[#This Row],[Cuenta]],1))</f>
        <v>0</v>
      </c>
      <c r="AH835" t="b">
        <f>+ISNUMBER(SEARCH('F-VTA'!$G$25,Tabla11[[#This Row],[Cuenta]],1))</f>
        <v>0</v>
      </c>
      <c r="AI835" t="b">
        <f>+ISNUMBER(SEARCH('F-VTA'!$F$28,Tabla11[[#This Row],[Cuenta]],1))</f>
        <v>1</v>
      </c>
      <c r="AJ835" t="b">
        <f>+ISNUMBER(SEARCH('F-VTA'!$F$29,Tabla11[[#This Row],[Cuenta]],1))</f>
        <v>1</v>
      </c>
      <c r="AK835" t="b">
        <f>+ISNUMBER(SEARCH('F-VTA'!$F$30,Tabla11[[#This Row],[Cuenta]],1))</f>
        <v>1</v>
      </c>
      <c r="AL835" t="b">
        <f>+ISNUMBER(SEARCH('F-VTA'!$F$31,Tabla11[[#This Row],[Cuenta]],1))</f>
        <v>1</v>
      </c>
      <c r="AM835" t="b">
        <f>+ISNUMBER(SEARCH('F-VTA'!$F$32,Tabla11[[#This Row],[Cuenta]],1))</f>
        <v>1</v>
      </c>
      <c r="AN835" t="b">
        <f>+ISNUMBER(SEARCH('F-VTA'!$F$33,Tabla11[[#This Row],[Cuenta]],1))</f>
        <v>1</v>
      </c>
      <c r="AO835" t="b">
        <f>+ISNUMBER(SEARCH('F-VTA'!$F$34,Tabla11[[#This Row],[Cuenta]],1))</f>
        <v>1</v>
      </c>
      <c r="AP835" t="b">
        <f>+ISNUMBER(SEARCH('F-VTA'!$F$35,Tabla11[[#This Row],[Cuenta]],1))</f>
        <v>1</v>
      </c>
      <c r="AQ835" t="b">
        <f>+ISNUMBER(SEARCH('F-VTA'!$F$36,Tabla11[[#This Row],[Cuenta]],1))</f>
        <v>1</v>
      </c>
      <c r="AR835" t="b">
        <f>+ISNUMBER(SEARCH(#REF!,Tabla11[[#This Row],[Cuenta]],1))</f>
        <v>0</v>
      </c>
      <c r="AS835" t="b">
        <f>+ISNUMBER(SEARCH(#REF!,Tabla11[[#This Row],[Cuenta]],1))</f>
        <v>0</v>
      </c>
      <c r="AT835" t="b">
        <f>+ISNUMBER(SEARCH(#REF!,Tabla11[[#This Row],[Cuenta]],1))</f>
        <v>0</v>
      </c>
      <c r="AU835" t="b">
        <f>+ISNUMBER(SEARCH('Conc. Ban.1'!$I$9,Tabla11[[#This Row],[Cuenta]],1))</f>
        <v>0</v>
      </c>
      <c r="AV835" t="b">
        <f>+ISNUMBER(SEARCH(CompConta!$F$21,Tabla11[[#This Row],[Cuenta]],1))</f>
        <v>1</v>
      </c>
      <c r="AW835" t="b">
        <f>+ISNUMBER(SEARCH(CompConta!$F$22,Tabla11[[#This Row],[Cuenta]],1))</f>
        <v>1</v>
      </c>
      <c r="AX835" t="b">
        <f>+ISNUMBER(SEARCH(CompConta!$F$23,Tabla11[[#This Row],[Cuenta]],1))</f>
        <v>1</v>
      </c>
      <c r="AY835" t="b">
        <f>+ISNUMBER(SEARCH(CompConta!$F$24,Tabla11[[#This Row],[Cuenta]],1))</f>
        <v>1</v>
      </c>
      <c r="AZ835" t="b">
        <f>+ISNUMBER(SEARCH(CompConta!$F$25,Tabla11[[#This Row],[Cuenta]],1))</f>
        <v>1</v>
      </c>
      <c r="BA835" t="b">
        <f>+ISNUMBER(SEARCH(CompConta!$F$26,Tabla11[[#This Row],[Cuenta]],1))</f>
        <v>1</v>
      </c>
      <c r="BB835" t="b">
        <f>+ISNUMBER(SEARCH(CompConta!$F$27,Tabla11[[#This Row],[Cuenta]],1))</f>
        <v>1</v>
      </c>
      <c r="BC835" t="b">
        <f>+ISNUMBER(SEARCH(CompConta!$F$28,Tabla11[[#This Row],[Cuenta]],1))</f>
        <v>1</v>
      </c>
      <c r="BD835" t="b">
        <f>+ISNUMBER(SEARCH(CompConta!$F$29,Tabla11[[#This Row],[Cuenta]],1))</f>
        <v>1</v>
      </c>
      <c r="BE835" t="b">
        <f>+ISNUMBER(SEARCH(CompConta!$F$30,Tabla11[[#This Row],[Cuenta]],1))</f>
        <v>1</v>
      </c>
      <c r="BF835" t="b">
        <f>+ISNUMBER(SEARCH('PAGO Compras'!$E$11,Tabla11[[#This Row],[Cuenta]],1))</f>
        <v>1</v>
      </c>
      <c r="BG835" t="b">
        <f>+ISNUMBER(SEARCH(#REF!,Tabla11[[#This Row],[Cuenta]],1))</f>
        <v>0</v>
      </c>
      <c r="BH835" t="b">
        <f>+ISNUMBER(SEARCH(#REF!,Tabla11[[#This Row],[Cuenta]],1))</f>
        <v>0</v>
      </c>
      <c r="BI835" t="b">
        <f>+ISNUMBER(SEARCH(#REF!,Tabla11[[#This Row],[Cuenta]],1))</f>
        <v>0</v>
      </c>
      <c r="BJ835" t="b">
        <f>+ISNUMBER(SEARCH(#REF!,Tabla11[[#This Row],[Cuenta]],1))</f>
        <v>0</v>
      </c>
      <c r="BS835" t="str">
        <v>513005 Manejo</v>
      </c>
      <c r="BT835" t="str">
        <v>513005 Manejo</v>
      </c>
      <c r="BU835" t="str">
        <v>513005 Manejo</v>
      </c>
      <c r="BV835" t="str">
        <v>513005 Manejo</v>
      </c>
      <c r="BZ835" t="str">
        <v>513005 Manejo</v>
      </c>
      <c r="CA835" t="str">
        <v>513005 Manejo</v>
      </c>
      <c r="CB835" t="str">
        <v>513005 Manejo</v>
      </c>
      <c r="CC835" t="str">
        <v>513005 Manejo</v>
      </c>
      <c r="CD835" t="str">
        <v>513005 Manejo</v>
      </c>
      <c r="CE835" t="str">
        <v>513005 Manejo</v>
      </c>
      <c r="CS835" s="141" t="str">
        <v>513005 Manejo</v>
      </c>
      <c r="CT835" s="141" t="str">
        <v>513005 Manejo</v>
      </c>
      <c r="CU835" s="141" t="str">
        <v>513005 Manejo</v>
      </c>
      <c r="CV835" s="141" t="str">
        <v>513005 Manejo</v>
      </c>
      <c r="CW835" s="141" t="str">
        <v>513005 Manejo</v>
      </c>
      <c r="CX835" s="141" t="str">
        <v>513005 Manejo</v>
      </c>
      <c r="CY835" s="141" t="str">
        <v>513005 Manejo</v>
      </c>
      <c r="CZ835" s="141" t="str">
        <v>513005 Manejo</v>
      </c>
      <c r="DA835" s="141" t="str">
        <v>513005 Manejo</v>
      </c>
      <c r="DF835" t="str">
        <v>513005 Manejo</v>
      </c>
      <c r="DG835" t="str">
        <v>513005 Manejo</v>
      </c>
      <c r="DH835" t="str">
        <v>513005 Manejo</v>
      </c>
      <c r="DI835" t="str">
        <v>513005 Manejo</v>
      </c>
      <c r="DJ835" t="str">
        <v>513005 Manejo</v>
      </c>
      <c r="DK835" t="str">
        <v>513005 Manejo</v>
      </c>
      <c r="DL835" t="str">
        <v>513005 Manejo</v>
      </c>
      <c r="DM835" t="str">
        <v>513005 Manejo</v>
      </c>
      <c r="DN835" t="str">
        <v>513005 Manejo</v>
      </c>
      <c r="DO835" t="str">
        <v>513005 Manejo</v>
      </c>
      <c r="DP835" t="str">
        <v>513005 Manejo</v>
      </c>
    </row>
    <row r="836" spans="4:120" ht="12.75">
      <c r="D836" s="7">
        <v>513010</v>
      </c>
      <c r="E836" s="6" t="s">
        <v>574</v>
      </c>
      <c r="F836" s="5">
        <v>4</v>
      </c>
      <c r="G836" s="34" t="s">
        <v>830</v>
      </c>
      <c r="H836" s="8" t="s">
        <v>32</v>
      </c>
      <c r="I836" t="b">
        <f>+ISNUMBER(SEARCH('F-COMPRA'!$F$28,Tabla11[[#This Row],[Cuenta]],1))</f>
        <v>1</v>
      </c>
      <c r="J836" t="b">
        <f>+ISNUMBER(SEARCH('F-COMPRA'!$F$29,Tabla11[[#This Row],[Cuenta]],1))</f>
        <v>1</v>
      </c>
      <c r="K836" t="b">
        <f>+ISNUMBER(SEARCH('F-COMPRA'!$F$30,Tabla11[[#This Row],[Cuenta]],1))</f>
        <v>1</v>
      </c>
      <c r="L836" t="b">
        <f>+ISNUMBER(SEARCH('F-COMPRA'!$F$31,Tabla11[[#This Row],[Cuenta]],1))</f>
        <v>1</v>
      </c>
      <c r="M836" t="b">
        <f>+ISNUMBER(SEARCH('F-COMPRA'!$G$25,Tabla11[[#This Row],[Cuenta]],1))</f>
        <v>0</v>
      </c>
      <c r="N836" t="b">
        <f>+ISNUMBER(SEARCH(#REF!,Tabla11[[#This Row],[Cuenta]],1))</f>
        <v>0</v>
      </c>
      <c r="O836" t="b">
        <f>+ISNUMBER(SEARCH(#REF!,Tabla11[[#This Row],[Cuenta]],1))</f>
        <v>0</v>
      </c>
      <c r="P836" t="b">
        <f>+ISNUMBER(SEARCH('F-COMPRA'!$F$32,Tabla11[[#This Row],[Cuenta]],1))</f>
        <v>1</v>
      </c>
      <c r="Q836" t="b">
        <f>+ISNUMBER(SEARCH('F-COMPRA'!$F$33,Tabla11[[#This Row],[Cuenta]],1))</f>
        <v>1</v>
      </c>
      <c r="R836" t="b">
        <f>+ISNUMBER(SEARCH('F-COMPRA'!$F$34,Tabla11[[#This Row],[Cuenta]],1))</f>
        <v>1</v>
      </c>
      <c r="S836" t="b">
        <f>+ISNUMBER(SEARCH('F-COMPRA'!$F$35,Tabla11[[#This Row],[Cuenta]],1))</f>
        <v>1</v>
      </c>
      <c r="T836" t="b">
        <f>+ISNUMBER(SEARCH('F-COMPRA'!$F$36,Tabla11[[#This Row],[Cuenta]],1))</f>
        <v>1</v>
      </c>
      <c r="U836" t="b">
        <f>+ISNUMBER(SEARCH('F-COMPRA'!$F$37,Tabla11[[#This Row],[Cuenta]],1))</f>
        <v>1</v>
      </c>
      <c r="V836" t="b">
        <f>+ISNUMBER(SEARCH(#REF!,Tabla11[[#This Row],[Cuenta]],1))</f>
        <v>0</v>
      </c>
      <c r="W836" t="b">
        <f>+ISNUMBER(SEARCH('F-COMPRA'!#REF!,Tabla11[[#This Row],[Cuenta]],1))</f>
        <v>0</v>
      </c>
      <c r="X836" t="b">
        <f>+ISNUMBER(SEARCH('F-COMPRA'!#REF!,Tabla11[[#This Row],[Cuenta]],1))</f>
        <v>0</v>
      </c>
      <c r="Y836" t="b">
        <f>+ISNUMBER(SEARCH('F-COMPRA'!#REF!,Tabla11[[#This Row],[Cuenta]],1))</f>
        <v>0</v>
      </c>
      <c r="Z836" t="b">
        <f>+ISNUMBER(SEARCH('F-COMPRA'!#REF!,Tabla11[[#This Row],[Cuenta]],1))</f>
        <v>0</v>
      </c>
      <c r="AA836" t="b">
        <f>+ISNUMBER(SEARCH('F-COMPRA'!#REF!,Tabla11[[#This Row],[Cuenta]],1))</f>
        <v>0</v>
      </c>
      <c r="AB836" t="b">
        <f>+ISNUMBER(SEARCH('F-COMPRA'!#REF!,Tabla11[[#This Row],[Cuenta]],1))</f>
        <v>0</v>
      </c>
      <c r="AC836" t="b">
        <f>+ISNUMBER(SEARCH('F-COMPRA'!#REF!,Tabla11[[#This Row],[Cuenta]],1))</f>
        <v>0</v>
      </c>
      <c r="AD836" t="b">
        <f>+ISNUMBER(SEARCH('F-COMPRA'!#REF!,Tabla11[[#This Row],[Cuenta]],1))</f>
        <v>0</v>
      </c>
      <c r="AE836" t="b">
        <f>+ISNUMBER(SEARCH('F-COMPRA'!#REF!,Tabla11[[#This Row],[Cuenta]],1))</f>
        <v>0</v>
      </c>
      <c r="AF836" t="b">
        <f>+ISNUMBER(SEARCH('F-VTA'!$G$23,Tabla11[[#This Row],[Cuenta]],1))</f>
        <v>0</v>
      </c>
      <c r="AG836" t="b">
        <f>+ISNUMBER(SEARCH('F-VTA'!$G$24,Tabla11[[#This Row],[Cuenta]],1))</f>
        <v>0</v>
      </c>
      <c r="AH836" t="b">
        <f>+ISNUMBER(SEARCH('F-VTA'!$G$25,Tabla11[[#This Row],[Cuenta]],1))</f>
        <v>0</v>
      </c>
      <c r="AI836" t="b">
        <f>+ISNUMBER(SEARCH('F-VTA'!$F$28,Tabla11[[#This Row],[Cuenta]],1))</f>
        <v>1</v>
      </c>
      <c r="AJ836" t="b">
        <f>+ISNUMBER(SEARCH('F-VTA'!$F$29,Tabla11[[#This Row],[Cuenta]],1))</f>
        <v>1</v>
      </c>
      <c r="AK836" t="b">
        <f>+ISNUMBER(SEARCH('F-VTA'!$F$30,Tabla11[[#This Row],[Cuenta]],1))</f>
        <v>1</v>
      </c>
      <c r="AL836" t="b">
        <f>+ISNUMBER(SEARCH('F-VTA'!$F$31,Tabla11[[#This Row],[Cuenta]],1))</f>
        <v>1</v>
      </c>
      <c r="AM836" t="b">
        <f>+ISNUMBER(SEARCH('F-VTA'!$F$32,Tabla11[[#This Row],[Cuenta]],1))</f>
        <v>1</v>
      </c>
      <c r="AN836" t="b">
        <f>+ISNUMBER(SEARCH('F-VTA'!$F$33,Tabla11[[#This Row],[Cuenta]],1))</f>
        <v>1</v>
      </c>
      <c r="AO836" t="b">
        <f>+ISNUMBER(SEARCH('F-VTA'!$F$34,Tabla11[[#This Row],[Cuenta]],1))</f>
        <v>1</v>
      </c>
      <c r="AP836" t="b">
        <f>+ISNUMBER(SEARCH('F-VTA'!$F$35,Tabla11[[#This Row],[Cuenta]],1))</f>
        <v>1</v>
      </c>
      <c r="AQ836" t="b">
        <f>+ISNUMBER(SEARCH('F-VTA'!$F$36,Tabla11[[#This Row],[Cuenta]],1))</f>
        <v>1</v>
      </c>
      <c r="AR836" t="b">
        <f>+ISNUMBER(SEARCH(#REF!,Tabla11[[#This Row],[Cuenta]],1))</f>
        <v>0</v>
      </c>
      <c r="AS836" t="b">
        <f>+ISNUMBER(SEARCH(#REF!,Tabla11[[#This Row],[Cuenta]],1))</f>
        <v>0</v>
      </c>
      <c r="AT836" t="b">
        <f>+ISNUMBER(SEARCH(#REF!,Tabla11[[#This Row],[Cuenta]],1))</f>
        <v>0</v>
      </c>
      <c r="AU836" t="b">
        <f>+ISNUMBER(SEARCH('Conc. Ban.1'!$I$9,Tabla11[[#This Row],[Cuenta]],1))</f>
        <v>0</v>
      </c>
      <c r="AV836" t="b">
        <f>+ISNUMBER(SEARCH(CompConta!$F$21,Tabla11[[#This Row],[Cuenta]],1))</f>
        <v>1</v>
      </c>
      <c r="AW836" t="b">
        <f>+ISNUMBER(SEARCH(CompConta!$F$22,Tabla11[[#This Row],[Cuenta]],1))</f>
        <v>1</v>
      </c>
      <c r="AX836" t="b">
        <f>+ISNUMBER(SEARCH(CompConta!$F$23,Tabla11[[#This Row],[Cuenta]],1))</f>
        <v>1</v>
      </c>
      <c r="AY836" t="b">
        <f>+ISNUMBER(SEARCH(CompConta!$F$24,Tabla11[[#This Row],[Cuenta]],1))</f>
        <v>1</v>
      </c>
      <c r="AZ836" t="b">
        <f>+ISNUMBER(SEARCH(CompConta!$F$25,Tabla11[[#This Row],[Cuenta]],1))</f>
        <v>1</v>
      </c>
      <c r="BA836" t="b">
        <f>+ISNUMBER(SEARCH(CompConta!$F$26,Tabla11[[#This Row],[Cuenta]],1))</f>
        <v>1</v>
      </c>
      <c r="BB836" t="b">
        <f>+ISNUMBER(SEARCH(CompConta!$F$27,Tabla11[[#This Row],[Cuenta]],1))</f>
        <v>1</v>
      </c>
      <c r="BC836" t="b">
        <f>+ISNUMBER(SEARCH(CompConta!$F$28,Tabla11[[#This Row],[Cuenta]],1))</f>
        <v>1</v>
      </c>
      <c r="BD836" t="b">
        <f>+ISNUMBER(SEARCH(CompConta!$F$29,Tabla11[[#This Row],[Cuenta]],1))</f>
        <v>1</v>
      </c>
      <c r="BE836" t="b">
        <f>+ISNUMBER(SEARCH(CompConta!$F$30,Tabla11[[#This Row],[Cuenta]],1))</f>
        <v>1</v>
      </c>
      <c r="BF836" t="b">
        <f>+ISNUMBER(SEARCH('PAGO Compras'!$E$11,Tabla11[[#This Row],[Cuenta]],1))</f>
        <v>1</v>
      </c>
      <c r="BG836" t="b">
        <f>+ISNUMBER(SEARCH(#REF!,Tabla11[[#This Row],[Cuenta]],1))</f>
        <v>0</v>
      </c>
      <c r="BH836" t="b">
        <f>+ISNUMBER(SEARCH(#REF!,Tabla11[[#This Row],[Cuenta]],1))</f>
        <v>0</v>
      </c>
      <c r="BI836" t="b">
        <f>+ISNUMBER(SEARCH(#REF!,Tabla11[[#This Row],[Cuenta]],1))</f>
        <v>0</v>
      </c>
      <c r="BJ836" t="b">
        <f>+ISNUMBER(SEARCH(#REF!,Tabla11[[#This Row],[Cuenta]],1))</f>
        <v>0</v>
      </c>
      <c r="BS836" t="str">
        <v>513010 Cumplimiento</v>
      </c>
      <c r="BT836" t="str">
        <v>513010 Cumplimiento</v>
      </c>
      <c r="BU836" t="str">
        <v>513010 Cumplimiento</v>
      </c>
      <c r="BV836" t="str">
        <v>513010 Cumplimiento</v>
      </c>
      <c r="BZ836" t="str">
        <v>513010 Cumplimiento</v>
      </c>
      <c r="CA836" t="str">
        <v>513010 Cumplimiento</v>
      </c>
      <c r="CB836" t="str">
        <v>513010 Cumplimiento</v>
      </c>
      <c r="CC836" t="str">
        <v>513010 Cumplimiento</v>
      </c>
      <c r="CD836" t="str">
        <v>513010 Cumplimiento</v>
      </c>
      <c r="CE836" t="str">
        <v>513010 Cumplimiento</v>
      </c>
      <c r="CS836" s="141" t="str">
        <v>513010 Cumplimiento</v>
      </c>
      <c r="CT836" s="141" t="str">
        <v>513010 Cumplimiento</v>
      </c>
      <c r="CU836" s="141" t="str">
        <v>513010 Cumplimiento</v>
      </c>
      <c r="CV836" s="141" t="str">
        <v>513010 Cumplimiento</v>
      </c>
      <c r="CW836" s="141" t="str">
        <v>513010 Cumplimiento</v>
      </c>
      <c r="CX836" s="141" t="str">
        <v>513010 Cumplimiento</v>
      </c>
      <c r="CY836" s="141" t="str">
        <v>513010 Cumplimiento</v>
      </c>
      <c r="CZ836" s="141" t="str">
        <v>513010 Cumplimiento</v>
      </c>
      <c r="DA836" s="141" t="str">
        <v>513010 Cumplimiento</v>
      </c>
      <c r="DF836" t="str">
        <v>513010 Cumplimiento</v>
      </c>
      <c r="DG836" t="str">
        <v>513010 Cumplimiento</v>
      </c>
      <c r="DH836" t="str">
        <v>513010 Cumplimiento</v>
      </c>
      <c r="DI836" t="str">
        <v>513010 Cumplimiento</v>
      </c>
      <c r="DJ836" t="str">
        <v>513010 Cumplimiento</v>
      </c>
      <c r="DK836" t="str">
        <v>513010 Cumplimiento</v>
      </c>
      <c r="DL836" t="str">
        <v>513010 Cumplimiento</v>
      </c>
      <c r="DM836" t="str">
        <v>513010 Cumplimiento</v>
      </c>
      <c r="DN836" t="str">
        <v>513010 Cumplimiento</v>
      </c>
      <c r="DO836" t="str">
        <v>513010 Cumplimiento</v>
      </c>
      <c r="DP836" t="str">
        <v>513010 Cumplimiento</v>
      </c>
    </row>
    <row r="837" spans="4:120" ht="12.75">
      <c r="D837" s="7">
        <v>513015</v>
      </c>
      <c r="E837" s="6" t="s">
        <v>575</v>
      </c>
      <c r="F837" s="5">
        <v>4</v>
      </c>
      <c r="G837" s="34" t="s">
        <v>830</v>
      </c>
      <c r="H837" s="8" t="s">
        <v>32</v>
      </c>
      <c r="I837" t="b">
        <f>+ISNUMBER(SEARCH('F-COMPRA'!$F$28,Tabla11[[#This Row],[Cuenta]],1))</f>
        <v>1</v>
      </c>
      <c r="J837" t="b">
        <f>+ISNUMBER(SEARCH('F-COMPRA'!$F$29,Tabla11[[#This Row],[Cuenta]],1))</f>
        <v>1</v>
      </c>
      <c r="K837" t="b">
        <f>+ISNUMBER(SEARCH('F-COMPRA'!$F$30,Tabla11[[#This Row],[Cuenta]],1))</f>
        <v>1</v>
      </c>
      <c r="L837" t="b">
        <f>+ISNUMBER(SEARCH('F-COMPRA'!$F$31,Tabla11[[#This Row],[Cuenta]],1))</f>
        <v>1</v>
      </c>
      <c r="M837" t="b">
        <f>+ISNUMBER(SEARCH('F-COMPRA'!$G$25,Tabla11[[#This Row],[Cuenta]],1))</f>
        <v>0</v>
      </c>
      <c r="N837" t="b">
        <f>+ISNUMBER(SEARCH(#REF!,Tabla11[[#This Row],[Cuenta]],1))</f>
        <v>0</v>
      </c>
      <c r="O837" t="b">
        <f>+ISNUMBER(SEARCH(#REF!,Tabla11[[#This Row],[Cuenta]],1))</f>
        <v>0</v>
      </c>
      <c r="P837" t="b">
        <f>+ISNUMBER(SEARCH('F-COMPRA'!$F$32,Tabla11[[#This Row],[Cuenta]],1))</f>
        <v>1</v>
      </c>
      <c r="Q837" t="b">
        <f>+ISNUMBER(SEARCH('F-COMPRA'!$F$33,Tabla11[[#This Row],[Cuenta]],1))</f>
        <v>1</v>
      </c>
      <c r="R837" t="b">
        <f>+ISNUMBER(SEARCH('F-COMPRA'!$F$34,Tabla11[[#This Row],[Cuenta]],1))</f>
        <v>1</v>
      </c>
      <c r="S837" t="b">
        <f>+ISNUMBER(SEARCH('F-COMPRA'!$F$35,Tabla11[[#This Row],[Cuenta]],1))</f>
        <v>1</v>
      </c>
      <c r="T837" t="b">
        <f>+ISNUMBER(SEARCH('F-COMPRA'!$F$36,Tabla11[[#This Row],[Cuenta]],1))</f>
        <v>1</v>
      </c>
      <c r="U837" t="b">
        <f>+ISNUMBER(SEARCH('F-COMPRA'!$F$37,Tabla11[[#This Row],[Cuenta]],1))</f>
        <v>1</v>
      </c>
      <c r="V837" t="b">
        <f>+ISNUMBER(SEARCH(#REF!,Tabla11[[#This Row],[Cuenta]],1))</f>
        <v>0</v>
      </c>
      <c r="W837" t="b">
        <f>+ISNUMBER(SEARCH('F-COMPRA'!#REF!,Tabla11[[#This Row],[Cuenta]],1))</f>
        <v>0</v>
      </c>
      <c r="X837" t="b">
        <f>+ISNUMBER(SEARCH('F-COMPRA'!#REF!,Tabla11[[#This Row],[Cuenta]],1))</f>
        <v>0</v>
      </c>
      <c r="Y837" t="b">
        <f>+ISNUMBER(SEARCH('F-COMPRA'!#REF!,Tabla11[[#This Row],[Cuenta]],1))</f>
        <v>0</v>
      </c>
      <c r="Z837" t="b">
        <f>+ISNUMBER(SEARCH('F-COMPRA'!#REF!,Tabla11[[#This Row],[Cuenta]],1))</f>
        <v>0</v>
      </c>
      <c r="AA837" t="b">
        <f>+ISNUMBER(SEARCH('F-COMPRA'!#REF!,Tabla11[[#This Row],[Cuenta]],1))</f>
        <v>0</v>
      </c>
      <c r="AB837" t="b">
        <f>+ISNUMBER(SEARCH('F-COMPRA'!#REF!,Tabla11[[#This Row],[Cuenta]],1))</f>
        <v>0</v>
      </c>
      <c r="AC837" t="b">
        <f>+ISNUMBER(SEARCH('F-COMPRA'!#REF!,Tabla11[[#This Row],[Cuenta]],1))</f>
        <v>0</v>
      </c>
      <c r="AD837" t="b">
        <f>+ISNUMBER(SEARCH('F-COMPRA'!#REF!,Tabla11[[#This Row],[Cuenta]],1))</f>
        <v>0</v>
      </c>
      <c r="AE837" t="b">
        <f>+ISNUMBER(SEARCH('F-COMPRA'!#REF!,Tabla11[[#This Row],[Cuenta]],1))</f>
        <v>0</v>
      </c>
      <c r="AF837" t="b">
        <f>+ISNUMBER(SEARCH('F-VTA'!$G$23,Tabla11[[#This Row],[Cuenta]],1))</f>
        <v>0</v>
      </c>
      <c r="AG837" t="b">
        <f>+ISNUMBER(SEARCH('F-VTA'!$G$24,Tabla11[[#This Row],[Cuenta]],1))</f>
        <v>0</v>
      </c>
      <c r="AH837" t="b">
        <f>+ISNUMBER(SEARCH('F-VTA'!$G$25,Tabla11[[#This Row],[Cuenta]],1))</f>
        <v>0</v>
      </c>
      <c r="AI837" t="b">
        <f>+ISNUMBER(SEARCH('F-VTA'!$F$28,Tabla11[[#This Row],[Cuenta]],1))</f>
        <v>1</v>
      </c>
      <c r="AJ837" t="b">
        <f>+ISNUMBER(SEARCH('F-VTA'!$F$29,Tabla11[[#This Row],[Cuenta]],1))</f>
        <v>1</v>
      </c>
      <c r="AK837" t="b">
        <f>+ISNUMBER(SEARCH('F-VTA'!$F$30,Tabla11[[#This Row],[Cuenta]],1))</f>
        <v>1</v>
      </c>
      <c r="AL837" t="b">
        <f>+ISNUMBER(SEARCH('F-VTA'!$F$31,Tabla11[[#This Row],[Cuenta]],1))</f>
        <v>1</v>
      </c>
      <c r="AM837" t="b">
        <f>+ISNUMBER(SEARCH('F-VTA'!$F$32,Tabla11[[#This Row],[Cuenta]],1))</f>
        <v>1</v>
      </c>
      <c r="AN837" t="b">
        <f>+ISNUMBER(SEARCH('F-VTA'!$F$33,Tabla11[[#This Row],[Cuenta]],1))</f>
        <v>1</v>
      </c>
      <c r="AO837" t="b">
        <f>+ISNUMBER(SEARCH('F-VTA'!$F$34,Tabla11[[#This Row],[Cuenta]],1))</f>
        <v>1</v>
      </c>
      <c r="AP837" t="b">
        <f>+ISNUMBER(SEARCH('F-VTA'!$F$35,Tabla11[[#This Row],[Cuenta]],1))</f>
        <v>1</v>
      </c>
      <c r="AQ837" t="b">
        <f>+ISNUMBER(SEARCH('F-VTA'!$F$36,Tabla11[[#This Row],[Cuenta]],1))</f>
        <v>1</v>
      </c>
      <c r="AR837" t="b">
        <f>+ISNUMBER(SEARCH(#REF!,Tabla11[[#This Row],[Cuenta]],1))</f>
        <v>0</v>
      </c>
      <c r="AS837" t="b">
        <f>+ISNUMBER(SEARCH(#REF!,Tabla11[[#This Row],[Cuenta]],1))</f>
        <v>0</v>
      </c>
      <c r="AT837" t="b">
        <f>+ISNUMBER(SEARCH(#REF!,Tabla11[[#This Row],[Cuenta]],1))</f>
        <v>0</v>
      </c>
      <c r="AU837" t="b">
        <f>+ISNUMBER(SEARCH('Conc. Ban.1'!$I$9,Tabla11[[#This Row],[Cuenta]],1))</f>
        <v>0</v>
      </c>
      <c r="AV837" t="b">
        <f>+ISNUMBER(SEARCH(CompConta!$F$21,Tabla11[[#This Row],[Cuenta]],1))</f>
        <v>1</v>
      </c>
      <c r="AW837" t="b">
        <f>+ISNUMBER(SEARCH(CompConta!$F$22,Tabla11[[#This Row],[Cuenta]],1))</f>
        <v>1</v>
      </c>
      <c r="AX837" t="b">
        <f>+ISNUMBER(SEARCH(CompConta!$F$23,Tabla11[[#This Row],[Cuenta]],1))</f>
        <v>1</v>
      </c>
      <c r="AY837" t="b">
        <f>+ISNUMBER(SEARCH(CompConta!$F$24,Tabla11[[#This Row],[Cuenta]],1))</f>
        <v>1</v>
      </c>
      <c r="AZ837" t="b">
        <f>+ISNUMBER(SEARCH(CompConta!$F$25,Tabla11[[#This Row],[Cuenta]],1))</f>
        <v>1</v>
      </c>
      <c r="BA837" t="b">
        <f>+ISNUMBER(SEARCH(CompConta!$F$26,Tabla11[[#This Row],[Cuenta]],1))</f>
        <v>1</v>
      </c>
      <c r="BB837" t="b">
        <f>+ISNUMBER(SEARCH(CompConta!$F$27,Tabla11[[#This Row],[Cuenta]],1))</f>
        <v>1</v>
      </c>
      <c r="BC837" t="b">
        <f>+ISNUMBER(SEARCH(CompConta!$F$28,Tabla11[[#This Row],[Cuenta]],1))</f>
        <v>1</v>
      </c>
      <c r="BD837" t="b">
        <f>+ISNUMBER(SEARCH(CompConta!$F$29,Tabla11[[#This Row],[Cuenta]],1))</f>
        <v>1</v>
      </c>
      <c r="BE837" t="b">
        <f>+ISNUMBER(SEARCH(CompConta!$F$30,Tabla11[[#This Row],[Cuenta]],1))</f>
        <v>1</v>
      </c>
      <c r="BF837" t="b">
        <f>+ISNUMBER(SEARCH('PAGO Compras'!$E$11,Tabla11[[#This Row],[Cuenta]],1))</f>
        <v>1</v>
      </c>
      <c r="BG837" t="b">
        <f>+ISNUMBER(SEARCH(#REF!,Tabla11[[#This Row],[Cuenta]],1))</f>
        <v>0</v>
      </c>
      <c r="BH837" t="b">
        <f>+ISNUMBER(SEARCH(#REF!,Tabla11[[#This Row],[Cuenta]],1))</f>
        <v>0</v>
      </c>
      <c r="BI837" t="b">
        <f>+ISNUMBER(SEARCH(#REF!,Tabla11[[#This Row],[Cuenta]],1))</f>
        <v>0</v>
      </c>
      <c r="BJ837" t="b">
        <f>+ISNUMBER(SEARCH(#REF!,Tabla11[[#This Row],[Cuenta]],1))</f>
        <v>0</v>
      </c>
      <c r="BS837" t="str">
        <v>513015 Corriente débil</v>
      </c>
      <c r="BT837" t="str">
        <v>513015 Corriente débil</v>
      </c>
      <c r="BU837" t="str">
        <v>513015 Corriente débil</v>
      </c>
      <c r="BV837" t="str">
        <v>513015 Corriente débil</v>
      </c>
      <c r="BZ837" t="str">
        <v>513015 Corriente débil</v>
      </c>
      <c r="CA837" t="str">
        <v>513015 Corriente débil</v>
      </c>
      <c r="CB837" t="str">
        <v>513015 Corriente débil</v>
      </c>
      <c r="CC837" t="str">
        <v>513015 Corriente débil</v>
      </c>
      <c r="CD837" t="str">
        <v>513015 Corriente débil</v>
      </c>
      <c r="CE837" t="str">
        <v>513015 Corriente débil</v>
      </c>
      <c r="CS837" s="141" t="str">
        <v>513015 Corriente débil</v>
      </c>
      <c r="CT837" s="141" t="str">
        <v>513015 Corriente débil</v>
      </c>
      <c r="CU837" s="141" t="str">
        <v>513015 Corriente débil</v>
      </c>
      <c r="CV837" s="141" t="str">
        <v>513015 Corriente débil</v>
      </c>
      <c r="CW837" s="141" t="str">
        <v>513015 Corriente débil</v>
      </c>
      <c r="CX837" s="141" t="str">
        <v>513015 Corriente débil</v>
      </c>
      <c r="CY837" s="141" t="str">
        <v>513015 Corriente débil</v>
      </c>
      <c r="CZ837" s="141" t="str">
        <v>513015 Corriente débil</v>
      </c>
      <c r="DA837" s="141" t="str">
        <v>513015 Corriente débil</v>
      </c>
      <c r="DF837" t="str">
        <v>513015 Corriente débil</v>
      </c>
      <c r="DG837" t="str">
        <v>513015 Corriente débil</v>
      </c>
      <c r="DH837" t="str">
        <v>513015 Corriente débil</v>
      </c>
      <c r="DI837" t="str">
        <v>513015 Corriente débil</v>
      </c>
      <c r="DJ837" t="str">
        <v>513015 Corriente débil</v>
      </c>
      <c r="DK837" t="str">
        <v>513015 Corriente débil</v>
      </c>
      <c r="DL837" t="str">
        <v>513015 Corriente débil</v>
      </c>
      <c r="DM837" t="str">
        <v>513015 Corriente débil</v>
      </c>
      <c r="DN837" t="str">
        <v>513015 Corriente débil</v>
      </c>
      <c r="DO837" t="str">
        <v>513015 Corriente débil</v>
      </c>
      <c r="DP837" t="str">
        <v>513015 Corriente débil</v>
      </c>
    </row>
    <row r="838" spans="4:120" ht="12.75">
      <c r="D838" s="7">
        <v>513020</v>
      </c>
      <c r="E838" s="6" t="s">
        <v>576</v>
      </c>
      <c r="F838" s="5">
        <v>4</v>
      </c>
      <c r="G838" s="34" t="s">
        <v>830</v>
      </c>
      <c r="H838" s="8" t="s">
        <v>32</v>
      </c>
      <c r="I838" t="b">
        <f>+ISNUMBER(SEARCH('F-COMPRA'!$F$28,Tabla11[[#This Row],[Cuenta]],1))</f>
        <v>1</v>
      </c>
      <c r="J838" t="b">
        <f>+ISNUMBER(SEARCH('F-COMPRA'!$F$29,Tabla11[[#This Row],[Cuenta]],1))</f>
        <v>1</v>
      </c>
      <c r="K838" t="b">
        <f>+ISNUMBER(SEARCH('F-COMPRA'!$F$30,Tabla11[[#This Row],[Cuenta]],1))</f>
        <v>1</v>
      </c>
      <c r="L838" t="b">
        <f>+ISNUMBER(SEARCH('F-COMPRA'!$F$31,Tabla11[[#This Row],[Cuenta]],1))</f>
        <v>1</v>
      </c>
      <c r="M838" t="b">
        <f>+ISNUMBER(SEARCH('F-COMPRA'!$G$25,Tabla11[[#This Row],[Cuenta]],1))</f>
        <v>0</v>
      </c>
      <c r="N838" t="b">
        <f>+ISNUMBER(SEARCH(#REF!,Tabla11[[#This Row],[Cuenta]],1))</f>
        <v>0</v>
      </c>
      <c r="O838" t="b">
        <f>+ISNUMBER(SEARCH(#REF!,Tabla11[[#This Row],[Cuenta]],1))</f>
        <v>0</v>
      </c>
      <c r="P838" t="b">
        <f>+ISNUMBER(SEARCH('F-COMPRA'!$F$32,Tabla11[[#This Row],[Cuenta]],1))</f>
        <v>1</v>
      </c>
      <c r="Q838" t="b">
        <f>+ISNUMBER(SEARCH('F-COMPRA'!$F$33,Tabla11[[#This Row],[Cuenta]],1))</f>
        <v>1</v>
      </c>
      <c r="R838" t="b">
        <f>+ISNUMBER(SEARCH('F-COMPRA'!$F$34,Tabla11[[#This Row],[Cuenta]],1))</f>
        <v>1</v>
      </c>
      <c r="S838" t="b">
        <f>+ISNUMBER(SEARCH('F-COMPRA'!$F$35,Tabla11[[#This Row],[Cuenta]],1))</f>
        <v>1</v>
      </c>
      <c r="T838" t="b">
        <f>+ISNUMBER(SEARCH('F-COMPRA'!$F$36,Tabla11[[#This Row],[Cuenta]],1))</f>
        <v>1</v>
      </c>
      <c r="U838" t="b">
        <f>+ISNUMBER(SEARCH('F-COMPRA'!$F$37,Tabla11[[#This Row],[Cuenta]],1))</f>
        <v>1</v>
      </c>
      <c r="V838" t="b">
        <f>+ISNUMBER(SEARCH(#REF!,Tabla11[[#This Row],[Cuenta]],1))</f>
        <v>0</v>
      </c>
      <c r="W838" t="b">
        <f>+ISNUMBER(SEARCH('F-COMPRA'!#REF!,Tabla11[[#This Row],[Cuenta]],1))</f>
        <v>0</v>
      </c>
      <c r="X838" t="b">
        <f>+ISNUMBER(SEARCH('F-COMPRA'!#REF!,Tabla11[[#This Row],[Cuenta]],1))</f>
        <v>0</v>
      </c>
      <c r="Y838" t="b">
        <f>+ISNUMBER(SEARCH('F-COMPRA'!#REF!,Tabla11[[#This Row],[Cuenta]],1))</f>
        <v>0</v>
      </c>
      <c r="Z838" t="b">
        <f>+ISNUMBER(SEARCH('F-COMPRA'!#REF!,Tabla11[[#This Row],[Cuenta]],1))</f>
        <v>0</v>
      </c>
      <c r="AA838" t="b">
        <f>+ISNUMBER(SEARCH('F-COMPRA'!#REF!,Tabla11[[#This Row],[Cuenta]],1))</f>
        <v>0</v>
      </c>
      <c r="AB838" t="b">
        <f>+ISNUMBER(SEARCH('F-COMPRA'!#REF!,Tabla11[[#This Row],[Cuenta]],1))</f>
        <v>0</v>
      </c>
      <c r="AC838" t="b">
        <f>+ISNUMBER(SEARCH('F-COMPRA'!#REF!,Tabla11[[#This Row],[Cuenta]],1))</f>
        <v>0</v>
      </c>
      <c r="AD838" t="b">
        <f>+ISNUMBER(SEARCH('F-COMPRA'!#REF!,Tabla11[[#This Row],[Cuenta]],1))</f>
        <v>0</v>
      </c>
      <c r="AE838" t="b">
        <f>+ISNUMBER(SEARCH('F-COMPRA'!#REF!,Tabla11[[#This Row],[Cuenta]],1))</f>
        <v>0</v>
      </c>
      <c r="AF838" t="b">
        <f>+ISNUMBER(SEARCH('F-VTA'!$G$23,Tabla11[[#This Row],[Cuenta]],1))</f>
        <v>0</v>
      </c>
      <c r="AG838" t="b">
        <f>+ISNUMBER(SEARCH('F-VTA'!$G$24,Tabla11[[#This Row],[Cuenta]],1))</f>
        <v>0</v>
      </c>
      <c r="AH838" t="b">
        <f>+ISNUMBER(SEARCH('F-VTA'!$G$25,Tabla11[[#This Row],[Cuenta]],1))</f>
        <v>0</v>
      </c>
      <c r="AI838" t="b">
        <f>+ISNUMBER(SEARCH('F-VTA'!$F$28,Tabla11[[#This Row],[Cuenta]],1))</f>
        <v>1</v>
      </c>
      <c r="AJ838" t="b">
        <f>+ISNUMBER(SEARCH('F-VTA'!$F$29,Tabla11[[#This Row],[Cuenta]],1))</f>
        <v>1</v>
      </c>
      <c r="AK838" t="b">
        <f>+ISNUMBER(SEARCH('F-VTA'!$F$30,Tabla11[[#This Row],[Cuenta]],1))</f>
        <v>1</v>
      </c>
      <c r="AL838" t="b">
        <f>+ISNUMBER(SEARCH('F-VTA'!$F$31,Tabla11[[#This Row],[Cuenta]],1))</f>
        <v>1</v>
      </c>
      <c r="AM838" t="b">
        <f>+ISNUMBER(SEARCH('F-VTA'!$F$32,Tabla11[[#This Row],[Cuenta]],1))</f>
        <v>1</v>
      </c>
      <c r="AN838" t="b">
        <f>+ISNUMBER(SEARCH('F-VTA'!$F$33,Tabla11[[#This Row],[Cuenta]],1))</f>
        <v>1</v>
      </c>
      <c r="AO838" t="b">
        <f>+ISNUMBER(SEARCH('F-VTA'!$F$34,Tabla11[[#This Row],[Cuenta]],1))</f>
        <v>1</v>
      </c>
      <c r="AP838" t="b">
        <f>+ISNUMBER(SEARCH('F-VTA'!$F$35,Tabla11[[#This Row],[Cuenta]],1))</f>
        <v>1</v>
      </c>
      <c r="AQ838" t="b">
        <f>+ISNUMBER(SEARCH('F-VTA'!$F$36,Tabla11[[#This Row],[Cuenta]],1))</f>
        <v>1</v>
      </c>
      <c r="AR838" t="b">
        <f>+ISNUMBER(SEARCH(#REF!,Tabla11[[#This Row],[Cuenta]],1))</f>
        <v>0</v>
      </c>
      <c r="AS838" t="b">
        <f>+ISNUMBER(SEARCH(#REF!,Tabla11[[#This Row],[Cuenta]],1))</f>
        <v>0</v>
      </c>
      <c r="AT838" t="b">
        <f>+ISNUMBER(SEARCH(#REF!,Tabla11[[#This Row],[Cuenta]],1))</f>
        <v>0</v>
      </c>
      <c r="AU838" t="b">
        <f>+ISNUMBER(SEARCH('Conc. Ban.1'!$I$9,Tabla11[[#This Row],[Cuenta]],1))</f>
        <v>0</v>
      </c>
      <c r="AV838" t="b">
        <f>+ISNUMBER(SEARCH(CompConta!$F$21,Tabla11[[#This Row],[Cuenta]],1))</f>
        <v>1</v>
      </c>
      <c r="AW838" t="b">
        <f>+ISNUMBER(SEARCH(CompConta!$F$22,Tabla11[[#This Row],[Cuenta]],1))</f>
        <v>1</v>
      </c>
      <c r="AX838" t="b">
        <f>+ISNUMBER(SEARCH(CompConta!$F$23,Tabla11[[#This Row],[Cuenta]],1))</f>
        <v>1</v>
      </c>
      <c r="AY838" t="b">
        <f>+ISNUMBER(SEARCH(CompConta!$F$24,Tabla11[[#This Row],[Cuenta]],1))</f>
        <v>1</v>
      </c>
      <c r="AZ838" t="b">
        <f>+ISNUMBER(SEARCH(CompConta!$F$25,Tabla11[[#This Row],[Cuenta]],1))</f>
        <v>1</v>
      </c>
      <c r="BA838" t="b">
        <f>+ISNUMBER(SEARCH(CompConta!$F$26,Tabla11[[#This Row],[Cuenta]],1))</f>
        <v>1</v>
      </c>
      <c r="BB838" t="b">
        <f>+ISNUMBER(SEARCH(CompConta!$F$27,Tabla11[[#This Row],[Cuenta]],1))</f>
        <v>1</v>
      </c>
      <c r="BC838" t="b">
        <f>+ISNUMBER(SEARCH(CompConta!$F$28,Tabla11[[#This Row],[Cuenta]],1))</f>
        <v>1</v>
      </c>
      <c r="BD838" t="b">
        <f>+ISNUMBER(SEARCH(CompConta!$F$29,Tabla11[[#This Row],[Cuenta]],1))</f>
        <v>1</v>
      </c>
      <c r="BE838" t="b">
        <f>+ISNUMBER(SEARCH(CompConta!$F$30,Tabla11[[#This Row],[Cuenta]],1))</f>
        <v>1</v>
      </c>
      <c r="BF838" t="b">
        <f>+ISNUMBER(SEARCH('PAGO Compras'!$E$11,Tabla11[[#This Row],[Cuenta]],1))</f>
        <v>1</v>
      </c>
      <c r="BG838" t="b">
        <f>+ISNUMBER(SEARCH(#REF!,Tabla11[[#This Row],[Cuenta]],1))</f>
        <v>0</v>
      </c>
      <c r="BH838" t="b">
        <f>+ISNUMBER(SEARCH(#REF!,Tabla11[[#This Row],[Cuenta]],1))</f>
        <v>0</v>
      </c>
      <c r="BI838" t="b">
        <f>+ISNUMBER(SEARCH(#REF!,Tabla11[[#This Row],[Cuenta]],1))</f>
        <v>0</v>
      </c>
      <c r="BJ838" t="b">
        <f>+ISNUMBER(SEARCH(#REF!,Tabla11[[#This Row],[Cuenta]],1))</f>
        <v>0</v>
      </c>
      <c r="BS838" t="str">
        <v>513020 Vida colectiva</v>
      </c>
      <c r="BT838" t="str">
        <v>513020 Vida colectiva</v>
      </c>
      <c r="BU838" t="str">
        <v>513020 Vida colectiva</v>
      </c>
      <c r="BV838" t="str">
        <v>513020 Vida colectiva</v>
      </c>
      <c r="BZ838" t="str">
        <v>513020 Vida colectiva</v>
      </c>
      <c r="CA838" t="str">
        <v>513020 Vida colectiva</v>
      </c>
      <c r="CB838" t="str">
        <v>513020 Vida colectiva</v>
      </c>
      <c r="CC838" t="str">
        <v>513020 Vida colectiva</v>
      </c>
      <c r="CD838" t="str">
        <v>513020 Vida colectiva</v>
      </c>
      <c r="CE838" t="str">
        <v>513020 Vida colectiva</v>
      </c>
      <c r="CS838" s="141" t="str">
        <v>513020 Vida colectiva</v>
      </c>
      <c r="CT838" s="141" t="str">
        <v>513020 Vida colectiva</v>
      </c>
      <c r="CU838" s="141" t="str">
        <v>513020 Vida colectiva</v>
      </c>
      <c r="CV838" s="141" t="str">
        <v>513020 Vida colectiva</v>
      </c>
      <c r="CW838" s="141" t="str">
        <v>513020 Vida colectiva</v>
      </c>
      <c r="CX838" s="141" t="str">
        <v>513020 Vida colectiva</v>
      </c>
      <c r="CY838" s="141" t="str">
        <v>513020 Vida colectiva</v>
      </c>
      <c r="CZ838" s="141" t="str">
        <v>513020 Vida colectiva</v>
      </c>
      <c r="DA838" s="141" t="str">
        <v>513020 Vida colectiva</v>
      </c>
      <c r="DF838" t="str">
        <v>513020 Vida colectiva</v>
      </c>
      <c r="DG838" t="str">
        <v>513020 Vida colectiva</v>
      </c>
      <c r="DH838" t="str">
        <v>513020 Vida colectiva</v>
      </c>
      <c r="DI838" t="str">
        <v>513020 Vida colectiva</v>
      </c>
      <c r="DJ838" t="str">
        <v>513020 Vida colectiva</v>
      </c>
      <c r="DK838" t="str">
        <v>513020 Vida colectiva</v>
      </c>
      <c r="DL838" t="str">
        <v>513020 Vida colectiva</v>
      </c>
      <c r="DM838" t="str">
        <v>513020 Vida colectiva</v>
      </c>
      <c r="DN838" t="str">
        <v>513020 Vida colectiva</v>
      </c>
      <c r="DO838" t="str">
        <v>513020 Vida colectiva</v>
      </c>
      <c r="DP838" t="str">
        <v>513020 Vida colectiva</v>
      </c>
    </row>
    <row r="839" spans="4:120" ht="12.75">
      <c r="D839" s="7">
        <v>513025</v>
      </c>
      <c r="E839" s="6" t="s">
        <v>577</v>
      </c>
      <c r="F839" s="5">
        <v>4</v>
      </c>
      <c r="G839" s="34" t="s">
        <v>830</v>
      </c>
      <c r="H839" s="8" t="s">
        <v>32</v>
      </c>
      <c r="I839" t="b">
        <f>+ISNUMBER(SEARCH('F-COMPRA'!$F$28,Tabla11[[#This Row],[Cuenta]],1))</f>
        <v>1</v>
      </c>
      <c r="J839" t="b">
        <f>+ISNUMBER(SEARCH('F-COMPRA'!$F$29,Tabla11[[#This Row],[Cuenta]],1))</f>
        <v>1</v>
      </c>
      <c r="K839" t="b">
        <f>+ISNUMBER(SEARCH('F-COMPRA'!$F$30,Tabla11[[#This Row],[Cuenta]],1))</f>
        <v>1</v>
      </c>
      <c r="L839" t="b">
        <f>+ISNUMBER(SEARCH('F-COMPRA'!$F$31,Tabla11[[#This Row],[Cuenta]],1))</f>
        <v>1</v>
      </c>
      <c r="M839" t="b">
        <f>+ISNUMBER(SEARCH('F-COMPRA'!$G$25,Tabla11[[#This Row],[Cuenta]],1))</f>
        <v>0</v>
      </c>
      <c r="N839" t="b">
        <f>+ISNUMBER(SEARCH(#REF!,Tabla11[[#This Row],[Cuenta]],1))</f>
        <v>0</v>
      </c>
      <c r="O839" t="b">
        <f>+ISNUMBER(SEARCH(#REF!,Tabla11[[#This Row],[Cuenta]],1))</f>
        <v>0</v>
      </c>
      <c r="P839" t="b">
        <f>+ISNUMBER(SEARCH('F-COMPRA'!$F$32,Tabla11[[#This Row],[Cuenta]],1))</f>
        <v>1</v>
      </c>
      <c r="Q839" t="b">
        <f>+ISNUMBER(SEARCH('F-COMPRA'!$F$33,Tabla11[[#This Row],[Cuenta]],1))</f>
        <v>1</v>
      </c>
      <c r="R839" t="b">
        <f>+ISNUMBER(SEARCH('F-COMPRA'!$F$34,Tabla11[[#This Row],[Cuenta]],1))</f>
        <v>1</v>
      </c>
      <c r="S839" t="b">
        <f>+ISNUMBER(SEARCH('F-COMPRA'!$F$35,Tabla11[[#This Row],[Cuenta]],1))</f>
        <v>1</v>
      </c>
      <c r="T839" t="b">
        <f>+ISNUMBER(SEARCH('F-COMPRA'!$F$36,Tabla11[[#This Row],[Cuenta]],1))</f>
        <v>1</v>
      </c>
      <c r="U839" t="b">
        <f>+ISNUMBER(SEARCH('F-COMPRA'!$F$37,Tabla11[[#This Row],[Cuenta]],1))</f>
        <v>1</v>
      </c>
      <c r="V839" t="b">
        <f>+ISNUMBER(SEARCH(#REF!,Tabla11[[#This Row],[Cuenta]],1))</f>
        <v>0</v>
      </c>
      <c r="W839" t="b">
        <f>+ISNUMBER(SEARCH('F-COMPRA'!#REF!,Tabla11[[#This Row],[Cuenta]],1))</f>
        <v>0</v>
      </c>
      <c r="X839" t="b">
        <f>+ISNUMBER(SEARCH('F-COMPRA'!#REF!,Tabla11[[#This Row],[Cuenta]],1))</f>
        <v>0</v>
      </c>
      <c r="Y839" t="b">
        <f>+ISNUMBER(SEARCH('F-COMPRA'!#REF!,Tabla11[[#This Row],[Cuenta]],1))</f>
        <v>0</v>
      </c>
      <c r="Z839" t="b">
        <f>+ISNUMBER(SEARCH('F-COMPRA'!#REF!,Tabla11[[#This Row],[Cuenta]],1))</f>
        <v>0</v>
      </c>
      <c r="AA839" t="b">
        <f>+ISNUMBER(SEARCH('F-COMPRA'!#REF!,Tabla11[[#This Row],[Cuenta]],1))</f>
        <v>0</v>
      </c>
      <c r="AB839" t="b">
        <f>+ISNUMBER(SEARCH('F-COMPRA'!#REF!,Tabla11[[#This Row],[Cuenta]],1))</f>
        <v>0</v>
      </c>
      <c r="AC839" t="b">
        <f>+ISNUMBER(SEARCH('F-COMPRA'!#REF!,Tabla11[[#This Row],[Cuenta]],1))</f>
        <v>0</v>
      </c>
      <c r="AD839" t="b">
        <f>+ISNUMBER(SEARCH('F-COMPRA'!#REF!,Tabla11[[#This Row],[Cuenta]],1))</f>
        <v>0</v>
      </c>
      <c r="AE839" t="b">
        <f>+ISNUMBER(SEARCH('F-COMPRA'!#REF!,Tabla11[[#This Row],[Cuenta]],1))</f>
        <v>0</v>
      </c>
      <c r="AF839" t="b">
        <f>+ISNUMBER(SEARCH('F-VTA'!$G$23,Tabla11[[#This Row],[Cuenta]],1))</f>
        <v>0</v>
      </c>
      <c r="AG839" t="b">
        <f>+ISNUMBER(SEARCH('F-VTA'!$G$24,Tabla11[[#This Row],[Cuenta]],1))</f>
        <v>0</v>
      </c>
      <c r="AH839" t="b">
        <f>+ISNUMBER(SEARCH('F-VTA'!$G$25,Tabla11[[#This Row],[Cuenta]],1))</f>
        <v>0</v>
      </c>
      <c r="AI839" t="b">
        <f>+ISNUMBER(SEARCH('F-VTA'!$F$28,Tabla11[[#This Row],[Cuenta]],1))</f>
        <v>1</v>
      </c>
      <c r="AJ839" t="b">
        <f>+ISNUMBER(SEARCH('F-VTA'!$F$29,Tabla11[[#This Row],[Cuenta]],1))</f>
        <v>1</v>
      </c>
      <c r="AK839" t="b">
        <f>+ISNUMBER(SEARCH('F-VTA'!$F$30,Tabla11[[#This Row],[Cuenta]],1))</f>
        <v>1</v>
      </c>
      <c r="AL839" t="b">
        <f>+ISNUMBER(SEARCH('F-VTA'!$F$31,Tabla11[[#This Row],[Cuenta]],1))</f>
        <v>1</v>
      </c>
      <c r="AM839" t="b">
        <f>+ISNUMBER(SEARCH('F-VTA'!$F$32,Tabla11[[#This Row],[Cuenta]],1))</f>
        <v>1</v>
      </c>
      <c r="AN839" t="b">
        <f>+ISNUMBER(SEARCH('F-VTA'!$F$33,Tabla11[[#This Row],[Cuenta]],1))</f>
        <v>1</v>
      </c>
      <c r="AO839" t="b">
        <f>+ISNUMBER(SEARCH('F-VTA'!$F$34,Tabla11[[#This Row],[Cuenta]],1))</f>
        <v>1</v>
      </c>
      <c r="AP839" t="b">
        <f>+ISNUMBER(SEARCH('F-VTA'!$F$35,Tabla11[[#This Row],[Cuenta]],1))</f>
        <v>1</v>
      </c>
      <c r="AQ839" t="b">
        <f>+ISNUMBER(SEARCH('F-VTA'!$F$36,Tabla11[[#This Row],[Cuenta]],1))</f>
        <v>1</v>
      </c>
      <c r="AR839" t="b">
        <f>+ISNUMBER(SEARCH(#REF!,Tabla11[[#This Row],[Cuenta]],1))</f>
        <v>0</v>
      </c>
      <c r="AS839" t="b">
        <f>+ISNUMBER(SEARCH(#REF!,Tabla11[[#This Row],[Cuenta]],1))</f>
        <v>0</v>
      </c>
      <c r="AT839" t="b">
        <f>+ISNUMBER(SEARCH(#REF!,Tabla11[[#This Row],[Cuenta]],1))</f>
        <v>0</v>
      </c>
      <c r="AU839" t="b">
        <f>+ISNUMBER(SEARCH('Conc. Ban.1'!$I$9,Tabla11[[#This Row],[Cuenta]],1))</f>
        <v>0</v>
      </c>
      <c r="AV839" t="b">
        <f>+ISNUMBER(SEARCH(CompConta!$F$21,Tabla11[[#This Row],[Cuenta]],1))</f>
        <v>1</v>
      </c>
      <c r="AW839" t="b">
        <f>+ISNUMBER(SEARCH(CompConta!$F$22,Tabla11[[#This Row],[Cuenta]],1))</f>
        <v>1</v>
      </c>
      <c r="AX839" t="b">
        <f>+ISNUMBER(SEARCH(CompConta!$F$23,Tabla11[[#This Row],[Cuenta]],1))</f>
        <v>1</v>
      </c>
      <c r="AY839" t="b">
        <f>+ISNUMBER(SEARCH(CompConta!$F$24,Tabla11[[#This Row],[Cuenta]],1))</f>
        <v>1</v>
      </c>
      <c r="AZ839" t="b">
        <f>+ISNUMBER(SEARCH(CompConta!$F$25,Tabla11[[#This Row],[Cuenta]],1))</f>
        <v>1</v>
      </c>
      <c r="BA839" t="b">
        <f>+ISNUMBER(SEARCH(CompConta!$F$26,Tabla11[[#This Row],[Cuenta]],1))</f>
        <v>1</v>
      </c>
      <c r="BB839" t="b">
        <f>+ISNUMBER(SEARCH(CompConta!$F$27,Tabla11[[#This Row],[Cuenta]],1))</f>
        <v>1</v>
      </c>
      <c r="BC839" t="b">
        <f>+ISNUMBER(SEARCH(CompConta!$F$28,Tabla11[[#This Row],[Cuenta]],1))</f>
        <v>1</v>
      </c>
      <c r="BD839" t="b">
        <f>+ISNUMBER(SEARCH(CompConta!$F$29,Tabla11[[#This Row],[Cuenta]],1))</f>
        <v>1</v>
      </c>
      <c r="BE839" t="b">
        <f>+ISNUMBER(SEARCH(CompConta!$F$30,Tabla11[[#This Row],[Cuenta]],1))</f>
        <v>1</v>
      </c>
      <c r="BF839" t="b">
        <f>+ISNUMBER(SEARCH('PAGO Compras'!$E$11,Tabla11[[#This Row],[Cuenta]],1))</f>
        <v>1</v>
      </c>
      <c r="BG839" t="b">
        <f>+ISNUMBER(SEARCH(#REF!,Tabla11[[#This Row],[Cuenta]],1))</f>
        <v>0</v>
      </c>
      <c r="BH839" t="b">
        <f>+ISNUMBER(SEARCH(#REF!,Tabla11[[#This Row],[Cuenta]],1))</f>
        <v>0</v>
      </c>
      <c r="BI839" t="b">
        <f>+ISNUMBER(SEARCH(#REF!,Tabla11[[#This Row],[Cuenta]],1))</f>
        <v>0</v>
      </c>
      <c r="BJ839" t="b">
        <f>+ISNUMBER(SEARCH(#REF!,Tabla11[[#This Row],[Cuenta]],1))</f>
        <v>0</v>
      </c>
      <c r="BS839" t="str">
        <v>513025 Incendio</v>
      </c>
      <c r="BT839" t="str">
        <v>513025 Incendio</v>
      </c>
      <c r="BU839" t="str">
        <v>513025 Incendio</v>
      </c>
      <c r="BV839" t="str">
        <v>513025 Incendio</v>
      </c>
      <c r="BZ839" t="str">
        <v>513025 Incendio</v>
      </c>
      <c r="CA839" t="str">
        <v>513025 Incendio</v>
      </c>
      <c r="CB839" t="str">
        <v>513025 Incendio</v>
      </c>
      <c r="CC839" t="str">
        <v>513025 Incendio</v>
      </c>
      <c r="CD839" t="str">
        <v>513025 Incendio</v>
      </c>
      <c r="CE839" t="str">
        <v>513025 Incendio</v>
      </c>
      <c r="CS839" s="141" t="str">
        <v>513025 Incendio</v>
      </c>
      <c r="CT839" s="141" t="str">
        <v>513025 Incendio</v>
      </c>
      <c r="CU839" s="141" t="str">
        <v>513025 Incendio</v>
      </c>
      <c r="CV839" s="141" t="str">
        <v>513025 Incendio</v>
      </c>
      <c r="CW839" s="141" t="str">
        <v>513025 Incendio</v>
      </c>
      <c r="CX839" s="141" t="str">
        <v>513025 Incendio</v>
      </c>
      <c r="CY839" s="141" t="str">
        <v>513025 Incendio</v>
      </c>
      <c r="CZ839" s="141" t="str">
        <v>513025 Incendio</v>
      </c>
      <c r="DA839" s="141" t="str">
        <v>513025 Incendio</v>
      </c>
      <c r="DF839" t="str">
        <v>513025 Incendio</v>
      </c>
      <c r="DG839" t="str">
        <v>513025 Incendio</v>
      </c>
      <c r="DH839" t="str">
        <v>513025 Incendio</v>
      </c>
      <c r="DI839" t="str">
        <v>513025 Incendio</v>
      </c>
      <c r="DJ839" t="str">
        <v>513025 Incendio</v>
      </c>
      <c r="DK839" t="str">
        <v>513025 Incendio</v>
      </c>
      <c r="DL839" t="str">
        <v>513025 Incendio</v>
      </c>
      <c r="DM839" t="str">
        <v>513025 Incendio</v>
      </c>
      <c r="DN839" t="str">
        <v>513025 Incendio</v>
      </c>
      <c r="DO839" t="str">
        <v>513025 Incendio</v>
      </c>
      <c r="DP839" t="str">
        <v>513025 Incendio</v>
      </c>
    </row>
    <row r="840" spans="4:120" ht="12.75">
      <c r="D840" s="7">
        <v>513030</v>
      </c>
      <c r="E840" s="6" t="s">
        <v>578</v>
      </c>
      <c r="F840" s="5">
        <v>4</v>
      </c>
      <c r="G840" s="34" t="s">
        <v>830</v>
      </c>
      <c r="H840" s="8" t="s">
        <v>32</v>
      </c>
      <c r="I840" t="b">
        <f>+ISNUMBER(SEARCH('F-COMPRA'!$F$28,Tabla11[[#This Row],[Cuenta]],1))</f>
        <v>1</v>
      </c>
      <c r="J840" t="b">
        <f>+ISNUMBER(SEARCH('F-COMPRA'!$F$29,Tabla11[[#This Row],[Cuenta]],1))</f>
        <v>1</v>
      </c>
      <c r="K840" t="b">
        <f>+ISNUMBER(SEARCH('F-COMPRA'!$F$30,Tabla11[[#This Row],[Cuenta]],1))</f>
        <v>1</v>
      </c>
      <c r="L840" t="b">
        <f>+ISNUMBER(SEARCH('F-COMPRA'!$F$31,Tabla11[[#This Row],[Cuenta]],1))</f>
        <v>1</v>
      </c>
      <c r="M840" t="b">
        <f>+ISNUMBER(SEARCH('F-COMPRA'!$G$25,Tabla11[[#This Row],[Cuenta]],1))</f>
        <v>0</v>
      </c>
      <c r="N840" t="b">
        <f>+ISNUMBER(SEARCH(#REF!,Tabla11[[#This Row],[Cuenta]],1))</f>
        <v>0</v>
      </c>
      <c r="O840" t="b">
        <f>+ISNUMBER(SEARCH(#REF!,Tabla11[[#This Row],[Cuenta]],1))</f>
        <v>0</v>
      </c>
      <c r="P840" t="b">
        <f>+ISNUMBER(SEARCH('F-COMPRA'!$F$32,Tabla11[[#This Row],[Cuenta]],1))</f>
        <v>1</v>
      </c>
      <c r="Q840" t="b">
        <f>+ISNUMBER(SEARCH('F-COMPRA'!$F$33,Tabla11[[#This Row],[Cuenta]],1))</f>
        <v>1</v>
      </c>
      <c r="R840" t="b">
        <f>+ISNUMBER(SEARCH('F-COMPRA'!$F$34,Tabla11[[#This Row],[Cuenta]],1))</f>
        <v>1</v>
      </c>
      <c r="S840" t="b">
        <f>+ISNUMBER(SEARCH('F-COMPRA'!$F$35,Tabla11[[#This Row],[Cuenta]],1))</f>
        <v>1</v>
      </c>
      <c r="T840" t="b">
        <f>+ISNUMBER(SEARCH('F-COMPRA'!$F$36,Tabla11[[#This Row],[Cuenta]],1))</f>
        <v>1</v>
      </c>
      <c r="U840" t="b">
        <f>+ISNUMBER(SEARCH('F-COMPRA'!$F$37,Tabla11[[#This Row],[Cuenta]],1))</f>
        <v>1</v>
      </c>
      <c r="V840" t="b">
        <f>+ISNUMBER(SEARCH(#REF!,Tabla11[[#This Row],[Cuenta]],1))</f>
        <v>0</v>
      </c>
      <c r="W840" t="b">
        <f>+ISNUMBER(SEARCH('F-COMPRA'!#REF!,Tabla11[[#This Row],[Cuenta]],1))</f>
        <v>0</v>
      </c>
      <c r="X840" t="b">
        <f>+ISNUMBER(SEARCH('F-COMPRA'!#REF!,Tabla11[[#This Row],[Cuenta]],1))</f>
        <v>0</v>
      </c>
      <c r="Y840" t="b">
        <f>+ISNUMBER(SEARCH('F-COMPRA'!#REF!,Tabla11[[#This Row],[Cuenta]],1))</f>
        <v>0</v>
      </c>
      <c r="Z840" t="b">
        <f>+ISNUMBER(SEARCH('F-COMPRA'!#REF!,Tabla11[[#This Row],[Cuenta]],1))</f>
        <v>0</v>
      </c>
      <c r="AA840" t="b">
        <f>+ISNUMBER(SEARCH('F-COMPRA'!#REF!,Tabla11[[#This Row],[Cuenta]],1))</f>
        <v>0</v>
      </c>
      <c r="AB840" t="b">
        <f>+ISNUMBER(SEARCH('F-COMPRA'!#REF!,Tabla11[[#This Row],[Cuenta]],1))</f>
        <v>0</v>
      </c>
      <c r="AC840" t="b">
        <f>+ISNUMBER(SEARCH('F-COMPRA'!#REF!,Tabla11[[#This Row],[Cuenta]],1))</f>
        <v>0</v>
      </c>
      <c r="AD840" t="b">
        <f>+ISNUMBER(SEARCH('F-COMPRA'!#REF!,Tabla11[[#This Row],[Cuenta]],1))</f>
        <v>0</v>
      </c>
      <c r="AE840" t="b">
        <f>+ISNUMBER(SEARCH('F-COMPRA'!#REF!,Tabla11[[#This Row],[Cuenta]],1))</f>
        <v>0</v>
      </c>
      <c r="AF840" t="b">
        <f>+ISNUMBER(SEARCH('F-VTA'!$G$23,Tabla11[[#This Row],[Cuenta]],1))</f>
        <v>0</v>
      </c>
      <c r="AG840" t="b">
        <f>+ISNUMBER(SEARCH('F-VTA'!$G$24,Tabla11[[#This Row],[Cuenta]],1))</f>
        <v>0</v>
      </c>
      <c r="AH840" t="b">
        <f>+ISNUMBER(SEARCH('F-VTA'!$G$25,Tabla11[[#This Row],[Cuenta]],1))</f>
        <v>0</v>
      </c>
      <c r="AI840" t="b">
        <f>+ISNUMBER(SEARCH('F-VTA'!$F$28,Tabla11[[#This Row],[Cuenta]],1))</f>
        <v>1</v>
      </c>
      <c r="AJ840" t="b">
        <f>+ISNUMBER(SEARCH('F-VTA'!$F$29,Tabla11[[#This Row],[Cuenta]],1))</f>
        <v>1</v>
      </c>
      <c r="AK840" t="b">
        <f>+ISNUMBER(SEARCH('F-VTA'!$F$30,Tabla11[[#This Row],[Cuenta]],1))</f>
        <v>1</v>
      </c>
      <c r="AL840" t="b">
        <f>+ISNUMBER(SEARCH('F-VTA'!$F$31,Tabla11[[#This Row],[Cuenta]],1))</f>
        <v>1</v>
      </c>
      <c r="AM840" t="b">
        <f>+ISNUMBER(SEARCH('F-VTA'!$F$32,Tabla11[[#This Row],[Cuenta]],1))</f>
        <v>1</v>
      </c>
      <c r="AN840" t="b">
        <f>+ISNUMBER(SEARCH('F-VTA'!$F$33,Tabla11[[#This Row],[Cuenta]],1))</f>
        <v>1</v>
      </c>
      <c r="AO840" t="b">
        <f>+ISNUMBER(SEARCH('F-VTA'!$F$34,Tabla11[[#This Row],[Cuenta]],1))</f>
        <v>1</v>
      </c>
      <c r="AP840" t="b">
        <f>+ISNUMBER(SEARCH('F-VTA'!$F$35,Tabla11[[#This Row],[Cuenta]],1))</f>
        <v>1</v>
      </c>
      <c r="AQ840" t="b">
        <f>+ISNUMBER(SEARCH('F-VTA'!$F$36,Tabla11[[#This Row],[Cuenta]],1))</f>
        <v>1</v>
      </c>
      <c r="AR840" t="b">
        <f>+ISNUMBER(SEARCH(#REF!,Tabla11[[#This Row],[Cuenta]],1))</f>
        <v>0</v>
      </c>
      <c r="AS840" t="b">
        <f>+ISNUMBER(SEARCH(#REF!,Tabla11[[#This Row],[Cuenta]],1))</f>
        <v>0</v>
      </c>
      <c r="AT840" t="b">
        <f>+ISNUMBER(SEARCH(#REF!,Tabla11[[#This Row],[Cuenta]],1))</f>
        <v>0</v>
      </c>
      <c r="AU840" t="b">
        <f>+ISNUMBER(SEARCH('Conc. Ban.1'!$I$9,Tabla11[[#This Row],[Cuenta]],1))</f>
        <v>0</v>
      </c>
      <c r="AV840" t="b">
        <f>+ISNUMBER(SEARCH(CompConta!$F$21,Tabla11[[#This Row],[Cuenta]],1))</f>
        <v>1</v>
      </c>
      <c r="AW840" t="b">
        <f>+ISNUMBER(SEARCH(CompConta!$F$22,Tabla11[[#This Row],[Cuenta]],1))</f>
        <v>1</v>
      </c>
      <c r="AX840" t="b">
        <f>+ISNUMBER(SEARCH(CompConta!$F$23,Tabla11[[#This Row],[Cuenta]],1))</f>
        <v>1</v>
      </c>
      <c r="AY840" t="b">
        <f>+ISNUMBER(SEARCH(CompConta!$F$24,Tabla11[[#This Row],[Cuenta]],1))</f>
        <v>1</v>
      </c>
      <c r="AZ840" t="b">
        <f>+ISNUMBER(SEARCH(CompConta!$F$25,Tabla11[[#This Row],[Cuenta]],1))</f>
        <v>1</v>
      </c>
      <c r="BA840" t="b">
        <f>+ISNUMBER(SEARCH(CompConta!$F$26,Tabla11[[#This Row],[Cuenta]],1))</f>
        <v>1</v>
      </c>
      <c r="BB840" t="b">
        <f>+ISNUMBER(SEARCH(CompConta!$F$27,Tabla11[[#This Row],[Cuenta]],1))</f>
        <v>1</v>
      </c>
      <c r="BC840" t="b">
        <f>+ISNUMBER(SEARCH(CompConta!$F$28,Tabla11[[#This Row],[Cuenta]],1))</f>
        <v>1</v>
      </c>
      <c r="BD840" t="b">
        <f>+ISNUMBER(SEARCH(CompConta!$F$29,Tabla11[[#This Row],[Cuenta]],1))</f>
        <v>1</v>
      </c>
      <c r="BE840" t="b">
        <f>+ISNUMBER(SEARCH(CompConta!$F$30,Tabla11[[#This Row],[Cuenta]],1))</f>
        <v>1</v>
      </c>
      <c r="BF840" t="b">
        <f>+ISNUMBER(SEARCH('PAGO Compras'!$E$11,Tabla11[[#This Row],[Cuenta]],1))</f>
        <v>1</v>
      </c>
      <c r="BG840" t="b">
        <f>+ISNUMBER(SEARCH(#REF!,Tabla11[[#This Row],[Cuenta]],1))</f>
        <v>0</v>
      </c>
      <c r="BH840" t="b">
        <f>+ISNUMBER(SEARCH(#REF!,Tabla11[[#This Row],[Cuenta]],1))</f>
        <v>0</v>
      </c>
      <c r="BI840" t="b">
        <f>+ISNUMBER(SEARCH(#REF!,Tabla11[[#This Row],[Cuenta]],1))</f>
        <v>0</v>
      </c>
      <c r="BJ840" t="b">
        <f>+ISNUMBER(SEARCH(#REF!,Tabla11[[#This Row],[Cuenta]],1))</f>
        <v>0</v>
      </c>
      <c r="BS840" t="str">
        <v>513030 Terremoto</v>
      </c>
      <c r="BT840" t="str">
        <v>513030 Terremoto</v>
      </c>
      <c r="BU840" t="str">
        <v>513030 Terremoto</v>
      </c>
      <c r="BV840" t="str">
        <v>513030 Terremoto</v>
      </c>
      <c r="BZ840" t="str">
        <v>513030 Terremoto</v>
      </c>
      <c r="CA840" t="str">
        <v>513030 Terremoto</v>
      </c>
      <c r="CB840" t="str">
        <v>513030 Terremoto</v>
      </c>
      <c r="CC840" t="str">
        <v>513030 Terremoto</v>
      </c>
      <c r="CD840" t="str">
        <v>513030 Terremoto</v>
      </c>
      <c r="CE840" t="str">
        <v>513030 Terremoto</v>
      </c>
      <c r="CS840" s="141" t="str">
        <v>513030 Terremoto</v>
      </c>
      <c r="CT840" s="141" t="str">
        <v>513030 Terremoto</v>
      </c>
      <c r="CU840" s="141" t="str">
        <v>513030 Terremoto</v>
      </c>
      <c r="CV840" s="141" t="str">
        <v>513030 Terremoto</v>
      </c>
      <c r="CW840" s="141" t="str">
        <v>513030 Terremoto</v>
      </c>
      <c r="CX840" s="141" t="str">
        <v>513030 Terremoto</v>
      </c>
      <c r="CY840" s="141" t="str">
        <v>513030 Terremoto</v>
      </c>
      <c r="CZ840" s="141" t="str">
        <v>513030 Terremoto</v>
      </c>
      <c r="DA840" s="141" t="str">
        <v>513030 Terremoto</v>
      </c>
      <c r="DF840" t="str">
        <v>513030 Terremoto</v>
      </c>
      <c r="DG840" t="str">
        <v>513030 Terremoto</v>
      </c>
      <c r="DH840" t="str">
        <v>513030 Terremoto</v>
      </c>
      <c r="DI840" t="str">
        <v>513030 Terremoto</v>
      </c>
      <c r="DJ840" t="str">
        <v>513030 Terremoto</v>
      </c>
      <c r="DK840" t="str">
        <v>513030 Terremoto</v>
      </c>
      <c r="DL840" t="str">
        <v>513030 Terremoto</v>
      </c>
      <c r="DM840" t="str">
        <v>513030 Terremoto</v>
      </c>
      <c r="DN840" t="str">
        <v>513030 Terremoto</v>
      </c>
      <c r="DO840" t="str">
        <v>513030 Terremoto</v>
      </c>
      <c r="DP840" t="str">
        <v>513030 Terremoto</v>
      </c>
    </row>
    <row r="841" spans="4:120" ht="12.75">
      <c r="D841" s="7">
        <v>513035</v>
      </c>
      <c r="E841" s="6" t="s">
        <v>579</v>
      </c>
      <c r="F841" s="5">
        <v>4</v>
      </c>
      <c r="G841" s="34" t="s">
        <v>830</v>
      </c>
      <c r="H841" s="8" t="s">
        <v>32</v>
      </c>
      <c r="I841" t="b">
        <f>+ISNUMBER(SEARCH('F-COMPRA'!$F$28,Tabla11[[#This Row],[Cuenta]],1))</f>
        <v>1</v>
      </c>
      <c r="J841" t="b">
        <f>+ISNUMBER(SEARCH('F-COMPRA'!$F$29,Tabla11[[#This Row],[Cuenta]],1))</f>
        <v>1</v>
      </c>
      <c r="K841" t="b">
        <f>+ISNUMBER(SEARCH('F-COMPRA'!$F$30,Tabla11[[#This Row],[Cuenta]],1))</f>
        <v>1</v>
      </c>
      <c r="L841" t="b">
        <f>+ISNUMBER(SEARCH('F-COMPRA'!$F$31,Tabla11[[#This Row],[Cuenta]],1))</f>
        <v>1</v>
      </c>
      <c r="M841" t="b">
        <f>+ISNUMBER(SEARCH('F-COMPRA'!$G$25,Tabla11[[#This Row],[Cuenta]],1))</f>
        <v>0</v>
      </c>
      <c r="N841" t="b">
        <f>+ISNUMBER(SEARCH(#REF!,Tabla11[[#This Row],[Cuenta]],1))</f>
        <v>0</v>
      </c>
      <c r="O841" t="b">
        <f>+ISNUMBER(SEARCH(#REF!,Tabla11[[#This Row],[Cuenta]],1))</f>
        <v>0</v>
      </c>
      <c r="P841" t="b">
        <f>+ISNUMBER(SEARCH('F-COMPRA'!$F$32,Tabla11[[#This Row],[Cuenta]],1))</f>
        <v>1</v>
      </c>
      <c r="Q841" t="b">
        <f>+ISNUMBER(SEARCH('F-COMPRA'!$F$33,Tabla11[[#This Row],[Cuenta]],1))</f>
        <v>1</v>
      </c>
      <c r="R841" t="b">
        <f>+ISNUMBER(SEARCH('F-COMPRA'!$F$34,Tabla11[[#This Row],[Cuenta]],1))</f>
        <v>1</v>
      </c>
      <c r="S841" t="b">
        <f>+ISNUMBER(SEARCH('F-COMPRA'!$F$35,Tabla11[[#This Row],[Cuenta]],1))</f>
        <v>1</v>
      </c>
      <c r="T841" t="b">
        <f>+ISNUMBER(SEARCH('F-COMPRA'!$F$36,Tabla11[[#This Row],[Cuenta]],1))</f>
        <v>1</v>
      </c>
      <c r="U841" t="b">
        <f>+ISNUMBER(SEARCH('F-COMPRA'!$F$37,Tabla11[[#This Row],[Cuenta]],1))</f>
        <v>1</v>
      </c>
      <c r="V841" t="b">
        <f>+ISNUMBER(SEARCH(#REF!,Tabla11[[#This Row],[Cuenta]],1))</f>
        <v>0</v>
      </c>
      <c r="W841" t="b">
        <f>+ISNUMBER(SEARCH('F-COMPRA'!#REF!,Tabla11[[#This Row],[Cuenta]],1))</f>
        <v>0</v>
      </c>
      <c r="X841" t="b">
        <f>+ISNUMBER(SEARCH('F-COMPRA'!#REF!,Tabla11[[#This Row],[Cuenta]],1))</f>
        <v>0</v>
      </c>
      <c r="Y841" t="b">
        <f>+ISNUMBER(SEARCH('F-COMPRA'!#REF!,Tabla11[[#This Row],[Cuenta]],1))</f>
        <v>0</v>
      </c>
      <c r="Z841" t="b">
        <f>+ISNUMBER(SEARCH('F-COMPRA'!#REF!,Tabla11[[#This Row],[Cuenta]],1))</f>
        <v>0</v>
      </c>
      <c r="AA841" t="b">
        <f>+ISNUMBER(SEARCH('F-COMPRA'!#REF!,Tabla11[[#This Row],[Cuenta]],1))</f>
        <v>0</v>
      </c>
      <c r="AB841" t="b">
        <f>+ISNUMBER(SEARCH('F-COMPRA'!#REF!,Tabla11[[#This Row],[Cuenta]],1))</f>
        <v>0</v>
      </c>
      <c r="AC841" t="b">
        <f>+ISNUMBER(SEARCH('F-COMPRA'!#REF!,Tabla11[[#This Row],[Cuenta]],1))</f>
        <v>0</v>
      </c>
      <c r="AD841" t="b">
        <f>+ISNUMBER(SEARCH('F-COMPRA'!#REF!,Tabla11[[#This Row],[Cuenta]],1))</f>
        <v>0</v>
      </c>
      <c r="AE841" t="b">
        <f>+ISNUMBER(SEARCH('F-COMPRA'!#REF!,Tabla11[[#This Row],[Cuenta]],1))</f>
        <v>0</v>
      </c>
      <c r="AF841" t="b">
        <f>+ISNUMBER(SEARCH('F-VTA'!$G$23,Tabla11[[#This Row],[Cuenta]],1))</f>
        <v>0</v>
      </c>
      <c r="AG841" t="b">
        <f>+ISNUMBER(SEARCH('F-VTA'!$G$24,Tabla11[[#This Row],[Cuenta]],1))</f>
        <v>0</v>
      </c>
      <c r="AH841" t="b">
        <f>+ISNUMBER(SEARCH('F-VTA'!$G$25,Tabla11[[#This Row],[Cuenta]],1))</f>
        <v>0</v>
      </c>
      <c r="AI841" t="b">
        <f>+ISNUMBER(SEARCH('F-VTA'!$F$28,Tabla11[[#This Row],[Cuenta]],1))</f>
        <v>1</v>
      </c>
      <c r="AJ841" t="b">
        <f>+ISNUMBER(SEARCH('F-VTA'!$F$29,Tabla11[[#This Row],[Cuenta]],1))</f>
        <v>1</v>
      </c>
      <c r="AK841" t="b">
        <f>+ISNUMBER(SEARCH('F-VTA'!$F$30,Tabla11[[#This Row],[Cuenta]],1))</f>
        <v>1</v>
      </c>
      <c r="AL841" t="b">
        <f>+ISNUMBER(SEARCH('F-VTA'!$F$31,Tabla11[[#This Row],[Cuenta]],1))</f>
        <v>1</v>
      </c>
      <c r="AM841" t="b">
        <f>+ISNUMBER(SEARCH('F-VTA'!$F$32,Tabla11[[#This Row],[Cuenta]],1))</f>
        <v>1</v>
      </c>
      <c r="AN841" t="b">
        <f>+ISNUMBER(SEARCH('F-VTA'!$F$33,Tabla11[[#This Row],[Cuenta]],1))</f>
        <v>1</v>
      </c>
      <c r="AO841" t="b">
        <f>+ISNUMBER(SEARCH('F-VTA'!$F$34,Tabla11[[#This Row],[Cuenta]],1))</f>
        <v>1</v>
      </c>
      <c r="AP841" t="b">
        <f>+ISNUMBER(SEARCH('F-VTA'!$F$35,Tabla11[[#This Row],[Cuenta]],1))</f>
        <v>1</v>
      </c>
      <c r="AQ841" t="b">
        <f>+ISNUMBER(SEARCH('F-VTA'!$F$36,Tabla11[[#This Row],[Cuenta]],1))</f>
        <v>1</v>
      </c>
      <c r="AR841" t="b">
        <f>+ISNUMBER(SEARCH(#REF!,Tabla11[[#This Row],[Cuenta]],1))</f>
        <v>0</v>
      </c>
      <c r="AS841" t="b">
        <f>+ISNUMBER(SEARCH(#REF!,Tabla11[[#This Row],[Cuenta]],1))</f>
        <v>0</v>
      </c>
      <c r="AT841" t="b">
        <f>+ISNUMBER(SEARCH(#REF!,Tabla11[[#This Row],[Cuenta]],1))</f>
        <v>0</v>
      </c>
      <c r="AU841" t="b">
        <f>+ISNUMBER(SEARCH('Conc. Ban.1'!$I$9,Tabla11[[#This Row],[Cuenta]],1))</f>
        <v>0</v>
      </c>
      <c r="AV841" t="b">
        <f>+ISNUMBER(SEARCH(CompConta!$F$21,Tabla11[[#This Row],[Cuenta]],1))</f>
        <v>1</v>
      </c>
      <c r="AW841" t="b">
        <f>+ISNUMBER(SEARCH(CompConta!$F$22,Tabla11[[#This Row],[Cuenta]],1))</f>
        <v>1</v>
      </c>
      <c r="AX841" t="b">
        <f>+ISNUMBER(SEARCH(CompConta!$F$23,Tabla11[[#This Row],[Cuenta]],1))</f>
        <v>1</v>
      </c>
      <c r="AY841" t="b">
        <f>+ISNUMBER(SEARCH(CompConta!$F$24,Tabla11[[#This Row],[Cuenta]],1))</f>
        <v>1</v>
      </c>
      <c r="AZ841" t="b">
        <f>+ISNUMBER(SEARCH(CompConta!$F$25,Tabla11[[#This Row],[Cuenta]],1))</f>
        <v>1</v>
      </c>
      <c r="BA841" t="b">
        <f>+ISNUMBER(SEARCH(CompConta!$F$26,Tabla11[[#This Row],[Cuenta]],1))</f>
        <v>1</v>
      </c>
      <c r="BB841" t="b">
        <f>+ISNUMBER(SEARCH(CompConta!$F$27,Tabla11[[#This Row],[Cuenta]],1))</f>
        <v>1</v>
      </c>
      <c r="BC841" t="b">
        <f>+ISNUMBER(SEARCH(CompConta!$F$28,Tabla11[[#This Row],[Cuenta]],1))</f>
        <v>1</v>
      </c>
      <c r="BD841" t="b">
        <f>+ISNUMBER(SEARCH(CompConta!$F$29,Tabla11[[#This Row],[Cuenta]],1))</f>
        <v>1</v>
      </c>
      <c r="BE841" t="b">
        <f>+ISNUMBER(SEARCH(CompConta!$F$30,Tabla11[[#This Row],[Cuenta]],1))</f>
        <v>1</v>
      </c>
      <c r="BF841" t="b">
        <f>+ISNUMBER(SEARCH('PAGO Compras'!$E$11,Tabla11[[#This Row],[Cuenta]],1))</f>
        <v>1</v>
      </c>
      <c r="BG841" t="b">
        <f>+ISNUMBER(SEARCH(#REF!,Tabla11[[#This Row],[Cuenta]],1))</f>
        <v>0</v>
      </c>
      <c r="BH841" t="b">
        <f>+ISNUMBER(SEARCH(#REF!,Tabla11[[#This Row],[Cuenta]],1))</f>
        <v>0</v>
      </c>
      <c r="BI841" t="b">
        <f>+ISNUMBER(SEARCH(#REF!,Tabla11[[#This Row],[Cuenta]],1))</f>
        <v>0</v>
      </c>
      <c r="BJ841" t="b">
        <f>+ISNUMBER(SEARCH(#REF!,Tabla11[[#This Row],[Cuenta]],1))</f>
        <v>0</v>
      </c>
      <c r="BS841" t="str">
        <v>513035 Sustracción y hurto</v>
      </c>
      <c r="BT841" t="str">
        <v>513035 Sustracción y hurto</v>
      </c>
      <c r="BU841" t="str">
        <v>513035 Sustracción y hurto</v>
      </c>
      <c r="BV841" t="str">
        <v>513035 Sustracción y hurto</v>
      </c>
      <c r="BZ841" t="str">
        <v>513035 Sustracción y hurto</v>
      </c>
      <c r="CA841" t="str">
        <v>513035 Sustracción y hurto</v>
      </c>
      <c r="CB841" t="str">
        <v>513035 Sustracción y hurto</v>
      </c>
      <c r="CC841" t="str">
        <v>513035 Sustracción y hurto</v>
      </c>
      <c r="CD841" t="str">
        <v>513035 Sustracción y hurto</v>
      </c>
      <c r="CE841" t="str">
        <v>513035 Sustracción y hurto</v>
      </c>
      <c r="CS841" s="141" t="str">
        <v>513035 Sustracción y hurto</v>
      </c>
      <c r="CT841" s="141" t="str">
        <v>513035 Sustracción y hurto</v>
      </c>
      <c r="CU841" s="141" t="str">
        <v>513035 Sustracción y hurto</v>
      </c>
      <c r="CV841" s="141" t="str">
        <v>513035 Sustracción y hurto</v>
      </c>
      <c r="CW841" s="141" t="str">
        <v>513035 Sustracción y hurto</v>
      </c>
      <c r="CX841" s="141" t="str">
        <v>513035 Sustracción y hurto</v>
      </c>
      <c r="CY841" s="141" t="str">
        <v>513035 Sustracción y hurto</v>
      </c>
      <c r="CZ841" s="141" t="str">
        <v>513035 Sustracción y hurto</v>
      </c>
      <c r="DA841" s="141" t="str">
        <v>513035 Sustracción y hurto</v>
      </c>
      <c r="DF841" t="str">
        <v>513035 Sustracción y hurto</v>
      </c>
      <c r="DG841" t="str">
        <v>513035 Sustracción y hurto</v>
      </c>
      <c r="DH841" t="str">
        <v>513035 Sustracción y hurto</v>
      </c>
      <c r="DI841" t="str">
        <v>513035 Sustracción y hurto</v>
      </c>
      <c r="DJ841" t="str">
        <v>513035 Sustracción y hurto</v>
      </c>
      <c r="DK841" t="str">
        <v>513035 Sustracción y hurto</v>
      </c>
      <c r="DL841" t="str">
        <v>513035 Sustracción y hurto</v>
      </c>
      <c r="DM841" t="str">
        <v>513035 Sustracción y hurto</v>
      </c>
      <c r="DN841" t="str">
        <v>513035 Sustracción y hurto</v>
      </c>
      <c r="DO841" t="str">
        <v>513035 Sustracción y hurto</v>
      </c>
      <c r="DP841" t="str">
        <v>513035 Sustracción y hurto</v>
      </c>
    </row>
    <row r="842" spans="4:120" ht="12.75">
      <c r="D842" s="7">
        <v>513040</v>
      </c>
      <c r="E842" s="6" t="s">
        <v>133</v>
      </c>
      <c r="F842" s="5">
        <v>4</v>
      </c>
      <c r="G842" s="34" t="s">
        <v>830</v>
      </c>
      <c r="H842" s="8" t="s">
        <v>32</v>
      </c>
      <c r="I842" t="b">
        <f>+ISNUMBER(SEARCH('F-COMPRA'!$F$28,Tabla11[[#This Row],[Cuenta]],1))</f>
        <v>1</v>
      </c>
      <c r="J842" t="b">
        <f>+ISNUMBER(SEARCH('F-COMPRA'!$F$29,Tabla11[[#This Row],[Cuenta]],1))</f>
        <v>1</v>
      </c>
      <c r="K842" t="b">
        <f>+ISNUMBER(SEARCH('F-COMPRA'!$F$30,Tabla11[[#This Row],[Cuenta]],1))</f>
        <v>1</v>
      </c>
      <c r="L842" t="b">
        <f>+ISNUMBER(SEARCH('F-COMPRA'!$F$31,Tabla11[[#This Row],[Cuenta]],1))</f>
        <v>1</v>
      </c>
      <c r="M842" t="b">
        <f>+ISNUMBER(SEARCH('F-COMPRA'!$G$25,Tabla11[[#This Row],[Cuenta]],1))</f>
        <v>0</v>
      </c>
      <c r="N842" t="b">
        <f>+ISNUMBER(SEARCH(#REF!,Tabla11[[#This Row],[Cuenta]],1))</f>
        <v>0</v>
      </c>
      <c r="O842" t="b">
        <f>+ISNUMBER(SEARCH(#REF!,Tabla11[[#This Row],[Cuenta]],1))</f>
        <v>0</v>
      </c>
      <c r="P842" t="b">
        <f>+ISNUMBER(SEARCH('F-COMPRA'!$F$32,Tabla11[[#This Row],[Cuenta]],1))</f>
        <v>1</v>
      </c>
      <c r="Q842" t="b">
        <f>+ISNUMBER(SEARCH('F-COMPRA'!$F$33,Tabla11[[#This Row],[Cuenta]],1))</f>
        <v>1</v>
      </c>
      <c r="R842" t="b">
        <f>+ISNUMBER(SEARCH('F-COMPRA'!$F$34,Tabla11[[#This Row],[Cuenta]],1))</f>
        <v>1</v>
      </c>
      <c r="S842" t="b">
        <f>+ISNUMBER(SEARCH('F-COMPRA'!$F$35,Tabla11[[#This Row],[Cuenta]],1))</f>
        <v>1</v>
      </c>
      <c r="T842" t="b">
        <f>+ISNUMBER(SEARCH('F-COMPRA'!$F$36,Tabla11[[#This Row],[Cuenta]],1))</f>
        <v>1</v>
      </c>
      <c r="U842" t="b">
        <f>+ISNUMBER(SEARCH('F-COMPRA'!$F$37,Tabla11[[#This Row],[Cuenta]],1))</f>
        <v>1</v>
      </c>
      <c r="V842" t="b">
        <f>+ISNUMBER(SEARCH(#REF!,Tabla11[[#This Row],[Cuenta]],1))</f>
        <v>0</v>
      </c>
      <c r="W842" t="b">
        <f>+ISNUMBER(SEARCH('F-COMPRA'!#REF!,Tabla11[[#This Row],[Cuenta]],1))</f>
        <v>0</v>
      </c>
      <c r="X842" t="b">
        <f>+ISNUMBER(SEARCH('F-COMPRA'!#REF!,Tabla11[[#This Row],[Cuenta]],1))</f>
        <v>0</v>
      </c>
      <c r="Y842" t="b">
        <f>+ISNUMBER(SEARCH('F-COMPRA'!#REF!,Tabla11[[#This Row],[Cuenta]],1))</f>
        <v>0</v>
      </c>
      <c r="Z842" t="b">
        <f>+ISNUMBER(SEARCH('F-COMPRA'!#REF!,Tabla11[[#This Row],[Cuenta]],1))</f>
        <v>0</v>
      </c>
      <c r="AA842" t="b">
        <f>+ISNUMBER(SEARCH('F-COMPRA'!#REF!,Tabla11[[#This Row],[Cuenta]],1))</f>
        <v>0</v>
      </c>
      <c r="AB842" t="b">
        <f>+ISNUMBER(SEARCH('F-COMPRA'!#REF!,Tabla11[[#This Row],[Cuenta]],1))</f>
        <v>0</v>
      </c>
      <c r="AC842" t="b">
        <f>+ISNUMBER(SEARCH('F-COMPRA'!#REF!,Tabla11[[#This Row],[Cuenta]],1))</f>
        <v>0</v>
      </c>
      <c r="AD842" t="b">
        <f>+ISNUMBER(SEARCH('F-COMPRA'!#REF!,Tabla11[[#This Row],[Cuenta]],1))</f>
        <v>0</v>
      </c>
      <c r="AE842" t="b">
        <f>+ISNUMBER(SEARCH('F-COMPRA'!#REF!,Tabla11[[#This Row],[Cuenta]],1))</f>
        <v>0</v>
      </c>
      <c r="AF842" t="b">
        <f>+ISNUMBER(SEARCH('F-VTA'!$G$23,Tabla11[[#This Row],[Cuenta]],1))</f>
        <v>0</v>
      </c>
      <c r="AG842" t="b">
        <f>+ISNUMBER(SEARCH('F-VTA'!$G$24,Tabla11[[#This Row],[Cuenta]],1))</f>
        <v>0</v>
      </c>
      <c r="AH842" t="b">
        <f>+ISNUMBER(SEARCH('F-VTA'!$G$25,Tabla11[[#This Row],[Cuenta]],1))</f>
        <v>0</v>
      </c>
      <c r="AI842" t="b">
        <f>+ISNUMBER(SEARCH('F-VTA'!$F$28,Tabla11[[#This Row],[Cuenta]],1))</f>
        <v>1</v>
      </c>
      <c r="AJ842" t="b">
        <f>+ISNUMBER(SEARCH('F-VTA'!$F$29,Tabla11[[#This Row],[Cuenta]],1))</f>
        <v>1</v>
      </c>
      <c r="AK842" t="b">
        <f>+ISNUMBER(SEARCH('F-VTA'!$F$30,Tabla11[[#This Row],[Cuenta]],1))</f>
        <v>1</v>
      </c>
      <c r="AL842" t="b">
        <f>+ISNUMBER(SEARCH('F-VTA'!$F$31,Tabla11[[#This Row],[Cuenta]],1))</f>
        <v>1</v>
      </c>
      <c r="AM842" t="b">
        <f>+ISNUMBER(SEARCH('F-VTA'!$F$32,Tabla11[[#This Row],[Cuenta]],1))</f>
        <v>1</v>
      </c>
      <c r="AN842" t="b">
        <f>+ISNUMBER(SEARCH('F-VTA'!$F$33,Tabla11[[#This Row],[Cuenta]],1))</f>
        <v>1</v>
      </c>
      <c r="AO842" t="b">
        <f>+ISNUMBER(SEARCH('F-VTA'!$F$34,Tabla11[[#This Row],[Cuenta]],1))</f>
        <v>1</v>
      </c>
      <c r="AP842" t="b">
        <f>+ISNUMBER(SEARCH('F-VTA'!$F$35,Tabla11[[#This Row],[Cuenta]],1))</f>
        <v>1</v>
      </c>
      <c r="AQ842" t="b">
        <f>+ISNUMBER(SEARCH('F-VTA'!$F$36,Tabla11[[#This Row],[Cuenta]],1))</f>
        <v>1</v>
      </c>
      <c r="AR842" t="b">
        <f>+ISNUMBER(SEARCH(#REF!,Tabla11[[#This Row],[Cuenta]],1))</f>
        <v>0</v>
      </c>
      <c r="AS842" t="b">
        <f>+ISNUMBER(SEARCH(#REF!,Tabla11[[#This Row],[Cuenta]],1))</f>
        <v>0</v>
      </c>
      <c r="AT842" t="b">
        <f>+ISNUMBER(SEARCH(#REF!,Tabla11[[#This Row],[Cuenta]],1))</f>
        <v>0</v>
      </c>
      <c r="AU842" t="b">
        <f>+ISNUMBER(SEARCH('Conc. Ban.1'!$I$9,Tabla11[[#This Row],[Cuenta]],1))</f>
        <v>0</v>
      </c>
      <c r="AV842" t="b">
        <f>+ISNUMBER(SEARCH(CompConta!$F$21,Tabla11[[#This Row],[Cuenta]],1))</f>
        <v>1</v>
      </c>
      <c r="AW842" t="b">
        <f>+ISNUMBER(SEARCH(CompConta!$F$22,Tabla11[[#This Row],[Cuenta]],1))</f>
        <v>1</v>
      </c>
      <c r="AX842" t="b">
        <f>+ISNUMBER(SEARCH(CompConta!$F$23,Tabla11[[#This Row],[Cuenta]],1))</f>
        <v>1</v>
      </c>
      <c r="AY842" t="b">
        <f>+ISNUMBER(SEARCH(CompConta!$F$24,Tabla11[[#This Row],[Cuenta]],1))</f>
        <v>1</v>
      </c>
      <c r="AZ842" t="b">
        <f>+ISNUMBER(SEARCH(CompConta!$F$25,Tabla11[[#This Row],[Cuenta]],1))</f>
        <v>1</v>
      </c>
      <c r="BA842" t="b">
        <f>+ISNUMBER(SEARCH(CompConta!$F$26,Tabla11[[#This Row],[Cuenta]],1))</f>
        <v>1</v>
      </c>
      <c r="BB842" t="b">
        <f>+ISNUMBER(SEARCH(CompConta!$F$27,Tabla11[[#This Row],[Cuenta]],1))</f>
        <v>1</v>
      </c>
      <c r="BC842" t="b">
        <f>+ISNUMBER(SEARCH(CompConta!$F$28,Tabla11[[#This Row],[Cuenta]],1))</f>
        <v>1</v>
      </c>
      <c r="BD842" t="b">
        <f>+ISNUMBER(SEARCH(CompConta!$F$29,Tabla11[[#This Row],[Cuenta]],1))</f>
        <v>1</v>
      </c>
      <c r="BE842" t="b">
        <f>+ISNUMBER(SEARCH(CompConta!$F$30,Tabla11[[#This Row],[Cuenta]],1))</f>
        <v>1</v>
      </c>
      <c r="BF842" t="b">
        <f>+ISNUMBER(SEARCH('PAGO Compras'!$E$11,Tabla11[[#This Row],[Cuenta]],1))</f>
        <v>1</v>
      </c>
      <c r="BG842" t="b">
        <f>+ISNUMBER(SEARCH(#REF!,Tabla11[[#This Row],[Cuenta]],1))</f>
        <v>0</v>
      </c>
      <c r="BH842" t="b">
        <f>+ISNUMBER(SEARCH(#REF!,Tabla11[[#This Row],[Cuenta]],1))</f>
        <v>0</v>
      </c>
      <c r="BI842" t="b">
        <f>+ISNUMBER(SEARCH(#REF!,Tabla11[[#This Row],[Cuenta]],1))</f>
        <v>0</v>
      </c>
      <c r="BJ842" t="b">
        <f>+ISNUMBER(SEARCH(#REF!,Tabla11[[#This Row],[Cuenta]],1))</f>
        <v>0</v>
      </c>
      <c r="BS842" t="str">
        <v>513040 Flota y equipo de transporte</v>
      </c>
      <c r="BT842" t="str">
        <v>513040 Flota y equipo de transporte</v>
      </c>
      <c r="BU842" t="str">
        <v>513040 Flota y equipo de transporte</v>
      </c>
      <c r="BV842" t="str">
        <v>513040 Flota y equipo de transporte</v>
      </c>
      <c r="BZ842" t="str">
        <v>513040 Flota y equipo de transporte</v>
      </c>
      <c r="CA842" t="str">
        <v>513040 Flota y equipo de transporte</v>
      </c>
      <c r="CB842" t="str">
        <v>513040 Flota y equipo de transporte</v>
      </c>
      <c r="CC842" t="str">
        <v>513040 Flota y equipo de transporte</v>
      </c>
      <c r="CD842" t="str">
        <v>513040 Flota y equipo de transporte</v>
      </c>
      <c r="CE842" t="str">
        <v>513040 Flota y equipo de transporte</v>
      </c>
      <c r="CS842" s="141" t="str">
        <v>513040 Flota y equipo de transporte</v>
      </c>
      <c r="CT842" s="141" t="str">
        <v>513040 Flota y equipo de transporte</v>
      </c>
      <c r="CU842" s="141" t="str">
        <v>513040 Flota y equipo de transporte</v>
      </c>
      <c r="CV842" s="141" t="str">
        <v>513040 Flota y equipo de transporte</v>
      </c>
      <c r="CW842" s="141" t="str">
        <v>513040 Flota y equipo de transporte</v>
      </c>
      <c r="CX842" s="141" t="str">
        <v>513040 Flota y equipo de transporte</v>
      </c>
      <c r="CY842" s="141" t="str">
        <v>513040 Flota y equipo de transporte</v>
      </c>
      <c r="CZ842" s="141" t="str">
        <v>513040 Flota y equipo de transporte</v>
      </c>
      <c r="DA842" s="141" t="str">
        <v>513040 Flota y equipo de transporte</v>
      </c>
      <c r="DF842" t="str">
        <v>513040 Flota y equipo de transporte</v>
      </c>
      <c r="DG842" t="str">
        <v>513040 Flota y equipo de transporte</v>
      </c>
      <c r="DH842" t="str">
        <v>513040 Flota y equipo de transporte</v>
      </c>
      <c r="DI842" t="str">
        <v>513040 Flota y equipo de transporte</v>
      </c>
      <c r="DJ842" t="str">
        <v>513040 Flota y equipo de transporte</v>
      </c>
      <c r="DK842" t="str">
        <v>513040 Flota y equipo de transporte</v>
      </c>
      <c r="DL842" t="str">
        <v>513040 Flota y equipo de transporte</v>
      </c>
      <c r="DM842" t="str">
        <v>513040 Flota y equipo de transporte</v>
      </c>
      <c r="DN842" t="str">
        <v>513040 Flota y equipo de transporte</v>
      </c>
      <c r="DO842" t="str">
        <v>513040 Flota y equipo de transporte</v>
      </c>
      <c r="DP842" t="str">
        <v>513040 Flota y equipo de transporte</v>
      </c>
    </row>
    <row r="843" spans="4:120" ht="12.75">
      <c r="D843" s="7">
        <v>513045</v>
      </c>
      <c r="E843" s="6" t="s">
        <v>134</v>
      </c>
      <c r="F843" s="5">
        <v>4</v>
      </c>
      <c r="G843" s="34" t="s">
        <v>830</v>
      </c>
      <c r="H843" s="8" t="s">
        <v>32</v>
      </c>
      <c r="I843" t="b">
        <f>+ISNUMBER(SEARCH('F-COMPRA'!$F$28,Tabla11[[#This Row],[Cuenta]],1))</f>
        <v>1</v>
      </c>
      <c r="J843" t="b">
        <f>+ISNUMBER(SEARCH('F-COMPRA'!$F$29,Tabla11[[#This Row],[Cuenta]],1))</f>
        <v>1</v>
      </c>
      <c r="K843" t="b">
        <f>+ISNUMBER(SEARCH('F-COMPRA'!$F$30,Tabla11[[#This Row],[Cuenta]],1))</f>
        <v>1</v>
      </c>
      <c r="L843" t="b">
        <f>+ISNUMBER(SEARCH('F-COMPRA'!$F$31,Tabla11[[#This Row],[Cuenta]],1))</f>
        <v>1</v>
      </c>
      <c r="M843" t="b">
        <f>+ISNUMBER(SEARCH('F-COMPRA'!$G$25,Tabla11[[#This Row],[Cuenta]],1))</f>
        <v>0</v>
      </c>
      <c r="N843" t="b">
        <f>+ISNUMBER(SEARCH(#REF!,Tabla11[[#This Row],[Cuenta]],1))</f>
        <v>0</v>
      </c>
      <c r="O843" t="b">
        <f>+ISNUMBER(SEARCH(#REF!,Tabla11[[#This Row],[Cuenta]],1))</f>
        <v>0</v>
      </c>
      <c r="P843" t="b">
        <f>+ISNUMBER(SEARCH('F-COMPRA'!$F$32,Tabla11[[#This Row],[Cuenta]],1))</f>
        <v>1</v>
      </c>
      <c r="Q843" t="b">
        <f>+ISNUMBER(SEARCH('F-COMPRA'!$F$33,Tabla11[[#This Row],[Cuenta]],1))</f>
        <v>1</v>
      </c>
      <c r="R843" t="b">
        <f>+ISNUMBER(SEARCH('F-COMPRA'!$F$34,Tabla11[[#This Row],[Cuenta]],1))</f>
        <v>1</v>
      </c>
      <c r="S843" t="b">
        <f>+ISNUMBER(SEARCH('F-COMPRA'!$F$35,Tabla11[[#This Row],[Cuenta]],1))</f>
        <v>1</v>
      </c>
      <c r="T843" t="b">
        <f>+ISNUMBER(SEARCH('F-COMPRA'!$F$36,Tabla11[[#This Row],[Cuenta]],1))</f>
        <v>1</v>
      </c>
      <c r="U843" t="b">
        <f>+ISNUMBER(SEARCH('F-COMPRA'!$F$37,Tabla11[[#This Row],[Cuenta]],1))</f>
        <v>1</v>
      </c>
      <c r="V843" t="b">
        <f>+ISNUMBER(SEARCH(#REF!,Tabla11[[#This Row],[Cuenta]],1))</f>
        <v>0</v>
      </c>
      <c r="W843" t="b">
        <f>+ISNUMBER(SEARCH('F-COMPRA'!#REF!,Tabla11[[#This Row],[Cuenta]],1))</f>
        <v>0</v>
      </c>
      <c r="X843" t="b">
        <f>+ISNUMBER(SEARCH('F-COMPRA'!#REF!,Tabla11[[#This Row],[Cuenta]],1))</f>
        <v>0</v>
      </c>
      <c r="Y843" t="b">
        <f>+ISNUMBER(SEARCH('F-COMPRA'!#REF!,Tabla11[[#This Row],[Cuenta]],1))</f>
        <v>0</v>
      </c>
      <c r="Z843" t="b">
        <f>+ISNUMBER(SEARCH('F-COMPRA'!#REF!,Tabla11[[#This Row],[Cuenta]],1))</f>
        <v>0</v>
      </c>
      <c r="AA843" t="b">
        <f>+ISNUMBER(SEARCH('F-COMPRA'!#REF!,Tabla11[[#This Row],[Cuenta]],1))</f>
        <v>0</v>
      </c>
      <c r="AB843" t="b">
        <f>+ISNUMBER(SEARCH('F-COMPRA'!#REF!,Tabla11[[#This Row],[Cuenta]],1))</f>
        <v>0</v>
      </c>
      <c r="AC843" t="b">
        <f>+ISNUMBER(SEARCH('F-COMPRA'!#REF!,Tabla11[[#This Row],[Cuenta]],1))</f>
        <v>0</v>
      </c>
      <c r="AD843" t="b">
        <f>+ISNUMBER(SEARCH('F-COMPRA'!#REF!,Tabla11[[#This Row],[Cuenta]],1))</f>
        <v>0</v>
      </c>
      <c r="AE843" t="b">
        <f>+ISNUMBER(SEARCH('F-COMPRA'!#REF!,Tabla11[[#This Row],[Cuenta]],1))</f>
        <v>0</v>
      </c>
      <c r="AF843" t="b">
        <f>+ISNUMBER(SEARCH('F-VTA'!$G$23,Tabla11[[#This Row],[Cuenta]],1))</f>
        <v>0</v>
      </c>
      <c r="AG843" t="b">
        <f>+ISNUMBER(SEARCH('F-VTA'!$G$24,Tabla11[[#This Row],[Cuenta]],1))</f>
        <v>0</v>
      </c>
      <c r="AH843" t="b">
        <f>+ISNUMBER(SEARCH('F-VTA'!$G$25,Tabla11[[#This Row],[Cuenta]],1))</f>
        <v>0</v>
      </c>
      <c r="AI843" t="b">
        <f>+ISNUMBER(SEARCH('F-VTA'!$F$28,Tabla11[[#This Row],[Cuenta]],1))</f>
        <v>1</v>
      </c>
      <c r="AJ843" t="b">
        <f>+ISNUMBER(SEARCH('F-VTA'!$F$29,Tabla11[[#This Row],[Cuenta]],1))</f>
        <v>1</v>
      </c>
      <c r="AK843" t="b">
        <f>+ISNUMBER(SEARCH('F-VTA'!$F$30,Tabla11[[#This Row],[Cuenta]],1))</f>
        <v>1</v>
      </c>
      <c r="AL843" t="b">
        <f>+ISNUMBER(SEARCH('F-VTA'!$F$31,Tabla11[[#This Row],[Cuenta]],1))</f>
        <v>1</v>
      </c>
      <c r="AM843" t="b">
        <f>+ISNUMBER(SEARCH('F-VTA'!$F$32,Tabla11[[#This Row],[Cuenta]],1))</f>
        <v>1</v>
      </c>
      <c r="AN843" t="b">
        <f>+ISNUMBER(SEARCH('F-VTA'!$F$33,Tabla11[[#This Row],[Cuenta]],1))</f>
        <v>1</v>
      </c>
      <c r="AO843" t="b">
        <f>+ISNUMBER(SEARCH('F-VTA'!$F$34,Tabla11[[#This Row],[Cuenta]],1))</f>
        <v>1</v>
      </c>
      <c r="AP843" t="b">
        <f>+ISNUMBER(SEARCH('F-VTA'!$F$35,Tabla11[[#This Row],[Cuenta]],1))</f>
        <v>1</v>
      </c>
      <c r="AQ843" t="b">
        <f>+ISNUMBER(SEARCH('F-VTA'!$F$36,Tabla11[[#This Row],[Cuenta]],1))</f>
        <v>1</v>
      </c>
      <c r="AR843" t="b">
        <f>+ISNUMBER(SEARCH(#REF!,Tabla11[[#This Row],[Cuenta]],1))</f>
        <v>0</v>
      </c>
      <c r="AS843" t="b">
        <f>+ISNUMBER(SEARCH(#REF!,Tabla11[[#This Row],[Cuenta]],1))</f>
        <v>0</v>
      </c>
      <c r="AT843" t="b">
        <f>+ISNUMBER(SEARCH(#REF!,Tabla11[[#This Row],[Cuenta]],1))</f>
        <v>0</v>
      </c>
      <c r="AU843" t="b">
        <f>+ISNUMBER(SEARCH('Conc. Ban.1'!$I$9,Tabla11[[#This Row],[Cuenta]],1))</f>
        <v>0</v>
      </c>
      <c r="AV843" t="b">
        <f>+ISNUMBER(SEARCH(CompConta!$F$21,Tabla11[[#This Row],[Cuenta]],1))</f>
        <v>1</v>
      </c>
      <c r="AW843" t="b">
        <f>+ISNUMBER(SEARCH(CompConta!$F$22,Tabla11[[#This Row],[Cuenta]],1))</f>
        <v>1</v>
      </c>
      <c r="AX843" t="b">
        <f>+ISNUMBER(SEARCH(CompConta!$F$23,Tabla11[[#This Row],[Cuenta]],1))</f>
        <v>1</v>
      </c>
      <c r="AY843" t="b">
        <f>+ISNUMBER(SEARCH(CompConta!$F$24,Tabla11[[#This Row],[Cuenta]],1))</f>
        <v>1</v>
      </c>
      <c r="AZ843" t="b">
        <f>+ISNUMBER(SEARCH(CompConta!$F$25,Tabla11[[#This Row],[Cuenta]],1))</f>
        <v>1</v>
      </c>
      <c r="BA843" t="b">
        <f>+ISNUMBER(SEARCH(CompConta!$F$26,Tabla11[[#This Row],[Cuenta]],1))</f>
        <v>1</v>
      </c>
      <c r="BB843" t="b">
        <f>+ISNUMBER(SEARCH(CompConta!$F$27,Tabla11[[#This Row],[Cuenta]],1))</f>
        <v>1</v>
      </c>
      <c r="BC843" t="b">
        <f>+ISNUMBER(SEARCH(CompConta!$F$28,Tabla11[[#This Row],[Cuenta]],1))</f>
        <v>1</v>
      </c>
      <c r="BD843" t="b">
        <f>+ISNUMBER(SEARCH(CompConta!$F$29,Tabla11[[#This Row],[Cuenta]],1))</f>
        <v>1</v>
      </c>
      <c r="BE843" t="b">
        <f>+ISNUMBER(SEARCH(CompConta!$F$30,Tabla11[[#This Row],[Cuenta]],1))</f>
        <v>1</v>
      </c>
      <c r="BF843" t="b">
        <f>+ISNUMBER(SEARCH('PAGO Compras'!$E$11,Tabla11[[#This Row],[Cuenta]],1))</f>
        <v>1</v>
      </c>
      <c r="BG843" t="b">
        <f>+ISNUMBER(SEARCH(#REF!,Tabla11[[#This Row],[Cuenta]],1))</f>
        <v>0</v>
      </c>
      <c r="BH843" t="b">
        <f>+ISNUMBER(SEARCH(#REF!,Tabla11[[#This Row],[Cuenta]],1))</f>
        <v>0</v>
      </c>
      <c r="BI843" t="b">
        <f>+ISNUMBER(SEARCH(#REF!,Tabla11[[#This Row],[Cuenta]],1))</f>
        <v>0</v>
      </c>
      <c r="BJ843" t="b">
        <f>+ISNUMBER(SEARCH(#REF!,Tabla11[[#This Row],[Cuenta]],1))</f>
        <v>0</v>
      </c>
      <c r="BS843" t="str">
        <v>513045 Flota y equipo fluvial y/o marítimo</v>
      </c>
      <c r="BT843" t="str">
        <v>513045 Flota y equipo fluvial y/o marítimo</v>
      </c>
      <c r="BU843" t="str">
        <v>513045 Flota y equipo fluvial y/o marítimo</v>
      </c>
      <c r="BV843" t="str">
        <v>513045 Flota y equipo fluvial y/o marítimo</v>
      </c>
      <c r="BZ843" t="str">
        <v>513045 Flota y equipo fluvial y/o marítimo</v>
      </c>
      <c r="CA843" t="str">
        <v>513045 Flota y equipo fluvial y/o marítimo</v>
      </c>
      <c r="CB843" t="str">
        <v>513045 Flota y equipo fluvial y/o marítimo</v>
      </c>
      <c r="CC843" t="str">
        <v>513045 Flota y equipo fluvial y/o marítimo</v>
      </c>
      <c r="CD843" t="str">
        <v>513045 Flota y equipo fluvial y/o marítimo</v>
      </c>
      <c r="CE843" t="str">
        <v>513045 Flota y equipo fluvial y/o marítimo</v>
      </c>
      <c r="CS843" s="141" t="str">
        <v>513045 Flota y equipo fluvial y/o marítimo</v>
      </c>
      <c r="CT843" s="141" t="str">
        <v>513045 Flota y equipo fluvial y/o marítimo</v>
      </c>
      <c r="CU843" s="141" t="str">
        <v>513045 Flota y equipo fluvial y/o marítimo</v>
      </c>
      <c r="CV843" s="141" t="str">
        <v>513045 Flota y equipo fluvial y/o marítimo</v>
      </c>
      <c r="CW843" s="141" t="str">
        <v>513045 Flota y equipo fluvial y/o marítimo</v>
      </c>
      <c r="CX843" s="141" t="str">
        <v>513045 Flota y equipo fluvial y/o marítimo</v>
      </c>
      <c r="CY843" s="141" t="str">
        <v>513045 Flota y equipo fluvial y/o marítimo</v>
      </c>
      <c r="CZ843" s="141" t="str">
        <v>513045 Flota y equipo fluvial y/o marítimo</v>
      </c>
      <c r="DA843" s="141" t="str">
        <v>513045 Flota y equipo fluvial y/o marítimo</v>
      </c>
      <c r="DF843" t="str">
        <v>513045 Flota y equipo fluvial y/o marítimo</v>
      </c>
      <c r="DG843" t="str">
        <v>513045 Flota y equipo fluvial y/o marítimo</v>
      </c>
      <c r="DH843" t="str">
        <v>513045 Flota y equipo fluvial y/o marítimo</v>
      </c>
      <c r="DI843" t="str">
        <v>513045 Flota y equipo fluvial y/o marítimo</v>
      </c>
      <c r="DJ843" t="str">
        <v>513045 Flota y equipo fluvial y/o marítimo</v>
      </c>
      <c r="DK843" t="str">
        <v>513045 Flota y equipo fluvial y/o marítimo</v>
      </c>
      <c r="DL843" t="str">
        <v>513045 Flota y equipo fluvial y/o marítimo</v>
      </c>
      <c r="DM843" t="str">
        <v>513045 Flota y equipo fluvial y/o marítimo</v>
      </c>
      <c r="DN843" t="str">
        <v>513045 Flota y equipo fluvial y/o marítimo</v>
      </c>
      <c r="DO843" t="str">
        <v>513045 Flota y equipo fluvial y/o marítimo</v>
      </c>
      <c r="DP843" t="str">
        <v>513045 Flota y equipo fluvial y/o marítimo</v>
      </c>
    </row>
    <row r="844" spans="4:120" ht="12.75">
      <c r="D844" s="7">
        <v>513050</v>
      </c>
      <c r="E844" s="6" t="s">
        <v>135</v>
      </c>
      <c r="F844" s="5">
        <v>4</v>
      </c>
      <c r="G844" s="34" t="s">
        <v>830</v>
      </c>
      <c r="H844" s="8" t="s">
        <v>32</v>
      </c>
      <c r="I844" t="b">
        <f>+ISNUMBER(SEARCH('F-COMPRA'!$F$28,Tabla11[[#This Row],[Cuenta]],1))</f>
        <v>1</v>
      </c>
      <c r="J844" t="b">
        <f>+ISNUMBER(SEARCH('F-COMPRA'!$F$29,Tabla11[[#This Row],[Cuenta]],1))</f>
        <v>1</v>
      </c>
      <c r="K844" t="b">
        <f>+ISNUMBER(SEARCH('F-COMPRA'!$F$30,Tabla11[[#This Row],[Cuenta]],1))</f>
        <v>1</v>
      </c>
      <c r="L844" t="b">
        <f>+ISNUMBER(SEARCH('F-COMPRA'!$F$31,Tabla11[[#This Row],[Cuenta]],1))</f>
        <v>1</v>
      </c>
      <c r="M844" t="b">
        <f>+ISNUMBER(SEARCH('F-COMPRA'!$G$25,Tabla11[[#This Row],[Cuenta]],1))</f>
        <v>0</v>
      </c>
      <c r="N844" t="b">
        <f>+ISNUMBER(SEARCH(#REF!,Tabla11[[#This Row],[Cuenta]],1))</f>
        <v>0</v>
      </c>
      <c r="O844" t="b">
        <f>+ISNUMBER(SEARCH(#REF!,Tabla11[[#This Row],[Cuenta]],1))</f>
        <v>0</v>
      </c>
      <c r="P844" t="b">
        <f>+ISNUMBER(SEARCH('F-COMPRA'!$F$32,Tabla11[[#This Row],[Cuenta]],1))</f>
        <v>1</v>
      </c>
      <c r="Q844" t="b">
        <f>+ISNUMBER(SEARCH('F-COMPRA'!$F$33,Tabla11[[#This Row],[Cuenta]],1))</f>
        <v>1</v>
      </c>
      <c r="R844" t="b">
        <f>+ISNUMBER(SEARCH('F-COMPRA'!$F$34,Tabla11[[#This Row],[Cuenta]],1))</f>
        <v>1</v>
      </c>
      <c r="S844" t="b">
        <f>+ISNUMBER(SEARCH('F-COMPRA'!$F$35,Tabla11[[#This Row],[Cuenta]],1))</f>
        <v>1</v>
      </c>
      <c r="T844" t="b">
        <f>+ISNUMBER(SEARCH('F-COMPRA'!$F$36,Tabla11[[#This Row],[Cuenta]],1))</f>
        <v>1</v>
      </c>
      <c r="U844" t="b">
        <f>+ISNUMBER(SEARCH('F-COMPRA'!$F$37,Tabla11[[#This Row],[Cuenta]],1))</f>
        <v>1</v>
      </c>
      <c r="V844" t="b">
        <f>+ISNUMBER(SEARCH(#REF!,Tabla11[[#This Row],[Cuenta]],1))</f>
        <v>0</v>
      </c>
      <c r="W844" t="b">
        <f>+ISNUMBER(SEARCH('F-COMPRA'!#REF!,Tabla11[[#This Row],[Cuenta]],1))</f>
        <v>0</v>
      </c>
      <c r="X844" t="b">
        <f>+ISNUMBER(SEARCH('F-COMPRA'!#REF!,Tabla11[[#This Row],[Cuenta]],1))</f>
        <v>0</v>
      </c>
      <c r="Y844" t="b">
        <f>+ISNUMBER(SEARCH('F-COMPRA'!#REF!,Tabla11[[#This Row],[Cuenta]],1))</f>
        <v>0</v>
      </c>
      <c r="Z844" t="b">
        <f>+ISNUMBER(SEARCH('F-COMPRA'!#REF!,Tabla11[[#This Row],[Cuenta]],1))</f>
        <v>0</v>
      </c>
      <c r="AA844" t="b">
        <f>+ISNUMBER(SEARCH('F-COMPRA'!#REF!,Tabla11[[#This Row],[Cuenta]],1))</f>
        <v>0</v>
      </c>
      <c r="AB844" t="b">
        <f>+ISNUMBER(SEARCH('F-COMPRA'!#REF!,Tabla11[[#This Row],[Cuenta]],1))</f>
        <v>0</v>
      </c>
      <c r="AC844" t="b">
        <f>+ISNUMBER(SEARCH('F-COMPRA'!#REF!,Tabla11[[#This Row],[Cuenta]],1))</f>
        <v>0</v>
      </c>
      <c r="AD844" t="b">
        <f>+ISNUMBER(SEARCH('F-COMPRA'!#REF!,Tabla11[[#This Row],[Cuenta]],1))</f>
        <v>0</v>
      </c>
      <c r="AE844" t="b">
        <f>+ISNUMBER(SEARCH('F-COMPRA'!#REF!,Tabla11[[#This Row],[Cuenta]],1))</f>
        <v>0</v>
      </c>
      <c r="AF844" t="b">
        <f>+ISNUMBER(SEARCH('F-VTA'!$G$23,Tabla11[[#This Row],[Cuenta]],1))</f>
        <v>0</v>
      </c>
      <c r="AG844" t="b">
        <f>+ISNUMBER(SEARCH('F-VTA'!$G$24,Tabla11[[#This Row],[Cuenta]],1))</f>
        <v>0</v>
      </c>
      <c r="AH844" t="b">
        <f>+ISNUMBER(SEARCH('F-VTA'!$G$25,Tabla11[[#This Row],[Cuenta]],1))</f>
        <v>0</v>
      </c>
      <c r="AI844" t="b">
        <f>+ISNUMBER(SEARCH('F-VTA'!$F$28,Tabla11[[#This Row],[Cuenta]],1))</f>
        <v>1</v>
      </c>
      <c r="AJ844" t="b">
        <f>+ISNUMBER(SEARCH('F-VTA'!$F$29,Tabla11[[#This Row],[Cuenta]],1))</f>
        <v>1</v>
      </c>
      <c r="AK844" t="b">
        <f>+ISNUMBER(SEARCH('F-VTA'!$F$30,Tabla11[[#This Row],[Cuenta]],1))</f>
        <v>1</v>
      </c>
      <c r="AL844" t="b">
        <f>+ISNUMBER(SEARCH('F-VTA'!$F$31,Tabla11[[#This Row],[Cuenta]],1))</f>
        <v>1</v>
      </c>
      <c r="AM844" t="b">
        <f>+ISNUMBER(SEARCH('F-VTA'!$F$32,Tabla11[[#This Row],[Cuenta]],1))</f>
        <v>1</v>
      </c>
      <c r="AN844" t="b">
        <f>+ISNUMBER(SEARCH('F-VTA'!$F$33,Tabla11[[#This Row],[Cuenta]],1))</f>
        <v>1</v>
      </c>
      <c r="AO844" t="b">
        <f>+ISNUMBER(SEARCH('F-VTA'!$F$34,Tabla11[[#This Row],[Cuenta]],1))</f>
        <v>1</v>
      </c>
      <c r="AP844" t="b">
        <f>+ISNUMBER(SEARCH('F-VTA'!$F$35,Tabla11[[#This Row],[Cuenta]],1))</f>
        <v>1</v>
      </c>
      <c r="AQ844" t="b">
        <f>+ISNUMBER(SEARCH('F-VTA'!$F$36,Tabla11[[#This Row],[Cuenta]],1))</f>
        <v>1</v>
      </c>
      <c r="AR844" t="b">
        <f>+ISNUMBER(SEARCH(#REF!,Tabla11[[#This Row],[Cuenta]],1))</f>
        <v>0</v>
      </c>
      <c r="AS844" t="b">
        <f>+ISNUMBER(SEARCH(#REF!,Tabla11[[#This Row],[Cuenta]],1))</f>
        <v>0</v>
      </c>
      <c r="AT844" t="b">
        <f>+ISNUMBER(SEARCH(#REF!,Tabla11[[#This Row],[Cuenta]],1))</f>
        <v>0</v>
      </c>
      <c r="AU844" t="b">
        <f>+ISNUMBER(SEARCH('Conc. Ban.1'!$I$9,Tabla11[[#This Row],[Cuenta]],1))</f>
        <v>0</v>
      </c>
      <c r="AV844" t="b">
        <f>+ISNUMBER(SEARCH(CompConta!$F$21,Tabla11[[#This Row],[Cuenta]],1))</f>
        <v>1</v>
      </c>
      <c r="AW844" t="b">
        <f>+ISNUMBER(SEARCH(CompConta!$F$22,Tabla11[[#This Row],[Cuenta]],1))</f>
        <v>1</v>
      </c>
      <c r="AX844" t="b">
        <f>+ISNUMBER(SEARCH(CompConta!$F$23,Tabla11[[#This Row],[Cuenta]],1))</f>
        <v>1</v>
      </c>
      <c r="AY844" t="b">
        <f>+ISNUMBER(SEARCH(CompConta!$F$24,Tabla11[[#This Row],[Cuenta]],1))</f>
        <v>1</v>
      </c>
      <c r="AZ844" t="b">
        <f>+ISNUMBER(SEARCH(CompConta!$F$25,Tabla11[[#This Row],[Cuenta]],1))</f>
        <v>1</v>
      </c>
      <c r="BA844" t="b">
        <f>+ISNUMBER(SEARCH(CompConta!$F$26,Tabla11[[#This Row],[Cuenta]],1))</f>
        <v>1</v>
      </c>
      <c r="BB844" t="b">
        <f>+ISNUMBER(SEARCH(CompConta!$F$27,Tabla11[[#This Row],[Cuenta]],1))</f>
        <v>1</v>
      </c>
      <c r="BC844" t="b">
        <f>+ISNUMBER(SEARCH(CompConta!$F$28,Tabla11[[#This Row],[Cuenta]],1))</f>
        <v>1</v>
      </c>
      <c r="BD844" t="b">
        <f>+ISNUMBER(SEARCH(CompConta!$F$29,Tabla11[[#This Row],[Cuenta]],1))</f>
        <v>1</v>
      </c>
      <c r="BE844" t="b">
        <f>+ISNUMBER(SEARCH(CompConta!$F$30,Tabla11[[#This Row],[Cuenta]],1))</f>
        <v>1</v>
      </c>
      <c r="BF844" t="b">
        <f>+ISNUMBER(SEARCH('PAGO Compras'!$E$11,Tabla11[[#This Row],[Cuenta]],1))</f>
        <v>1</v>
      </c>
      <c r="BG844" t="b">
        <f>+ISNUMBER(SEARCH(#REF!,Tabla11[[#This Row],[Cuenta]],1))</f>
        <v>0</v>
      </c>
      <c r="BH844" t="b">
        <f>+ISNUMBER(SEARCH(#REF!,Tabla11[[#This Row],[Cuenta]],1))</f>
        <v>0</v>
      </c>
      <c r="BI844" t="b">
        <f>+ISNUMBER(SEARCH(#REF!,Tabla11[[#This Row],[Cuenta]],1))</f>
        <v>0</v>
      </c>
      <c r="BJ844" t="b">
        <f>+ISNUMBER(SEARCH(#REF!,Tabla11[[#This Row],[Cuenta]],1))</f>
        <v>0</v>
      </c>
      <c r="BS844" t="str">
        <v>513050 Flota y equipo aéreo</v>
      </c>
      <c r="BT844" t="str">
        <v>513050 Flota y equipo aéreo</v>
      </c>
      <c r="BU844" t="str">
        <v>513050 Flota y equipo aéreo</v>
      </c>
      <c r="BV844" t="str">
        <v>513050 Flota y equipo aéreo</v>
      </c>
      <c r="BZ844" t="str">
        <v>513050 Flota y equipo aéreo</v>
      </c>
      <c r="CA844" t="str">
        <v>513050 Flota y equipo aéreo</v>
      </c>
      <c r="CB844" t="str">
        <v>513050 Flota y equipo aéreo</v>
      </c>
      <c r="CC844" t="str">
        <v>513050 Flota y equipo aéreo</v>
      </c>
      <c r="CD844" t="str">
        <v>513050 Flota y equipo aéreo</v>
      </c>
      <c r="CE844" t="str">
        <v>513050 Flota y equipo aéreo</v>
      </c>
      <c r="CS844" s="141" t="str">
        <v>513050 Flota y equipo aéreo</v>
      </c>
      <c r="CT844" s="141" t="str">
        <v>513050 Flota y equipo aéreo</v>
      </c>
      <c r="CU844" s="141" t="str">
        <v>513050 Flota y equipo aéreo</v>
      </c>
      <c r="CV844" s="141" t="str">
        <v>513050 Flota y equipo aéreo</v>
      </c>
      <c r="CW844" s="141" t="str">
        <v>513050 Flota y equipo aéreo</v>
      </c>
      <c r="CX844" s="141" t="str">
        <v>513050 Flota y equipo aéreo</v>
      </c>
      <c r="CY844" s="141" t="str">
        <v>513050 Flota y equipo aéreo</v>
      </c>
      <c r="CZ844" s="141" t="str">
        <v>513050 Flota y equipo aéreo</v>
      </c>
      <c r="DA844" s="141" t="str">
        <v>513050 Flota y equipo aéreo</v>
      </c>
      <c r="DF844" t="str">
        <v>513050 Flota y equipo aéreo</v>
      </c>
      <c r="DG844" t="str">
        <v>513050 Flota y equipo aéreo</v>
      </c>
      <c r="DH844" t="str">
        <v>513050 Flota y equipo aéreo</v>
      </c>
      <c r="DI844" t="str">
        <v>513050 Flota y equipo aéreo</v>
      </c>
      <c r="DJ844" t="str">
        <v>513050 Flota y equipo aéreo</v>
      </c>
      <c r="DK844" t="str">
        <v>513050 Flota y equipo aéreo</v>
      </c>
      <c r="DL844" t="str">
        <v>513050 Flota y equipo aéreo</v>
      </c>
      <c r="DM844" t="str">
        <v>513050 Flota y equipo aéreo</v>
      </c>
      <c r="DN844" t="str">
        <v>513050 Flota y equipo aéreo</v>
      </c>
      <c r="DO844" t="str">
        <v>513050 Flota y equipo aéreo</v>
      </c>
      <c r="DP844" t="str">
        <v>513050 Flota y equipo aéreo</v>
      </c>
    </row>
    <row r="845" spans="4:120" ht="12.75">
      <c r="D845" s="7">
        <v>513055</v>
      </c>
      <c r="E845" s="6" t="s">
        <v>136</v>
      </c>
      <c r="F845" s="5">
        <v>4</v>
      </c>
      <c r="G845" s="34" t="s">
        <v>830</v>
      </c>
      <c r="H845" s="8" t="s">
        <v>32</v>
      </c>
      <c r="I845" t="b">
        <f>+ISNUMBER(SEARCH('F-COMPRA'!$F$28,Tabla11[[#This Row],[Cuenta]],1))</f>
        <v>1</v>
      </c>
      <c r="J845" t="b">
        <f>+ISNUMBER(SEARCH('F-COMPRA'!$F$29,Tabla11[[#This Row],[Cuenta]],1))</f>
        <v>1</v>
      </c>
      <c r="K845" t="b">
        <f>+ISNUMBER(SEARCH('F-COMPRA'!$F$30,Tabla11[[#This Row],[Cuenta]],1))</f>
        <v>1</v>
      </c>
      <c r="L845" t="b">
        <f>+ISNUMBER(SEARCH('F-COMPRA'!$F$31,Tabla11[[#This Row],[Cuenta]],1))</f>
        <v>1</v>
      </c>
      <c r="M845" t="b">
        <f>+ISNUMBER(SEARCH('F-COMPRA'!$G$25,Tabla11[[#This Row],[Cuenta]],1))</f>
        <v>0</v>
      </c>
      <c r="N845" t="b">
        <f>+ISNUMBER(SEARCH(#REF!,Tabla11[[#This Row],[Cuenta]],1))</f>
        <v>0</v>
      </c>
      <c r="O845" t="b">
        <f>+ISNUMBER(SEARCH(#REF!,Tabla11[[#This Row],[Cuenta]],1))</f>
        <v>0</v>
      </c>
      <c r="P845" t="b">
        <f>+ISNUMBER(SEARCH('F-COMPRA'!$F$32,Tabla11[[#This Row],[Cuenta]],1))</f>
        <v>1</v>
      </c>
      <c r="Q845" t="b">
        <f>+ISNUMBER(SEARCH('F-COMPRA'!$F$33,Tabla11[[#This Row],[Cuenta]],1))</f>
        <v>1</v>
      </c>
      <c r="R845" t="b">
        <f>+ISNUMBER(SEARCH('F-COMPRA'!$F$34,Tabla11[[#This Row],[Cuenta]],1))</f>
        <v>1</v>
      </c>
      <c r="S845" t="b">
        <f>+ISNUMBER(SEARCH('F-COMPRA'!$F$35,Tabla11[[#This Row],[Cuenta]],1))</f>
        <v>1</v>
      </c>
      <c r="T845" t="b">
        <f>+ISNUMBER(SEARCH('F-COMPRA'!$F$36,Tabla11[[#This Row],[Cuenta]],1))</f>
        <v>1</v>
      </c>
      <c r="U845" t="b">
        <f>+ISNUMBER(SEARCH('F-COMPRA'!$F$37,Tabla11[[#This Row],[Cuenta]],1))</f>
        <v>1</v>
      </c>
      <c r="V845" t="b">
        <f>+ISNUMBER(SEARCH(#REF!,Tabla11[[#This Row],[Cuenta]],1))</f>
        <v>0</v>
      </c>
      <c r="W845" t="b">
        <f>+ISNUMBER(SEARCH('F-COMPRA'!#REF!,Tabla11[[#This Row],[Cuenta]],1))</f>
        <v>0</v>
      </c>
      <c r="X845" t="b">
        <f>+ISNUMBER(SEARCH('F-COMPRA'!#REF!,Tabla11[[#This Row],[Cuenta]],1))</f>
        <v>0</v>
      </c>
      <c r="Y845" t="b">
        <f>+ISNUMBER(SEARCH('F-COMPRA'!#REF!,Tabla11[[#This Row],[Cuenta]],1))</f>
        <v>0</v>
      </c>
      <c r="Z845" t="b">
        <f>+ISNUMBER(SEARCH('F-COMPRA'!#REF!,Tabla11[[#This Row],[Cuenta]],1))</f>
        <v>0</v>
      </c>
      <c r="AA845" t="b">
        <f>+ISNUMBER(SEARCH('F-COMPRA'!#REF!,Tabla11[[#This Row],[Cuenta]],1))</f>
        <v>0</v>
      </c>
      <c r="AB845" t="b">
        <f>+ISNUMBER(SEARCH('F-COMPRA'!#REF!,Tabla11[[#This Row],[Cuenta]],1))</f>
        <v>0</v>
      </c>
      <c r="AC845" t="b">
        <f>+ISNUMBER(SEARCH('F-COMPRA'!#REF!,Tabla11[[#This Row],[Cuenta]],1))</f>
        <v>0</v>
      </c>
      <c r="AD845" t="b">
        <f>+ISNUMBER(SEARCH('F-COMPRA'!#REF!,Tabla11[[#This Row],[Cuenta]],1))</f>
        <v>0</v>
      </c>
      <c r="AE845" t="b">
        <f>+ISNUMBER(SEARCH('F-COMPRA'!#REF!,Tabla11[[#This Row],[Cuenta]],1))</f>
        <v>0</v>
      </c>
      <c r="AF845" t="b">
        <f>+ISNUMBER(SEARCH('F-VTA'!$G$23,Tabla11[[#This Row],[Cuenta]],1))</f>
        <v>0</v>
      </c>
      <c r="AG845" t="b">
        <f>+ISNUMBER(SEARCH('F-VTA'!$G$24,Tabla11[[#This Row],[Cuenta]],1))</f>
        <v>0</v>
      </c>
      <c r="AH845" t="b">
        <f>+ISNUMBER(SEARCH('F-VTA'!$G$25,Tabla11[[#This Row],[Cuenta]],1))</f>
        <v>0</v>
      </c>
      <c r="AI845" t="b">
        <f>+ISNUMBER(SEARCH('F-VTA'!$F$28,Tabla11[[#This Row],[Cuenta]],1))</f>
        <v>1</v>
      </c>
      <c r="AJ845" t="b">
        <f>+ISNUMBER(SEARCH('F-VTA'!$F$29,Tabla11[[#This Row],[Cuenta]],1))</f>
        <v>1</v>
      </c>
      <c r="AK845" t="b">
        <f>+ISNUMBER(SEARCH('F-VTA'!$F$30,Tabla11[[#This Row],[Cuenta]],1))</f>
        <v>1</v>
      </c>
      <c r="AL845" t="b">
        <f>+ISNUMBER(SEARCH('F-VTA'!$F$31,Tabla11[[#This Row],[Cuenta]],1))</f>
        <v>1</v>
      </c>
      <c r="AM845" t="b">
        <f>+ISNUMBER(SEARCH('F-VTA'!$F$32,Tabla11[[#This Row],[Cuenta]],1))</f>
        <v>1</v>
      </c>
      <c r="AN845" t="b">
        <f>+ISNUMBER(SEARCH('F-VTA'!$F$33,Tabla11[[#This Row],[Cuenta]],1))</f>
        <v>1</v>
      </c>
      <c r="AO845" t="b">
        <f>+ISNUMBER(SEARCH('F-VTA'!$F$34,Tabla11[[#This Row],[Cuenta]],1))</f>
        <v>1</v>
      </c>
      <c r="AP845" t="b">
        <f>+ISNUMBER(SEARCH('F-VTA'!$F$35,Tabla11[[#This Row],[Cuenta]],1))</f>
        <v>1</v>
      </c>
      <c r="AQ845" t="b">
        <f>+ISNUMBER(SEARCH('F-VTA'!$F$36,Tabla11[[#This Row],[Cuenta]],1))</f>
        <v>1</v>
      </c>
      <c r="AR845" t="b">
        <f>+ISNUMBER(SEARCH(#REF!,Tabla11[[#This Row],[Cuenta]],1))</f>
        <v>0</v>
      </c>
      <c r="AS845" t="b">
        <f>+ISNUMBER(SEARCH(#REF!,Tabla11[[#This Row],[Cuenta]],1))</f>
        <v>0</v>
      </c>
      <c r="AT845" t="b">
        <f>+ISNUMBER(SEARCH(#REF!,Tabla11[[#This Row],[Cuenta]],1))</f>
        <v>0</v>
      </c>
      <c r="AU845" t="b">
        <f>+ISNUMBER(SEARCH('Conc. Ban.1'!$I$9,Tabla11[[#This Row],[Cuenta]],1))</f>
        <v>0</v>
      </c>
      <c r="AV845" t="b">
        <f>+ISNUMBER(SEARCH(CompConta!$F$21,Tabla11[[#This Row],[Cuenta]],1))</f>
        <v>1</v>
      </c>
      <c r="AW845" t="b">
        <f>+ISNUMBER(SEARCH(CompConta!$F$22,Tabla11[[#This Row],[Cuenta]],1))</f>
        <v>1</v>
      </c>
      <c r="AX845" t="b">
        <f>+ISNUMBER(SEARCH(CompConta!$F$23,Tabla11[[#This Row],[Cuenta]],1))</f>
        <v>1</v>
      </c>
      <c r="AY845" t="b">
        <f>+ISNUMBER(SEARCH(CompConta!$F$24,Tabla11[[#This Row],[Cuenta]],1))</f>
        <v>1</v>
      </c>
      <c r="AZ845" t="b">
        <f>+ISNUMBER(SEARCH(CompConta!$F$25,Tabla11[[#This Row],[Cuenta]],1))</f>
        <v>1</v>
      </c>
      <c r="BA845" t="b">
        <f>+ISNUMBER(SEARCH(CompConta!$F$26,Tabla11[[#This Row],[Cuenta]],1))</f>
        <v>1</v>
      </c>
      <c r="BB845" t="b">
        <f>+ISNUMBER(SEARCH(CompConta!$F$27,Tabla11[[#This Row],[Cuenta]],1))</f>
        <v>1</v>
      </c>
      <c r="BC845" t="b">
        <f>+ISNUMBER(SEARCH(CompConta!$F$28,Tabla11[[#This Row],[Cuenta]],1))</f>
        <v>1</v>
      </c>
      <c r="BD845" t="b">
        <f>+ISNUMBER(SEARCH(CompConta!$F$29,Tabla11[[#This Row],[Cuenta]],1))</f>
        <v>1</v>
      </c>
      <c r="BE845" t="b">
        <f>+ISNUMBER(SEARCH(CompConta!$F$30,Tabla11[[#This Row],[Cuenta]],1))</f>
        <v>1</v>
      </c>
      <c r="BF845" t="b">
        <f>+ISNUMBER(SEARCH('PAGO Compras'!$E$11,Tabla11[[#This Row],[Cuenta]],1))</f>
        <v>1</v>
      </c>
      <c r="BG845" t="b">
        <f>+ISNUMBER(SEARCH(#REF!,Tabla11[[#This Row],[Cuenta]],1))</f>
        <v>0</v>
      </c>
      <c r="BH845" t="b">
        <f>+ISNUMBER(SEARCH(#REF!,Tabla11[[#This Row],[Cuenta]],1))</f>
        <v>0</v>
      </c>
      <c r="BI845" t="b">
        <f>+ISNUMBER(SEARCH(#REF!,Tabla11[[#This Row],[Cuenta]],1))</f>
        <v>0</v>
      </c>
      <c r="BJ845" t="b">
        <f>+ISNUMBER(SEARCH(#REF!,Tabla11[[#This Row],[Cuenta]],1))</f>
        <v>0</v>
      </c>
      <c r="BS845" t="str">
        <v>513055 Flota y equipo férreo</v>
      </c>
      <c r="BT845" t="str">
        <v>513055 Flota y equipo férreo</v>
      </c>
      <c r="BU845" t="str">
        <v>513055 Flota y equipo férreo</v>
      </c>
      <c r="BV845" t="str">
        <v>513055 Flota y equipo férreo</v>
      </c>
      <c r="BZ845" t="str">
        <v>513055 Flota y equipo férreo</v>
      </c>
      <c r="CA845" t="str">
        <v>513055 Flota y equipo férreo</v>
      </c>
      <c r="CB845" t="str">
        <v>513055 Flota y equipo férreo</v>
      </c>
      <c r="CC845" t="str">
        <v>513055 Flota y equipo férreo</v>
      </c>
      <c r="CD845" t="str">
        <v>513055 Flota y equipo férreo</v>
      </c>
      <c r="CE845" t="str">
        <v>513055 Flota y equipo férreo</v>
      </c>
      <c r="CS845" s="141" t="str">
        <v>513055 Flota y equipo férreo</v>
      </c>
      <c r="CT845" s="141" t="str">
        <v>513055 Flota y equipo férreo</v>
      </c>
      <c r="CU845" s="141" t="str">
        <v>513055 Flota y equipo férreo</v>
      </c>
      <c r="CV845" s="141" t="str">
        <v>513055 Flota y equipo férreo</v>
      </c>
      <c r="CW845" s="141" t="str">
        <v>513055 Flota y equipo férreo</v>
      </c>
      <c r="CX845" s="141" t="str">
        <v>513055 Flota y equipo férreo</v>
      </c>
      <c r="CY845" s="141" t="str">
        <v>513055 Flota y equipo férreo</v>
      </c>
      <c r="CZ845" s="141" t="str">
        <v>513055 Flota y equipo férreo</v>
      </c>
      <c r="DA845" s="141" t="str">
        <v>513055 Flota y equipo férreo</v>
      </c>
      <c r="DF845" t="str">
        <v>513055 Flota y equipo férreo</v>
      </c>
      <c r="DG845" t="str">
        <v>513055 Flota y equipo férreo</v>
      </c>
      <c r="DH845" t="str">
        <v>513055 Flota y equipo férreo</v>
      </c>
      <c r="DI845" t="str">
        <v>513055 Flota y equipo férreo</v>
      </c>
      <c r="DJ845" t="str">
        <v>513055 Flota y equipo férreo</v>
      </c>
      <c r="DK845" t="str">
        <v>513055 Flota y equipo férreo</v>
      </c>
      <c r="DL845" t="str">
        <v>513055 Flota y equipo férreo</v>
      </c>
      <c r="DM845" t="str">
        <v>513055 Flota y equipo férreo</v>
      </c>
      <c r="DN845" t="str">
        <v>513055 Flota y equipo férreo</v>
      </c>
      <c r="DO845" t="str">
        <v>513055 Flota y equipo férreo</v>
      </c>
      <c r="DP845" t="str">
        <v>513055 Flota y equipo férreo</v>
      </c>
    </row>
    <row r="846" spans="4:120" ht="12.75">
      <c r="D846" s="7">
        <v>513060</v>
      </c>
      <c r="E846" s="6" t="s">
        <v>580</v>
      </c>
      <c r="F846" s="5">
        <v>4</v>
      </c>
      <c r="G846" s="34" t="s">
        <v>830</v>
      </c>
      <c r="H846" s="8" t="s">
        <v>32</v>
      </c>
      <c r="I846" t="b">
        <f>+ISNUMBER(SEARCH('F-COMPRA'!$F$28,Tabla11[[#This Row],[Cuenta]],1))</f>
        <v>1</v>
      </c>
      <c r="J846" t="b">
        <f>+ISNUMBER(SEARCH('F-COMPRA'!$F$29,Tabla11[[#This Row],[Cuenta]],1))</f>
        <v>1</v>
      </c>
      <c r="K846" t="b">
        <f>+ISNUMBER(SEARCH('F-COMPRA'!$F$30,Tabla11[[#This Row],[Cuenta]],1))</f>
        <v>1</v>
      </c>
      <c r="L846" t="b">
        <f>+ISNUMBER(SEARCH('F-COMPRA'!$F$31,Tabla11[[#This Row],[Cuenta]],1))</f>
        <v>1</v>
      </c>
      <c r="M846" t="b">
        <f>+ISNUMBER(SEARCH('F-COMPRA'!$G$25,Tabla11[[#This Row],[Cuenta]],1))</f>
        <v>0</v>
      </c>
      <c r="N846" t="b">
        <f>+ISNUMBER(SEARCH(#REF!,Tabla11[[#This Row],[Cuenta]],1))</f>
        <v>0</v>
      </c>
      <c r="O846" t="b">
        <f>+ISNUMBER(SEARCH(#REF!,Tabla11[[#This Row],[Cuenta]],1))</f>
        <v>0</v>
      </c>
      <c r="P846" t="b">
        <f>+ISNUMBER(SEARCH('F-COMPRA'!$F$32,Tabla11[[#This Row],[Cuenta]],1))</f>
        <v>1</v>
      </c>
      <c r="Q846" t="b">
        <f>+ISNUMBER(SEARCH('F-COMPRA'!$F$33,Tabla11[[#This Row],[Cuenta]],1))</f>
        <v>1</v>
      </c>
      <c r="R846" t="b">
        <f>+ISNUMBER(SEARCH('F-COMPRA'!$F$34,Tabla11[[#This Row],[Cuenta]],1))</f>
        <v>1</v>
      </c>
      <c r="S846" t="b">
        <f>+ISNUMBER(SEARCH('F-COMPRA'!$F$35,Tabla11[[#This Row],[Cuenta]],1))</f>
        <v>1</v>
      </c>
      <c r="T846" t="b">
        <f>+ISNUMBER(SEARCH('F-COMPRA'!$F$36,Tabla11[[#This Row],[Cuenta]],1))</f>
        <v>1</v>
      </c>
      <c r="U846" t="b">
        <f>+ISNUMBER(SEARCH('F-COMPRA'!$F$37,Tabla11[[#This Row],[Cuenta]],1))</f>
        <v>1</v>
      </c>
      <c r="V846" t="b">
        <f>+ISNUMBER(SEARCH(#REF!,Tabla11[[#This Row],[Cuenta]],1))</f>
        <v>0</v>
      </c>
      <c r="W846" t="b">
        <f>+ISNUMBER(SEARCH('F-COMPRA'!#REF!,Tabla11[[#This Row],[Cuenta]],1))</f>
        <v>0</v>
      </c>
      <c r="X846" t="b">
        <f>+ISNUMBER(SEARCH('F-COMPRA'!#REF!,Tabla11[[#This Row],[Cuenta]],1))</f>
        <v>0</v>
      </c>
      <c r="Y846" t="b">
        <f>+ISNUMBER(SEARCH('F-COMPRA'!#REF!,Tabla11[[#This Row],[Cuenta]],1))</f>
        <v>0</v>
      </c>
      <c r="Z846" t="b">
        <f>+ISNUMBER(SEARCH('F-COMPRA'!#REF!,Tabla11[[#This Row],[Cuenta]],1))</f>
        <v>0</v>
      </c>
      <c r="AA846" t="b">
        <f>+ISNUMBER(SEARCH('F-COMPRA'!#REF!,Tabla11[[#This Row],[Cuenta]],1))</f>
        <v>0</v>
      </c>
      <c r="AB846" t="b">
        <f>+ISNUMBER(SEARCH('F-COMPRA'!#REF!,Tabla11[[#This Row],[Cuenta]],1))</f>
        <v>0</v>
      </c>
      <c r="AC846" t="b">
        <f>+ISNUMBER(SEARCH('F-COMPRA'!#REF!,Tabla11[[#This Row],[Cuenta]],1))</f>
        <v>0</v>
      </c>
      <c r="AD846" t="b">
        <f>+ISNUMBER(SEARCH('F-COMPRA'!#REF!,Tabla11[[#This Row],[Cuenta]],1))</f>
        <v>0</v>
      </c>
      <c r="AE846" t="b">
        <f>+ISNUMBER(SEARCH('F-COMPRA'!#REF!,Tabla11[[#This Row],[Cuenta]],1))</f>
        <v>0</v>
      </c>
      <c r="AF846" t="b">
        <f>+ISNUMBER(SEARCH('F-VTA'!$G$23,Tabla11[[#This Row],[Cuenta]],1))</f>
        <v>0</v>
      </c>
      <c r="AG846" t="b">
        <f>+ISNUMBER(SEARCH('F-VTA'!$G$24,Tabla11[[#This Row],[Cuenta]],1))</f>
        <v>0</v>
      </c>
      <c r="AH846" t="b">
        <f>+ISNUMBER(SEARCH('F-VTA'!$G$25,Tabla11[[#This Row],[Cuenta]],1))</f>
        <v>0</v>
      </c>
      <c r="AI846" t="b">
        <f>+ISNUMBER(SEARCH('F-VTA'!$F$28,Tabla11[[#This Row],[Cuenta]],1))</f>
        <v>1</v>
      </c>
      <c r="AJ846" t="b">
        <f>+ISNUMBER(SEARCH('F-VTA'!$F$29,Tabla11[[#This Row],[Cuenta]],1))</f>
        <v>1</v>
      </c>
      <c r="AK846" t="b">
        <f>+ISNUMBER(SEARCH('F-VTA'!$F$30,Tabla11[[#This Row],[Cuenta]],1))</f>
        <v>1</v>
      </c>
      <c r="AL846" t="b">
        <f>+ISNUMBER(SEARCH('F-VTA'!$F$31,Tabla11[[#This Row],[Cuenta]],1))</f>
        <v>1</v>
      </c>
      <c r="AM846" t="b">
        <f>+ISNUMBER(SEARCH('F-VTA'!$F$32,Tabla11[[#This Row],[Cuenta]],1))</f>
        <v>1</v>
      </c>
      <c r="AN846" t="b">
        <f>+ISNUMBER(SEARCH('F-VTA'!$F$33,Tabla11[[#This Row],[Cuenta]],1))</f>
        <v>1</v>
      </c>
      <c r="AO846" t="b">
        <f>+ISNUMBER(SEARCH('F-VTA'!$F$34,Tabla11[[#This Row],[Cuenta]],1))</f>
        <v>1</v>
      </c>
      <c r="AP846" t="b">
        <f>+ISNUMBER(SEARCH('F-VTA'!$F$35,Tabla11[[#This Row],[Cuenta]],1))</f>
        <v>1</v>
      </c>
      <c r="AQ846" t="b">
        <f>+ISNUMBER(SEARCH('F-VTA'!$F$36,Tabla11[[#This Row],[Cuenta]],1))</f>
        <v>1</v>
      </c>
      <c r="AR846" t="b">
        <f>+ISNUMBER(SEARCH(#REF!,Tabla11[[#This Row],[Cuenta]],1))</f>
        <v>0</v>
      </c>
      <c r="AS846" t="b">
        <f>+ISNUMBER(SEARCH(#REF!,Tabla11[[#This Row],[Cuenta]],1))</f>
        <v>0</v>
      </c>
      <c r="AT846" t="b">
        <f>+ISNUMBER(SEARCH(#REF!,Tabla11[[#This Row],[Cuenta]],1))</f>
        <v>0</v>
      </c>
      <c r="AU846" t="b">
        <f>+ISNUMBER(SEARCH('Conc. Ban.1'!$I$9,Tabla11[[#This Row],[Cuenta]],1))</f>
        <v>0</v>
      </c>
      <c r="AV846" t="b">
        <f>+ISNUMBER(SEARCH(CompConta!$F$21,Tabla11[[#This Row],[Cuenta]],1))</f>
        <v>1</v>
      </c>
      <c r="AW846" t="b">
        <f>+ISNUMBER(SEARCH(CompConta!$F$22,Tabla11[[#This Row],[Cuenta]],1))</f>
        <v>1</v>
      </c>
      <c r="AX846" t="b">
        <f>+ISNUMBER(SEARCH(CompConta!$F$23,Tabla11[[#This Row],[Cuenta]],1))</f>
        <v>1</v>
      </c>
      <c r="AY846" t="b">
        <f>+ISNUMBER(SEARCH(CompConta!$F$24,Tabla11[[#This Row],[Cuenta]],1))</f>
        <v>1</v>
      </c>
      <c r="AZ846" t="b">
        <f>+ISNUMBER(SEARCH(CompConta!$F$25,Tabla11[[#This Row],[Cuenta]],1))</f>
        <v>1</v>
      </c>
      <c r="BA846" t="b">
        <f>+ISNUMBER(SEARCH(CompConta!$F$26,Tabla11[[#This Row],[Cuenta]],1))</f>
        <v>1</v>
      </c>
      <c r="BB846" t="b">
        <f>+ISNUMBER(SEARCH(CompConta!$F$27,Tabla11[[#This Row],[Cuenta]],1))</f>
        <v>1</v>
      </c>
      <c r="BC846" t="b">
        <f>+ISNUMBER(SEARCH(CompConta!$F$28,Tabla11[[#This Row],[Cuenta]],1))</f>
        <v>1</v>
      </c>
      <c r="BD846" t="b">
        <f>+ISNUMBER(SEARCH(CompConta!$F$29,Tabla11[[#This Row],[Cuenta]],1))</f>
        <v>1</v>
      </c>
      <c r="BE846" t="b">
        <f>+ISNUMBER(SEARCH(CompConta!$F$30,Tabla11[[#This Row],[Cuenta]],1))</f>
        <v>1</v>
      </c>
      <c r="BF846" t="b">
        <f>+ISNUMBER(SEARCH('PAGO Compras'!$E$11,Tabla11[[#This Row],[Cuenta]],1))</f>
        <v>1</v>
      </c>
      <c r="BG846" t="b">
        <f>+ISNUMBER(SEARCH(#REF!,Tabla11[[#This Row],[Cuenta]],1))</f>
        <v>0</v>
      </c>
      <c r="BH846" t="b">
        <f>+ISNUMBER(SEARCH(#REF!,Tabla11[[#This Row],[Cuenta]],1))</f>
        <v>0</v>
      </c>
      <c r="BI846" t="b">
        <f>+ISNUMBER(SEARCH(#REF!,Tabla11[[#This Row],[Cuenta]],1))</f>
        <v>0</v>
      </c>
      <c r="BJ846" t="b">
        <f>+ISNUMBER(SEARCH(#REF!,Tabla11[[#This Row],[Cuenta]],1))</f>
        <v>0</v>
      </c>
      <c r="BS846" t="str">
        <v>513060 Responsabilidad civil y extracontractual</v>
      </c>
      <c r="BT846" t="str">
        <v>513060 Responsabilidad civil y extracontractual</v>
      </c>
      <c r="BU846" t="str">
        <v>513060 Responsabilidad civil y extracontractual</v>
      </c>
      <c r="BV846" t="str">
        <v>513060 Responsabilidad civil y extracontractual</v>
      </c>
      <c r="BZ846" t="str">
        <v>513060 Responsabilidad civil y extracontractual</v>
      </c>
      <c r="CA846" t="str">
        <v>513060 Responsabilidad civil y extracontractual</v>
      </c>
      <c r="CB846" t="str">
        <v>513060 Responsabilidad civil y extracontractual</v>
      </c>
      <c r="CC846" t="str">
        <v>513060 Responsabilidad civil y extracontractual</v>
      </c>
      <c r="CD846" t="str">
        <v>513060 Responsabilidad civil y extracontractual</v>
      </c>
      <c r="CE846" t="str">
        <v>513060 Responsabilidad civil y extracontractual</v>
      </c>
      <c r="CS846" s="141" t="str">
        <v>513060 Responsabilidad civil y extracontractual</v>
      </c>
      <c r="CT846" s="141" t="str">
        <v>513060 Responsabilidad civil y extracontractual</v>
      </c>
      <c r="CU846" s="141" t="str">
        <v>513060 Responsabilidad civil y extracontractual</v>
      </c>
      <c r="CV846" s="141" t="str">
        <v>513060 Responsabilidad civil y extracontractual</v>
      </c>
      <c r="CW846" s="141" t="str">
        <v>513060 Responsabilidad civil y extracontractual</v>
      </c>
      <c r="CX846" s="141" t="str">
        <v>513060 Responsabilidad civil y extracontractual</v>
      </c>
      <c r="CY846" s="141" t="str">
        <v>513060 Responsabilidad civil y extracontractual</v>
      </c>
      <c r="CZ846" s="141" t="str">
        <v>513060 Responsabilidad civil y extracontractual</v>
      </c>
      <c r="DA846" s="141" t="str">
        <v>513060 Responsabilidad civil y extracontractual</v>
      </c>
      <c r="DF846" t="str">
        <v>513060 Responsabilidad civil y extracontractual</v>
      </c>
      <c r="DG846" t="str">
        <v>513060 Responsabilidad civil y extracontractual</v>
      </c>
      <c r="DH846" t="str">
        <v>513060 Responsabilidad civil y extracontractual</v>
      </c>
      <c r="DI846" t="str">
        <v>513060 Responsabilidad civil y extracontractual</v>
      </c>
      <c r="DJ846" t="str">
        <v>513060 Responsabilidad civil y extracontractual</v>
      </c>
      <c r="DK846" t="str">
        <v>513060 Responsabilidad civil y extracontractual</v>
      </c>
      <c r="DL846" t="str">
        <v>513060 Responsabilidad civil y extracontractual</v>
      </c>
      <c r="DM846" t="str">
        <v>513060 Responsabilidad civil y extracontractual</v>
      </c>
      <c r="DN846" t="str">
        <v>513060 Responsabilidad civil y extracontractual</v>
      </c>
      <c r="DO846" t="str">
        <v>513060 Responsabilidad civil y extracontractual</v>
      </c>
      <c r="DP846" t="str">
        <v>513060 Responsabilidad civil y extracontractual</v>
      </c>
    </row>
    <row r="847" spans="4:120" ht="12.75">
      <c r="D847" s="7">
        <v>513065</v>
      </c>
      <c r="E847" s="6" t="s">
        <v>581</v>
      </c>
      <c r="F847" s="5">
        <v>4</v>
      </c>
      <c r="G847" s="34" t="s">
        <v>830</v>
      </c>
      <c r="H847" s="8" t="s">
        <v>32</v>
      </c>
      <c r="I847" t="b">
        <f>+ISNUMBER(SEARCH('F-COMPRA'!$F$28,Tabla11[[#This Row],[Cuenta]],1))</f>
        <v>1</v>
      </c>
      <c r="J847" t="b">
        <f>+ISNUMBER(SEARCH('F-COMPRA'!$F$29,Tabla11[[#This Row],[Cuenta]],1))</f>
        <v>1</v>
      </c>
      <c r="K847" t="b">
        <f>+ISNUMBER(SEARCH('F-COMPRA'!$F$30,Tabla11[[#This Row],[Cuenta]],1))</f>
        <v>1</v>
      </c>
      <c r="L847" t="b">
        <f>+ISNUMBER(SEARCH('F-COMPRA'!$F$31,Tabla11[[#This Row],[Cuenta]],1))</f>
        <v>1</v>
      </c>
      <c r="M847" t="b">
        <f>+ISNUMBER(SEARCH('F-COMPRA'!$G$25,Tabla11[[#This Row],[Cuenta]],1))</f>
        <v>0</v>
      </c>
      <c r="N847" t="b">
        <f>+ISNUMBER(SEARCH(#REF!,Tabla11[[#This Row],[Cuenta]],1))</f>
        <v>0</v>
      </c>
      <c r="O847" t="b">
        <f>+ISNUMBER(SEARCH(#REF!,Tabla11[[#This Row],[Cuenta]],1))</f>
        <v>0</v>
      </c>
      <c r="P847" t="b">
        <f>+ISNUMBER(SEARCH('F-COMPRA'!$F$32,Tabla11[[#This Row],[Cuenta]],1))</f>
        <v>1</v>
      </c>
      <c r="Q847" t="b">
        <f>+ISNUMBER(SEARCH('F-COMPRA'!$F$33,Tabla11[[#This Row],[Cuenta]],1))</f>
        <v>1</v>
      </c>
      <c r="R847" t="b">
        <f>+ISNUMBER(SEARCH('F-COMPRA'!$F$34,Tabla11[[#This Row],[Cuenta]],1))</f>
        <v>1</v>
      </c>
      <c r="S847" t="b">
        <f>+ISNUMBER(SEARCH('F-COMPRA'!$F$35,Tabla11[[#This Row],[Cuenta]],1))</f>
        <v>1</v>
      </c>
      <c r="T847" t="b">
        <f>+ISNUMBER(SEARCH('F-COMPRA'!$F$36,Tabla11[[#This Row],[Cuenta]],1))</f>
        <v>1</v>
      </c>
      <c r="U847" t="b">
        <f>+ISNUMBER(SEARCH('F-COMPRA'!$F$37,Tabla11[[#This Row],[Cuenta]],1))</f>
        <v>1</v>
      </c>
      <c r="V847" t="b">
        <f>+ISNUMBER(SEARCH(#REF!,Tabla11[[#This Row],[Cuenta]],1))</f>
        <v>0</v>
      </c>
      <c r="W847" t="b">
        <f>+ISNUMBER(SEARCH('F-COMPRA'!#REF!,Tabla11[[#This Row],[Cuenta]],1))</f>
        <v>0</v>
      </c>
      <c r="X847" t="b">
        <f>+ISNUMBER(SEARCH('F-COMPRA'!#REF!,Tabla11[[#This Row],[Cuenta]],1))</f>
        <v>0</v>
      </c>
      <c r="Y847" t="b">
        <f>+ISNUMBER(SEARCH('F-COMPRA'!#REF!,Tabla11[[#This Row],[Cuenta]],1))</f>
        <v>0</v>
      </c>
      <c r="Z847" t="b">
        <f>+ISNUMBER(SEARCH('F-COMPRA'!#REF!,Tabla11[[#This Row],[Cuenta]],1))</f>
        <v>0</v>
      </c>
      <c r="AA847" t="b">
        <f>+ISNUMBER(SEARCH('F-COMPRA'!#REF!,Tabla11[[#This Row],[Cuenta]],1))</f>
        <v>0</v>
      </c>
      <c r="AB847" t="b">
        <f>+ISNUMBER(SEARCH('F-COMPRA'!#REF!,Tabla11[[#This Row],[Cuenta]],1))</f>
        <v>0</v>
      </c>
      <c r="AC847" t="b">
        <f>+ISNUMBER(SEARCH('F-COMPRA'!#REF!,Tabla11[[#This Row],[Cuenta]],1))</f>
        <v>0</v>
      </c>
      <c r="AD847" t="b">
        <f>+ISNUMBER(SEARCH('F-COMPRA'!#REF!,Tabla11[[#This Row],[Cuenta]],1))</f>
        <v>0</v>
      </c>
      <c r="AE847" t="b">
        <f>+ISNUMBER(SEARCH('F-COMPRA'!#REF!,Tabla11[[#This Row],[Cuenta]],1))</f>
        <v>0</v>
      </c>
      <c r="AF847" t="b">
        <f>+ISNUMBER(SEARCH('F-VTA'!$G$23,Tabla11[[#This Row],[Cuenta]],1))</f>
        <v>0</v>
      </c>
      <c r="AG847" t="b">
        <f>+ISNUMBER(SEARCH('F-VTA'!$G$24,Tabla11[[#This Row],[Cuenta]],1))</f>
        <v>0</v>
      </c>
      <c r="AH847" t="b">
        <f>+ISNUMBER(SEARCH('F-VTA'!$G$25,Tabla11[[#This Row],[Cuenta]],1))</f>
        <v>0</v>
      </c>
      <c r="AI847" t="b">
        <f>+ISNUMBER(SEARCH('F-VTA'!$F$28,Tabla11[[#This Row],[Cuenta]],1))</f>
        <v>1</v>
      </c>
      <c r="AJ847" t="b">
        <f>+ISNUMBER(SEARCH('F-VTA'!$F$29,Tabla11[[#This Row],[Cuenta]],1))</f>
        <v>1</v>
      </c>
      <c r="AK847" t="b">
        <f>+ISNUMBER(SEARCH('F-VTA'!$F$30,Tabla11[[#This Row],[Cuenta]],1))</f>
        <v>1</v>
      </c>
      <c r="AL847" t="b">
        <f>+ISNUMBER(SEARCH('F-VTA'!$F$31,Tabla11[[#This Row],[Cuenta]],1))</f>
        <v>1</v>
      </c>
      <c r="AM847" t="b">
        <f>+ISNUMBER(SEARCH('F-VTA'!$F$32,Tabla11[[#This Row],[Cuenta]],1))</f>
        <v>1</v>
      </c>
      <c r="AN847" t="b">
        <f>+ISNUMBER(SEARCH('F-VTA'!$F$33,Tabla11[[#This Row],[Cuenta]],1))</f>
        <v>1</v>
      </c>
      <c r="AO847" t="b">
        <f>+ISNUMBER(SEARCH('F-VTA'!$F$34,Tabla11[[#This Row],[Cuenta]],1))</f>
        <v>1</v>
      </c>
      <c r="AP847" t="b">
        <f>+ISNUMBER(SEARCH('F-VTA'!$F$35,Tabla11[[#This Row],[Cuenta]],1))</f>
        <v>1</v>
      </c>
      <c r="AQ847" t="b">
        <f>+ISNUMBER(SEARCH('F-VTA'!$F$36,Tabla11[[#This Row],[Cuenta]],1))</f>
        <v>1</v>
      </c>
      <c r="AR847" t="b">
        <f>+ISNUMBER(SEARCH(#REF!,Tabla11[[#This Row],[Cuenta]],1))</f>
        <v>0</v>
      </c>
      <c r="AS847" t="b">
        <f>+ISNUMBER(SEARCH(#REF!,Tabla11[[#This Row],[Cuenta]],1))</f>
        <v>0</v>
      </c>
      <c r="AT847" t="b">
        <f>+ISNUMBER(SEARCH(#REF!,Tabla11[[#This Row],[Cuenta]],1))</f>
        <v>0</v>
      </c>
      <c r="AU847" t="b">
        <f>+ISNUMBER(SEARCH('Conc. Ban.1'!$I$9,Tabla11[[#This Row],[Cuenta]],1))</f>
        <v>0</v>
      </c>
      <c r="AV847" t="b">
        <f>+ISNUMBER(SEARCH(CompConta!$F$21,Tabla11[[#This Row],[Cuenta]],1))</f>
        <v>1</v>
      </c>
      <c r="AW847" t="b">
        <f>+ISNUMBER(SEARCH(CompConta!$F$22,Tabla11[[#This Row],[Cuenta]],1))</f>
        <v>1</v>
      </c>
      <c r="AX847" t="b">
        <f>+ISNUMBER(SEARCH(CompConta!$F$23,Tabla11[[#This Row],[Cuenta]],1))</f>
        <v>1</v>
      </c>
      <c r="AY847" t="b">
        <f>+ISNUMBER(SEARCH(CompConta!$F$24,Tabla11[[#This Row],[Cuenta]],1))</f>
        <v>1</v>
      </c>
      <c r="AZ847" t="b">
        <f>+ISNUMBER(SEARCH(CompConta!$F$25,Tabla11[[#This Row],[Cuenta]],1))</f>
        <v>1</v>
      </c>
      <c r="BA847" t="b">
        <f>+ISNUMBER(SEARCH(CompConta!$F$26,Tabla11[[#This Row],[Cuenta]],1))</f>
        <v>1</v>
      </c>
      <c r="BB847" t="b">
        <f>+ISNUMBER(SEARCH(CompConta!$F$27,Tabla11[[#This Row],[Cuenta]],1))</f>
        <v>1</v>
      </c>
      <c r="BC847" t="b">
        <f>+ISNUMBER(SEARCH(CompConta!$F$28,Tabla11[[#This Row],[Cuenta]],1))</f>
        <v>1</v>
      </c>
      <c r="BD847" t="b">
        <f>+ISNUMBER(SEARCH(CompConta!$F$29,Tabla11[[#This Row],[Cuenta]],1))</f>
        <v>1</v>
      </c>
      <c r="BE847" t="b">
        <f>+ISNUMBER(SEARCH(CompConta!$F$30,Tabla11[[#This Row],[Cuenta]],1))</f>
        <v>1</v>
      </c>
      <c r="BF847" t="b">
        <f>+ISNUMBER(SEARCH('PAGO Compras'!$E$11,Tabla11[[#This Row],[Cuenta]],1))</f>
        <v>1</v>
      </c>
      <c r="BG847" t="b">
        <f>+ISNUMBER(SEARCH(#REF!,Tabla11[[#This Row],[Cuenta]],1))</f>
        <v>0</v>
      </c>
      <c r="BH847" t="b">
        <f>+ISNUMBER(SEARCH(#REF!,Tabla11[[#This Row],[Cuenta]],1))</f>
        <v>0</v>
      </c>
      <c r="BI847" t="b">
        <f>+ISNUMBER(SEARCH(#REF!,Tabla11[[#This Row],[Cuenta]],1))</f>
        <v>0</v>
      </c>
      <c r="BJ847" t="b">
        <f>+ISNUMBER(SEARCH(#REF!,Tabla11[[#This Row],[Cuenta]],1))</f>
        <v>0</v>
      </c>
      <c r="BS847" t="str">
        <v>513065 Vuelo</v>
      </c>
      <c r="BT847" t="str">
        <v>513065 Vuelo</v>
      </c>
      <c r="BU847" t="str">
        <v>513065 Vuelo</v>
      </c>
      <c r="BV847" t="str">
        <v>513065 Vuelo</v>
      </c>
      <c r="BZ847" t="str">
        <v>513065 Vuelo</v>
      </c>
      <c r="CA847" t="str">
        <v>513065 Vuelo</v>
      </c>
      <c r="CB847" t="str">
        <v>513065 Vuelo</v>
      </c>
      <c r="CC847" t="str">
        <v>513065 Vuelo</v>
      </c>
      <c r="CD847" t="str">
        <v>513065 Vuelo</v>
      </c>
      <c r="CE847" t="str">
        <v>513065 Vuelo</v>
      </c>
      <c r="CS847" s="141" t="str">
        <v>513065 Vuelo</v>
      </c>
      <c r="CT847" s="141" t="str">
        <v>513065 Vuelo</v>
      </c>
      <c r="CU847" s="141" t="str">
        <v>513065 Vuelo</v>
      </c>
      <c r="CV847" s="141" t="str">
        <v>513065 Vuelo</v>
      </c>
      <c r="CW847" s="141" t="str">
        <v>513065 Vuelo</v>
      </c>
      <c r="CX847" s="141" t="str">
        <v>513065 Vuelo</v>
      </c>
      <c r="CY847" s="141" t="str">
        <v>513065 Vuelo</v>
      </c>
      <c r="CZ847" s="141" t="str">
        <v>513065 Vuelo</v>
      </c>
      <c r="DA847" s="141" t="str">
        <v>513065 Vuelo</v>
      </c>
      <c r="DF847" t="str">
        <v>513065 Vuelo</v>
      </c>
      <c r="DG847" t="str">
        <v>513065 Vuelo</v>
      </c>
      <c r="DH847" t="str">
        <v>513065 Vuelo</v>
      </c>
      <c r="DI847" t="str">
        <v>513065 Vuelo</v>
      </c>
      <c r="DJ847" t="str">
        <v>513065 Vuelo</v>
      </c>
      <c r="DK847" t="str">
        <v>513065 Vuelo</v>
      </c>
      <c r="DL847" t="str">
        <v>513065 Vuelo</v>
      </c>
      <c r="DM847" t="str">
        <v>513065 Vuelo</v>
      </c>
      <c r="DN847" t="str">
        <v>513065 Vuelo</v>
      </c>
      <c r="DO847" t="str">
        <v>513065 Vuelo</v>
      </c>
      <c r="DP847" t="str">
        <v>513065 Vuelo</v>
      </c>
    </row>
    <row r="848" spans="4:120" ht="12.75">
      <c r="D848" s="7">
        <v>513070</v>
      </c>
      <c r="E848" s="6" t="s">
        <v>582</v>
      </c>
      <c r="F848" s="5">
        <v>4</v>
      </c>
      <c r="G848" s="34" t="s">
        <v>830</v>
      </c>
      <c r="H848" s="8" t="s">
        <v>32</v>
      </c>
      <c r="I848" t="b">
        <f>+ISNUMBER(SEARCH('F-COMPRA'!$F$28,Tabla11[[#This Row],[Cuenta]],1))</f>
        <v>1</v>
      </c>
      <c r="J848" t="b">
        <f>+ISNUMBER(SEARCH('F-COMPRA'!$F$29,Tabla11[[#This Row],[Cuenta]],1))</f>
        <v>1</v>
      </c>
      <c r="K848" t="b">
        <f>+ISNUMBER(SEARCH('F-COMPRA'!$F$30,Tabla11[[#This Row],[Cuenta]],1))</f>
        <v>1</v>
      </c>
      <c r="L848" t="b">
        <f>+ISNUMBER(SEARCH('F-COMPRA'!$F$31,Tabla11[[#This Row],[Cuenta]],1))</f>
        <v>1</v>
      </c>
      <c r="M848" t="b">
        <f>+ISNUMBER(SEARCH('F-COMPRA'!$G$25,Tabla11[[#This Row],[Cuenta]],1))</f>
        <v>0</v>
      </c>
      <c r="N848" t="b">
        <f>+ISNUMBER(SEARCH(#REF!,Tabla11[[#This Row],[Cuenta]],1))</f>
        <v>0</v>
      </c>
      <c r="O848" t="b">
        <f>+ISNUMBER(SEARCH(#REF!,Tabla11[[#This Row],[Cuenta]],1))</f>
        <v>0</v>
      </c>
      <c r="P848" t="b">
        <f>+ISNUMBER(SEARCH('F-COMPRA'!$F$32,Tabla11[[#This Row],[Cuenta]],1))</f>
        <v>1</v>
      </c>
      <c r="Q848" t="b">
        <f>+ISNUMBER(SEARCH('F-COMPRA'!$F$33,Tabla11[[#This Row],[Cuenta]],1))</f>
        <v>1</v>
      </c>
      <c r="R848" t="b">
        <f>+ISNUMBER(SEARCH('F-COMPRA'!$F$34,Tabla11[[#This Row],[Cuenta]],1))</f>
        <v>1</v>
      </c>
      <c r="S848" t="b">
        <f>+ISNUMBER(SEARCH('F-COMPRA'!$F$35,Tabla11[[#This Row],[Cuenta]],1))</f>
        <v>1</v>
      </c>
      <c r="T848" t="b">
        <f>+ISNUMBER(SEARCH('F-COMPRA'!$F$36,Tabla11[[#This Row],[Cuenta]],1))</f>
        <v>1</v>
      </c>
      <c r="U848" t="b">
        <f>+ISNUMBER(SEARCH('F-COMPRA'!$F$37,Tabla11[[#This Row],[Cuenta]],1))</f>
        <v>1</v>
      </c>
      <c r="V848" t="b">
        <f>+ISNUMBER(SEARCH(#REF!,Tabla11[[#This Row],[Cuenta]],1))</f>
        <v>0</v>
      </c>
      <c r="W848" t="b">
        <f>+ISNUMBER(SEARCH('F-COMPRA'!#REF!,Tabla11[[#This Row],[Cuenta]],1))</f>
        <v>0</v>
      </c>
      <c r="X848" t="b">
        <f>+ISNUMBER(SEARCH('F-COMPRA'!#REF!,Tabla11[[#This Row],[Cuenta]],1))</f>
        <v>0</v>
      </c>
      <c r="Y848" t="b">
        <f>+ISNUMBER(SEARCH('F-COMPRA'!#REF!,Tabla11[[#This Row],[Cuenta]],1))</f>
        <v>0</v>
      </c>
      <c r="Z848" t="b">
        <f>+ISNUMBER(SEARCH('F-COMPRA'!#REF!,Tabla11[[#This Row],[Cuenta]],1))</f>
        <v>0</v>
      </c>
      <c r="AA848" t="b">
        <f>+ISNUMBER(SEARCH('F-COMPRA'!#REF!,Tabla11[[#This Row],[Cuenta]],1))</f>
        <v>0</v>
      </c>
      <c r="AB848" t="b">
        <f>+ISNUMBER(SEARCH('F-COMPRA'!#REF!,Tabla11[[#This Row],[Cuenta]],1))</f>
        <v>0</v>
      </c>
      <c r="AC848" t="b">
        <f>+ISNUMBER(SEARCH('F-COMPRA'!#REF!,Tabla11[[#This Row],[Cuenta]],1))</f>
        <v>0</v>
      </c>
      <c r="AD848" t="b">
        <f>+ISNUMBER(SEARCH('F-COMPRA'!#REF!,Tabla11[[#This Row],[Cuenta]],1))</f>
        <v>0</v>
      </c>
      <c r="AE848" t="b">
        <f>+ISNUMBER(SEARCH('F-COMPRA'!#REF!,Tabla11[[#This Row],[Cuenta]],1))</f>
        <v>0</v>
      </c>
      <c r="AF848" t="b">
        <f>+ISNUMBER(SEARCH('F-VTA'!$G$23,Tabla11[[#This Row],[Cuenta]],1))</f>
        <v>0</v>
      </c>
      <c r="AG848" t="b">
        <f>+ISNUMBER(SEARCH('F-VTA'!$G$24,Tabla11[[#This Row],[Cuenta]],1))</f>
        <v>0</v>
      </c>
      <c r="AH848" t="b">
        <f>+ISNUMBER(SEARCH('F-VTA'!$G$25,Tabla11[[#This Row],[Cuenta]],1))</f>
        <v>0</v>
      </c>
      <c r="AI848" t="b">
        <f>+ISNUMBER(SEARCH('F-VTA'!$F$28,Tabla11[[#This Row],[Cuenta]],1))</f>
        <v>1</v>
      </c>
      <c r="AJ848" t="b">
        <f>+ISNUMBER(SEARCH('F-VTA'!$F$29,Tabla11[[#This Row],[Cuenta]],1))</f>
        <v>1</v>
      </c>
      <c r="AK848" t="b">
        <f>+ISNUMBER(SEARCH('F-VTA'!$F$30,Tabla11[[#This Row],[Cuenta]],1))</f>
        <v>1</v>
      </c>
      <c r="AL848" t="b">
        <f>+ISNUMBER(SEARCH('F-VTA'!$F$31,Tabla11[[#This Row],[Cuenta]],1))</f>
        <v>1</v>
      </c>
      <c r="AM848" t="b">
        <f>+ISNUMBER(SEARCH('F-VTA'!$F$32,Tabla11[[#This Row],[Cuenta]],1))</f>
        <v>1</v>
      </c>
      <c r="AN848" t="b">
        <f>+ISNUMBER(SEARCH('F-VTA'!$F$33,Tabla11[[#This Row],[Cuenta]],1))</f>
        <v>1</v>
      </c>
      <c r="AO848" t="b">
        <f>+ISNUMBER(SEARCH('F-VTA'!$F$34,Tabla11[[#This Row],[Cuenta]],1))</f>
        <v>1</v>
      </c>
      <c r="AP848" t="b">
        <f>+ISNUMBER(SEARCH('F-VTA'!$F$35,Tabla11[[#This Row],[Cuenta]],1))</f>
        <v>1</v>
      </c>
      <c r="AQ848" t="b">
        <f>+ISNUMBER(SEARCH('F-VTA'!$F$36,Tabla11[[#This Row],[Cuenta]],1))</f>
        <v>1</v>
      </c>
      <c r="AR848" t="b">
        <f>+ISNUMBER(SEARCH(#REF!,Tabla11[[#This Row],[Cuenta]],1))</f>
        <v>0</v>
      </c>
      <c r="AS848" t="b">
        <f>+ISNUMBER(SEARCH(#REF!,Tabla11[[#This Row],[Cuenta]],1))</f>
        <v>0</v>
      </c>
      <c r="AT848" t="b">
        <f>+ISNUMBER(SEARCH(#REF!,Tabla11[[#This Row],[Cuenta]],1))</f>
        <v>0</v>
      </c>
      <c r="AU848" t="b">
        <f>+ISNUMBER(SEARCH('Conc. Ban.1'!$I$9,Tabla11[[#This Row],[Cuenta]],1))</f>
        <v>0</v>
      </c>
      <c r="AV848" t="b">
        <f>+ISNUMBER(SEARCH(CompConta!$F$21,Tabla11[[#This Row],[Cuenta]],1))</f>
        <v>1</v>
      </c>
      <c r="AW848" t="b">
        <f>+ISNUMBER(SEARCH(CompConta!$F$22,Tabla11[[#This Row],[Cuenta]],1))</f>
        <v>1</v>
      </c>
      <c r="AX848" t="b">
        <f>+ISNUMBER(SEARCH(CompConta!$F$23,Tabla11[[#This Row],[Cuenta]],1))</f>
        <v>1</v>
      </c>
      <c r="AY848" t="b">
        <f>+ISNUMBER(SEARCH(CompConta!$F$24,Tabla11[[#This Row],[Cuenta]],1))</f>
        <v>1</v>
      </c>
      <c r="AZ848" t="b">
        <f>+ISNUMBER(SEARCH(CompConta!$F$25,Tabla11[[#This Row],[Cuenta]],1))</f>
        <v>1</v>
      </c>
      <c r="BA848" t="b">
        <f>+ISNUMBER(SEARCH(CompConta!$F$26,Tabla11[[#This Row],[Cuenta]],1))</f>
        <v>1</v>
      </c>
      <c r="BB848" t="b">
        <f>+ISNUMBER(SEARCH(CompConta!$F$27,Tabla11[[#This Row],[Cuenta]],1))</f>
        <v>1</v>
      </c>
      <c r="BC848" t="b">
        <f>+ISNUMBER(SEARCH(CompConta!$F$28,Tabla11[[#This Row],[Cuenta]],1))</f>
        <v>1</v>
      </c>
      <c r="BD848" t="b">
        <f>+ISNUMBER(SEARCH(CompConta!$F$29,Tabla11[[#This Row],[Cuenta]],1))</f>
        <v>1</v>
      </c>
      <c r="BE848" t="b">
        <f>+ISNUMBER(SEARCH(CompConta!$F$30,Tabla11[[#This Row],[Cuenta]],1))</f>
        <v>1</v>
      </c>
      <c r="BF848" t="b">
        <f>+ISNUMBER(SEARCH('PAGO Compras'!$E$11,Tabla11[[#This Row],[Cuenta]],1))</f>
        <v>1</v>
      </c>
      <c r="BG848" t="b">
        <f>+ISNUMBER(SEARCH(#REF!,Tabla11[[#This Row],[Cuenta]],1))</f>
        <v>0</v>
      </c>
      <c r="BH848" t="b">
        <f>+ISNUMBER(SEARCH(#REF!,Tabla11[[#This Row],[Cuenta]],1))</f>
        <v>0</v>
      </c>
      <c r="BI848" t="b">
        <f>+ISNUMBER(SEARCH(#REF!,Tabla11[[#This Row],[Cuenta]],1))</f>
        <v>0</v>
      </c>
      <c r="BJ848" t="b">
        <f>+ISNUMBER(SEARCH(#REF!,Tabla11[[#This Row],[Cuenta]],1))</f>
        <v>0</v>
      </c>
      <c r="BS848" t="str">
        <v>513070 Rotura de maquinaria</v>
      </c>
      <c r="BT848" t="str">
        <v>513070 Rotura de maquinaria</v>
      </c>
      <c r="BU848" t="str">
        <v>513070 Rotura de maquinaria</v>
      </c>
      <c r="BV848" t="str">
        <v>513070 Rotura de maquinaria</v>
      </c>
      <c r="BZ848" t="str">
        <v>513070 Rotura de maquinaria</v>
      </c>
      <c r="CA848" t="str">
        <v>513070 Rotura de maquinaria</v>
      </c>
      <c r="CB848" t="str">
        <v>513070 Rotura de maquinaria</v>
      </c>
      <c r="CC848" t="str">
        <v>513070 Rotura de maquinaria</v>
      </c>
      <c r="CD848" t="str">
        <v>513070 Rotura de maquinaria</v>
      </c>
      <c r="CE848" t="str">
        <v>513070 Rotura de maquinaria</v>
      </c>
      <c r="CS848" s="141" t="str">
        <v>513070 Rotura de maquinaria</v>
      </c>
      <c r="CT848" s="141" t="str">
        <v>513070 Rotura de maquinaria</v>
      </c>
      <c r="CU848" s="141" t="str">
        <v>513070 Rotura de maquinaria</v>
      </c>
      <c r="CV848" s="141" t="str">
        <v>513070 Rotura de maquinaria</v>
      </c>
      <c r="CW848" s="141" t="str">
        <v>513070 Rotura de maquinaria</v>
      </c>
      <c r="CX848" s="141" t="str">
        <v>513070 Rotura de maquinaria</v>
      </c>
      <c r="CY848" s="141" t="str">
        <v>513070 Rotura de maquinaria</v>
      </c>
      <c r="CZ848" s="141" t="str">
        <v>513070 Rotura de maquinaria</v>
      </c>
      <c r="DA848" s="141" t="str">
        <v>513070 Rotura de maquinaria</v>
      </c>
      <c r="DF848" t="str">
        <v>513070 Rotura de maquinaria</v>
      </c>
      <c r="DG848" t="str">
        <v>513070 Rotura de maquinaria</v>
      </c>
      <c r="DH848" t="str">
        <v>513070 Rotura de maquinaria</v>
      </c>
      <c r="DI848" t="str">
        <v>513070 Rotura de maquinaria</v>
      </c>
      <c r="DJ848" t="str">
        <v>513070 Rotura de maquinaria</v>
      </c>
      <c r="DK848" t="str">
        <v>513070 Rotura de maquinaria</v>
      </c>
      <c r="DL848" t="str">
        <v>513070 Rotura de maquinaria</v>
      </c>
      <c r="DM848" t="str">
        <v>513070 Rotura de maquinaria</v>
      </c>
      <c r="DN848" t="str">
        <v>513070 Rotura de maquinaria</v>
      </c>
      <c r="DO848" t="str">
        <v>513070 Rotura de maquinaria</v>
      </c>
      <c r="DP848" t="str">
        <v>513070 Rotura de maquinaria</v>
      </c>
    </row>
    <row r="849" spans="4:120" ht="12.75">
      <c r="D849" s="7">
        <v>513075</v>
      </c>
      <c r="E849" s="6" t="s">
        <v>583</v>
      </c>
      <c r="F849" s="5">
        <v>4</v>
      </c>
      <c r="G849" s="34" t="s">
        <v>830</v>
      </c>
      <c r="H849" s="8" t="s">
        <v>32</v>
      </c>
      <c r="I849" t="b">
        <f>+ISNUMBER(SEARCH('F-COMPRA'!$F$28,Tabla11[[#This Row],[Cuenta]],1))</f>
        <v>1</v>
      </c>
      <c r="J849" t="b">
        <f>+ISNUMBER(SEARCH('F-COMPRA'!$F$29,Tabla11[[#This Row],[Cuenta]],1))</f>
        <v>1</v>
      </c>
      <c r="K849" t="b">
        <f>+ISNUMBER(SEARCH('F-COMPRA'!$F$30,Tabla11[[#This Row],[Cuenta]],1))</f>
        <v>1</v>
      </c>
      <c r="L849" t="b">
        <f>+ISNUMBER(SEARCH('F-COMPRA'!$F$31,Tabla11[[#This Row],[Cuenta]],1))</f>
        <v>1</v>
      </c>
      <c r="M849" t="b">
        <f>+ISNUMBER(SEARCH('F-COMPRA'!$G$25,Tabla11[[#This Row],[Cuenta]],1))</f>
        <v>0</v>
      </c>
      <c r="N849" t="b">
        <f>+ISNUMBER(SEARCH(#REF!,Tabla11[[#This Row],[Cuenta]],1))</f>
        <v>0</v>
      </c>
      <c r="O849" t="b">
        <f>+ISNUMBER(SEARCH(#REF!,Tabla11[[#This Row],[Cuenta]],1))</f>
        <v>0</v>
      </c>
      <c r="P849" t="b">
        <f>+ISNUMBER(SEARCH('F-COMPRA'!$F$32,Tabla11[[#This Row],[Cuenta]],1))</f>
        <v>1</v>
      </c>
      <c r="Q849" t="b">
        <f>+ISNUMBER(SEARCH('F-COMPRA'!$F$33,Tabla11[[#This Row],[Cuenta]],1))</f>
        <v>1</v>
      </c>
      <c r="R849" t="b">
        <f>+ISNUMBER(SEARCH('F-COMPRA'!$F$34,Tabla11[[#This Row],[Cuenta]],1))</f>
        <v>1</v>
      </c>
      <c r="S849" t="b">
        <f>+ISNUMBER(SEARCH('F-COMPRA'!$F$35,Tabla11[[#This Row],[Cuenta]],1))</f>
        <v>1</v>
      </c>
      <c r="T849" t="b">
        <f>+ISNUMBER(SEARCH('F-COMPRA'!$F$36,Tabla11[[#This Row],[Cuenta]],1))</f>
        <v>1</v>
      </c>
      <c r="U849" t="b">
        <f>+ISNUMBER(SEARCH('F-COMPRA'!$F$37,Tabla11[[#This Row],[Cuenta]],1))</f>
        <v>1</v>
      </c>
      <c r="V849" t="b">
        <f>+ISNUMBER(SEARCH(#REF!,Tabla11[[#This Row],[Cuenta]],1))</f>
        <v>0</v>
      </c>
      <c r="W849" t="b">
        <f>+ISNUMBER(SEARCH('F-COMPRA'!#REF!,Tabla11[[#This Row],[Cuenta]],1))</f>
        <v>0</v>
      </c>
      <c r="X849" t="b">
        <f>+ISNUMBER(SEARCH('F-COMPRA'!#REF!,Tabla11[[#This Row],[Cuenta]],1))</f>
        <v>0</v>
      </c>
      <c r="Y849" t="b">
        <f>+ISNUMBER(SEARCH('F-COMPRA'!#REF!,Tabla11[[#This Row],[Cuenta]],1))</f>
        <v>0</v>
      </c>
      <c r="Z849" t="b">
        <f>+ISNUMBER(SEARCH('F-COMPRA'!#REF!,Tabla11[[#This Row],[Cuenta]],1))</f>
        <v>0</v>
      </c>
      <c r="AA849" t="b">
        <f>+ISNUMBER(SEARCH('F-COMPRA'!#REF!,Tabla11[[#This Row],[Cuenta]],1))</f>
        <v>0</v>
      </c>
      <c r="AB849" t="b">
        <f>+ISNUMBER(SEARCH('F-COMPRA'!#REF!,Tabla11[[#This Row],[Cuenta]],1))</f>
        <v>0</v>
      </c>
      <c r="AC849" t="b">
        <f>+ISNUMBER(SEARCH('F-COMPRA'!#REF!,Tabla11[[#This Row],[Cuenta]],1))</f>
        <v>0</v>
      </c>
      <c r="AD849" t="b">
        <f>+ISNUMBER(SEARCH('F-COMPRA'!#REF!,Tabla11[[#This Row],[Cuenta]],1))</f>
        <v>0</v>
      </c>
      <c r="AE849" t="b">
        <f>+ISNUMBER(SEARCH('F-COMPRA'!#REF!,Tabla11[[#This Row],[Cuenta]],1))</f>
        <v>0</v>
      </c>
      <c r="AF849" t="b">
        <f>+ISNUMBER(SEARCH('F-VTA'!$G$23,Tabla11[[#This Row],[Cuenta]],1))</f>
        <v>0</v>
      </c>
      <c r="AG849" t="b">
        <f>+ISNUMBER(SEARCH('F-VTA'!$G$24,Tabla11[[#This Row],[Cuenta]],1))</f>
        <v>0</v>
      </c>
      <c r="AH849" t="b">
        <f>+ISNUMBER(SEARCH('F-VTA'!$G$25,Tabla11[[#This Row],[Cuenta]],1))</f>
        <v>0</v>
      </c>
      <c r="AI849" t="b">
        <f>+ISNUMBER(SEARCH('F-VTA'!$F$28,Tabla11[[#This Row],[Cuenta]],1))</f>
        <v>1</v>
      </c>
      <c r="AJ849" t="b">
        <f>+ISNUMBER(SEARCH('F-VTA'!$F$29,Tabla11[[#This Row],[Cuenta]],1))</f>
        <v>1</v>
      </c>
      <c r="AK849" t="b">
        <f>+ISNUMBER(SEARCH('F-VTA'!$F$30,Tabla11[[#This Row],[Cuenta]],1))</f>
        <v>1</v>
      </c>
      <c r="AL849" t="b">
        <f>+ISNUMBER(SEARCH('F-VTA'!$F$31,Tabla11[[#This Row],[Cuenta]],1))</f>
        <v>1</v>
      </c>
      <c r="AM849" t="b">
        <f>+ISNUMBER(SEARCH('F-VTA'!$F$32,Tabla11[[#This Row],[Cuenta]],1))</f>
        <v>1</v>
      </c>
      <c r="AN849" t="b">
        <f>+ISNUMBER(SEARCH('F-VTA'!$F$33,Tabla11[[#This Row],[Cuenta]],1))</f>
        <v>1</v>
      </c>
      <c r="AO849" t="b">
        <f>+ISNUMBER(SEARCH('F-VTA'!$F$34,Tabla11[[#This Row],[Cuenta]],1))</f>
        <v>1</v>
      </c>
      <c r="AP849" t="b">
        <f>+ISNUMBER(SEARCH('F-VTA'!$F$35,Tabla11[[#This Row],[Cuenta]],1))</f>
        <v>1</v>
      </c>
      <c r="AQ849" t="b">
        <f>+ISNUMBER(SEARCH('F-VTA'!$F$36,Tabla11[[#This Row],[Cuenta]],1))</f>
        <v>1</v>
      </c>
      <c r="AR849" t="b">
        <f>+ISNUMBER(SEARCH(#REF!,Tabla11[[#This Row],[Cuenta]],1))</f>
        <v>0</v>
      </c>
      <c r="AS849" t="b">
        <f>+ISNUMBER(SEARCH(#REF!,Tabla11[[#This Row],[Cuenta]],1))</f>
        <v>0</v>
      </c>
      <c r="AT849" t="b">
        <f>+ISNUMBER(SEARCH(#REF!,Tabla11[[#This Row],[Cuenta]],1))</f>
        <v>0</v>
      </c>
      <c r="AU849" t="b">
        <f>+ISNUMBER(SEARCH('Conc. Ban.1'!$I$9,Tabla11[[#This Row],[Cuenta]],1))</f>
        <v>0</v>
      </c>
      <c r="AV849" t="b">
        <f>+ISNUMBER(SEARCH(CompConta!$F$21,Tabla11[[#This Row],[Cuenta]],1))</f>
        <v>1</v>
      </c>
      <c r="AW849" t="b">
        <f>+ISNUMBER(SEARCH(CompConta!$F$22,Tabla11[[#This Row],[Cuenta]],1))</f>
        <v>1</v>
      </c>
      <c r="AX849" t="b">
        <f>+ISNUMBER(SEARCH(CompConta!$F$23,Tabla11[[#This Row],[Cuenta]],1))</f>
        <v>1</v>
      </c>
      <c r="AY849" t="b">
        <f>+ISNUMBER(SEARCH(CompConta!$F$24,Tabla11[[#This Row],[Cuenta]],1))</f>
        <v>1</v>
      </c>
      <c r="AZ849" t="b">
        <f>+ISNUMBER(SEARCH(CompConta!$F$25,Tabla11[[#This Row],[Cuenta]],1))</f>
        <v>1</v>
      </c>
      <c r="BA849" t="b">
        <f>+ISNUMBER(SEARCH(CompConta!$F$26,Tabla11[[#This Row],[Cuenta]],1))</f>
        <v>1</v>
      </c>
      <c r="BB849" t="b">
        <f>+ISNUMBER(SEARCH(CompConta!$F$27,Tabla11[[#This Row],[Cuenta]],1))</f>
        <v>1</v>
      </c>
      <c r="BC849" t="b">
        <f>+ISNUMBER(SEARCH(CompConta!$F$28,Tabla11[[#This Row],[Cuenta]],1))</f>
        <v>1</v>
      </c>
      <c r="BD849" t="b">
        <f>+ISNUMBER(SEARCH(CompConta!$F$29,Tabla11[[#This Row],[Cuenta]],1))</f>
        <v>1</v>
      </c>
      <c r="BE849" t="b">
        <f>+ISNUMBER(SEARCH(CompConta!$F$30,Tabla11[[#This Row],[Cuenta]],1))</f>
        <v>1</v>
      </c>
      <c r="BF849" t="b">
        <f>+ISNUMBER(SEARCH('PAGO Compras'!$E$11,Tabla11[[#This Row],[Cuenta]],1))</f>
        <v>1</v>
      </c>
      <c r="BG849" t="b">
        <f>+ISNUMBER(SEARCH(#REF!,Tabla11[[#This Row],[Cuenta]],1))</f>
        <v>0</v>
      </c>
      <c r="BH849" t="b">
        <f>+ISNUMBER(SEARCH(#REF!,Tabla11[[#This Row],[Cuenta]],1))</f>
        <v>0</v>
      </c>
      <c r="BI849" t="b">
        <f>+ISNUMBER(SEARCH(#REF!,Tabla11[[#This Row],[Cuenta]],1))</f>
        <v>0</v>
      </c>
      <c r="BJ849" t="b">
        <f>+ISNUMBER(SEARCH(#REF!,Tabla11[[#This Row],[Cuenta]],1))</f>
        <v>0</v>
      </c>
      <c r="BS849" t="str">
        <v>513075 Obligatorio accidente de tránsito</v>
      </c>
      <c r="BT849" t="str">
        <v>513075 Obligatorio accidente de tránsito</v>
      </c>
      <c r="BU849" t="str">
        <v>513075 Obligatorio accidente de tránsito</v>
      </c>
      <c r="BV849" t="str">
        <v>513075 Obligatorio accidente de tránsito</v>
      </c>
      <c r="BZ849" t="str">
        <v>513075 Obligatorio accidente de tránsito</v>
      </c>
      <c r="CA849" t="str">
        <v>513075 Obligatorio accidente de tránsito</v>
      </c>
      <c r="CB849" t="str">
        <v>513075 Obligatorio accidente de tránsito</v>
      </c>
      <c r="CC849" t="str">
        <v>513075 Obligatorio accidente de tránsito</v>
      </c>
      <c r="CD849" t="str">
        <v>513075 Obligatorio accidente de tránsito</v>
      </c>
      <c r="CE849" t="str">
        <v>513075 Obligatorio accidente de tránsito</v>
      </c>
      <c r="CS849" s="141" t="str">
        <v>513075 Obligatorio accidente de tránsito</v>
      </c>
      <c r="CT849" s="141" t="str">
        <v>513075 Obligatorio accidente de tránsito</v>
      </c>
      <c r="CU849" s="141" t="str">
        <v>513075 Obligatorio accidente de tránsito</v>
      </c>
      <c r="CV849" s="141" t="str">
        <v>513075 Obligatorio accidente de tránsito</v>
      </c>
      <c r="CW849" s="141" t="str">
        <v>513075 Obligatorio accidente de tránsito</v>
      </c>
      <c r="CX849" s="141" t="str">
        <v>513075 Obligatorio accidente de tránsito</v>
      </c>
      <c r="CY849" s="141" t="str">
        <v>513075 Obligatorio accidente de tránsito</v>
      </c>
      <c r="CZ849" s="141" t="str">
        <v>513075 Obligatorio accidente de tránsito</v>
      </c>
      <c r="DA849" s="141" t="str">
        <v>513075 Obligatorio accidente de tránsito</v>
      </c>
      <c r="DF849" t="str">
        <v>513075 Obligatorio accidente de tránsito</v>
      </c>
      <c r="DG849" t="str">
        <v>513075 Obligatorio accidente de tránsito</v>
      </c>
      <c r="DH849" t="str">
        <v>513075 Obligatorio accidente de tránsito</v>
      </c>
      <c r="DI849" t="str">
        <v>513075 Obligatorio accidente de tránsito</v>
      </c>
      <c r="DJ849" t="str">
        <v>513075 Obligatorio accidente de tránsito</v>
      </c>
      <c r="DK849" t="str">
        <v>513075 Obligatorio accidente de tránsito</v>
      </c>
      <c r="DL849" t="str">
        <v>513075 Obligatorio accidente de tránsito</v>
      </c>
      <c r="DM849" t="str">
        <v>513075 Obligatorio accidente de tránsito</v>
      </c>
      <c r="DN849" t="str">
        <v>513075 Obligatorio accidente de tránsito</v>
      </c>
      <c r="DO849" t="str">
        <v>513075 Obligatorio accidente de tránsito</v>
      </c>
      <c r="DP849" t="str">
        <v>513075 Obligatorio accidente de tránsito</v>
      </c>
    </row>
    <row r="850" spans="4:120" ht="12.75">
      <c r="D850" s="7">
        <v>513080</v>
      </c>
      <c r="E850" s="6" t="s">
        <v>584</v>
      </c>
      <c r="F850" s="5">
        <v>4</v>
      </c>
      <c r="G850" s="34" t="s">
        <v>830</v>
      </c>
      <c r="H850" s="8" t="s">
        <v>32</v>
      </c>
      <c r="I850" t="b">
        <f>+ISNUMBER(SEARCH('F-COMPRA'!$F$28,Tabla11[[#This Row],[Cuenta]],1))</f>
        <v>1</v>
      </c>
      <c r="J850" t="b">
        <f>+ISNUMBER(SEARCH('F-COMPRA'!$F$29,Tabla11[[#This Row],[Cuenta]],1))</f>
        <v>1</v>
      </c>
      <c r="K850" t="b">
        <f>+ISNUMBER(SEARCH('F-COMPRA'!$F$30,Tabla11[[#This Row],[Cuenta]],1))</f>
        <v>1</v>
      </c>
      <c r="L850" t="b">
        <f>+ISNUMBER(SEARCH('F-COMPRA'!$F$31,Tabla11[[#This Row],[Cuenta]],1))</f>
        <v>1</v>
      </c>
      <c r="M850" t="b">
        <f>+ISNUMBER(SEARCH('F-COMPRA'!$G$25,Tabla11[[#This Row],[Cuenta]],1))</f>
        <v>0</v>
      </c>
      <c r="N850" t="b">
        <f>+ISNUMBER(SEARCH(#REF!,Tabla11[[#This Row],[Cuenta]],1))</f>
        <v>0</v>
      </c>
      <c r="O850" t="b">
        <f>+ISNUMBER(SEARCH(#REF!,Tabla11[[#This Row],[Cuenta]],1))</f>
        <v>0</v>
      </c>
      <c r="P850" t="b">
        <f>+ISNUMBER(SEARCH('F-COMPRA'!$F$32,Tabla11[[#This Row],[Cuenta]],1))</f>
        <v>1</v>
      </c>
      <c r="Q850" t="b">
        <f>+ISNUMBER(SEARCH('F-COMPRA'!$F$33,Tabla11[[#This Row],[Cuenta]],1))</f>
        <v>1</v>
      </c>
      <c r="R850" t="b">
        <f>+ISNUMBER(SEARCH('F-COMPRA'!$F$34,Tabla11[[#This Row],[Cuenta]],1))</f>
        <v>1</v>
      </c>
      <c r="S850" t="b">
        <f>+ISNUMBER(SEARCH('F-COMPRA'!$F$35,Tabla11[[#This Row],[Cuenta]],1))</f>
        <v>1</v>
      </c>
      <c r="T850" t="b">
        <f>+ISNUMBER(SEARCH('F-COMPRA'!$F$36,Tabla11[[#This Row],[Cuenta]],1))</f>
        <v>1</v>
      </c>
      <c r="U850" t="b">
        <f>+ISNUMBER(SEARCH('F-COMPRA'!$F$37,Tabla11[[#This Row],[Cuenta]],1))</f>
        <v>1</v>
      </c>
      <c r="V850" t="b">
        <f>+ISNUMBER(SEARCH(#REF!,Tabla11[[#This Row],[Cuenta]],1))</f>
        <v>0</v>
      </c>
      <c r="W850" t="b">
        <f>+ISNUMBER(SEARCH('F-COMPRA'!#REF!,Tabla11[[#This Row],[Cuenta]],1))</f>
        <v>0</v>
      </c>
      <c r="X850" t="b">
        <f>+ISNUMBER(SEARCH('F-COMPRA'!#REF!,Tabla11[[#This Row],[Cuenta]],1))</f>
        <v>0</v>
      </c>
      <c r="Y850" t="b">
        <f>+ISNUMBER(SEARCH('F-COMPRA'!#REF!,Tabla11[[#This Row],[Cuenta]],1))</f>
        <v>0</v>
      </c>
      <c r="Z850" t="b">
        <f>+ISNUMBER(SEARCH('F-COMPRA'!#REF!,Tabla11[[#This Row],[Cuenta]],1))</f>
        <v>0</v>
      </c>
      <c r="AA850" t="b">
        <f>+ISNUMBER(SEARCH('F-COMPRA'!#REF!,Tabla11[[#This Row],[Cuenta]],1))</f>
        <v>0</v>
      </c>
      <c r="AB850" t="b">
        <f>+ISNUMBER(SEARCH('F-COMPRA'!#REF!,Tabla11[[#This Row],[Cuenta]],1))</f>
        <v>0</v>
      </c>
      <c r="AC850" t="b">
        <f>+ISNUMBER(SEARCH('F-COMPRA'!#REF!,Tabla11[[#This Row],[Cuenta]],1))</f>
        <v>0</v>
      </c>
      <c r="AD850" t="b">
        <f>+ISNUMBER(SEARCH('F-COMPRA'!#REF!,Tabla11[[#This Row],[Cuenta]],1))</f>
        <v>0</v>
      </c>
      <c r="AE850" t="b">
        <f>+ISNUMBER(SEARCH('F-COMPRA'!#REF!,Tabla11[[#This Row],[Cuenta]],1))</f>
        <v>0</v>
      </c>
      <c r="AF850" t="b">
        <f>+ISNUMBER(SEARCH('F-VTA'!$G$23,Tabla11[[#This Row],[Cuenta]],1))</f>
        <v>0</v>
      </c>
      <c r="AG850" t="b">
        <f>+ISNUMBER(SEARCH('F-VTA'!$G$24,Tabla11[[#This Row],[Cuenta]],1))</f>
        <v>0</v>
      </c>
      <c r="AH850" t="b">
        <f>+ISNUMBER(SEARCH('F-VTA'!$G$25,Tabla11[[#This Row],[Cuenta]],1))</f>
        <v>0</v>
      </c>
      <c r="AI850" t="b">
        <f>+ISNUMBER(SEARCH('F-VTA'!$F$28,Tabla11[[#This Row],[Cuenta]],1))</f>
        <v>1</v>
      </c>
      <c r="AJ850" t="b">
        <f>+ISNUMBER(SEARCH('F-VTA'!$F$29,Tabla11[[#This Row],[Cuenta]],1))</f>
        <v>1</v>
      </c>
      <c r="AK850" t="b">
        <f>+ISNUMBER(SEARCH('F-VTA'!$F$30,Tabla11[[#This Row],[Cuenta]],1))</f>
        <v>1</v>
      </c>
      <c r="AL850" t="b">
        <f>+ISNUMBER(SEARCH('F-VTA'!$F$31,Tabla11[[#This Row],[Cuenta]],1))</f>
        <v>1</v>
      </c>
      <c r="AM850" t="b">
        <f>+ISNUMBER(SEARCH('F-VTA'!$F$32,Tabla11[[#This Row],[Cuenta]],1))</f>
        <v>1</v>
      </c>
      <c r="AN850" t="b">
        <f>+ISNUMBER(SEARCH('F-VTA'!$F$33,Tabla11[[#This Row],[Cuenta]],1))</f>
        <v>1</v>
      </c>
      <c r="AO850" t="b">
        <f>+ISNUMBER(SEARCH('F-VTA'!$F$34,Tabla11[[#This Row],[Cuenta]],1))</f>
        <v>1</v>
      </c>
      <c r="AP850" t="b">
        <f>+ISNUMBER(SEARCH('F-VTA'!$F$35,Tabla11[[#This Row],[Cuenta]],1))</f>
        <v>1</v>
      </c>
      <c r="AQ850" t="b">
        <f>+ISNUMBER(SEARCH('F-VTA'!$F$36,Tabla11[[#This Row],[Cuenta]],1))</f>
        <v>1</v>
      </c>
      <c r="AR850" t="b">
        <f>+ISNUMBER(SEARCH(#REF!,Tabla11[[#This Row],[Cuenta]],1))</f>
        <v>0</v>
      </c>
      <c r="AS850" t="b">
        <f>+ISNUMBER(SEARCH(#REF!,Tabla11[[#This Row],[Cuenta]],1))</f>
        <v>0</v>
      </c>
      <c r="AT850" t="b">
        <f>+ISNUMBER(SEARCH(#REF!,Tabla11[[#This Row],[Cuenta]],1))</f>
        <v>0</v>
      </c>
      <c r="AU850" t="b">
        <f>+ISNUMBER(SEARCH('Conc. Ban.1'!$I$9,Tabla11[[#This Row],[Cuenta]],1))</f>
        <v>0</v>
      </c>
      <c r="AV850" t="b">
        <f>+ISNUMBER(SEARCH(CompConta!$F$21,Tabla11[[#This Row],[Cuenta]],1))</f>
        <v>1</v>
      </c>
      <c r="AW850" t="b">
        <f>+ISNUMBER(SEARCH(CompConta!$F$22,Tabla11[[#This Row],[Cuenta]],1))</f>
        <v>1</v>
      </c>
      <c r="AX850" t="b">
        <f>+ISNUMBER(SEARCH(CompConta!$F$23,Tabla11[[#This Row],[Cuenta]],1))</f>
        <v>1</v>
      </c>
      <c r="AY850" t="b">
        <f>+ISNUMBER(SEARCH(CompConta!$F$24,Tabla11[[#This Row],[Cuenta]],1))</f>
        <v>1</v>
      </c>
      <c r="AZ850" t="b">
        <f>+ISNUMBER(SEARCH(CompConta!$F$25,Tabla11[[#This Row],[Cuenta]],1))</f>
        <v>1</v>
      </c>
      <c r="BA850" t="b">
        <f>+ISNUMBER(SEARCH(CompConta!$F$26,Tabla11[[#This Row],[Cuenta]],1))</f>
        <v>1</v>
      </c>
      <c r="BB850" t="b">
        <f>+ISNUMBER(SEARCH(CompConta!$F$27,Tabla11[[#This Row],[Cuenta]],1))</f>
        <v>1</v>
      </c>
      <c r="BC850" t="b">
        <f>+ISNUMBER(SEARCH(CompConta!$F$28,Tabla11[[#This Row],[Cuenta]],1))</f>
        <v>1</v>
      </c>
      <c r="BD850" t="b">
        <f>+ISNUMBER(SEARCH(CompConta!$F$29,Tabla11[[#This Row],[Cuenta]],1))</f>
        <v>1</v>
      </c>
      <c r="BE850" t="b">
        <f>+ISNUMBER(SEARCH(CompConta!$F$30,Tabla11[[#This Row],[Cuenta]],1))</f>
        <v>1</v>
      </c>
      <c r="BF850" t="b">
        <f>+ISNUMBER(SEARCH('PAGO Compras'!$E$11,Tabla11[[#This Row],[Cuenta]],1))</f>
        <v>1</v>
      </c>
      <c r="BG850" t="b">
        <f>+ISNUMBER(SEARCH(#REF!,Tabla11[[#This Row],[Cuenta]],1))</f>
        <v>0</v>
      </c>
      <c r="BH850" t="b">
        <f>+ISNUMBER(SEARCH(#REF!,Tabla11[[#This Row],[Cuenta]],1))</f>
        <v>0</v>
      </c>
      <c r="BI850" t="b">
        <f>+ISNUMBER(SEARCH(#REF!,Tabla11[[#This Row],[Cuenta]],1))</f>
        <v>0</v>
      </c>
      <c r="BJ850" t="b">
        <f>+ISNUMBER(SEARCH(#REF!,Tabla11[[#This Row],[Cuenta]],1))</f>
        <v>0</v>
      </c>
      <c r="BS850" t="str">
        <v>513080 Lucro cesante</v>
      </c>
      <c r="BT850" t="str">
        <v>513080 Lucro cesante</v>
      </c>
      <c r="BU850" t="str">
        <v>513080 Lucro cesante</v>
      </c>
      <c r="BV850" t="str">
        <v>513080 Lucro cesante</v>
      </c>
      <c r="BZ850" t="str">
        <v>513080 Lucro cesante</v>
      </c>
      <c r="CA850" t="str">
        <v>513080 Lucro cesante</v>
      </c>
      <c r="CB850" t="str">
        <v>513080 Lucro cesante</v>
      </c>
      <c r="CC850" t="str">
        <v>513080 Lucro cesante</v>
      </c>
      <c r="CD850" t="str">
        <v>513080 Lucro cesante</v>
      </c>
      <c r="CE850" t="str">
        <v>513080 Lucro cesante</v>
      </c>
      <c r="CS850" s="141" t="str">
        <v>513080 Lucro cesante</v>
      </c>
      <c r="CT850" s="141" t="str">
        <v>513080 Lucro cesante</v>
      </c>
      <c r="CU850" s="141" t="str">
        <v>513080 Lucro cesante</v>
      </c>
      <c r="CV850" s="141" t="str">
        <v>513080 Lucro cesante</v>
      </c>
      <c r="CW850" s="141" t="str">
        <v>513080 Lucro cesante</v>
      </c>
      <c r="CX850" s="141" t="str">
        <v>513080 Lucro cesante</v>
      </c>
      <c r="CY850" s="141" t="str">
        <v>513080 Lucro cesante</v>
      </c>
      <c r="CZ850" s="141" t="str">
        <v>513080 Lucro cesante</v>
      </c>
      <c r="DA850" s="141" t="str">
        <v>513080 Lucro cesante</v>
      </c>
      <c r="DF850" t="str">
        <v>513080 Lucro cesante</v>
      </c>
      <c r="DG850" t="str">
        <v>513080 Lucro cesante</v>
      </c>
      <c r="DH850" t="str">
        <v>513080 Lucro cesante</v>
      </c>
      <c r="DI850" t="str">
        <v>513080 Lucro cesante</v>
      </c>
      <c r="DJ850" t="str">
        <v>513080 Lucro cesante</v>
      </c>
      <c r="DK850" t="str">
        <v>513080 Lucro cesante</v>
      </c>
      <c r="DL850" t="str">
        <v>513080 Lucro cesante</v>
      </c>
      <c r="DM850" t="str">
        <v>513080 Lucro cesante</v>
      </c>
      <c r="DN850" t="str">
        <v>513080 Lucro cesante</v>
      </c>
      <c r="DO850" t="str">
        <v>513080 Lucro cesante</v>
      </c>
      <c r="DP850" t="str">
        <v>513080 Lucro cesante</v>
      </c>
    </row>
    <row r="851" spans="4:120" ht="12.75">
      <c r="D851" s="7">
        <v>513085</v>
      </c>
      <c r="E851" s="6" t="s">
        <v>585</v>
      </c>
      <c r="F851" s="5">
        <v>4</v>
      </c>
      <c r="G851" s="34" t="s">
        <v>830</v>
      </c>
      <c r="H851" s="8" t="s">
        <v>32</v>
      </c>
      <c r="I851" t="b">
        <f>+ISNUMBER(SEARCH('F-COMPRA'!$F$28,Tabla11[[#This Row],[Cuenta]],1))</f>
        <v>1</v>
      </c>
      <c r="J851" t="b">
        <f>+ISNUMBER(SEARCH('F-COMPRA'!$F$29,Tabla11[[#This Row],[Cuenta]],1))</f>
        <v>1</v>
      </c>
      <c r="K851" t="b">
        <f>+ISNUMBER(SEARCH('F-COMPRA'!$F$30,Tabla11[[#This Row],[Cuenta]],1))</f>
        <v>1</v>
      </c>
      <c r="L851" t="b">
        <f>+ISNUMBER(SEARCH('F-COMPRA'!$F$31,Tabla11[[#This Row],[Cuenta]],1))</f>
        <v>1</v>
      </c>
      <c r="M851" t="b">
        <f>+ISNUMBER(SEARCH('F-COMPRA'!$G$25,Tabla11[[#This Row],[Cuenta]],1))</f>
        <v>0</v>
      </c>
      <c r="N851" t="b">
        <f>+ISNUMBER(SEARCH(#REF!,Tabla11[[#This Row],[Cuenta]],1))</f>
        <v>0</v>
      </c>
      <c r="O851" t="b">
        <f>+ISNUMBER(SEARCH(#REF!,Tabla11[[#This Row],[Cuenta]],1))</f>
        <v>0</v>
      </c>
      <c r="P851" t="b">
        <f>+ISNUMBER(SEARCH('F-COMPRA'!$F$32,Tabla11[[#This Row],[Cuenta]],1))</f>
        <v>1</v>
      </c>
      <c r="Q851" t="b">
        <f>+ISNUMBER(SEARCH('F-COMPRA'!$F$33,Tabla11[[#This Row],[Cuenta]],1))</f>
        <v>1</v>
      </c>
      <c r="R851" t="b">
        <f>+ISNUMBER(SEARCH('F-COMPRA'!$F$34,Tabla11[[#This Row],[Cuenta]],1))</f>
        <v>1</v>
      </c>
      <c r="S851" t="b">
        <f>+ISNUMBER(SEARCH('F-COMPRA'!$F$35,Tabla11[[#This Row],[Cuenta]],1))</f>
        <v>1</v>
      </c>
      <c r="T851" t="b">
        <f>+ISNUMBER(SEARCH('F-COMPRA'!$F$36,Tabla11[[#This Row],[Cuenta]],1))</f>
        <v>1</v>
      </c>
      <c r="U851" t="b">
        <f>+ISNUMBER(SEARCH('F-COMPRA'!$F$37,Tabla11[[#This Row],[Cuenta]],1))</f>
        <v>1</v>
      </c>
      <c r="V851" t="b">
        <f>+ISNUMBER(SEARCH(#REF!,Tabla11[[#This Row],[Cuenta]],1))</f>
        <v>0</v>
      </c>
      <c r="W851" t="b">
        <f>+ISNUMBER(SEARCH('F-COMPRA'!#REF!,Tabla11[[#This Row],[Cuenta]],1))</f>
        <v>0</v>
      </c>
      <c r="X851" t="b">
        <f>+ISNUMBER(SEARCH('F-COMPRA'!#REF!,Tabla11[[#This Row],[Cuenta]],1))</f>
        <v>0</v>
      </c>
      <c r="Y851" t="b">
        <f>+ISNUMBER(SEARCH('F-COMPRA'!#REF!,Tabla11[[#This Row],[Cuenta]],1))</f>
        <v>0</v>
      </c>
      <c r="Z851" t="b">
        <f>+ISNUMBER(SEARCH('F-COMPRA'!#REF!,Tabla11[[#This Row],[Cuenta]],1))</f>
        <v>0</v>
      </c>
      <c r="AA851" t="b">
        <f>+ISNUMBER(SEARCH('F-COMPRA'!#REF!,Tabla11[[#This Row],[Cuenta]],1))</f>
        <v>0</v>
      </c>
      <c r="AB851" t="b">
        <f>+ISNUMBER(SEARCH('F-COMPRA'!#REF!,Tabla11[[#This Row],[Cuenta]],1))</f>
        <v>0</v>
      </c>
      <c r="AC851" t="b">
        <f>+ISNUMBER(SEARCH('F-COMPRA'!#REF!,Tabla11[[#This Row],[Cuenta]],1))</f>
        <v>0</v>
      </c>
      <c r="AD851" t="b">
        <f>+ISNUMBER(SEARCH('F-COMPRA'!#REF!,Tabla11[[#This Row],[Cuenta]],1))</f>
        <v>0</v>
      </c>
      <c r="AE851" t="b">
        <f>+ISNUMBER(SEARCH('F-COMPRA'!#REF!,Tabla11[[#This Row],[Cuenta]],1))</f>
        <v>0</v>
      </c>
      <c r="AF851" t="b">
        <f>+ISNUMBER(SEARCH('F-VTA'!$G$23,Tabla11[[#This Row],[Cuenta]],1))</f>
        <v>0</v>
      </c>
      <c r="AG851" t="b">
        <f>+ISNUMBER(SEARCH('F-VTA'!$G$24,Tabla11[[#This Row],[Cuenta]],1))</f>
        <v>0</v>
      </c>
      <c r="AH851" t="b">
        <f>+ISNUMBER(SEARCH('F-VTA'!$G$25,Tabla11[[#This Row],[Cuenta]],1))</f>
        <v>0</v>
      </c>
      <c r="AI851" t="b">
        <f>+ISNUMBER(SEARCH('F-VTA'!$F$28,Tabla11[[#This Row],[Cuenta]],1))</f>
        <v>1</v>
      </c>
      <c r="AJ851" t="b">
        <f>+ISNUMBER(SEARCH('F-VTA'!$F$29,Tabla11[[#This Row],[Cuenta]],1))</f>
        <v>1</v>
      </c>
      <c r="AK851" t="b">
        <f>+ISNUMBER(SEARCH('F-VTA'!$F$30,Tabla11[[#This Row],[Cuenta]],1))</f>
        <v>1</v>
      </c>
      <c r="AL851" t="b">
        <f>+ISNUMBER(SEARCH('F-VTA'!$F$31,Tabla11[[#This Row],[Cuenta]],1))</f>
        <v>1</v>
      </c>
      <c r="AM851" t="b">
        <f>+ISNUMBER(SEARCH('F-VTA'!$F$32,Tabla11[[#This Row],[Cuenta]],1))</f>
        <v>1</v>
      </c>
      <c r="AN851" t="b">
        <f>+ISNUMBER(SEARCH('F-VTA'!$F$33,Tabla11[[#This Row],[Cuenta]],1))</f>
        <v>1</v>
      </c>
      <c r="AO851" t="b">
        <f>+ISNUMBER(SEARCH('F-VTA'!$F$34,Tabla11[[#This Row],[Cuenta]],1))</f>
        <v>1</v>
      </c>
      <c r="AP851" t="b">
        <f>+ISNUMBER(SEARCH('F-VTA'!$F$35,Tabla11[[#This Row],[Cuenta]],1))</f>
        <v>1</v>
      </c>
      <c r="AQ851" t="b">
        <f>+ISNUMBER(SEARCH('F-VTA'!$F$36,Tabla11[[#This Row],[Cuenta]],1))</f>
        <v>1</v>
      </c>
      <c r="AR851" t="b">
        <f>+ISNUMBER(SEARCH(#REF!,Tabla11[[#This Row],[Cuenta]],1))</f>
        <v>0</v>
      </c>
      <c r="AS851" t="b">
        <f>+ISNUMBER(SEARCH(#REF!,Tabla11[[#This Row],[Cuenta]],1))</f>
        <v>0</v>
      </c>
      <c r="AT851" t="b">
        <f>+ISNUMBER(SEARCH(#REF!,Tabla11[[#This Row],[Cuenta]],1))</f>
        <v>0</v>
      </c>
      <c r="AU851" t="b">
        <f>+ISNUMBER(SEARCH('Conc. Ban.1'!$I$9,Tabla11[[#This Row],[Cuenta]],1))</f>
        <v>0</v>
      </c>
      <c r="AV851" t="b">
        <f>+ISNUMBER(SEARCH(CompConta!$F$21,Tabla11[[#This Row],[Cuenta]],1))</f>
        <v>1</v>
      </c>
      <c r="AW851" t="b">
        <f>+ISNUMBER(SEARCH(CompConta!$F$22,Tabla11[[#This Row],[Cuenta]],1))</f>
        <v>1</v>
      </c>
      <c r="AX851" t="b">
        <f>+ISNUMBER(SEARCH(CompConta!$F$23,Tabla11[[#This Row],[Cuenta]],1))</f>
        <v>1</v>
      </c>
      <c r="AY851" t="b">
        <f>+ISNUMBER(SEARCH(CompConta!$F$24,Tabla11[[#This Row],[Cuenta]],1))</f>
        <v>1</v>
      </c>
      <c r="AZ851" t="b">
        <f>+ISNUMBER(SEARCH(CompConta!$F$25,Tabla11[[#This Row],[Cuenta]],1))</f>
        <v>1</v>
      </c>
      <c r="BA851" t="b">
        <f>+ISNUMBER(SEARCH(CompConta!$F$26,Tabla11[[#This Row],[Cuenta]],1))</f>
        <v>1</v>
      </c>
      <c r="BB851" t="b">
        <f>+ISNUMBER(SEARCH(CompConta!$F$27,Tabla11[[#This Row],[Cuenta]],1))</f>
        <v>1</v>
      </c>
      <c r="BC851" t="b">
        <f>+ISNUMBER(SEARCH(CompConta!$F$28,Tabla11[[#This Row],[Cuenta]],1))</f>
        <v>1</v>
      </c>
      <c r="BD851" t="b">
        <f>+ISNUMBER(SEARCH(CompConta!$F$29,Tabla11[[#This Row],[Cuenta]],1))</f>
        <v>1</v>
      </c>
      <c r="BE851" t="b">
        <f>+ISNUMBER(SEARCH(CompConta!$F$30,Tabla11[[#This Row],[Cuenta]],1))</f>
        <v>1</v>
      </c>
      <c r="BF851" t="b">
        <f>+ISNUMBER(SEARCH('PAGO Compras'!$E$11,Tabla11[[#This Row],[Cuenta]],1))</f>
        <v>1</v>
      </c>
      <c r="BG851" t="b">
        <f>+ISNUMBER(SEARCH(#REF!,Tabla11[[#This Row],[Cuenta]],1))</f>
        <v>0</v>
      </c>
      <c r="BH851" t="b">
        <f>+ISNUMBER(SEARCH(#REF!,Tabla11[[#This Row],[Cuenta]],1))</f>
        <v>0</v>
      </c>
      <c r="BI851" t="b">
        <f>+ISNUMBER(SEARCH(#REF!,Tabla11[[#This Row],[Cuenta]],1))</f>
        <v>0</v>
      </c>
      <c r="BJ851" t="b">
        <f>+ISNUMBER(SEARCH(#REF!,Tabla11[[#This Row],[Cuenta]],1))</f>
        <v>0</v>
      </c>
      <c r="BS851" t="str">
        <v>513085 Transporte de mercancía</v>
      </c>
      <c r="BT851" t="str">
        <v>513085 Transporte de mercancía</v>
      </c>
      <c r="BU851" t="str">
        <v>513085 Transporte de mercancía</v>
      </c>
      <c r="BV851" t="str">
        <v>513085 Transporte de mercancía</v>
      </c>
      <c r="BZ851" t="str">
        <v>513085 Transporte de mercancía</v>
      </c>
      <c r="CA851" t="str">
        <v>513085 Transporte de mercancía</v>
      </c>
      <c r="CB851" t="str">
        <v>513085 Transporte de mercancía</v>
      </c>
      <c r="CC851" t="str">
        <v>513085 Transporte de mercancía</v>
      </c>
      <c r="CD851" t="str">
        <v>513085 Transporte de mercancía</v>
      </c>
      <c r="CE851" t="str">
        <v>513085 Transporte de mercancía</v>
      </c>
      <c r="CS851" s="141" t="str">
        <v>513085 Transporte de mercancía</v>
      </c>
      <c r="CT851" s="141" t="str">
        <v>513085 Transporte de mercancía</v>
      </c>
      <c r="CU851" s="141" t="str">
        <v>513085 Transporte de mercancía</v>
      </c>
      <c r="CV851" s="141" t="str">
        <v>513085 Transporte de mercancía</v>
      </c>
      <c r="CW851" s="141" t="str">
        <v>513085 Transporte de mercancía</v>
      </c>
      <c r="CX851" s="141" t="str">
        <v>513085 Transporte de mercancía</v>
      </c>
      <c r="CY851" s="141" t="str">
        <v>513085 Transporte de mercancía</v>
      </c>
      <c r="CZ851" s="141" t="str">
        <v>513085 Transporte de mercancía</v>
      </c>
      <c r="DA851" s="141" t="str">
        <v>513085 Transporte de mercancía</v>
      </c>
      <c r="DF851" t="str">
        <v>513085 Transporte de mercancía</v>
      </c>
      <c r="DG851" t="str">
        <v>513085 Transporte de mercancía</v>
      </c>
      <c r="DH851" t="str">
        <v>513085 Transporte de mercancía</v>
      </c>
      <c r="DI851" t="str">
        <v>513085 Transporte de mercancía</v>
      </c>
      <c r="DJ851" t="str">
        <v>513085 Transporte de mercancía</v>
      </c>
      <c r="DK851" t="str">
        <v>513085 Transporte de mercancía</v>
      </c>
      <c r="DL851" t="str">
        <v>513085 Transporte de mercancía</v>
      </c>
      <c r="DM851" t="str">
        <v>513085 Transporte de mercancía</v>
      </c>
      <c r="DN851" t="str">
        <v>513085 Transporte de mercancía</v>
      </c>
      <c r="DO851" t="str">
        <v>513085 Transporte de mercancía</v>
      </c>
      <c r="DP851" t="str">
        <v>513085 Transporte de mercancía</v>
      </c>
    </row>
    <row r="852" spans="4:120" ht="12.75">
      <c r="D852" s="7">
        <v>513095</v>
      </c>
      <c r="E852" s="6" t="s">
        <v>45</v>
      </c>
      <c r="F852" s="5">
        <v>4</v>
      </c>
      <c r="G852" s="34" t="s">
        <v>830</v>
      </c>
      <c r="H852" s="8" t="s">
        <v>32</v>
      </c>
      <c r="I852" t="b">
        <f>+ISNUMBER(SEARCH('F-COMPRA'!$F$28,Tabla11[[#This Row],[Cuenta]],1))</f>
        <v>1</v>
      </c>
      <c r="J852" t="b">
        <f>+ISNUMBER(SEARCH('F-COMPRA'!$F$29,Tabla11[[#This Row],[Cuenta]],1))</f>
        <v>1</v>
      </c>
      <c r="K852" t="b">
        <f>+ISNUMBER(SEARCH('F-COMPRA'!$F$30,Tabla11[[#This Row],[Cuenta]],1))</f>
        <v>1</v>
      </c>
      <c r="L852" t="b">
        <f>+ISNUMBER(SEARCH('F-COMPRA'!$F$31,Tabla11[[#This Row],[Cuenta]],1))</f>
        <v>1</v>
      </c>
      <c r="M852" t="b">
        <f>+ISNUMBER(SEARCH('F-COMPRA'!$G$25,Tabla11[[#This Row],[Cuenta]],1))</f>
        <v>0</v>
      </c>
      <c r="N852" t="b">
        <f>+ISNUMBER(SEARCH(#REF!,Tabla11[[#This Row],[Cuenta]],1))</f>
        <v>0</v>
      </c>
      <c r="O852" t="b">
        <f>+ISNUMBER(SEARCH(#REF!,Tabla11[[#This Row],[Cuenta]],1))</f>
        <v>0</v>
      </c>
      <c r="P852" t="b">
        <f>+ISNUMBER(SEARCH('F-COMPRA'!$F$32,Tabla11[[#This Row],[Cuenta]],1))</f>
        <v>1</v>
      </c>
      <c r="Q852" t="b">
        <f>+ISNUMBER(SEARCH('F-COMPRA'!$F$33,Tabla11[[#This Row],[Cuenta]],1))</f>
        <v>1</v>
      </c>
      <c r="R852" t="b">
        <f>+ISNUMBER(SEARCH('F-COMPRA'!$F$34,Tabla11[[#This Row],[Cuenta]],1))</f>
        <v>1</v>
      </c>
      <c r="S852" t="b">
        <f>+ISNUMBER(SEARCH('F-COMPRA'!$F$35,Tabla11[[#This Row],[Cuenta]],1))</f>
        <v>1</v>
      </c>
      <c r="T852" t="b">
        <f>+ISNUMBER(SEARCH('F-COMPRA'!$F$36,Tabla11[[#This Row],[Cuenta]],1))</f>
        <v>1</v>
      </c>
      <c r="U852" t="b">
        <f>+ISNUMBER(SEARCH('F-COMPRA'!$F$37,Tabla11[[#This Row],[Cuenta]],1))</f>
        <v>1</v>
      </c>
      <c r="V852" t="b">
        <f>+ISNUMBER(SEARCH(#REF!,Tabla11[[#This Row],[Cuenta]],1))</f>
        <v>0</v>
      </c>
      <c r="W852" t="b">
        <f>+ISNUMBER(SEARCH('F-COMPRA'!#REF!,Tabla11[[#This Row],[Cuenta]],1))</f>
        <v>0</v>
      </c>
      <c r="X852" t="b">
        <f>+ISNUMBER(SEARCH('F-COMPRA'!#REF!,Tabla11[[#This Row],[Cuenta]],1))</f>
        <v>0</v>
      </c>
      <c r="Y852" t="b">
        <f>+ISNUMBER(SEARCH('F-COMPRA'!#REF!,Tabla11[[#This Row],[Cuenta]],1))</f>
        <v>0</v>
      </c>
      <c r="Z852" t="b">
        <f>+ISNUMBER(SEARCH('F-COMPRA'!#REF!,Tabla11[[#This Row],[Cuenta]],1))</f>
        <v>0</v>
      </c>
      <c r="AA852" t="b">
        <f>+ISNUMBER(SEARCH('F-COMPRA'!#REF!,Tabla11[[#This Row],[Cuenta]],1))</f>
        <v>0</v>
      </c>
      <c r="AB852" t="b">
        <f>+ISNUMBER(SEARCH('F-COMPRA'!#REF!,Tabla11[[#This Row],[Cuenta]],1))</f>
        <v>0</v>
      </c>
      <c r="AC852" t="b">
        <f>+ISNUMBER(SEARCH('F-COMPRA'!#REF!,Tabla11[[#This Row],[Cuenta]],1))</f>
        <v>0</v>
      </c>
      <c r="AD852" t="b">
        <f>+ISNUMBER(SEARCH('F-COMPRA'!#REF!,Tabla11[[#This Row],[Cuenta]],1))</f>
        <v>0</v>
      </c>
      <c r="AE852" t="b">
        <f>+ISNUMBER(SEARCH('F-COMPRA'!#REF!,Tabla11[[#This Row],[Cuenta]],1))</f>
        <v>0</v>
      </c>
      <c r="AF852" t="b">
        <f>+ISNUMBER(SEARCH('F-VTA'!$G$23,Tabla11[[#This Row],[Cuenta]],1))</f>
        <v>0</v>
      </c>
      <c r="AG852" t="b">
        <f>+ISNUMBER(SEARCH('F-VTA'!$G$24,Tabla11[[#This Row],[Cuenta]],1))</f>
        <v>0</v>
      </c>
      <c r="AH852" t="b">
        <f>+ISNUMBER(SEARCH('F-VTA'!$G$25,Tabla11[[#This Row],[Cuenta]],1))</f>
        <v>0</v>
      </c>
      <c r="AI852" t="b">
        <f>+ISNUMBER(SEARCH('F-VTA'!$F$28,Tabla11[[#This Row],[Cuenta]],1))</f>
        <v>1</v>
      </c>
      <c r="AJ852" t="b">
        <f>+ISNUMBER(SEARCH('F-VTA'!$F$29,Tabla11[[#This Row],[Cuenta]],1))</f>
        <v>1</v>
      </c>
      <c r="AK852" t="b">
        <f>+ISNUMBER(SEARCH('F-VTA'!$F$30,Tabla11[[#This Row],[Cuenta]],1))</f>
        <v>1</v>
      </c>
      <c r="AL852" t="b">
        <f>+ISNUMBER(SEARCH('F-VTA'!$F$31,Tabla11[[#This Row],[Cuenta]],1))</f>
        <v>1</v>
      </c>
      <c r="AM852" t="b">
        <f>+ISNUMBER(SEARCH('F-VTA'!$F$32,Tabla11[[#This Row],[Cuenta]],1))</f>
        <v>1</v>
      </c>
      <c r="AN852" t="b">
        <f>+ISNUMBER(SEARCH('F-VTA'!$F$33,Tabla11[[#This Row],[Cuenta]],1))</f>
        <v>1</v>
      </c>
      <c r="AO852" t="b">
        <f>+ISNUMBER(SEARCH('F-VTA'!$F$34,Tabla11[[#This Row],[Cuenta]],1))</f>
        <v>1</v>
      </c>
      <c r="AP852" t="b">
        <f>+ISNUMBER(SEARCH('F-VTA'!$F$35,Tabla11[[#This Row],[Cuenta]],1))</f>
        <v>1</v>
      </c>
      <c r="AQ852" t="b">
        <f>+ISNUMBER(SEARCH('F-VTA'!$F$36,Tabla11[[#This Row],[Cuenta]],1))</f>
        <v>1</v>
      </c>
      <c r="AR852" t="b">
        <f>+ISNUMBER(SEARCH(#REF!,Tabla11[[#This Row],[Cuenta]],1))</f>
        <v>0</v>
      </c>
      <c r="AS852" t="b">
        <f>+ISNUMBER(SEARCH(#REF!,Tabla11[[#This Row],[Cuenta]],1))</f>
        <v>0</v>
      </c>
      <c r="AT852" t="b">
        <f>+ISNUMBER(SEARCH(#REF!,Tabla11[[#This Row],[Cuenta]],1))</f>
        <v>0</v>
      </c>
      <c r="AU852" t="b">
        <f>+ISNUMBER(SEARCH('Conc. Ban.1'!$I$9,Tabla11[[#This Row],[Cuenta]],1))</f>
        <v>0</v>
      </c>
      <c r="AV852" t="b">
        <f>+ISNUMBER(SEARCH(CompConta!$F$21,Tabla11[[#This Row],[Cuenta]],1))</f>
        <v>1</v>
      </c>
      <c r="AW852" t="b">
        <f>+ISNUMBER(SEARCH(CompConta!$F$22,Tabla11[[#This Row],[Cuenta]],1))</f>
        <v>1</v>
      </c>
      <c r="AX852" t="b">
        <f>+ISNUMBER(SEARCH(CompConta!$F$23,Tabla11[[#This Row],[Cuenta]],1))</f>
        <v>1</v>
      </c>
      <c r="AY852" t="b">
        <f>+ISNUMBER(SEARCH(CompConta!$F$24,Tabla11[[#This Row],[Cuenta]],1))</f>
        <v>1</v>
      </c>
      <c r="AZ852" t="b">
        <f>+ISNUMBER(SEARCH(CompConta!$F$25,Tabla11[[#This Row],[Cuenta]],1))</f>
        <v>1</v>
      </c>
      <c r="BA852" t="b">
        <f>+ISNUMBER(SEARCH(CompConta!$F$26,Tabla11[[#This Row],[Cuenta]],1))</f>
        <v>1</v>
      </c>
      <c r="BB852" t="b">
        <f>+ISNUMBER(SEARCH(CompConta!$F$27,Tabla11[[#This Row],[Cuenta]],1))</f>
        <v>1</v>
      </c>
      <c r="BC852" t="b">
        <f>+ISNUMBER(SEARCH(CompConta!$F$28,Tabla11[[#This Row],[Cuenta]],1))</f>
        <v>1</v>
      </c>
      <c r="BD852" t="b">
        <f>+ISNUMBER(SEARCH(CompConta!$F$29,Tabla11[[#This Row],[Cuenta]],1))</f>
        <v>1</v>
      </c>
      <c r="BE852" t="b">
        <f>+ISNUMBER(SEARCH(CompConta!$F$30,Tabla11[[#This Row],[Cuenta]],1))</f>
        <v>1</v>
      </c>
      <c r="BF852" t="b">
        <f>+ISNUMBER(SEARCH('PAGO Compras'!$E$11,Tabla11[[#This Row],[Cuenta]],1))</f>
        <v>1</v>
      </c>
      <c r="BG852" t="b">
        <f>+ISNUMBER(SEARCH(#REF!,Tabla11[[#This Row],[Cuenta]],1))</f>
        <v>0</v>
      </c>
      <c r="BH852" t="b">
        <f>+ISNUMBER(SEARCH(#REF!,Tabla11[[#This Row],[Cuenta]],1))</f>
        <v>0</v>
      </c>
      <c r="BI852" t="b">
        <f>+ISNUMBER(SEARCH(#REF!,Tabla11[[#This Row],[Cuenta]],1))</f>
        <v>0</v>
      </c>
      <c r="BJ852" t="b">
        <f>+ISNUMBER(SEARCH(#REF!,Tabla11[[#This Row],[Cuenta]],1))</f>
        <v>0</v>
      </c>
      <c r="BS852" t="str">
        <v>513095 Otros</v>
      </c>
      <c r="BT852" t="str">
        <v>513095 Otros</v>
      </c>
      <c r="BU852" t="str">
        <v>513095 Otros</v>
      </c>
      <c r="BV852" t="str">
        <v>513095 Otros</v>
      </c>
      <c r="BZ852" t="str">
        <v>513095 Otros</v>
      </c>
      <c r="CA852" t="str">
        <v>513095 Otros</v>
      </c>
      <c r="CB852" t="str">
        <v>513095 Otros</v>
      </c>
      <c r="CC852" t="str">
        <v>513095 Otros</v>
      </c>
      <c r="CD852" t="str">
        <v>513095 Otros</v>
      </c>
      <c r="CE852" t="str">
        <v>513095 Otros</v>
      </c>
      <c r="CS852" s="141" t="str">
        <v>513095 Otros</v>
      </c>
      <c r="CT852" s="141" t="str">
        <v>513095 Otros</v>
      </c>
      <c r="CU852" s="141" t="str">
        <v>513095 Otros</v>
      </c>
      <c r="CV852" s="141" t="str">
        <v>513095 Otros</v>
      </c>
      <c r="CW852" s="141" t="str">
        <v>513095 Otros</v>
      </c>
      <c r="CX852" s="141" t="str">
        <v>513095 Otros</v>
      </c>
      <c r="CY852" s="141" t="str">
        <v>513095 Otros</v>
      </c>
      <c r="CZ852" s="141" t="str">
        <v>513095 Otros</v>
      </c>
      <c r="DA852" s="141" t="str">
        <v>513095 Otros</v>
      </c>
      <c r="DF852" t="str">
        <v>513095 Otros</v>
      </c>
      <c r="DG852" t="str">
        <v>513095 Otros</v>
      </c>
      <c r="DH852" t="str">
        <v>513095 Otros</v>
      </c>
      <c r="DI852" t="str">
        <v>513095 Otros</v>
      </c>
      <c r="DJ852" t="str">
        <v>513095 Otros</v>
      </c>
      <c r="DK852" t="str">
        <v>513095 Otros</v>
      </c>
      <c r="DL852" t="str">
        <v>513095 Otros</v>
      </c>
      <c r="DM852" t="str">
        <v>513095 Otros</v>
      </c>
      <c r="DN852" t="str">
        <v>513095 Otros</v>
      </c>
      <c r="DO852" t="str">
        <v>513095 Otros</v>
      </c>
      <c r="DP852" t="str">
        <v>513095 Otros</v>
      </c>
    </row>
    <row r="853" spans="4:120" ht="12.75">
      <c r="D853" s="7">
        <v>513099</v>
      </c>
      <c r="E853" s="6" t="s">
        <v>93</v>
      </c>
      <c r="F853" s="5">
        <v>4</v>
      </c>
      <c r="G853" s="34" t="s">
        <v>830</v>
      </c>
      <c r="H853" s="8" t="s">
        <v>32</v>
      </c>
      <c r="I853" t="b">
        <f>+ISNUMBER(SEARCH('F-COMPRA'!$F$28,Tabla11[[#This Row],[Cuenta]],1))</f>
        <v>1</v>
      </c>
      <c r="J853" t="b">
        <f>+ISNUMBER(SEARCH('F-COMPRA'!$F$29,Tabla11[[#This Row],[Cuenta]],1))</f>
        <v>1</v>
      </c>
      <c r="K853" t="b">
        <f>+ISNUMBER(SEARCH('F-COMPRA'!$F$30,Tabla11[[#This Row],[Cuenta]],1))</f>
        <v>1</v>
      </c>
      <c r="L853" t="b">
        <f>+ISNUMBER(SEARCH('F-COMPRA'!$F$31,Tabla11[[#This Row],[Cuenta]],1))</f>
        <v>1</v>
      </c>
      <c r="M853" t="b">
        <f>+ISNUMBER(SEARCH('F-COMPRA'!$G$25,Tabla11[[#This Row],[Cuenta]],1))</f>
        <v>0</v>
      </c>
      <c r="N853" t="b">
        <f>+ISNUMBER(SEARCH(#REF!,Tabla11[[#This Row],[Cuenta]],1))</f>
        <v>0</v>
      </c>
      <c r="O853" t="b">
        <f>+ISNUMBER(SEARCH(#REF!,Tabla11[[#This Row],[Cuenta]],1))</f>
        <v>0</v>
      </c>
      <c r="P853" t="b">
        <f>+ISNUMBER(SEARCH('F-COMPRA'!$F$32,Tabla11[[#This Row],[Cuenta]],1))</f>
        <v>1</v>
      </c>
      <c r="Q853" t="b">
        <f>+ISNUMBER(SEARCH('F-COMPRA'!$F$33,Tabla11[[#This Row],[Cuenta]],1))</f>
        <v>1</v>
      </c>
      <c r="R853" t="b">
        <f>+ISNUMBER(SEARCH('F-COMPRA'!$F$34,Tabla11[[#This Row],[Cuenta]],1))</f>
        <v>1</v>
      </c>
      <c r="S853" t="b">
        <f>+ISNUMBER(SEARCH('F-COMPRA'!$F$35,Tabla11[[#This Row],[Cuenta]],1))</f>
        <v>1</v>
      </c>
      <c r="T853" t="b">
        <f>+ISNUMBER(SEARCH('F-COMPRA'!$F$36,Tabla11[[#This Row],[Cuenta]],1))</f>
        <v>1</v>
      </c>
      <c r="U853" t="b">
        <f>+ISNUMBER(SEARCH('F-COMPRA'!$F$37,Tabla11[[#This Row],[Cuenta]],1))</f>
        <v>1</v>
      </c>
      <c r="V853" t="b">
        <f>+ISNUMBER(SEARCH(#REF!,Tabla11[[#This Row],[Cuenta]],1))</f>
        <v>0</v>
      </c>
      <c r="W853" t="b">
        <f>+ISNUMBER(SEARCH('F-COMPRA'!#REF!,Tabla11[[#This Row],[Cuenta]],1))</f>
        <v>0</v>
      </c>
      <c r="X853" t="b">
        <f>+ISNUMBER(SEARCH('F-COMPRA'!#REF!,Tabla11[[#This Row],[Cuenta]],1))</f>
        <v>0</v>
      </c>
      <c r="Y853" t="b">
        <f>+ISNUMBER(SEARCH('F-COMPRA'!#REF!,Tabla11[[#This Row],[Cuenta]],1))</f>
        <v>0</v>
      </c>
      <c r="Z853" t="b">
        <f>+ISNUMBER(SEARCH('F-COMPRA'!#REF!,Tabla11[[#This Row],[Cuenta]],1))</f>
        <v>0</v>
      </c>
      <c r="AA853" t="b">
        <f>+ISNUMBER(SEARCH('F-COMPRA'!#REF!,Tabla11[[#This Row],[Cuenta]],1))</f>
        <v>0</v>
      </c>
      <c r="AB853" t="b">
        <f>+ISNUMBER(SEARCH('F-COMPRA'!#REF!,Tabla11[[#This Row],[Cuenta]],1))</f>
        <v>0</v>
      </c>
      <c r="AC853" t="b">
        <f>+ISNUMBER(SEARCH('F-COMPRA'!#REF!,Tabla11[[#This Row],[Cuenta]],1))</f>
        <v>0</v>
      </c>
      <c r="AD853" t="b">
        <f>+ISNUMBER(SEARCH('F-COMPRA'!#REF!,Tabla11[[#This Row],[Cuenta]],1))</f>
        <v>0</v>
      </c>
      <c r="AE853" t="b">
        <f>+ISNUMBER(SEARCH('F-COMPRA'!#REF!,Tabla11[[#This Row],[Cuenta]],1))</f>
        <v>0</v>
      </c>
      <c r="AF853" t="b">
        <f>+ISNUMBER(SEARCH('F-VTA'!$G$23,Tabla11[[#This Row],[Cuenta]],1))</f>
        <v>0</v>
      </c>
      <c r="AG853" t="b">
        <f>+ISNUMBER(SEARCH('F-VTA'!$G$24,Tabla11[[#This Row],[Cuenta]],1))</f>
        <v>0</v>
      </c>
      <c r="AH853" t="b">
        <f>+ISNUMBER(SEARCH('F-VTA'!$G$25,Tabla11[[#This Row],[Cuenta]],1))</f>
        <v>0</v>
      </c>
      <c r="AI853" t="b">
        <f>+ISNUMBER(SEARCH('F-VTA'!$F$28,Tabla11[[#This Row],[Cuenta]],1))</f>
        <v>1</v>
      </c>
      <c r="AJ853" t="b">
        <f>+ISNUMBER(SEARCH('F-VTA'!$F$29,Tabla11[[#This Row],[Cuenta]],1))</f>
        <v>1</v>
      </c>
      <c r="AK853" t="b">
        <f>+ISNUMBER(SEARCH('F-VTA'!$F$30,Tabla11[[#This Row],[Cuenta]],1))</f>
        <v>1</v>
      </c>
      <c r="AL853" t="b">
        <f>+ISNUMBER(SEARCH('F-VTA'!$F$31,Tabla11[[#This Row],[Cuenta]],1))</f>
        <v>1</v>
      </c>
      <c r="AM853" t="b">
        <f>+ISNUMBER(SEARCH('F-VTA'!$F$32,Tabla11[[#This Row],[Cuenta]],1))</f>
        <v>1</v>
      </c>
      <c r="AN853" t="b">
        <f>+ISNUMBER(SEARCH('F-VTA'!$F$33,Tabla11[[#This Row],[Cuenta]],1))</f>
        <v>1</v>
      </c>
      <c r="AO853" t="b">
        <f>+ISNUMBER(SEARCH('F-VTA'!$F$34,Tabla11[[#This Row],[Cuenta]],1))</f>
        <v>1</v>
      </c>
      <c r="AP853" t="b">
        <f>+ISNUMBER(SEARCH('F-VTA'!$F$35,Tabla11[[#This Row],[Cuenta]],1))</f>
        <v>1</v>
      </c>
      <c r="AQ853" t="b">
        <f>+ISNUMBER(SEARCH('F-VTA'!$F$36,Tabla11[[#This Row],[Cuenta]],1))</f>
        <v>1</v>
      </c>
      <c r="AR853" t="b">
        <f>+ISNUMBER(SEARCH(#REF!,Tabla11[[#This Row],[Cuenta]],1))</f>
        <v>0</v>
      </c>
      <c r="AS853" t="b">
        <f>+ISNUMBER(SEARCH(#REF!,Tabla11[[#This Row],[Cuenta]],1))</f>
        <v>0</v>
      </c>
      <c r="AT853" t="b">
        <f>+ISNUMBER(SEARCH(#REF!,Tabla11[[#This Row],[Cuenta]],1))</f>
        <v>0</v>
      </c>
      <c r="AU853" t="b">
        <f>+ISNUMBER(SEARCH('Conc. Ban.1'!$I$9,Tabla11[[#This Row],[Cuenta]],1))</f>
        <v>0</v>
      </c>
      <c r="AV853" t="b">
        <f>+ISNUMBER(SEARCH(CompConta!$F$21,Tabla11[[#This Row],[Cuenta]],1))</f>
        <v>1</v>
      </c>
      <c r="AW853" t="b">
        <f>+ISNUMBER(SEARCH(CompConta!$F$22,Tabla11[[#This Row],[Cuenta]],1))</f>
        <v>1</v>
      </c>
      <c r="AX853" t="b">
        <f>+ISNUMBER(SEARCH(CompConta!$F$23,Tabla11[[#This Row],[Cuenta]],1))</f>
        <v>1</v>
      </c>
      <c r="AY853" t="b">
        <f>+ISNUMBER(SEARCH(CompConta!$F$24,Tabla11[[#This Row],[Cuenta]],1))</f>
        <v>1</v>
      </c>
      <c r="AZ853" t="b">
        <f>+ISNUMBER(SEARCH(CompConta!$F$25,Tabla11[[#This Row],[Cuenta]],1))</f>
        <v>1</v>
      </c>
      <c r="BA853" t="b">
        <f>+ISNUMBER(SEARCH(CompConta!$F$26,Tabla11[[#This Row],[Cuenta]],1))</f>
        <v>1</v>
      </c>
      <c r="BB853" t="b">
        <f>+ISNUMBER(SEARCH(CompConta!$F$27,Tabla11[[#This Row],[Cuenta]],1))</f>
        <v>1</v>
      </c>
      <c r="BC853" t="b">
        <f>+ISNUMBER(SEARCH(CompConta!$F$28,Tabla11[[#This Row],[Cuenta]],1))</f>
        <v>1</v>
      </c>
      <c r="BD853" t="b">
        <f>+ISNUMBER(SEARCH(CompConta!$F$29,Tabla11[[#This Row],[Cuenta]],1))</f>
        <v>1</v>
      </c>
      <c r="BE853" t="b">
        <f>+ISNUMBER(SEARCH(CompConta!$F$30,Tabla11[[#This Row],[Cuenta]],1))</f>
        <v>1</v>
      </c>
      <c r="BF853" t="b">
        <f>+ISNUMBER(SEARCH('PAGO Compras'!$E$11,Tabla11[[#This Row],[Cuenta]],1))</f>
        <v>1</v>
      </c>
      <c r="BG853" t="b">
        <f>+ISNUMBER(SEARCH(#REF!,Tabla11[[#This Row],[Cuenta]],1))</f>
        <v>0</v>
      </c>
      <c r="BH853" t="b">
        <f>+ISNUMBER(SEARCH(#REF!,Tabla11[[#This Row],[Cuenta]],1))</f>
        <v>0</v>
      </c>
      <c r="BI853" t="b">
        <f>+ISNUMBER(SEARCH(#REF!,Tabla11[[#This Row],[Cuenta]],1))</f>
        <v>0</v>
      </c>
      <c r="BJ853" t="b">
        <f>+ISNUMBER(SEARCH(#REF!,Tabla11[[#This Row],[Cuenta]],1))</f>
        <v>0</v>
      </c>
      <c r="BS853" t="str">
        <v>513099 *Ajustes por inflación</v>
      </c>
      <c r="BT853" t="str">
        <v>513099 *Ajustes por inflación</v>
      </c>
      <c r="BU853" t="str">
        <v>513099 *Ajustes por inflación</v>
      </c>
      <c r="BV853" t="str">
        <v>513099 *Ajustes por inflación</v>
      </c>
      <c r="BZ853" t="str">
        <v>513099 *Ajustes por inflación</v>
      </c>
      <c r="CA853" t="str">
        <v>513099 *Ajustes por inflación</v>
      </c>
      <c r="CB853" t="str">
        <v>513099 *Ajustes por inflación</v>
      </c>
      <c r="CC853" t="str">
        <v>513099 *Ajustes por inflación</v>
      </c>
      <c r="CD853" t="str">
        <v>513099 *Ajustes por inflación</v>
      </c>
      <c r="CE853" t="str">
        <v>513099 *Ajustes por inflación</v>
      </c>
      <c r="CS853" s="141" t="str">
        <v>513099 *Ajustes por inflación</v>
      </c>
      <c r="CT853" s="141" t="str">
        <v>513099 *Ajustes por inflación</v>
      </c>
      <c r="CU853" s="141" t="str">
        <v>513099 *Ajustes por inflación</v>
      </c>
      <c r="CV853" s="141" t="str">
        <v>513099 *Ajustes por inflación</v>
      </c>
      <c r="CW853" s="141" t="str">
        <v>513099 *Ajustes por inflación</v>
      </c>
      <c r="CX853" s="141" t="str">
        <v>513099 *Ajustes por inflación</v>
      </c>
      <c r="CY853" s="141" t="str">
        <v>513099 *Ajustes por inflación</v>
      </c>
      <c r="CZ853" s="141" t="str">
        <v>513099 *Ajustes por inflación</v>
      </c>
      <c r="DA853" s="141" t="str">
        <v>513099 *Ajustes por inflación</v>
      </c>
      <c r="DF853" t="str">
        <v>513099 *Ajustes por inflación</v>
      </c>
      <c r="DG853" t="str">
        <v>513099 *Ajustes por inflación</v>
      </c>
      <c r="DH853" t="str">
        <v>513099 *Ajustes por inflación</v>
      </c>
      <c r="DI853" t="str">
        <v>513099 *Ajustes por inflación</v>
      </c>
      <c r="DJ853" t="str">
        <v>513099 *Ajustes por inflación</v>
      </c>
      <c r="DK853" t="str">
        <v>513099 *Ajustes por inflación</v>
      </c>
      <c r="DL853" t="str">
        <v>513099 *Ajustes por inflación</v>
      </c>
      <c r="DM853" t="str">
        <v>513099 *Ajustes por inflación</v>
      </c>
      <c r="DN853" t="str">
        <v>513099 *Ajustes por inflación</v>
      </c>
      <c r="DO853" t="str">
        <v>513099 *Ajustes por inflación</v>
      </c>
      <c r="DP853" t="str">
        <v>513099 *Ajustes por inflación</v>
      </c>
    </row>
    <row r="854" spans="4:120" ht="12.75">
      <c r="D854" s="7">
        <v>5135</v>
      </c>
      <c r="E854" s="6" t="s">
        <v>528</v>
      </c>
      <c r="F854" s="5">
        <v>3</v>
      </c>
      <c r="G854" s="34" t="s">
        <v>830</v>
      </c>
      <c r="H854" s="8" t="s">
        <v>32</v>
      </c>
      <c r="I854" t="b">
        <f>+ISNUMBER(SEARCH('F-COMPRA'!$F$28,Tabla11[[#This Row],[Cuenta]],1))</f>
        <v>1</v>
      </c>
      <c r="J854" t="b">
        <f>+ISNUMBER(SEARCH('F-COMPRA'!$F$29,Tabla11[[#This Row],[Cuenta]],1))</f>
        <v>1</v>
      </c>
      <c r="K854" t="b">
        <f>+ISNUMBER(SEARCH('F-COMPRA'!$F$30,Tabla11[[#This Row],[Cuenta]],1))</f>
        <v>1</v>
      </c>
      <c r="L854" t="b">
        <f>+ISNUMBER(SEARCH('F-COMPRA'!$F$31,Tabla11[[#This Row],[Cuenta]],1))</f>
        <v>1</v>
      </c>
      <c r="M854" t="b">
        <f>+ISNUMBER(SEARCH('F-COMPRA'!$G$25,Tabla11[[#This Row],[Cuenta]],1))</f>
        <v>0</v>
      </c>
      <c r="N854" t="b">
        <f>+ISNUMBER(SEARCH(#REF!,Tabla11[[#This Row],[Cuenta]],1))</f>
        <v>0</v>
      </c>
      <c r="O854" t="b">
        <f>+ISNUMBER(SEARCH(#REF!,Tabla11[[#This Row],[Cuenta]],1))</f>
        <v>0</v>
      </c>
      <c r="P854" t="b">
        <f>+ISNUMBER(SEARCH('F-COMPRA'!$F$32,Tabla11[[#This Row],[Cuenta]],1))</f>
        <v>1</v>
      </c>
      <c r="Q854" t="b">
        <f>+ISNUMBER(SEARCH('F-COMPRA'!$F$33,Tabla11[[#This Row],[Cuenta]],1))</f>
        <v>1</v>
      </c>
      <c r="R854" t="b">
        <f>+ISNUMBER(SEARCH('F-COMPRA'!$F$34,Tabla11[[#This Row],[Cuenta]],1))</f>
        <v>1</v>
      </c>
      <c r="S854" t="b">
        <f>+ISNUMBER(SEARCH('F-COMPRA'!$F$35,Tabla11[[#This Row],[Cuenta]],1))</f>
        <v>1</v>
      </c>
      <c r="T854" t="b">
        <f>+ISNUMBER(SEARCH('F-COMPRA'!$F$36,Tabla11[[#This Row],[Cuenta]],1))</f>
        <v>1</v>
      </c>
      <c r="U854" t="b">
        <f>+ISNUMBER(SEARCH('F-COMPRA'!$F$37,Tabla11[[#This Row],[Cuenta]],1))</f>
        <v>1</v>
      </c>
      <c r="V854" t="b">
        <f>+ISNUMBER(SEARCH(#REF!,Tabla11[[#This Row],[Cuenta]],1))</f>
        <v>0</v>
      </c>
      <c r="W854" t="b">
        <f>+ISNUMBER(SEARCH('F-COMPRA'!#REF!,Tabla11[[#This Row],[Cuenta]],1))</f>
        <v>0</v>
      </c>
      <c r="X854" t="b">
        <f>+ISNUMBER(SEARCH('F-COMPRA'!#REF!,Tabla11[[#This Row],[Cuenta]],1))</f>
        <v>0</v>
      </c>
      <c r="Y854" t="b">
        <f>+ISNUMBER(SEARCH('F-COMPRA'!#REF!,Tabla11[[#This Row],[Cuenta]],1))</f>
        <v>0</v>
      </c>
      <c r="Z854" t="b">
        <f>+ISNUMBER(SEARCH('F-COMPRA'!#REF!,Tabla11[[#This Row],[Cuenta]],1))</f>
        <v>0</v>
      </c>
      <c r="AA854" t="b">
        <f>+ISNUMBER(SEARCH('F-COMPRA'!#REF!,Tabla11[[#This Row],[Cuenta]],1))</f>
        <v>0</v>
      </c>
      <c r="AB854" t="b">
        <f>+ISNUMBER(SEARCH('F-COMPRA'!#REF!,Tabla11[[#This Row],[Cuenta]],1))</f>
        <v>0</v>
      </c>
      <c r="AC854" t="b">
        <f>+ISNUMBER(SEARCH('F-COMPRA'!#REF!,Tabla11[[#This Row],[Cuenta]],1))</f>
        <v>0</v>
      </c>
      <c r="AD854" t="b">
        <f>+ISNUMBER(SEARCH('F-COMPRA'!#REF!,Tabla11[[#This Row],[Cuenta]],1))</f>
        <v>0</v>
      </c>
      <c r="AE854" t="b">
        <f>+ISNUMBER(SEARCH('F-COMPRA'!#REF!,Tabla11[[#This Row],[Cuenta]],1))</f>
        <v>0</v>
      </c>
      <c r="AF854" t="b">
        <f>+ISNUMBER(SEARCH('F-VTA'!$G$23,Tabla11[[#This Row],[Cuenta]],1))</f>
        <v>0</v>
      </c>
      <c r="AG854" t="b">
        <f>+ISNUMBER(SEARCH('F-VTA'!$G$24,Tabla11[[#This Row],[Cuenta]],1))</f>
        <v>0</v>
      </c>
      <c r="AH854" t="b">
        <f>+ISNUMBER(SEARCH('F-VTA'!$G$25,Tabla11[[#This Row],[Cuenta]],1))</f>
        <v>0</v>
      </c>
      <c r="AI854" t="b">
        <f>+ISNUMBER(SEARCH('F-VTA'!$F$28,Tabla11[[#This Row],[Cuenta]],1))</f>
        <v>1</v>
      </c>
      <c r="AJ854" t="b">
        <f>+ISNUMBER(SEARCH('F-VTA'!$F$29,Tabla11[[#This Row],[Cuenta]],1))</f>
        <v>1</v>
      </c>
      <c r="AK854" t="b">
        <f>+ISNUMBER(SEARCH('F-VTA'!$F$30,Tabla11[[#This Row],[Cuenta]],1))</f>
        <v>1</v>
      </c>
      <c r="AL854" t="b">
        <f>+ISNUMBER(SEARCH('F-VTA'!$F$31,Tabla11[[#This Row],[Cuenta]],1))</f>
        <v>1</v>
      </c>
      <c r="AM854" t="b">
        <f>+ISNUMBER(SEARCH('F-VTA'!$F$32,Tabla11[[#This Row],[Cuenta]],1))</f>
        <v>1</v>
      </c>
      <c r="AN854" t="b">
        <f>+ISNUMBER(SEARCH('F-VTA'!$F$33,Tabla11[[#This Row],[Cuenta]],1))</f>
        <v>1</v>
      </c>
      <c r="AO854" t="b">
        <f>+ISNUMBER(SEARCH('F-VTA'!$F$34,Tabla11[[#This Row],[Cuenta]],1))</f>
        <v>1</v>
      </c>
      <c r="AP854" t="b">
        <f>+ISNUMBER(SEARCH('F-VTA'!$F$35,Tabla11[[#This Row],[Cuenta]],1))</f>
        <v>1</v>
      </c>
      <c r="AQ854" t="b">
        <f>+ISNUMBER(SEARCH('F-VTA'!$F$36,Tabla11[[#This Row],[Cuenta]],1))</f>
        <v>1</v>
      </c>
      <c r="AR854" t="b">
        <f>+ISNUMBER(SEARCH(#REF!,Tabla11[[#This Row],[Cuenta]],1))</f>
        <v>0</v>
      </c>
      <c r="AS854" t="b">
        <f>+ISNUMBER(SEARCH(#REF!,Tabla11[[#This Row],[Cuenta]],1))</f>
        <v>0</v>
      </c>
      <c r="AT854" t="b">
        <f>+ISNUMBER(SEARCH(#REF!,Tabla11[[#This Row],[Cuenta]],1))</f>
        <v>0</v>
      </c>
      <c r="AU854" t="b">
        <f>+ISNUMBER(SEARCH('Conc. Ban.1'!$I$9,Tabla11[[#This Row],[Cuenta]],1))</f>
        <v>0</v>
      </c>
      <c r="AV854" t="b">
        <f>+ISNUMBER(SEARCH(CompConta!$F$21,Tabla11[[#This Row],[Cuenta]],1))</f>
        <v>1</v>
      </c>
      <c r="AW854" t="b">
        <f>+ISNUMBER(SEARCH(CompConta!$F$22,Tabla11[[#This Row],[Cuenta]],1))</f>
        <v>1</v>
      </c>
      <c r="AX854" t="b">
        <f>+ISNUMBER(SEARCH(CompConta!$F$23,Tabla11[[#This Row],[Cuenta]],1))</f>
        <v>1</v>
      </c>
      <c r="AY854" t="b">
        <f>+ISNUMBER(SEARCH(CompConta!$F$24,Tabla11[[#This Row],[Cuenta]],1))</f>
        <v>1</v>
      </c>
      <c r="AZ854" t="b">
        <f>+ISNUMBER(SEARCH(CompConta!$F$25,Tabla11[[#This Row],[Cuenta]],1))</f>
        <v>1</v>
      </c>
      <c r="BA854" t="b">
        <f>+ISNUMBER(SEARCH(CompConta!$F$26,Tabla11[[#This Row],[Cuenta]],1))</f>
        <v>1</v>
      </c>
      <c r="BB854" t="b">
        <f>+ISNUMBER(SEARCH(CompConta!$F$27,Tabla11[[#This Row],[Cuenta]],1))</f>
        <v>1</v>
      </c>
      <c r="BC854" t="b">
        <f>+ISNUMBER(SEARCH(CompConta!$F$28,Tabla11[[#This Row],[Cuenta]],1))</f>
        <v>1</v>
      </c>
      <c r="BD854" t="b">
        <f>+ISNUMBER(SEARCH(CompConta!$F$29,Tabla11[[#This Row],[Cuenta]],1))</f>
        <v>1</v>
      </c>
      <c r="BE854" t="b">
        <f>+ISNUMBER(SEARCH(CompConta!$F$30,Tabla11[[#This Row],[Cuenta]],1))</f>
        <v>1</v>
      </c>
      <c r="BF854" t="b">
        <f>+ISNUMBER(SEARCH('PAGO Compras'!$E$11,Tabla11[[#This Row],[Cuenta]],1))</f>
        <v>1</v>
      </c>
      <c r="BG854" t="b">
        <f>+ISNUMBER(SEARCH(#REF!,Tabla11[[#This Row],[Cuenta]],1))</f>
        <v>0</v>
      </c>
      <c r="BH854" t="b">
        <f>+ISNUMBER(SEARCH(#REF!,Tabla11[[#This Row],[Cuenta]],1))</f>
        <v>0</v>
      </c>
      <c r="BI854" t="b">
        <f>+ISNUMBER(SEARCH(#REF!,Tabla11[[#This Row],[Cuenta]],1))</f>
        <v>0</v>
      </c>
      <c r="BJ854" t="b">
        <f>+ISNUMBER(SEARCH(#REF!,Tabla11[[#This Row],[Cuenta]],1))</f>
        <v>0</v>
      </c>
      <c r="BS854" t="str">
        <v>5135 SERVICIOS</v>
      </c>
      <c r="BT854" t="str">
        <v>5135 SERVICIOS</v>
      </c>
      <c r="BU854" t="str">
        <v>5135 SERVICIOS</v>
      </c>
      <c r="BV854" t="str">
        <v>5135 SERVICIOS</v>
      </c>
      <c r="BZ854" t="str">
        <v>5135 SERVICIOS</v>
      </c>
      <c r="CA854" t="str">
        <v>5135 SERVICIOS</v>
      </c>
      <c r="CB854" t="str">
        <v>5135 SERVICIOS</v>
      </c>
      <c r="CC854" t="str">
        <v>5135 SERVICIOS</v>
      </c>
      <c r="CD854" t="str">
        <v>5135 SERVICIOS</v>
      </c>
      <c r="CE854" t="str">
        <v>5135 SERVICIOS</v>
      </c>
      <c r="CS854" s="141" t="str">
        <v>5135 SERVICIOS</v>
      </c>
      <c r="CT854" s="141" t="str">
        <v>5135 SERVICIOS</v>
      </c>
      <c r="CU854" s="141" t="str">
        <v>5135 SERVICIOS</v>
      </c>
      <c r="CV854" s="141" t="str">
        <v>5135 SERVICIOS</v>
      </c>
      <c r="CW854" s="141" t="str">
        <v>5135 SERVICIOS</v>
      </c>
      <c r="CX854" s="141" t="str">
        <v>5135 SERVICIOS</v>
      </c>
      <c r="CY854" s="141" t="str">
        <v>5135 SERVICIOS</v>
      </c>
      <c r="CZ854" s="141" t="str">
        <v>5135 SERVICIOS</v>
      </c>
      <c r="DA854" s="141" t="str">
        <v>5135 SERVICIOS</v>
      </c>
      <c r="DF854" t="str">
        <v>5135 SERVICIOS</v>
      </c>
      <c r="DG854" t="str">
        <v>5135 SERVICIOS</v>
      </c>
      <c r="DH854" t="str">
        <v>5135 SERVICIOS</v>
      </c>
      <c r="DI854" t="str">
        <v>5135 SERVICIOS</v>
      </c>
      <c r="DJ854" t="str">
        <v>5135 SERVICIOS</v>
      </c>
      <c r="DK854" t="str">
        <v>5135 SERVICIOS</v>
      </c>
      <c r="DL854" t="str">
        <v>5135 SERVICIOS</v>
      </c>
      <c r="DM854" t="str">
        <v>5135 SERVICIOS</v>
      </c>
      <c r="DN854" t="str">
        <v>5135 SERVICIOS</v>
      </c>
      <c r="DO854" t="str">
        <v>5135 SERVICIOS</v>
      </c>
      <c r="DP854" t="str">
        <v>5135 SERVICIOS</v>
      </c>
    </row>
    <row r="855" spans="4:120" ht="12.75">
      <c r="D855" s="7">
        <v>513505</v>
      </c>
      <c r="E855" s="6" t="s">
        <v>586</v>
      </c>
      <c r="F855" s="5">
        <v>4</v>
      </c>
      <c r="G855" s="34" t="s">
        <v>830</v>
      </c>
      <c r="H855" s="8" t="s">
        <v>32</v>
      </c>
      <c r="I855" t="b">
        <f>+ISNUMBER(SEARCH('F-COMPRA'!$F$28,Tabla11[[#This Row],[Cuenta]],1))</f>
        <v>1</v>
      </c>
      <c r="J855" t="b">
        <f>+ISNUMBER(SEARCH('F-COMPRA'!$F$29,Tabla11[[#This Row],[Cuenta]],1))</f>
        <v>1</v>
      </c>
      <c r="K855" t="b">
        <f>+ISNUMBER(SEARCH('F-COMPRA'!$F$30,Tabla11[[#This Row],[Cuenta]],1))</f>
        <v>1</v>
      </c>
      <c r="L855" t="b">
        <f>+ISNUMBER(SEARCH('F-COMPRA'!$F$31,Tabla11[[#This Row],[Cuenta]],1))</f>
        <v>1</v>
      </c>
      <c r="M855" t="b">
        <f>+ISNUMBER(SEARCH('F-COMPRA'!$G$25,Tabla11[[#This Row],[Cuenta]],1))</f>
        <v>0</v>
      </c>
      <c r="N855" t="b">
        <f>+ISNUMBER(SEARCH(#REF!,Tabla11[[#This Row],[Cuenta]],1))</f>
        <v>0</v>
      </c>
      <c r="O855" t="b">
        <f>+ISNUMBER(SEARCH(#REF!,Tabla11[[#This Row],[Cuenta]],1))</f>
        <v>0</v>
      </c>
      <c r="P855" t="b">
        <f>+ISNUMBER(SEARCH('F-COMPRA'!$F$32,Tabla11[[#This Row],[Cuenta]],1))</f>
        <v>1</v>
      </c>
      <c r="Q855" t="b">
        <f>+ISNUMBER(SEARCH('F-COMPRA'!$F$33,Tabla11[[#This Row],[Cuenta]],1))</f>
        <v>1</v>
      </c>
      <c r="R855" t="b">
        <f>+ISNUMBER(SEARCH('F-COMPRA'!$F$34,Tabla11[[#This Row],[Cuenta]],1))</f>
        <v>1</v>
      </c>
      <c r="S855" t="b">
        <f>+ISNUMBER(SEARCH('F-COMPRA'!$F$35,Tabla11[[#This Row],[Cuenta]],1))</f>
        <v>1</v>
      </c>
      <c r="T855" t="b">
        <f>+ISNUMBER(SEARCH('F-COMPRA'!$F$36,Tabla11[[#This Row],[Cuenta]],1))</f>
        <v>1</v>
      </c>
      <c r="U855" t="b">
        <f>+ISNUMBER(SEARCH('F-COMPRA'!$F$37,Tabla11[[#This Row],[Cuenta]],1))</f>
        <v>1</v>
      </c>
      <c r="V855" t="b">
        <f>+ISNUMBER(SEARCH(#REF!,Tabla11[[#This Row],[Cuenta]],1))</f>
        <v>0</v>
      </c>
      <c r="W855" t="b">
        <f>+ISNUMBER(SEARCH('F-COMPRA'!#REF!,Tabla11[[#This Row],[Cuenta]],1))</f>
        <v>0</v>
      </c>
      <c r="X855" t="b">
        <f>+ISNUMBER(SEARCH('F-COMPRA'!#REF!,Tabla11[[#This Row],[Cuenta]],1))</f>
        <v>0</v>
      </c>
      <c r="Y855" t="b">
        <f>+ISNUMBER(SEARCH('F-COMPRA'!#REF!,Tabla11[[#This Row],[Cuenta]],1))</f>
        <v>0</v>
      </c>
      <c r="Z855" t="b">
        <f>+ISNUMBER(SEARCH('F-COMPRA'!#REF!,Tabla11[[#This Row],[Cuenta]],1))</f>
        <v>0</v>
      </c>
      <c r="AA855" t="b">
        <f>+ISNUMBER(SEARCH('F-COMPRA'!#REF!,Tabla11[[#This Row],[Cuenta]],1))</f>
        <v>0</v>
      </c>
      <c r="AB855" t="b">
        <f>+ISNUMBER(SEARCH('F-COMPRA'!#REF!,Tabla11[[#This Row],[Cuenta]],1))</f>
        <v>0</v>
      </c>
      <c r="AC855" t="b">
        <f>+ISNUMBER(SEARCH('F-COMPRA'!#REF!,Tabla11[[#This Row],[Cuenta]],1))</f>
        <v>0</v>
      </c>
      <c r="AD855" t="b">
        <f>+ISNUMBER(SEARCH('F-COMPRA'!#REF!,Tabla11[[#This Row],[Cuenta]],1))</f>
        <v>0</v>
      </c>
      <c r="AE855" t="b">
        <f>+ISNUMBER(SEARCH('F-COMPRA'!#REF!,Tabla11[[#This Row],[Cuenta]],1))</f>
        <v>0</v>
      </c>
      <c r="AF855" t="b">
        <f>+ISNUMBER(SEARCH('F-VTA'!$G$23,Tabla11[[#This Row],[Cuenta]],1))</f>
        <v>0</v>
      </c>
      <c r="AG855" t="b">
        <f>+ISNUMBER(SEARCH('F-VTA'!$G$24,Tabla11[[#This Row],[Cuenta]],1))</f>
        <v>0</v>
      </c>
      <c r="AH855" t="b">
        <f>+ISNUMBER(SEARCH('F-VTA'!$G$25,Tabla11[[#This Row],[Cuenta]],1))</f>
        <v>0</v>
      </c>
      <c r="AI855" t="b">
        <f>+ISNUMBER(SEARCH('F-VTA'!$F$28,Tabla11[[#This Row],[Cuenta]],1))</f>
        <v>1</v>
      </c>
      <c r="AJ855" t="b">
        <f>+ISNUMBER(SEARCH('F-VTA'!$F$29,Tabla11[[#This Row],[Cuenta]],1))</f>
        <v>1</v>
      </c>
      <c r="AK855" t="b">
        <f>+ISNUMBER(SEARCH('F-VTA'!$F$30,Tabla11[[#This Row],[Cuenta]],1))</f>
        <v>1</v>
      </c>
      <c r="AL855" t="b">
        <f>+ISNUMBER(SEARCH('F-VTA'!$F$31,Tabla11[[#This Row],[Cuenta]],1))</f>
        <v>1</v>
      </c>
      <c r="AM855" t="b">
        <f>+ISNUMBER(SEARCH('F-VTA'!$F$32,Tabla11[[#This Row],[Cuenta]],1))</f>
        <v>1</v>
      </c>
      <c r="AN855" t="b">
        <f>+ISNUMBER(SEARCH('F-VTA'!$F$33,Tabla11[[#This Row],[Cuenta]],1))</f>
        <v>1</v>
      </c>
      <c r="AO855" t="b">
        <f>+ISNUMBER(SEARCH('F-VTA'!$F$34,Tabla11[[#This Row],[Cuenta]],1))</f>
        <v>1</v>
      </c>
      <c r="AP855" t="b">
        <f>+ISNUMBER(SEARCH('F-VTA'!$F$35,Tabla11[[#This Row],[Cuenta]],1))</f>
        <v>1</v>
      </c>
      <c r="AQ855" t="b">
        <f>+ISNUMBER(SEARCH('F-VTA'!$F$36,Tabla11[[#This Row],[Cuenta]],1))</f>
        <v>1</v>
      </c>
      <c r="AR855" t="b">
        <f>+ISNUMBER(SEARCH(#REF!,Tabla11[[#This Row],[Cuenta]],1))</f>
        <v>0</v>
      </c>
      <c r="AS855" t="b">
        <f>+ISNUMBER(SEARCH(#REF!,Tabla11[[#This Row],[Cuenta]],1))</f>
        <v>0</v>
      </c>
      <c r="AT855" t="b">
        <f>+ISNUMBER(SEARCH(#REF!,Tabla11[[#This Row],[Cuenta]],1))</f>
        <v>0</v>
      </c>
      <c r="AU855" t="b">
        <f>+ISNUMBER(SEARCH('Conc. Ban.1'!$I$9,Tabla11[[#This Row],[Cuenta]],1))</f>
        <v>0</v>
      </c>
      <c r="AV855" t="b">
        <f>+ISNUMBER(SEARCH(CompConta!$F$21,Tabla11[[#This Row],[Cuenta]],1))</f>
        <v>1</v>
      </c>
      <c r="AW855" t="b">
        <f>+ISNUMBER(SEARCH(CompConta!$F$22,Tabla11[[#This Row],[Cuenta]],1))</f>
        <v>1</v>
      </c>
      <c r="AX855" t="b">
        <f>+ISNUMBER(SEARCH(CompConta!$F$23,Tabla11[[#This Row],[Cuenta]],1))</f>
        <v>1</v>
      </c>
      <c r="AY855" t="b">
        <f>+ISNUMBER(SEARCH(CompConta!$F$24,Tabla11[[#This Row],[Cuenta]],1))</f>
        <v>1</v>
      </c>
      <c r="AZ855" t="b">
        <f>+ISNUMBER(SEARCH(CompConta!$F$25,Tabla11[[#This Row],[Cuenta]],1))</f>
        <v>1</v>
      </c>
      <c r="BA855" t="b">
        <f>+ISNUMBER(SEARCH(CompConta!$F$26,Tabla11[[#This Row],[Cuenta]],1))</f>
        <v>1</v>
      </c>
      <c r="BB855" t="b">
        <f>+ISNUMBER(SEARCH(CompConta!$F$27,Tabla11[[#This Row],[Cuenta]],1))</f>
        <v>1</v>
      </c>
      <c r="BC855" t="b">
        <f>+ISNUMBER(SEARCH(CompConta!$F$28,Tabla11[[#This Row],[Cuenta]],1))</f>
        <v>1</v>
      </c>
      <c r="BD855" t="b">
        <f>+ISNUMBER(SEARCH(CompConta!$F$29,Tabla11[[#This Row],[Cuenta]],1))</f>
        <v>1</v>
      </c>
      <c r="BE855" t="b">
        <f>+ISNUMBER(SEARCH(CompConta!$F$30,Tabla11[[#This Row],[Cuenta]],1))</f>
        <v>1</v>
      </c>
      <c r="BF855" t="b">
        <f>+ISNUMBER(SEARCH('PAGO Compras'!$E$11,Tabla11[[#This Row],[Cuenta]],1))</f>
        <v>1</v>
      </c>
      <c r="BG855" t="b">
        <f>+ISNUMBER(SEARCH(#REF!,Tabla11[[#This Row],[Cuenta]],1))</f>
        <v>0</v>
      </c>
      <c r="BH855" t="b">
        <f>+ISNUMBER(SEARCH(#REF!,Tabla11[[#This Row],[Cuenta]],1))</f>
        <v>0</v>
      </c>
      <c r="BI855" t="b">
        <f>+ISNUMBER(SEARCH(#REF!,Tabla11[[#This Row],[Cuenta]],1))</f>
        <v>0</v>
      </c>
      <c r="BJ855" t="b">
        <f>+ISNUMBER(SEARCH(#REF!,Tabla11[[#This Row],[Cuenta]],1))</f>
        <v>0</v>
      </c>
      <c r="BS855" t="str">
        <v>513505 Aseo y vigilancia</v>
      </c>
      <c r="BT855" t="str">
        <v>513505 Aseo y vigilancia</v>
      </c>
      <c r="BU855" t="str">
        <v>513505 Aseo y vigilancia</v>
      </c>
      <c r="BV855" t="str">
        <v>513505 Aseo y vigilancia</v>
      </c>
      <c r="BZ855" t="str">
        <v>513505 Aseo y vigilancia</v>
      </c>
      <c r="CA855" t="str">
        <v>513505 Aseo y vigilancia</v>
      </c>
      <c r="CB855" t="str">
        <v>513505 Aseo y vigilancia</v>
      </c>
      <c r="CC855" t="str">
        <v>513505 Aseo y vigilancia</v>
      </c>
      <c r="CD855" t="str">
        <v>513505 Aseo y vigilancia</v>
      </c>
      <c r="CE855" t="str">
        <v>513505 Aseo y vigilancia</v>
      </c>
      <c r="CS855" s="141" t="str">
        <v>513505 Aseo y vigilancia</v>
      </c>
      <c r="CT855" s="141" t="str">
        <v>513505 Aseo y vigilancia</v>
      </c>
      <c r="CU855" s="141" t="str">
        <v>513505 Aseo y vigilancia</v>
      </c>
      <c r="CV855" s="141" t="str">
        <v>513505 Aseo y vigilancia</v>
      </c>
      <c r="CW855" s="141" t="str">
        <v>513505 Aseo y vigilancia</v>
      </c>
      <c r="CX855" s="141" t="str">
        <v>513505 Aseo y vigilancia</v>
      </c>
      <c r="CY855" s="141" t="str">
        <v>513505 Aseo y vigilancia</v>
      </c>
      <c r="CZ855" s="141" t="str">
        <v>513505 Aseo y vigilancia</v>
      </c>
      <c r="DA855" s="141" t="str">
        <v>513505 Aseo y vigilancia</v>
      </c>
      <c r="DF855" t="str">
        <v>513505 Aseo y vigilancia</v>
      </c>
      <c r="DG855" t="str">
        <v>513505 Aseo y vigilancia</v>
      </c>
      <c r="DH855" t="str">
        <v>513505 Aseo y vigilancia</v>
      </c>
      <c r="DI855" t="str">
        <v>513505 Aseo y vigilancia</v>
      </c>
      <c r="DJ855" t="str">
        <v>513505 Aseo y vigilancia</v>
      </c>
      <c r="DK855" t="str">
        <v>513505 Aseo y vigilancia</v>
      </c>
      <c r="DL855" t="str">
        <v>513505 Aseo y vigilancia</v>
      </c>
      <c r="DM855" t="str">
        <v>513505 Aseo y vigilancia</v>
      </c>
      <c r="DN855" t="str">
        <v>513505 Aseo y vigilancia</v>
      </c>
      <c r="DO855" t="str">
        <v>513505 Aseo y vigilancia</v>
      </c>
      <c r="DP855" t="str">
        <v>513505 Aseo y vigilancia</v>
      </c>
    </row>
    <row r="856" spans="4:120" ht="12.75">
      <c r="D856" s="7">
        <v>513510</v>
      </c>
      <c r="E856" s="6" t="s">
        <v>587</v>
      </c>
      <c r="F856" s="5">
        <v>4</v>
      </c>
      <c r="G856" s="34" t="s">
        <v>830</v>
      </c>
      <c r="H856" s="8" t="s">
        <v>32</v>
      </c>
      <c r="I856" t="b">
        <f>+ISNUMBER(SEARCH('F-COMPRA'!$F$28,Tabla11[[#This Row],[Cuenta]],1))</f>
        <v>1</v>
      </c>
      <c r="J856" t="b">
        <f>+ISNUMBER(SEARCH('F-COMPRA'!$F$29,Tabla11[[#This Row],[Cuenta]],1))</f>
        <v>1</v>
      </c>
      <c r="K856" t="b">
        <f>+ISNUMBER(SEARCH('F-COMPRA'!$F$30,Tabla11[[#This Row],[Cuenta]],1))</f>
        <v>1</v>
      </c>
      <c r="L856" t="b">
        <f>+ISNUMBER(SEARCH('F-COMPRA'!$F$31,Tabla11[[#This Row],[Cuenta]],1))</f>
        <v>1</v>
      </c>
      <c r="M856" t="b">
        <f>+ISNUMBER(SEARCH('F-COMPRA'!$G$25,Tabla11[[#This Row],[Cuenta]],1))</f>
        <v>0</v>
      </c>
      <c r="N856" t="b">
        <f>+ISNUMBER(SEARCH(#REF!,Tabla11[[#This Row],[Cuenta]],1))</f>
        <v>0</v>
      </c>
      <c r="O856" t="b">
        <f>+ISNUMBER(SEARCH(#REF!,Tabla11[[#This Row],[Cuenta]],1))</f>
        <v>0</v>
      </c>
      <c r="P856" t="b">
        <f>+ISNUMBER(SEARCH('F-COMPRA'!$F$32,Tabla11[[#This Row],[Cuenta]],1))</f>
        <v>1</v>
      </c>
      <c r="Q856" t="b">
        <f>+ISNUMBER(SEARCH('F-COMPRA'!$F$33,Tabla11[[#This Row],[Cuenta]],1))</f>
        <v>1</v>
      </c>
      <c r="R856" t="b">
        <f>+ISNUMBER(SEARCH('F-COMPRA'!$F$34,Tabla11[[#This Row],[Cuenta]],1))</f>
        <v>1</v>
      </c>
      <c r="S856" t="b">
        <f>+ISNUMBER(SEARCH('F-COMPRA'!$F$35,Tabla11[[#This Row],[Cuenta]],1))</f>
        <v>1</v>
      </c>
      <c r="T856" t="b">
        <f>+ISNUMBER(SEARCH('F-COMPRA'!$F$36,Tabla11[[#This Row],[Cuenta]],1))</f>
        <v>1</v>
      </c>
      <c r="U856" t="b">
        <f>+ISNUMBER(SEARCH('F-COMPRA'!$F$37,Tabla11[[#This Row],[Cuenta]],1))</f>
        <v>1</v>
      </c>
      <c r="V856" t="b">
        <f>+ISNUMBER(SEARCH(#REF!,Tabla11[[#This Row],[Cuenta]],1))</f>
        <v>0</v>
      </c>
      <c r="W856" t="b">
        <f>+ISNUMBER(SEARCH('F-COMPRA'!#REF!,Tabla11[[#This Row],[Cuenta]],1))</f>
        <v>0</v>
      </c>
      <c r="X856" t="b">
        <f>+ISNUMBER(SEARCH('F-COMPRA'!#REF!,Tabla11[[#This Row],[Cuenta]],1))</f>
        <v>0</v>
      </c>
      <c r="Y856" t="b">
        <f>+ISNUMBER(SEARCH('F-COMPRA'!#REF!,Tabla11[[#This Row],[Cuenta]],1))</f>
        <v>0</v>
      </c>
      <c r="Z856" t="b">
        <f>+ISNUMBER(SEARCH('F-COMPRA'!#REF!,Tabla11[[#This Row],[Cuenta]],1))</f>
        <v>0</v>
      </c>
      <c r="AA856" t="b">
        <f>+ISNUMBER(SEARCH('F-COMPRA'!#REF!,Tabla11[[#This Row],[Cuenta]],1))</f>
        <v>0</v>
      </c>
      <c r="AB856" t="b">
        <f>+ISNUMBER(SEARCH('F-COMPRA'!#REF!,Tabla11[[#This Row],[Cuenta]],1))</f>
        <v>0</v>
      </c>
      <c r="AC856" t="b">
        <f>+ISNUMBER(SEARCH('F-COMPRA'!#REF!,Tabla11[[#This Row],[Cuenta]],1))</f>
        <v>0</v>
      </c>
      <c r="AD856" t="b">
        <f>+ISNUMBER(SEARCH('F-COMPRA'!#REF!,Tabla11[[#This Row],[Cuenta]],1))</f>
        <v>0</v>
      </c>
      <c r="AE856" t="b">
        <f>+ISNUMBER(SEARCH('F-COMPRA'!#REF!,Tabla11[[#This Row],[Cuenta]],1))</f>
        <v>0</v>
      </c>
      <c r="AF856" t="b">
        <f>+ISNUMBER(SEARCH('F-VTA'!$G$23,Tabla11[[#This Row],[Cuenta]],1))</f>
        <v>0</v>
      </c>
      <c r="AG856" t="b">
        <f>+ISNUMBER(SEARCH('F-VTA'!$G$24,Tabla11[[#This Row],[Cuenta]],1))</f>
        <v>0</v>
      </c>
      <c r="AH856" t="b">
        <f>+ISNUMBER(SEARCH('F-VTA'!$G$25,Tabla11[[#This Row],[Cuenta]],1))</f>
        <v>0</v>
      </c>
      <c r="AI856" t="b">
        <f>+ISNUMBER(SEARCH('F-VTA'!$F$28,Tabla11[[#This Row],[Cuenta]],1))</f>
        <v>1</v>
      </c>
      <c r="AJ856" t="b">
        <f>+ISNUMBER(SEARCH('F-VTA'!$F$29,Tabla11[[#This Row],[Cuenta]],1))</f>
        <v>1</v>
      </c>
      <c r="AK856" t="b">
        <f>+ISNUMBER(SEARCH('F-VTA'!$F$30,Tabla11[[#This Row],[Cuenta]],1))</f>
        <v>1</v>
      </c>
      <c r="AL856" t="b">
        <f>+ISNUMBER(SEARCH('F-VTA'!$F$31,Tabla11[[#This Row],[Cuenta]],1))</f>
        <v>1</v>
      </c>
      <c r="AM856" t="b">
        <f>+ISNUMBER(SEARCH('F-VTA'!$F$32,Tabla11[[#This Row],[Cuenta]],1))</f>
        <v>1</v>
      </c>
      <c r="AN856" t="b">
        <f>+ISNUMBER(SEARCH('F-VTA'!$F$33,Tabla11[[#This Row],[Cuenta]],1))</f>
        <v>1</v>
      </c>
      <c r="AO856" t="b">
        <f>+ISNUMBER(SEARCH('F-VTA'!$F$34,Tabla11[[#This Row],[Cuenta]],1))</f>
        <v>1</v>
      </c>
      <c r="AP856" t="b">
        <f>+ISNUMBER(SEARCH('F-VTA'!$F$35,Tabla11[[#This Row],[Cuenta]],1))</f>
        <v>1</v>
      </c>
      <c r="AQ856" t="b">
        <f>+ISNUMBER(SEARCH('F-VTA'!$F$36,Tabla11[[#This Row],[Cuenta]],1))</f>
        <v>1</v>
      </c>
      <c r="AR856" t="b">
        <f>+ISNUMBER(SEARCH(#REF!,Tabla11[[#This Row],[Cuenta]],1))</f>
        <v>0</v>
      </c>
      <c r="AS856" t="b">
        <f>+ISNUMBER(SEARCH(#REF!,Tabla11[[#This Row],[Cuenta]],1))</f>
        <v>0</v>
      </c>
      <c r="AT856" t="b">
        <f>+ISNUMBER(SEARCH(#REF!,Tabla11[[#This Row],[Cuenta]],1))</f>
        <v>0</v>
      </c>
      <c r="AU856" t="b">
        <f>+ISNUMBER(SEARCH('Conc. Ban.1'!$I$9,Tabla11[[#This Row],[Cuenta]],1))</f>
        <v>0</v>
      </c>
      <c r="AV856" t="b">
        <f>+ISNUMBER(SEARCH(CompConta!$F$21,Tabla11[[#This Row],[Cuenta]],1))</f>
        <v>1</v>
      </c>
      <c r="AW856" t="b">
        <f>+ISNUMBER(SEARCH(CompConta!$F$22,Tabla11[[#This Row],[Cuenta]],1))</f>
        <v>1</v>
      </c>
      <c r="AX856" t="b">
        <f>+ISNUMBER(SEARCH(CompConta!$F$23,Tabla11[[#This Row],[Cuenta]],1))</f>
        <v>1</v>
      </c>
      <c r="AY856" t="b">
        <f>+ISNUMBER(SEARCH(CompConta!$F$24,Tabla11[[#This Row],[Cuenta]],1))</f>
        <v>1</v>
      </c>
      <c r="AZ856" t="b">
        <f>+ISNUMBER(SEARCH(CompConta!$F$25,Tabla11[[#This Row],[Cuenta]],1))</f>
        <v>1</v>
      </c>
      <c r="BA856" t="b">
        <f>+ISNUMBER(SEARCH(CompConta!$F$26,Tabla11[[#This Row],[Cuenta]],1))</f>
        <v>1</v>
      </c>
      <c r="BB856" t="b">
        <f>+ISNUMBER(SEARCH(CompConta!$F$27,Tabla11[[#This Row],[Cuenta]],1))</f>
        <v>1</v>
      </c>
      <c r="BC856" t="b">
        <f>+ISNUMBER(SEARCH(CompConta!$F$28,Tabla11[[#This Row],[Cuenta]],1))</f>
        <v>1</v>
      </c>
      <c r="BD856" t="b">
        <f>+ISNUMBER(SEARCH(CompConta!$F$29,Tabla11[[#This Row],[Cuenta]],1))</f>
        <v>1</v>
      </c>
      <c r="BE856" t="b">
        <f>+ISNUMBER(SEARCH(CompConta!$F$30,Tabla11[[#This Row],[Cuenta]],1))</f>
        <v>1</v>
      </c>
      <c r="BF856" t="b">
        <f>+ISNUMBER(SEARCH('PAGO Compras'!$E$11,Tabla11[[#This Row],[Cuenta]],1))</f>
        <v>1</v>
      </c>
      <c r="BG856" t="b">
        <f>+ISNUMBER(SEARCH(#REF!,Tabla11[[#This Row],[Cuenta]],1))</f>
        <v>0</v>
      </c>
      <c r="BH856" t="b">
        <f>+ISNUMBER(SEARCH(#REF!,Tabla11[[#This Row],[Cuenta]],1))</f>
        <v>0</v>
      </c>
      <c r="BI856" t="b">
        <f>+ISNUMBER(SEARCH(#REF!,Tabla11[[#This Row],[Cuenta]],1))</f>
        <v>0</v>
      </c>
      <c r="BJ856" t="b">
        <f>+ISNUMBER(SEARCH(#REF!,Tabla11[[#This Row],[Cuenta]],1))</f>
        <v>0</v>
      </c>
      <c r="BS856" t="str">
        <v>513510 Temporales</v>
      </c>
      <c r="BT856" t="str">
        <v>513510 Temporales</v>
      </c>
      <c r="BU856" t="str">
        <v>513510 Temporales</v>
      </c>
      <c r="BV856" t="str">
        <v>513510 Temporales</v>
      </c>
      <c r="BZ856" t="str">
        <v>513510 Temporales</v>
      </c>
      <c r="CA856" t="str">
        <v>513510 Temporales</v>
      </c>
      <c r="CB856" t="str">
        <v>513510 Temporales</v>
      </c>
      <c r="CC856" t="str">
        <v>513510 Temporales</v>
      </c>
      <c r="CD856" t="str">
        <v>513510 Temporales</v>
      </c>
      <c r="CE856" t="str">
        <v>513510 Temporales</v>
      </c>
      <c r="CS856" s="141" t="str">
        <v>513510 Temporales</v>
      </c>
      <c r="CT856" s="141" t="str">
        <v>513510 Temporales</v>
      </c>
      <c r="CU856" s="141" t="str">
        <v>513510 Temporales</v>
      </c>
      <c r="CV856" s="141" t="str">
        <v>513510 Temporales</v>
      </c>
      <c r="CW856" s="141" t="str">
        <v>513510 Temporales</v>
      </c>
      <c r="CX856" s="141" t="str">
        <v>513510 Temporales</v>
      </c>
      <c r="CY856" s="141" t="str">
        <v>513510 Temporales</v>
      </c>
      <c r="CZ856" s="141" t="str">
        <v>513510 Temporales</v>
      </c>
      <c r="DA856" s="141" t="str">
        <v>513510 Temporales</v>
      </c>
      <c r="DF856" t="str">
        <v>513510 Temporales</v>
      </c>
      <c r="DG856" t="str">
        <v>513510 Temporales</v>
      </c>
      <c r="DH856" t="str">
        <v>513510 Temporales</v>
      </c>
      <c r="DI856" t="str">
        <v>513510 Temporales</v>
      </c>
      <c r="DJ856" t="str">
        <v>513510 Temporales</v>
      </c>
      <c r="DK856" t="str">
        <v>513510 Temporales</v>
      </c>
      <c r="DL856" t="str">
        <v>513510 Temporales</v>
      </c>
      <c r="DM856" t="str">
        <v>513510 Temporales</v>
      </c>
      <c r="DN856" t="str">
        <v>513510 Temporales</v>
      </c>
      <c r="DO856" t="str">
        <v>513510 Temporales</v>
      </c>
      <c r="DP856" t="str">
        <v>513510 Temporales</v>
      </c>
    </row>
    <row r="857" spans="4:120" ht="12.75">
      <c r="D857" s="7">
        <v>513515</v>
      </c>
      <c r="E857" s="6" t="s">
        <v>527</v>
      </c>
      <c r="F857" s="5">
        <v>4</v>
      </c>
      <c r="G857" s="34" t="s">
        <v>830</v>
      </c>
      <c r="H857" s="8" t="s">
        <v>32</v>
      </c>
      <c r="I857" t="b">
        <f>+ISNUMBER(SEARCH('F-COMPRA'!$F$28,Tabla11[[#This Row],[Cuenta]],1))</f>
        <v>1</v>
      </c>
      <c r="J857" t="b">
        <f>+ISNUMBER(SEARCH('F-COMPRA'!$F$29,Tabla11[[#This Row],[Cuenta]],1))</f>
        <v>1</v>
      </c>
      <c r="K857" t="b">
        <f>+ISNUMBER(SEARCH('F-COMPRA'!$F$30,Tabla11[[#This Row],[Cuenta]],1))</f>
        <v>1</v>
      </c>
      <c r="L857" t="b">
        <f>+ISNUMBER(SEARCH('F-COMPRA'!$F$31,Tabla11[[#This Row],[Cuenta]],1))</f>
        <v>1</v>
      </c>
      <c r="M857" t="b">
        <f>+ISNUMBER(SEARCH('F-COMPRA'!$G$25,Tabla11[[#This Row],[Cuenta]],1))</f>
        <v>0</v>
      </c>
      <c r="N857" t="b">
        <f>+ISNUMBER(SEARCH(#REF!,Tabla11[[#This Row],[Cuenta]],1))</f>
        <v>0</v>
      </c>
      <c r="O857" t="b">
        <f>+ISNUMBER(SEARCH(#REF!,Tabla11[[#This Row],[Cuenta]],1))</f>
        <v>0</v>
      </c>
      <c r="P857" t="b">
        <f>+ISNUMBER(SEARCH('F-COMPRA'!$F$32,Tabla11[[#This Row],[Cuenta]],1))</f>
        <v>1</v>
      </c>
      <c r="Q857" t="b">
        <f>+ISNUMBER(SEARCH('F-COMPRA'!$F$33,Tabla11[[#This Row],[Cuenta]],1))</f>
        <v>1</v>
      </c>
      <c r="R857" t="b">
        <f>+ISNUMBER(SEARCH('F-COMPRA'!$F$34,Tabla11[[#This Row],[Cuenta]],1))</f>
        <v>1</v>
      </c>
      <c r="S857" t="b">
        <f>+ISNUMBER(SEARCH('F-COMPRA'!$F$35,Tabla11[[#This Row],[Cuenta]],1))</f>
        <v>1</v>
      </c>
      <c r="T857" t="b">
        <f>+ISNUMBER(SEARCH('F-COMPRA'!$F$36,Tabla11[[#This Row],[Cuenta]],1))</f>
        <v>1</v>
      </c>
      <c r="U857" t="b">
        <f>+ISNUMBER(SEARCH('F-COMPRA'!$F$37,Tabla11[[#This Row],[Cuenta]],1))</f>
        <v>1</v>
      </c>
      <c r="V857" t="b">
        <f>+ISNUMBER(SEARCH(#REF!,Tabla11[[#This Row],[Cuenta]],1))</f>
        <v>0</v>
      </c>
      <c r="W857" t="b">
        <f>+ISNUMBER(SEARCH('F-COMPRA'!#REF!,Tabla11[[#This Row],[Cuenta]],1))</f>
        <v>0</v>
      </c>
      <c r="X857" t="b">
        <f>+ISNUMBER(SEARCH('F-COMPRA'!#REF!,Tabla11[[#This Row],[Cuenta]],1))</f>
        <v>0</v>
      </c>
      <c r="Y857" t="b">
        <f>+ISNUMBER(SEARCH('F-COMPRA'!#REF!,Tabla11[[#This Row],[Cuenta]],1))</f>
        <v>0</v>
      </c>
      <c r="Z857" t="b">
        <f>+ISNUMBER(SEARCH('F-COMPRA'!#REF!,Tabla11[[#This Row],[Cuenta]],1))</f>
        <v>0</v>
      </c>
      <c r="AA857" t="b">
        <f>+ISNUMBER(SEARCH('F-COMPRA'!#REF!,Tabla11[[#This Row],[Cuenta]],1))</f>
        <v>0</v>
      </c>
      <c r="AB857" t="b">
        <f>+ISNUMBER(SEARCH('F-COMPRA'!#REF!,Tabla11[[#This Row],[Cuenta]],1))</f>
        <v>0</v>
      </c>
      <c r="AC857" t="b">
        <f>+ISNUMBER(SEARCH('F-COMPRA'!#REF!,Tabla11[[#This Row],[Cuenta]],1))</f>
        <v>0</v>
      </c>
      <c r="AD857" t="b">
        <f>+ISNUMBER(SEARCH('F-COMPRA'!#REF!,Tabla11[[#This Row],[Cuenta]],1))</f>
        <v>0</v>
      </c>
      <c r="AE857" t="b">
        <f>+ISNUMBER(SEARCH('F-COMPRA'!#REF!,Tabla11[[#This Row],[Cuenta]],1))</f>
        <v>0</v>
      </c>
      <c r="AF857" t="b">
        <f>+ISNUMBER(SEARCH('F-VTA'!$G$23,Tabla11[[#This Row],[Cuenta]],1))</f>
        <v>0</v>
      </c>
      <c r="AG857" t="b">
        <f>+ISNUMBER(SEARCH('F-VTA'!$G$24,Tabla11[[#This Row],[Cuenta]],1))</f>
        <v>0</v>
      </c>
      <c r="AH857" t="b">
        <f>+ISNUMBER(SEARCH('F-VTA'!$G$25,Tabla11[[#This Row],[Cuenta]],1))</f>
        <v>0</v>
      </c>
      <c r="AI857" t="b">
        <f>+ISNUMBER(SEARCH('F-VTA'!$F$28,Tabla11[[#This Row],[Cuenta]],1))</f>
        <v>1</v>
      </c>
      <c r="AJ857" t="b">
        <f>+ISNUMBER(SEARCH('F-VTA'!$F$29,Tabla11[[#This Row],[Cuenta]],1))</f>
        <v>1</v>
      </c>
      <c r="AK857" t="b">
        <f>+ISNUMBER(SEARCH('F-VTA'!$F$30,Tabla11[[#This Row],[Cuenta]],1))</f>
        <v>1</v>
      </c>
      <c r="AL857" t="b">
        <f>+ISNUMBER(SEARCH('F-VTA'!$F$31,Tabla11[[#This Row],[Cuenta]],1))</f>
        <v>1</v>
      </c>
      <c r="AM857" t="b">
        <f>+ISNUMBER(SEARCH('F-VTA'!$F$32,Tabla11[[#This Row],[Cuenta]],1))</f>
        <v>1</v>
      </c>
      <c r="AN857" t="b">
        <f>+ISNUMBER(SEARCH('F-VTA'!$F$33,Tabla11[[#This Row],[Cuenta]],1))</f>
        <v>1</v>
      </c>
      <c r="AO857" t="b">
        <f>+ISNUMBER(SEARCH('F-VTA'!$F$34,Tabla11[[#This Row],[Cuenta]],1))</f>
        <v>1</v>
      </c>
      <c r="AP857" t="b">
        <f>+ISNUMBER(SEARCH('F-VTA'!$F$35,Tabla11[[#This Row],[Cuenta]],1))</f>
        <v>1</v>
      </c>
      <c r="AQ857" t="b">
        <f>+ISNUMBER(SEARCH('F-VTA'!$F$36,Tabla11[[#This Row],[Cuenta]],1))</f>
        <v>1</v>
      </c>
      <c r="AR857" t="b">
        <f>+ISNUMBER(SEARCH(#REF!,Tabla11[[#This Row],[Cuenta]],1))</f>
        <v>0</v>
      </c>
      <c r="AS857" t="b">
        <f>+ISNUMBER(SEARCH(#REF!,Tabla11[[#This Row],[Cuenta]],1))</f>
        <v>0</v>
      </c>
      <c r="AT857" t="b">
        <f>+ISNUMBER(SEARCH(#REF!,Tabla11[[#This Row],[Cuenta]],1))</f>
        <v>0</v>
      </c>
      <c r="AU857" t="b">
        <f>+ISNUMBER(SEARCH('Conc. Ban.1'!$I$9,Tabla11[[#This Row],[Cuenta]],1))</f>
        <v>0</v>
      </c>
      <c r="AV857" t="b">
        <f>+ISNUMBER(SEARCH(CompConta!$F$21,Tabla11[[#This Row],[Cuenta]],1))</f>
        <v>1</v>
      </c>
      <c r="AW857" t="b">
        <f>+ISNUMBER(SEARCH(CompConta!$F$22,Tabla11[[#This Row],[Cuenta]],1))</f>
        <v>1</v>
      </c>
      <c r="AX857" t="b">
        <f>+ISNUMBER(SEARCH(CompConta!$F$23,Tabla11[[#This Row],[Cuenta]],1))</f>
        <v>1</v>
      </c>
      <c r="AY857" t="b">
        <f>+ISNUMBER(SEARCH(CompConta!$F$24,Tabla11[[#This Row],[Cuenta]],1))</f>
        <v>1</v>
      </c>
      <c r="AZ857" t="b">
        <f>+ISNUMBER(SEARCH(CompConta!$F$25,Tabla11[[#This Row],[Cuenta]],1))</f>
        <v>1</v>
      </c>
      <c r="BA857" t="b">
        <f>+ISNUMBER(SEARCH(CompConta!$F$26,Tabla11[[#This Row],[Cuenta]],1))</f>
        <v>1</v>
      </c>
      <c r="BB857" t="b">
        <f>+ISNUMBER(SEARCH(CompConta!$F$27,Tabla11[[#This Row],[Cuenta]],1))</f>
        <v>1</v>
      </c>
      <c r="BC857" t="b">
        <f>+ISNUMBER(SEARCH(CompConta!$F$28,Tabla11[[#This Row],[Cuenta]],1))</f>
        <v>1</v>
      </c>
      <c r="BD857" t="b">
        <f>+ISNUMBER(SEARCH(CompConta!$F$29,Tabla11[[#This Row],[Cuenta]],1))</f>
        <v>1</v>
      </c>
      <c r="BE857" t="b">
        <f>+ISNUMBER(SEARCH(CompConta!$F$30,Tabla11[[#This Row],[Cuenta]],1))</f>
        <v>1</v>
      </c>
      <c r="BF857" t="b">
        <f>+ISNUMBER(SEARCH('PAGO Compras'!$E$11,Tabla11[[#This Row],[Cuenta]],1))</f>
        <v>1</v>
      </c>
      <c r="BG857" t="b">
        <f>+ISNUMBER(SEARCH(#REF!,Tabla11[[#This Row],[Cuenta]],1))</f>
        <v>0</v>
      </c>
      <c r="BH857" t="b">
        <f>+ISNUMBER(SEARCH(#REF!,Tabla11[[#This Row],[Cuenta]],1))</f>
        <v>0</v>
      </c>
      <c r="BI857" t="b">
        <f>+ISNUMBER(SEARCH(#REF!,Tabla11[[#This Row],[Cuenta]],1))</f>
        <v>0</v>
      </c>
      <c r="BJ857" t="b">
        <f>+ISNUMBER(SEARCH(#REF!,Tabla11[[#This Row],[Cuenta]],1))</f>
        <v>0</v>
      </c>
      <c r="BS857" t="str">
        <v>513515 Asistencia técnica</v>
      </c>
      <c r="BT857" t="str">
        <v>513515 Asistencia técnica</v>
      </c>
      <c r="BU857" t="str">
        <v>513515 Asistencia técnica</v>
      </c>
      <c r="BV857" t="str">
        <v>513515 Asistencia técnica</v>
      </c>
      <c r="BZ857" t="str">
        <v>513515 Asistencia técnica</v>
      </c>
      <c r="CA857" t="str">
        <v>513515 Asistencia técnica</v>
      </c>
      <c r="CB857" t="str">
        <v>513515 Asistencia técnica</v>
      </c>
      <c r="CC857" t="str">
        <v>513515 Asistencia técnica</v>
      </c>
      <c r="CD857" t="str">
        <v>513515 Asistencia técnica</v>
      </c>
      <c r="CE857" t="str">
        <v>513515 Asistencia técnica</v>
      </c>
      <c r="CS857" s="141" t="str">
        <v>513515 Asistencia técnica</v>
      </c>
      <c r="CT857" s="141" t="str">
        <v>513515 Asistencia técnica</v>
      </c>
      <c r="CU857" s="141" t="str">
        <v>513515 Asistencia técnica</v>
      </c>
      <c r="CV857" s="141" t="str">
        <v>513515 Asistencia técnica</v>
      </c>
      <c r="CW857" s="141" t="str">
        <v>513515 Asistencia técnica</v>
      </c>
      <c r="CX857" s="141" t="str">
        <v>513515 Asistencia técnica</v>
      </c>
      <c r="CY857" s="141" t="str">
        <v>513515 Asistencia técnica</v>
      </c>
      <c r="CZ857" s="141" t="str">
        <v>513515 Asistencia técnica</v>
      </c>
      <c r="DA857" s="141" t="str">
        <v>513515 Asistencia técnica</v>
      </c>
      <c r="DF857" t="str">
        <v>513515 Asistencia técnica</v>
      </c>
      <c r="DG857" t="str">
        <v>513515 Asistencia técnica</v>
      </c>
      <c r="DH857" t="str">
        <v>513515 Asistencia técnica</v>
      </c>
      <c r="DI857" t="str">
        <v>513515 Asistencia técnica</v>
      </c>
      <c r="DJ857" t="str">
        <v>513515 Asistencia técnica</v>
      </c>
      <c r="DK857" t="str">
        <v>513515 Asistencia técnica</v>
      </c>
      <c r="DL857" t="str">
        <v>513515 Asistencia técnica</v>
      </c>
      <c r="DM857" t="str">
        <v>513515 Asistencia técnica</v>
      </c>
      <c r="DN857" t="str">
        <v>513515 Asistencia técnica</v>
      </c>
      <c r="DO857" t="str">
        <v>513515 Asistencia técnica</v>
      </c>
      <c r="DP857" t="str">
        <v>513515 Asistencia técnica</v>
      </c>
    </row>
    <row r="858" spans="4:120" ht="12.75">
      <c r="D858" s="7">
        <v>513520</v>
      </c>
      <c r="E858" s="6" t="s">
        <v>588</v>
      </c>
      <c r="F858" s="5">
        <v>4</v>
      </c>
      <c r="G858" s="34" t="s">
        <v>830</v>
      </c>
      <c r="H858" s="8" t="s">
        <v>32</v>
      </c>
      <c r="I858" t="b">
        <f>+ISNUMBER(SEARCH('F-COMPRA'!$F$28,Tabla11[[#This Row],[Cuenta]],1))</f>
        <v>1</v>
      </c>
      <c r="J858" t="b">
        <f>+ISNUMBER(SEARCH('F-COMPRA'!$F$29,Tabla11[[#This Row],[Cuenta]],1))</f>
        <v>1</v>
      </c>
      <c r="K858" t="b">
        <f>+ISNUMBER(SEARCH('F-COMPRA'!$F$30,Tabla11[[#This Row],[Cuenta]],1))</f>
        <v>1</v>
      </c>
      <c r="L858" t="b">
        <f>+ISNUMBER(SEARCH('F-COMPRA'!$F$31,Tabla11[[#This Row],[Cuenta]],1))</f>
        <v>1</v>
      </c>
      <c r="M858" t="b">
        <f>+ISNUMBER(SEARCH('F-COMPRA'!$G$25,Tabla11[[#This Row],[Cuenta]],1))</f>
        <v>0</v>
      </c>
      <c r="N858" t="b">
        <f>+ISNUMBER(SEARCH(#REF!,Tabla11[[#This Row],[Cuenta]],1))</f>
        <v>0</v>
      </c>
      <c r="O858" t="b">
        <f>+ISNUMBER(SEARCH(#REF!,Tabla11[[#This Row],[Cuenta]],1))</f>
        <v>0</v>
      </c>
      <c r="P858" t="b">
        <f>+ISNUMBER(SEARCH('F-COMPRA'!$F$32,Tabla11[[#This Row],[Cuenta]],1))</f>
        <v>1</v>
      </c>
      <c r="Q858" t="b">
        <f>+ISNUMBER(SEARCH('F-COMPRA'!$F$33,Tabla11[[#This Row],[Cuenta]],1))</f>
        <v>1</v>
      </c>
      <c r="R858" t="b">
        <f>+ISNUMBER(SEARCH('F-COMPRA'!$F$34,Tabla11[[#This Row],[Cuenta]],1))</f>
        <v>1</v>
      </c>
      <c r="S858" t="b">
        <f>+ISNUMBER(SEARCH('F-COMPRA'!$F$35,Tabla11[[#This Row],[Cuenta]],1))</f>
        <v>1</v>
      </c>
      <c r="T858" t="b">
        <f>+ISNUMBER(SEARCH('F-COMPRA'!$F$36,Tabla11[[#This Row],[Cuenta]],1))</f>
        <v>1</v>
      </c>
      <c r="U858" t="b">
        <f>+ISNUMBER(SEARCH('F-COMPRA'!$F$37,Tabla11[[#This Row],[Cuenta]],1))</f>
        <v>1</v>
      </c>
      <c r="V858" t="b">
        <f>+ISNUMBER(SEARCH(#REF!,Tabla11[[#This Row],[Cuenta]],1))</f>
        <v>0</v>
      </c>
      <c r="W858" t="b">
        <f>+ISNUMBER(SEARCH('F-COMPRA'!#REF!,Tabla11[[#This Row],[Cuenta]],1))</f>
        <v>0</v>
      </c>
      <c r="X858" t="b">
        <f>+ISNUMBER(SEARCH('F-COMPRA'!#REF!,Tabla11[[#This Row],[Cuenta]],1))</f>
        <v>0</v>
      </c>
      <c r="Y858" t="b">
        <f>+ISNUMBER(SEARCH('F-COMPRA'!#REF!,Tabla11[[#This Row],[Cuenta]],1))</f>
        <v>0</v>
      </c>
      <c r="Z858" t="b">
        <f>+ISNUMBER(SEARCH('F-COMPRA'!#REF!,Tabla11[[#This Row],[Cuenta]],1))</f>
        <v>0</v>
      </c>
      <c r="AA858" t="b">
        <f>+ISNUMBER(SEARCH('F-COMPRA'!#REF!,Tabla11[[#This Row],[Cuenta]],1))</f>
        <v>0</v>
      </c>
      <c r="AB858" t="b">
        <f>+ISNUMBER(SEARCH('F-COMPRA'!#REF!,Tabla11[[#This Row],[Cuenta]],1))</f>
        <v>0</v>
      </c>
      <c r="AC858" t="b">
        <f>+ISNUMBER(SEARCH('F-COMPRA'!#REF!,Tabla11[[#This Row],[Cuenta]],1))</f>
        <v>0</v>
      </c>
      <c r="AD858" t="b">
        <f>+ISNUMBER(SEARCH('F-COMPRA'!#REF!,Tabla11[[#This Row],[Cuenta]],1))</f>
        <v>0</v>
      </c>
      <c r="AE858" t="b">
        <f>+ISNUMBER(SEARCH('F-COMPRA'!#REF!,Tabla11[[#This Row],[Cuenta]],1))</f>
        <v>0</v>
      </c>
      <c r="AF858" t="b">
        <f>+ISNUMBER(SEARCH('F-VTA'!$G$23,Tabla11[[#This Row],[Cuenta]],1))</f>
        <v>0</v>
      </c>
      <c r="AG858" t="b">
        <f>+ISNUMBER(SEARCH('F-VTA'!$G$24,Tabla11[[#This Row],[Cuenta]],1))</f>
        <v>0</v>
      </c>
      <c r="AH858" t="b">
        <f>+ISNUMBER(SEARCH('F-VTA'!$G$25,Tabla11[[#This Row],[Cuenta]],1))</f>
        <v>0</v>
      </c>
      <c r="AI858" t="b">
        <f>+ISNUMBER(SEARCH('F-VTA'!$F$28,Tabla11[[#This Row],[Cuenta]],1))</f>
        <v>1</v>
      </c>
      <c r="AJ858" t="b">
        <f>+ISNUMBER(SEARCH('F-VTA'!$F$29,Tabla11[[#This Row],[Cuenta]],1))</f>
        <v>1</v>
      </c>
      <c r="AK858" t="b">
        <f>+ISNUMBER(SEARCH('F-VTA'!$F$30,Tabla11[[#This Row],[Cuenta]],1))</f>
        <v>1</v>
      </c>
      <c r="AL858" t="b">
        <f>+ISNUMBER(SEARCH('F-VTA'!$F$31,Tabla11[[#This Row],[Cuenta]],1))</f>
        <v>1</v>
      </c>
      <c r="AM858" t="b">
        <f>+ISNUMBER(SEARCH('F-VTA'!$F$32,Tabla11[[#This Row],[Cuenta]],1))</f>
        <v>1</v>
      </c>
      <c r="AN858" t="b">
        <f>+ISNUMBER(SEARCH('F-VTA'!$F$33,Tabla11[[#This Row],[Cuenta]],1))</f>
        <v>1</v>
      </c>
      <c r="AO858" t="b">
        <f>+ISNUMBER(SEARCH('F-VTA'!$F$34,Tabla11[[#This Row],[Cuenta]],1))</f>
        <v>1</v>
      </c>
      <c r="AP858" t="b">
        <f>+ISNUMBER(SEARCH('F-VTA'!$F$35,Tabla11[[#This Row],[Cuenta]],1))</f>
        <v>1</v>
      </c>
      <c r="AQ858" t="b">
        <f>+ISNUMBER(SEARCH('F-VTA'!$F$36,Tabla11[[#This Row],[Cuenta]],1))</f>
        <v>1</v>
      </c>
      <c r="AR858" t="b">
        <f>+ISNUMBER(SEARCH(#REF!,Tabla11[[#This Row],[Cuenta]],1))</f>
        <v>0</v>
      </c>
      <c r="AS858" t="b">
        <f>+ISNUMBER(SEARCH(#REF!,Tabla11[[#This Row],[Cuenta]],1))</f>
        <v>0</v>
      </c>
      <c r="AT858" t="b">
        <f>+ISNUMBER(SEARCH(#REF!,Tabla11[[#This Row],[Cuenta]],1))</f>
        <v>0</v>
      </c>
      <c r="AU858" t="b">
        <f>+ISNUMBER(SEARCH('Conc. Ban.1'!$I$9,Tabla11[[#This Row],[Cuenta]],1))</f>
        <v>0</v>
      </c>
      <c r="AV858" t="b">
        <f>+ISNUMBER(SEARCH(CompConta!$F$21,Tabla11[[#This Row],[Cuenta]],1))</f>
        <v>1</v>
      </c>
      <c r="AW858" t="b">
        <f>+ISNUMBER(SEARCH(CompConta!$F$22,Tabla11[[#This Row],[Cuenta]],1))</f>
        <v>1</v>
      </c>
      <c r="AX858" t="b">
        <f>+ISNUMBER(SEARCH(CompConta!$F$23,Tabla11[[#This Row],[Cuenta]],1))</f>
        <v>1</v>
      </c>
      <c r="AY858" t="b">
        <f>+ISNUMBER(SEARCH(CompConta!$F$24,Tabla11[[#This Row],[Cuenta]],1))</f>
        <v>1</v>
      </c>
      <c r="AZ858" t="b">
        <f>+ISNUMBER(SEARCH(CompConta!$F$25,Tabla11[[#This Row],[Cuenta]],1))</f>
        <v>1</v>
      </c>
      <c r="BA858" t="b">
        <f>+ISNUMBER(SEARCH(CompConta!$F$26,Tabla11[[#This Row],[Cuenta]],1))</f>
        <v>1</v>
      </c>
      <c r="BB858" t="b">
        <f>+ISNUMBER(SEARCH(CompConta!$F$27,Tabla11[[#This Row],[Cuenta]],1))</f>
        <v>1</v>
      </c>
      <c r="BC858" t="b">
        <f>+ISNUMBER(SEARCH(CompConta!$F$28,Tabla11[[#This Row],[Cuenta]],1))</f>
        <v>1</v>
      </c>
      <c r="BD858" t="b">
        <f>+ISNUMBER(SEARCH(CompConta!$F$29,Tabla11[[#This Row],[Cuenta]],1))</f>
        <v>1</v>
      </c>
      <c r="BE858" t="b">
        <f>+ISNUMBER(SEARCH(CompConta!$F$30,Tabla11[[#This Row],[Cuenta]],1))</f>
        <v>1</v>
      </c>
      <c r="BF858" t="b">
        <f>+ISNUMBER(SEARCH('PAGO Compras'!$E$11,Tabla11[[#This Row],[Cuenta]],1))</f>
        <v>1</v>
      </c>
      <c r="BG858" t="b">
        <f>+ISNUMBER(SEARCH(#REF!,Tabla11[[#This Row],[Cuenta]],1))</f>
        <v>0</v>
      </c>
      <c r="BH858" t="b">
        <f>+ISNUMBER(SEARCH(#REF!,Tabla11[[#This Row],[Cuenta]],1))</f>
        <v>0</v>
      </c>
      <c r="BI858" t="b">
        <f>+ISNUMBER(SEARCH(#REF!,Tabla11[[#This Row],[Cuenta]],1))</f>
        <v>0</v>
      </c>
      <c r="BJ858" t="b">
        <f>+ISNUMBER(SEARCH(#REF!,Tabla11[[#This Row],[Cuenta]],1))</f>
        <v>0</v>
      </c>
      <c r="BS858" t="str">
        <v>513520 Procesamiento electrónico de datos</v>
      </c>
      <c r="BT858" t="str">
        <v>513520 Procesamiento electrónico de datos</v>
      </c>
      <c r="BU858" t="str">
        <v>513520 Procesamiento electrónico de datos</v>
      </c>
      <c r="BV858" t="str">
        <v>513520 Procesamiento electrónico de datos</v>
      </c>
      <c r="BZ858" t="str">
        <v>513520 Procesamiento electrónico de datos</v>
      </c>
      <c r="CA858" t="str">
        <v>513520 Procesamiento electrónico de datos</v>
      </c>
      <c r="CB858" t="str">
        <v>513520 Procesamiento electrónico de datos</v>
      </c>
      <c r="CC858" t="str">
        <v>513520 Procesamiento electrónico de datos</v>
      </c>
      <c r="CD858" t="str">
        <v>513520 Procesamiento electrónico de datos</v>
      </c>
      <c r="CE858" t="str">
        <v>513520 Procesamiento electrónico de datos</v>
      </c>
      <c r="CS858" s="141" t="str">
        <v>513520 Procesamiento electrónico de datos</v>
      </c>
      <c r="CT858" s="141" t="str">
        <v>513520 Procesamiento electrónico de datos</v>
      </c>
      <c r="CU858" s="141" t="str">
        <v>513520 Procesamiento electrónico de datos</v>
      </c>
      <c r="CV858" s="141" t="str">
        <v>513520 Procesamiento electrónico de datos</v>
      </c>
      <c r="CW858" s="141" t="str">
        <v>513520 Procesamiento electrónico de datos</v>
      </c>
      <c r="CX858" s="141" t="str">
        <v>513520 Procesamiento electrónico de datos</v>
      </c>
      <c r="CY858" s="141" t="str">
        <v>513520 Procesamiento electrónico de datos</v>
      </c>
      <c r="CZ858" s="141" t="str">
        <v>513520 Procesamiento electrónico de datos</v>
      </c>
      <c r="DA858" s="141" t="str">
        <v>513520 Procesamiento electrónico de datos</v>
      </c>
      <c r="DF858" t="str">
        <v>513520 Procesamiento electrónico de datos</v>
      </c>
      <c r="DG858" t="str">
        <v>513520 Procesamiento electrónico de datos</v>
      </c>
      <c r="DH858" t="str">
        <v>513520 Procesamiento electrónico de datos</v>
      </c>
      <c r="DI858" t="str">
        <v>513520 Procesamiento electrónico de datos</v>
      </c>
      <c r="DJ858" t="str">
        <v>513520 Procesamiento electrónico de datos</v>
      </c>
      <c r="DK858" t="str">
        <v>513520 Procesamiento electrónico de datos</v>
      </c>
      <c r="DL858" t="str">
        <v>513520 Procesamiento electrónico de datos</v>
      </c>
      <c r="DM858" t="str">
        <v>513520 Procesamiento electrónico de datos</v>
      </c>
      <c r="DN858" t="str">
        <v>513520 Procesamiento electrónico de datos</v>
      </c>
      <c r="DO858" t="str">
        <v>513520 Procesamiento electrónico de datos</v>
      </c>
      <c r="DP858" t="str">
        <v>513520 Procesamiento electrónico de datos</v>
      </c>
    </row>
    <row r="859" spans="4:120" ht="12.75">
      <c r="D859" s="7">
        <v>51352005</v>
      </c>
      <c r="E859" s="6" t="s">
        <v>804</v>
      </c>
      <c r="F859" s="5">
        <v>5</v>
      </c>
      <c r="G859" s="34" t="s">
        <v>830</v>
      </c>
      <c r="H859" s="8" t="s">
        <v>764</v>
      </c>
      <c r="I859" t="b">
        <f>+ISNUMBER(SEARCH('F-COMPRA'!$F$28,Tabla11[[#This Row],[Cuenta]],1))</f>
        <v>1</v>
      </c>
      <c r="J859" t="b">
        <f>+ISNUMBER(SEARCH('F-COMPRA'!$F$29,Tabla11[[#This Row],[Cuenta]],1))</f>
        <v>1</v>
      </c>
      <c r="K859" t="b">
        <f>+ISNUMBER(SEARCH('F-COMPRA'!$F$30,Tabla11[[#This Row],[Cuenta]],1))</f>
        <v>1</v>
      </c>
      <c r="L859" t="b">
        <f>+ISNUMBER(SEARCH('F-COMPRA'!$F$31,Tabla11[[#This Row],[Cuenta]],1))</f>
        <v>1</v>
      </c>
      <c r="M859" t="b">
        <f>+ISNUMBER(SEARCH('F-COMPRA'!$G$25,Tabla11[[#This Row],[Cuenta]],1))</f>
        <v>0</v>
      </c>
      <c r="N859" t="b">
        <f>+ISNUMBER(SEARCH(#REF!,Tabla11[[#This Row],[Cuenta]],1))</f>
        <v>0</v>
      </c>
      <c r="O859" t="b">
        <f>+ISNUMBER(SEARCH(#REF!,Tabla11[[#This Row],[Cuenta]],1))</f>
        <v>0</v>
      </c>
      <c r="P859" t="b">
        <f>+ISNUMBER(SEARCH('F-COMPRA'!$F$32,Tabla11[[#This Row],[Cuenta]],1))</f>
        <v>1</v>
      </c>
      <c r="Q859" t="b">
        <f>+ISNUMBER(SEARCH('F-COMPRA'!$F$33,Tabla11[[#This Row],[Cuenta]],1))</f>
        <v>1</v>
      </c>
      <c r="R859" t="b">
        <f>+ISNUMBER(SEARCH('F-COMPRA'!$F$34,Tabla11[[#This Row],[Cuenta]],1))</f>
        <v>1</v>
      </c>
      <c r="S859" t="b">
        <f>+ISNUMBER(SEARCH('F-COMPRA'!$F$35,Tabla11[[#This Row],[Cuenta]],1))</f>
        <v>1</v>
      </c>
      <c r="T859" t="b">
        <f>+ISNUMBER(SEARCH('F-COMPRA'!$F$36,Tabla11[[#This Row],[Cuenta]],1))</f>
        <v>1</v>
      </c>
      <c r="U859" t="b">
        <f>+ISNUMBER(SEARCH('F-COMPRA'!$F$37,Tabla11[[#This Row],[Cuenta]],1))</f>
        <v>1</v>
      </c>
      <c r="V859" t="b">
        <f>+ISNUMBER(SEARCH(#REF!,Tabla11[[#This Row],[Cuenta]],1))</f>
        <v>0</v>
      </c>
      <c r="W859" t="b">
        <f>+ISNUMBER(SEARCH('F-COMPRA'!#REF!,Tabla11[[#This Row],[Cuenta]],1))</f>
        <v>0</v>
      </c>
      <c r="X859" t="b">
        <f>+ISNUMBER(SEARCH('F-COMPRA'!#REF!,Tabla11[[#This Row],[Cuenta]],1))</f>
        <v>0</v>
      </c>
      <c r="Y859" t="b">
        <f>+ISNUMBER(SEARCH('F-COMPRA'!#REF!,Tabla11[[#This Row],[Cuenta]],1))</f>
        <v>0</v>
      </c>
      <c r="Z859" t="b">
        <f>+ISNUMBER(SEARCH('F-COMPRA'!#REF!,Tabla11[[#This Row],[Cuenta]],1))</f>
        <v>0</v>
      </c>
      <c r="AA859" t="b">
        <f>+ISNUMBER(SEARCH('F-COMPRA'!#REF!,Tabla11[[#This Row],[Cuenta]],1))</f>
        <v>0</v>
      </c>
      <c r="AB859" t="b">
        <f>+ISNUMBER(SEARCH('F-COMPRA'!#REF!,Tabla11[[#This Row],[Cuenta]],1))</f>
        <v>0</v>
      </c>
      <c r="AC859" t="b">
        <f>+ISNUMBER(SEARCH('F-COMPRA'!#REF!,Tabla11[[#This Row],[Cuenta]],1))</f>
        <v>0</v>
      </c>
      <c r="AD859" t="b">
        <f>+ISNUMBER(SEARCH('F-COMPRA'!#REF!,Tabla11[[#This Row],[Cuenta]],1))</f>
        <v>0</v>
      </c>
      <c r="AE859" t="b">
        <f>+ISNUMBER(SEARCH('F-COMPRA'!#REF!,Tabla11[[#This Row],[Cuenta]],1))</f>
        <v>0</v>
      </c>
      <c r="AF859" t="b">
        <f>+ISNUMBER(SEARCH('F-VTA'!$G$23,Tabla11[[#This Row],[Cuenta]],1))</f>
        <v>0</v>
      </c>
      <c r="AG859" t="b">
        <f>+ISNUMBER(SEARCH('F-VTA'!$G$24,Tabla11[[#This Row],[Cuenta]],1))</f>
        <v>0</v>
      </c>
      <c r="AH859" t="b">
        <f>+ISNUMBER(SEARCH('F-VTA'!$G$25,Tabla11[[#This Row],[Cuenta]],1))</f>
        <v>0</v>
      </c>
      <c r="AI859" t="b">
        <f>+ISNUMBER(SEARCH('F-VTA'!$F$28,Tabla11[[#This Row],[Cuenta]],1))</f>
        <v>1</v>
      </c>
      <c r="AJ859" t="b">
        <f>+ISNUMBER(SEARCH('F-VTA'!$F$29,Tabla11[[#This Row],[Cuenta]],1))</f>
        <v>1</v>
      </c>
      <c r="AK859" t="b">
        <f>+ISNUMBER(SEARCH('F-VTA'!$F$30,Tabla11[[#This Row],[Cuenta]],1))</f>
        <v>1</v>
      </c>
      <c r="AL859" t="b">
        <f>+ISNUMBER(SEARCH('F-VTA'!$F$31,Tabla11[[#This Row],[Cuenta]],1))</f>
        <v>1</v>
      </c>
      <c r="AM859" t="b">
        <f>+ISNUMBER(SEARCH('F-VTA'!$F$32,Tabla11[[#This Row],[Cuenta]],1))</f>
        <v>1</v>
      </c>
      <c r="AN859" t="b">
        <f>+ISNUMBER(SEARCH('F-VTA'!$F$33,Tabla11[[#This Row],[Cuenta]],1))</f>
        <v>1</v>
      </c>
      <c r="AO859" t="b">
        <f>+ISNUMBER(SEARCH('F-VTA'!$F$34,Tabla11[[#This Row],[Cuenta]],1))</f>
        <v>1</v>
      </c>
      <c r="AP859" t="b">
        <f>+ISNUMBER(SEARCH('F-VTA'!$F$35,Tabla11[[#This Row],[Cuenta]],1))</f>
        <v>1</v>
      </c>
      <c r="AQ859" t="b">
        <f>+ISNUMBER(SEARCH('F-VTA'!$F$36,Tabla11[[#This Row],[Cuenta]],1))</f>
        <v>1</v>
      </c>
      <c r="AR859" t="b">
        <f>+ISNUMBER(SEARCH(#REF!,Tabla11[[#This Row],[Cuenta]],1))</f>
        <v>0</v>
      </c>
      <c r="AS859" t="b">
        <f>+ISNUMBER(SEARCH(#REF!,Tabla11[[#This Row],[Cuenta]],1))</f>
        <v>0</v>
      </c>
      <c r="AT859" t="b">
        <f>+ISNUMBER(SEARCH(#REF!,Tabla11[[#This Row],[Cuenta]],1))</f>
        <v>0</v>
      </c>
      <c r="AU859" t="b">
        <f>+ISNUMBER(SEARCH('Conc. Ban.1'!$I$9,Tabla11[[#This Row],[Cuenta]],1))</f>
        <v>0</v>
      </c>
      <c r="AV859" t="b">
        <f>+ISNUMBER(SEARCH(CompConta!$F$21,Tabla11[[#This Row],[Cuenta]],1))</f>
        <v>1</v>
      </c>
      <c r="AW859" t="b">
        <f>+ISNUMBER(SEARCH(CompConta!$F$22,Tabla11[[#This Row],[Cuenta]],1))</f>
        <v>1</v>
      </c>
      <c r="AX859" t="b">
        <f>+ISNUMBER(SEARCH(CompConta!$F$23,Tabla11[[#This Row],[Cuenta]],1))</f>
        <v>1</v>
      </c>
      <c r="AY859" t="b">
        <f>+ISNUMBER(SEARCH(CompConta!$F$24,Tabla11[[#This Row],[Cuenta]],1))</f>
        <v>1</v>
      </c>
      <c r="AZ859" t="b">
        <f>+ISNUMBER(SEARCH(CompConta!$F$25,Tabla11[[#This Row],[Cuenta]],1))</f>
        <v>1</v>
      </c>
      <c r="BA859" t="b">
        <f>+ISNUMBER(SEARCH(CompConta!$F$26,Tabla11[[#This Row],[Cuenta]],1))</f>
        <v>1</v>
      </c>
      <c r="BB859" t="b">
        <f>+ISNUMBER(SEARCH(CompConta!$F$27,Tabla11[[#This Row],[Cuenta]],1))</f>
        <v>1</v>
      </c>
      <c r="BC859" t="b">
        <f>+ISNUMBER(SEARCH(CompConta!$F$28,Tabla11[[#This Row],[Cuenta]],1))</f>
        <v>1</v>
      </c>
      <c r="BD859" t="b">
        <f>+ISNUMBER(SEARCH(CompConta!$F$29,Tabla11[[#This Row],[Cuenta]],1))</f>
        <v>1</v>
      </c>
      <c r="BE859" t="b">
        <f>+ISNUMBER(SEARCH(CompConta!$F$30,Tabla11[[#This Row],[Cuenta]],1))</f>
        <v>1</v>
      </c>
      <c r="BF859" t="b">
        <f>+ISNUMBER(SEARCH('PAGO Compras'!$E$11,Tabla11[[#This Row],[Cuenta]],1))</f>
        <v>1</v>
      </c>
      <c r="BG859" t="b">
        <f>+ISNUMBER(SEARCH(#REF!,Tabla11[[#This Row],[Cuenta]],1))</f>
        <v>0</v>
      </c>
      <c r="BH859" t="b">
        <f>+ISNUMBER(SEARCH(#REF!,Tabla11[[#This Row],[Cuenta]],1))</f>
        <v>0</v>
      </c>
      <c r="BI859" t="b">
        <f>+ISNUMBER(SEARCH(#REF!,Tabla11[[#This Row],[Cuenta]],1))</f>
        <v>0</v>
      </c>
      <c r="BJ859" t="b">
        <f>+ISNUMBER(SEARCH(#REF!,Tabla11[[#This Row],[Cuenta]],1))</f>
        <v>0</v>
      </c>
      <c r="BS859" t="str">
        <v>51352005 ASESORIAS CONTABLES Y FINANCIERAS</v>
      </c>
      <c r="BT859" t="str">
        <v>51352005 ASESORIAS CONTABLES Y FINANCIERAS</v>
      </c>
      <c r="BU859" t="str">
        <v>51352005 ASESORIAS CONTABLES Y FINANCIERAS</v>
      </c>
      <c r="BV859" t="str">
        <v>51352005 ASESORIAS CONTABLES Y FINANCIERAS</v>
      </c>
      <c r="BZ859" t="str">
        <v>51352005 ASESORIAS CONTABLES Y FINANCIERAS</v>
      </c>
      <c r="CA859" t="str">
        <v>51352005 ASESORIAS CONTABLES Y FINANCIERAS</v>
      </c>
      <c r="CB859" t="str">
        <v>51352005 ASESORIAS CONTABLES Y FINANCIERAS</v>
      </c>
      <c r="CC859" t="str">
        <v>51352005 ASESORIAS CONTABLES Y FINANCIERAS</v>
      </c>
      <c r="CD859" t="str">
        <v>51352005 ASESORIAS CONTABLES Y FINANCIERAS</v>
      </c>
      <c r="CE859" t="str">
        <v>51352005 ASESORIAS CONTABLES Y FINANCIERAS</v>
      </c>
      <c r="CS859" s="141" t="str">
        <v>51352005 ASESORIAS CONTABLES Y FINANCIERAS</v>
      </c>
      <c r="CT859" s="141" t="str">
        <v>51352005 ASESORIAS CONTABLES Y FINANCIERAS</v>
      </c>
      <c r="CU859" s="141" t="str">
        <v>51352005 ASESORIAS CONTABLES Y FINANCIERAS</v>
      </c>
      <c r="CV859" s="141" t="str">
        <v>51352005 ASESORIAS CONTABLES Y FINANCIERAS</v>
      </c>
      <c r="CW859" s="141" t="str">
        <v>51352005 ASESORIAS CONTABLES Y FINANCIERAS</v>
      </c>
      <c r="CX859" s="141" t="str">
        <v>51352005 ASESORIAS CONTABLES Y FINANCIERAS</v>
      </c>
      <c r="CY859" s="141" t="str">
        <v>51352005 ASESORIAS CONTABLES Y FINANCIERAS</v>
      </c>
      <c r="CZ859" s="141" t="str">
        <v>51352005 ASESORIAS CONTABLES Y FINANCIERAS</v>
      </c>
      <c r="DA859" s="141" t="str">
        <v>51352005 ASESORIAS CONTABLES Y FINANCIERAS</v>
      </c>
      <c r="DF859" t="str">
        <v>51352005 ASESORIAS CONTABLES Y FINANCIERAS</v>
      </c>
      <c r="DG859" t="str">
        <v>51352005 ASESORIAS CONTABLES Y FINANCIERAS</v>
      </c>
      <c r="DH859" t="str">
        <v>51352005 ASESORIAS CONTABLES Y FINANCIERAS</v>
      </c>
      <c r="DI859" t="str">
        <v>51352005 ASESORIAS CONTABLES Y FINANCIERAS</v>
      </c>
      <c r="DJ859" t="str">
        <v>51352005 ASESORIAS CONTABLES Y FINANCIERAS</v>
      </c>
      <c r="DK859" t="str">
        <v>51352005 ASESORIAS CONTABLES Y FINANCIERAS</v>
      </c>
      <c r="DL859" t="str">
        <v>51352005 ASESORIAS CONTABLES Y FINANCIERAS</v>
      </c>
      <c r="DM859" t="str">
        <v>51352005 ASESORIAS CONTABLES Y FINANCIERAS</v>
      </c>
      <c r="DN859" t="str">
        <v>51352005 ASESORIAS CONTABLES Y FINANCIERAS</v>
      </c>
      <c r="DO859" t="str">
        <v>51352005 ASESORIAS CONTABLES Y FINANCIERAS</v>
      </c>
      <c r="DP859" t="str">
        <v>51352005 ASESORIAS CONTABLES Y FINANCIERAS</v>
      </c>
    </row>
    <row r="860" spans="4:120" ht="12.75">
      <c r="D860" s="7">
        <v>513525</v>
      </c>
      <c r="E860" s="6" t="s">
        <v>413</v>
      </c>
      <c r="F860" s="5">
        <v>4</v>
      </c>
      <c r="G860" s="34" t="s">
        <v>830</v>
      </c>
      <c r="H860" s="8" t="s">
        <v>32</v>
      </c>
      <c r="I860" t="b">
        <f>+ISNUMBER(SEARCH('F-COMPRA'!$F$28,Tabla11[[#This Row],[Cuenta]],1))</f>
        <v>1</v>
      </c>
      <c r="J860" t="b">
        <f>+ISNUMBER(SEARCH('F-COMPRA'!$F$29,Tabla11[[#This Row],[Cuenta]],1))</f>
        <v>1</v>
      </c>
      <c r="K860" t="b">
        <f>+ISNUMBER(SEARCH('F-COMPRA'!$F$30,Tabla11[[#This Row],[Cuenta]],1))</f>
        <v>1</v>
      </c>
      <c r="L860" t="b">
        <f>+ISNUMBER(SEARCH('F-COMPRA'!$F$31,Tabla11[[#This Row],[Cuenta]],1))</f>
        <v>1</v>
      </c>
      <c r="M860" t="b">
        <f>+ISNUMBER(SEARCH('F-COMPRA'!$G$25,Tabla11[[#This Row],[Cuenta]],1))</f>
        <v>0</v>
      </c>
      <c r="N860" t="b">
        <f>+ISNUMBER(SEARCH(#REF!,Tabla11[[#This Row],[Cuenta]],1))</f>
        <v>0</v>
      </c>
      <c r="O860" t="b">
        <f>+ISNUMBER(SEARCH(#REF!,Tabla11[[#This Row],[Cuenta]],1))</f>
        <v>0</v>
      </c>
      <c r="P860" t="b">
        <f>+ISNUMBER(SEARCH('F-COMPRA'!$F$32,Tabla11[[#This Row],[Cuenta]],1))</f>
        <v>1</v>
      </c>
      <c r="Q860" t="b">
        <f>+ISNUMBER(SEARCH('F-COMPRA'!$F$33,Tabla11[[#This Row],[Cuenta]],1))</f>
        <v>1</v>
      </c>
      <c r="R860" t="b">
        <f>+ISNUMBER(SEARCH('F-COMPRA'!$F$34,Tabla11[[#This Row],[Cuenta]],1))</f>
        <v>1</v>
      </c>
      <c r="S860" t="b">
        <f>+ISNUMBER(SEARCH('F-COMPRA'!$F$35,Tabla11[[#This Row],[Cuenta]],1))</f>
        <v>1</v>
      </c>
      <c r="T860" t="b">
        <f>+ISNUMBER(SEARCH('F-COMPRA'!$F$36,Tabla11[[#This Row],[Cuenta]],1))</f>
        <v>1</v>
      </c>
      <c r="U860" t="b">
        <f>+ISNUMBER(SEARCH('F-COMPRA'!$F$37,Tabla11[[#This Row],[Cuenta]],1))</f>
        <v>1</v>
      </c>
      <c r="V860" t="b">
        <f>+ISNUMBER(SEARCH(#REF!,Tabla11[[#This Row],[Cuenta]],1))</f>
        <v>0</v>
      </c>
      <c r="W860" t="b">
        <f>+ISNUMBER(SEARCH('F-COMPRA'!#REF!,Tabla11[[#This Row],[Cuenta]],1))</f>
        <v>0</v>
      </c>
      <c r="X860" t="b">
        <f>+ISNUMBER(SEARCH('F-COMPRA'!#REF!,Tabla11[[#This Row],[Cuenta]],1))</f>
        <v>0</v>
      </c>
      <c r="Y860" t="b">
        <f>+ISNUMBER(SEARCH('F-COMPRA'!#REF!,Tabla11[[#This Row],[Cuenta]],1))</f>
        <v>0</v>
      </c>
      <c r="Z860" t="b">
        <f>+ISNUMBER(SEARCH('F-COMPRA'!#REF!,Tabla11[[#This Row],[Cuenta]],1))</f>
        <v>0</v>
      </c>
      <c r="AA860" t="b">
        <f>+ISNUMBER(SEARCH('F-COMPRA'!#REF!,Tabla11[[#This Row],[Cuenta]],1))</f>
        <v>0</v>
      </c>
      <c r="AB860" t="b">
        <f>+ISNUMBER(SEARCH('F-COMPRA'!#REF!,Tabla11[[#This Row],[Cuenta]],1))</f>
        <v>0</v>
      </c>
      <c r="AC860" t="b">
        <f>+ISNUMBER(SEARCH('F-COMPRA'!#REF!,Tabla11[[#This Row],[Cuenta]],1))</f>
        <v>0</v>
      </c>
      <c r="AD860" t="b">
        <f>+ISNUMBER(SEARCH('F-COMPRA'!#REF!,Tabla11[[#This Row],[Cuenta]],1))</f>
        <v>0</v>
      </c>
      <c r="AE860" t="b">
        <f>+ISNUMBER(SEARCH('F-COMPRA'!#REF!,Tabla11[[#This Row],[Cuenta]],1))</f>
        <v>0</v>
      </c>
      <c r="AF860" t="b">
        <f>+ISNUMBER(SEARCH('F-VTA'!$G$23,Tabla11[[#This Row],[Cuenta]],1))</f>
        <v>0</v>
      </c>
      <c r="AG860" t="b">
        <f>+ISNUMBER(SEARCH('F-VTA'!$G$24,Tabla11[[#This Row],[Cuenta]],1))</f>
        <v>0</v>
      </c>
      <c r="AH860" t="b">
        <f>+ISNUMBER(SEARCH('F-VTA'!$G$25,Tabla11[[#This Row],[Cuenta]],1))</f>
        <v>0</v>
      </c>
      <c r="AI860" t="b">
        <f>+ISNUMBER(SEARCH('F-VTA'!$F$28,Tabla11[[#This Row],[Cuenta]],1))</f>
        <v>1</v>
      </c>
      <c r="AJ860" t="b">
        <f>+ISNUMBER(SEARCH('F-VTA'!$F$29,Tabla11[[#This Row],[Cuenta]],1))</f>
        <v>1</v>
      </c>
      <c r="AK860" t="b">
        <f>+ISNUMBER(SEARCH('F-VTA'!$F$30,Tabla11[[#This Row],[Cuenta]],1))</f>
        <v>1</v>
      </c>
      <c r="AL860" t="b">
        <f>+ISNUMBER(SEARCH('F-VTA'!$F$31,Tabla11[[#This Row],[Cuenta]],1))</f>
        <v>1</v>
      </c>
      <c r="AM860" t="b">
        <f>+ISNUMBER(SEARCH('F-VTA'!$F$32,Tabla11[[#This Row],[Cuenta]],1))</f>
        <v>1</v>
      </c>
      <c r="AN860" t="b">
        <f>+ISNUMBER(SEARCH('F-VTA'!$F$33,Tabla11[[#This Row],[Cuenta]],1))</f>
        <v>1</v>
      </c>
      <c r="AO860" t="b">
        <f>+ISNUMBER(SEARCH('F-VTA'!$F$34,Tabla11[[#This Row],[Cuenta]],1))</f>
        <v>1</v>
      </c>
      <c r="AP860" t="b">
        <f>+ISNUMBER(SEARCH('F-VTA'!$F$35,Tabla11[[#This Row],[Cuenta]],1))</f>
        <v>1</v>
      </c>
      <c r="AQ860" t="b">
        <f>+ISNUMBER(SEARCH('F-VTA'!$F$36,Tabla11[[#This Row],[Cuenta]],1))</f>
        <v>1</v>
      </c>
      <c r="AR860" t="b">
        <f>+ISNUMBER(SEARCH(#REF!,Tabla11[[#This Row],[Cuenta]],1))</f>
        <v>0</v>
      </c>
      <c r="AS860" t="b">
        <f>+ISNUMBER(SEARCH(#REF!,Tabla11[[#This Row],[Cuenta]],1))</f>
        <v>0</v>
      </c>
      <c r="AT860" t="b">
        <f>+ISNUMBER(SEARCH(#REF!,Tabla11[[#This Row],[Cuenta]],1))</f>
        <v>0</v>
      </c>
      <c r="AU860" t="b">
        <f>+ISNUMBER(SEARCH('Conc. Ban.1'!$I$9,Tabla11[[#This Row],[Cuenta]],1))</f>
        <v>0</v>
      </c>
      <c r="AV860" t="b">
        <f>+ISNUMBER(SEARCH(CompConta!$F$21,Tabla11[[#This Row],[Cuenta]],1))</f>
        <v>1</v>
      </c>
      <c r="AW860" t="b">
        <f>+ISNUMBER(SEARCH(CompConta!$F$22,Tabla11[[#This Row],[Cuenta]],1))</f>
        <v>1</v>
      </c>
      <c r="AX860" t="b">
        <f>+ISNUMBER(SEARCH(CompConta!$F$23,Tabla11[[#This Row],[Cuenta]],1))</f>
        <v>1</v>
      </c>
      <c r="AY860" t="b">
        <f>+ISNUMBER(SEARCH(CompConta!$F$24,Tabla11[[#This Row],[Cuenta]],1))</f>
        <v>1</v>
      </c>
      <c r="AZ860" t="b">
        <f>+ISNUMBER(SEARCH(CompConta!$F$25,Tabla11[[#This Row],[Cuenta]],1))</f>
        <v>1</v>
      </c>
      <c r="BA860" t="b">
        <f>+ISNUMBER(SEARCH(CompConta!$F$26,Tabla11[[#This Row],[Cuenta]],1))</f>
        <v>1</v>
      </c>
      <c r="BB860" t="b">
        <f>+ISNUMBER(SEARCH(CompConta!$F$27,Tabla11[[#This Row],[Cuenta]],1))</f>
        <v>1</v>
      </c>
      <c r="BC860" t="b">
        <f>+ISNUMBER(SEARCH(CompConta!$F$28,Tabla11[[#This Row],[Cuenta]],1))</f>
        <v>1</v>
      </c>
      <c r="BD860" t="b">
        <f>+ISNUMBER(SEARCH(CompConta!$F$29,Tabla11[[#This Row],[Cuenta]],1))</f>
        <v>1</v>
      </c>
      <c r="BE860" t="b">
        <f>+ISNUMBER(SEARCH(CompConta!$F$30,Tabla11[[#This Row],[Cuenta]],1))</f>
        <v>1</v>
      </c>
      <c r="BF860" t="b">
        <f>+ISNUMBER(SEARCH('PAGO Compras'!$E$11,Tabla11[[#This Row],[Cuenta]],1))</f>
        <v>1</v>
      </c>
      <c r="BG860" t="b">
        <f>+ISNUMBER(SEARCH(#REF!,Tabla11[[#This Row],[Cuenta]],1))</f>
        <v>0</v>
      </c>
      <c r="BH860" t="b">
        <f>+ISNUMBER(SEARCH(#REF!,Tabla11[[#This Row],[Cuenta]],1))</f>
        <v>0</v>
      </c>
      <c r="BI860" t="b">
        <f>+ISNUMBER(SEARCH(#REF!,Tabla11[[#This Row],[Cuenta]],1))</f>
        <v>0</v>
      </c>
      <c r="BJ860" t="b">
        <f>+ISNUMBER(SEARCH(#REF!,Tabla11[[#This Row],[Cuenta]],1))</f>
        <v>0</v>
      </c>
      <c r="BS860" t="str">
        <v>513525 Acueducto y alcantarillado</v>
      </c>
      <c r="BT860" t="str">
        <v>513525 Acueducto y alcantarillado</v>
      </c>
      <c r="BU860" t="str">
        <v>513525 Acueducto y alcantarillado</v>
      </c>
      <c r="BV860" t="str">
        <v>513525 Acueducto y alcantarillado</v>
      </c>
      <c r="BZ860" t="str">
        <v>513525 Acueducto y alcantarillado</v>
      </c>
      <c r="CA860" t="str">
        <v>513525 Acueducto y alcantarillado</v>
      </c>
      <c r="CB860" t="str">
        <v>513525 Acueducto y alcantarillado</v>
      </c>
      <c r="CC860" t="str">
        <v>513525 Acueducto y alcantarillado</v>
      </c>
      <c r="CD860" t="str">
        <v>513525 Acueducto y alcantarillado</v>
      </c>
      <c r="CE860" t="str">
        <v>513525 Acueducto y alcantarillado</v>
      </c>
      <c r="CS860" s="141" t="str">
        <v>513525 Acueducto y alcantarillado</v>
      </c>
      <c r="CT860" s="141" t="str">
        <v>513525 Acueducto y alcantarillado</v>
      </c>
      <c r="CU860" s="141" t="str">
        <v>513525 Acueducto y alcantarillado</v>
      </c>
      <c r="CV860" s="141" t="str">
        <v>513525 Acueducto y alcantarillado</v>
      </c>
      <c r="CW860" s="141" t="str">
        <v>513525 Acueducto y alcantarillado</v>
      </c>
      <c r="CX860" s="141" t="str">
        <v>513525 Acueducto y alcantarillado</v>
      </c>
      <c r="CY860" s="141" t="str">
        <v>513525 Acueducto y alcantarillado</v>
      </c>
      <c r="CZ860" s="141" t="str">
        <v>513525 Acueducto y alcantarillado</v>
      </c>
      <c r="DA860" s="141" t="str">
        <v>513525 Acueducto y alcantarillado</v>
      </c>
      <c r="DF860" t="str">
        <v>513525 Acueducto y alcantarillado</v>
      </c>
      <c r="DG860" t="str">
        <v>513525 Acueducto y alcantarillado</v>
      </c>
      <c r="DH860" t="str">
        <v>513525 Acueducto y alcantarillado</v>
      </c>
      <c r="DI860" t="str">
        <v>513525 Acueducto y alcantarillado</v>
      </c>
      <c r="DJ860" t="str">
        <v>513525 Acueducto y alcantarillado</v>
      </c>
      <c r="DK860" t="str">
        <v>513525 Acueducto y alcantarillado</v>
      </c>
      <c r="DL860" t="str">
        <v>513525 Acueducto y alcantarillado</v>
      </c>
      <c r="DM860" t="str">
        <v>513525 Acueducto y alcantarillado</v>
      </c>
      <c r="DN860" t="str">
        <v>513525 Acueducto y alcantarillado</v>
      </c>
      <c r="DO860" t="str">
        <v>513525 Acueducto y alcantarillado</v>
      </c>
      <c r="DP860" t="str">
        <v>513525 Acueducto y alcantarillado</v>
      </c>
    </row>
    <row r="861" spans="4:120" ht="12.75">
      <c r="D861" s="7">
        <v>513530</v>
      </c>
      <c r="E861" s="6" t="s">
        <v>414</v>
      </c>
      <c r="F861" s="5">
        <v>4</v>
      </c>
      <c r="G861" s="34" t="s">
        <v>830</v>
      </c>
      <c r="H861" s="8" t="s">
        <v>32</v>
      </c>
      <c r="I861" t="b">
        <f>+ISNUMBER(SEARCH('F-COMPRA'!$F$28,Tabla11[[#This Row],[Cuenta]],1))</f>
        <v>1</v>
      </c>
      <c r="J861" t="b">
        <f>+ISNUMBER(SEARCH('F-COMPRA'!$F$29,Tabla11[[#This Row],[Cuenta]],1))</f>
        <v>1</v>
      </c>
      <c r="K861" t="b">
        <f>+ISNUMBER(SEARCH('F-COMPRA'!$F$30,Tabla11[[#This Row],[Cuenta]],1))</f>
        <v>1</v>
      </c>
      <c r="L861" t="b">
        <f>+ISNUMBER(SEARCH('F-COMPRA'!$F$31,Tabla11[[#This Row],[Cuenta]],1))</f>
        <v>1</v>
      </c>
      <c r="M861" t="b">
        <f>+ISNUMBER(SEARCH('F-COMPRA'!$G$25,Tabla11[[#This Row],[Cuenta]],1))</f>
        <v>0</v>
      </c>
      <c r="N861" t="b">
        <f>+ISNUMBER(SEARCH(#REF!,Tabla11[[#This Row],[Cuenta]],1))</f>
        <v>0</v>
      </c>
      <c r="O861" t="b">
        <f>+ISNUMBER(SEARCH(#REF!,Tabla11[[#This Row],[Cuenta]],1))</f>
        <v>0</v>
      </c>
      <c r="P861" t="b">
        <f>+ISNUMBER(SEARCH('F-COMPRA'!$F$32,Tabla11[[#This Row],[Cuenta]],1))</f>
        <v>1</v>
      </c>
      <c r="Q861" t="b">
        <f>+ISNUMBER(SEARCH('F-COMPRA'!$F$33,Tabla11[[#This Row],[Cuenta]],1))</f>
        <v>1</v>
      </c>
      <c r="R861" t="b">
        <f>+ISNUMBER(SEARCH('F-COMPRA'!$F$34,Tabla11[[#This Row],[Cuenta]],1))</f>
        <v>1</v>
      </c>
      <c r="S861" t="b">
        <f>+ISNUMBER(SEARCH('F-COMPRA'!$F$35,Tabla11[[#This Row],[Cuenta]],1))</f>
        <v>1</v>
      </c>
      <c r="T861" t="b">
        <f>+ISNUMBER(SEARCH('F-COMPRA'!$F$36,Tabla11[[#This Row],[Cuenta]],1))</f>
        <v>1</v>
      </c>
      <c r="U861" t="b">
        <f>+ISNUMBER(SEARCH('F-COMPRA'!$F$37,Tabla11[[#This Row],[Cuenta]],1))</f>
        <v>1</v>
      </c>
      <c r="V861" t="b">
        <f>+ISNUMBER(SEARCH(#REF!,Tabla11[[#This Row],[Cuenta]],1))</f>
        <v>0</v>
      </c>
      <c r="W861" t="b">
        <f>+ISNUMBER(SEARCH('F-COMPRA'!#REF!,Tabla11[[#This Row],[Cuenta]],1))</f>
        <v>0</v>
      </c>
      <c r="X861" t="b">
        <f>+ISNUMBER(SEARCH('F-COMPRA'!#REF!,Tabla11[[#This Row],[Cuenta]],1))</f>
        <v>0</v>
      </c>
      <c r="Y861" t="b">
        <f>+ISNUMBER(SEARCH('F-COMPRA'!#REF!,Tabla11[[#This Row],[Cuenta]],1))</f>
        <v>0</v>
      </c>
      <c r="Z861" t="b">
        <f>+ISNUMBER(SEARCH('F-COMPRA'!#REF!,Tabla11[[#This Row],[Cuenta]],1))</f>
        <v>0</v>
      </c>
      <c r="AA861" t="b">
        <f>+ISNUMBER(SEARCH('F-COMPRA'!#REF!,Tabla11[[#This Row],[Cuenta]],1))</f>
        <v>0</v>
      </c>
      <c r="AB861" t="b">
        <f>+ISNUMBER(SEARCH('F-COMPRA'!#REF!,Tabla11[[#This Row],[Cuenta]],1))</f>
        <v>0</v>
      </c>
      <c r="AC861" t="b">
        <f>+ISNUMBER(SEARCH('F-COMPRA'!#REF!,Tabla11[[#This Row],[Cuenta]],1))</f>
        <v>0</v>
      </c>
      <c r="AD861" t="b">
        <f>+ISNUMBER(SEARCH('F-COMPRA'!#REF!,Tabla11[[#This Row],[Cuenta]],1))</f>
        <v>0</v>
      </c>
      <c r="AE861" t="b">
        <f>+ISNUMBER(SEARCH('F-COMPRA'!#REF!,Tabla11[[#This Row],[Cuenta]],1))</f>
        <v>0</v>
      </c>
      <c r="AF861" t="b">
        <f>+ISNUMBER(SEARCH('F-VTA'!$G$23,Tabla11[[#This Row],[Cuenta]],1))</f>
        <v>0</v>
      </c>
      <c r="AG861" t="b">
        <f>+ISNUMBER(SEARCH('F-VTA'!$G$24,Tabla11[[#This Row],[Cuenta]],1))</f>
        <v>0</v>
      </c>
      <c r="AH861" t="b">
        <f>+ISNUMBER(SEARCH('F-VTA'!$G$25,Tabla11[[#This Row],[Cuenta]],1))</f>
        <v>0</v>
      </c>
      <c r="AI861" t="b">
        <f>+ISNUMBER(SEARCH('F-VTA'!$F$28,Tabla11[[#This Row],[Cuenta]],1))</f>
        <v>1</v>
      </c>
      <c r="AJ861" t="b">
        <f>+ISNUMBER(SEARCH('F-VTA'!$F$29,Tabla11[[#This Row],[Cuenta]],1))</f>
        <v>1</v>
      </c>
      <c r="AK861" t="b">
        <f>+ISNUMBER(SEARCH('F-VTA'!$F$30,Tabla11[[#This Row],[Cuenta]],1))</f>
        <v>1</v>
      </c>
      <c r="AL861" t="b">
        <f>+ISNUMBER(SEARCH('F-VTA'!$F$31,Tabla11[[#This Row],[Cuenta]],1))</f>
        <v>1</v>
      </c>
      <c r="AM861" t="b">
        <f>+ISNUMBER(SEARCH('F-VTA'!$F$32,Tabla11[[#This Row],[Cuenta]],1))</f>
        <v>1</v>
      </c>
      <c r="AN861" t="b">
        <f>+ISNUMBER(SEARCH('F-VTA'!$F$33,Tabla11[[#This Row],[Cuenta]],1))</f>
        <v>1</v>
      </c>
      <c r="AO861" t="b">
        <f>+ISNUMBER(SEARCH('F-VTA'!$F$34,Tabla11[[#This Row],[Cuenta]],1))</f>
        <v>1</v>
      </c>
      <c r="AP861" t="b">
        <f>+ISNUMBER(SEARCH('F-VTA'!$F$35,Tabla11[[#This Row],[Cuenta]],1))</f>
        <v>1</v>
      </c>
      <c r="AQ861" t="b">
        <f>+ISNUMBER(SEARCH('F-VTA'!$F$36,Tabla11[[#This Row],[Cuenta]],1))</f>
        <v>1</v>
      </c>
      <c r="AR861" t="b">
        <f>+ISNUMBER(SEARCH(#REF!,Tabla11[[#This Row],[Cuenta]],1))</f>
        <v>0</v>
      </c>
      <c r="AS861" t="b">
        <f>+ISNUMBER(SEARCH(#REF!,Tabla11[[#This Row],[Cuenta]],1))</f>
        <v>0</v>
      </c>
      <c r="AT861" t="b">
        <f>+ISNUMBER(SEARCH(#REF!,Tabla11[[#This Row],[Cuenta]],1))</f>
        <v>0</v>
      </c>
      <c r="AU861" t="b">
        <f>+ISNUMBER(SEARCH('Conc. Ban.1'!$I$9,Tabla11[[#This Row],[Cuenta]],1))</f>
        <v>0</v>
      </c>
      <c r="AV861" t="b">
        <f>+ISNUMBER(SEARCH(CompConta!$F$21,Tabla11[[#This Row],[Cuenta]],1))</f>
        <v>1</v>
      </c>
      <c r="AW861" t="b">
        <f>+ISNUMBER(SEARCH(CompConta!$F$22,Tabla11[[#This Row],[Cuenta]],1))</f>
        <v>1</v>
      </c>
      <c r="AX861" t="b">
        <f>+ISNUMBER(SEARCH(CompConta!$F$23,Tabla11[[#This Row],[Cuenta]],1))</f>
        <v>1</v>
      </c>
      <c r="AY861" t="b">
        <f>+ISNUMBER(SEARCH(CompConta!$F$24,Tabla11[[#This Row],[Cuenta]],1))</f>
        <v>1</v>
      </c>
      <c r="AZ861" t="b">
        <f>+ISNUMBER(SEARCH(CompConta!$F$25,Tabla11[[#This Row],[Cuenta]],1))</f>
        <v>1</v>
      </c>
      <c r="BA861" t="b">
        <f>+ISNUMBER(SEARCH(CompConta!$F$26,Tabla11[[#This Row],[Cuenta]],1))</f>
        <v>1</v>
      </c>
      <c r="BB861" t="b">
        <f>+ISNUMBER(SEARCH(CompConta!$F$27,Tabla11[[#This Row],[Cuenta]],1))</f>
        <v>1</v>
      </c>
      <c r="BC861" t="b">
        <f>+ISNUMBER(SEARCH(CompConta!$F$28,Tabla11[[#This Row],[Cuenta]],1))</f>
        <v>1</v>
      </c>
      <c r="BD861" t="b">
        <f>+ISNUMBER(SEARCH(CompConta!$F$29,Tabla11[[#This Row],[Cuenta]],1))</f>
        <v>1</v>
      </c>
      <c r="BE861" t="b">
        <f>+ISNUMBER(SEARCH(CompConta!$F$30,Tabla11[[#This Row],[Cuenta]],1))</f>
        <v>1</v>
      </c>
      <c r="BF861" t="b">
        <f>+ISNUMBER(SEARCH('PAGO Compras'!$E$11,Tabla11[[#This Row],[Cuenta]],1))</f>
        <v>1</v>
      </c>
      <c r="BG861" t="b">
        <f>+ISNUMBER(SEARCH(#REF!,Tabla11[[#This Row],[Cuenta]],1))</f>
        <v>0</v>
      </c>
      <c r="BH861" t="b">
        <f>+ISNUMBER(SEARCH(#REF!,Tabla11[[#This Row],[Cuenta]],1))</f>
        <v>0</v>
      </c>
      <c r="BI861" t="b">
        <f>+ISNUMBER(SEARCH(#REF!,Tabla11[[#This Row],[Cuenta]],1))</f>
        <v>0</v>
      </c>
      <c r="BJ861" t="b">
        <f>+ISNUMBER(SEARCH(#REF!,Tabla11[[#This Row],[Cuenta]],1))</f>
        <v>0</v>
      </c>
      <c r="BS861" t="str">
        <v>513530 Energía eléctrica</v>
      </c>
      <c r="BT861" t="str">
        <v>513530 Energía eléctrica</v>
      </c>
      <c r="BU861" t="str">
        <v>513530 Energía eléctrica</v>
      </c>
      <c r="BV861" t="str">
        <v>513530 Energía eléctrica</v>
      </c>
      <c r="BZ861" t="str">
        <v>513530 Energía eléctrica</v>
      </c>
      <c r="CA861" t="str">
        <v>513530 Energía eléctrica</v>
      </c>
      <c r="CB861" t="str">
        <v>513530 Energía eléctrica</v>
      </c>
      <c r="CC861" t="str">
        <v>513530 Energía eléctrica</v>
      </c>
      <c r="CD861" t="str">
        <v>513530 Energía eléctrica</v>
      </c>
      <c r="CE861" t="str">
        <v>513530 Energía eléctrica</v>
      </c>
      <c r="CS861" s="141" t="str">
        <v>513530 Energía eléctrica</v>
      </c>
      <c r="CT861" s="141" t="str">
        <v>513530 Energía eléctrica</v>
      </c>
      <c r="CU861" s="141" t="str">
        <v>513530 Energía eléctrica</v>
      </c>
      <c r="CV861" s="141" t="str">
        <v>513530 Energía eléctrica</v>
      </c>
      <c r="CW861" s="141" t="str">
        <v>513530 Energía eléctrica</v>
      </c>
      <c r="CX861" s="141" t="str">
        <v>513530 Energía eléctrica</v>
      </c>
      <c r="CY861" s="141" t="str">
        <v>513530 Energía eléctrica</v>
      </c>
      <c r="CZ861" s="141" t="str">
        <v>513530 Energía eléctrica</v>
      </c>
      <c r="DA861" s="141" t="str">
        <v>513530 Energía eléctrica</v>
      </c>
      <c r="DF861" t="str">
        <v>513530 Energía eléctrica</v>
      </c>
      <c r="DG861" t="str">
        <v>513530 Energía eléctrica</v>
      </c>
      <c r="DH861" t="str">
        <v>513530 Energía eléctrica</v>
      </c>
      <c r="DI861" t="str">
        <v>513530 Energía eléctrica</v>
      </c>
      <c r="DJ861" t="str">
        <v>513530 Energía eléctrica</v>
      </c>
      <c r="DK861" t="str">
        <v>513530 Energía eléctrica</v>
      </c>
      <c r="DL861" t="str">
        <v>513530 Energía eléctrica</v>
      </c>
      <c r="DM861" t="str">
        <v>513530 Energía eléctrica</v>
      </c>
      <c r="DN861" t="str">
        <v>513530 Energía eléctrica</v>
      </c>
      <c r="DO861" t="str">
        <v>513530 Energía eléctrica</v>
      </c>
      <c r="DP861" t="str">
        <v>513530 Energía eléctrica</v>
      </c>
    </row>
    <row r="862" spans="4:120" ht="12.75">
      <c r="D862" s="7">
        <v>513535</v>
      </c>
      <c r="E862" s="6" t="s">
        <v>589</v>
      </c>
      <c r="F862" s="5">
        <v>4</v>
      </c>
      <c r="G862" s="34" t="s">
        <v>830</v>
      </c>
      <c r="H862" s="8" t="s">
        <v>32</v>
      </c>
      <c r="I862" t="b">
        <f>+ISNUMBER(SEARCH('F-COMPRA'!$F$28,Tabla11[[#This Row],[Cuenta]],1))</f>
        <v>1</v>
      </c>
      <c r="J862" t="b">
        <f>+ISNUMBER(SEARCH('F-COMPRA'!$F$29,Tabla11[[#This Row],[Cuenta]],1))</f>
        <v>1</v>
      </c>
      <c r="K862" t="b">
        <f>+ISNUMBER(SEARCH('F-COMPRA'!$F$30,Tabla11[[#This Row],[Cuenta]],1))</f>
        <v>1</v>
      </c>
      <c r="L862" t="b">
        <f>+ISNUMBER(SEARCH('F-COMPRA'!$F$31,Tabla11[[#This Row],[Cuenta]],1))</f>
        <v>1</v>
      </c>
      <c r="M862" t="b">
        <f>+ISNUMBER(SEARCH('F-COMPRA'!$G$25,Tabla11[[#This Row],[Cuenta]],1))</f>
        <v>0</v>
      </c>
      <c r="N862" t="b">
        <f>+ISNUMBER(SEARCH(#REF!,Tabla11[[#This Row],[Cuenta]],1))</f>
        <v>0</v>
      </c>
      <c r="O862" t="b">
        <f>+ISNUMBER(SEARCH(#REF!,Tabla11[[#This Row],[Cuenta]],1))</f>
        <v>0</v>
      </c>
      <c r="P862" t="b">
        <f>+ISNUMBER(SEARCH('F-COMPRA'!$F$32,Tabla11[[#This Row],[Cuenta]],1))</f>
        <v>1</v>
      </c>
      <c r="Q862" t="b">
        <f>+ISNUMBER(SEARCH('F-COMPRA'!$F$33,Tabla11[[#This Row],[Cuenta]],1))</f>
        <v>1</v>
      </c>
      <c r="R862" t="b">
        <f>+ISNUMBER(SEARCH('F-COMPRA'!$F$34,Tabla11[[#This Row],[Cuenta]],1))</f>
        <v>1</v>
      </c>
      <c r="S862" t="b">
        <f>+ISNUMBER(SEARCH('F-COMPRA'!$F$35,Tabla11[[#This Row],[Cuenta]],1))</f>
        <v>1</v>
      </c>
      <c r="T862" t="b">
        <f>+ISNUMBER(SEARCH('F-COMPRA'!$F$36,Tabla11[[#This Row],[Cuenta]],1))</f>
        <v>1</v>
      </c>
      <c r="U862" t="b">
        <f>+ISNUMBER(SEARCH('F-COMPRA'!$F$37,Tabla11[[#This Row],[Cuenta]],1))</f>
        <v>1</v>
      </c>
      <c r="V862" t="b">
        <f>+ISNUMBER(SEARCH(#REF!,Tabla11[[#This Row],[Cuenta]],1))</f>
        <v>0</v>
      </c>
      <c r="W862" t="b">
        <f>+ISNUMBER(SEARCH('F-COMPRA'!#REF!,Tabla11[[#This Row],[Cuenta]],1))</f>
        <v>0</v>
      </c>
      <c r="X862" t="b">
        <f>+ISNUMBER(SEARCH('F-COMPRA'!#REF!,Tabla11[[#This Row],[Cuenta]],1))</f>
        <v>0</v>
      </c>
      <c r="Y862" t="b">
        <f>+ISNUMBER(SEARCH('F-COMPRA'!#REF!,Tabla11[[#This Row],[Cuenta]],1))</f>
        <v>0</v>
      </c>
      <c r="Z862" t="b">
        <f>+ISNUMBER(SEARCH('F-COMPRA'!#REF!,Tabla11[[#This Row],[Cuenta]],1))</f>
        <v>0</v>
      </c>
      <c r="AA862" t="b">
        <f>+ISNUMBER(SEARCH('F-COMPRA'!#REF!,Tabla11[[#This Row],[Cuenta]],1))</f>
        <v>0</v>
      </c>
      <c r="AB862" t="b">
        <f>+ISNUMBER(SEARCH('F-COMPRA'!#REF!,Tabla11[[#This Row],[Cuenta]],1))</f>
        <v>0</v>
      </c>
      <c r="AC862" t="b">
        <f>+ISNUMBER(SEARCH('F-COMPRA'!#REF!,Tabla11[[#This Row],[Cuenta]],1))</f>
        <v>0</v>
      </c>
      <c r="AD862" t="b">
        <f>+ISNUMBER(SEARCH('F-COMPRA'!#REF!,Tabla11[[#This Row],[Cuenta]],1))</f>
        <v>0</v>
      </c>
      <c r="AE862" t="b">
        <f>+ISNUMBER(SEARCH('F-COMPRA'!#REF!,Tabla11[[#This Row],[Cuenta]],1))</f>
        <v>0</v>
      </c>
      <c r="AF862" t="b">
        <f>+ISNUMBER(SEARCH('F-VTA'!$G$23,Tabla11[[#This Row],[Cuenta]],1))</f>
        <v>0</v>
      </c>
      <c r="AG862" t="b">
        <f>+ISNUMBER(SEARCH('F-VTA'!$G$24,Tabla11[[#This Row],[Cuenta]],1))</f>
        <v>0</v>
      </c>
      <c r="AH862" t="b">
        <f>+ISNUMBER(SEARCH('F-VTA'!$G$25,Tabla11[[#This Row],[Cuenta]],1))</f>
        <v>0</v>
      </c>
      <c r="AI862" t="b">
        <f>+ISNUMBER(SEARCH('F-VTA'!$F$28,Tabla11[[#This Row],[Cuenta]],1))</f>
        <v>1</v>
      </c>
      <c r="AJ862" t="b">
        <f>+ISNUMBER(SEARCH('F-VTA'!$F$29,Tabla11[[#This Row],[Cuenta]],1))</f>
        <v>1</v>
      </c>
      <c r="AK862" t="b">
        <f>+ISNUMBER(SEARCH('F-VTA'!$F$30,Tabla11[[#This Row],[Cuenta]],1))</f>
        <v>1</v>
      </c>
      <c r="AL862" t="b">
        <f>+ISNUMBER(SEARCH('F-VTA'!$F$31,Tabla11[[#This Row],[Cuenta]],1))</f>
        <v>1</v>
      </c>
      <c r="AM862" t="b">
        <f>+ISNUMBER(SEARCH('F-VTA'!$F$32,Tabla11[[#This Row],[Cuenta]],1))</f>
        <v>1</v>
      </c>
      <c r="AN862" t="b">
        <f>+ISNUMBER(SEARCH('F-VTA'!$F$33,Tabla11[[#This Row],[Cuenta]],1))</f>
        <v>1</v>
      </c>
      <c r="AO862" t="b">
        <f>+ISNUMBER(SEARCH('F-VTA'!$F$34,Tabla11[[#This Row],[Cuenta]],1))</f>
        <v>1</v>
      </c>
      <c r="AP862" t="b">
        <f>+ISNUMBER(SEARCH('F-VTA'!$F$35,Tabla11[[#This Row],[Cuenta]],1))</f>
        <v>1</v>
      </c>
      <c r="AQ862" t="b">
        <f>+ISNUMBER(SEARCH('F-VTA'!$F$36,Tabla11[[#This Row],[Cuenta]],1))</f>
        <v>1</v>
      </c>
      <c r="AR862" t="b">
        <f>+ISNUMBER(SEARCH(#REF!,Tabla11[[#This Row],[Cuenta]],1))</f>
        <v>0</v>
      </c>
      <c r="AS862" t="b">
        <f>+ISNUMBER(SEARCH(#REF!,Tabla11[[#This Row],[Cuenta]],1))</f>
        <v>0</v>
      </c>
      <c r="AT862" t="b">
        <f>+ISNUMBER(SEARCH(#REF!,Tabla11[[#This Row],[Cuenta]],1))</f>
        <v>0</v>
      </c>
      <c r="AU862" t="b">
        <f>+ISNUMBER(SEARCH('Conc. Ban.1'!$I$9,Tabla11[[#This Row],[Cuenta]],1))</f>
        <v>0</v>
      </c>
      <c r="AV862" t="b">
        <f>+ISNUMBER(SEARCH(CompConta!$F$21,Tabla11[[#This Row],[Cuenta]],1))</f>
        <v>1</v>
      </c>
      <c r="AW862" t="b">
        <f>+ISNUMBER(SEARCH(CompConta!$F$22,Tabla11[[#This Row],[Cuenta]],1))</f>
        <v>1</v>
      </c>
      <c r="AX862" t="b">
        <f>+ISNUMBER(SEARCH(CompConta!$F$23,Tabla11[[#This Row],[Cuenta]],1))</f>
        <v>1</v>
      </c>
      <c r="AY862" t="b">
        <f>+ISNUMBER(SEARCH(CompConta!$F$24,Tabla11[[#This Row],[Cuenta]],1))</f>
        <v>1</v>
      </c>
      <c r="AZ862" t="b">
        <f>+ISNUMBER(SEARCH(CompConta!$F$25,Tabla11[[#This Row],[Cuenta]],1))</f>
        <v>1</v>
      </c>
      <c r="BA862" t="b">
        <f>+ISNUMBER(SEARCH(CompConta!$F$26,Tabla11[[#This Row],[Cuenta]],1))</f>
        <v>1</v>
      </c>
      <c r="BB862" t="b">
        <f>+ISNUMBER(SEARCH(CompConta!$F$27,Tabla11[[#This Row],[Cuenta]],1))</f>
        <v>1</v>
      </c>
      <c r="BC862" t="b">
        <f>+ISNUMBER(SEARCH(CompConta!$F$28,Tabla11[[#This Row],[Cuenta]],1))</f>
        <v>1</v>
      </c>
      <c r="BD862" t="b">
        <f>+ISNUMBER(SEARCH(CompConta!$F$29,Tabla11[[#This Row],[Cuenta]],1))</f>
        <v>1</v>
      </c>
      <c r="BE862" t="b">
        <f>+ISNUMBER(SEARCH(CompConta!$F$30,Tabla11[[#This Row],[Cuenta]],1))</f>
        <v>1</v>
      </c>
      <c r="BF862" t="b">
        <f>+ISNUMBER(SEARCH('PAGO Compras'!$E$11,Tabla11[[#This Row],[Cuenta]],1))</f>
        <v>1</v>
      </c>
      <c r="BG862" t="b">
        <f>+ISNUMBER(SEARCH(#REF!,Tabla11[[#This Row],[Cuenta]],1))</f>
        <v>0</v>
      </c>
      <c r="BH862" t="b">
        <f>+ISNUMBER(SEARCH(#REF!,Tabla11[[#This Row],[Cuenta]],1))</f>
        <v>0</v>
      </c>
      <c r="BI862" t="b">
        <f>+ISNUMBER(SEARCH(#REF!,Tabla11[[#This Row],[Cuenta]],1))</f>
        <v>0</v>
      </c>
      <c r="BJ862" t="b">
        <f>+ISNUMBER(SEARCH(#REF!,Tabla11[[#This Row],[Cuenta]],1))</f>
        <v>0</v>
      </c>
      <c r="BS862" t="str">
        <v>513535 Teléfono</v>
      </c>
      <c r="BT862" t="str">
        <v>513535 Teléfono</v>
      </c>
      <c r="BU862" t="str">
        <v>513535 Teléfono</v>
      </c>
      <c r="BV862" t="str">
        <v>513535 Teléfono</v>
      </c>
      <c r="BZ862" t="str">
        <v>513535 Teléfono</v>
      </c>
      <c r="CA862" t="str">
        <v>513535 Teléfono</v>
      </c>
      <c r="CB862" t="str">
        <v>513535 Teléfono</v>
      </c>
      <c r="CC862" t="str">
        <v>513535 Teléfono</v>
      </c>
      <c r="CD862" t="str">
        <v>513535 Teléfono</v>
      </c>
      <c r="CE862" t="str">
        <v>513535 Teléfono</v>
      </c>
      <c r="CS862" s="141" t="str">
        <v>513535 Teléfono</v>
      </c>
      <c r="CT862" s="141" t="str">
        <v>513535 Teléfono</v>
      </c>
      <c r="CU862" s="141" t="str">
        <v>513535 Teléfono</v>
      </c>
      <c r="CV862" s="141" t="str">
        <v>513535 Teléfono</v>
      </c>
      <c r="CW862" s="141" t="str">
        <v>513535 Teléfono</v>
      </c>
      <c r="CX862" s="141" t="str">
        <v>513535 Teléfono</v>
      </c>
      <c r="CY862" s="141" t="str">
        <v>513535 Teléfono</v>
      </c>
      <c r="CZ862" s="141" t="str">
        <v>513535 Teléfono</v>
      </c>
      <c r="DA862" s="141" t="str">
        <v>513535 Teléfono</v>
      </c>
      <c r="DF862" t="str">
        <v>513535 Teléfono</v>
      </c>
      <c r="DG862" t="str">
        <v>513535 Teléfono</v>
      </c>
      <c r="DH862" t="str">
        <v>513535 Teléfono</v>
      </c>
      <c r="DI862" t="str">
        <v>513535 Teléfono</v>
      </c>
      <c r="DJ862" t="str">
        <v>513535 Teléfono</v>
      </c>
      <c r="DK862" t="str">
        <v>513535 Teléfono</v>
      </c>
      <c r="DL862" t="str">
        <v>513535 Teléfono</v>
      </c>
      <c r="DM862" t="str">
        <v>513535 Teléfono</v>
      </c>
      <c r="DN862" t="str">
        <v>513535 Teléfono</v>
      </c>
      <c r="DO862" t="str">
        <v>513535 Teléfono</v>
      </c>
      <c r="DP862" t="str">
        <v>513535 Teléfono</v>
      </c>
    </row>
    <row r="863" spans="4:120" ht="12.75">
      <c r="D863" s="7">
        <v>513540</v>
      </c>
      <c r="E863" s="6" t="s">
        <v>590</v>
      </c>
      <c r="F863" s="5">
        <v>4</v>
      </c>
      <c r="G863" s="34" t="s">
        <v>830</v>
      </c>
      <c r="H863" s="8" t="s">
        <v>32</v>
      </c>
      <c r="I863" t="b">
        <f>+ISNUMBER(SEARCH('F-COMPRA'!$F$28,Tabla11[[#This Row],[Cuenta]],1))</f>
        <v>1</v>
      </c>
      <c r="J863" t="b">
        <f>+ISNUMBER(SEARCH('F-COMPRA'!$F$29,Tabla11[[#This Row],[Cuenta]],1))</f>
        <v>1</v>
      </c>
      <c r="K863" t="b">
        <f>+ISNUMBER(SEARCH('F-COMPRA'!$F$30,Tabla11[[#This Row],[Cuenta]],1))</f>
        <v>1</v>
      </c>
      <c r="L863" t="b">
        <f>+ISNUMBER(SEARCH('F-COMPRA'!$F$31,Tabla11[[#This Row],[Cuenta]],1))</f>
        <v>1</v>
      </c>
      <c r="M863" t="b">
        <f>+ISNUMBER(SEARCH('F-COMPRA'!$G$25,Tabla11[[#This Row],[Cuenta]],1))</f>
        <v>0</v>
      </c>
      <c r="N863" t="b">
        <f>+ISNUMBER(SEARCH(#REF!,Tabla11[[#This Row],[Cuenta]],1))</f>
        <v>0</v>
      </c>
      <c r="O863" t="b">
        <f>+ISNUMBER(SEARCH(#REF!,Tabla11[[#This Row],[Cuenta]],1))</f>
        <v>0</v>
      </c>
      <c r="P863" t="b">
        <f>+ISNUMBER(SEARCH('F-COMPRA'!$F$32,Tabla11[[#This Row],[Cuenta]],1))</f>
        <v>1</v>
      </c>
      <c r="Q863" t="b">
        <f>+ISNUMBER(SEARCH('F-COMPRA'!$F$33,Tabla11[[#This Row],[Cuenta]],1))</f>
        <v>1</v>
      </c>
      <c r="R863" t="b">
        <f>+ISNUMBER(SEARCH('F-COMPRA'!$F$34,Tabla11[[#This Row],[Cuenta]],1))</f>
        <v>1</v>
      </c>
      <c r="S863" t="b">
        <f>+ISNUMBER(SEARCH('F-COMPRA'!$F$35,Tabla11[[#This Row],[Cuenta]],1))</f>
        <v>1</v>
      </c>
      <c r="T863" t="b">
        <f>+ISNUMBER(SEARCH('F-COMPRA'!$F$36,Tabla11[[#This Row],[Cuenta]],1))</f>
        <v>1</v>
      </c>
      <c r="U863" t="b">
        <f>+ISNUMBER(SEARCH('F-COMPRA'!$F$37,Tabla11[[#This Row],[Cuenta]],1))</f>
        <v>1</v>
      </c>
      <c r="V863" t="b">
        <f>+ISNUMBER(SEARCH(#REF!,Tabla11[[#This Row],[Cuenta]],1))</f>
        <v>0</v>
      </c>
      <c r="W863" t="b">
        <f>+ISNUMBER(SEARCH('F-COMPRA'!#REF!,Tabla11[[#This Row],[Cuenta]],1))</f>
        <v>0</v>
      </c>
      <c r="X863" t="b">
        <f>+ISNUMBER(SEARCH('F-COMPRA'!#REF!,Tabla11[[#This Row],[Cuenta]],1))</f>
        <v>0</v>
      </c>
      <c r="Y863" t="b">
        <f>+ISNUMBER(SEARCH('F-COMPRA'!#REF!,Tabla11[[#This Row],[Cuenta]],1))</f>
        <v>0</v>
      </c>
      <c r="Z863" t="b">
        <f>+ISNUMBER(SEARCH('F-COMPRA'!#REF!,Tabla11[[#This Row],[Cuenta]],1))</f>
        <v>0</v>
      </c>
      <c r="AA863" t="b">
        <f>+ISNUMBER(SEARCH('F-COMPRA'!#REF!,Tabla11[[#This Row],[Cuenta]],1))</f>
        <v>0</v>
      </c>
      <c r="AB863" t="b">
        <f>+ISNUMBER(SEARCH('F-COMPRA'!#REF!,Tabla11[[#This Row],[Cuenta]],1))</f>
        <v>0</v>
      </c>
      <c r="AC863" t="b">
        <f>+ISNUMBER(SEARCH('F-COMPRA'!#REF!,Tabla11[[#This Row],[Cuenta]],1))</f>
        <v>0</v>
      </c>
      <c r="AD863" t="b">
        <f>+ISNUMBER(SEARCH('F-COMPRA'!#REF!,Tabla11[[#This Row],[Cuenta]],1))</f>
        <v>0</v>
      </c>
      <c r="AE863" t="b">
        <f>+ISNUMBER(SEARCH('F-COMPRA'!#REF!,Tabla11[[#This Row],[Cuenta]],1))</f>
        <v>0</v>
      </c>
      <c r="AF863" t="b">
        <f>+ISNUMBER(SEARCH('F-VTA'!$G$23,Tabla11[[#This Row],[Cuenta]],1))</f>
        <v>0</v>
      </c>
      <c r="AG863" t="b">
        <f>+ISNUMBER(SEARCH('F-VTA'!$G$24,Tabla11[[#This Row],[Cuenta]],1))</f>
        <v>0</v>
      </c>
      <c r="AH863" t="b">
        <f>+ISNUMBER(SEARCH('F-VTA'!$G$25,Tabla11[[#This Row],[Cuenta]],1))</f>
        <v>0</v>
      </c>
      <c r="AI863" t="b">
        <f>+ISNUMBER(SEARCH('F-VTA'!$F$28,Tabla11[[#This Row],[Cuenta]],1))</f>
        <v>1</v>
      </c>
      <c r="AJ863" t="b">
        <f>+ISNUMBER(SEARCH('F-VTA'!$F$29,Tabla11[[#This Row],[Cuenta]],1))</f>
        <v>1</v>
      </c>
      <c r="AK863" t="b">
        <f>+ISNUMBER(SEARCH('F-VTA'!$F$30,Tabla11[[#This Row],[Cuenta]],1))</f>
        <v>1</v>
      </c>
      <c r="AL863" t="b">
        <f>+ISNUMBER(SEARCH('F-VTA'!$F$31,Tabla11[[#This Row],[Cuenta]],1))</f>
        <v>1</v>
      </c>
      <c r="AM863" t="b">
        <f>+ISNUMBER(SEARCH('F-VTA'!$F$32,Tabla11[[#This Row],[Cuenta]],1))</f>
        <v>1</v>
      </c>
      <c r="AN863" t="b">
        <f>+ISNUMBER(SEARCH('F-VTA'!$F$33,Tabla11[[#This Row],[Cuenta]],1))</f>
        <v>1</v>
      </c>
      <c r="AO863" t="b">
        <f>+ISNUMBER(SEARCH('F-VTA'!$F$34,Tabla11[[#This Row],[Cuenta]],1))</f>
        <v>1</v>
      </c>
      <c r="AP863" t="b">
        <f>+ISNUMBER(SEARCH('F-VTA'!$F$35,Tabla11[[#This Row],[Cuenta]],1))</f>
        <v>1</v>
      </c>
      <c r="AQ863" t="b">
        <f>+ISNUMBER(SEARCH('F-VTA'!$F$36,Tabla11[[#This Row],[Cuenta]],1))</f>
        <v>1</v>
      </c>
      <c r="AR863" t="b">
        <f>+ISNUMBER(SEARCH(#REF!,Tabla11[[#This Row],[Cuenta]],1))</f>
        <v>0</v>
      </c>
      <c r="AS863" t="b">
        <f>+ISNUMBER(SEARCH(#REF!,Tabla11[[#This Row],[Cuenta]],1))</f>
        <v>0</v>
      </c>
      <c r="AT863" t="b">
        <f>+ISNUMBER(SEARCH(#REF!,Tabla11[[#This Row],[Cuenta]],1))</f>
        <v>0</v>
      </c>
      <c r="AU863" t="b">
        <f>+ISNUMBER(SEARCH('Conc. Ban.1'!$I$9,Tabla11[[#This Row],[Cuenta]],1))</f>
        <v>0</v>
      </c>
      <c r="AV863" t="b">
        <f>+ISNUMBER(SEARCH(CompConta!$F$21,Tabla11[[#This Row],[Cuenta]],1))</f>
        <v>1</v>
      </c>
      <c r="AW863" t="b">
        <f>+ISNUMBER(SEARCH(CompConta!$F$22,Tabla11[[#This Row],[Cuenta]],1))</f>
        <v>1</v>
      </c>
      <c r="AX863" t="b">
        <f>+ISNUMBER(SEARCH(CompConta!$F$23,Tabla11[[#This Row],[Cuenta]],1))</f>
        <v>1</v>
      </c>
      <c r="AY863" t="b">
        <f>+ISNUMBER(SEARCH(CompConta!$F$24,Tabla11[[#This Row],[Cuenta]],1))</f>
        <v>1</v>
      </c>
      <c r="AZ863" t="b">
        <f>+ISNUMBER(SEARCH(CompConta!$F$25,Tabla11[[#This Row],[Cuenta]],1))</f>
        <v>1</v>
      </c>
      <c r="BA863" t="b">
        <f>+ISNUMBER(SEARCH(CompConta!$F$26,Tabla11[[#This Row],[Cuenta]],1))</f>
        <v>1</v>
      </c>
      <c r="BB863" t="b">
        <f>+ISNUMBER(SEARCH(CompConta!$F$27,Tabla11[[#This Row],[Cuenta]],1))</f>
        <v>1</v>
      </c>
      <c r="BC863" t="b">
        <f>+ISNUMBER(SEARCH(CompConta!$F$28,Tabla11[[#This Row],[Cuenta]],1))</f>
        <v>1</v>
      </c>
      <c r="BD863" t="b">
        <f>+ISNUMBER(SEARCH(CompConta!$F$29,Tabla11[[#This Row],[Cuenta]],1))</f>
        <v>1</v>
      </c>
      <c r="BE863" t="b">
        <f>+ISNUMBER(SEARCH(CompConta!$F$30,Tabla11[[#This Row],[Cuenta]],1))</f>
        <v>1</v>
      </c>
      <c r="BF863" t="b">
        <f>+ISNUMBER(SEARCH('PAGO Compras'!$E$11,Tabla11[[#This Row],[Cuenta]],1))</f>
        <v>1</v>
      </c>
      <c r="BG863" t="b">
        <f>+ISNUMBER(SEARCH(#REF!,Tabla11[[#This Row],[Cuenta]],1))</f>
        <v>0</v>
      </c>
      <c r="BH863" t="b">
        <f>+ISNUMBER(SEARCH(#REF!,Tabla11[[#This Row],[Cuenta]],1))</f>
        <v>0</v>
      </c>
      <c r="BI863" t="b">
        <f>+ISNUMBER(SEARCH(#REF!,Tabla11[[#This Row],[Cuenta]],1))</f>
        <v>0</v>
      </c>
      <c r="BJ863" t="b">
        <f>+ISNUMBER(SEARCH(#REF!,Tabla11[[#This Row],[Cuenta]],1))</f>
        <v>0</v>
      </c>
      <c r="BS863" t="str">
        <v>513540 Correo, portes y telegramas</v>
      </c>
      <c r="BT863" t="str">
        <v>513540 Correo, portes y telegramas</v>
      </c>
      <c r="BU863" t="str">
        <v>513540 Correo, portes y telegramas</v>
      </c>
      <c r="BV863" t="str">
        <v>513540 Correo, portes y telegramas</v>
      </c>
      <c r="BZ863" t="str">
        <v>513540 Correo, portes y telegramas</v>
      </c>
      <c r="CA863" t="str">
        <v>513540 Correo, portes y telegramas</v>
      </c>
      <c r="CB863" t="str">
        <v>513540 Correo, portes y telegramas</v>
      </c>
      <c r="CC863" t="str">
        <v>513540 Correo, portes y telegramas</v>
      </c>
      <c r="CD863" t="str">
        <v>513540 Correo, portes y telegramas</v>
      </c>
      <c r="CE863" t="str">
        <v>513540 Correo, portes y telegramas</v>
      </c>
      <c r="CS863" s="141" t="str">
        <v>513540 Correo, portes y telegramas</v>
      </c>
      <c r="CT863" s="141" t="str">
        <v>513540 Correo, portes y telegramas</v>
      </c>
      <c r="CU863" s="141" t="str">
        <v>513540 Correo, portes y telegramas</v>
      </c>
      <c r="CV863" s="141" t="str">
        <v>513540 Correo, portes y telegramas</v>
      </c>
      <c r="CW863" s="141" t="str">
        <v>513540 Correo, portes y telegramas</v>
      </c>
      <c r="CX863" s="141" t="str">
        <v>513540 Correo, portes y telegramas</v>
      </c>
      <c r="CY863" s="141" t="str">
        <v>513540 Correo, portes y telegramas</v>
      </c>
      <c r="CZ863" s="141" t="str">
        <v>513540 Correo, portes y telegramas</v>
      </c>
      <c r="DA863" s="141" t="str">
        <v>513540 Correo, portes y telegramas</v>
      </c>
      <c r="DF863" t="str">
        <v>513540 Correo, portes y telegramas</v>
      </c>
      <c r="DG863" t="str">
        <v>513540 Correo, portes y telegramas</v>
      </c>
      <c r="DH863" t="str">
        <v>513540 Correo, portes y telegramas</v>
      </c>
      <c r="DI863" t="str">
        <v>513540 Correo, portes y telegramas</v>
      </c>
      <c r="DJ863" t="str">
        <v>513540 Correo, portes y telegramas</v>
      </c>
      <c r="DK863" t="str">
        <v>513540 Correo, portes y telegramas</v>
      </c>
      <c r="DL863" t="str">
        <v>513540 Correo, portes y telegramas</v>
      </c>
      <c r="DM863" t="str">
        <v>513540 Correo, portes y telegramas</v>
      </c>
      <c r="DN863" t="str">
        <v>513540 Correo, portes y telegramas</v>
      </c>
      <c r="DO863" t="str">
        <v>513540 Correo, portes y telegramas</v>
      </c>
      <c r="DP863" t="str">
        <v>513540 Correo, portes y telegramas</v>
      </c>
    </row>
    <row r="864" spans="4:120" ht="12.75">
      <c r="D864" s="7">
        <v>513550</v>
      </c>
      <c r="E864" s="6" t="s">
        <v>591</v>
      </c>
      <c r="F864" s="5">
        <v>4</v>
      </c>
      <c r="G864" s="34" t="s">
        <v>830</v>
      </c>
      <c r="H864" s="8" t="s">
        <v>32</v>
      </c>
      <c r="I864" t="b">
        <f>+ISNUMBER(SEARCH('F-COMPRA'!$F$28,Tabla11[[#This Row],[Cuenta]],1))</f>
        <v>1</v>
      </c>
      <c r="J864" t="b">
        <f>+ISNUMBER(SEARCH('F-COMPRA'!$F$29,Tabla11[[#This Row],[Cuenta]],1))</f>
        <v>1</v>
      </c>
      <c r="K864" t="b">
        <f>+ISNUMBER(SEARCH('F-COMPRA'!$F$30,Tabla11[[#This Row],[Cuenta]],1))</f>
        <v>1</v>
      </c>
      <c r="L864" t="b">
        <f>+ISNUMBER(SEARCH('F-COMPRA'!$F$31,Tabla11[[#This Row],[Cuenta]],1))</f>
        <v>1</v>
      </c>
      <c r="M864" t="b">
        <f>+ISNUMBER(SEARCH('F-COMPRA'!$G$25,Tabla11[[#This Row],[Cuenta]],1))</f>
        <v>0</v>
      </c>
      <c r="N864" t="b">
        <f>+ISNUMBER(SEARCH(#REF!,Tabla11[[#This Row],[Cuenta]],1))</f>
        <v>0</v>
      </c>
      <c r="O864" t="b">
        <f>+ISNUMBER(SEARCH(#REF!,Tabla11[[#This Row],[Cuenta]],1))</f>
        <v>0</v>
      </c>
      <c r="P864" t="b">
        <f>+ISNUMBER(SEARCH('F-COMPRA'!$F$32,Tabla11[[#This Row],[Cuenta]],1))</f>
        <v>1</v>
      </c>
      <c r="Q864" t="b">
        <f>+ISNUMBER(SEARCH('F-COMPRA'!$F$33,Tabla11[[#This Row],[Cuenta]],1))</f>
        <v>1</v>
      </c>
      <c r="R864" t="b">
        <f>+ISNUMBER(SEARCH('F-COMPRA'!$F$34,Tabla11[[#This Row],[Cuenta]],1))</f>
        <v>1</v>
      </c>
      <c r="S864" t="b">
        <f>+ISNUMBER(SEARCH('F-COMPRA'!$F$35,Tabla11[[#This Row],[Cuenta]],1))</f>
        <v>1</v>
      </c>
      <c r="T864" t="b">
        <f>+ISNUMBER(SEARCH('F-COMPRA'!$F$36,Tabla11[[#This Row],[Cuenta]],1))</f>
        <v>1</v>
      </c>
      <c r="U864" t="b">
        <f>+ISNUMBER(SEARCH('F-COMPRA'!$F$37,Tabla11[[#This Row],[Cuenta]],1))</f>
        <v>1</v>
      </c>
      <c r="V864" t="b">
        <f>+ISNUMBER(SEARCH(#REF!,Tabla11[[#This Row],[Cuenta]],1))</f>
        <v>0</v>
      </c>
      <c r="W864" t="b">
        <f>+ISNUMBER(SEARCH('F-COMPRA'!#REF!,Tabla11[[#This Row],[Cuenta]],1))</f>
        <v>0</v>
      </c>
      <c r="X864" t="b">
        <f>+ISNUMBER(SEARCH('F-COMPRA'!#REF!,Tabla11[[#This Row],[Cuenta]],1))</f>
        <v>0</v>
      </c>
      <c r="Y864" t="b">
        <f>+ISNUMBER(SEARCH('F-COMPRA'!#REF!,Tabla11[[#This Row],[Cuenta]],1))</f>
        <v>0</v>
      </c>
      <c r="Z864" t="b">
        <f>+ISNUMBER(SEARCH('F-COMPRA'!#REF!,Tabla11[[#This Row],[Cuenta]],1))</f>
        <v>0</v>
      </c>
      <c r="AA864" t="b">
        <f>+ISNUMBER(SEARCH('F-COMPRA'!#REF!,Tabla11[[#This Row],[Cuenta]],1))</f>
        <v>0</v>
      </c>
      <c r="AB864" t="b">
        <f>+ISNUMBER(SEARCH('F-COMPRA'!#REF!,Tabla11[[#This Row],[Cuenta]],1))</f>
        <v>0</v>
      </c>
      <c r="AC864" t="b">
        <f>+ISNUMBER(SEARCH('F-COMPRA'!#REF!,Tabla11[[#This Row],[Cuenta]],1))</f>
        <v>0</v>
      </c>
      <c r="AD864" t="b">
        <f>+ISNUMBER(SEARCH('F-COMPRA'!#REF!,Tabla11[[#This Row],[Cuenta]],1))</f>
        <v>0</v>
      </c>
      <c r="AE864" t="b">
        <f>+ISNUMBER(SEARCH('F-COMPRA'!#REF!,Tabla11[[#This Row],[Cuenta]],1))</f>
        <v>0</v>
      </c>
      <c r="AF864" t="b">
        <f>+ISNUMBER(SEARCH('F-VTA'!$G$23,Tabla11[[#This Row],[Cuenta]],1))</f>
        <v>0</v>
      </c>
      <c r="AG864" t="b">
        <f>+ISNUMBER(SEARCH('F-VTA'!$G$24,Tabla11[[#This Row],[Cuenta]],1))</f>
        <v>0</v>
      </c>
      <c r="AH864" t="b">
        <f>+ISNUMBER(SEARCH('F-VTA'!$G$25,Tabla11[[#This Row],[Cuenta]],1))</f>
        <v>0</v>
      </c>
      <c r="AI864" t="b">
        <f>+ISNUMBER(SEARCH('F-VTA'!$F$28,Tabla11[[#This Row],[Cuenta]],1))</f>
        <v>1</v>
      </c>
      <c r="AJ864" t="b">
        <f>+ISNUMBER(SEARCH('F-VTA'!$F$29,Tabla11[[#This Row],[Cuenta]],1))</f>
        <v>1</v>
      </c>
      <c r="AK864" t="b">
        <f>+ISNUMBER(SEARCH('F-VTA'!$F$30,Tabla11[[#This Row],[Cuenta]],1))</f>
        <v>1</v>
      </c>
      <c r="AL864" t="b">
        <f>+ISNUMBER(SEARCH('F-VTA'!$F$31,Tabla11[[#This Row],[Cuenta]],1))</f>
        <v>1</v>
      </c>
      <c r="AM864" t="b">
        <f>+ISNUMBER(SEARCH('F-VTA'!$F$32,Tabla11[[#This Row],[Cuenta]],1))</f>
        <v>1</v>
      </c>
      <c r="AN864" t="b">
        <f>+ISNUMBER(SEARCH('F-VTA'!$F$33,Tabla11[[#This Row],[Cuenta]],1))</f>
        <v>1</v>
      </c>
      <c r="AO864" t="b">
        <f>+ISNUMBER(SEARCH('F-VTA'!$F$34,Tabla11[[#This Row],[Cuenta]],1))</f>
        <v>1</v>
      </c>
      <c r="AP864" t="b">
        <f>+ISNUMBER(SEARCH('F-VTA'!$F$35,Tabla11[[#This Row],[Cuenta]],1))</f>
        <v>1</v>
      </c>
      <c r="AQ864" t="b">
        <f>+ISNUMBER(SEARCH('F-VTA'!$F$36,Tabla11[[#This Row],[Cuenta]],1))</f>
        <v>1</v>
      </c>
      <c r="AR864" t="b">
        <f>+ISNUMBER(SEARCH(#REF!,Tabla11[[#This Row],[Cuenta]],1))</f>
        <v>0</v>
      </c>
      <c r="AS864" t="b">
        <f>+ISNUMBER(SEARCH(#REF!,Tabla11[[#This Row],[Cuenta]],1))</f>
        <v>0</v>
      </c>
      <c r="AT864" t="b">
        <f>+ISNUMBER(SEARCH(#REF!,Tabla11[[#This Row],[Cuenta]],1))</f>
        <v>0</v>
      </c>
      <c r="AU864" t="b">
        <f>+ISNUMBER(SEARCH('Conc. Ban.1'!$I$9,Tabla11[[#This Row],[Cuenta]],1))</f>
        <v>0</v>
      </c>
      <c r="AV864" t="b">
        <f>+ISNUMBER(SEARCH(CompConta!$F$21,Tabla11[[#This Row],[Cuenta]],1))</f>
        <v>1</v>
      </c>
      <c r="AW864" t="b">
        <f>+ISNUMBER(SEARCH(CompConta!$F$22,Tabla11[[#This Row],[Cuenta]],1))</f>
        <v>1</v>
      </c>
      <c r="AX864" t="b">
        <f>+ISNUMBER(SEARCH(CompConta!$F$23,Tabla11[[#This Row],[Cuenta]],1))</f>
        <v>1</v>
      </c>
      <c r="AY864" t="b">
        <f>+ISNUMBER(SEARCH(CompConta!$F$24,Tabla11[[#This Row],[Cuenta]],1))</f>
        <v>1</v>
      </c>
      <c r="AZ864" t="b">
        <f>+ISNUMBER(SEARCH(CompConta!$F$25,Tabla11[[#This Row],[Cuenta]],1))</f>
        <v>1</v>
      </c>
      <c r="BA864" t="b">
        <f>+ISNUMBER(SEARCH(CompConta!$F$26,Tabla11[[#This Row],[Cuenta]],1))</f>
        <v>1</v>
      </c>
      <c r="BB864" t="b">
        <f>+ISNUMBER(SEARCH(CompConta!$F$27,Tabla11[[#This Row],[Cuenta]],1))</f>
        <v>1</v>
      </c>
      <c r="BC864" t="b">
        <f>+ISNUMBER(SEARCH(CompConta!$F$28,Tabla11[[#This Row],[Cuenta]],1))</f>
        <v>1</v>
      </c>
      <c r="BD864" t="b">
        <f>+ISNUMBER(SEARCH(CompConta!$F$29,Tabla11[[#This Row],[Cuenta]],1))</f>
        <v>1</v>
      </c>
      <c r="BE864" t="b">
        <f>+ISNUMBER(SEARCH(CompConta!$F$30,Tabla11[[#This Row],[Cuenta]],1))</f>
        <v>1</v>
      </c>
      <c r="BF864" t="b">
        <f>+ISNUMBER(SEARCH('PAGO Compras'!$E$11,Tabla11[[#This Row],[Cuenta]],1))</f>
        <v>1</v>
      </c>
      <c r="BG864" t="b">
        <f>+ISNUMBER(SEARCH(#REF!,Tabla11[[#This Row],[Cuenta]],1))</f>
        <v>0</v>
      </c>
      <c r="BH864" t="b">
        <f>+ISNUMBER(SEARCH(#REF!,Tabla11[[#This Row],[Cuenta]],1))</f>
        <v>0</v>
      </c>
      <c r="BI864" t="b">
        <f>+ISNUMBER(SEARCH(#REF!,Tabla11[[#This Row],[Cuenta]],1))</f>
        <v>0</v>
      </c>
      <c r="BJ864" t="b">
        <f>+ISNUMBER(SEARCH(#REF!,Tabla11[[#This Row],[Cuenta]],1))</f>
        <v>0</v>
      </c>
      <c r="BS864" t="str">
        <v>513550 Transporte, fletes y acarreos</v>
      </c>
      <c r="BT864" t="str">
        <v>513550 Transporte, fletes y acarreos</v>
      </c>
      <c r="BU864" t="str">
        <v>513550 Transporte, fletes y acarreos</v>
      </c>
      <c r="BV864" t="str">
        <v>513550 Transporte, fletes y acarreos</v>
      </c>
      <c r="BZ864" t="str">
        <v>513550 Transporte, fletes y acarreos</v>
      </c>
      <c r="CA864" t="str">
        <v>513550 Transporte, fletes y acarreos</v>
      </c>
      <c r="CB864" t="str">
        <v>513550 Transporte, fletes y acarreos</v>
      </c>
      <c r="CC864" t="str">
        <v>513550 Transporte, fletes y acarreos</v>
      </c>
      <c r="CD864" t="str">
        <v>513550 Transporte, fletes y acarreos</v>
      </c>
      <c r="CE864" t="str">
        <v>513550 Transporte, fletes y acarreos</v>
      </c>
      <c r="CS864" s="141" t="str">
        <v>513550 Transporte, fletes y acarreos</v>
      </c>
      <c r="CT864" s="141" t="str">
        <v>513550 Transporte, fletes y acarreos</v>
      </c>
      <c r="CU864" s="141" t="str">
        <v>513550 Transporte, fletes y acarreos</v>
      </c>
      <c r="CV864" s="141" t="str">
        <v>513550 Transporte, fletes y acarreos</v>
      </c>
      <c r="CW864" s="141" t="str">
        <v>513550 Transporte, fletes y acarreos</v>
      </c>
      <c r="CX864" s="141" t="str">
        <v>513550 Transporte, fletes y acarreos</v>
      </c>
      <c r="CY864" s="141" t="str">
        <v>513550 Transporte, fletes y acarreos</v>
      </c>
      <c r="CZ864" s="141" t="str">
        <v>513550 Transporte, fletes y acarreos</v>
      </c>
      <c r="DA864" s="141" t="str">
        <v>513550 Transporte, fletes y acarreos</v>
      </c>
      <c r="DF864" t="str">
        <v>513550 Transporte, fletes y acarreos</v>
      </c>
      <c r="DG864" t="str">
        <v>513550 Transporte, fletes y acarreos</v>
      </c>
      <c r="DH864" t="str">
        <v>513550 Transporte, fletes y acarreos</v>
      </c>
      <c r="DI864" t="str">
        <v>513550 Transporte, fletes y acarreos</v>
      </c>
      <c r="DJ864" t="str">
        <v>513550 Transporte, fletes y acarreos</v>
      </c>
      <c r="DK864" t="str">
        <v>513550 Transporte, fletes y acarreos</v>
      </c>
      <c r="DL864" t="str">
        <v>513550 Transporte, fletes y acarreos</v>
      </c>
      <c r="DM864" t="str">
        <v>513550 Transporte, fletes y acarreos</v>
      </c>
      <c r="DN864" t="str">
        <v>513550 Transporte, fletes y acarreos</v>
      </c>
      <c r="DO864" t="str">
        <v>513550 Transporte, fletes y acarreos</v>
      </c>
      <c r="DP864" t="str">
        <v>513550 Transporte, fletes y acarreos</v>
      </c>
    </row>
    <row r="865" spans="4:120" ht="12.75">
      <c r="D865" s="7">
        <v>513555</v>
      </c>
      <c r="E865" s="6" t="s">
        <v>592</v>
      </c>
      <c r="F865" s="5">
        <v>4</v>
      </c>
      <c r="G865" s="34" t="s">
        <v>830</v>
      </c>
      <c r="H865" s="8" t="s">
        <v>32</v>
      </c>
      <c r="I865" t="b">
        <f>+ISNUMBER(SEARCH('F-COMPRA'!$F$28,Tabla11[[#This Row],[Cuenta]],1))</f>
        <v>1</v>
      </c>
      <c r="J865" t="b">
        <f>+ISNUMBER(SEARCH('F-COMPRA'!$F$29,Tabla11[[#This Row],[Cuenta]],1))</f>
        <v>1</v>
      </c>
      <c r="K865" t="b">
        <f>+ISNUMBER(SEARCH('F-COMPRA'!$F$30,Tabla11[[#This Row],[Cuenta]],1))</f>
        <v>1</v>
      </c>
      <c r="L865" t="b">
        <f>+ISNUMBER(SEARCH('F-COMPRA'!$F$31,Tabla11[[#This Row],[Cuenta]],1))</f>
        <v>1</v>
      </c>
      <c r="M865" t="b">
        <f>+ISNUMBER(SEARCH('F-COMPRA'!$G$25,Tabla11[[#This Row],[Cuenta]],1))</f>
        <v>0</v>
      </c>
      <c r="N865" t="b">
        <f>+ISNUMBER(SEARCH(#REF!,Tabla11[[#This Row],[Cuenta]],1))</f>
        <v>0</v>
      </c>
      <c r="O865" t="b">
        <f>+ISNUMBER(SEARCH(#REF!,Tabla11[[#This Row],[Cuenta]],1))</f>
        <v>0</v>
      </c>
      <c r="P865" t="b">
        <f>+ISNUMBER(SEARCH('F-COMPRA'!$F$32,Tabla11[[#This Row],[Cuenta]],1))</f>
        <v>1</v>
      </c>
      <c r="Q865" t="b">
        <f>+ISNUMBER(SEARCH('F-COMPRA'!$F$33,Tabla11[[#This Row],[Cuenta]],1))</f>
        <v>1</v>
      </c>
      <c r="R865" t="b">
        <f>+ISNUMBER(SEARCH('F-COMPRA'!$F$34,Tabla11[[#This Row],[Cuenta]],1))</f>
        <v>1</v>
      </c>
      <c r="S865" t="b">
        <f>+ISNUMBER(SEARCH('F-COMPRA'!$F$35,Tabla11[[#This Row],[Cuenta]],1))</f>
        <v>1</v>
      </c>
      <c r="T865" t="b">
        <f>+ISNUMBER(SEARCH('F-COMPRA'!$F$36,Tabla11[[#This Row],[Cuenta]],1))</f>
        <v>1</v>
      </c>
      <c r="U865" t="b">
        <f>+ISNUMBER(SEARCH('F-COMPRA'!$F$37,Tabla11[[#This Row],[Cuenta]],1))</f>
        <v>1</v>
      </c>
      <c r="V865" t="b">
        <f>+ISNUMBER(SEARCH(#REF!,Tabla11[[#This Row],[Cuenta]],1))</f>
        <v>0</v>
      </c>
      <c r="W865" t="b">
        <f>+ISNUMBER(SEARCH('F-COMPRA'!#REF!,Tabla11[[#This Row],[Cuenta]],1))</f>
        <v>0</v>
      </c>
      <c r="X865" t="b">
        <f>+ISNUMBER(SEARCH('F-COMPRA'!#REF!,Tabla11[[#This Row],[Cuenta]],1))</f>
        <v>0</v>
      </c>
      <c r="Y865" t="b">
        <f>+ISNUMBER(SEARCH('F-COMPRA'!#REF!,Tabla11[[#This Row],[Cuenta]],1))</f>
        <v>0</v>
      </c>
      <c r="Z865" t="b">
        <f>+ISNUMBER(SEARCH('F-COMPRA'!#REF!,Tabla11[[#This Row],[Cuenta]],1))</f>
        <v>0</v>
      </c>
      <c r="AA865" t="b">
        <f>+ISNUMBER(SEARCH('F-COMPRA'!#REF!,Tabla11[[#This Row],[Cuenta]],1))</f>
        <v>0</v>
      </c>
      <c r="AB865" t="b">
        <f>+ISNUMBER(SEARCH('F-COMPRA'!#REF!,Tabla11[[#This Row],[Cuenta]],1))</f>
        <v>0</v>
      </c>
      <c r="AC865" t="b">
        <f>+ISNUMBER(SEARCH('F-COMPRA'!#REF!,Tabla11[[#This Row],[Cuenta]],1))</f>
        <v>0</v>
      </c>
      <c r="AD865" t="b">
        <f>+ISNUMBER(SEARCH('F-COMPRA'!#REF!,Tabla11[[#This Row],[Cuenta]],1))</f>
        <v>0</v>
      </c>
      <c r="AE865" t="b">
        <f>+ISNUMBER(SEARCH('F-COMPRA'!#REF!,Tabla11[[#This Row],[Cuenta]],1))</f>
        <v>0</v>
      </c>
      <c r="AF865" t="b">
        <f>+ISNUMBER(SEARCH('F-VTA'!$G$23,Tabla11[[#This Row],[Cuenta]],1))</f>
        <v>0</v>
      </c>
      <c r="AG865" t="b">
        <f>+ISNUMBER(SEARCH('F-VTA'!$G$24,Tabla11[[#This Row],[Cuenta]],1))</f>
        <v>0</v>
      </c>
      <c r="AH865" t="b">
        <f>+ISNUMBER(SEARCH('F-VTA'!$G$25,Tabla11[[#This Row],[Cuenta]],1))</f>
        <v>0</v>
      </c>
      <c r="AI865" t="b">
        <f>+ISNUMBER(SEARCH('F-VTA'!$F$28,Tabla11[[#This Row],[Cuenta]],1))</f>
        <v>1</v>
      </c>
      <c r="AJ865" t="b">
        <f>+ISNUMBER(SEARCH('F-VTA'!$F$29,Tabla11[[#This Row],[Cuenta]],1))</f>
        <v>1</v>
      </c>
      <c r="AK865" t="b">
        <f>+ISNUMBER(SEARCH('F-VTA'!$F$30,Tabla11[[#This Row],[Cuenta]],1))</f>
        <v>1</v>
      </c>
      <c r="AL865" t="b">
        <f>+ISNUMBER(SEARCH('F-VTA'!$F$31,Tabla11[[#This Row],[Cuenta]],1))</f>
        <v>1</v>
      </c>
      <c r="AM865" t="b">
        <f>+ISNUMBER(SEARCH('F-VTA'!$F$32,Tabla11[[#This Row],[Cuenta]],1))</f>
        <v>1</v>
      </c>
      <c r="AN865" t="b">
        <f>+ISNUMBER(SEARCH('F-VTA'!$F$33,Tabla11[[#This Row],[Cuenta]],1))</f>
        <v>1</v>
      </c>
      <c r="AO865" t="b">
        <f>+ISNUMBER(SEARCH('F-VTA'!$F$34,Tabla11[[#This Row],[Cuenta]],1))</f>
        <v>1</v>
      </c>
      <c r="AP865" t="b">
        <f>+ISNUMBER(SEARCH('F-VTA'!$F$35,Tabla11[[#This Row],[Cuenta]],1))</f>
        <v>1</v>
      </c>
      <c r="AQ865" t="b">
        <f>+ISNUMBER(SEARCH('F-VTA'!$F$36,Tabla11[[#This Row],[Cuenta]],1))</f>
        <v>1</v>
      </c>
      <c r="AR865" t="b">
        <f>+ISNUMBER(SEARCH(#REF!,Tabla11[[#This Row],[Cuenta]],1))</f>
        <v>0</v>
      </c>
      <c r="AS865" t="b">
        <f>+ISNUMBER(SEARCH(#REF!,Tabla11[[#This Row],[Cuenta]],1))</f>
        <v>0</v>
      </c>
      <c r="AT865" t="b">
        <f>+ISNUMBER(SEARCH(#REF!,Tabla11[[#This Row],[Cuenta]],1))</f>
        <v>0</v>
      </c>
      <c r="AU865" t="b">
        <f>+ISNUMBER(SEARCH('Conc. Ban.1'!$I$9,Tabla11[[#This Row],[Cuenta]],1))</f>
        <v>0</v>
      </c>
      <c r="AV865" t="b">
        <f>+ISNUMBER(SEARCH(CompConta!$F$21,Tabla11[[#This Row],[Cuenta]],1))</f>
        <v>1</v>
      </c>
      <c r="AW865" t="b">
        <f>+ISNUMBER(SEARCH(CompConta!$F$22,Tabla11[[#This Row],[Cuenta]],1))</f>
        <v>1</v>
      </c>
      <c r="AX865" t="b">
        <f>+ISNUMBER(SEARCH(CompConta!$F$23,Tabla11[[#This Row],[Cuenta]],1))</f>
        <v>1</v>
      </c>
      <c r="AY865" t="b">
        <f>+ISNUMBER(SEARCH(CompConta!$F$24,Tabla11[[#This Row],[Cuenta]],1))</f>
        <v>1</v>
      </c>
      <c r="AZ865" t="b">
        <f>+ISNUMBER(SEARCH(CompConta!$F$25,Tabla11[[#This Row],[Cuenta]],1))</f>
        <v>1</v>
      </c>
      <c r="BA865" t="b">
        <f>+ISNUMBER(SEARCH(CompConta!$F$26,Tabla11[[#This Row],[Cuenta]],1))</f>
        <v>1</v>
      </c>
      <c r="BB865" t="b">
        <f>+ISNUMBER(SEARCH(CompConta!$F$27,Tabla11[[#This Row],[Cuenta]],1))</f>
        <v>1</v>
      </c>
      <c r="BC865" t="b">
        <f>+ISNUMBER(SEARCH(CompConta!$F$28,Tabla11[[#This Row],[Cuenta]],1))</f>
        <v>1</v>
      </c>
      <c r="BD865" t="b">
        <f>+ISNUMBER(SEARCH(CompConta!$F$29,Tabla11[[#This Row],[Cuenta]],1))</f>
        <v>1</v>
      </c>
      <c r="BE865" t="b">
        <f>+ISNUMBER(SEARCH(CompConta!$F$30,Tabla11[[#This Row],[Cuenta]],1))</f>
        <v>1</v>
      </c>
      <c r="BF865" t="b">
        <f>+ISNUMBER(SEARCH('PAGO Compras'!$E$11,Tabla11[[#This Row],[Cuenta]],1))</f>
        <v>1</v>
      </c>
      <c r="BG865" t="b">
        <f>+ISNUMBER(SEARCH(#REF!,Tabla11[[#This Row],[Cuenta]],1))</f>
        <v>0</v>
      </c>
      <c r="BH865" t="b">
        <f>+ISNUMBER(SEARCH(#REF!,Tabla11[[#This Row],[Cuenta]],1))</f>
        <v>0</v>
      </c>
      <c r="BI865" t="b">
        <f>+ISNUMBER(SEARCH(#REF!,Tabla11[[#This Row],[Cuenta]],1))</f>
        <v>0</v>
      </c>
      <c r="BJ865" t="b">
        <f>+ISNUMBER(SEARCH(#REF!,Tabla11[[#This Row],[Cuenta]],1))</f>
        <v>0</v>
      </c>
      <c r="BS865" t="str">
        <v>513555 Gas</v>
      </c>
      <c r="BT865" t="str">
        <v>513555 Gas</v>
      </c>
      <c r="BU865" t="str">
        <v>513555 Gas</v>
      </c>
      <c r="BV865" t="str">
        <v>513555 Gas</v>
      </c>
      <c r="BZ865" t="str">
        <v>513555 Gas</v>
      </c>
      <c r="CA865" t="str">
        <v>513555 Gas</v>
      </c>
      <c r="CB865" t="str">
        <v>513555 Gas</v>
      </c>
      <c r="CC865" t="str">
        <v>513555 Gas</v>
      </c>
      <c r="CD865" t="str">
        <v>513555 Gas</v>
      </c>
      <c r="CE865" t="str">
        <v>513555 Gas</v>
      </c>
      <c r="CS865" s="141" t="str">
        <v>513555 Gas</v>
      </c>
      <c r="CT865" s="141" t="str">
        <v>513555 Gas</v>
      </c>
      <c r="CU865" s="141" t="str">
        <v>513555 Gas</v>
      </c>
      <c r="CV865" s="141" t="str">
        <v>513555 Gas</v>
      </c>
      <c r="CW865" s="141" t="str">
        <v>513555 Gas</v>
      </c>
      <c r="CX865" s="141" t="str">
        <v>513555 Gas</v>
      </c>
      <c r="CY865" s="141" t="str">
        <v>513555 Gas</v>
      </c>
      <c r="CZ865" s="141" t="str">
        <v>513555 Gas</v>
      </c>
      <c r="DA865" s="141" t="str">
        <v>513555 Gas</v>
      </c>
      <c r="DF865" t="str">
        <v>513555 Gas</v>
      </c>
      <c r="DG865" t="str">
        <v>513555 Gas</v>
      </c>
      <c r="DH865" t="str">
        <v>513555 Gas</v>
      </c>
      <c r="DI865" t="str">
        <v>513555 Gas</v>
      </c>
      <c r="DJ865" t="str">
        <v>513555 Gas</v>
      </c>
      <c r="DK865" t="str">
        <v>513555 Gas</v>
      </c>
      <c r="DL865" t="str">
        <v>513555 Gas</v>
      </c>
      <c r="DM865" t="str">
        <v>513555 Gas</v>
      </c>
      <c r="DN865" t="str">
        <v>513555 Gas</v>
      </c>
      <c r="DO865" t="str">
        <v>513555 Gas</v>
      </c>
      <c r="DP865" t="str">
        <v>513555 Gas</v>
      </c>
    </row>
    <row r="866" spans="4:120" ht="12.75">
      <c r="D866" s="7">
        <v>513595</v>
      </c>
      <c r="E866" s="6" t="s">
        <v>790</v>
      </c>
      <c r="F866" s="5">
        <v>4</v>
      </c>
      <c r="G866" s="34" t="s">
        <v>830</v>
      </c>
      <c r="H866" s="8" t="s">
        <v>32</v>
      </c>
      <c r="I866" t="b">
        <f>+ISNUMBER(SEARCH('F-COMPRA'!$F$28,Tabla11[[#This Row],[Cuenta]],1))</f>
        <v>1</v>
      </c>
      <c r="J866" t="b">
        <f>+ISNUMBER(SEARCH('F-COMPRA'!$F$29,Tabla11[[#This Row],[Cuenta]],1))</f>
        <v>1</v>
      </c>
      <c r="K866" t="b">
        <f>+ISNUMBER(SEARCH('F-COMPRA'!$F$30,Tabla11[[#This Row],[Cuenta]],1))</f>
        <v>1</v>
      </c>
      <c r="L866" t="b">
        <f>+ISNUMBER(SEARCH('F-COMPRA'!$F$31,Tabla11[[#This Row],[Cuenta]],1))</f>
        <v>1</v>
      </c>
      <c r="M866" t="b">
        <f>+ISNUMBER(SEARCH('F-COMPRA'!$G$25,Tabla11[[#This Row],[Cuenta]],1))</f>
        <v>0</v>
      </c>
      <c r="N866" t="b">
        <f>+ISNUMBER(SEARCH(#REF!,Tabla11[[#This Row],[Cuenta]],1))</f>
        <v>0</v>
      </c>
      <c r="O866" t="b">
        <f>+ISNUMBER(SEARCH(#REF!,Tabla11[[#This Row],[Cuenta]],1))</f>
        <v>0</v>
      </c>
      <c r="P866" t="b">
        <f>+ISNUMBER(SEARCH('F-COMPRA'!$F$32,Tabla11[[#This Row],[Cuenta]],1))</f>
        <v>1</v>
      </c>
      <c r="Q866" t="b">
        <f>+ISNUMBER(SEARCH('F-COMPRA'!$F$33,Tabla11[[#This Row],[Cuenta]],1))</f>
        <v>1</v>
      </c>
      <c r="R866" t="b">
        <f>+ISNUMBER(SEARCH('F-COMPRA'!$F$34,Tabla11[[#This Row],[Cuenta]],1))</f>
        <v>1</v>
      </c>
      <c r="S866" t="b">
        <f>+ISNUMBER(SEARCH('F-COMPRA'!$F$35,Tabla11[[#This Row],[Cuenta]],1))</f>
        <v>1</v>
      </c>
      <c r="T866" t="b">
        <f>+ISNUMBER(SEARCH('F-COMPRA'!$F$36,Tabla11[[#This Row],[Cuenta]],1))</f>
        <v>1</v>
      </c>
      <c r="U866" t="b">
        <f>+ISNUMBER(SEARCH('F-COMPRA'!$F$37,Tabla11[[#This Row],[Cuenta]],1))</f>
        <v>1</v>
      </c>
      <c r="V866" t="b">
        <f>+ISNUMBER(SEARCH(#REF!,Tabla11[[#This Row],[Cuenta]],1))</f>
        <v>0</v>
      </c>
      <c r="W866" t="b">
        <f>+ISNUMBER(SEARCH('F-COMPRA'!#REF!,Tabla11[[#This Row],[Cuenta]],1))</f>
        <v>0</v>
      </c>
      <c r="X866" t="b">
        <f>+ISNUMBER(SEARCH('F-COMPRA'!#REF!,Tabla11[[#This Row],[Cuenta]],1))</f>
        <v>0</v>
      </c>
      <c r="Y866" t="b">
        <f>+ISNUMBER(SEARCH('F-COMPRA'!#REF!,Tabla11[[#This Row],[Cuenta]],1))</f>
        <v>0</v>
      </c>
      <c r="Z866" t="b">
        <f>+ISNUMBER(SEARCH('F-COMPRA'!#REF!,Tabla11[[#This Row],[Cuenta]],1))</f>
        <v>0</v>
      </c>
      <c r="AA866" t="b">
        <f>+ISNUMBER(SEARCH('F-COMPRA'!#REF!,Tabla11[[#This Row],[Cuenta]],1))</f>
        <v>0</v>
      </c>
      <c r="AB866" t="b">
        <f>+ISNUMBER(SEARCH('F-COMPRA'!#REF!,Tabla11[[#This Row],[Cuenta]],1))</f>
        <v>0</v>
      </c>
      <c r="AC866" t="b">
        <f>+ISNUMBER(SEARCH('F-COMPRA'!#REF!,Tabla11[[#This Row],[Cuenta]],1))</f>
        <v>0</v>
      </c>
      <c r="AD866" t="b">
        <f>+ISNUMBER(SEARCH('F-COMPRA'!#REF!,Tabla11[[#This Row],[Cuenta]],1))</f>
        <v>0</v>
      </c>
      <c r="AE866" t="b">
        <f>+ISNUMBER(SEARCH('F-COMPRA'!#REF!,Tabla11[[#This Row],[Cuenta]],1))</f>
        <v>0</v>
      </c>
      <c r="AF866" t="b">
        <f>+ISNUMBER(SEARCH('F-VTA'!$G$23,Tabla11[[#This Row],[Cuenta]],1))</f>
        <v>0</v>
      </c>
      <c r="AG866" t="b">
        <f>+ISNUMBER(SEARCH('F-VTA'!$G$24,Tabla11[[#This Row],[Cuenta]],1))</f>
        <v>0</v>
      </c>
      <c r="AH866" t="b">
        <f>+ISNUMBER(SEARCH('F-VTA'!$G$25,Tabla11[[#This Row],[Cuenta]],1))</f>
        <v>0</v>
      </c>
      <c r="AI866" t="b">
        <f>+ISNUMBER(SEARCH('F-VTA'!$F$28,Tabla11[[#This Row],[Cuenta]],1))</f>
        <v>1</v>
      </c>
      <c r="AJ866" t="b">
        <f>+ISNUMBER(SEARCH('F-VTA'!$F$29,Tabla11[[#This Row],[Cuenta]],1))</f>
        <v>1</v>
      </c>
      <c r="AK866" t="b">
        <f>+ISNUMBER(SEARCH('F-VTA'!$F$30,Tabla11[[#This Row],[Cuenta]],1))</f>
        <v>1</v>
      </c>
      <c r="AL866" t="b">
        <f>+ISNUMBER(SEARCH('F-VTA'!$F$31,Tabla11[[#This Row],[Cuenta]],1))</f>
        <v>1</v>
      </c>
      <c r="AM866" t="b">
        <f>+ISNUMBER(SEARCH('F-VTA'!$F$32,Tabla11[[#This Row],[Cuenta]],1))</f>
        <v>1</v>
      </c>
      <c r="AN866" t="b">
        <f>+ISNUMBER(SEARCH('F-VTA'!$F$33,Tabla11[[#This Row],[Cuenta]],1))</f>
        <v>1</v>
      </c>
      <c r="AO866" t="b">
        <f>+ISNUMBER(SEARCH('F-VTA'!$F$34,Tabla11[[#This Row],[Cuenta]],1))</f>
        <v>1</v>
      </c>
      <c r="AP866" t="b">
        <f>+ISNUMBER(SEARCH('F-VTA'!$F$35,Tabla11[[#This Row],[Cuenta]],1))</f>
        <v>1</v>
      </c>
      <c r="AQ866" t="b">
        <f>+ISNUMBER(SEARCH('F-VTA'!$F$36,Tabla11[[#This Row],[Cuenta]],1))</f>
        <v>1</v>
      </c>
      <c r="AR866" t="b">
        <f>+ISNUMBER(SEARCH(#REF!,Tabla11[[#This Row],[Cuenta]],1))</f>
        <v>0</v>
      </c>
      <c r="AS866" t="b">
        <f>+ISNUMBER(SEARCH(#REF!,Tabla11[[#This Row],[Cuenta]],1))</f>
        <v>0</v>
      </c>
      <c r="AT866" t="b">
        <f>+ISNUMBER(SEARCH(#REF!,Tabla11[[#This Row],[Cuenta]],1))</f>
        <v>0</v>
      </c>
      <c r="AU866" t="b">
        <f>+ISNUMBER(SEARCH('Conc. Ban.1'!$I$9,Tabla11[[#This Row],[Cuenta]],1))</f>
        <v>0</v>
      </c>
      <c r="AV866" t="b">
        <f>+ISNUMBER(SEARCH(CompConta!$F$21,Tabla11[[#This Row],[Cuenta]],1))</f>
        <v>1</v>
      </c>
      <c r="AW866" t="b">
        <f>+ISNUMBER(SEARCH(CompConta!$F$22,Tabla11[[#This Row],[Cuenta]],1))</f>
        <v>1</v>
      </c>
      <c r="AX866" t="b">
        <f>+ISNUMBER(SEARCH(CompConta!$F$23,Tabla11[[#This Row],[Cuenta]],1))</f>
        <v>1</v>
      </c>
      <c r="AY866" t="b">
        <f>+ISNUMBER(SEARCH(CompConta!$F$24,Tabla11[[#This Row],[Cuenta]],1))</f>
        <v>1</v>
      </c>
      <c r="AZ866" t="b">
        <f>+ISNUMBER(SEARCH(CompConta!$F$25,Tabla11[[#This Row],[Cuenta]],1))</f>
        <v>1</v>
      </c>
      <c r="BA866" t="b">
        <f>+ISNUMBER(SEARCH(CompConta!$F$26,Tabla11[[#This Row],[Cuenta]],1))</f>
        <v>1</v>
      </c>
      <c r="BB866" t="b">
        <f>+ISNUMBER(SEARCH(CompConta!$F$27,Tabla11[[#This Row],[Cuenta]],1))</f>
        <v>1</v>
      </c>
      <c r="BC866" t="b">
        <f>+ISNUMBER(SEARCH(CompConta!$F$28,Tabla11[[#This Row],[Cuenta]],1))</f>
        <v>1</v>
      </c>
      <c r="BD866" t="b">
        <f>+ISNUMBER(SEARCH(CompConta!$F$29,Tabla11[[#This Row],[Cuenta]],1))</f>
        <v>1</v>
      </c>
      <c r="BE866" t="b">
        <f>+ISNUMBER(SEARCH(CompConta!$F$30,Tabla11[[#This Row],[Cuenta]],1))</f>
        <v>1</v>
      </c>
      <c r="BF866" t="b">
        <f>+ISNUMBER(SEARCH('PAGO Compras'!$E$11,Tabla11[[#This Row],[Cuenta]],1))</f>
        <v>1</v>
      </c>
      <c r="BG866" t="b">
        <f>+ISNUMBER(SEARCH(#REF!,Tabla11[[#This Row],[Cuenta]],1))</f>
        <v>0</v>
      </c>
      <c r="BH866" t="b">
        <f>+ISNUMBER(SEARCH(#REF!,Tabla11[[#This Row],[Cuenta]],1))</f>
        <v>0</v>
      </c>
      <c r="BI866" t="b">
        <f>+ISNUMBER(SEARCH(#REF!,Tabla11[[#This Row],[Cuenta]],1))</f>
        <v>0</v>
      </c>
      <c r="BJ866" t="b">
        <f>+ISNUMBER(SEARCH(#REF!,Tabla11[[#This Row],[Cuenta]],1))</f>
        <v>0</v>
      </c>
      <c r="BS866" t="str">
        <v xml:space="preserve">513595 EMOLUMENTOS ECLESIASTICOS </v>
      </c>
      <c r="BT866" t="str">
        <v xml:space="preserve">513595 EMOLUMENTOS ECLESIASTICOS </v>
      </c>
      <c r="BU866" t="str">
        <v xml:space="preserve">513595 EMOLUMENTOS ECLESIASTICOS </v>
      </c>
      <c r="BV866" t="str">
        <v xml:space="preserve">513595 EMOLUMENTOS ECLESIASTICOS </v>
      </c>
      <c r="BZ866" t="str">
        <v xml:space="preserve">513595 EMOLUMENTOS ECLESIASTICOS </v>
      </c>
      <c r="CA866" t="str">
        <v xml:space="preserve">513595 EMOLUMENTOS ECLESIASTICOS </v>
      </c>
      <c r="CB866" t="str">
        <v xml:space="preserve">513595 EMOLUMENTOS ECLESIASTICOS </v>
      </c>
      <c r="CC866" t="str">
        <v xml:space="preserve">513595 EMOLUMENTOS ECLESIASTICOS </v>
      </c>
      <c r="CD866" t="str">
        <v xml:space="preserve">513595 EMOLUMENTOS ECLESIASTICOS </v>
      </c>
      <c r="CE866" t="str">
        <v xml:space="preserve">513595 EMOLUMENTOS ECLESIASTICOS </v>
      </c>
      <c r="CS866" s="141" t="str">
        <v xml:space="preserve">513595 EMOLUMENTOS ECLESIASTICOS </v>
      </c>
      <c r="CT866" s="141" t="str">
        <v xml:space="preserve">513595 EMOLUMENTOS ECLESIASTICOS </v>
      </c>
      <c r="CU866" s="141" t="str">
        <v xml:space="preserve">513595 EMOLUMENTOS ECLESIASTICOS </v>
      </c>
      <c r="CV866" s="141" t="str">
        <v xml:space="preserve">513595 EMOLUMENTOS ECLESIASTICOS </v>
      </c>
      <c r="CW866" s="141" t="str">
        <v xml:space="preserve">513595 EMOLUMENTOS ECLESIASTICOS </v>
      </c>
      <c r="CX866" s="141" t="str">
        <v xml:space="preserve">513595 EMOLUMENTOS ECLESIASTICOS </v>
      </c>
      <c r="CY866" s="141" t="str">
        <v xml:space="preserve">513595 EMOLUMENTOS ECLESIASTICOS </v>
      </c>
      <c r="CZ866" s="141" t="str">
        <v xml:space="preserve">513595 EMOLUMENTOS ECLESIASTICOS </v>
      </c>
      <c r="DA866" s="141" t="str">
        <v xml:space="preserve">513595 EMOLUMENTOS ECLESIASTICOS </v>
      </c>
      <c r="DF866" t="str">
        <v xml:space="preserve">513595 EMOLUMENTOS ECLESIASTICOS </v>
      </c>
      <c r="DG866" t="str">
        <v xml:space="preserve">513595 EMOLUMENTOS ECLESIASTICOS </v>
      </c>
      <c r="DH866" t="str">
        <v xml:space="preserve">513595 EMOLUMENTOS ECLESIASTICOS </v>
      </c>
      <c r="DI866" t="str">
        <v xml:space="preserve">513595 EMOLUMENTOS ECLESIASTICOS </v>
      </c>
      <c r="DJ866" t="str">
        <v xml:space="preserve">513595 EMOLUMENTOS ECLESIASTICOS </v>
      </c>
      <c r="DK866" t="str">
        <v xml:space="preserve">513595 EMOLUMENTOS ECLESIASTICOS </v>
      </c>
      <c r="DL866" t="str">
        <v xml:space="preserve">513595 EMOLUMENTOS ECLESIASTICOS </v>
      </c>
      <c r="DM866" t="str">
        <v xml:space="preserve">513595 EMOLUMENTOS ECLESIASTICOS </v>
      </c>
      <c r="DN866" t="str">
        <v xml:space="preserve">513595 EMOLUMENTOS ECLESIASTICOS </v>
      </c>
      <c r="DO866" t="str">
        <v xml:space="preserve">513595 EMOLUMENTOS ECLESIASTICOS </v>
      </c>
      <c r="DP866" t="str">
        <v xml:space="preserve">513595 EMOLUMENTOS ECLESIASTICOS </v>
      </c>
    </row>
    <row r="867" spans="4:120" ht="12.75">
      <c r="D867" s="7">
        <v>51359505</v>
      </c>
      <c r="E867" s="6" t="s">
        <v>790</v>
      </c>
      <c r="F867" s="5">
        <v>5</v>
      </c>
      <c r="G867" s="34" t="s">
        <v>830</v>
      </c>
      <c r="H867" s="8" t="s">
        <v>32</v>
      </c>
      <c r="I867" t="b">
        <f>+ISNUMBER(SEARCH('F-COMPRA'!$F$28,Tabla11[[#This Row],[Cuenta]],1))</f>
        <v>1</v>
      </c>
      <c r="J867" t="b">
        <f>+ISNUMBER(SEARCH('F-COMPRA'!$F$29,Tabla11[[#This Row],[Cuenta]],1))</f>
        <v>1</v>
      </c>
      <c r="K867" t="b">
        <f>+ISNUMBER(SEARCH('F-COMPRA'!$F$30,Tabla11[[#This Row],[Cuenta]],1))</f>
        <v>1</v>
      </c>
      <c r="L867" t="b">
        <f>+ISNUMBER(SEARCH('F-COMPRA'!$F$31,Tabla11[[#This Row],[Cuenta]],1))</f>
        <v>1</v>
      </c>
      <c r="M867" t="b">
        <f>+ISNUMBER(SEARCH('F-COMPRA'!$G$25,Tabla11[[#This Row],[Cuenta]],1))</f>
        <v>0</v>
      </c>
      <c r="N867" t="b">
        <f>+ISNUMBER(SEARCH(#REF!,Tabla11[[#This Row],[Cuenta]],1))</f>
        <v>0</v>
      </c>
      <c r="O867" t="b">
        <f>+ISNUMBER(SEARCH(#REF!,Tabla11[[#This Row],[Cuenta]],1))</f>
        <v>0</v>
      </c>
      <c r="P867" t="b">
        <f>+ISNUMBER(SEARCH('F-COMPRA'!$F$32,Tabla11[[#This Row],[Cuenta]],1))</f>
        <v>1</v>
      </c>
      <c r="Q867" t="b">
        <f>+ISNUMBER(SEARCH('F-COMPRA'!$F$33,Tabla11[[#This Row],[Cuenta]],1))</f>
        <v>1</v>
      </c>
      <c r="R867" t="b">
        <f>+ISNUMBER(SEARCH('F-COMPRA'!$F$34,Tabla11[[#This Row],[Cuenta]],1))</f>
        <v>1</v>
      </c>
      <c r="S867" t="b">
        <f>+ISNUMBER(SEARCH('F-COMPRA'!$F$35,Tabla11[[#This Row],[Cuenta]],1))</f>
        <v>1</v>
      </c>
      <c r="T867" t="b">
        <f>+ISNUMBER(SEARCH('F-COMPRA'!$F$36,Tabla11[[#This Row],[Cuenta]],1))</f>
        <v>1</v>
      </c>
      <c r="U867" t="b">
        <f>+ISNUMBER(SEARCH('F-COMPRA'!$F$37,Tabla11[[#This Row],[Cuenta]],1))</f>
        <v>1</v>
      </c>
      <c r="V867" t="b">
        <f>+ISNUMBER(SEARCH(#REF!,Tabla11[[#This Row],[Cuenta]],1))</f>
        <v>0</v>
      </c>
      <c r="W867" t="b">
        <f>+ISNUMBER(SEARCH('F-COMPRA'!#REF!,Tabla11[[#This Row],[Cuenta]],1))</f>
        <v>0</v>
      </c>
      <c r="X867" t="b">
        <f>+ISNUMBER(SEARCH('F-COMPRA'!#REF!,Tabla11[[#This Row],[Cuenta]],1))</f>
        <v>0</v>
      </c>
      <c r="Y867" t="b">
        <f>+ISNUMBER(SEARCH('F-COMPRA'!#REF!,Tabla11[[#This Row],[Cuenta]],1))</f>
        <v>0</v>
      </c>
      <c r="Z867" t="b">
        <f>+ISNUMBER(SEARCH('F-COMPRA'!#REF!,Tabla11[[#This Row],[Cuenta]],1))</f>
        <v>0</v>
      </c>
      <c r="AA867" t="b">
        <f>+ISNUMBER(SEARCH('F-COMPRA'!#REF!,Tabla11[[#This Row],[Cuenta]],1))</f>
        <v>0</v>
      </c>
      <c r="AB867" t="b">
        <f>+ISNUMBER(SEARCH('F-COMPRA'!#REF!,Tabla11[[#This Row],[Cuenta]],1))</f>
        <v>0</v>
      </c>
      <c r="AC867" t="b">
        <f>+ISNUMBER(SEARCH('F-COMPRA'!#REF!,Tabla11[[#This Row],[Cuenta]],1))</f>
        <v>0</v>
      </c>
      <c r="AD867" t="b">
        <f>+ISNUMBER(SEARCH('F-COMPRA'!#REF!,Tabla11[[#This Row],[Cuenta]],1))</f>
        <v>0</v>
      </c>
      <c r="AE867" t="b">
        <f>+ISNUMBER(SEARCH('F-COMPRA'!#REF!,Tabla11[[#This Row],[Cuenta]],1))</f>
        <v>0</v>
      </c>
      <c r="AF867" t="b">
        <f>+ISNUMBER(SEARCH('F-VTA'!$G$23,Tabla11[[#This Row],[Cuenta]],1))</f>
        <v>0</v>
      </c>
      <c r="AG867" t="b">
        <f>+ISNUMBER(SEARCH('F-VTA'!$G$24,Tabla11[[#This Row],[Cuenta]],1))</f>
        <v>0</v>
      </c>
      <c r="AH867" t="b">
        <f>+ISNUMBER(SEARCH('F-VTA'!$G$25,Tabla11[[#This Row],[Cuenta]],1))</f>
        <v>0</v>
      </c>
      <c r="AI867" t="b">
        <f>+ISNUMBER(SEARCH('F-VTA'!$F$28,Tabla11[[#This Row],[Cuenta]],1))</f>
        <v>1</v>
      </c>
      <c r="AJ867" t="b">
        <f>+ISNUMBER(SEARCH('F-VTA'!$F$29,Tabla11[[#This Row],[Cuenta]],1))</f>
        <v>1</v>
      </c>
      <c r="AK867" t="b">
        <f>+ISNUMBER(SEARCH('F-VTA'!$F$30,Tabla11[[#This Row],[Cuenta]],1))</f>
        <v>1</v>
      </c>
      <c r="AL867" t="b">
        <f>+ISNUMBER(SEARCH('F-VTA'!$F$31,Tabla11[[#This Row],[Cuenta]],1))</f>
        <v>1</v>
      </c>
      <c r="AM867" t="b">
        <f>+ISNUMBER(SEARCH('F-VTA'!$F$32,Tabla11[[#This Row],[Cuenta]],1))</f>
        <v>1</v>
      </c>
      <c r="AN867" t="b">
        <f>+ISNUMBER(SEARCH('F-VTA'!$F$33,Tabla11[[#This Row],[Cuenta]],1))</f>
        <v>1</v>
      </c>
      <c r="AO867" t="b">
        <f>+ISNUMBER(SEARCH('F-VTA'!$F$34,Tabla11[[#This Row],[Cuenta]],1))</f>
        <v>1</v>
      </c>
      <c r="AP867" t="b">
        <f>+ISNUMBER(SEARCH('F-VTA'!$F$35,Tabla11[[#This Row],[Cuenta]],1))</f>
        <v>1</v>
      </c>
      <c r="AQ867" t="b">
        <f>+ISNUMBER(SEARCH('F-VTA'!$F$36,Tabla11[[#This Row],[Cuenta]],1))</f>
        <v>1</v>
      </c>
      <c r="AR867" t="b">
        <f>+ISNUMBER(SEARCH(#REF!,Tabla11[[#This Row],[Cuenta]],1))</f>
        <v>0</v>
      </c>
      <c r="AS867" t="b">
        <f>+ISNUMBER(SEARCH(#REF!,Tabla11[[#This Row],[Cuenta]],1))</f>
        <v>0</v>
      </c>
      <c r="AT867" t="b">
        <f>+ISNUMBER(SEARCH(#REF!,Tabla11[[#This Row],[Cuenta]],1))</f>
        <v>0</v>
      </c>
      <c r="AU867" t="b">
        <f>+ISNUMBER(SEARCH('Conc. Ban.1'!$I$9,Tabla11[[#This Row],[Cuenta]],1))</f>
        <v>0</v>
      </c>
      <c r="AV867" t="b">
        <f>+ISNUMBER(SEARCH(CompConta!$F$21,Tabla11[[#This Row],[Cuenta]],1))</f>
        <v>1</v>
      </c>
      <c r="AW867" t="b">
        <f>+ISNUMBER(SEARCH(CompConta!$F$22,Tabla11[[#This Row],[Cuenta]],1))</f>
        <v>1</v>
      </c>
      <c r="AX867" t="b">
        <f>+ISNUMBER(SEARCH(CompConta!$F$23,Tabla11[[#This Row],[Cuenta]],1))</f>
        <v>1</v>
      </c>
      <c r="AY867" t="b">
        <f>+ISNUMBER(SEARCH(CompConta!$F$24,Tabla11[[#This Row],[Cuenta]],1))</f>
        <v>1</v>
      </c>
      <c r="AZ867" t="b">
        <f>+ISNUMBER(SEARCH(CompConta!$F$25,Tabla11[[#This Row],[Cuenta]],1))</f>
        <v>1</v>
      </c>
      <c r="BA867" t="b">
        <f>+ISNUMBER(SEARCH(CompConta!$F$26,Tabla11[[#This Row],[Cuenta]],1))</f>
        <v>1</v>
      </c>
      <c r="BB867" t="b">
        <f>+ISNUMBER(SEARCH(CompConta!$F$27,Tabla11[[#This Row],[Cuenta]],1))</f>
        <v>1</v>
      </c>
      <c r="BC867" t="b">
        <f>+ISNUMBER(SEARCH(CompConta!$F$28,Tabla11[[#This Row],[Cuenta]],1))</f>
        <v>1</v>
      </c>
      <c r="BD867" t="b">
        <f>+ISNUMBER(SEARCH(CompConta!$F$29,Tabla11[[#This Row],[Cuenta]],1))</f>
        <v>1</v>
      </c>
      <c r="BE867" t="b">
        <f>+ISNUMBER(SEARCH(CompConta!$F$30,Tabla11[[#This Row],[Cuenta]],1))</f>
        <v>1</v>
      </c>
      <c r="BF867" t="b">
        <f>+ISNUMBER(SEARCH('PAGO Compras'!$E$11,Tabla11[[#This Row],[Cuenta]],1))</f>
        <v>1</v>
      </c>
      <c r="BG867" t="b">
        <f>+ISNUMBER(SEARCH(#REF!,Tabla11[[#This Row],[Cuenta]],1))</f>
        <v>0</v>
      </c>
      <c r="BH867" t="b">
        <f>+ISNUMBER(SEARCH(#REF!,Tabla11[[#This Row],[Cuenta]],1))</f>
        <v>0</v>
      </c>
      <c r="BI867" t="b">
        <f>+ISNUMBER(SEARCH(#REF!,Tabla11[[#This Row],[Cuenta]],1))</f>
        <v>0</v>
      </c>
      <c r="BJ867" t="b">
        <f>+ISNUMBER(SEARCH(#REF!,Tabla11[[#This Row],[Cuenta]],1))</f>
        <v>0</v>
      </c>
      <c r="BS867" t="str">
        <v xml:space="preserve">51359505 EMOLUMENTOS ECLESIASTICOS </v>
      </c>
      <c r="BT867" t="str">
        <v xml:space="preserve">51359505 EMOLUMENTOS ECLESIASTICOS </v>
      </c>
      <c r="BU867" t="str">
        <v xml:space="preserve">51359505 EMOLUMENTOS ECLESIASTICOS </v>
      </c>
      <c r="BV867" t="str">
        <v xml:space="preserve">51359505 EMOLUMENTOS ECLESIASTICOS </v>
      </c>
      <c r="BZ867" t="str">
        <v xml:space="preserve">51359505 EMOLUMENTOS ECLESIASTICOS </v>
      </c>
      <c r="CA867" t="str">
        <v xml:space="preserve">51359505 EMOLUMENTOS ECLESIASTICOS </v>
      </c>
      <c r="CB867" t="str">
        <v xml:space="preserve">51359505 EMOLUMENTOS ECLESIASTICOS </v>
      </c>
      <c r="CC867" t="str">
        <v xml:space="preserve">51359505 EMOLUMENTOS ECLESIASTICOS </v>
      </c>
      <c r="CD867" t="str">
        <v xml:space="preserve">51359505 EMOLUMENTOS ECLESIASTICOS </v>
      </c>
      <c r="CE867" t="str">
        <v xml:space="preserve">51359505 EMOLUMENTOS ECLESIASTICOS </v>
      </c>
      <c r="CS867" s="141" t="str">
        <v xml:space="preserve">51359505 EMOLUMENTOS ECLESIASTICOS </v>
      </c>
      <c r="CT867" s="141" t="str">
        <v xml:space="preserve">51359505 EMOLUMENTOS ECLESIASTICOS </v>
      </c>
      <c r="CU867" s="141" t="str">
        <v xml:space="preserve">51359505 EMOLUMENTOS ECLESIASTICOS </v>
      </c>
      <c r="CV867" s="141" t="str">
        <v xml:space="preserve">51359505 EMOLUMENTOS ECLESIASTICOS </v>
      </c>
      <c r="CW867" s="141" t="str">
        <v xml:space="preserve">51359505 EMOLUMENTOS ECLESIASTICOS </v>
      </c>
      <c r="CX867" s="141" t="str">
        <v xml:space="preserve">51359505 EMOLUMENTOS ECLESIASTICOS </v>
      </c>
      <c r="CY867" s="141" t="str">
        <v xml:space="preserve">51359505 EMOLUMENTOS ECLESIASTICOS </v>
      </c>
      <c r="CZ867" s="141" t="str">
        <v xml:space="preserve">51359505 EMOLUMENTOS ECLESIASTICOS </v>
      </c>
      <c r="DA867" s="141" t="str">
        <v xml:space="preserve">51359505 EMOLUMENTOS ECLESIASTICOS </v>
      </c>
      <c r="DF867" t="str">
        <v xml:space="preserve">51359505 EMOLUMENTOS ECLESIASTICOS </v>
      </c>
      <c r="DG867" t="str">
        <v xml:space="preserve">51359505 EMOLUMENTOS ECLESIASTICOS </v>
      </c>
      <c r="DH867" t="str">
        <v xml:space="preserve">51359505 EMOLUMENTOS ECLESIASTICOS </v>
      </c>
      <c r="DI867" t="str">
        <v xml:space="preserve">51359505 EMOLUMENTOS ECLESIASTICOS </v>
      </c>
      <c r="DJ867" t="str">
        <v xml:space="preserve">51359505 EMOLUMENTOS ECLESIASTICOS </v>
      </c>
      <c r="DK867" t="str">
        <v xml:space="preserve">51359505 EMOLUMENTOS ECLESIASTICOS </v>
      </c>
      <c r="DL867" t="str">
        <v xml:space="preserve">51359505 EMOLUMENTOS ECLESIASTICOS </v>
      </c>
      <c r="DM867" t="str">
        <v xml:space="preserve">51359505 EMOLUMENTOS ECLESIASTICOS </v>
      </c>
      <c r="DN867" t="str">
        <v xml:space="preserve">51359505 EMOLUMENTOS ECLESIASTICOS </v>
      </c>
      <c r="DO867" t="str">
        <v xml:space="preserve">51359505 EMOLUMENTOS ECLESIASTICOS </v>
      </c>
      <c r="DP867" t="str">
        <v xml:space="preserve">51359505 EMOLUMENTOS ECLESIASTICOS </v>
      </c>
    </row>
    <row r="868" spans="4:120" ht="12.75">
      <c r="D868" s="7">
        <v>513599</v>
      </c>
      <c r="E868" s="6" t="s">
        <v>93</v>
      </c>
      <c r="F868" s="5">
        <v>4</v>
      </c>
      <c r="G868" s="34" t="s">
        <v>830</v>
      </c>
      <c r="H868" s="8" t="s">
        <v>32</v>
      </c>
      <c r="I868" t="b">
        <f>+ISNUMBER(SEARCH('F-COMPRA'!$F$28,Tabla11[[#This Row],[Cuenta]],1))</f>
        <v>1</v>
      </c>
      <c r="J868" t="b">
        <f>+ISNUMBER(SEARCH('F-COMPRA'!$F$29,Tabla11[[#This Row],[Cuenta]],1))</f>
        <v>1</v>
      </c>
      <c r="K868" t="b">
        <f>+ISNUMBER(SEARCH('F-COMPRA'!$F$30,Tabla11[[#This Row],[Cuenta]],1))</f>
        <v>1</v>
      </c>
      <c r="L868" t="b">
        <f>+ISNUMBER(SEARCH('F-COMPRA'!$F$31,Tabla11[[#This Row],[Cuenta]],1))</f>
        <v>1</v>
      </c>
      <c r="M868" t="b">
        <f>+ISNUMBER(SEARCH('F-COMPRA'!$G$25,Tabla11[[#This Row],[Cuenta]],1))</f>
        <v>0</v>
      </c>
      <c r="N868" t="b">
        <f>+ISNUMBER(SEARCH(#REF!,Tabla11[[#This Row],[Cuenta]],1))</f>
        <v>0</v>
      </c>
      <c r="O868" t="b">
        <f>+ISNUMBER(SEARCH(#REF!,Tabla11[[#This Row],[Cuenta]],1))</f>
        <v>0</v>
      </c>
      <c r="P868" t="b">
        <f>+ISNUMBER(SEARCH('F-COMPRA'!$F$32,Tabla11[[#This Row],[Cuenta]],1))</f>
        <v>1</v>
      </c>
      <c r="Q868" t="b">
        <f>+ISNUMBER(SEARCH('F-COMPRA'!$F$33,Tabla11[[#This Row],[Cuenta]],1))</f>
        <v>1</v>
      </c>
      <c r="R868" t="b">
        <f>+ISNUMBER(SEARCH('F-COMPRA'!$F$34,Tabla11[[#This Row],[Cuenta]],1))</f>
        <v>1</v>
      </c>
      <c r="S868" t="b">
        <f>+ISNUMBER(SEARCH('F-COMPRA'!$F$35,Tabla11[[#This Row],[Cuenta]],1))</f>
        <v>1</v>
      </c>
      <c r="T868" t="b">
        <f>+ISNUMBER(SEARCH('F-COMPRA'!$F$36,Tabla11[[#This Row],[Cuenta]],1))</f>
        <v>1</v>
      </c>
      <c r="U868" t="b">
        <f>+ISNUMBER(SEARCH('F-COMPRA'!$F$37,Tabla11[[#This Row],[Cuenta]],1))</f>
        <v>1</v>
      </c>
      <c r="V868" t="b">
        <f>+ISNUMBER(SEARCH(#REF!,Tabla11[[#This Row],[Cuenta]],1))</f>
        <v>0</v>
      </c>
      <c r="W868" t="b">
        <f>+ISNUMBER(SEARCH('F-COMPRA'!#REF!,Tabla11[[#This Row],[Cuenta]],1))</f>
        <v>0</v>
      </c>
      <c r="X868" t="b">
        <f>+ISNUMBER(SEARCH('F-COMPRA'!#REF!,Tabla11[[#This Row],[Cuenta]],1))</f>
        <v>0</v>
      </c>
      <c r="Y868" t="b">
        <f>+ISNUMBER(SEARCH('F-COMPRA'!#REF!,Tabla11[[#This Row],[Cuenta]],1))</f>
        <v>0</v>
      </c>
      <c r="Z868" t="b">
        <f>+ISNUMBER(SEARCH('F-COMPRA'!#REF!,Tabla11[[#This Row],[Cuenta]],1))</f>
        <v>0</v>
      </c>
      <c r="AA868" t="b">
        <f>+ISNUMBER(SEARCH('F-COMPRA'!#REF!,Tabla11[[#This Row],[Cuenta]],1))</f>
        <v>0</v>
      </c>
      <c r="AB868" t="b">
        <f>+ISNUMBER(SEARCH('F-COMPRA'!#REF!,Tabla11[[#This Row],[Cuenta]],1))</f>
        <v>0</v>
      </c>
      <c r="AC868" t="b">
        <f>+ISNUMBER(SEARCH('F-COMPRA'!#REF!,Tabla11[[#This Row],[Cuenta]],1))</f>
        <v>0</v>
      </c>
      <c r="AD868" t="b">
        <f>+ISNUMBER(SEARCH('F-COMPRA'!#REF!,Tabla11[[#This Row],[Cuenta]],1))</f>
        <v>0</v>
      </c>
      <c r="AE868" t="b">
        <f>+ISNUMBER(SEARCH('F-COMPRA'!#REF!,Tabla11[[#This Row],[Cuenta]],1))</f>
        <v>0</v>
      </c>
      <c r="AF868" t="b">
        <f>+ISNUMBER(SEARCH('F-VTA'!$G$23,Tabla11[[#This Row],[Cuenta]],1))</f>
        <v>0</v>
      </c>
      <c r="AG868" t="b">
        <f>+ISNUMBER(SEARCH('F-VTA'!$G$24,Tabla11[[#This Row],[Cuenta]],1))</f>
        <v>0</v>
      </c>
      <c r="AH868" t="b">
        <f>+ISNUMBER(SEARCH('F-VTA'!$G$25,Tabla11[[#This Row],[Cuenta]],1))</f>
        <v>0</v>
      </c>
      <c r="AI868" t="b">
        <f>+ISNUMBER(SEARCH('F-VTA'!$F$28,Tabla11[[#This Row],[Cuenta]],1))</f>
        <v>1</v>
      </c>
      <c r="AJ868" t="b">
        <f>+ISNUMBER(SEARCH('F-VTA'!$F$29,Tabla11[[#This Row],[Cuenta]],1))</f>
        <v>1</v>
      </c>
      <c r="AK868" t="b">
        <f>+ISNUMBER(SEARCH('F-VTA'!$F$30,Tabla11[[#This Row],[Cuenta]],1))</f>
        <v>1</v>
      </c>
      <c r="AL868" t="b">
        <f>+ISNUMBER(SEARCH('F-VTA'!$F$31,Tabla11[[#This Row],[Cuenta]],1))</f>
        <v>1</v>
      </c>
      <c r="AM868" t="b">
        <f>+ISNUMBER(SEARCH('F-VTA'!$F$32,Tabla11[[#This Row],[Cuenta]],1))</f>
        <v>1</v>
      </c>
      <c r="AN868" t="b">
        <f>+ISNUMBER(SEARCH('F-VTA'!$F$33,Tabla11[[#This Row],[Cuenta]],1))</f>
        <v>1</v>
      </c>
      <c r="AO868" t="b">
        <f>+ISNUMBER(SEARCH('F-VTA'!$F$34,Tabla11[[#This Row],[Cuenta]],1))</f>
        <v>1</v>
      </c>
      <c r="AP868" t="b">
        <f>+ISNUMBER(SEARCH('F-VTA'!$F$35,Tabla11[[#This Row],[Cuenta]],1))</f>
        <v>1</v>
      </c>
      <c r="AQ868" t="b">
        <f>+ISNUMBER(SEARCH('F-VTA'!$F$36,Tabla11[[#This Row],[Cuenta]],1))</f>
        <v>1</v>
      </c>
      <c r="AR868" t="b">
        <f>+ISNUMBER(SEARCH(#REF!,Tabla11[[#This Row],[Cuenta]],1))</f>
        <v>0</v>
      </c>
      <c r="AS868" t="b">
        <f>+ISNUMBER(SEARCH(#REF!,Tabla11[[#This Row],[Cuenta]],1))</f>
        <v>0</v>
      </c>
      <c r="AT868" t="b">
        <f>+ISNUMBER(SEARCH(#REF!,Tabla11[[#This Row],[Cuenta]],1))</f>
        <v>0</v>
      </c>
      <c r="AU868" t="b">
        <f>+ISNUMBER(SEARCH('Conc. Ban.1'!$I$9,Tabla11[[#This Row],[Cuenta]],1))</f>
        <v>0</v>
      </c>
      <c r="AV868" t="b">
        <f>+ISNUMBER(SEARCH(CompConta!$F$21,Tabla11[[#This Row],[Cuenta]],1))</f>
        <v>1</v>
      </c>
      <c r="AW868" t="b">
        <f>+ISNUMBER(SEARCH(CompConta!$F$22,Tabla11[[#This Row],[Cuenta]],1))</f>
        <v>1</v>
      </c>
      <c r="AX868" t="b">
        <f>+ISNUMBER(SEARCH(CompConta!$F$23,Tabla11[[#This Row],[Cuenta]],1))</f>
        <v>1</v>
      </c>
      <c r="AY868" t="b">
        <f>+ISNUMBER(SEARCH(CompConta!$F$24,Tabla11[[#This Row],[Cuenta]],1))</f>
        <v>1</v>
      </c>
      <c r="AZ868" t="b">
        <f>+ISNUMBER(SEARCH(CompConta!$F$25,Tabla11[[#This Row],[Cuenta]],1))</f>
        <v>1</v>
      </c>
      <c r="BA868" t="b">
        <f>+ISNUMBER(SEARCH(CompConta!$F$26,Tabla11[[#This Row],[Cuenta]],1))</f>
        <v>1</v>
      </c>
      <c r="BB868" t="b">
        <f>+ISNUMBER(SEARCH(CompConta!$F$27,Tabla11[[#This Row],[Cuenta]],1))</f>
        <v>1</v>
      </c>
      <c r="BC868" t="b">
        <f>+ISNUMBER(SEARCH(CompConta!$F$28,Tabla11[[#This Row],[Cuenta]],1))</f>
        <v>1</v>
      </c>
      <c r="BD868" t="b">
        <f>+ISNUMBER(SEARCH(CompConta!$F$29,Tabla11[[#This Row],[Cuenta]],1))</f>
        <v>1</v>
      </c>
      <c r="BE868" t="b">
        <f>+ISNUMBER(SEARCH(CompConta!$F$30,Tabla11[[#This Row],[Cuenta]],1))</f>
        <v>1</v>
      </c>
      <c r="BF868" t="b">
        <f>+ISNUMBER(SEARCH('PAGO Compras'!$E$11,Tabla11[[#This Row],[Cuenta]],1))</f>
        <v>1</v>
      </c>
      <c r="BG868" t="b">
        <f>+ISNUMBER(SEARCH(#REF!,Tabla11[[#This Row],[Cuenta]],1))</f>
        <v>0</v>
      </c>
      <c r="BH868" t="b">
        <f>+ISNUMBER(SEARCH(#REF!,Tabla11[[#This Row],[Cuenta]],1))</f>
        <v>0</v>
      </c>
      <c r="BI868" t="b">
        <f>+ISNUMBER(SEARCH(#REF!,Tabla11[[#This Row],[Cuenta]],1))</f>
        <v>0</v>
      </c>
      <c r="BJ868" t="b">
        <f>+ISNUMBER(SEARCH(#REF!,Tabla11[[#This Row],[Cuenta]],1))</f>
        <v>0</v>
      </c>
      <c r="BS868" t="str">
        <v>513599 *Ajustes por inflación</v>
      </c>
      <c r="BT868" t="str">
        <v>513599 *Ajustes por inflación</v>
      </c>
      <c r="BU868" t="str">
        <v>513599 *Ajustes por inflación</v>
      </c>
      <c r="BV868" t="str">
        <v>513599 *Ajustes por inflación</v>
      </c>
      <c r="BZ868" t="str">
        <v>513599 *Ajustes por inflación</v>
      </c>
      <c r="CA868" t="str">
        <v>513599 *Ajustes por inflación</v>
      </c>
      <c r="CB868" t="str">
        <v>513599 *Ajustes por inflación</v>
      </c>
      <c r="CC868" t="str">
        <v>513599 *Ajustes por inflación</v>
      </c>
      <c r="CD868" t="str">
        <v>513599 *Ajustes por inflación</v>
      </c>
      <c r="CE868" t="str">
        <v>513599 *Ajustes por inflación</v>
      </c>
      <c r="CS868" s="141" t="str">
        <v>513599 *Ajustes por inflación</v>
      </c>
      <c r="CT868" s="141" t="str">
        <v>513599 *Ajustes por inflación</v>
      </c>
      <c r="CU868" s="141" t="str">
        <v>513599 *Ajustes por inflación</v>
      </c>
      <c r="CV868" s="141" t="str">
        <v>513599 *Ajustes por inflación</v>
      </c>
      <c r="CW868" s="141" t="str">
        <v>513599 *Ajustes por inflación</v>
      </c>
      <c r="CX868" s="141" t="str">
        <v>513599 *Ajustes por inflación</v>
      </c>
      <c r="CY868" s="141" t="str">
        <v>513599 *Ajustes por inflación</v>
      </c>
      <c r="CZ868" s="141" t="str">
        <v>513599 *Ajustes por inflación</v>
      </c>
      <c r="DA868" s="141" t="str">
        <v>513599 *Ajustes por inflación</v>
      </c>
      <c r="DF868" t="str">
        <v>513599 *Ajustes por inflación</v>
      </c>
      <c r="DG868" t="str">
        <v>513599 *Ajustes por inflación</v>
      </c>
      <c r="DH868" t="str">
        <v>513599 *Ajustes por inflación</v>
      </c>
      <c r="DI868" t="str">
        <v>513599 *Ajustes por inflación</v>
      </c>
      <c r="DJ868" t="str">
        <v>513599 *Ajustes por inflación</v>
      </c>
      <c r="DK868" t="str">
        <v>513599 *Ajustes por inflación</v>
      </c>
      <c r="DL868" t="str">
        <v>513599 *Ajustes por inflación</v>
      </c>
      <c r="DM868" t="str">
        <v>513599 *Ajustes por inflación</v>
      </c>
      <c r="DN868" t="str">
        <v>513599 *Ajustes por inflación</v>
      </c>
      <c r="DO868" t="str">
        <v>513599 *Ajustes por inflación</v>
      </c>
      <c r="DP868" t="str">
        <v>513599 *Ajustes por inflación</v>
      </c>
    </row>
    <row r="869" spans="4:120" ht="12.75">
      <c r="D869" s="7">
        <v>5140</v>
      </c>
      <c r="E869" s="6" t="s">
        <v>593</v>
      </c>
      <c r="F869" s="5">
        <v>3</v>
      </c>
      <c r="G869" s="34" t="s">
        <v>830</v>
      </c>
      <c r="H869" s="8" t="s">
        <v>32</v>
      </c>
      <c r="I869" t="b">
        <f>+ISNUMBER(SEARCH('F-COMPRA'!$F$28,Tabla11[[#This Row],[Cuenta]],1))</f>
        <v>1</v>
      </c>
      <c r="J869" t="b">
        <f>+ISNUMBER(SEARCH('F-COMPRA'!$F$29,Tabla11[[#This Row],[Cuenta]],1))</f>
        <v>1</v>
      </c>
      <c r="K869" t="b">
        <f>+ISNUMBER(SEARCH('F-COMPRA'!$F$30,Tabla11[[#This Row],[Cuenta]],1))</f>
        <v>1</v>
      </c>
      <c r="L869" t="b">
        <f>+ISNUMBER(SEARCH('F-COMPRA'!$F$31,Tabla11[[#This Row],[Cuenta]],1))</f>
        <v>1</v>
      </c>
      <c r="M869" t="b">
        <f>+ISNUMBER(SEARCH('F-COMPRA'!$G$25,Tabla11[[#This Row],[Cuenta]],1))</f>
        <v>0</v>
      </c>
      <c r="N869" t="b">
        <f>+ISNUMBER(SEARCH(#REF!,Tabla11[[#This Row],[Cuenta]],1))</f>
        <v>0</v>
      </c>
      <c r="O869" t="b">
        <f>+ISNUMBER(SEARCH(#REF!,Tabla11[[#This Row],[Cuenta]],1))</f>
        <v>0</v>
      </c>
      <c r="P869" t="b">
        <f>+ISNUMBER(SEARCH('F-COMPRA'!$F$32,Tabla11[[#This Row],[Cuenta]],1))</f>
        <v>1</v>
      </c>
      <c r="Q869" t="b">
        <f>+ISNUMBER(SEARCH('F-COMPRA'!$F$33,Tabla11[[#This Row],[Cuenta]],1))</f>
        <v>1</v>
      </c>
      <c r="R869" t="b">
        <f>+ISNUMBER(SEARCH('F-COMPRA'!$F$34,Tabla11[[#This Row],[Cuenta]],1))</f>
        <v>1</v>
      </c>
      <c r="S869" t="b">
        <f>+ISNUMBER(SEARCH('F-COMPRA'!$F$35,Tabla11[[#This Row],[Cuenta]],1))</f>
        <v>1</v>
      </c>
      <c r="T869" t="b">
        <f>+ISNUMBER(SEARCH('F-COMPRA'!$F$36,Tabla11[[#This Row],[Cuenta]],1))</f>
        <v>1</v>
      </c>
      <c r="U869" t="b">
        <f>+ISNUMBER(SEARCH('F-COMPRA'!$F$37,Tabla11[[#This Row],[Cuenta]],1))</f>
        <v>1</v>
      </c>
      <c r="V869" t="b">
        <f>+ISNUMBER(SEARCH(#REF!,Tabla11[[#This Row],[Cuenta]],1))</f>
        <v>0</v>
      </c>
      <c r="W869" t="b">
        <f>+ISNUMBER(SEARCH('F-COMPRA'!#REF!,Tabla11[[#This Row],[Cuenta]],1))</f>
        <v>0</v>
      </c>
      <c r="X869" t="b">
        <f>+ISNUMBER(SEARCH('F-COMPRA'!#REF!,Tabla11[[#This Row],[Cuenta]],1))</f>
        <v>0</v>
      </c>
      <c r="Y869" t="b">
        <f>+ISNUMBER(SEARCH('F-COMPRA'!#REF!,Tabla11[[#This Row],[Cuenta]],1))</f>
        <v>0</v>
      </c>
      <c r="Z869" t="b">
        <f>+ISNUMBER(SEARCH('F-COMPRA'!#REF!,Tabla11[[#This Row],[Cuenta]],1))</f>
        <v>0</v>
      </c>
      <c r="AA869" t="b">
        <f>+ISNUMBER(SEARCH('F-COMPRA'!#REF!,Tabla11[[#This Row],[Cuenta]],1))</f>
        <v>0</v>
      </c>
      <c r="AB869" t="b">
        <f>+ISNUMBER(SEARCH('F-COMPRA'!#REF!,Tabla11[[#This Row],[Cuenta]],1))</f>
        <v>0</v>
      </c>
      <c r="AC869" t="b">
        <f>+ISNUMBER(SEARCH('F-COMPRA'!#REF!,Tabla11[[#This Row],[Cuenta]],1))</f>
        <v>0</v>
      </c>
      <c r="AD869" t="b">
        <f>+ISNUMBER(SEARCH('F-COMPRA'!#REF!,Tabla11[[#This Row],[Cuenta]],1))</f>
        <v>0</v>
      </c>
      <c r="AE869" t="b">
        <f>+ISNUMBER(SEARCH('F-COMPRA'!#REF!,Tabla11[[#This Row],[Cuenta]],1))</f>
        <v>0</v>
      </c>
      <c r="AF869" t="b">
        <f>+ISNUMBER(SEARCH('F-VTA'!$G$23,Tabla11[[#This Row],[Cuenta]],1))</f>
        <v>0</v>
      </c>
      <c r="AG869" t="b">
        <f>+ISNUMBER(SEARCH('F-VTA'!$G$24,Tabla11[[#This Row],[Cuenta]],1))</f>
        <v>0</v>
      </c>
      <c r="AH869" t="b">
        <f>+ISNUMBER(SEARCH('F-VTA'!$G$25,Tabla11[[#This Row],[Cuenta]],1))</f>
        <v>0</v>
      </c>
      <c r="AI869" t="b">
        <f>+ISNUMBER(SEARCH('F-VTA'!$F$28,Tabla11[[#This Row],[Cuenta]],1))</f>
        <v>1</v>
      </c>
      <c r="AJ869" t="b">
        <f>+ISNUMBER(SEARCH('F-VTA'!$F$29,Tabla11[[#This Row],[Cuenta]],1))</f>
        <v>1</v>
      </c>
      <c r="AK869" t="b">
        <f>+ISNUMBER(SEARCH('F-VTA'!$F$30,Tabla11[[#This Row],[Cuenta]],1))</f>
        <v>1</v>
      </c>
      <c r="AL869" t="b">
        <f>+ISNUMBER(SEARCH('F-VTA'!$F$31,Tabla11[[#This Row],[Cuenta]],1))</f>
        <v>1</v>
      </c>
      <c r="AM869" t="b">
        <f>+ISNUMBER(SEARCH('F-VTA'!$F$32,Tabla11[[#This Row],[Cuenta]],1))</f>
        <v>1</v>
      </c>
      <c r="AN869" t="b">
        <f>+ISNUMBER(SEARCH('F-VTA'!$F$33,Tabla11[[#This Row],[Cuenta]],1))</f>
        <v>1</v>
      </c>
      <c r="AO869" t="b">
        <f>+ISNUMBER(SEARCH('F-VTA'!$F$34,Tabla11[[#This Row],[Cuenta]],1))</f>
        <v>1</v>
      </c>
      <c r="AP869" t="b">
        <f>+ISNUMBER(SEARCH('F-VTA'!$F$35,Tabla11[[#This Row],[Cuenta]],1))</f>
        <v>1</v>
      </c>
      <c r="AQ869" t="b">
        <f>+ISNUMBER(SEARCH('F-VTA'!$F$36,Tabla11[[#This Row],[Cuenta]],1))</f>
        <v>1</v>
      </c>
      <c r="AR869" t="b">
        <f>+ISNUMBER(SEARCH(#REF!,Tabla11[[#This Row],[Cuenta]],1))</f>
        <v>0</v>
      </c>
      <c r="AS869" t="b">
        <f>+ISNUMBER(SEARCH(#REF!,Tabla11[[#This Row],[Cuenta]],1))</f>
        <v>0</v>
      </c>
      <c r="AT869" t="b">
        <f>+ISNUMBER(SEARCH(#REF!,Tabla11[[#This Row],[Cuenta]],1))</f>
        <v>0</v>
      </c>
      <c r="AU869" t="b">
        <f>+ISNUMBER(SEARCH('Conc. Ban.1'!$I$9,Tabla11[[#This Row],[Cuenta]],1))</f>
        <v>0</v>
      </c>
      <c r="AV869" t="b">
        <f>+ISNUMBER(SEARCH(CompConta!$F$21,Tabla11[[#This Row],[Cuenta]],1))</f>
        <v>1</v>
      </c>
      <c r="AW869" t="b">
        <f>+ISNUMBER(SEARCH(CompConta!$F$22,Tabla11[[#This Row],[Cuenta]],1))</f>
        <v>1</v>
      </c>
      <c r="AX869" t="b">
        <f>+ISNUMBER(SEARCH(CompConta!$F$23,Tabla11[[#This Row],[Cuenta]],1))</f>
        <v>1</v>
      </c>
      <c r="AY869" t="b">
        <f>+ISNUMBER(SEARCH(CompConta!$F$24,Tabla11[[#This Row],[Cuenta]],1))</f>
        <v>1</v>
      </c>
      <c r="AZ869" t="b">
        <f>+ISNUMBER(SEARCH(CompConta!$F$25,Tabla11[[#This Row],[Cuenta]],1))</f>
        <v>1</v>
      </c>
      <c r="BA869" t="b">
        <f>+ISNUMBER(SEARCH(CompConta!$F$26,Tabla11[[#This Row],[Cuenta]],1))</f>
        <v>1</v>
      </c>
      <c r="BB869" t="b">
        <f>+ISNUMBER(SEARCH(CompConta!$F$27,Tabla11[[#This Row],[Cuenta]],1))</f>
        <v>1</v>
      </c>
      <c r="BC869" t="b">
        <f>+ISNUMBER(SEARCH(CompConta!$F$28,Tabla11[[#This Row],[Cuenta]],1))</f>
        <v>1</v>
      </c>
      <c r="BD869" t="b">
        <f>+ISNUMBER(SEARCH(CompConta!$F$29,Tabla11[[#This Row],[Cuenta]],1))</f>
        <v>1</v>
      </c>
      <c r="BE869" t="b">
        <f>+ISNUMBER(SEARCH(CompConta!$F$30,Tabla11[[#This Row],[Cuenta]],1))</f>
        <v>1</v>
      </c>
      <c r="BF869" t="b">
        <f>+ISNUMBER(SEARCH('PAGO Compras'!$E$11,Tabla11[[#This Row],[Cuenta]],1))</f>
        <v>1</v>
      </c>
      <c r="BG869" t="b">
        <f>+ISNUMBER(SEARCH(#REF!,Tabla11[[#This Row],[Cuenta]],1))</f>
        <v>0</v>
      </c>
      <c r="BH869" t="b">
        <f>+ISNUMBER(SEARCH(#REF!,Tabla11[[#This Row],[Cuenta]],1))</f>
        <v>0</v>
      </c>
      <c r="BI869" t="b">
        <f>+ISNUMBER(SEARCH(#REF!,Tabla11[[#This Row],[Cuenta]],1))</f>
        <v>0</v>
      </c>
      <c r="BJ869" t="b">
        <f>+ISNUMBER(SEARCH(#REF!,Tabla11[[#This Row],[Cuenta]],1))</f>
        <v>0</v>
      </c>
      <c r="BS869" t="str">
        <v>5140 GASTOS LEGALES</v>
      </c>
      <c r="BT869" t="str">
        <v>5140 GASTOS LEGALES</v>
      </c>
      <c r="BU869" t="str">
        <v>5140 GASTOS LEGALES</v>
      </c>
      <c r="BV869" t="str">
        <v>5140 GASTOS LEGALES</v>
      </c>
      <c r="BZ869" t="str">
        <v>5140 GASTOS LEGALES</v>
      </c>
      <c r="CA869" t="str">
        <v>5140 GASTOS LEGALES</v>
      </c>
      <c r="CB869" t="str">
        <v>5140 GASTOS LEGALES</v>
      </c>
      <c r="CC869" t="str">
        <v>5140 GASTOS LEGALES</v>
      </c>
      <c r="CD869" t="str">
        <v>5140 GASTOS LEGALES</v>
      </c>
      <c r="CE869" t="str">
        <v>5140 GASTOS LEGALES</v>
      </c>
      <c r="CS869" s="141" t="str">
        <v>5140 GASTOS LEGALES</v>
      </c>
      <c r="CT869" s="141" t="str">
        <v>5140 GASTOS LEGALES</v>
      </c>
      <c r="CU869" s="141" t="str">
        <v>5140 GASTOS LEGALES</v>
      </c>
      <c r="CV869" s="141" t="str">
        <v>5140 GASTOS LEGALES</v>
      </c>
      <c r="CW869" s="141" t="str">
        <v>5140 GASTOS LEGALES</v>
      </c>
      <c r="CX869" s="141" t="str">
        <v>5140 GASTOS LEGALES</v>
      </c>
      <c r="CY869" s="141" t="str">
        <v>5140 GASTOS LEGALES</v>
      </c>
      <c r="CZ869" s="141" t="str">
        <v>5140 GASTOS LEGALES</v>
      </c>
      <c r="DA869" s="141" t="str">
        <v>5140 GASTOS LEGALES</v>
      </c>
      <c r="DF869" t="str">
        <v>5140 GASTOS LEGALES</v>
      </c>
      <c r="DG869" t="str">
        <v>5140 GASTOS LEGALES</v>
      </c>
      <c r="DH869" t="str">
        <v>5140 GASTOS LEGALES</v>
      </c>
      <c r="DI869" t="str">
        <v>5140 GASTOS LEGALES</v>
      </c>
      <c r="DJ869" t="str">
        <v>5140 GASTOS LEGALES</v>
      </c>
      <c r="DK869" t="str">
        <v>5140 GASTOS LEGALES</v>
      </c>
      <c r="DL869" t="str">
        <v>5140 GASTOS LEGALES</v>
      </c>
      <c r="DM869" t="str">
        <v>5140 GASTOS LEGALES</v>
      </c>
      <c r="DN869" t="str">
        <v>5140 GASTOS LEGALES</v>
      </c>
      <c r="DO869" t="str">
        <v>5140 GASTOS LEGALES</v>
      </c>
      <c r="DP869" t="str">
        <v>5140 GASTOS LEGALES</v>
      </c>
    </row>
    <row r="870" spans="4:120" ht="12.75">
      <c r="D870" s="7">
        <v>514005</v>
      </c>
      <c r="E870" s="6" t="s">
        <v>594</v>
      </c>
      <c r="F870" s="5">
        <v>4</v>
      </c>
      <c r="G870" s="34" t="s">
        <v>830</v>
      </c>
      <c r="H870" s="8" t="s">
        <v>32</v>
      </c>
      <c r="I870" t="b">
        <f>+ISNUMBER(SEARCH('F-COMPRA'!$F$28,Tabla11[[#This Row],[Cuenta]],1))</f>
        <v>1</v>
      </c>
      <c r="J870" t="b">
        <f>+ISNUMBER(SEARCH('F-COMPRA'!$F$29,Tabla11[[#This Row],[Cuenta]],1))</f>
        <v>1</v>
      </c>
      <c r="K870" t="b">
        <f>+ISNUMBER(SEARCH('F-COMPRA'!$F$30,Tabla11[[#This Row],[Cuenta]],1))</f>
        <v>1</v>
      </c>
      <c r="L870" t="b">
        <f>+ISNUMBER(SEARCH('F-COMPRA'!$F$31,Tabla11[[#This Row],[Cuenta]],1))</f>
        <v>1</v>
      </c>
      <c r="M870" t="b">
        <f>+ISNUMBER(SEARCH('F-COMPRA'!$G$25,Tabla11[[#This Row],[Cuenta]],1))</f>
        <v>0</v>
      </c>
      <c r="N870" t="b">
        <f>+ISNUMBER(SEARCH(#REF!,Tabla11[[#This Row],[Cuenta]],1))</f>
        <v>0</v>
      </c>
      <c r="O870" t="b">
        <f>+ISNUMBER(SEARCH(#REF!,Tabla11[[#This Row],[Cuenta]],1))</f>
        <v>0</v>
      </c>
      <c r="P870" t="b">
        <f>+ISNUMBER(SEARCH('F-COMPRA'!$F$32,Tabla11[[#This Row],[Cuenta]],1))</f>
        <v>1</v>
      </c>
      <c r="Q870" t="b">
        <f>+ISNUMBER(SEARCH('F-COMPRA'!$F$33,Tabla11[[#This Row],[Cuenta]],1))</f>
        <v>1</v>
      </c>
      <c r="R870" t="b">
        <f>+ISNUMBER(SEARCH('F-COMPRA'!$F$34,Tabla11[[#This Row],[Cuenta]],1))</f>
        <v>1</v>
      </c>
      <c r="S870" t="b">
        <f>+ISNUMBER(SEARCH('F-COMPRA'!$F$35,Tabla11[[#This Row],[Cuenta]],1))</f>
        <v>1</v>
      </c>
      <c r="T870" t="b">
        <f>+ISNUMBER(SEARCH('F-COMPRA'!$F$36,Tabla11[[#This Row],[Cuenta]],1))</f>
        <v>1</v>
      </c>
      <c r="U870" t="b">
        <f>+ISNUMBER(SEARCH('F-COMPRA'!$F$37,Tabla11[[#This Row],[Cuenta]],1))</f>
        <v>1</v>
      </c>
      <c r="V870" t="b">
        <f>+ISNUMBER(SEARCH(#REF!,Tabla11[[#This Row],[Cuenta]],1))</f>
        <v>0</v>
      </c>
      <c r="W870" t="b">
        <f>+ISNUMBER(SEARCH('F-COMPRA'!#REF!,Tabla11[[#This Row],[Cuenta]],1))</f>
        <v>0</v>
      </c>
      <c r="X870" t="b">
        <f>+ISNUMBER(SEARCH('F-COMPRA'!#REF!,Tabla11[[#This Row],[Cuenta]],1))</f>
        <v>0</v>
      </c>
      <c r="Y870" t="b">
        <f>+ISNUMBER(SEARCH('F-COMPRA'!#REF!,Tabla11[[#This Row],[Cuenta]],1))</f>
        <v>0</v>
      </c>
      <c r="Z870" t="b">
        <f>+ISNUMBER(SEARCH('F-COMPRA'!#REF!,Tabla11[[#This Row],[Cuenta]],1))</f>
        <v>0</v>
      </c>
      <c r="AA870" t="b">
        <f>+ISNUMBER(SEARCH('F-COMPRA'!#REF!,Tabla11[[#This Row],[Cuenta]],1))</f>
        <v>0</v>
      </c>
      <c r="AB870" t="b">
        <f>+ISNUMBER(SEARCH('F-COMPRA'!#REF!,Tabla11[[#This Row],[Cuenta]],1))</f>
        <v>0</v>
      </c>
      <c r="AC870" t="b">
        <f>+ISNUMBER(SEARCH('F-COMPRA'!#REF!,Tabla11[[#This Row],[Cuenta]],1))</f>
        <v>0</v>
      </c>
      <c r="AD870" t="b">
        <f>+ISNUMBER(SEARCH('F-COMPRA'!#REF!,Tabla11[[#This Row],[Cuenta]],1))</f>
        <v>0</v>
      </c>
      <c r="AE870" t="b">
        <f>+ISNUMBER(SEARCH('F-COMPRA'!#REF!,Tabla11[[#This Row],[Cuenta]],1))</f>
        <v>0</v>
      </c>
      <c r="AF870" t="b">
        <f>+ISNUMBER(SEARCH('F-VTA'!$G$23,Tabla11[[#This Row],[Cuenta]],1))</f>
        <v>0</v>
      </c>
      <c r="AG870" t="b">
        <f>+ISNUMBER(SEARCH('F-VTA'!$G$24,Tabla11[[#This Row],[Cuenta]],1))</f>
        <v>0</v>
      </c>
      <c r="AH870" t="b">
        <f>+ISNUMBER(SEARCH('F-VTA'!$G$25,Tabla11[[#This Row],[Cuenta]],1))</f>
        <v>0</v>
      </c>
      <c r="AI870" t="b">
        <f>+ISNUMBER(SEARCH('F-VTA'!$F$28,Tabla11[[#This Row],[Cuenta]],1))</f>
        <v>1</v>
      </c>
      <c r="AJ870" t="b">
        <f>+ISNUMBER(SEARCH('F-VTA'!$F$29,Tabla11[[#This Row],[Cuenta]],1))</f>
        <v>1</v>
      </c>
      <c r="AK870" t="b">
        <f>+ISNUMBER(SEARCH('F-VTA'!$F$30,Tabla11[[#This Row],[Cuenta]],1))</f>
        <v>1</v>
      </c>
      <c r="AL870" t="b">
        <f>+ISNUMBER(SEARCH('F-VTA'!$F$31,Tabla11[[#This Row],[Cuenta]],1))</f>
        <v>1</v>
      </c>
      <c r="AM870" t="b">
        <f>+ISNUMBER(SEARCH('F-VTA'!$F$32,Tabla11[[#This Row],[Cuenta]],1))</f>
        <v>1</v>
      </c>
      <c r="AN870" t="b">
        <f>+ISNUMBER(SEARCH('F-VTA'!$F$33,Tabla11[[#This Row],[Cuenta]],1))</f>
        <v>1</v>
      </c>
      <c r="AO870" t="b">
        <f>+ISNUMBER(SEARCH('F-VTA'!$F$34,Tabla11[[#This Row],[Cuenta]],1))</f>
        <v>1</v>
      </c>
      <c r="AP870" t="b">
        <f>+ISNUMBER(SEARCH('F-VTA'!$F$35,Tabla11[[#This Row],[Cuenta]],1))</f>
        <v>1</v>
      </c>
      <c r="AQ870" t="b">
        <f>+ISNUMBER(SEARCH('F-VTA'!$F$36,Tabla11[[#This Row],[Cuenta]],1))</f>
        <v>1</v>
      </c>
      <c r="AR870" t="b">
        <f>+ISNUMBER(SEARCH(#REF!,Tabla11[[#This Row],[Cuenta]],1))</f>
        <v>0</v>
      </c>
      <c r="AS870" t="b">
        <f>+ISNUMBER(SEARCH(#REF!,Tabla11[[#This Row],[Cuenta]],1))</f>
        <v>0</v>
      </c>
      <c r="AT870" t="b">
        <f>+ISNUMBER(SEARCH(#REF!,Tabla11[[#This Row],[Cuenta]],1))</f>
        <v>0</v>
      </c>
      <c r="AU870" t="b">
        <f>+ISNUMBER(SEARCH('Conc. Ban.1'!$I$9,Tabla11[[#This Row],[Cuenta]],1))</f>
        <v>0</v>
      </c>
      <c r="AV870" t="b">
        <f>+ISNUMBER(SEARCH(CompConta!$F$21,Tabla11[[#This Row],[Cuenta]],1))</f>
        <v>1</v>
      </c>
      <c r="AW870" t="b">
        <f>+ISNUMBER(SEARCH(CompConta!$F$22,Tabla11[[#This Row],[Cuenta]],1))</f>
        <v>1</v>
      </c>
      <c r="AX870" t="b">
        <f>+ISNUMBER(SEARCH(CompConta!$F$23,Tabla11[[#This Row],[Cuenta]],1))</f>
        <v>1</v>
      </c>
      <c r="AY870" t="b">
        <f>+ISNUMBER(SEARCH(CompConta!$F$24,Tabla11[[#This Row],[Cuenta]],1))</f>
        <v>1</v>
      </c>
      <c r="AZ870" t="b">
        <f>+ISNUMBER(SEARCH(CompConta!$F$25,Tabla11[[#This Row],[Cuenta]],1))</f>
        <v>1</v>
      </c>
      <c r="BA870" t="b">
        <f>+ISNUMBER(SEARCH(CompConta!$F$26,Tabla11[[#This Row],[Cuenta]],1))</f>
        <v>1</v>
      </c>
      <c r="BB870" t="b">
        <f>+ISNUMBER(SEARCH(CompConta!$F$27,Tabla11[[#This Row],[Cuenta]],1))</f>
        <v>1</v>
      </c>
      <c r="BC870" t="b">
        <f>+ISNUMBER(SEARCH(CompConta!$F$28,Tabla11[[#This Row],[Cuenta]],1))</f>
        <v>1</v>
      </c>
      <c r="BD870" t="b">
        <f>+ISNUMBER(SEARCH(CompConta!$F$29,Tabla11[[#This Row],[Cuenta]],1))</f>
        <v>1</v>
      </c>
      <c r="BE870" t="b">
        <f>+ISNUMBER(SEARCH(CompConta!$F$30,Tabla11[[#This Row],[Cuenta]],1))</f>
        <v>1</v>
      </c>
      <c r="BF870" t="b">
        <f>+ISNUMBER(SEARCH('PAGO Compras'!$E$11,Tabla11[[#This Row],[Cuenta]],1))</f>
        <v>1</v>
      </c>
      <c r="BG870" t="b">
        <f>+ISNUMBER(SEARCH(#REF!,Tabla11[[#This Row],[Cuenta]],1))</f>
        <v>0</v>
      </c>
      <c r="BH870" t="b">
        <f>+ISNUMBER(SEARCH(#REF!,Tabla11[[#This Row],[Cuenta]],1))</f>
        <v>0</v>
      </c>
      <c r="BI870" t="b">
        <f>+ISNUMBER(SEARCH(#REF!,Tabla11[[#This Row],[Cuenta]],1))</f>
        <v>0</v>
      </c>
      <c r="BJ870" t="b">
        <f>+ISNUMBER(SEARCH(#REF!,Tabla11[[#This Row],[Cuenta]],1))</f>
        <v>0</v>
      </c>
      <c r="BS870" t="str">
        <v>514005 Notariales</v>
      </c>
      <c r="BT870" t="str">
        <v>514005 Notariales</v>
      </c>
      <c r="BU870" t="str">
        <v>514005 Notariales</v>
      </c>
      <c r="BV870" t="str">
        <v>514005 Notariales</v>
      </c>
      <c r="BZ870" t="str">
        <v>514005 Notariales</v>
      </c>
      <c r="CA870" t="str">
        <v>514005 Notariales</v>
      </c>
      <c r="CB870" t="str">
        <v>514005 Notariales</v>
      </c>
      <c r="CC870" t="str">
        <v>514005 Notariales</v>
      </c>
      <c r="CD870" t="str">
        <v>514005 Notariales</v>
      </c>
      <c r="CE870" t="str">
        <v>514005 Notariales</v>
      </c>
      <c r="CS870" s="141" t="str">
        <v>514005 Notariales</v>
      </c>
      <c r="CT870" s="141" t="str">
        <v>514005 Notariales</v>
      </c>
      <c r="CU870" s="141" t="str">
        <v>514005 Notariales</v>
      </c>
      <c r="CV870" s="141" t="str">
        <v>514005 Notariales</v>
      </c>
      <c r="CW870" s="141" t="str">
        <v>514005 Notariales</v>
      </c>
      <c r="CX870" s="141" t="str">
        <v>514005 Notariales</v>
      </c>
      <c r="CY870" s="141" t="str">
        <v>514005 Notariales</v>
      </c>
      <c r="CZ870" s="141" t="str">
        <v>514005 Notariales</v>
      </c>
      <c r="DA870" s="141" t="str">
        <v>514005 Notariales</v>
      </c>
      <c r="DF870" t="str">
        <v>514005 Notariales</v>
      </c>
      <c r="DG870" t="str">
        <v>514005 Notariales</v>
      </c>
      <c r="DH870" t="str">
        <v>514005 Notariales</v>
      </c>
      <c r="DI870" t="str">
        <v>514005 Notariales</v>
      </c>
      <c r="DJ870" t="str">
        <v>514005 Notariales</v>
      </c>
      <c r="DK870" t="str">
        <v>514005 Notariales</v>
      </c>
      <c r="DL870" t="str">
        <v>514005 Notariales</v>
      </c>
      <c r="DM870" t="str">
        <v>514005 Notariales</v>
      </c>
      <c r="DN870" t="str">
        <v>514005 Notariales</v>
      </c>
      <c r="DO870" t="str">
        <v>514005 Notariales</v>
      </c>
      <c r="DP870" t="str">
        <v>514005 Notariales</v>
      </c>
    </row>
    <row r="871" spans="4:120" ht="12.75">
      <c r="D871" s="7">
        <v>514010</v>
      </c>
      <c r="E871" s="6" t="s">
        <v>595</v>
      </c>
      <c r="F871" s="5">
        <v>4</v>
      </c>
      <c r="G871" s="34" t="s">
        <v>830</v>
      </c>
      <c r="H871" s="8" t="s">
        <v>32</v>
      </c>
      <c r="I871" t="b">
        <f>+ISNUMBER(SEARCH('F-COMPRA'!$F$28,Tabla11[[#This Row],[Cuenta]],1))</f>
        <v>1</v>
      </c>
      <c r="J871" t="b">
        <f>+ISNUMBER(SEARCH('F-COMPRA'!$F$29,Tabla11[[#This Row],[Cuenta]],1))</f>
        <v>1</v>
      </c>
      <c r="K871" t="b">
        <f>+ISNUMBER(SEARCH('F-COMPRA'!$F$30,Tabla11[[#This Row],[Cuenta]],1))</f>
        <v>1</v>
      </c>
      <c r="L871" t="b">
        <f>+ISNUMBER(SEARCH('F-COMPRA'!$F$31,Tabla11[[#This Row],[Cuenta]],1))</f>
        <v>1</v>
      </c>
      <c r="M871" t="b">
        <f>+ISNUMBER(SEARCH('F-COMPRA'!$G$25,Tabla11[[#This Row],[Cuenta]],1))</f>
        <v>0</v>
      </c>
      <c r="N871" t="b">
        <f>+ISNUMBER(SEARCH(#REF!,Tabla11[[#This Row],[Cuenta]],1))</f>
        <v>0</v>
      </c>
      <c r="O871" t="b">
        <f>+ISNUMBER(SEARCH(#REF!,Tabla11[[#This Row],[Cuenta]],1))</f>
        <v>0</v>
      </c>
      <c r="P871" t="b">
        <f>+ISNUMBER(SEARCH('F-COMPRA'!$F$32,Tabla11[[#This Row],[Cuenta]],1))</f>
        <v>1</v>
      </c>
      <c r="Q871" t="b">
        <f>+ISNUMBER(SEARCH('F-COMPRA'!$F$33,Tabla11[[#This Row],[Cuenta]],1))</f>
        <v>1</v>
      </c>
      <c r="R871" t="b">
        <f>+ISNUMBER(SEARCH('F-COMPRA'!$F$34,Tabla11[[#This Row],[Cuenta]],1))</f>
        <v>1</v>
      </c>
      <c r="S871" t="b">
        <f>+ISNUMBER(SEARCH('F-COMPRA'!$F$35,Tabla11[[#This Row],[Cuenta]],1))</f>
        <v>1</v>
      </c>
      <c r="T871" t="b">
        <f>+ISNUMBER(SEARCH('F-COMPRA'!$F$36,Tabla11[[#This Row],[Cuenta]],1))</f>
        <v>1</v>
      </c>
      <c r="U871" t="b">
        <f>+ISNUMBER(SEARCH('F-COMPRA'!$F$37,Tabla11[[#This Row],[Cuenta]],1))</f>
        <v>1</v>
      </c>
      <c r="V871" t="b">
        <f>+ISNUMBER(SEARCH(#REF!,Tabla11[[#This Row],[Cuenta]],1))</f>
        <v>0</v>
      </c>
      <c r="W871" t="b">
        <f>+ISNUMBER(SEARCH('F-COMPRA'!#REF!,Tabla11[[#This Row],[Cuenta]],1))</f>
        <v>0</v>
      </c>
      <c r="X871" t="b">
        <f>+ISNUMBER(SEARCH('F-COMPRA'!#REF!,Tabla11[[#This Row],[Cuenta]],1))</f>
        <v>0</v>
      </c>
      <c r="Y871" t="b">
        <f>+ISNUMBER(SEARCH('F-COMPRA'!#REF!,Tabla11[[#This Row],[Cuenta]],1))</f>
        <v>0</v>
      </c>
      <c r="Z871" t="b">
        <f>+ISNUMBER(SEARCH('F-COMPRA'!#REF!,Tabla11[[#This Row],[Cuenta]],1))</f>
        <v>0</v>
      </c>
      <c r="AA871" t="b">
        <f>+ISNUMBER(SEARCH('F-COMPRA'!#REF!,Tabla11[[#This Row],[Cuenta]],1))</f>
        <v>0</v>
      </c>
      <c r="AB871" t="b">
        <f>+ISNUMBER(SEARCH('F-COMPRA'!#REF!,Tabla11[[#This Row],[Cuenta]],1))</f>
        <v>0</v>
      </c>
      <c r="AC871" t="b">
        <f>+ISNUMBER(SEARCH('F-COMPRA'!#REF!,Tabla11[[#This Row],[Cuenta]],1))</f>
        <v>0</v>
      </c>
      <c r="AD871" t="b">
        <f>+ISNUMBER(SEARCH('F-COMPRA'!#REF!,Tabla11[[#This Row],[Cuenta]],1))</f>
        <v>0</v>
      </c>
      <c r="AE871" t="b">
        <f>+ISNUMBER(SEARCH('F-COMPRA'!#REF!,Tabla11[[#This Row],[Cuenta]],1))</f>
        <v>0</v>
      </c>
      <c r="AF871" t="b">
        <f>+ISNUMBER(SEARCH('F-VTA'!$G$23,Tabla11[[#This Row],[Cuenta]],1))</f>
        <v>0</v>
      </c>
      <c r="AG871" t="b">
        <f>+ISNUMBER(SEARCH('F-VTA'!$G$24,Tabla11[[#This Row],[Cuenta]],1))</f>
        <v>0</v>
      </c>
      <c r="AH871" t="b">
        <f>+ISNUMBER(SEARCH('F-VTA'!$G$25,Tabla11[[#This Row],[Cuenta]],1))</f>
        <v>0</v>
      </c>
      <c r="AI871" t="b">
        <f>+ISNUMBER(SEARCH('F-VTA'!$F$28,Tabla11[[#This Row],[Cuenta]],1))</f>
        <v>1</v>
      </c>
      <c r="AJ871" t="b">
        <f>+ISNUMBER(SEARCH('F-VTA'!$F$29,Tabla11[[#This Row],[Cuenta]],1))</f>
        <v>1</v>
      </c>
      <c r="AK871" t="b">
        <f>+ISNUMBER(SEARCH('F-VTA'!$F$30,Tabla11[[#This Row],[Cuenta]],1))</f>
        <v>1</v>
      </c>
      <c r="AL871" t="b">
        <f>+ISNUMBER(SEARCH('F-VTA'!$F$31,Tabla11[[#This Row],[Cuenta]],1))</f>
        <v>1</v>
      </c>
      <c r="AM871" t="b">
        <f>+ISNUMBER(SEARCH('F-VTA'!$F$32,Tabla11[[#This Row],[Cuenta]],1))</f>
        <v>1</v>
      </c>
      <c r="AN871" t="b">
        <f>+ISNUMBER(SEARCH('F-VTA'!$F$33,Tabla11[[#This Row],[Cuenta]],1))</f>
        <v>1</v>
      </c>
      <c r="AO871" t="b">
        <f>+ISNUMBER(SEARCH('F-VTA'!$F$34,Tabla11[[#This Row],[Cuenta]],1))</f>
        <v>1</v>
      </c>
      <c r="AP871" t="b">
        <f>+ISNUMBER(SEARCH('F-VTA'!$F$35,Tabla11[[#This Row],[Cuenta]],1))</f>
        <v>1</v>
      </c>
      <c r="AQ871" t="b">
        <f>+ISNUMBER(SEARCH('F-VTA'!$F$36,Tabla11[[#This Row],[Cuenta]],1))</f>
        <v>1</v>
      </c>
      <c r="AR871" t="b">
        <f>+ISNUMBER(SEARCH(#REF!,Tabla11[[#This Row],[Cuenta]],1))</f>
        <v>0</v>
      </c>
      <c r="AS871" t="b">
        <f>+ISNUMBER(SEARCH(#REF!,Tabla11[[#This Row],[Cuenta]],1))</f>
        <v>0</v>
      </c>
      <c r="AT871" t="b">
        <f>+ISNUMBER(SEARCH(#REF!,Tabla11[[#This Row],[Cuenta]],1))</f>
        <v>0</v>
      </c>
      <c r="AU871" t="b">
        <f>+ISNUMBER(SEARCH('Conc. Ban.1'!$I$9,Tabla11[[#This Row],[Cuenta]],1))</f>
        <v>0</v>
      </c>
      <c r="AV871" t="b">
        <f>+ISNUMBER(SEARCH(CompConta!$F$21,Tabla11[[#This Row],[Cuenta]],1))</f>
        <v>1</v>
      </c>
      <c r="AW871" t="b">
        <f>+ISNUMBER(SEARCH(CompConta!$F$22,Tabla11[[#This Row],[Cuenta]],1))</f>
        <v>1</v>
      </c>
      <c r="AX871" t="b">
        <f>+ISNUMBER(SEARCH(CompConta!$F$23,Tabla11[[#This Row],[Cuenta]],1))</f>
        <v>1</v>
      </c>
      <c r="AY871" t="b">
        <f>+ISNUMBER(SEARCH(CompConta!$F$24,Tabla11[[#This Row],[Cuenta]],1))</f>
        <v>1</v>
      </c>
      <c r="AZ871" t="b">
        <f>+ISNUMBER(SEARCH(CompConta!$F$25,Tabla11[[#This Row],[Cuenta]],1))</f>
        <v>1</v>
      </c>
      <c r="BA871" t="b">
        <f>+ISNUMBER(SEARCH(CompConta!$F$26,Tabla11[[#This Row],[Cuenta]],1))</f>
        <v>1</v>
      </c>
      <c r="BB871" t="b">
        <f>+ISNUMBER(SEARCH(CompConta!$F$27,Tabla11[[#This Row],[Cuenta]],1))</f>
        <v>1</v>
      </c>
      <c r="BC871" t="b">
        <f>+ISNUMBER(SEARCH(CompConta!$F$28,Tabla11[[#This Row],[Cuenta]],1))</f>
        <v>1</v>
      </c>
      <c r="BD871" t="b">
        <f>+ISNUMBER(SEARCH(CompConta!$F$29,Tabla11[[#This Row],[Cuenta]],1))</f>
        <v>1</v>
      </c>
      <c r="BE871" t="b">
        <f>+ISNUMBER(SEARCH(CompConta!$F$30,Tabla11[[#This Row],[Cuenta]],1))</f>
        <v>1</v>
      </c>
      <c r="BF871" t="b">
        <f>+ISNUMBER(SEARCH('PAGO Compras'!$E$11,Tabla11[[#This Row],[Cuenta]],1))</f>
        <v>1</v>
      </c>
      <c r="BG871" t="b">
        <f>+ISNUMBER(SEARCH(#REF!,Tabla11[[#This Row],[Cuenta]],1))</f>
        <v>0</v>
      </c>
      <c r="BH871" t="b">
        <f>+ISNUMBER(SEARCH(#REF!,Tabla11[[#This Row],[Cuenta]],1))</f>
        <v>0</v>
      </c>
      <c r="BI871" t="b">
        <f>+ISNUMBER(SEARCH(#REF!,Tabla11[[#This Row],[Cuenta]],1))</f>
        <v>0</v>
      </c>
      <c r="BJ871" t="b">
        <f>+ISNUMBER(SEARCH(#REF!,Tabla11[[#This Row],[Cuenta]],1))</f>
        <v>0</v>
      </c>
      <c r="BS871" t="str">
        <v>514010 Registro mercantil</v>
      </c>
      <c r="BT871" t="str">
        <v>514010 Registro mercantil</v>
      </c>
      <c r="BU871" t="str">
        <v>514010 Registro mercantil</v>
      </c>
      <c r="BV871" t="str">
        <v>514010 Registro mercantil</v>
      </c>
      <c r="BZ871" t="str">
        <v>514010 Registro mercantil</v>
      </c>
      <c r="CA871" t="str">
        <v>514010 Registro mercantil</v>
      </c>
      <c r="CB871" t="str">
        <v>514010 Registro mercantil</v>
      </c>
      <c r="CC871" t="str">
        <v>514010 Registro mercantil</v>
      </c>
      <c r="CD871" t="str">
        <v>514010 Registro mercantil</v>
      </c>
      <c r="CE871" t="str">
        <v>514010 Registro mercantil</v>
      </c>
      <c r="CS871" s="141" t="str">
        <v>514010 Registro mercantil</v>
      </c>
      <c r="CT871" s="141" t="str">
        <v>514010 Registro mercantil</v>
      </c>
      <c r="CU871" s="141" t="str">
        <v>514010 Registro mercantil</v>
      </c>
      <c r="CV871" s="141" t="str">
        <v>514010 Registro mercantil</v>
      </c>
      <c r="CW871" s="141" t="str">
        <v>514010 Registro mercantil</v>
      </c>
      <c r="CX871" s="141" t="str">
        <v>514010 Registro mercantil</v>
      </c>
      <c r="CY871" s="141" t="str">
        <v>514010 Registro mercantil</v>
      </c>
      <c r="CZ871" s="141" t="str">
        <v>514010 Registro mercantil</v>
      </c>
      <c r="DA871" s="141" t="str">
        <v>514010 Registro mercantil</v>
      </c>
      <c r="DF871" t="str">
        <v>514010 Registro mercantil</v>
      </c>
      <c r="DG871" t="str">
        <v>514010 Registro mercantil</v>
      </c>
      <c r="DH871" t="str">
        <v>514010 Registro mercantil</v>
      </c>
      <c r="DI871" t="str">
        <v>514010 Registro mercantil</v>
      </c>
      <c r="DJ871" t="str">
        <v>514010 Registro mercantil</v>
      </c>
      <c r="DK871" t="str">
        <v>514010 Registro mercantil</v>
      </c>
      <c r="DL871" t="str">
        <v>514010 Registro mercantil</v>
      </c>
      <c r="DM871" t="str">
        <v>514010 Registro mercantil</v>
      </c>
      <c r="DN871" t="str">
        <v>514010 Registro mercantil</v>
      </c>
      <c r="DO871" t="str">
        <v>514010 Registro mercantil</v>
      </c>
      <c r="DP871" t="str">
        <v>514010 Registro mercantil</v>
      </c>
    </row>
    <row r="872" spans="4:120" ht="12.75">
      <c r="D872" s="7">
        <v>514015</v>
      </c>
      <c r="E872" s="6" t="s">
        <v>596</v>
      </c>
      <c r="F872" s="5">
        <v>4</v>
      </c>
      <c r="G872" s="34" t="s">
        <v>830</v>
      </c>
      <c r="H872" s="8" t="s">
        <v>32</v>
      </c>
      <c r="I872" t="b">
        <f>+ISNUMBER(SEARCH('F-COMPRA'!$F$28,Tabla11[[#This Row],[Cuenta]],1))</f>
        <v>1</v>
      </c>
      <c r="J872" t="b">
        <f>+ISNUMBER(SEARCH('F-COMPRA'!$F$29,Tabla11[[#This Row],[Cuenta]],1))</f>
        <v>1</v>
      </c>
      <c r="K872" t="b">
        <f>+ISNUMBER(SEARCH('F-COMPRA'!$F$30,Tabla11[[#This Row],[Cuenta]],1))</f>
        <v>1</v>
      </c>
      <c r="L872" t="b">
        <f>+ISNUMBER(SEARCH('F-COMPRA'!$F$31,Tabla11[[#This Row],[Cuenta]],1))</f>
        <v>1</v>
      </c>
      <c r="M872" t="b">
        <f>+ISNUMBER(SEARCH('F-COMPRA'!$G$25,Tabla11[[#This Row],[Cuenta]],1))</f>
        <v>0</v>
      </c>
      <c r="N872" t="b">
        <f>+ISNUMBER(SEARCH(#REF!,Tabla11[[#This Row],[Cuenta]],1))</f>
        <v>0</v>
      </c>
      <c r="O872" t="b">
        <f>+ISNUMBER(SEARCH(#REF!,Tabla11[[#This Row],[Cuenta]],1))</f>
        <v>0</v>
      </c>
      <c r="P872" t="b">
        <f>+ISNUMBER(SEARCH('F-COMPRA'!$F$32,Tabla11[[#This Row],[Cuenta]],1))</f>
        <v>1</v>
      </c>
      <c r="Q872" t="b">
        <f>+ISNUMBER(SEARCH('F-COMPRA'!$F$33,Tabla11[[#This Row],[Cuenta]],1))</f>
        <v>1</v>
      </c>
      <c r="R872" t="b">
        <f>+ISNUMBER(SEARCH('F-COMPRA'!$F$34,Tabla11[[#This Row],[Cuenta]],1))</f>
        <v>1</v>
      </c>
      <c r="S872" t="b">
        <f>+ISNUMBER(SEARCH('F-COMPRA'!$F$35,Tabla11[[#This Row],[Cuenta]],1))</f>
        <v>1</v>
      </c>
      <c r="T872" t="b">
        <f>+ISNUMBER(SEARCH('F-COMPRA'!$F$36,Tabla11[[#This Row],[Cuenta]],1))</f>
        <v>1</v>
      </c>
      <c r="U872" t="b">
        <f>+ISNUMBER(SEARCH('F-COMPRA'!$F$37,Tabla11[[#This Row],[Cuenta]],1))</f>
        <v>1</v>
      </c>
      <c r="V872" t="b">
        <f>+ISNUMBER(SEARCH(#REF!,Tabla11[[#This Row],[Cuenta]],1))</f>
        <v>0</v>
      </c>
      <c r="W872" t="b">
        <f>+ISNUMBER(SEARCH('F-COMPRA'!#REF!,Tabla11[[#This Row],[Cuenta]],1))</f>
        <v>0</v>
      </c>
      <c r="X872" t="b">
        <f>+ISNUMBER(SEARCH('F-COMPRA'!#REF!,Tabla11[[#This Row],[Cuenta]],1))</f>
        <v>0</v>
      </c>
      <c r="Y872" t="b">
        <f>+ISNUMBER(SEARCH('F-COMPRA'!#REF!,Tabla11[[#This Row],[Cuenta]],1))</f>
        <v>0</v>
      </c>
      <c r="Z872" t="b">
        <f>+ISNUMBER(SEARCH('F-COMPRA'!#REF!,Tabla11[[#This Row],[Cuenta]],1))</f>
        <v>0</v>
      </c>
      <c r="AA872" t="b">
        <f>+ISNUMBER(SEARCH('F-COMPRA'!#REF!,Tabla11[[#This Row],[Cuenta]],1))</f>
        <v>0</v>
      </c>
      <c r="AB872" t="b">
        <f>+ISNUMBER(SEARCH('F-COMPRA'!#REF!,Tabla11[[#This Row],[Cuenta]],1))</f>
        <v>0</v>
      </c>
      <c r="AC872" t="b">
        <f>+ISNUMBER(SEARCH('F-COMPRA'!#REF!,Tabla11[[#This Row],[Cuenta]],1))</f>
        <v>0</v>
      </c>
      <c r="AD872" t="b">
        <f>+ISNUMBER(SEARCH('F-COMPRA'!#REF!,Tabla11[[#This Row],[Cuenta]],1))</f>
        <v>0</v>
      </c>
      <c r="AE872" t="b">
        <f>+ISNUMBER(SEARCH('F-COMPRA'!#REF!,Tabla11[[#This Row],[Cuenta]],1))</f>
        <v>0</v>
      </c>
      <c r="AF872" t="b">
        <f>+ISNUMBER(SEARCH('F-VTA'!$G$23,Tabla11[[#This Row],[Cuenta]],1))</f>
        <v>0</v>
      </c>
      <c r="AG872" t="b">
        <f>+ISNUMBER(SEARCH('F-VTA'!$G$24,Tabla11[[#This Row],[Cuenta]],1))</f>
        <v>0</v>
      </c>
      <c r="AH872" t="b">
        <f>+ISNUMBER(SEARCH('F-VTA'!$G$25,Tabla11[[#This Row],[Cuenta]],1))</f>
        <v>0</v>
      </c>
      <c r="AI872" t="b">
        <f>+ISNUMBER(SEARCH('F-VTA'!$F$28,Tabla11[[#This Row],[Cuenta]],1))</f>
        <v>1</v>
      </c>
      <c r="AJ872" t="b">
        <f>+ISNUMBER(SEARCH('F-VTA'!$F$29,Tabla11[[#This Row],[Cuenta]],1))</f>
        <v>1</v>
      </c>
      <c r="AK872" t="b">
        <f>+ISNUMBER(SEARCH('F-VTA'!$F$30,Tabla11[[#This Row],[Cuenta]],1))</f>
        <v>1</v>
      </c>
      <c r="AL872" t="b">
        <f>+ISNUMBER(SEARCH('F-VTA'!$F$31,Tabla11[[#This Row],[Cuenta]],1))</f>
        <v>1</v>
      </c>
      <c r="AM872" t="b">
        <f>+ISNUMBER(SEARCH('F-VTA'!$F$32,Tabla11[[#This Row],[Cuenta]],1))</f>
        <v>1</v>
      </c>
      <c r="AN872" t="b">
        <f>+ISNUMBER(SEARCH('F-VTA'!$F$33,Tabla11[[#This Row],[Cuenta]],1))</f>
        <v>1</v>
      </c>
      <c r="AO872" t="b">
        <f>+ISNUMBER(SEARCH('F-VTA'!$F$34,Tabla11[[#This Row],[Cuenta]],1))</f>
        <v>1</v>
      </c>
      <c r="AP872" t="b">
        <f>+ISNUMBER(SEARCH('F-VTA'!$F$35,Tabla11[[#This Row],[Cuenta]],1))</f>
        <v>1</v>
      </c>
      <c r="AQ872" t="b">
        <f>+ISNUMBER(SEARCH('F-VTA'!$F$36,Tabla11[[#This Row],[Cuenta]],1))</f>
        <v>1</v>
      </c>
      <c r="AR872" t="b">
        <f>+ISNUMBER(SEARCH(#REF!,Tabla11[[#This Row],[Cuenta]],1))</f>
        <v>0</v>
      </c>
      <c r="AS872" t="b">
        <f>+ISNUMBER(SEARCH(#REF!,Tabla11[[#This Row],[Cuenta]],1))</f>
        <v>0</v>
      </c>
      <c r="AT872" t="b">
        <f>+ISNUMBER(SEARCH(#REF!,Tabla11[[#This Row],[Cuenta]],1))</f>
        <v>0</v>
      </c>
      <c r="AU872" t="b">
        <f>+ISNUMBER(SEARCH('Conc. Ban.1'!$I$9,Tabla11[[#This Row],[Cuenta]],1))</f>
        <v>0</v>
      </c>
      <c r="AV872" t="b">
        <f>+ISNUMBER(SEARCH(CompConta!$F$21,Tabla11[[#This Row],[Cuenta]],1))</f>
        <v>1</v>
      </c>
      <c r="AW872" t="b">
        <f>+ISNUMBER(SEARCH(CompConta!$F$22,Tabla11[[#This Row],[Cuenta]],1))</f>
        <v>1</v>
      </c>
      <c r="AX872" t="b">
        <f>+ISNUMBER(SEARCH(CompConta!$F$23,Tabla11[[#This Row],[Cuenta]],1))</f>
        <v>1</v>
      </c>
      <c r="AY872" t="b">
        <f>+ISNUMBER(SEARCH(CompConta!$F$24,Tabla11[[#This Row],[Cuenta]],1))</f>
        <v>1</v>
      </c>
      <c r="AZ872" t="b">
        <f>+ISNUMBER(SEARCH(CompConta!$F$25,Tabla11[[#This Row],[Cuenta]],1))</f>
        <v>1</v>
      </c>
      <c r="BA872" t="b">
        <f>+ISNUMBER(SEARCH(CompConta!$F$26,Tabla11[[#This Row],[Cuenta]],1))</f>
        <v>1</v>
      </c>
      <c r="BB872" t="b">
        <f>+ISNUMBER(SEARCH(CompConta!$F$27,Tabla11[[#This Row],[Cuenta]],1))</f>
        <v>1</v>
      </c>
      <c r="BC872" t="b">
        <f>+ISNUMBER(SEARCH(CompConta!$F$28,Tabla11[[#This Row],[Cuenta]],1))</f>
        <v>1</v>
      </c>
      <c r="BD872" t="b">
        <f>+ISNUMBER(SEARCH(CompConta!$F$29,Tabla11[[#This Row],[Cuenta]],1))</f>
        <v>1</v>
      </c>
      <c r="BE872" t="b">
        <f>+ISNUMBER(SEARCH(CompConta!$F$30,Tabla11[[#This Row],[Cuenta]],1))</f>
        <v>1</v>
      </c>
      <c r="BF872" t="b">
        <f>+ISNUMBER(SEARCH('PAGO Compras'!$E$11,Tabla11[[#This Row],[Cuenta]],1))</f>
        <v>1</v>
      </c>
      <c r="BG872" t="b">
        <f>+ISNUMBER(SEARCH(#REF!,Tabla11[[#This Row],[Cuenta]],1))</f>
        <v>0</v>
      </c>
      <c r="BH872" t="b">
        <f>+ISNUMBER(SEARCH(#REF!,Tabla11[[#This Row],[Cuenta]],1))</f>
        <v>0</v>
      </c>
      <c r="BI872" t="b">
        <f>+ISNUMBER(SEARCH(#REF!,Tabla11[[#This Row],[Cuenta]],1))</f>
        <v>0</v>
      </c>
      <c r="BJ872" t="b">
        <f>+ISNUMBER(SEARCH(#REF!,Tabla11[[#This Row],[Cuenta]],1))</f>
        <v>0</v>
      </c>
      <c r="BS872" t="str">
        <v>514015 Trámites y licencias</v>
      </c>
      <c r="BT872" t="str">
        <v>514015 Trámites y licencias</v>
      </c>
      <c r="BU872" t="str">
        <v>514015 Trámites y licencias</v>
      </c>
      <c r="BV872" t="str">
        <v>514015 Trámites y licencias</v>
      </c>
      <c r="BZ872" t="str">
        <v>514015 Trámites y licencias</v>
      </c>
      <c r="CA872" t="str">
        <v>514015 Trámites y licencias</v>
      </c>
      <c r="CB872" t="str">
        <v>514015 Trámites y licencias</v>
      </c>
      <c r="CC872" t="str">
        <v>514015 Trámites y licencias</v>
      </c>
      <c r="CD872" t="str">
        <v>514015 Trámites y licencias</v>
      </c>
      <c r="CE872" t="str">
        <v>514015 Trámites y licencias</v>
      </c>
      <c r="CS872" s="141" t="str">
        <v>514015 Trámites y licencias</v>
      </c>
      <c r="CT872" s="141" t="str">
        <v>514015 Trámites y licencias</v>
      </c>
      <c r="CU872" s="141" t="str">
        <v>514015 Trámites y licencias</v>
      </c>
      <c r="CV872" s="141" t="str">
        <v>514015 Trámites y licencias</v>
      </c>
      <c r="CW872" s="141" t="str">
        <v>514015 Trámites y licencias</v>
      </c>
      <c r="CX872" s="141" t="str">
        <v>514015 Trámites y licencias</v>
      </c>
      <c r="CY872" s="141" t="str">
        <v>514015 Trámites y licencias</v>
      </c>
      <c r="CZ872" s="141" t="str">
        <v>514015 Trámites y licencias</v>
      </c>
      <c r="DA872" s="141" t="str">
        <v>514015 Trámites y licencias</v>
      </c>
      <c r="DF872" t="str">
        <v>514015 Trámites y licencias</v>
      </c>
      <c r="DG872" t="str">
        <v>514015 Trámites y licencias</v>
      </c>
      <c r="DH872" t="str">
        <v>514015 Trámites y licencias</v>
      </c>
      <c r="DI872" t="str">
        <v>514015 Trámites y licencias</v>
      </c>
      <c r="DJ872" t="str">
        <v>514015 Trámites y licencias</v>
      </c>
      <c r="DK872" t="str">
        <v>514015 Trámites y licencias</v>
      </c>
      <c r="DL872" t="str">
        <v>514015 Trámites y licencias</v>
      </c>
      <c r="DM872" t="str">
        <v>514015 Trámites y licencias</v>
      </c>
      <c r="DN872" t="str">
        <v>514015 Trámites y licencias</v>
      </c>
      <c r="DO872" t="str">
        <v>514015 Trámites y licencias</v>
      </c>
      <c r="DP872" t="str">
        <v>514015 Trámites y licencias</v>
      </c>
    </row>
    <row r="873" spans="4:120" ht="12.75">
      <c r="D873" s="7">
        <v>514020</v>
      </c>
      <c r="E873" s="6" t="s">
        <v>597</v>
      </c>
      <c r="F873" s="5">
        <v>4</v>
      </c>
      <c r="G873" s="34" t="s">
        <v>830</v>
      </c>
      <c r="H873" s="8" t="s">
        <v>32</v>
      </c>
      <c r="I873" t="b">
        <f>+ISNUMBER(SEARCH('F-COMPRA'!$F$28,Tabla11[[#This Row],[Cuenta]],1))</f>
        <v>1</v>
      </c>
      <c r="J873" t="b">
        <f>+ISNUMBER(SEARCH('F-COMPRA'!$F$29,Tabla11[[#This Row],[Cuenta]],1))</f>
        <v>1</v>
      </c>
      <c r="K873" t="b">
        <f>+ISNUMBER(SEARCH('F-COMPRA'!$F$30,Tabla11[[#This Row],[Cuenta]],1))</f>
        <v>1</v>
      </c>
      <c r="L873" t="b">
        <f>+ISNUMBER(SEARCH('F-COMPRA'!$F$31,Tabla11[[#This Row],[Cuenta]],1))</f>
        <v>1</v>
      </c>
      <c r="M873" t="b">
        <f>+ISNUMBER(SEARCH('F-COMPRA'!$G$25,Tabla11[[#This Row],[Cuenta]],1))</f>
        <v>0</v>
      </c>
      <c r="N873" t="b">
        <f>+ISNUMBER(SEARCH(#REF!,Tabla11[[#This Row],[Cuenta]],1))</f>
        <v>0</v>
      </c>
      <c r="O873" t="b">
        <f>+ISNUMBER(SEARCH(#REF!,Tabla11[[#This Row],[Cuenta]],1))</f>
        <v>0</v>
      </c>
      <c r="P873" t="b">
        <f>+ISNUMBER(SEARCH('F-COMPRA'!$F$32,Tabla11[[#This Row],[Cuenta]],1))</f>
        <v>1</v>
      </c>
      <c r="Q873" t="b">
        <f>+ISNUMBER(SEARCH('F-COMPRA'!$F$33,Tabla11[[#This Row],[Cuenta]],1))</f>
        <v>1</v>
      </c>
      <c r="R873" t="b">
        <f>+ISNUMBER(SEARCH('F-COMPRA'!$F$34,Tabla11[[#This Row],[Cuenta]],1))</f>
        <v>1</v>
      </c>
      <c r="S873" t="b">
        <f>+ISNUMBER(SEARCH('F-COMPRA'!$F$35,Tabla11[[#This Row],[Cuenta]],1))</f>
        <v>1</v>
      </c>
      <c r="T873" t="b">
        <f>+ISNUMBER(SEARCH('F-COMPRA'!$F$36,Tabla11[[#This Row],[Cuenta]],1))</f>
        <v>1</v>
      </c>
      <c r="U873" t="b">
        <f>+ISNUMBER(SEARCH('F-COMPRA'!$F$37,Tabla11[[#This Row],[Cuenta]],1))</f>
        <v>1</v>
      </c>
      <c r="V873" t="b">
        <f>+ISNUMBER(SEARCH(#REF!,Tabla11[[#This Row],[Cuenta]],1))</f>
        <v>0</v>
      </c>
      <c r="W873" t="b">
        <f>+ISNUMBER(SEARCH('F-COMPRA'!#REF!,Tabla11[[#This Row],[Cuenta]],1))</f>
        <v>0</v>
      </c>
      <c r="X873" t="b">
        <f>+ISNUMBER(SEARCH('F-COMPRA'!#REF!,Tabla11[[#This Row],[Cuenta]],1))</f>
        <v>0</v>
      </c>
      <c r="Y873" t="b">
        <f>+ISNUMBER(SEARCH('F-COMPRA'!#REF!,Tabla11[[#This Row],[Cuenta]],1))</f>
        <v>0</v>
      </c>
      <c r="Z873" t="b">
        <f>+ISNUMBER(SEARCH('F-COMPRA'!#REF!,Tabla11[[#This Row],[Cuenta]],1))</f>
        <v>0</v>
      </c>
      <c r="AA873" t="b">
        <f>+ISNUMBER(SEARCH('F-COMPRA'!#REF!,Tabla11[[#This Row],[Cuenta]],1))</f>
        <v>0</v>
      </c>
      <c r="AB873" t="b">
        <f>+ISNUMBER(SEARCH('F-COMPRA'!#REF!,Tabla11[[#This Row],[Cuenta]],1))</f>
        <v>0</v>
      </c>
      <c r="AC873" t="b">
        <f>+ISNUMBER(SEARCH('F-COMPRA'!#REF!,Tabla11[[#This Row],[Cuenta]],1))</f>
        <v>0</v>
      </c>
      <c r="AD873" t="b">
        <f>+ISNUMBER(SEARCH('F-COMPRA'!#REF!,Tabla11[[#This Row],[Cuenta]],1))</f>
        <v>0</v>
      </c>
      <c r="AE873" t="b">
        <f>+ISNUMBER(SEARCH('F-COMPRA'!#REF!,Tabla11[[#This Row],[Cuenta]],1))</f>
        <v>0</v>
      </c>
      <c r="AF873" t="b">
        <f>+ISNUMBER(SEARCH('F-VTA'!$G$23,Tabla11[[#This Row],[Cuenta]],1))</f>
        <v>0</v>
      </c>
      <c r="AG873" t="b">
        <f>+ISNUMBER(SEARCH('F-VTA'!$G$24,Tabla11[[#This Row],[Cuenta]],1))</f>
        <v>0</v>
      </c>
      <c r="AH873" t="b">
        <f>+ISNUMBER(SEARCH('F-VTA'!$G$25,Tabla11[[#This Row],[Cuenta]],1))</f>
        <v>0</v>
      </c>
      <c r="AI873" t="b">
        <f>+ISNUMBER(SEARCH('F-VTA'!$F$28,Tabla11[[#This Row],[Cuenta]],1))</f>
        <v>1</v>
      </c>
      <c r="AJ873" t="b">
        <f>+ISNUMBER(SEARCH('F-VTA'!$F$29,Tabla11[[#This Row],[Cuenta]],1))</f>
        <v>1</v>
      </c>
      <c r="AK873" t="b">
        <f>+ISNUMBER(SEARCH('F-VTA'!$F$30,Tabla11[[#This Row],[Cuenta]],1))</f>
        <v>1</v>
      </c>
      <c r="AL873" t="b">
        <f>+ISNUMBER(SEARCH('F-VTA'!$F$31,Tabla11[[#This Row],[Cuenta]],1))</f>
        <v>1</v>
      </c>
      <c r="AM873" t="b">
        <f>+ISNUMBER(SEARCH('F-VTA'!$F$32,Tabla11[[#This Row],[Cuenta]],1))</f>
        <v>1</v>
      </c>
      <c r="AN873" t="b">
        <f>+ISNUMBER(SEARCH('F-VTA'!$F$33,Tabla11[[#This Row],[Cuenta]],1))</f>
        <v>1</v>
      </c>
      <c r="AO873" t="b">
        <f>+ISNUMBER(SEARCH('F-VTA'!$F$34,Tabla11[[#This Row],[Cuenta]],1))</f>
        <v>1</v>
      </c>
      <c r="AP873" t="b">
        <f>+ISNUMBER(SEARCH('F-VTA'!$F$35,Tabla11[[#This Row],[Cuenta]],1))</f>
        <v>1</v>
      </c>
      <c r="AQ873" t="b">
        <f>+ISNUMBER(SEARCH('F-VTA'!$F$36,Tabla11[[#This Row],[Cuenta]],1))</f>
        <v>1</v>
      </c>
      <c r="AR873" t="b">
        <f>+ISNUMBER(SEARCH(#REF!,Tabla11[[#This Row],[Cuenta]],1))</f>
        <v>0</v>
      </c>
      <c r="AS873" t="b">
        <f>+ISNUMBER(SEARCH(#REF!,Tabla11[[#This Row],[Cuenta]],1))</f>
        <v>0</v>
      </c>
      <c r="AT873" t="b">
        <f>+ISNUMBER(SEARCH(#REF!,Tabla11[[#This Row],[Cuenta]],1))</f>
        <v>0</v>
      </c>
      <c r="AU873" t="b">
        <f>+ISNUMBER(SEARCH('Conc. Ban.1'!$I$9,Tabla11[[#This Row],[Cuenta]],1))</f>
        <v>0</v>
      </c>
      <c r="AV873" t="b">
        <f>+ISNUMBER(SEARCH(CompConta!$F$21,Tabla11[[#This Row],[Cuenta]],1))</f>
        <v>1</v>
      </c>
      <c r="AW873" t="b">
        <f>+ISNUMBER(SEARCH(CompConta!$F$22,Tabla11[[#This Row],[Cuenta]],1))</f>
        <v>1</v>
      </c>
      <c r="AX873" t="b">
        <f>+ISNUMBER(SEARCH(CompConta!$F$23,Tabla11[[#This Row],[Cuenta]],1))</f>
        <v>1</v>
      </c>
      <c r="AY873" t="b">
        <f>+ISNUMBER(SEARCH(CompConta!$F$24,Tabla11[[#This Row],[Cuenta]],1))</f>
        <v>1</v>
      </c>
      <c r="AZ873" t="b">
        <f>+ISNUMBER(SEARCH(CompConta!$F$25,Tabla11[[#This Row],[Cuenta]],1))</f>
        <v>1</v>
      </c>
      <c r="BA873" t="b">
        <f>+ISNUMBER(SEARCH(CompConta!$F$26,Tabla11[[#This Row],[Cuenta]],1))</f>
        <v>1</v>
      </c>
      <c r="BB873" t="b">
        <f>+ISNUMBER(SEARCH(CompConta!$F$27,Tabla11[[#This Row],[Cuenta]],1))</f>
        <v>1</v>
      </c>
      <c r="BC873" t="b">
        <f>+ISNUMBER(SEARCH(CompConta!$F$28,Tabla11[[#This Row],[Cuenta]],1))</f>
        <v>1</v>
      </c>
      <c r="BD873" t="b">
        <f>+ISNUMBER(SEARCH(CompConta!$F$29,Tabla11[[#This Row],[Cuenta]],1))</f>
        <v>1</v>
      </c>
      <c r="BE873" t="b">
        <f>+ISNUMBER(SEARCH(CompConta!$F$30,Tabla11[[#This Row],[Cuenta]],1))</f>
        <v>1</v>
      </c>
      <c r="BF873" t="b">
        <f>+ISNUMBER(SEARCH('PAGO Compras'!$E$11,Tabla11[[#This Row],[Cuenta]],1))</f>
        <v>1</v>
      </c>
      <c r="BG873" t="b">
        <f>+ISNUMBER(SEARCH(#REF!,Tabla11[[#This Row],[Cuenta]],1))</f>
        <v>0</v>
      </c>
      <c r="BH873" t="b">
        <f>+ISNUMBER(SEARCH(#REF!,Tabla11[[#This Row],[Cuenta]],1))</f>
        <v>0</v>
      </c>
      <c r="BI873" t="b">
        <f>+ISNUMBER(SEARCH(#REF!,Tabla11[[#This Row],[Cuenta]],1))</f>
        <v>0</v>
      </c>
      <c r="BJ873" t="b">
        <f>+ISNUMBER(SEARCH(#REF!,Tabla11[[#This Row],[Cuenta]],1))</f>
        <v>0</v>
      </c>
      <c r="BS873" t="str">
        <v>514020 Aduaneros</v>
      </c>
      <c r="BT873" t="str">
        <v>514020 Aduaneros</v>
      </c>
      <c r="BU873" t="str">
        <v>514020 Aduaneros</v>
      </c>
      <c r="BV873" t="str">
        <v>514020 Aduaneros</v>
      </c>
      <c r="BZ873" t="str">
        <v>514020 Aduaneros</v>
      </c>
      <c r="CA873" t="str">
        <v>514020 Aduaneros</v>
      </c>
      <c r="CB873" t="str">
        <v>514020 Aduaneros</v>
      </c>
      <c r="CC873" t="str">
        <v>514020 Aduaneros</v>
      </c>
      <c r="CD873" t="str">
        <v>514020 Aduaneros</v>
      </c>
      <c r="CE873" t="str">
        <v>514020 Aduaneros</v>
      </c>
      <c r="CS873" s="141" t="str">
        <v>514020 Aduaneros</v>
      </c>
      <c r="CT873" s="141" t="str">
        <v>514020 Aduaneros</v>
      </c>
      <c r="CU873" s="141" t="str">
        <v>514020 Aduaneros</v>
      </c>
      <c r="CV873" s="141" t="str">
        <v>514020 Aduaneros</v>
      </c>
      <c r="CW873" s="141" t="str">
        <v>514020 Aduaneros</v>
      </c>
      <c r="CX873" s="141" t="str">
        <v>514020 Aduaneros</v>
      </c>
      <c r="CY873" s="141" t="str">
        <v>514020 Aduaneros</v>
      </c>
      <c r="CZ873" s="141" t="str">
        <v>514020 Aduaneros</v>
      </c>
      <c r="DA873" s="141" t="str">
        <v>514020 Aduaneros</v>
      </c>
      <c r="DF873" t="str">
        <v>514020 Aduaneros</v>
      </c>
      <c r="DG873" t="str">
        <v>514020 Aduaneros</v>
      </c>
      <c r="DH873" t="str">
        <v>514020 Aduaneros</v>
      </c>
      <c r="DI873" t="str">
        <v>514020 Aduaneros</v>
      </c>
      <c r="DJ873" t="str">
        <v>514020 Aduaneros</v>
      </c>
      <c r="DK873" t="str">
        <v>514020 Aduaneros</v>
      </c>
      <c r="DL873" t="str">
        <v>514020 Aduaneros</v>
      </c>
      <c r="DM873" t="str">
        <v>514020 Aduaneros</v>
      </c>
      <c r="DN873" t="str">
        <v>514020 Aduaneros</v>
      </c>
      <c r="DO873" t="str">
        <v>514020 Aduaneros</v>
      </c>
      <c r="DP873" t="str">
        <v>514020 Aduaneros</v>
      </c>
    </row>
    <row r="874" spans="4:120" ht="12.75">
      <c r="D874" s="7">
        <v>514025</v>
      </c>
      <c r="E874" s="6" t="s">
        <v>598</v>
      </c>
      <c r="F874" s="5">
        <v>4</v>
      </c>
      <c r="G874" s="34" t="s">
        <v>830</v>
      </c>
      <c r="H874" s="8" t="s">
        <v>32</v>
      </c>
      <c r="I874" t="b">
        <f>+ISNUMBER(SEARCH('F-COMPRA'!$F$28,Tabla11[[#This Row],[Cuenta]],1))</f>
        <v>1</v>
      </c>
      <c r="J874" t="b">
        <f>+ISNUMBER(SEARCH('F-COMPRA'!$F$29,Tabla11[[#This Row],[Cuenta]],1))</f>
        <v>1</v>
      </c>
      <c r="K874" t="b">
        <f>+ISNUMBER(SEARCH('F-COMPRA'!$F$30,Tabla11[[#This Row],[Cuenta]],1))</f>
        <v>1</v>
      </c>
      <c r="L874" t="b">
        <f>+ISNUMBER(SEARCH('F-COMPRA'!$F$31,Tabla11[[#This Row],[Cuenta]],1))</f>
        <v>1</v>
      </c>
      <c r="M874" t="b">
        <f>+ISNUMBER(SEARCH('F-COMPRA'!$G$25,Tabla11[[#This Row],[Cuenta]],1))</f>
        <v>0</v>
      </c>
      <c r="N874" t="b">
        <f>+ISNUMBER(SEARCH(#REF!,Tabla11[[#This Row],[Cuenta]],1))</f>
        <v>0</v>
      </c>
      <c r="O874" t="b">
        <f>+ISNUMBER(SEARCH(#REF!,Tabla11[[#This Row],[Cuenta]],1))</f>
        <v>0</v>
      </c>
      <c r="P874" t="b">
        <f>+ISNUMBER(SEARCH('F-COMPRA'!$F$32,Tabla11[[#This Row],[Cuenta]],1))</f>
        <v>1</v>
      </c>
      <c r="Q874" t="b">
        <f>+ISNUMBER(SEARCH('F-COMPRA'!$F$33,Tabla11[[#This Row],[Cuenta]],1))</f>
        <v>1</v>
      </c>
      <c r="R874" t="b">
        <f>+ISNUMBER(SEARCH('F-COMPRA'!$F$34,Tabla11[[#This Row],[Cuenta]],1))</f>
        <v>1</v>
      </c>
      <c r="S874" t="b">
        <f>+ISNUMBER(SEARCH('F-COMPRA'!$F$35,Tabla11[[#This Row],[Cuenta]],1))</f>
        <v>1</v>
      </c>
      <c r="T874" t="b">
        <f>+ISNUMBER(SEARCH('F-COMPRA'!$F$36,Tabla11[[#This Row],[Cuenta]],1))</f>
        <v>1</v>
      </c>
      <c r="U874" t="b">
        <f>+ISNUMBER(SEARCH('F-COMPRA'!$F$37,Tabla11[[#This Row],[Cuenta]],1))</f>
        <v>1</v>
      </c>
      <c r="V874" t="b">
        <f>+ISNUMBER(SEARCH(#REF!,Tabla11[[#This Row],[Cuenta]],1))</f>
        <v>0</v>
      </c>
      <c r="W874" t="b">
        <f>+ISNUMBER(SEARCH('F-COMPRA'!#REF!,Tabla11[[#This Row],[Cuenta]],1))</f>
        <v>0</v>
      </c>
      <c r="X874" t="b">
        <f>+ISNUMBER(SEARCH('F-COMPRA'!#REF!,Tabla11[[#This Row],[Cuenta]],1))</f>
        <v>0</v>
      </c>
      <c r="Y874" t="b">
        <f>+ISNUMBER(SEARCH('F-COMPRA'!#REF!,Tabla11[[#This Row],[Cuenta]],1))</f>
        <v>0</v>
      </c>
      <c r="Z874" t="b">
        <f>+ISNUMBER(SEARCH('F-COMPRA'!#REF!,Tabla11[[#This Row],[Cuenta]],1))</f>
        <v>0</v>
      </c>
      <c r="AA874" t="b">
        <f>+ISNUMBER(SEARCH('F-COMPRA'!#REF!,Tabla11[[#This Row],[Cuenta]],1))</f>
        <v>0</v>
      </c>
      <c r="AB874" t="b">
        <f>+ISNUMBER(SEARCH('F-COMPRA'!#REF!,Tabla11[[#This Row],[Cuenta]],1))</f>
        <v>0</v>
      </c>
      <c r="AC874" t="b">
        <f>+ISNUMBER(SEARCH('F-COMPRA'!#REF!,Tabla11[[#This Row],[Cuenta]],1))</f>
        <v>0</v>
      </c>
      <c r="AD874" t="b">
        <f>+ISNUMBER(SEARCH('F-COMPRA'!#REF!,Tabla11[[#This Row],[Cuenta]],1))</f>
        <v>0</v>
      </c>
      <c r="AE874" t="b">
        <f>+ISNUMBER(SEARCH('F-COMPRA'!#REF!,Tabla11[[#This Row],[Cuenta]],1))</f>
        <v>0</v>
      </c>
      <c r="AF874" t="b">
        <f>+ISNUMBER(SEARCH('F-VTA'!$G$23,Tabla11[[#This Row],[Cuenta]],1))</f>
        <v>0</v>
      </c>
      <c r="AG874" t="b">
        <f>+ISNUMBER(SEARCH('F-VTA'!$G$24,Tabla11[[#This Row],[Cuenta]],1))</f>
        <v>0</v>
      </c>
      <c r="AH874" t="b">
        <f>+ISNUMBER(SEARCH('F-VTA'!$G$25,Tabla11[[#This Row],[Cuenta]],1))</f>
        <v>0</v>
      </c>
      <c r="AI874" t="b">
        <f>+ISNUMBER(SEARCH('F-VTA'!$F$28,Tabla11[[#This Row],[Cuenta]],1))</f>
        <v>1</v>
      </c>
      <c r="AJ874" t="b">
        <f>+ISNUMBER(SEARCH('F-VTA'!$F$29,Tabla11[[#This Row],[Cuenta]],1))</f>
        <v>1</v>
      </c>
      <c r="AK874" t="b">
        <f>+ISNUMBER(SEARCH('F-VTA'!$F$30,Tabla11[[#This Row],[Cuenta]],1))</f>
        <v>1</v>
      </c>
      <c r="AL874" t="b">
        <f>+ISNUMBER(SEARCH('F-VTA'!$F$31,Tabla11[[#This Row],[Cuenta]],1))</f>
        <v>1</v>
      </c>
      <c r="AM874" t="b">
        <f>+ISNUMBER(SEARCH('F-VTA'!$F$32,Tabla11[[#This Row],[Cuenta]],1))</f>
        <v>1</v>
      </c>
      <c r="AN874" t="b">
        <f>+ISNUMBER(SEARCH('F-VTA'!$F$33,Tabla11[[#This Row],[Cuenta]],1))</f>
        <v>1</v>
      </c>
      <c r="AO874" t="b">
        <f>+ISNUMBER(SEARCH('F-VTA'!$F$34,Tabla11[[#This Row],[Cuenta]],1))</f>
        <v>1</v>
      </c>
      <c r="AP874" t="b">
        <f>+ISNUMBER(SEARCH('F-VTA'!$F$35,Tabla11[[#This Row],[Cuenta]],1))</f>
        <v>1</v>
      </c>
      <c r="AQ874" t="b">
        <f>+ISNUMBER(SEARCH('F-VTA'!$F$36,Tabla11[[#This Row],[Cuenta]],1))</f>
        <v>1</v>
      </c>
      <c r="AR874" t="b">
        <f>+ISNUMBER(SEARCH(#REF!,Tabla11[[#This Row],[Cuenta]],1))</f>
        <v>0</v>
      </c>
      <c r="AS874" t="b">
        <f>+ISNUMBER(SEARCH(#REF!,Tabla11[[#This Row],[Cuenta]],1))</f>
        <v>0</v>
      </c>
      <c r="AT874" t="b">
        <f>+ISNUMBER(SEARCH(#REF!,Tabla11[[#This Row],[Cuenta]],1))</f>
        <v>0</v>
      </c>
      <c r="AU874" t="b">
        <f>+ISNUMBER(SEARCH('Conc. Ban.1'!$I$9,Tabla11[[#This Row],[Cuenta]],1))</f>
        <v>0</v>
      </c>
      <c r="AV874" t="b">
        <f>+ISNUMBER(SEARCH(CompConta!$F$21,Tabla11[[#This Row],[Cuenta]],1))</f>
        <v>1</v>
      </c>
      <c r="AW874" t="b">
        <f>+ISNUMBER(SEARCH(CompConta!$F$22,Tabla11[[#This Row],[Cuenta]],1))</f>
        <v>1</v>
      </c>
      <c r="AX874" t="b">
        <f>+ISNUMBER(SEARCH(CompConta!$F$23,Tabla11[[#This Row],[Cuenta]],1))</f>
        <v>1</v>
      </c>
      <c r="AY874" t="b">
        <f>+ISNUMBER(SEARCH(CompConta!$F$24,Tabla11[[#This Row],[Cuenta]],1))</f>
        <v>1</v>
      </c>
      <c r="AZ874" t="b">
        <f>+ISNUMBER(SEARCH(CompConta!$F$25,Tabla11[[#This Row],[Cuenta]],1))</f>
        <v>1</v>
      </c>
      <c r="BA874" t="b">
        <f>+ISNUMBER(SEARCH(CompConta!$F$26,Tabla11[[#This Row],[Cuenta]],1))</f>
        <v>1</v>
      </c>
      <c r="BB874" t="b">
        <f>+ISNUMBER(SEARCH(CompConta!$F$27,Tabla11[[#This Row],[Cuenta]],1))</f>
        <v>1</v>
      </c>
      <c r="BC874" t="b">
        <f>+ISNUMBER(SEARCH(CompConta!$F$28,Tabla11[[#This Row],[Cuenta]],1))</f>
        <v>1</v>
      </c>
      <c r="BD874" t="b">
        <f>+ISNUMBER(SEARCH(CompConta!$F$29,Tabla11[[#This Row],[Cuenta]],1))</f>
        <v>1</v>
      </c>
      <c r="BE874" t="b">
        <f>+ISNUMBER(SEARCH(CompConta!$F$30,Tabla11[[#This Row],[Cuenta]],1))</f>
        <v>1</v>
      </c>
      <c r="BF874" t="b">
        <f>+ISNUMBER(SEARCH('PAGO Compras'!$E$11,Tabla11[[#This Row],[Cuenta]],1))</f>
        <v>1</v>
      </c>
      <c r="BG874" t="b">
        <f>+ISNUMBER(SEARCH(#REF!,Tabla11[[#This Row],[Cuenta]],1))</f>
        <v>0</v>
      </c>
      <c r="BH874" t="b">
        <f>+ISNUMBER(SEARCH(#REF!,Tabla11[[#This Row],[Cuenta]],1))</f>
        <v>0</v>
      </c>
      <c r="BI874" t="b">
        <f>+ISNUMBER(SEARCH(#REF!,Tabla11[[#This Row],[Cuenta]],1))</f>
        <v>0</v>
      </c>
      <c r="BJ874" t="b">
        <f>+ISNUMBER(SEARCH(#REF!,Tabla11[[#This Row],[Cuenta]],1))</f>
        <v>0</v>
      </c>
      <c r="BS874" t="str">
        <v>514025 Consulares</v>
      </c>
      <c r="BT874" t="str">
        <v>514025 Consulares</v>
      </c>
      <c r="BU874" t="str">
        <v>514025 Consulares</v>
      </c>
      <c r="BV874" t="str">
        <v>514025 Consulares</v>
      </c>
      <c r="BZ874" t="str">
        <v>514025 Consulares</v>
      </c>
      <c r="CA874" t="str">
        <v>514025 Consulares</v>
      </c>
      <c r="CB874" t="str">
        <v>514025 Consulares</v>
      </c>
      <c r="CC874" t="str">
        <v>514025 Consulares</v>
      </c>
      <c r="CD874" t="str">
        <v>514025 Consulares</v>
      </c>
      <c r="CE874" t="str">
        <v>514025 Consulares</v>
      </c>
      <c r="CS874" s="141" t="str">
        <v>514025 Consulares</v>
      </c>
      <c r="CT874" s="141" t="str">
        <v>514025 Consulares</v>
      </c>
      <c r="CU874" s="141" t="str">
        <v>514025 Consulares</v>
      </c>
      <c r="CV874" s="141" t="str">
        <v>514025 Consulares</v>
      </c>
      <c r="CW874" s="141" t="str">
        <v>514025 Consulares</v>
      </c>
      <c r="CX874" s="141" t="str">
        <v>514025 Consulares</v>
      </c>
      <c r="CY874" s="141" t="str">
        <v>514025 Consulares</v>
      </c>
      <c r="CZ874" s="141" t="str">
        <v>514025 Consulares</v>
      </c>
      <c r="DA874" s="141" t="str">
        <v>514025 Consulares</v>
      </c>
      <c r="DF874" t="str">
        <v>514025 Consulares</v>
      </c>
      <c r="DG874" t="str">
        <v>514025 Consulares</v>
      </c>
      <c r="DH874" t="str">
        <v>514025 Consulares</v>
      </c>
      <c r="DI874" t="str">
        <v>514025 Consulares</v>
      </c>
      <c r="DJ874" t="str">
        <v>514025 Consulares</v>
      </c>
      <c r="DK874" t="str">
        <v>514025 Consulares</v>
      </c>
      <c r="DL874" t="str">
        <v>514025 Consulares</v>
      </c>
      <c r="DM874" t="str">
        <v>514025 Consulares</v>
      </c>
      <c r="DN874" t="str">
        <v>514025 Consulares</v>
      </c>
      <c r="DO874" t="str">
        <v>514025 Consulares</v>
      </c>
      <c r="DP874" t="str">
        <v>514025 Consulares</v>
      </c>
    </row>
    <row r="875" spans="4:120" ht="12.75">
      <c r="D875" s="7">
        <v>514095</v>
      </c>
      <c r="E875" s="6" t="s">
        <v>45</v>
      </c>
      <c r="F875" s="5">
        <v>4</v>
      </c>
      <c r="G875" s="34" t="s">
        <v>830</v>
      </c>
      <c r="H875" s="8" t="s">
        <v>32</v>
      </c>
      <c r="I875" t="b">
        <f>+ISNUMBER(SEARCH('F-COMPRA'!$F$28,Tabla11[[#This Row],[Cuenta]],1))</f>
        <v>1</v>
      </c>
      <c r="J875" t="b">
        <f>+ISNUMBER(SEARCH('F-COMPRA'!$F$29,Tabla11[[#This Row],[Cuenta]],1))</f>
        <v>1</v>
      </c>
      <c r="K875" t="b">
        <f>+ISNUMBER(SEARCH('F-COMPRA'!$F$30,Tabla11[[#This Row],[Cuenta]],1))</f>
        <v>1</v>
      </c>
      <c r="L875" t="b">
        <f>+ISNUMBER(SEARCH('F-COMPRA'!$F$31,Tabla11[[#This Row],[Cuenta]],1))</f>
        <v>1</v>
      </c>
      <c r="M875" t="b">
        <f>+ISNUMBER(SEARCH('F-COMPRA'!$G$25,Tabla11[[#This Row],[Cuenta]],1))</f>
        <v>0</v>
      </c>
      <c r="N875" t="b">
        <f>+ISNUMBER(SEARCH(#REF!,Tabla11[[#This Row],[Cuenta]],1))</f>
        <v>0</v>
      </c>
      <c r="O875" t="b">
        <f>+ISNUMBER(SEARCH(#REF!,Tabla11[[#This Row],[Cuenta]],1))</f>
        <v>0</v>
      </c>
      <c r="P875" t="b">
        <f>+ISNUMBER(SEARCH('F-COMPRA'!$F$32,Tabla11[[#This Row],[Cuenta]],1))</f>
        <v>1</v>
      </c>
      <c r="Q875" t="b">
        <f>+ISNUMBER(SEARCH('F-COMPRA'!$F$33,Tabla11[[#This Row],[Cuenta]],1))</f>
        <v>1</v>
      </c>
      <c r="R875" t="b">
        <f>+ISNUMBER(SEARCH('F-COMPRA'!$F$34,Tabla11[[#This Row],[Cuenta]],1))</f>
        <v>1</v>
      </c>
      <c r="S875" t="b">
        <f>+ISNUMBER(SEARCH('F-COMPRA'!$F$35,Tabla11[[#This Row],[Cuenta]],1))</f>
        <v>1</v>
      </c>
      <c r="T875" t="b">
        <f>+ISNUMBER(SEARCH('F-COMPRA'!$F$36,Tabla11[[#This Row],[Cuenta]],1))</f>
        <v>1</v>
      </c>
      <c r="U875" t="b">
        <f>+ISNUMBER(SEARCH('F-COMPRA'!$F$37,Tabla11[[#This Row],[Cuenta]],1))</f>
        <v>1</v>
      </c>
      <c r="V875" t="b">
        <f>+ISNUMBER(SEARCH(#REF!,Tabla11[[#This Row],[Cuenta]],1))</f>
        <v>0</v>
      </c>
      <c r="W875" t="b">
        <f>+ISNUMBER(SEARCH('F-COMPRA'!#REF!,Tabla11[[#This Row],[Cuenta]],1))</f>
        <v>0</v>
      </c>
      <c r="X875" t="b">
        <f>+ISNUMBER(SEARCH('F-COMPRA'!#REF!,Tabla11[[#This Row],[Cuenta]],1))</f>
        <v>0</v>
      </c>
      <c r="Y875" t="b">
        <f>+ISNUMBER(SEARCH('F-COMPRA'!#REF!,Tabla11[[#This Row],[Cuenta]],1))</f>
        <v>0</v>
      </c>
      <c r="Z875" t="b">
        <f>+ISNUMBER(SEARCH('F-COMPRA'!#REF!,Tabla11[[#This Row],[Cuenta]],1))</f>
        <v>0</v>
      </c>
      <c r="AA875" t="b">
        <f>+ISNUMBER(SEARCH('F-COMPRA'!#REF!,Tabla11[[#This Row],[Cuenta]],1))</f>
        <v>0</v>
      </c>
      <c r="AB875" t="b">
        <f>+ISNUMBER(SEARCH('F-COMPRA'!#REF!,Tabla11[[#This Row],[Cuenta]],1))</f>
        <v>0</v>
      </c>
      <c r="AC875" t="b">
        <f>+ISNUMBER(SEARCH('F-COMPRA'!#REF!,Tabla11[[#This Row],[Cuenta]],1))</f>
        <v>0</v>
      </c>
      <c r="AD875" t="b">
        <f>+ISNUMBER(SEARCH('F-COMPRA'!#REF!,Tabla11[[#This Row],[Cuenta]],1))</f>
        <v>0</v>
      </c>
      <c r="AE875" t="b">
        <f>+ISNUMBER(SEARCH('F-COMPRA'!#REF!,Tabla11[[#This Row],[Cuenta]],1))</f>
        <v>0</v>
      </c>
      <c r="AF875" t="b">
        <f>+ISNUMBER(SEARCH('F-VTA'!$G$23,Tabla11[[#This Row],[Cuenta]],1))</f>
        <v>0</v>
      </c>
      <c r="AG875" t="b">
        <f>+ISNUMBER(SEARCH('F-VTA'!$G$24,Tabla11[[#This Row],[Cuenta]],1))</f>
        <v>0</v>
      </c>
      <c r="AH875" t="b">
        <f>+ISNUMBER(SEARCH('F-VTA'!$G$25,Tabla11[[#This Row],[Cuenta]],1))</f>
        <v>0</v>
      </c>
      <c r="AI875" t="b">
        <f>+ISNUMBER(SEARCH('F-VTA'!$F$28,Tabla11[[#This Row],[Cuenta]],1))</f>
        <v>1</v>
      </c>
      <c r="AJ875" t="b">
        <f>+ISNUMBER(SEARCH('F-VTA'!$F$29,Tabla11[[#This Row],[Cuenta]],1))</f>
        <v>1</v>
      </c>
      <c r="AK875" t="b">
        <f>+ISNUMBER(SEARCH('F-VTA'!$F$30,Tabla11[[#This Row],[Cuenta]],1))</f>
        <v>1</v>
      </c>
      <c r="AL875" t="b">
        <f>+ISNUMBER(SEARCH('F-VTA'!$F$31,Tabla11[[#This Row],[Cuenta]],1))</f>
        <v>1</v>
      </c>
      <c r="AM875" t="b">
        <f>+ISNUMBER(SEARCH('F-VTA'!$F$32,Tabla11[[#This Row],[Cuenta]],1))</f>
        <v>1</v>
      </c>
      <c r="AN875" t="b">
        <f>+ISNUMBER(SEARCH('F-VTA'!$F$33,Tabla11[[#This Row],[Cuenta]],1))</f>
        <v>1</v>
      </c>
      <c r="AO875" t="b">
        <f>+ISNUMBER(SEARCH('F-VTA'!$F$34,Tabla11[[#This Row],[Cuenta]],1))</f>
        <v>1</v>
      </c>
      <c r="AP875" t="b">
        <f>+ISNUMBER(SEARCH('F-VTA'!$F$35,Tabla11[[#This Row],[Cuenta]],1))</f>
        <v>1</v>
      </c>
      <c r="AQ875" t="b">
        <f>+ISNUMBER(SEARCH('F-VTA'!$F$36,Tabla11[[#This Row],[Cuenta]],1))</f>
        <v>1</v>
      </c>
      <c r="AR875" t="b">
        <f>+ISNUMBER(SEARCH(#REF!,Tabla11[[#This Row],[Cuenta]],1))</f>
        <v>0</v>
      </c>
      <c r="AS875" t="b">
        <f>+ISNUMBER(SEARCH(#REF!,Tabla11[[#This Row],[Cuenta]],1))</f>
        <v>0</v>
      </c>
      <c r="AT875" t="b">
        <f>+ISNUMBER(SEARCH(#REF!,Tabla11[[#This Row],[Cuenta]],1))</f>
        <v>0</v>
      </c>
      <c r="AU875" t="b">
        <f>+ISNUMBER(SEARCH('Conc. Ban.1'!$I$9,Tabla11[[#This Row],[Cuenta]],1))</f>
        <v>0</v>
      </c>
      <c r="AV875" t="b">
        <f>+ISNUMBER(SEARCH(CompConta!$F$21,Tabla11[[#This Row],[Cuenta]],1))</f>
        <v>1</v>
      </c>
      <c r="AW875" t="b">
        <f>+ISNUMBER(SEARCH(CompConta!$F$22,Tabla11[[#This Row],[Cuenta]],1))</f>
        <v>1</v>
      </c>
      <c r="AX875" t="b">
        <f>+ISNUMBER(SEARCH(CompConta!$F$23,Tabla11[[#This Row],[Cuenta]],1))</f>
        <v>1</v>
      </c>
      <c r="AY875" t="b">
        <f>+ISNUMBER(SEARCH(CompConta!$F$24,Tabla11[[#This Row],[Cuenta]],1))</f>
        <v>1</v>
      </c>
      <c r="AZ875" t="b">
        <f>+ISNUMBER(SEARCH(CompConta!$F$25,Tabla11[[#This Row],[Cuenta]],1))</f>
        <v>1</v>
      </c>
      <c r="BA875" t="b">
        <f>+ISNUMBER(SEARCH(CompConta!$F$26,Tabla11[[#This Row],[Cuenta]],1))</f>
        <v>1</v>
      </c>
      <c r="BB875" t="b">
        <f>+ISNUMBER(SEARCH(CompConta!$F$27,Tabla11[[#This Row],[Cuenta]],1))</f>
        <v>1</v>
      </c>
      <c r="BC875" t="b">
        <f>+ISNUMBER(SEARCH(CompConta!$F$28,Tabla11[[#This Row],[Cuenta]],1))</f>
        <v>1</v>
      </c>
      <c r="BD875" t="b">
        <f>+ISNUMBER(SEARCH(CompConta!$F$29,Tabla11[[#This Row],[Cuenta]],1))</f>
        <v>1</v>
      </c>
      <c r="BE875" t="b">
        <f>+ISNUMBER(SEARCH(CompConta!$F$30,Tabla11[[#This Row],[Cuenta]],1))</f>
        <v>1</v>
      </c>
      <c r="BF875" t="b">
        <f>+ISNUMBER(SEARCH('PAGO Compras'!$E$11,Tabla11[[#This Row],[Cuenta]],1))</f>
        <v>1</v>
      </c>
      <c r="BG875" t="b">
        <f>+ISNUMBER(SEARCH(#REF!,Tabla11[[#This Row],[Cuenta]],1))</f>
        <v>0</v>
      </c>
      <c r="BH875" t="b">
        <f>+ISNUMBER(SEARCH(#REF!,Tabla11[[#This Row],[Cuenta]],1))</f>
        <v>0</v>
      </c>
      <c r="BI875" t="b">
        <f>+ISNUMBER(SEARCH(#REF!,Tabla11[[#This Row],[Cuenta]],1))</f>
        <v>0</v>
      </c>
      <c r="BJ875" t="b">
        <f>+ISNUMBER(SEARCH(#REF!,Tabla11[[#This Row],[Cuenta]],1))</f>
        <v>0</v>
      </c>
      <c r="BS875" t="str">
        <v>514095 Otros</v>
      </c>
      <c r="BT875" t="str">
        <v>514095 Otros</v>
      </c>
      <c r="BU875" t="str">
        <v>514095 Otros</v>
      </c>
      <c r="BV875" t="str">
        <v>514095 Otros</v>
      </c>
      <c r="BZ875" t="str">
        <v>514095 Otros</v>
      </c>
      <c r="CA875" t="str">
        <v>514095 Otros</v>
      </c>
      <c r="CB875" t="str">
        <v>514095 Otros</v>
      </c>
      <c r="CC875" t="str">
        <v>514095 Otros</v>
      </c>
      <c r="CD875" t="str">
        <v>514095 Otros</v>
      </c>
      <c r="CE875" t="str">
        <v>514095 Otros</v>
      </c>
      <c r="CS875" s="141" t="str">
        <v>514095 Otros</v>
      </c>
      <c r="CT875" s="141" t="str">
        <v>514095 Otros</v>
      </c>
      <c r="CU875" s="141" t="str">
        <v>514095 Otros</v>
      </c>
      <c r="CV875" s="141" t="str">
        <v>514095 Otros</v>
      </c>
      <c r="CW875" s="141" t="str">
        <v>514095 Otros</v>
      </c>
      <c r="CX875" s="141" t="str">
        <v>514095 Otros</v>
      </c>
      <c r="CY875" s="141" t="str">
        <v>514095 Otros</v>
      </c>
      <c r="CZ875" s="141" t="str">
        <v>514095 Otros</v>
      </c>
      <c r="DA875" s="141" t="str">
        <v>514095 Otros</v>
      </c>
      <c r="DF875" t="str">
        <v>514095 Otros</v>
      </c>
      <c r="DG875" t="str">
        <v>514095 Otros</v>
      </c>
      <c r="DH875" t="str">
        <v>514095 Otros</v>
      </c>
      <c r="DI875" t="str">
        <v>514095 Otros</v>
      </c>
      <c r="DJ875" t="str">
        <v>514095 Otros</v>
      </c>
      <c r="DK875" t="str">
        <v>514095 Otros</v>
      </c>
      <c r="DL875" t="str">
        <v>514095 Otros</v>
      </c>
      <c r="DM875" t="str">
        <v>514095 Otros</v>
      </c>
      <c r="DN875" t="str">
        <v>514095 Otros</v>
      </c>
      <c r="DO875" t="str">
        <v>514095 Otros</v>
      </c>
      <c r="DP875" t="str">
        <v>514095 Otros</v>
      </c>
    </row>
    <row r="876" spans="4:120" ht="12.75">
      <c r="D876" s="7">
        <v>514099</v>
      </c>
      <c r="E876" s="6" t="s">
        <v>93</v>
      </c>
      <c r="F876" s="5">
        <v>4</v>
      </c>
      <c r="G876" s="34" t="s">
        <v>830</v>
      </c>
      <c r="H876" s="8" t="s">
        <v>32</v>
      </c>
      <c r="I876" t="b">
        <f>+ISNUMBER(SEARCH('F-COMPRA'!$F$28,Tabla11[[#This Row],[Cuenta]],1))</f>
        <v>1</v>
      </c>
      <c r="J876" t="b">
        <f>+ISNUMBER(SEARCH('F-COMPRA'!$F$29,Tabla11[[#This Row],[Cuenta]],1))</f>
        <v>1</v>
      </c>
      <c r="K876" t="b">
        <f>+ISNUMBER(SEARCH('F-COMPRA'!$F$30,Tabla11[[#This Row],[Cuenta]],1))</f>
        <v>1</v>
      </c>
      <c r="L876" t="b">
        <f>+ISNUMBER(SEARCH('F-COMPRA'!$F$31,Tabla11[[#This Row],[Cuenta]],1))</f>
        <v>1</v>
      </c>
      <c r="M876" t="b">
        <f>+ISNUMBER(SEARCH('F-COMPRA'!$G$25,Tabla11[[#This Row],[Cuenta]],1))</f>
        <v>0</v>
      </c>
      <c r="N876" t="b">
        <f>+ISNUMBER(SEARCH(#REF!,Tabla11[[#This Row],[Cuenta]],1))</f>
        <v>0</v>
      </c>
      <c r="O876" t="b">
        <f>+ISNUMBER(SEARCH(#REF!,Tabla11[[#This Row],[Cuenta]],1))</f>
        <v>0</v>
      </c>
      <c r="P876" t="b">
        <f>+ISNUMBER(SEARCH('F-COMPRA'!$F$32,Tabla11[[#This Row],[Cuenta]],1))</f>
        <v>1</v>
      </c>
      <c r="Q876" t="b">
        <f>+ISNUMBER(SEARCH('F-COMPRA'!$F$33,Tabla11[[#This Row],[Cuenta]],1))</f>
        <v>1</v>
      </c>
      <c r="R876" t="b">
        <f>+ISNUMBER(SEARCH('F-COMPRA'!$F$34,Tabla11[[#This Row],[Cuenta]],1))</f>
        <v>1</v>
      </c>
      <c r="S876" t="b">
        <f>+ISNUMBER(SEARCH('F-COMPRA'!$F$35,Tabla11[[#This Row],[Cuenta]],1))</f>
        <v>1</v>
      </c>
      <c r="T876" t="b">
        <f>+ISNUMBER(SEARCH('F-COMPRA'!$F$36,Tabla11[[#This Row],[Cuenta]],1))</f>
        <v>1</v>
      </c>
      <c r="U876" t="b">
        <f>+ISNUMBER(SEARCH('F-COMPRA'!$F$37,Tabla11[[#This Row],[Cuenta]],1))</f>
        <v>1</v>
      </c>
      <c r="V876" t="b">
        <f>+ISNUMBER(SEARCH(#REF!,Tabla11[[#This Row],[Cuenta]],1))</f>
        <v>0</v>
      </c>
      <c r="W876" t="b">
        <f>+ISNUMBER(SEARCH('F-COMPRA'!#REF!,Tabla11[[#This Row],[Cuenta]],1))</f>
        <v>0</v>
      </c>
      <c r="X876" t="b">
        <f>+ISNUMBER(SEARCH('F-COMPRA'!#REF!,Tabla11[[#This Row],[Cuenta]],1))</f>
        <v>0</v>
      </c>
      <c r="Y876" t="b">
        <f>+ISNUMBER(SEARCH('F-COMPRA'!#REF!,Tabla11[[#This Row],[Cuenta]],1))</f>
        <v>0</v>
      </c>
      <c r="Z876" t="b">
        <f>+ISNUMBER(SEARCH('F-COMPRA'!#REF!,Tabla11[[#This Row],[Cuenta]],1))</f>
        <v>0</v>
      </c>
      <c r="AA876" t="b">
        <f>+ISNUMBER(SEARCH('F-COMPRA'!#REF!,Tabla11[[#This Row],[Cuenta]],1))</f>
        <v>0</v>
      </c>
      <c r="AB876" t="b">
        <f>+ISNUMBER(SEARCH('F-COMPRA'!#REF!,Tabla11[[#This Row],[Cuenta]],1))</f>
        <v>0</v>
      </c>
      <c r="AC876" t="b">
        <f>+ISNUMBER(SEARCH('F-COMPRA'!#REF!,Tabla11[[#This Row],[Cuenta]],1))</f>
        <v>0</v>
      </c>
      <c r="AD876" t="b">
        <f>+ISNUMBER(SEARCH('F-COMPRA'!#REF!,Tabla11[[#This Row],[Cuenta]],1))</f>
        <v>0</v>
      </c>
      <c r="AE876" t="b">
        <f>+ISNUMBER(SEARCH('F-COMPRA'!#REF!,Tabla11[[#This Row],[Cuenta]],1))</f>
        <v>0</v>
      </c>
      <c r="AF876" t="b">
        <f>+ISNUMBER(SEARCH('F-VTA'!$G$23,Tabla11[[#This Row],[Cuenta]],1))</f>
        <v>0</v>
      </c>
      <c r="AG876" t="b">
        <f>+ISNUMBER(SEARCH('F-VTA'!$G$24,Tabla11[[#This Row],[Cuenta]],1))</f>
        <v>0</v>
      </c>
      <c r="AH876" t="b">
        <f>+ISNUMBER(SEARCH('F-VTA'!$G$25,Tabla11[[#This Row],[Cuenta]],1))</f>
        <v>0</v>
      </c>
      <c r="AI876" t="b">
        <f>+ISNUMBER(SEARCH('F-VTA'!$F$28,Tabla11[[#This Row],[Cuenta]],1))</f>
        <v>1</v>
      </c>
      <c r="AJ876" t="b">
        <f>+ISNUMBER(SEARCH('F-VTA'!$F$29,Tabla11[[#This Row],[Cuenta]],1))</f>
        <v>1</v>
      </c>
      <c r="AK876" t="b">
        <f>+ISNUMBER(SEARCH('F-VTA'!$F$30,Tabla11[[#This Row],[Cuenta]],1))</f>
        <v>1</v>
      </c>
      <c r="AL876" t="b">
        <f>+ISNUMBER(SEARCH('F-VTA'!$F$31,Tabla11[[#This Row],[Cuenta]],1))</f>
        <v>1</v>
      </c>
      <c r="AM876" t="b">
        <f>+ISNUMBER(SEARCH('F-VTA'!$F$32,Tabla11[[#This Row],[Cuenta]],1))</f>
        <v>1</v>
      </c>
      <c r="AN876" t="b">
        <f>+ISNUMBER(SEARCH('F-VTA'!$F$33,Tabla11[[#This Row],[Cuenta]],1))</f>
        <v>1</v>
      </c>
      <c r="AO876" t="b">
        <f>+ISNUMBER(SEARCH('F-VTA'!$F$34,Tabla11[[#This Row],[Cuenta]],1))</f>
        <v>1</v>
      </c>
      <c r="AP876" t="b">
        <f>+ISNUMBER(SEARCH('F-VTA'!$F$35,Tabla11[[#This Row],[Cuenta]],1))</f>
        <v>1</v>
      </c>
      <c r="AQ876" t="b">
        <f>+ISNUMBER(SEARCH('F-VTA'!$F$36,Tabla11[[#This Row],[Cuenta]],1))</f>
        <v>1</v>
      </c>
      <c r="AR876" t="b">
        <f>+ISNUMBER(SEARCH(#REF!,Tabla11[[#This Row],[Cuenta]],1))</f>
        <v>0</v>
      </c>
      <c r="AS876" t="b">
        <f>+ISNUMBER(SEARCH(#REF!,Tabla11[[#This Row],[Cuenta]],1))</f>
        <v>0</v>
      </c>
      <c r="AT876" t="b">
        <f>+ISNUMBER(SEARCH(#REF!,Tabla11[[#This Row],[Cuenta]],1))</f>
        <v>0</v>
      </c>
      <c r="AU876" t="b">
        <f>+ISNUMBER(SEARCH('Conc. Ban.1'!$I$9,Tabla11[[#This Row],[Cuenta]],1))</f>
        <v>0</v>
      </c>
      <c r="AV876" t="b">
        <f>+ISNUMBER(SEARCH(CompConta!$F$21,Tabla11[[#This Row],[Cuenta]],1))</f>
        <v>1</v>
      </c>
      <c r="AW876" t="b">
        <f>+ISNUMBER(SEARCH(CompConta!$F$22,Tabla11[[#This Row],[Cuenta]],1))</f>
        <v>1</v>
      </c>
      <c r="AX876" t="b">
        <f>+ISNUMBER(SEARCH(CompConta!$F$23,Tabla11[[#This Row],[Cuenta]],1))</f>
        <v>1</v>
      </c>
      <c r="AY876" t="b">
        <f>+ISNUMBER(SEARCH(CompConta!$F$24,Tabla11[[#This Row],[Cuenta]],1))</f>
        <v>1</v>
      </c>
      <c r="AZ876" t="b">
        <f>+ISNUMBER(SEARCH(CompConta!$F$25,Tabla11[[#This Row],[Cuenta]],1))</f>
        <v>1</v>
      </c>
      <c r="BA876" t="b">
        <f>+ISNUMBER(SEARCH(CompConta!$F$26,Tabla11[[#This Row],[Cuenta]],1))</f>
        <v>1</v>
      </c>
      <c r="BB876" t="b">
        <f>+ISNUMBER(SEARCH(CompConta!$F$27,Tabla11[[#This Row],[Cuenta]],1))</f>
        <v>1</v>
      </c>
      <c r="BC876" t="b">
        <f>+ISNUMBER(SEARCH(CompConta!$F$28,Tabla11[[#This Row],[Cuenta]],1))</f>
        <v>1</v>
      </c>
      <c r="BD876" t="b">
        <f>+ISNUMBER(SEARCH(CompConta!$F$29,Tabla11[[#This Row],[Cuenta]],1))</f>
        <v>1</v>
      </c>
      <c r="BE876" t="b">
        <f>+ISNUMBER(SEARCH(CompConta!$F$30,Tabla11[[#This Row],[Cuenta]],1))</f>
        <v>1</v>
      </c>
      <c r="BF876" t="b">
        <f>+ISNUMBER(SEARCH('PAGO Compras'!$E$11,Tabla11[[#This Row],[Cuenta]],1))</f>
        <v>1</v>
      </c>
      <c r="BG876" t="b">
        <f>+ISNUMBER(SEARCH(#REF!,Tabla11[[#This Row],[Cuenta]],1))</f>
        <v>0</v>
      </c>
      <c r="BH876" t="b">
        <f>+ISNUMBER(SEARCH(#REF!,Tabla11[[#This Row],[Cuenta]],1))</f>
        <v>0</v>
      </c>
      <c r="BI876" t="b">
        <f>+ISNUMBER(SEARCH(#REF!,Tabla11[[#This Row],[Cuenta]],1))</f>
        <v>0</v>
      </c>
      <c r="BJ876" t="b">
        <f>+ISNUMBER(SEARCH(#REF!,Tabla11[[#This Row],[Cuenta]],1))</f>
        <v>0</v>
      </c>
      <c r="BS876" t="str">
        <v>514099 *Ajustes por inflación</v>
      </c>
      <c r="BT876" t="str">
        <v>514099 *Ajustes por inflación</v>
      </c>
      <c r="BU876" t="str">
        <v>514099 *Ajustes por inflación</v>
      </c>
      <c r="BV876" t="str">
        <v>514099 *Ajustes por inflación</v>
      </c>
      <c r="BZ876" t="str">
        <v>514099 *Ajustes por inflación</v>
      </c>
      <c r="CA876" t="str">
        <v>514099 *Ajustes por inflación</v>
      </c>
      <c r="CB876" t="str">
        <v>514099 *Ajustes por inflación</v>
      </c>
      <c r="CC876" t="str">
        <v>514099 *Ajustes por inflación</v>
      </c>
      <c r="CD876" t="str">
        <v>514099 *Ajustes por inflación</v>
      </c>
      <c r="CE876" t="str">
        <v>514099 *Ajustes por inflación</v>
      </c>
      <c r="CS876" s="141" t="str">
        <v>514099 *Ajustes por inflación</v>
      </c>
      <c r="CT876" s="141" t="str">
        <v>514099 *Ajustes por inflación</v>
      </c>
      <c r="CU876" s="141" t="str">
        <v>514099 *Ajustes por inflación</v>
      </c>
      <c r="CV876" s="141" t="str">
        <v>514099 *Ajustes por inflación</v>
      </c>
      <c r="CW876" s="141" t="str">
        <v>514099 *Ajustes por inflación</v>
      </c>
      <c r="CX876" s="141" t="str">
        <v>514099 *Ajustes por inflación</v>
      </c>
      <c r="CY876" s="141" t="str">
        <v>514099 *Ajustes por inflación</v>
      </c>
      <c r="CZ876" s="141" t="str">
        <v>514099 *Ajustes por inflación</v>
      </c>
      <c r="DA876" s="141" t="str">
        <v>514099 *Ajustes por inflación</v>
      </c>
      <c r="DF876" t="str">
        <v>514099 *Ajustes por inflación</v>
      </c>
      <c r="DG876" t="str">
        <v>514099 *Ajustes por inflación</v>
      </c>
      <c r="DH876" t="str">
        <v>514099 *Ajustes por inflación</v>
      </c>
      <c r="DI876" t="str">
        <v>514099 *Ajustes por inflación</v>
      </c>
      <c r="DJ876" t="str">
        <v>514099 *Ajustes por inflación</v>
      </c>
      <c r="DK876" t="str">
        <v>514099 *Ajustes por inflación</v>
      </c>
      <c r="DL876" t="str">
        <v>514099 *Ajustes por inflación</v>
      </c>
      <c r="DM876" t="str">
        <v>514099 *Ajustes por inflación</v>
      </c>
      <c r="DN876" t="str">
        <v>514099 *Ajustes por inflación</v>
      </c>
      <c r="DO876" t="str">
        <v>514099 *Ajustes por inflación</v>
      </c>
      <c r="DP876" t="str">
        <v>514099 *Ajustes por inflación</v>
      </c>
    </row>
    <row r="877" spans="4:120" ht="12.75">
      <c r="D877" s="7">
        <v>5145</v>
      </c>
      <c r="E877" s="6" t="s">
        <v>599</v>
      </c>
      <c r="F877" s="5">
        <v>3</v>
      </c>
      <c r="G877" s="34" t="s">
        <v>830</v>
      </c>
      <c r="H877" s="8" t="s">
        <v>32</v>
      </c>
      <c r="I877" t="b">
        <f>+ISNUMBER(SEARCH('F-COMPRA'!$F$28,Tabla11[[#This Row],[Cuenta]],1))</f>
        <v>1</v>
      </c>
      <c r="J877" t="b">
        <f>+ISNUMBER(SEARCH('F-COMPRA'!$F$29,Tabla11[[#This Row],[Cuenta]],1))</f>
        <v>1</v>
      </c>
      <c r="K877" t="b">
        <f>+ISNUMBER(SEARCH('F-COMPRA'!$F$30,Tabla11[[#This Row],[Cuenta]],1))</f>
        <v>1</v>
      </c>
      <c r="L877" t="b">
        <f>+ISNUMBER(SEARCH('F-COMPRA'!$F$31,Tabla11[[#This Row],[Cuenta]],1))</f>
        <v>1</v>
      </c>
      <c r="M877" t="b">
        <f>+ISNUMBER(SEARCH('F-COMPRA'!$G$25,Tabla11[[#This Row],[Cuenta]],1))</f>
        <v>0</v>
      </c>
      <c r="N877" t="b">
        <f>+ISNUMBER(SEARCH(#REF!,Tabla11[[#This Row],[Cuenta]],1))</f>
        <v>0</v>
      </c>
      <c r="O877" t="b">
        <f>+ISNUMBER(SEARCH(#REF!,Tabla11[[#This Row],[Cuenta]],1))</f>
        <v>0</v>
      </c>
      <c r="P877" t="b">
        <f>+ISNUMBER(SEARCH('F-COMPRA'!$F$32,Tabla11[[#This Row],[Cuenta]],1))</f>
        <v>1</v>
      </c>
      <c r="Q877" t="b">
        <f>+ISNUMBER(SEARCH('F-COMPRA'!$F$33,Tabla11[[#This Row],[Cuenta]],1))</f>
        <v>1</v>
      </c>
      <c r="R877" t="b">
        <f>+ISNUMBER(SEARCH('F-COMPRA'!$F$34,Tabla11[[#This Row],[Cuenta]],1))</f>
        <v>1</v>
      </c>
      <c r="S877" t="b">
        <f>+ISNUMBER(SEARCH('F-COMPRA'!$F$35,Tabla11[[#This Row],[Cuenta]],1))</f>
        <v>1</v>
      </c>
      <c r="T877" t="b">
        <f>+ISNUMBER(SEARCH('F-COMPRA'!$F$36,Tabla11[[#This Row],[Cuenta]],1))</f>
        <v>1</v>
      </c>
      <c r="U877" t="b">
        <f>+ISNUMBER(SEARCH('F-COMPRA'!$F$37,Tabla11[[#This Row],[Cuenta]],1))</f>
        <v>1</v>
      </c>
      <c r="V877" t="b">
        <f>+ISNUMBER(SEARCH(#REF!,Tabla11[[#This Row],[Cuenta]],1))</f>
        <v>0</v>
      </c>
      <c r="W877" t="b">
        <f>+ISNUMBER(SEARCH('F-COMPRA'!#REF!,Tabla11[[#This Row],[Cuenta]],1))</f>
        <v>0</v>
      </c>
      <c r="X877" t="b">
        <f>+ISNUMBER(SEARCH('F-COMPRA'!#REF!,Tabla11[[#This Row],[Cuenta]],1))</f>
        <v>0</v>
      </c>
      <c r="Y877" t="b">
        <f>+ISNUMBER(SEARCH('F-COMPRA'!#REF!,Tabla11[[#This Row],[Cuenta]],1))</f>
        <v>0</v>
      </c>
      <c r="Z877" t="b">
        <f>+ISNUMBER(SEARCH('F-COMPRA'!#REF!,Tabla11[[#This Row],[Cuenta]],1))</f>
        <v>0</v>
      </c>
      <c r="AA877" t="b">
        <f>+ISNUMBER(SEARCH('F-COMPRA'!#REF!,Tabla11[[#This Row],[Cuenta]],1))</f>
        <v>0</v>
      </c>
      <c r="AB877" t="b">
        <f>+ISNUMBER(SEARCH('F-COMPRA'!#REF!,Tabla11[[#This Row],[Cuenta]],1))</f>
        <v>0</v>
      </c>
      <c r="AC877" t="b">
        <f>+ISNUMBER(SEARCH('F-COMPRA'!#REF!,Tabla11[[#This Row],[Cuenta]],1))</f>
        <v>0</v>
      </c>
      <c r="AD877" t="b">
        <f>+ISNUMBER(SEARCH('F-COMPRA'!#REF!,Tabla11[[#This Row],[Cuenta]],1))</f>
        <v>0</v>
      </c>
      <c r="AE877" t="b">
        <f>+ISNUMBER(SEARCH('F-COMPRA'!#REF!,Tabla11[[#This Row],[Cuenta]],1))</f>
        <v>0</v>
      </c>
      <c r="AF877" t="b">
        <f>+ISNUMBER(SEARCH('F-VTA'!$G$23,Tabla11[[#This Row],[Cuenta]],1))</f>
        <v>0</v>
      </c>
      <c r="AG877" t="b">
        <f>+ISNUMBER(SEARCH('F-VTA'!$G$24,Tabla11[[#This Row],[Cuenta]],1))</f>
        <v>0</v>
      </c>
      <c r="AH877" t="b">
        <f>+ISNUMBER(SEARCH('F-VTA'!$G$25,Tabla11[[#This Row],[Cuenta]],1))</f>
        <v>0</v>
      </c>
      <c r="AI877" t="b">
        <f>+ISNUMBER(SEARCH('F-VTA'!$F$28,Tabla11[[#This Row],[Cuenta]],1))</f>
        <v>1</v>
      </c>
      <c r="AJ877" t="b">
        <f>+ISNUMBER(SEARCH('F-VTA'!$F$29,Tabla11[[#This Row],[Cuenta]],1))</f>
        <v>1</v>
      </c>
      <c r="AK877" t="b">
        <f>+ISNUMBER(SEARCH('F-VTA'!$F$30,Tabla11[[#This Row],[Cuenta]],1))</f>
        <v>1</v>
      </c>
      <c r="AL877" t="b">
        <f>+ISNUMBER(SEARCH('F-VTA'!$F$31,Tabla11[[#This Row],[Cuenta]],1))</f>
        <v>1</v>
      </c>
      <c r="AM877" t="b">
        <f>+ISNUMBER(SEARCH('F-VTA'!$F$32,Tabla11[[#This Row],[Cuenta]],1))</f>
        <v>1</v>
      </c>
      <c r="AN877" t="b">
        <f>+ISNUMBER(SEARCH('F-VTA'!$F$33,Tabla11[[#This Row],[Cuenta]],1))</f>
        <v>1</v>
      </c>
      <c r="AO877" t="b">
        <f>+ISNUMBER(SEARCH('F-VTA'!$F$34,Tabla11[[#This Row],[Cuenta]],1))</f>
        <v>1</v>
      </c>
      <c r="AP877" t="b">
        <f>+ISNUMBER(SEARCH('F-VTA'!$F$35,Tabla11[[#This Row],[Cuenta]],1))</f>
        <v>1</v>
      </c>
      <c r="AQ877" t="b">
        <f>+ISNUMBER(SEARCH('F-VTA'!$F$36,Tabla11[[#This Row],[Cuenta]],1))</f>
        <v>1</v>
      </c>
      <c r="AR877" t="b">
        <f>+ISNUMBER(SEARCH(#REF!,Tabla11[[#This Row],[Cuenta]],1))</f>
        <v>0</v>
      </c>
      <c r="AS877" t="b">
        <f>+ISNUMBER(SEARCH(#REF!,Tabla11[[#This Row],[Cuenta]],1))</f>
        <v>0</v>
      </c>
      <c r="AT877" t="b">
        <f>+ISNUMBER(SEARCH(#REF!,Tabla11[[#This Row],[Cuenta]],1))</f>
        <v>0</v>
      </c>
      <c r="AU877" t="b">
        <f>+ISNUMBER(SEARCH('Conc. Ban.1'!$I$9,Tabla11[[#This Row],[Cuenta]],1))</f>
        <v>0</v>
      </c>
      <c r="AV877" t="b">
        <f>+ISNUMBER(SEARCH(CompConta!$F$21,Tabla11[[#This Row],[Cuenta]],1))</f>
        <v>1</v>
      </c>
      <c r="AW877" t="b">
        <f>+ISNUMBER(SEARCH(CompConta!$F$22,Tabla11[[#This Row],[Cuenta]],1))</f>
        <v>1</v>
      </c>
      <c r="AX877" t="b">
        <f>+ISNUMBER(SEARCH(CompConta!$F$23,Tabla11[[#This Row],[Cuenta]],1))</f>
        <v>1</v>
      </c>
      <c r="AY877" t="b">
        <f>+ISNUMBER(SEARCH(CompConta!$F$24,Tabla11[[#This Row],[Cuenta]],1))</f>
        <v>1</v>
      </c>
      <c r="AZ877" t="b">
        <f>+ISNUMBER(SEARCH(CompConta!$F$25,Tabla11[[#This Row],[Cuenta]],1))</f>
        <v>1</v>
      </c>
      <c r="BA877" t="b">
        <f>+ISNUMBER(SEARCH(CompConta!$F$26,Tabla11[[#This Row],[Cuenta]],1))</f>
        <v>1</v>
      </c>
      <c r="BB877" t="b">
        <f>+ISNUMBER(SEARCH(CompConta!$F$27,Tabla11[[#This Row],[Cuenta]],1))</f>
        <v>1</v>
      </c>
      <c r="BC877" t="b">
        <f>+ISNUMBER(SEARCH(CompConta!$F$28,Tabla11[[#This Row],[Cuenta]],1))</f>
        <v>1</v>
      </c>
      <c r="BD877" t="b">
        <f>+ISNUMBER(SEARCH(CompConta!$F$29,Tabla11[[#This Row],[Cuenta]],1))</f>
        <v>1</v>
      </c>
      <c r="BE877" t="b">
        <f>+ISNUMBER(SEARCH(CompConta!$F$30,Tabla11[[#This Row],[Cuenta]],1))</f>
        <v>1</v>
      </c>
      <c r="BF877" t="b">
        <f>+ISNUMBER(SEARCH('PAGO Compras'!$E$11,Tabla11[[#This Row],[Cuenta]],1))</f>
        <v>1</v>
      </c>
      <c r="BG877" t="b">
        <f>+ISNUMBER(SEARCH(#REF!,Tabla11[[#This Row],[Cuenta]],1))</f>
        <v>0</v>
      </c>
      <c r="BH877" t="b">
        <f>+ISNUMBER(SEARCH(#REF!,Tabla11[[#This Row],[Cuenta]],1))</f>
        <v>0</v>
      </c>
      <c r="BI877" t="b">
        <f>+ISNUMBER(SEARCH(#REF!,Tabla11[[#This Row],[Cuenta]],1))</f>
        <v>0</v>
      </c>
      <c r="BJ877" t="b">
        <f>+ISNUMBER(SEARCH(#REF!,Tabla11[[#This Row],[Cuenta]],1))</f>
        <v>0</v>
      </c>
      <c r="BS877" t="str">
        <v>5145 MANTENIMIENTO Y REPARACIONES</v>
      </c>
      <c r="BT877" t="str">
        <v>5145 MANTENIMIENTO Y REPARACIONES</v>
      </c>
      <c r="BU877" t="str">
        <v>5145 MANTENIMIENTO Y REPARACIONES</v>
      </c>
      <c r="BV877" t="str">
        <v>5145 MANTENIMIENTO Y REPARACIONES</v>
      </c>
      <c r="BZ877" t="str">
        <v>5145 MANTENIMIENTO Y REPARACIONES</v>
      </c>
      <c r="CA877" t="str">
        <v>5145 MANTENIMIENTO Y REPARACIONES</v>
      </c>
      <c r="CB877" t="str">
        <v>5145 MANTENIMIENTO Y REPARACIONES</v>
      </c>
      <c r="CC877" t="str">
        <v>5145 MANTENIMIENTO Y REPARACIONES</v>
      </c>
      <c r="CD877" t="str">
        <v>5145 MANTENIMIENTO Y REPARACIONES</v>
      </c>
      <c r="CE877" t="str">
        <v>5145 MANTENIMIENTO Y REPARACIONES</v>
      </c>
      <c r="CS877" s="141" t="str">
        <v>5145 MANTENIMIENTO Y REPARACIONES</v>
      </c>
      <c r="CT877" s="141" t="str">
        <v>5145 MANTENIMIENTO Y REPARACIONES</v>
      </c>
      <c r="CU877" s="141" t="str">
        <v>5145 MANTENIMIENTO Y REPARACIONES</v>
      </c>
      <c r="CV877" s="141" t="str">
        <v>5145 MANTENIMIENTO Y REPARACIONES</v>
      </c>
      <c r="CW877" s="141" t="str">
        <v>5145 MANTENIMIENTO Y REPARACIONES</v>
      </c>
      <c r="CX877" s="141" t="str">
        <v>5145 MANTENIMIENTO Y REPARACIONES</v>
      </c>
      <c r="CY877" s="141" t="str">
        <v>5145 MANTENIMIENTO Y REPARACIONES</v>
      </c>
      <c r="CZ877" s="141" t="str">
        <v>5145 MANTENIMIENTO Y REPARACIONES</v>
      </c>
      <c r="DA877" s="141" t="str">
        <v>5145 MANTENIMIENTO Y REPARACIONES</v>
      </c>
      <c r="DF877" t="str">
        <v>5145 MANTENIMIENTO Y REPARACIONES</v>
      </c>
      <c r="DG877" t="str">
        <v>5145 MANTENIMIENTO Y REPARACIONES</v>
      </c>
      <c r="DH877" t="str">
        <v>5145 MANTENIMIENTO Y REPARACIONES</v>
      </c>
      <c r="DI877" t="str">
        <v>5145 MANTENIMIENTO Y REPARACIONES</v>
      </c>
      <c r="DJ877" t="str">
        <v>5145 MANTENIMIENTO Y REPARACIONES</v>
      </c>
      <c r="DK877" t="str">
        <v>5145 MANTENIMIENTO Y REPARACIONES</v>
      </c>
      <c r="DL877" t="str">
        <v>5145 MANTENIMIENTO Y REPARACIONES</v>
      </c>
      <c r="DM877" t="str">
        <v>5145 MANTENIMIENTO Y REPARACIONES</v>
      </c>
      <c r="DN877" t="str">
        <v>5145 MANTENIMIENTO Y REPARACIONES</v>
      </c>
      <c r="DO877" t="str">
        <v>5145 MANTENIMIENTO Y REPARACIONES</v>
      </c>
      <c r="DP877" t="str">
        <v>5145 MANTENIMIENTO Y REPARACIONES</v>
      </c>
    </row>
    <row r="878" spans="4:120" ht="12.75">
      <c r="D878" s="7">
        <v>514505</v>
      </c>
      <c r="E878" s="6" t="s">
        <v>223</v>
      </c>
      <c r="F878" s="5">
        <v>4</v>
      </c>
      <c r="G878" s="34" t="s">
        <v>830</v>
      </c>
      <c r="H878" s="8" t="s">
        <v>32</v>
      </c>
      <c r="I878" t="b">
        <f>+ISNUMBER(SEARCH('F-COMPRA'!$F$28,Tabla11[[#This Row],[Cuenta]],1))</f>
        <v>1</v>
      </c>
      <c r="J878" t="b">
        <f>+ISNUMBER(SEARCH('F-COMPRA'!$F$29,Tabla11[[#This Row],[Cuenta]],1))</f>
        <v>1</v>
      </c>
      <c r="K878" t="b">
        <f>+ISNUMBER(SEARCH('F-COMPRA'!$F$30,Tabla11[[#This Row],[Cuenta]],1))</f>
        <v>1</v>
      </c>
      <c r="L878" t="b">
        <f>+ISNUMBER(SEARCH('F-COMPRA'!$F$31,Tabla11[[#This Row],[Cuenta]],1))</f>
        <v>1</v>
      </c>
      <c r="M878" t="b">
        <f>+ISNUMBER(SEARCH('F-COMPRA'!$G$25,Tabla11[[#This Row],[Cuenta]],1))</f>
        <v>0</v>
      </c>
      <c r="N878" t="b">
        <f>+ISNUMBER(SEARCH(#REF!,Tabla11[[#This Row],[Cuenta]],1))</f>
        <v>0</v>
      </c>
      <c r="O878" t="b">
        <f>+ISNUMBER(SEARCH(#REF!,Tabla11[[#This Row],[Cuenta]],1))</f>
        <v>0</v>
      </c>
      <c r="P878" t="b">
        <f>+ISNUMBER(SEARCH('F-COMPRA'!$F$32,Tabla11[[#This Row],[Cuenta]],1))</f>
        <v>1</v>
      </c>
      <c r="Q878" t="b">
        <f>+ISNUMBER(SEARCH('F-COMPRA'!$F$33,Tabla11[[#This Row],[Cuenta]],1))</f>
        <v>1</v>
      </c>
      <c r="R878" t="b">
        <f>+ISNUMBER(SEARCH('F-COMPRA'!$F$34,Tabla11[[#This Row],[Cuenta]],1))</f>
        <v>1</v>
      </c>
      <c r="S878" t="b">
        <f>+ISNUMBER(SEARCH('F-COMPRA'!$F$35,Tabla11[[#This Row],[Cuenta]],1))</f>
        <v>1</v>
      </c>
      <c r="T878" t="b">
        <f>+ISNUMBER(SEARCH('F-COMPRA'!$F$36,Tabla11[[#This Row],[Cuenta]],1))</f>
        <v>1</v>
      </c>
      <c r="U878" t="b">
        <f>+ISNUMBER(SEARCH('F-COMPRA'!$F$37,Tabla11[[#This Row],[Cuenta]],1))</f>
        <v>1</v>
      </c>
      <c r="V878" t="b">
        <f>+ISNUMBER(SEARCH(#REF!,Tabla11[[#This Row],[Cuenta]],1))</f>
        <v>0</v>
      </c>
      <c r="W878" t="b">
        <f>+ISNUMBER(SEARCH('F-COMPRA'!#REF!,Tabla11[[#This Row],[Cuenta]],1))</f>
        <v>0</v>
      </c>
      <c r="X878" t="b">
        <f>+ISNUMBER(SEARCH('F-COMPRA'!#REF!,Tabla11[[#This Row],[Cuenta]],1))</f>
        <v>0</v>
      </c>
      <c r="Y878" t="b">
        <f>+ISNUMBER(SEARCH('F-COMPRA'!#REF!,Tabla11[[#This Row],[Cuenta]],1))</f>
        <v>0</v>
      </c>
      <c r="Z878" t="b">
        <f>+ISNUMBER(SEARCH('F-COMPRA'!#REF!,Tabla11[[#This Row],[Cuenta]],1))</f>
        <v>0</v>
      </c>
      <c r="AA878" t="b">
        <f>+ISNUMBER(SEARCH('F-COMPRA'!#REF!,Tabla11[[#This Row],[Cuenta]],1))</f>
        <v>0</v>
      </c>
      <c r="AB878" t="b">
        <f>+ISNUMBER(SEARCH('F-COMPRA'!#REF!,Tabla11[[#This Row],[Cuenta]],1))</f>
        <v>0</v>
      </c>
      <c r="AC878" t="b">
        <f>+ISNUMBER(SEARCH('F-COMPRA'!#REF!,Tabla11[[#This Row],[Cuenta]],1))</f>
        <v>0</v>
      </c>
      <c r="AD878" t="b">
        <f>+ISNUMBER(SEARCH('F-COMPRA'!#REF!,Tabla11[[#This Row],[Cuenta]],1))</f>
        <v>0</v>
      </c>
      <c r="AE878" t="b">
        <f>+ISNUMBER(SEARCH('F-COMPRA'!#REF!,Tabla11[[#This Row],[Cuenta]],1))</f>
        <v>0</v>
      </c>
      <c r="AF878" t="b">
        <f>+ISNUMBER(SEARCH('F-VTA'!$G$23,Tabla11[[#This Row],[Cuenta]],1))</f>
        <v>0</v>
      </c>
      <c r="AG878" t="b">
        <f>+ISNUMBER(SEARCH('F-VTA'!$G$24,Tabla11[[#This Row],[Cuenta]],1))</f>
        <v>0</v>
      </c>
      <c r="AH878" t="b">
        <f>+ISNUMBER(SEARCH('F-VTA'!$G$25,Tabla11[[#This Row],[Cuenta]],1))</f>
        <v>0</v>
      </c>
      <c r="AI878" t="b">
        <f>+ISNUMBER(SEARCH('F-VTA'!$F$28,Tabla11[[#This Row],[Cuenta]],1))</f>
        <v>1</v>
      </c>
      <c r="AJ878" t="b">
        <f>+ISNUMBER(SEARCH('F-VTA'!$F$29,Tabla11[[#This Row],[Cuenta]],1))</f>
        <v>1</v>
      </c>
      <c r="AK878" t="b">
        <f>+ISNUMBER(SEARCH('F-VTA'!$F$30,Tabla11[[#This Row],[Cuenta]],1))</f>
        <v>1</v>
      </c>
      <c r="AL878" t="b">
        <f>+ISNUMBER(SEARCH('F-VTA'!$F$31,Tabla11[[#This Row],[Cuenta]],1))</f>
        <v>1</v>
      </c>
      <c r="AM878" t="b">
        <f>+ISNUMBER(SEARCH('F-VTA'!$F$32,Tabla11[[#This Row],[Cuenta]],1))</f>
        <v>1</v>
      </c>
      <c r="AN878" t="b">
        <f>+ISNUMBER(SEARCH('F-VTA'!$F$33,Tabla11[[#This Row],[Cuenta]],1))</f>
        <v>1</v>
      </c>
      <c r="AO878" t="b">
        <f>+ISNUMBER(SEARCH('F-VTA'!$F$34,Tabla11[[#This Row],[Cuenta]],1))</f>
        <v>1</v>
      </c>
      <c r="AP878" t="b">
        <f>+ISNUMBER(SEARCH('F-VTA'!$F$35,Tabla11[[#This Row],[Cuenta]],1))</f>
        <v>1</v>
      </c>
      <c r="AQ878" t="b">
        <f>+ISNUMBER(SEARCH('F-VTA'!$F$36,Tabla11[[#This Row],[Cuenta]],1))</f>
        <v>1</v>
      </c>
      <c r="AR878" t="b">
        <f>+ISNUMBER(SEARCH(#REF!,Tabla11[[#This Row],[Cuenta]],1))</f>
        <v>0</v>
      </c>
      <c r="AS878" t="b">
        <f>+ISNUMBER(SEARCH(#REF!,Tabla11[[#This Row],[Cuenta]],1))</f>
        <v>0</v>
      </c>
      <c r="AT878" t="b">
        <f>+ISNUMBER(SEARCH(#REF!,Tabla11[[#This Row],[Cuenta]],1))</f>
        <v>0</v>
      </c>
      <c r="AU878" t="b">
        <f>+ISNUMBER(SEARCH('Conc. Ban.1'!$I$9,Tabla11[[#This Row],[Cuenta]],1))</f>
        <v>0</v>
      </c>
      <c r="AV878" t="b">
        <f>+ISNUMBER(SEARCH(CompConta!$F$21,Tabla11[[#This Row],[Cuenta]],1))</f>
        <v>1</v>
      </c>
      <c r="AW878" t="b">
        <f>+ISNUMBER(SEARCH(CompConta!$F$22,Tabla11[[#This Row],[Cuenta]],1))</f>
        <v>1</v>
      </c>
      <c r="AX878" t="b">
        <f>+ISNUMBER(SEARCH(CompConta!$F$23,Tabla11[[#This Row],[Cuenta]],1))</f>
        <v>1</v>
      </c>
      <c r="AY878" t="b">
        <f>+ISNUMBER(SEARCH(CompConta!$F$24,Tabla11[[#This Row],[Cuenta]],1))</f>
        <v>1</v>
      </c>
      <c r="AZ878" t="b">
        <f>+ISNUMBER(SEARCH(CompConta!$F$25,Tabla11[[#This Row],[Cuenta]],1))</f>
        <v>1</v>
      </c>
      <c r="BA878" t="b">
        <f>+ISNUMBER(SEARCH(CompConta!$F$26,Tabla11[[#This Row],[Cuenta]],1))</f>
        <v>1</v>
      </c>
      <c r="BB878" t="b">
        <f>+ISNUMBER(SEARCH(CompConta!$F$27,Tabla11[[#This Row],[Cuenta]],1))</f>
        <v>1</v>
      </c>
      <c r="BC878" t="b">
        <f>+ISNUMBER(SEARCH(CompConta!$F$28,Tabla11[[#This Row],[Cuenta]],1))</f>
        <v>1</v>
      </c>
      <c r="BD878" t="b">
        <f>+ISNUMBER(SEARCH(CompConta!$F$29,Tabla11[[#This Row],[Cuenta]],1))</f>
        <v>1</v>
      </c>
      <c r="BE878" t="b">
        <f>+ISNUMBER(SEARCH(CompConta!$F$30,Tabla11[[#This Row],[Cuenta]],1))</f>
        <v>1</v>
      </c>
      <c r="BF878" t="b">
        <f>+ISNUMBER(SEARCH('PAGO Compras'!$E$11,Tabla11[[#This Row],[Cuenta]],1))</f>
        <v>1</v>
      </c>
      <c r="BG878" t="b">
        <f>+ISNUMBER(SEARCH(#REF!,Tabla11[[#This Row],[Cuenta]],1))</f>
        <v>0</v>
      </c>
      <c r="BH878" t="b">
        <f>+ISNUMBER(SEARCH(#REF!,Tabla11[[#This Row],[Cuenta]],1))</f>
        <v>0</v>
      </c>
      <c r="BI878" t="b">
        <f>+ISNUMBER(SEARCH(#REF!,Tabla11[[#This Row],[Cuenta]],1))</f>
        <v>0</v>
      </c>
      <c r="BJ878" t="b">
        <f>+ISNUMBER(SEARCH(#REF!,Tabla11[[#This Row],[Cuenta]],1))</f>
        <v>0</v>
      </c>
      <c r="BS878" t="str">
        <v>514505 Terrenos</v>
      </c>
      <c r="BT878" t="str">
        <v>514505 Terrenos</v>
      </c>
      <c r="BU878" t="str">
        <v>514505 Terrenos</v>
      </c>
      <c r="BV878" t="str">
        <v>514505 Terrenos</v>
      </c>
      <c r="BZ878" t="str">
        <v>514505 Terrenos</v>
      </c>
      <c r="CA878" t="str">
        <v>514505 Terrenos</v>
      </c>
      <c r="CB878" t="str">
        <v>514505 Terrenos</v>
      </c>
      <c r="CC878" t="str">
        <v>514505 Terrenos</v>
      </c>
      <c r="CD878" t="str">
        <v>514505 Terrenos</v>
      </c>
      <c r="CE878" t="str">
        <v>514505 Terrenos</v>
      </c>
      <c r="CS878" s="141" t="str">
        <v>514505 Terrenos</v>
      </c>
      <c r="CT878" s="141" t="str">
        <v>514505 Terrenos</v>
      </c>
      <c r="CU878" s="141" t="str">
        <v>514505 Terrenos</v>
      </c>
      <c r="CV878" s="141" t="str">
        <v>514505 Terrenos</v>
      </c>
      <c r="CW878" s="141" t="str">
        <v>514505 Terrenos</v>
      </c>
      <c r="CX878" s="141" t="str">
        <v>514505 Terrenos</v>
      </c>
      <c r="CY878" s="141" t="str">
        <v>514505 Terrenos</v>
      </c>
      <c r="CZ878" s="141" t="str">
        <v>514505 Terrenos</v>
      </c>
      <c r="DA878" s="141" t="str">
        <v>514505 Terrenos</v>
      </c>
      <c r="DF878" t="str">
        <v>514505 Terrenos</v>
      </c>
      <c r="DG878" t="str">
        <v>514505 Terrenos</v>
      </c>
      <c r="DH878" t="str">
        <v>514505 Terrenos</v>
      </c>
      <c r="DI878" t="str">
        <v>514505 Terrenos</v>
      </c>
      <c r="DJ878" t="str">
        <v>514505 Terrenos</v>
      </c>
      <c r="DK878" t="str">
        <v>514505 Terrenos</v>
      </c>
      <c r="DL878" t="str">
        <v>514505 Terrenos</v>
      </c>
      <c r="DM878" t="str">
        <v>514505 Terrenos</v>
      </c>
      <c r="DN878" t="str">
        <v>514505 Terrenos</v>
      </c>
      <c r="DO878" t="str">
        <v>514505 Terrenos</v>
      </c>
      <c r="DP878" t="str">
        <v>514505 Terrenos</v>
      </c>
    </row>
    <row r="879" spans="4:120" ht="12.75">
      <c r="D879" s="7">
        <v>514510</v>
      </c>
      <c r="E879" s="6" t="s">
        <v>121</v>
      </c>
      <c r="F879" s="5">
        <v>4</v>
      </c>
      <c r="G879" s="34" t="s">
        <v>830</v>
      </c>
      <c r="H879" s="8" t="s">
        <v>32</v>
      </c>
      <c r="I879" t="b">
        <f>+ISNUMBER(SEARCH('F-COMPRA'!$F$28,Tabla11[[#This Row],[Cuenta]],1))</f>
        <v>1</v>
      </c>
      <c r="J879" t="b">
        <f>+ISNUMBER(SEARCH('F-COMPRA'!$F$29,Tabla11[[#This Row],[Cuenta]],1))</f>
        <v>1</v>
      </c>
      <c r="K879" t="b">
        <f>+ISNUMBER(SEARCH('F-COMPRA'!$F$30,Tabla11[[#This Row],[Cuenta]],1))</f>
        <v>1</v>
      </c>
      <c r="L879" t="b">
        <f>+ISNUMBER(SEARCH('F-COMPRA'!$F$31,Tabla11[[#This Row],[Cuenta]],1))</f>
        <v>1</v>
      </c>
      <c r="M879" t="b">
        <f>+ISNUMBER(SEARCH('F-COMPRA'!$G$25,Tabla11[[#This Row],[Cuenta]],1))</f>
        <v>0</v>
      </c>
      <c r="N879" t="b">
        <f>+ISNUMBER(SEARCH(#REF!,Tabla11[[#This Row],[Cuenta]],1))</f>
        <v>0</v>
      </c>
      <c r="O879" t="b">
        <f>+ISNUMBER(SEARCH(#REF!,Tabla11[[#This Row],[Cuenta]],1))</f>
        <v>0</v>
      </c>
      <c r="P879" t="b">
        <f>+ISNUMBER(SEARCH('F-COMPRA'!$F$32,Tabla11[[#This Row],[Cuenta]],1))</f>
        <v>1</v>
      </c>
      <c r="Q879" t="b">
        <f>+ISNUMBER(SEARCH('F-COMPRA'!$F$33,Tabla11[[#This Row],[Cuenta]],1))</f>
        <v>1</v>
      </c>
      <c r="R879" t="b">
        <f>+ISNUMBER(SEARCH('F-COMPRA'!$F$34,Tabla11[[#This Row],[Cuenta]],1))</f>
        <v>1</v>
      </c>
      <c r="S879" t="b">
        <f>+ISNUMBER(SEARCH('F-COMPRA'!$F$35,Tabla11[[#This Row],[Cuenta]],1))</f>
        <v>1</v>
      </c>
      <c r="T879" t="b">
        <f>+ISNUMBER(SEARCH('F-COMPRA'!$F$36,Tabla11[[#This Row],[Cuenta]],1))</f>
        <v>1</v>
      </c>
      <c r="U879" t="b">
        <f>+ISNUMBER(SEARCH('F-COMPRA'!$F$37,Tabla11[[#This Row],[Cuenta]],1))</f>
        <v>1</v>
      </c>
      <c r="V879" t="b">
        <f>+ISNUMBER(SEARCH(#REF!,Tabla11[[#This Row],[Cuenta]],1))</f>
        <v>0</v>
      </c>
      <c r="W879" t="b">
        <f>+ISNUMBER(SEARCH('F-COMPRA'!#REF!,Tabla11[[#This Row],[Cuenta]],1))</f>
        <v>0</v>
      </c>
      <c r="X879" t="b">
        <f>+ISNUMBER(SEARCH('F-COMPRA'!#REF!,Tabla11[[#This Row],[Cuenta]],1))</f>
        <v>0</v>
      </c>
      <c r="Y879" t="b">
        <f>+ISNUMBER(SEARCH('F-COMPRA'!#REF!,Tabla11[[#This Row],[Cuenta]],1))</f>
        <v>0</v>
      </c>
      <c r="Z879" t="b">
        <f>+ISNUMBER(SEARCH('F-COMPRA'!#REF!,Tabla11[[#This Row],[Cuenta]],1))</f>
        <v>0</v>
      </c>
      <c r="AA879" t="b">
        <f>+ISNUMBER(SEARCH('F-COMPRA'!#REF!,Tabla11[[#This Row],[Cuenta]],1))</f>
        <v>0</v>
      </c>
      <c r="AB879" t="b">
        <f>+ISNUMBER(SEARCH('F-COMPRA'!#REF!,Tabla11[[#This Row],[Cuenta]],1))</f>
        <v>0</v>
      </c>
      <c r="AC879" t="b">
        <f>+ISNUMBER(SEARCH('F-COMPRA'!#REF!,Tabla11[[#This Row],[Cuenta]],1))</f>
        <v>0</v>
      </c>
      <c r="AD879" t="b">
        <f>+ISNUMBER(SEARCH('F-COMPRA'!#REF!,Tabla11[[#This Row],[Cuenta]],1))</f>
        <v>0</v>
      </c>
      <c r="AE879" t="b">
        <f>+ISNUMBER(SEARCH('F-COMPRA'!#REF!,Tabla11[[#This Row],[Cuenta]],1))</f>
        <v>0</v>
      </c>
      <c r="AF879" t="b">
        <f>+ISNUMBER(SEARCH('F-VTA'!$G$23,Tabla11[[#This Row],[Cuenta]],1))</f>
        <v>0</v>
      </c>
      <c r="AG879" t="b">
        <f>+ISNUMBER(SEARCH('F-VTA'!$G$24,Tabla11[[#This Row],[Cuenta]],1))</f>
        <v>0</v>
      </c>
      <c r="AH879" t="b">
        <f>+ISNUMBER(SEARCH('F-VTA'!$G$25,Tabla11[[#This Row],[Cuenta]],1))</f>
        <v>0</v>
      </c>
      <c r="AI879" t="b">
        <f>+ISNUMBER(SEARCH('F-VTA'!$F$28,Tabla11[[#This Row],[Cuenta]],1))</f>
        <v>1</v>
      </c>
      <c r="AJ879" t="b">
        <f>+ISNUMBER(SEARCH('F-VTA'!$F$29,Tabla11[[#This Row],[Cuenta]],1))</f>
        <v>1</v>
      </c>
      <c r="AK879" t="b">
        <f>+ISNUMBER(SEARCH('F-VTA'!$F$30,Tabla11[[#This Row],[Cuenta]],1))</f>
        <v>1</v>
      </c>
      <c r="AL879" t="b">
        <f>+ISNUMBER(SEARCH('F-VTA'!$F$31,Tabla11[[#This Row],[Cuenta]],1))</f>
        <v>1</v>
      </c>
      <c r="AM879" t="b">
        <f>+ISNUMBER(SEARCH('F-VTA'!$F$32,Tabla11[[#This Row],[Cuenta]],1))</f>
        <v>1</v>
      </c>
      <c r="AN879" t="b">
        <f>+ISNUMBER(SEARCH('F-VTA'!$F$33,Tabla11[[#This Row],[Cuenta]],1))</f>
        <v>1</v>
      </c>
      <c r="AO879" t="b">
        <f>+ISNUMBER(SEARCH('F-VTA'!$F$34,Tabla11[[#This Row],[Cuenta]],1))</f>
        <v>1</v>
      </c>
      <c r="AP879" t="b">
        <f>+ISNUMBER(SEARCH('F-VTA'!$F$35,Tabla11[[#This Row],[Cuenta]],1))</f>
        <v>1</v>
      </c>
      <c r="AQ879" t="b">
        <f>+ISNUMBER(SEARCH('F-VTA'!$F$36,Tabla11[[#This Row],[Cuenta]],1))</f>
        <v>1</v>
      </c>
      <c r="AR879" t="b">
        <f>+ISNUMBER(SEARCH(#REF!,Tabla11[[#This Row],[Cuenta]],1))</f>
        <v>0</v>
      </c>
      <c r="AS879" t="b">
        <f>+ISNUMBER(SEARCH(#REF!,Tabla11[[#This Row],[Cuenta]],1))</f>
        <v>0</v>
      </c>
      <c r="AT879" t="b">
        <f>+ISNUMBER(SEARCH(#REF!,Tabla11[[#This Row],[Cuenta]],1))</f>
        <v>0</v>
      </c>
      <c r="AU879" t="b">
        <f>+ISNUMBER(SEARCH('Conc. Ban.1'!$I$9,Tabla11[[#This Row],[Cuenta]],1))</f>
        <v>0</v>
      </c>
      <c r="AV879" t="b">
        <f>+ISNUMBER(SEARCH(CompConta!$F$21,Tabla11[[#This Row],[Cuenta]],1))</f>
        <v>1</v>
      </c>
      <c r="AW879" t="b">
        <f>+ISNUMBER(SEARCH(CompConta!$F$22,Tabla11[[#This Row],[Cuenta]],1))</f>
        <v>1</v>
      </c>
      <c r="AX879" t="b">
        <f>+ISNUMBER(SEARCH(CompConta!$F$23,Tabla11[[#This Row],[Cuenta]],1))</f>
        <v>1</v>
      </c>
      <c r="AY879" t="b">
        <f>+ISNUMBER(SEARCH(CompConta!$F$24,Tabla11[[#This Row],[Cuenta]],1))</f>
        <v>1</v>
      </c>
      <c r="AZ879" t="b">
        <f>+ISNUMBER(SEARCH(CompConta!$F$25,Tabla11[[#This Row],[Cuenta]],1))</f>
        <v>1</v>
      </c>
      <c r="BA879" t="b">
        <f>+ISNUMBER(SEARCH(CompConta!$F$26,Tabla11[[#This Row],[Cuenta]],1))</f>
        <v>1</v>
      </c>
      <c r="BB879" t="b">
        <f>+ISNUMBER(SEARCH(CompConta!$F$27,Tabla11[[#This Row],[Cuenta]],1))</f>
        <v>1</v>
      </c>
      <c r="BC879" t="b">
        <f>+ISNUMBER(SEARCH(CompConta!$F$28,Tabla11[[#This Row],[Cuenta]],1))</f>
        <v>1</v>
      </c>
      <c r="BD879" t="b">
        <f>+ISNUMBER(SEARCH(CompConta!$F$29,Tabla11[[#This Row],[Cuenta]],1))</f>
        <v>1</v>
      </c>
      <c r="BE879" t="b">
        <f>+ISNUMBER(SEARCH(CompConta!$F$30,Tabla11[[#This Row],[Cuenta]],1))</f>
        <v>1</v>
      </c>
      <c r="BF879" t="b">
        <f>+ISNUMBER(SEARCH('PAGO Compras'!$E$11,Tabla11[[#This Row],[Cuenta]],1))</f>
        <v>1</v>
      </c>
      <c r="BG879" t="b">
        <f>+ISNUMBER(SEARCH(#REF!,Tabla11[[#This Row],[Cuenta]],1))</f>
        <v>0</v>
      </c>
      <c r="BH879" t="b">
        <f>+ISNUMBER(SEARCH(#REF!,Tabla11[[#This Row],[Cuenta]],1))</f>
        <v>0</v>
      </c>
      <c r="BI879" t="b">
        <f>+ISNUMBER(SEARCH(#REF!,Tabla11[[#This Row],[Cuenta]],1))</f>
        <v>0</v>
      </c>
      <c r="BJ879" t="b">
        <f>+ISNUMBER(SEARCH(#REF!,Tabla11[[#This Row],[Cuenta]],1))</f>
        <v>0</v>
      </c>
      <c r="BS879" t="str">
        <v>514510 Construcciones y edificaciones</v>
      </c>
      <c r="BT879" t="str">
        <v>514510 Construcciones y edificaciones</v>
      </c>
      <c r="BU879" t="str">
        <v>514510 Construcciones y edificaciones</v>
      </c>
      <c r="BV879" t="str">
        <v>514510 Construcciones y edificaciones</v>
      </c>
      <c r="BZ879" t="str">
        <v>514510 Construcciones y edificaciones</v>
      </c>
      <c r="CA879" t="str">
        <v>514510 Construcciones y edificaciones</v>
      </c>
      <c r="CB879" t="str">
        <v>514510 Construcciones y edificaciones</v>
      </c>
      <c r="CC879" t="str">
        <v>514510 Construcciones y edificaciones</v>
      </c>
      <c r="CD879" t="str">
        <v>514510 Construcciones y edificaciones</v>
      </c>
      <c r="CE879" t="str">
        <v>514510 Construcciones y edificaciones</v>
      </c>
      <c r="CS879" s="141" t="str">
        <v>514510 Construcciones y edificaciones</v>
      </c>
      <c r="CT879" s="141" t="str">
        <v>514510 Construcciones y edificaciones</v>
      </c>
      <c r="CU879" s="141" t="str">
        <v>514510 Construcciones y edificaciones</v>
      </c>
      <c r="CV879" s="141" t="str">
        <v>514510 Construcciones y edificaciones</v>
      </c>
      <c r="CW879" s="141" t="str">
        <v>514510 Construcciones y edificaciones</v>
      </c>
      <c r="CX879" s="141" t="str">
        <v>514510 Construcciones y edificaciones</v>
      </c>
      <c r="CY879" s="141" t="str">
        <v>514510 Construcciones y edificaciones</v>
      </c>
      <c r="CZ879" s="141" t="str">
        <v>514510 Construcciones y edificaciones</v>
      </c>
      <c r="DA879" s="141" t="str">
        <v>514510 Construcciones y edificaciones</v>
      </c>
      <c r="DF879" t="str">
        <v>514510 Construcciones y edificaciones</v>
      </c>
      <c r="DG879" t="str">
        <v>514510 Construcciones y edificaciones</v>
      </c>
      <c r="DH879" t="str">
        <v>514510 Construcciones y edificaciones</v>
      </c>
      <c r="DI879" t="str">
        <v>514510 Construcciones y edificaciones</v>
      </c>
      <c r="DJ879" t="str">
        <v>514510 Construcciones y edificaciones</v>
      </c>
      <c r="DK879" t="str">
        <v>514510 Construcciones y edificaciones</v>
      </c>
      <c r="DL879" t="str">
        <v>514510 Construcciones y edificaciones</v>
      </c>
      <c r="DM879" t="str">
        <v>514510 Construcciones y edificaciones</v>
      </c>
      <c r="DN879" t="str">
        <v>514510 Construcciones y edificaciones</v>
      </c>
      <c r="DO879" t="str">
        <v>514510 Construcciones y edificaciones</v>
      </c>
      <c r="DP879" t="str">
        <v>514510 Construcciones y edificaciones</v>
      </c>
    </row>
    <row r="880" spans="4:120" ht="12.75">
      <c r="D880" s="7">
        <v>514515</v>
      </c>
      <c r="E880" s="6" t="s">
        <v>128</v>
      </c>
      <c r="F880" s="5">
        <v>4</v>
      </c>
      <c r="G880" s="34" t="s">
        <v>830</v>
      </c>
      <c r="H880" s="8" t="s">
        <v>32</v>
      </c>
      <c r="I880" t="b">
        <f>+ISNUMBER(SEARCH('F-COMPRA'!$F$28,Tabla11[[#This Row],[Cuenta]],1))</f>
        <v>1</v>
      </c>
      <c r="J880" t="b">
        <f>+ISNUMBER(SEARCH('F-COMPRA'!$F$29,Tabla11[[#This Row],[Cuenta]],1))</f>
        <v>1</v>
      </c>
      <c r="K880" t="b">
        <f>+ISNUMBER(SEARCH('F-COMPRA'!$F$30,Tabla11[[#This Row],[Cuenta]],1))</f>
        <v>1</v>
      </c>
      <c r="L880" t="b">
        <f>+ISNUMBER(SEARCH('F-COMPRA'!$F$31,Tabla11[[#This Row],[Cuenta]],1))</f>
        <v>1</v>
      </c>
      <c r="M880" t="b">
        <f>+ISNUMBER(SEARCH('F-COMPRA'!$G$25,Tabla11[[#This Row],[Cuenta]],1))</f>
        <v>0</v>
      </c>
      <c r="N880" t="b">
        <f>+ISNUMBER(SEARCH(#REF!,Tabla11[[#This Row],[Cuenta]],1))</f>
        <v>0</v>
      </c>
      <c r="O880" t="b">
        <f>+ISNUMBER(SEARCH(#REF!,Tabla11[[#This Row],[Cuenta]],1))</f>
        <v>0</v>
      </c>
      <c r="P880" t="b">
        <f>+ISNUMBER(SEARCH('F-COMPRA'!$F$32,Tabla11[[#This Row],[Cuenta]],1))</f>
        <v>1</v>
      </c>
      <c r="Q880" t="b">
        <f>+ISNUMBER(SEARCH('F-COMPRA'!$F$33,Tabla11[[#This Row],[Cuenta]],1))</f>
        <v>1</v>
      </c>
      <c r="R880" t="b">
        <f>+ISNUMBER(SEARCH('F-COMPRA'!$F$34,Tabla11[[#This Row],[Cuenta]],1))</f>
        <v>1</v>
      </c>
      <c r="S880" t="b">
        <f>+ISNUMBER(SEARCH('F-COMPRA'!$F$35,Tabla11[[#This Row],[Cuenta]],1))</f>
        <v>1</v>
      </c>
      <c r="T880" t="b">
        <f>+ISNUMBER(SEARCH('F-COMPRA'!$F$36,Tabla11[[#This Row],[Cuenta]],1))</f>
        <v>1</v>
      </c>
      <c r="U880" t="b">
        <f>+ISNUMBER(SEARCH('F-COMPRA'!$F$37,Tabla11[[#This Row],[Cuenta]],1))</f>
        <v>1</v>
      </c>
      <c r="V880" t="b">
        <f>+ISNUMBER(SEARCH(#REF!,Tabla11[[#This Row],[Cuenta]],1))</f>
        <v>0</v>
      </c>
      <c r="W880" t="b">
        <f>+ISNUMBER(SEARCH('F-COMPRA'!#REF!,Tabla11[[#This Row],[Cuenta]],1))</f>
        <v>0</v>
      </c>
      <c r="X880" t="b">
        <f>+ISNUMBER(SEARCH('F-COMPRA'!#REF!,Tabla11[[#This Row],[Cuenta]],1))</f>
        <v>0</v>
      </c>
      <c r="Y880" t="b">
        <f>+ISNUMBER(SEARCH('F-COMPRA'!#REF!,Tabla11[[#This Row],[Cuenta]],1))</f>
        <v>0</v>
      </c>
      <c r="Z880" t="b">
        <f>+ISNUMBER(SEARCH('F-COMPRA'!#REF!,Tabla11[[#This Row],[Cuenta]],1))</f>
        <v>0</v>
      </c>
      <c r="AA880" t="b">
        <f>+ISNUMBER(SEARCH('F-COMPRA'!#REF!,Tabla11[[#This Row],[Cuenta]],1))</f>
        <v>0</v>
      </c>
      <c r="AB880" t="b">
        <f>+ISNUMBER(SEARCH('F-COMPRA'!#REF!,Tabla11[[#This Row],[Cuenta]],1))</f>
        <v>0</v>
      </c>
      <c r="AC880" t="b">
        <f>+ISNUMBER(SEARCH('F-COMPRA'!#REF!,Tabla11[[#This Row],[Cuenta]],1))</f>
        <v>0</v>
      </c>
      <c r="AD880" t="b">
        <f>+ISNUMBER(SEARCH('F-COMPRA'!#REF!,Tabla11[[#This Row],[Cuenta]],1))</f>
        <v>0</v>
      </c>
      <c r="AE880" t="b">
        <f>+ISNUMBER(SEARCH('F-COMPRA'!#REF!,Tabla11[[#This Row],[Cuenta]],1))</f>
        <v>0</v>
      </c>
      <c r="AF880" t="b">
        <f>+ISNUMBER(SEARCH('F-VTA'!$G$23,Tabla11[[#This Row],[Cuenta]],1))</f>
        <v>0</v>
      </c>
      <c r="AG880" t="b">
        <f>+ISNUMBER(SEARCH('F-VTA'!$G$24,Tabla11[[#This Row],[Cuenta]],1))</f>
        <v>0</v>
      </c>
      <c r="AH880" t="b">
        <f>+ISNUMBER(SEARCH('F-VTA'!$G$25,Tabla11[[#This Row],[Cuenta]],1))</f>
        <v>0</v>
      </c>
      <c r="AI880" t="b">
        <f>+ISNUMBER(SEARCH('F-VTA'!$F$28,Tabla11[[#This Row],[Cuenta]],1))</f>
        <v>1</v>
      </c>
      <c r="AJ880" t="b">
        <f>+ISNUMBER(SEARCH('F-VTA'!$F$29,Tabla11[[#This Row],[Cuenta]],1))</f>
        <v>1</v>
      </c>
      <c r="AK880" t="b">
        <f>+ISNUMBER(SEARCH('F-VTA'!$F$30,Tabla11[[#This Row],[Cuenta]],1))</f>
        <v>1</v>
      </c>
      <c r="AL880" t="b">
        <f>+ISNUMBER(SEARCH('F-VTA'!$F$31,Tabla11[[#This Row],[Cuenta]],1))</f>
        <v>1</v>
      </c>
      <c r="AM880" t="b">
        <f>+ISNUMBER(SEARCH('F-VTA'!$F$32,Tabla11[[#This Row],[Cuenta]],1))</f>
        <v>1</v>
      </c>
      <c r="AN880" t="b">
        <f>+ISNUMBER(SEARCH('F-VTA'!$F$33,Tabla11[[#This Row],[Cuenta]],1))</f>
        <v>1</v>
      </c>
      <c r="AO880" t="b">
        <f>+ISNUMBER(SEARCH('F-VTA'!$F$34,Tabla11[[#This Row],[Cuenta]],1))</f>
        <v>1</v>
      </c>
      <c r="AP880" t="b">
        <f>+ISNUMBER(SEARCH('F-VTA'!$F$35,Tabla11[[#This Row],[Cuenta]],1))</f>
        <v>1</v>
      </c>
      <c r="AQ880" t="b">
        <f>+ISNUMBER(SEARCH('F-VTA'!$F$36,Tabla11[[#This Row],[Cuenta]],1))</f>
        <v>1</v>
      </c>
      <c r="AR880" t="b">
        <f>+ISNUMBER(SEARCH(#REF!,Tabla11[[#This Row],[Cuenta]],1))</f>
        <v>0</v>
      </c>
      <c r="AS880" t="b">
        <f>+ISNUMBER(SEARCH(#REF!,Tabla11[[#This Row],[Cuenta]],1))</f>
        <v>0</v>
      </c>
      <c r="AT880" t="b">
        <f>+ISNUMBER(SEARCH(#REF!,Tabla11[[#This Row],[Cuenta]],1))</f>
        <v>0</v>
      </c>
      <c r="AU880" t="b">
        <f>+ISNUMBER(SEARCH('Conc. Ban.1'!$I$9,Tabla11[[#This Row],[Cuenta]],1))</f>
        <v>0</v>
      </c>
      <c r="AV880" t="b">
        <f>+ISNUMBER(SEARCH(CompConta!$F$21,Tabla11[[#This Row],[Cuenta]],1))</f>
        <v>1</v>
      </c>
      <c r="AW880" t="b">
        <f>+ISNUMBER(SEARCH(CompConta!$F$22,Tabla11[[#This Row],[Cuenta]],1))</f>
        <v>1</v>
      </c>
      <c r="AX880" t="b">
        <f>+ISNUMBER(SEARCH(CompConta!$F$23,Tabla11[[#This Row],[Cuenta]],1))</f>
        <v>1</v>
      </c>
      <c r="AY880" t="b">
        <f>+ISNUMBER(SEARCH(CompConta!$F$24,Tabla11[[#This Row],[Cuenta]],1))</f>
        <v>1</v>
      </c>
      <c r="AZ880" t="b">
        <f>+ISNUMBER(SEARCH(CompConta!$F$25,Tabla11[[#This Row],[Cuenta]],1))</f>
        <v>1</v>
      </c>
      <c r="BA880" t="b">
        <f>+ISNUMBER(SEARCH(CompConta!$F$26,Tabla11[[#This Row],[Cuenta]],1))</f>
        <v>1</v>
      </c>
      <c r="BB880" t="b">
        <f>+ISNUMBER(SEARCH(CompConta!$F$27,Tabla11[[#This Row],[Cuenta]],1))</f>
        <v>1</v>
      </c>
      <c r="BC880" t="b">
        <f>+ISNUMBER(SEARCH(CompConta!$F$28,Tabla11[[#This Row],[Cuenta]],1))</f>
        <v>1</v>
      </c>
      <c r="BD880" t="b">
        <f>+ISNUMBER(SEARCH(CompConta!$F$29,Tabla11[[#This Row],[Cuenta]],1))</f>
        <v>1</v>
      </c>
      <c r="BE880" t="b">
        <f>+ISNUMBER(SEARCH(CompConta!$F$30,Tabla11[[#This Row],[Cuenta]],1))</f>
        <v>1</v>
      </c>
      <c r="BF880" t="b">
        <f>+ISNUMBER(SEARCH('PAGO Compras'!$E$11,Tabla11[[#This Row],[Cuenta]],1))</f>
        <v>1</v>
      </c>
      <c r="BG880" t="b">
        <f>+ISNUMBER(SEARCH(#REF!,Tabla11[[#This Row],[Cuenta]],1))</f>
        <v>0</v>
      </c>
      <c r="BH880" t="b">
        <f>+ISNUMBER(SEARCH(#REF!,Tabla11[[#This Row],[Cuenta]],1))</f>
        <v>0</v>
      </c>
      <c r="BI880" t="b">
        <f>+ISNUMBER(SEARCH(#REF!,Tabla11[[#This Row],[Cuenta]],1))</f>
        <v>0</v>
      </c>
      <c r="BJ880" t="b">
        <f>+ISNUMBER(SEARCH(#REF!,Tabla11[[#This Row],[Cuenta]],1))</f>
        <v>0</v>
      </c>
      <c r="BS880" t="str">
        <v>514515 Maquinaria y equipo</v>
      </c>
      <c r="BT880" t="str">
        <v>514515 Maquinaria y equipo</v>
      </c>
      <c r="BU880" t="str">
        <v>514515 Maquinaria y equipo</v>
      </c>
      <c r="BV880" t="str">
        <v>514515 Maquinaria y equipo</v>
      </c>
      <c r="BZ880" t="str">
        <v>514515 Maquinaria y equipo</v>
      </c>
      <c r="CA880" t="str">
        <v>514515 Maquinaria y equipo</v>
      </c>
      <c r="CB880" t="str">
        <v>514515 Maquinaria y equipo</v>
      </c>
      <c r="CC880" t="str">
        <v>514515 Maquinaria y equipo</v>
      </c>
      <c r="CD880" t="str">
        <v>514515 Maquinaria y equipo</v>
      </c>
      <c r="CE880" t="str">
        <v>514515 Maquinaria y equipo</v>
      </c>
      <c r="CS880" s="141" t="str">
        <v>514515 Maquinaria y equipo</v>
      </c>
      <c r="CT880" s="141" t="str">
        <v>514515 Maquinaria y equipo</v>
      </c>
      <c r="CU880" s="141" t="str">
        <v>514515 Maquinaria y equipo</v>
      </c>
      <c r="CV880" s="141" t="str">
        <v>514515 Maquinaria y equipo</v>
      </c>
      <c r="CW880" s="141" t="str">
        <v>514515 Maquinaria y equipo</v>
      </c>
      <c r="CX880" s="141" t="str">
        <v>514515 Maquinaria y equipo</v>
      </c>
      <c r="CY880" s="141" t="str">
        <v>514515 Maquinaria y equipo</v>
      </c>
      <c r="CZ880" s="141" t="str">
        <v>514515 Maquinaria y equipo</v>
      </c>
      <c r="DA880" s="141" t="str">
        <v>514515 Maquinaria y equipo</v>
      </c>
      <c r="DF880" t="str">
        <v>514515 Maquinaria y equipo</v>
      </c>
      <c r="DG880" t="str">
        <v>514515 Maquinaria y equipo</v>
      </c>
      <c r="DH880" t="str">
        <v>514515 Maquinaria y equipo</v>
      </c>
      <c r="DI880" t="str">
        <v>514515 Maquinaria y equipo</v>
      </c>
      <c r="DJ880" t="str">
        <v>514515 Maquinaria y equipo</v>
      </c>
      <c r="DK880" t="str">
        <v>514515 Maquinaria y equipo</v>
      </c>
      <c r="DL880" t="str">
        <v>514515 Maquinaria y equipo</v>
      </c>
      <c r="DM880" t="str">
        <v>514515 Maquinaria y equipo</v>
      </c>
      <c r="DN880" t="str">
        <v>514515 Maquinaria y equipo</v>
      </c>
      <c r="DO880" t="str">
        <v>514515 Maquinaria y equipo</v>
      </c>
      <c r="DP880" t="str">
        <v>514515 Maquinaria y equipo</v>
      </c>
    </row>
    <row r="881" spans="4:120" ht="12.75">
      <c r="D881" s="7">
        <v>514520</v>
      </c>
      <c r="E881" s="6" t="s">
        <v>129</v>
      </c>
      <c r="F881" s="5">
        <v>4</v>
      </c>
      <c r="G881" s="34" t="s">
        <v>830</v>
      </c>
      <c r="H881" s="8" t="s">
        <v>32</v>
      </c>
      <c r="I881" t="b">
        <f>+ISNUMBER(SEARCH('F-COMPRA'!$F$28,Tabla11[[#This Row],[Cuenta]],1))</f>
        <v>1</v>
      </c>
      <c r="J881" t="b">
        <f>+ISNUMBER(SEARCH('F-COMPRA'!$F$29,Tabla11[[#This Row],[Cuenta]],1))</f>
        <v>1</v>
      </c>
      <c r="K881" t="b">
        <f>+ISNUMBER(SEARCH('F-COMPRA'!$F$30,Tabla11[[#This Row],[Cuenta]],1))</f>
        <v>1</v>
      </c>
      <c r="L881" t="b">
        <f>+ISNUMBER(SEARCH('F-COMPRA'!$F$31,Tabla11[[#This Row],[Cuenta]],1))</f>
        <v>1</v>
      </c>
      <c r="M881" t="b">
        <f>+ISNUMBER(SEARCH('F-COMPRA'!$G$25,Tabla11[[#This Row],[Cuenta]],1))</f>
        <v>0</v>
      </c>
      <c r="N881" t="b">
        <f>+ISNUMBER(SEARCH(#REF!,Tabla11[[#This Row],[Cuenta]],1))</f>
        <v>0</v>
      </c>
      <c r="O881" t="b">
        <f>+ISNUMBER(SEARCH(#REF!,Tabla11[[#This Row],[Cuenta]],1))</f>
        <v>0</v>
      </c>
      <c r="P881" t="b">
        <f>+ISNUMBER(SEARCH('F-COMPRA'!$F$32,Tabla11[[#This Row],[Cuenta]],1))</f>
        <v>1</v>
      </c>
      <c r="Q881" t="b">
        <f>+ISNUMBER(SEARCH('F-COMPRA'!$F$33,Tabla11[[#This Row],[Cuenta]],1))</f>
        <v>1</v>
      </c>
      <c r="R881" t="b">
        <f>+ISNUMBER(SEARCH('F-COMPRA'!$F$34,Tabla11[[#This Row],[Cuenta]],1))</f>
        <v>1</v>
      </c>
      <c r="S881" t="b">
        <f>+ISNUMBER(SEARCH('F-COMPRA'!$F$35,Tabla11[[#This Row],[Cuenta]],1))</f>
        <v>1</v>
      </c>
      <c r="T881" t="b">
        <f>+ISNUMBER(SEARCH('F-COMPRA'!$F$36,Tabla11[[#This Row],[Cuenta]],1))</f>
        <v>1</v>
      </c>
      <c r="U881" t="b">
        <f>+ISNUMBER(SEARCH('F-COMPRA'!$F$37,Tabla11[[#This Row],[Cuenta]],1))</f>
        <v>1</v>
      </c>
      <c r="V881" t="b">
        <f>+ISNUMBER(SEARCH(#REF!,Tabla11[[#This Row],[Cuenta]],1))</f>
        <v>0</v>
      </c>
      <c r="W881" t="b">
        <f>+ISNUMBER(SEARCH('F-COMPRA'!#REF!,Tabla11[[#This Row],[Cuenta]],1))</f>
        <v>0</v>
      </c>
      <c r="X881" t="b">
        <f>+ISNUMBER(SEARCH('F-COMPRA'!#REF!,Tabla11[[#This Row],[Cuenta]],1))</f>
        <v>0</v>
      </c>
      <c r="Y881" t="b">
        <f>+ISNUMBER(SEARCH('F-COMPRA'!#REF!,Tabla11[[#This Row],[Cuenta]],1))</f>
        <v>0</v>
      </c>
      <c r="Z881" t="b">
        <f>+ISNUMBER(SEARCH('F-COMPRA'!#REF!,Tabla11[[#This Row],[Cuenta]],1))</f>
        <v>0</v>
      </c>
      <c r="AA881" t="b">
        <f>+ISNUMBER(SEARCH('F-COMPRA'!#REF!,Tabla11[[#This Row],[Cuenta]],1))</f>
        <v>0</v>
      </c>
      <c r="AB881" t="b">
        <f>+ISNUMBER(SEARCH('F-COMPRA'!#REF!,Tabla11[[#This Row],[Cuenta]],1))</f>
        <v>0</v>
      </c>
      <c r="AC881" t="b">
        <f>+ISNUMBER(SEARCH('F-COMPRA'!#REF!,Tabla11[[#This Row],[Cuenta]],1))</f>
        <v>0</v>
      </c>
      <c r="AD881" t="b">
        <f>+ISNUMBER(SEARCH('F-COMPRA'!#REF!,Tabla11[[#This Row],[Cuenta]],1))</f>
        <v>0</v>
      </c>
      <c r="AE881" t="b">
        <f>+ISNUMBER(SEARCH('F-COMPRA'!#REF!,Tabla11[[#This Row],[Cuenta]],1))</f>
        <v>0</v>
      </c>
      <c r="AF881" t="b">
        <f>+ISNUMBER(SEARCH('F-VTA'!$G$23,Tabla11[[#This Row],[Cuenta]],1))</f>
        <v>0</v>
      </c>
      <c r="AG881" t="b">
        <f>+ISNUMBER(SEARCH('F-VTA'!$G$24,Tabla11[[#This Row],[Cuenta]],1))</f>
        <v>0</v>
      </c>
      <c r="AH881" t="b">
        <f>+ISNUMBER(SEARCH('F-VTA'!$G$25,Tabla11[[#This Row],[Cuenta]],1))</f>
        <v>0</v>
      </c>
      <c r="AI881" t="b">
        <f>+ISNUMBER(SEARCH('F-VTA'!$F$28,Tabla11[[#This Row],[Cuenta]],1))</f>
        <v>1</v>
      </c>
      <c r="AJ881" t="b">
        <f>+ISNUMBER(SEARCH('F-VTA'!$F$29,Tabla11[[#This Row],[Cuenta]],1))</f>
        <v>1</v>
      </c>
      <c r="AK881" t="b">
        <f>+ISNUMBER(SEARCH('F-VTA'!$F$30,Tabla11[[#This Row],[Cuenta]],1))</f>
        <v>1</v>
      </c>
      <c r="AL881" t="b">
        <f>+ISNUMBER(SEARCH('F-VTA'!$F$31,Tabla11[[#This Row],[Cuenta]],1))</f>
        <v>1</v>
      </c>
      <c r="AM881" t="b">
        <f>+ISNUMBER(SEARCH('F-VTA'!$F$32,Tabla11[[#This Row],[Cuenta]],1))</f>
        <v>1</v>
      </c>
      <c r="AN881" t="b">
        <f>+ISNUMBER(SEARCH('F-VTA'!$F$33,Tabla11[[#This Row],[Cuenta]],1))</f>
        <v>1</v>
      </c>
      <c r="AO881" t="b">
        <f>+ISNUMBER(SEARCH('F-VTA'!$F$34,Tabla11[[#This Row],[Cuenta]],1))</f>
        <v>1</v>
      </c>
      <c r="AP881" t="b">
        <f>+ISNUMBER(SEARCH('F-VTA'!$F$35,Tabla11[[#This Row],[Cuenta]],1))</f>
        <v>1</v>
      </c>
      <c r="AQ881" t="b">
        <f>+ISNUMBER(SEARCH('F-VTA'!$F$36,Tabla11[[#This Row],[Cuenta]],1))</f>
        <v>1</v>
      </c>
      <c r="AR881" t="b">
        <f>+ISNUMBER(SEARCH(#REF!,Tabla11[[#This Row],[Cuenta]],1))</f>
        <v>0</v>
      </c>
      <c r="AS881" t="b">
        <f>+ISNUMBER(SEARCH(#REF!,Tabla11[[#This Row],[Cuenta]],1))</f>
        <v>0</v>
      </c>
      <c r="AT881" t="b">
        <f>+ISNUMBER(SEARCH(#REF!,Tabla11[[#This Row],[Cuenta]],1))</f>
        <v>0</v>
      </c>
      <c r="AU881" t="b">
        <f>+ISNUMBER(SEARCH('Conc. Ban.1'!$I$9,Tabla11[[#This Row],[Cuenta]],1))</f>
        <v>0</v>
      </c>
      <c r="AV881" t="b">
        <f>+ISNUMBER(SEARCH(CompConta!$F$21,Tabla11[[#This Row],[Cuenta]],1))</f>
        <v>1</v>
      </c>
      <c r="AW881" t="b">
        <f>+ISNUMBER(SEARCH(CompConta!$F$22,Tabla11[[#This Row],[Cuenta]],1))</f>
        <v>1</v>
      </c>
      <c r="AX881" t="b">
        <f>+ISNUMBER(SEARCH(CompConta!$F$23,Tabla11[[#This Row],[Cuenta]],1))</f>
        <v>1</v>
      </c>
      <c r="AY881" t="b">
        <f>+ISNUMBER(SEARCH(CompConta!$F$24,Tabla11[[#This Row],[Cuenta]],1))</f>
        <v>1</v>
      </c>
      <c r="AZ881" t="b">
        <f>+ISNUMBER(SEARCH(CompConta!$F$25,Tabla11[[#This Row],[Cuenta]],1))</f>
        <v>1</v>
      </c>
      <c r="BA881" t="b">
        <f>+ISNUMBER(SEARCH(CompConta!$F$26,Tabla11[[#This Row],[Cuenta]],1))</f>
        <v>1</v>
      </c>
      <c r="BB881" t="b">
        <f>+ISNUMBER(SEARCH(CompConta!$F$27,Tabla11[[#This Row],[Cuenta]],1))</f>
        <v>1</v>
      </c>
      <c r="BC881" t="b">
        <f>+ISNUMBER(SEARCH(CompConta!$F$28,Tabla11[[#This Row],[Cuenta]],1))</f>
        <v>1</v>
      </c>
      <c r="BD881" t="b">
        <f>+ISNUMBER(SEARCH(CompConta!$F$29,Tabla11[[#This Row],[Cuenta]],1))</f>
        <v>1</v>
      </c>
      <c r="BE881" t="b">
        <f>+ISNUMBER(SEARCH(CompConta!$F$30,Tabla11[[#This Row],[Cuenta]],1))</f>
        <v>1</v>
      </c>
      <c r="BF881" t="b">
        <f>+ISNUMBER(SEARCH('PAGO Compras'!$E$11,Tabla11[[#This Row],[Cuenta]],1))</f>
        <v>1</v>
      </c>
      <c r="BG881" t="b">
        <f>+ISNUMBER(SEARCH(#REF!,Tabla11[[#This Row],[Cuenta]],1))</f>
        <v>0</v>
      </c>
      <c r="BH881" t="b">
        <f>+ISNUMBER(SEARCH(#REF!,Tabla11[[#This Row],[Cuenta]],1))</f>
        <v>0</v>
      </c>
      <c r="BI881" t="b">
        <f>+ISNUMBER(SEARCH(#REF!,Tabla11[[#This Row],[Cuenta]],1))</f>
        <v>0</v>
      </c>
      <c r="BJ881" t="b">
        <f>+ISNUMBER(SEARCH(#REF!,Tabla11[[#This Row],[Cuenta]],1))</f>
        <v>0</v>
      </c>
      <c r="BS881" t="str">
        <v>514520 Equipo de oficina</v>
      </c>
      <c r="BT881" t="str">
        <v>514520 Equipo de oficina</v>
      </c>
      <c r="BU881" t="str">
        <v>514520 Equipo de oficina</v>
      </c>
      <c r="BV881" t="str">
        <v>514520 Equipo de oficina</v>
      </c>
      <c r="BZ881" t="str">
        <v>514520 Equipo de oficina</v>
      </c>
      <c r="CA881" t="str">
        <v>514520 Equipo de oficina</v>
      </c>
      <c r="CB881" t="str">
        <v>514520 Equipo de oficina</v>
      </c>
      <c r="CC881" t="str">
        <v>514520 Equipo de oficina</v>
      </c>
      <c r="CD881" t="str">
        <v>514520 Equipo de oficina</v>
      </c>
      <c r="CE881" t="str">
        <v>514520 Equipo de oficina</v>
      </c>
      <c r="CS881" s="141" t="str">
        <v>514520 Equipo de oficina</v>
      </c>
      <c r="CT881" s="141" t="str">
        <v>514520 Equipo de oficina</v>
      </c>
      <c r="CU881" s="141" t="str">
        <v>514520 Equipo de oficina</v>
      </c>
      <c r="CV881" s="141" t="str">
        <v>514520 Equipo de oficina</v>
      </c>
      <c r="CW881" s="141" t="str">
        <v>514520 Equipo de oficina</v>
      </c>
      <c r="CX881" s="141" t="str">
        <v>514520 Equipo de oficina</v>
      </c>
      <c r="CY881" s="141" t="str">
        <v>514520 Equipo de oficina</v>
      </c>
      <c r="CZ881" s="141" t="str">
        <v>514520 Equipo de oficina</v>
      </c>
      <c r="DA881" s="141" t="str">
        <v>514520 Equipo de oficina</v>
      </c>
      <c r="DF881" t="str">
        <v>514520 Equipo de oficina</v>
      </c>
      <c r="DG881" t="str">
        <v>514520 Equipo de oficina</v>
      </c>
      <c r="DH881" t="str">
        <v>514520 Equipo de oficina</v>
      </c>
      <c r="DI881" t="str">
        <v>514520 Equipo de oficina</v>
      </c>
      <c r="DJ881" t="str">
        <v>514520 Equipo de oficina</v>
      </c>
      <c r="DK881" t="str">
        <v>514520 Equipo de oficina</v>
      </c>
      <c r="DL881" t="str">
        <v>514520 Equipo de oficina</v>
      </c>
      <c r="DM881" t="str">
        <v>514520 Equipo de oficina</v>
      </c>
      <c r="DN881" t="str">
        <v>514520 Equipo de oficina</v>
      </c>
      <c r="DO881" t="str">
        <v>514520 Equipo de oficina</v>
      </c>
      <c r="DP881" t="str">
        <v>514520 Equipo de oficina</v>
      </c>
    </row>
    <row r="882" spans="4:120" ht="12.75">
      <c r="D882" s="7">
        <v>514525</v>
      </c>
      <c r="E882" s="6" t="s">
        <v>130</v>
      </c>
      <c r="F882" s="5">
        <v>4</v>
      </c>
      <c r="G882" s="34" t="s">
        <v>830</v>
      </c>
      <c r="H882" s="8" t="s">
        <v>32</v>
      </c>
      <c r="I882" t="b">
        <f>+ISNUMBER(SEARCH('F-COMPRA'!$F$28,Tabla11[[#This Row],[Cuenta]],1))</f>
        <v>1</v>
      </c>
      <c r="J882" t="b">
        <f>+ISNUMBER(SEARCH('F-COMPRA'!$F$29,Tabla11[[#This Row],[Cuenta]],1))</f>
        <v>1</v>
      </c>
      <c r="K882" t="b">
        <f>+ISNUMBER(SEARCH('F-COMPRA'!$F$30,Tabla11[[#This Row],[Cuenta]],1))</f>
        <v>1</v>
      </c>
      <c r="L882" t="b">
        <f>+ISNUMBER(SEARCH('F-COMPRA'!$F$31,Tabla11[[#This Row],[Cuenta]],1))</f>
        <v>1</v>
      </c>
      <c r="M882" t="b">
        <f>+ISNUMBER(SEARCH('F-COMPRA'!$G$25,Tabla11[[#This Row],[Cuenta]],1))</f>
        <v>0</v>
      </c>
      <c r="N882" t="b">
        <f>+ISNUMBER(SEARCH(#REF!,Tabla11[[#This Row],[Cuenta]],1))</f>
        <v>0</v>
      </c>
      <c r="O882" t="b">
        <f>+ISNUMBER(SEARCH(#REF!,Tabla11[[#This Row],[Cuenta]],1))</f>
        <v>0</v>
      </c>
      <c r="P882" t="b">
        <f>+ISNUMBER(SEARCH('F-COMPRA'!$F$32,Tabla11[[#This Row],[Cuenta]],1))</f>
        <v>1</v>
      </c>
      <c r="Q882" t="b">
        <f>+ISNUMBER(SEARCH('F-COMPRA'!$F$33,Tabla11[[#This Row],[Cuenta]],1))</f>
        <v>1</v>
      </c>
      <c r="R882" t="b">
        <f>+ISNUMBER(SEARCH('F-COMPRA'!$F$34,Tabla11[[#This Row],[Cuenta]],1))</f>
        <v>1</v>
      </c>
      <c r="S882" t="b">
        <f>+ISNUMBER(SEARCH('F-COMPRA'!$F$35,Tabla11[[#This Row],[Cuenta]],1))</f>
        <v>1</v>
      </c>
      <c r="T882" t="b">
        <f>+ISNUMBER(SEARCH('F-COMPRA'!$F$36,Tabla11[[#This Row],[Cuenta]],1))</f>
        <v>1</v>
      </c>
      <c r="U882" t="b">
        <f>+ISNUMBER(SEARCH('F-COMPRA'!$F$37,Tabla11[[#This Row],[Cuenta]],1))</f>
        <v>1</v>
      </c>
      <c r="V882" t="b">
        <f>+ISNUMBER(SEARCH(#REF!,Tabla11[[#This Row],[Cuenta]],1))</f>
        <v>0</v>
      </c>
      <c r="W882" t="b">
        <f>+ISNUMBER(SEARCH('F-COMPRA'!#REF!,Tabla11[[#This Row],[Cuenta]],1))</f>
        <v>0</v>
      </c>
      <c r="X882" t="b">
        <f>+ISNUMBER(SEARCH('F-COMPRA'!#REF!,Tabla11[[#This Row],[Cuenta]],1))</f>
        <v>0</v>
      </c>
      <c r="Y882" t="b">
        <f>+ISNUMBER(SEARCH('F-COMPRA'!#REF!,Tabla11[[#This Row],[Cuenta]],1))</f>
        <v>0</v>
      </c>
      <c r="Z882" t="b">
        <f>+ISNUMBER(SEARCH('F-COMPRA'!#REF!,Tabla11[[#This Row],[Cuenta]],1))</f>
        <v>0</v>
      </c>
      <c r="AA882" t="b">
        <f>+ISNUMBER(SEARCH('F-COMPRA'!#REF!,Tabla11[[#This Row],[Cuenta]],1))</f>
        <v>0</v>
      </c>
      <c r="AB882" t="b">
        <f>+ISNUMBER(SEARCH('F-COMPRA'!#REF!,Tabla11[[#This Row],[Cuenta]],1))</f>
        <v>0</v>
      </c>
      <c r="AC882" t="b">
        <f>+ISNUMBER(SEARCH('F-COMPRA'!#REF!,Tabla11[[#This Row],[Cuenta]],1))</f>
        <v>0</v>
      </c>
      <c r="AD882" t="b">
        <f>+ISNUMBER(SEARCH('F-COMPRA'!#REF!,Tabla11[[#This Row],[Cuenta]],1))</f>
        <v>0</v>
      </c>
      <c r="AE882" t="b">
        <f>+ISNUMBER(SEARCH('F-COMPRA'!#REF!,Tabla11[[#This Row],[Cuenta]],1))</f>
        <v>0</v>
      </c>
      <c r="AF882" t="b">
        <f>+ISNUMBER(SEARCH('F-VTA'!$G$23,Tabla11[[#This Row],[Cuenta]],1))</f>
        <v>0</v>
      </c>
      <c r="AG882" t="b">
        <f>+ISNUMBER(SEARCH('F-VTA'!$G$24,Tabla11[[#This Row],[Cuenta]],1))</f>
        <v>0</v>
      </c>
      <c r="AH882" t="b">
        <f>+ISNUMBER(SEARCH('F-VTA'!$G$25,Tabla11[[#This Row],[Cuenta]],1))</f>
        <v>0</v>
      </c>
      <c r="AI882" t="b">
        <f>+ISNUMBER(SEARCH('F-VTA'!$F$28,Tabla11[[#This Row],[Cuenta]],1))</f>
        <v>1</v>
      </c>
      <c r="AJ882" t="b">
        <f>+ISNUMBER(SEARCH('F-VTA'!$F$29,Tabla11[[#This Row],[Cuenta]],1))</f>
        <v>1</v>
      </c>
      <c r="AK882" t="b">
        <f>+ISNUMBER(SEARCH('F-VTA'!$F$30,Tabla11[[#This Row],[Cuenta]],1))</f>
        <v>1</v>
      </c>
      <c r="AL882" t="b">
        <f>+ISNUMBER(SEARCH('F-VTA'!$F$31,Tabla11[[#This Row],[Cuenta]],1))</f>
        <v>1</v>
      </c>
      <c r="AM882" t="b">
        <f>+ISNUMBER(SEARCH('F-VTA'!$F$32,Tabla11[[#This Row],[Cuenta]],1))</f>
        <v>1</v>
      </c>
      <c r="AN882" t="b">
        <f>+ISNUMBER(SEARCH('F-VTA'!$F$33,Tabla11[[#This Row],[Cuenta]],1))</f>
        <v>1</v>
      </c>
      <c r="AO882" t="b">
        <f>+ISNUMBER(SEARCH('F-VTA'!$F$34,Tabla11[[#This Row],[Cuenta]],1))</f>
        <v>1</v>
      </c>
      <c r="AP882" t="b">
        <f>+ISNUMBER(SEARCH('F-VTA'!$F$35,Tabla11[[#This Row],[Cuenta]],1))</f>
        <v>1</v>
      </c>
      <c r="AQ882" t="b">
        <f>+ISNUMBER(SEARCH('F-VTA'!$F$36,Tabla11[[#This Row],[Cuenta]],1))</f>
        <v>1</v>
      </c>
      <c r="AR882" t="b">
        <f>+ISNUMBER(SEARCH(#REF!,Tabla11[[#This Row],[Cuenta]],1))</f>
        <v>0</v>
      </c>
      <c r="AS882" t="b">
        <f>+ISNUMBER(SEARCH(#REF!,Tabla11[[#This Row],[Cuenta]],1))</f>
        <v>0</v>
      </c>
      <c r="AT882" t="b">
        <f>+ISNUMBER(SEARCH(#REF!,Tabla11[[#This Row],[Cuenta]],1))</f>
        <v>0</v>
      </c>
      <c r="AU882" t="b">
        <f>+ISNUMBER(SEARCH('Conc. Ban.1'!$I$9,Tabla11[[#This Row],[Cuenta]],1))</f>
        <v>0</v>
      </c>
      <c r="AV882" t="b">
        <f>+ISNUMBER(SEARCH(CompConta!$F$21,Tabla11[[#This Row],[Cuenta]],1))</f>
        <v>1</v>
      </c>
      <c r="AW882" t="b">
        <f>+ISNUMBER(SEARCH(CompConta!$F$22,Tabla11[[#This Row],[Cuenta]],1))</f>
        <v>1</v>
      </c>
      <c r="AX882" t="b">
        <f>+ISNUMBER(SEARCH(CompConta!$F$23,Tabla11[[#This Row],[Cuenta]],1))</f>
        <v>1</v>
      </c>
      <c r="AY882" t="b">
        <f>+ISNUMBER(SEARCH(CompConta!$F$24,Tabla11[[#This Row],[Cuenta]],1))</f>
        <v>1</v>
      </c>
      <c r="AZ882" t="b">
        <f>+ISNUMBER(SEARCH(CompConta!$F$25,Tabla11[[#This Row],[Cuenta]],1))</f>
        <v>1</v>
      </c>
      <c r="BA882" t="b">
        <f>+ISNUMBER(SEARCH(CompConta!$F$26,Tabla11[[#This Row],[Cuenta]],1))</f>
        <v>1</v>
      </c>
      <c r="BB882" t="b">
        <f>+ISNUMBER(SEARCH(CompConta!$F$27,Tabla11[[#This Row],[Cuenta]],1))</f>
        <v>1</v>
      </c>
      <c r="BC882" t="b">
        <f>+ISNUMBER(SEARCH(CompConta!$F$28,Tabla11[[#This Row],[Cuenta]],1))</f>
        <v>1</v>
      </c>
      <c r="BD882" t="b">
        <f>+ISNUMBER(SEARCH(CompConta!$F$29,Tabla11[[#This Row],[Cuenta]],1))</f>
        <v>1</v>
      </c>
      <c r="BE882" t="b">
        <f>+ISNUMBER(SEARCH(CompConta!$F$30,Tabla11[[#This Row],[Cuenta]],1))</f>
        <v>1</v>
      </c>
      <c r="BF882" t="b">
        <f>+ISNUMBER(SEARCH('PAGO Compras'!$E$11,Tabla11[[#This Row],[Cuenta]],1))</f>
        <v>1</v>
      </c>
      <c r="BG882" t="b">
        <f>+ISNUMBER(SEARCH(#REF!,Tabla11[[#This Row],[Cuenta]],1))</f>
        <v>0</v>
      </c>
      <c r="BH882" t="b">
        <f>+ISNUMBER(SEARCH(#REF!,Tabla11[[#This Row],[Cuenta]],1))</f>
        <v>0</v>
      </c>
      <c r="BI882" t="b">
        <f>+ISNUMBER(SEARCH(#REF!,Tabla11[[#This Row],[Cuenta]],1))</f>
        <v>0</v>
      </c>
      <c r="BJ882" t="b">
        <f>+ISNUMBER(SEARCH(#REF!,Tabla11[[#This Row],[Cuenta]],1))</f>
        <v>0</v>
      </c>
      <c r="BS882" t="str">
        <v>514525 Equipo de computación y comunicación</v>
      </c>
      <c r="BT882" t="str">
        <v>514525 Equipo de computación y comunicación</v>
      </c>
      <c r="BU882" t="str">
        <v>514525 Equipo de computación y comunicación</v>
      </c>
      <c r="BV882" t="str">
        <v>514525 Equipo de computación y comunicación</v>
      </c>
      <c r="BZ882" t="str">
        <v>514525 Equipo de computación y comunicación</v>
      </c>
      <c r="CA882" t="str">
        <v>514525 Equipo de computación y comunicación</v>
      </c>
      <c r="CB882" t="str">
        <v>514525 Equipo de computación y comunicación</v>
      </c>
      <c r="CC882" t="str">
        <v>514525 Equipo de computación y comunicación</v>
      </c>
      <c r="CD882" t="str">
        <v>514525 Equipo de computación y comunicación</v>
      </c>
      <c r="CE882" t="str">
        <v>514525 Equipo de computación y comunicación</v>
      </c>
      <c r="CS882" s="141" t="str">
        <v>514525 Equipo de computación y comunicación</v>
      </c>
      <c r="CT882" s="141" t="str">
        <v>514525 Equipo de computación y comunicación</v>
      </c>
      <c r="CU882" s="141" t="str">
        <v>514525 Equipo de computación y comunicación</v>
      </c>
      <c r="CV882" s="141" t="str">
        <v>514525 Equipo de computación y comunicación</v>
      </c>
      <c r="CW882" s="141" t="str">
        <v>514525 Equipo de computación y comunicación</v>
      </c>
      <c r="CX882" s="141" t="str">
        <v>514525 Equipo de computación y comunicación</v>
      </c>
      <c r="CY882" s="141" t="str">
        <v>514525 Equipo de computación y comunicación</v>
      </c>
      <c r="CZ882" s="141" t="str">
        <v>514525 Equipo de computación y comunicación</v>
      </c>
      <c r="DA882" s="141" t="str">
        <v>514525 Equipo de computación y comunicación</v>
      </c>
      <c r="DF882" t="str">
        <v>514525 Equipo de computación y comunicación</v>
      </c>
      <c r="DG882" t="str">
        <v>514525 Equipo de computación y comunicación</v>
      </c>
      <c r="DH882" t="str">
        <v>514525 Equipo de computación y comunicación</v>
      </c>
      <c r="DI882" t="str">
        <v>514525 Equipo de computación y comunicación</v>
      </c>
      <c r="DJ882" t="str">
        <v>514525 Equipo de computación y comunicación</v>
      </c>
      <c r="DK882" t="str">
        <v>514525 Equipo de computación y comunicación</v>
      </c>
      <c r="DL882" t="str">
        <v>514525 Equipo de computación y comunicación</v>
      </c>
      <c r="DM882" t="str">
        <v>514525 Equipo de computación y comunicación</v>
      </c>
      <c r="DN882" t="str">
        <v>514525 Equipo de computación y comunicación</v>
      </c>
      <c r="DO882" t="str">
        <v>514525 Equipo de computación y comunicación</v>
      </c>
      <c r="DP882" t="str">
        <v>514525 Equipo de computación y comunicación</v>
      </c>
    </row>
    <row r="883" spans="4:120" ht="12.75">
      <c r="D883" s="7">
        <v>514530</v>
      </c>
      <c r="E883" s="6" t="s">
        <v>131</v>
      </c>
      <c r="F883" s="5">
        <v>4</v>
      </c>
      <c r="G883" s="34" t="s">
        <v>830</v>
      </c>
      <c r="H883" s="8" t="s">
        <v>32</v>
      </c>
      <c r="I883" t="b">
        <f>+ISNUMBER(SEARCH('F-COMPRA'!$F$28,Tabla11[[#This Row],[Cuenta]],1))</f>
        <v>1</v>
      </c>
      <c r="J883" t="b">
        <f>+ISNUMBER(SEARCH('F-COMPRA'!$F$29,Tabla11[[#This Row],[Cuenta]],1))</f>
        <v>1</v>
      </c>
      <c r="K883" t="b">
        <f>+ISNUMBER(SEARCH('F-COMPRA'!$F$30,Tabla11[[#This Row],[Cuenta]],1))</f>
        <v>1</v>
      </c>
      <c r="L883" t="b">
        <f>+ISNUMBER(SEARCH('F-COMPRA'!$F$31,Tabla11[[#This Row],[Cuenta]],1))</f>
        <v>1</v>
      </c>
      <c r="M883" t="b">
        <f>+ISNUMBER(SEARCH('F-COMPRA'!$G$25,Tabla11[[#This Row],[Cuenta]],1))</f>
        <v>0</v>
      </c>
      <c r="N883" t="b">
        <f>+ISNUMBER(SEARCH(#REF!,Tabla11[[#This Row],[Cuenta]],1))</f>
        <v>0</v>
      </c>
      <c r="O883" t="b">
        <f>+ISNUMBER(SEARCH(#REF!,Tabla11[[#This Row],[Cuenta]],1))</f>
        <v>0</v>
      </c>
      <c r="P883" t="b">
        <f>+ISNUMBER(SEARCH('F-COMPRA'!$F$32,Tabla11[[#This Row],[Cuenta]],1))</f>
        <v>1</v>
      </c>
      <c r="Q883" t="b">
        <f>+ISNUMBER(SEARCH('F-COMPRA'!$F$33,Tabla11[[#This Row],[Cuenta]],1))</f>
        <v>1</v>
      </c>
      <c r="R883" t="b">
        <f>+ISNUMBER(SEARCH('F-COMPRA'!$F$34,Tabla11[[#This Row],[Cuenta]],1))</f>
        <v>1</v>
      </c>
      <c r="S883" t="b">
        <f>+ISNUMBER(SEARCH('F-COMPRA'!$F$35,Tabla11[[#This Row],[Cuenta]],1))</f>
        <v>1</v>
      </c>
      <c r="T883" t="b">
        <f>+ISNUMBER(SEARCH('F-COMPRA'!$F$36,Tabla11[[#This Row],[Cuenta]],1))</f>
        <v>1</v>
      </c>
      <c r="U883" t="b">
        <f>+ISNUMBER(SEARCH('F-COMPRA'!$F$37,Tabla11[[#This Row],[Cuenta]],1))</f>
        <v>1</v>
      </c>
      <c r="V883" t="b">
        <f>+ISNUMBER(SEARCH(#REF!,Tabla11[[#This Row],[Cuenta]],1))</f>
        <v>0</v>
      </c>
      <c r="W883" t="b">
        <f>+ISNUMBER(SEARCH('F-COMPRA'!#REF!,Tabla11[[#This Row],[Cuenta]],1))</f>
        <v>0</v>
      </c>
      <c r="X883" t="b">
        <f>+ISNUMBER(SEARCH('F-COMPRA'!#REF!,Tabla11[[#This Row],[Cuenta]],1))</f>
        <v>0</v>
      </c>
      <c r="Y883" t="b">
        <f>+ISNUMBER(SEARCH('F-COMPRA'!#REF!,Tabla11[[#This Row],[Cuenta]],1))</f>
        <v>0</v>
      </c>
      <c r="Z883" t="b">
        <f>+ISNUMBER(SEARCH('F-COMPRA'!#REF!,Tabla11[[#This Row],[Cuenta]],1))</f>
        <v>0</v>
      </c>
      <c r="AA883" t="b">
        <f>+ISNUMBER(SEARCH('F-COMPRA'!#REF!,Tabla11[[#This Row],[Cuenta]],1))</f>
        <v>0</v>
      </c>
      <c r="AB883" t="b">
        <f>+ISNUMBER(SEARCH('F-COMPRA'!#REF!,Tabla11[[#This Row],[Cuenta]],1))</f>
        <v>0</v>
      </c>
      <c r="AC883" t="b">
        <f>+ISNUMBER(SEARCH('F-COMPRA'!#REF!,Tabla11[[#This Row],[Cuenta]],1))</f>
        <v>0</v>
      </c>
      <c r="AD883" t="b">
        <f>+ISNUMBER(SEARCH('F-COMPRA'!#REF!,Tabla11[[#This Row],[Cuenta]],1))</f>
        <v>0</v>
      </c>
      <c r="AE883" t="b">
        <f>+ISNUMBER(SEARCH('F-COMPRA'!#REF!,Tabla11[[#This Row],[Cuenta]],1))</f>
        <v>0</v>
      </c>
      <c r="AF883" t="b">
        <f>+ISNUMBER(SEARCH('F-VTA'!$G$23,Tabla11[[#This Row],[Cuenta]],1))</f>
        <v>0</v>
      </c>
      <c r="AG883" t="b">
        <f>+ISNUMBER(SEARCH('F-VTA'!$G$24,Tabla11[[#This Row],[Cuenta]],1))</f>
        <v>0</v>
      </c>
      <c r="AH883" t="b">
        <f>+ISNUMBER(SEARCH('F-VTA'!$G$25,Tabla11[[#This Row],[Cuenta]],1))</f>
        <v>0</v>
      </c>
      <c r="AI883" t="b">
        <f>+ISNUMBER(SEARCH('F-VTA'!$F$28,Tabla11[[#This Row],[Cuenta]],1))</f>
        <v>1</v>
      </c>
      <c r="AJ883" t="b">
        <f>+ISNUMBER(SEARCH('F-VTA'!$F$29,Tabla11[[#This Row],[Cuenta]],1))</f>
        <v>1</v>
      </c>
      <c r="AK883" t="b">
        <f>+ISNUMBER(SEARCH('F-VTA'!$F$30,Tabla11[[#This Row],[Cuenta]],1))</f>
        <v>1</v>
      </c>
      <c r="AL883" t="b">
        <f>+ISNUMBER(SEARCH('F-VTA'!$F$31,Tabla11[[#This Row],[Cuenta]],1))</f>
        <v>1</v>
      </c>
      <c r="AM883" t="b">
        <f>+ISNUMBER(SEARCH('F-VTA'!$F$32,Tabla11[[#This Row],[Cuenta]],1))</f>
        <v>1</v>
      </c>
      <c r="AN883" t="b">
        <f>+ISNUMBER(SEARCH('F-VTA'!$F$33,Tabla11[[#This Row],[Cuenta]],1))</f>
        <v>1</v>
      </c>
      <c r="AO883" t="b">
        <f>+ISNUMBER(SEARCH('F-VTA'!$F$34,Tabla11[[#This Row],[Cuenta]],1))</f>
        <v>1</v>
      </c>
      <c r="AP883" t="b">
        <f>+ISNUMBER(SEARCH('F-VTA'!$F$35,Tabla11[[#This Row],[Cuenta]],1))</f>
        <v>1</v>
      </c>
      <c r="AQ883" t="b">
        <f>+ISNUMBER(SEARCH('F-VTA'!$F$36,Tabla11[[#This Row],[Cuenta]],1))</f>
        <v>1</v>
      </c>
      <c r="AR883" t="b">
        <f>+ISNUMBER(SEARCH(#REF!,Tabla11[[#This Row],[Cuenta]],1))</f>
        <v>0</v>
      </c>
      <c r="AS883" t="b">
        <f>+ISNUMBER(SEARCH(#REF!,Tabla11[[#This Row],[Cuenta]],1))</f>
        <v>0</v>
      </c>
      <c r="AT883" t="b">
        <f>+ISNUMBER(SEARCH(#REF!,Tabla11[[#This Row],[Cuenta]],1))</f>
        <v>0</v>
      </c>
      <c r="AU883" t="b">
        <f>+ISNUMBER(SEARCH('Conc. Ban.1'!$I$9,Tabla11[[#This Row],[Cuenta]],1))</f>
        <v>0</v>
      </c>
      <c r="AV883" t="b">
        <f>+ISNUMBER(SEARCH(CompConta!$F$21,Tabla11[[#This Row],[Cuenta]],1))</f>
        <v>1</v>
      </c>
      <c r="AW883" t="b">
        <f>+ISNUMBER(SEARCH(CompConta!$F$22,Tabla11[[#This Row],[Cuenta]],1))</f>
        <v>1</v>
      </c>
      <c r="AX883" t="b">
        <f>+ISNUMBER(SEARCH(CompConta!$F$23,Tabla11[[#This Row],[Cuenta]],1))</f>
        <v>1</v>
      </c>
      <c r="AY883" t="b">
        <f>+ISNUMBER(SEARCH(CompConta!$F$24,Tabla11[[#This Row],[Cuenta]],1))</f>
        <v>1</v>
      </c>
      <c r="AZ883" t="b">
        <f>+ISNUMBER(SEARCH(CompConta!$F$25,Tabla11[[#This Row],[Cuenta]],1))</f>
        <v>1</v>
      </c>
      <c r="BA883" t="b">
        <f>+ISNUMBER(SEARCH(CompConta!$F$26,Tabla11[[#This Row],[Cuenta]],1))</f>
        <v>1</v>
      </c>
      <c r="BB883" t="b">
        <f>+ISNUMBER(SEARCH(CompConta!$F$27,Tabla11[[#This Row],[Cuenta]],1))</f>
        <v>1</v>
      </c>
      <c r="BC883" t="b">
        <f>+ISNUMBER(SEARCH(CompConta!$F$28,Tabla11[[#This Row],[Cuenta]],1))</f>
        <v>1</v>
      </c>
      <c r="BD883" t="b">
        <f>+ISNUMBER(SEARCH(CompConta!$F$29,Tabla11[[#This Row],[Cuenta]],1))</f>
        <v>1</v>
      </c>
      <c r="BE883" t="b">
        <f>+ISNUMBER(SEARCH(CompConta!$F$30,Tabla11[[#This Row],[Cuenta]],1))</f>
        <v>1</v>
      </c>
      <c r="BF883" t="b">
        <f>+ISNUMBER(SEARCH('PAGO Compras'!$E$11,Tabla11[[#This Row],[Cuenta]],1))</f>
        <v>1</v>
      </c>
      <c r="BG883" t="b">
        <f>+ISNUMBER(SEARCH(#REF!,Tabla11[[#This Row],[Cuenta]],1))</f>
        <v>0</v>
      </c>
      <c r="BH883" t="b">
        <f>+ISNUMBER(SEARCH(#REF!,Tabla11[[#This Row],[Cuenta]],1))</f>
        <v>0</v>
      </c>
      <c r="BI883" t="b">
        <f>+ISNUMBER(SEARCH(#REF!,Tabla11[[#This Row],[Cuenta]],1))</f>
        <v>0</v>
      </c>
      <c r="BJ883" t="b">
        <f>+ISNUMBER(SEARCH(#REF!,Tabla11[[#This Row],[Cuenta]],1))</f>
        <v>0</v>
      </c>
      <c r="BS883" t="str">
        <v>514530 Equipo médico-científico</v>
      </c>
      <c r="BT883" t="str">
        <v>514530 Equipo médico-científico</v>
      </c>
      <c r="BU883" t="str">
        <v>514530 Equipo médico-científico</v>
      </c>
      <c r="BV883" t="str">
        <v>514530 Equipo médico-científico</v>
      </c>
      <c r="BZ883" t="str">
        <v>514530 Equipo médico-científico</v>
      </c>
      <c r="CA883" t="str">
        <v>514530 Equipo médico-científico</v>
      </c>
      <c r="CB883" t="str">
        <v>514530 Equipo médico-científico</v>
      </c>
      <c r="CC883" t="str">
        <v>514530 Equipo médico-científico</v>
      </c>
      <c r="CD883" t="str">
        <v>514530 Equipo médico-científico</v>
      </c>
      <c r="CE883" t="str">
        <v>514530 Equipo médico-científico</v>
      </c>
      <c r="CS883" s="141" t="str">
        <v>514530 Equipo médico-científico</v>
      </c>
      <c r="CT883" s="141" t="str">
        <v>514530 Equipo médico-científico</v>
      </c>
      <c r="CU883" s="141" t="str">
        <v>514530 Equipo médico-científico</v>
      </c>
      <c r="CV883" s="141" t="str">
        <v>514530 Equipo médico-científico</v>
      </c>
      <c r="CW883" s="141" t="str">
        <v>514530 Equipo médico-científico</v>
      </c>
      <c r="CX883" s="141" t="str">
        <v>514530 Equipo médico-científico</v>
      </c>
      <c r="CY883" s="141" t="str">
        <v>514530 Equipo médico-científico</v>
      </c>
      <c r="CZ883" s="141" t="str">
        <v>514530 Equipo médico-científico</v>
      </c>
      <c r="DA883" s="141" t="str">
        <v>514530 Equipo médico-científico</v>
      </c>
      <c r="DF883" t="str">
        <v>514530 Equipo médico-científico</v>
      </c>
      <c r="DG883" t="str">
        <v>514530 Equipo médico-científico</v>
      </c>
      <c r="DH883" t="str">
        <v>514530 Equipo médico-científico</v>
      </c>
      <c r="DI883" t="str">
        <v>514530 Equipo médico-científico</v>
      </c>
      <c r="DJ883" t="str">
        <v>514530 Equipo médico-científico</v>
      </c>
      <c r="DK883" t="str">
        <v>514530 Equipo médico-científico</v>
      </c>
      <c r="DL883" t="str">
        <v>514530 Equipo médico-científico</v>
      </c>
      <c r="DM883" t="str">
        <v>514530 Equipo médico-científico</v>
      </c>
      <c r="DN883" t="str">
        <v>514530 Equipo médico-científico</v>
      </c>
      <c r="DO883" t="str">
        <v>514530 Equipo médico-científico</v>
      </c>
      <c r="DP883" t="str">
        <v>514530 Equipo médico-científico</v>
      </c>
    </row>
    <row r="884" spans="4:120" ht="12.75">
      <c r="D884" s="7">
        <v>514535</v>
      </c>
      <c r="E884" s="6" t="s">
        <v>132</v>
      </c>
      <c r="F884" s="5">
        <v>4</v>
      </c>
      <c r="G884" s="34" t="s">
        <v>830</v>
      </c>
      <c r="H884" s="8" t="s">
        <v>32</v>
      </c>
      <c r="I884" t="b">
        <f>+ISNUMBER(SEARCH('F-COMPRA'!$F$28,Tabla11[[#This Row],[Cuenta]],1))</f>
        <v>1</v>
      </c>
      <c r="J884" t="b">
        <f>+ISNUMBER(SEARCH('F-COMPRA'!$F$29,Tabla11[[#This Row],[Cuenta]],1))</f>
        <v>1</v>
      </c>
      <c r="K884" t="b">
        <f>+ISNUMBER(SEARCH('F-COMPRA'!$F$30,Tabla11[[#This Row],[Cuenta]],1))</f>
        <v>1</v>
      </c>
      <c r="L884" t="b">
        <f>+ISNUMBER(SEARCH('F-COMPRA'!$F$31,Tabla11[[#This Row],[Cuenta]],1))</f>
        <v>1</v>
      </c>
      <c r="M884" t="b">
        <f>+ISNUMBER(SEARCH('F-COMPRA'!$G$25,Tabla11[[#This Row],[Cuenta]],1))</f>
        <v>0</v>
      </c>
      <c r="N884" t="b">
        <f>+ISNUMBER(SEARCH(#REF!,Tabla11[[#This Row],[Cuenta]],1))</f>
        <v>0</v>
      </c>
      <c r="O884" t="b">
        <f>+ISNUMBER(SEARCH(#REF!,Tabla11[[#This Row],[Cuenta]],1))</f>
        <v>0</v>
      </c>
      <c r="P884" t="b">
        <f>+ISNUMBER(SEARCH('F-COMPRA'!$F$32,Tabla11[[#This Row],[Cuenta]],1))</f>
        <v>1</v>
      </c>
      <c r="Q884" t="b">
        <f>+ISNUMBER(SEARCH('F-COMPRA'!$F$33,Tabla11[[#This Row],[Cuenta]],1))</f>
        <v>1</v>
      </c>
      <c r="R884" t="b">
        <f>+ISNUMBER(SEARCH('F-COMPRA'!$F$34,Tabla11[[#This Row],[Cuenta]],1))</f>
        <v>1</v>
      </c>
      <c r="S884" t="b">
        <f>+ISNUMBER(SEARCH('F-COMPRA'!$F$35,Tabla11[[#This Row],[Cuenta]],1))</f>
        <v>1</v>
      </c>
      <c r="T884" t="b">
        <f>+ISNUMBER(SEARCH('F-COMPRA'!$F$36,Tabla11[[#This Row],[Cuenta]],1))</f>
        <v>1</v>
      </c>
      <c r="U884" t="b">
        <f>+ISNUMBER(SEARCH('F-COMPRA'!$F$37,Tabla11[[#This Row],[Cuenta]],1))</f>
        <v>1</v>
      </c>
      <c r="V884" t="b">
        <f>+ISNUMBER(SEARCH(#REF!,Tabla11[[#This Row],[Cuenta]],1))</f>
        <v>0</v>
      </c>
      <c r="W884" t="b">
        <f>+ISNUMBER(SEARCH('F-COMPRA'!#REF!,Tabla11[[#This Row],[Cuenta]],1))</f>
        <v>0</v>
      </c>
      <c r="X884" t="b">
        <f>+ISNUMBER(SEARCH('F-COMPRA'!#REF!,Tabla11[[#This Row],[Cuenta]],1))</f>
        <v>0</v>
      </c>
      <c r="Y884" t="b">
        <f>+ISNUMBER(SEARCH('F-COMPRA'!#REF!,Tabla11[[#This Row],[Cuenta]],1))</f>
        <v>0</v>
      </c>
      <c r="Z884" t="b">
        <f>+ISNUMBER(SEARCH('F-COMPRA'!#REF!,Tabla11[[#This Row],[Cuenta]],1))</f>
        <v>0</v>
      </c>
      <c r="AA884" t="b">
        <f>+ISNUMBER(SEARCH('F-COMPRA'!#REF!,Tabla11[[#This Row],[Cuenta]],1))</f>
        <v>0</v>
      </c>
      <c r="AB884" t="b">
        <f>+ISNUMBER(SEARCH('F-COMPRA'!#REF!,Tabla11[[#This Row],[Cuenta]],1))</f>
        <v>0</v>
      </c>
      <c r="AC884" t="b">
        <f>+ISNUMBER(SEARCH('F-COMPRA'!#REF!,Tabla11[[#This Row],[Cuenta]],1))</f>
        <v>0</v>
      </c>
      <c r="AD884" t="b">
        <f>+ISNUMBER(SEARCH('F-COMPRA'!#REF!,Tabla11[[#This Row],[Cuenta]],1))</f>
        <v>0</v>
      </c>
      <c r="AE884" t="b">
        <f>+ISNUMBER(SEARCH('F-COMPRA'!#REF!,Tabla11[[#This Row],[Cuenta]],1))</f>
        <v>0</v>
      </c>
      <c r="AF884" t="b">
        <f>+ISNUMBER(SEARCH('F-VTA'!$G$23,Tabla11[[#This Row],[Cuenta]],1))</f>
        <v>0</v>
      </c>
      <c r="AG884" t="b">
        <f>+ISNUMBER(SEARCH('F-VTA'!$G$24,Tabla11[[#This Row],[Cuenta]],1))</f>
        <v>0</v>
      </c>
      <c r="AH884" t="b">
        <f>+ISNUMBER(SEARCH('F-VTA'!$G$25,Tabla11[[#This Row],[Cuenta]],1))</f>
        <v>0</v>
      </c>
      <c r="AI884" t="b">
        <f>+ISNUMBER(SEARCH('F-VTA'!$F$28,Tabla11[[#This Row],[Cuenta]],1))</f>
        <v>1</v>
      </c>
      <c r="AJ884" t="b">
        <f>+ISNUMBER(SEARCH('F-VTA'!$F$29,Tabla11[[#This Row],[Cuenta]],1))</f>
        <v>1</v>
      </c>
      <c r="AK884" t="b">
        <f>+ISNUMBER(SEARCH('F-VTA'!$F$30,Tabla11[[#This Row],[Cuenta]],1))</f>
        <v>1</v>
      </c>
      <c r="AL884" t="b">
        <f>+ISNUMBER(SEARCH('F-VTA'!$F$31,Tabla11[[#This Row],[Cuenta]],1))</f>
        <v>1</v>
      </c>
      <c r="AM884" t="b">
        <f>+ISNUMBER(SEARCH('F-VTA'!$F$32,Tabla11[[#This Row],[Cuenta]],1))</f>
        <v>1</v>
      </c>
      <c r="AN884" t="b">
        <f>+ISNUMBER(SEARCH('F-VTA'!$F$33,Tabla11[[#This Row],[Cuenta]],1))</f>
        <v>1</v>
      </c>
      <c r="AO884" t="b">
        <f>+ISNUMBER(SEARCH('F-VTA'!$F$34,Tabla11[[#This Row],[Cuenta]],1))</f>
        <v>1</v>
      </c>
      <c r="AP884" t="b">
        <f>+ISNUMBER(SEARCH('F-VTA'!$F$35,Tabla11[[#This Row],[Cuenta]],1))</f>
        <v>1</v>
      </c>
      <c r="AQ884" t="b">
        <f>+ISNUMBER(SEARCH('F-VTA'!$F$36,Tabla11[[#This Row],[Cuenta]],1))</f>
        <v>1</v>
      </c>
      <c r="AR884" t="b">
        <f>+ISNUMBER(SEARCH(#REF!,Tabla11[[#This Row],[Cuenta]],1))</f>
        <v>0</v>
      </c>
      <c r="AS884" t="b">
        <f>+ISNUMBER(SEARCH(#REF!,Tabla11[[#This Row],[Cuenta]],1))</f>
        <v>0</v>
      </c>
      <c r="AT884" t="b">
        <f>+ISNUMBER(SEARCH(#REF!,Tabla11[[#This Row],[Cuenta]],1))</f>
        <v>0</v>
      </c>
      <c r="AU884" t="b">
        <f>+ISNUMBER(SEARCH('Conc. Ban.1'!$I$9,Tabla11[[#This Row],[Cuenta]],1))</f>
        <v>0</v>
      </c>
      <c r="AV884" t="b">
        <f>+ISNUMBER(SEARCH(CompConta!$F$21,Tabla11[[#This Row],[Cuenta]],1))</f>
        <v>1</v>
      </c>
      <c r="AW884" t="b">
        <f>+ISNUMBER(SEARCH(CompConta!$F$22,Tabla11[[#This Row],[Cuenta]],1))</f>
        <v>1</v>
      </c>
      <c r="AX884" t="b">
        <f>+ISNUMBER(SEARCH(CompConta!$F$23,Tabla11[[#This Row],[Cuenta]],1))</f>
        <v>1</v>
      </c>
      <c r="AY884" t="b">
        <f>+ISNUMBER(SEARCH(CompConta!$F$24,Tabla11[[#This Row],[Cuenta]],1))</f>
        <v>1</v>
      </c>
      <c r="AZ884" t="b">
        <f>+ISNUMBER(SEARCH(CompConta!$F$25,Tabla11[[#This Row],[Cuenta]],1))</f>
        <v>1</v>
      </c>
      <c r="BA884" t="b">
        <f>+ISNUMBER(SEARCH(CompConta!$F$26,Tabla11[[#This Row],[Cuenta]],1))</f>
        <v>1</v>
      </c>
      <c r="BB884" t="b">
        <f>+ISNUMBER(SEARCH(CompConta!$F$27,Tabla11[[#This Row],[Cuenta]],1))</f>
        <v>1</v>
      </c>
      <c r="BC884" t="b">
        <f>+ISNUMBER(SEARCH(CompConta!$F$28,Tabla11[[#This Row],[Cuenta]],1))</f>
        <v>1</v>
      </c>
      <c r="BD884" t="b">
        <f>+ISNUMBER(SEARCH(CompConta!$F$29,Tabla11[[#This Row],[Cuenta]],1))</f>
        <v>1</v>
      </c>
      <c r="BE884" t="b">
        <f>+ISNUMBER(SEARCH(CompConta!$F$30,Tabla11[[#This Row],[Cuenta]],1))</f>
        <v>1</v>
      </c>
      <c r="BF884" t="b">
        <f>+ISNUMBER(SEARCH('PAGO Compras'!$E$11,Tabla11[[#This Row],[Cuenta]],1))</f>
        <v>1</v>
      </c>
      <c r="BG884" t="b">
        <f>+ISNUMBER(SEARCH(#REF!,Tabla11[[#This Row],[Cuenta]],1))</f>
        <v>0</v>
      </c>
      <c r="BH884" t="b">
        <f>+ISNUMBER(SEARCH(#REF!,Tabla11[[#This Row],[Cuenta]],1))</f>
        <v>0</v>
      </c>
      <c r="BI884" t="b">
        <f>+ISNUMBER(SEARCH(#REF!,Tabla11[[#This Row],[Cuenta]],1))</f>
        <v>0</v>
      </c>
      <c r="BJ884" t="b">
        <f>+ISNUMBER(SEARCH(#REF!,Tabla11[[#This Row],[Cuenta]],1))</f>
        <v>0</v>
      </c>
      <c r="BS884" t="str">
        <v>514535 Equipo de hoteles y restaurantes</v>
      </c>
      <c r="BT884" t="str">
        <v>514535 Equipo de hoteles y restaurantes</v>
      </c>
      <c r="BU884" t="str">
        <v>514535 Equipo de hoteles y restaurantes</v>
      </c>
      <c r="BV884" t="str">
        <v>514535 Equipo de hoteles y restaurantes</v>
      </c>
      <c r="BZ884" t="str">
        <v>514535 Equipo de hoteles y restaurantes</v>
      </c>
      <c r="CA884" t="str">
        <v>514535 Equipo de hoteles y restaurantes</v>
      </c>
      <c r="CB884" t="str">
        <v>514535 Equipo de hoteles y restaurantes</v>
      </c>
      <c r="CC884" t="str">
        <v>514535 Equipo de hoteles y restaurantes</v>
      </c>
      <c r="CD884" t="str">
        <v>514535 Equipo de hoteles y restaurantes</v>
      </c>
      <c r="CE884" t="str">
        <v>514535 Equipo de hoteles y restaurantes</v>
      </c>
      <c r="CS884" s="141" t="str">
        <v>514535 Equipo de hoteles y restaurantes</v>
      </c>
      <c r="CT884" s="141" t="str">
        <v>514535 Equipo de hoteles y restaurantes</v>
      </c>
      <c r="CU884" s="141" t="str">
        <v>514535 Equipo de hoteles y restaurantes</v>
      </c>
      <c r="CV884" s="141" t="str">
        <v>514535 Equipo de hoteles y restaurantes</v>
      </c>
      <c r="CW884" s="141" t="str">
        <v>514535 Equipo de hoteles y restaurantes</v>
      </c>
      <c r="CX884" s="141" t="str">
        <v>514535 Equipo de hoteles y restaurantes</v>
      </c>
      <c r="CY884" s="141" t="str">
        <v>514535 Equipo de hoteles y restaurantes</v>
      </c>
      <c r="CZ884" s="141" t="str">
        <v>514535 Equipo de hoteles y restaurantes</v>
      </c>
      <c r="DA884" s="141" t="str">
        <v>514535 Equipo de hoteles y restaurantes</v>
      </c>
      <c r="DF884" t="str">
        <v>514535 Equipo de hoteles y restaurantes</v>
      </c>
      <c r="DG884" t="str">
        <v>514535 Equipo de hoteles y restaurantes</v>
      </c>
      <c r="DH884" t="str">
        <v>514535 Equipo de hoteles y restaurantes</v>
      </c>
      <c r="DI884" t="str">
        <v>514535 Equipo de hoteles y restaurantes</v>
      </c>
      <c r="DJ884" t="str">
        <v>514535 Equipo de hoteles y restaurantes</v>
      </c>
      <c r="DK884" t="str">
        <v>514535 Equipo de hoteles y restaurantes</v>
      </c>
      <c r="DL884" t="str">
        <v>514535 Equipo de hoteles y restaurantes</v>
      </c>
      <c r="DM884" t="str">
        <v>514535 Equipo de hoteles y restaurantes</v>
      </c>
      <c r="DN884" t="str">
        <v>514535 Equipo de hoteles y restaurantes</v>
      </c>
      <c r="DO884" t="str">
        <v>514535 Equipo de hoteles y restaurantes</v>
      </c>
      <c r="DP884" t="str">
        <v>514535 Equipo de hoteles y restaurantes</v>
      </c>
    </row>
    <row r="885" spans="4:120" ht="12.75">
      <c r="D885" s="7">
        <v>514540</v>
      </c>
      <c r="E885" s="6" t="s">
        <v>133</v>
      </c>
      <c r="F885" s="5">
        <v>4</v>
      </c>
      <c r="G885" s="34" t="s">
        <v>830</v>
      </c>
      <c r="H885" s="8" t="s">
        <v>32</v>
      </c>
      <c r="I885" t="b">
        <f>+ISNUMBER(SEARCH('F-COMPRA'!$F$28,Tabla11[[#This Row],[Cuenta]],1))</f>
        <v>1</v>
      </c>
      <c r="J885" t="b">
        <f>+ISNUMBER(SEARCH('F-COMPRA'!$F$29,Tabla11[[#This Row],[Cuenta]],1))</f>
        <v>1</v>
      </c>
      <c r="K885" t="b">
        <f>+ISNUMBER(SEARCH('F-COMPRA'!$F$30,Tabla11[[#This Row],[Cuenta]],1))</f>
        <v>1</v>
      </c>
      <c r="L885" t="b">
        <f>+ISNUMBER(SEARCH('F-COMPRA'!$F$31,Tabla11[[#This Row],[Cuenta]],1))</f>
        <v>1</v>
      </c>
      <c r="M885" t="b">
        <f>+ISNUMBER(SEARCH('F-COMPRA'!$G$25,Tabla11[[#This Row],[Cuenta]],1))</f>
        <v>0</v>
      </c>
      <c r="N885" t="b">
        <f>+ISNUMBER(SEARCH(#REF!,Tabla11[[#This Row],[Cuenta]],1))</f>
        <v>0</v>
      </c>
      <c r="O885" t="b">
        <f>+ISNUMBER(SEARCH(#REF!,Tabla11[[#This Row],[Cuenta]],1))</f>
        <v>0</v>
      </c>
      <c r="P885" t="b">
        <f>+ISNUMBER(SEARCH('F-COMPRA'!$F$32,Tabla11[[#This Row],[Cuenta]],1))</f>
        <v>1</v>
      </c>
      <c r="Q885" t="b">
        <f>+ISNUMBER(SEARCH('F-COMPRA'!$F$33,Tabla11[[#This Row],[Cuenta]],1))</f>
        <v>1</v>
      </c>
      <c r="R885" t="b">
        <f>+ISNUMBER(SEARCH('F-COMPRA'!$F$34,Tabla11[[#This Row],[Cuenta]],1))</f>
        <v>1</v>
      </c>
      <c r="S885" t="b">
        <f>+ISNUMBER(SEARCH('F-COMPRA'!$F$35,Tabla11[[#This Row],[Cuenta]],1))</f>
        <v>1</v>
      </c>
      <c r="T885" t="b">
        <f>+ISNUMBER(SEARCH('F-COMPRA'!$F$36,Tabla11[[#This Row],[Cuenta]],1))</f>
        <v>1</v>
      </c>
      <c r="U885" t="b">
        <f>+ISNUMBER(SEARCH('F-COMPRA'!$F$37,Tabla11[[#This Row],[Cuenta]],1))</f>
        <v>1</v>
      </c>
      <c r="V885" t="b">
        <f>+ISNUMBER(SEARCH(#REF!,Tabla11[[#This Row],[Cuenta]],1))</f>
        <v>0</v>
      </c>
      <c r="W885" t="b">
        <f>+ISNUMBER(SEARCH('F-COMPRA'!#REF!,Tabla11[[#This Row],[Cuenta]],1))</f>
        <v>0</v>
      </c>
      <c r="X885" t="b">
        <f>+ISNUMBER(SEARCH('F-COMPRA'!#REF!,Tabla11[[#This Row],[Cuenta]],1))</f>
        <v>0</v>
      </c>
      <c r="Y885" t="b">
        <f>+ISNUMBER(SEARCH('F-COMPRA'!#REF!,Tabla11[[#This Row],[Cuenta]],1))</f>
        <v>0</v>
      </c>
      <c r="Z885" t="b">
        <f>+ISNUMBER(SEARCH('F-COMPRA'!#REF!,Tabla11[[#This Row],[Cuenta]],1))</f>
        <v>0</v>
      </c>
      <c r="AA885" t="b">
        <f>+ISNUMBER(SEARCH('F-COMPRA'!#REF!,Tabla11[[#This Row],[Cuenta]],1))</f>
        <v>0</v>
      </c>
      <c r="AB885" t="b">
        <f>+ISNUMBER(SEARCH('F-COMPRA'!#REF!,Tabla11[[#This Row],[Cuenta]],1))</f>
        <v>0</v>
      </c>
      <c r="AC885" t="b">
        <f>+ISNUMBER(SEARCH('F-COMPRA'!#REF!,Tabla11[[#This Row],[Cuenta]],1))</f>
        <v>0</v>
      </c>
      <c r="AD885" t="b">
        <f>+ISNUMBER(SEARCH('F-COMPRA'!#REF!,Tabla11[[#This Row],[Cuenta]],1))</f>
        <v>0</v>
      </c>
      <c r="AE885" t="b">
        <f>+ISNUMBER(SEARCH('F-COMPRA'!#REF!,Tabla11[[#This Row],[Cuenta]],1))</f>
        <v>0</v>
      </c>
      <c r="AF885" t="b">
        <f>+ISNUMBER(SEARCH('F-VTA'!$G$23,Tabla11[[#This Row],[Cuenta]],1))</f>
        <v>0</v>
      </c>
      <c r="AG885" t="b">
        <f>+ISNUMBER(SEARCH('F-VTA'!$G$24,Tabla11[[#This Row],[Cuenta]],1))</f>
        <v>0</v>
      </c>
      <c r="AH885" t="b">
        <f>+ISNUMBER(SEARCH('F-VTA'!$G$25,Tabla11[[#This Row],[Cuenta]],1))</f>
        <v>0</v>
      </c>
      <c r="AI885" t="b">
        <f>+ISNUMBER(SEARCH('F-VTA'!$F$28,Tabla11[[#This Row],[Cuenta]],1))</f>
        <v>1</v>
      </c>
      <c r="AJ885" t="b">
        <f>+ISNUMBER(SEARCH('F-VTA'!$F$29,Tabla11[[#This Row],[Cuenta]],1))</f>
        <v>1</v>
      </c>
      <c r="AK885" t="b">
        <f>+ISNUMBER(SEARCH('F-VTA'!$F$30,Tabla11[[#This Row],[Cuenta]],1))</f>
        <v>1</v>
      </c>
      <c r="AL885" t="b">
        <f>+ISNUMBER(SEARCH('F-VTA'!$F$31,Tabla11[[#This Row],[Cuenta]],1))</f>
        <v>1</v>
      </c>
      <c r="AM885" t="b">
        <f>+ISNUMBER(SEARCH('F-VTA'!$F$32,Tabla11[[#This Row],[Cuenta]],1))</f>
        <v>1</v>
      </c>
      <c r="AN885" t="b">
        <f>+ISNUMBER(SEARCH('F-VTA'!$F$33,Tabla11[[#This Row],[Cuenta]],1))</f>
        <v>1</v>
      </c>
      <c r="AO885" t="b">
        <f>+ISNUMBER(SEARCH('F-VTA'!$F$34,Tabla11[[#This Row],[Cuenta]],1))</f>
        <v>1</v>
      </c>
      <c r="AP885" t="b">
        <f>+ISNUMBER(SEARCH('F-VTA'!$F$35,Tabla11[[#This Row],[Cuenta]],1))</f>
        <v>1</v>
      </c>
      <c r="AQ885" t="b">
        <f>+ISNUMBER(SEARCH('F-VTA'!$F$36,Tabla11[[#This Row],[Cuenta]],1))</f>
        <v>1</v>
      </c>
      <c r="AR885" t="b">
        <f>+ISNUMBER(SEARCH(#REF!,Tabla11[[#This Row],[Cuenta]],1))</f>
        <v>0</v>
      </c>
      <c r="AS885" t="b">
        <f>+ISNUMBER(SEARCH(#REF!,Tabla11[[#This Row],[Cuenta]],1))</f>
        <v>0</v>
      </c>
      <c r="AT885" t="b">
        <f>+ISNUMBER(SEARCH(#REF!,Tabla11[[#This Row],[Cuenta]],1))</f>
        <v>0</v>
      </c>
      <c r="AU885" t="b">
        <f>+ISNUMBER(SEARCH('Conc. Ban.1'!$I$9,Tabla11[[#This Row],[Cuenta]],1))</f>
        <v>0</v>
      </c>
      <c r="AV885" t="b">
        <f>+ISNUMBER(SEARCH(CompConta!$F$21,Tabla11[[#This Row],[Cuenta]],1))</f>
        <v>1</v>
      </c>
      <c r="AW885" t="b">
        <f>+ISNUMBER(SEARCH(CompConta!$F$22,Tabla11[[#This Row],[Cuenta]],1))</f>
        <v>1</v>
      </c>
      <c r="AX885" t="b">
        <f>+ISNUMBER(SEARCH(CompConta!$F$23,Tabla11[[#This Row],[Cuenta]],1))</f>
        <v>1</v>
      </c>
      <c r="AY885" t="b">
        <f>+ISNUMBER(SEARCH(CompConta!$F$24,Tabla11[[#This Row],[Cuenta]],1))</f>
        <v>1</v>
      </c>
      <c r="AZ885" t="b">
        <f>+ISNUMBER(SEARCH(CompConta!$F$25,Tabla11[[#This Row],[Cuenta]],1))</f>
        <v>1</v>
      </c>
      <c r="BA885" t="b">
        <f>+ISNUMBER(SEARCH(CompConta!$F$26,Tabla11[[#This Row],[Cuenta]],1))</f>
        <v>1</v>
      </c>
      <c r="BB885" t="b">
        <f>+ISNUMBER(SEARCH(CompConta!$F$27,Tabla11[[#This Row],[Cuenta]],1))</f>
        <v>1</v>
      </c>
      <c r="BC885" t="b">
        <f>+ISNUMBER(SEARCH(CompConta!$F$28,Tabla11[[#This Row],[Cuenta]],1))</f>
        <v>1</v>
      </c>
      <c r="BD885" t="b">
        <f>+ISNUMBER(SEARCH(CompConta!$F$29,Tabla11[[#This Row],[Cuenta]],1))</f>
        <v>1</v>
      </c>
      <c r="BE885" t="b">
        <f>+ISNUMBER(SEARCH(CompConta!$F$30,Tabla11[[#This Row],[Cuenta]],1))</f>
        <v>1</v>
      </c>
      <c r="BF885" t="b">
        <f>+ISNUMBER(SEARCH('PAGO Compras'!$E$11,Tabla11[[#This Row],[Cuenta]],1))</f>
        <v>1</v>
      </c>
      <c r="BG885" t="b">
        <f>+ISNUMBER(SEARCH(#REF!,Tabla11[[#This Row],[Cuenta]],1))</f>
        <v>0</v>
      </c>
      <c r="BH885" t="b">
        <f>+ISNUMBER(SEARCH(#REF!,Tabla11[[#This Row],[Cuenta]],1))</f>
        <v>0</v>
      </c>
      <c r="BI885" t="b">
        <f>+ISNUMBER(SEARCH(#REF!,Tabla11[[#This Row],[Cuenta]],1))</f>
        <v>0</v>
      </c>
      <c r="BJ885" t="b">
        <f>+ISNUMBER(SEARCH(#REF!,Tabla11[[#This Row],[Cuenta]],1))</f>
        <v>0</v>
      </c>
      <c r="BS885" t="str">
        <v>514540 Flota y equipo de transporte</v>
      </c>
      <c r="BT885" t="str">
        <v>514540 Flota y equipo de transporte</v>
      </c>
      <c r="BU885" t="str">
        <v>514540 Flota y equipo de transporte</v>
      </c>
      <c r="BV885" t="str">
        <v>514540 Flota y equipo de transporte</v>
      </c>
      <c r="BZ885" t="str">
        <v>514540 Flota y equipo de transporte</v>
      </c>
      <c r="CA885" t="str">
        <v>514540 Flota y equipo de transporte</v>
      </c>
      <c r="CB885" t="str">
        <v>514540 Flota y equipo de transporte</v>
      </c>
      <c r="CC885" t="str">
        <v>514540 Flota y equipo de transporte</v>
      </c>
      <c r="CD885" t="str">
        <v>514540 Flota y equipo de transporte</v>
      </c>
      <c r="CE885" t="str">
        <v>514540 Flota y equipo de transporte</v>
      </c>
      <c r="CS885" s="141" t="str">
        <v>514540 Flota y equipo de transporte</v>
      </c>
      <c r="CT885" s="141" t="str">
        <v>514540 Flota y equipo de transporte</v>
      </c>
      <c r="CU885" s="141" t="str">
        <v>514540 Flota y equipo de transporte</v>
      </c>
      <c r="CV885" s="141" t="str">
        <v>514540 Flota y equipo de transporte</v>
      </c>
      <c r="CW885" s="141" t="str">
        <v>514540 Flota y equipo de transporte</v>
      </c>
      <c r="CX885" s="141" t="str">
        <v>514540 Flota y equipo de transporte</v>
      </c>
      <c r="CY885" s="141" t="str">
        <v>514540 Flota y equipo de transporte</v>
      </c>
      <c r="CZ885" s="141" t="str">
        <v>514540 Flota y equipo de transporte</v>
      </c>
      <c r="DA885" s="141" t="str">
        <v>514540 Flota y equipo de transporte</v>
      </c>
      <c r="DF885" t="str">
        <v>514540 Flota y equipo de transporte</v>
      </c>
      <c r="DG885" t="str">
        <v>514540 Flota y equipo de transporte</v>
      </c>
      <c r="DH885" t="str">
        <v>514540 Flota y equipo de transporte</v>
      </c>
      <c r="DI885" t="str">
        <v>514540 Flota y equipo de transporte</v>
      </c>
      <c r="DJ885" t="str">
        <v>514540 Flota y equipo de transporte</v>
      </c>
      <c r="DK885" t="str">
        <v>514540 Flota y equipo de transporte</v>
      </c>
      <c r="DL885" t="str">
        <v>514540 Flota y equipo de transporte</v>
      </c>
      <c r="DM885" t="str">
        <v>514540 Flota y equipo de transporte</v>
      </c>
      <c r="DN885" t="str">
        <v>514540 Flota y equipo de transporte</v>
      </c>
      <c r="DO885" t="str">
        <v>514540 Flota y equipo de transporte</v>
      </c>
      <c r="DP885" t="str">
        <v>514540 Flota y equipo de transporte</v>
      </c>
    </row>
    <row r="886" spans="4:120" ht="12.75">
      <c r="D886" s="7">
        <v>514599</v>
      </c>
      <c r="E886" s="6" t="s">
        <v>93</v>
      </c>
      <c r="F886" s="5">
        <v>4</v>
      </c>
      <c r="G886" s="34" t="s">
        <v>830</v>
      </c>
      <c r="H886" s="8" t="s">
        <v>32</v>
      </c>
      <c r="I886" t="b">
        <f>+ISNUMBER(SEARCH('F-COMPRA'!$F$28,Tabla11[[#This Row],[Cuenta]],1))</f>
        <v>1</v>
      </c>
      <c r="J886" t="b">
        <f>+ISNUMBER(SEARCH('F-COMPRA'!$F$29,Tabla11[[#This Row],[Cuenta]],1))</f>
        <v>1</v>
      </c>
      <c r="K886" t="b">
        <f>+ISNUMBER(SEARCH('F-COMPRA'!$F$30,Tabla11[[#This Row],[Cuenta]],1))</f>
        <v>1</v>
      </c>
      <c r="L886" t="b">
        <f>+ISNUMBER(SEARCH('F-COMPRA'!$F$31,Tabla11[[#This Row],[Cuenta]],1))</f>
        <v>1</v>
      </c>
      <c r="M886" t="b">
        <f>+ISNUMBER(SEARCH('F-COMPRA'!$G$25,Tabla11[[#This Row],[Cuenta]],1))</f>
        <v>0</v>
      </c>
      <c r="N886" t="b">
        <f>+ISNUMBER(SEARCH(#REF!,Tabla11[[#This Row],[Cuenta]],1))</f>
        <v>0</v>
      </c>
      <c r="O886" t="b">
        <f>+ISNUMBER(SEARCH(#REF!,Tabla11[[#This Row],[Cuenta]],1))</f>
        <v>0</v>
      </c>
      <c r="P886" t="b">
        <f>+ISNUMBER(SEARCH('F-COMPRA'!$F$32,Tabla11[[#This Row],[Cuenta]],1))</f>
        <v>1</v>
      </c>
      <c r="Q886" t="b">
        <f>+ISNUMBER(SEARCH('F-COMPRA'!$F$33,Tabla11[[#This Row],[Cuenta]],1))</f>
        <v>1</v>
      </c>
      <c r="R886" t="b">
        <f>+ISNUMBER(SEARCH('F-COMPRA'!$F$34,Tabla11[[#This Row],[Cuenta]],1))</f>
        <v>1</v>
      </c>
      <c r="S886" t="b">
        <f>+ISNUMBER(SEARCH('F-COMPRA'!$F$35,Tabla11[[#This Row],[Cuenta]],1))</f>
        <v>1</v>
      </c>
      <c r="T886" t="b">
        <f>+ISNUMBER(SEARCH('F-COMPRA'!$F$36,Tabla11[[#This Row],[Cuenta]],1))</f>
        <v>1</v>
      </c>
      <c r="U886" t="b">
        <f>+ISNUMBER(SEARCH('F-COMPRA'!$F$37,Tabla11[[#This Row],[Cuenta]],1))</f>
        <v>1</v>
      </c>
      <c r="V886" t="b">
        <f>+ISNUMBER(SEARCH(#REF!,Tabla11[[#This Row],[Cuenta]],1))</f>
        <v>0</v>
      </c>
      <c r="W886" t="b">
        <f>+ISNUMBER(SEARCH('F-COMPRA'!#REF!,Tabla11[[#This Row],[Cuenta]],1))</f>
        <v>0</v>
      </c>
      <c r="X886" t="b">
        <f>+ISNUMBER(SEARCH('F-COMPRA'!#REF!,Tabla11[[#This Row],[Cuenta]],1))</f>
        <v>0</v>
      </c>
      <c r="Y886" t="b">
        <f>+ISNUMBER(SEARCH('F-COMPRA'!#REF!,Tabla11[[#This Row],[Cuenta]],1))</f>
        <v>0</v>
      </c>
      <c r="Z886" t="b">
        <f>+ISNUMBER(SEARCH('F-COMPRA'!#REF!,Tabla11[[#This Row],[Cuenta]],1))</f>
        <v>0</v>
      </c>
      <c r="AA886" t="b">
        <f>+ISNUMBER(SEARCH('F-COMPRA'!#REF!,Tabla11[[#This Row],[Cuenta]],1))</f>
        <v>0</v>
      </c>
      <c r="AB886" t="b">
        <f>+ISNUMBER(SEARCH('F-COMPRA'!#REF!,Tabla11[[#This Row],[Cuenta]],1))</f>
        <v>0</v>
      </c>
      <c r="AC886" t="b">
        <f>+ISNUMBER(SEARCH('F-COMPRA'!#REF!,Tabla11[[#This Row],[Cuenta]],1))</f>
        <v>0</v>
      </c>
      <c r="AD886" t="b">
        <f>+ISNUMBER(SEARCH('F-COMPRA'!#REF!,Tabla11[[#This Row],[Cuenta]],1))</f>
        <v>0</v>
      </c>
      <c r="AE886" t="b">
        <f>+ISNUMBER(SEARCH('F-COMPRA'!#REF!,Tabla11[[#This Row],[Cuenta]],1))</f>
        <v>0</v>
      </c>
      <c r="AF886" t="b">
        <f>+ISNUMBER(SEARCH('F-VTA'!$G$23,Tabla11[[#This Row],[Cuenta]],1))</f>
        <v>0</v>
      </c>
      <c r="AG886" t="b">
        <f>+ISNUMBER(SEARCH('F-VTA'!$G$24,Tabla11[[#This Row],[Cuenta]],1))</f>
        <v>0</v>
      </c>
      <c r="AH886" t="b">
        <f>+ISNUMBER(SEARCH('F-VTA'!$G$25,Tabla11[[#This Row],[Cuenta]],1))</f>
        <v>0</v>
      </c>
      <c r="AI886" t="b">
        <f>+ISNUMBER(SEARCH('F-VTA'!$F$28,Tabla11[[#This Row],[Cuenta]],1))</f>
        <v>1</v>
      </c>
      <c r="AJ886" t="b">
        <f>+ISNUMBER(SEARCH('F-VTA'!$F$29,Tabla11[[#This Row],[Cuenta]],1))</f>
        <v>1</v>
      </c>
      <c r="AK886" t="b">
        <f>+ISNUMBER(SEARCH('F-VTA'!$F$30,Tabla11[[#This Row],[Cuenta]],1))</f>
        <v>1</v>
      </c>
      <c r="AL886" t="b">
        <f>+ISNUMBER(SEARCH('F-VTA'!$F$31,Tabla11[[#This Row],[Cuenta]],1))</f>
        <v>1</v>
      </c>
      <c r="AM886" t="b">
        <f>+ISNUMBER(SEARCH('F-VTA'!$F$32,Tabla11[[#This Row],[Cuenta]],1))</f>
        <v>1</v>
      </c>
      <c r="AN886" t="b">
        <f>+ISNUMBER(SEARCH('F-VTA'!$F$33,Tabla11[[#This Row],[Cuenta]],1))</f>
        <v>1</v>
      </c>
      <c r="AO886" t="b">
        <f>+ISNUMBER(SEARCH('F-VTA'!$F$34,Tabla11[[#This Row],[Cuenta]],1))</f>
        <v>1</v>
      </c>
      <c r="AP886" t="b">
        <f>+ISNUMBER(SEARCH('F-VTA'!$F$35,Tabla11[[#This Row],[Cuenta]],1))</f>
        <v>1</v>
      </c>
      <c r="AQ886" t="b">
        <f>+ISNUMBER(SEARCH('F-VTA'!$F$36,Tabla11[[#This Row],[Cuenta]],1))</f>
        <v>1</v>
      </c>
      <c r="AR886" t="b">
        <f>+ISNUMBER(SEARCH(#REF!,Tabla11[[#This Row],[Cuenta]],1))</f>
        <v>0</v>
      </c>
      <c r="AS886" t="b">
        <f>+ISNUMBER(SEARCH(#REF!,Tabla11[[#This Row],[Cuenta]],1))</f>
        <v>0</v>
      </c>
      <c r="AT886" t="b">
        <f>+ISNUMBER(SEARCH(#REF!,Tabla11[[#This Row],[Cuenta]],1))</f>
        <v>0</v>
      </c>
      <c r="AU886" t="b">
        <f>+ISNUMBER(SEARCH('Conc. Ban.1'!$I$9,Tabla11[[#This Row],[Cuenta]],1))</f>
        <v>0</v>
      </c>
      <c r="AV886" t="b">
        <f>+ISNUMBER(SEARCH(CompConta!$F$21,Tabla11[[#This Row],[Cuenta]],1))</f>
        <v>1</v>
      </c>
      <c r="AW886" t="b">
        <f>+ISNUMBER(SEARCH(CompConta!$F$22,Tabla11[[#This Row],[Cuenta]],1))</f>
        <v>1</v>
      </c>
      <c r="AX886" t="b">
        <f>+ISNUMBER(SEARCH(CompConta!$F$23,Tabla11[[#This Row],[Cuenta]],1))</f>
        <v>1</v>
      </c>
      <c r="AY886" t="b">
        <f>+ISNUMBER(SEARCH(CompConta!$F$24,Tabla11[[#This Row],[Cuenta]],1))</f>
        <v>1</v>
      </c>
      <c r="AZ886" t="b">
        <f>+ISNUMBER(SEARCH(CompConta!$F$25,Tabla11[[#This Row],[Cuenta]],1))</f>
        <v>1</v>
      </c>
      <c r="BA886" t="b">
        <f>+ISNUMBER(SEARCH(CompConta!$F$26,Tabla11[[#This Row],[Cuenta]],1))</f>
        <v>1</v>
      </c>
      <c r="BB886" t="b">
        <f>+ISNUMBER(SEARCH(CompConta!$F$27,Tabla11[[#This Row],[Cuenta]],1))</f>
        <v>1</v>
      </c>
      <c r="BC886" t="b">
        <f>+ISNUMBER(SEARCH(CompConta!$F$28,Tabla11[[#This Row],[Cuenta]],1))</f>
        <v>1</v>
      </c>
      <c r="BD886" t="b">
        <f>+ISNUMBER(SEARCH(CompConta!$F$29,Tabla11[[#This Row],[Cuenta]],1))</f>
        <v>1</v>
      </c>
      <c r="BE886" t="b">
        <f>+ISNUMBER(SEARCH(CompConta!$F$30,Tabla11[[#This Row],[Cuenta]],1))</f>
        <v>1</v>
      </c>
      <c r="BF886" t="b">
        <f>+ISNUMBER(SEARCH('PAGO Compras'!$E$11,Tabla11[[#This Row],[Cuenta]],1))</f>
        <v>1</v>
      </c>
      <c r="BG886" t="b">
        <f>+ISNUMBER(SEARCH(#REF!,Tabla11[[#This Row],[Cuenta]],1))</f>
        <v>0</v>
      </c>
      <c r="BH886" t="b">
        <f>+ISNUMBER(SEARCH(#REF!,Tabla11[[#This Row],[Cuenta]],1))</f>
        <v>0</v>
      </c>
      <c r="BI886" t="b">
        <f>+ISNUMBER(SEARCH(#REF!,Tabla11[[#This Row],[Cuenta]],1))</f>
        <v>0</v>
      </c>
      <c r="BJ886" t="b">
        <f>+ISNUMBER(SEARCH(#REF!,Tabla11[[#This Row],[Cuenta]],1))</f>
        <v>0</v>
      </c>
      <c r="BS886" t="str">
        <v>514599 *Ajustes por inflación</v>
      </c>
      <c r="BT886" t="str">
        <v>514599 *Ajustes por inflación</v>
      </c>
      <c r="BU886" t="str">
        <v>514599 *Ajustes por inflación</v>
      </c>
      <c r="BV886" t="str">
        <v>514599 *Ajustes por inflación</v>
      </c>
      <c r="BZ886" t="str">
        <v>514599 *Ajustes por inflación</v>
      </c>
      <c r="CA886" t="str">
        <v>514599 *Ajustes por inflación</v>
      </c>
      <c r="CB886" t="str">
        <v>514599 *Ajustes por inflación</v>
      </c>
      <c r="CC886" t="str">
        <v>514599 *Ajustes por inflación</v>
      </c>
      <c r="CD886" t="str">
        <v>514599 *Ajustes por inflación</v>
      </c>
      <c r="CE886" t="str">
        <v>514599 *Ajustes por inflación</v>
      </c>
      <c r="CS886" s="141" t="str">
        <v>514599 *Ajustes por inflación</v>
      </c>
      <c r="CT886" s="141" t="str">
        <v>514599 *Ajustes por inflación</v>
      </c>
      <c r="CU886" s="141" t="str">
        <v>514599 *Ajustes por inflación</v>
      </c>
      <c r="CV886" s="141" t="str">
        <v>514599 *Ajustes por inflación</v>
      </c>
      <c r="CW886" s="141" t="str">
        <v>514599 *Ajustes por inflación</v>
      </c>
      <c r="CX886" s="141" t="str">
        <v>514599 *Ajustes por inflación</v>
      </c>
      <c r="CY886" s="141" t="str">
        <v>514599 *Ajustes por inflación</v>
      </c>
      <c r="CZ886" s="141" t="str">
        <v>514599 *Ajustes por inflación</v>
      </c>
      <c r="DA886" s="141" t="str">
        <v>514599 *Ajustes por inflación</v>
      </c>
      <c r="DF886" t="str">
        <v>514599 *Ajustes por inflación</v>
      </c>
      <c r="DG886" t="str">
        <v>514599 *Ajustes por inflación</v>
      </c>
      <c r="DH886" t="str">
        <v>514599 *Ajustes por inflación</v>
      </c>
      <c r="DI886" t="str">
        <v>514599 *Ajustes por inflación</v>
      </c>
      <c r="DJ886" t="str">
        <v>514599 *Ajustes por inflación</v>
      </c>
      <c r="DK886" t="str">
        <v>514599 *Ajustes por inflación</v>
      </c>
      <c r="DL886" t="str">
        <v>514599 *Ajustes por inflación</v>
      </c>
      <c r="DM886" t="str">
        <v>514599 *Ajustes por inflación</v>
      </c>
      <c r="DN886" t="str">
        <v>514599 *Ajustes por inflación</v>
      </c>
      <c r="DO886" t="str">
        <v>514599 *Ajustes por inflación</v>
      </c>
      <c r="DP886" t="str">
        <v>514599 *Ajustes por inflación</v>
      </c>
    </row>
    <row r="887" spans="4:120" ht="12.75">
      <c r="D887" s="7">
        <v>5150</v>
      </c>
      <c r="E887" s="6" t="s">
        <v>600</v>
      </c>
      <c r="F887" s="5">
        <v>3</v>
      </c>
      <c r="G887" s="34" t="s">
        <v>830</v>
      </c>
      <c r="H887" s="8" t="s">
        <v>32</v>
      </c>
      <c r="I887" t="b">
        <f>+ISNUMBER(SEARCH('F-COMPRA'!$F$28,Tabla11[[#This Row],[Cuenta]],1))</f>
        <v>1</v>
      </c>
      <c r="J887" t="b">
        <f>+ISNUMBER(SEARCH('F-COMPRA'!$F$29,Tabla11[[#This Row],[Cuenta]],1))</f>
        <v>1</v>
      </c>
      <c r="K887" t="b">
        <f>+ISNUMBER(SEARCH('F-COMPRA'!$F$30,Tabla11[[#This Row],[Cuenta]],1))</f>
        <v>1</v>
      </c>
      <c r="L887" t="b">
        <f>+ISNUMBER(SEARCH('F-COMPRA'!$F$31,Tabla11[[#This Row],[Cuenta]],1))</f>
        <v>1</v>
      </c>
      <c r="M887" t="b">
        <f>+ISNUMBER(SEARCH('F-COMPRA'!$G$25,Tabla11[[#This Row],[Cuenta]],1))</f>
        <v>0</v>
      </c>
      <c r="N887" t="b">
        <f>+ISNUMBER(SEARCH(#REF!,Tabla11[[#This Row],[Cuenta]],1))</f>
        <v>0</v>
      </c>
      <c r="O887" t="b">
        <f>+ISNUMBER(SEARCH(#REF!,Tabla11[[#This Row],[Cuenta]],1))</f>
        <v>0</v>
      </c>
      <c r="P887" t="b">
        <f>+ISNUMBER(SEARCH('F-COMPRA'!$F$32,Tabla11[[#This Row],[Cuenta]],1))</f>
        <v>1</v>
      </c>
      <c r="Q887" t="b">
        <f>+ISNUMBER(SEARCH('F-COMPRA'!$F$33,Tabla11[[#This Row],[Cuenta]],1))</f>
        <v>1</v>
      </c>
      <c r="R887" t="b">
        <f>+ISNUMBER(SEARCH('F-COMPRA'!$F$34,Tabla11[[#This Row],[Cuenta]],1))</f>
        <v>1</v>
      </c>
      <c r="S887" t="b">
        <f>+ISNUMBER(SEARCH('F-COMPRA'!$F$35,Tabla11[[#This Row],[Cuenta]],1))</f>
        <v>1</v>
      </c>
      <c r="T887" t="b">
        <f>+ISNUMBER(SEARCH('F-COMPRA'!$F$36,Tabla11[[#This Row],[Cuenta]],1))</f>
        <v>1</v>
      </c>
      <c r="U887" t="b">
        <f>+ISNUMBER(SEARCH('F-COMPRA'!$F$37,Tabla11[[#This Row],[Cuenta]],1))</f>
        <v>1</v>
      </c>
      <c r="V887" t="b">
        <f>+ISNUMBER(SEARCH(#REF!,Tabla11[[#This Row],[Cuenta]],1))</f>
        <v>0</v>
      </c>
      <c r="W887" t="b">
        <f>+ISNUMBER(SEARCH('F-COMPRA'!#REF!,Tabla11[[#This Row],[Cuenta]],1))</f>
        <v>0</v>
      </c>
      <c r="X887" t="b">
        <f>+ISNUMBER(SEARCH('F-COMPRA'!#REF!,Tabla11[[#This Row],[Cuenta]],1))</f>
        <v>0</v>
      </c>
      <c r="Y887" t="b">
        <f>+ISNUMBER(SEARCH('F-COMPRA'!#REF!,Tabla11[[#This Row],[Cuenta]],1))</f>
        <v>0</v>
      </c>
      <c r="Z887" t="b">
        <f>+ISNUMBER(SEARCH('F-COMPRA'!#REF!,Tabla11[[#This Row],[Cuenta]],1))</f>
        <v>0</v>
      </c>
      <c r="AA887" t="b">
        <f>+ISNUMBER(SEARCH('F-COMPRA'!#REF!,Tabla11[[#This Row],[Cuenta]],1))</f>
        <v>0</v>
      </c>
      <c r="AB887" t="b">
        <f>+ISNUMBER(SEARCH('F-COMPRA'!#REF!,Tabla11[[#This Row],[Cuenta]],1))</f>
        <v>0</v>
      </c>
      <c r="AC887" t="b">
        <f>+ISNUMBER(SEARCH('F-COMPRA'!#REF!,Tabla11[[#This Row],[Cuenta]],1))</f>
        <v>0</v>
      </c>
      <c r="AD887" t="b">
        <f>+ISNUMBER(SEARCH('F-COMPRA'!#REF!,Tabla11[[#This Row],[Cuenta]],1))</f>
        <v>0</v>
      </c>
      <c r="AE887" t="b">
        <f>+ISNUMBER(SEARCH('F-COMPRA'!#REF!,Tabla11[[#This Row],[Cuenta]],1))</f>
        <v>0</v>
      </c>
      <c r="AF887" t="b">
        <f>+ISNUMBER(SEARCH('F-VTA'!$G$23,Tabla11[[#This Row],[Cuenta]],1))</f>
        <v>0</v>
      </c>
      <c r="AG887" t="b">
        <f>+ISNUMBER(SEARCH('F-VTA'!$G$24,Tabla11[[#This Row],[Cuenta]],1))</f>
        <v>0</v>
      </c>
      <c r="AH887" t="b">
        <f>+ISNUMBER(SEARCH('F-VTA'!$G$25,Tabla11[[#This Row],[Cuenta]],1))</f>
        <v>0</v>
      </c>
      <c r="AI887" t="b">
        <f>+ISNUMBER(SEARCH('F-VTA'!$F$28,Tabla11[[#This Row],[Cuenta]],1))</f>
        <v>1</v>
      </c>
      <c r="AJ887" t="b">
        <f>+ISNUMBER(SEARCH('F-VTA'!$F$29,Tabla11[[#This Row],[Cuenta]],1))</f>
        <v>1</v>
      </c>
      <c r="AK887" t="b">
        <f>+ISNUMBER(SEARCH('F-VTA'!$F$30,Tabla11[[#This Row],[Cuenta]],1))</f>
        <v>1</v>
      </c>
      <c r="AL887" t="b">
        <f>+ISNUMBER(SEARCH('F-VTA'!$F$31,Tabla11[[#This Row],[Cuenta]],1))</f>
        <v>1</v>
      </c>
      <c r="AM887" t="b">
        <f>+ISNUMBER(SEARCH('F-VTA'!$F$32,Tabla11[[#This Row],[Cuenta]],1))</f>
        <v>1</v>
      </c>
      <c r="AN887" t="b">
        <f>+ISNUMBER(SEARCH('F-VTA'!$F$33,Tabla11[[#This Row],[Cuenta]],1))</f>
        <v>1</v>
      </c>
      <c r="AO887" t="b">
        <f>+ISNUMBER(SEARCH('F-VTA'!$F$34,Tabla11[[#This Row],[Cuenta]],1))</f>
        <v>1</v>
      </c>
      <c r="AP887" t="b">
        <f>+ISNUMBER(SEARCH('F-VTA'!$F$35,Tabla11[[#This Row],[Cuenta]],1))</f>
        <v>1</v>
      </c>
      <c r="AQ887" t="b">
        <f>+ISNUMBER(SEARCH('F-VTA'!$F$36,Tabla11[[#This Row],[Cuenta]],1))</f>
        <v>1</v>
      </c>
      <c r="AR887" t="b">
        <f>+ISNUMBER(SEARCH(#REF!,Tabla11[[#This Row],[Cuenta]],1))</f>
        <v>0</v>
      </c>
      <c r="AS887" t="b">
        <f>+ISNUMBER(SEARCH(#REF!,Tabla11[[#This Row],[Cuenta]],1))</f>
        <v>0</v>
      </c>
      <c r="AT887" t="b">
        <f>+ISNUMBER(SEARCH(#REF!,Tabla11[[#This Row],[Cuenta]],1))</f>
        <v>0</v>
      </c>
      <c r="AU887" t="b">
        <f>+ISNUMBER(SEARCH('Conc. Ban.1'!$I$9,Tabla11[[#This Row],[Cuenta]],1))</f>
        <v>0</v>
      </c>
      <c r="AV887" t="b">
        <f>+ISNUMBER(SEARCH(CompConta!$F$21,Tabla11[[#This Row],[Cuenta]],1))</f>
        <v>1</v>
      </c>
      <c r="AW887" t="b">
        <f>+ISNUMBER(SEARCH(CompConta!$F$22,Tabla11[[#This Row],[Cuenta]],1))</f>
        <v>1</v>
      </c>
      <c r="AX887" t="b">
        <f>+ISNUMBER(SEARCH(CompConta!$F$23,Tabla11[[#This Row],[Cuenta]],1))</f>
        <v>1</v>
      </c>
      <c r="AY887" t="b">
        <f>+ISNUMBER(SEARCH(CompConta!$F$24,Tabla11[[#This Row],[Cuenta]],1))</f>
        <v>1</v>
      </c>
      <c r="AZ887" t="b">
        <f>+ISNUMBER(SEARCH(CompConta!$F$25,Tabla11[[#This Row],[Cuenta]],1))</f>
        <v>1</v>
      </c>
      <c r="BA887" t="b">
        <f>+ISNUMBER(SEARCH(CompConta!$F$26,Tabla11[[#This Row],[Cuenta]],1))</f>
        <v>1</v>
      </c>
      <c r="BB887" t="b">
        <f>+ISNUMBER(SEARCH(CompConta!$F$27,Tabla11[[#This Row],[Cuenta]],1))</f>
        <v>1</v>
      </c>
      <c r="BC887" t="b">
        <f>+ISNUMBER(SEARCH(CompConta!$F$28,Tabla11[[#This Row],[Cuenta]],1))</f>
        <v>1</v>
      </c>
      <c r="BD887" t="b">
        <f>+ISNUMBER(SEARCH(CompConta!$F$29,Tabla11[[#This Row],[Cuenta]],1))</f>
        <v>1</v>
      </c>
      <c r="BE887" t="b">
        <f>+ISNUMBER(SEARCH(CompConta!$F$30,Tabla11[[#This Row],[Cuenta]],1))</f>
        <v>1</v>
      </c>
      <c r="BF887" t="b">
        <f>+ISNUMBER(SEARCH('PAGO Compras'!$E$11,Tabla11[[#This Row],[Cuenta]],1))</f>
        <v>1</v>
      </c>
      <c r="BG887" t="b">
        <f>+ISNUMBER(SEARCH(#REF!,Tabla11[[#This Row],[Cuenta]],1))</f>
        <v>0</v>
      </c>
      <c r="BH887" t="b">
        <f>+ISNUMBER(SEARCH(#REF!,Tabla11[[#This Row],[Cuenta]],1))</f>
        <v>0</v>
      </c>
      <c r="BI887" t="b">
        <f>+ISNUMBER(SEARCH(#REF!,Tabla11[[#This Row],[Cuenta]],1))</f>
        <v>0</v>
      </c>
      <c r="BJ887" t="b">
        <f>+ISNUMBER(SEARCH(#REF!,Tabla11[[#This Row],[Cuenta]],1))</f>
        <v>0</v>
      </c>
      <c r="BS887" t="str">
        <v>5150 ADECUACIÓN E INSTALACIÓN</v>
      </c>
      <c r="BT887" t="str">
        <v>5150 ADECUACIÓN E INSTALACIÓN</v>
      </c>
      <c r="BU887" t="str">
        <v>5150 ADECUACIÓN E INSTALACIÓN</v>
      </c>
      <c r="BV887" t="str">
        <v>5150 ADECUACIÓN E INSTALACIÓN</v>
      </c>
      <c r="BZ887" t="str">
        <v>5150 ADECUACIÓN E INSTALACIÓN</v>
      </c>
      <c r="CA887" t="str">
        <v>5150 ADECUACIÓN E INSTALACIÓN</v>
      </c>
      <c r="CB887" t="str">
        <v>5150 ADECUACIÓN E INSTALACIÓN</v>
      </c>
      <c r="CC887" t="str">
        <v>5150 ADECUACIÓN E INSTALACIÓN</v>
      </c>
      <c r="CD887" t="str">
        <v>5150 ADECUACIÓN E INSTALACIÓN</v>
      </c>
      <c r="CE887" t="str">
        <v>5150 ADECUACIÓN E INSTALACIÓN</v>
      </c>
      <c r="CS887" s="141" t="str">
        <v>5150 ADECUACIÓN E INSTALACIÓN</v>
      </c>
      <c r="CT887" s="141" t="str">
        <v>5150 ADECUACIÓN E INSTALACIÓN</v>
      </c>
      <c r="CU887" s="141" t="str">
        <v>5150 ADECUACIÓN E INSTALACIÓN</v>
      </c>
      <c r="CV887" s="141" t="str">
        <v>5150 ADECUACIÓN E INSTALACIÓN</v>
      </c>
      <c r="CW887" s="141" t="str">
        <v>5150 ADECUACIÓN E INSTALACIÓN</v>
      </c>
      <c r="CX887" s="141" t="str">
        <v>5150 ADECUACIÓN E INSTALACIÓN</v>
      </c>
      <c r="CY887" s="141" t="str">
        <v>5150 ADECUACIÓN E INSTALACIÓN</v>
      </c>
      <c r="CZ887" s="141" t="str">
        <v>5150 ADECUACIÓN E INSTALACIÓN</v>
      </c>
      <c r="DA887" s="141" t="str">
        <v>5150 ADECUACIÓN E INSTALACIÓN</v>
      </c>
      <c r="DF887" t="str">
        <v>5150 ADECUACIÓN E INSTALACIÓN</v>
      </c>
      <c r="DG887" t="str">
        <v>5150 ADECUACIÓN E INSTALACIÓN</v>
      </c>
      <c r="DH887" t="str">
        <v>5150 ADECUACIÓN E INSTALACIÓN</v>
      </c>
      <c r="DI887" t="str">
        <v>5150 ADECUACIÓN E INSTALACIÓN</v>
      </c>
      <c r="DJ887" t="str">
        <v>5150 ADECUACIÓN E INSTALACIÓN</v>
      </c>
      <c r="DK887" t="str">
        <v>5150 ADECUACIÓN E INSTALACIÓN</v>
      </c>
      <c r="DL887" t="str">
        <v>5150 ADECUACIÓN E INSTALACIÓN</v>
      </c>
      <c r="DM887" t="str">
        <v>5150 ADECUACIÓN E INSTALACIÓN</v>
      </c>
      <c r="DN887" t="str">
        <v>5150 ADECUACIÓN E INSTALACIÓN</v>
      </c>
      <c r="DO887" t="str">
        <v>5150 ADECUACIÓN E INSTALACIÓN</v>
      </c>
      <c r="DP887" t="str">
        <v>5150 ADECUACIÓN E INSTALACIÓN</v>
      </c>
    </row>
    <row r="888" spans="4:120" ht="12.75">
      <c r="D888" s="7">
        <v>515005</v>
      </c>
      <c r="E888" s="6" t="s">
        <v>601</v>
      </c>
      <c r="F888" s="5">
        <v>4</v>
      </c>
      <c r="G888" s="34" t="s">
        <v>830</v>
      </c>
      <c r="H888" s="8" t="s">
        <v>32</v>
      </c>
      <c r="I888" t="b">
        <f>+ISNUMBER(SEARCH('F-COMPRA'!$F$28,Tabla11[[#This Row],[Cuenta]],1))</f>
        <v>1</v>
      </c>
      <c r="J888" t="b">
        <f>+ISNUMBER(SEARCH('F-COMPRA'!$F$29,Tabla11[[#This Row],[Cuenta]],1))</f>
        <v>1</v>
      </c>
      <c r="K888" t="b">
        <f>+ISNUMBER(SEARCH('F-COMPRA'!$F$30,Tabla11[[#This Row],[Cuenta]],1))</f>
        <v>1</v>
      </c>
      <c r="L888" t="b">
        <f>+ISNUMBER(SEARCH('F-COMPRA'!$F$31,Tabla11[[#This Row],[Cuenta]],1))</f>
        <v>1</v>
      </c>
      <c r="M888" t="b">
        <f>+ISNUMBER(SEARCH('F-COMPRA'!$G$25,Tabla11[[#This Row],[Cuenta]],1))</f>
        <v>0</v>
      </c>
      <c r="N888" t="b">
        <f>+ISNUMBER(SEARCH(#REF!,Tabla11[[#This Row],[Cuenta]],1))</f>
        <v>0</v>
      </c>
      <c r="O888" t="b">
        <f>+ISNUMBER(SEARCH(#REF!,Tabla11[[#This Row],[Cuenta]],1))</f>
        <v>0</v>
      </c>
      <c r="P888" t="b">
        <f>+ISNUMBER(SEARCH('F-COMPRA'!$F$32,Tabla11[[#This Row],[Cuenta]],1))</f>
        <v>1</v>
      </c>
      <c r="Q888" t="b">
        <f>+ISNUMBER(SEARCH('F-COMPRA'!$F$33,Tabla11[[#This Row],[Cuenta]],1))</f>
        <v>1</v>
      </c>
      <c r="R888" t="b">
        <f>+ISNUMBER(SEARCH('F-COMPRA'!$F$34,Tabla11[[#This Row],[Cuenta]],1))</f>
        <v>1</v>
      </c>
      <c r="S888" t="b">
        <f>+ISNUMBER(SEARCH('F-COMPRA'!$F$35,Tabla11[[#This Row],[Cuenta]],1))</f>
        <v>1</v>
      </c>
      <c r="T888" t="b">
        <f>+ISNUMBER(SEARCH('F-COMPRA'!$F$36,Tabla11[[#This Row],[Cuenta]],1))</f>
        <v>1</v>
      </c>
      <c r="U888" t="b">
        <f>+ISNUMBER(SEARCH('F-COMPRA'!$F$37,Tabla11[[#This Row],[Cuenta]],1))</f>
        <v>1</v>
      </c>
      <c r="V888" t="b">
        <f>+ISNUMBER(SEARCH(#REF!,Tabla11[[#This Row],[Cuenta]],1))</f>
        <v>0</v>
      </c>
      <c r="W888" t="b">
        <f>+ISNUMBER(SEARCH('F-COMPRA'!#REF!,Tabla11[[#This Row],[Cuenta]],1))</f>
        <v>0</v>
      </c>
      <c r="X888" t="b">
        <f>+ISNUMBER(SEARCH('F-COMPRA'!#REF!,Tabla11[[#This Row],[Cuenta]],1))</f>
        <v>0</v>
      </c>
      <c r="Y888" t="b">
        <f>+ISNUMBER(SEARCH('F-COMPRA'!#REF!,Tabla11[[#This Row],[Cuenta]],1))</f>
        <v>0</v>
      </c>
      <c r="Z888" t="b">
        <f>+ISNUMBER(SEARCH('F-COMPRA'!#REF!,Tabla11[[#This Row],[Cuenta]],1))</f>
        <v>0</v>
      </c>
      <c r="AA888" t="b">
        <f>+ISNUMBER(SEARCH('F-COMPRA'!#REF!,Tabla11[[#This Row],[Cuenta]],1))</f>
        <v>0</v>
      </c>
      <c r="AB888" t="b">
        <f>+ISNUMBER(SEARCH('F-COMPRA'!#REF!,Tabla11[[#This Row],[Cuenta]],1))</f>
        <v>0</v>
      </c>
      <c r="AC888" t="b">
        <f>+ISNUMBER(SEARCH('F-COMPRA'!#REF!,Tabla11[[#This Row],[Cuenta]],1))</f>
        <v>0</v>
      </c>
      <c r="AD888" t="b">
        <f>+ISNUMBER(SEARCH('F-COMPRA'!#REF!,Tabla11[[#This Row],[Cuenta]],1))</f>
        <v>0</v>
      </c>
      <c r="AE888" t="b">
        <f>+ISNUMBER(SEARCH('F-COMPRA'!#REF!,Tabla11[[#This Row],[Cuenta]],1))</f>
        <v>0</v>
      </c>
      <c r="AF888" t="b">
        <f>+ISNUMBER(SEARCH('F-VTA'!$G$23,Tabla11[[#This Row],[Cuenta]],1))</f>
        <v>0</v>
      </c>
      <c r="AG888" t="b">
        <f>+ISNUMBER(SEARCH('F-VTA'!$G$24,Tabla11[[#This Row],[Cuenta]],1))</f>
        <v>0</v>
      </c>
      <c r="AH888" t="b">
        <f>+ISNUMBER(SEARCH('F-VTA'!$G$25,Tabla11[[#This Row],[Cuenta]],1))</f>
        <v>0</v>
      </c>
      <c r="AI888" t="b">
        <f>+ISNUMBER(SEARCH('F-VTA'!$F$28,Tabla11[[#This Row],[Cuenta]],1))</f>
        <v>1</v>
      </c>
      <c r="AJ888" t="b">
        <f>+ISNUMBER(SEARCH('F-VTA'!$F$29,Tabla11[[#This Row],[Cuenta]],1))</f>
        <v>1</v>
      </c>
      <c r="AK888" t="b">
        <f>+ISNUMBER(SEARCH('F-VTA'!$F$30,Tabla11[[#This Row],[Cuenta]],1))</f>
        <v>1</v>
      </c>
      <c r="AL888" t="b">
        <f>+ISNUMBER(SEARCH('F-VTA'!$F$31,Tabla11[[#This Row],[Cuenta]],1))</f>
        <v>1</v>
      </c>
      <c r="AM888" t="b">
        <f>+ISNUMBER(SEARCH('F-VTA'!$F$32,Tabla11[[#This Row],[Cuenta]],1))</f>
        <v>1</v>
      </c>
      <c r="AN888" t="b">
        <f>+ISNUMBER(SEARCH('F-VTA'!$F$33,Tabla11[[#This Row],[Cuenta]],1))</f>
        <v>1</v>
      </c>
      <c r="AO888" t="b">
        <f>+ISNUMBER(SEARCH('F-VTA'!$F$34,Tabla11[[#This Row],[Cuenta]],1))</f>
        <v>1</v>
      </c>
      <c r="AP888" t="b">
        <f>+ISNUMBER(SEARCH('F-VTA'!$F$35,Tabla11[[#This Row],[Cuenta]],1))</f>
        <v>1</v>
      </c>
      <c r="AQ888" t="b">
        <f>+ISNUMBER(SEARCH('F-VTA'!$F$36,Tabla11[[#This Row],[Cuenta]],1))</f>
        <v>1</v>
      </c>
      <c r="AR888" t="b">
        <f>+ISNUMBER(SEARCH(#REF!,Tabla11[[#This Row],[Cuenta]],1))</f>
        <v>0</v>
      </c>
      <c r="AS888" t="b">
        <f>+ISNUMBER(SEARCH(#REF!,Tabla11[[#This Row],[Cuenta]],1))</f>
        <v>0</v>
      </c>
      <c r="AT888" t="b">
        <f>+ISNUMBER(SEARCH(#REF!,Tabla11[[#This Row],[Cuenta]],1))</f>
        <v>0</v>
      </c>
      <c r="AU888" t="b">
        <f>+ISNUMBER(SEARCH('Conc. Ban.1'!$I$9,Tabla11[[#This Row],[Cuenta]],1))</f>
        <v>0</v>
      </c>
      <c r="AV888" t="b">
        <f>+ISNUMBER(SEARCH(CompConta!$F$21,Tabla11[[#This Row],[Cuenta]],1))</f>
        <v>1</v>
      </c>
      <c r="AW888" t="b">
        <f>+ISNUMBER(SEARCH(CompConta!$F$22,Tabla11[[#This Row],[Cuenta]],1))</f>
        <v>1</v>
      </c>
      <c r="AX888" t="b">
        <f>+ISNUMBER(SEARCH(CompConta!$F$23,Tabla11[[#This Row],[Cuenta]],1))</f>
        <v>1</v>
      </c>
      <c r="AY888" t="b">
        <f>+ISNUMBER(SEARCH(CompConta!$F$24,Tabla11[[#This Row],[Cuenta]],1))</f>
        <v>1</v>
      </c>
      <c r="AZ888" t="b">
        <f>+ISNUMBER(SEARCH(CompConta!$F$25,Tabla11[[#This Row],[Cuenta]],1))</f>
        <v>1</v>
      </c>
      <c r="BA888" t="b">
        <f>+ISNUMBER(SEARCH(CompConta!$F$26,Tabla11[[#This Row],[Cuenta]],1))</f>
        <v>1</v>
      </c>
      <c r="BB888" t="b">
        <f>+ISNUMBER(SEARCH(CompConta!$F$27,Tabla11[[#This Row],[Cuenta]],1))</f>
        <v>1</v>
      </c>
      <c r="BC888" t="b">
        <f>+ISNUMBER(SEARCH(CompConta!$F$28,Tabla11[[#This Row],[Cuenta]],1))</f>
        <v>1</v>
      </c>
      <c r="BD888" t="b">
        <f>+ISNUMBER(SEARCH(CompConta!$F$29,Tabla11[[#This Row],[Cuenta]],1))</f>
        <v>1</v>
      </c>
      <c r="BE888" t="b">
        <f>+ISNUMBER(SEARCH(CompConta!$F$30,Tabla11[[#This Row],[Cuenta]],1))</f>
        <v>1</v>
      </c>
      <c r="BF888" t="b">
        <f>+ISNUMBER(SEARCH('PAGO Compras'!$E$11,Tabla11[[#This Row],[Cuenta]],1))</f>
        <v>1</v>
      </c>
      <c r="BG888" t="b">
        <f>+ISNUMBER(SEARCH(#REF!,Tabla11[[#This Row],[Cuenta]],1))</f>
        <v>0</v>
      </c>
      <c r="BH888" t="b">
        <f>+ISNUMBER(SEARCH(#REF!,Tabla11[[#This Row],[Cuenta]],1))</f>
        <v>0</v>
      </c>
      <c r="BI888" t="b">
        <f>+ISNUMBER(SEARCH(#REF!,Tabla11[[#This Row],[Cuenta]],1))</f>
        <v>0</v>
      </c>
      <c r="BJ888" t="b">
        <f>+ISNUMBER(SEARCH(#REF!,Tabla11[[#This Row],[Cuenta]],1))</f>
        <v>0</v>
      </c>
      <c r="BS888" t="str">
        <v>515005 Instalaciones eléctricas</v>
      </c>
      <c r="BT888" t="str">
        <v>515005 Instalaciones eléctricas</v>
      </c>
      <c r="BU888" t="str">
        <v>515005 Instalaciones eléctricas</v>
      </c>
      <c r="BV888" t="str">
        <v>515005 Instalaciones eléctricas</v>
      </c>
      <c r="BZ888" t="str">
        <v>515005 Instalaciones eléctricas</v>
      </c>
      <c r="CA888" t="str">
        <v>515005 Instalaciones eléctricas</v>
      </c>
      <c r="CB888" t="str">
        <v>515005 Instalaciones eléctricas</v>
      </c>
      <c r="CC888" t="str">
        <v>515005 Instalaciones eléctricas</v>
      </c>
      <c r="CD888" t="str">
        <v>515005 Instalaciones eléctricas</v>
      </c>
      <c r="CE888" t="str">
        <v>515005 Instalaciones eléctricas</v>
      </c>
      <c r="CS888" s="141" t="str">
        <v>515005 Instalaciones eléctricas</v>
      </c>
      <c r="CT888" s="141" t="str">
        <v>515005 Instalaciones eléctricas</v>
      </c>
      <c r="CU888" s="141" t="str">
        <v>515005 Instalaciones eléctricas</v>
      </c>
      <c r="CV888" s="141" t="str">
        <v>515005 Instalaciones eléctricas</v>
      </c>
      <c r="CW888" s="141" t="str">
        <v>515005 Instalaciones eléctricas</v>
      </c>
      <c r="CX888" s="141" t="str">
        <v>515005 Instalaciones eléctricas</v>
      </c>
      <c r="CY888" s="141" t="str">
        <v>515005 Instalaciones eléctricas</v>
      </c>
      <c r="CZ888" s="141" t="str">
        <v>515005 Instalaciones eléctricas</v>
      </c>
      <c r="DA888" s="141" t="str">
        <v>515005 Instalaciones eléctricas</v>
      </c>
      <c r="DF888" t="str">
        <v>515005 Instalaciones eléctricas</v>
      </c>
      <c r="DG888" t="str">
        <v>515005 Instalaciones eléctricas</v>
      </c>
      <c r="DH888" t="str">
        <v>515005 Instalaciones eléctricas</v>
      </c>
      <c r="DI888" t="str">
        <v>515005 Instalaciones eléctricas</v>
      </c>
      <c r="DJ888" t="str">
        <v>515005 Instalaciones eléctricas</v>
      </c>
      <c r="DK888" t="str">
        <v>515005 Instalaciones eléctricas</v>
      </c>
      <c r="DL888" t="str">
        <v>515005 Instalaciones eléctricas</v>
      </c>
      <c r="DM888" t="str">
        <v>515005 Instalaciones eléctricas</v>
      </c>
      <c r="DN888" t="str">
        <v>515005 Instalaciones eléctricas</v>
      </c>
      <c r="DO888" t="str">
        <v>515005 Instalaciones eléctricas</v>
      </c>
      <c r="DP888" t="str">
        <v>515005 Instalaciones eléctricas</v>
      </c>
    </row>
    <row r="889" spans="4:120" ht="12.75">
      <c r="D889" s="7">
        <v>515010</v>
      </c>
      <c r="E889" s="6" t="s">
        <v>602</v>
      </c>
      <c r="F889" s="5">
        <v>4</v>
      </c>
      <c r="G889" s="34" t="s">
        <v>830</v>
      </c>
      <c r="H889" s="8" t="s">
        <v>32</v>
      </c>
      <c r="I889" t="b">
        <f>+ISNUMBER(SEARCH('F-COMPRA'!$F$28,Tabla11[[#This Row],[Cuenta]],1))</f>
        <v>1</v>
      </c>
      <c r="J889" t="b">
        <f>+ISNUMBER(SEARCH('F-COMPRA'!$F$29,Tabla11[[#This Row],[Cuenta]],1))</f>
        <v>1</v>
      </c>
      <c r="K889" t="b">
        <f>+ISNUMBER(SEARCH('F-COMPRA'!$F$30,Tabla11[[#This Row],[Cuenta]],1))</f>
        <v>1</v>
      </c>
      <c r="L889" t="b">
        <f>+ISNUMBER(SEARCH('F-COMPRA'!$F$31,Tabla11[[#This Row],[Cuenta]],1))</f>
        <v>1</v>
      </c>
      <c r="M889" t="b">
        <f>+ISNUMBER(SEARCH('F-COMPRA'!$G$25,Tabla11[[#This Row],[Cuenta]],1))</f>
        <v>0</v>
      </c>
      <c r="N889" t="b">
        <f>+ISNUMBER(SEARCH(#REF!,Tabla11[[#This Row],[Cuenta]],1))</f>
        <v>0</v>
      </c>
      <c r="O889" t="b">
        <f>+ISNUMBER(SEARCH(#REF!,Tabla11[[#This Row],[Cuenta]],1))</f>
        <v>0</v>
      </c>
      <c r="P889" t="b">
        <f>+ISNUMBER(SEARCH('F-COMPRA'!$F$32,Tabla11[[#This Row],[Cuenta]],1))</f>
        <v>1</v>
      </c>
      <c r="Q889" t="b">
        <f>+ISNUMBER(SEARCH('F-COMPRA'!$F$33,Tabla11[[#This Row],[Cuenta]],1))</f>
        <v>1</v>
      </c>
      <c r="R889" t="b">
        <f>+ISNUMBER(SEARCH('F-COMPRA'!$F$34,Tabla11[[#This Row],[Cuenta]],1))</f>
        <v>1</v>
      </c>
      <c r="S889" t="b">
        <f>+ISNUMBER(SEARCH('F-COMPRA'!$F$35,Tabla11[[#This Row],[Cuenta]],1))</f>
        <v>1</v>
      </c>
      <c r="T889" t="b">
        <f>+ISNUMBER(SEARCH('F-COMPRA'!$F$36,Tabla11[[#This Row],[Cuenta]],1))</f>
        <v>1</v>
      </c>
      <c r="U889" t="b">
        <f>+ISNUMBER(SEARCH('F-COMPRA'!$F$37,Tabla11[[#This Row],[Cuenta]],1))</f>
        <v>1</v>
      </c>
      <c r="V889" t="b">
        <f>+ISNUMBER(SEARCH(#REF!,Tabla11[[#This Row],[Cuenta]],1))</f>
        <v>0</v>
      </c>
      <c r="W889" t="b">
        <f>+ISNUMBER(SEARCH('F-COMPRA'!#REF!,Tabla11[[#This Row],[Cuenta]],1))</f>
        <v>0</v>
      </c>
      <c r="X889" t="b">
        <f>+ISNUMBER(SEARCH('F-COMPRA'!#REF!,Tabla11[[#This Row],[Cuenta]],1))</f>
        <v>0</v>
      </c>
      <c r="Y889" t="b">
        <f>+ISNUMBER(SEARCH('F-COMPRA'!#REF!,Tabla11[[#This Row],[Cuenta]],1))</f>
        <v>0</v>
      </c>
      <c r="Z889" t="b">
        <f>+ISNUMBER(SEARCH('F-COMPRA'!#REF!,Tabla11[[#This Row],[Cuenta]],1))</f>
        <v>0</v>
      </c>
      <c r="AA889" t="b">
        <f>+ISNUMBER(SEARCH('F-COMPRA'!#REF!,Tabla11[[#This Row],[Cuenta]],1))</f>
        <v>0</v>
      </c>
      <c r="AB889" t="b">
        <f>+ISNUMBER(SEARCH('F-COMPRA'!#REF!,Tabla11[[#This Row],[Cuenta]],1))</f>
        <v>0</v>
      </c>
      <c r="AC889" t="b">
        <f>+ISNUMBER(SEARCH('F-COMPRA'!#REF!,Tabla11[[#This Row],[Cuenta]],1))</f>
        <v>0</v>
      </c>
      <c r="AD889" t="b">
        <f>+ISNUMBER(SEARCH('F-COMPRA'!#REF!,Tabla11[[#This Row],[Cuenta]],1))</f>
        <v>0</v>
      </c>
      <c r="AE889" t="b">
        <f>+ISNUMBER(SEARCH('F-COMPRA'!#REF!,Tabla11[[#This Row],[Cuenta]],1))</f>
        <v>0</v>
      </c>
      <c r="AF889" t="b">
        <f>+ISNUMBER(SEARCH('F-VTA'!$G$23,Tabla11[[#This Row],[Cuenta]],1))</f>
        <v>0</v>
      </c>
      <c r="AG889" t="b">
        <f>+ISNUMBER(SEARCH('F-VTA'!$G$24,Tabla11[[#This Row],[Cuenta]],1))</f>
        <v>0</v>
      </c>
      <c r="AH889" t="b">
        <f>+ISNUMBER(SEARCH('F-VTA'!$G$25,Tabla11[[#This Row],[Cuenta]],1))</f>
        <v>0</v>
      </c>
      <c r="AI889" t="b">
        <f>+ISNUMBER(SEARCH('F-VTA'!$F$28,Tabla11[[#This Row],[Cuenta]],1))</f>
        <v>1</v>
      </c>
      <c r="AJ889" t="b">
        <f>+ISNUMBER(SEARCH('F-VTA'!$F$29,Tabla11[[#This Row],[Cuenta]],1))</f>
        <v>1</v>
      </c>
      <c r="AK889" t="b">
        <f>+ISNUMBER(SEARCH('F-VTA'!$F$30,Tabla11[[#This Row],[Cuenta]],1))</f>
        <v>1</v>
      </c>
      <c r="AL889" t="b">
        <f>+ISNUMBER(SEARCH('F-VTA'!$F$31,Tabla11[[#This Row],[Cuenta]],1))</f>
        <v>1</v>
      </c>
      <c r="AM889" t="b">
        <f>+ISNUMBER(SEARCH('F-VTA'!$F$32,Tabla11[[#This Row],[Cuenta]],1))</f>
        <v>1</v>
      </c>
      <c r="AN889" t="b">
        <f>+ISNUMBER(SEARCH('F-VTA'!$F$33,Tabla11[[#This Row],[Cuenta]],1))</f>
        <v>1</v>
      </c>
      <c r="AO889" t="b">
        <f>+ISNUMBER(SEARCH('F-VTA'!$F$34,Tabla11[[#This Row],[Cuenta]],1))</f>
        <v>1</v>
      </c>
      <c r="AP889" t="b">
        <f>+ISNUMBER(SEARCH('F-VTA'!$F$35,Tabla11[[#This Row],[Cuenta]],1))</f>
        <v>1</v>
      </c>
      <c r="AQ889" t="b">
        <f>+ISNUMBER(SEARCH('F-VTA'!$F$36,Tabla11[[#This Row],[Cuenta]],1))</f>
        <v>1</v>
      </c>
      <c r="AR889" t="b">
        <f>+ISNUMBER(SEARCH(#REF!,Tabla11[[#This Row],[Cuenta]],1))</f>
        <v>0</v>
      </c>
      <c r="AS889" t="b">
        <f>+ISNUMBER(SEARCH(#REF!,Tabla11[[#This Row],[Cuenta]],1))</f>
        <v>0</v>
      </c>
      <c r="AT889" t="b">
        <f>+ISNUMBER(SEARCH(#REF!,Tabla11[[#This Row],[Cuenta]],1))</f>
        <v>0</v>
      </c>
      <c r="AU889" t="b">
        <f>+ISNUMBER(SEARCH('Conc. Ban.1'!$I$9,Tabla11[[#This Row],[Cuenta]],1))</f>
        <v>0</v>
      </c>
      <c r="AV889" t="b">
        <f>+ISNUMBER(SEARCH(CompConta!$F$21,Tabla11[[#This Row],[Cuenta]],1))</f>
        <v>1</v>
      </c>
      <c r="AW889" t="b">
        <f>+ISNUMBER(SEARCH(CompConta!$F$22,Tabla11[[#This Row],[Cuenta]],1))</f>
        <v>1</v>
      </c>
      <c r="AX889" t="b">
        <f>+ISNUMBER(SEARCH(CompConta!$F$23,Tabla11[[#This Row],[Cuenta]],1))</f>
        <v>1</v>
      </c>
      <c r="AY889" t="b">
        <f>+ISNUMBER(SEARCH(CompConta!$F$24,Tabla11[[#This Row],[Cuenta]],1))</f>
        <v>1</v>
      </c>
      <c r="AZ889" t="b">
        <f>+ISNUMBER(SEARCH(CompConta!$F$25,Tabla11[[#This Row],[Cuenta]],1))</f>
        <v>1</v>
      </c>
      <c r="BA889" t="b">
        <f>+ISNUMBER(SEARCH(CompConta!$F$26,Tabla11[[#This Row],[Cuenta]],1))</f>
        <v>1</v>
      </c>
      <c r="BB889" t="b">
        <f>+ISNUMBER(SEARCH(CompConta!$F$27,Tabla11[[#This Row],[Cuenta]],1))</f>
        <v>1</v>
      </c>
      <c r="BC889" t="b">
        <f>+ISNUMBER(SEARCH(CompConta!$F$28,Tabla11[[#This Row],[Cuenta]],1))</f>
        <v>1</v>
      </c>
      <c r="BD889" t="b">
        <f>+ISNUMBER(SEARCH(CompConta!$F$29,Tabla11[[#This Row],[Cuenta]],1))</f>
        <v>1</v>
      </c>
      <c r="BE889" t="b">
        <f>+ISNUMBER(SEARCH(CompConta!$F$30,Tabla11[[#This Row],[Cuenta]],1))</f>
        <v>1</v>
      </c>
      <c r="BF889" t="b">
        <f>+ISNUMBER(SEARCH('PAGO Compras'!$E$11,Tabla11[[#This Row],[Cuenta]],1))</f>
        <v>1</v>
      </c>
      <c r="BG889" t="b">
        <f>+ISNUMBER(SEARCH(#REF!,Tabla11[[#This Row],[Cuenta]],1))</f>
        <v>0</v>
      </c>
      <c r="BH889" t="b">
        <f>+ISNUMBER(SEARCH(#REF!,Tabla11[[#This Row],[Cuenta]],1))</f>
        <v>0</v>
      </c>
      <c r="BI889" t="b">
        <f>+ISNUMBER(SEARCH(#REF!,Tabla11[[#This Row],[Cuenta]],1))</f>
        <v>0</v>
      </c>
      <c r="BJ889" t="b">
        <f>+ISNUMBER(SEARCH(#REF!,Tabla11[[#This Row],[Cuenta]],1))</f>
        <v>0</v>
      </c>
      <c r="BS889" t="str">
        <v>515010 Arreglos ornamentales</v>
      </c>
      <c r="BT889" t="str">
        <v>515010 Arreglos ornamentales</v>
      </c>
      <c r="BU889" t="str">
        <v>515010 Arreglos ornamentales</v>
      </c>
      <c r="BV889" t="str">
        <v>515010 Arreglos ornamentales</v>
      </c>
      <c r="BZ889" t="str">
        <v>515010 Arreglos ornamentales</v>
      </c>
      <c r="CA889" t="str">
        <v>515010 Arreglos ornamentales</v>
      </c>
      <c r="CB889" t="str">
        <v>515010 Arreglos ornamentales</v>
      </c>
      <c r="CC889" t="str">
        <v>515010 Arreglos ornamentales</v>
      </c>
      <c r="CD889" t="str">
        <v>515010 Arreglos ornamentales</v>
      </c>
      <c r="CE889" t="str">
        <v>515010 Arreglos ornamentales</v>
      </c>
      <c r="CS889" s="141" t="str">
        <v>515010 Arreglos ornamentales</v>
      </c>
      <c r="CT889" s="141" t="str">
        <v>515010 Arreglos ornamentales</v>
      </c>
      <c r="CU889" s="141" t="str">
        <v>515010 Arreglos ornamentales</v>
      </c>
      <c r="CV889" s="141" t="str">
        <v>515010 Arreglos ornamentales</v>
      </c>
      <c r="CW889" s="141" t="str">
        <v>515010 Arreglos ornamentales</v>
      </c>
      <c r="CX889" s="141" t="str">
        <v>515010 Arreglos ornamentales</v>
      </c>
      <c r="CY889" s="141" t="str">
        <v>515010 Arreglos ornamentales</v>
      </c>
      <c r="CZ889" s="141" t="str">
        <v>515010 Arreglos ornamentales</v>
      </c>
      <c r="DA889" s="141" t="str">
        <v>515010 Arreglos ornamentales</v>
      </c>
      <c r="DF889" t="str">
        <v>515010 Arreglos ornamentales</v>
      </c>
      <c r="DG889" t="str">
        <v>515010 Arreglos ornamentales</v>
      </c>
      <c r="DH889" t="str">
        <v>515010 Arreglos ornamentales</v>
      </c>
      <c r="DI889" t="str">
        <v>515010 Arreglos ornamentales</v>
      </c>
      <c r="DJ889" t="str">
        <v>515010 Arreglos ornamentales</v>
      </c>
      <c r="DK889" t="str">
        <v>515010 Arreglos ornamentales</v>
      </c>
      <c r="DL889" t="str">
        <v>515010 Arreglos ornamentales</v>
      </c>
      <c r="DM889" t="str">
        <v>515010 Arreglos ornamentales</v>
      </c>
      <c r="DN889" t="str">
        <v>515010 Arreglos ornamentales</v>
      </c>
      <c r="DO889" t="str">
        <v>515010 Arreglos ornamentales</v>
      </c>
      <c r="DP889" t="str">
        <v>515010 Arreglos ornamentales</v>
      </c>
    </row>
    <row r="890" spans="4:120" ht="12.75">
      <c r="D890" s="7">
        <v>515015</v>
      </c>
      <c r="E890" s="6" t="s">
        <v>603</v>
      </c>
      <c r="F890" s="5">
        <v>4</v>
      </c>
      <c r="G890" s="34" t="s">
        <v>830</v>
      </c>
      <c r="H890" s="8" t="s">
        <v>32</v>
      </c>
      <c r="I890" t="b">
        <f>+ISNUMBER(SEARCH('F-COMPRA'!$F$28,Tabla11[[#This Row],[Cuenta]],1))</f>
        <v>1</v>
      </c>
      <c r="J890" t="b">
        <f>+ISNUMBER(SEARCH('F-COMPRA'!$F$29,Tabla11[[#This Row],[Cuenta]],1))</f>
        <v>1</v>
      </c>
      <c r="K890" t="b">
        <f>+ISNUMBER(SEARCH('F-COMPRA'!$F$30,Tabla11[[#This Row],[Cuenta]],1))</f>
        <v>1</v>
      </c>
      <c r="L890" t="b">
        <f>+ISNUMBER(SEARCH('F-COMPRA'!$F$31,Tabla11[[#This Row],[Cuenta]],1))</f>
        <v>1</v>
      </c>
      <c r="M890" t="b">
        <f>+ISNUMBER(SEARCH('F-COMPRA'!$G$25,Tabla11[[#This Row],[Cuenta]],1))</f>
        <v>0</v>
      </c>
      <c r="N890" t="b">
        <f>+ISNUMBER(SEARCH(#REF!,Tabla11[[#This Row],[Cuenta]],1))</f>
        <v>0</v>
      </c>
      <c r="O890" t="b">
        <f>+ISNUMBER(SEARCH(#REF!,Tabla11[[#This Row],[Cuenta]],1))</f>
        <v>0</v>
      </c>
      <c r="P890" t="b">
        <f>+ISNUMBER(SEARCH('F-COMPRA'!$F$32,Tabla11[[#This Row],[Cuenta]],1))</f>
        <v>1</v>
      </c>
      <c r="Q890" t="b">
        <f>+ISNUMBER(SEARCH('F-COMPRA'!$F$33,Tabla11[[#This Row],[Cuenta]],1))</f>
        <v>1</v>
      </c>
      <c r="R890" t="b">
        <f>+ISNUMBER(SEARCH('F-COMPRA'!$F$34,Tabla11[[#This Row],[Cuenta]],1))</f>
        <v>1</v>
      </c>
      <c r="S890" t="b">
        <f>+ISNUMBER(SEARCH('F-COMPRA'!$F$35,Tabla11[[#This Row],[Cuenta]],1))</f>
        <v>1</v>
      </c>
      <c r="T890" t="b">
        <f>+ISNUMBER(SEARCH('F-COMPRA'!$F$36,Tabla11[[#This Row],[Cuenta]],1))</f>
        <v>1</v>
      </c>
      <c r="U890" t="b">
        <f>+ISNUMBER(SEARCH('F-COMPRA'!$F$37,Tabla11[[#This Row],[Cuenta]],1))</f>
        <v>1</v>
      </c>
      <c r="V890" t="b">
        <f>+ISNUMBER(SEARCH(#REF!,Tabla11[[#This Row],[Cuenta]],1))</f>
        <v>0</v>
      </c>
      <c r="W890" t="b">
        <f>+ISNUMBER(SEARCH('F-COMPRA'!#REF!,Tabla11[[#This Row],[Cuenta]],1))</f>
        <v>0</v>
      </c>
      <c r="X890" t="b">
        <f>+ISNUMBER(SEARCH('F-COMPRA'!#REF!,Tabla11[[#This Row],[Cuenta]],1))</f>
        <v>0</v>
      </c>
      <c r="Y890" t="b">
        <f>+ISNUMBER(SEARCH('F-COMPRA'!#REF!,Tabla11[[#This Row],[Cuenta]],1))</f>
        <v>0</v>
      </c>
      <c r="Z890" t="b">
        <f>+ISNUMBER(SEARCH('F-COMPRA'!#REF!,Tabla11[[#This Row],[Cuenta]],1))</f>
        <v>0</v>
      </c>
      <c r="AA890" t="b">
        <f>+ISNUMBER(SEARCH('F-COMPRA'!#REF!,Tabla11[[#This Row],[Cuenta]],1))</f>
        <v>0</v>
      </c>
      <c r="AB890" t="b">
        <f>+ISNUMBER(SEARCH('F-COMPRA'!#REF!,Tabla11[[#This Row],[Cuenta]],1))</f>
        <v>0</v>
      </c>
      <c r="AC890" t="b">
        <f>+ISNUMBER(SEARCH('F-COMPRA'!#REF!,Tabla11[[#This Row],[Cuenta]],1))</f>
        <v>0</v>
      </c>
      <c r="AD890" t="b">
        <f>+ISNUMBER(SEARCH('F-COMPRA'!#REF!,Tabla11[[#This Row],[Cuenta]],1))</f>
        <v>0</v>
      </c>
      <c r="AE890" t="b">
        <f>+ISNUMBER(SEARCH('F-COMPRA'!#REF!,Tabla11[[#This Row],[Cuenta]],1))</f>
        <v>0</v>
      </c>
      <c r="AF890" t="b">
        <f>+ISNUMBER(SEARCH('F-VTA'!$G$23,Tabla11[[#This Row],[Cuenta]],1))</f>
        <v>0</v>
      </c>
      <c r="AG890" t="b">
        <f>+ISNUMBER(SEARCH('F-VTA'!$G$24,Tabla11[[#This Row],[Cuenta]],1))</f>
        <v>0</v>
      </c>
      <c r="AH890" t="b">
        <f>+ISNUMBER(SEARCH('F-VTA'!$G$25,Tabla11[[#This Row],[Cuenta]],1))</f>
        <v>0</v>
      </c>
      <c r="AI890" t="b">
        <f>+ISNUMBER(SEARCH('F-VTA'!$F$28,Tabla11[[#This Row],[Cuenta]],1))</f>
        <v>1</v>
      </c>
      <c r="AJ890" t="b">
        <f>+ISNUMBER(SEARCH('F-VTA'!$F$29,Tabla11[[#This Row],[Cuenta]],1))</f>
        <v>1</v>
      </c>
      <c r="AK890" t="b">
        <f>+ISNUMBER(SEARCH('F-VTA'!$F$30,Tabla11[[#This Row],[Cuenta]],1))</f>
        <v>1</v>
      </c>
      <c r="AL890" t="b">
        <f>+ISNUMBER(SEARCH('F-VTA'!$F$31,Tabla11[[#This Row],[Cuenta]],1))</f>
        <v>1</v>
      </c>
      <c r="AM890" t="b">
        <f>+ISNUMBER(SEARCH('F-VTA'!$F$32,Tabla11[[#This Row],[Cuenta]],1))</f>
        <v>1</v>
      </c>
      <c r="AN890" t="b">
        <f>+ISNUMBER(SEARCH('F-VTA'!$F$33,Tabla11[[#This Row],[Cuenta]],1))</f>
        <v>1</v>
      </c>
      <c r="AO890" t="b">
        <f>+ISNUMBER(SEARCH('F-VTA'!$F$34,Tabla11[[#This Row],[Cuenta]],1))</f>
        <v>1</v>
      </c>
      <c r="AP890" t="b">
        <f>+ISNUMBER(SEARCH('F-VTA'!$F$35,Tabla11[[#This Row],[Cuenta]],1))</f>
        <v>1</v>
      </c>
      <c r="AQ890" t="b">
        <f>+ISNUMBER(SEARCH('F-VTA'!$F$36,Tabla11[[#This Row],[Cuenta]],1))</f>
        <v>1</v>
      </c>
      <c r="AR890" t="b">
        <f>+ISNUMBER(SEARCH(#REF!,Tabla11[[#This Row],[Cuenta]],1))</f>
        <v>0</v>
      </c>
      <c r="AS890" t="b">
        <f>+ISNUMBER(SEARCH(#REF!,Tabla11[[#This Row],[Cuenta]],1))</f>
        <v>0</v>
      </c>
      <c r="AT890" t="b">
        <f>+ISNUMBER(SEARCH(#REF!,Tabla11[[#This Row],[Cuenta]],1))</f>
        <v>0</v>
      </c>
      <c r="AU890" t="b">
        <f>+ISNUMBER(SEARCH('Conc. Ban.1'!$I$9,Tabla11[[#This Row],[Cuenta]],1))</f>
        <v>0</v>
      </c>
      <c r="AV890" t="b">
        <f>+ISNUMBER(SEARCH(CompConta!$F$21,Tabla11[[#This Row],[Cuenta]],1))</f>
        <v>1</v>
      </c>
      <c r="AW890" t="b">
        <f>+ISNUMBER(SEARCH(CompConta!$F$22,Tabla11[[#This Row],[Cuenta]],1))</f>
        <v>1</v>
      </c>
      <c r="AX890" t="b">
        <f>+ISNUMBER(SEARCH(CompConta!$F$23,Tabla11[[#This Row],[Cuenta]],1))</f>
        <v>1</v>
      </c>
      <c r="AY890" t="b">
        <f>+ISNUMBER(SEARCH(CompConta!$F$24,Tabla11[[#This Row],[Cuenta]],1))</f>
        <v>1</v>
      </c>
      <c r="AZ890" t="b">
        <f>+ISNUMBER(SEARCH(CompConta!$F$25,Tabla11[[#This Row],[Cuenta]],1))</f>
        <v>1</v>
      </c>
      <c r="BA890" t="b">
        <f>+ISNUMBER(SEARCH(CompConta!$F$26,Tabla11[[#This Row],[Cuenta]],1))</f>
        <v>1</v>
      </c>
      <c r="BB890" t="b">
        <f>+ISNUMBER(SEARCH(CompConta!$F$27,Tabla11[[#This Row],[Cuenta]],1))</f>
        <v>1</v>
      </c>
      <c r="BC890" t="b">
        <f>+ISNUMBER(SEARCH(CompConta!$F$28,Tabla11[[#This Row],[Cuenta]],1))</f>
        <v>1</v>
      </c>
      <c r="BD890" t="b">
        <f>+ISNUMBER(SEARCH(CompConta!$F$29,Tabla11[[#This Row],[Cuenta]],1))</f>
        <v>1</v>
      </c>
      <c r="BE890" t="b">
        <f>+ISNUMBER(SEARCH(CompConta!$F$30,Tabla11[[#This Row],[Cuenta]],1))</f>
        <v>1</v>
      </c>
      <c r="BF890" t="b">
        <f>+ISNUMBER(SEARCH('PAGO Compras'!$E$11,Tabla11[[#This Row],[Cuenta]],1))</f>
        <v>1</v>
      </c>
      <c r="BG890" t="b">
        <f>+ISNUMBER(SEARCH(#REF!,Tabla11[[#This Row],[Cuenta]],1))</f>
        <v>0</v>
      </c>
      <c r="BH890" t="b">
        <f>+ISNUMBER(SEARCH(#REF!,Tabla11[[#This Row],[Cuenta]],1))</f>
        <v>0</v>
      </c>
      <c r="BI890" t="b">
        <f>+ISNUMBER(SEARCH(#REF!,Tabla11[[#This Row],[Cuenta]],1))</f>
        <v>0</v>
      </c>
      <c r="BJ890" t="b">
        <f>+ISNUMBER(SEARCH(#REF!,Tabla11[[#This Row],[Cuenta]],1))</f>
        <v>0</v>
      </c>
      <c r="BS890" t="str">
        <v>515015 Reparaciones locativas</v>
      </c>
      <c r="BT890" t="str">
        <v>515015 Reparaciones locativas</v>
      </c>
      <c r="BU890" t="str">
        <v>515015 Reparaciones locativas</v>
      </c>
      <c r="BV890" t="str">
        <v>515015 Reparaciones locativas</v>
      </c>
      <c r="BZ890" t="str">
        <v>515015 Reparaciones locativas</v>
      </c>
      <c r="CA890" t="str">
        <v>515015 Reparaciones locativas</v>
      </c>
      <c r="CB890" t="str">
        <v>515015 Reparaciones locativas</v>
      </c>
      <c r="CC890" t="str">
        <v>515015 Reparaciones locativas</v>
      </c>
      <c r="CD890" t="str">
        <v>515015 Reparaciones locativas</v>
      </c>
      <c r="CE890" t="str">
        <v>515015 Reparaciones locativas</v>
      </c>
      <c r="CS890" s="141" t="str">
        <v>515015 Reparaciones locativas</v>
      </c>
      <c r="CT890" s="141" t="str">
        <v>515015 Reparaciones locativas</v>
      </c>
      <c r="CU890" s="141" t="str">
        <v>515015 Reparaciones locativas</v>
      </c>
      <c r="CV890" s="141" t="str">
        <v>515015 Reparaciones locativas</v>
      </c>
      <c r="CW890" s="141" t="str">
        <v>515015 Reparaciones locativas</v>
      </c>
      <c r="CX890" s="141" t="str">
        <v>515015 Reparaciones locativas</v>
      </c>
      <c r="CY890" s="141" t="str">
        <v>515015 Reparaciones locativas</v>
      </c>
      <c r="CZ890" s="141" t="str">
        <v>515015 Reparaciones locativas</v>
      </c>
      <c r="DA890" s="141" t="str">
        <v>515015 Reparaciones locativas</v>
      </c>
      <c r="DF890" t="str">
        <v>515015 Reparaciones locativas</v>
      </c>
      <c r="DG890" t="str">
        <v>515015 Reparaciones locativas</v>
      </c>
      <c r="DH890" t="str">
        <v>515015 Reparaciones locativas</v>
      </c>
      <c r="DI890" t="str">
        <v>515015 Reparaciones locativas</v>
      </c>
      <c r="DJ890" t="str">
        <v>515015 Reparaciones locativas</v>
      </c>
      <c r="DK890" t="str">
        <v>515015 Reparaciones locativas</v>
      </c>
      <c r="DL890" t="str">
        <v>515015 Reparaciones locativas</v>
      </c>
      <c r="DM890" t="str">
        <v>515015 Reparaciones locativas</v>
      </c>
      <c r="DN890" t="str">
        <v>515015 Reparaciones locativas</v>
      </c>
      <c r="DO890" t="str">
        <v>515015 Reparaciones locativas</v>
      </c>
      <c r="DP890" t="str">
        <v>515015 Reparaciones locativas</v>
      </c>
    </row>
    <row r="891" spans="4:120" ht="12.75">
      <c r="D891" s="7">
        <v>515095</v>
      </c>
      <c r="E891" s="6" t="s">
        <v>45</v>
      </c>
      <c r="F891" s="5">
        <v>4</v>
      </c>
      <c r="G891" s="34" t="s">
        <v>830</v>
      </c>
      <c r="H891" s="8" t="s">
        <v>32</v>
      </c>
      <c r="I891" t="b">
        <f>+ISNUMBER(SEARCH('F-COMPRA'!$F$28,Tabla11[[#This Row],[Cuenta]],1))</f>
        <v>1</v>
      </c>
      <c r="J891" t="b">
        <f>+ISNUMBER(SEARCH('F-COMPRA'!$F$29,Tabla11[[#This Row],[Cuenta]],1))</f>
        <v>1</v>
      </c>
      <c r="K891" t="b">
        <f>+ISNUMBER(SEARCH('F-COMPRA'!$F$30,Tabla11[[#This Row],[Cuenta]],1))</f>
        <v>1</v>
      </c>
      <c r="L891" t="b">
        <f>+ISNUMBER(SEARCH('F-COMPRA'!$F$31,Tabla11[[#This Row],[Cuenta]],1))</f>
        <v>1</v>
      </c>
      <c r="M891" t="b">
        <f>+ISNUMBER(SEARCH('F-COMPRA'!$G$25,Tabla11[[#This Row],[Cuenta]],1))</f>
        <v>0</v>
      </c>
      <c r="N891" t="b">
        <f>+ISNUMBER(SEARCH(#REF!,Tabla11[[#This Row],[Cuenta]],1))</f>
        <v>0</v>
      </c>
      <c r="O891" t="b">
        <f>+ISNUMBER(SEARCH(#REF!,Tabla11[[#This Row],[Cuenta]],1))</f>
        <v>0</v>
      </c>
      <c r="P891" t="b">
        <f>+ISNUMBER(SEARCH('F-COMPRA'!$F$32,Tabla11[[#This Row],[Cuenta]],1))</f>
        <v>1</v>
      </c>
      <c r="Q891" t="b">
        <f>+ISNUMBER(SEARCH('F-COMPRA'!$F$33,Tabla11[[#This Row],[Cuenta]],1))</f>
        <v>1</v>
      </c>
      <c r="R891" t="b">
        <f>+ISNUMBER(SEARCH('F-COMPRA'!$F$34,Tabla11[[#This Row],[Cuenta]],1))</f>
        <v>1</v>
      </c>
      <c r="S891" t="b">
        <f>+ISNUMBER(SEARCH('F-COMPRA'!$F$35,Tabla11[[#This Row],[Cuenta]],1))</f>
        <v>1</v>
      </c>
      <c r="T891" t="b">
        <f>+ISNUMBER(SEARCH('F-COMPRA'!$F$36,Tabla11[[#This Row],[Cuenta]],1))</f>
        <v>1</v>
      </c>
      <c r="U891" t="b">
        <f>+ISNUMBER(SEARCH('F-COMPRA'!$F$37,Tabla11[[#This Row],[Cuenta]],1))</f>
        <v>1</v>
      </c>
      <c r="V891" t="b">
        <f>+ISNUMBER(SEARCH(#REF!,Tabla11[[#This Row],[Cuenta]],1))</f>
        <v>0</v>
      </c>
      <c r="W891" t="b">
        <f>+ISNUMBER(SEARCH('F-COMPRA'!#REF!,Tabla11[[#This Row],[Cuenta]],1))</f>
        <v>0</v>
      </c>
      <c r="X891" t="b">
        <f>+ISNUMBER(SEARCH('F-COMPRA'!#REF!,Tabla11[[#This Row],[Cuenta]],1))</f>
        <v>0</v>
      </c>
      <c r="Y891" t="b">
        <f>+ISNUMBER(SEARCH('F-COMPRA'!#REF!,Tabla11[[#This Row],[Cuenta]],1))</f>
        <v>0</v>
      </c>
      <c r="Z891" t="b">
        <f>+ISNUMBER(SEARCH('F-COMPRA'!#REF!,Tabla11[[#This Row],[Cuenta]],1))</f>
        <v>0</v>
      </c>
      <c r="AA891" t="b">
        <f>+ISNUMBER(SEARCH('F-COMPRA'!#REF!,Tabla11[[#This Row],[Cuenta]],1))</f>
        <v>0</v>
      </c>
      <c r="AB891" t="b">
        <f>+ISNUMBER(SEARCH('F-COMPRA'!#REF!,Tabla11[[#This Row],[Cuenta]],1))</f>
        <v>0</v>
      </c>
      <c r="AC891" t="b">
        <f>+ISNUMBER(SEARCH('F-COMPRA'!#REF!,Tabla11[[#This Row],[Cuenta]],1))</f>
        <v>0</v>
      </c>
      <c r="AD891" t="b">
        <f>+ISNUMBER(SEARCH('F-COMPRA'!#REF!,Tabla11[[#This Row],[Cuenta]],1))</f>
        <v>0</v>
      </c>
      <c r="AE891" t="b">
        <f>+ISNUMBER(SEARCH('F-COMPRA'!#REF!,Tabla11[[#This Row],[Cuenta]],1))</f>
        <v>0</v>
      </c>
      <c r="AF891" t="b">
        <f>+ISNUMBER(SEARCH('F-VTA'!$G$23,Tabla11[[#This Row],[Cuenta]],1))</f>
        <v>0</v>
      </c>
      <c r="AG891" t="b">
        <f>+ISNUMBER(SEARCH('F-VTA'!$G$24,Tabla11[[#This Row],[Cuenta]],1))</f>
        <v>0</v>
      </c>
      <c r="AH891" t="b">
        <f>+ISNUMBER(SEARCH('F-VTA'!$G$25,Tabla11[[#This Row],[Cuenta]],1))</f>
        <v>0</v>
      </c>
      <c r="AI891" t="b">
        <f>+ISNUMBER(SEARCH('F-VTA'!$F$28,Tabla11[[#This Row],[Cuenta]],1))</f>
        <v>1</v>
      </c>
      <c r="AJ891" t="b">
        <f>+ISNUMBER(SEARCH('F-VTA'!$F$29,Tabla11[[#This Row],[Cuenta]],1))</f>
        <v>1</v>
      </c>
      <c r="AK891" t="b">
        <f>+ISNUMBER(SEARCH('F-VTA'!$F$30,Tabla11[[#This Row],[Cuenta]],1))</f>
        <v>1</v>
      </c>
      <c r="AL891" t="b">
        <f>+ISNUMBER(SEARCH('F-VTA'!$F$31,Tabla11[[#This Row],[Cuenta]],1))</f>
        <v>1</v>
      </c>
      <c r="AM891" t="b">
        <f>+ISNUMBER(SEARCH('F-VTA'!$F$32,Tabla11[[#This Row],[Cuenta]],1))</f>
        <v>1</v>
      </c>
      <c r="AN891" t="b">
        <f>+ISNUMBER(SEARCH('F-VTA'!$F$33,Tabla11[[#This Row],[Cuenta]],1))</f>
        <v>1</v>
      </c>
      <c r="AO891" t="b">
        <f>+ISNUMBER(SEARCH('F-VTA'!$F$34,Tabla11[[#This Row],[Cuenta]],1))</f>
        <v>1</v>
      </c>
      <c r="AP891" t="b">
        <f>+ISNUMBER(SEARCH('F-VTA'!$F$35,Tabla11[[#This Row],[Cuenta]],1))</f>
        <v>1</v>
      </c>
      <c r="AQ891" t="b">
        <f>+ISNUMBER(SEARCH('F-VTA'!$F$36,Tabla11[[#This Row],[Cuenta]],1))</f>
        <v>1</v>
      </c>
      <c r="AR891" t="b">
        <f>+ISNUMBER(SEARCH(#REF!,Tabla11[[#This Row],[Cuenta]],1))</f>
        <v>0</v>
      </c>
      <c r="AS891" t="b">
        <f>+ISNUMBER(SEARCH(#REF!,Tabla11[[#This Row],[Cuenta]],1))</f>
        <v>0</v>
      </c>
      <c r="AT891" t="b">
        <f>+ISNUMBER(SEARCH(#REF!,Tabla11[[#This Row],[Cuenta]],1))</f>
        <v>0</v>
      </c>
      <c r="AU891" t="b">
        <f>+ISNUMBER(SEARCH('Conc. Ban.1'!$I$9,Tabla11[[#This Row],[Cuenta]],1))</f>
        <v>0</v>
      </c>
      <c r="AV891" t="b">
        <f>+ISNUMBER(SEARCH(CompConta!$F$21,Tabla11[[#This Row],[Cuenta]],1))</f>
        <v>1</v>
      </c>
      <c r="AW891" t="b">
        <f>+ISNUMBER(SEARCH(CompConta!$F$22,Tabla11[[#This Row],[Cuenta]],1))</f>
        <v>1</v>
      </c>
      <c r="AX891" t="b">
        <f>+ISNUMBER(SEARCH(CompConta!$F$23,Tabla11[[#This Row],[Cuenta]],1))</f>
        <v>1</v>
      </c>
      <c r="AY891" t="b">
        <f>+ISNUMBER(SEARCH(CompConta!$F$24,Tabla11[[#This Row],[Cuenta]],1))</f>
        <v>1</v>
      </c>
      <c r="AZ891" t="b">
        <f>+ISNUMBER(SEARCH(CompConta!$F$25,Tabla11[[#This Row],[Cuenta]],1))</f>
        <v>1</v>
      </c>
      <c r="BA891" t="b">
        <f>+ISNUMBER(SEARCH(CompConta!$F$26,Tabla11[[#This Row],[Cuenta]],1))</f>
        <v>1</v>
      </c>
      <c r="BB891" t="b">
        <f>+ISNUMBER(SEARCH(CompConta!$F$27,Tabla11[[#This Row],[Cuenta]],1))</f>
        <v>1</v>
      </c>
      <c r="BC891" t="b">
        <f>+ISNUMBER(SEARCH(CompConta!$F$28,Tabla11[[#This Row],[Cuenta]],1))</f>
        <v>1</v>
      </c>
      <c r="BD891" t="b">
        <f>+ISNUMBER(SEARCH(CompConta!$F$29,Tabla11[[#This Row],[Cuenta]],1))</f>
        <v>1</v>
      </c>
      <c r="BE891" t="b">
        <f>+ISNUMBER(SEARCH(CompConta!$F$30,Tabla11[[#This Row],[Cuenta]],1))</f>
        <v>1</v>
      </c>
      <c r="BF891" t="b">
        <f>+ISNUMBER(SEARCH('PAGO Compras'!$E$11,Tabla11[[#This Row],[Cuenta]],1))</f>
        <v>1</v>
      </c>
      <c r="BG891" t="b">
        <f>+ISNUMBER(SEARCH(#REF!,Tabla11[[#This Row],[Cuenta]],1))</f>
        <v>0</v>
      </c>
      <c r="BH891" t="b">
        <f>+ISNUMBER(SEARCH(#REF!,Tabla11[[#This Row],[Cuenta]],1))</f>
        <v>0</v>
      </c>
      <c r="BI891" t="b">
        <f>+ISNUMBER(SEARCH(#REF!,Tabla11[[#This Row],[Cuenta]],1))</f>
        <v>0</v>
      </c>
      <c r="BJ891" t="b">
        <f>+ISNUMBER(SEARCH(#REF!,Tabla11[[#This Row],[Cuenta]],1))</f>
        <v>0</v>
      </c>
      <c r="BS891" t="str">
        <v>515095 Otros</v>
      </c>
      <c r="BT891" t="str">
        <v>515095 Otros</v>
      </c>
      <c r="BU891" t="str">
        <v>515095 Otros</v>
      </c>
      <c r="BV891" t="str">
        <v>515095 Otros</v>
      </c>
      <c r="BZ891" t="str">
        <v>515095 Otros</v>
      </c>
      <c r="CA891" t="str">
        <v>515095 Otros</v>
      </c>
      <c r="CB891" t="str">
        <v>515095 Otros</v>
      </c>
      <c r="CC891" t="str">
        <v>515095 Otros</v>
      </c>
      <c r="CD891" t="str">
        <v>515095 Otros</v>
      </c>
      <c r="CE891" t="str">
        <v>515095 Otros</v>
      </c>
      <c r="CS891" s="141" t="str">
        <v>515095 Otros</v>
      </c>
      <c r="CT891" s="141" t="str">
        <v>515095 Otros</v>
      </c>
      <c r="CU891" s="141" t="str">
        <v>515095 Otros</v>
      </c>
      <c r="CV891" s="141" t="str">
        <v>515095 Otros</v>
      </c>
      <c r="CW891" s="141" t="str">
        <v>515095 Otros</v>
      </c>
      <c r="CX891" s="141" t="str">
        <v>515095 Otros</v>
      </c>
      <c r="CY891" s="141" t="str">
        <v>515095 Otros</v>
      </c>
      <c r="CZ891" s="141" t="str">
        <v>515095 Otros</v>
      </c>
      <c r="DA891" s="141" t="str">
        <v>515095 Otros</v>
      </c>
      <c r="DF891" t="str">
        <v>515095 Otros</v>
      </c>
      <c r="DG891" t="str">
        <v>515095 Otros</v>
      </c>
      <c r="DH891" t="str">
        <v>515095 Otros</v>
      </c>
      <c r="DI891" t="str">
        <v>515095 Otros</v>
      </c>
      <c r="DJ891" t="str">
        <v>515095 Otros</v>
      </c>
      <c r="DK891" t="str">
        <v>515095 Otros</v>
      </c>
      <c r="DL891" t="str">
        <v>515095 Otros</v>
      </c>
      <c r="DM891" t="str">
        <v>515095 Otros</v>
      </c>
      <c r="DN891" t="str">
        <v>515095 Otros</v>
      </c>
      <c r="DO891" t="str">
        <v>515095 Otros</v>
      </c>
      <c r="DP891" t="str">
        <v>515095 Otros</v>
      </c>
    </row>
    <row r="892" spans="4:120" ht="12.75">
      <c r="D892" s="7">
        <v>515099</v>
      </c>
      <c r="E892" s="6" t="s">
        <v>93</v>
      </c>
      <c r="F892" s="5">
        <v>4</v>
      </c>
      <c r="G892" s="34" t="s">
        <v>830</v>
      </c>
      <c r="H892" s="8" t="s">
        <v>32</v>
      </c>
      <c r="I892" t="b">
        <f>+ISNUMBER(SEARCH('F-COMPRA'!$F$28,Tabla11[[#This Row],[Cuenta]],1))</f>
        <v>1</v>
      </c>
      <c r="J892" t="b">
        <f>+ISNUMBER(SEARCH('F-COMPRA'!$F$29,Tabla11[[#This Row],[Cuenta]],1))</f>
        <v>1</v>
      </c>
      <c r="K892" t="b">
        <f>+ISNUMBER(SEARCH('F-COMPRA'!$F$30,Tabla11[[#This Row],[Cuenta]],1))</f>
        <v>1</v>
      </c>
      <c r="L892" t="b">
        <f>+ISNUMBER(SEARCH('F-COMPRA'!$F$31,Tabla11[[#This Row],[Cuenta]],1))</f>
        <v>1</v>
      </c>
      <c r="M892" t="b">
        <f>+ISNUMBER(SEARCH('F-COMPRA'!$G$25,Tabla11[[#This Row],[Cuenta]],1))</f>
        <v>0</v>
      </c>
      <c r="N892" t="b">
        <f>+ISNUMBER(SEARCH(#REF!,Tabla11[[#This Row],[Cuenta]],1))</f>
        <v>0</v>
      </c>
      <c r="O892" t="b">
        <f>+ISNUMBER(SEARCH(#REF!,Tabla11[[#This Row],[Cuenta]],1))</f>
        <v>0</v>
      </c>
      <c r="P892" t="b">
        <f>+ISNUMBER(SEARCH('F-COMPRA'!$F$32,Tabla11[[#This Row],[Cuenta]],1))</f>
        <v>1</v>
      </c>
      <c r="Q892" t="b">
        <f>+ISNUMBER(SEARCH('F-COMPRA'!$F$33,Tabla11[[#This Row],[Cuenta]],1))</f>
        <v>1</v>
      </c>
      <c r="R892" t="b">
        <f>+ISNUMBER(SEARCH('F-COMPRA'!$F$34,Tabla11[[#This Row],[Cuenta]],1))</f>
        <v>1</v>
      </c>
      <c r="S892" t="b">
        <f>+ISNUMBER(SEARCH('F-COMPRA'!$F$35,Tabla11[[#This Row],[Cuenta]],1))</f>
        <v>1</v>
      </c>
      <c r="T892" t="b">
        <f>+ISNUMBER(SEARCH('F-COMPRA'!$F$36,Tabla11[[#This Row],[Cuenta]],1))</f>
        <v>1</v>
      </c>
      <c r="U892" t="b">
        <f>+ISNUMBER(SEARCH('F-COMPRA'!$F$37,Tabla11[[#This Row],[Cuenta]],1))</f>
        <v>1</v>
      </c>
      <c r="V892" t="b">
        <f>+ISNUMBER(SEARCH(#REF!,Tabla11[[#This Row],[Cuenta]],1))</f>
        <v>0</v>
      </c>
      <c r="W892" t="b">
        <f>+ISNUMBER(SEARCH('F-COMPRA'!#REF!,Tabla11[[#This Row],[Cuenta]],1))</f>
        <v>0</v>
      </c>
      <c r="X892" t="b">
        <f>+ISNUMBER(SEARCH('F-COMPRA'!#REF!,Tabla11[[#This Row],[Cuenta]],1))</f>
        <v>0</v>
      </c>
      <c r="Y892" t="b">
        <f>+ISNUMBER(SEARCH('F-COMPRA'!#REF!,Tabla11[[#This Row],[Cuenta]],1))</f>
        <v>0</v>
      </c>
      <c r="Z892" t="b">
        <f>+ISNUMBER(SEARCH('F-COMPRA'!#REF!,Tabla11[[#This Row],[Cuenta]],1))</f>
        <v>0</v>
      </c>
      <c r="AA892" t="b">
        <f>+ISNUMBER(SEARCH('F-COMPRA'!#REF!,Tabla11[[#This Row],[Cuenta]],1))</f>
        <v>0</v>
      </c>
      <c r="AB892" t="b">
        <f>+ISNUMBER(SEARCH('F-COMPRA'!#REF!,Tabla11[[#This Row],[Cuenta]],1))</f>
        <v>0</v>
      </c>
      <c r="AC892" t="b">
        <f>+ISNUMBER(SEARCH('F-COMPRA'!#REF!,Tabla11[[#This Row],[Cuenta]],1))</f>
        <v>0</v>
      </c>
      <c r="AD892" t="b">
        <f>+ISNUMBER(SEARCH('F-COMPRA'!#REF!,Tabla11[[#This Row],[Cuenta]],1))</f>
        <v>0</v>
      </c>
      <c r="AE892" t="b">
        <f>+ISNUMBER(SEARCH('F-COMPRA'!#REF!,Tabla11[[#This Row],[Cuenta]],1))</f>
        <v>0</v>
      </c>
      <c r="AF892" t="b">
        <f>+ISNUMBER(SEARCH('F-VTA'!$G$23,Tabla11[[#This Row],[Cuenta]],1))</f>
        <v>0</v>
      </c>
      <c r="AG892" t="b">
        <f>+ISNUMBER(SEARCH('F-VTA'!$G$24,Tabla11[[#This Row],[Cuenta]],1))</f>
        <v>0</v>
      </c>
      <c r="AH892" t="b">
        <f>+ISNUMBER(SEARCH('F-VTA'!$G$25,Tabla11[[#This Row],[Cuenta]],1))</f>
        <v>0</v>
      </c>
      <c r="AI892" t="b">
        <f>+ISNUMBER(SEARCH('F-VTA'!$F$28,Tabla11[[#This Row],[Cuenta]],1))</f>
        <v>1</v>
      </c>
      <c r="AJ892" t="b">
        <f>+ISNUMBER(SEARCH('F-VTA'!$F$29,Tabla11[[#This Row],[Cuenta]],1))</f>
        <v>1</v>
      </c>
      <c r="AK892" t="b">
        <f>+ISNUMBER(SEARCH('F-VTA'!$F$30,Tabla11[[#This Row],[Cuenta]],1))</f>
        <v>1</v>
      </c>
      <c r="AL892" t="b">
        <f>+ISNUMBER(SEARCH('F-VTA'!$F$31,Tabla11[[#This Row],[Cuenta]],1))</f>
        <v>1</v>
      </c>
      <c r="AM892" t="b">
        <f>+ISNUMBER(SEARCH('F-VTA'!$F$32,Tabla11[[#This Row],[Cuenta]],1))</f>
        <v>1</v>
      </c>
      <c r="AN892" t="b">
        <f>+ISNUMBER(SEARCH('F-VTA'!$F$33,Tabla11[[#This Row],[Cuenta]],1))</f>
        <v>1</v>
      </c>
      <c r="AO892" t="b">
        <f>+ISNUMBER(SEARCH('F-VTA'!$F$34,Tabla11[[#This Row],[Cuenta]],1))</f>
        <v>1</v>
      </c>
      <c r="AP892" t="b">
        <f>+ISNUMBER(SEARCH('F-VTA'!$F$35,Tabla11[[#This Row],[Cuenta]],1))</f>
        <v>1</v>
      </c>
      <c r="AQ892" t="b">
        <f>+ISNUMBER(SEARCH('F-VTA'!$F$36,Tabla11[[#This Row],[Cuenta]],1))</f>
        <v>1</v>
      </c>
      <c r="AR892" t="b">
        <f>+ISNUMBER(SEARCH(#REF!,Tabla11[[#This Row],[Cuenta]],1))</f>
        <v>0</v>
      </c>
      <c r="AS892" t="b">
        <f>+ISNUMBER(SEARCH(#REF!,Tabla11[[#This Row],[Cuenta]],1))</f>
        <v>0</v>
      </c>
      <c r="AT892" t="b">
        <f>+ISNUMBER(SEARCH(#REF!,Tabla11[[#This Row],[Cuenta]],1))</f>
        <v>0</v>
      </c>
      <c r="AU892" t="b">
        <f>+ISNUMBER(SEARCH('Conc. Ban.1'!$I$9,Tabla11[[#This Row],[Cuenta]],1))</f>
        <v>0</v>
      </c>
      <c r="AV892" t="b">
        <f>+ISNUMBER(SEARCH(CompConta!$F$21,Tabla11[[#This Row],[Cuenta]],1))</f>
        <v>1</v>
      </c>
      <c r="AW892" t="b">
        <f>+ISNUMBER(SEARCH(CompConta!$F$22,Tabla11[[#This Row],[Cuenta]],1))</f>
        <v>1</v>
      </c>
      <c r="AX892" t="b">
        <f>+ISNUMBER(SEARCH(CompConta!$F$23,Tabla11[[#This Row],[Cuenta]],1))</f>
        <v>1</v>
      </c>
      <c r="AY892" t="b">
        <f>+ISNUMBER(SEARCH(CompConta!$F$24,Tabla11[[#This Row],[Cuenta]],1))</f>
        <v>1</v>
      </c>
      <c r="AZ892" t="b">
        <f>+ISNUMBER(SEARCH(CompConta!$F$25,Tabla11[[#This Row],[Cuenta]],1))</f>
        <v>1</v>
      </c>
      <c r="BA892" t="b">
        <f>+ISNUMBER(SEARCH(CompConta!$F$26,Tabla11[[#This Row],[Cuenta]],1))</f>
        <v>1</v>
      </c>
      <c r="BB892" t="b">
        <f>+ISNUMBER(SEARCH(CompConta!$F$27,Tabla11[[#This Row],[Cuenta]],1))</f>
        <v>1</v>
      </c>
      <c r="BC892" t="b">
        <f>+ISNUMBER(SEARCH(CompConta!$F$28,Tabla11[[#This Row],[Cuenta]],1))</f>
        <v>1</v>
      </c>
      <c r="BD892" t="b">
        <f>+ISNUMBER(SEARCH(CompConta!$F$29,Tabla11[[#This Row],[Cuenta]],1))</f>
        <v>1</v>
      </c>
      <c r="BE892" t="b">
        <f>+ISNUMBER(SEARCH(CompConta!$F$30,Tabla11[[#This Row],[Cuenta]],1))</f>
        <v>1</v>
      </c>
      <c r="BF892" t="b">
        <f>+ISNUMBER(SEARCH('PAGO Compras'!$E$11,Tabla11[[#This Row],[Cuenta]],1))</f>
        <v>1</v>
      </c>
      <c r="BG892" t="b">
        <f>+ISNUMBER(SEARCH(#REF!,Tabla11[[#This Row],[Cuenta]],1))</f>
        <v>0</v>
      </c>
      <c r="BH892" t="b">
        <f>+ISNUMBER(SEARCH(#REF!,Tabla11[[#This Row],[Cuenta]],1))</f>
        <v>0</v>
      </c>
      <c r="BI892" t="b">
        <f>+ISNUMBER(SEARCH(#REF!,Tabla11[[#This Row],[Cuenta]],1))</f>
        <v>0</v>
      </c>
      <c r="BJ892" t="b">
        <f>+ISNUMBER(SEARCH(#REF!,Tabla11[[#This Row],[Cuenta]],1))</f>
        <v>0</v>
      </c>
      <c r="BS892" t="str">
        <v>515099 *Ajustes por inflación</v>
      </c>
      <c r="BT892" t="str">
        <v>515099 *Ajustes por inflación</v>
      </c>
      <c r="BU892" t="str">
        <v>515099 *Ajustes por inflación</v>
      </c>
      <c r="BV892" t="str">
        <v>515099 *Ajustes por inflación</v>
      </c>
      <c r="BZ892" t="str">
        <v>515099 *Ajustes por inflación</v>
      </c>
      <c r="CA892" t="str">
        <v>515099 *Ajustes por inflación</v>
      </c>
      <c r="CB892" t="str">
        <v>515099 *Ajustes por inflación</v>
      </c>
      <c r="CC892" t="str">
        <v>515099 *Ajustes por inflación</v>
      </c>
      <c r="CD892" t="str">
        <v>515099 *Ajustes por inflación</v>
      </c>
      <c r="CE892" t="str">
        <v>515099 *Ajustes por inflación</v>
      </c>
      <c r="CS892" s="141" t="str">
        <v>515099 *Ajustes por inflación</v>
      </c>
      <c r="CT892" s="141" t="str">
        <v>515099 *Ajustes por inflación</v>
      </c>
      <c r="CU892" s="141" t="str">
        <v>515099 *Ajustes por inflación</v>
      </c>
      <c r="CV892" s="141" t="str">
        <v>515099 *Ajustes por inflación</v>
      </c>
      <c r="CW892" s="141" t="str">
        <v>515099 *Ajustes por inflación</v>
      </c>
      <c r="CX892" s="141" t="str">
        <v>515099 *Ajustes por inflación</v>
      </c>
      <c r="CY892" s="141" t="str">
        <v>515099 *Ajustes por inflación</v>
      </c>
      <c r="CZ892" s="141" t="str">
        <v>515099 *Ajustes por inflación</v>
      </c>
      <c r="DA892" s="141" t="str">
        <v>515099 *Ajustes por inflación</v>
      </c>
      <c r="DF892" t="str">
        <v>515099 *Ajustes por inflación</v>
      </c>
      <c r="DG892" t="str">
        <v>515099 *Ajustes por inflación</v>
      </c>
      <c r="DH892" t="str">
        <v>515099 *Ajustes por inflación</v>
      </c>
      <c r="DI892" t="str">
        <v>515099 *Ajustes por inflación</v>
      </c>
      <c r="DJ892" t="str">
        <v>515099 *Ajustes por inflación</v>
      </c>
      <c r="DK892" t="str">
        <v>515099 *Ajustes por inflación</v>
      </c>
      <c r="DL892" t="str">
        <v>515099 *Ajustes por inflación</v>
      </c>
      <c r="DM892" t="str">
        <v>515099 *Ajustes por inflación</v>
      </c>
      <c r="DN892" t="str">
        <v>515099 *Ajustes por inflación</v>
      </c>
      <c r="DO892" t="str">
        <v>515099 *Ajustes por inflación</v>
      </c>
      <c r="DP892" t="str">
        <v>515099 *Ajustes por inflación</v>
      </c>
    </row>
    <row r="893" spans="4:120" ht="12.75">
      <c r="D893" s="7">
        <v>5155</v>
      </c>
      <c r="E893" s="6" t="s">
        <v>604</v>
      </c>
      <c r="F893" s="5">
        <v>3</v>
      </c>
      <c r="G893" s="34" t="s">
        <v>830</v>
      </c>
      <c r="H893" s="8" t="s">
        <v>32</v>
      </c>
      <c r="I893" t="b">
        <f>+ISNUMBER(SEARCH('F-COMPRA'!$F$28,Tabla11[[#This Row],[Cuenta]],1))</f>
        <v>1</v>
      </c>
      <c r="J893" t="b">
        <f>+ISNUMBER(SEARCH('F-COMPRA'!$F$29,Tabla11[[#This Row],[Cuenta]],1))</f>
        <v>1</v>
      </c>
      <c r="K893" t="b">
        <f>+ISNUMBER(SEARCH('F-COMPRA'!$F$30,Tabla11[[#This Row],[Cuenta]],1))</f>
        <v>1</v>
      </c>
      <c r="L893" t="b">
        <f>+ISNUMBER(SEARCH('F-COMPRA'!$F$31,Tabla11[[#This Row],[Cuenta]],1))</f>
        <v>1</v>
      </c>
      <c r="M893" t="b">
        <f>+ISNUMBER(SEARCH('F-COMPRA'!$G$25,Tabla11[[#This Row],[Cuenta]],1))</f>
        <v>0</v>
      </c>
      <c r="N893" t="b">
        <f>+ISNUMBER(SEARCH(#REF!,Tabla11[[#This Row],[Cuenta]],1))</f>
        <v>0</v>
      </c>
      <c r="O893" t="b">
        <f>+ISNUMBER(SEARCH(#REF!,Tabla11[[#This Row],[Cuenta]],1))</f>
        <v>0</v>
      </c>
      <c r="P893" t="b">
        <f>+ISNUMBER(SEARCH('F-COMPRA'!$F$32,Tabla11[[#This Row],[Cuenta]],1))</f>
        <v>1</v>
      </c>
      <c r="Q893" t="b">
        <f>+ISNUMBER(SEARCH('F-COMPRA'!$F$33,Tabla11[[#This Row],[Cuenta]],1))</f>
        <v>1</v>
      </c>
      <c r="R893" t="b">
        <f>+ISNUMBER(SEARCH('F-COMPRA'!$F$34,Tabla11[[#This Row],[Cuenta]],1))</f>
        <v>1</v>
      </c>
      <c r="S893" t="b">
        <f>+ISNUMBER(SEARCH('F-COMPRA'!$F$35,Tabla11[[#This Row],[Cuenta]],1))</f>
        <v>1</v>
      </c>
      <c r="T893" t="b">
        <f>+ISNUMBER(SEARCH('F-COMPRA'!$F$36,Tabla11[[#This Row],[Cuenta]],1))</f>
        <v>1</v>
      </c>
      <c r="U893" t="b">
        <f>+ISNUMBER(SEARCH('F-COMPRA'!$F$37,Tabla11[[#This Row],[Cuenta]],1))</f>
        <v>1</v>
      </c>
      <c r="V893" t="b">
        <f>+ISNUMBER(SEARCH(#REF!,Tabla11[[#This Row],[Cuenta]],1))</f>
        <v>0</v>
      </c>
      <c r="W893" t="b">
        <f>+ISNUMBER(SEARCH('F-COMPRA'!#REF!,Tabla11[[#This Row],[Cuenta]],1))</f>
        <v>0</v>
      </c>
      <c r="X893" t="b">
        <f>+ISNUMBER(SEARCH('F-COMPRA'!#REF!,Tabla11[[#This Row],[Cuenta]],1))</f>
        <v>0</v>
      </c>
      <c r="Y893" t="b">
        <f>+ISNUMBER(SEARCH('F-COMPRA'!#REF!,Tabla11[[#This Row],[Cuenta]],1))</f>
        <v>0</v>
      </c>
      <c r="Z893" t="b">
        <f>+ISNUMBER(SEARCH('F-COMPRA'!#REF!,Tabla11[[#This Row],[Cuenta]],1))</f>
        <v>0</v>
      </c>
      <c r="AA893" t="b">
        <f>+ISNUMBER(SEARCH('F-COMPRA'!#REF!,Tabla11[[#This Row],[Cuenta]],1))</f>
        <v>0</v>
      </c>
      <c r="AB893" t="b">
        <f>+ISNUMBER(SEARCH('F-COMPRA'!#REF!,Tabla11[[#This Row],[Cuenta]],1))</f>
        <v>0</v>
      </c>
      <c r="AC893" t="b">
        <f>+ISNUMBER(SEARCH('F-COMPRA'!#REF!,Tabla11[[#This Row],[Cuenta]],1))</f>
        <v>0</v>
      </c>
      <c r="AD893" t="b">
        <f>+ISNUMBER(SEARCH('F-COMPRA'!#REF!,Tabla11[[#This Row],[Cuenta]],1))</f>
        <v>0</v>
      </c>
      <c r="AE893" t="b">
        <f>+ISNUMBER(SEARCH('F-COMPRA'!#REF!,Tabla11[[#This Row],[Cuenta]],1))</f>
        <v>0</v>
      </c>
      <c r="AF893" t="b">
        <f>+ISNUMBER(SEARCH('F-VTA'!$G$23,Tabla11[[#This Row],[Cuenta]],1))</f>
        <v>0</v>
      </c>
      <c r="AG893" t="b">
        <f>+ISNUMBER(SEARCH('F-VTA'!$G$24,Tabla11[[#This Row],[Cuenta]],1))</f>
        <v>0</v>
      </c>
      <c r="AH893" t="b">
        <f>+ISNUMBER(SEARCH('F-VTA'!$G$25,Tabla11[[#This Row],[Cuenta]],1))</f>
        <v>0</v>
      </c>
      <c r="AI893" t="b">
        <f>+ISNUMBER(SEARCH('F-VTA'!$F$28,Tabla11[[#This Row],[Cuenta]],1))</f>
        <v>1</v>
      </c>
      <c r="AJ893" t="b">
        <f>+ISNUMBER(SEARCH('F-VTA'!$F$29,Tabla11[[#This Row],[Cuenta]],1))</f>
        <v>1</v>
      </c>
      <c r="AK893" t="b">
        <f>+ISNUMBER(SEARCH('F-VTA'!$F$30,Tabla11[[#This Row],[Cuenta]],1))</f>
        <v>1</v>
      </c>
      <c r="AL893" t="b">
        <f>+ISNUMBER(SEARCH('F-VTA'!$F$31,Tabla11[[#This Row],[Cuenta]],1))</f>
        <v>1</v>
      </c>
      <c r="AM893" t="b">
        <f>+ISNUMBER(SEARCH('F-VTA'!$F$32,Tabla11[[#This Row],[Cuenta]],1))</f>
        <v>1</v>
      </c>
      <c r="AN893" t="b">
        <f>+ISNUMBER(SEARCH('F-VTA'!$F$33,Tabla11[[#This Row],[Cuenta]],1))</f>
        <v>1</v>
      </c>
      <c r="AO893" t="b">
        <f>+ISNUMBER(SEARCH('F-VTA'!$F$34,Tabla11[[#This Row],[Cuenta]],1))</f>
        <v>1</v>
      </c>
      <c r="AP893" t="b">
        <f>+ISNUMBER(SEARCH('F-VTA'!$F$35,Tabla11[[#This Row],[Cuenta]],1))</f>
        <v>1</v>
      </c>
      <c r="AQ893" t="b">
        <f>+ISNUMBER(SEARCH('F-VTA'!$F$36,Tabla11[[#This Row],[Cuenta]],1))</f>
        <v>1</v>
      </c>
      <c r="AR893" t="b">
        <f>+ISNUMBER(SEARCH(#REF!,Tabla11[[#This Row],[Cuenta]],1))</f>
        <v>0</v>
      </c>
      <c r="AS893" t="b">
        <f>+ISNUMBER(SEARCH(#REF!,Tabla11[[#This Row],[Cuenta]],1))</f>
        <v>0</v>
      </c>
      <c r="AT893" t="b">
        <f>+ISNUMBER(SEARCH(#REF!,Tabla11[[#This Row],[Cuenta]],1))</f>
        <v>0</v>
      </c>
      <c r="AU893" t="b">
        <f>+ISNUMBER(SEARCH('Conc. Ban.1'!$I$9,Tabla11[[#This Row],[Cuenta]],1))</f>
        <v>0</v>
      </c>
      <c r="AV893" t="b">
        <f>+ISNUMBER(SEARCH(CompConta!$F$21,Tabla11[[#This Row],[Cuenta]],1))</f>
        <v>1</v>
      </c>
      <c r="AW893" t="b">
        <f>+ISNUMBER(SEARCH(CompConta!$F$22,Tabla11[[#This Row],[Cuenta]],1))</f>
        <v>1</v>
      </c>
      <c r="AX893" t="b">
        <f>+ISNUMBER(SEARCH(CompConta!$F$23,Tabla11[[#This Row],[Cuenta]],1))</f>
        <v>1</v>
      </c>
      <c r="AY893" t="b">
        <f>+ISNUMBER(SEARCH(CompConta!$F$24,Tabla11[[#This Row],[Cuenta]],1))</f>
        <v>1</v>
      </c>
      <c r="AZ893" t="b">
        <f>+ISNUMBER(SEARCH(CompConta!$F$25,Tabla11[[#This Row],[Cuenta]],1))</f>
        <v>1</v>
      </c>
      <c r="BA893" t="b">
        <f>+ISNUMBER(SEARCH(CompConta!$F$26,Tabla11[[#This Row],[Cuenta]],1))</f>
        <v>1</v>
      </c>
      <c r="BB893" t="b">
        <f>+ISNUMBER(SEARCH(CompConta!$F$27,Tabla11[[#This Row],[Cuenta]],1))</f>
        <v>1</v>
      </c>
      <c r="BC893" t="b">
        <f>+ISNUMBER(SEARCH(CompConta!$F$28,Tabla11[[#This Row],[Cuenta]],1))</f>
        <v>1</v>
      </c>
      <c r="BD893" t="b">
        <f>+ISNUMBER(SEARCH(CompConta!$F$29,Tabla11[[#This Row],[Cuenta]],1))</f>
        <v>1</v>
      </c>
      <c r="BE893" t="b">
        <f>+ISNUMBER(SEARCH(CompConta!$F$30,Tabla11[[#This Row],[Cuenta]],1))</f>
        <v>1</v>
      </c>
      <c r="BF893" t="b">
        <f>+ISNUMBER(SEARCH('PAGO Compras'!$E$11,Tabla11[[#This Row],[Cuenta]],1))</f>
        <v>1</v>
      </c>
      <c r="BG893" t="b">
        <f>+ISNUMBER(SEARCH(#REF!,Tabla11[[#This Row],[Cuenta]],1))</f>
        <v>0</v>
      </c>
      <c r="BH893" t="b">
        <f>+ISNUMBER(SEARCH(#REF!,Tabla11[[#This Row],[Cuenta]],1))</f>
        <v>0</v>
      </c>
      <c r="BI893" t="b">
        <f>+ISNUMBER(SEARCH(#REF!,Tabla11[[#This Row],[Cuenta]],1))</f>
        <v>0</v>
      </c>
      <c r="BJ893" t="b">
        <f>+ISNUMBER(SEARCH(#REF!,Tabla11[[#This Row],[Cuenta]],1))</f>
        <v>0</v>
      </c>
      <c r="BS893" t="str">
        <v>5155 GASTOS DE VIAJE</v>
      </c>
      <c r="BT893" t="str">
        <v>5155 GASTOS DE VIAJE</v>
      </c>
      <c r="BU893" t="str">
        <v>5155 GASTOS DE VIAJE</v>
      </c>
      <c r="BV893" t="str">
        <v>5155 GASTOS DE VIAJE</v>
      </c>
      <c r="BZ893" t="str">
        <v>5155 GASTOS DE VIAJE</v>
      </c>
      <c r="CA893" t="str">
        <v>5155 GASTOS DE VIAJE</v>
      </c>
      <c r="CB893" t="str">
        <v>5155 GASTOS DE VIAJE</v>
      </c>
      <c r="CC893" t="str">
        <v>5155 GASTOS DE VIAJE</v>
      </c>
      <c r="CD893" t="str">
        <v>5155 GASTOS DE VIAJE</v>
      </c>
      <c r="CE893" t="str">
        <v>5155 GASTOS DE VIAJE</v>
      </c>
      <c r="CS893" s="141" t="str">
        <v>5155 GASTOS DE VIAJE</v>
      </c>
      <c r="CT893" s="141" t="str">
        <v>5155 GASTOS DE VIAJE</v>
      </c>
      <c r="CU893" s="141" t="str">
        <v>5155 GASTOS DE VIAJE</v>
      </c>
      <c r="CV893" s="141" t="str">
        <v>5155 GASTOS DE VIAJE</v>
      </c>
      <c r="CW893" s="141" t="str">
        <v>5155 GASTOS DE VIAJE</v>
      </c>
      <c r="CX893" s="141" t="str">
        <v>5155 GASTOS DE VIAJE</v>
      </c>
      <c r="CY893" s="141" t="str">
        <v>5155 GASTOS DE VIAJE</v>
      </c>
      <c r="CZ893" s="141" t="str">
        <v>5155 GASTOS DE VIAJE</v>
      </c>
      <c r="DA893" s="141" t="str">
        <v>5155 GASTOS DE VIAJE</v>
      </c>
      <c r="DF893" t="str">
        <v>5155 GASTOS DE VIAJE</v>
      </c>
      <c r="DG893" t="str">
        <v>5155 GASTOS DE VIAJE</v>
      </c>
      <c r="DH893" t="str">
        <v>5155 GASTOS DE VIAJE</v>
      </c>
      <c r="DI893" t="str">
        <v>5155 GASTOS DE VIAJE</v>
      </c>
      <c r="DJ893" t="str">
        <v>5155 GASTOS DE VIAJE</v>
      </c>
      <c r="DK893" t="str">
        <v>5155 GASTOS DE VIAJE</v>
      </c>
      <c r="DL893" t="str">
        <v>5155 GASTOS DE VIAJE</v>
      </c>
      <c r="DM893" t="str">
        <v>5155 GASTOS DE VIAJE</v>
      </c>
      <c r="DN893" t="str">
        <v>5155 GASTOS DE VIAJE</v>
      </c>
      <c r="DO893" t="str">
        <v>5155 GASTOS DE VIAJE</v>
      </c>
      <c r="DP893" t="str">
        <v>5155 GASTOS DE VIAJE</v>
      </c>
    </row>
    <row r="894" spans="4:120" ht="12.75">
      <c r="D894" s="7">
        <v>515505</v>
      </c>
      <c r="E894" s="6" t="s">
        <v>605</v>
      </c>
      <c r="F894" s="5">
        <v>4</v>
      </c>
      <c r="G894" s="34" t="s">
        <v>830</v>
      </c>
      <c r="H894" s="8" t="s">
        <v>32</v>
      </c>
      <c r="I894" t="b">
        <f>+ISNUMBER(SEARCH('F-COMPRA'!$F$28,Tabla11[[#This Row],[Cuenta]],1))</f>
        <v>1</v>
      </c>
      <c r="J894" t="b">
        <f>+ISNUMBER(SEARCH('F-COMPRA'!$F$29,Tabla11[[#This Row],[Cuenta]],1))</f>
        <v>1</v>
      </c>
      <c r="K894" t="b">
        <f>+ISNUMBER(SEARCH('F-COMPRA'!$F$30,Tabla11[[#This Row],[Cuenta]],1))</f>
        <v>1</v>
      </c>
      <c r="L894" t="b">
        <f>+ISNUMBER(SEARCH('F-COMPRA'!$F$31,Tabla11[[#This Row],[Cuenta]],1))</f>
        <v>1</v>
      </c>
      <c r="M894" t="b">
        <f>+ISNUMBER(SEARCH('F-COMPRA'!$G$25,Tabla11[[#This Row],[Cuenta]],1))</f>
        <v>0</v>
      </c>
      <c r="N894" t="b">
        <f>+ISNUMBER(SEARCH(#REF!,Tabla11[[#This Row],[Cuenta]],1))</f>
        <v>0</v>
      </c>
      <c r="O894" t="b">
        <f>+ISNUMBER(SEARCH(#REF!,Tabla11[[#This Row],[Cuenta]],1))</f>
        <v>0</v>
      </c>
      <c r="P894" t="b">
        <f>+ISNUMBER(SEARCH('F-COMPRA'!$F$32,Tabla11[[#This Row],[Cuenta]],1))</f>
        <v>1</v>
      </c>
      <c r="Q894" t="b">
        <f>+ISNUMBER(SEARCH('F-COMPRA'!$F$33,Tabla11[[#This Row],[Cuenta]],1))</f>
        <v>1</v>
      </c>
      <c r="R894" t="b">
        <f>+ISNUMBER(SEARCH('F-COMPRA'!$F$34,Tabla11[[#This Row],[Cuenta]],1))</f>
        <v>1</v>
      </c>
      <c r="S894" t="b">
        <f>+ISNUMBER(SEARCH('F-COMPRA'!$F$35,Tabla11[[#This Row],[Cuenta]],1))</f>
        <v>1</v>
      </c>
      <c r="T894" t="b">
        <f>+ISNUMBER(SEARCH('F-COMPRA'!$F$36,Tabla11[[#This Row],[Cuenta]],1))</f>
        <v>1</v>
      </c>
      <c r="U894" t="b">
        <f>+ISNUMBER(SEARCH('F-COMPRA'!$F$37,Tabla11[[#This Row],[Cuenta]],1))</f>
        <v>1</v>
      </c>
      <c r="V894" t="b">
        <f>+ISNUMBER(SEARCH(#REF!,Tabla11[[#This Row],[Cuenta]],1))</f>
        <v>0</v>
      </c>
      <c r="W894" t="b">
        <f>+ISNUMBER(SEARCH('F-COMPRA'!#REF!,Tabla11[[#This Row],[Cuenta]],1))</f>
        <v>0</v>
      </c>
      <c r="X894" t="b">
        <f>+ISNUMBER(SEARCH('F-COMPRA'!#REF!,Tabla11[[#This Row],[Cuenta]],1))</f>
        <v>0</v>
      </c>
      <c r="Y894" t="b">
        <f>+ISNUMBER(SEARCH('F-COMPRA'!#REF!,Tabla11[[#This Row],[Cuenta]],1))</f>
        <v>0</v>
      </c>
      <c r="Z894" t="b">
        <f>+ISNUMBER(SEARCH('F-COMPRA'!#REF!,Tabla11[[#This Row],[Cuenta]],1))</f>
        <v>0</v>
      </c>
      <c r="AA894" t="b">
        <f>+ISNUMBER(SEARCH('F-COMPRA'!#REF!,Tabla11[[#This Row],[Cuenta]],1))</f>
        <v>0</v>
      </c>
      <c r="AB894" t="b">
        <f>+ISNUMBER(SEARCH('F-COMPRA'!#REF!,Tabla11[[#This Row],[Cuenta]],1))</f>
        <v>0</v>
      </c>
      <c r="AC894" t="b">
        <f>+ISNUMBER(SEARCH('F-COMPRA'!#REF!,Tabla11[[#This Row],[Cuenta]],1))</f>
        <v>0</v>
      </c>
      <c r="AD894" t="b">
        <f>+ISNUMBER(SEARCH('F-COMPRA'!#REF!,Tabla11[[#This Row],[Cuenta]],1))</f>
        <v>0</v>
      </c>
      <c r="AE894" t="b">
        <f>+ISNUMBER(SEARCH('F-COMPRA'!#REF!,Tabla11[[#This Row],[Cuenta]],1))</f>
        <v>0</v>
      </c>
      <c r="AF894" t="b">
        <f>+ISNUMBER(SEARCH('F-VTA'!$G$23,Tabla11[[#This Row],[Cuenta]],1))</f>
        <v>0</v>
      </c>
      <c r="AG894" t="b">
        <f>+ISNUMBER(SEARCH('F-VTA'!$G$24,Tabla11[[#This Row],[Cuenta]],1))</f>
        <v>0</v>
      </c>
      <c r="AH894" t="b">
        <f>+ISNUMBER(SEARCH('F-VTA'!$G$25,Tabla11[[#This Row],[Cuenta]],1))</f>
        <v>0</v>
      </c>
      <c r="AI894" t="b">
        <f>+ISNUMBER(SEARCH('F-VTA'!$F$28,Tabla11[[#This Row],[Cuenta]],1))</f>
        <v>1</v>
      </c>
      <c r="AJ894" t="b">
        <f>+ISNUMBER(SEARCH('F-VTA'!$F$29,Tabla11[[#This Row],[Cuenta]],1))</f>
        <v>1</v>
      </c>
      <c r="AK894" t="b">
        <f>+ISNUMBER(SEARCH('F-VTA'!$F$30,Tabla11[[#This Row],[Cuenta]],1))</f>
        <v>1</v>
      </c>
      <c r="AL894" t="b">
        <f>+ISNUMBER(SEARCH('F-VTA'!$F$31,Tabla11[[#This Row],[Cuenta]],1))</f>
        <v>1</v>
      </c>
      <c r="AM894" t="b">
        <f>+ISNUMBER(SEARCH('F-VTA'!$F$32,Tabla11[[#This Row],[Cuenta]],1))</f>
        <v>1</v>
      </c>
      <c r="AN894" t="b">
        <f>+ISNUMBER(SEARCH('F-VTA'!$F$33,Tabla11[[#This Row],[Cuenta]],1))</f>
        <v>1</v>
      </c>
      <c r="AO894" t="b">
        <f>+ISNUMBER(SEARCH('F-VTA'!$F$34,Tabla11[[#This Row],[Cuenta]],1))</f>
        <v>1</v>
      </c>
      <c r="AP894" t="b">
        <f>+ISNUMBER(SEARCH('F-VTA'!$F$35,Tabla11[[#This Row],[Cuenta]],1))</f>
        <v>1</v>
      </c>
      <c r="AQ894" t="b">
        <f>+ISNUMBER(SEARCH('F-VTA'!$F$36,Tabla11[[#This Row],[Cuenta]],1))</f>
        <v>1</v>
      </c>
      <c r="AR894" t="b">
        <f>+ISNUMBER(SEARCH(#REF!,Tabla11[[#This Row],[Cuenta]],1))</f>
        <v>0</v>
      </c>
      <c r="AS894" t="b">
        <f>+ISNUMBER(SEARCH(#REF!,Tabla11[[#This Row],[Cuenta]],1))</f>
        <v>0</v>
      </c>
      <c r="AT894" t="b">
        <f>+ISNUMBER(SEARCH(#REF!,Tabla11[[#This Row],[Cuenta]],1))</f>
        <v>0</v>
      </c>
      <c r="AU894" t="b">
        <f>+ISNUMBER(SEARCH('Conc. Ban.1'!$I$9,Tabla11[[#This Row],[Cuenta]],1))</f>
        <v>0</v>
      </c>
      <c r="AV894" t="b">
        <f>+ISNUMBER(SEARCH(CompConta!$F$21,Tabla11[[#This Row],[Cuenta]],1))</f>
        <v>1</v>
      </c>
      <c r="AW894" t="b">
        <f>+ISNUMBER(SEARCH(CompConta!$F$22,Tabla11[[#This Row],[Cuenta]],1))</f>
        <v>1</v>
      </c>
      <c r="AX894" t="b">
        <f>+ISNUMBER(SEARCH(CompConta!$F$23,Tabla11[[#This Row],[Cuenta]],1))</f>
        <v>1</v>
      </c>
      <c r="AY894" t="b">
        <f>+ISNUMBER(SEARCH(CompConta!$F$24,Tabla11[[#This Row],[Cuenta]],1))</f>
        <v>1</v>
      </c>
      <c r="AZ894" t="b">
        <f>+ISNUMBER(SEARCH(CompConta!$F$25,Tabla11[[#This Row],[Cuenta]],1))</f>
        <v>1</v>
      </c>
      <c r="BA894" t="b">
        <f>+ISNUMBER(SEARCH(CompConta!$F$26,Tabla11[[#This Row],[Cuenta]],1))</f>
        <v>1</v>
      </c>
      <c r="BB894" t="b">
        <f>+ISNUMBER(SEARCH(CompConta!$F$27,Tabla11[[#This Row],[Cuenta]],1))</f>
        <v>1</v>
      </c>
      <c r="BC894" t="b">
        <f>+ISNUMBER(SEARCH(CompConta!$F$28,Tabla11[[#This Row],[Cuenta]],1))</f>
        <v>1</v>
      </c>
      <c r="BD894" t="b">
        <f>+ISNUMBER(SEARCH(CompConta!$F$29,Tabla11[[#This Row],[Cuenta]],1))</f>
        <v>1</v>
      </c>
      <c r="BE894" t="b">
        <f>+ISNUMBER(SEARCH(CompConta!$F$30,Tabla11[[#This Row],[Cuenta]],1))</f>
        <v>1</v>
      </c>
      <c r="BF894" t="b">
        <f>+ISNUMBER(SEARCH('PAGO Compras'!$E$11,Tabla11[[#This Row],[Cuenta]],1))</f>
        <v>1</v>
      </c>
      <c r="BG894" t="b">
        <f>+ISNUMBER(SEARCH(#REF!,Tabla11[[#This Row],[Cuenta]],1))</f>
        <v>0</v>
      </c>
      <c r="BH894" t="b">
        <f>+ISNUMBER(SEARCH(#REF!,Tabla11[[#This Row],[Cuenta]],1))</f>
        <v>0</v>
      </c>
      <c r="BI894" t="b">
        <f>+ISNUMBER(SEARCH(#REF!,Tabla11[[#This Row],[Cuenta]],1))</f>
        <v>0</v>
      </c>
      <c r="BJ894" t="b">
        <f>+ISNUMBER(SEARCH(#REF!,Tabla11[[#This Row],[Cuenta]],1))</f>
        <v>0</v>
      </c>
      <c r="BS894" t="str">
        <v>515505 Alojamiento y manutención</v>
      </c>
      <c r="BT894" t="str">
        <v>515505 Alojamiento y manutención</v>
      </c>
      <c r="BU894" t="str">
        <v>515505 Alojamiento y manutención</v>
      </c>
      <c r="BV894" t="str">
        <v>515505 Alojamiento y manutención</v>
      </c>
      <c r="BZ894" t="str">
        <v>515505 Alojamiento y manutención</v>
      </c>
      <c r="CA894" t="str">
        <v>515505 Alojamiento y manutención</v>
      </c>
      <c r="CB894" t="str">
        <v>515505 Alojamiento y manutención</v>
      </c>
      <c r="CC894" t="str">
        <v>515505 Alojamiento y manutención</v>
      </c>
      <c r="CD894" t="str">
        <v>515505 Alojamiento y manutención</v>
      </c>
      <c r="CE894" t="str">
        <v>515505 Alojamiento y manutención</v>
      </c>
      <c r="CS894" s="141" t="str">
        <v>515505 Alojamiento y manutención</v>
      </c>
      <c r="CT894" s="141" t="str">
        <v>515505 Alojamiento y manutención</v>
      </c>
      <c r="CU894" s="141" t="str">
        <v>515505 Alojamiento y manutención</v>
      </c>
      <c r="CV894" s="141" t="str">
        <v>515505 Alojamiento y manutención</v>
      </c>
      <c r="CW894" s="141" t="str">
        <v>515505 Alojamiento y manutención</v>
      </c>
      <c r="CX894" s="141" t="str">
        <v>515505 Alojamiento y manutención</v>
      </c>
      <c r="CY894" s="141" t="str">
        <v>515505 Alojamiento y manutención</v>
      </c>
      <c r="CZ894" s="141" t="str">
        <v>515505 Alojamiento y manutención</v>
      </c>
      <c r="DA894" s="141" t="str">
        <v>515505 Alojamiento y manutención</v>
      </c>
      <c r="DF894" t="str">
        <v>515505 Alojamiento y manutención</v>
      </c>
      <c r="DG894" t="str">
        <v>515505 Alojamiento y manutención</v>
      </c>
      <c r="DH894" t="str">
        <v>515505 Alojamiento y manutención</v>
      </c>
      <c r="DI894" t="str">
        <v>515505 Alojamiento y manutención</v>
      </c>
      <c r="DJ894" t="str">
        <v>515505 Alojamiento y manutención</v>
      </c>
      <c r="DK894" t="str">
        <v>515505 Alojamiento y manutención</v>
      </c>
      <c r="DL894" t="str">
        <v>515505 Alojamiento y manutención</v>
      </c>
      <c r="DM894" t="str">
        <v>515505 Alojamiento y manutención</v>
      </c>
      <c r="DN894" t="str">
        <v>515505 Alojamiento y manutención</v>
      </c>
      <c r="DO894" t="str">
        <v>515505 Alojamiento y manutención</v>
      </c>
      <c r="DP894" t="str">
        <v>515505 Alojamiento y manutención</v>
      </c>
    </row>
    <row r="895" spans="4:120" ht="12.75">
      <c r="D895" s="7">
        <v>515510</v>
      </c>
      <c r="E895" s="6" t="s">
        <v>606</v>
      </c>
      <c r="F895" s="5">
        <v>4</v>
      </c>
      <c r="G895" s="34" t="s">
        <v>830</v>
      </c>
      <c r="H895" s="8" t="s">
        <v>32</v>
      </c>
      <c r="I895" t="b">
        <f>+ISNUMBER(SEARCH('F-COMPRA'!$F$28,Tabla11[[#This Row],[Cuenta]],1))</f>
        <v>1</v>
      </c>
      <c r="J895" t="b">
        <f>+ISNUMBER(SEARCH('F-COMPRA'!$F$29,Tabla11[[#This Row],[Cuenta]],1))</f>
        <v>1</v>
      </c>
      <c r="K895" t="b">
        <f>+ISNUMBER(SEARCH('F-COMPRA'!$F$30,Tabla11[[#This Row],[Cuenta]],1))</f>
        <v>1</v>
      </c>
      <c r="L895" t="b">
        <f>+ISNUMBER(SEARCH('F-COMPRA'!$F$31,Tabla11[[#This Row],[Cuenta]],1))</f>
        <v>1</v>
      </c>
      <c r="M895" t="b">
        <f>+ISNUMBER(SEARCH('F-COMPRA'!$G$25,Tabla11[[#This Row],[Cuenta]],1))</f>
        <v>0</v>
      </c>
      <c r="N895" t="b">
        <f>+ISNUMBER(SEARCH(#REF!,Tabla11[[#This Row],[Cuenta]],1))</f>
        <v>0</v>
      </c>
      <c r="O895" t="b">
        <f>+ISNUMBER(SEARCH(#REF!,Tabla11[[#This Row],[Cuenta]],1))</f>
        <v>0</v>
      </c>
      <c r="P895" t="b">
        <f>+ISNUMBER(SEARCH('F-COMPRA'!$F$32,Tabla11[[#This Row],[Cuenta]],1))</f>
        <v>1</v>
      </c>
      <c r="Q895" t="b">
        <f>+ISNUMBER(SEARCH('F-COMPRA'!$F$33,Tabla11[[#This Row],[Cuenta]],1))</f>
        <v>1</v>
      </c>
      <c r="R895" t="b">
        <f>+ISNUMBER(SEARCH('F-COMPRA'!$F$34,Tabla11[[#This Row],[Cuenta]],1))</f>
        <v>1</v>
      </c>
      <c r="S895" t="b">
        <f>+ISNUMBER(SEARCH('F-COMPRA'!$F$35,Tabla11[[#This Row],[Cuenta]],1))</f>
        <v>1</v>
      </c>
      <c r="T895" t="b">
        <f>+ISNUMBER(SEARCH('F-COMPRA'!$F$36,Tabla11[[#This Row],[Cuenta]],1))</f>
        <v>1</v>
      </c>
      <c r="U895" t="b">
        <f>+ISNUMBER(SEARCH('F-COMPRA'!$F$37,Tabla11[[#This Row],[Cuenta]],1))</f>
        <v>1</v>
      </c>
      <c r="V895" t="b">
        <f>+ISNUMBER(SEARCH(#REF!,Tabla11[[#This Row],[Cuenta]],1))</f>
        <v>0</v>
      </c>
      <c r="W895" t="b">
        <f>+ISNUMBER(SEARCH('F-COMPRA'!#REF!,Tabla11[[#This Row],[Cuenta]],1))</f>
        <v>0</v>
      </c>
      <c r="X895" t="b">
        <f>+ISNUMBER(SEARCH('F-COMPRA'!#REF!,Tabla11[[#This Row],[Cuenta]],1))</f>
        <v>0</v>
      </c>
      <c r="Y895" t="b">
        <f>+ISNUMBER(SEARCH('F-COMPRA'!#REF!,Tabla11[[#This Row],[Cuenta]],1))</f>
        <v>0</v>
      </c>
      <c r="Z895" t="b">
        <f>+ISNUMBER(SEARCH('F-COMPRA'!#REF!,Tabla11[[#This Row],[Cuenta]],1))</f>
        <v>0</v>
      </c>
      <c r="AA895" t="b">
        <f>+ISNUMBER(SEARCH('F-COMPRA'!#REF!,Tabla11[[#This Row],[Cuenta]],1))</f>
        <v>0</v>
      </c>
      <c r="AB895" t="b">
        <f>+ISNUMBER(SEARCH('F-COMPRA'!#REF!,Tabla11[[#This Row],[Cuenta]],1))</f>
        <v>0</v>
      </c>
      <c r="AC895" t="b">
        <f>+ISNUMBER(SEARCH('F-COMPRA'!#REF!,Tabla11[[#This Row],[Cuenta]],1))</f>
        <v>0</v>
      </c>
      <c r="AD895" t="b">
        <f>+ISNUMBER(SEARCH('F-COMPRA'!#REF!,Tabla11[[#This Row],[Cuenta]],1))</f>
        <v>0</v>
      </c>
      <c r="AE895" t="b">
        <f>+ISNUMBER(SEARCH('F-COMPRA'!#REF!,Tabla11[[#This Row],[Cuenta]],1))</f>
        <v>0</v>
      </c>
      <c r="AF895" t="b">
        <f>+ISNUMBER(SEARCH('F-VTA'!$G$23,Tabla11[[#This Row],[Cuenta]],1))</f>
        <v>0</v>
      </c>
      <c r="AG895" t="b">
        <f>+ISNUMBER(SEARCH('F-VTA'!$G$24,Tabla11[[#This Row],[Cuenta]],1))</f>
        <v>0</v>
      </c>
      <c r="AH895" t="b">
        <f>+ISNUMBER(SEARCH('F-VTA'!$G$25,Tabla11[[#This Row],[Cuenta]],1))</f>
        <v>0</v>
      </c>
      <c r="AI895" t="b">
        <f>+ISNUMBER(SEARCH('F-VTA'!$F$28,Tabla11[[#This Row],[Cuenta]],1))</f>
        <v>1</v>
      </c>
      <c r="AJ895" t="b">
        <f>+ISNUMBER(SEARCH('F-VTA'!$F$29,Tabla11[[#This Row],[Cuenta]],1))</f>
        <v>1</v>
      </c>
      <c r="AK895" t="b">
        <f>+ISNUMBER(SEARCH('F-VTA'!$F$30,Tabla11[[#This Row],[Cuenta]],1))</f>
        <v>1</v>
      </c>
      <c r="AL895" t="b">
        <f>+ISNUMBER(SEARCH('F-VTA'!$F$31,Tabla11[[#This Row],[Cuenta]],1))</f>
        <v>1</v>
      </c>
      <c r="AM895" t="b">
        <f>+ISNUMBER(SEARCH('F-VTA'!$F$32,Tabla11[[#This Row],[Cuenta]],1))</f>
        <v>1</v>
      </c>
      <c r="AN895" t="b">
        <f>+ISNUMBER(SEARCH('F-VTA'!$F$33,Tabla11[[#This Row],[Cuenta]],1))</f>
        <v>1</v>
      </c>
      <c r="AO895" t="b">
        <f>+ISNUMBER(SEARCH('F-VTA'!$F$34,Tabla11[[#This Row],[Cuenta]],1))</f>
        <v>1</v>
      </c>
      <c r="AP895" t="b">
        <f>+ISNUMBER(SEARCH('F-VTA'!$F$35,Tabla11[[#This Row],[Cuenta]],1))</f>
        <v>1</v>
      </c>
      <c r="AQ895" t="b">
        <f>+ISNUMBER(SEARCH('F-VTA'!$F$36,Tabla11[[#This Row],[Cuenta]],1))</f>
        <v>1</v>
      </c>
      <c r="AR895" t="b">
        <f>+ISNUMBER(SEARCH(#REF!,Tabla11[[#This Row],[Cuenta]],1))</f>
        <v>0</v>
      </c>
      <c r="AS895" t="b">
        <f>+ISNUMBER(SEARCH(#REF!,Tabla11[[#This Row],[Cuenta]],1))</f>
        <v>0</v>
      </c>
      <c r="AT895" t="b">
        <f>+ISNUMBER(SEARCH(#REF!,Tabla11[[#This Row],[Cuenta]],1))</f>
        <v>0</v>
      </c>
      <c r="AU895" t="b">
        <f>+ISNUMBER(SEARCH('Conc. Ban.1'!$I$9,Tabla11[[#This Row],[Cuenta]],1))</f>
        <v>0</v>
      </c>
      <c r="AV895" t="b">
        <f>+ISNUMBER(SEARCH(CompConta!$F$21,Tabla11[[#This Row],[Cuenta]],1))</f>
        <v>1</v>
      </c>
      <c r="AW895" t="b">
        <f>+ISNUMBER(SEARCH(CompConta!$F$22,Tabla11[[#This Row],[Cuenta]],1))</f>
        <v>1</v>
      </c>
      <c r="AX895" t="b">
        <f>+ISNUMBER(SEARCH(CompConta!$F$23,Tabla11[[#This Row],[Cuenta]],1))</f>
        <v>1</v>
      </c>
      <c r="AY895" t="b">
        <f>+ISNUMBER(SEARCH(CompConta!$F$24,Tabla11[[#This Row],[Cuenta]],1))</f>
        <v>1</v>
      </c>
      <c r="AZ895" t="b">
        <f>+ISNUMBER(SEARCH(CompConta!$F$25,Tabla11[[#This Row],[Cuenta]],1))</f>
        <v>1</v>
      </c>
      <c r="BA895" t="b">
        <f>+ISNUMBER(SEARCH(CompConta!$F$26,Tabla11[[#This Row],[Cuenta]],1))</f>
        <v>1</v>
      </c>
      <c r="BB895" t="b">
        <f>+ISNUMBER(SEARCH(CompConta!$F$27,Tabla11[[#This Row],[Cuenta]],1))</f>
        <v>1</v>
      </c>
      <c r="BC895" t="b">
        <f>+ISNUMBER(SEARCH(CompConta!$F$28,Tabla11[[#This Row],[Cuenta]],1))</f>
        <v>1</v>
      </c>
      <c r="BD895" t="b">
        <f>+ISNUMBER(SEARCH(CompConta!$F$29,Tabla11[[#This Row],[Cuenta]],1))</f>
        <v>1</v>
      </c>
      <c r="BE895" t="b">
        <f>+ISNUMBER(SEARCH(CompConta!$F$30,Tabla11[[#This Row],[Cuenta]],1))</f>
        <v>1</v>
      </c>
      <c r="BF895" t="b">
        <f>+ISNUMBER(SEARCH('PAGO Compras'!$E$11,Tabla11[[#This Row],[Cuenta]],1))</f>
        <v>1</v>
      </c>
      <c r="BG895" t="b">
        <f>+ISNUMBER(SEARCH(#REF!,Tabla11[[#This Row],[Cuenta]],1))</f>
        <v>0</v>
      </c>
      <c r="BH895" t="b">
        <f>+ISNUMBER(SEARCH(#REF!,Tabla11[[#This Row],[Cuenta]],1))</f>
        <v>0</v>
      </c>
      <c r="BI895" t="b">
        <f>+ISNUMBER(SEARCH(#REF!,Tabla11[[#This Row],[Cuenta]],1))</f>
        <v>0</v>
      </c>
      <c r="BJ895" t="b">
        <f>+ISNUMBER(SEARCH(#REF!,Tabla11[[#This Row],[Cuenta]],1))</f>
        <v>0</v>
      </c>
      <c r="BS895" t="str">
        <v>515510 Pasajes fluviales y/o marítimos</v>
      </c>
      <c r="BT895" t="str">
        <v>515510 Pasajes fluviales y/o marítimos</v>
      </c>
      <c r="BU895" t="str">
        <v>515510 Pasajes fluviales y/o marítimos</v>
      </c>
      <c r="BV895" t="str">
        <v>515510 Pasajes fluviales y/o marítimos</v>
      </c>
      <c r="BZ895" t="str">
        <v>515510 Pasajes fluviales y/o marítimos</v>
      </c>
      <c r="CA895" t="str">
        <v>515510 Pasajes fluviales y/o marítimos</v>
      </c>
      <c r="CB895" t="str">
        <v>515510 Pasajes fluviales y/o marítimos</v>
      </c>
      <c r="CC895" t="str">
        <v>515510 Pasajes fluviales y/o marítimos</v>
      </c>
      <c r="CD895" t="str">
        <v>515510 Pasajes fluviales y/o marítimos</v>
      </c>
      <c r="CE895" t="str">
        <v>515510 Pasajes fluviales y/o marítimos</v>
      </c>
      <c r="CS895" s="141" t="str">
        <v>515510 Pasajes fluviales y/o marítimos</v>
      </c>
      <c r="CT895" s="141" t="str">
        <v>515510 Pasajes fluviales y/o marítimos</v>
      </c>
      <c r="CU895" s="141" t="str">
        <v>515510 Pasajes fluviales y/o marítimos</v>
      </c>
      <c r="CV895" s="141" t="str">
        <v>515510 Pasajes fluviales y/o marítimos</v>
      </c>
      <c r="CW895" s="141" t="str">
        <v>515510 Pasajes fluviales y/o marítimos</v>
      </c>
      <c r="CX895" s="141" t="str">
        <v>515510 Pasajes fluviales y/o marítimos</v>
      </c>
      <c r="CY895" s="141" t="str">
        <v>515510 Pasajes fluviales y/o marítimos</v>
      </c>
      <c r="CZ895" s="141" t="str">
        <v>515510 Pasajes fluviales y/o marítimos</v>
      </c>
      <c r="DA895" s="141" t="str">
        <v>515510 Pasajes fluviales y/o marítimos</v>
      </c>
      <c r="DF895" t="str">
        <v>515510 Pasajes fluviales y/o marítimos</v>
      </c>
      <c r="DG895" t="str">
        <v>515510 Pasajes fluviales y/o marítimos</v>
      </c>
      <c r="DH895" t="str">
        <v>515510 Pasajes fluviales y/o marítimos</v>
      </c>
      <c r="DI895" t="str">
        <v>515510 Pasajes fluviales y/o marítimos</v>
      </c>
      <c r="DJ895" t="str">
        <v>515510 Pasajes fluviales y/o marítimos</v>
      </c>
      <c r="DK895" t="str">
        <v>515510 Pasajes fluviales y/o marítimos</v>
      </c>
      <c r="DL895" t="str">
        <v>515510 Pasajes fluviales y/o marítimos</v>
      </c>
      <c r="DM895" t="str">
        <v>515510 Pasajes fluviales y/o marítimos</v>
      </c>
      <c r="DN895" t="str">
        <v>515510 Pasajes fluviales y/o marítimos</v>
      </c>
      <c r="DO895" t="str">
        <v>515510 Pasajes fluviales y/o marítimos</v>
      </c>
      <c r="DP895" t="str">
        <v>515510 Pasajes fluviales y/o marítimos</v>
      </c>
    </row>
    <row r="896" spans="4:120" ht="12.75">
      <c r="D896" s="7">
        <v>515515</v>
      </c>
      <c r="E896" s="6" t="s">
        <v>607</v>
      </c>
      <c r="F896" s="5">
        <v>4</v>
      </c>
      <c r="G896" s="34" t="s">
        <v>830</v>
      </c>
      <c r="H896" s="8" t="s">
        <v>32</v>
      </c>
      <c r="I896" t="b">
        <f>+ISNUMBER(SEARCH('F-COMPRA'!$F$28,Tabla11[[#This Row],[Cuenta]],1))</f>
        <v>1</v>
      </c>
      <c r="J896" t="b">
        <f>+ISNUMBER(SEARCH('F-COMPRA'!$F$29,Tabla11[[#This Row],[Cuenta]],1))</f>
        <v>1</v>
      </c>
      <c r="K896" t="b">
        <f>+ISNUMBER(SEARCH('F-COMPRA'!$F$30,Tabla11[[#This Row],[Cuenta]],1))</f>
        <v>1</v>
      </c>
      <c r="L896" t="b">
        <f>+ISNUMBER(SEARCH('F-COMPRA'!$F$31,Tabla11[[#This Row],[Cuenta]],1))</f>
        <v>1</v>
      </c>
      <c r="M896" t="b">
        <f>+ISNUMBER(SEARCH('F-COMPRA'!$G$25,Tabla11[[#This Row],[Cuenta]],1))</f>
        <v>0</v>
      </c>
      <c r="N896" t="b">
        <f>+ISNUMBER(SEARCH(#REF!,Tabla11[[#This Row],[Cuenta]],1))</f>
        <v>0</v>
      </c>
      <c r="O896" t="b">
        <f>+ISNUMBER(SEARCH(#REF!,Tabla11[[#This Row],[Cuenta]],1))</f>
        <v>0</v>
      </c>
      <c r="P896" t="b">
        <f>+ISNUMBER(SEARCH('F-COMPRA'!$F$32,Tabla11[[#This Row],[Cuenta]],1))</f>
        <v>1</v>
      </c>
      <c r="Q896" t="b">
        <f>+ISNUMBER(SEARCH('F-COMPRA'!$F$33,Tabla11[[#This Row],[Cuenta]],1))</f>
        <v>1</v>
      </c>
      <c r="R896" t="b">
        <f>+ISNUMBER(SEARCH('F-COMPRA'!$F$34,Tabla11[[#This Row],[Cuenta]],1))</f>
        <v>1</v>
      </c>
      <c r="S896" t="b">
        <f>+ISNUMBER(SEARCH('F-COMPRA'!$F$35,Tabla11[[#This Row],[Cuenta]],1))</f>
        <v>1</v>
      </c>
      <c r="T896" t="b">
        <f>+ISNUMBER(SEARCH('F-COMPRA'!$F$36,Tabla11[[#This Row],[Cuenta]],1))</f>
        <v>1</v>
      </c>
      <c r="U896" t="b">
        <f>+ISNUMBER(SEARCH('F-COMPRA'!$F$37,Tabla11[[#This Row],[Cuenta]],1))</f>
        <v>1</v>
      </c>
      <c r="V896" t="b">
        <f>+ISNUMBER(SEARCH(#REF!,Tabla11[[#This Row],[Cuenta]],1))</f>
        <v>0</v>
      </c>
      <c r="W896" t="b">
        <f>+ISNUMBER(SEARCH('F-COMPRA'!#REF!,Tabla11[[#This Row],[Cuenta]],1))</f>
        <v>0</v>
      </c>
      <c r="X896" t="b">
        <f>+ISNUMBER(SEARCH('F-COMPRA'!#REF!,Tabla11[[#This Row],[Cuenta]],1))</f>
        <v>0</v>
      </c>
      <c r="Y896" t="b">
        <f>+ISNUMBER(SEARCH('F-COMPRA'!#REF!,Tabla11[[#This Row],[Cuenta]],1))</f>
        <v>0</v>
      </c>
      <c r="Z896" t="b">
        <f>+ISNUMBER(SEARCH('F-COMPRA'!#REF!,Tabla11[[#This Row],[Cuenta]],1))</f>
        <v>0</v>
      </c>
      <c r="AA896" t="b">
        <f>+ISNUMBER(SEARCH('F-COMPRA'!#REF!,Tabla11[[#This Row],[Cuenta]],1))</f>
        <v>0</v>
      </c>
      <c r="AB896" t="b">
        <f>+ISNUMBER(SEARCH('F-COMPRA'!#REF!,Tabla11[[#This Row],[Cuenta]],1))</f>
        <v>0</v>
      </c>
      <c r="AC896" t="b">
        <f>+ISNUMBER(SEARCH('F-COMPRA'!#REF!,Tabla11[[#This Row],[Cuenta]],1))</f>
        <v>0</v>
      </c>
      <c r="AD896" t="b">
        <f>+ISNUMBER(SEARCH('F-COMPRA'!#REF!,Tabla11[[#This Row],[Cuenta]],1))</f>
        <v>0</v>
      </c>
      <c r="AE896" t="b">
        <f>+ISNUMBER(SEARCH('F-COMPRA'!#REF!,Tabla11[[#This Row],[Cuenta]],1))</f>
        <v>0</v>
      </c>
      <c r="AF896" t="b">
        <f>+ISNUMBER(SEARCH('F-VTA'!$G$23,Tabla11[[#This Row],[Cuenta]],1))</f>
        <v>0</v>
      </c>
      <c r="AG896" t="b">
        <f>+ISNUMBER(SEARCH('F-VTA'!$G$24,Tabla11[[#This Row],[Cuenta]],1))</f>
        <v>0</v>
      </c>
      <c r="AH896" t="b">
        <f>+ISNUMBER(SEARCH('F-VTA'!$G$25,Tabla11[[#This Row],[Cuenta]],1))</f>
        <v>0</v>
      </c>
      <c r="AI896" t="b">
        <f>+ISNUMBER(SEARCH('F-VTA'!$F$28,Tabla11[[#This Row],[Cuenta]],1))</f>
        <v>1</v>
      </c>
      <c r="AJ896" t="b">
        <f>+ISNUMBER(SEARCH('F-VTA'!$F$29,Tabla11[[#This Row],[Cuenta]],1))</f>
        <v>1</v>
      </c>
      <c r="AK896" t="b">
        <f>+ISNUMBER(SEARCH('F-VTA'!$F$30,Tabla11[[#This Row],[Cuenta]],1))</f>
        <v>1</v>
      </c>
      <c r="AL896" t="b">
        <f>+ISNUMBER(SEARCH('F-VTA'!$F$31,Tabla11[[#This Row],[Cuenta]],1))</f>
        <v>1</v>
      </c>
      <c r="AM896" t="b">
        <f>+ISNUMBER(SEARCH('F-VTA'!$F$32,Tabla11[[#This Row],[Cuenta]],1))</f>
        <v>1</v>
      </c>
      <c r="AN896" t="b">
        <f>+ISNUMBER(SEARCH('F-VTA'!$F$33,Tabla11[[#This Row],[Cuenta]],1))</f>
        <v>1</v>
      </c>
      <c r="AO896" t="b">
        <f>+ISNUMBER(SEARCH('F-VTA'!$F$34,Tabla11[[#This Row],[Cuenta]],1))</f>
        <v>1</v>
      </c>
      <c r="AP896" t="b">
        <f>+ISNUMBER(SEARCH('F-VTA'!$F$35,Tabla11[[#This Row],[Cuenta]],1))</f>
        <v>1</v>
      </c>
      <c r="AQ896" t="b">
        <f>+ISNUMBER(SEARCH('F-VTA'!$F$36,Tabla11[[#This Row],[Cuenta]],1))</f>
        <v>1</v>
      </c>
      <c r="AR896" t="b">
        <f>+ISNUMBER(SEARCH(#REF!,Tabla11[[#This Row],[Cuenta]],1))</f>
        <v>0</v>
      </c>
      <c r="AS896" t="b">
        <f>+ISNUMBER(SEARCH(#REF!,Tabla11[[#This Row],[Cuenta]],1))</f>
        <v>0</v>
      </c>
      <c r="AT896" t="b">
        <f>+ISNUMBER(SEARCH(#REF!,Tabla11[[#This Row],[Cuenta]],1))</f>
        <v>0</v>
      </c>
      <c r="AU896" t="b">
        <f>+ISNUMBER(SEARCH('Conc. Ban.1'!$I$9,Tabla11[[#This Row],[Cuenta]],1))</f>
        <v>0</v>
      </c>
      <c r="AV896" t="b">
        <f>+ISNUMBER(SEARCH(CompConta!$F$21,Tabla11[[#This Row],[Cuenta]],1))</f>
        <v>1</v>
      </c>
      <c r="AW896" t="b">
        <f>+ISNUMBER(SEARCH(CompConta!$F$22,Tabla11[[#This Row],[Cuenta]],1))</f>
        <v>1</v>
      </c>
      <c r="AX896" t="b">
        <f>+ISNUMBER(SEARCH(CompConta!$F$23,Tabla11[[#This Row],[Cuenta]],1))</f>
        <v>1</v>
      </c>
      <c r="AY896" t="b">
        <f>+ISNUMBER(SEARCH(CompConta!$F$24,Tabla11[[#This Row],[Cuenta]],1))</f>
        <v>1</v>
      </c>
      <c r="AZ896" t="b">
        <f>+ISNUMBER(SEARCH(CompConta!$F$25,Tabla11[[#This Row],[Cuenta]],1))</f>
        <v>1</v>
      </c>
      <c r="BA896" t="b">
        <f>+ISNUMBER(SEARCH(CompConta!$F$26,Tabla11[[#This Row],[Cuenta]],1))</f>
        <v>1</v>
      </c>
      <c r="BB896" t="b">
        <f>+ISNUMBER(SEARCH(CompConta!$F$27,Tabla11[[#This Row],[Cuenta]],1))</f>
        <v>1</v>
      </c>
      <c r="BC896" t="b">
        <f>+ISNUMBER(SEARCH(CompConta!$F$28,Tabla11[[#This Row],[Cuenta]],1))</f>
        <v>1</v>
      </c>
      <c r="BD896" t="b">
        <f>+ISNUMBER(SEARCH(CompConta!$F$29,Tabla11[[#This Row],[Cuenta]],1))</f>
        <v>1</v>
      </c>
      <c r="BE896" t="b">
        <f>+ISNUMBER(SEARCH(CompConta!$F$30,Tabla11[[#This Row],[Cuenta]],1))</f>
        <v>1</v>
      </c>
      <c r="BF896" t="b">
        <f>+ISNUMBER(SEARCH('PAGO Compras'!$E$11,Tabla11[[#This Row],[Cuenta]],1))</f>
        <v>1</v>
      </c>
      <c r="BG896" t="b">
        <f>+ISNUMBER(SEARCH(#REF!,Tabla11[[#This Row],[Cuenta]],1))</f>
        <v>0</v>
      </c>
      <c r="BH896" t="b">
        <f>+ISNUMBER(SEARCH(#REF!,Tabla11[[#This Row],[Cuenta]],1))</f>
        <v>0</v>
      </c>
      <c r="BI896" t="b">
        <f>+ISNUMBER(SEARCH(#REF!,Tabla11[[#This Row],[Cuenta]],1))</f>
        <v>0</v>
      </c>
      <c r="BJ896" t="b">
        <f>+ISNUMBER(SEARCH(#REF!,Tabla11[[#This Row],[Cuenta]],1))</f>
        <v>0</v>
      </c>
      <c r="BS896" t="str">
        <v>515515 Pasajes aéreos</v>
      </c>
      <c r="BT896" t="str">
        <v>515515 Pasajes aéreos</v>
      </c>
      <c r="BU896" t="str">
        <v>515515 Pasajes aéreos</v>
      </c>
      <c r="BV896" t="str">
        <v>515515 Pasajes aéreos</v>
      </c>
      <c r="BZ896" t="str">
        <v>515515 Pasajes aéreos</v>
      </c>
      <c r="CA896" t="str">
        <v>515515 Pasajes aéreos</v>
      </c>
      <c r="CB896" t="str">
        <v>515515 Pasajes aéreos</v>
      </c>
      <c r="CC896" t="str">
        <v>515515 Pasajes aéreos</v>
      </c>
      <c r="CD896" t="str">
        <v>515515 Pasajes aéreos</v>
      </c>
      <c r="CE896" t="str">
        <v>515515 Pasajes aéreos</v>
      </c>
      <c r="CS896" s="141" t="str">
        <v>515515 Pasajes aéreos</v>
      </c>
      <c r="CT896" s="141" t="str">
        <v>515515 Pasajes aéreos</v>
      </c>
      <c r="CU896" s="141" t="str">
        <v>515515 Pasajes aéreos</v>
      </c>
      <c r="CV896" s="141" t="str">
        <v>515515 Pasajes aéreos</v>
      </c>
      <c r="CW896" s="141" t="str">
        <v>515515 Pasajes aéreos</v>
      </c>
      <c r="CX896" s="141" t="str">
        <v>515515 Pasajes aéreos</v>
      </c>
      <c r="CY896" s="141" t="str">
        <v>515515 Pasajes aéreos</v>
      </c>
      <c r="CZ896" s="141" t="str">
        <v>515515 Pasajes aéreos</v>
      </c>
      <c r="DA896" s="141" t="str">
        <v>515515 Pasajes aéreos</v>
      </c>
      <c r="DF896" t="str">
        <v>515515 Pasajes aéreos</v>
      </c>
      <c r="DG896" t="str">
        <v>515515 Pasajes aéreos</v>
      </c>
      <c r="DH896" t="str">
        <v>515515 Pasajes aéreos</v>
      </c>
      <c r="DI896" t="str">
        <v>515515 Pasajes aéreos</v>
      </c>
      <c r="DJ896" t="str">
        <v>515515 Pasajes aéreos</v>
      </c>
      <c r="DK896" t="str">
        <v>515515 Pasajes aéreos</v>
      </c>
      <c r="DL896" t="str">
        <v>515515 Pasajes aéreos</v>
      </c>
      <c r="DM896" t="str">
        <v>515515 Pasajes aéreos</v>
      </c>
      <c r="DN896" t="str">
        <v>515515 Pasajes aéreos</v>
      </c>
      <c r="DO896" t="str">
        <v>515515 Pasajes aéreos</v>
      </c>
      <c r="DP896" t="str">
        <v>515515 Pasajes aéreos</v>
      </c>
    </row>
    <row r="897" spans="4:120" ht="12.75">
      <c r="D897" s="7">
        <v>515520</v>
      </c>
      <c r="E897" s="6" t="s">
        <v>608</v>
      </c>
      <c r="F897" s="5">
        <v>4</v>
      </c>
      <c r="G897" s="34" t="s">
        <v>830</v>
      </c>
      <c r="H897" s="8" t="s">
        <v>32</v>
      </c>
      <c r="I897" t="b">
        <f>+ISNUMBER(SEARCH('F-COMPRA'!$F$28,Tabla11[[#This Row],[Cuenta]],1))</f>
        <v>1</v>
      </c>
      <c r="J897" t="b">
        <f>+ISNUMBER(SEARCH('F-COMPRA'!$F$29,Tabla11[[#This Row],[Cuenta]],1))</f>
        <v>1</v>
      </c>
      <c r="K897" t="b">
        <f>+ISNUMBER(SEARCH('F-COMPRA'!$F$30,Tabla11[[#This Row],[Cuenta]],1))</f>
        <v>1</v>
      </c>
      <c r="L897" t="b">
        <f>+ISNUMBER(SEARCH('F-COMPRA'!$F$31,Tabla11[[#This Row],[Cuenta]],1))</f>
        <v>1</v>
      </c>
      <c r="M897" t="b">
        <f>+ISNUMBER(SEARCH('F-COMPRA'!$G$25,Tabla11[[#This Row],[Cuenta]],1))</f>
        <v>0</v>
      </c>
      <c r="N897" t="b">
        <f>+ISNUMBER(SEARCH(#REF!,Tabla11[[#This Row],[Cuenta]],1))</f>
        <v>0</v>
      </c>
      <c r="O897" t="b">
        <f>+ISNUMBER(SEARCH(#REF!,Tabla11[[#This Row],[Cuenta]],1))</f>
        <v>0</v>
      </c>
      <c r="P897" t="b">
        <f>+ISNUMBER(SEARCH('F-COMPRA'!$F$32,Tabla11[[#This Row],[Cuenta]],1))</f>
        <v>1</v>
      </c>
      <c r="Q897" t="b">
        <f>+ISNUMBER(SEARCH('F-COMPRA'!$F$33,Tabla11[[#This Row],[Cuenta]],1))</f>
        <v>1</v>
      </c>
      <c r="R897" t="b">
        <f>+ISNUMBER(SEARCH('F-COMPRA'!$F$34,Tabla11[[#This Row],[Cuenta]],1))</f>
        <v>1</v>
      </c>
      <c r="S897" t="b">
        <f>+ISNUMBER(SEARCH('F-COMPRA'!$F$35,Tabla11[[#This Row],[Cuenta]],1))</f>
        <v>1</v>
      </c>
      <c r="T897" t="b">
        <f>+ISNUMBER(SEARCH('F-COMPRA'!$F$36,Tabla11[[#This Row],[Cuenta]],1))</f>
        <v>1</v>
      </c>
      <c r="U897" t="b">
        <f>+ISNUMBER(SEARCH('F-COMPRA'!$F$37,Tabla11[[#This Row],[Cuenta]],1))</f>
        <v>1</v>
      </c>
      <c r="V897" t="b">
        <f>+ISNUMBER(SEARCH(#REF!,Tabla11[[#This Row],[Cuenta]],1))</f>
        <v>0</v>
      </c>
      <c r="W897" t="b">
        <f>+ISNUMBER(SEARCH('F-COMPRA'!#REF!,Tabla11[[#This Row],[Cuenta]],1))</f>
        <v>0</v>
      </c>
      <c r="X897" t="b">
        <f>+ISNUMBER(SEARCH('F-COMPRA'!#REF!,Tabla11[[#This Row],[Cuenta]],1))</f>
        <v>0</v>
      </c>
      <c r="Y897" t="b">
        <f>+ISNUMBER(SEARCH('F-COMPRA'!#REF!,Tabla11[[#This Row],[Cuenta]],1))</f>
        <v>0</v>
      </c>
      <c r="Z897" t="b">
        <f>+ISNUMBER(SEARCH('F-COMPRA'!#REF!,Tabla11[[#This Row],[Cuenta]],1))</f>
        <v>0</v>
      </c>
      <c r="AA897" t="b">
        <f>+ISNUMBER(SEARCH('F-COMPRA'!#REF!,Tabla11[[#This Row],[Cuenta]],1))</f>
        <v>0</v>
      </c>
      <c r="AB897" t="b">
        <f>+ISNUMBER(SEARCH('F-COMPRA'!#REF!,Tabla11[[#This Row],[Cuenta]],1))</f>
        <v>0</v>
      </c>
      <c r="AC897" t="b">
        <f>+ISNUMBER(SEARCH('F-COMPRA'!#REF!,Tabla11[[#This Row],[Cuenta]],1))</f>
        <v>0</v>
      </c>
      <c r="AD897" t="b">
        <f>+ISNUMBER(SEARCH('F-COMPRA'!#REF!,Tabla11[[#This Row],[Cuenta]],1))</f>
        <v>0</v>
      </c>
      <c r="AE897" t="b">
        <f>+ISNUMBER(SEARCH('F-COMPRA'!#REF!,Tabla11[[#This Row],[Cuenta]],1))</f>
        <v>0</v>
      </c>
      <c r="AF897" t="b">
        <f>+ISNUMBER(SEARCH('F-VTA'!$G$23,Tabla11[[#This Row],[Cuenta]],1))</f>
        <v>0</v>
      </c>
      <c r="AG897" t="b">
        <f>+ISNUMBER(SEARCH('F-VTA'!$G$24,Tabla11[[#This Row],[Cuenta]],1))</f>
        <v>0</v>
      </c>
      <c r="AH897" t="b">
        <f>+ISNUMBER(SEARCH('F-VTA'!$G$25,Tabla11[[#This Row],[Cuenta]],1))</f>
        <v>0</v>
      </c>
      <c r="AI897" t="b">
        <f>+ISNUMBER(SEARCH('F-VTA'!$F$28,Tabla11[[#This Row],[Cuenta]],1))</f>
        <v>1</v>
      </c>
      <c r="AJ897" t="b">
        <f>+ISNUMBER(SEARCH('F-VTA'!$F$29,Tabla11[[#This Row],[Cuenta]],1))</f>
        <v>1</v>
      </c>
      <c r="AK897" t="b">
        <f>+ISNUMBER(SEARCH('F-VTA'!$F$30,Tabla11[[#This Row],[Cuenta]],1))</f>
        <v>1</v>
      </c>
      <c r="AL897" t="b">
        <f>+ISNUMBER(SEARCH('F-VTA'!$F$31,Tabla11[[#This Row],[Cuenta]],1))</f>
        <v>1</v>
      </c>
      <c r="AM897" t="b">
        <f>+ISNUMBER(SEARCH('F-VTA'!$F$32,Tabla11[[#This Row],[Cuenta]],1))</f>
        <v>1</v>
      </c>
      <c r="AN897" t="b">
        <f>+ISNUMBER(SEARCH('F-VTA'!$F$33,Tabla11[[#This Row],[Cuenta]],1))</f>
        <v>1</v>
      </c>
      <c r="AO897" t="b">
        <f>+ISNUMBER(SEARCH('F-VTA'!$F$34,Tabla11[[#This Row],[Cuenta]],1))</f>
        <v>1</v>
      </c>
      <c r="AP897" t="b">
        <f>+ISNUMBER(SEARCH('F-VTA'!$F$35,Tabla11[[#This Row],[Cuenta]],1))</f>
        <v>1</v>
      </c>
      <c r="AQ897" t="b">
        <f>+ISNUMBER(SEARCH('F-VTA'!$F$36,Tabla11[[#This Row],[Cuenta]],1))</f>
        <v>1</v>
      </c>
      <c r="AR897" t="b">
        <f>+ISNUMBER(SEARCH(#REF!,Tabla11[[#This Row],[Cuenta]],1))</f>
        <v>0</v>
      </c>
      <c r="AS897" t="b">
        <f>+ISNUMBER(SEARCH(#REF!,Tabla11[[#This Row],[Cuenta]],1))</f>
        <v>0</v>
      </c>
      <c r="AT897" t="b">
        <f>+ISNUMBER(SEARCH(#REF!,Tabla11[[#This Row],[Cuenta]],1))</f>
        <v>0</v>
      </c>
      <c r="AU897" t="b">
        <f>+ISNUMBER(SEARCH('Conc. Ban.1'!$I$9,Tabla11[[#This Row],[Cuenta]],1))</f>
        <v>0</v>
      </c>
      <c r="AV897" t="b">
        <f>+ISNUMBER(SEARCH(CompConta!$F$21,Tabla11[[#This Row],[Cuenta]],1))</f>
        <v>1</v>
      </c>
      <c r="AW897" t="b">
        <f>+ISNUMBER(SEARCH(CompConta!$F$22,Tabla11[[#This Row],[Cuenta]],1))</f>
        <v>1</v>
      </c>
      <c r="AX897" t="b">
        <f>+ISNUMBER(SEARCH(CompConta!$F$23,Tabla11[[#This Row],[Cuenta]],1))</f>
        <v>1</v>
      </c>
      <c r="AY897" t="b">
        <f>+ISNUMBER(SEARCH(CompConta!$F$24,Tabla11[[#This Row],[Cuenta]],1))</f>
        <v>1</v>
      </c>
      <c r="AZ897" t="b">
        <f>+ISNUMBER(SEARCH(CompConta!$F$25,Tabla11[[#This Row],[Cuenta]],1))</f>
        <v>1</v>
      </c>
      <c r="BA897" t="b">
        <f>+ISNUMBER(SEARCH(CompConta!$F$26,Tabla11[[#This Row],[Cuenta]],1))</f>
        <v>1</v>
      </c>
      <c r="BB897" t="b">
        <f>+ISNUMBER(SEARCH(CompConta!$F$27,Tabla11[[#This Row],[Cuenta]],1))</f>
        <v>1</v>
      </c>
      <c r="BC897" t="b">
        <f>+ISNUMBER(SEARCH(CompConta!$F$28,Tabla11[[#This Row],[Cuenta]],1))</f>
        <v>1</v>
      </c>
      <c r="BD897" t="b">
        <f>+ISNUMBER(SEARCH(CompConta!$F$29,Tabla11[[#This Row],[Cuenta]],1))</f>
        <v>1</v>
      </c>
      <c r="BE897" t="b">
        <f>+ISNUMBER(SEARCH(CompConta!$F$30,Tabla11[[#This Row],[Cuenta]],1))</f>
        <v>1</v>
      </c>
      <c r="BF897" t="b">
        <f>+ISNUMBER(SEARCH('PAGO Compras'!$E$11,Tabla11[[#This Row],[Cuenta]],1))</f>
        <v>1</v>
      </c>
      <c r="BG897" t="b">
        <f>+ISNUMBER(SEARCH(#REF!,Tabla11[[#This Row],[Cuenta]],1))</f>
        <v>0</v>
      </c>
      <c r="BH897" t="b">
        <f>+ISNUMBER(SEARCH(#REF!,Tabla11[[#This Row],[Cuenta]],1))</f>
        <v>0</v>
      </c>
      <c r="BI897" t="b">
        <f>+ISNUMBER(SEARCH(#REF!,Tabla11[[#This Row],[Cuenta]],1))</f>
        <v>0</v>
      </c>
      <c r="BJ897" t="b">
        <f>+ISNUMBER(SEARCH(#REF!,Tabla11[[#This Row],[Cuenta]],1))</f>
        <v>0</v>
      </c>
      <c r="BS897" t="str">
        <v>515520 Pasajes terrestres</v>
      </c>
      <c r="BT897" t="str">
        <v>515520 Pasajes terrestres</v>
      </c>
      <c r="BU897" t="str">
        <v>515520 Pasajes terrestres</v>
      </c>
      <c r="BV897" t="str">
        <v>515520 Pasajes terrestres</v>
      </c>
      <c r="BZ897" t="str">
        <v>515520 Pasajes terrestres</v>
      </c>
      <c r="CA897" t="str">
        <v>515520 Pasajes terrestres</v>
      </c>
      <c r="CB897" t="str">
        <v>515520 Pasajes terrestres</v>
      </c>
      <c r="CC897" t="str">
        <v>515520 Pasajes terrestres</v>
      </c>
      <c r="CD897" t="str">
        <v>515520 Pasajes terrestres</v>
      </c>
      <c r="CE897" t="str">
        <v>515520 Pasajes terrestres</v>
      </c>
      <c r="CS897" s="141" t="str">
        <v>515520 Pasajes terrestres</v>
      </c>
      <c r="CT897" s="141" t="str">
        <v>515520 Pasajes terrestres</v>
      </c>
      <c r="CU897" s="141" t="str">
        <v>515520 Pasajes terrestres</v>
      </c>
      <c r="CV897" s="141" t="str">
        <v>515520 Pasajes terrestres</v>
      </c>
      <c r="CW897" s="141" t="str">
        <v>515520 Pasajes terrestres</v>
      </c>
      <c r="CX897" s="141" t="str">
        <v>515520 Pasajes terrestres</v>
      </c>
      <c r="CY897" s="141" t="str">
        <v>515520 Pasajes terrestres</v>
      </c>
      <c r="CZ897" s="141" t="str">
        <v>515520 Pasajes terrestres</v>
      </c>
      <c r="DA897" s="141" t="str">
        <v>515520 Pasajes terrestres</v>
      </c>
      <c r="DF897" t="str">
        <v>515520 Pasajes terrestres</v>
      </c>
      <c r="DG897" t="str">
        <v>515520 Pasajes terrestres</v>
      </c>
      <c r="DH897" t="str">
        <v>515520 Pasajes terrestres</v>
      </c>
      <c r="DI897" t="str">
        <v>515520 Pasajes terrestres</v>
      </c>
      <c r="DJ897" t="str">
        <v>515520 Pasajes terrestres</v>
      </c>
      <c r="DK897" t="str">
        <v>515520 Pasajes terrestres</v>
      </c>
      <c r="DL897" t="str">
        <v>515520 Pasajes terrestres</v>
      </c>
      <c r="DM897" t="str">
        <v>515520 Pasajes terrestres</v>
      </c>
      <c r="DN897" t="str">
        <v>515520 Pasajes terrestres</v>
      </c>
      <c r="DO897" t="str">
        <v>515520 Pasajes terrestres</v>
      </c>
      <c r="DP897" t="str">
        <v>515520 Pasajes terrestres</v>
      </c>
    </row>
    <row r="898" spans="4:120" ht="12.75">
      <c r="D898" s="7">
        <v>515525</v>
      </c>
      <c r="E898" s="6" t="s">
        <v>609</v>
      </c>
      <c r="F898" s="5">
        <v>4</v>
      </c>
      <c r="G898" s="34" t="s">
        <v>830</v>
      </c>
      <c r="H898" s="8" t="s">
        <v>32</v>
      </c>
      <c r="I898" t="b">
        <f>+ISNUMBER(SEARCH('F-COMPRA'!$F$28,Tabla11[[#This Row],[Cuenta]],1))</f>
        <v>1</v>
      </c>
      <c r="J898" t="b">
        <f>+ISNUMBER(SEARCH('F-COMPRA'!$F$29,Tabla11[[#This Row],[Cuenta]],1))</f>
        <v>1</v>
      </c>
      <c r="K898" t="b">
        <f>+ISNUMBER(SEARCH('F-COMPRA'!$F$30,Tabla11[[#This Row],[Cuenta]],1))</f>
        <v>1</v>
      </c>
      <c r="L898" t="b">
        <f>+ISNUMBER(SEARCH('F-COMPRA'!$F$31,Tabla11[[#This Row],[Cuenta]],1))</f>
        <v>1</v>
      </c>
      <c r="M898" t="b">
        <f>+ISNUMBER(SEARCH('F-COMPRA'!$G$25,Tabla11[[#This Row],[Cuenta]],1))</f>
        <v>0</v>
      </c>
      <c r="N898" t="b">
        <f>+ISNUMBER(SEARCH(#REF!,Tabla11[[#This Row],[Cuenta]],1))</f>
        <v>0</v>
      </c>
      <c r="O898" t="b">
        <f>+ISNUMBER(SEARCH(#REF!,Tabla11[[#This Row],[Cuenta]],1))</f>
        <v>0</v>
      </c>
      <c r="P898" t="b">
        <f>+ISNUMBER(SEARCH('F-COMPRA'!$F$32,Tabla11[[#This Row],[Cuenta]],1))</f>
        <v>1</v>
      </c>
      <c r="Q898" t="b">
        <f>+ISNUMBER(SEARCH('F-COMPRA'!$F$33,Tabla11[[#This Row],[Cuenta]],1))</f>
        <v>1</v>
      </c>
      <c r="R898" t="b">
        <f>+ISNUMBER(SEARCH('F-COMPRA'!$F$34,Tabla11[[#This Row],[Cuenta]],1))</f>
        <v>1</v>
      </c>
      <c r="S898" t="b">
        <f>+ISNUMBER(SEARCH('F-COMPRA'!$F$35,Tabla11[[#This Row],[Cuenta]],1))</f>
        <v>1</v>
      </c>
      <c r="T898" t="b">
        <f>+ISNUMBER(SEARCH('F-COMPRA'!$F$36,Tabla11[[#This Row],[Cuenta]],1))</f>
        <v>1</v>
      </c>
      <c r="U898" t="b">
        <f>+ISNUMBER(SEARCH('F-COMPRA'!$F$37,Tabla11[[#This Row],[Cuenta]],1))</f>
        <v>1</v>
      </c>
      <c r="V898" t="b">
        <f>+ISNUMBER(SEARCH(#REF!,Tabla11[[#This Row],[Cuenta]],1))</f>
        <v>0</v>
      </c>
      <c r="W898" t="b">
        <f>+ISNUMBER(SEARCH('F-COMPRA'!#REF!,Tabla11[[#This Row],[Cuenta]],1))</f>
        <v>0</v>
      </c>
      <c r="X898" t="b">
        <f>+ISNUMBER(SEARCH('F-COMPRA'!#REF!,Tabla11[[#This Row],[Cuenta]],1))</f>
        <v>0</v>
      </c>
      <c r="Y898" t="b">
        <f>+ISNUMBER(SEARCH('F-COMPRA'!#REF!,Tabla11[[#This Row],[Cuenta]],1))</f>
        <v>0</v>
      </c>
      <c r="Z898" t="b">
        <f>+ISNUMBER(SEARCH('F-COMPRA'!#REF!,Tabla11[[#This Row],[Cuenta]],1))</f>
        <v>0</v>
      </c>
      <c r="AA898" t="b">
        <f>+ISNUMBER(SEARCH('F-COMPRA'!#REF!,Tabla11[[#This Row],[Cuenta]],1))</f>
        <v>0</v>
      </c>
      <c r="AB898" t="b">
        <f>+ISNUMBER(SEARCH('F-COMPRA'!#REF!,Tabla11[[#This Row],[Cuenta]],1))</f>
        <v>0</v>
      </c>
      <c r="AC898" t="b">
        <f>+ISNUMBER(SEARCH('F-COMPRA'!#REF!,Tabla11[[#This Row],[Cuenta]],1))</f>
        <v>0</v>
      </c>
      <c r="AD898" t="b">
        <f>+ISNUMBER(SEARCH('F-COMPRA'!#REF!,Tabla11[[#This Row],[Cuenta]],1))</f>
        <v>0</v>
      </c>
      <c r="AE898" t="b">
        <f>+ISNUMBER(SEARCH('F-COMPRA'!#REF!,Tabla11[[#This Row],[Cuenta]],1))</f>
        <v>0</v>
      </c>
      <c r="AF898" t="b">
        <f>+ISNUMBER(SEARCH('F-VTA'!$G$23,Tabla11[[#This Row],[Cuenta]],1))</f>
        <v>0</v>
      </c>
      <c r="AG898" t="b">
        <f>+ISNUMBER(SEARCH('F-VTA'!$G$24,Tabla11[[#This Row],[Cuenta]],1))</f>
        <v>0</v>
      </c>
      <c r="AH898" t="b">
        <f>+ISNUMBER(SEARCH('F-VTA'!$G$25,Tabla11[[#This Row],[Cuenta]],1))</f>
        <v>0</v>
      </c>
      <c r="AI898" t="b">
        <f>+ISNUMBER(SEARCH('F-VTA'!$F$28,Tabla11[[#This Row],[Cuenta]],1))</f>
        <v>1</v>
      </c>
      <c r="AJ898" t="b">
        <f>+ISNUMBER(SEARCH('F-VTA'!$F$29,Tabla11[[#This Row],[Cuenta]],1))</f>
        <v>1</v>
      </c>
      <c r="AK898" t="b">
        <f>+ISNUMBER(SEARCH('F-VTA'!$F$30,Tabla11[[#This Row],[Cuenta]],1))</f>
        <v>1</v>
      </c>
      <c r="AL898" t="b">
        <f>+ISNUMBER(SEARCH('F-VTA'!$F$31,Tabla11[[#This Row],[Cuenta]],1))</f>
        <v>1</v>
      </c>
      <c r="AM898" t="b">
        <f>+ISNUMBER(SEARCH('F-VTA'!$F$32,Tabla11[[#This Row],[Cuenta]],1))</f>
        <v>1</v>
      </c>
      <c r="AN898" t="b">
        <f>+ISNUMBER(SEARCH('F-VTA'!$F$33,Tabla11[[#This Row],[Cuenta]],1))</f>
        <v>1</v>
      </c>
      <c r="AO898" t="b">
        <f>+ISNUMBER(SEARCH('F-VTA'!$F$34,Tabla11[[#This Row],[Cuenta]],1))</f>
        <v>1</v>
      </c>
      <c r="AP898" t="b">
        <f>+ISNUMBER(SEARCH('F-VTA'!$F$35,Tabla11[[#This Row],[Cuenta]],1))</f>
        <v>1</v>
      </c>
      <c r="AQ898" t="b">
        <f>+ISNUMBER(SEARCH('F-VTA'!$F$36,Tabla11[[#This Row],[Cuenta]],1))</f>
        <v>1</v>
      </c>
      <c r="AR898" t="b">
        <f>+ISNUMBER(SEARCH(#REF!,Tabla11[[#This Row],[Cuenta]],1))</f>
        <v>0</v>
      </c>
      <c r="AS898" t="b">
        <f>+ISNUMBER(SEARCH(#REF!,Tabla11[[#This Row],[Cuenta]],1))</f>
        <v>0</v>
      </c>
      <c r="AT898" t="b">
        <f>+ISNUMBER(SEARCH(#REF!,Tabla11[[#This Row],[Cuenta]],1))</f>
        <v>0</v>
      </c>
      <c r="AU898" t="b">
        <f>+ISNUMBER(SEARCH('Conc. Ban.1'!$I$9,Tabla11[[#This Row],[Cuenta]],1))</f>
        <v>0</v>
      </c>
      <c r="AV898" t="b">
        <f>+ISNUMBER(SEARCH(CompConta!$F$21,Tabla11[[#This Row],[Cuenta]],1))</f>
        <v>1</v>
      </c>
      <c r="AW898" t="b">
        <f>+ISNUMBER(SEARCH(CompConta!$F$22,Tabla11[[#This Row],[Cuenta]],1))</f>
        <v>1</v>
      </c>
      <c r="AX898" t="b">
        <f>+ISNUMBER(SEARCH(CompConta!$F$23,Tabla11[[#This Row],[Cuenta]],1))</f>
        <v>1</v>
      </c>
      <c r="AY898" t="b">
        <f>+ISNUMBER(SEARCH(CompConta!$F$24,Tabla11[[#This Row],[Cuenta]],1))</f>
        <v>1</v>
      </c>
      <c r="AZ898" t="b">
        <f>+ISNUMBER(SEARCH(CompConta!$F$25,Tabla11[[#This Row],[Cuenta]],1))</f>
        <v>1</v>
      </c>
      <c r="BA898" t="b">
        <f>+ISNUMBER(SEARCH(CompConta!$F$26,Tabla11[[#This Row],[Cuenta]],1))</f>
        <v>1</v>
      </c>
      <c r="BB898" t="b">
        <f>+ISNUMBER(SEARCH(CompConta!$F$27,Tabla11[[#This Row],[Cuenta]],1))</f>
        <v>1</v>
      </c>
      <c r="BC898" t="b">
        <f>+ISNUMBER(SEARCH(CompConta!$F$28,Tabla11[[#This Row],[Cuenta]],1))</f>
        <v>1</v>
      </c>
      <c r="BD898" t="b">
        <f>+ISNUMBER(SEARCH(CompConta!$F$29,Tabla11[[#This Row],[Cuenta]],1))</f>
        <v>1</v>
      </c>
      <c r="BE898" t="b">
        <f>+ISNUMBER(SEARCH(CompConta!$F$30,Tabla11[[#This Row],[Cuenta]],1))</f>
        <v>1</v>
      </c>
      <c r="BF898" t="b">
        <f>+ISNUMBER(SEARCH('PAGO Compras'!$E$11,Tabla11[[#This Row],[Cuenta]],1))</f>
        <v>1</v>
      </c>
      <c r="BG898" t="b">
        <f>+ISNUMBER(SEARCH(#REF!,Tabla11[[#This Row],[Cuenta]],1))</f>
        <v>0</v>
      </c>
      <c r="BH898" t="b">
        <f>+ISNUMBER(SEARCH(#REF!,Tabla11[[#This Row],[Cuenta]],1))</f>
        <v>0</v>
      </c>
      <c r="BI898" t="b">
        <f>+ISNUMBER(SEARCH(#REF!,Tabla11[[#This Row],[Cuenta]],1))</f>
        <v>0</v>
      </c>
      <c r="BJ898" t="b">
        <f>+ISNUMBER(SEARCH(#REF!,Tabla11[[#This Row],[Cuenta]],1))</f>
        <v>0</v>
      </c>
      <c r="BS898" t="str">
        <v>515525 Pasajes férreos</v>
      </c>
      <c r="BT898" t="str">
        <v>515525 Pasajes férreos</v>
      </c>
      <c r="BU898" t="str">
        <v>515525 Pasajes férreos</v>
      </c>
      <c r="BV898" t="str">
        <v>515525 Pasajes férreos</v>
      </c>
      <c r="BZ898" t="str">
        <v>515525 Pasajes férreos</v>
      </c>
      <c r="CA898" t="str">
        <v>515525 Pasajes férreos</v>
      </c>
      <c r="CB898" t="str">
        <v>515525 Pasajes férreos</v>
      </c>
      <c r="CC898" t="str">
        <v>515525 Pasajes férreos</v>
      </c>
      <c r="CD898" t="str">
        <v>515525 Pasajes férreos</v>
      </c>
      <c r="CE898" t="str">
        <v>515525 Pasajes férreos</v>
      </c>
      <c r="CS898" s="141" t="str">
        <v>515525 Pasajes férreos</v>
      </c>
      <c r="CT898" s="141" t="str">
        <v>515525 Pasajes férreos</v>
      </c>
      <c r="CU898" s="141" t="str">
        <v>515525 Pasajes férreos</v>
      </c>
      <c r="CV898" s="141" t="str">
        <v>515525 Pasajes férreos</v>
      </c>
      <c r="CW898" s="141" t="str">
        <v>515525 Pasajes férreos</v>
      </c>
      <c r="CX898" s="141" t="str">
        <v>515525 Pasajes férreos</v>
      </c>
      <c r="CY898" s="141" t="str">
        <v>515525 Pasajes férreos</v>
      </c>
      <c r="CZ898" s="141" t="str">
        <v>515525 Pasajes férreos</v>
      </c>
      <c r="DA898" s="141" t="str">
        <v>515525 Pasajes férreos</v>
      </c>
      <c r="DF898" t="str">
        <v>515525 Pasajes férreos</v>
      </c>
      <c r="DG898" t="str">
        <v>515525 Pasajes férreos</v>
      </c>
      <c r="DH898" t="str">
        <v>515525 Pasajes férreos</v>
      </c>
      <c r="DI898" t="str">
        <v>515525 Pasajes férreos</v>
      </c>
      <c r="DJ898" t="str">
        <v>515525 Pasajes férreos</v>
      </c>
      <c r="DK898" t="str">
        <v>515525 Pasajes férreos</v>
      </c>
      <c r="DL898" t="str">
        <v>515525 Pasajes férreos</v>
      </c>
      <c r="DM898" t="str">
        <v>515525 Pasajes férreos</v>
      </c>
      <c r="DN898" t="str">
        <v>515525 Pasajes férreos</v>
      </c>
      <c r="DO898" t="str">
        <v>515525 Pasajes férreos</v>
      </c>
      <c r="DP898" t="str">
        <v>515525 Pasajes férreos</v>
      </c>
    </row>
    <row r="899" spans="4:120" ht="12.75">
      <c r="D899" s="7">
        <v>515595</v>
      </c>
      <c r="E899" s="6" t="s">
        <v>45</v>
      </c>
      <c r="F899" s="5">
        <v>4</v>
      </c>
      <c r="G899" s="34" t="s">
        <v>830</v>
      </c>
      <c r="H899" s="8" t="s">
        <v>32</v>
      </c>
      <c r="I899" t="b">
        <f>+ISNUMBER(SEARCH('F-COMPRA'!$F$28,Tabla11[[#This Row],[Cuenta]],1))</f>
        <v>1</v>
      </c>
      <c r="J899" t="b">
        <f>+ISNUMBER(SEARCH('F-COMPRA'!$F$29,Tabla11[[#This Row],[Cuenta]],1))</f>
        <v>1</v>
      </c>
      <c r="K899" t="b">
        <f>+ISNUMBER(SEARCH('F-COMPRA'!$F$30,Tabla11[[#This Row],[Cuenta]],1))</f>
        <v>1</v>
      </c>
      <c r="L899" t="b">
        <f>+ISNUMBER(SEARCH('F-COMPRA'!$F$31,Tabla11[[#This Row],[Cuenta]],1))</f>
        <v>1</v>
      </c>
      <c r="M899" t="b">
        <f>+ISNUMBER(SEARCH('F-COMPRA'!$G$25,Tabla11[[#This Row],[Cuenta]],1))</f>
        <v>0</v>
      </c>
      <c r="N899" t="b">
        <f>+ISNUMBER(SEARCH(#REF!,Tabla11[[#This Row],[Cuenta]],1))</f>
        <v>0</v>
      </c>
      <c r="O899" t="b">
        <f>+ISNUMBER(SEARCH(#REF!,Tabla11[[#This Row],[Cuenta]],1))</f>
        <v>0</v>
      </c>
      <c r="P899" t="b">
        <f>+ISNUMBER(SEARCH('F-COMPRA'!$F$32,Tabla11[[#This Row],[Cuenta]],1))</f>
        <v>1</v>
      </c>
      <c r="Q899" t="b">
        <f>+ISNUMBER(SEARCH('F-COMPRA'!$F$33,Tabla11[[#This Row],[Cuenta]],1))</f>
        <v>1</v>
      </c>
      <c r="R899" t="b">
        <f>+ISNUMBER(SEARCH('F-COMPRA'!$F$34,Tabla11[[#This Row],[Cuenta]],1))</f>
        <v>1</v>
      </c>
      <c r="S899" t="b">
        <f>+ISNUMBER(SEARCH('F-COMPRA'!$F$35,Tabla11[[#This Row],[Cuenta]],1))</f>
        <v>1</v>
      </c>
      <c r="T899" t="b">
        <f>+ISNUMBER(SEARCH('F-COMPRA'!$F$36,Tabla11[[#This Row],[Cuenta]],1))</f>
        <v>1</v>
      </c>
      <c r="U899" t="b">
        <f>+ISNUMBER(SEARCH('F-COMPRA'!$F$37,Tabla11[[#This Row],[Cuenta]],1))</f>
        <v>1</v>
      </c>
      <c r="V899" t="b">
        <f>+ISNUMBER(SEARCH(#REF!,Tabla11[[#This Row],[Cuenta]],1))</f>
        <v>0</v>
      </c>
      <c r="W899" t="b">
        <f>+ISNUMBER(SEARCH('F-COMPRA'!#REF!,Tabla11[[#This Row],[Cuenta]],1))</f>
        <v>0</v>
      </c>
      <c r="X899" t="b">
        <f>+ISNUMBER(SEARCH('F-COMPRA'!#REF!,Tabla11[[#This Row],[Cuenta]],1))</f>
        <v>0</v>
      </c>
      <c r="Y899" t="b">
        <f>+ISNUMBER(SEARCH('F-COMPRA'!#REF!,Tabla11[[#This Row],[Cuenta]],1))</f>
        <v>0</v>
      </c>
      <c r="Z899" t="b">
        <f>+ISNUMBER(SEARCH('F-COMPRA'!#REF!,Tabla11[[#This Row],[Cuenta]],1))</f>
        <v>0</v>
      </c>
      <c r="AA899" t="b">
        <f>+ISNUMBER(SEARCH('F-COMPRA'!#REF!,Tabla11[[#This Row],[Cuenta]],1))</f>
        <v>0</v>
      </c>
      <c r="AB899" t="b">
        <f>+ISNUMBER(SEARCH('F-COMPRA'!#REF!,Tabla11[[#This Row],[Cuenta]],1))</f>
        <v>0</v>
      </c>
      <c r="AC899" t="b">
        <f>+ISNUMBER(SEARCH('F-COMPRA'!#REF!,Tabla11[[#This Row],[Cuenta]],1))</f>
        <v>0</v>
      </c>
      <c r="AD899" t="b">
        <f>+ISNUMBER(SEARCH('F-COMPRA'!#REF!,Tabla11[[#This Row],[Cuenta]],1))</f>
        <v>0</v>
      </c>
      <c r="AE899" t="b">
        <f>+ISNUMBER(SEARCH('F-COMPRA'!#REF!,Tabla11[[#This Row],[Cuenta]],1))</f>
        <v>0</v>
      </c>
      <c r="AF899" t="b">
        <f>+ISNUMBER(SEARCH('F-VTA'!$G$23,Tabla11[[#This Row],[Cuenta]],1))</f>
        <v>0</v>
      </c>
      <c r="AG899" t="b">
        <f>+ISNUMBER(SEARCH('F-VTA'!$G$24,Tabla11[[#This Row],[Cuenta]],1))</f>
        <v>0</v>
      </c>
      <c r="AH899" t="b">
        <f>+ISNUMBER(SEARCH('F-VTA'!$G$25,Tabla11[[#This Row],[Cuenta]],1))</f>
        <v>0</v>
      </c>
      <c r="AI899" t="b">
        <f>+ISNUMBER(SEARCH('F-VTA'!$F$28,Tabla11[[#This Row],[Cuenta]],1))</f>
        <v>1</v>
      </c>
      <c r="AJ899" t="b">
        <f>+ISNUMBER(SEARCH('F-VTA'!$F$29,Tabla11[[#This Row],[Cuenta]],1))</f>
        <v>1</v>
      </c>
      <c r="AK899" t="b">
        <f>+ISNUMBER(SEARCH('F-VTA'!$F$30,Tabla11[[#This Row],[Cuenta]],1))</f>
        <v>1</v>
      </c>
      <c r="AL899" t="b">
        <f>+ISNUMBER(SEARCH('F-VTA'!$F$31,Tabla11[[#This Row],[Cuenta]],1))</f>
        <v>1</v>
      </c>
      <c r="AM899" t="b">
        <f>+ISNUMBER(SEARCH('F-VTA'!$F$32,Tabla11[[#This Row],[Cuenta]],1))</f>
        <v>1</v>
      </c>
      <c r="AN899" t="b">
        <f>+ISNUMBER(SEARCH('F-VTA'!$F$33,Tabla11[[#This Row],[Cuenta]],1))</f>
        <v>1</v>
      </c>
      <c r="AO899" t="b">
        <f>+ISNUMBER(SEARCH('F-VTA'!$F$34,Tabla11[[#This Row],[Cuenta]],1))</f>
        <v>1</v>
      </c>
      <c r="AP899" t="b">
        <f>+ISNUMBER(SEARCH('F-VTA'!$F$35,Tabla11[[#This Row],[Cuenta]],1))</f>
        <v>1</v>
      </c>
      <c r="AQ899" t="b">
        <f>+ISNUMBER(SEARCH('F-VTA'!$F$36,Tabla11[[#This Row],[Cuenta]],1))</f>
        <v>1</v>
      </c>
      <c r="AR899" t="b">
        <f>+ISNUMBER(SEARCH(#REF!,Tabla11[[#This Row],[Cuenta]],1))</f>
        <v>0</v>
      </c>
      <c r="AS899" t="b">
        <f>+ISNUMBER(SEARCH(#REF!,Tabla11[[#This Row],[Cuenta]],1))</f>
        <v>0</v>
      </c>
      <c r="AT899" t="b">
        <f>+ISNUMBER(SEARCH(#REF!,Tabla11[[#This Row],[Cuenta]],1))</f>
        <v>0</v>
      </c>
      <c r="AU899" t="b">
        <f>+ISNUMBER(SEARCH('Conc. Ban.1'!$I$9,Tabla11[[#This Row],[Cuenta]],1))</f>
        <v>0</v>
      </c>
      <c r="AV899" t="b">
        <f>+ISNUMBER(SEARCH(CompConta!$F$21,Tabla11[[#This Row],[Cuenta]],1))</f>
        <v>1</v>
      </c>
      <c r="AW899" t="b">
        <f>+ISNUMBER(SEARCH(CompConta!$F$22,Tabla11[[#This Row],[Cuenta]],1))</f>
        <v>1</v>
      </c>
      <c r="AX899" t="b">
        <f>+ISNUMBER(SEARCH(CompConta!$F$23,Tabla11[[#This Row],[Cuenta]],1))</f>
        <v>1</v>
      </c>
      <c r="AY899" t="b">
        <f>+ISNUMBER(SEARCH(CompConta!$F$24,Tabla11[[#This Row],[Cuenta]],1))</f>
        <v>1</v>
      </c>
      <c r="AZ899" t="b">
        <f>+ISNUMBER(SEARCH(CompConta!$F$25,Tabla11[[#This Row],[Cuenta]],1))</f>
        <v>1</v>
      </c>
      <c r="BA899" t="b">
        <f>+ISNUMBER(SEARCH(CompConta!$F$26,Tabla11[[#This Row],[Cuenta]],1))</f>
        <v>1</v>
      </c>
      <c r="BB899" t="b">
        <f>+ISNUMBER(SEARCH(CompConta!$F$27,Tabla11[[#This Row],[Cuenta]],1))</f>
        <v>1</v>
      </c>
      <c r="BC899" t="b">
        <f>+ISNUMBER(SEARCH(CompConta!$F$28,Tabla11[[#This Row],[Cuenta]],1))</f>
        <v>1</v>
      </c>
      <c r="BD899" t="b">
        <f>+ISNUMBER(SEARCH(CompConta!$F$29,Tabla11[[#This Row],[Cuenta]],1))</f>
        <v>1</v>
      </c>
      <c r="BE899" t="b">
        <f>+ISNUMBER(SEARCH(CompConta!$F$30,Tabla11[[#This Row],[Cuenta]],1))</f>
        <v>1</v>
      </c>
      <c r="BF899" t="b">
        <f>+ISNUMBER(SEARCH('PAGO Compras'!$E$11,Tabla11[[#This Row],[Cuenta]],1))</f>
        <v>1</v>
      </c>
      <c r="BG899" t="b">
        <f>+ISNUMBER(SEARCH(#REF!,Tabla11[[#This Row],[Cuenta]],1))</f>
        <v>0</v>
      </c>
      <c r="BH899" t="b">
        <f>+ISNUMBER(SEARCH(#REF!,Tabla11[[#This Row],[Cuenta]],1))</f>
        <v>0</v>
      </c>
      <c r="BI899" t="b">
        <f>+ISNUMBER(SEARCH(#REF!,Tabla11[[#This Row],[Cuenta]],1))</f>
        <v>0</v>
      </c>
      <c r="BJ899" t="b">
        <f>+ISNUMBER(SEARCH(#REF!,Tabla11[[#This Row],[Cuenta]],1))</f>
        <v>0</v>
      </c>
      <c r="BS899" t="str">
        <v>515595 Otros</v>
      </c>
      <c r="BT899" t="str">
        <v>515595 Otros</v>
      </c>
      <c r="BU899" t="str">
        <v>515595 Otros</v>
      </c>
      <c r="BV899" t="str">
        <v>515595 Otros</v>
      </c>
      <c r="BZ899" t="str">
        <v>515595 Otros</v>
      </c>
      <c r="CA899" t="str">
        <v>515595 Otros</v>
      </c>
      <c r="CB899" t="str">
        <v>515595 Otros</v>
      </c>
      <c r="CC899" t="str">
        <v>515595 Otros</v>
      </c>
      <c r="CD899" t="str">
        <v>515595 Otros</v>
      </c>
      <c r="CE899" t="str">
        <v>515595 Otros</v>
      </c>
      <c r="CS899" s="141" t="str">
        <v>515595 Otros</v>
      </c>
      <c r="CT899" s="141" t="str">
        <v>515595 Otros</v>
      </c>
      <c r="CU899" s="141" t="str">
        <v>515595 Otros</v>
      </c>
      <c r="CV899" s="141" t="str">
        <v>515595 Otros</v>
      </c>
      <c r="CW899" s="141" t="str">
        <v>515595 Otros</v>
      </c>
      <c r="CX899" s="141" t="str">
        <v>515595 Otros</v>
      </c>
      <c r="CY899" s="141" t="str">
        <v>515595 Otros</v>
      </c>
      <c r="CZ899" s="141" t="str">
        <v>515595 Otros</v>
      </c>
      <c r="DA899" s="141" t="str">
        <v>515595 Otros</v>
      </c>
      <c r="DF899" t="str">
        <v>515595 Otros</v>
      </c>
      <c r="DG899" t="str">
        <v>515595 Otros</v>
      </c>
      <c r="DH899" t="str">
        <v>515595 Otros</v>
      </c>
      <c r="DI899" t="str">
        <v>515595 Otros</v>
      </c>
      <c r="DJ899" t="str">
        <v>515595 Otros</v>
      </c>
      <c r="DK899" t="str">
        <v>515595 Otros</v>
      </c>
      <c r="DL899" t="str">
        <v>515595 Otros</v>
      </c>
      <c r="DM899" t="str">
        <v>515595 Otros</v>
      </c>
      <c r="DN899" t="str">
        <v>515595 Otros</v>
      </c>
      <c r="DO899" t="str">
        <v>515595 Otros</v>
      </c>
      <c r="DP899" t="str">
        <v>515595 Otros</v>
      </c>
    </row>
    <row r="900" spans="4:120" ht="12.75">
      <c r="D900" s="7">
        <v>515599</v>
      </c>
      <c r="E900" s="6" t="s">
        <v>93</v>
      </c>
      <c r="F900" s="5">
        <v>4</v>
      </c>
      <c r="G900" s="34" t="s">
        <v>830</v>
      </c>
      <c r="H900" s="8" t="s">
        <v>32</v>
      </c>
      <c r="I900" t="b">
        <f>+ISNUMBER(SEARCH('F-COMPRA'!$F$28,Tabla11[[#This Row],[Cuenta]],1))</f>
        <v>1</v>
      </c>
      <c r="J900" t="b">
        <f>+ISNUMBER(SEARCH('F-COMPRA'!$F$29,Tabla11[[#This Row],[Cuenta]],1))</f>
        <v>1</v>
      </c>
      <c r="K900" t="b">
        <f>+ISNUMBER(SEARCH('F-COMPRA'!$F$30,Tabla11[[#This Row],[Cuenta]],1))</f>
        <v>1</v>
      </c>
      <c r="L900" t="b">
        <f>+ISNUMBER(SEARCH('F-COMPRA'!$F$31,Tabla11[[#This Row],[Cuenta]],1))</f>
        <v>1</v>
      </c>
      <c r="M900" t="b">
        <f>+ISNUMBER(SEARCH('F-COMPRA'!$G$25,Tabla11[[#This Row],[Cuenta]],1))</f>
        <v>0</v>
      </c>
      <c r="N900" t="b">
        <f>+ISNUMBER(SEARCH(#REF!,Tabla11[[#This Row],[Cuenta]],1))</f>
        <v>0</v>
      </c>
      <c r="O900" t="b">
        <f>+ISNUMBER(SEARCH(#REF!,Tabla11[[#This Row],[Cuenta]],1))</f>
        <v>0</v>
      </c>
      <c r="P900" t="b">
        <f>+ISNUMBER(SEARCH('F-COMPRA'!$F$32,Tabla11[[#This Row],[Cuenta]],1))</f>
        <v>1</v>
      </c>
      <c r="Q900" t="b">
        <f>+ISNUMBER(SEARCH('F-COMPRA'!$F$33,Tabla11[[#This Row],[Cuenta]],1))</f>
        <v>1</v>
      </c>
      <c r="R900" t="b">
        <f>+ISNUMBER(SEARCH('F-COMPRA'!$F$34,Tabla11[[#This Row],[Cuenta]],1))</f>
        <v>1</v>
      </c>
      <c r="S900" t="b">
        <f>+ISNUMBER(SEARCH('F-COMPRA'!$F$35,Tabla11[[#This Row],[Cuenta]],1))</f>
        <v>1</v>
      </c>
      <c r="T900" t="b">
        <f>+ISNUMBER(SEARCH('F-COMPRA'!$F$36,Tabla11[[#This Row],[Cuenta]],1))</f>
        <v>1</v>
      </c>
      <c r="U900" t="b">
        <f>+ISNUMBER(SEARCH('F-COMPRA'!$F$37,Tabla11[[#This Row],[Cuenta]],1))</f>
        <v>1</v>
      </c>
      <c r="V900" t="b">
        <f>+ISNUMBER(SEARCH(#REF!,Tabla11[[#This Row],[Cuenta]],1))</f>
        <v>0</v>
      </c>
      <c r="W900" t="b">
        <f>+ISNUMBER(SEARCH('F-COMPRA'!#REF!,Tabla11[[#This Row],[Cuenta]],1))</f>
        <v>0</v>
      </c>
      <c r="X900" t="b">
        <f>+ISNUMBER(SEARCH('F-COMPRA'!#REF!,Tabla11[[#This Row],[Cuenta]],1))</f>
        <v>0</v>
      </c>
      <c r="Y900" t="b">
        <f>+ISNUMBER(SEARCH('F-COMPRA'!#REF!,Tabla11[[#This Row],[Cuenta]],1))</f>
        <v>0</v>
      </c>
      <c r="Z900" t="b">
        <f>+ISNUMBER(SEARCH('F-COMPRA'!#REF!,Tabla11[[#This Row],[Cuenta]],1))</f>
        <v>0</v>
      </c>
      <c r="AA900" t="b">
        <f>+ISNUMBER(SEARCH('F-COMPRA'!#REF!,Tabla11[[#This Row],[Cuenta]],1))</f>
        <v>0</v>
      </c>
      <c r="AB900" t="b">
        <f>+ISNUMBER(SEARCH('F-COMPRA'!#REF!,Tabla11[[#This Row],[Cuenta]],1))</f>
        <v>0</v>
      </c>
      <c r="AC900" t="b">
        <f>+ISNUMBER(SEARCH('F-COMPRA'!#REF!,Tabla11[[#This Row],[Cuenta]],1))</f>
        <v>0</v>
      </c>
      <c r="AD900" t="b">
        <f>+ISNUMBER(SEARCH('F-COMPRA'!#REF!,Tabla11[[#This Row],[Cuenta]],1))</f>
        <v>0</v>
      </c>
      <c r="AE900" t="b">
        <f>+ISNUMBER(SEARCH('F-COMPRA'!#REF!,Tabla11[[#This Row],[Cuenta]],1))</f>
        <v>0</v>
      </c>
      <c r="AF900" t="b">
        <f>+ISNUMBER(SEARCH('F-VTA'!$G$23,Tabla11[[#This Row],[Cuenta]],1))</f>
        <v>0</v>
      </c>
      <c r="AG900" t="b">
        <f>+ISNUMBER(SEARCH('F-VTA'!$G$24,Tabla11[[#This Row],[Cuenta]],1))</f>
        <v>0</v>
      </c>
      <c r="AH900" t="b">
        <f>+ISNUMBER(SEARCH('F-VTA'!$G$25,Tabla11[[#This Row],[Cuenta]],1))</f>
        <v>0</v>
      </c>
      <c r="AI900" t="b">
        <f>+ISNUMBER(SEARCH('F-VTA'!$F$28,Tabla11[[#This Row],[Cuenta]],1))</f>
        <v>1</v>
      </c>
      <c r="AJ900" t="b">
        <f>+ISNUMBER(SEARCH('F-VTA'!$F$29,Tabla11[[#This Row],[Cuenta]],1))</f>
        <v>1</v>
      </c>
      <c r="AK900" t="b">
        <f>+ISNUMBER(SEARCH('F-VTA'!$F$30,Tabla11[[#This Row],[Cuenta]],1))</f>
        <v>1</v>
      </c>
      <c r="AL900" t="b">
        <f>+ISNUMBER(SEARCH('F-VTA'!$F$31,Tabla11[[#This Row],[Cuenta]],1))</f>
        <v>1</v>
      </c>
      <c r="AM900" t="b">
        <f>+ISNUMBER(SEARCH('F-VTA'!$F$32,Tabla11[[#This Row],[Cuenta]],1))</f>
        <v>1</v>
      </c>
      <c r="AN900" t="b">
        <f>+ISNUMBER(SEARCH('F-VTA'!$F$33,Tabla11[[#This Row],[Cuenta]],1))</f>
        <v>1</v>
      </c>
      <c r="AO900" t="b">
        <f>+ISNUMBER(SEARCH('F-VTA'!$F$34,Tabla11[[#This Row],[Cuenta]],1))</f>
        <v>1</v>
      </c>
      <c r="AP900" t="b">
        <f>+ISNUMBER(SEARCH('F-VTA'!$F$35,Tabla11[[#This Row],[Cuenta]],1))</f>
        <v>1</v>
      </c>
      <c r="AQ900" t="b">
        <f>+ISNUMBER(SEARCH('F-VTA'!$F$36,Tabla11[[#This Row],[Cuenta]],1))</f>
        <v>1</v>
      </c>
      <c r="AR900" t="b">
        <f>+ISNUMBER(SEARCH(#REF!,Tabla11[[#This Row],[Cuenta]],1))</f>
        <v>0</v>
      </c>
      <c r="AS900" t="b">
        <f>+ISNUMBER(SEARCH(#REF!,Tabla11[[#This Row],[Cuenta]],1))</f>
        <v>0</v>
      </c>
      <c r="AT900" t="b">
        <f>+ISNUMBER(SEARCH(#REF!,Tabla11[[#This Row],[Cuenta]],1))</f>
        <v>0</v>
      </c>
      <c r="AU900" t="b">
        <f>+ISNUMBER(SEARCH('Conc. Ban.1'!$I$9,Tabla11[[#This Row],[Cuenta]],1))</f>
        <v>0</v>
      </c>
      <c r="AV900" t="b">
        <f>+ISNUMBER(SEARCH(CompConta!$F$21,Tabla11[[#This Row],[Cuenta]],1))</f>
        <v>1</v>
      </c>
      <c r="AW900" t="b">
        <f>+ISNUMBER(SEARCH(CompConta!$F$22,Tabla11[[#This Row],[Cuenta]],1))</f>
        <v>1</v>
      </c>
      <c r="AX900" t="b">
        <f>+ISNUMBER(SEARCH(CompConta!$F$23,Tabla11[[#This Row],[Cuenta]],1))</f>
        <v>1</v>
      </c>
      <c r="AY900" t="b">
        <f>+ISNUMBER(SEARCH(CompConta!$F$24,Tabla11[[#This Row],[Cuenta]],1))</f>
        <v>1</v>
      </c>
      <c r="AZ900" t="b">
        <f>+ISNUMBER(SEARCH(CompConta!$F$25,Tabla11[[#This Row],[Cuenta]],1))</f>
        <v>1</v>
      </c>
      <c r="BA900" t="b">
        <f>+ISNUMBER(SEARCH(CompConta!$F$26,Tabla11[[#This Row],[Cuenta]],1))</f>
        <v>1</v>
      </c>
      <c r="BB900" t="b">
        <f>+ISNUMBER(SEARCH(CompConta!$F$27,Tabla11[[#This Row],[Cuenta]],1))</f>
        <v>1</v>
      </c>
      <c r="BC900" t="b">
        <f>+ISNUMBER(SEARCH(CompConta!$F$28,Tabla11[[#This Row],[Cuenta]],1))</f>
        <v>1</v>
      </c>
      <c r="BD900" t="b">
        <f>+ISNUMBER(SEARCH(CompConta!$F$29,Tabla11[[#This Row],[Cuenta]],1))</f>
        <v>1</v>
      </c>
      <c r="BE900" t="b">
        <f>+ISNUMBER(SEARCH(CompConta!$F$30,Tabla11[[#This Row],[Cuenta]],1))</f>
        <v>1</v>
      </c>
      <c r="BF900" t="b">
        <f>+ISNUMBER(SEARCH('PAGO Compras'!$E$11,Tabla11[[#This Row],[Cuenta]],1))</f>
        <v>1</v>
      </c>
      <c r="BG900" t="b">
        <f>+ISNUMBER(SEARCH(#REF!,Tabla11[[#This Row],[Cuenta]],1))</f>
        <v>0</v>
      </c>
      <c r="BH900" t="b">
        <f>+ISNUMBER(SEARCH(#REF!,Tabla11[[#This Row],[Cuenta]],1))</f>
        <v>0</v>
      </c>
      <c r="BI900" t="b">
        <f>+ISNUMBER(SEARCH(#REF!,Tabla11[[#This Row],[Cuenta]],1))</f>
        <v>0</v>
      </c>
      <c r="BJ900" t="b">
        <f>+ISNUMBER(SEARCH(#REF!,Tabla11[[#This Row],[Cuenta]],1))</f>
        <v>0</v>
      </c>
      <c r="BS900" t="str">
        <v>515599 *Ajustes por inflación</v>
      </c>
      <c r="BT900" t="str">
        <v>515599 *Ajustes por inflación</v>
      </c>
      <c r="BU900" t="str">
        <v>515599 *Ajustes por inflación</v>
      </c>
      <c r="BV900" t="str">
        <v>515599 *Ajustes por inflación</v>
      </c>
      <c r="BZ900" t="str">
        <v>515599 *Ajustes por inflación</v>
      </c>
      <c r="CA900" t="str">
        <v>515599 *Ajustes por inflación</v>
      </c>
      <c r="CB900" t="str">
        <v>515599 *Ajustes por inflación</v>
      </c>
      <c r="CC900" t="str">
        <v>515599 *Ajustes por inflación</v>
      </c>
      <c r="CD900" t="str">
        <v>515599 *Ajustes por inflación</v>
      </c>
      <c r="CE900" t="str">
        <v>515599 *Ajustes por inflación</v>
      </c>
      <c r="CS900" s="141" t="str">
        <v>515599 *Ajustes por inflación</v>
      </c>
      <c r="CT900" s="141" t="str">
        <v>515599 *Ajustes por inflación</v>
      </c>
      <c r="CU900" s="141" t="str">
        <v>515599 *Ajustes por inflación</v>
      </c>
      <c r="CV900" s="141" t="str">
        <v>515599 *Ajustes por inflación</v>
      </c>
      <c r="CW900" s="141" t="str">
        <v>515599 *Ajustes por inflación</v>
      </c>
      <c r="CX900" s="141" t="str">
        <v>515599 *Ajustes por inflación</v>
      </c>
      <c r="CY900" s="141" t="str">
        <v>515599 *Ajustes por inflación</v>
      </c>
      <c r="CZ900" s="141" t="str">
        <v>515599 *Ajustes por inflación</v>
      </c>
      <c r="DA900" s="141" t="str">
        <v>515599 *Ajustes por inflación</v>
      </c>
      <c r="DF900" t="str">
        <v>515599 *Ajustes por inflación</v>
      </c>
      <c r="DG900" t="str">
        <v>515599 *Ajustes por inflación</v>
      </c>
      <c r="DH900" t="str">
        <v>515599 *Ajustes por inflación</v>
      </c>
      <c r="DI900" t="str">
        <v>515599 *Ajustes por inflación</v>
      </c>
      <c r="DJ900" t="str">
        <v>515599 *Ajustes por inflación</v>
      </c>
      <c r="DK900" t="str">
        <v>515599 *Ajustes por inflación</v>
      </c>
      <c r="DL900" t="str">
        <v>515599 *Ajustes por inflación</v>
      </c>
      <c r="DM900" t="str">
        <v>515599 *Ajustes por inflación</v>
      </c>
      <c r="DN900" t="str">
        <v>515599 *Ajustes por inflación</v>
      </c>
      <c r="DO900" t="str">
        <v>515599 *Ajustes por inflación</v>
      </c>
      <c r="DP900" t="str">
        <v>515599 *Ajustes por inflación</v>
      </c>
    </row>
    <row r="901" spans="4:120" ht="12.75">
      <c r="D901" s="7">
        <v>5160</v>
      </c>
      <c r="E901" s="6" t="s">
        <v>610</v>
      </c>
      <c r="F901" s="5">
        <v>3</v>
      </c>
      <c r="G901" s="34" t="s">
        <v>830</v>
      </c>
      <c r="H901" s="8" t="s">
        <v>32</v>
      </c>
      <c r="I901" t="b">
        <f>+ISNUMBER(SEARCH('F-COMPRA'!$F$28,Tabla11[[#This Row],[Cuenta]],1))</f>
        <v>1</v>
      </c>
      <c r="J901" t="b">
        <f>+ISNUMBER(SEARCH('F-COMPRA'!$F$29,Tabla11[[#This Row],[Cuenta]],1))</f>
        <v>1</v>
      </c>
      <c r="K901" t="b">
        <f>+ISNUMBER(SEARCH('F-COMPRA'!$F$30,Tabla11[[#This Row],[Cuenta]],1))</f>
        <v>1</v>
      </c>
      <c r="L901" t="b">
        <f>+ISNUMBER(SEARCH('F-COMPRA'!$F$31,Tabla11[[#This Row],[Cuenta]],1))</f>
        <v>1</v>
      </c>
      <c r="M901" t="b">
        <f>+ISNUMBER(SEARCH('F-COMPRA'!$G$25,Tabla11[[#This Row],[Cuenta]],1))</f>
        <v>0</v>
      </c>
      <c r="N901" t="b">
        <f>+ISNUMBER(SEARCH(#REF!,Tabla11[[#This Row],[Cuenta]],1))</f>
        <v>0</v>
      </c>
      <c r="O901" t="b">
        <f>+ISNUMBER(SEARCH(#REF!,Tabla11[[#This Row],[Cuenta]],1))</f>
        <v>0</v>
      </c>
      <c r="P901" t="b">
        <f>+ISNUMBER(SEARCH('F-COMPRA'!$F$32,Tabla11[[#This Row],[Cuenta]],1))</f>
        <v>1</v>
      </c>
      <c r="Q901" t="b">
        <f>+ISNUMBER(SEARCH('F-COMPRA'!$F$33,Tabla11[[#This Row],[Cuenta]],1))</f>
        <v>1</v>
      </c>
      <c r="R901" t="b">
        <f>+ISNUMBER(SEARCH('F-COMPRA'!$F$34,Tabla11[[#This Row],[Cuenta]],1))</f>
        <v>1</v>
      </c>
      <c r="S901" t="b">
        <f>+ISNUMBER(SEARCH('F-COMPRA'!$F$35,Tabla11[[#This Row],[Cuenta]],1))</f>
        <v>1</v>
      </c>
      <c r="T901" t="b">
        <f>+ISNUMBER(SEARCH('F-COMPRA'!$F$36,Tabla11[[#This Row],[Cuenta]],1))</f>
        <v>1</v>
      </c>
      <c r="U901" t="b">
        <f>+ISNUMBER(SEARCH('F-COMPRA'!$F$37,Tabla11[[#This Row],[Cuenta]],1))</f>
        <v>1</v>
      </c>
      <c r="V901" t="b">
        <f>+ISNUMBER(SEARCH(#REF!,Tabla11[[#This Row],[Cuenta]],1))</f>
        <v>0</v>
      </c>
      <c r="W901" t="b">
        <f>+ISNUMBER(SEARCH('F-COMPRA'!#REF!,Tabla11[[#This Row],[Cuenta]],1))</f>
        <v>0</v>
      </c>
      <c r="X901" t="b">
        <f>+ISNUMBER(SEARCH('F-COMPRA'!#REF!,Tabla11[[#This Row],[Cuenta]],1))</f>
        <v>0</v>
      </c>
      <c r="Y901" t="b">
        <f>+ISNUMBER(SEARCH('F-COMPRA'!#REF!,Tabla11[[#This Row],[Cuenta]],1))</f>
        <v>0</v>
      </c>
      <c r="Z901" t="b">
        <f>+ISNUMBER(SEARCH('F-COMPRA'!#REF!,Tabla11[[#This Row],[Cuenta]],1))</f>
        <v>0</v>
      </c>
      <c r="AA901" t="b">
        <f>+ISNUMBER(SEARCH('F-COMPRA'!#REF!,Tabla11[[#This Row],[Cuenta]],1))</f>
        <v>0</v>
      </c>
      <c r="AB901" t="b">
        <f>+ISNUMBER(SEARCH('F-COMPRA'!#REF!,Tabla11[[#This Row],[Cuenta]],1))</f>
        <v>0</v>
      </c>
      <c r="AC901" t="b">
        <f>+ISNUMBER(SEARCH('F-COMPRA'!#REF!,Tabla11[[#This Row],[Cuenta]],1))</f>
        <v>0</v>
      </c>
      <c r="AD901" t="b">
        <f>+ISNUMBER(SEARCH('F-COMPRA'!#REF!,Tabla11[[#This Row],[Cuenta]],1))</f>
        <v>0</v>
      </c>
      <c r="AE901" t="b">
        <f>+ISNUMBER(SEARCH('F-COMPRA'!#REF!,Tabla11[[#This Row],[Cuenta]],1))</f>
        <v>0</v>
      </c>
      <c r="AF901" t="b">
        <f>+ISNUMBER(SEARCH('F-VTA'!$G$23,Tabla11[[#This Row],[Cuenta]],1))</f>
        <v>0</v>
      </c>
      <c r="AG901" t="b">
        <f>+ISNUMBER(SEARCH('F-VTA'!$G$24,Tabla11[[#This Row],[Cuenta]],1))</f>
        <v>0</v>
      </c>
      <c r="AH901" t="b">
        <f>+ISNUMBER(SEARCH('F-VTA'!$G$25,Tabla11[[#This Row],[Cuenta]],1))</f>
        <v>0</v>
      </c>
      <c r="AI901" t="b">
        <f>+ISNUMBER(SEARCH('F-VTA'!$F$28,Tabla11[[#This Row],[Cuenta]],1))</f>
        <v>1</v>
      </c>
      <c r="AJ901" t="b">
        <f>+ISNUMBER(SEARCH('F-VTA'!$F$29,Tabla11[[#This Row],[Cuenta]],1))</f>
        <v>1</v>
      </c>
      <c r="AK901" t="b">
        <f>+ISNUMBER(SEARCH('F-VTA'!$F$30,Tabla11[[#This Row],[Cuenta]],1))</f>
        <v>1</v>
      </c>
      <c r="AL901" t="b">
        <f>+ISNUMBER(SEARCH('F-VTA'!$F$31,Tabla11[[#This Row],[Cuenta]],1))</f>
        <v>1</v>
      </c>
      <c r="AM901" t="b">
        <f>+ISNUMBER(SEARCH('F-VTA'!$F$32,Tabla11[[#This Row],[Cuenta]],1))</f>
        <v>1</v>
      </c>
      <c r="AN901" t="b">
        <f>+ISNUMBER(SEARCH('F-VTA'!$F$33,Tabla11[[#This Row],[Cuenta]],1))</f>
        <v>1</v>
      </c>
      <c r="AO901" t="b">
        <f>+ISNUMBER(SEARCH('F-VTA'!$F$34,Tabla11[[#This Row],[Cuenta]],1))</f>
        <v>1</v>
      </c>
      <c r="AP901" t="b">
        <f>+ISNUMBER(SEARCH('F-VTA'!$F$35,Tabla11[[#This Row],[Cuenta]],1))</f>
        <v>1</v>
      </c>
      <c r="AQ901" t="b">
        <f>+ISNUMBER(SEARCH('F-VTA'!$F$36,Tabla11[[#This Row],[Cuenta]],1))</f>
        <v>1</v>
      </c>
      <c r="AR901" t="b">
        <f>+ISNUMBER(SEARCH(#REF!,Tabla11[[#This Row],[Cuenta]],1))</f>
        <v>0</v>
      </c>
      <c r="AS901" t="b">
        <f>+ISNUMBER(SEARCH(#REF!,Tabla11[[#This Row],[Cuenta]],1))</f>
        <v>0</v>
      </c>
      <c r="AT901" t="b">
        <f>+ISNUMBER(SEARCH(#REF!,Tabla11[[#This Row],[Cuenta]],1))</f>
        <v>0</v>
      </c>
      <c r="AU901" t="b">
        <f>+ISNUMBER(SEARCH('Conc. Ban.1'!$I$9,Tabla11[[#This Row],[Cuenta]],1))</f>
        <v>0</v>
      </c>
      <c r="AV901" t="b">
        <f>+ISNUMBER(SEARCH(CompConta!$F$21,Tabla11[[#This Row],[Cuenta]],1))</f>
        <v>1</v>
      </c>
      <c r="AW901" t="b">
        <f>+ISNUMBER(SEARCH(CompConta!$F$22,Tabla11[[#This Row],[Cuenta]],1))</f>
        <v>1</v>
      </c>
      <c r="AX901" t="b">
        <f>+ISNUMBER(SEARCH(CompConta!$F$23,Tabla11[[#This Row],[Cuenta]],1))</f>
        <v>1</v>
      </c>
      <c r="AY901" t="b">
        <f>+ISNUMBER(SEARCH(CompConta!$F$24,Tabla11[[#This Row],[Cuenta]],1))</f>
        <v>1</v>
      </c>
      <c r="AZ901" t="b">
        <f>+ISNUMBER(SEARCH(CompConta!$F$25,Tabla11[[#This Row],[Cuenta]],1))</f>
        <v>1</v>
      </c>
      <c r="BA901" t="b">
        <f>+ISNUMBER(SEARCH(CompConta!$F$26,Tabla11[[#This Row],[Cuenta]],1))</f>
        <v>1</v>
      </c>
      <c r="BB901" t="b">
        <f>+ISNUMBER(SEARCH(CompConta!$F$27,Tabla11[[#This Row],[Cuenta]],1))</f>
        <v>1</v>
      </c>
      <c r="BC901" t="b">
        <f>+ISNUMBER(SEARCH(CompConta!$F$28,Tabla11[[#This Row],[Cuenta]],1))</f>
        <v>1</v>
      </c>
      <c r="BD901" t="b">
        <f>+ISNUMBER(SEARCH(CompConta!$F$29,Tabla11[[#This Row],[Cuenta]],1))</f>
        <v>1</v>
      </c>
      <c r="BE901" t="b">
        <f>+ISNUMBER(SEARCH(CompConta!$F$30,Tabla11[[#This Row],[Cuenta]],1))</f>
        <v>1</v>
      </c>
      <c r="BF901" t="b">
        <f>+ISNUMBER(SEARCH('PAGO Compras'!$E$11,Tabla11[[#This Row],[Cuenta]],1))</f>
        <v>1</v>
      </c>
      <c r="BG901" t="b">
        <f>+ISNUMBER(SEARCH(#REF!,Tabla11[[#This Row],[Cuenta]],1))</f>
        <v>0</v>
      </c>
      <c r="BH901" t="b">
        <f>+ISNUMBER(SEARCH(#REF!,Tabla11[[#This Row],[Cuenta]],1))</f>
        <v>0</v>
      </c>
      <c r="BI901" t="b">
        <f>+ISNUMBER(SEARCH(#REF!,Tabla11[[#This Row],[Cuenta]],1))</f>
        <v>0</v>
      </c>
      <c r="BJ901" t="b">
        <f>+ISNUMBER(SEARCH(#REF!,Tabla11[[#This Row],[Cuenta]],1))</f>
        <v>0</v>
      </c>
      <c r="BS901" t="str">
        <v>5160 DEPRECIACIONES</v>
      </c>
      <c r="BT901" t="str">
        <v>5160 DEPRECIACIONES</v>
      </c>
      <c r="BU901" t="str">
        <v>5160 DEPRECIACIONES</v>
      </c>
      <c r="BV901" t="str">
        <v>5160 DEPRECIACIONES</v>
      </c>
      <c r="BZ901" t="str">
        <v>5160 DEPRECIACIONES</v>
      </c>
      <c r="CA901" t="str">
        <v>5160 DEPRECIACIONES</v>
      </c>
      <c r="CB901" t="str">
        <v>5160 DEPRECIACIONES</v>
      </c>
      <c r="CC901" t="str">
        <v>5160 DEPRECIACIONES</v>
      </c>
      <c r="CD901" t="str">
        <v>5160 DEPRECIACIONES</v>
      </c>
      <c r="CE901" t="str">
        <v>5160 DEPRECIACIONES</v>
      </c>
      <c r="CS901" s="141" t="str">
        <v>5160 DEPRECIACIONES</v>
      </c>
      <c r="CT901" s="141" t="str">
        <v>5160 DEPRECIACIONES</v>
      </c>
      <c r="CU901" s="141" t="str">
        <v>5160 DEPRECIACIONES</v>
      </c>
      <c r="CV901" s="141" t="str">
        <v>5160 DEPRECIACIONES</v>
      </c>
      <c r="CW901" s="141" t="str">
        <v>5160 DEPRECIACIONES</v>
      </c>
      <c r="CX901" s="141" t="str">
        <v>5160 DEPRECIACIONES</v>
      </c>
      <c r="CY901" s="141" t="str">
        <v>5160 DEPRECIACIONES</v>
      </c>
      <c r="CZ901" s="141" t="str">
        <v>5160 DEPRECIACIONES</v>
      </c>
      <c r="DA901" s="141" t="str">
        <v>5160 DEPRECIACIONES</v>
      </c>
      <c r="DF901" t="str">
        <v>5160 DEPRECIACIONES</v>
      </c>
      <c r="DG901" t="str">
        <v>5160 DEPRECIACIONES</v>
      </c>
      <c r="DH901" t="str">
        <v>5160 DEPRECIACIONES</v>
      </c>
      <c r="DI901" t="str">
        <v>5160 DEPRECIACIONES</v>
      </c>
      <c r="DJ901" t="str">
        <v>5160 DEPRECIACIONES</v>
      </c>
      <c r="DK901" t="str">
        <v>5160 DEPRECIACIONES</v>
      </c>
      <c r="DL901" t="str">
        <v>5160 DEPRECIACIONES</v>
      </c>
      <c r="DM901" t="str">
        <v>5160 DEPRECIACIONES</v>
      </c>
      <c r="DN901" t="str">
        <v>5160 DEPRECIACIONES</v>
      </c>
      <c r="DO901" t="str">
        <v>5160 DEPRECIACIONES</v>
      </c>
      <c r="DP901" t="str">
        <v>5160 DEPRECIACIONES</v>
      </c>
    </row>
    <row r="902" spans="4:120" ht="12.75">
      <c r="D902" s="7">
        <v>516005</v>
      </c>
      <c r="E902" s="6" t="s">
        <v>121</v>
      </c>
      <c r="F902" s="5">
        <v>4</v>
      </c>
      <c r="G902" s="34" t="s">
        <v>830</v>
      </c>
      <c r="H902" s="8" t="s">
        <v>32</v>
      </c>
      <c r="I902" t="b">
        <f>+ISNUMBER(SEARCH('F-COMPRA'!$F$28,Tabla11[[#This Row],[Cuenta]],1))</f>
        <v>1</v>
      </c>
      <c r="J902" t="b">
        <f>+ISNUMBER(SEARCH('F-COMPRA'!$F$29,Tabla11[[#This Row],[Cuenta]],1))</f>
        <v>1</v>
      </c>
      <c r="K902" t="b">
        <f>+ISNUMBER(SEARCH('F-COMPRA'!$F$30,Tabla11[[#This Row],[Cuenta]],1))</f>
        <v>1</v>
      </c>
      <c r="L902" t="b">
        <f>+ISNUMBER(SEARCH('F-COMPRA'!$F$31,Tabla11[[#This Row],[Cuenta]],1))</f>
        <v>1</v>
      </c>
      <c r="M902" t="b">
        <f>+ISNUMBER(SEARCH('F-COMPRA'!$G$25,Tabla11[[#This Row],[Cuenta]],1))</f>
        <v>0</v>
      </c>
      <c r="N902" t="b">
        <f>+ISNUMBER(SEARCH(#REF!,Tabla11[[#This Row],[Cuenta]],1))</f>
        <v>0</v>
      </c>
      <c r="O902" t="b">
        <f>+ISNUMBER(SEARCH(#REF!,Tabla11[[#This Row],[Cuenta]],1))</f>
        <v>0</v>
      </c>
      <c r="P902" t="b">
        <f>+ISNUMBER(SEARCH('F-COMPRA'!$F$32,Tabla11[[#This Row],[Cuenta]],1))</f>
        <v>1</v>
      </c>
      <c r="Q902" t="b">
        <f>+ISNUMBER(SEARCH('F-COMPRA'!$F$33,Tabla11[[#This Row],[Cuenta]],1))</f>
        <v>1</v>
      </c>
      <c r="R902" t="b">
        <f>+ISNUMBER(SEARCH('F-COMPRA'!$F$34,Tabla11[[#This Row],[Cuenta]],1))</f>
        <v>1</v>
      </c>
      <c r="S902" t="b">
        <f>+ISNUMBER(SEARCH('F-COMPRA'!$F$35,Tabla11[[#This Row],[Cuenta]],1))</f>
        <v>1</v>
      </c>
      <c r="T902" t="b">
        <f>+ISNUMBER(SEARCH('F-COMPRA'!$F$36,Tabla11[[#This Row],[Cuenta]],1))</f>
        <v>1</v>
      </c>
      <c r="U902" t="b">
        <f>+ISNUMBER(SEARCH('F-COMPRA'!$F$37,Tabla11[[#This Row],[Cuenta]],1))</f>
        <v>1</v>
      </c>
      <c r="V902" t="b">
        <f>+ISNUMBER(SEARCH(#REF!,Tabla11[[#This Row],[Cuenta]],1))</f>
        <v>0</v>
      </c>
      <c r="W902" t="b">
        <f>+ISNUMBER(SEARCH('F-COMPRA'!#REF!,Tabla11[[#This Row],[Cuenta]],1))</f>
        <v>0</v>
      </c>
      <c r="X902" t="b">
        <f>+ISNUMBER(SEARCH('F-COMPRA'!#REF!,Tabla11[[#This Row],[Cuenta]],1))</f>
        <v>0</v>
      </c>
      <c r="Y902" t="b">
        <f>+ISNUMBER(SEARCH('F-COMPRA'!#REF!,Tabla11[[#This Row],[Cuenta]],1))</f>
        <v>0</v>
      </c>
      <c r="Z902" t="b">
        <f>+ISNUMBER(SEARCH('F-COMPRA'!#REF!,Tabla11[[#This Row],[Cuenta]],1))</f>
        <v>0</v>
      </c>
      <c r="AA902" t="b">
        <f>+ISNUMBER(SEARCH('F-COMPRA'!#REF!,Tabla11[[#This Row],[Cuenta]],1))</f>
        <v>0</v>
      </c>
      <c r="AB902" t="b">
        <f>+ISNUMBER(SEARCH('F-COMPRA'!#REF!,Tabla11[[#This Row],[Cuenta]],1))</f>
        <v>0</v>
      </c>
      <c r="AC902" t="b">
        <f>+ISNUMBER(SEARCH('F-COMPRA'!#REF!,Tabla11[[#This Row],[Cuenta]],1))</f>
        <v>0</v>
      </c>
      <c r="AD902" t="b">
        <f>+ISNUMBER(SEARCH('F-COMPRA'!#REF!,Tabla11[[#This Row],[Cuenta]],1))</f>
        <v>0</v>
      </c>
      <c r="AE902" t="b">
        <f>+ISNUMBER(SEARCH('F-COMPRA'!#REF!,Tabla11[[#This Row],[Cuenta]],1))</f>
        <v>0</v>
      </c>
      <c r="AF902" t="b">
        <f>+ISNUMBER(SEARCH('F-VTA'!$G$23,Tabla11[[#This Row],[Cuenta]],1))</f>
        <v>0</v>
      </c>
      <c r="AG902" t="b">
        <f>+ISNUMBER(SEARCH('F-VTA'!$G$24,Tabla11[[#This Row],[Cuenta]],1))</f>
        <v>0</v>
      </c>
      <c r="AH902" t="b">
        <f>+ISNUMBER(SEARCH('F-VTA'!$G$25,Tabla11[[#This Row],[Cuenta]],1))</f>
        <v>0</v>
      </c>
      <c r="AI902" t="b">
        <f>+ISNUMBER(SEARCH('F-VTA'!$F$28,Tabla11[[#This Row],[Cuenta]],1))</f>
        <v>1</v>
      </c>
      <c r="AJ902" t="b">
        <f>+ISNUMBER(SEARCH('F-VTA'!$F$29,Tabla11[[#This Row],[Cuenta]],1))</f>
        <v>1</v>
      </c>
      <c r="AK902" t="b">
        <f>+ISNUMBER(SEARCH('F-VTA'!$F$30,Tabla11[[#This Row],[Cuenta]],1))</f>
        <v>1</v>
      </c>
      <c r="AL902" t="b">
        <f>+ISNUMBER(SEARCH('F-VTA'!$F$31,Tabla11[[#This Row],[Cuenta]],1))</f>
        <v>1</v>
      </c>
      <c r="AM902" t="b">
        <f>+ISNUMBER(SEARCH('F-VTA'!$F$32,Tabla11[[#This Row],[Cuenta]],1))</f>
        <v>1</v>
      </c>
      <c r="AN902" t="b">
        <f>+ISNUMBER(SEARCH('F-VTA'!$F$33,Tabla11[[#This Row],[Cuenta]],1))</f>
        <v>1</v>
      </c>
      <c r="AO902" t="b">
        <f>+ISNUMBER(SEARCH('F-VTA'!$F$34,Tabla11[[#This Row],[Cuenta]],1))</f>
        <v>1</v>
      </c>
      <c r="AP902" t="b">
        <f>+ISNUMBER(SEARCH('F-VTA'!$F$35,Tabla11[[#This Row],[Cuenta]],1))</f>
        <v>1</v>
      </c>
      <c r="AQ902" t="b">
        <f>+ISNUMBER(SEARCH('F-VTA'!$F$36,Tabla11[[#This Row],[Cuenta]],1))</f>
        <v>1</v>
      </c>
      <c r="AR902" t="b">
        <f>+ISNUMBER(SEARCH(#REF!,Tabla11[[#This Row],[Cuenta]],1))</f>
        <v>0</v>
      </c>
      <c r="AS902" t="b">
        <f>+ISNUMBER(SEARCH(#REF!,Tabla11[[#This Row],[Cuenta]],1))</f>
        <v>0</v>
      </c>
      <c r="AT902" t="b">
        <f>+ISNUMBER(SEARCH(#REF!,Tabla11[[#This Row],[Cuenta]],1))</f>
        <v>0</v>
      </c>
      <c r="AU902" t="b">
        <f>+ISNUMBER(SEARCH('Conc. Ban.1'!$I$9,Tabla11[[#This Row],[Cuenta]],1))</f>
        <v>0</v>
      </c>
      <c r="AV902" t="b">
        <f>+ISNUMBER(SEARCH(CompConta!$F$21,Tabla11[[#This Row],[Cuenta]],1))</f>
        <v>1</v>
      </c>
      <c r="AW902" t="b">
        <f>+ISNUMBER(SEARCH(CompConta!$F$22,Tabla11[[#This Row],[Cuenta]],1))</f>
        <v>1</v>
      </c>
      <c r="AX902" t="b">
        <f>+ISNUMBER(SEARCH(CompConta!$F$23,Tabla11[[#This Row],[Cuenta]],1))</f>
        <v>1</v>
      </c>
      <c r="AY902" t="b">
        <f>+ISNUMBER(SEARCH(CompConta!$F$24,Tabla11[[#This Row],[Cuenta]],1))</f>
        <v>1</v>
      </c>
      <c r="AZ902" t="b">
        <f>+ISNUMBER(SEARCH(CompConta!$F$25,Tabla11[[#This Row],[Cuenta]],1))</f>
        <v>1</v>
      </c>
      <c r="BA902" t="b">
        <f>+ISNUMBER(SEARCH(CompConta!$F$26,Tabla11[[#This Row],[Cuenta]],1))</f>
        <v>1</v>
      </c>
      <c r="BB902" t="b">
        <f>+ISNUMBER(SEARCH(CompConta!$F$27,Tabla11[[#This Row],[Cuenta]],1))</f>
        <v>1</v>
      </c>
      <c r="BC902" t="b">
        <f>+ISNUMBER(SEARCH(CompConta!$F$28,Tabla11[[#This Row],[Cuenta]],1))</f>
        <v>1</v>
      </c>
      <c r="BD902" t="b">
        <f>+ISNUMBER(SEARCH(CompConta!$F$29,Tabla11[[#This Row],[Cuenta]],1))</f>
        <v>1</v>
      </c>
      <c r="BE902" t="b">
        <f>+ISNUMBER(SEARCH(CompConta!$F$30,Tabla11[[#This Row],[Cuenta]],1))</f>
        <v>1</v>
      </c>
      <c r="BF902" t="b">
        <f>+ISNUMBER(SEARCH('PAGO Compras'!$E$11,Tabla11[[#This Row],[Cuenta]],1))</f>
        <v>1</v>
      </c>
      <c r="BG902" t="b">
        <f>+ISNUMBER(SEARCH(#REF!,Tabla11[[#This Row],[Cuenta]],1))</f>
        <v>0</v>
      </c>
      <c r="BH902" t="b">
        <f>+ISNUMBER(SEARCH(#REF!,Tabla11[[#This Row],[Cuenta]],1))</f>
        <v>0</v>
      </c>
      <c r="BI902" t="b">
        <f>+ISNUMBER(SEARCH(#REF!,Tabla11[[#This Row],[Cuenta]],1))</f>
        <v>0</v>
      </c>
      <c r="BJ902" t="b">
        <f>+ISNUMBER(SEARCH(#REF!,Tabla11[[#This Row],[Cuenta]],1))</f>
        <v>0</v>
      </c>
      <c r="BS902" t="str">
        <v>516005 Construcciones y edificaciones</v>
      </c>
      <c r="BT902" t="str">
        <v>516005 Construcciones y edificaciones</v>
      </c>
      <c r="BU902" t="str">
        <v>516005 Construcciones y edificaciones</v>
      </c>
      <c r="BV902" t="str">
        <v>516005 Construcciones y edificaciones</v>
      </c>
      <c r="BZ902" t="str">
        <v>516005 Construcciones y edificaciones</v>
      </c>
      <c r="CA902" t="str">
        <v>516005 Construcciones y edificaciones</v>
      </c>
      <c r="CB902" t="str">
        <v>516005 Construcciones y edificaciones</v>
      </c>
      <c r="CC902" t="str">
        <v>516005 Construcciones y edificaciones</v>
      </c>
      <c r="CD902" t="str">
        <v>516005 Construcciones y edificaciones</v>
      </c>
      <c r="CE902" t="str">
        <v>516005 Construcciones y edificaciones</v>
      </c>
      <c r="CS902" s="141" t="str">
        <v>516005 Construcciones y edificaciones</v>
      </c>
      <c r="CT902" s="141" t="str">
        <v>516005 Construcciones y edificaciones</v>
      </c>
      <c r="CU902" s="141" t="str">
        <v>516005 Construcciones y edificaciones</v>
      </c>
      <c r="CV902" s="141" t="str">
        <v>516005 Construcciones y edificaciones</v>
      </c>
      <c r="CW902" s="141" t="str">
        <v>516005 Construcciones y edificaciones</v>
      </c>
      <c r="CX902" s="141" t="str">
        <v>516005 Construcciones y edificaciones</v>
      </c>
      <c r="CY902" s="141" t="str">
        <v>516005 Construcciones y edificaciones</v>
      </c>
      <c r="CZ902" s="141" t="str">
        <v>516005 Construcciones y edificaciones</v>
      </c>
      <c r="DA902" s="141" t="str">
        <v>516005 Construcciones y edificaciones</v>
      </c>
      <c r="DF902" t="str">
        <v>516005 Construcciones y edificaciones</v>
      </c>
      <c r="DG902" t="str">
        <v>516005 Construcciones y edificaciones</v>
      </c>
      <c r="DH902" t="str">
        <v>516005 Construcciones y edificaciones</v>
      </c>
      <c r="DI902" t="str">
        <v>516005 Construcciones y edificaciones</v>
      </c>
      <c r="DJ902" t="str">
        <v>516005 Construcciones y edificaciones</v>
      </c>
      <c r="DK902" t="str">
        <v>516005 Construcciones y edificaciones</v>
      </c>
      <c r="DL902" t="str">
        <v>516005 Construcciones y edificaciones</v>
      </c>
      <c r="DM902" t="str">
        <v>516005 Construcciones y edificaciones</v>
      </c>
      <c r="DN902" t="str">
        <v>516005 Construcciones y edificaciones</v>
      </c>
      <c r="DO902" t="str">
        <v>516005 Construcciones y edificaciones</v>
      </c>
      <c r="DP902" t="str">
        <v>516005 Construcciones y edificaciones</v>
      </c>
    </row>
    <row r="903" spans="4:120" ht="12.75">
      <c r="D903" s="7">
        <v>516010</v>
      </c>
      <c r="E903" s="6" t="s">
        <v>128</v>
      </c>
      <c r="F903" s="5">
        <v>4</v>
      </c>
      <c r="G903" s="34" t="s">
        <v>830</v>
      </c>
      <c r="H903" s="8" t="s">
        <v>32</v>
      </c>
      <c r="I903" t="b">
        <f>+ISNUMBER(SEARCH('F-COMPRA'!$F$28,Tabla11[[#This Row],[Cuenta]],1))</f>
        <v>1</v>
      </c>
      <c r="J903" t="b">
        <f>+ISNUMBER(SEARCH('F-COMPRA'!$F$29,Tabla11[[#This Row],[Cuenta]],1))</f>
        <v>1</v>
      </c>
      <c r="K903" t="b">
        <f>+ISNUMBER(SEARCH('F-COMPRA'!$F$30,Tabla11[[#This Row],[Cuenta]],1))</f>
        <v>1</v>
      </c>
      <c r="L903" t="b">
        <f>+ISNUMBER(SEARCH('F-COMPRA'!$F$31,Tabla11[[#This Row],[Cuenta]],1))</f>
        <v>1</v>
      </c>
      <c r="M903" t="b">
        <f>+ISNUMBER(SEARCH('F-COMPRA'!$G$25,Tabla11[[#This Row],[Cuenta]],1))</f>
        <v>0</v>
      </c>
      <c r="N903" t="b">
        <f>+ISNUMBER(SEARCH(#REF!,Tabla11[[#This Row],[Cuenta]],1))</f>
        <v>0</v>
      </c>
      <c r="O903" t="b">
        <f>+ISNUMBER(SEARCH(#REF!,Tabla11[[#This Row],[Cuenta]],1))</f>
        <v>0</v>
      </c>
      <c r="P903" t="b">
        <f>+ISNUMBER(SEARCH('F-COMPRA'!$F$32,Tabla11[[#This Row],[Cuenta]],1))</f>
        <v>1</v>
      </c>
      <c r="Q903" t="b">
        <f>+ISNUMBER(SEARCH('F-COMPRA'!$F$33,Tabla11[[#This Row],[Cuenta]],1))</f>
        <v>1</v>
      </c>
      <c r="R903" t="b">
        <f>+ISNUMBER(SEARCH('F-COMPRA'!$F$34,Tabla11[[#This Row],[Cuenta]],1))</f>
        <v>1</v>
      </c>
      <c r="S903" t="b">
        <f>+ISNUMBER(SEARCH('F-COMPRA'!$F$35,Tabla11[[#This Row],[Cuenta]],1))</f>
        <v>1</v>
      </c>
      <c r="T903" t="b">
        <f>+ISNUMBER(SEARCH('F-COMPRA'!$F$36,Tabla11[[#This Row],[Cuenta]],1))</f>
        <v>1</v>
      </c>
      <c r="U903" t="b">
        <f>+ISNUMBER(SEARCH('F-COMPRA'!$F$37,Tabla11[[#This Row],[Cuenta]],1))</f>
        <v>1</v>
      </c>
      <c r="V903" t="b">
        <f>+ISNUMBER(SEARCH(#REF!,Tabla11[[#This Row],[Cuenta]],1))</f>
        <v>0</v>
      </c>
      <c r="W903" t="b">
        <f>+ISNUMBER(SEARCH('F-COMPRA'!#REF!,Tabla11[[#This Row],[Cuenta]],1))</f>
        <v>0</v>
      </c>
      <c r="X903" t="b">
        <f>+ISNUMBER(SEARCH('F-COMPRA'!#REF!,Tabla11[[#This Row],[Cuenta]],1))</f>
        <v>0</v>
      </c>
      <c r="Y903" t="b">
        <f>+ISNUMBER(SEARCH('F-COMPRA'!#REF!,Tabla11[[#This Row],[Cuenta]],1))</f>
        <v>0</v>
      </c>
      <c r="Z903" t="b">
        <f>+ISNUMBER(SEARCH('F-COMPRA'!#REF!,Tabla11[[#This Row],[Cuenta]],1))</f>
        <v>0</v>
      </c>
      <c r="AA903" t="b">
        <f>+ISNUMBER(SEARCH('F-COMPRA'!#REF!,Tabla11[[#This Row],[Cuenta]],1))</f>
        <v>0</v>
      </c>
      <c r="AB903" t="b">
        <f>+ISNUMBER(SEARCH('F-COMPRA'!#REF!,Tabla11[[#This Row],[Cuenta]],1))</f>
        <v>0</v>
      </c>
      <c r="AC903" t="b">
        <f>+ISNUMBER(SEARCH('F-COMPRA'!#REF!,Tabla11[[#This Row],[Cuenta]],1))</f>
        <v>0</v>
      </c>
      <c r="AD903" t="b">
        <f>+ISNUMBER(SEARCH('F-COMPRA'!#REF!,Tabla11[[#This Row],[Cuenta]],1))</f>
        <v>0</v>
      </c>
      <c r="AE903" t="b">
        <f>+ISNUMBER(SEARCH('F-COMPRA'!#REF!,Tabla11[[#This Row],[Cuenta]],1))</f>
        <v>0</v>
      </c>
      <c r="AF903" t="b">
        <f>+ISNUMBER(SEARCH('F-VTA'!$G$23,Tabla11[[#This Row],[Cuenta]],1))</f>
        <v>0</v>
      </c>
      <c r="AG903" t="b">
        <f>+ISNUMBER(SEARCH('F-VTA'!$G$24,Tabla11[[#This Row],[Cuenta]],1))</f>
        <v>0</v>
      </c>
      <c r="AH903" t="b">
        <f>+ISNUMBER(SEARCH('F-VTA'!$G$25,Tabla11[[#This Row],[Cuenta]],1))</f>
        <v>0</v>
      </c>
      <c r="AI903" t="b">
        <f>+ISNUMBER(SEARCH('F-VTA'!$F$28,Tabla11[[#This Row],[Cuenta]],1))</f>
        <v>1</v>
      </c>
      <c r="AJ903" t="b">
        <f>+ISNUMBER(SEARCH('F-VTA'!$F$29,Tabla11[[#This Row],[Cuenta]],1))</f>
        <v>1</v>
      </c>
      <c r="AK903" t="b">
        <f>+ISNUMBER(SEARCH('F-VTA'!$F$30,Tabla11[[#This Row],[Cuenta]],1))</f>
        <v>1</v>
      </c>
      <c r="AL903" t="b">
        <f>+ISNUMBER(SEARCH('F-VTA'!$F$31,Tabla11[[#This Row],[Cuenta]],1))</f>
        <v>1</v>
      </c>
      <c r="AM903" t="b">
        <f>+ISNUMBER(SEARCH('F-VTA'!$F$32,Tabla11[[#This Row],[Cuenta]],1))</f>
        <v>1</v>
      </c>
      <c r="AN903" t="b">
        <f>+ISNUMBER(SEARCH('F-VTA'!$F$33,Tabla11[[#This Row],[Cuenta]],1))</f>
        <v>1</v>
      </c>
      <c r="AO903" t="b">
        <f>+ISNUMBER(SEARCH('F-VTA'!$F$34,Tabla11[[#This Row],[Cuenta]],1))</f>
        <v>1</v>
      </c>
      <c r="AP903" t="b">
        <f>+ISNUMBER(SEARCH('F-VTA'!$F$35,Tabla11[[#This Row],[Cuenta]],1))</f>
        <v>1</v>
      </c>
      <c r="AQ903" t="b">
        <f>+ISNUMBER(SEARCH('F-VTA'!$F$36,Tabla11[[#This Row],[Cuenta]],1))</f>
        <v>1</v>
      </c>
      <c r="AR903" t="b">
        <f>+ISNUMBER(SEARCH(#REF!,Tabla11[[#This Row],[Cuenta]],1))</f>
        <v>0</v>
      </c>
      <c r="AS903" t="b">
        <f>+ISNUMBER(SEARCH(#REF!,Tabla11[[#This Row],[Cuenta]],1))</f>
        <v>0</v>
      </c>
      <c r="AT903" t="b">
        <f>+ISNUMBER(SEARCH(#REF!,Tabla11[[#This Row],[Cuenta]],1))</f>
        <v>0</v>
      </c>
      <c r="AU903" t="b">
        <f>+ISNUMBER(SEARCH('Conc. Ban.1'!$I$9,Tabla11[[#This Row],[Cuenta]],1))</f>
        <v>0</v>
      </c>
      <c r="AV903" t="b">
        <f>+ISNUMBER(SEARCH(CompConta!$F$21,Tabla11[[#This Row],[Cuenta]],1))</f>
        <v>1</v>
      </c>
      <c r="AW903" t="b">
        <f>+ISNUMBER(SEARCH(CompConta!$F$22,Tabla11[[#This Row],[Cuenta]],1))</f>
        <v>1</v>
      </c>
      <c r="AX903" t="b">
        <f>+ISNUMBER(SEARCH(CompConta!$F$23,Tabla11[[#This Row],[Cuenta]],1))</f>
        <v>1</v>
      </c>
      <c r="AY903" t="b">
        <f>+ISNUMBER(SEARCH(CompConta!$F$24,Tabla11[[#This Row],[Cuenta]],1))</f>
        <v>1</v>
      </c>
      <c r="AZ903" t="b">
        <f>+ISNUMBER(SEARCH(CompConta!$F$25,Tabla11[[#This Row],[Cuenta]],1))</f>
        <v>1</v>
      </c>
      <c r="BA903" t="b">
        <f>+ISNUMBER(SEARCH(CompConta!$F$26,Tabla11[[#This Row],[Cuenta]],1))</f>
        <v>1</v>
      </c>
      <c r="BB903" t="b">
        <f>+ISNUMBER(SEARCH(CompConta!$F$27,Tabla11[[#This Row],[Cuenta]],1))</f>
        <v>1</v>
      </c>
      <c r="BC903" t="b">
        <f>+ISNUMBER(SEARCH(CompConta!$F$28,Tabla11[[#This Row],[Cuenta]],1))</f>
        <v>1</v>
      </c>
      <c r="BD903" t="b">
        <f>+ISNUMBER(SEARCH(CompConta!$F$29,Tabla11[[#This Row],[Cuenta]],1))</f>
        <v>1</v>
      </c>
      <c r="BE903" t="b">
        <f>+ISNUMBER(SEARCH(CompConta!$F$30,Tabla11[[#This Row],[Cuenta]],1))</f>
        <v>1</v>
      </c>
      <c r="BF903" t="b">
        <f>+ISNUMBER(SEARCH('PAGO Compras'!$E$11,Tabla11[[#This Row],[Cuenta]],1))</f>
        <v>1</v>
      </c>
      <c r="BG903" t="b">
        <f>+ISNUMBER(SEARCH(#REF!,Tabla11[[#This Row],[Cuenta]],1))</f>
        <v>0</v>
      </c>
      <c r="BH903" t="b">
        <f>+ISNUMBER(SEARCH(#REF!,Tabla11[[#This Row],[Cuenta]],1))</f>
        <v>0</v>
      </c>
      <c r="BI903" t="b">
        <f>+ISNUMBER(SEARCH(#REF!,Tabla11[[#This Row],[Cuenta]],1))</f>
        <v>0</v>
      </c>
      <c r="BJ903" t="b">
        <f>+ISNUMBER(SEARCH(#REF!,Tabla11[[#This Row],[Cuenta]],1))</f>
        <v>0</v>
      </c>
      <c r="BS903" t="str">
        <v>516010 Maquinaria y equipo</v>
      </c>
      <c r="BT903" t="str">
        <v>516010 Maquinaria y equipo</v>
      </c>
      <c r="BU903" t="str">
        <v>516010 Maquinaria y equipo</v>
      </c>
      <c r="BV903" t="str">
        <v>516010 Maquinaria y equipo</v>
      </c>
      <c r="BZ903" t="str">
        <v>516010 Maquinaria y equipo</v>
      </c>
      <c r="CA903" t="str">
        <v>516010 Maquinaria y equipo</v>
      </c>
      <c r="CB903" t="str">
        <v>516010 Maquinaria y equipo</v>
      </c>
      <c r="CC903" t="str">
        <v>516010 Maquinaria y equipo</v>
      </c>
      <c r="CD903" t="str">
        <v>516010 Maquinaria y equipo</v>
      </c>
      <c r="CE903" t="str">
        <v>516010 Maquinaria y equipo</v>
      </c>
      <c r="CS903" s="141" t="str">
        <v>516010 Maquinaria y equipo</v>
      </c>
      <c r="CT903" s="141" t="str">
        <v>516010 Maquinaria y equipo</v>
      </c>
      <c r="CU903" s="141" t="str">
        <v>516010 Maquinaria y equipo</v>
      </c>
      <c r="CV903" s="141" t="str">
        <v>516010 Maquinaria y equipo</v>
      </c>
      <c r="CW903" s="141" t="str">
        <v>516010 Maquinaria y equipo</v>
      </c>
      <c r="CX903" s="141" t="str">
        <v>516010 Maquinaria y equipo</v>
      </c>
      <c r="CY903" s="141" t="str">
        <v>516010 Maquinaria y equipo</v>
      </c>
      <c r="CZ903" s="141" t="str">
        <v>516010 Maquinaria y equipo</v>
      </c>
      <c r="DA903" s="141" t="str">
        <v>516010 Maquinaria y equipo</v>
      </c>
      <c r="DF903" t="str">
        <v>516010 Maquinaria y equipo</v>
      </c>
      <c r="DG903" t="str">
        <v>516010 Maquinaria y equipo</v>
      </c>
      <c r="DH903" t="str">
        <v>516010 Maquinaria y equipo</v>
      </c>
      <c r="DI903" t="str">
        <v>516010 Maquinaria y equipo</v>
      </c>
      <c r="DJ903" t="str">
        <v>516010 Maquinaria y equipo</v>
      </c>
      <c r="DK903" t="str">
        <v>516010 Maquinaria y equipo</v>
      </c>
      <c r="DL903" t="str">
        <v>516010 Maquinaria y equipo</v>
      </c>
      <c r="DM903" t="str">
        <v>516010 Maquinaria y equipo</v>
      </c>
      <c r="DN903" t="str">
        <v>516010 Maquinaria y equipo</v>
      </c>
      <c r="DO903" t="str">
        <v>516010 Maquinaria y equipo</v>
      </c>
      <c r="DP903" t="str">
        <v>516010 Maquinaria y equipo</v>
      </c>
    </row>
    <row r="904" spans="4:120" ht="12.75">
      <c r="D904" s="7">
        <v>516015</v>
      </c>
      <c r="E904" s="6" t="s">
        <v>129</v>
      </c>
      <c r="F904" s="5">
        <v>4</v>
      </c>
      <c r="G904" s="34" t="s">
        <v>830</v>
      </c>
      <c r="H904" s="8" t="s">
        <v>32</v>
      </c>
      <c r="I904" t="b">
        <f>+ISNUMBER(SEARCH('F-COMPRA'!$F$28,Tabla11[[#This Row],[Cuenta]],1))</f>
        <v>1</v>
      </c>
      <c r="J904" t="b">
        <f>+ISNUMBER(SEARCH('F-COMPRA'!$F$29,Tabla11[[#This Row],[Cuenta]],1))</f>
        <v>1</v>
      </c>
      <c r="K904" t="b">
        <f>+ISNUMBER(SEARCH('F-COMPRA'!$F$30,Tabla11[[#This Row],[Cuenta]],1))</f>
        <v>1</v>
      </c>
      <c r="L904" t="b">
        <f>+ISNUMBER(SEARCH('F-COMPRA'!$F$31,Tabla11[[#This Row],[Cuenta]],1))</f>
        <v>1</v>
      </c>
      <c r="M904" t="b">
        <f>+ISNUMBER(SEARCH('F-COMPRA'!$G$25,Tabla11[[#This Row],[Cuenta]],1))</f>
        <v>0</v>
      </c>
      <c r="N904" t="b">
        <f>+ISNUMBER(SEARCH(#REF!,Tabla11[[#This Row],[Cuenta]],1))</f>
        <v>0</v>
      </c>
      <c r="O904" t="b">
        <f>+ISNUMBER(SEARCH(#REF!,Tabla11[[#This Row],[Cuenta]],1))</f>
        <v>0</v>
      </c>
      <c r="P904" t="b">
        <f>+ISNUMBER(SEARCH('F-COMPRA'!$F$32,Tabla11[[#This Row],[Cuenta]],1))</f>
        <v>1</v>
      </c>
      <c r="Q904" t="b">
        <f>+ISNUMBER(SEARCH('F-COMPRA'!$F$33,Tabla11[[#This Row],[Cuenta]],1))</f>
        <v>1</v>
      </c>
      <c r="R904" t="b">
        <f>+ISNUMBER(SEARCH('F-COMPRA'!$F$34,Tabla11[[#This Row],[Cuenta]],1))</f>
        <v>1</v>
      </c>
      <c r="S904" t="b">
        <f>+ISNUMBER(SEARCH('F-COMPRA'!$F$35,Tabla11[[#This Row],[Cuenta]],1))</f>
        <v>1</v>
      </c>
      <c r="T904" t="b">
        <f>+ISNUMBER(SEARCH('F-COMPRA'!$F$36,Tabla11[[#This Row],[Cuenta]],1))</f>
        <v>1</v>
      </c>
      <c r="U904" t="b">
        <f>+ISNUMBER(SEARCH('F-COMPRA'!$F$37,Tabla11[[#This Row],[Cuenta]],1))</f>
        <v>1</v>
      </c>
      <c r="V904" t="b">
        <f>+ISNUMBER(SEARCH(#REF!,Tabla11[[#This Row],[Cuenta]],1))</f>
        <v>0</v>
      </c>
      <c r="W904" t="b">
        <f>+ISNUMBER(SEARCH('F-COMPRA'!#REF!,Tabla11[[#This Row],[Cuenta]],1))</f>
        <v>0</v>
      </c>
      <c r="X904" t="b">
        <f>+ISNUMBER(SEARCH('F-COMPRA'!#REF!,Tabla11[[#This Row],[Cuenta]],1))</f>
        <v>0</v>
      </c>
      <c r="Y904" t="b">
        <f>+ISNUMBER(SEARCH('F-COMPRA'!#REF!,Tabla11[[#This Row],[Cuenta]],1))</f>
        <v>0</v>
      </c>
      <c r="Z904" t="b">
        <f>+ISNUMBER(SEARCH('F-COMPRA'!#REF!,Tabla11[[#This Row],[Cuenta]],1))</f>
        <v>0</v>
      </c>
      <c r="AA904" t="b">
        <f>+ISNUMBER(SEARCH('F-COMPRA'!#REF!,Tabla11[[#This Row],[Cuenta]],1))</f>
        <v>0</v>
      </c>
      <c r="AB904" t="b">
        <f>+ISNUMBER(SEARCH('F-COMPRA'!#REF!,Tabla11[[#This Row],[Cuenta]],1))</f>
        <v>0</v>
      </c>
      <c r="AC904" t="b">
        <f>+ISNUMBER(SEARCH('F-COMPRA'!#REF!,Tabla11[[#This Row],[Cuenta]],1))</f>
        <v>0</v>
      </c>
      <c r="AD904" t="b">
        <f>+ISNUMBER(SEARCH('F-COMPRA'!#REF!,Tabla11[[#This Row],[Cuenta]],1))</f>
        <v>0</v>
      </c>
      <c r="AE904" t="b">
        <f>+ISNUMBER(SEARCH('F-COMPRA'!#REF!,Tabla11[[#This Row],[Cuenta]],1))</f>
        <v>0</v>
      </c>
      <c r="AF904" t="b">
        <f>+ISNUMBER(SEARCH('F-VTA'!$G$23,Tabla11[[#This Row],[Cuenta]],1))</f>
        <v>0</v>
      </c>
      <c r="AG904" t="b">
        <f>+ISNUMBER(SEARCH('F-VTA'!$G$24,Tabla11[[#This Row],[Cuenta]],1))</f>
        <v>0</v>
      </c>
      <c r="AH904" t="b">
        <f>+ISNUMBER(SEARCH('F-VTA'!$G$25,Tabla11[[#This Row],[Cuenta]],1))</f>
        <v>0</v>
      </c>
      <c r="AI904" t="b">
        <f>+ISNUMBER(SEARCH('F-VTA'!$F$28,Tabla11[[#This Row],[Cuenta]],1))</f>
        <v>1</v>
      </c>
      <c r="AJ904" t="b">
        <f>+ISNUMBER(SEARCH('F-VTA'!$F$29,Tabla11[[#This Row],[Cuenta]],1))</f>
        <v>1</v>
      </c>
      <c r="AK904" t="b">
        <f>+ISNUMBER(SEARCH('F-VTA'!$F$30,Tabla11[[#This Row],[Cuenta]],1))</f>
        <v>1</v>
      </c>
      <c r="AL904" t="b">
        <f>+ISNUMBER(SEARCH('F-VTA'!$F$31,Tabla11[[#This Row],[Cuenta]],1))</f>
        <v>1</v>
      </c>
      <c r="AM904" t="b">
        <f>+ISNUMBER(SEARCH('F-VTA'!$F$32,Tabla11[[#This Row],[Cuenta]],1))</f>
        <v>1</v>
      </c>
      <c r="AN904" t="b">
        <f>+ISNUMBER(SEARCH('F-VTA'!$F$33,Tabla11[[#This Row],[Cuenta]],1))</f>
        <v>1</v>
      </c>
      <c r="AO904" t="b">
        <f>+ISNUMBER(SEARCH('F-VTA'!$F$34,Tabla11[[#This Row],[Cuenta]],1))</f>
        <v>1</v>
      </c>
      <c r="AP904" t="b">
        <f>+ISNUMBER(SEARCH('F-VTA'!$F$35,Tabla11[[#This Row],[Cuenta]],1))</f>
        <v>1</v>
      </c>
      <c r="AQ904" t="b">
        <f>+ISNUMBER(SEARCH('F-VTA'!$F$36,Tabla11[[#This Row],[Cuenta]],1))</f>
        <v>1</v>
      </c>
      <c r="AR904" t="b">
        <f>+ISNUMBER(SEARCH(#REF!,Tabla11[[#This Row],[Cuenta]],1))</f>
        <v>0</v>
      </c>
      <c r="AS904" t="b">
        <f>+ISNUMBER(SEARCH(#REF!,Tabla11[[#This Row],[Cuenta]],1))</f>
        <v>0</v>
      </c>
      <c r="AT904" t="b">
        <f>+ISNUMBER(SEARCH(#REF!,Tabla11[[#This Row],[Cuenta]],1))</f>
        <v>0</v>
      </c>
      <c r="AU904" t="b">
        <f>+ISNUMBER(SEARCH('Conc. Ban.1'!$I$9,Tabla11[[#This Row],[Cuenta]],1))</f>
        <v>0</v>
      </c>
      <c r="AV904" t="b">
        <f>+ISNUMBER(SEARCH(CompConta!$F$21,Tabla11[[#This Row],[Cuenta]],1))</f>
        <v>1</v>
      </c>
      <c r="AW904" t="b">
        <f>+ISNUMBER(SEARCH(CompConta!$F$22,Tabla11[[#This Row],[Cuenta]],1))</f>
        <v>1</v>
      </c>
      <c r="AX904" t="b">
        <f>+ISNUMBER(SEARCH(CompConta!$F$23,Tabla11[[#This Row],[Cuenta]],1))</f>
        <v>1</v>
      </c>
      <c r="AY904" t="b">
        <f>+ISNUMBER(SEARCH(CompConta!$F$24,Tabla11[[#This Row],[Cuenta]],1))</f>
        <v>1</v>
      </c>
      <c r="AZ904" t="b">
        <f>+ISNUMBER(SEARCH(CompConta!$F$25,Tabla11[[#This Row],[Cuenta]],1))</f>
        <v>1</v>
      </c>
      <c r="BA904" t="b">
        <f>+ISNUMBER(SEARCH(CompConta!$F$26,Tabla11[[#This Row],[Cuenta]],1))</f>
        <v>1</v>
      </c>
      <c r="BB904" t="b">
        <f>+ISNUMBER(SEARCH(CompConta!$F$27,Tabla11[[#This Row],[Cuenta]],1))</f>
        <v>1</v>
      </c>
      <c r="BC904" t="b">
        <f>+ISNUMBER(SEARCH(CompConta!$F$28,Tabla11[[#This Row],[Cuenta]],1))</f>
        <v>1</v>
      </c>
      <c r="BD904" t="b">
        <f>+ISNUMBER(SEARCH(CompConta!$F$29,Tabla11[[#This Row],[Cuenta]],1))</f>
        <v>1</v>
      </c>
      <c r="BE904" t="b">
        <f>+ISNUMBER(SEARCH(CompConta!$F$30,Tabla11[[#This Row],[Cuenta]],1))</f>
        <v>1</v>
      </c>
      <c r="BF904" t="b">
        <f>+ISNUMBER(SEARCH('PAGO Compras'!$E$11,Tabla11[[#This Row],[Cuenta]],1))</f>
        <v>1</v>
      </c>
      <c r="BG904" t="b">
        <f>+ISNUMBER(SEARCH(#REF!,Tabla11[[#This Row],[Cuenta]],1))</f>
        <v>0</v>
      </c>
      <c r="BH904" t="b">
        <f>+ISNUMBER(SEARCH(#REF!,Tabla11[[#This Row],[Cuenta]],1))</f>
        <v>0</v>
      </c>
      <c r="BI904" t="b">
        <f>+ISNUMBER(SEARCH(#REF!,Tabla11[[#This Row],[Cuenta]],1))</f>
        <v>0</v>
      </c>
      <c r="BJ904" t="b">
        <f>+ISNUMBER(SEARCH(#REF!,Tabla11[[#This Row],[Cuenta]],1))</f>
        <v>0</v>
      </c>
      <c r="BS904" t="str">
        <v>516015 Equipo de oficina</v>
      </c>
      <c r="BT904" t="str">
        <v>516015 Equipo de oficina</v>
      </c>
      <c r="BU904" t="str">
        <v>516015 Equipo de oficina</v>
      </c>
      <c r="BV904" t="str">
        <v>516015 Equipo de oficina</v>
      </c>
      <c r="BZ904" t="str">
        <v>516015 Equipo de oficina</v>
      </c>
      <c r="CA904" t="str">
        <v>516015 Equipo de oficina</v>
      </c>
      <c r="CB904" t="str">
        <v>516015 Equipo de oficina</v>
      </c>
      <c r="CC904" t="str">
        <v>516015 Equipo de oficina</v>
      </c>
      <c r="CD904" t="str">
        <v>516015 Equipo de oficina</v>
      </c>
      <c r="CE904" t="str">
        <v>516015 Equipo de oficina</v>
      </c>
      <c r="CS904" s="141" t="str">
        <v>516015 Equipo de oficina</v>
      </c>
      <c r="CT904" s="141" t="str">
        <v>516015 Equipo de oficina</v>
      </c>
      <c r="CU904" s="141" t="str">
        <v>516015 Equipo de oficina</v>
      </c>
      <c r="CV904" s="141" t="str">
        <v>516015 Equipo de oficina</v>
      </c>
      <c r="CW904" s="141" t="str">
        <v>516015 Equipo de oficina</v>
      </c>
      <c r="CX904" s="141" t="str">
        <v>516015 Equipo de oficina</v>
      </c>
      <c r="CY904" s="141" t="str">
        <v>516015 Equipo de oficina</v>
      </c>
      <c r="CZ904" s="141" t="str">
        <v>516015 Equipo de oficina</v>
      </c>
      <c r="DA904" s="141" t="str">
        <v>516015 Equipo de oficina</v>
      </c>
      <c r="DF904" t="str">
        <v>516015 Equipo de oficina</v>
      </c>
      <c r="DG904" t="str">
        <v>516015 Equipo de oficina</v>
      </c>
      <c r="DH904" t="str">
        <v>516015 Equipo de oficina</v>
      </c>
      <c r="DI904" t="str">
        <v>516015 Equipo de oficina</v>
      </c>
      <c r="DJ904" t="str">
        <v>516015 Equipo de oficina</v>
      </c>
      <c r="DK904" t="str">
        <v>516015 Equipo de oficina</v>
      </c>
      <c r="DL904" t="str">
        <v>516015 Equipo de oficina</v>
      </c>
      <c r="DM904" t="str">
        <v>516015 Equipo de oficina</v>
      </c>
      <c r="DN904" t="str">
        <v>516015 Equipo de oficina</v>
      </c>
      <c r="DO904" t="str">
        <v>516015 Equipo de oficina</v>
      </c>
      <c r="DP904" t="str">
        <v>516015 Equipo de oficina</v>
      </c>
    </row>
    <row r="905" spans="4:120" ht="12.75">
      <c r="D905" s="7">
        <v>516020</v>
      </c>
      <c r="E905" s="6" t="s">
        <v>130</v>
      </c>
      <c r="F905" s="5">
        <v>4</v>
      </c>
      <c r="G905" s="34" t="s">
        <v>830</v>
      </c>
      <c r="H905" s="8" t="s">
        <v>32</v>
      </c>
      <c r="I905" t="b">
        <f>+ISNUMBER(SEARCH('F-COMPRA'!$F$28,Tabla11[[#This Row],[Cuenta]],1))</f>
        <v>1</v>
      </c>
      <c r="J905" t="b">
        <f>+ISNUMBER(SEARCH('F-COMPRA'!$F$29,Tabla11[[#This Row],[Cuenta]],1))</f>
        <v>1</v>
      </c>
      <c r="K905" t="b">
        <f>+ISNUMBER(SEARCH('F-COMPRA'!$F$30,Tabla11[[#This Row],[Cuenta]],1))</f>
        <v>1</v>
      </c>
      <c r="L905" t="b">
        <f>+ISNUMBER(SEARCH('F-COMPRA'!$F$31,Tabla11[[#This Row],[Cuenta]],1))</f>
        <v>1</v>
      </c>
      <c r="M905" t="b">
        <f>+ISNUMBER(SEARCH('F-COMPRA'!$G$25,Tabla11[[#This Row],[Cuenta]],1))</f>
        <v>0</v>
      </c>
      <c r="N905" t="b">
        <f>+ISNUMBER(SEARCH(#REF!,Tabla11[[#This Row],[Cuenta]],1))</f>
        <v>0</v>
      </c>
      <c r="O905" t="b">
        <f>+ISNUMBER(SEARCH(#REF!,Tabla11[[#This Row],[Cuenta]],1))</f>
        <v>0</v>
      </c>
      <c r="P905" t="b">
        <f>+ISNUMBER(SEARCH('F-COMPRA'!$F$32,Tabla11[[#This Row],[Cuenta]],1))</f>
        <v>1</v>
      </c>
      <c r="Q905" t="b">
        <f>+ISNUMBER(SEARCH('F-COMPRA'!$F$33,Tabla11[[#This Row],[Cuenta]],1))</f>
        <v>1</v>
      </c>
      <c r="R905" t="b">
        <f>+ISNUMBER(SEARCH('F-COMPRA'!$F$34,Tabla11[[#This Row],[Cuenta]],1))</f>
        <v>1</v>
      </c>
      <c r="S905" t="b">
        <f>+ISNUMBER(SEARCH('F-COMPRA'!$F$35,Tabla11[[#This Row],[Cuenta]],1))</f>
        <v>1</v>
      </c>
      <c r="T905" t="b">
        <f>+ISNUMBER(SEARCH('F-COMPRA'!$F$36,Tabla11[[#This Row],[Cuenta]],1))</f>
        <v>1</v>
      </c>
      <c r="U905" t="b">
        <f>+ISNUMBER(SEARCH('F-COMPRA'!$F$37,Tabla11[[#This Row],[Cuenta]],1))</f>
        <v>1</v>
      </c>
      <c r="V905" t="b">
        <f>+ISNUMBER(SEARCH(#REF!,Tabla11[[#This Row],[Cuenta]],1))</f>
        <v>0</v>
      </c>
      <c r="W905" t="b">
        <f>+ISNUMBER(SEARCH('F-COMPRA'!#REF!,Tabla11[[#This Row],[Cuenta]],1))</f>
        <v>0</v>
      </c>
      <c r="X905" t="b">
        <f>+ISNUMBER(SEARCH('F-COMPRA'!#REF!,Tabla11[[#This Row],[Cuenta]],1))</f>
        <v>0</v>
      </c>
      <c r="Y905" t="b">
        <f>+ISNUMBER(SEARCH('F-COMPRA'!#REF!,Tabla11[[#This Row],[Cuenta]],1))</f>
        <v>0</v>
      </c>
      <c r="Z905" t="b">
        <f>+ISNUMBER(SEARCH('F-COMPRA'!#REF!,Tabla11[[#This Row],[Cuenta]],1))</f>
        <v>0</v>
      </c>
      <c r="AA905" t="b">
        <f>+ISNUMBER(SEARCH('F-COMPRA'!#REF!,Tabla11[[#This Row],[Cuenta]],1))</f>
        <v>0</v>
      </c>
      <c r="AB905" t="b">
        <f>+ISNUMBER(SEARCH('F-COMPRA'!#REF!,Tabla11[[#This Row],[Cuenta]],1))</f>
        <v>0</v>
      </c>
      <c r="AC905" t="b">
        <f>+ISNUMBER(SEARCH('F-COMPRA'!#REF!,Tabla11[[#This Row],[Cuenta]],1))</f>
        <v>0</v>
      </c>
      <c r="AD905" t="b">
        <f>+ISNUMBER(SEARCH('F-COMPRA'!#REF!,Tabla11[[#This Row],[Cuenta]],1))</f>
        <v>0</v>
      </c>
      <c r="AE905" t="b">
        <f>+ISNUMBER(SEARCH('F-COMPRA'!#REF!,Tabla11[[#This Row],[Cuenta]],1))</f>
        <v>0</v>
      </c>
      <c r="AF905" t="b">
        <f>+ISNUMBER(SEARCH('F-VTA'!$G$23,Tabla11[[#This Row],[Cuenta]],1))</f>
        <v>0</v>
      </c>
      <c r="AG905" t="b">
        <f>+ISNUMBER(SEARCH('F-VTA'!$G$24,Tabla11[[#This Row],[Cuenta]],1))</f>
        <v>0</v>
      </c>
      <c r="AH905" t="b">
        <f>+ISNUMBER(SEARCH('F-VTA'!$G$25,Tabla11[[#This Row],[Cuenta]],1))</f>
        <v>0</v>
      </c>
      <c r="AI905" t="b">
        <f>+ISNUMBER(SEARCH('F-VTA'!$F$28,Tabla11[[#This Row],[Cuenta]],1))</f>
        <v>1</v>
      </c>
      <c r="AJ905" t="b">
        <f>+ISNUMBER(SEARCH('F-VTA'!$F$29,Tabla11[[#This Row],[Cuenta]],1))</f>
        <v>1</v>
      </c>
      <c r="AK905" t="b">
        <f>+ISNUMBER(SEARCH('F-VTA'!$F$30,Tabla11[[#This Row],[Cuenta]],1))</f>
        <v>1</v>
      </c>
      <c r="AL905" t="b">
        <f>+ISNUMBER(SEARCH('F-VTA'!$F$31,Tabla11[[#This Row],[Cuenta]],1))</f>
        <v>1</v>
      </c>
      <c r="AM905" t="b">
        <f>+ISNUMBER(SEARCH('F-VTA'!$F$32,Tabla11[[#This Row],[Cuenta]],1))</f>
        <v>1</v>
      </c>
      <c r="AN905" t="b">
        <f>+ISNUMBER(SEARCH('F-VTA'!$F$33,Tabla11[[#This Row],[Cuenta]],1))</f>
        <v>1</v>
      </c>
      <c r="AO905" t="b">
        <f>+ISNUMBER(SEARCH('F-VTA'!$F$34,Tabla11[[#This Row],[Cuenta]],1))</f>
        <v>1</v>
      </c>
      <c r="AP905" t="b">
        <f>+ISNUMBER(SEARCH('F-VTA'!$F$35,Tabla11[[#This Row],[Cuenta]],1))</f>
        <v>1</v>
      </c>
      <c r="AQ905" t="b">
        <f>+ISNUMBER(SEARCH('F-VTA'!$F$36,Tabla11[[#This Row],[Cuenta]],1))</f>
        <v>1</v>
      </c>
      <c r="AR905" t="b">
        <f>+ISNUMBER(SEARCH(#REF!,Tabla11[[#This Row],[Cuenta]],1))</f>
        <v>0</v>
      </c>
      <c r="AS905" t="b">
        <f>+ISNUMBER(SEARCH(#REF!,Tabla11[[#This Row],[Cuenta]],1))</f>
        <v>0</v>
      </c>
      <c r="AT905" t="b">
        <f>+ISNUMBER(SEARCH(#REF!,Tabla11[[#This Row],[Cuenta]],1))</f>
        <v>0</v>
      </c>
      <c r="AU905" t="b">
        <f>+ISNUMBER(SEARCH('Conc. Ban.1'!$I$9,Tabla11[[#This Row],[Cuenta]],1))</f>
        <v>0</v>
      </c>
      <c r="AV905" t="b">
        <f>+ISNUMBER(SEARCH(CompConta!$F$21,Tabla11[[#This Row],[Cuenta]],1))</f>
        <v>1</v>
      </c>
      <c r="AW905" t="b">
        <f>+ISNUMBER(SEARCH(CompConta!$F$22,Tabla11[[#This Row],[Cuenta]],1))</f>
        <v>1</v>
      </c>
      <c r="AX905" t="b">
        <f>+ISNUMBER(SEARCH(CompConta!$F$23,Tabla11[[#This Row],[Cuenta]],1))</f>
        <v>1</v>
      </c>
      <c r="AY905" t="b">
        <f>+ISNUMBER(SEARCH(CompConta!$F$24,Tabla11[[#This Row],[Cuenta]],1))</f>
        <v>1</v>
      </c>
      <c r="AZ905" t="b">
        <f>+ISNUMBER(SEARCH(CompConta!$F$25,Tabla11[[#This Row],[Cuenta]],1))</f>
        <v>1</v>
      </c>
      <c r="BA905" t="b">
        <f>+ISNUMBER(SEARCH(CompConta!$F$26,Tabla11[[#This Row],[Cuenta]],1))</f>
        <v>1</v>
      </c>
      <c r="BB905" t="b">
        <f>+ISNUMBER(SEARCH(CompConta!$F$27,Tabla11[[#This Row],[Cuenta]],1))</f>
        <v>1</v>
      </c>
      <c r="BC905" t="b">
        <f>+ISNUMBER(SEARCH(CompConta!$F$28,Tabla11[[#This Row],[Cuenta]],1))</f>
        <v>1</v>
      </c>
      <c r="BD905" t="b">
        <f>+ISNUMBER(SEARCH(CompConta!$F$29,Tabla11[[#This Row],[Cuenta]],1))</f>
        <v>1</v>
      </c>
      <c r="BE905" t="b">
        <f>+ISNUMBER(SEARCH(CompConta!$F$30,Tabla11[[#This Row],[Cuenta]],1))</f>
        <v>1</v>
      </c>
      <c r="BF905" t="b">
        <f>+ISNUMBER(SEARCH('PAGO Compras'!$E$11,Tabla11[[#This Row],[Cuenta]],1))</f>
        <v>1</v>
      </c>
      <c r="BG905" t="b">
        <f>+ISNUMBER(SEARCH(#REF!,Tabla11[[#This Row],[Cuenta]],1))</f>
        <v>0</v>
      </c>
      <c r="BH905" t="b">
        <f>+ISNUMBER(SEARCH(#REF!,Tabla11[[#This Row],[Cuenta]],1))</f>
        <v>0</v>
      </c>
      <c r="BI905" t="b">
        <f>+ISNUMBER(SEARCH(#REF!,Tabla11[[#This Row],[Cuenta]],1))</f>
        <v>0</v>
      </c>
      <c r="BJ905" t="b">
        <f>+ISNUMBER(SEARCH(#REF!,Tabla11[[#This Row],[Cuenta]],1))</f>
        <v>0</v>
      </c>
      <c r="BS905" t="str">
        <v>516020 Equipo de computación y comunicación</v>
      </c>
      <c r="BT905" t="str">
        <v>516020 Equipo de computación y comunicación</v>
      </c>
      <c r="BU905" t="str">
        <v>516020 Equipo de computación y comunicación</v>
      </c>
      <c r="BV905" t="str">
        <v>516020 Equipo de computación y comunicación</v>
      </c>
      <c r="BZ905" t="str">
        <v>516020 Equipo de computación y comunicación</v>
      </c>
      <c r="CA905" t="str">
        <v>516020 Equipo de computación y comunicación</v>
      </c>
      <c r="CB905" t="str">
        <v>516020 Equipo de computación y comunicación</v>
      </c>
      <c r="CC905" t="str">
        <v>516020 Equipo de computación y comunicación</v>
      </c>
      <c r="CD905" t="str">
        <v>516020 Equipo de computación y comunicación</v>
      </c>
      <c r="CE905" t="str">
        <v>516020 Equipo de computación y comunicación</v>
      </c>
      <c r="CS905" s="141" t="str">
        <v>516020 Equipo de computación y comunicación</v>
      </c>
      <c r="CT905" s="141" t="str">
        <v>516020 Equipo de computación y comunicación</v>
      </c>
      <c r="CU905" s="141" t="str">
        <v>516020 Equipo de computación y comunicación</v>
      </c>
      <c r="CV905" s="141" t="str">
        <v>516020 Equipo de computación y comunicación</v>
      </c>
      <c r="CW905" s="141" t="str">
        <v>516020 Equipo de computación y comunicación</v>
      </c>
      <c r="CX905" s="141" t="str">
        <v>516020 Equipo de computación y comunicación</v>
      </c>
      <c r="CY905" s="141" t="str">
        <v>516020 Equipo de computación y comunicación</v>
      </c>
      <c r="CZ905" s="141" t="str">
        <v>516020 Equipo de computación y comunicación</v>
      </c>
      <c r="DA905" s="141" t="str">
        <v>516020 Equipo de computación y comunicación</v>
      </c>
      <c r="DF905" t="str">
        <v>516020 Equipo de computación y comunicación</v>
      </c>
      <c r="DG905" t="str">
        <v>516020 Equipo de computación y comunicación</v>
      </c>
      <c r="DH905" t="str">
        <v>516020 Equipo de computación y comunicación</v>
      </c>
      <c r="DI905" t="str">
        <v>516020 Equipo de computación y comunicación</v>
      </c>
      <c r="DJ905" t="str">
        <v>516020 Equipo de computación y comunicación</v>
      </c>
      <c r="DK905" t="str">
        <v>516020 Equipo de computación y comunicación</v>
      </c>
      <c r="DL905" t="str">
        <v>516020 Equipo de computación y comunicación</v>
      </c>
      <c r="DM905" t="str">
        <v>516020 Equipo de computación y comunicación</v>
      </c>
      <c r="DN905" t="str">
        <v>516020 Equipo de computación y comunicación</v>
      </c>
      <c r="DO905" t="str">
        <v>516020 Equipo de computación y comunicación</v>
      </c>
      <c r="DP905" t="str">
        <v>516020 Equipo de computación y comunicación</v>
      </c>
    </row>
    <row r="906" spans="4:120" ht="12.75">
      <c r="D906" s="7">
        <v>516025</v>
      </c>
      <c r="E906" s="6" t="s">
        <v>131</v>
      </c>
      <c r="F906" s="5">
        <v>4</v>
      </c>
      <c r="G906" s="34" t="s">
        <v>830</v>
      </c>
      <c r="H906" s="8" t="s">
        <v>32</v>
      </c>
      <c r="I906" t="b">
        <f>+ISNUMBER(SEARCH('F-COMPRA'!$F$28,Tabla11[[#This Row],[Cuenta]],1))</f>
        <v>1</v>
      </c>
      <c r="J906" t="b">
        <f>+ISNUMBER(SEARCH('F-COMPRA'!$F$29,Tabla11[[#This Row],[Cuenta]],1))</f>
        <v>1</v>
      </c>
      <c r="K906" t="b">
        <f>+ISNUMBER(SEARCH('F-COMPRA'!$F$30,Tabla11[[#This Row],[Cuenta]],1))</f>
        <v>1</v>
      </c>
      <c r="L906" t="b">
        <f>+ISNUMBER(SEARCH('F-COMPRA'!$F$31,Tabla11[[#This Row],[Cuenta]],1))</f>
        <v>1</v>
      </c>
      <c r="M906" t="b">
        <f>+ISNUMBER(SEARCH('F-COMPRA'!$G$25,Tabla11[[#This Row],[Cuenta]],1))</f>
        <v>0</v>
      </c>
      <c r="N906" t="b">
        <f>+ISNUMBER(SEARCH(#REF!,Tabla11[[#This Row],[Cuenta]],1))</f>
        <v>0</v>
      </c>
      <c r="O906" t="b">
        <f>+ISNUMBER(SEARCH(#REF!,Tabla11[[#This Row],[Cuenta]],1))</f>
        <v>0</v>
      </c>
      <c r="P906" t="b">
        <f>+ISNUMBER(SEARCH('F-COMPRA'!$F$32,Tabla11[[#This Row],[Cuenta]],1))</f>
        <v>1</v>
      </c>
      <c r="Q906" t="b">
        <f>+ISNUMBER(SEARCH('F-COMPRA'!$F$33,Tabla11[[#This Row],[Cuenta]],1))</f>
        <v>1</v>
      </c>
      <c r="R906" t="b">
        <f>+ISNUMBER(SEARCH('F-COMPRA'!$F$34,Tabla11[[#This Row],[Cuenta]],1))</f>
        <v>1</v>
      </c>
      <c r="S906" t="b">
        <f>+ISNUMBER(SEARCH('F-COMPRA'!$F$35,Tabla11[[#This Row],[Cuenta]],1))</f>
        <v>1</v>
      </c>
      <c r="T906" t="b">
        <f>+ISNUMBER(SEARCH('F-COMPRA'!$F$36,Tabla11[[#This Row],[Cuenta]],1))</f>
        <v>1</v>
      </c>
      <c r="U906" t="b">
        <f>+ISNUMBER(SEARCH('F-COMPRA'!$F$37,Tabla11[[#This Row],[Cuenta]],1))</f>
        <v>1</v>
      </c>
      <c r="V906" t="b">
        <f>+ISNUMBER(SEARCH(#REF!,Tabla11[[#This Row],[Cuenta]],1))</f>
        <v>0</v>
      </c>
      <c r="W906" t="b">
        <f>+ISNUMBER(SEARCH('F-COMPRA'!#REF!,Tabla11[[#This Row],[Cuenta]],1))</f>
        <v>0</v>
      </c>
      <c r="X906" t="b">
        <f>+ISNUMBER(SEARCH('F-COMPRA'!#REF!,Tabla11[[#This Row],[Cuenta]],1))</f>
        <v>0</v>
      </c>
      <c r="Y906" t="b">
        <f>+ISNUMBER(SEARCH('F-COMPRA'!#REF!,Tabla11[[#This Row],[Cuenta]],1))</f>
        <v>0</v>
      </c>
      <c r="Z906" t="b">
        <f>+ISNUMBER(SEARCH('F-COMPRA'!#REF!,Tabla11[[#This Row],[Cuenta]],1))</f>
        <v>0</v>
      </c>
      <c r="AA906" t="b">
        <f>+ISNUMBER(SEARCH('F-COMPRA'!#REF!,Tabla11[[#This Row],[Cuenta]],1))</f>
        <v>0</v>
      </c>
      <c r="AB906" t="b">
        <f>+ISNUMBER(SEARCH('F-COMPRA'!#REF!,Tabla11[[#This Row],[Cuenta]],1))</f>
        <v>0</v>
      </c>
      <c r="AC906" t="b">
        <f>+ISNUMBER(SEARCH('F-COMPRA'!#REF!,Tabla11[[#This Row],[Cuenta]],1))</f>
        <v>0</v>
      </c>
      <c r="AD906" t="b">
        <f>+ISNUMBER(SEARCH('F-COMPRA'!#REF!,Tabla11[[#This Row],[Cuenta]],1))</f>
        <v>0</v>
      </c>
      <c r="AE906" t="b">
        <f>+ISNUMBER(SEARCH('F-COMPRA'!#REF!,Tabla11[[#This Row],[Cuenta]],1))</f>
        <v>0</v>
      </c>
      <c r="AF906" t="b">
        <f>+ISNUMBER(SEARCH('F-VTA'!$G$23,Tabla11[[#This Row],[Cuenta]],1))</f>
        <v>0</v>
      </c>
      <c r="AG906" t="b">
        <f>+ISNUMBER(SEARCH('F-VTA'!$G$24,Tabla11[[#This Row],[Cuenta]],1))</f>
        <v>0</v>
      </c>
      <c r="AH906" t="b">
        <f>+ISNUMBER(SEARCH('F-VTA'!$G$25,Tabla11[[#This Row],[Cuenta]],1))</f>
        <v>0</v>
      </c>
      <c r="AI906" t="b">
        <f>+ISNUMBER(SEARCH('F-VTA'!$F$28,Tabla11[[#This Row],[Cuenta]],1))</f>
        <v>1</v>
      </c>
      <c r="AJ906" t="b">
        <f>+ISNUMBER(SEARCH('F-VTA'!$F$29,Tabla11[[#This Row],[Cuenta]],1))</f>
        <v>1</v>
      </c>
      <c r="AK906" t="b">
        <f>+ISNUMBER(SEARCH('F-VTA'!$F$30,Tabla11[[#This Row],[Cuenta]],1))</f>
        <v>1</v>
      </c>
      <c r="AL906" t="b">
        <f>+ISNUMBER(SEARCH('F-VTA'!$F$31,Tabla11[[#This Row],[Cuenta]],1))</f>
        <v>1</v>
      </c>
      <c r="AM906" t="b">
        <f>+ISNUMBER(SEARCH('F-VTA'!$F$32,Tabla11[[#This Row],[Cuenta]],1))</f>
        <v>1</v>
      </c>
      <c r="AN906" t="b">
        <f>+ISNUMBER(SEARCH('F-VTA'!$F$33,Tabla11[[#This Row],[Cuenta]],1))</f>
        <v>1</v>
      </c>
      <c r="AO906" t="b">
        <f>+ISNUMBER(SEARCH('F-VTA'!$F$34,Tabla11[[#This Row],[Cuenta]],1))</f>
        <v>1</v>
      </c>
      <c r="AP906" t="b">
        <f>+ISNUMBER(SEARCH('F-VTA'!$F$35,Tabla11[[#This Row],[Cuenta]],1))</f>
        <v>1</v>
      </c>
      <c r="AQ906" t="b">
        <f>+ISNUMBER(SEARCH('F-VTA'!$F$36,Tabla11[[#This Row],[Cuenta]],1))</f>
        <v>1</v>
      </c>
      <c r="AR906" t="b">
        <f>+ISNUMBER(SEARCH(#REF!,Tabla11[[#This Row],[Cuenta]],1))</f>
        <v>0</v>
      </c>
      <c r="AS906" t="b">
        <f>+ISNUMBER(SEARCH(#REF!,Tabla11[[#This Row],[Cuenta]],1))</f>
        <v>0</v>
      </c>
      <c r="AT906" t="b">
        <f>+ISNUMBER(SEARCH(#REF!,Tabla11[[#This Row],[Cuenta]],1))</f>
        <v>0</v>
      </c>
      <c r="AU906" t="b">
        <f>+ISNUMBER(SEARCH('Conc. Ban.1'!$I$9,Tabla11[[#This Row],[Cuenta]],1))</f>
        <v>0</v>
      </c>
      <c r="AV906" t="b">
        <f>+ISNUMBER(SEARCH(CompConta!$F$21,Tabla11[[#This Row],[Cuenta]],1))</f>
        <v>1</v>
      </c>
      <c r="AW906" t="b">
        <f>+ISNUMBER(SEARCH(CompConta!$F$22,Tabla11[[#This Row],[Cuenta]],1))</f>
        <v>1</v>
      </c>
      <c r="AX906" t="b">
        <f>+ISNUMBER(SEARCH(CompConta!$F$23,Tabla11[[#This Row],[Cuenta]],1))</f>
        <v>1</v>
      </c>
      <c r="AY906" t="b">
        <f>+ISNUMBER(SEARCH(CompConta!$F$24,Tabla11[[#This Row],[Cuenta]],1))</f>
        <v>1</v>
      </c>
      <c r="AZ906" t="b">
        <f>+ISNUMBER(SEARCH(CompConta!$F$25,Tabla11[[#This Row],[Cuenta]],1))</f>
        <v>1</v>
      </c>
      <c r="BA906" t="b">
        <f>+ISNUMBER(SEARCH(CompConta!$F$26,Tabla11[[#This Row],[Cuenta]],1))</f>
        <v>1</v>
      </c>
      <c r="BB906" t="b">
        <f>+ISNUMBER(SEARCH(CompConta!$F$27,Tabla11[[#This Row],[Cuenta]],1))</f>
        <v>1</v>
      </c>
      <c r="BC906" t="b">
        <f>+ISNUMBER(SEARCH(CompConta!$F$28,Tabla11[[#This Row],[Cuenta]],1))</f>
        <v>1</v>
      </c>
      <c r="BD906" t="b">
        <f>+ISNUMBER(SEARCH(CompConta!$F$29,Tabla11[[#This Row],[Cuenta]],1))</f>
        <v>1</v>
      </c>
      <c r="BE906" t="b">
        <f>+ISNUMBER(SEARCH(CompConta!$F$30,Tabla11[[#This Row],[Cuenta]],1))</f>
        <v>1</v>
      </c>
      <c r="BF906" t="b">
        <f>+ISNUMBER(SEARCH('PAGO Compras'!$E$11,Tabla11[[#This Row],[Cuenta]],1))</f>
        <v>1</v>
      </c>
      <c r="BG906" t="b">
        <f>+ISNUMBER(SEARCH(#REF!,Tabla11[[#This Row],[Cuenta]],1))</f>
        <v>0</v>
      </c>
      <c r="BH906" t="b">
        <f>+ISNUMBER(SEARCH(#REF!,Tabla11[[#This Row],[Cuenta]],1))</f>
        <v>0</v>
      </c>
      <c r="BI906" t="b">
        <f>+ISNUMBER(SEARCH(#REF!,Tabla11[[#This Row],[Cuenta]],1))</f>
        <v>0</v>
      </c>
      <c r="BJ906" t="b">
        <f>+ISNUMBER(SEARCH(#REF!,Tabla11[[#This Row],[Cuenta]],1))</f>
        <v>0</v>
      </c>
      <c r="BS906" t="str">
        <v>516025 Equipo médico-científico</v>
      </c>
      <c r="BT906" t="str">
        <v>516025 Equipo médico-científico</v>
      </c>
      <c r="BU906" t="str">
        <v>516025 Equipo médico-científico</v>
      </c>
      <c r="BV906" t="str">
        <v>516025 Equipo médico-científico</v>
      </c>
      <c r="BZ906" t="str">
        <v>516025 Equipo médico-científico</v>
      </c>
      <c r="CA906" t="str">
        <v>516025 Equipo médico-científico</v>
      </c>
      <c r="CB906" t="str">
        <v>516025 Equipo médico-científico</v>
      </c>
      <c r="CC906" t="str">
        <v>516025 Equipo médico-científico</v>
      </c>
      <c r="CD906" t="str">
        <v>516025 Equipo médico-científico</v>
      </c>
      <c r="CE906" t="str">
        <v>516025 Equipo médico-científico</v>
      </c>
      <c r="CS906" s="141" t="str">
        <v>516025 Equipo médico-científico</v>
      </c>
      <c r="CT906" s="141" t="str">
        <v>516025 Equipo médico-científico</v>
      </c>
      <c r="CU906" s="141" t="str">
        <v>516025 Equipo médico-científico</v>
      </c>
      <c r="CV906" s="141" t="str">
        <v>516025 Equipo médico-científico</v>
      </c>
      <c r="CW906" s="141" t="str">
        <v>516025 Equipo médico-científico</v>
      </c>
      <c r="CX906" s="141" t="str">
        <v>516025 Equipo médico-científico</v>
      </c>
      <c r="CY906" s="141" t="str">
        <v>516025 Equipo médico-científico</v>
      </c>
      <c r="CZ906" s="141" t="str">
        <v>516025 Equipo médico-científico</v>
      </c>
      <c r="DA906" s="141" t="str">
        <v>516025 Equipo médico-científico</v>
      </c>
      <c r="DF906" t="str">
        <v>516025 Equipo médico-científico</v>
      </c>
      <c r="DG906" t="str">
        <v>516025 Equipo médico-científico</v>
      </c>
      <c r="DH906" t="str">
        <v>516025 Equipo médico-científico</v>
      </c>
      <c r="DI906" t="str">
        <v>516025 Equipo médico-científico</v>
      </c>
      <c r="DJ906" t="str">
        <v>516025 Equipo médico-científico</v>
      </c>
      <c r="DK906" t="str">
        <v>516025 Equipo médico-científico</v>
      </c>
      <c r="DL906" t="str">
        <v>516025 Equipo médico-científico</v>
      </c>
      <c r="DM906" t="str">
        <v>516025 Equipo médico-científico</v>
      </c>
      <c r="DN906" t="str">
        <v>516025 Equipo médico-científico</v>
      </c>
      <c r="DO906" t="str">
        <v>516025 Equipo médico-científico</v>
      </c>
      <c r="DP906" t="str">
        <v>516025 Equipo médico-científico</v>
      </c>
    </row>
    <row r="907" spans="4:120" ht="12.75">
      <c r="D907" s="7">
        <v>516030</v>
      </c>
      <c r="E907" s="6" t="s">
        <v>132</v>
      </c>
      <c r="F907" s="5">
        <v>4</v>
      </c>
      <c r="G907" s="34" t="s">
        <v>830</v>
      </c>
      <c r="H907" s="8" t="s">
        <v>32</v>
      </c>
      <c r="I907" t="b">
        <f>+ISNUMBER(SEARCH('F-COMPRA'!$F$28,Tabla11[[#This Row],[Cuenta]],1))</f>
        <v>1</v>
      </c>
      <c r="J907" t="b">
        <f>+ISNUMBER(SEARCH('F-COMPRA'!$F$29,Tabla11[[#This Row],[Cuenta]],1))</f>
        <v>1</v>
      </c>
      <c r="K907" t="b">
        <f>+ISNUMBER(SEARCH('F-COMPRA'!$F$30,Tabla11[[#This Row],[Cuenta]],1))</f>
        <v>1</v>
      </c>
      <c r="L907" t="b">
        <f>+ISNUMBER(SEARCH('F-COMPRA'!$F$31,Tabla11[[#This Row],[Cuenta]],1))</f>
        <v>1</v>
      </c>
      <c r="M907" t="b">
        <f>+ISNUMBER(SEARCH('F-COMPRA'!$G$25,Tabla11[[#This Row],[Cuenta]],1))</f>
        <v>0</v>
      </c>
      <c r="N907" t="b">
        <f>+ISNUMBER(SEARCH(#REF!,Tabla11[[#This Row],[Cuenta]],1))</f>
        <v>0</v>
      </c>
      <c r="O907" t="b">
        <f>+ISNUMBER(SEARCH(#REF!,Tabla11[[#This Row],[Cuenta]],1))</f>
        <v>0</v>
      </c>
      <c r="P907" t="b">
        <f>+ISNUMBER(SEARCH('F-COMPRA'!$F$32,Tabla11[[#This Row],[Cuenta]],1))</f>
        <v>1</v>
      </c>
      <c r="Q907" t="b">
        <f>+ISNUMBER(SEARCH('F-COMPRA'!$F$33,Tabla11[[#This Row],[Cuenta]],1))</f>
        <v>1</v>
      </c>
      <c r="R907" t="b">
        <f>+ISNUMBER(SEARCH('F-COMPRA'!$F$34,Tabla11[[#This Row],[Cuenta]],1))</f>
        <v>1</v>
      </c>
      <c r="S907" t="b">
        <f>+ISNUMBER(SEARCH('F-COMPRA'!$F$35,Tabla11[[#This Row],[Cuenta]],1))</f>
        <v>1</v>
      </c>
      <c r="T907" t="b">
        <f>+ISNUMBER(SEARCH('F-COMPRA'!$F$36,Tabla11[[#This Row],[Cuenta]],1))</f>
        <v>1</v>
      </c>
      <c r="U907" t="b">
        <f>+ISNUMBER(SEARCH('F-COMPRA'!$F$37,Tabla11[[#This Row],[Cuenta]],1))</f>
        <v>1</v>
      </c>
      <c r="V907" t="b">
        <f>+ISNUMBER(SEARCH(#REF!,Tabla11[[#This Row],[Cuenta]],1))</f>
        <v>0</v>
      </c>
      <c r="W907" t="b">
        <f>+ISNUMBER(SEARCH('F-COMPRA'!#REF!,Tabla11[[#This Row],[Cuenta]],1))</f>
        <v>0</v>
      </c>
      <c r="X907" t="b">
        <f>+ISNUMBER(SEARCH('F-COMPRA'!#REF!,Tabla11[[#This Row],[Cuenta]],1))</f>
        <v>0</v>
      </c>
      <c r="Y907" t="b">
        <f>+ISNUMBER(SEARCH('F-COMPRA'!#REF!,Tabla11[[#This Row],[Cuenta]],1))</f>
        <v>0</v>
      </c>
      <c r="Z907" t="b">
        <f>+ISNUMBER(SEARCH('F-COMPRA'!#REF!,Tabla11[[#This Row],[Cuenta]],1))</f>
        <v>0</v>
      </c>
      <c r="AA907" t="b">
        <f>+ISNUMBER(SEARCH('F-COMPRA'!#REF!,Tabla11[[#This Row],[Cuenta]],1))</f>
        <v>0</v>
      </c>
      <c r="AB907" t="b">
        <f>+ISNUMBER(SEARCH('F-COMPRA'!#REF!,Tabla11[[#This Row],[Cuenta]],1))</f>
        <v>0</v>
      </c>
      <c r="AC907" t="b">
        <f>+ISNUMBER(SEARCH('F-COMPRA'!#REF!,Tabla11[[#This Row],[Cuenta]],1))</f>
        <v>0</v>
      </c>
      <c r="AD907" t="b">
        <f>+ISNUMBER(SEARCH('F-COMPRA'!#REF!,Tabla11[[#This Row],[Cuenta]],1))</f>
        <v>0</v>
      </c>
      <c r="AE907" t="b">
        <f>+ISNUMBER(SEARCH('F-COMPRA'!#REF!,Tabla11[[#This Row],[Cuenta]],1))</f>
        <v>0</v>
      </c>
      <c r="AF907" t="b">
        <f>+ISNUMBER(SEARCH('F-VTA'!$G$23,Tabla11[[#This Row],[Cuenta]],1))</f>
        <v>0</v>
      </c>
      <c r="AG907" t="b">
        <f>+ISNUMBER(SEARCH('F-VTA'!$G$24,Tabla11[[#This Row],[Cuenta]],1))</f>
        <v>0</v>
      </c>
      <c r="AH907" t="b">
        <f>+ISNUMBER(SEARCH('F-VTA'!$G$25,Tabla11[[#This Row],[Cuenta]],1))</f>
        <v>0</v>
      </c>
      <c r="AI907" t="b">
        <f>+ISNUMBER(SEARCH('F-VTA'!$F$28,Tabla11[[#This Row],[Cuenta]],1))</f>
        <v>1</v>
      </c>
      <c r="AJ907" t="b">
        <f>+ISNUMBER(SEARCH('F-VTA'!$F$29,Tabla11[[#This Row],[Cuenta]],1))</f>
        <v>1</v>
      </c>
      <c r="AK907" t="b">
        <f>+ISNUMBER(SEARCH('F-VTA'!$F$30,Tabla11[[#This Row],[Cuenta]],1))</f>
        <v>1</v>
      </c>
      <c r="AL907" t="b">
        <f>+ISNUMBER(SEARCH('F-VTA'!$F$31,Tabla11[[#This Row],[Cuenta]],1))</f>
        <v>1</v>
      </c>
      <c r="AM907" t="b">
        <f>+ISNUMBER(SEARCH('F-VTA'!$F$32,Tabla11[[#This Row],[Cuenta]],1))</f>
        <v>1</v>
      </c>
      <c r="AN907" t="b">
        <f>+ISNUMBER(SEARCH('F-VTA'!$F$33,Tabla11[[#This Row],[Cuenta]],1))</f>
        <v>1</v>
      </c>
      <c r="AO907" t="b">
        <f>+ISNUMBER(SEARCH('F-VTA'!$F$34,Tabla11[[#This Row],[Cuenta]],1))</f>
        <v>1</v>
      </c>
      <c r="AP907" t="b">
        <f>+ISNUMBER(SEARCH('F-VTA'!$F$35,Tabla11[[#This Row],[Cuenta]],1))</f>
        <v>1</v>
      </c>
      <c r="AQ907" t="b">
        <f>+ISNUMBER(SEARCH('F-VTA'!$F$36,Tabla11[[#This Row],[Cuenta]],1))</f>
        <v>1</v>
      </c>
      <c r="AR907" t="b">
        <f>+ISNUMBER(SEARCH(#REF!,Tabla11[[#This Row],[Cuenta]],1))</f>
        <v>0</v>
      </c>
      <c r="AS907" t="b">
        <f>+ISNUMBER(SEARCH(#REF!,Tabla11[[#This Row],[Cuenta]],1))</f>
        <v>0</v>
      </c>
      <c r="AT907" t="b">
        <f>+ISNUMBER(SEARCH(#REF!,Tabla11[[#This Row],[Cuenta]],1))</f>
        <v>0</v>
      </c>
      <c r="AU907" t="b">
        <f>+ISNUMBER(SEARCH('Conc. Ban.1'!$I$9,Tabla11[[#This Row],[Cuenta]],1))</f>
        <v>0</v>
      </c>
      <c r="AV907" t="b">
        <f>+ISNUMBER(SEARCH(CompConta!$F$21,Tabla11[[#This Row],[Cuenta]],1))</f>
        <v>1</v>
      </c>
      <c r="AW907" t="b">
        <f>+ISNUMBER(SEARCH(CompConta!$F$22,Tabla11[[#This Row],[Cuenta]],1))</f>
        <v>1</v>
      </c>
      <c r="AX907" t="b">
        <f>+ISNUMBER(SEARCH(CompConta!$F$23,Tabla11[[#This Row],[Cuenta]],1))</f>
        <v>1</v>
      </c>
      <c r="AY907" t="b">
        <f>+ISNUMBER(SEARCH(CompConta!$F$24,Tabla11[[#This Row],[Cuenta]],1))</f>
        <v>1</v>
      </c>
      <c r="AZ907" t="b">
        <f>+ISNUMBER(SEARCH(CompConta!$F$25,Tabla11[[#This Row],[Cuenta]],1))</f>
        <v>1</v>
      </c>
      <c r="BA907" t="b">
        <f>+ISNUMBER(SEARCH(CompConta!$F$26,Tabla11[[#This Row],[Cuenta]],1))</f>
        <v>1</v>
      </c>
      <c r="BB907" t="b">
        <f>+ISNUMBER(SEARCH(CompConta!$F$27,Tabla11[[#This Row],[Cuenta]],1))</f>
        <v>1</v>
      </c>
      <c r="BC907" t="b">
        <f>+ISNUMBER(SEARCH(CompConta!$F$28,Tabla11[[#This Row],[Cuenta]],1))</f>
        <v>1</v>
      </c>
      <c r="BD907" t="b">
        <f>+ISNUMBER(SEARCH(CompConta!$F$29,Tabla11[[#This Row],[Cuenta]],1))</f>
        <v>1</v>
      </c>
      <c r="BE907" t="b">
        <f>+ISNUMBER(SEARCH(CompConta!$F$30,Tabla11[[#This Row],[Cuenta]],1))</f>
        <v>1</v>
      </c>
      <c r="BF907" t="b">
        <f>+ISNUMBER(SEARCH('PAGO Compras'!$E$11,Tabla11[[#This Row],[Cuenta]],1))</f>
        <v>1</v>
      </c>
      <c r="BG907" t="b">
        <f>+ISNUMBER(SEARCH(#REF!,Tabla11[[#This Row],[Cuenta]],1))</f>
        <v>0</v>
      </c>
      <c r="BH907" t="b">
        <f>+ISNUMBER(SEARCH(#REF!,Tabla11[[#This Row],[Cuenta]],1))</f>
        <v>0</v>
      </c>
      <c r="BI907" t="b">
        <f>+ISNUMBER(SEARCH(#REF!,Tabla11[[#This Row],[Cuenta]],1))</f>
        <v>0</v>
      </c>
      <c r="BJ907" t="b">
        <f>+ISNUMBER(SEARCH(#REF!,Tabla11[[#This Row],[Cuenta]],1))</f>
        <v>0</v>
      </c>
      <c r="BS907" t="str">
        <v>516030 Equipo de hoteles y restaurantes</v>
      </c>
      <c r="BT907" t="str">
        <v>516030 Equipo de hoteles y restaurantes</v>
      </c>
      <c r="BU907" t="str">
        <v>516030 Equipo de hoteles y restaurantes</v>
      </c>
      <c r="BV907" t="str">
        <v>516030 Equipo de hoteles y restaurantes</v>
      </c>
      <c r="BZ907" t="str">
        <v>516030 Equipo de hoteles y restaurantes</v>
      </c>
      <c r="CA907" t="str">
        <v>516030 Equipo de hoteles y restaurantes</v>
      </c>
      <c r="CB907" t="str">
        <v>516030 Equipo de hoteles y restaurantes</v>
      </c>
      <c r="CC907" t="str">
        <v>516030 Equipo de hoteles y restaurantes</v>
      </c>
      <c r="CD907" t="str">
        <v>516030 Equipo de hoteles y restaurantes</v>
      </c>
      <c r="CE907" t="str">
        <v>516030 Equipo de hoteles y restaurantes</v>
      </c>
      <c r="CS907" s="141" t="str">
        <v>516030 Equipo de hoteles y restaurantes</v>
      </c>
      <c r="CT907" s="141" t="str">
        <v>516030 Equipo de hoteles y restaurantes</v>
      </c>
      <c r="CU907" s="141" t="str">
        <v>516030 Equipo de hoteles y restaurantes</v>
      </c>
      <c r="CV907" s="141" t="str">
        <v>516030 Equipo de hoteles y restaurantes</v>
      </c>
      <c r="CW907" s="141" t="str">
        <v>516030 Equipo de hoteles y restaurantes</v>
      </c>
      <c r="CX907" s="141" t="str">
        <v>516030 Equipo de hoteles y restaurantes</v>
      </c>
      <c r="CY907" s="141" t="str">
        <v>516030 Equipo de hoteles y restaurantes</v>
      </c>
      <c r="CZ907" s="141" t="str">
        <v>516030 Equipo de hoteles y restaurantes</v>
      </c>
      <c r="DA907" s="141" t="str">
        <v>516030 Equipo de hoteles y restaurantes</v>
      </c>
      <c r="DF907" t="str">
        <v>516030 Equipo de hoteles y restaurantes</v>
      </c>
      <c r="DG907" t="str">
        <v>516030 Equipo de hoteles y restaurantes</v>
      </c>
      <c r="DH907" t="str">
        <v>516030 Equipo de hoteles y restaurantes</v>
      </c>
      <c r="DI907" t="str">
        <v>516030 Equipo de hoteles y restaurantes</v>
      </c>
      <c r="DJ907" t="str">
        <v>516030 Equipo de hoteles y restaurantes</v>
      </c>
      <c r="DK907" t="str">
        <v>516030 Equipo de hoteles y restaurantes</v>
      </c>
      <c r="DL907" t="str">
        <v>516030 Equipo de hoteles y restaurantes</v>
      </c>
      <c r="DM907" t="str">
        <v>516030 Equipo de hoteles y restaurantes</v>
      </c>
      <c r="DN907" t="str">
        <v>516030 Equipo de hoteles y restaurantes</v>
      </c>
      <c r="DO907" t="str">
        <v>516030 Equipo de hoteles y restaurantes</v>
      </c>
      <c r="DP907" t="str">
        <v>516030 Equipo de hoteles y restaurantes</v>
      </c>
    </row>
    <row r="908" spans="4:120" ht="12.75">
      <c r="D908" s="7">
        <v>516035</v>
      </c>
      <c r="E908" s="6" t="s">
        <v>133</v>
      </c>
      <c r="F908" s="5">
        <v>4</v>
      </c>
      <c r="G908" s="34" t="s">
        <v>830</v>
      </c>
      <c r="H908" s="8" t="s">
        <v>32</v>
      </c>
      <c r="I908" t="b">
        <f>+ISNUMBER(SEARCH('F-COMPRA'!$F$28,Tabla11[[#This Row],[Cuenta]],1))</f>
        <v>1</v>
      </c>
      <c r="J908" t="b">
        <f>+ISNUMBER(SEARCH('F-COMPRA'!$F$29,Tabla11[[#This Row],[Cuenta]],1))</f>
        <v>1</v>
      </c>
      <c r="K908" t="b">
        <f>+ISNUMBER(SEARCH('F-COMPRA'!$F$30,Tabla11[[#This Row],[Cuenta]],1))</f>
        <v>1</v>
      </c>
      <c r="L908" t="b">
        <f>+ISNUMBER(SEARCH('F-COMPRA'!$F$31,Tabla11[[#This Row],[Cuenta]],1))</f>
        <v>1</v>
      </c>
      <c r="M908" t="b">
        <f>+ISNUMBER(SEARCH('F-COMPRA'!$G$25,Tabla11[[#This Row],[Cuenta]],1))</f>
        <v>0</v>
      </c>
      <c r="N908" t="b">
        <f>+ISNUMBER(SEARCH(#REF!,Tabla11[[#This Row],[Cuenta]],1))</f>
        <v>0</v>
      </c>
      <c r="O908" t="b">
        <f>+ISNUMBER(SEARCH(#REF!,Tabla11[[#This Row],[Cuenta]],1))</f>
        <v>0</v>
      </c>
      <c r="P908" t="b">
        <f>+ISNUMBER(SEARCH('F-COMPRA'!$F$32,Tabla11[[#This Row],[Cuenta]],1))</f>
        <v>1</v>
      </c>
      <c r="Q908" t="b">
        <f>+ISNUMBER(SEARCH('F-COMPRA'!$F$33,Tabla11[[#This Row],[Cuenta]],1))</f>
        <v>1</v>
      </c>
      <c r="R908" t="b">
        <f>+ISNUMBER(SEARCH('F-COMPRA'!$F$34,Tabla11[[#This Row],[Cuenta]],1))</f>
        <v>1</v>
      </c>
      <c r="S908" t="b">
        <f>+ISNUMBER(SEARCH('F-COMPRA'!$F$35,Tabla11[[#This Row],[Cuenta]],1))</f>
        <v>1</v>
      </c>
      <c r="T908" t="b">
        <f>+ISNUMBER(SEARCH('F-COMPRA'!$F$36,Tabla11[[#This Row],[Cuenta]],1))</f>
        <v>1</v>
      </c>
      <c r="U908" t="b">
        <f>+ISNUMBER(SEARCH('F-COMPRA'!$F$37,Tabla11[[#This Row],[Cuenta]],1))</f>
        <v>1</v>
      </c>
      <c r="V908" t="b">
        <f>+ISNUMBER(SEARCH(#REF!,Tabla11[[#This Row],[Cuenta]],1))</f>
        <v>0</v>
      </c>
      <c r="W908" t="b">
        <f>+ISNUMBER(SEARCH('F-COMPRA'!#REF!,Tabla11[[#This Row],[Cuenta]],1))</f>
        <v>0</v>
      </c>
      <c r="X908" t="b">
        <f>+ISNUMBER(SEARCH('F-COMPRA'!#REF!,Tabla11[[#This Row],[Cuenta]],1))</f>
        <v>0</v>
      </c>
      <c r="Y908" t="b">
        <f>+ISNUMBER(SEARCH('F-COMPRA'!#REF!,Tabla11[[#This Row],[Cuenta]],1))</f>
        <v>0</v>
      </c>
      <c r="Z908" t="b">
        <f>+ISNUMBER(SEARCH('F-COMPRA'!#REF!,Tabla11[[#This Row],[Cuenta]],1))</f>
        <v>0</v>
      </c>
      <c r="AA908" t="b">
        <f>+ISNUMBER(SEARCH('F-COMPRA'!#REF!,Tabla11[[#This Row],[Cuenta]],1))</f>
        <v>0</v>
      </c>
      <c r="AB908" t="b">
        <f>+ISNUMBER(SEARCH('F-COMPRA'!#REF!,Tabla11[[#This Row],[Cuenta]],1))</f>
        <v>0</v>
      </c>
      <c r="AC908" t="b">
        <f>+ISNUMBER(SEARCH('F-COMPRA'!#REF!,Tabla11[[#This Row],[Cuenta]],1))</f>
        <v>0</v>
      </c>
      <c r="AD908" t="b">
        <f>+ISNUMBER(SEARCH('F-COMPRA'!#REF!,Tabla11[[#This Row],[Cuenta]],1))</f>
        <v>0</v>
      </c>
      <c r="AE908" t="b">
        <f>+ISNUMBER(SEARCH('F-COMPRA'!#REF!,Tabla11[[#This Row],[Cuenta]],1))</f>
        <v>0</v>
      </c>
      <c r="AF908" t="b">
        <f>+ISNUMBER(SEARCH('F-VTA'!$G$23,Tabla11[[#This Row],[Cuenta]],1))</f>
        <v>0</v>
      </c>
      <c r="AG908" t="b">
        <f>+ISNUMBER(SEARCH('F-VTA'!$G$24,Tabla11[[#This Row],[Cuenta]],1))</f>
        <v>0</v>
      </c>
      <c r="AH908" t="b">
        <f>+ISNUMBER(SEARCH('F-VTA'!$G$25,Tabla11[[#This Row],[Cuenta]],1))</f>
        <v>0</v>
      </c>
      <c r="AI908" t="b">
        <f>+ISNUMBER(SEARCH('F-VTA'!$F$28,Tabla11[[#This Row],[Cuenta]],1))</f>
        <v>1</v>
      </c>
      <c r="AJ908" t="b">
        <f>+ISNUMBER(SEARCH('F-VTA'!$F$29,Tabla11[[#This Row],[Cuenta]],1))</f>
        <v>1</v>
      </c>
      <c r="AK908" t="b">
        <f>+ISNUMBER(SEARCH('F-VTA'!$F$30,Tabla11[[#This Row],[Cuenta]],1))</f>
        <v>1</v>
      </c>
      <c r="AL908" t="b">
        <f>+ISNUMBER(SEARCH('F-VTA'!$F$31,Tabla11[[#This Row],[Cuenta]],1))</f>
        <v>1</v>
      </c>
      <c r="AM908" t="b">
        <f>+ISNUMBER(SEARCH('F-VTA'!$F$32,Tabla11[[#This Row],[Cuenta]],1))</f>
        <v>1</v>
      </c>
      <c r="AN908" t="b">
        <f>+ISNUMBER(SEARCH('F-VTA'!$F$33,Tabla11[[#This Row],[Cuenta]],1))</f>
        <v>1</v>
      </c>
      <c r="AO908" t="b">
        <f>+ISNUMBER(SEARCH('F-VTA'!$F$34,Tabla11[[#This Row],[Cuenta]],1))</f>
        <v>1</v>
      </c>
      <c r="AP908" t="b">
        <f>+ISNUMBER(SEARCH('F-VTA'!$F$35,Tabla11[[#This Row],[Cuenta]],1))</f>
        <v>1</v>
      </c>
      <c r="AQ908" t="b">
        <f>+ISNUMBER(SEARCH('F-VTA'!$F$36,Tabla11[[#This Row],[Cuenta]],1))</f>
        <v>1</v>
      </c>
      <c r="AR908" t="b">
        <f>+ISNUMBER(SEARCH(#REF!,Tabla11[[#This Row],[Cuenta]],1))</f>
        <v>0</v>
      </c>
      <c r="AS908" t="b">
        <f>+ISNUMBER(SEARCH(#REF!,Tabla11[[#This Row],[Cuenta]],1))</f>
        <v>0</v>
      </c>
      <c r="AT908" t="b">
        <f>+ISNUMBER(SEARCH(#REF!,Tabla11[[#This Row],[Cuenta]],1))</f>
        <v>0</v>
      </c>
      <c r="AU908" t="b">
        <f>+ISNUMBER(SEARCH('Conc. Ban.1'!$I$9,Tabla11[[#This Row],[Cuenta]],1))</f>
        <v>0</v>
      </c>
      <c r="AV908" t="b">
        <f>+ISNUMBER(SEARCH(CompConta!$F$21,Tabla11[[#This Row],[Cuenta]],1))</f>
        <v>1</v>
      </c>
      <c r="AW908" t="b">
        <f>+ISNUMBER(SEARCH(CompConta!$F$22,Tabla11[[#This Row],[Cuenta]],1))</f>
        <v>1</v>
      </c>
      <c r="AX908" t="b">
        <f>+ISNUMBER(SEARCH(CompConta!$F$23,Tabla11[[#This Row],[Cuenta]],1))</f>
        <v>1</v>
      </c>
      <c r="AY908" t="b">
        <f>+ISNUMBER(SEARCH(CompConta!$F$24,Tabla11[[#This Row],[Cuenta]],1))</f>
        <v>1</v>
      </c>
      <c r="AZ908" t="b">
        <f>+ISNUMBER(SEARCH(CompConta!$F$25,Tabla11[[#This Row],[Cuenta]],1))</f>
        <v>1</v>
      </c>
      <c r="BA908" t="b">
        <f>+ISNUMBER(SEARCH(CompConta!$F$26,Tabla11[[#This Row],[Cuenta]],1))</f>
        <v>1</v>
      </c>
      <c r="BB908" t="b">
        <f>+ISNUMBER(SEARCH(CompConta!$F$27,Tabla11[[#This Row],[Cuenta]],1))</f>
        <v>1</v>
      </c>
      <c r="BC908" t="b">
        <f>+ISNUMBER(SEARCH(CompConta!$F$28,Tabla11[[#This Row],[Cuenta]],1))</f>
        <v>1</v>
      </c>
      <c r="BD908" t="b">
        <f>+ISNUMBER(SEARCH(CompConta!$F$29,Tabla11[[#This Row],[Cuenta]],1))</f>
        <v>1</v>
      </c>
      <c r="BE908" t="b">
        <f>+ISNUMBER(SEARCH(CompConta!$F$30,Tabla11[[#This Row],[Cuenta]],1))</f>
        <v>1</v>
      </c>
      <c r="BF908" t="b">
        <f>+ISNUMBER(SEARCH('PAGO Compras'!$E$11,Tabla11[[#This Row],[Cuenta]],1))</f>
        <v>1</v>
      </c>
      <c r="BG908" t="b">
        <f>+ISNUMBER(SEARCH(#REF!,Tabla11[[#This Row],[Cuenta]],1))</f>
        <v>0</v>
      </c>
      <c r="BH908" t="b">
        <f>+ISNUMBER(SEARCH(#REF!,Tabla11[[#This Row],[Cuenta]],1))</f>
        <v>0</v>
      </c>
      <c r="BI908" t="b">
        <f>+ISNUMBER(SEARCH(#REF!,Tabla11[[#This Row],[Cuenta]],1))</f>
        <v>0</v>
      </c>
      <c r="BJ908" t="b">
        <f>+ISNUMBER(SEARCH(#REF!,Tabla11[[#This Row],[Cuenta]],1))</f>
        <v>0</v>
      </c>
      <c r="BS908" t="str">
        <v>516035 Flota y equipo de transporte</v>
      </c>
      <c r="BT908" t="str">
        <v>516035 Flota y equipo de transporte</v>
      </c>
      <c r="BU908" t="str">
        <v>516035 Flota y equipo de transporte</v>
      </c>
      <c r="BV908" t="str">
        <v>516035 Flota y equipo de transporte</v>
      </c>
      <c r="BZ908" t="str">
        <v>516035 Flota y equipo de transporte</v>
      </c>
      <c r="CA908" t="str">
        <v>516035 Flota y equipo de transporte</v>
      </c>
      <c r="CB908" t="str">
        <v>516035 Flota y equipo de transporte</v>
      </c>
      <c r="CC908" t="str">
        <v>516035 Flota y equipo de transporte</v>
      </c>
      <c r="CD908" t="str">
        <v>516035 Flota y equipo de transporte</v>
      </c>
      <c r="CE908" t="str">
        <v>516035 Flota y equipo de transporte</v>
      </c>
      <c r="CS908" s="141" t="str">
        <v>516035 Flota y equipo de transporte</v>
      </c>
      <c r="CT908" s="141" t="str">
        <v>516035 Flota y equipo de transporte</v>
      </c>
      <c r="CU908" s="141" t="str">
        <v>516035 Flota y equipo de transporte</v>
      </c>
      <c r="CV908" s="141" t="str">
        <v>516035 Flota y equipo de transporte</v>
      </c>
      <c r="CW908" s="141" t="str">
        <v>516035 Flota y equipo de transporte</v>
      </c>
      <c r="CX908" s="141" t="str">
        <v>516035 Flota y equipo de transporte</v>
      </c>
      <c r="CY908" s="141" t="str">
        <v>516035 Flota y equipo de transporte</v>
      </c>
      <c r="CZ908" s="141" t="str">
        <v>516035 Flota y equipo de transporte</v>
      </c>
      <c r="DA908" s="141" t="str">
        <v>516035 Flota y equipo de transporte</v>
      </c>
      <c r="DF908" t="str">
        <v>516035 Flota y equipo de transporte</v>
      </c>
      <c r="DG908" t="str">
        <v>516035 Flota y equipo de transporte</v>
      </c>
      <c r="DH908" t="str">
        <v>516035 Flota y equipo de transporte</v>
      </c>
      <c r="DI908" t="str">
        <v>516035 Flota y equipo de transporte</v>
      </c>
      <c r="DJ908" t="str">
        <v>516035 Flota y equipo de transporte</v>
      </c>
      <c r="DK908" t="str">
        <v>516035 Flota y equipo de transporte</v>
      </c>
      <c r="DL908" t="str">
        <v>516035 Flota y equipo de transporte</v>
      </c>
      <c r="DM908" t="str">
        <v>516035 Flota y equipo de transporte</v>
      </c>
      <c r="DN908" t="str">
        <v>516035 Flota y equipo de transporte</v>
      </c>
      <c r="DO908" t="str">
        <v>516035 Flota y equipo de transporte</v>
      </c>
      <c r="DP908" t="str">
        <v>516035 Flota y equipo de transporte</v>
      </c>
    </row>
    <row r="909" spans="4:120" ht="12.75">
      <c r="D909" s="7">
        <v>516040</v>
      </c>
      <c r="E909" s="6" t="s">
        <v>134</v>
      </c>
      <c r="F909" s="5">
        <v>4</v>
      </c>
      <c r="G909" s="34" t="s">
        <v>830</v>
      </c>
      <c r="H909" s="8" t="s">
        <v>32</v>
      </c>
      <c r="I909" t="b">
        <f>+ISNUMBER(SEARCH('F-COMPRA'!$F$28,Tabla11[[#This Row],[Cuenta]],1))</f>
        <v>1</v>
      </c>
      <c r="J909" t="b">
        <f>+ISNUMBER(SEARCH('F-COMPRA'!$F$29,Tabla11[[#This Row],[Cuenta]],1))</f>
        <v>1</v>
      </c>
      <c r="K909" t="b">
        <f>+ISNUMBER(SEARCH('F-COMPRA'!$F$30,Tabla11[[#This Row],[Cuenta]],1))</f>
        <v>1</v>
      </c>
      <c r="L909" t="b">
        <f>+ISNUMBER(SEARCH('F-COMPRA'!$F$31,Tabla11[[#This Row],[Cuenta]],1))</f>
        <v>1</v>
      </c>
      <c r="M909" t="b">
        <f>+ISNUMBER(SEARCH('F-COMPRA'!$G$25,Tabla11[[#This Row],[Cuenta]],1))</f>
        <v>0</v>
      </c>
      <c r="N909" t="b">
        <f>+ISNUMBER(SEARCH(#REF!,Tabla11[[#This Row],[Cuenta]],1))</f>
        <v>0</v>
      </c>
      <c r="O909" t="b">
        <f>+ISNUMBER(SEARCH(#REF!,Tabla11[[#This Row],[Cuenta]],1))</f>
        <v>0</v>
      </c>
      <c r="P909" t="b">
        <f>+ISNUMBER(SEARCH('F-COMPRA'!$F$32,Tabla11[[#This Row],[Cuenta]],1))</f>
        <v>1</v>
      </c>
      <c r="Q909" t="b">
        <f>+ISNUMBER(SEARCH('F-COMPRA'!$F$33,Tabla11[[#This Row],[Cuenta]],1))</f>
        <v>1</v>
      </c>
      <c r="R909" t="b">
        <f>+ISNUMBER(SEARCH('F-COMPRA'!$F$34,Tabla11[[#This Row],[Cuenta]],1))</f>
        <v>1</v>
      </c>
      <c r="S909" t="b">
        <f>+ISNUMBER(SEARCH('F-COMPRA'!$F$35,Tabla11[[#This Row],[Cuenta]],1))</f>
        <v>1</v>
      </c>
      <c r="T909" t="b">
        <f>+ISNUMBER(SEARCH('F-COMPRA'!$F$36,Tabla11[[#This Row],[Cuenta]],1))</f>
        <v>1</v>
      </c>
      <c r="U909" t="b">
        <f>+ISNUMBER(SEARCH('F-COMPRA'!$F$37,Tabla11[[#This Row],[Cuenta]],1))</f>
        <v>1</v>
      </c>
      <c r="V909" t="b">
        <f>+ISNUMBER(SEARCH(#REF!,Tabla11[[#This Row],[Cuenta]],1))</f>
        <v>0</v>
      </c>
      <c r="W909" t="b">
        <f>+ISNUMBER(SEARCH('F-COMPRA'!#REF!,Tabla11[[#This Row],[Cuenta]],1))</f>
        <v>0</v>
      </c>
      <c r="X909" t="b">
        <f>+ISNUMBER(SEARCH('F-COMPRA'!#REF!,Tabla11[[#This Row],[Cuenta]],1))</f>
        <v>0</v>
      </c>
      <c r="Y909" t="b">
        <f>+ISNUMBER(SEARCH('F-COMPRA'!#REF!,Tabla11[[#This Row],[Cuenta]],1))</f>
        <v>0</v>
      </c>
      <c r="Z909" t="b">
        <f>+ISNUMBER(SEARCH('F-COMPRA'!#REF!,Tabla11[[#This Row],[Cuenta]],1))</f>
        <v>0</v>
      </c>
      <c r="AA909" t="b">
        <f>+ISNUMBER(SEARCH('F-COMPRA'!#REF!,Tabla11[[#This Row],[Cuenta]],1))</f>
        <v>0</v>
      </c>
      <c r="AB909" t="b">
        <f>+ISNUMBER(SEARCH('F-COMPRA'!#REF!,Tabla11[[#This Row],[Cuenta]],1))</f>
        <v>0</v>
      </c>
      <c r="AC909" t="b">
        <f>+ISNUMBER(SEARCH('F-COMPRA'!#REF!,Tabla11[[#This Row],[Cuenta]],1))</f>
        <v>0</v>
      </c>
      <c r="AD909" t="b">
        <f>+ISNUMBER(SEARCH('F-COMPRA'!#REF!,Tabla11[[#This Row],[Cuenta]],1))</f>
        <v>0</v>
      </c>
      <c r="AE909" t="b">
        <f>+ISNUMBER(SEARCH('F-COMPRA'!#REF!,Tabla11[[#This Row],[Cuenta]],1))</f>
        <v>0</v>
      </c>
      <c r="AF909" t="b">
        <f>+ISNUMBER(SEARCH('F-VTA'!$G$23,Tabla11[[#This Row],[Cuenta]],1))</f>
        <v>0</v>
      </c>
      <c r="AG909" t="b">
        <f>+ISNUMBER(SEARCH('F-VTA'!$G$24,Tabla11[[#This Row],[Cuenta]],1))</f>
        <v>0</v>
      </c>
      <c r="AH909" t="b">
        <f>+ISNUMBER(SEARCH('F-VTA'!$G$25,Tabla11[[#This Row],[Cuenta]],1))</f>
        <v>0</v>
      </c>
      <c r="AI909" t="b">
        <f>+ISNUMBER(SEARCH('F-VTA'!$F$28,Tabla11[[#This Row],[Cuenta]],1))</f>
        <v>1</v>
      </c>
      <c r="AJ909" t="b">
        <f>+ISNUMBER(SEARCH('F-VTA'!$F$29,Tabla11[[#This Row],[Cuenta]],1))</f>
        <v>1</v>
      </c>
      <c r="AK909" t="b">
        <f>+ISNUMBER(SEARCH('F-VTA'!$F$30,Tabla11[[#This Row],[Cuenta]],1))</f>
        <v>1</v>
      </c>
      <c r="AL909" t="b">
        <f>+ISNUMBER(SEARCH('F-VTA'!$F$31,Tabla11[[#This Row],[Cuenta]],1))</f>
        <v>1</v>
      </c>
      <c r="AM909" t="b">
        <f>+ISNUMBER(SEARCH('F-VTA'!$F$32,Tabla11[[#This Row],[Cuenta]],1))</f>
        <v>1</v>
      </c>
      <c r="AN909" t="b">
        <f>+ISNUMBER(SEARCH('F-VTA'!$F$33,Tabla11[[#This Row],[Cuenta]],1))</f>
        <v>1</v>
      </c>
      <c r="AO909" t="b">
        <f>+ISNUMBER(SEARCH('F-VTA'!$F$34,Tabla11[[#This Row],[Cuenta]],1))</f>
        <v>1</v>
      </c>
      <c r="AP909" t="b">
        <f>+ISNUMBER(SEARCH('F-VTA'!$F$35,Tabla11[[#This Row],[Cuenta]],1))</f>
        <v>1</v>
      </c>
      <c r="AQ909" t="b">
        <f>+ISNUMBER(SEARCH('F-VTA'!$F$36,Tabla11[[#This Row],[Cuenta]],1))</f>
        <v>1</v>
      </c>
      <c r="AR909" t="b">
        <f>+ISNUMBER(SEARCH(#REF!,Tabla11[[#This Row],[Cuenta]],1))</f>
        <v>0</v>
      </c>
      <c r="AS909" t="b">
        <f>+ISNUMBER(SEARCH(#REF!,Tabla11[[#This Row],[Cuenta]],1))</f>
        <v>0</v>
      </c>
      <c r="AT909" t="b">
        <f>+ISNUMBER(SEARCH(#REF!,Tabla11[[#This Row],[Cuenta]],1))</f>
        <v>0</v>
      </c>
      <c r="AU909" t="b">
        <f>+ISNUMBER(SEARCH('Conc. Ban.1'!$I$9,Tabla11[[#This Row],[Cuenta]],1))</f>
        <v>0</v>
      </c>
      <c r="AV909" t="b">
        <f>+ISNUMBER(SEARCH(CompConta!$F$21,Tabla11[[#This Row],[Cuenta]],1))</f>
        <v>1</v>
      </c>
      <c r="AW909" t="b">
        <f>+ISNUMBER(SEARCH(CompConta!$F$22,Tabla11[[#This Row],[Cuenta]],1))</f>
        <v>1</v>
      </c>
      <c r="AX909" t="b">
        <f>+ISNUMBER(SEARCH(CompConta!$F$23,Tabla11[[#This Row],[Cuenta]],1))</f>
        <v>1</v>
      </c>
      <c r="AY909" t="b">
        <f>+ISNUMBER(SEARCH(CompConta!$F$24,Tabla11[[#This Row],[Cuenta]],1))</f>
        <v>1</v>
      </c>
      <c r="AZ909" t="b">
        <f>+ISNUMBER(SEARCH(CompConta!$F$25,Tabla11[[#This Row],[Cuenta]],1))</f>
        <v>1</v>
      </c>
      <c r="BA909" t="b">
        <f>+ISNUMBER(SEARCH(CompConta!$F$26,Tabla11[[#This Row],[Cuenta]],1))</f>
        <v>1</v>
      </c>
      <c r="BB909" t="b">
        <f>+ISNUMBER(SEARCH(CompConta!$F$27,Tabla11[[#This Row],[Cuenta]],1))</f>
        <v>1</v>
      </c>
      <c r="BC909" t="b">
        <f>+ISNUMBER(SEARCH(CompConta!$F$28,Tabla11[[#This Row],[Cuenta]],1))</f>
        <v>1</v>
      </c>
      <c r="BD909" t="b">
        <f>+ISNUMBER(SEARCH(CompConta!$F$29,Tabla11[[#This Row],[Cuenta]],1))</f>
        <v>1</v>
      </c>
      <c r="BE909" t="b">
        <f>+ISNUMBER(SEARCH(CompConta!$F$30,Tabla11[[#This Row],[Cuenta]],1))</f>
        <v>1</v>
      </c>
      <c r="BF909" t="b">
        <f>+ISNUMBER(SEARCH('PAGO Compras'!$E$11,Tabla11[[#This Row],[Cuenta]],1))</f>
        <v>1</v>
      </c>
      <c r="BG909" t="b">
        <f>+ISNUMBER(SEARCH(#REF!,Tabla11[[#This Row],[Cuenta]],1))</f>
        <v>0</v>
      </c>
      <c r="BH909" t="b">
        <f>+ISNUMBER(SEARCH(#REF!,Tabla11[[#This Row],[Cuenta]],1))</f>
        <v>0</v>
      </c>
      <c r="BI909" t="b">
        <f>+ISNUMBER(SEARCH(#REF!,Tabla11[[#This Row],[Cuenta]],1))</f>
        <v>0</v>
      </c>
      <c r="BJ909" t="b">
        <f>+ISNUMBER(SEARCH(#REF!,Tabla11[[#This Row],[Cuenta]],1))</f>
        <v>0</v>
      </c>
      <c r="BS909" t="str">
        <v>516040 Flota y equipo fluvial y/o marítimo</v>
      </c>
      <c r="BT909" t="str">
        <v>516040 Flota y equipo fluvial y/o marítimo</v>
      </c>
      <c r="BU909" t="str">
        <v>516040 Flota y equipo fluvial y/o marítimo</v>
      </c>
      <c r="BV909" t="str">
        <v>516040 Flota y equipo fluvial y/o marítimo</v>
      </c>
      <c r="BZ909" t="str">
        <v>516040 Flota y equipo fluvial y/o marítimo</v>
      </c>
      <c r="CA909" t="str">
        <v>516040 Flota y equipo fluvial y/o marítimo</v>
      </c>
      <c r="CB909" t="str">
        <v>516040 Flota y equipo fluvial y/o marítimo</v>
      </c>
      <c r="CC909" t="str">
        <v>516040 Flota y equipo fluvial y/o marítimo</v>
      </c>
      <c r="CD909" t="str">
        <v>516040 Flota y equipo fluvial y/o marítimo</v>
      </c>
      <c r="CE909" t="str">
        <v>516040 Flota y equipo fluvial y/o marítimo</v>
      </c>
      <c r="CS909" s="141" t="str">
        <v>516040 Flota y equipo fluvial y/o marítimo</v>
      </c>
      <c r="CT909" s="141" t="str">
        <v>516040 Flota y equipo fluvial y/o marítimo</v>
      </c>
      <c r="CU909" s="141" t="str">
        <v>516040 Flota y equipo fluvial y/o marítimo</v>
      </c>
      <c r="CV909" s="141" t="str">
        <v>516040 Flota y equipo fluvial y/o marítimo</v>
      </c>
      <c r="CW909" s="141" t="str">
        <v>516040 Flota y equipo fluvial y/o marítimo</v>
      </c>
      <c r="CX909" s="141" t="str">
        <v>516040 Flota y equipo fluvial y/o marítimo</v>
      </c>
      <c r="CY909" s="141" t="str">
        <v>516040 Flota y equipo fluvial y/o marítimo</v>
      </c>
      <c r="CZ909" s="141" t="str">
        <v>516040 Flota y equipo fluvial y/o marítimo</v>
      </c>
      <c r="DA909" s="141" t="str">
        <v>516040 Flota y equipo fluvial y/o marítimo</v>
      </c>
      <c r="DF909" t="str">
        <v>516040 Flota y equipo fluvial y/o marítimo</v>
      </c>
      <c r="DG909" t="str">
        <v>516040 Flota y equipo fluvial y/o marítimo</v>
      </c>
      <c r="DH909" t="str">
        <v>516040 Flota y equipo fluvial y/o marítimo</v>
      </c>
      <c r="DI909" t="str">
        <v>516040 Flota y equipo fluvial y/o marítimo</v>
      </c>
      <c r="DJ909" t="str">
        <v>516040 Flota y equipo fluvial y/o marítimo</v>
      </c>
      <c r="DK909" t="str">
        <v>516040 Flota y equipo fluvial y/o marítimo</v>
      </c>
      <c r="DL909" t="str">
        <v>516040 Flota y equipo fluvial y/o marítimo</v>
      </c>
      <c r="DM909" t="str">
        <v>516040 Flota y equipo fluvial y/o marítimo</v>
      </c>
      <c r="DN909" t="str">
        <v>516040 Flota y equipo fluvial y/o marítimo</v>
      </c>
      <c r="DO909" t="str">
        <v>516040 Flota y equipo fluvial y/o marítimo</v>
      </c>
      <c r="DP909" t="str">
        <v>516040 Flota y equipo fluvial y/o marítimo</v>
      </c>
    </row>
    <row r="910" spans="4:120" ht="12.75">
      <c r="D910" s="7">
        <v>516045</v>
      </c>
      <c r="E910" s="6" t="s">
        <v>135</v>
      </c>
      <c r="F910" s="5">
        <v>4</v>
      </c>
      <c r="G910" s="34" t="s">
        <v>830</v>
      </c>
      <c r="H910" s="8" t="s">
        <v>32</v>
      </c>
      <c r="I910" t="b">
        <f>+ISNUMBER(SEARCH('F-COMPRA'!$F$28,Tabla11[[#This Row],[Cuenta]],1))</f>
        <v>1</v>
      </c>
      <c r="J910" t="b">
        <f>+ISNUMBER(SEARCH('F-COMPRA'!$F$29,Tabla11[[#This Row],[Cuenta]],1))</f>
        <v>1</v>
      </c>
      <c r="K910" t="b">
        <f>+ISNUMBER(SEARCH('F-COMPRA'!$F$30,Tabla11[[#This Row],[Cuenta]],1))</f>
        <v>1</v>
      </c>
      <c r="L910" t="b">
        <f>+ISNUMBER(SEARCH('F-COMPRA'!$F$31,Tabla11[[#This Row],[Cuenta]],1))</f>
        <v>1</v>
      </c>
      <c r="M910" t="b">
        <f>+ISNUMBER(SEARCH('F-COMPRA'!$G$25,Tabla11[[#This Row],[Cuenta]],1))</f>
        <v>0</v>
      </c>
      <c r="N910" t="b">
        <f>+ISNUMBER(SEARCH(#REF!,Tabla11[[#This Row],[Cuenta]],1))</f>
        <v>0</v>
      </c>
      <c r="O910" t="b">
        <f>+ISNUMBER(SEARCH(#REF!,Tabla11[[#This Row],[Cuenta]],1))</f>
        <v>0</v>
      </c>
      <c r="P910" t="b">
        <f>+ISNUMBER(SEARCH('F-COMPRA'!$F$32,Tabla11[[#This Row],[Cuenta]],1))</f>
        <v>1</v>
      </c>
      <c r="Q910" t="b">
        <f>+ISNUMBER(SEARCH('F-COMPRA'!$F$33,Tabla11[[#This Row],[Cuenta]],1))</f>
        <v>1</v>
      </c>
      <c r="R910" t="b">
        <f>+ISNUMBER(SEARCH('F-COMPRA'!$F$34,Tabla11[[#This Row],[Cuenta]],1))</f>
        <v>1</v>
      </c>
      <c r="S910" t="b">
        <f>+ISNUMBER(SEARCH('F-COMPRA'!$F$35,Tabla11[[#This Row],[Cuenta]],1))</f>
        <v>1</v>
      </c>
      <c r="T910" t="b">
        <f>+ISNUMBER(SEARCH('F-COMPRA'!$F$36,Tabla11[[#This Row],[Cuenta]],1))</f>
        <v>1</v>
      </c>
      <c r="U910" t="b">
        <f>+ISNUMBER(SEARCH('F-COMPRA'!$F$37,Tabla11[[#This Row],[Cuenta]],1))</f>
        <v>1</v>
      </c>
      <c r="V910" t="b">
        <f>+ISNUMBER(SEARCH(#REF!,Tabla11[[#This Row],[Cuenta]],1))</f>
        <v>0</v>
      </c>
      <c r="W910" t="b">
        <f>+ISNUMBER(SEARCH('F-COMPRA'!#REF!,Tabla11[[#This Row],[Cuenta]],1))</f>
        <v>0</v>
      </c>
      <c r="X910" t="b">
        <f>+ISNUMBER(SEARCH('F-COMPRA'!#REF!,Tabla11[[#This Row],[Cuenta]],1))</f>
        <v>0</v>
      </c>
      <c r="Y910" t="b">
        <f>+ISNUMBER(SEARCH('F-COMPRA'!#REF!,Tabla11[[#This Row],[Cuenta]],1))</f>
        <v>0</v>
      </c>
      <c r="Z910" t="b">
        <f>+ISNUMBER(SEARCH('F-COMPRA'!#REF!,Tabla11[[#This Row],[Cuenta]],1))</f>
        <v>0</v>
      </c>
      <c r="AA910" t="b">
        <f>+ISNUMBER(SEARCH('F-COMPRA'!#REF!,Tabla11[[#This Row],[Cuenta]],1))</f>
        <v>0</v>
      </c>
      <c r="AB910" t="b">
        <f>+ISNUMBER(SEARCH('F-COMPRA'!#REF!,Tabla11[[#This Row],[Cuenta]],1))</f>
        <v>0</v>
      </c>
      <c r="AC910" t="b">
        <f>+ISNUMBER(SEARCH('F-COMPRA'!#REF!,Tabla11[[#This Row],[Cuenta]],1))</f>
        <v>0</v>
      </c>
      <c r="AD910" t="b">
        <f>+ISNUMBER(SEARCH('F-COMPRA'!#REF!,Tabla11[[#This Row],[Cuenta]],1))</f>
        <v>0</v>
      </c>
      <c r="AE910" t="b">
        <f>+ISNUMBER(SEARCH('F-COMPRA'!#REF!,Tabla11[[#This Row],[Cuenta]],1))</f>
        <v>0</v>
      </c>
      <c r="AF910" t="b">
        <f>+ISNUMBER(SEARCH('F-VTA'!$G$23,Tabla11[[#This Row],[Cuenta]],1))</f>
        <v>0</v>
      </c>
      <c r="AG910" t="b">
        <f>+ISNUMBER(SEARCH('F-VTA'!$G$24,Tabla11[[#This Row],[Cuenta]],1))</f>
        <v>0</v>
      </c>
      <c r="AH910" t="b">
        <f>+ISNUMBER(SEARCH('F-VTA'!$G$25,Tabla11[[#This Row],[Cuenta]],1))</f>
        <v>0</v>
      </c>
      <c r="AI910" t="b">
        <f>+ISNUMBER(SEARCH('F-VTA'!$F$28,Tabla11[[#This Row],[Cuenta]],1))</f>
        <v>1</v>
      </c>
      <c r="AJ910" t="b">
        <f>+ISNUMBER(SEARCH('F-VTA'!$F$29,Tabla11[[#This Row],[Cuenta]],1))</f>
        <v>1</v>
      </c>
      <c r="AK910" t="b">
        <f>+ISNUMBER(SEARCH('F-VTA'!$F$30,Tabla11[[#This Row],[Cuenta]],1))</f>
        <v>1</v>
      </c>
      <c r="AL910" t="b">
        <f>+ISNUMBER(SEARCH('F-VTA'!$F$31,Tabla11[[#This Row],[Cuenta]],1))</f>
        <v>1</v>
      </c>
      <c r="AM910" t="b">
        <f>+ISNUMBER(SEARCH('F-VTA'!$F$32,Tabla11[[#This Row],[Cuenta]],1))</f>
        <v>1</v>
      </c>
      <c r="AN910" t="b">
        <f>+ISNUMBER(SEARCH('F-VTA'!$F$33,Tabla11[[#This Row],[Cuenta]],1))</f>
        <v>1</v>
      </c>
      <c r="AO910" t="b">
        <f>+ISNUMBER(SEARCH('F-VTA'!$F$34,Tabla11[[#This Row],[Cuenta]],1))</f>
        <v>1</v>
      </c>
      <c r="AP910" t="b">
        <f>+ISNUMBER(SEARCH('F-VTA'!$F$35,Tabla11[[#This Row],[Cuenta]],1))</f>
        <v>1</v>
      </c>
      <c r="AQ910" t="b">
        <f>+ISNUMBER(SEARCH('F-VTA'!$F$36,Tabla11[[#This Row],[Cuenta]],1))</f>
        <v>1</v>
      </c>
      <c r="AR910" t="b">
        <f>+ISNUMBER(SEARCH(#REF!,Tabla11[[#This Row],[Cuenta]],1))</f>
        <v>0</v>
      </c>
      <c r="AS910" t="b">
        <f>+ISNUMBER(SEARCH(#REF!,Tabla11[[#This Row],[Cuenta]],1))</f>
        <v>0</v>
      </c>
      <c r="AT910" t="b">
        <f>+ISNUMBER(SEARCH(#REF!,Tabla11[[#This Row],[Cuenta]],1))</f>
        <v>0</v>
      </c>
      <c r="AU910" t="b">
        <f>+ISNUMBER(SEARCH('Conc. Ban.1'!$I$9,Tabla11[[#This Row],[Cuenta]],1))</f>
        <v>0</v>
      </c>
      <c r="AV910" t="b">
        <f>+ISNUMBER(SEARCH(CompConta!$F$21,Tabla11[[#This Row],[Cuenta]],1))</f>
        <v>1</v>
      </c>
      <c r="AW910" t="b">
        <f>+ISNUMBER(SEARCH(CompConta!$F$22,Tabla11[[#This Row],[Cuenta]],1))</f>
        <v>1</v>
      </c>
      <c r="AX910" t="b">
        <f>+ISNUMBER(SEARCH(CompConta!$F$23,Tabla11[[#This Row],[Cuenta]],1))</f>
        <v>1</v>
      </c>
      <c r="AY910" t="b">
        <f>+ISNUMBER(SEARCH(CompConta!$F$24,Tabla11[[#This Row],[Cuenta]],1))</f>
        <v>1</v>
      </c>
      <c r="AZ910" t="b">
        <f>+ISNUMBER(SEARCH(CompConta!$F$25,Tabla11[[#This Row],[Cuenta]],1))</f>
        <v>1</v>
      </c>
      <c r="BA910" t="b">
        <f>+ISNUMBER(SEARCH(CompConta!$F$26,Tabla11[[#This Row],[Cuenta]],1))</f>
        <v>1</v>
      </c>
      <c r="BB910" t="b">
        <f>+ISNUMBER(SEARCH(CompConta!$F$27,Tabla11[[#This Row],[Cuenta]],1))</f>
        <v>1</v>
      </c>
      <c r="BC910" t="b">
        <f>+ISNUMBER(SEARCH(CompConta!$F$28,Tabla11[[#This Row],[Cuenta]],1))</f>
        <v>1</v>
      </c>
      <c r="BD910" t="b">
        <f>+ISNUMBER(SEARCH(CompConta!$F$29,Tabla11[[#This Row],[Cuenta]],1))</f>
        <v>1</v>
      </c>
      <c r="BE910" t="b">
        <f>+ISNUMBER(SEARCH(CompConta!$F$30,Tabla11[[#This Row],[Cuenta]],1))</f>
        <v>1</v>
      </c>
      <c r="BF910" t="b">
        <f>+ISNUMBER(SEARCH('PAGO Compras'!$E$11,Tabla11[[#This Row],[Cuenta]],1))</f>
        <v>1</v>
      </c>
      <c r="BG910" t="b">
        <f>+ISNUMBER(SEARCH(#REF!,Tabla11[[#This Row],[Cuenta]],1))</f>
        <v>0</v>
      </c>
      <c r="BH910" t="b">
        <f>+ISNUMBER(SEARCH(#REF!,Tabla11[[#This Row],[Cuenta]],1))</f>
        <v>0</v>
      </c>
      <c r="BI910" t="b">
        <f>+ISNUMBER(SEARCH(#REF!,Tabla11[[#This Row],[Cuenta]],1))</f>
        <v>0</v>
      </c>
      <c r="BJ910" t="b">
        <f>+ISNUMBER(SEARCH(#REF!,Tabla11[[#This Row],[Cuenta]],1))</f>
        <v>0</v>
      </c>
      <c r="BS910" t="str">
        <v>516045 Flota y equipo aéreo</v>
      </c>
      <c r="BT910" t="str">
        <v>516045 Flota y equipo aéreo</v>
      </c>
      <c r="BU910" t="str">
        <v>516045 Flota y equipo aéreo</v>
      </c>
      <c r="BV910" t="str">
        <v>516045 Flota y equipo aéreo</v>
      </c>
      <c r="BZ910" t="str">
        <v>516045 Flota y equipo aéreo</v>
      </c>
      <c r="CA910" t="str">
        <v>516045 Flota y equipo aéreo</v>
      </c>
      <c r="CB910" t="str">
        <v>516045 Flota y equipo aéreo</v>
      </c>
      <c r="CC910" t="str">
        <v>516045 Flota y equipo aéreo</v>
      </c>
      <c r="CD910" t="str">
        <v>516045 Flota y equipo aéreo</v>
      </c>
      <c r="CE910" t="str">
        <v>516045 Flota y equipo aéreo</v>
      </c>
      <c r="CS910" s="141" t="str">
        <v>516045 Flota y equipo aéreo</v>
      </c>
      <c r="CT910" s="141" t="str">
        <v>516045 Flota y equipo aéreo</v>
      </c>
      <c r="CU910" s="141" t="str">
        <v>516045 Flota y equipo aéreo</v>
      </c>
      <c r="CV910" s="141" t="str">
        <v>516045 Flota y equipo aéreo</v>
      </c>
      <c r="CW910" s="141" t="str">
        <v>516045 Flota y equipo aéreo</v>
      </c>
      <c r="CX910" s="141" t="str">
        <v>516045 Flota y equipo aéreo</v>
      </c>
      <c r="CY910" s="141" t="str">
        <v>516045 Flota y equipo aéreo</v>
      </c>
      <c r="CZ910" s="141" t="str">
        <v>516045 Flota y equipo aéreo</v>
      </c>
      <c r="DA910" s="141" t="str">
        <v>516045 Flota y equipo aéreo</v>
      </c>
      <c r="DF910" t="str">
        <v>516045 Flota y equipo aéreo</v>
      </c>
      <c r="DG910" t="str">
        <v>516045 Flota y equipo aéreo</v>
      </c>
      <c r="DH910" t="str">
        <v>516045 Flota y equipo aéreo</v>
      </c>
      <c r="DI910" t="str">
        <v>516045 Flota y equipo aéreo</v>
      </c>
      <c r="DJ910" t="str">
        <v>516045 Flota y equipo aéreo</v>
      </c>
      <c r="DK910" t="str">
        <v>516045 Flota y equipo aéreo</v>
      </c>
      <c r="DL910" t="str">
        <v>516045 Flota y equipo aéreo</v>
      </c>
      <c r="DM910" t="str">
        <v>516045 Flota y equipo aéreo</v>
      </c>
      <c r="DN910" t="str">
        <v>516045 Flota y equipo aéreo</v>
      </c>
      <c r="DO910" t="str">
        <v>516045 Flota y equipo aéreo</v>
      </c>
      <c r="DP910" t="str">
        <v>516045 Flota y equipo aéreo</v>
      </c>
    </row>
    <row r="911" spans="4:120" ht="12.75">
      <c r="D911" s="7">
        <v>516050</v>
      </c>
      <c r="E911" s="6" t="s">
        <v>136</v>
      </c>
      <c r="F911" s="5">
        <v>4</v>
      </c>
      <c r="G911" s="34" t="s">
        <v>830</v>
      </c>
      <c r="H911" s="8" t="s">
        <v>32</v>
      </c>
      <c r="I911" t="b">
        <f>+ISNUMBER(SEARCH('F-COMPRA'!$F$28,Tabla11[[#This Row],[Cuenta]],1))</f>
        <v>1</v>
      </c>
      <c r="J911" t="b">
        <f>+ISNUMBER(SEARCH('F-COMPRA'!$F$29,Tabla11[[#This Row],[Cuenta]],1))</f>
        <v>1</v>
      </c>
      <c r="K911" t="b">
        <f>+ISNUMBER(SEARCH('F-COMPRA'!$F$30,Tabla11[[#This Row],[Cuenta]],1))</f>
        <v>1</v>
      </c>
      <c r="L911" t="b">
        <f>+ISNUMBER(SEARCH('F-COMPRA'!$F$31,Tabla11[[#This Row],[Cuenta]],1))</f>
        <v>1</v>
      </c>
      <c r="M911" t="b">
        <f>+ISNUMBER(SEARCH('F-COMPRA'!$G$25,Tabla11[[#This Row],[Cuenta]],1))</f>
        <v>0</v>
      </c>
      <c r="N911" t="b">
        <f>+ISNUMBER(SEARCH(#REF!,Tabla11[[#This Row],[Cuenta]],1))</f>
        <v>0</v>
      </c>
      <c r="O911" t="b">
        <f>+ISNUMBER(SEARCH(#REF!,Tabla11[[#This Row],[Cuenta]],1))</f>
        <v>0</v>
      </c>
      <c r="P911" t="b">
        <f>+ISNUMBER(SEARCH('F-COMPRA'!$F$32,Tabla11[[#This Row],[Cuenta]],1))</f>
        <v>1</v>
      </c>
      <c r="Q911" t="b">
        <f>+ISNUMBER(SEARCH('F-COMPRA'!$F$33,Tabla11[[#This Row],[Cuenta]],1))</f>
        <v>1</v>
      </c>
      <c r="R911" t="b">
        <f>+ISNUMBER(SEARCH('F-COMPRA'!$F$34,Tabla11[[#This Row],[Cuenta]],1))</f>
        <v>1</v>
      </c>
      <c r="S911" t="b">
        <f>+ISNUMBER(SEARCH('F-COMPRA'!$F$35,Tabla11[[#This Row],[Cuenta]],1))</f>
        <v>1</v>
      </c>
      <c r="T911" t="b">
        <f>+ISNUMBER(SEARCH('F-COMPRA'!$F$36,Tabla11[[#This Row],[Cuenta]],1))</f>
        <v>1</v>
      </c>
      <c r="U911" t="b">
        <f>+ISNUMBER(SEARCH('F-COMPRA'!$F$37,Tabla11[[#This Row],[Cuenta]],1))</f>
        <v>1</v>
      </c>
      <c r="V911" t="b">
        <f>+ISNUMBER(SEARCH(#REF!,Tabla11[[#This Row],[Cuenta]],1))</f>
        <v>0</v>
      </c>
      <c r="W911" t="b">
        <f>+ISNUMBER(SEARCH('F-COMPRA'!#REF!,Tabla11[[#This Row],[Cuenta]],1))</f>
        <v>0</v>
      </c>
      <c r="X911" t="b">
        <f>+ISNUMBER(SEARCH('F-COMPRA'!#REF!,Tabla11[[#This Row],[Cuenta]],1))</f>
        <v>0</v>
      </c>
      <c r="Y911" t="b">
        <f>+ISNUMBER(SEARCH('F-COMPRA'!#REF!,Tabla11[[#This Row],[Cuenta]],1))</f>
        <v>0</v>
      </c>
      <c r="Z911" t="b">
        <f>+ISNUMBER(SEARCH('F-COMPRA'!#REF!,Tabla11[[#This Row],[Cuenta]],1))</f>
        <v>0</v>
      </c>
      <c r="AA911" t="b">
        <f>+ISNUMBER(SEARCH('F-COMPRA'!#REF!,Tabla11[[#This Row],[Cuenta]],1))</f>
        <v>0</v>
      </c>
      <c r="AB911" t="b">
        <f>+ISNUMBER(SEARCH('F-COMPRA'!#REF!,Tabla11[[#This Row],[Cuenta]],1))</f>
        <v>0</v>
      </c>
      <c r="AC911" t="b">
        <f>+ISNUMBER(SEARCH('F-COMPRA'!#REF!,Tabla11[[#This Row],[Cuenta]],1))</f>
        <v>0</v>
      </c>
      <c r="AD911" t="b">
        <f>+ISNUMBER(SEARCH('F-COMPRA'!#REF!,Tabla11[[#This Row],[Cuenta]],1))</f>
        <v>0</v>
      </c>
      <c r="AE911" t="b">
        <f>+ISNUMBER(SEARCH('F-COMPRA'!#REF!,Tabla11[[#This Row],[Cuenta]],1))</f>
        <v>0</v>
      </c>
      <c r="AF911" t="b">
        <f>+ISNUMBER(SEARCH('F-VTA'!$G$23,Tabla11[[#This Row],[Cuenta]],1))</f>
        <v>0</v>
      </c>
      <c r="AG911" t="b">
        <f>+ISNUMBER(SEARCH('F-VTA'!$G$24,Tabla11[[#This Row],[Cuenta]],1))</f>
        <v>0</v>
      </c>
      <c r="AH911" t="b">
        <f>+ISNUMBER(SEARCH('F-VTA'!$G$25,Tabla11[[#This Row],[Cuenta]],1))</f>
        <v>0</v>
      </c>
      <c r="AI911" t="b">
        <f>+ISNUMBER(SEARCH('F-VTA'!$F$28,Tabla11[[#This Row],[Cuenta]],1))</f>
        <v>1</v>
      </c>
      <c r="AJ911" t="b">
        <f>+ISNUMBER(SEARCH('F-VTA'!$F$29,Tabla11[[#This Row],[Cuenta]],1))</f>
        <v>1</v>
      </c>
      <c r="AK911" t="b">
        <f>+ISNUMBER(SEARCH('F-VTA'!$F$30,Tabla11[[#This Row],[Cuenta]],1))</f>
        <v>1</v>
      </c>
      <c r="AL911" t="b">
        <f>+ISNUMBER(SEARCH('F-VTA'!$F$31,Tabla11[[#This Row],[Cuenta]],1))</f>
        <v>1</v>
      </c>
      <c r="AM911" t="b">
        <f>+ISNUMBER(SEARCH('F-VTA'!$F$32,Tabla11[[#This Row],[Cuenta]],1))</f>
        <v>1</v>
      </c>
      <c r="AN911" t="b">
        <f>+ISNUMBER(SEARCH('F-VTA'!$F$33,Tabla11[[#This Row],[Cuenta]],1))</f>
        <v>1</v>
      </c>
      <c r="AO911" t="b">
        <f>+ISNUMBER(SEARCH('F-VTA'!$F$34,Tabla11[[#This Row],[Cuenta]],1))</f>
        <v>1</v>
      </c>
      <c r="AP911" t="b">
        <f>+ISNUMBER(SEARCH('F-VTA'!$F$35,Tabla11[[#This Row],[Cuenta]],1))</f>
        <v>1</v>
      </c>
      <c r="AQ911" t="b">
        <f>+ISNUMBER(SEARCH('F-VTA'!$F$36,Tabla11[[#This Row],[Cuenta]],1))</f>
        <v>1</v>
      </c>
      <c r="AR911" t="b">
        <f>+ISNUMBER(SEARCH(#REF!,Tabla11[[#This Row],[Cuenta]],1))</f>
        <v>0</v>
      </c>
      <c r="AS911" t="b">
        <f>+ISNUMBER(SEARCH(#REF!,Tabla11[[#This Row],[Cuenta]],1))</f>
        <v>0</v>
      </c>
      <c r="AT911" t="b">
        <f>+ISNUMBER(SEARCH(#REF!,Tabla11[[#This Row],[Cuenta]],1))</f>
        <v>0</v>
      </c>
      <c r="AU911" t="b">
        <f>+ISNUMBER(SEARCH('Conc. Ban.1'!$I$9,Tabla11[[#This Row],[Cuenta]],1))</f>
        <v>0</v>
      </c>
      <c r="AV911" t="b">
        <f>+ISNUMBER(SEARCH(CompConta!$F$21,Tabla11[[#This Row],[Cuenta]],1))</f>
        <v>1</v>
      </c>
      <c r="AW911" t="b">
        <f>+ISNUMBER(SEARCH(CompConta!$F$22,Tabla11[[#This Row],[Cuenta]],1))</f>
        <v>1</v>
      </c>
      <c r="AX911" t="b">
        <f>+ISNUMBER(SEARCH(CompConta!$F$23,Tabla11[[#This Row],[Cuenta]],1))</f>
        <v>1</v>
      </c>
      <c r="AY911" t="b">
        <f>+ISNUMBER(SEARCH(CompConta!$F$24,Tabla11[[#This Row],[Cuenta]],1))</f>
        <v>1</v>
      </c>
      <c r="AZ911" t="b">
        <f>+ISNUMBER(SEARCH(CompConta!$F$25,Tabla11[[#This Row],[Cuenta]],1))</f>
        <v>1</v>
      </c>
      <c r="BA911" t="b">
        <f>+ISNUMBER(SEARCH(CompConta!$F$26,Tabla11[[#This Row],[Cuenta]],1))</f>
        <v>1</v>
      </c>
      <c r="BB911" t="b">
        <f>+ISNUMBER(SEARCH(CompConta!$F$27,Tabla11[[#This Row],[Cuenta]],1))</f>
        <v>1</v>
      </c>
      <c r="BC911" t="b">
        <f>+ISNUMBER(SEARCH(CompConta!$F$28,Tabla11[[#This Row],[Cuenta]],1))</f>
        <v>1</v>
      </c>
      <c r="BD911" t="b">
        <f>+ISNUMBER(SEARCH(CompConta!$F$29,Tabla11[[#This Row],[Cuenta]],1))</f>
        <v>1</v>
      </c>
      <c r="BE911" t="b">
        <f>+ISNUMBER(SEARCH(CompConta!$F$30,Tabla11[[#This Row],[Cuenta]],1))</f>
        <v>1</v>
      </c>
      <c r="BF911" t="b">
        <f>+ISNUMBER(SEARCH('PAGO Compras'!$E$11,Tabla11[[#This Row],[Cuenta]],1))</f>
        <v>1</v>
      </c>
      <c r="BG911" t="b">
        <f>+ISNUMBER(SEARCH(#REF!,Tabla11[[#This Row],[Cuenta]],1))</f>
        <v>0</v>
      </c>
      <c r="BH911" t="b">
        <f>+ISNUMBER(SEARCH(#REF!,Tabla11[[#This Row],[Cuenta]],1))</f>
        <v>0</v>
      </c>
      <c r="BI911" t="b">
        <f>+ISNUMBER(SEARCH(#REF!,Tabla11[[#This Row],[Cuenta]],1))</f>
        <v>0</v>
      </c>
      <c r="BJ911" t="b">
        <f>+ISNUMBER(SEARCH(#REF!,Tabla11[[#This Row],[Cuenta]],1))</f>
        <v>0</v>
      </c>
      <c r="BS911" t="str">
        <v>516050 Flota y equipo férreo</v>
      </c>
      <c r="BT911" t="str">
        <v>516050 Flota y equipo férreo</v>
      </c>
      <c r="BU911" t="str">
        <v>516050 Flota y equipo férreo</v>
      </c>
      <c r="BV911" t="str">
        <v>516050 Flota y equipo férreo</v>
      </c>
      <c r="BZ911" t="str">
        <v>516050 Flota y equipo férreo</v>
      </c>
      <c r="CA911" t="str">
        <v>516050 Flota y equipo férreo</v>
      </c>
      <c r="CB911" t="str">
        <v>516050 Flota y equipo férreo</v>
      </c>
      <c r="CC911" t="str">
        <v>516050 Flota y equipo férreo</v>
      </c>
      <c r="CD911" t="str">
        <v>516050 Flota y equipo férreo</v>
      </c>
      <c r="CE911" t="str">
        <v>516050 Flota y equipo férreo</v>
      </c>
      <c r="CS911" s="141" t="str">
        <v>516050 Flota y equipo férreo</v>
      </c>
      <c r="CT911" s="141" t="str">
        <v>516050 Flota y equipo férreo</v>
      </c>
      <c r="CU911" s="141" t="str">
        <v>516050 Flota y equipo férreo</v>
      </c>
      <c r="CV911" s="141" t="str">
        <v>516050 Flota y equipo férreo</v>
      </c>
      <c r="CW911" s="141" t="str">
        <v>516050 Flota y equipo férreo</v>
      </c>
      <c r="CX911" s="141" t="str">
        <v>516050 Flota y equipo férreo</v>
      </c>
      <c r="CY911" s="141" t="str">
        <v>516050 Flota y equipo férreo</v>
      </c>
      <c r="CZ911" s="141" t="str">
        <v>516050 Flota y equipo férreo</v>
      </c>
      <c r="DA911" s="141" t="str">
        <v>516050 Flota y equipo férreo</v>
      </c>
      <c r="DF911" t="str">
        <v>516050 Flota y equipo férreo</v>
      </c>
      <c r="DG911" t="str">
        <v>516050 Flota y equipo férreo</v>
      </c>
      <c r="DH911" t="str">
        <v>516050 Flota y equipo férreo</v>
      </c>
      <c r="DI911" t="str">
        <v>516050 Flota y equipo férreo</v>
      </c>
      <c r="DJ911" t="str">
        <v>516050 Flota y equipo férreo</v>
      </c>
      <c r="DK911" t="str">
        <v>516050 Flota y equipo férreo</v>
      </c>
      <c r="DL911" t="str">
        <v>516050 Flota y equipo férreo</v>
      </c>
      <c r="DM911" t="str">
        <v>516050 Flota y equipo férreo</v>
      </c>
      <c r="DN911" t="str">
        <v>516050 Flota y equipo férreo</v>
      </c>
      <c r="DO911" t="str">
        <v>516050 Flota y equipo férreo</v>
      </c>
      <c r="DP911" t="str">
        <v>516050 Flota y equipo férreo</v>
      </c>
    </row>
    <row r="912" spans="4:120" ht="12.75">
      <c r="D912" s="7">
        <v>516055</v>
      </c>
      <c r="E912" s="6" t="s">
        <v>122</v>
      </c>
      <c r="F912" s="5">
        <v>4</v>
      </c>
      <c r="G912" s="34" t="s">
        <v>830</v>
      </c>
      <c r="H912" s="8" t="s">
        <v>32</v>
      </c>
      <c r="I912" t="b">
        <f>+ISNUMBER(SEARCH('F-COMPRA'!$F$28,Tabla11[[#This Row],[Cuenta]],1))</f>
        <v>1</v>
      </c>
      <c r="J912" t="b">
        <f>+ISNUMBER(SEARCH('F-COMPRA'!$F$29,Tabla11[[#This Row],[Cuenta]],1))</f>
        <v>1</v>
      </c>
      <c r="K912" t="b">
        <f>+ISNUMBER(SEARCH('F-COMPRA'!$F$30,Tabla11[[#This Row],[Cuenta]],1))</f>
        <v>1</v>
      </c>
      <c r="L912" t="b">
        <f>+ISNUMBER(SEARCH('F-COMPRA'!$F$31,Tabla11[[#This Row],[Cuenta]],1))</f>
        <v>1</v>
      </c>
      <c r="M912" t="b">
        <f>+ISNUMBER(SEARCH('F-COMPRA'!$G$25,Tabla11[[#This Row],[Cuenta]],1))</f>
        <v>0</v>
      </c>
      <c r="N912" t="b">
        <f>+ISNUMBER(SEARCH(#REF!,Tabla11[[#This Row],[Cuenta]],1))</f>
        <v>0</v>
      </c>
      <c r="O912" t="b">
        <f>+ISNUMBER(SEARCH(#REF!,Tabla11[[#This Row],[Cuenta]],1))</f>
        <v>0</v>
      </c>
      <c r="P912" t="b">
        <f>+ISNUMBER(SEARCH('F-COMPRA'!$F$32,Tabla11[[#This Row],[Cuenta]],1))</f>
        <v>1</v>
      </c>
      <c r="Q912" t="b">
        <f>+ISNUMBER(SEARCH('F-COMPRA'!$F$33,Tabla11[[#This Row],[Cuenta]],1))</f>
        <v>1</v>
      </c>
      <c r="R912" t="b">
        <f>+ISNUMBER(SEARCH('F-COMPRA'!$F$34,Tabla11[[#This Row],[Cuenta]],1))</f>
        <v>1</v>
      </c>
      <c r="S912" t="b">
        <f>+ISNUMBER(SEARCH('F-COMPRA'!$F$35,Tabla11[[#This Row],[Cuenta]],1))</f>
        <v>1</v>
      </c>
      <c r="T912" t="b">
        <f>+ISNUMBER(SEARCH('F-COMPRA'!$F$36,Tabla11[[#This Row],[Cuenta]],1))</f>
        <v>1</v>
      </c>
      <c r="U912" t="b">
        <f>+ISNUMBER(SEARCH('F-COMPRA'!$F$37,Tabla11[[#This Row],[Cuenta]],1))</f>
        <v>1</v>
      </c>
      <c r="V912" t="b">
        <f>+ISNUMBER(SEARCH(#REF!,Tabla11[[#This Row],[Cuenta]],1))</f>
        <v>0</v>
      </c>
      <c r="W912" t="b">
        <f>+ISNUMBER(SEARCH('F-COMPRA'!#REF!,Tabla11[[#This Row],[Cuenta]],1))</f>
        <v>0</v>
      </c>
      <c r="X912" t="b">
        <f>+ISNUMBER(SEARCH('F-COMPRA'!#REF!,Tabla11[[#This Row],[Cuenta]],1))</f>
        <v>0</v>
      </c>
      <c r="Y912" t="b">
        <f>+ISNUMBER(SEARCH('F-COMPRA'!#REF!,Tabla11[[#This Row],[Cuenta]],1))</f>
        <v>0</v>
      </c>
      <c r="Z912" t="b">
        <f>+ISNUMBER(SEARCH('F-COMPRA'!#REF!,Tabla11[[#This Row],[Cuenta]],1))</f>
        <v>0</v>
      </c>
      <c r="AA912" t="b">
        <f>+ISNUMBER(SEARCH('F-COMPRA'!#REF!,Tabla11[[#This Row],[Cuenta]],1))</f>
        <v>0</v>
      </c>
      <c r="AB912" t="b">
        <f>+ISNUMBER(SEARCH('F-COMPRA'!#REF!,Tabla11[[#This Row],[Cuenta]],1))</f>
        <v>0</v>
      </c>
      <c r="AC912" t="b">
        <f>+ISNUMBER(SEARCH('F-COMPRA'!#REF!,Tabla11[[#This Row],[Cuenta]],1))</f>
        <v>0</v>
      </c>
      <c r="AD912" t="b">
        <f>+ISNUMBER(SEARCH('F-COMPRA'!#REF!,Tabla11[[#This Row],[Cuenta]],1))</f>
        <v>0</v>
      </c>
      <c r="AE912" t="b">
        <f>+ISNUMBER(SEARCH('F-COMPRA'!#REF!,Tabla11[[#This Row],[Cuenta]],1))</f>
        <v>0</v>
      </c>
      <c r="AF912" t="b">
        <f>+ISNUMBER(SEARCH('F-VTA'!$G$23,Tabla11[[#This Row],[Cuenta]],1))</f>
        <v>0</v>
      </c>
      <c r="AG912" t="b">
        <f>+ISNUMBER(SEARCH('F-VTA'!$G$24,Tabla11[[#This Row],[Cuenta]],1))</f>
        <v>0</v>
      </c>
      <c r="AH912" t="b">
        <f>+ISNUMBER(SEARCH('F-VTA'!$G$25,Tabla11[[#This Row],[Cuenta]],1))</f>
        <v>0</v>
      </c>
      <c r="AI912" t="b">
        <f>+ISNUMBER(SEARCH('F-VTA'!$F$28,Tabla11[[#This Row],[Cuenta]],1))</f>
        <v>1</v>
      </c>
      <c r="AJ912" t="b">
        <f>+ISNUMBER(SEARCH('F-VTA'!$F$29,Tabla11[[#This Row],[Cuenta]],1))</f>
        <v>1</v>
      </c>
      <c r="AK912" t="b">
        <f>+ISNUMBER(SEARCH('F-VTA'!$F$30,Tabla11[[#This Row],[Cuenta]],1))</f>
        <v>1</v>
      </c>
      <c r="AL912" t="b">
        <f>+ISNUMBER(SEARCH('F-VTA'!$F$31,Tabla11[[#This Row],[Cuenta]],1))</f>
        <v>1</v>
      </c>
      <c r="AM912" t="b">
        <f>+ISNUMBER(SEARCH('F-VTA'!$F$32,Tabla11[[#This Row],[Cuenta]],1))</f>
        <v>1</v>
      </c>
      <c r="AN912" t="b">
        <f>+ISNUMBER(SEARCH('F-VTA'!$F$33,Tabla11[[#This Row],[Cuenta]],1))</f>
        <v>1</v>
      </c>
      <c r="AO912" t="b">
        <f>+ISNUMBER(SEARCH('F-VTA'!$F$34,Tabla11[[#This Row],[Cuenta]],1))</f>
        <v>1</v>
      </c>
      <c r="AP912" t="b">
        <f>+ISNUMBER(SEARCH('F-VTA'!$F$35,Tabla11[[#This Row],[Cuenta]],1))</f>
        <v>1</v>
      </c>
      <c r="AQ912" t="b">
        <f>+ISNUMBER(SEARCH('F-VTA'!$F$36,Tabla11[[#This Row],[Cuenta]],1))</f>
        <v>1</v>
      </c>
      <c r="AR912" t="b">
        <f>+ISNUMBER(SEARCH(#REF!,Tabla11[[#This Row],[Cuenta]],1))</f>
        <v>0</v>
      </c>
      <c r="AS912" t="b">
        <f>+ISNUMBER(SEARCH(#REF!,Tabla11[[#This Row],[Cuenta]],1))</f>
        <v>0</v>
      </c>
      <c r="AT912" t="b">
        <f>+ISNUMBER(SEARCH(#REF!,Tabla11[[#This Row],[Cuenta]],1))</f>
        <v>0</v>
      </c>
      <c r="AU912" t="b">
        <f>+ISNUMBER(SEARCH('Conc. Ban.1'!$I$9,Tabla11[[#This Row],[Cuenta]],1))</f>
        <v>0</v>
      </c>
      <c r="AV912" t="b">
        <f>+ISNUMBER(SEARCH(CompConta!$F$21,Tabla11[[#This Row],[Cuenta]],1))</f>
        <v>1</v>
      </c>
      <c r="AW912" t="b">
        <f>+ISNUMBER(SEARCH(CompConta!$F$22,Tabla11[[#This Row],[Cuenta]],1))</f>
        <v>1</v>
      </c>
      <c r="AX912" t="b">
        <f>+ISNUMBER(SEARCH(CompConta!$F$23,Tabla11[[#This Row],[Cuenta]],1))</f>
        <v>1</v>
      </c>
      <c r="AY912" t="b">
        <f>+ISNUMBER(SEARCH(CompConta!$F$24,Tabla11[[#This Row],[Cuenta]],1))</f>
        <v>1</v>
      </c>
      <c r="AZ912" t="b">
        <f>+ISNUMBER(SEARCH(CompConta!$F$25,Tabla11[[#This Row],[Cuenta]],1))</f>
        <v>1</v>
      </c>
      <c r="BA912" t="b">
        <f>+ISNUMBER(SEARCH(CompConta!$F$26,Tabla11[[#This Row],[Cuenta]],1))</f>
        <v>1</v>
      </c>
      <c r="BB912" t="b">
        <f>+ISNUMBER(SEARCH(CompConta!$F$27,Tabla11[[#This Row],[Cuenta]],1))</f>
        <v>1</v>
      </c>
      <c r="BC912" t="b">
        <f>+ISNUMBER(SEARCH(CompConta!$F$28,Tabla11[[#This Row],[Cuenta]],1))</f>
        <v>1</v>
      </c>
      <c r="BD912" t="b">
        <f>+ISNUMBER(SEARCH(CompConta!$F$29,Tabla11[[#This Row],[Cuenta]],1))</f>
        <v>1</v>
      </c>
      <c r="BE912" t="b">
        <f>+ISNUMBER(SEARCH(CompConta!$F$30,Tabla11[[#This Row],[Cuenta]],1))</f>
        <v>1</v>
      </c>
      <c r="BF912" t="b">
        <f>+ISNUMBER(SEARCH('PAGO Compras'!$E$11,Tabla11[[#This Row],[Cuenta]],1))</f>
        <v>1</v>
      </c>
      <c r="BG912" t="b">
        <f>+ISNUMBER(SEARCH(#REF!,Tabla11[[#This Row],[Cuenta]],1))</f>
        <v>0</v>
      </c>
      <c r="BH912" t="b">
        <f>+ISNUMBER(SEARCH(#REF!,Tabla11[[#This Row],[Cuenta]],1))</f>
        <v>0</v>
      </c>
      <c r="BI912" t="b">
        <f>+ISNUMBER(SEARCH(#REF!,Tabla11[[#This Row],[Cuenta]],1))</f>
        <v>0</v>
      </c>
      <c r="BJ912" t="b">
        <f>+ISNUMBER(SEARCH(#REF!,Tabla11[[#This Row],[Cuenta]],1))</f>
        <v>0</v>
      </c>
      <c r="BS912" t="str">
        <v>516055 Acueductos, plantas y redes</v>
      </c>
      <c r="BT912" t="str">
        <v>516055 Acueductos, plantas y redes</v>
      </c>
      <c r="BU912" t="str">
        <v>516055 Acueductos, plantas y redes</v>
      </c>
      <c r="BV912" t="str">
        <v>516055 Acueductos, plantas y redes</v>
      </c>
      <c r="BZ912" t="str">
        <v>516055 Acueductos, plantas y redes</v>
      </c>
      <c r="CA912" t="str">
        <v>516055 Acueductos, plantas y redes</v>
      </c>
      <c r="CB912" t="str">
        <v>516055 Acueductos, plantas y redes</v>
      </c>
      <c r="CC912" t="str">
        <v>516055 Acueductos, plantas y redes</v>
      </c>
      <c r="CD912" t="str">
        <v>516055 Acueductos, plantas y redes</v>
      </c>
      <c r="CE912" t="str">
        <v>516055 Acueductos, plantas y redes</v>
      </c>
      <c r="CS912" s="141" t="str">
        <v>516055 Acueductos, plantas y redes</v>
      </c>
      <c r="CT912" s="141" t="str">
        <v>516055 Acueductos, plantas y redes</v>
      </c>
      <c r="CU912" s="141" t="str">
        <v>516055 Acueductos, plantas y redes</v>
      </c>
      <c r="CV912" s="141" t="str">
        <v>516055 Acueductos, plantas y redes</v>
      </c>
      <c r="CW912" s="141" t="str">
        <v>516055 Acueductos, plantas y redes</v>
      </c>
      <c r="CX912" s="141" t="str">
        <v>516055 Acueductos, plantas y redes</v>
      </c>
      <c r="CY912" s="141" t="str">
        <v>516055 Acueductos, plantas y redes</v>
      </c>
      <c r="CZ912" s="141" t="str">
        <v>516055 Acueductos, plantas y redes</v>
      </c>
      <c r="DA912" s="141" t="str">
        <v>516055 Acueductos, plantas y redes</v>
      </c>
      <c r="DF912" t="str">
        <v>516055 Acueductos, plantas y redes</v>
      </c>
      <c r="DG912" t="str">
        <v>516055 Acueductos, plantas y redes</v>
      </c>
      <c r="DH912" t="str">
        <v>516055 Acueductos, plantas y redes</v>
      </c>
      <c r="DI912" t="str">
        <v>516055 Acueductos, plantas y redes</v>
      </c>
      <c r="DJ912" t="str">
        <v>516055 Acueductos, plantas y redes</v>
      </c>
      <c r="DK912" t="str">
        <v>516055 Acueductos, plantas y redes</v>
      </c>
      <c r="DL912" t="str">
        <v>516055 Acueductos, plantas y redes</v>
      </c>
      <c r="DM912" t="str">
        <v>516055 Acueductos, plantas y redes</v>
      </c>
      <c r="DN912" t="str">
        <v>516055 Acueductos, plantas y redes</v>
      </c>
      <c r="DO912" t="str">
        <v>516055 Acueductos, plantas y redes</v>
      </c>
      <c r="DP912" t="str">
        <v>516055 Acueductos, plantas y redes</v>
      </c>
    </row>
    <row r="913" spans="4:120" ht="12.75">
      <c r="D913" s="7">
        <v>516060</v>
      </c>
      <c r="E913" s="6" t="s">
        <v>211</v>
      </c>
      <c r="F913" s="5">
        <v>4</v>
      </c>
      <c r="G913" s="34" t="s">
        <v>830</v>
      </c>
      <c r="H913" s="8" t="s">
        <v>32</v>
      </c>
      <c r="I913" t="b">
        <f>+ISNUMBER(SEARCH('F-COMPRA'!$F$28,Tabla11[[#This Row],[Cuenta]],1))</f>
        <v>1</v>
      </c>
      <c r="J913" t="b">
        <f>+ISNUMBER(SEARCH('F-COMPRA'!$F$29,Tabla11[[#This Row],[Cuenta]],1))</f>
        <v>1</v>
      </c>
      <c r="K913" t="b">
        <f>+ISNUMBER(SEARCH('F-COMPRA'!$F$30,Tabla11[[#This Row],[Cuenta]],1))</f>
        <v>1</v>
      </c>
      <c r="L913" t="b">
        <f>+ISNUMBER(SEARCH('F-COMPRA'!$F$31,Tabla11[[#This Row],[Cuenta]],1))</f>
        <v>1</v>
      </c>
      <c r="M913" t="b">
        <f>+ISNUMBER(SEARCH('F-COMPRA'!$G$25,Tabla11[[#This Row],[Cuenta]],1))</f>
        <v>0</v>
      </c>
      <c r="N913" t="b">
        <f>+ISNUMBER(SEARCH(#REF!,Tabla11[[#This Row],[Cuenta]],1))</f>
        <v>0</v>
      </c>
      <c r="O913" t="b">
        <f>+ISNUMBER(SEARCH(#REF!,Tabla11[[#This Row],[Cuenta]],1))</f>
        <v>0</v>
      </c>
      <c r="P913" t="b">
        <f>+ISNUMBER(SEARCH('F-COMPRA'!$F$32,Tabla11[[#This Row],[Cuenta]],1))</f>
        <v>1</v>
      </c>
      <c r="Q913" t="b">
        <f>+ISNUMBER(SEARCH('F-COMPRA'!$F$33,Tabla11[[#This Row],[Cuenta]],1))</f>
        <v>1</v>
      </c>
      <c r="R913" t="b">
        <f>+ISNUMBER(SEARCH('F-COMPRA'!$F$34,Tabla11[[#This Row],[Cuenta]],1))</f>
        <v>1</v>
      </c>
      <c r="S913" t="b">
        <f>+ISNUMBER(SEARCH('F-COMPRA'!$F$35,Tabla11[[#This Row],[Cuenta]],1))</f>
        <v>1</v>
      </c>
      <c r="T913" t="b">
        <f>+ISNUMBER(SEARCH('F-COMPRA'!$F$36,Tabla11[[#This Row],[Cuenta]],1))</f>
        <v>1</v>
      </c>
      <c r="U913" t="b">
        <f>+ISNUMBER(SEARCH('F-COMPRA'!$F$37,Tabla11[[#This Row],[Cuenta]],1))</f>
        <v>1</v>
      </c>
      <c r="V913" t="b">
        <f>+ISNUMBER(SEARCH(#REF!,Tabla11[[#This Row],[Cuenta]],1))</f>
        <v>0</v>
      </c>
      <c r="W913" t="b">
        <f>+ISNUMBER(SEARCH('F-COMPRA'!#REF!,Tabla11[[#This Row],[Cuenta]],1))</f>
        <v>0</v>
      </c>
      <c r="X913" t="b">
        <f>+ISNUMBER(SEARCH('F-COMPRA'!#REF!,Tabla11[[#This Row],[Cuenta]],1))</f>
        <v>0</v>
      </c>
      <c r="Y913" t="b">
        <f>+ISNUMBER(SEARCH('F-COMPRA'!#REF!,Tabla11[[#This Row],[Cuenta]],1))</f>
        <v>0</v>
      </c>
      <c r="Z913" t="b">
        <f>+ISNUMBER(SEARCH('F-COMPRA'!#REF!,Tabla11[[#This Row],[Cuenta]],1))</f>
        <v>0</v>
      </c>
      <c r="AA913" t="b">
        <f>+ISNUMBER(SEARCH('F-COMPRA'!#REF!,Tabla11[[#This Row],[Cuenta]],1))</f>
        <v>0</v>
      </c>
      <c r="AB913" t="b">
        <f>+ISNUMBER(SEARCH('F-COMPRA'!#REF!,Tabla11[[#This Row],[Cuenta]],1))</f>
        <v>0</v>
      </c>
      <c r="AC913" t="b">
        <f>+ISNUMBER(SEARCH('F-COMPRA'!#REF!,Tabla11[[#This Row],[Cuenta]],1))</f>
        <v>0</v>
      </c>
      <c r="AD913" t="b">
        <f>+ISNUMBER(SEARCH('F-COMPRA'!#REF!,Tabla11[[#This Row],[Cuenta]],1))</f>
        <v>0</v>
      </c>
      <c r="AE913" t="b">
        <f>+ISNUMBER(SEARCH('F-COMPRA'!#REF!,Tabla11[[#This Row],[Cuenta]],1))</f>
        <v>0</v>
      </c>
      <c r="AF913" t="b">
        <f>+ISNUMBER(SEARCH('F-VTA'!$G$23,Tabla11[[#This Row],[Cuenta]],1))</f>
        <v>0</v>
      </c>
      <c r="AG913" t="b">
        <f>+ISNUMBER(SEARCH('F-VTA'!$G$24,Tabla11[[#This Row],[Cuenta]],1))</f>
        <v>0</v>
      </c>
      <c r="AH913" t="b">
        <f>+ISNUMBER(SEARCH('F-VTA'!$G$25,Tabla11[[#This Row],[Cuenta]],1))</f>
        <v>0</v>
      </c>
      <c r="AI913" t="b">
        <f>+ISNUMBER(SEARCH('F-VTA'!$F$28,Tabla11[[#This Row],[Cuenta]],1))</f>
        <v>1</v>
      </c>
      <c r="AJ913" t="b">
        <f>+ISNUMBER(SEARCH('F-VTA'!$F$29,Tabla11[[#This Row],[Cuenta]],1))</f>
        <v>1</v>
      </c>
      <c r="AK913" t="b">
        <f>+ISNUMBER(SEARCH('F-VTA'!$F$30,Tabla11[[#This Row],[Cuenta]],1))</f>
        <v>1</v>
      </c>
      <c r="AL913" t="b">
        <f>+ISNUMBER(SEARCH('F-VTA'!$F$31,Tabla11[[#This Row],[Cuenta]],1))</f>
        <v>1</v>
      </c>
      <c r="AM913" t="b">
        <f>+ISNUMBER(SEARCH('F-VTA'!$F$32,Tabla11[[#This Row],[Cuenta]],1))</f>
        <v>1</v>
      </c>
      <c r="AN913" t="b">
        <f>+ISNUMBER(SEARCH('F-VTA'!$F$33,Tabla11[[#This Row],[Cuenta]],1))</f>
        <v>1</v>
      </c>
      <c r="AO913" t="b">
        <f>+ISNUMBER(SEARCH('F-VTA'!$F$34,Tabla11[[#This Row],[Cuenta]],1))</f>
        <v>1</v>
      </c>
      <c r="AP913" t="b">
        <f>+ISNUMBER(SEARCH('F-VTA'!$F$35,Tabla11[[#This Row],[Cuenta]],1))</f>
        <v>1</v>
      </c>
      <c r="AQ913" t="b">
        <f>+ISNUMBER(SEARCH('F-VTA'!$F$36,Tabla11[[#This Row],[Cuenta]],1))</f>
        <v>1</v>
      </c>
      <c r="AR913" t="b">
        <f>+ISNUMBER(SEARCH(#REF!,Tabla11[[#This Row],[Cuenta]],1))</f>
        <v>0</v>
      </c>
      <c r="AS913" t="b">
        <f>+ISNUMBER(SEARCH(#REF!,Tabla11[[#This Row],[Cuenta]],1))</f>
        <v>0</v>
      </c>
      <c r="AT913" t="b">
        <f>+ISNUMBER(SEARCH(#REF!,Tabla11[[#This Row],[Cuenta]],1))</f>
        <v>0</v>
      </c>
      <c r="AU913" t="b">
        <f>+ISNUMBER(SEARCH('Conc. Ban.1'!$I$9,Tabla11[[#This Row],[Cuenta]],1))</f>
        <v>0</v>
      </c>
      <c r="AV913" t="b">
        <f>+ISNUMBER(SEARCH(CompConta!$F$21,Tabla11[[#This Row],[Cuenta]],1))</f>
        <v>1</v>
      </c>
      <c r="AW913" t="b">
        <f>+ISNUMBER(SEARCH(CompConta!$F$22,Tabla11[[#This Row],[Cuenta]],1))</f>
        <v>1</v>
      </c>
      <c r="AX913" t="b">
        <f>+ISNUMBER(SEARCH(CompConta!$F$23,Tabla11[[#This Row],[Cuenta]],1))</f>
        <v>1</v>
      </c>
      <c r="AY913" t="b">
        <f>+ISNUMBER(SEARCH(CompConta!$F$24,Tabla11[[#This Row],[Cuenta]],1))</f>
        <v>1</v>
      </c>
      <c r="AZ913" t="b">
        <f>+ISNUMBER(SEARCH(CompConta!$F$25,Tabla11[[#This Row],[Cuenta]],1))</f>
        <v>1</v>
      </c>
      <c r="BA913" t="b">
        <f>+ISNUMBER(SEARCH(CompConta!$F$26,Tabla11[[#This Row],[Cuenta]],1))</f>
        <v>1</v>
      </c>
      <c r="BB913" t="b">
        <f>+ISNUMBER(SEARCH(CompConta!$F$27,Tabla11[[#This Row],[Cuenta]],1))</f>
        <v>1</v>
      </c>
      <c r="BC913" t="b">
        <f>+ISNUMBER(SEARCH(CompConta!$F$28,Tabla11[[#This Row],[Cuenta]],1))</f>
        <v>1</v>
      </c>
      <c r="BD913" t="b">
        <f>+ISNUMBER(SEARCH(CompConta!$F$29,Tabla11[[#This Row],[Cuenta]],1))</f>
        <v>1</v>
      </c>
      <c r="BE913" t="b">
        <f>+ISNUMBER(SEARCH(CompConta!$F$30,Tabla11[[#This Row],[Cuenta]],1))</f>
        <v>1</v>
      </c>
      <c r="BF913" t="b">
        <f>+ISNUMBER(SEARCH('PAGO Compras'!$E$11,Tabla11[[#This Row],[Cuenta]],1))</f>
        <v>1</v>
      </c>
      <c r="BG913" t="b">
        <f>+ISNUMBER(SEARCH(#REF!,Tabla11[[#This Row],[Cuenta]],1))</f>
        <v>0</v>
      </c>
      <c r="BH913" t="b">
        <f>+ISNUMBER(SEARCH(#REF!,Tabla11[[#This Row],[Cuenta]],1))</f>
        <v>0</v>
      </c>
      <c r="BI913" t="b">
        <f>+ISNUMBER(SEARCH(#REF!,Tabla11[[#This Row],[Cuenta]],1))</f>
        <v>0</v>
      </c>
      <c r="BJ913" t="b">
        <f>+ISNUMBER(SEARCH(#REF!,Tabla11[[#This Row],[Cuenta]],1))</f>
        <v>0</v>
      </c>
      <c r="BS913" t="str">
        <v>516060 Armamento de vigilancia</v>
      </c>
      <c r="BT913" t="str">
        <v>516060 Armamento de vigilancia</v>
      </c>
      <c r="BU913" t="str">
        <v>516060 Armamento de vigilancia</v>
      </c>
      <c r="BV913" t="str">
        <v>516060 Armamento de vigilancia</v>
      </c>
      <c r="BZ913" t="str">
        <v>516060 Armamento de vigilancia</v>
      </c>
      <c r="CA913" t="str">
        <v>516060 Armamento de vigilancia</v>
      </c>
      <c r="CB913" t="str">
        <v>516060 Armamento de vigilancia</v>
      </c>
      <c r="CC913" t="str">
        <v>516060 Armamento de vigilancia</v>
      </c>
      <c r="CD913" t="str">
        <v>516060 Armamento de vigilancia</v>
      </c>
      <c r="CE913" t="str">
        <v>516060 Armamento de vigilancia</v>
      </c>
      <c r="CS913" s="141" t="str">
        <v>516060 Armamento de vigilancia</v>
      </c>
      <c r="CT913" s="141" t="str">
        <v>516060 Armamento de vigilancia</v>
      </c>
      <c r="CU913" s="141" t="str">
        <v>516060 Armamento de vigilancia</v>
      </c>
      <c r="CV913" s="141" t="str">
        <v>516060 Armamento de vigilancia</v>
      </c>
      <c r="CW913" s="141" t="str">
        <v>516060 Armamento de vigilancia</v>
      </c>
      <c r="CX913" s="141" t="str">
        <v>516060 Armamento de vigilancia</v>
      </c>
      <c r="CY913" s="141" t="str">
        <v>516060 Armamento de vigilancia</v>
      </c>
      <c r="CZ913" s="141" t="str">
        <v>516060 Armamento de vigilancia</v>
      </c>
      <c r="DA913" s="141" t="str">
        <v>516060 Armamento de vigilancia</v>
      </c>
      <c r="DF913" t="str">
        <v>516060 Armamento de vigilancia</v>
      </c>
      <c r="DG913" t="str">
        <v>516060 Armamento de vigilancia</v>
      </c>
      <c r="DH913" t="str">
        <v>516060 Armamento de vigilancia</v>
      </c>
      <c r="DI913" t="str">
        <v>516060 Armamento de vigilancia</v>
      </c>
      <c r="DJ913" t="str">
        <v>516060 Armamento de vigilancia</v>
      </c>
      <c r="DK913" t="str">
        <v>516060 Armamento de vigilancia</v>
      </c>
      <c r="DL913" t="str">
        <v>516060 Armamento de vigilancia</v>
      </c>
      <c r="DM913" t="str">
        <v>516060 Armamento de vigilancia</v>
      </c>
      <c r="DN913" t="str">
        <v>516060 Armamento de vigilancia</v>
      </c>
      <c r="DO913" t="str">
        <v>516060 Armamento de vigilancia</v>
      </c>
      <c r="DP913" t="str">
        <v>516060 Armamento de vigilancia</v>
      </c>
    </row>
    <row r="914" spans="4:120" ht="12.75">
      <c r="D914" s="7">
        <v>516099</v>
      </c>
      <c r="E914" s="6" t="s">
        <v>93</v>
      </c>
      <c r="F914" s="5">
        <v>4</v>
      </c>
      <c r="G914" s="34" t="s">
        <v>830</v>
      </c>
      <c r="H914" s="8" t="s">
        <v>32</v>
      </c>
      <c r="I914" t="b">
        <f>+ISNUMBER(SEARCH('F-COMPRA'!$F$28,Tabla11[[#This Row],[Cuenta]],1))</f>
        <v>1</v>
      </c>
      <c r="J914" t="b">
        <f>+ISNUMBER(SEARCH('F-COMPRA'!$F$29,Tabla11[[#This Row],[Cuenta]],1))</f>
        <v>1</v>
      </c>
      <c r="K914" t="b">
        <f>+ISNUMBER(SEARCH('F-COMPRA'!$F$30,Tabla11[[#This Row],[Cuenta]],1))</f>
        <v>1</v>
      </c>
      <c r="L914" t="b">
        <f>+ISNUMBER(SEARCH('F-COMPRA'!$F$31,Tabla11[[#This Row],[Cuenta]],1))</f>
        <v>1</v>
      </c>
      <c r="M914" t="b">
        <f>+ISNUMBER(SEARCH('F-COMPRA'!$G$25,Tabla11[[#This Row],[Cuenta]],1))</f>
        <v>0</v>
      </c>
      <c r="N914" t="b">
        <f>+ISNUMBER(SEARCH(#REF!,Tabla11[[#This Row],[Cuenta]],1))</f>
        <v>0</v>
      </c>
      <c r="O914" t="b">
        <f>+ISNUMBER(SEARCH(#REF!,Tabla11[[#This Row],[Cuenta]],1))</f>
        <v>0</v>
      </c>
      <c r="P914" t="b">
        <f>+ISNUMBER(SEARCH('F-COMPRA'!$F$32,Tabla11[[#This Row],[Cuenta]],1))</f>
        <v>1</v>
      </c>
      <c r="Q914" t="b">
        <f>+ISNUMBER(SEARCH('F-COMPRA'!$F$33,Tabla11[[#This Row],[Cuenta]],1))</f>
        <v>1</v>
      </c>
      <c r="R914" t="b">
        <f>+ISNUMBER(SEARCH('F-COMPRA'!$F$34,Tabla11[[#This Row],[Cuenta]],1))</f>
        <v>1</v>
      </c>
      <c r="S914" t="b">
        <f>+ISNUMBER(SEARCH('F-COMPRA'!$F$35,Tabla11[[#This Row],[Cuenta]],1))</f>
        <v>1</v>
      </c>
      <c r="T914" t="b">
        <f>+ISNUMBER(SEARCH('F-COMPRA'!$F$36,Tabla11[[#This Row],[Cuenta]],1))</f>
        <v>1</v>
      </c>
      <c r="U914" t="b">
        <f>+ISNUMBER(SEARCH('F-COMPRA'!$F$37,Tabla11[[#This Row],[Cuenta]],1))</f>
        <v>1</v>
      </c>
      <c r="V914" t="b">
        <f>+ISNUMBER(SEARCH(#REF!,Tabla11[[#This Row],[Cuenta]],1))</f>
        <v>0</v>
      </c>
      <c r="W914" t="b">
        <f>+ISNUMBER(SEARCH('F-COMPRA'!#REF!,Tabla11[[#This Row],[Cuenta]],1))</f>
        <v>0</v>
      </c>
      <c r="X914" t="b">
        <f>+ISNUMBER(SEARCH('F-COMPRA'!#REF!,Tabla11[[#This Row],[Cuenta]],1))</f>
        <v>0</v>
      </c>
      <c r="Y914" t="b">
        <f>+ISNUMBER(SEARCH('F-COMPRA'!#REF!,Tabla11[[#This Row],[Cuenta]],1))</f>
        <v>0</v>
      </c>
      <c r="Z914" t="b">
        <f>+ISNUMBER(SEARCH('F-COMPRA'!#REF!,Tabla11[[#This Row],[Cuenta]],1))</f>
        <v>0</v>
      </c>
      <c r="AA914" t="b">
        <f>+ISNUMBER(SEARCH('F-COMPRA'!#REF!,Tabla11[[#This Row],[Cuenta]],1))</f>
        <v>0</v>
      </c>
      <c r="AB914" t="b">
        <f>+ISNUMBER(SEARCH('F-COMPRA'!#REF!,Tabla11[[#This Row],[Cuenta]],1))</f>
        <v>0</v>
      </c>
      <c r="AC914" t="b">
        <f>+ISNUMBER(SEARCH('F-COMPRA'!#REF!,Tabla11[[#This Row],[Cuenta]],1))</f>
        <v>0</v>
      </c>
      <c r="AD914" t="b">
        <f>+ISNUMBER(SEARCH('F-COMPRA'!#REF!,Tabla11[[#This Row],[Cuenta]],1))</f>
        <v>0</v>
      </c>
      <c r="AE914" t="b">
        <f>+ISNUMBER(SEARCH('F-COMPRA'!#REF!,Tabla11[[#This Row],[Cuenta]],1))</f>
        <v>0</v>
      </c>
      <c r="AF914" t="b">
        <f>+ISNUMBER(SEARCH('F-VTA'!$G$23,Tabla11[[#This Row],[Cuenta]],1))</f>
        <v>0</v>
      </c>
      <c r="AG914" t="b">
        <f>+ISNUMBER(SEARCH('F-VTA'!$G$24,Tabla11[[#This Row],[Cuenta]],1))</f>
        <v>0</v>
      </c>
      <c r="AH914" t="b">
        <f>+ISNUMBER(SEARCH('F-VTA'!$G$25,Tabla11[[#This Row],[Cuenta]],1))</f>
        <v>0</v>
      </c>
      <c r="AI914" t="b">
        <f>+ISNUMBER(SEARCH('F-VTA'!$F$28,Tabla11[[#This Row],[Cuenta]],1))</f>
        <v>1</v>
      </c>
      <c r="AJ914" t="b">
        <f>+ISNUMBER(SEARCH('F-VTA'!$F$29,Tabla11[[#This Row],[Cuenta]],1))</f>
        <v>1</v>
      </c>
      <c r="AK914" t="b">
        <f>+ISNUMBER(SEARCH('F-VTA'!$F$30,Tabla11[[#This Row],[Cuenta]],1))</f>
        <v>1</v>
      </c>
      <c r="AL914" t="b">
        <f>+ISNUMBER(SEARCH('F-VTA'!$F$31,Tabla11[[#This Row],[Cuenta]],1))</f>
        <v>1</v>
      </c>
      <c r="AM914" t="b">
        <f>+ISNUMBER(SEARCH('F-VTA'!$F$32,Tabla11[[#This Row],[Cuenta]],1))</f>
        <v>1</v>
      </c>
      <c r="AN914" t="b">
        <f>+ISNUMBER(SEARCH('F-VTA'!$F$33,Tabla11[[#This Row],[Cuenta]],1))</f>
        <v>1</v>
      </c>
      <c r="AO914" t="b">
        <f>+ISNUMBER(SEARCH('F-VTA'!$F$34,Tabla11[[#This Row],[Cuenta]],1))</f>
        <v>1</v>
      </c>
      <c r="AP914" t="b">
        <f>+ISNUMBER(SEARCH('F-VTA'!$F$35,Tabla11[[#This Row],[Cuenta]],1))</f>
        <v>1</v>
      </c>
      <c r="AQ914" t="b">
        <f>+ISNUMBER(SEARCH('F-VTA'!$F$36,Tabla11[[#This Row],[Cuenta]],1))</f>
        <v>1</v>
      </c>
      <c r="AR914" t="b">
        <f>+ISNUMBER(SEARCH(#REF!,Tabla11[[#This Row],[Cuenta]],1))</f>
        <v>0</v>
      </c>
      <c r="AS914" t="b">
        <f>+ISNUMBER(SEARCH(#REF!,Tabla11[[#This Row],[Cuenta]],1))</f>
        <v>0</v>
      </c>
      <c r="AT914" t="b">
        <f>+ISNUMBER(SEARCH(#REF!,Tabla11[[#This Row],[Cuenta]],1))</f>
        <v>0</v>
      </c>
      <c r="AU914" t="b">
        <f>+ISNUMBER(SEARCH('Conc. Ban.1'!$I$9,Tabla11[[#This Row],[Cuenta]],1))</f>
        <v>0</v>
      </c>
      <c r="AV914" t="b">
        <f>+ISNUMBER(SEARCH(CompConta!$F$21,Tabla11[[#This Row],[Cuenta]],1))</f>
        <v>1</v>
      </c>
      <c r="AW914" t="b">
        <f>+ISNUMBER(SEARCH(CompConta!$F$22,Tabla11[[#This Row],[Cuenta]],1))</f>
        <v>1</v>
      </c>
      <c r="AX914" t="b">
        <f>+ISNUMBER(SEARCH(CompConta!$F$23,Tabla11[[#This Row],[Cuenta]],1))</f>
        <v>1</v>
      </c>
      <c r="AY914" t="b">
        <f>+ISNUMBER(SEARCH(CompConta!$F$24,Tabla11[[#This Row],[Cuenta]],1))</f>
        <v>1</v>
      </c>
      <c r="AZ914" t="b">
        <f>+ISNUMBER(SEARCH(CompConta!$F$25,Tabla11[[#This Row],[Cuenta]],1))</f>
        <v>1</v>
      </c>
      <c r="BA914" t="b">
        <f>+ISNUMBER(SEARCH(CompConta!$F$26,Tabla11[[#This Row],[Cuenta]],1))</f>
        <v>1</v>
      </c>
      <c r="BB914" t="b">
        <f>+ISNUMBER(SEARCH(CompConta!$F$27,Tabla11[[#This Row],[Cuenta]],1))</f>
        <v>1</v>
      </c>
      <c r="BC914" t="b">
        <f>+ISNUMBER(SEARCH(CompConta!$F$28,Tabla11[[#This Row],[Cuenta]],1))</f>
        <v>1</v>
      </c>
      <c r="BD914" t="b">
        <f>+ISNUMBER(SEARCH(CompConta!$F$29,Tabla11[[#This Row],[Cuenta]],1))</f>
        <v>1</v>
      </c>
      <c r="BE914" t="b">
        <f>+ISNUMBER(SEARCH(CompConta!$F$30,Tabla11[[#This Row],[Cuenta]],1))</f>
        <v>1</v>
      </c>
      <c r="BF914" t="b">
        <f>+ISNUMBER(SEARCH('PAGO Compras'!$E$11,Tabla11[[#This Row],[Cuenta]],1))</f>
        <v>1</v>
      </c>
      <c r="BG914" t="b">
        <f>+ISNUMBER(SEARCH(#REF!,Tabla11[[#This Row],[Cuenta]],1))</f>
        <v>0</v>
      </c>
      <c r="BH914" t="b">
        <f>+ISNUMBER(SEARCH(#REF!,Tabla11[[#This Row],[Cuenta]],1))</f>
        <v>0</v>
      </c>
      <c r="BI914" t="b">
        <f>+ISNUMBER(SEARCH(#REF!,Tabla11[[#This Row],[Cuenta]],1))</f>
        <v>0</v>
      </c>
      <c r="BJ914" t="b">
        <f>+ISNUMBER(SEARCH(#REF!,Tabla11[[#This Row],[Cuenta]],1))</f>
        <v>0</v>
      </c>
      <c r="BS914" t="str">
        <v>516099 *Ajustes por inflación</v>
      </c>
      <c r="BT914" t="str">
        <v>516099 *Ajustes por inflación</v>
      </c>
      <c r="BU914" t="str">
        <v>516099 *Ajustes por inflación</v>
      </c>
      <c r="BV914" t="str">
        <v>516099 *Ajustes por inflación</v>
      </c>
      <c r="BZ914" t="str">
        <v>516099 *Ajustes por inflación</v>
      </c>
      <c r="CA914" t="str">
        <v>516099 *Ajustes por inflación</v>
      </c>
      <c r="CB914" t="str">
        <v>516099 *Ajustes por inflación</v>
      </c>
      <c r="CC914" t="str">
        <v>516099 *Ajustes por inflación</v>
      </c>
      <c r="CD914" t="str">
        <v>516099 *Ajustes por inflación</v>
      </c>
      <c r="CE914" t="str">
        <v>516099 *Ajustes por inflación</v>
      </c>
      <c r="CS914" s="141" t="str">
        <v>516099 *Ajustes por inflación</v>
      </c>
      <c r="CT914" s="141" t="str">
        <v>516099 *Ajustes por inflación</v>
      </c>
      <c r="CU914" s="141" t="str">
        <v>516099 *Ajustes por inflación</v>
      </c>
      <c r="CV914" s="141" t="str">
        <v>516099 *Ajustes por inflación</v>
      </c>
      <c r="CW914" s="141" t="str">
        <v>516099 *Ajustes por inflación</v>
      </c>
      <c r="CX914" s="141" t="str">
        <v>516099 *Ajustes por inflación</v>
      </c>
      <c r="CY914" s="141" t="str">
        <v>516099 *Ajustes por inflación</v>
      </c>
      <c r="CZ914" s="141" t="str">
        <v>516099 *Ajustes por inflación</v>
      </c>
      <c r="DA914" s="141" t="str">
        <v>516099 *Ajustes por inflación</v>
      </c>
      <c r="DF914" t="str">
        <v>516099 *Ajustes por inflación</v>
      </c>
      <c r="DG914" t="str">
        <v>516099 *Ajustes por inflación</v>
      </c>
      <c r="DH914" t="str">
        <v>516099 *Ajustes por inflación</v>
      </c>
      <c r="DI914" t="str">
        <v>516099 *Ajustes por inflación</v>
      </c>
      <c r="DJ914" t="str">
        <v>516099 *Ajustes por inflación</v>
      </c>
      <c r="DK914" t="str">
        <v>516099 *Ajustes por inflación</v>
      </c>
      <c r="DL914" t="str">
        <v>516099 *Ajustes por inflación</v>
      </c>
      <c r="DM914" t="str">
        <v>516099 *Ajustes por inflación</v>
      </c>
      <c r="DN914" t="str">
        <v>516099 *Ajustes por inflación</v>
      </c>
      <c r="DO914" t="str">
        <v>516099 *Ajustes por inflación</v>
      </c>
      <c r="DP914" t="str">
        <v>516099 *Ajustes por inflación</v>
      </c>
    </row>
    <row r="915" spans="4:120" ht="12.75">
      <c r="D915" s="7">
        <v>5165</v>
      </c>
      <c r="E915" s="6" t="s">
        <v>611</v>
      </c>
      <c r="F915" s="5">
        <v>3</v>
      </c>
      <c r="G915" s="34" t="s">
        <v>830</v>
      </c>
      <c r="H915" s="8" t="s">
        <v>32</v>
      </c>
      <c r="I915" t="b">
        <f>+ISNUMBER(SEARCH('F-COMPRA'!$F$28,Tabla11[[#This Row],[Cuenta]],1))</f>
        <v>1</v>
      </c>
      <c r="J915" t="b">
        <f>+ISNUMBER(SEARCH('F-COMPRA'!$F$29,Tabla11[[#This Row],[Cuenta]],1))</f>
        <v>1</v>
      </c>
      <c r="K915" t="b">
        <f>+ISNUMBER(SEARCH('F-COMPRA'!$F$30,Tabla11[[#This Row],[Cuenta]],1))</f>
        <v>1</v>
      </c>
      <c r="L915" t="b">
        <f>+ISNUMBER(SEARCH('F-COMPRA'!$F$31,Tabla11[[#This Row],[Cuenta]],1))</f>
        <v>1</v>
      </c>
      <c r="M915" t="b">
        <f>+ISNUMBER(SEARCH('F-COMPRA'!$G$25,Tabla11[[#This Row],[Cuenta]],1))</f>
        <v>0</v>
      </c>
      <c r="N915" t="b">
        <f>+ISNUMBER(SEARCH(#REF!,Tabla11[[#This Row],[Cuenta]],1))</f>
        <v>0</v>
      </c>
      <c r="O915" t="b">
        <f>+ISNUMBER(SEARCH(#REF!,Tabla11[[#This Row],[Cuenta]],1))</f>
        <v>0</v>
      </c>
      <c r="P915" t="b">
        <f>+ISNUMBER(SEARCH('F-COMPRA'!$F$32,Tabla11[[#This Row],[Cuenta]],1))</f>
        <v>1</v>
      </c>
      <c r="Q915" t="b">
        <f>+ISNUMBER(SEARCH('F-COMPRA'!$F$33,Tabla11[[#This Row],[Cuenta]],1))</f>
        <v>1</v>
      </c>
      <c r="R915" t="b">
        <f>+ISNUMBER(SEARCH('F-COMPRA'!$F$34,Tabla11[[#This Row],[Cuenta]],1))</f>
        <v>1</v>
      </c>
      <c r="S915" t="b">
        <f>+ISNUMBER(SEARCH('F-COMPRA'!$F$35,Tabla11[[#This Row],[Cuenta]],1))</f>
        <v>1</v>
      </c>
      <c r="T915" t="b">
        <f>+ISNUMBER(SEARCH('F-COMPRA'!$F$36,Tabla11[[#This Row],[Cuenta]],1))</f>
        <v>1</v>
      </c>
      <c r="U915" t="b">
        <f>+ISNUMBER(SEARCH('F-COMPRA'!$F$37,Tabla11[[#This Row],[Cuenta]],1))</f>
        <v>1</v>
      </c>
      <c r="V915" t="b">
        <f>+ISNUMBER(SEARCH(#REF!,Tabla11[[#This Row],[Cuenta]],1))</f>
        <v>0</v>
      </c>
      <c r="W915" t="b">
        <f>+ISNUMBER(SEARCH('F-COMPRA'!#REF!,Tabla11[[#This Row],[Cuenta]],1))</f>
        <v>0</v>
      </c>
      <c r="X915" t="b">
        <f>+ISNUMBER(SEARCH('F-COMPRA'!#REF!,Tabla11[[#This Row],[Cuenta]],1))</f>
        <v>0</v>
      </c>
      <c r="Y915" t="b">
        <f>+ISNUMBER(SEARCH('F-COMPRA'!#REF!,Tabla11[[#This Row],[Cuenta]],1))</f>
        <v>0</v>
      </c>
      <c r="Z915" t="b">
        <f>+ISNUMBER(SEARCH('F-COMPRA'!#REF!,Tabla11[[#This Row],[Cuenta]],1))</f>
        <v>0</v>
      </c>
      <c r="AA915" t="b">
        <f>+ISNUMBER(SEARCH('F-COMPRA'!#REF!,Tabla11[[#This Row],[Cuenta]],1))</f>
        <v>0</v>
      </c>
      <c r="AB915" t="b">
        <f>+ISNUMBER(SEARCH('F-COMPRA'!#REF!,Tabla11[[#This Row],[Cuenta]],1))</f>
        <v>0</v>
      </c>
      <c r="AC915" t="b">
        <f>+ISNUMBER(SEARCH('F-COMPRA'!#REF!,Tabla11[[#This Row],[Cuenta]],1))</f>
        <v>0</v>
      </c>
      <c r="AD915" t="b">
        <f>+ISNUMBER(SEARCH('F-COMPRA'!#REF!,Tabla11[[#This Row],[Cuenta]],1))</f>
        <v>0</v>
      </c>
      <c r="AE915" t="b">
        <f>+ISNUMBER(SEARCH('F-COMPRA'!#REF!,Tabla11[[#This Row],[Cuenta]],1))</f>
        <v>0</v>
      </c>
      <c r="AF915" t="b">
        <f>+ISNUMBER(SEARCH('F-VTA'!$G$23,Tabla11[[#This Row],[Cuenta]],1))</f>
        <v>0</v>
      </c>
      <c r="AG915" t="b">
        <f>+ISNUMBER(SEARCH('F-VTA'!$G$24,Tabla11[[#This Row],[Cuenta]],1))</f>
        <v>0</v>
      </c>
      <c r="AH915" t="b">
        <f>+ISNUMBER(SEARCH('F-VTA'!$G$25,Tabla11[[#This Row],[Cuenta]],1))</f>
        <v>0</v>
      </c>
      <c r="AI915" t="b">
        <f>+ISNUMBER(SEARCH('F-VTA'!$F$28,Tabla11[[#This Row],[Cuenta]],1))</f>
        <v>1</v>
      </c>
      <c r="AJ915" t="b">
        <f>+ISNUMBER(SEARCH('F-VTA'!$F$29,Tabla11[[#This Row],[Cuenta]],1))</f>
        <v>1</v>
      </c>
      <c r="AK915" t="b">
        <f>+ISNUMBER(SEARCH('F-VTA'!$F$30,Tabla11[[#This Row],[Cuenta]],1))</f>
        <v>1</v>
      </c>
      <c r="AL915" t="b">
        <f>+ISNUMBER(SEARCH('F-VTA'!$F$31,Tabla11[[#This Row],[Cuenta]],1))</f>
        <v>1</v>
      </c>
      <c r="AM915" t="b">
        <f>+ISNUMBER(SEARCH('F-VTA'!$F$32,Tabla11[[#This Row],[Cuenta]],1))</f>
        <v>1</v>
      </c>
      <c r="AN915" t="b">
        <f>+ISNUMBER(SEARCH('F-VTA'!$F$33,Tabla11[[#This Row],[Cuenta]],1))</f>
        <v>1</v>
      </c>
      <c r="AO915" t="b">
        <f>+ISNUMBER(SEARCH('F-VTA'!$F$34,Tabla11[[#This Row],[Cuenta]],1))</f>
        <v>1</v>
      </c>
      <c r="AP915" t="b">
        <f>+ISNUMBER(SEARCH('F-VTA'!$F$35,Tabla11[[#This Row],[Cuenta]],1))</f>
        <v>1</v>
      </c>
      <c r="AQ915" t="b">
        <f>+ISNUMBER(SEARCH('F-VTA'!$F$36,Tabla11[[#This Row],[Cuenta]],1))</f>
        <v>1</v>
      </c>
      <c r="AR915" t="b">
        <f>+ISNUMBER(SEARCH(#REF!,Tabla11[[#This Row],[Cuenta]],1))</f>
        <v>0</v>
      </c>
      <c r="AS915" t="b">
        <f>+ISNUMBER(SEARCH(#REF!,Tabla11[[#This Row],[Cuenta]],1))</f>
        <v>0</v>
      </c>
      <c r="AT915" t="b">
        <f>+ISNUMBER(SEARCH(#REF!,Tabla11[[#This Row],[Cuenta]],1))</f>
        <v>0</v>
      </c>
      <c r="AU915" t="b">
        <f>+ISNUMBER(SEARCH('Conc. Ban.1'!$I$9,Tabla11[[#This Row],[Cuenta]],1))</f>
        <v>0</v>
      </c>
      <c r="AV915" t="b">
        <f>+ISNUMBER(SEARCH(CompConta!$F$21,Tabla11[[#This Row],[Cuenta]],1))</f>
        <v>1</v>
      </c>
      <c r="AW915" t="b">
        <f>+ISNUMBER(SEARCH(CompConta!$F$22,Tabla11[[#This Row],[Cuenta]],1))</f>
        <v>1</v>
      </c>
      <c r="AX915" t="b">
        <f>+ISNUMBER(SEARCH(CompConta!$F$23,Tabla11[[#This Row],[Cuenta]],1))</f>
        <v>1</v>
      </c>
      <c r="AY915" t="b">
        <f>+ISNUMBER(SEARCH(CompConta!$F$24,Tabla11[[#This Row],[Cuenta]],1))</f>
        <v>1</v>
      </c>
      <c r="AZ915" t="b">
        <f>+ISNUMBER(SEARCH(CompConta!$F$25,Tabla11[[#This Row],[Cuenta]],1))</f>
        <v>1</v>
      </c>
      <c r="BA915" t="b">
        <f>+ISNUMBER(SEARCH(CompConta!$F$26,Tabla11[[#This Row],[Cuenta]],1))</f>
        <v>1</v>
      </c>
      <c r="BB915" t="b">
        <f>+ISNUMBER(SEARCH(CompConta!$F$27,Tabla11[[#This Row],[Cuenta]],1))</f>
        <v>1</v>
      </c>
      <c r="BC915" t="b">
        <f>+ISNUMBER(SEARCH(CompConta!$F$28,Tabla11[[#This Row],[Cuenta]],1))</f>
        <v>1</v>
      </c>
      <c r="BD915" t="b">
        <f>+ISNUMBER(SEARCH(CompConta!$F$29,Tabla11[[#This Row],[Cuenta]],1))</f>
        <v>1</v>
      </c>
      <c r="BE915" t="b">
        <f>+ISNUMBER(SEARCH(CompConta!$F$30,Tabla11[[#This Row],[Cuenta]],1))</f>
        <v>1</v>
      </c>
      <c r="BF915" t="b">
        <f>+ISNUMBER(SEARCH('PAGO Compras'!$E$11,Tabla11[[#This Row],[Cuenta]],1))</f>
        <v>1</v>
      </c>
      <c r="BG915" t="b">
        <f>+ISNUMBER(SEARCH(#REF!,Tabla11[[#This Row],[Cuenta]],1))</f>
        <v>0</v>
      </c>
      <c r="BH915" t="b">
        <f>+ISNUMBER(SEARCH(#REF!,Tabla11[[#This Row],[Cuenta]],1))</f>
        <v>0</v>
      </c>
      <c r="BI915" t="b">
        <f>+ISNUMBER(SEARCH(#REF!,Tabla11[[#This Row],[Cuenta]],1))</f>
        <v>0</v>
      </c>
      <c r="BJ915" t="b">
        <f>+ISNUMBER(SEARCH(#REF!,Tabla11[[#This Row],[Cuenta]],1))</f>
        <v>0</v>
      </c>
      <c r="BS915" t="str">
        <v>5165 AMORTIZACIONES</v>
      </c>
      <c r="BT915" t="str">
        <v>5165 AMORTIZACIONES</v>
      </c>
      <c r="BU915" t="str">
        <v>5165 AMORTIZACIONES</v>
      </c>
      <c r="BV915" t="str">
        <v>5165 AMORTIZACIONES</v>
      </c>
      <c r="BZ915" t="str">
        <v>5165 AMORTIZACIONES</v>
      </c>
      <c r="CA915" t="str">
        <v>5165 AMORTIZACIONES</v>
      </c>
      <c r="CB915" t="str">
        <v>5165 AMORTIZACIONES</v>
      </c>
      <c r="CC915" t="str">
        <v>5165 AMORTIZACIONES</v>
      </c>
      <c r="CD915" t="str">
        <v>5165 AMORTIZACIONES</v>
      </c>
      <c r="CE915" t="str">
        <v>5165 AMORTIZACIONES</v>
      </c>
      <c r="CS915" s="141" t="str">
        <v>5165 AMORTIZACIONES</v>
      </c>
      <c r="CT915" s="141" t="str">
        <v>5165 AMORTIZACIONES</v>
      </c>
      <c r="CU915" s="141" t="str">
        <v>5165 AMORTIZACIONES</v>
      </c>
      <c r="CV915" s="141" t="str">
        <v>5165 AMORTIZACIONES</v>
      </c>
      <c r="CW915" s="141" t="str">
        <v>5165 AMORTIZACIONES</v>
      </c>
      <c r="CX915" s="141" t="str">
        <v>5165 AMORTIZACIONES</v>
      </c>
      <c r="CY915" s="141" t="str">
        <v>5165 AMORTIZACIONES</v>
      </c>
      <c r="CZ915" s="141" t="str">
        <v>5165 AMORTIZACIONES</v>
      </c>
      <c r="DA915" s="141" t="str">
        <v>5165 AMORTIZACIONES</v>
      </c>
      <c r="DF915" t="str">
        <v>5165 AMORTIZACIONES</v>
      </c>
      <c r="DG915" t="str">
        <v>5165 AMORTIZACIONES</v>
      </c>
      <c r="DH915" t="str">
        <v>5165 AMORTIZACIONES</v>
      </c>
      <c r="DI915" t="str">
        <v>5165 AMORTIZACIONES</v>
      </c>
      <c r="DJ915" t="str">
        <v>5165 AMORTIZACIONES</v>
      </c>
      <c r="DK915" t="str">
        <v>5165 AMORTIZACIONES</v>
      </c>
      <c r="DL915" t="str">
        <v>5165 AMORTIZACIONES</v>
      </c>
      <c r="DM915" t="str">
        <v>5165 AMORTIZACIONES</v>
      </c>
      <c r="DN915" t="str">
        <v>5165 AMORTIZACIONES</v>
      </c>
      <c r="DO915" t="str">
        <v>5165 AMORTIZACIONES</v>
      </c>
      <c r="DP915" t="str">
        <v>5165 AMORTIZACIONES</v>
      </c>
    </row>
    <row r="916" spans="4:120" ht="12.75">
      <c r="D916" s="7">
        <v>516505</v>
      </c>
      <c r="E916" s="6" t="s">
        <v>123</v>
      </c>
      <c r="F916" s="5">
        <v>4</v>
      </c>
      <c r="G916" s="34" t="s">
        <v>830</v>
      </c>
      <c r="H916" s="8" t="s">
        <v>32</v>
      </c>
      <c r="I916" t="b">
        <f>+ISNUMBER(SEARCH('F-COMPRA'!$F$28,Tabla11[[#This Row],[Cuenta]],1))</f>
        <v>1</v>
      </c>
      <c r="J916" t="b">
        <f>+ISNUMBER(SEARCH('F-COMPRA'!$F$29,Tabla11[[#This Row],[Cuenta]],1))</f>
        <v>1</v>
      </c>
      <c r="K916" t="b">
        <f>+ISNUMBER(SEARCH('F-COMPRA'!$F$30,Tabla11[[#This Row],[Cuenta]],1))</f>
        <v>1</v>
      </c>
      <c r="L916" t="b">
        <f>+ISNUMBER(SEARCH('F-COMPRA'!$F$31,Tabla11[[#This Row],[Cuenta]],1))</f>
        <v>1</v>
      </c>
      <c r="M916" t="b">
        <f>+ISNUMBER(SEARCH('F-COMPRA'!$G$25,Tabla11[[#This Row],[Cuenta]],1))</f>
        <v>0</v>
      </c>
      <c r="N916" t="b">
        <f>+ISNUMBER(SEARCH(#REF!,Tabla11[[#This Row],[Cuenta]],1))</f>
        <v>0</v>
      </c>
      <c r="O916" t="b">
        <f>+ISNUMBER(SEARCH(#REF!,Tabla11[[#This Row],[Cuenta]],1))</f>
        <v>0</v>
      </c>
      <c r="P916" t="b">
        <f>+ISNUMBER(SEARCH('F-COMPRA'!$F$32,Tabla11[[#This Row],[Cuenta]],1))</f>
        <v>1</v>
      </c>
      <c r="Q916" t="b">
        <f>+ISNUMBER(SEARCH('F-COMPRA'!$F$33,Tabla11[[#This Row],[Cuenta]],1))</f>
        <v>1</v>
      </c>
      <c r="R916" t="b">
        <f>+ISNUMBER(SEARCH('F-COMPRA'!$F$34,Tabla11[[#This Row],[Cuenta]],1))</f>
        <v>1</v>
      </c>
      <c r="S916" t="b">
        <f>+ISNUMBER(SEARCH('F-COMPRA'!$F$35,Tabla11[[#This Row],[Cuenta]],1))</f>
        <v>1</v>
      </c>
      <c r="T916" t="b">
        <f>+ISNUMBER(SEARCH('F-COMPRA'!$F$36,Tabla11[[#This Row],[Cuenta]],1))</f>
        <v>1</v>
      </c>
      <c r="U916" t="b">
        <f>+ISNUMBER(SEARCH('F-COMPRA'!$F$37,Tabla11[[#This Row],[Cuenta]],1))</f>
        <v>1</v>
      </c>
      <c r="V916" t="b">
        <f>+ISNUMBER(SEARCH(#REF!,Tabla11[[#This Row],[Cuenta]],1))</f>
        <v>0</v>
      </c>
      <c r="W916" t="b">
        <f>+ISNUMBER(SEARCH('F-COMPRA'!#REF!,Tabla11[[#This Row],[Cuenta]],1))</f>
        <v>0</v>
      </c>
      <c r="X916" t="b">
        <f>+ISNUMBER(SEARCH('F-COMPRA'!#REF!,Tabla11[[#This Row],[Cuenta]],1))</f>
        <v>0</v>
      </c>
      <c r="Y916" t="b">
        <f>+ISNUMBER(SEARCH('F-COMPRA'!#REF!,Tabla11[[#This Row],[Cuenta]],1))</f>
        <v>0</v>
      </c>
      <c r="Z916" t="b">
        <f>+ISNUMBER(SEARCH('F-COMPRA'!#REF!,Tabla11[[#This Row],[Cuenta]],1))</f>
        <v>0</v>
      </c>
      <c r="AA916" t="b">
        <f>+ISNUMBER(SEARCH('F-COMPRA'!#REF!,Tabla11[[#This Row],[Cuenta]],1))</f>
        <v>0</v>
      </c>
      <c r="AB916" t="b">
        <f>+ISNUMBER(SEARCH('F-COMPRA'!#REF!,Tabla11[[#This Row],[Cuenta]],1))</f>
        <v>0</v>
      </c>
      <c r="AC916" t="b">
        <f>+ISNUMBER(SEARCH('F-COMPRA'!#REF!,Tabla11[[#This Row],[Cuenta]],1))</f>
        <v>0</v>
      </c>
      <c r="AD916" t="b">
        <f>+ISNUMBER(SEARCH('F-COMPRA'!#REF!,Tabla11[[#This Row],[Cuenta]],1))</f>
        <v>0</v>
      </c>
      <c r="AE916" t="b">
        <f>+ISNUMBER(SEARCH('F-COMPRA'!#REF!,Tabla11[[#This Row],[Cuenta]],1))</f>
        <v>0</v>
      </c>
      <c r="AF916" t="b">
        <f>+ISNUMBER(SEARCH('F-VTA'!$G$23,Tabla11[[#This Row],[Cuenta]],1))</f>
        <v>0</v>
      </c>
      <c r="AG916" t="b">
        <f>+ISNUMBER(SEARCH('F-VTA'!$G$24,Tabla11[[#This Row],[Cuenta]],1))</f>
        <v>0</v>
      </c>
      <c r="AH916" t="b">
        <f>+ISNUMBER(SEARCH('F-VTA'!$G$25,Tabla11[[#This Row],[Cuenta]],1))</f>
        <v>0</v>
      </c>
      <c r="AI916" t="b">
        <f>+ISNUMBER(SEARCH('F-VTA'!$F$28,Tabla11[[#This Row],[Cuenta]],1))</f>
        <v>1</v>
      </c>
      <c r="AJ916" t="b">
        <f>+ISNUMBER(SEARCH('F-VTA'!$F$29,Tabla11[[#This Row],[Cuenta]],1))</f>
        <v>1</v>
      </c>
      <c r="AK916" t="b">
        <f>+ISNUMBER(SEARCH('F-VTA'!$F$30,Tabla11[[#This Row],[Cuenta]],1))</f>
        <v>1</v>
      </c>
      <c r="AL916" t="b">
        <f>+ISNUMBER(SEARCH('F-VTA'!$F$31,Tabla11[[#This Row],[Cuenta]],1))</f>
        <v>1</v>
      </c>
      <c r="AM916" t="b">
        <f>+ISNUMBER(SEARCH('F-VTA'!$F$32,Tabla11[[#This Row],[Cuenta]],1))</f>
        <v>1</v>
      </c>
      <c r="AN916" t="b">
        <f>+ISNUMBER(SEARCH('F-VTA'!$F$33,Tabla11[[#This Row],[Cuenta]],1))</f>
        <v>1</v>
      </c>
      <c r="AO916" t="b">
        <f>+ISNUMBER(SEARCH('F-VTA'!$F$34,Tabla11[[#This Row],[Cuenta]],1))</f>
        <v>1</v>
      </c>
      <c r="AP916" t="b">
        <f>+ISNUMBER(SEARCH('F-VTA'!$F$35,Tabla11[[#This Row],[Cuenta]],1))</f>
        <v>1</v>
      </c>
      <c r="AQ916" t="b">
        <f>+ISNUMBER(SEARCH('F-VTA'!$F$36,Tabla11[[#This Row],[Cuenta]],1))</f>
        <v>1</v>
      </c>
      <c r="AR916" t="b">
        <f>+ISNUMBER(SEARCH(#REF!,Tabla11[[#This Row],[Cuenta]],1))</f>
        <v>0</v>
      </c>
      <c r="AS916" t="b">
        <f>+ISNUMBER(SEARCH(#REF!,Tabla11[[#This Row],[Cuenta]],1))</f>
        <v>0</v>
      </c>
      <c r="AT916" t="b">
        <f>+ISNUMBER(SEARCH(#REF!,Tabla11[[#This Row],[Cuenta]],1))</f>
        <v>0</v>
      </c>
      <c r="AU916" t="b">
        <f>+ISNUMBER(SEARCH('Conc. Ban.1'!$I$9,Tabla11[[#This Row],[Cuenta]],1))</f>
        <v>0</v>
      </c>
      <c r="AV916" t="b">
        <f>+ISNUMBER(SEARCH(CompConta!$F$21,Tabla11[[#This Row],[Cuenta]],1))</f>
        <v>1</v>
      </c>
      <c r="AW916" t="b">
        <f>+ISNUMBER(SEARCH(CompConta!$F$22,Tabla11[[#This Row],[Cuenta]],1))</f>
        <v>1</v>
      </c>
      <c r="AX916" t="b">
        <f>+ISNUMBER(SEARCH(CompConta!$F$23,Tabla11[[#This Row],[Cuenta]],1))</f>
        <v>1</v>
      </c>
      <c r="AY916" t="b">
        <f>+ISNUMBER(SEARCH(CompConta!$F$24,Tabla11[[#This Row],[Cuenta]],1))</f>
        <v>1</v>
      </c>
      <c r="AZ916" t="b">
        <f>+ISNUMBER(SEARCH(CompConta!$F$25,Tabla11[[#This Row],[Cuenta]],1))</f>
        <v>1</v>
      </c>
      <c r="BA916" t="b">
        <f>+ISNUMBER(SEARCH(CompConta!$F$26,Tabla11[[#This Row],[Cuenta]],1))</f>
        <v>1</v>
      </c>
      <c r="BB916" t="b">
        <f>+ISNUMBER(SEARCH(CompConta!$F$27,Tabla11[[#This Row],[Cuenta]],1))</f>
        <v>1</v>
      </c>
      <c r="BC916" t="b">
        <f>+ISNUMBER(SEARCH(CompConta!$F$28,Tabla11[[#This Row],[Cuenta]],1))</f>
        <v>1</v>
      </c>
      <c r="BD916" t="b">
        <f>+ISNUMBER(SEARCH(CompConta!$F$29,Tabla11[[#This Row],[Cuenta]],1))</f>
        <v>1</v>
      </c>
      <c r="BE916" t="b">
        <f>+ISNUMBER(SEARCH(CompConta!$F$30,Tabla11[[#This Row],[Cuenta]],1))</f>
        <v>1</v>
      </c>
      <c r="BF916" t="b">
        <f>+ISNUMBER(SEARCH('PAGO Compras'!$E$11,Tabla11[[#This Row],[Cuenta]],1))</f>
        <v>1</v>
      </c>
      <c r="BG916" t="b">
        <f>+ISNUMBER(SEARCH(#REF!,Tabla11[[#This Row],[Cuenta]],1))</f>
        <v>0</v>
      </c>
      <c r="BH916" t="b">
        <f>+ISNUMBER(SEARCH(#REF!,Tabla11[[#This Row],[Cuenta]],1))</f>
        <v>0</v>
      </c>
      <c r="BI916" t="b">
        <f>+ISNUMBER(SEARCH(#REF!,Tabla11[[#This Row],[Cuenta]],1))</f>
        <v>0</v>
      </c>
      <c r="BJ916" t="b">
        <f>+ISNUMBER(SEARCH(#REF!,Tabla11[[#This Row],[Cuenta]],1))</f>
        <v>0</v>
      </c>
      <c r="BS916" t="str">
        <v>516505 Vías de comunicación</v>
      </c>
      <c r="BT916" t="str">
        <v>516505 Vías de comunicación</v>
      </c>
      <c r="BU916" t="str">
        <v>516505 Vías de comunicación</v>
      </c>
      <c r="BV916" t="str">
        <v>516505 Vías de comunicación</v>
      </c>
      <c r="BZ916" t="str">
        <v>516505 Vías de comunicación</v>
      </c>
      <c r="CA916" t="str">
        <v>516505 Vías de comunicación</v>
      </c>
      <c r="CB916" t="str">
        <v>516505 Vías de comunicación</v>
      </c>
      <c r="CC916" t="str">
        <v>516505 Vías de comunicación</v>
      </c>
      <c r="CD916" t="str">
        <v>516505 Vías de comunicación</v>
      </c>
      <c r="CE916" t="str">
        <v>516505 Vías de comunicación</v>
      </c>
      <c r="CS916" s="141" t="str">
        <v>516505 Vías de comunicación</v>
      </c>
      <c r="CT916" s="141" t="str">
        <v>516505 Vías de comunicación</v>
      </c>
      <c r="CU916" s="141" t="str">
        <v>516505 Vías de comunicación</v>
      </c>
      <c r="CV916" s="141" t="str">
        <v>516505 Vías de comunicación</v>
      </c>
      <c r="CW916" s="141" t="str">
        <v>516505 Vías de comunicación</v>
      </c>
      <c r="CX916" s="141" t="str">
        <v>516505 Vías de comunicación</v>
      </c>
      <c r="CY916" s="141" t="str">
        <v>516505 Vías de comunicación</v>
      </c>
      <c r="CZ916" s="141" t="str">
        <v>516505 Vías de comunicación</v>
      </c>
      <c r="DA916" s="141" t="str">
        <v>516505 Vías de comunicación</v>
      </c>
      <c r="DF916" t="str">
        <v>516505 Vías de comunicación</v>
      </c>
      <c r="DG916" t="str">
        <v>516505 Vías de comunicación</v>
      </c>
      <c r="DH916" t="str">
        <v>516505 Vías de comunicación</v>
      </c>
      <c r="DI916" t="str">
        <v>516505 Vías de comunicación</v>
      </c>
      <c r="DJ916" t="str">
        <v>516505 Vías de comunicación</v>
      </c>
      <c r="DK916" t="str">
        <v>516505 Vías de comunicación</v>
      </c>
      <c r="DL916" t="str">
        <v>516505 Vías de comunicación</v>
      </c>
      <c r="DM916" t="str">
        <v>516505 Vías de comunicación</v>
      </c>
      <c r="DN916" t="str">
        <v>516505 Vías de comunicación</v>
      </c>
      <c r="DO916" t="str">
        <v>516505 Vías de comunicación</v>
      </c>
      <c r="DP916" t="str">
        <v>516505 Vías de comunicación</v>
      </c>
    </row>
    <row r="917" spans="4:120" ht="12.75">
      <c r="D917" s="7">
        <v>516510</v>
      </c>
      <c r="E917" s="6" t="s">
        <v>612</v>
      </c>
      <c r="F917" s="5">
        <v>4</v>
      </c>
      <c r="G917" s="34" t="s">
        <v>830</v>
      </c>
      <c r="H917" s="8" t="s">
        <v>32</v>
      </c>
      <c r="I917" t="b">
        <f>+ISNUMBER(SEARCH('F-COMPRA'!$F$28,Tabla11[[#This Row],[Cuenta]],1))</f>
        <v>1</v>
      </c>
      <c r="J917" t="b">
        <f>+ISNUMBER(SEARCH('F-COMPRA'!$F$29,Tabla11[[#This Row],[Cuenta]],1))</f>
        <v>1</v>
      </c>
      <c r="K917" t="b">
        <f>+ISNUMBER(SEARCH('F-COMPRA'!$F$30,Tabla11[[#This Row],[Cuenta]],1))</f>
        <v>1</v>
      </c>
      <c r="L917" t="b">
        <f>+ISNUMBER(SEARCH('F-COMPRA'!$F$31,Tabla11[[#This Row],[Cuenta]],1))</f>
        <v>1</v>
      </c>
      <c r="M917" t="b">
        <f>+ISNUMBER(SEARCH('F-COMPRA'!$G$25,Tabla11[[#This Row],[Cuenta]],1))</f>
        <v>0</v>
      </c>
      <c r="N917" t="b">
        <f>+ISNUMBER(SEARCH(#REF!,Tabla11[[#This Row],[Cuenta]],1))</f>
        <v>0</v>
      </c>
      <c r="O917" t="b">
        <f>+ISNUMBER(SEARCH(#REF!,Tabla11[[#This Row],[Cuenta]],1))</f>
        <v>0</v>
      </c>
      <c r="P917" t="b">
        <f>+ISNUMBER(SEARCH('F-COMPRA'!$F$32,Tabla11[[#This Row],[Cuenta]],1))</f>
        <v>1</v>
      </c>
      <c r="Q917" t="b">
        <f>+ISNUMBER(SEARCH('F-COMPRA'!$F$33,Tabla11[[#This Row],[Cuenta]],1))</f>
        <v>1</v>
      </c>
      <c r="R917" t="b">
        <f>+ISNUMBER(SEARCH('F-COMPRA'!$F$34,Tabla11[[#This Row],[Cuenta]],1))</f>
        <v>1</v>
      </c>
      <c r="S917" t="b">
        <f>+ISNUMBER(SEARCH('F-COMPRA'!$F$35,Tabla11[[#This Row],[Cuenta]],1))</f>
        <v>1</v>
      </c>
      <c r="T917" t="b">
        <f>+ISNUMBER(SEARCH('F-COMPRA'!$F$36,Tabla11[[#This Row],[Cuenta]],1))</f>
        <v>1</v>
      </c>
      <c r="U917" t="b">
        <f>+ISNUMBER(SEARCH('F-COMPRA'!$F$37,Tabla11[[#This Row],[Cuenta]],1))</f>
        <v>1</v>
      </c>
      <c r="V917" t="b">
        <f>+ISNUMBER(SEARCH(#REF!,Tabla11[[#This Row],[Cuenta]],1))</f>
        <v>0</v>
      </c>
      <c r="W917" t="b">
        <f>+ISNUMBER(SEARCH('F-COMPRA'!#REF!,Tabla11[[#This Row],[Cuenta]],1))</f>
        <v>0</v>
      </c>
      <c r="X917" t="b">
        <f>+ISNUMBER(SEARCH('F-COMPRA'!#REF!,Tabla11[[#This Row],[Cuenta]],1))</f>
        <v>0</v>
      </c>
      <c r="Y917" t="b">
        <f>+ISNUMBER(SEARCH('F-COMPRA'!#REF!,Tabla11[[#This Row],[Cuenta]],1))</f>
        <v>0</v>
      </c>
      <c r="Z917" t="b">
        <f>+ISNUMBER(SEARCH('F-COMPRA'!#REF!,Tabla11[[#This Row],[Cuenta]],1))</f>
        <v>0</v>
      </c>
      <c r="AA917" t="b">
        <f>+ISNUMBER(SEARCH('F-COMPRA'!#REF!,Tabla11[[#This Row],[Cuenta]],1))</f>
        <v>0</v>
      </c>
      <c r="AB917" t="b">
        <f>+ISNUMBER(SEARCH('F-COMPRA'!#REF!,Tabla11[[#This Row],[Cuenta]],1))</f>
        <v>0</v>
      </c>
      <c r="AC917" t="b">
        <f>+ISNUMBER(SEARCH('F-COMPRA'!#REF!,Tabla11[[#This Row],[Cuenta]],1))</f>
        <v>0</v>
      </c>
      <c r="AD917" t="b">
        <f>+ISNUMBER(SEARCH('F-COMPRA'!#REF!,Tabla11[[#This Row],[Cuenta]],1))</f>
        <v>0</v>
      </c>
      <c r="AE917" t="b">
        <f>+ISNUMBER(SEARCH('F-COMPRA'!#REF!,Tabla11[[#This Row],[Cuenta]],1))</f>
        <v>0</v>
      </c>
      <c r="AF917" t="b">
        <f>+ISNUMBER(SEARCH('F-VTA'!$G$23,Tabla11[[#This Row],[Cuenta]],1))</f>
        <v>0</v>
      </c>
      <c r="AG917" t="b">
        <f>+ISNUMBER(SEARCH('F-VTA'!$G$24,Tabla11[[#This Row],[Cuenta]],1))</f>
        <v>0</v>
      </c>
      <c r="AH917" t="b">
        <f>+ISNUMBER(SEARCH('F-VTA'!$G$25,Tabla11[[#This Row],[Cuenta]],1))</f>
        <v>0</v>
      </c>
      <c r="AI917" t="b">
        <f>+ISNUMBER(SEARCH('F-VTA'!$F$28,Tabla11[[#This Row],[Cuenta]],1))</f>
        <v>1</v>
      </c>
      <c r="AJ917" t="b">
        <f>+ISNUMBER(SEARCH('F-VTA'!$F$29,Tabla11[[#This Row],[Cuenta]],1))</f>
        <v>1</v>
      </c>
      <c r="AK917" t="b">
        <f>+ISNUMBER(SEARCH('F-VTA'!$F$30,Tabla11[[#This Row],[Cuenta]],1))</f>
        <v>1</v>
      </c>
      <c r="AL917" t="b">
        <f>+ISNUMBER(SEARCH('F-VTA'!$F$31,Tabla11[[#This Row],[Cuenta]],1))</f>
        <v>1</v>
      </c>
      <c r="AM917" t="b">
        <f>+ISNUMBER(SEARCH('F-VTA'!$F$32,Tabla11[[#This Row],[Cuenta]],1))</f>
        <v>1</v>
      </c>
      <c r="AN917" t="b">
        <f>+ISNUMBER(SEARCH('F-VTA'!$F$33,Tabla11[[#This Row],[Cuenta]],1))</f>
        <v>1</v>
      </c>
      <c r="AO917" t="b">
        <f>+ISNUMBER(SEARCH('F-VTA'!$F$34,Tabla11[[#This Row],[Cuenta]],1))</f>
        <v>1</v>
      </c>
      <c r="AP917" t="b">
        <f>+ISNUMBER(SEARCH('F-VTA'!$F$35,Tabla11[[#This Row],[Cuenta]],1))</f>
        <v>1</v>
      </c>
      <c r="AQ917" t="b">
        <f>+ISNUMBER(SEARCH('F-VTA'!$F$36,Tabla11[[#This Row],[Cuenta]],1))</f>
        <v>1</v>
      </c>
      <c r="AR917" t="b">
        <f>+ISNUMBER(SEARCH(#REF!,Tabla11[[#This Row],[Cuenta]],1))</f>
        <v>0</v>
      </c>
      <c r="AS917" t="b">
        <f>+ISNUMBER(SEARCH(#REF!,Tabla11[[#This Row],[Cuenta]],1))</f>
        <v>0</v>
      </c>
      <c r="AT917" t="b">
        <f>+ISNUMBER(SEARCH(#REF!,Tabla11[[#This Row],[Cuenta]],1))</f>
        <v>0</v>
      </c>
      <c r="AU917" t="b">
        <f>+ISNUMBER(SEARCH('Conc. Ban.1'!$I$9,Tabla11[[#This Row],[Cuenta]],1))</f>
        <v>0</v>
      </c>
      <c r="AV917" t="b">
        <f>+ISNUMBER(SEARCH(CompConta!$F$21,Tabla11[[#This Row],[Cuenta]],1))</f>
        <v>1</v>
      </c>
      <c r="AW917" t="b">
        <f>+ISNUMBER(SEARCH(CompConta!$F$22,Tabla11[[#This Row],[Cuenta]],1))</f>
        <v>1</v>
      </c>
      <c r="AX917" t="b">
        <f>+ISNUMBER(SEARCH(CompConta!$F$23,Tabla11[[#This Row],[Cuenta]],1))</f>
        <v>1</v>
      </c>
      <c r="AY917" t="b">
        <f>+ISNUMBER(SEARCH(CompConta!$F$24,Tabla11[[#This Row],[Cuenta]],1))</f>
        <v>1</v>
      </c>
      <c r="AZ917" t="b">
        <f>+ISNUMBER(SEARCH(CompConta!$F$25,Tabla11[[#This Row],[Cuenta]],1))</f>
        <v>1</v>
      </c>
      <c r="BA917" t="b">
        <f>+ISNUMBER(SEARCH(CompConta!$F$26,Tabla11[[#This Row],[Cuenta]],1))</f>
        <v>1</v>
      </c>
      <c r="BB917" t="b">
        <f>+ISNUMBER(SEARCH(CompConta!$F$27,Tabla11[[#This Row],[Cuenta]],1))</f>
        <v>1</v>
      </c>
      <c r="BC917" t="b">
        <f>+ISNUMBER(SEARCH(CompConta!$F$28,Tabla11[[#This Row],[Cuenta]],1))</f>
        <v>1</v>
      </c>
      <c r="BD917" t="b">
        <f>+ISNUMBER(SEARCH(CompConta!$F$29,Tabla11[[#This Row],[Cuenta]],1))</f>
        <v>1</v>
      </c>
      <c r="BE917" t="b">
        <f>+ISNUMBER(SEARCH(CompConta!$F$30,Tabla11[[#This Row],[Cuenta]],1))</f>
        <v>1</v>
      </c>
      <c r="BF917" t="b">
        <f>+ISNUMBER(SEARCH('PAGO Compras'!$E$11,Tabla11[[#This Row],[Cuenta]],1))</f>
        <v>1</v>
      </c>
      <c r="BG917" t="b">
        <f>+ISNUMBER(SEARCH(#REF!,Tabla11[[#This Row],[Cuenta]],1))</f>
        <v>0</v>
      </c>
      <c r="BH917" t="b">
        <f>+ISNUMBER(SEARCH(#REF!,Tabla11[[#This Row],[Cuenta]],1))</f>
        <v>0</v>
      </c>
      <c r="BI917" t="b">
        <f>+ISNUMBER(SEARCH(#REF!,Tabla11[[#This Row],[Cuenta]],1))</f>
        <v>0</v>
      </c>
      <c r="BJ917" t="b">
        <f>+ISNUMBER(SEARCH(#REF!,Tabla11[[#This Row],[Cuenta]],1))</f>
        <v>0</v>
      </c>
      <c r="BS917" t="str">
        <v>516510 Intangibles</v>
      </c>
      <c r="BT917" t="str">
        <v>516510 Intangibles</v>
      </c>
      <c r="BU917" t="str">
        <v>516510 Intangibles</v>
      </c>
      <c r="BV917" t="str">
        <v>516510 Intangibles</v>
      </c>
      <c r="BZ917" t="str">
        <v>516510 Intangibles</v>
      </c>
      <c r="CA917" t="str">
        <v>516510 Intangibles</v>
      </c>
      <c r="CB917" t="str">
        <v>516510 Intangibles</v>
      </c>
      <c r="CC917" t="str">
        <v>516510 Intangibles</v>
      </c>
      <c r="CD917" t="str">
        <v>516510 Intangibles</v>
      </c>
      <c r="CE917" t="str">
        <v>516510 Intangibles</v>
      </c>
      <c r="CS917" s="141" t="str">
        <v>516510 Intangibles</v>
      </c>
      <c r="CT917" s="141" t="str">
        <v>516510 Intangibles</v>
      </c>
      <c r="CU917" s="141" t="str">
        <v>516510 Intangibles</v>
      </c>
      <c r="CV917" s="141" t="str">
        <v>516510 Intangibles</v>
      </c>
      <c r="CW917" s="141" t="str">
        <v>516510 Intangibles</v>
      </c>
      <c r="CX917" s="141" t="str">
        <v>516510 Intangibles</v>
      </c>
      <c r="CY917" s="141" t="str">
        <v>516510 Intangibles</v>
      </c>
      <c r="CZ917" s="141" t="str">
        <v>516510 Intangibles</v>
      </c>
      <c r="DA917" s="141" t="str">
        <v>516510 Intangibles</v>
      </c>
      <c r="DF917" t="str">
        <v>516510 Intangibles</v>
      </c>
      <c r="DG917" t="str">
        <v>516510 Intangibles</v>
      </c>
      <c r="DH917" t="str">
        <v>516510 Intangibles</v>
      </c>
      <c r="DI917" t="str">
        <v>516510 Intangibles</v>
      </c>
      <c r="DJ917" t="str">
        <v>516510 Intangibles</v>
      </c>
      <c r="DK917" t="str">
        <v>516510 Intangibles</v>
      </c>
      <c r="DL917" t="str">
        <v>516510 Intangibles</v>
      </c>
      <c r="DM917" t="str">
        <v>516510 Intangibles</v>
      </c>
      <c r="DN917" t="str">
        <v>516510 Intangibles</v>
      </c>
      <c r="DO917" t="str">
        <v>516510 Intangibles</v>
      </c>
      <c r="DP917" t="str">
        <v>516510 Intangibles</v>
      </c>
    </row>
    <row r="918" spans="4:120" ht="12.75">
      <c r="D918" s="7">
        <v>516515</v>
      </c>
      <c r="E918" s="6" t="s">
        <v>613</v>
      </c>
      <c r="F918" s="5">
        <v>4</v>
      </c>
      <c r="G918" s="34" t="s">
        <v>830</v>
      </c>
      <c r="H918" s="8" t="s">
        <v>32</v>
      </c>
      <c r="I918" t="b">
        <f>+ISNUMBER(SEARCH('F-COMPRA'!$F$28,Tabla11[[#This Row],[Cuenta]],1))</f>
        <v>1</v>
      </c>
      <c r="J918" t="b">
        <f>+ISNUMBER(SEARCH('F-COMPRA'!$F$29,Tabla11[[#This Row],[Cuenta]],1))</f>
        <v>1</v>
      </c>
      <c r="K918" t="b">
        <f>+ISNUMBER(SEARCH('F-COMPRA'!$F$30,Tabla11[[#This Row],[Cuenta]],1))</f>
        <v>1</v>
      </c>
      <c r="L918" t="b">
        <f>+ISNUMBER(SEARCH('F-COMPRA'!$F$31,Tabla11[[#This Row],[Cuenta]],1))</f>
        <v>1</v>
      </c>
      <c r="M918" t="b">
        <f>+ISNUMBER(SEARCH('F-COMPRA'!$G$25,Tabla11[[#This Row],[Cuenta]],1))</f>
        <v>0</v>
      </c>
      <c r="N918" t="b">
        <f>+ISNUMBER(SEARCH(#REF!,Tabla11[[#This Row],[Cuenta]],1))</f>
        <v>0</v>
      </c>
      <c r="O918" t="b">
        <f>+ISNUMBER(SEARCH(#REF!,Tabla11[[#This Row],[Cuenta]],1))</f>
        <v>0</v>
      </c>
      <c r="P918" t="b">
        <f>+ISNUMBER(SEARCH('F-COMPRA'!$F$32,Tabla11[[#This Row],[Cuenta]],1))</f>
        <v>1</v>
      </c>
      <c r="Q918" t="b">
        <f>+ISNUMBER(SEARCH('F-COMPRA'!$F$33,Tabla11[[#This Row],[Cuenta]],1))</f>
        <v>1</v>
      </c>
      <c r="R918" t="b">
        <f>+ISNUMBER(SEARCH('F-COMPRA'!$F$34,Tabla11[[#This Row],[Cuenta]],1))</f>
        <v>1</v>
      </c>
      <c r="S918" t="b">
        <f>+ISNUMBER(SEARCH('F-COMPRA'!$F$35,Tabla11[[#This Row],[Cuenta]],1))</f>
        <v>1</v>
      </c>
      <c r="T918" t="b">
        <f>+ISNUMBER(SEARCH('F-COMPRA'!$F$36,Tabla11[[#This Row],[Cuenta]],1))</f>
        <v>1</v>
      </c>
      <c r="U918" t="b">
        <f>+ISNUMBER(SEARCH('F-COMPRA'!$F$37,Tabla11[[#This Row],[Cuenta]],1))</f>
        <v>1</v>
      </c>
      <c r="V918" t="b">
        <f>+ISNUMBER(SEARCH(#REF!,Tabla11[[#This Row],[Cuenta]],1))</f>
        <v>0</v>
      </c>
      <c r="W918" t="b">
        <f>+ISNUMBER(SEARCH('F-COMPRA'!#REF!,Tabla11[[#This Row],[Cuenta]],1))</f>
        <v>0</v>
      </c>
      <c r="X918" t="b">
        <f>+ISNUMBER(SEARCH('F-COMPRA'!#REF!,Tabla11[[#This Row],[Cuenta]],1))</f>
        <v>0</v>
      </c>
      <c r="Y918" t="b">
        <f>+ISNUMBER(SEARCH('F-COMPRA'!#REF!,Tabla11[[#This Row],[Cuenta]],1))</f>
        <v>0</v>
      </c>
      <c r="Z918" t="b">
        <f>+ISNUMBER(SEARCH('F-COMPRA'!#REF!,Tabla11[[#This Row],[Cuenta]],1))</f>
        <v>0</v>
      </c>
      <c r="AA918" t="b">
        <f>+ISNUMBER(SEARCH('F-COMPRA'!#REF!,Tabla11[[#This Row],[Cuenta]],1))</f>
        <v>0</v>
      </c>
      <c r="AB918" t="b">
        <f>+ISNUMBER(SEARCH('F-COMPRA'!#REF!,Tabla11[[#This Row],[Cuenta]],1))</f>
        <v>0</v>
      </c>
      <c r="AC918" t="b">
        <f>+ISNUMBER(SEARCH('F-COMPRA'!#REF!,Tabla11[[#This Row],[Cuenta]],1))</f>
        <v>0</v>
      </c>
      <c r="AD918" t="b">
        <f>+ISNUMBER(SEARCH('F-COMPRA'!#REF!,Tabla11[[#This Row],[Cuenta]],1))</f>
        <v>0</v>
      </c>
      <c r="AE918" t="b">
        <f>+ISNUMBER(SEARCH('F-COMPRA'!#REF!,Tabla11[[#This Row],[Cuenta]],1))</f>
        <v>0</v>
      </c>
      <c r="AF918" t="b">
        <f>+ISNUMBER(SEARCH('F-VTA'!$G$23,Tabla11[[#This Row],[Cuenta]],1))</f>
        <v>0</v>
      </c>
      <c r="AG918" t="b">
        <f>+ISNUMBER(SEARCH('F-VTA'!$G$24,Tabla11[[#This Row],[Cuenta]],1))</f>
        <v>0</v>
      </c>
      <c r="AH918" t="b">
        <f>+ISNUMBER(SEARCH('F-VTA'!$G$25,Tabla11[[#This Row],[Cuenta]],1))</f>
        <v>0</v>
      </c>
      <c r="AI918" t="b">
        <f>+ISNUMBER(SEARCH('F-VTA'!$F$28,Tabla11[[#This Row],[Cuenta]],1))</f>
        <v>1</v>
      </c>
      <c r="AJ918" t="b">
        <f>+ISNUMBER(SEARCH('F-VTA'!$F$29,Tabla11[[#This Row],[Cuenta]],1))</f>
        <v>1</v>
      </c>
      <c r="AK918" t="b">
        <f>+ISNUMBER(SEARCH('F-VTA'!$F$30,Tabla11[[#This Row],[Cuenta]],1))</f>
        <v>1</v>
      </c>
      <c r="AL918" t="b">
        <f>+ISNUMBER(SEARCH('F-VTA'!$F$31,Tabla11[[#This Row],[Cuenta]],1))</f>
        <v>1</v>
      </c>
      <c r="AM918" t="b">
        <f>+ISNUMBER(SEARCH('F-VTA'!$F$32,Tabla11[[#This Row],[Cuenta]],1))</f>
        <v>1</v>
      </c>
      <c r="AN918" t="b">
        <f>+ISNUMBER(SEARCH('F-VTA'!$F$33,Tabla11[[#This Row],[Cuenta]],1))</f>
        <v>1</v>
      </c>
      <c r="AO918" t="b">
        <f>+ISNUMBER(SEARCH('F-VTA'!$F$34,Tabla11[[#This Row],[Cuenta]],1))</f>
        <v>1</v>
      </c>
      <c r="AP918" t="b">
        <f>+ISNUMBER(SEARCH('F-VTA'!$F$35,Tabla11[[#This Row],[Cuenta]],1))</f>
        <v>1</v>
      </c>
      <c r="AQ918" t="b">
        <f>+ISNUMBER(SEARCH('F-VTA'!$F$36,Tabla11[[#This Row],[Cuenta]],1))</f>
        <v>1</v>
      </c>
      <c r="AR918" t="b">
        <f>+ISNUMBER(SEARCH(#REF!,Tabla11[[#This Row],[Cuenta]],1))</f>
        <v>0</v>
      </c>
      <c r="AS918" t="b">
        <f>+ISNUMBER(SEARCH(#REF!,Tabla11[[#This Row],[Cuenta]],1))</f>
        <v>0</v>
      </c>
      <c r="AT918" t="b">
        <f>+ISNUMBER(SEARCH(#REF!,Tabla11[[#This Row],[Cuenta]],1))</f>
        <v>0</v>
      </c>
      <c r="AU918" t="b">
        <f>+ISNUMBER(SEARCH('Conc. Ban.1'!$I$9,Tabla11[[#This Row],[Cuenta]],1))</f>
        <v>0</v>
      </c>
      <c r="AV918" t="b">
        <f>+ISNUMBER(SEARCH(CompConta!$F$21,Tabla11[[#This Row],[Cuenta]],1))</f>
        <v>1</v>
      </c>
      <c r="AW918" t="b">
        <f>+ISNUMBER(SEARCH(CompConta!$F$22,Tabla11[[#This Row],[Cuenta]],1))</f>
        <v>1</v>
      </c>
      <c r="AX918" t="b">
        <f>+ISNUMBER(SEARCH(CompConta!$F$23,Tabla11[[#This Row],[Cuenta]],1))</f>
        <v>1</v>
      </c>
      <c r="AY918" t="b">
        <f>+ISNUMBER(SEARCH(CompConta!$F$24,Tabla11[[#This Row],[Cuenta]],1))</f>
        <v>1</v>
      </c>
      <c r="AZ918" t="b">
        <f>+ISNUMBER(SEARCH(CompConta!$F$25,Tabla11[[#This Row],[Cuenta]],1))</f>
        <v>1</v>
      </c>
      <c r="BA918" t="b">
        <f>+ISNUMBER(SEARCH(CompConta!$F$26,Tabla11[[#This Row],[Cuenta]],1))</f>
        <v>1</v>
      </c>
      <c r="BB918" t="b">
        <f>+ISNUMBER(SEARCH(CompConta!$F$27,Tabla11[[#This Row],[Cuenta]],1))</f>
        <v>1</v>
      </c>
      <c r="BC918" t="b">
        <f>+ISNUMBER(SEARCH(CompConta!$F$28,Tabla11[[#This Row],[Cuenta]],1))</f>
        <v>1</v>
      </c>
      <c r="BD918" t="b">
        <f>+ISNUMBER(SEARCH(CompConta!$F$29,Tabla11[[#This Row],[Cuenta]],1))</f>
        <v>1</v>
      </c>
      <c r="BE918" t="b">
        <f>+ISNUMBER(SEARCH(CompConta!$F$30,Tabla11[[#This Row],[Cuenta]],1))</f>
        <v>1</v>
      </c>
      <c r="BF918" t="b">
        <f>+ISNUMBER(SEARCH('PAGO Compras'!$E$11,Tabla11[[#This Row],[Cuenta]],1))</f>
        <v>1</v>
      </c>
      <c r="BG918" t="b">
        <f>+ISNUMBER(SEARCH(#REF!,Tabla11[[#This Row],[Cuenta]],1))</f>
        <v>0</v>
      </c>
      <c r="BH918" t="b">
        <f>+ISNUMBER(SEARCH(#REF!,Tabla11[[#This Row],[Cuenta]],1))</f>
        <v>0</v>
      </c>
      <c r="BI918" t="b">
        <f>+ISNUMBER(SEARCH(#REF!,Tabla11[[#This Row],[Cuenta]],1))</f>
        <v>0</v>
      </c>
      <c r="BJ918" t="b">
        <f>+ISNUMBER(SEARCH(#REF!,Tabla11[[#This Row],[Cuenta]],1))</f>
        <v>0</v>
      </c>
      <c r="BS918" t="str">
        <v>516515 Cargos diferidos</v>
      </c>
      <c r="BT918" t="str">
        <v>516515 Cargos diferidos</v>
      </c>
      <c r="BU918" t="str">
        <v>516515 Cargos diferidos</v>
      </c>
      <c r="BV918" t="str">
        <v>516515 Cargos diferidos</v>
      </c>
      <c r="BZ918" t="str">
        <v>516515 Cargos diferidos</v>
      </c>
      <c r="CA918" t="str">
        <v>516515 Cargos diferidos</v>
      </c>
      <c r="CB918" t="str">
        <v>516515 Cargos diferidos</v>
      </c>
      <c r="CC918" t="str">
        <v>516515 Cargos diferidos</v>
      </c>
      <c r="CD918" t="str">
        <v>516515 Cargos diferidos</v>
      </c>
      <c r="CE918" t="str">
        <v>516515 Cargos diferidos</v>
      </c>
      <c r="CS918" s="141" t="str">
        <v>516515 Cargos diferidos</v>
      </c>
      <c r="CT918" s="141" t="str">
        <v>516515 Cargos diferidos</v>
      </c>
      <c r="CU918" s="141" t="str">
        <v>516515 Cargos diferidos</v>
      </c>
      <c r="CV918" s="141" t="str">
        <v>516515 Cargos diferidos</v>
      </c>
      <c r="CW918" s="141" t="str">
        <v>516515 Cargos diferidos</v>
      </c>
      <c r="CX918" s="141" t="str">
        <v>516515 Cargos diferidos</v>
      </c>
      <c r="CY918" s="141" t="str">
        <v>516515 Cargos diferidos</v>
      </c>
      <c r="CZ918" s="141" t="str">
        <v>516515 Cargos diferidos</v>
      </c>
      <c r="DA918" s="141" t="str">
        <v>516515 Cargos diferidos</v>
      </c>
      <c r="DF918" t="str">
        <v>516515 Cargos diferidos</v>
      </c>
      <c r="DG918" t="str">
        <v>516515 Cargos diferidos</v>
      </c>
      <c r="DH918" t="str">
        <v>516515 Cargos diferidos</v>
      </c>
      <c r="DI918" t="str">
        <v>516515 Cargos diferidos</v>
      </c>
      <c r="DJ918" t="str">
        <v>516515 Cargos diferidos</v>
      </c>
      <c r="DK918" t="str">
        <v>516515 Cargos diferidos</v>
      </c>
      <c r="DL918" t="str">
        <v>516515 Cargos diferidos</v>
      </c>
      <c r="DM918" t="str">
        <v>516515 Cargos diferidos</v>
      </c>
      <c r="DN918" t="str">
        <v>516515 Cargos diferidos</v>
      </c>
      <c r="DO918" t="str">
        <v>516515 Cargos diferidos</v>
      </c>
      <c r="DP918" t="str">
        <v>516515 Cargos diferidos</v>
      </c>
    </row>
    <row r="919" spans="4:120" ht="12.75">
      <c r="D919" s="7">
        <v>516595</v>
      </c>
      <c r="E919" s="6" t="s">
        <v>46</v>
      </c>
      <c r="F919" s="5">
        <v>4</v>
      </c>
      <c r="G919" s="34" t="s">
        <v>830</v>
      </c>
      <c r="H919" s="8" t="s">
        <v>32</v>
      </c>
      <c r="I919" t="b">
        <f>+ISNUMBER(SEARCH('F-COMPRA'!$F$28,Tabla11[[#This Row],[Cuenta]],1))</f>
        <v>1</v>
      </c>
      <c r="J919" t="b">
        <f>+ISNUMBER(SEARCH('F-COMPRA'!$F$29,Tabla11[[#This Row],[Cuenta]],1))</f>
        <v>1</v>
      </c>
      <c r="K919" t="b">
        <f>+ISNUMBER(SEARCH('F-COMPRA'!$F$30,Tabla11[[#This Row],[Cuenta]],1))</f>
        <v>1</v>
      </c>
      <c r="L919" t="b">
        <f>+ISNUMBER(SEARCH('F-COMPRA'!$F$31,Tabla11[[#This Row],[Cuenta]],1))</f>
        <v>1</v>
      </c>
      <c r="M919" t="b">
        <f>+ISNUMBER(SEARCH('F-COMPRA'!$G$25,Tabla11[[#This Row],[Cuenta]],1))</f>
        <v>0</v>
      </c>
      <c r="N919" t="b">
        <f>+ISNUMBER(SEARCH(#REF!,Tabla11[[#This Row],[Cuenta]],1))</f>
        <v>0</v>
      </c>
      <c r="O919" t="b">
        <f>+ISNUMBER(SEARCH(#REF!,Tabla11[[#This Row],[Cuenta]],1))</f>
        <v>0</v>
      </c>
      <c r="P919" t="b">
        <f>+ISNUMBER(SEARCH('F-COMPRA'!$F$32,Tabla11[[#This Row],[Cuenta]],1))</f>
        <v>1</v>
      </c>
      <c r="Q919" t="b">
        <f>+ISNUMBER(SEARCH('F-COMPRA'!$F$33,Tabla11[[#This Row],[Cuenta]],1))</f>
        <v>1</v>
      </c>
      <c r="R919" t="b">
        <f>+ISNUMBER(SEARCH('F-COMPRA'!$F$34,Tabla11[[#This Row],[Cuenta]],1))</f>
        <v>1</v>
      </c>
      <c r="S919" t="b">
        <f>+ISNUMBER(SEARCH('F-COMPRA'!$F$35,Tabla11[[#This Row],[Cuenta]],1))</f>
        <v>1</v>
      </c>
      <c r="T919" t="b">
        <f>+ISNUMBER(SEARCH('F-COMPRA'!$F$36,Tabla11[[#This Row],[Cuenta]],1))</f>
        <v>1</v>
      </c>
      <c r="U919" t="b">
        <f>+ISNUMBER(SEARCH('F-COMPRA'!$F$37,Tabla11[[#This Row],[Cuenta]],1))</f>
        <v>1</v>
      </c>
      <c r="V919" t="b">
        <f>+ISNUMBER(SEARCH(#REF!,Tabla11[[#This Row],[Cuenta]],1))</f>
        <v>0</v>
      </c>
      <c r="W919" t="b">
        <f>+ISNUMBER(SEARCH('F-COMPRA'!#REF!,Tabla11[[#This Row],[Cuenta]],1))</f>
        <v>0</v>
      </c>
      <c r="X919" t="b">
        <f>+ISNUMBER(SEARCH('F-COMPRA'!#REF!,Tabla11[[#This Row],[Cuenta]],1))</f>
        <v>0</v>
      </c>
      <c r="Y919" t="b">
        <f>+ISNUMBER(SEARCH('F-COMPRA'!#REF!,Tabla11[[#This Row],[Cuenta]],1))</f>
        <v>0</v>
      </c>
      <c r="Z919" t="b">
        <f>+ISNUMBER(SEARCH('F-COMPRA'!#REF!,Tabla11[[#This Row],[Cuenta]],1))</f>
        <v>0</v>
      </c>
      <c r="AA919" t="b">
        <f>+ISNUMBER(SEARCH('F-COMPRA'!#REF!,Tabla11[[#This Row],[Cuenta]],1))</f>
        <v>0</v>
      </c>
      <c r="AB919" t="b">
        <f>+ISNUMBER(SEARCH('F-COMPRA'!#REF!,Tabla11[[#This Row],[Cuenta]],1))</f>
        <v>0</v>
      </c>
      <c r="AC919" t="b">
        <f>+ISNUMBER(SEARCH('F-COMPRA'!#REF!,Tabla11[[#This Row],[Cuenta]],1))</f>
        <v>0</v>
      </c>
      <c r="AD919" t="b">
        <f>+ISNUMBER(SEARCH('F-COMPRA'!#REF!,Tabla11[[#This Row],[Cuenta]],1))</f>
        <v>0</v>
      </c>
      <c r="AE919" t="b">
        <f>+ISNUMBER(SEARCH('F-COMPRA'!#REF!,Tabla11[[#This Row],[Cuenta]],1))</f>
        <v>0</v>
      </c>
      <c r="AF919" t="b">
        <f>+ISNUMBER(SEARCH('F-VTA'!$G$23,Tabla11[[#This Row],[Cuenta]],1))</f>
        <v>0</v>
      </c>
      <c r="AG919" t="b">
        <f>+ISNUMBER(SEARCH('F-VTA'!$G$24,Tabla11[[#This Row],[Cuenta]],1))</f>
        <v>0</v>
      </c>
      <c r="AH919" t="b">
        <f>+ISNUMBER(SEARCH('F-VTA'!$G$25,Tabla11[[#This Row],[Cuenta]],1))</f>
        <v>0</v>
      </c>
      <c r="AI919" t="b">
        <f>+ISNUMBER(SEARCH('F-VTA'!$F$28,Tabla11[[#This Row],[Cuenta]],1))</f>
        <v>1</v>
      </c>
      <c r="AJ919" t="b">
        <f>+ISNUMBER(SEARCH('F-VTA'!$F$29,Tabla11[[#This Row],[Cuenta]],1))</f>
        <v>1</v>
      </c>
      <c r="AK919" t="b">
        <f>+ISNUMBER(SEARCH('F-VTA'!$F$30,Tabla11[[#This Row],[Cuenta]],1))</f>
        <v>1</v>
      </c>
      <c r="AL919" t="b">
        <f>+ISNUMBER(SEARCH('F-VTA'!$F$31,Tabla11[[#This Row],[Cuenta]],1))</f>
        <v>1</v>
      </c>
      <c r="AM919" t="b">
        <f>+ISNUMBER(SEARCH('F-VTA'!$F$32,Tabla11[[#This Row],[Cuenta]],1))</f>
        <v>1</v>
      </c>
      <c r="AN919" t="b">
        <f>+ISNUMBER(SEARCH('F-VTA'!$F$33,Tabla11[[#This Row],[Cuenta]],1))</f>
        <v>1</v>
      </c>
      <c r="AO919" t="b">
        <f>+ISNUMBER(SEARCH('F-VTA'!$F$34,Tabla11[[#This Row],[Cuenta]],1))</f>
        <v>1</v>
      </c>
      <c r="AP919" t="b">
        <f>+ISNUMBER(SEARCH('F-VTA'!$F$35,Tabla11[[#This Row],[Cuenta]],1))</f>
        <v>1</v>
      </c>
      <c r="AQ919" t="b">
        <f>+ISNUMBER(SEARCH('F-VTA'!$F$36,Tabla11[[#This Row],[Cuenta]],1))</f>
        <v>1</v>
      </c>
      <c r="AR919" t="b">
        <f>+ISNUMBER(SEARCH(#REF!,Tabla11[[#This Row],[Cuenta]],1))</f>
        <v>0</v>
      </c>
      <c r="AS919" t="b">
        <f>+ISNUMBER(SEARCH(#REF!,Tabla11[[#This Row],[Cuenta]],1))</f>
        <v>0</v>
      </c>
      <c r="AT919" t="b">
        <f>+ISNUMBER(SEARCH(#REF!,Tabla11[[#This Row],[Cuenta]],1))</f>
        <v>0</v>
      </c>
      <c r="AU919" t="b">
        <f>+ISNUMBER(SEARCH('Conc. Ban.1'!$I$9,Tabla11[[#This Row],[Cuenta]],1))</f>
        <v>0</v>
      </c>
      <c r="AV919" t="b">
        <f>+ISNUMBER(SEARCH(CompConta!$F$21,Tabla11[[#This Row],[Cuenta]],1))</f>
        <v>1</v>
      </c>
      <c r="AW919" t="b">
        <f>+ISNUMBER(SEARCH(CompConta!$F$22,Tabla11[[#This Row],[Cuenta]],1))</f>
        <v>1</v>
      </c>
      <c r="AX919" t="b">
        <f>+ISNUMBER(SEARCH(CompConta!$F$23,Tabla11[[#This Row],[Cuenta]],1))</f>
        <v>1</v>
      </c>
      <c r="AY919" t="b">
        <f>+ISNUMBER(SEARCH(CompConta!$F$24,Tabla11[[#This Row],[Cuenta]],1))</f>
        <v>1</v>
      </c>
      <c r="AZ919" t="b">
        <f>+ISNUMBER(SEARCH(CompConta!$F$25,Tabla11[[#This Row],[Cuenta]],1))</f>
        <v>1</v>
      </c>
      <c r="BA919" t="b">
        <f>+ISNUMBER(SEARCH(CompConta!$F$26,Tabla11[[#This Row],[Cuenta]],1))</f>
        <v>1</v>
      </c>
      <c r="BB919" t="b">
        <f>+ISNUMBER(SEARCH(CompConta!$F$27,Tabla11[[#This Row],[Cuenta]],1))</f>
        <v>1</v>
      </c>
      <c r="BC919" t="b">
        <f>+ISNUMBER(SEARCH(CompConta!$F$28,Tabla11[[#This Row],[Cuenta]],1))</f>
        <v>1</v>
      </c>
      <c r="BD919" t="b">
        <f>+ISNUMBER(SEARCH(CompConta!$F$29,Tabla11[[#This Row],[Cuenta]],1))</f>
        <v>1</v>
      </c>
      <c r="BE919" t="b">
        <f>+ISNUMBER(SEARCH(CompConta!$F$30,Tabla11[[#This Row],[Cuenta]],1))</f>
        <v>1</v>
      </c>
      <c r="BF919" t="b">
        <f>+ISNUMBER(SEARCH('PAGO Compras'!$E$11,Tabla11[[#This Row],[Cuenta]],1))</f>
        <v>1</v>
      </c>
      <c r="BG919" t="b">
        <f>+ISNUMBER(SEARCH(#REF!,Tabla11[[#This Row],[Cuenta]],1))</f>
        <v>0</v>
      </c>
      <c r="BH919" t="b">
        <f>+ISNUMBER(SEARCH(#REF!,Tabla11[[#This Row],[Cuenta]],1))</f>
        <v>0</v>
      </c>
      <c r="BI919" t="b">
        <f>+ISNUMBER(SEARCH(#REF!,Tabla11[[#This Row],[Cuenta]],1))</f>
        <v>0</v>
      </c>
      <c r="BJ919" t="b">
        <f>+ISNUMBER(SEARCH(#REF!,Tabla11[[#This Row],[Cuenta]],1))</f>
        <v>0</v>
      </c>
      <c r="BS919" t="str">
        <v>516595 Otras</v>
      </c>
      <c r="BT919" t="str">
        <v>516595 Otras</v>
      </c>
      <c r="BU919" t="str">
        <v>516595 Otras</v>
      </c>
      <c r="BV919" t="str">
        <v>516595 Otras</v>
      </c>
      <c r="BZ919" t="str">
        <v>516595 Otras</v>
      </c>
      <c r="CA919" t="str">
        <v>516595 Otras</v>
      </c>
      <c r="CB919" t="str">
        <v>516595 Otras</v>
      </c>
      <c r="CC919" t="str">
        <v>516595 Otras</v>
      </c>
      <c r="CD919" t="str">
        <v>516595 Otras</v>
      </c>
      <c r="CE919" t="str">
        <v>516595 Otras</v>
      </c>
      <c r="CS919" s="141" t="str">
        <v>516595 Otras</v>
      </c>
      <c r="CT919" s="141" t="str">
        <v>516595 Otras</v>
      </c>
      <c r="CU919" s="141" t="str">
        <v>516595 Otras</v>
      </c>
      <c r="CV919" s="141" t="str">
        <v>516595 Otras</v>
      </c>
      <c r="CW919" s="141" t="str">
        <v>516595 Otras</v>
      </c>
      <c r="CX919" s="141" t="str">
        <v>516595 Otras</v>
      </c>
      <c r="CY919" s="141" t="str">
        <v>516595 Otras</v>
      </c>
      <c r="CZ919" s="141" t="str">
        <v>516595 Otras</v>
      </c>
      <c r="DA919" s="141" t="str">
        <v>516595 Otras</v>
      </c>
      <c r="DF919" t="str">
        <v>516595 Otras</v>
      </c>
      <c r="DG919" t="str">
        <v>516595 Otras</v>
      </c>
      <c r="DH919" t="str">
        <v>516595 Otras</v>
      </c>
      <c r="DI919" t="str">
        <v>516595 Otras</v>
      </c>
      <c r="DJ919" t="str">
        <v>516595 Otras</v>
      </c>
      <c r="DK919" t="str">
        <v>516595 Otras</v>
      </c>
      <c r="DL919" t="str">
        <v>516595 Otras</v>
      </c>
      <c r="DM919" t="str">
        <v>516595 Otras</v>
      </c>
      <c r="DN919" t="str">
        <v>516595 Otras</v>
      </c>
      <c r="DO919" t="str">
        <v>516595 Otras</v>
      </c>
      <c r="DP919" t="str">
        <v>516595 Otras</v>
      </c>
    </row>
    <row r="920" spans="4:120" ht="12.75">
      <c r="D920" s="7">
        <v>516599</v>
      </c>
      <c r="E920" s="6" t="s">
        <v>93</v>
      </c>
      <c r="F920" s="5">
        <v>4</v>
      </c>
      <c r="G920" s="34" t="s">
        <v>830</v>
      </c>
      <c r="H920" s="8" t="s">
        <v>32</v>
      </c>
      <c r="I920" t="b">
        <f>+ISNUMBER(SEARCH('F-COMPRA'!$F$28,Tabla11[[#This Row],[Cuenta]],1))</f>
        <v>1</v>
      </c>
      <c r="J920" t="b">
        <f>+ISNUMBER(SEARCH('F-COMPRA'!$F$29,Tabla11[[#This Row],[Cuenta]],1))</f>
        <v>1</v>
      </c>
      <c r="K920" t="b">
        <f>+ISNUMBER(SEARCH('F-COMPRA'!$F$30,Tabla11[[#This Row],[Cuenta]],1))</f>
        <v>1</v>
      </c>
      <c r="L920" t="b">
        <f>+ISNUMBER(SEARCH('F-COMPRA'!$F$31,Tabla11[[#This Row],[Cuenta]],1))</f>
        <v>1</v>
      </c>
      <c r="M920" t="b">
        <f>+ISNUMBER(SEARCH('F-COMPRA'!$G$25,Tabla11[[#This Row],[Cuenta]],1))</f>
        <v>0</v>
      </c>
      <c r="N920" t="b">
        <f>+ISNUMBER(SEARCH(#REF!,Tabla11[[#This Row],[Cuenta]],1))</f>
        <v>0</v>
      </c>
      <c r="O920" t="b">
        <f>+ISNUMBER(SEARCH(#REF!,Tabla11[[#This Row],[Cuenta]],1))</f>
        <v>0</v>
      </c>
      <c r="P920" t="b">
        <f>+ISNUMBER(SEARCH('F-COMPRA'!$F$32,Tabla11[[#This Row],[Cuenta]],1))</f>
        <v>1</v>
      </c>
      <c r="Q920" t="b">
        <f>+ISNUMBER(SEARCH('F-COMPRA'!$F$33,Tabla11[[#This Row],[Cuenta]],1))</f>
        <v>1</v>
      </c>
      <c r="R920" t="b">
        <f>+ISNUMBER(SEARCH('F-COMPRA'!$F$34,Tabla11[[#This Row],[Cuenta]],1))</f>
        <v>1</v>
      </c>
      <c r="S920" t="b">
        <f>+ISNUMBER(SEARCH('F-COMPRA'!$F$35,Tabla11[[#This Row],[Cuenta]],1))</f>
        <v>1</v>
      </c>
      <c r="T920" t="b">
        <f>+ISNUMBER(SEARCH('F-COMPRA'!$F$36,Tabla11[[#This Row],[Cuenta]],1))</f>
        <v>1</v>
      </c>
      <c r="U920" t="b">
        <f>+ISNUMBER(SEARCH('F-COMPRA'!$F$37,Tabla11[[#This Row],[Cuenta]],1))</f>
        <v>1</v>
      </c>
      <c r="V920" t="b">
        <f>+ISNUMBER(SEARCH(#REF!,Tabla11[[#This Row],[Cuenta]],1))</f>
        <v>0</v>
      </c>
      <c r="W920" t="b">
        <f>+ISNUMBER(SEARCH('F-COMPRA'!#REF!,Tabla11[[#This Row],[Cuenta]],1))</f>
        <v>0</v>
      </c>
      <c r="X920" t="b">
        <f>+ISNUMBER(SEARCH('F-COMPRA'!#REF!,Tabla11[[#This Row],[Cuenta]],1))</f>
        <v>0</v>
      </c>
      <c r="Y920" t="b">
        <f>+ISNUMBER(SEARCH('F-COMPRA'!#REF!,Tabla11[[#This Row],[Cuenta]],1))</f>
        <v>0</v>
      </c>
      <c r="Z920" t="b">
        <f>+ISNUMBER(SEARCH('F-COMPRA'!#REF!,Tabla11[[#This Row],[Cuenta]],1))</f>
        <v>0</v>
      </c>
      <c r="AA920" t="b">
        <f>+ISNUMBER(SEARCH('F-COMPRA'!#REF!,Tabla11[[#This Row],[Cuenta]],1))</f>
        <v>0</v>
      </c>
      <c r="AB920" t="b">
        <f>+ISNUMBER(SEARCH('F-COMPRA'!#REF!,Tabla11[[#This Row],[Cuenta]],1))</f>
        <v>0</v>
      </c>
      <c r="AC920" t="b">
        <f>+ISNUMBER(SEARCH('F-COMPRA'!#REF!,Tabla11[[#This Row],[Cuenta]],1))</f>
        <v>0</v>
      </c>
      <c r="AD920" t="b">
        <f>+ISNUMBER(SEARCH('F-COMPRA'!#REF!,Tabla11[[#This Row],[Cuenta]],1))</f>
        <v>0</v>
      </c>
      <c r="AE920" t="b">
        <f>+ISNUMBER(SEARCH('F-COMPRA'!#REF!,Tabla11[[#This Row],[Cuenta]],1))</f>
        <v>0</v>
      </c>
      <c r="AF920" t="b">
        <f>+ISNUMBER(SEARCH('F-VTA'!$G$23,Tabla11[[#This Row],[Cuenta]],1))</f>
        <v>0</v>
      </c>
      <c r="AG920" t="b">
        <f>+ISNUMBER(SEARCH('F-VTA'!$G$24,Tabla11[[#This Row],[Cuenta]],1))</f>
        <v>0</v>
      </c>
      <c r="AH920" t="b">
        <f>+ISNUMBER(SEARCH('F-VTA'!$G$25,Tabla11[[#This Row],[Cuenta]],1))</f>
        <v>0</v>
      </c>
      <c r="AI920" t="b">
        <f>+ISNUMBER(SEARCH('F-VTA'!$F$28,Tabla11[[#This Row],[Cuenta]],1))</f>
        <v>1</v>
      </c>
      <c r="AJ920" t="b">
        <f>+ISNUMBER(SEARCH('F-VTA'!$F$29,Tabla11[[#This Row],[Cuenta]],1))</f>
        <v>1</v>
      </c>
      <c r="AK920" t="b">
        <f>+ISNUMBER(SEARCH('F-VTA'!$F$30,Tabla11[[#This Row],[Cuenta]],1))</f>
        <v>1</v>
      </c>
      <c r="AL920" t="b">
        <f>+ISNUMBER(SEARCH('F-VTA'!$F$31,Tabla11[[#This Row],[Cuenta]],1))</f>
        <v>1</v>
      </c>
      <c r="AM920" t="b">
        <f>+ISNUMBER(SEARCH('F-VTA'!$F$32,Tabla11[[#This Row],[Cuenta]],1))</f>
        <v>1</v>
      </c>
      <c r="AN920" t="b">
        <f>+ISNUMBER(SEARCH('F-VTA'!$F$33,Tabla11[[#This Row],[Cuenta]],1))</f>
        <v>1</v>
      </c>
      <c r="AO920" t="b">
        <f>+ISNUMBER(SEARCH('F-VTA'!$F$34,Tabla11[[#This Row],[Cuenta]],1))</f>
        <v>1</v>
      </c>
      <c r="AP920" t="b">
        <f>+ISNUMBER(SEARCH('F-VTA'!$F$35,Tabla11[[#This Row],[Cuenta]],1))</f>
        <v>1</v>
      </c>
      <c r="AQ920" t="b">
        <f>+ISNUMBER(SEARCH('F-VTA'!$F$36,Tabla11[[#This Row],[Cuenta]],1))</f>
        <v>1</v>
      </c>
      <c r="AR920" t="b">
        <f>+ISNUMBER(SEARCH(#REF!,Tabla11[[#This Row],[Cuenta]],1))</f>
        <v>0</v>
      </c>
      <c r="AS920" t="b">
        <f>+ISNUMBER(SEARCH(#REF!,Tabla11[[#This Row],[Cuenta]],1))</f>
        <v>0</v>
      </c>
      <c r="AT920" t="b">
        <f>+ISNUMBER(SEARCH(#REF!,Tabla11[[#This Row],[Cuenta]],1))</f>
        <v>0</v>
      </c>
      <c r="AU920" t="b">
        <f>+ISNUMBER(SEARCH('Conc. Ban.1'!$I$9,Tabla11[[#This Row],[Cuenta]],1))</f>
        <v>0</v>
      </c>
      <c r="AV920" t="b">
        <f>+ISNUMBER(SEARCH(CompConta!$F$21,Tabla11[[#This Row],[Cuenta]],1))</f>
        <v>1</v>
      </c>
      <c r="AW920" t="b">
        <f>+ISNUMBER(SEARCH(CompConta!$F$22,Tabla11[[#This Row],[Cuenta]],1))</f>
        <v>1</v>
      </c>
      <c r="AX920" t="b">
        <f>+ISNUMBER(SEARCH(CompConta!$F$23,Tabla11[[#This Row],[Cuenta]],1))</f>
        <v>1</v>
      </c>
      <c r="AY920" t="b">
        <f>+ISNUMBER(SEARCH(CompConta!$F$24,Tabla11[[#This Row],[Cuenta]],1))</f>
        <v>1</v>
      </c>
      <c r="AZ920" t="b">
        <f>+ISNUMBER(SEARCH(CompConta!$F$25,Tabla11[[#This Row],[Cuenta]],1))</f>
        <v>1</v>
      </c>
      <c r="BA920" t="b">
        <f>+ISNUMBER(SEARCH(CompConta!$F$26,Tabla11[[#This Row],[Cuenta]],1))</f>
        <v>1</v>
      </c>
      <c r="BB920" t="b">
        <f>+ISNUMBER(SEARCH(CompConta!$F$27,Tabla11[[#This Row],[Cuenta]],1))</f>
        <v>1</v>
      </c>
      <c r="BC920" t="b">
        <f>+ISNUMBER(SEARCH(CompConta!$F$28,Tabla11[[#This Row],[Cuenta]],1))</f>
        <v>1</v>
      </c>
      <c r="BD920" t="b">
        <f>+ISNUMBER(SEARCH(CompConta!$F$29,Tabla11[[#This Row],[Cuenta]],1))</f>
        <v>1</v>
      </c>
      <c r="BE920" t="b">
        <f>+ISNUMBER(SEARCH(CompConta!$F$30,Tabla11[[#This Row],[Cuenta]],1))</f>
        <v>1</v>
      </c>
      <c r="BF920" t="b">
        <f>+ISNUMBER(SEARCH('PAGO Compras'!$E$11,Tabla11[[#This Row],[Cuenta]],1))</f>
        <v>1</v>
      </c>
      <c r="BG920" t="b">
        <f>+ISNUMBER(SEARCH(#REF!,Tabla11[[#This Row],[Cuenta]],1))</f>
        <v>0</v>
      </c>
      <c r="BH920" t="b">
        <f>+ISNUMBER(SEARCH(#REF!,Tabla11[[#This Row],[Cuenta]],1))</f>
        <v>0</v>
      </c>
      <c r="BI920" t="b">
        <f>+ISNUMBER(SEARCH(#REF!,Tabla11[[#This Row],[Cuenta]],1))</f>
        <v>0</v>
      </c>
      <c r="BJ920" t="b">
        <f>+ISNUMBER(SEARCH(#REF!,Tabla11[[#This Row],[Cuenta]],1))</f>
        <v>0</v>
      </c>
      <c r="BS920" t="str">
        <v>516599 *Ajustes por inflación</v>
      </c>
      <c r="BT920" t="str">
        <v>516599 *Ajustes por inflación</v>
      </c>
      <c r="BU920" t="str">
        <v>516599 *Ajustes por inflación</v>
      </c>
      <c r="BV920" t="str">
        <v>516599 *Ajustes por inflación</v>
      </c>
      <c r="BZ920" t="str">
        <v>516599 *Ajustes por inflación</v>
      </c>
      <c r="CA920" t="str">
        <v>516599 *Ajustes por inflación</v>
      </c>
      <c r="CB920" t="str">
        <v>516599 *Ajustes por inflación</v>
      </c>
      <c r="CC920" t="str">
        <v>516599 *Ajustes por inflación</v>
      </c>
      <c r="CD920" t="str">
        <v>516599 *Ajustes por inflación</v>
      </c>
      <c r="CE920" t="str">
        <v>516599 *Ajustes por inflación</v>
      </c>
      <c r="CS920" s="141" t="str">
        <v>516599 *Ajustes por inflación</v>
      </c>
      <c r="CT920" s="141" t="str">
        <v>516599 *Ajustes por inflación</v>
      </c>
      <c r="CU920" s="141" t="str">
        <v>516599 *Ajustes por inflación</v>
      </c>
      <c r="CV920" s="141" t="str">
        <v>516599 *Ajustes por inflación</v>
      </c>
      <c r="CW920" s="141" t="str">
        <v>516599 *Ajustes por inflación</v>
      </c>
      <c r="CX920" s="141" t="str">
        <v>516599 *Ajustes por inflación</v>
      </c>
      <c r="CY920" s="141" t="str">
        <v>516599 *Ajustes por inflación</v>
      </c>
      <c r="CZ920" s="141" t="str">
        <v>516599 *Ajustes por inflación</v>
      </c>
      <c r="DA920" s="141" t="str">
        <v>516599 *Ajustes por inflación</v>
      </c>
      <c r="DF920" t="str">
        <v>516599 *Ajustes por inflación</v>
      </c>
      <c r="DG920" t="str">
        <v>516599 *Ajustes por inflación</v>
      </c>
      <c r="DH920" t="str">
        <v>516599 *Ajustes por inflación</v>
      </c>
      <c r="DI920" t="str">
        <v>516599 *Ajustes por inflación</v>
      </c>
      <c r="DJ920" t="str">
        <v>516599 *Ajustes por inflación</v>
      </c>
      <c r="DK920" t="str">
        <v>516599 *Ajustes por inflación</v>
      </c>
      <c r="DL920" t="str">
        <v>516599 *Ajustes por inflación</v>
      </c>
      <c r="DM920" t="str">
        <v>516599 *Ajustes por inflación</v>
      </c>
      <c r="DN920" t="str">
        <v>516599 *Ajustes por inflación</v>
      </c>
      <c r="DO920" t="str">
        <v>516599 *Ajustes por inflación</v>
      </c>
      <c r="DP920" t="str">
        <v>516599 *Ajustes por inflación</v>
      </c>
    </row>
    <row r="921" spans="4:120" ht="12.75">
      <c r="D921" s="7">
        <v>5195</v>
      </c>
      <c r="E921" s="6" t="s">
        <v>282</v>
      </c>
      <c r="F921" s="5">
        <v>3</v>
      </c>
      <c r="G921" s="34" t="s">
        <v>830</v>
      </c>
      <c r="H921" s="8" t="s">
        <v>32</v>
      </c>
      <c r="I921" t="b">
        <f>+ISNUMBER(SEARCH('F-COMPRA'!$F$28,Tabla11[[#This Row],[Cuenta]],1))</f>
        <v>1</v>
      </c>
      <c r="J921" t="b">
        <f>+ISNUMBER(SEARCH('F-COMPRA'!$F$29,Tabla11[[#This Row],[Cuenta]],1))</f>
        <v>1</v>
      </c>
      <c r="K921" t="b">
        <f>+ISNUMBER(SEARCH('F-COMPRA'!$F$30,Tabla11[[#This Row],[Cuenta]],1))</f>
        <v>1</v>
      </c>
      <c r="L921" t="b">
        <f>+ISNUMBER(SEARCH('F-COMPRA'!$F$31,Tabla11[[#This Row],[Cuenta]],1))</f>
        <v>1</v>
      </c>
      <c r="M921" t="b">
        <f>+ISNUMBER(SEARCH('F-COMPRA'!$G$25,Tabla11[[#This Row],[Cuenta]],1))</f>
        <v>0</v>
      </c>
      <c r="N921" t="b">
        <f>+ISNUMBER(SEARCH(#REF!,Tabla11[[#This Row],[Cuenta]],1))</f>
        <v>0</v>
      </c>
      <c r="O921" t="b">
        <f>+ISNUMBER(SEARCH(#REF!,Tabla11[[#This Row],[Cuenta]],1))</f>
        <v>0</v>
      </c>
      <c r="P921" t="b">
        <f>+ISNUMBER(SEARCH('F-COMPRA'!$F$32,Tabla11[[#This Row],[Cuenta]],1))</f>
        <v>1</v>
      </c>
      <c r="Q921" t="b">
        <f>+ISNUMBER(SEARCH('F-COMPRA'!$F$33,Tabla11[[#This Row],[Cuenta]],1))</f>
        <v>1</v>
      </c>
      <c r="R921" t="b">
        <f>+ISNUMBER(SEARCH('F-COMPRA'!$F$34,Tabla11[[#This Row],[Cuenta]],1))</f>
        <v>1</v>
      </c>
      <c r="S921" t="b">
        <f>+ISNUMBER(SEARCH('F-COMPRA'!$F$35,Tabla11[[#This Row],[Cuenta]],1))</f>
        <v>1</v>
      </c>
      <c r="T921" t="b">
        <f>+ISNUMBER(SEARCH('F-COMPRA'!$F$36,Tabla11[[#This Row],[Cuenta]],1))</f>
        <v>1</v>
      </c>
      <c r="U921" t="b">
        <f>+ISNUMBER(SEARCH('F-COMPRA'!$F$37,Tabla11[[#This Row],[Cuenta]],1))</f>
        <v>1</v>
      </c>
      <c r="V921" t="b">
        <f>+ISNUMBER(SEARCH(#REF!,Tabla11[[#This Row],[Cuenta]],1))</f>
        <v>0</v>
      </c>
      <c r="W921" t="b">
        <f>+ISNUMBER(SEARCH('F-COMPRA'!#REF!,Tabla11[[#This Row],[Cuenta]],1))</f>
        <v>0</v>
      </c>
      <c r="X921" t="b">
        <f>+ISNUMBER(SEARCH('F-COMPRA'!#REF!,Tabla11[[#This Row],[Cuenta]],1))</f>
        <v>0</v>
      </c>
      <c r="Y921" t="b">
        <f>+ISNUMBER(SEARCH('F-COMPRA'!#REF!,Tabla11[[#This Row],[Cuenta]],1))</f>
        <v>0</v>
      </c>
      <c r="Z921" t="b">
        <f>+ISNUMBER(SEARCH('F-COMPRA'!#REF!,Tabla11[[#This Row],[Cuenta]],1))</f>
        <v>0</v>
      </c>
      <c r="AA921" t="b">
        <f>+ISNUMBER(SEARCH('F-COMPRA'!#REF!,Tabla11[[#This Row],[Cuenta]],1))</f>
        <v>0</v>
      </c>
      <c r="AB921" t="b">
        <f>+ISNUMBER(SEARCH('F-COMPRA'!#REF!,Tabla11[[#This Row],[Cuenta]],1))</f>
        <v>0</v>
      </c>
      <c r="AC921" t="b">
        <f>+ISNUMBER(SEARCH('F-COMPRA'!#REF!,Tabla11[[#This Row],[Cuenta]],1))</f>
        <v>0</v>
      </c>
      <c r="AD921" t="b">
        <f>+ISNUMBER(SEARCH('F-COMPRA'!#REF!,Tabla11[[#This Row],[Cuenta]],1))</f>
        <v>0</v>
      </c>
      <c r="AE921" t="b">
        <f>+ISNUMBER(SEARCH('F-COMPRA'!#REF!,Tabla11[[#This Row],[Cuenta]],1))</f>
        <v>0</v>
      </c>
      <c r="AF921" t="b">
        <f>+ISNUMBER(SEARCH('F-VTA'!$G$23,Tabla11[[#This Row],[Cuenta]],1))</f>
        <v>0</v>
      </c>
      <c r="AG921" t="b">
        <f>+ISNUMBER(SEARCH('F-VTA'!$G$24,Tabla11[[#This Row],[Cuenta]],1))</f>
        <v>0</v>
      </c>
      <c r="AH921" t="b">
        <f>+ISNUMBER(SEARCH('F-VTA'!$G$25,Tabla11[[#This Row],[Cuenta]],1))</f>
        <v>0</v>
      </c>
      <c r="AI921" t="b">
        <f>+ISNUMBER(SEARCH('F-VTA'!$F$28,Tabla11[[#This Row],[Cuenta]],1))</f>
        <v>1</v>
      </c>
      <c r="AJ921" t="b">
        <f>+ISNUMBER(SEARCH('F-VTA'!$F$29,Tabla11[[#This Row],[Cuenta]],1))</f>
        <v>1</v>
      </c>
      <c r="AK921" t="b">
        <f>+ISNUMBER(SEARCH('F-VTA'!$F$30,Tabla11[[#This Row],[Cuenta]],1))</f>
        <v>1</v>
      </c>
      <c r="AL921" t="b">
        <f>+ISNUMBER(SEARCH('F-VTA'!$F$31,Tabla11[[#This Row],[Cuenta]],1))</f>
        <v>1</v>
      </c>
      <c r="AM921" t="b">
        <f>+ISNUMBER(SEARCH('F-VTA'!$F$32,Tabla11[[#This Row],[Cuenta]],1))</f>
        <v>1</v>
      </c>
      <c r="AN921" t="b">
        <f>+ISNUMBER(SEARCH('F-VTA'!$F$33,Tabla11[[#This Row],[Cuenta]],1))</f>
        <v>1</v>
      </c>
      <c r="AO921" t="b">
        <f>+ISNUMBER(SEARCH('F-VTA'!$F$34,Tabla11[[#This Row],[Cuenta]],1))</f>
        <v>1</v>
      </c>
      <c r="AP921" t="b">
        <f>+ISNUMBER(SEARCH('F-VTA'!$F$35,Tabla11[[#This Row],[Cuenta]],1))</f>
        <v>1</v>
      </c>
      <c r="AQ921" t="b">
        <f>+ISNUMBER(SEARCH('F-VTA'!$F$36,Tabla11[[#This Row],[Cuenta]],1))</f>
        <v>1</v>
      </c>
      <c r="AR921" t="b">
        <f>+ISNUMBER(SEARCH(#REF!,Tabla11[[#This Row],[Cuenta]],1))</f>
        <v>0</v>
      </c>
      <c r="AS921" t="b">
        <f>+ISNUMBER(SEARCH(#REF!,Tabla11[[#This Row],[Cuenta]],1))</f>
        <v>0</v>
      </c>
      <c r="AT921" t="b">
        <f>+ISNUMBER(SEARCH(#REF!,Tabla11[[#This Row],[Cuenta]],1))</f>
        <v>0</v>
      </c>
      <c r="AU921" t="b">
        <f>+ISNUMBER(SEARCH('Conc. Ban.1'!$I$9,Tabla11[[#This Row],[Cuenta]],1))</f>
        <v>0</v>
      </c>
      <c r="AV921" t="b">
        <f>+ISNUMBER(SEARCH(CompConta!$F$21,Tabla11[[#This Row],[Cuenta]],1))</f>
        <v>1</v>
      </c>
      <c r="AW921" t="b">
        <f>+ISNUMBER(SEARCH(CompConta!$F$22,Tabla11[[#This Row],[Cuenta]],1))</f>
        <v>1</v>
      </c>
      <c r="AX921" t="b">
        <f>+ISNUMBER(SEARCH(CompConta!$F$23,Tabla11[[#This Row],[Cuenta]],1))</f>
        <v>1</v>
      </c>
      <c r="AY921" t="b">
        <f>+ISNUMBER(SEARCH(CompConta!$F$24,Tabla11[[#This Row],[Cuenta]],1))</f>
        <v>1</v>
      </c>
      <c r="AZ921" t="b">
        <f>+ISNUMBER(SEARCH(CompConta!$F$25,Tabla11[[#This Row],[Cuenta]],1))</f>
        <v>1</v>
      </c>
      <c r="BA921" t="b">
        <f>+ISNUMBER(SEARCH(CompConta!$F$26,Tabla11[[#This Row],[Cuenta]],1))</f>
        <v>1</v>
      </c>
      <c r="BB921" t="b">
        <f>+ISNUMBER(SEARCH(CompConta!$F$27,Tabla11[[#This Row],[Cuenta]],1))</f>
        <v>1</v>
      </c>
      <c r="BC921" t="b">
        <f>+ISNUMBER(SEARCH(CompConta!$F$28,Tabla11[[#This Row],[Cuenta]],1))</f>
        <v>1</v>
      </c>
      <c r="BD921" t="b">
        <f>+ISNUMBER(SEARCH(CompConta!$F$29,Tabla11[[#This Row],[Cuenta]],1))</f>
        <v>1</v>
      </c>
      <c r="BE921" t="b">
        <f>+ISNUMBER(SEARCH(CompConta!$F$30,Tabla11[[#This Row],[Cuenta]],1))</f>
        <v>1</v>
      </c>
      <c r="BF921" t="b">
        <f>+ISNUMBER(SEARCH('PAGO Compras'!$E$11,Tabla11[[#This Row],[Cuenta]],1))</f>
        <v>1</v>
      </c>
      <c r="BG921" t="b">
        <f>+ISNUMBER(SEARCH(#REF!,Tabla11[[#This Row],[Cuenta]],1))</f>
        <v>0</v>
      </c>
      <c r="BH921" t="b">
        <f>+ISNUMBER(SEARCH(#REF!,Tabla11[[#This Row],[Cuenta]],1))</f>
        <v>0</v>
      </c>
      <c r="BI921" t="b">
        <f>+ISNUMBER(SEARCH(#REF!,Tabla11[[#This Row],[Cuenta]],1))</f>
        <v>0</v>
      </c>
      <c r="BJ921" t="b">
        <f>+ISNUMBER(SEARCH(#REF!,Tabla11[[#This Row],[Cuenta]],1))</f>
        <v>0</v>
      </c>
      <c r="BS921" t="str">
        <v>5195 DIVERSOS</v>
      </c>
      <c r="BT921" t="str">
        <v>5195 DIVERSOS</v>
      </c>
      <c r="BU921" t="str">
        <v>5195 DIVERSOS</v>
      </c>
      <c r="BV921" t="str">
        <v>5195 DIVERSOS</v>
      </c>
      <c r="BZ921" t="str">
        <v>5195 DIVERSOS</v>
      </c>
      <c r="CA921" t="str">
        <v>5195 DIVERSOS</v>
      </c>
      <c r="CB921" t="str">
        <v>5195 DIVERSOS</v>
      </c>
      <c r="CC921" t="str">
        <v>5195 DIVERSOS</v>
      </c>
      <c r="CD921" t="str">
        <v>5195 DIVERSOS</v>
      </c>
      <c r="CE921" t="str">
        <v>5195 DIVERSOS</v>
      </c>
      <c r="CS921" s="141" t="str">
        <v>5195 DIVERSOS</v>
      </c>
      <c r="CT921" s="141" t="str">
        <v>5195 DIVERSOS</v>
      </c>
      <c r="CU921" s="141" t="str">
        <v>5195 DIVERSOS</v>
      </c>
      <c r="CV921" s="141" t="str">
        <v>5195 DIVERSOS</v>
      </c>
      <c r="CW921" s="141" t="str">
        <v>5195 DIVERSOS</v>
      </c>
      <c r="CX921" s="141" t="str">
        <v>5195 DIVERSOS</v>
      </c>
      <c r="CY921" s="141" t="str">
        <v>5195 DIVERSOS</v>
      </c>
      <c r="CZ921" s="141" t="str">
        <v>5195 DIVERSOS</v>
      </c>
      <c r="DA921" s="141" t="str">
        <v>5195 DIVERSOS</v>
      </c>
      <c r="DF921" t="str">
        <v>5195 DIVERSOS</v>
      </c>
      <c r="DG921" t="str">
        <v>5195 DIVERSOS</v>
      </c>
      <c r="DH921" t="str">
        <v>5195 DIVERSOS</v>
      </c>
      <c r="DI921" t="str">
        <v>5195 DIVERSOS</v>
      </c>
      <c r="DJ921" t="str">
        <v>5195 DIVERSOS</v>
      </c>
      <c r="DK921" t="str">
        <v>5195 DIVERSOS</v>
      </c>
      <c r="DL921" t="str">
        <v>5195 DIVERSOS</v>
      </c>
      <c r="DM921" t="str">
        <v>5195 DIVERSOS</v>
      </c>
      <c r="DN921" t="str">
        <v>5195 DIVERSOS</v>
      </c>
      <c r="DO921" t="str">
        <v>5195 DIVERSOS</v>
      </c>
      <c r="DP921" t="str">
        <v>5195 DIVERSOS</v>
      </c>
    </row>
    <row r="922" spans="4:120" ht="12.75">
      <c r="D922" s="7">
        <v>519505</v>
      </c>
      <c r="E922" s="6" t="s">
        <v>74</v>
      </c>
      <c r="F922" s="5">
        <v>4</v>
      </c>
      <c r="G922" s="34" t="s">
        <v>830</v>
      </c>
      <c r="H922" s="8" t="s">
        <v>32</v>
      </c>
      <c r="I922" t="b">
        <f>+ISNUMBER(SEARCH('F-COMPRA'!$F$28,Tabla11[[#This Row],[Cuenta]],1))</f>
        <v>1</v>
      </c>
      <c r="J922" t="b">
        <f>+ISNUMBER(SEARCH('F-COMPRA'!$F$29,Tabla11[[#This Row],[Cuenta]],1))</f>
        <v>1</v>
      </c>
      <c r="K922" t="b">
        <f>+ISNUMBER(SEARCH('F-COMPRA'!$F$30,Tabla11[[#This Row],[Cuenta]],1))</f>
        <v>1</v>
      </c>
      <c r="L922" t="b">
        <f>+ISNUMBER(SEARCH('F-COMPRA'!$F$31,Tabla11[[#This Row],[Cuenta]],1))</f>
        <v>1</v>
      </c>
      <c r="M922" t="b">
        <f>+ISNUMBER(SEARCH('F-COMPRA'!$G$25,Tabla11[[#This Row],[Cuenta]],1))</f>
        <v>0</v>
      </c>
      <c r="N922" t="b">
        <f>+ISNUMBER(SEARCH(#REF!,Tabla11[[#This Row],[Cuenta]],1))</f>
        <v>0</v>
      </c>
      <c r="O922" t="b">
        <f>+ISNUMBER(SEARCH(#REF!,Tabla11[[#This Row],[Cuenta]],1))</f>
        <v>0</v>
      </c>
      <c r="P922" t="b">
        <f>+ISNUMBER(SEARCH('F-COMPRA'!$F$32,Tabla11[[#This Row],[Cuenta]],1))</f>
        <v>1</v>
      </c>
      <c r="Q922" t="b">
        <f>+ISNUMBER(SEARCH('F-COMPRA'!$F$33,Tabla11[[#This Row],[Cuenta]],1))</f>
        <v>1</v>
      </c>
      <c r="R922" t="b">
        <f>+ISNUMBER(SEARCH('F-COMPRA'!$F$34,Tabla11[[#This Row],[Cuenta]],1))</f>
        <v>1</v>
      </c>
      <c r="S922" t="b">
        <f>+ISNUMBER(SEARCH('F-COMPRA'!$F$35,Tabla11[[#This Row],[Cuenta]],1))</f>
        <v>1</v>
      </c>
      <c r="T922" t="b">
        <f>+ISNUMBER(SEARCH('F-COMPRA'!$F$36,Tabla11[[#This Row],[Cuenta]],1))</f>
        <v>1</v>
      </c>
      <c r="U922" t="b">
        <f>+ISNUMBER(SEARCH('F-COMPRA'!$F$37,Tabla11[[#This Row],[Cuenta]],1))</f>
        <v>1</v>
      </c>
      <c r="V922" t="b">
        <f>+ISNUMBER(SEARCH(#REF!,Tabla11[[#This Row],[Cuenta]],1))</f>
        <v>0</v>
      </c>
      <c r="W922" t="b">
        <f>+ISNUMBER(SEARCH('F-COMPRA'!#REF!,Tabla11[[#This Row],[Cuenta]],1))</f>
        <v>0</v>
      </c>
      <c r="X922" t="b">
        <f>+ISNUMBER(SEARCH('F-COMPRA'!#REF!,Tabla11[[#This Row],[Cuenta]],1))</f>
        <v>0</v>
      </c>
      <c r="Y922" t="b">
        <f>+ISNUMBER(SEARCH('F-COMPRA'!#REF!,Tabla11[[#This Row],[Cuenta]],1))</f>
        <v>0</v>
      </c>
      <c r="Z922" t="b">
        <f>+ISNUMBER(SEARCH('F-COMPRA'!#REF!,Tabla11[[#This Row],[Cuenta]],1))</f>
        <v>0</v>
      </c>
      <c r="AA922" t="b">
        <f>+ISNUMBER(SEARCH('F-COMPRA'!#REF!,Tabla11[[#This Row],[Cuenta]],1))</f>
        <v>0</v>
      </c>
      <c r="AB922" t="b">
        <f>+ISNUMBER(SEARCH('F-COMPRA'!#REF!,Tabla11[[#This Row],[Cuenta]],1))</f>
        <v>0</v>
      </c>
      <c r="AC922" t="b">
        <f>+ISNUMBER(SEARCH('F-COMPRA'!#REF!,Tabla11[[#This Row],[Cuenta]],1))</f>
        <v>0</v>
      </c>
      <c r="AD922" t="b">
        <f>+ISNUMBER(SEARCH('F-COMPRA'!#REF!,Tabla11[[#This Row],[Cuenta]],1))</f>
        <v>0</v>
      </c>
      <c r="AE922" t="b">
        <f>+ISNUMBER(SEARCH('F-COMPRA'!#REF!,Tabla11[[#This Row],[Cuenta]],1))</f>
        <v>0</v>
      </c>
      <c r="AF922" t="b">
        <f>+ISNUMBER(SEARCH('F-VTA'!$G$23,Tabla11[[#This Row],[Cuenta]],1))</f>
        <v>0</v>
      </c>
      <c r="AG922" t="b">
        <f>+ISNUMBER(SEARCH('F-VTA'!$G$24,Tabla11[[#This Row],[Cuenta]],1))</f>
        <v>0</v>
      </c>
      <c r="AH922" t="b">
        <f>+ISNUMBER(SEARCH('F-VTA'!$G$25,Tabla11[[#This Row],[Cuenta]],1))</f>
        <v>0</v>
      </c>
      <c r="AI922" t="b">
        <f>+ISNUMBER(SEARCH('F-VTA'!$F$28,Tabla11[[#This Row],[Cuenta]],1))</f>
        <v>1</v>
      </c>
      <c r="AJ922" t="b">
        <f>+ISNUMBER(SEARCH('F-VTA'!$F$29,Tabla11[[#This Row],[Cuenta]],1))</f>
        <v>1</v>
      </c>
      <c r="AK922" t="b">
        <f>+ISNUMBER(SEARCH('F-VTA'!$F$30,Tabla11[[#This Row],[Cuenta]],1))</f>
        <v>1</v>
      </c>
      <c r="AL922" t="b">
        <f>+ISNUMBER(SEARCH('F-VTA'!$F$31,Tabla11[[#This Row],[Cuenta]],1))</f>
        <v>1</v>
      </c>
      <c r="AM922" t="b">
        <f>+ISNUMBER(SEARCH('F-VTA'!$F$32,Tabla11[[#This Row],[Cuenta]],1))</f>
        <v>1</v>
      </c>
      <c r="AN922" t="b">
        <f>+ISNUMBER(SEARCH('F-VTA'!$F$33,Tabla11[[#This Row],[Cuenta]],1))</f>
        <v>1</v>
      </c>
      <c r="AO922" t="b">
        <f>+ISNUMBER(SEARCH('F-VTA'!$F$34,Tabla11[[#This Row],[Cuenta]],1))</f>
        <v>1</v>
      </c>
      <c r="AP922" t="b">
        <f>+ISNUMBER(SEARCH('F-VTA'!$F$35,Tabla11[[#This Row],[Cuenta]],1))</f>
        <v>1</v>
      </c>
      <c r="AQ922" t="b">
        <f>+ISNUMBER(SEARCH('F-VTA'!$F$36,Tabla11[[#This Row],[Cuenta]],1))</f>
        <v>1</v>
      </c>
      <c r="AR922" t="b">
        <f>+ISNUMBER(SEARCH(#REF!,Tabla11[[#This Row],[Cuenta]],1))</f>
        <v>0</v>
      </c>
      <c r="AS922" t="b">
        <f>+ISNUMBER(SEARCH(#REF!,Tabla11[[#This Row],[Cuenta]],1))</f>
        <v>0</v>
      </c>
      <c r="AT922" t="b">
        <f>+ISNUMBER(SEARCH(#REF!,Tabla11[[#This Row],[Cuenta]],1))</f>
        <v>0</v>
      </c>
      <c r="AU922" t="b">
        <f>+ISNUMBER(SEARCH('Conc. Ban.1'!$I$9,Tabla11[[#This Row],[Cuenta]],1))</f>
        <v>0</v>
      </c>
      <c r="AV922" t="b">
        <f>+ISNUMBER(SEARCH(CompConta!$F$21,Tabla11[[#This Row],[Cuenta]],1))</f>
        <v>1</v>
      </c>
      <c r="AW922" t="b">
        <f>+ISNUMBER(SEARCH(CompConta!$F$22,Tabla11[[#This Row],[Cuenta]],1))</f>
        <v>1</v>
      </c>
      <c r="AX922" t="b">
        <f>+ISNUMBER(SEARCH(CompConta!$F$23,Tabla11[[#This Row],[Cuenta]],1))</f>
        <v>1</v>
      </c>
      <c r="AY922" t="b">
        <f>+ISNUMBER(SEARCH(CompConta!$F$24,Tabla11[[#This Row],[Cuenta]],1))</f>
        <v>1</v>
      </c>
      <c r="AZ922" t="b">
        <f>+ISNUMBER(SEARCH(CompConta!$F$25,Tabla11[[#This Row],[Cuenta]],1))</f>
        <v>1</v>
      </c>
      <c r="BA922" t="b">
        <f>+ISNUMBER(SEARCH(CompConta!$F$26,Tabla11[[#This Row],[Cuenta]],1))</f>
        <v>1</v>
      </c>
      <c r="BB922" t="b">
        <f>+ISNUMBER(SEARCH(CompConta!$F$27,Tabla11[[#This Row],[Cuenta]],1))</f>
        <v>1</v>
      </c>
      <c r="BC922" t="b">
        <f>+ISNUMBER(SEARCH(CompConta!$F$28,Tabla11[[#This Row],[Cuenta]],1))</f>
        <v>1</v>
      </c>
      <c r="BD922" t="b">
        <f>+ISNUMBER(SEARCH(CompConta!$F$29,Tabla11[[#This Row],[Cuenta]],1))</f>
        <v>1</v>
      </c>
      <c r="BE922" t="b">
        <f>+ISNUMBER(SEARCH(CompConta!$F$30,Tabla11[[#This Row],[Cuenta]],1))</f>
        <v>1</v>
      </c>
      <c r="BF922" t="b">
        <f>+ISNUMBER(SEARCH('PAGO Compras'!$E$11,Tabla11[[#This Row],[Cuenta]],1))</f>
        <v>1</v>
      </c>
      <c r="BG922" t="b">
        <f>+ISNUMBER(SEARCH(#REF!,Tabla11[[#This Row],[Cuenta]],1))</f>
        <v>0</v>
      </c>
      <c r="BH922" t="b">
        <f>+ISNUMBER(SEARCH(#REF!,Tabla11[[#This Row],[Cuenta]],1))</f>
        <v>0</v>
      </c>
      <c r="BI922" t="b">
        <f>+ISNUMBER(SEARCH(#REF!,Tabla11[[#This Row],[Cuenta]],1))</f>
        <v>0</v>
      </c>
      <c r="BJ922" t="b">
        <f>+ISNUMBER(SEARCH(#REF!,Tabla11[[#This Row],[Cuenta]],1))</f>
        <v>0</v>
      </c>
      <c r="BS922" t="str">
        <v>519505 Comisiones</v>
      </c>
      <c r="BT922" t="str">
        <v>519505 Comisiones</v>
      </c>
      <c r="BU922" t="str">
        <v>519505 Comisiones</v>
      </c>
      <c r="BV922" t="str">
        <v>519505 Comisiones</v>
      </c>
      <c r="BZ922" t="str">
        <v>519505 Comisiones</v>
      </c>
      <c r="CA922" t="str">
        <v>519505 Comisiones</v>
      </c>
      <c r="CB922" t="str">
        <v>519505 Comisiones</v>
      </c>
      <c r="CC922" t="str">
        <v>519505 Comisiones</v>
      </c>
      <c r="CD922" t="str">
        <v>519505 Comisiones</v>
      </c>
      <c r="CE922" t="str">
        <v>519505 Comisiones</v>
      </c>
      <c r="CS922" s="141" t="str">
        <v>519505 Comisiones</v>
      </c>
      <c r="CT922" s="141" t="str">
        <v>519505 Comisiones</v>
      </c>
      <c r="CU922" s="141" t="str">
        <v>519505 Comisiones</v>
      </c>
      <c r="CV922" s="141" t="str">
        <v>519505 Comisiones</v>
      </c>
      <c r="CW922" s="141" t="str">
        <v>519505 Comisiones</v>
      </c>
      <c r="CX922" s="141" t="str">
        <v>519505 Comisiones</v>
      </c>
      <c r="CY922" s="141" t="str">
        <v>519505 Comisiones</v>
      </c>
      <c r="CZ922" s="141" t="str">
        <v>519505 Comisiones</v>
      </c>
      <c r="DA922" s="141" t="str">
        <v>519505 Comisiones</v>
      </c>
      <c r="DF922" t="str">
        <v>519505 Comisiones</v>
      </c>
      <c r="DG922" t="str">
        <v>519505 Comisiones</v>
      </c>
      <c r="DH922" t="str">
        <v>519505 Comisiones</v>
      </c>
      <c r="DI922" t="str">
        <v>519505 Comisiones</v>
      </c>
      <c r="DJ922" t="str">
        <v>519505 Comisiones</v>
      </c>
      <c r="DK922" t="str">
        <v>519505 Comisiones</v>
      </c>
      <c r="DL922" t="str">
        <v>519505 Comisiones</v>
      </c>
      <c r="DM922" t="str">
        <v>519505 Comisiones</v>
      </c>
      <c r="DN922" t="str">
        <v>519505 Comisiones</v>
      </c>
      <c r="DO922" t="str">
        <v>519505 Comisiones</v>
      </c>
      <c r="DP922" t="str">
        <v>519505 Comisiones</v>
      </c>
    </row>
    <row r="923" spans="4:120" ht="12.75">
      <c r="D923" s="7">
        <v>519510</v>
      </c>
      <c r="E923" s="6" t="s">
        <v>316</v>
      </c>
      <c r="F923" s="5">
        <v>4</v>
      </c>
      <c r="G923" s="34" t="s">
        <v>830</v>
      </c>
      <c r="H923" s="8" t="s">
        <v>32</v>
      </c>
      <c r="I923" t="b">
        <f>+ISNUMBER(SEARCH('F-COMPRA'!$F$28,Tabla11[[#This Row],[Cuenta]],1))</f>
        <v>1</v>
      </c>
      <c r="J923" t="b">
        <f>+ISNUMBER(SEARCH('F-COMPRA'!$F$29,Tabla11[[#This Row],[Cuenta]],1))</f>
        <v>1</v>
      </c>
      <c r="K923" t="b">
        <f>+ISNUMBER(SEARCH('F-COMPRA'!$F$30,Tabla11[[#This Row],[Cuenta]],1))</f>
        <v>1</v>
      </c>
      <c r="L923" t="b">
        <f>+ISNUMBER(SEARCH('F-COMPRA'!$F$31,Tabla11[[#This Row],[Cuenta]],1))</f>
        <v>1</v>
      </c>
      <c r="M923" t="b">
        <f>+ISNUMBER(SEARCH('F-COMPRA'!$G$25,Tabla11[[#This Row],[Cuenta]],1))</f>
        <v>0</v>
      </c>
      <c r="N923" t="b">
        <f>+ISNUMBER(SEARCH(#REF!,Tabla11[[#This Row],[Cuenta]],1))</f>
        <v>0</v>
      </c>
      <c r="O923" t="b">
        <f>+ISNUMBER(SEARCH(#REF!,Tabla11[[#This Row],[Cuenta]],1))</f>
        <v>0</v>
      </c>
      <c r="P923" t="b">
        <f>+ISNUMBER(SEARCH('F-COMPRA'!$F$32,Tabla11[[#This Row],[Cuenta]],1))</f>
        <v>1</v>
      </c>
      <c r="Q923" t="b">
        <f>+ISNUMBER(SEARCH('F-COMPRA'!$F$33,Tabla11[[#This Row],[Cuenta]],1))</f>
        <v>1</v>
      </c>
      <c r="R923" t="b">
        <f>+ISNUMBER(SEARCH('F-COMPRA'!$F$34,Tabla11[[#This Row],[Cuenta]],1))</f>
        <v>1</v>
      </c>
      <c r="S923" t="b">
        <f>+ISNUMBER(SEARCH('F-COMPRA'!$F$35,Tabla11[[#This Row],[Cuenta]],1))</f>
        <v>1</v>
      </c>
      <c r="T923" t="b">
        <f>+ISNUMBER(SEARCH('F-COMPRA'!$F$36,Tabla11[[#This Row],[Cuenta]],1))</f>
        <v>1</v>
      </c>
      <c r="U923" t="b">
        <f>+ISNUMBER(SEARCH('F-COMPRA'!$F$37,Tabla11[[#This Row],[Cuenta]],1))</f>
        <v>1</v>
      </c>
      <c r="V923" t="b">
        <f>+ISNUMBER(SEARCH(#REF!,Tabla11[[#This Row],[Cuenta]],1))</f>
        <v>0</v>
      </c>
      <c r="W923" t="b">
        <f>+ISNUMBER(SEARCH('F-COMPRA'!#REF!,Tabla11[[#This Row],[Cuenta]],1))</f>
        <v>0</v>
      </c>
      <c r="X923" t="b">
        <f>+ISNUMBER(SEARCH('F-COMPRA'!#REF!,Tabla11[[#This Row],[Cuenta]],1))</f>
        <v>0</v>
      </c>
      <c r="Y923" t="b">
        <f>+ISNUMBER(SEARCH('F-COMPRA'!#REF!,Tabla11[[#This Row],[Cuenta]],1))</f>
        <v>0</v>
      </c>
      <c r="Z923" t="b">
        <f>+ISNUMBER(SEARCH('F-COMPRA'!#REF!,Tabla11[[#This Row],[Cuenta]],1))</f>
        <v>0</v>
      </c>
      <c r="AA923" t="b">
        <f>+ISNUMBER(SEARCH('F-COMPRA'!#REF!,Tabla11[[#This Row],[Cuenta]],1))</f>
        <v>0</v>
      </c>
      <c r="AB923" t="b">
        <f>+ISNUMBER(SEARCH('F-COMPRA'!#REF!,Tabla11[[#This Row],[Cuenta]],1))</f>
        <v>0</v>
      </c>
      <c r="AC923" t="b">
        <f>+ISNUMBER(SEARCH('F-COMPRA'!#REF!,Tabla11[[#This Row],[Cuenta]],1))</f>
        <v>0</v>
      </c>
      <c r="AD923" t="b">
        <f>+ISNUMBER(SEARCH('F-COMPRA'!#REF!,Tabla11[[#This Row],[Cuenta]],1))</f>
        <v>0</v>
      </c>
      <c r="AE923" t="b">
        <f>+ISNUMBER(SEARCH('F-COMPRA'!#REF!,Tabla11[[#This Row],[Cuenta]],1))</f>
        <v>0</v>
      </c>
      <c r="AF923" t="b">
        <f>+ISNUMBER(SEARCH('F-VTA'!$G$23,Tabla11[[#This Row],[Cuenta]],1))</f>
        <v>0</v>
      </c>
      <c r="AG923" t="b">
        <f>+ISNUMBER(SEARCH('F-VTA'!$G$24,Tabla11[[#This Row],[Cuenta]],1))</f>
        <v>0</v>
      </c>
      <c r="AH923" t="b">
        <f>+ISNUMBER(SEARCH('F-VTA'!$G$25,Tabla11[[#This Row],[Cuenta]],1))</f>
        <v>0</v>
      </c>
      <c r="AI923" t="b">
        <f>+ISNUMBER(SEARCH('F-VTA'!$F$28,Tabla11[[#This Row],[Cuenta]],1))</f>
        <v>1</v>
      </c>
      <c r="AJ923" t="b">
        <f>+ISNUMBER(SEARCH('F-VTA'!$F$29,Tabla11[[#This Row],[Cuenta]],1))</f>
        <v>1</v>
      </c>
      <c r="AK923" t="b">
        <f>+ISNUMBER(SEARCH('F-VTA'!$F$30,Tabla11[[#This Row],[Cuenta]],1))</f>
        <v>1</v>
      </c>
      <c r="AL923" t="b">
        <f>+ISNUMBER(SEARCH('F-VTA'!$F$31,Tabla11[[#This Row],[Cuenta]],1))</f>
        <v>1</v>
      </c>
      <c r="AM923" t="b">
        <f>+ISNUMBER(SEARCH('F-VTA'!$F$32,Tabla11[[#This Row],[Cuenta]],1))</f>
        <v>1</v>
      </c>
      <c r="AN923" t="b">
        <f>+ISNUMBER(SEARCH('F-VTA'!$F$33,Tabla11[[#This Row],[Cuenta]],1))</f>
        <v>1</v>
      </c>
      <c r="AO923" t="b">
        <f>+ISNUMBER(SEARCH('F-VTA'!$F$34,Tabla11[[#This Row],[Cuenta]],1))</f>
        <v>1</v>
      </c>
      <c r="AP923" t="b">
        <f>+ISNUMBER(SEARCH('F-VTA'!$F$35,Tabla11[[#This Row],[Cuenta]],1))</f>
        <v>1</v>
      </c>
      <c r="AQ923" t="b">
        <f>+ISNUMBER(SEARCH('F-VTA'!$F$36,Tabla11[[#This Row],[Cuenta]],1))</f>
        <v>1</v>
      </c>
      <c r="AR923" t="b">
        <f>+ISNUMBER(SEARCH(#REF!,Tabla11[[#This Row],[Cuenta]],1))</f>
        <v>0</v>
      </c>
      <c r="AS923" t="b">
        <f>+ISNUMBER(SEARCH(#REF!,Tabla11[[#This Row],[Cuenta]],1))</f>
        <v>0</v>
      </c>
      <c r="AT923" t="b">
        <f>+ISNUMBER(SEARCH(#REF!,Tabla11[[#This Row],[Cuenta]],1))</f>
        <v>0</v>
      </c>
      <c r="AU923" t="b">
        <f>+ISNUMBER(SEARCH('Conc. Ban.1'!$I$9,Tabla11[[#This Row],[Cuenta]],1))</f>
        <v>0</v>
      </c>
      <c r="AV923" t="b">
        <f>+ISNUMBER(SEARCH(CompConta!$F$21,Tabla11[[#This Row],[Cuenta]],1))</f>
        <v>1</v>
      </c>
      <c r="AW923" t="b">
        <f>+ISNUMBER(SEARCH(CompConta!$F$22,Tabla11[[#This Row],[Cuenta]],1))</f>
        <v>1</v>
      </c>
      <c r="AX923" t="b">
        <f>+ISNUMBER(SEARCH(CompConta!$F$23,Tabla11[[#This Row],[Cuenta]],1))</f>
        <v>1</v>
      </c>
      <c r="AY923" t="b">
        <f>+ISNUMBER(SEARCH(CompConta!$F$24,Tabla11[[#This Row],[Cuenta]],1))</f>
        <v>1</v>
      </c>
      <c r="AZ923" t="b">
        <f>+ISNUMBER(SEARCH(CompConta!$F$25,Tabla11[[#This Row],[Cuenta]],1))</f>
        <v>1</v>
      </c>
      <c r="BA923" t="b">
        <f>+ISNUMBER(SEARCH(CompConta!$F$26,Tabla11[[#This Row],[Cuenta]],1))</f>
        <v>1</v>
      </c>
      <c r="BB923" t="b">
        <f>+ISNUMBER(SEARCH(CompConta!$F$27,Tabla11[[#This Row],[Cuenta]],1))</f>
        <v>1</v>
      </c>
      <c r="BC923" t="b">
        <f>+ISNUMBER(SEARCH(CompConta!$F$28,Tabla11[[#This Row],[Cuenta]],1))</f>
        <v>1</v>
      </c>
      <c r="BD923" t="b">
        <f>+ISNUMBER(SEARCH(CompConta!$F$29,Tabla11[[#This Row],[Cuenta]],1))</f>
        <v>1</v>
      </c>
      <c r="BE923" t="b">
        <f>+ISNUMBER(SEARCH(CompConta!$F$30,Tabla11[[#This Row],[Cuenta]],1))</f>
        <v>1</v>
      </c>
      <c r="BF923" t="b">
        <f>+ISNUMBER(SEARCH('PAGO Compras'!$E$11,Tabla11[[#This Row],[Cuenta]],1))</f>
        <v>1</v>
      </c>
      <c r="BG923" t="b">
        <f>+ISNUMBER(SEARCH(#REF!,Tabla11[[#This Row],[Cuenta]],1))</f>
        <v>0</v>
      </c>
      <c r="BH923" t="b">
        <f>+ISNUMBER(SEARCH(#REF!,Tabla11[[#This Row],[Cuenta]],1))</f>
        <v>0</v>
      </c>
      <c r="BI923" t="b">
        <f>+ISNUMBER(SEARCH(#REF!,Tabla11[[#This Row],[Cuenta]],1))</f>
        <v>0</v>
      </c>
      <c r="BJ923" t="b">
        <f>+ISNUMBER(SEARCH(#REF!,Tabla11[[#This Row],[Cuenta]],1))</f>
        <v>0</v>
      </c>
      <c r="BS923" t="str">
        <v>519510 Libros, suscripciones, periódicos y revistas</v>
      </c>
      <c r="BT923" t="str">
        <v>519510 Libros, suscripciones, periódicos y revistas</v>
      </c>
      <c r="BU923" t="str">
        <v>519510 Libros, suscripciones, periódicos y revistas</v>
      </c>
      <c r="BV923" t="str">
        <v>519510 Libros, suscripciones, periódicos y revistas</v>
      </c>
      <c r="BZ923" t="str">
        <v>519510 Libros, suscripciones, periódicos y revistas</v>
      </c>
      <c r="CA923" t="str">
        <v>519510 Libros, suscripciones, periódicos y revistas</v>
      </c>
      <c r="CB923" t="str">
        <v>519510 Libros, suscripciones, periódicos y revistas</v>
      </c>
      <c r="CC923" t="str">
        <v>519510 Libros, suscripciones, periódicos y revistas</v>
      </c>
      <c r="CD923" t="str">
        <v>519510 Libros, suscripciones, periódicos y revistas</v>
      </c>
      <c r="CE923" t="str">
        <v>519510 Libros, suscripciones, periódicos y revistas</v>
      </c>
      <c r="CS923" s="141" t="str">
        <v>519510 Libros, suscripciones, periódicos y revistas</v>
      </c>
      <c r="CT923" s="141" t="str">
        <v>519510 Libros, suscripciones, periódicos y revistas</v>
      </c>
      <c r="CU923" s="141" t="str">
        <v>519510 Libros, suscripciones, periódicos y revistas</v>
      </c>
      <c r="CV923" s="141" t="str">
        <v>519510 Libros, suscripciones, periódicos y revistas</v>
      </c>
      <c r="CW923" s="141" t="str">
        <v>519510 Libros, suscripciones, periódicos y revistas</v>
      </c>
      <c r="CX923" s="141" t="str">
        <v>519510 Libros, suscripciones, periódicos y revistas</v>
      </c>
      <c r="CY923" s="141" t="str">
        <v>519510 Libros, suscripciones, periódicos y revistas</v>
      </c>
      <c r="CZ923" s="141" t="str">
        <v>519510 Libros, suscripciones, periódicos y revistas</v>
      </c>
      <c r="DA923" s="141" t="str">
        <v>519510 Libros, suscripciones, periódicos y revistas</v>
      </c>
      <c r="DF923" t="str">
        <v>519510 Libros, suscripciones, periódicos y revistas</v>
      </c>
      <c r="DG923" t="str">
        <v>519510 Libros, suscripciones, periódicos y revistas</v>
      </c>
      <c r="DH923" t="str">
        <v>519510 Libros, suscripciones, periódicos y revistas</v>
      </c>
      <c r="DI923" t="str">
        <v>519510 Libros, suscripciones, periódicos y revistas</v>
      </c>
      <c r="DJ923" t="str">
        <v>519510 Libros, suscripciones, periódicos y revistas</v>
      </c>
      <c r="DK923" t="str">
        <v>519510 Libros, suscripciones, periódicos y revistas</v>
      </c>
      <c r="DL923" t="str">
        <v>519510 Libros, suscripciones, periódicos y revistas</v>
      </c>
      <c r="DM923" t="str">
        <v>519510 Libros, suscripciones, periódicos y revistas</v>
      </c>
      <c r="DN923" t="str">
        <v>519510 Libros, suscripciones, periódicos y revistas</v>
      </c>
      <c r="DO923" t="str">
        <v>519510 Libros, suscripciones, periódicos y revistas</v>
      </c>
      <c r="DP923" t="str">
        <v>519510 Libros, suscripciones, periódicos y revistas</v>
      </c>
    </row>
    <row r="924" spans="4:120" ht="12.75">
      <c r="D924" s="7">
        <v>519515</v>
      </c>
      <c r="E924" s="6" t="s">
        <v>614</v>
      </c>
      <c r="F924" s="5">
        <v>4</v>
      </c>
      <c r="G924" s="34" t="s">
        <v>830</v>
      </c>
      <c r="H924" s="8" t="s">
        <v>32</v>
      </c>
      <c r="I924" t="b">
        <f>+ISNUMBER(SEARCH('F-COMPRA'!$F$28,Tabla11[[#This Row],[Cuenta]],1))</f>
        <v>1</v>
      </c>
      <c r="J924" t="b">
        <f>+ISNUMBER(SEARCH('F-COMPRA'!$F$29,Tabla11[[#This Row],[Cuenta]],1))</f>
        <v>1</v>
      </c>
      <c r="K924" t="b">
        <f>+ISNUMBER(SEARCH('F-COMPRA'!$F$30,Tabla11[[#This Row],[Cuenta]],1))</f>
        <v>1</v>
      </c>
      <c r="L924" t="b">
        <f>+ISNUMBER(SEARCH('F-COMPRA'!$F$31,Tabla11[[#This Row],[Cuenta]],1))</f>
        <v>1</v>
      </c>
      <c r="M924" t="b">
        <f>+ISNUMBER(SEARCH('F-COMPRA'!$G$25,Tabla11[[#This Row],[Cuenta]],1))</f>
        <v>0</v>
      </c>
      <c r="N924" t="b">
        <f>+ISNUMBER(SEARCH(#REF!,Tabla11[[#This Row],[Cuenta]],1))</f>
        <v>0</v>
      </c>
      <c r="O924" t="b">
        <f>+ISNUMBER(SEARCH(#REF!,Tabla11[[#This Row],[Cuenta]],1))</f>
        <v>0</v>
      </c>
      <c r="P924" t="b">
        <f>+ISNUMBER(SEARCH('F-COMPRA'!$F$32,Tabla11[[#This Row],[Cuenta]],1))</f>
        <v>1</v>
      </c>
      <c r="Q924" t="b">
        <f>+ISNUMBER(SEARCH('F-COMPRA'!$F$33,Tabla11[[#This Row],[Cuenta]],1))</f>
        <v>1</v>
      </c>
      <c r="R924" t="b">
        <f>+ISNUMBER(SEARCH('F-COMPRA'!$F$34,Tabla11[[#This Row],[Cuenta]],1))</f>
        <v>1</v>
      </c>
      <c r="S924" t="b">
        <f>+ISNUMBER(SEARCH('F-COMPRA'!$F$35,Tabla11[[#This Row],[Cuenta]],1))</f>
        <v>1</v>
      </c>
      <c r="T924" t="b">
        <f>+ISNUMBER(SEARCH('F-COMPRA'!$F$36,Tabla11[[#This Row],[Cuenta]],1))</f>
        <v>1</v>
      </c>
      <c r="U924" t="b">
        <f>+ISNUMBER(SEARCH('F-COMPRA'!$F$37,Tabla11[[#This Row],[Cuenta]],1))</f>
        <v>1</v>
      </c>
      <c r="V924" t="b">
        <f>+ISNUMBER(SEARCH(#REF!,Tabla11[[#This Row],[Cuenta]],1))</f>
        <v>0</v>
      </c>
      <c r="W924" t="b">
        <f>+ISNUMBER(SEARCH('F-COMPRA'!#REF!,Tabla11[[#This Row],[Cuenta]],1))</f>
        <v>0</v>
      </c>
      <c r="X924" t="b">
        <f>+ISNUMBER(SEARCH('F-COMPRA'!#REF!,Tabla11[[#This Row],[Cuenta]],1))</f>
        <v>0</v>
      </c>
      <c r="Y924" t="b">
        <f>+ISNUMBER(SEARCH('F-COMPRA'!#REF!,Tabla11[[#This Row],[Cuenta]],1))</f>
        <v>0</v>
      </c>
      <c r="Z924" t="b">
        <f>+ISNUMBER(SEARCH('F-COMPRA'!#REF!,Tabla11[[#This Row],[Cuenta]],1))</f>
        <v>0</v>
      </c>
      <c r="AA924" t="b">
        <f>+ISNUMBER(SEARCH('F-COMPRA'!#REF!,Tabla11[[#This Row],[Cuenta]],1))</f>
        <v>0</v>
      </c>
      <c r="AB924" t="b">
        <f>+ISNUMBER(SEARCH('F-COMPRA'!#REF!,Tabla11[[#This Row],[Cuenta]],1))</f>
        <v>0</v>
      </c>
      <c r="AC924" t="b">
        <f>+ISNUMBER(SEARCH('F-COMPRA'!#REF!,Tabla11[[#This Row],[Cuenta]],1))</f>
        <v>0</v>
      </c>
      <c r="AD924" t="b">
        <f>+ISNUMBER(SEARCH('F-COMPRA'!#REF!,Tabla11[[#This Row],[Cuenta]],1))</f>
        <v>0</v>
      </c>
      <c r="AE924" t="b">
        <f>+ISNUMBER(SEARCH('F-COMPRA'!#REF!,Tabla11[[#This Row],[Cuenta]],1))</f>
        <v>0</v>
      </c>
      <c r="AF924" t="b">
        <f>+ISNUMBER(SEARCH('F-VTA'!$G$23,Tabla11[[#This Row],[Cuenta]],1))</f>
        <v>0</v>
      </c>
      <c r="AG924" t="b">
        <f>+ISNUMBER(SEARCH('F-VTA'!$G$24,Tabla11[[#This Row],[Cuenta]],1))</f>
        <v>0</v>
      </c>
      <c r="AH924" t="b">
        <f>+ISNUMBER(SEARCH('F-VTA'!$G$25,Tabla11[[#This Row],[Cuenta]],1))</f>
        <v>0</v>
      </c>
      <c r="AI924" t="b">
        <f>+ISNUMBER(SEARCH('F-VTA'!$F$28,Tabla11[[#This Row],[Cuenta]],1))</f>
        <v>1</v>
      </c>
      <c r="AJ924" t="b">
        <f>+ISNUMBER(SEARCH('F-VTA'!$F$29,Tabla11[[#This Row],[Cuenta]],1))</f>
        <v>1</v>
      </c>
      <c r="AK924" t="b">
        <f>+ISNUMBER(SEARCH('F-VTA'!$F$30,Tabla11[[#This Row],[Cuenta]],1))</f>
        <v>1</v>
      </c>
      <c r="AL924" t="b">
        <f>+ISNUMBER(SEARCH('F-VTA'!$F$31,Tabla11[[#This Row],[Cuenta]],1))</f>
        <v>1</v>
      </c>
      <c r="AM924" t="b">
        <f>+ISNUMBER(SEARCH('F-VTA'!$F$32,Tabla11[[#This Row],[Cuenta]],1))</f>
        <v>1</v>
      </c>
      <c r="AN924" t="b">
        <f>+ISNUMBER(SEARCH('F-VTA'!$F$33,Tabla11[[#This Row],[Cuenta]],1))</f>
        <v>1</v>
      </c>
      <c r="AO924" t="b">
        <f>+ISNUMBER(SEARCH('F-VTA'!$F$34,Tabla11[[#This Row],[Cuenta]],1))</f>
        <v>1</v>
      </c>
      <c r="AP924" t="b">
        <f>+ISNUMBER(SEARCH('F-VTA'!$F$35,Tabla11[[#This Row],[Cuenta]],1))</f>
        <v>1</v>
      </c>
      <c r="AQ924" t="b">
        <f>+ISNUMBER(SEARCH('F-VTA'!$F$36,Tabla11[[#This Row],[Cuenta]],1))</f>
        <v>1</v>
      </c>
      <c r="AR924" t="b">
        <f>+ISNUMBER(SEARCH(#REF!,Tabla11[[#This Row],[Cuenta]],1))</f>
        <v>0</v>
      </c>
      <c r="AS924" t="b">
        <f>+ISNUMBER(SEARCH(#REF!,Tabla11[[#This Row],[Cuenta]],1))</f>
        <v>0</v>
      </c>
      <c r="AT924" t="b">
        <f>+ISNUMBER(SEARCH(#REF!,Tabla11[[#This Row],[Cuenta]],1))</f>
        <v>0</v>
      </c>
      <c r="AU924" t="b">
        <f>+ISNUMBER(SEARCH('Conc. Ban.1'!$I$9,Tabla11[[#This Row],[Cuenta]],1))</f>
        <v>0</v>
      </c>
      <c r="AV924" t="b">
        <f>+ISNUMBER(SEARCH(CompConta!$F$21,Tabla11[[#This Row],[Cuenta]],1))</f>
        <v>1</v>
      </c>
      <c r="AW924" t="b">
        <f>+ISNUMBER(SEARCH(CompConta!$F$22,Tabla11[[#This Row],[Cuenta]],1))</f>
        <v>1</v>
      </c>
      <c r="AX924" t="b">
        <f>+ISNUMBER(SEARCH(CompConta!$F$23,Tabla11[[#This Row],[Cuenta]],1))</f>
        <v>1</v>
      </c>
      <c r="AY924" t="b">
        <f>+ISNUMBER(SEARCH(CompConta!$F$24,Tabla11[[#This Row],[Cuenta]],1))</f>
        <v>1</v>
      </c>
      <c r="AZ924" t="b">
        <f>+ISNUMBER(SEARCH(CompConta!$F$25,Tabla11[[#This Row],[Cuenta]],1))</f>
        <v>1</v>
      </c>
      <c r="BA924" t="b">
        <f>+ISNUMBER(SEARCH(CompConta!$F$26,Tabla11[[#This Row],[Cuenta]],1))</f>
        <v>1</v>
      </c>
      <c r="BB924" t="b">
        <f>+ISNUMBER(SEARCH(CompConta!$F$27,Tabla11[[#This Row],[Cuenta]],1))</f>
        <v>1</v>
      </c>
      <c r="BC924" t="b">
        <f>+ISNUMBER(SEARCH(CompConta!$F$28,Tabla11[[#This Row],[Cuenta]],1))</f>
        <v>1</v>
      </c>
      <c r="BD924" t="b">
        <f>+ISNUMBER(SEARCH(CompConta!$F$29,Tabla11[[#This Row],[Cuenta]],1))</f>
        <v>1</v>
      </c>
      <c r="BE924" t="b">
        <f>+ISNUMBER(SEARCH(CompConta!$F$30,Tabla11[[#This Row],[Cuenta]],1))</f>
        <v>1</v>
      </c>
      <c r="BF924" t="b">
        <f>+ISNUMBER(SEARCH('PAGO Compras'!$E$11,Tabla11[[#This Row],[Cuenta]],1))</f>
        <v>1</v>
      </c>
      <c r="BG924" t="b">
        <f>+ISNUMBER(SEARCH(#REF!,Tabla11[[#This Row],[Cuenta]],1))</f>
        <v>0</v>
      </c>
      <c r="BH924" t="b">
        <f>+ISNUMBER(SEARCH(#REF!,Tabla11[[#This Row],[Cuenta]],1))</f>
        <v>0</v>
      </c>
      <c r="BI924" t="b">
        <f>+ISNUMBER(SEARCH(#REF!,Tabla11[[#This Row],[Cuenta]],1))</f>
        <v>0</v>
      </c>
      <c r="BJ924" t="b">
        <f>+ISNUMBER(SEARCH(#REF!,Tabla11[[#This Row],[Cuenta]],1))</f>
        <v>0</v>
      </c>
      <c r="BS924" t="str">
        <v>519515 Música ambiental</v>
      </c>
      <c r="BT924" t="str">
        <v>519515 Música ambiental</v>
      </c>
      <c r="BU924" t="str">
        <v>519515 Música ambiental</v>
      </c>
      <c r="BV924" t="str">
        <v>519515 Música ambiental</v>
      </c>
      <c r="BZ924" t="str">
        <v>519515 Música ambiental</v>
      </c>
      <c r="CA924" t="str">
        <v>519515 Música ambiental</v>
      </c>
      <c r="CB924" t="str">
        <v>519515 Música ambiental</v>
      </c>
      <c r="CC924" t="str">
        <v>519515 Música ambiental</v>
      </c>
      <c r="CD924" t="str">
        <v>519515 Música ambiental</v>
      </c>
      <c r="CE924" t="str">
        <v>519515 Música ambiental</v>
      </c>
      <c r="CS924" s="141" t="str">
        <v>519515 Música ambiental</v>
      </c>
      <c r="CT924" s="141" t="str">
        <v>519515 Música ambiental</v>
      </c>
      <c r="CU924" s="141" t="str">
        <v>519515 Música ambiental</v>
      </c>
      <c r="CV924" s="141" t="str">
        <v>519515 Música ambiental</v>
      </c>
      <c r="CW924" s="141" t="str">
        <v>519515 Música ambiental</v>
      </c>
      <c r="CX924" s="141" t="str">
        <v>519515 Música ambiental</v>
      </c>
      <c r="CY924" s="141" t="str">
        <v>519515 Música ambiental</v>
      </c>
      <c r="CZ924" s="141" t="str">
        <v>519515 Música ambiental</v>
      </c>
      <c r="DA924" s="141" t="str">
        <v>519515 Música ambiental</v>
      </c>
      <c r="DF924" t="str">
        <v>519515 Música ambiental</v>
      </c>
      <c r="DG924" t="str">
        <v>519515 Música ambiental</v>
      </c>
      <c r="DH924" t="str">
        <v>519515 Música ambiental</v>
      </c>
      <c r="DI924" t="str">
        <v>519515 Música ambiental</v>
      </c>
      <c r="DJ924" t="str">
        <v>519515 Música ambiental</v>
      </c>
      <c r="DK924" t="str">
        <v>519515 Música ambiental</v>
      </c>
      <c r="DL924" t="str">
        <v>519515 Música ambiental</v>
      </c>
      <c r="DM924" t="str">
        <v>519515 Música ambiental</v>
      </c>
      <c r="DN924" t="str">
        <v>519515 Música ambiental</v>
      </c>
      <c r="DO924" t="str">
        <v>519515 Música ambiental</v>
      </c>
      <c r="DP924" t="str">
        <v>519515 Música ambiental</v>
      </c>
    </row>
    <row r="925" spans="4:120" ht="12.75">
      <c r="D925" s="7">
        <v>519520</v>
      </c>
      <c r="E925" s="6" t="s">
        <v>323</v>
      </c>
      <c r="F925" s="5">
        <v>4</v>
      </c>
      <c r="G925" s="34" t="s">
        <v>830</v>
      </c>
      <c r="H925" s="8" t="s">
        <v>32</v>
      </c>
      <c r="I925" t="b">
        <f>+ISNUMBER(SEARCH('F-COMPRA'!$F$28,Tabla11[[#This Row],[Cuenta]],1))</f>
        <v>1</v>
      </c>
      <c r="J925" t="b">
        <f>+ISNUMBER(SEARCH('F-COMPRA'!$F$29,Tabla11[[#This Row],[Cuenta]],1))</f>
        <v>1</v>
      </c>
      <c r="K925" t="b">
        <f>+ISNUMBER(SEARCH('F-COMPRA'!$F$30,Tabla11[[#This Row],[Cuenta]],1))</f>
        <v>1</v>
      </c>
      <c r="L925" t="b">
        <f>+ISNUMBER(SEARCH('F-COMPRA'!$F$31,Tabla11[[#This Row],[Cuenta]],1))</f>
        <v>1</v>
      </c>
      <c r="M925" t="b">
        <f>+ISNUMBER(SEARCH('F-COMPRA'!$G$25,Tabla11[[#This Row],[Cuenta]],1))</f>
        <v>0</v>
      </c>
      <c r="N925" t="b">
        <f>+ISNUMBER(SEARCH(#REF!,Tabla11[[#This Row],[Cuenta]],1))</f>
        <v>0</v>
      </c>
      <c r="O925" t="b">
        <f>+ISNUMBER(SEARCH(#REF!,Tabla11[[#This Row],[Cuenta]],1))</f>
        <v>0</v>
      </c>
      <c r="P925" t="b">
        <f>+ISNUMBER(SEARCH('F-COMPRA'!$F$32,Tabla11[[#This Row],[Cuenta]],1))</f>
        <v>1</v>
      </c>
      <c r="Q925" t="b">
        <f>+ISNUMBER(SEARCH('F-COMPRA'!$F$33,Tabla11[[#This Row],[Cuenta]],1))</f>
        <v>1</v>
      </c>
      <c r="R925" t="b">
        <f>+ISNUMBER(SEARCH('F-COMPRA'!$F$34,Tabla11[[#This Row],[Cuenta]],1))</f>
        <v>1</v>
      </c>
      <c r="S925" t="b">
        <f>+ISNUMBER(SEARCH('F-COMPRA'!$F$35,Tabla11[[#This Row],[Cuenta]],1))</f>
        <v>1</v>
      </c>
      <c r="T925" t="b">
        <f>+ISNUMBER(SEARCH('F-COMPRA'!$F$36,Tabla11[[#This Row],[Cuenta]],1))</f>
        <v>1</v>
      </c>
      <c r="U925" t="b">
        <f>+ISNUMBER(SEARCH('F-COMPRA'!$F$37,Tabla11[[#This Row],[Cuenta]],1))</f>
        <v>1</v>
      </c>
      <c r="V925" t="b">
        <f>+ISNUMBER(SEARCH(#REF!,Tabla11[[#This Row],[Cuenta]],1))</f>
        <v>0</v>
      </c>
      <c r="W925" t="b">
        <f>+ISNUMBER(SEARCH('F-COMPRA'!#REF!,Tabla11[[#This Row],[Cuenta]],1))</f>
        <v>0</v>
      </c>
      <c r="X925" t="b">
        <f>+ISNUMBER(SEARCH('F-COMPRA'!#REF!,Tabla11[[#This Row],[Cuenta]],1))</f>
        <v>0</v>
      </c>
      <c r="Y925" t="b">
        <f>+ISNUMBER(SEARCH('F-COMPRA'!#REF!,Tabla11[[#This Row],[Cuenta]],1))</f>
        <v>0</v>
      </c>
      <c r="Z925" t="b">
        <f>+ISNUMBER(SEARCH('F-COMPRA'!#REF!,Tabla11[[#This Row],[Cuenta]],1))</f>
        <v>0</v>
      </c>
      <c r="AA925" t="b">
        <f>+ISNUMBER(SEARCH('F-COMPRA'!#REF!,Tabla11[[#This Row],[Cuenta]],1))</f>
        <v>0</v>
      </c>
      <c r="AB925" t="b">
        <f>+ISNUMBER(SEARCH('F-COMPRA'!#REF!,Tabla11[[#This Row],[Cuenta]],1))</f>
        <v>0</v>
      </c>
      <c r="AC925" t="b">
        <f>+ISNUMBER(SEARCH('F-COMPRA'!#REF!,Tabla11[[#This Row],[Cuenta]],1))</f>
        <v>0</v>
      </c>
      <c r="AD925" t="b">
        <f>+ISNUMBER(SEARCH('F-COMPRA'!#REF!,Tabla11[[#This Row],[Cuenta]],1))</f>
        <v>0</v>
      </c>
      <c r="AE925" t="b">
        <f>+ISNUMBER(SEARCH('F-COMPRA'!#REF!,Tabla11[[#This Row],[Cuenta]],1))</f>
        <v>0</v>
      </c>
      <c r="AF925" t="b">
        <f>+ISNUMBER(SEARCH('F-VTA'!$G$23,Tabla11[[#This Row],[Cuenta]],1))</f>
        <v>0</v>
      </c>
      <c r="AG925" t="b">
        <f>+ISNUMBER(SEARCH('F-VTA'!$G$24,Tabla11[[#This Row],[Cuenta]],1))</f>
        <v>0</v>
      </c>
      <c r="AH925" t="b">
        <f>+ISNUMBER(SEARCH('F-VTA'!$G$25,Tabla11[[#This Row],[Cuenta]],1))</f>
        <v>0</v>
      </c>
      <c r="AI925" t="b">
        <f>+ISNUMBER(SEARCH('F-VTA'!$F$28,Tabla11[[#This Row],[Cuenta]],1))</f>
        <v>1</v>
      </c>
      <c r="AJ925" t="b">
        <f>+ISNUMBER(SEARCH('F-VTA'!$F$29,Tabla11[[#This Row],[Cuenta]],1))</f>
        <v>1</v>
      </c>
      <c r="AK925" t="b">
        <f>+ISNUMBER(SEARCH('F-VTA'!$F$30,Tabla11[[#This Row],[Cuenta]],1))</f>
        <v>1</v>
      </c>
      <c r="AL925" t="b">
        <f>+ISNUMBER(SEARCH('F-VTA'!$F$31,Tabla11[[#This Row],[Cuenta]],1))</f>
        <v>1</v>
      </c>
      <c r="AM925" t="b">
        <f>+ISNUMBER(SEARCH('F-VTA'!$F$32,Tabla11[[#This Row],[Cuenta]],1))</f>
        <v>1</v>
      </c>
      <c r="AN925" t="b">
        <f>+ISNUMBER(SEARCH('F-VTA'!$F$33,Tabla11[[#This Row],[Cuenta]],1))</f>
        <v>1</v>
      </c>
      <c r="AO925" t="b">
        <f>+ISNUMBER(SEARCH('F-VTA'!$F$34,Tabla11[[#This Row],[Cuenta]],1))</f>
        <v>1</v>
      </c>
      <c r="AP925" t="b">
        <f>+ISNUMBER(SEARCH('F-VTA'!$F$35,Tabla11[[#This Row],[Cuenta]],1))</f>
        <v>1</v>
      </c>
      <c r="AQ925" t="b">
        <f>+ISNUMBER(SEARCH('F-VTA'!$F$36,Tabla11[[#This Row],[Cuenta]],1))</f>
        <v>1</v>
      </c>
      <c r="AR925" t="b">
        <f>+ISNUMBER(SEARCH(#REF!,Tabla11[[#This Row],[Cuenta]],1))</f>
        <v>0</v>
      </c>
      <c r="AS925" t="b">
        <f>+ISNUMBER(SEARCH(#REF!,Tabla11[[#This Row],[Cuenta]],1))</f>
        <v>0</v>
      </c>
      <c r="AT925" t="b">
        <f>+ISNUMBER(SEARCH(#REF!,Tabla11[[#This Row],[Cuenta]],1))</f>
        <v>0</v>
      </c>
      <c r="AU925" t="b">
        <f>+ISNUMBER(SEARCH('Conc. Ban.1'!$I$9,Tabla11[[#This Row],[Cuenta]],1))</f>
        <v>0</v>
      </c>
      <c r="AV925" t="b">
        <f>+ISNUMBER(SEARCH(CompConta!$F$21,Tabla11[[#This Row],[Cuenta]],1))</f>
        <v>1</v>
      </c>
      <c r="AW925" t="b">
        <f>+ISNUMBER(SEARCH(CompConta!$F$22,Tabla11[[#This Row],[Cuenta]],1))</f>
        <v>1</v>
      </c>
      <c r="AX925" t="b">
        <f>+ISNUMBER(SEARCH(CompConta!$F$23,Tabla11[[#This Row],[Cuenta]],1))</f>
        <v>1</v>
      </c>
      <c r="AY925" t="b">
        <f>+ISNUMBER(SEARCH(CompConta!$F$24,Tabla11[[#This Row],[Cuenta]],1))</f>
        <v>1</v>
      </c>
      <c r="AZ925" t="b">
        <f>+ISNUMBER(SEARCH(CompConta!$F$25,Tabla11[[#This Row],[Cuenta]],1))</f>
        <v>1</v>
      </c>
      <c r="BA925" t="b">
        <f>+ISNUMBER(SEARCH(CompConta!$F$26,Tabla11[[#This Row],[Cuenta]],1))</f>
        <v>1</v>
      </c>
      <c r="BB925" t="b">
        <f>+ISNUMBER(SEARCH(CompConta!$F$27,Tabla11[[#This Row],[Cuenta]],1))</f>
        <v>1</v>
      </c>
      <c r="BC925" t="b">
        <f>+ISNUMBER(SEARCH(CompConta!$F$28,Tabla11[[#This Row],[Cuenta]],1))</f>
        <v>1</v>
      </c>
      <c r="BD925" t="b">
        <f>+ISNUMBER(SEARCH(CompConta!$F$29,Tabla11[[#This Row],[Cuenta]],1))</f>
        <v>1</v>
      </c>
      <c r="BE925" t="b">
        <f>+ISNUMBER(SEARCH(CompConta!$F$30,Tabla11[[#This Row],[Cuenta]],1))</f>
        <v>1</v>
      </c>
      <c r="BF925" t="b">
        <f>+ISNUMBER(SEARCH('PAGO Compras'!$E$11,Tabla11[[#This Row],[Cuenta]],1))</f>
        <v>1</v>
      </c>
      <c r="BG925" t="b">
        <f>+ISNUMBER(SEARCH(#REF!,Tabla11[[#This Row],[Cuenta]],1))</f>
        <v>0</v>
      </c>
      <c r="BH925" t="b">
        <f>+ISNUMBER(SEARCH(#REF!,Tabla11[[#This Row],[Cuenta]],1))</f>
        <v>0</v>
      </c>
      <c r="BI925" t="b">
        <f>+ISNUMBER(SEARCH(#REF!,Tabla11[[#This Row],[Cuenta]],1))</f>
        <v>0</v>
      </c>
      <c r="BJ925" t="b">
        <f>+ISNUMBER(SEARCH(#REF!,Tabla11[[#This Row],[Cuenta]],1))</f>
        <v>0</v>
      </c>
      <c r="BS925" t="str">
        <v>519520 Gastos de representac/n y relaciones públicas</v>
      </c>
      <c r="BT925" t="str">
        <v>519520 Gastos de representac/n y relaciones públicas</v>
      </c>
      <c r="BU925" t="str">
        <v>519520 Gastos de representac/n y relaciones públicas</v>
      </c>
      <c r="BV925" t="str">
        <v>519520 Gastos de representac/n y relaciones públicas</v>
      </c>
      <c r="BZ925" t="str">
        <v>519520 Gastos de representac/n y relaciones públicas</v>
      </c>
      <c r="CA925" t="str">
        <v>519520 Gastos de representac/n y relaciones públicas</v>
      </c>
      <c r="CB925" t="str">
        <v>519520 Gastos de representac/n y relaciones públicas</v>
      </c>
      <c r="CC925" t="str">
        <v>519520 Gastos de representac/n y relaciones públicas</v>
      </c>
      <c r="CD925" t="str">
        <v>519520 Gastos de representac/n y relaciones públicas</v>
      </c>
      <c r="CE925" t="str">
        <v>519520 Gastos de representac/n y relaciones públicas</v>
      </c>
      <c r="CS925" s="141" t="str">
        <v>519520 Gastos de representac/n y relaciones públicas</v>
      </c>
      <c r="CT925" s="141" t="str">
        <v>519520 Gastos de representac/n y relaciones públicas</v>
      </c>
      <c r="CU925" s="141" t="str">
        <v>519520 Gastos de representac/n y relaciones públicas</v>
      </c>
      <c r="CV925" s="141" t="str">
        <v>519520 Gastos de representac/n y relaciones públicas</v>
      </c>
      <c r="CW925" s="141" t="str">
        <v>519520 Gastos de representac/n y relaciones públicas</v>
      </c>
      <c r="CX925" s="141" t="str">
        <v>519520 Gastos de representac/n y relaciones públicas</v>
      </c>
      <c r="CY925" s="141" t="str">
        <v>519520 Gastos de representac/n y relaciones públicas</v>
      </c>
      <c r="CZ925" s="141" t="str">
        <v>519520 Gastos de representac/n y relaciones públicas</v>
      </c>
      <c r="DA925" s="141" t="str">
        <v>519520 Gastos de representac/n y relaciones públicas</v>
      </c>
      <c r="DF925" t="str">
        <v>519520 Gastos de representac/n y relaciones públicas</v>
      </c>
      <c r="DG925" t="str">
        <v>519520 Gastos de representac/n y relaciones públicas</v>
      </c>
      <c r="DH925" t="str">
        <v>519520 Gastos de representac/n y relaciones públicas</v>
      </c>
      <c r="DI925" t="str">
        <v>519520 Gastos de representac/n y relaciones públicas</v>
      </c>
      <c r="DJ925" t="str">
        <v>519520 Gastos de representac/n y relaciones públicas</v>
      </c>
      <c r="DK925" t="str">
        <v>519520 Gastos de representac/n y relaciones públicas</v>
      </c>
      <c r="DL925" t="str">
        <v>519520 Gastos de representac/n y relaciones públicas</v>
      </c>
      <c r="DM925" t="str">
        <v>519520 Gastos de representac/n y relaciones públicas</v>
      </c>
      <c r="DN925" t="str">
        <v>519520 Gastos de representac/n y relaciones públicas</v>
      </c>
      <c r="DO925" t="str">
        <v>519520 Gastos de representac/n y relaciones públicas</v>
      </c>
      <c r="DP925" t="str">
        <v>519520 Gastos de representac/n y relaciones públicas</v>
      </c>
    </row>
    <row r="926" spans="4:120" ht="12.75">
      <c r="D926" s="7">
        <v>519525</v>
      </c>
      <c r="E926" s="6" t="s">
        <v>274</v>
      </c>
      <c r="F926" s="5">
        <v>4</v>
      </c>
      <c r="G926" s="34" t="s">
        <v>830</v>
      </c>
      <c r="H926" s="8" t="s">
        <v>32</v>
      </c>
      <c r="I926" t="b">
        <f>+ISNUMBER(SEARCH('F-COMPRA'!$F$28,Tabla11[[#This Row],[Cuenta]],1))</f>
        <v>1</v>
      </c>
      <c r="J926" t="b">
        <f>+ISNUMBER(SEARCH('F-COMPRA'!$F$29,Tabla11[[#This Row],[Cuenta]],1))</f>
        <v>1</v>
      </c>
      <c r="K926" t="b">
        <f>+ISNUMBER(SEARCH('F-COMPRA'!$F$30,Tabla11[[#This Row],[Cuenta]],1))</f>
        <v>1</v>
      </c>
      <c r="L926" t="b">
        <f>+ISNUMBER(SEARCH('F-COMPRA'!$F$31,Tabla11[[#This Row],[Cuenta]],1))</f>
        <v>1</v>
      </c>
      <c r="M926" t="b">
        <f>+ISNUMBER(SEARCH('F-COMPRA'!$G$25,Tabla11[[#This Row],[Cuenta]],1))</f>
        <v>0</v>
      </c>
      <c r="N926" t="b">
        <f>+ISNUMBER(SEARCH(#REF!,Tabla11[[#This Row],[Cuenta]],1))</f>
        <v>0</v>
      </c>
      <c r="O926" t="b">
        <f>+ISNUMBER(SEARCH(#REF!,Tabla11[[#This Row],[Cuenta]],1))</f>
        <v>0</v>
      </c>
      <c r="P926" t="b">
        <f>+ISNUMBER(SEARCH('F-COMPRA'!$F$32,Tabla11[[#This Row],[Cuenta]],1))</f>
        <v>1</v>
      </c>
      <c r="Q926" t="b">
        <f>+ISNUMBER(SEARCH('F-COMPRA'!$F$33,Tabla11[[#This Row],[Cuenta]],1))</f>
        <v>1</v>
      </c>
      <c r="R926" t="b">
        <f>+ISNUMBER(SEARCH('F-COMPRA'!$F$34,Tabla11[[#This Row],[Cuenta]],1))</f>
        <v>1</v>
      </c>
      <c r="S926" t="b">
        <f>+ISNUMBER(SEARCH('F-COMPRA'!$F$35,Tabla11[[#This Row],[Cuenta]],1))</f>
        <v>1</v>
      </c>
      <c r="T926" t="b">
        <f>+ISNUMBER(SEARCH('F-COMPRA'!$F$36,Tabla11[[#This Row],[Cuenta]],1))</f>
        <v>1</v>
      </c>
      <c r="U926" t="b">
        <f>+ISNUMBER(SEARCH('F-COMPRA'!$F$37,Tabla11[[#This Row],[Cuenta]],1))</f>
        <v>1</v>
      </c>
      <c r="V926" t="b">
        <f>+ISNUMBER(SEARCH(#REF!,Tabla11[[#This Row],[Cuenta]],1))</f>
        <v>0</v>
      </c>
      <c r="W926" t="b">
        <f>+ISNUMBER(SEARCH('F-COMPRA'!#REF!,Tabla11[[#This Row],[Cuenta]],1))</f>
        <v>0</v>
      </c>
      <c r="X926" t="b">
        <f>+ISNUMBER(SEARCH('F-COMPRA'!#REF!,Tabla11[[#This Row],[Cuenta]],1))</f>
        <v>0</v>
      </c>
      <c r="Y926" t="b">
        <f>+ISNUMBER(SEARCH('F-COMPRA'!#REF!,Tabla11[[#This Row],[Cuenta]],1))</f>
        <v>0</v>
      </c>
      <c r="Z926" t="b">
        <f>+ISNUMBER(SEARCH('F-COMPRA'!#REF!,Tabla11[[#This Row],[Cuenta]],1))</f>
        <v>0</v>
      </c>
      <c r="AA926" t="b">
        <f>+ISNUMBER(SEARCH('F-COMPRA'!#REF!,Tabla11[[#This Row],[Cuenta]],1))</f>
        <v>0</v>
      </c>
      <c r="AB926" t="b">
        <f>+ISNUMBER(SEARCH('F-COMPRA'!#REF!,Tabla11[[#This Row],[Cuenta]],1))</f>
        <v>0</v>
      </c>
      <c r="AC926" t="b">
        <f>+ISNUMBER(SEARCH('F-COMPRA'!#REF!,Tabla11[[#This Row],[Cuenta]],1))</f>
        <v>0</v>
      </c>
      <c r="AD926" t="b">
        <f>+ISNUMBER(SEARCH('F-COMPRA'!#REF!,Tabla11[[#This Row],[Cuenta]],1))</f>
        <v>0</v>
      </c>
      <c r="AE926" t="b">
        <f>+ISNUMBER(SEARCH('F-COMPRA'!#REF!,Tabla11[[#This Row],[Cuenta]],1))</f>
        <v>0</v>
      </c>
      <c r="AF926" t="b">
        <f>+ISNUMBER(SEARCH('F-VTA'!$G$23,Tabla11[[#This Row],[Cuenta]],1))</f>
        <v>0</v>
      </c>
      <c r="AG926" t="b">
        <f>+ISNUMBER(SEARCH('F-VTA'!$G$24,Tabla11[[#This Row],[Cuenta]],1))</f>
        <v>0</v>
      </c>
      <c r="AH926" t="b">
        <f>+ISNUMBER(SEARCH('F-VTA'!$G$25,Tabla11[[#This Row],[Cuenta]],1))</f>
        <v>0</v>
      </c>
      <c r="AI926" t="b">
        <f>+ISNUMBER(SEARCH('F-VTA'!$F$28,Tabla11[[#This Row],[Cuenta]],1))</f>
        <v>1</v>
      </c>
      <c r="AJ926" t="b">
        <f>+ISNUMBER(SEARCH('F-VTA'!$F$29,Tabla11[[#This Row],[Cuenta]],1))</f>
        <v>1</v>
      </c>
      <c r="AK926" t="b">
        <f>+ISNUMBER(SEARCH('F-VTA'!$F$30,Tabla11[[#This Row],[Cuenta]],1))</f>
        <v>1</v>
      </c>
      <c r="AL926" t="b">
        <f>+ISNUMBER(SEARCH('F-VTA'!$F$31,Tabla11[[#This Row],[Cuenta]],1))</f>
        <v>1</v>
      </c>
      <c r="AM926" t="b">
        <f>+ISNUMBER(SEARCH('F-VTA'!$F$32,Tabla11[[#This Row],[Cuenta]],1))</f>
        <v>1</v>
      </c>
      <c r="AN926" t="b">
        <f>+ISNUMBER(SEARCH('F-VTA'!$F$33,Tabla11[[#This Row],[Cuenta]],1))</f>
        <v>1</v>
      </c>
      <c r="AO926" t="b">
        <f>+ISNUMBER(SEARCH('F-VTA'!$F$34,Tabla11[[#This Row],[Cuenta]],1))</f>
        <v>1</v>
      </c>
      <c r="AP926" t="b">
        <f>+ISNUMBER(SEARCH('F-VTA'!$F$35,Tabla11[[#This Row],[Cuenta]],1))</f>
        <v>1</v>
      </c>
      <c r="AQ926" t="b">
        <f>+ISNUMBER(SEARCH('F-VTA'!$F$36,Tabla11[[#This Row],[Cuenta]],1))</f>
        <v>1</v>
      </c>
      <c r="AR926" t="b">
        <f>+ISNUMBER(SEARCH(#REF!,Tabla11[[#This Row],[Cuenta]],1))</f>
        <v>0</v>
      </c>
      <c r="AS926" t="b">
        <f>+ISNUMBER(SEARCH(#REF!,Tabla11[[#This Row],[Cuenta]],1))</f>
        <v>0</v>
      </c>
      <c r="AT926" t="b">
        <f>+ISNUMBER(SEARCH(#REF!,Tabla11[[#This Row],[Cuenta]],1))</f>
        <v>0</v>
      </c>
      <c r="AU926" t="b">
        <f>+ISNUMBER(SEARCH('Conc. Ban.1'!$I$9,Tabla11[[#This Row],[Cuenta]],1))</f>
        <v>0</v>
      </c>
      <c r="AV926" t="b">
        <f>+ISNUMBER(SEARCH(CompConta!$F$21,Tabla11[[#This Row],[Cuenta]],1))</f>
        <v>1</v>
      </c>
      <c r="AW926" t="b">
        <f>+ISNUMBER(SEARCH(CompConta!$F$22,Tabla11[[#This Row],[Cuenta]],1))</f>
        <v>1</v>
      </c>
      <c r="AX926" t="b">
        <f>+ISNUMBER(SEARCH(CompConta!$F$23,Tabla11[[#This Row],[Cuenta]],1))</f>
        <v>1</v>
      </c>
      <c r="AY926" t="b">
        <f>+ISNUMBER(SEARCH(CompConta!$F$24,Tabla11[[#This Row],[Cuenta]],1))</f>
        <v>1</v>
      </c>
      <c r="AZ926" t="b">
        <f>+ISNUMBER(SEARCH(CompConta!$F$25,Tabla11[[#This Row],[Cuenta]],1))</f>
        <v>1</v>
      </c>
      <c r="BA926" t="b">
        <f>+ISNUMBER(SEARCH(CompConta!$F$26,Tabla11[[#This Row],[Cuenta]],1))</f>
        <v>1</v>
      </c>
      <c r="BB926" t="b">
        <f>+ISNUMBER(SEARCH(CompConta!$F$27,Tabla11[[#This Row],[Cuenta]],1))</f>
        <v>1</v>
      </c>
      <c r="BC926" t="b">
        <f>+ISNUMBER(SEARCH(CompConta!$F$28,Tabla11[[#This Row],[Cuenta]],1))</f>
        <v>1</v>
      </c>
      <c r="BD926" t="b">
        <f>+ISNUMBER(SEARCH(CompConta!$F$29,Tabla11[[#This Row],[Cuenta]],1))</f>
        <v>1</v>
      </c>
      <c r="BE926" t="b">
        <f>+ISNUMBER(SEARCH(CompConta!$F$30,Tabla11[[#This Row],[Cuenta]],1))</f>
        <v>1</v>
      </c>
      <c r="BF926" t="b">
        <f>+ISNUMBER(SEARCH('PAGO Compras'!$E$11,Tabla11[[#This Row],[Cuenta]],1))</f>
        <v>1</v>
      </c>
      <c r="BG926" t="b">
        <f>+ISNUMBER(SEARCH(#REF!,Tabla11[[#This Row],[Cuenta]],1))</f>
        <v>0</v>
      </c>
      <c r="BH926" t="b">
        <f>+ISNUMBER(SEARCH(#REF!,Tabla11[[#This Row],[Cuenta]],1))</f>
        <v>0</v>
      </c>
      <c r="BI926" t="b">
        <f>+ISNUMBER(SEARCH(#REF!,Tabla11[[#This Row],[Cuenta]],1))</f>
        <v>0</v>
      </c>
      <c r="BJ926" t="b">
        <f>+ISNUMBER(SEARCH(#REF!,Tabla11[[#This Row],[Cuenta]],1))</f>
        <v>0</v>
      </c>
      <c r="BS926" t="str">
        <v>519525 Elementos de aseo y cafetería</v>
      </c>
      <c r="BT926" t="str">
        <v>519525 Elementos de aseo y cafetería</v>
      </c>
      <c r="BU926" t="str">
        <v>519525 Elementos de aseo y cafetería</v>
      </c>
      <c r="BV926" t="str">
        <v>519525 Elementos de aseo y cafetería</v>
      </c>
      <c r="BZ926" t="str">
        <v>519525 Elementos de aseo y cafetería</v>
      </c>
      <c r="CA926" t="str">
        <v>519525 Elementos de aseo y cafetería</v>
      </c>
      <c r="CB926" t="str">
        <v>519525 Elementos de aseo y cafetería</v>
      </c>
      <c r="CC926" t="str">
        <v>519525 Elementos de aseo y cafetería</v>
      </c>
      <c r="CD926" t="str">
        <v>519525 Elementos de aseo y cafetería</v>
      </c>
      <c r="CE926" t="str">
        <v>519525 Elementos de aseo y cafetería</v>
      </c>
      <c r="CS926" s="141" t="str">
        <v>519525 Elementos de aseo y cafetería</v>
      </c>
      <c r="CT926" s="141" t="str">
        <v>519525 Elementos de aseo y cafetería</v>
      </c>
      <c r="CU926" s="141" t="str">
        <v>519525 Elementos de aseo y cafetería</v>
      </c>
      <c r="CV926" s="141" t="str">
        <v>519525 Elementos de aseo y cafetería</v>
      </c>
      <c r="CW926" s="141" t="str">
        <v>519525 Elementos de aseo y cafetería</v>
      </c>
      <c r="CX926" s="141" t="str">
        <v>519525 Elementos de aseo y cafetería</v>
      </c>
      <c r="CY926" s="141" t="str">
        <v>519525 Elementos de aseo y cafetería</v>
      </c>
      <c r="CZ926" s="141" t="str">
        <v>519525 Elementos de aseo y cafetería</v>
      </c>
      <c r="DA926" s="141" t="str">
        <v>519525 Elementos de aseo y cafetería</v>
      </c>
      <c r="DF926" t="str">
        <v>519525 Elementos de aseo y cafetería</v>
      </c>
      <c r="DG926" t="str">
        <v>519525 Elementos de aseo y cafetería</v>
      </c>
      <c r="DH926" t="str">
        <v>519525 Elementos de aseo y cafetería</v>
      </c>
      <c r="DI926" t="str">
        <v>519525 Elementos de aseo y cafetería</v>
      </c>
      <c r="DJ926" t="str">
        <v>519525 Elementos de aseo y cafetería</v>
      </c>
      <c r="DK926" t="str">
        <v>519525 Elementos de aseo y cafetería</v>
      </c>
      <c r="DL926" t="str">
        <v>519525 Elementos de aseo y cafetería</v>
      </c>
      <c r="DM926" t="str">
        <v>519525 Elementos de aseo y cafetería</v>
      </c>
      <c r="DN926" t="str">
        <v>519525 Elementos de aseo y cafetería</v>
      </c>
      <c r="DO926" t="str">
        <v>519525 Elementos de aseo y cafetería</v>
      </c>
      <c r="DP926" t="str">
        <v>519525 Elementos de aseo y cafetería</v>
      </c>
    </row>
    <row r="927" spans="4:120" ht="12.75">
      <c r="D927" s="7">
        <v>51952505</v>
      </c>
      <c r="E927" s="13" t="s">
        <v>805</v>
      </c>
      <c r="F927" s="5">
        <v>4</v>
      </c>
      <c r="G927" s="34" t="s">
        <v>830</v>
      </c>
      <c r="H927" s="8" t="s">
        <v>32</v>
      </c>
      <c r="I927" t="b">
        <f>+ISNUMBER(SEARCH('F-COMPRA'!$F$28,Tabla11[[#This Row],[Cuenta]],1))</f>
        <v>1</v>
      </c>
      <c r="J927" t="b">
        <f>+ISNUMBER(SEARCH('F-COMPRA'!$F$29,Tabla11[[#This Row],[Cuenta]],1))</f>
        <v>1</v>
      </c>
      <c r="K927" t="b">
        <f>+ISNUMBER(SEARCH('F-COMPRA'!$F$30,Tabla11[[#This Row],[Cuenta]],1))</f>
        <v>1</v>
      </c>
      <c r="L927" t="b">
        <f>+ISNUMBER(SEARCH('F-COMPRA'!$F$31,Tabla11[[#This Row],[Cuenta]],1))</f>
        <v>1</v>
      </c>
      <c r="M927" t="b">
        <f>+ISNUMBER(SEARCH('F-COMPRA'!$G$25,Tabla11[[#This Row],[Cuenta]],1))</f>
        <v>0</v>
      </c>
      <c r="N927" t="b">
        <f>+ISNUMBER(SEARCH(#REF!,Tabla11[[#This Row],[Cuenta]],1))</f>
        <v>0</v>
      </c>
      <c r="O927" t="b">
        <f>+ISNUMBER(SEARCH(#REF!,Tabla11[[#This Row],[Cuenta]],1))</f>
        <v>0</v>
      </c>
      <c r="P927" t="b">
        <f>+ISNUMBER(SEARCH('F-COMPRA'!$F$32,Tabla11[[#This Row],[Cuenta]],1))</f>
        <v>1</v>
      </c>
      <c r="Q927" t="b">
        <f>+ISNUMBER(SEARCH('F-COMPRA'!$F$33,Tabla11[[#This Row],[Cuenta]],1))</f>
        <v>1</v>
      </c>
      <c r="R927" t="b">
        <f>+ISNUMBER(SEARCH('F-COMPRA'!$F$34,Tabla11[[#This Row],[Cuenta]],1))</f>
        <v>1</v>
      </c>
      <c r="S927" t="b">
        <f>+ISNUMBER(SEARCH('F-COMPRA'!$F$35,Tabla11[[#This Row],[Cuenta]],1))</f>
        <v>1</v>
      </c>
      <c r="T927" t="b">
        <f>+ISNUMBER(SEARCH('F-COMPRA'!$F$36,Tabla11[[#This Row],[Cuenta]],1))</f>
        <v>1</v>
      </c>
      <c r="U927" t="b">
        <f>+ISNUMBER(SEARCH('F-COMPRA'!$F$37,Tabla11[[#This Row],[Cuenta]],1))</f>
        <v>1</v>
      </c>
      <c r="V927" t="b">
        <f>+ISNUMBER(SEARCH(#REF!,Tabla11[[#This Row],[Cuenta]],1))</f>
        <v>0</v>
      </c>
      <c r="W927" t="b">
        <f>+ISNUMBER(SEARCH('F-COMPRA'!#REF!,Tabla11[[#This Row],[Cuenta]],1))</f>
        <v>0</v>
      </c>
      <c r="X927" t="b">
        <f>+ISNUMBER(SEARCH('F-COMPRA'!#REF!,Tabla11[[#This Row],[Cuenta]],1))</f>
        <v>0</v>
      </c>
      <c r="Y927" t="b">
        <f>+ISNUMBER(SEARCH('F-COMPRA'!#REF!,Tabla11[[#This Row],[Cuenta]],1))</f>
        <v>0</v>
      </c>
      <c r="Z927" t="b">
        <f>+ISNUMBER(SEARCH('F-COMPRA'!#REF!,Tabla11[[#This Row],[Cuenta]],1))</f>
        <v>0</v>
      </c>
      <c r="AA927" t="b">
        <f>+ISNUMBER(SEARCH('F-COMPRA'!#REF!,Tabla11[[#This Row],[Cuenta]],1))</f>
        <v>0</v>
      </c>
      <c r="AB927" t="b">
        <f>+ISNUMBER(SEARCH('F-COMPRA'!#REF!,Tabla11[[#This Row],[Cuenta]],1))</f>
        <v>0</v>
      </c>
      <c r="AC927" t="b">
        <f>+ISNUMBER(SEARCH('F-COMPRA'!#REF!,Tabla11[[#This Row],[Cuenta]],1))</f>
        <v>0</v>
      </c>
      <c r="AD927" t="b">
        <f>+ISNUMBER(SEARCH('F-COMPRA'!#REF!,Tabla11[[#This Row],[Cuenta]],1))</f>
        <v>0</v>
      </c>
      <c r="AE927" t="b">
        <f>+ISNUMBER(SEARCH('F-COMPRA'!#REF!,Tabla11[[#This Row],[Cuenta]],1))</f>
        <v>0</v>
      </c>
      <c r="AF927" t="b">
        <f>+ISNUMBER(SEARCH('F-VTA'!$G$23,Tabla11[[#This Row],[Cuenta]],1))</f>
        <v>0</v>
      </c>
      <c r="AG927" t="b">
        <f>+ISNUMBER(SEARCH('F-VTA'!$G$24,Tabla11[[#This Row],[Cuenta]],1))</f>
        <v>0</v>
      </c>
      <c r="AH927" t="b">
        <f>+ISNUMBER(SEARCH('F-VTA'!$G$25,Tabla11[[#This Row],[Cuenta]],1))</f>
        <v>0</v>
      </c>
      <c r="AI927" t="b">
        <f>+ISNUMBER(SEARCH('F-VTA'!$F$28,Tabla11[[#This Row],[Cuenta]],1))</f>
        <v>1</v>
      </c>
      <c r="AJ927" t="b">
        <f>+ISNUMBER(SEARCH('F-VTA'!$F$29,Tabla11[[#This Row],[Cuenta]],1))</f>
        <v>1</v>
      </c>
      <c r="AK927" t="b">
        <f>+ISNUMBER(SEARCH('F-VTA'!$F$30,Tabla11[[#This Row],[Cuenta]],1))</f>
        <v>1</v>
      </c>
      <c r="AL927" t="b">
        <f>+ISNUMBER(SEARCH('F-VTA'!$F$31,Tabla11[[#This Row],[Cuenta]],1))</f>
        <v>1</v>
      </c>
      <c r="AM927" t="b">
        <f>+ISNUMBER(SEARCH('F-VTA'!$F$32,Tabla11[[#This Row],[Cuenta]],1))</f>
        <v>1</v>
      </c>
      <c r="AN927" t="b">
        <f>+ISNUMBER(SEARCH('F-VTA'!$F$33,Tabla11[[#This Row],[Cuenta]],1))</f>
        <v>1</v>
      </c>
      <c r="AO927" t="b">
        <f>+ISNUMBER(SEARCH('F-VTA'!$F$34,Tabla11[[#This Row],[Cuenta]],1))</f>
        <v>1</v>
      </c>
      <c r="AP927" t="b">
        <f>+ISNUMBER(SEARCH('F-VTA'!$F$35,Tabla11[[#This Row],[Cuenta]],1))</f>
        <v>1</v>
      </c>
      <c r="AQ927" t="b">
        <f>+ISNUMBER(SEARCH('F-VTA'!$F$36,Tabla11[[#This Row],[Cuenta]],1))</f>
        <v>1</v>
      </c>
      <c r="AR927" t="b">
        <f>+ISNUMBER(SEARCH(#REF!,Tabla11[[#This Row],[Cuenta]],1))</f>
        <v>0</v>
      </c>
      <c r="AS927" t="b">
        <f>+ISNUMBER(SEARCH(#REF!,Tabla11[[#This Row],[Cuenta]],1))</f>
        <v>0</v>
      </c>
      <c r="AT927" t="b">
        <f>+ISNUMBER(SEARCH(#REF!,Tabla11[[#This Row],[Cuenta]],1))</f>
        <v>0</v>
      </c>
      <c r="AU927" t="b">
        <f>+ISNUMBER(SEARCH('Conc. Ban.1'!$I$9,Tabla11[[#This Row],[Cuenta]],1))</f>
        <v>0</v>
      </c>
      <c r="AV927" t="b">
        <f>+ISNUMBER(SEARCH(CompConta!$F$21,Tabla11[[#This Row],[Cuenta]],1))</f>
        <v>1</v>
      </c>
      <c r="AW927" t="b">
        <f>+ISNUMBER(SEARCH(CompConta!$F$22,Tabla11[[#This Row],[Cuenta]],1))</f>
        <v>1</v>
      </c>
      <c r="AX927" t="b">
        <f>+ISNUMBER(SEARCH(CompConta!$F$23,Tabla11[[#This Row],[Cuenta]],1))</f>
        <v>1</v>
      </c>
      <c r="AY927" t="b">
        <f>+ISNUMBER(SEARCH(CompConta!$F$24,Tabla11[[#This Row],[Cuenta]],1))</f>
        <v>1</v>
      </c>
      <c r="AZ927" t="b">
        <f>+ISNUMBER(SEARCH(CompConta!$F$25,Tabla11[[#This Row],[Cuenta]],1))</f>
        <v>1</v>
      </c>
      <c r="BA927" t="b">
        <f>+ISNUMBER(SEARCH(CompConta!$F$26,Tabla11[[#This Row],[Cuenta]],1))</f>
        <v>1</v>
      </c>
      <c r="BB927" t="b">
        <f>+ISNUMBER(SEARCH(CompConta!$F$27,Tabla11[[#This Row],[Cuenta]],1))</f>
        <v>1</v>
      </c>
      <c r="BC927" t="b">
        <f>+ISNUMBER(SEARCH(CompConta!$F$28,Tabla11[[#This Row],[Cuenta]],1))</f>
        <v>1</v>
      </c>
      <c r="BD927" t="b">
        <f>+ISNUMBER(SEARCH(CompConta!$F$29,Tabla11[[#This Row],[Cuenta]],1))</f>
        <v>1</v>
      </c>
      <c r="BE927" t="b">
        <f>+ISNUMBER(SEARCH(CompConta!$F$30,Tabla11[[#This Row],[Cuenta]],1))</f>
        <v>1</v>
      </c>
      <c r="BF927" t="b">
        <f>+ISNUMBER(SEARCH('PAGO Compras'!$E$11,Tabla11[[#This Row],[Cuenta]],1))</f>
        <v>1</v>
      </c>
      <c r="BG927" t="b">
        <f>+ISNUMBER(SEARCH(#REF!,Tabla11[[#This Row],[Cuenta]],1))</f>
        <v>0</v>
      </c>
      <c r="BH927" t="b">
        <f>+ISNUMBER(SEARCH(#REF!,Tabla11[[#This Row],[Cuenta]],1))</f>
        <v>0</v>
      </c>
      <c r="BI927" t="b">
        <f>+ISNUMBER(SEARCH(#REF!,Tabla11[[#This Row],[Cuenta]],1))</f>
        <v>0</v>
      </c>
      <c r="BJ927" t="b">
        <f>+ISNUMBER(SEARCH(#REF!,Tabla11[[#This Row],[Cuenta]],1))</f>
        <v>0</v>
      </c>
      <c r="BS927" t="str">
        <v>51952505 Cafetería</v>
      </c>
      <c r="BT927" t="str">
        <v>51952505 Cafetería</v>
      </c>
      <c r="BU927" t="str">
        <v>51952505 Cafetería</v>
      </c>
      <c r="BV927" t="str">
        <v>51952505 Cafetería</v>
      </c>
      <c r="BZ927" t="str">
        <v>51952505 Cafetería</v>
      </c>
      <c r="CA927" t="str">
        <v>51952505 Cafetería</v>
      </c>
      <c r="CB927" t="str">
        <v>51952505 Cafetería</v>
      </c>
      <c r="CC927" t="str">
        <v>51952505 Cafetería</v>
      </c>
      <c r="CD927" t="str">
        <v>51952505 Cafetería</v>
      </c>
      <c r="CE927" t="str">
        <v>51952505 Cafetería</v>
      </c>
      <c r="CS927" s="141" t="str">
        <v>51952505 Cafetería</v>
      </c>
      <c r="CT927" s="141" t="str">
        <v>51952505 Cafetería</v>
      </c>
      <c r="CU927" s="141" t="str">
        <v>51952505 Cafetería</v>
      </c>
      <c r="CV927" s="141" t="str">
        <v>51952505 Cafetería</v>
      </c>
      <c r="CW927" s="141" t="str">
        <v>51952505 Cafetería</v>
      </c>
      <c r="CX927" s="141" t="str">
        <v>51952505 Cafetería</v>
      </c>
      <c r="CY927" s="141" t="str">
        <v>51952505 Cafetería</v>
      </c>
      <c r="CZ927" s="141" t="str">
        <v>51952505 Cafetería</v>
      </c>
      <c r="DA927" s="141" t="str">
        <v>51952505 Cafetería</v>
      </c>
      <c r="DF927" t="str">
        <v>51952505 Cafetería</v>
      </c>
      <c r="DG927" t="str">
        <v>51952505 Cafetería</v>
      </c>
      <c r="DH927" t="str">
        <v>51952505 Cafetería</v>
      </c>
      <c r="DI927" t="str">
        <v>51952505 Cafetería</v>
      </c>
      <c r="DJ927" t="str">
        <v>51952505 Cafetería</v>
      </c>
      <c r="DK927" t="str">
        <v>51952505 Cafetería</v>
      </c>
      <c r="DL927" t="str">
        <v>51952505 Cafetería</v>
      </c>
      <c r="DM927" t="str">
        <v>51952505 Cafetería</v>
      </c>
      <c r="DN927" t="str">
        <v>51952505 Cafetería</v>
      </c>
      <c r="DO927" t="str">
        <v>51952505 Cafetería</v>
      </c>
      <c r="DP927" t="str">
        <v>51952505 Cafetería</v>
      </c>
    </row>
    <row r="928" spans="4:120" ht="12.75">
      <c r="D928" s="7">
        <v>51952510</v>
      </c>
      <c r="E928" s="13" t="s">
        <v>806</v>
      </c>
      <c r="F928" s="5">
        <v>4</v>
      </c>
      <c r="G928" s="34" t="s">
        <v>830</v>
      </c>
      <c r="H928" s="8" t="s">
        <v>32</v>
      </c>
      <c r="I928" t="b">
        <f>+ISNUMBER(SEARCH('F-COMPRA'!$F$28,Tabla11[[#This Row],[Cuenta]],1))</f>
        <v>1</v>
      </c>
      <c r="J928" t="b">
        <f>+ISNUMBER(SEARCH('F-COMPRA'!$F$29,Tabla11[[#This Row],[Cuenta]],1))</f>
        <v>1</v>
      </c>
      <c r="K928" t="b">
        <f>+ISNUMBER(SEARCH('F-COMPRA'!$F$30,Tabla11[[#This Row],[Cuenta]],1))</f>
        <v>1</v>
      </c>
      <c r="L928" t="b">
        <f>+ISNUMBER(SEARCH('F-COMPRA'!$F$31,Tabla11[[#This Row],[Cuenta]],1))</f>
        <v>1</v>
      </c>
      <c r="M928" t="b">
        <f>+ISNUMBER(SEARCH('F-COMPRA'!$G$25,Tabla11[[#This Row],[Cuenta]],1))</f>
        <v>0</v>
      </c>
      <c r="N928" t="b">
        <f>+ISNUMBER(SEARCH(#REF!,Tabla11[[#This Row],[Cuenta]],1))</f>
        <v>0</v>
      </c>
      <c r="O928" t="b">
        <f>+ISNUMBER(SEARCH(#REF!,Tabla11[[#This Row],[Cuenta]],1))</f>
        <v>0</v>
      </c>
      <c r="P928" t="b">
        <f>+ISNUMBER(SEARCH('F-COMPRA'!$F$32,Tabla11[[#This Row],[Cuenta]],1))</f>
        <v>1</v>
      </c>
      <c r="Q928" t="b">
        <f>+ISNUMBER(SEARCH('F-COMPRA'!$F$33,Tabla11[[#This Row],[Cuenta]],1))</f>
        <v>1</v>
      </c>
      <c r="R928" t="b">
        <f>+ISNUMBER(SEARCH('F-COMPRA'!$F$34,Tabla11[[#This Row],[Cuenta]],1))</f>
        <v>1</v>
      </c>
      <c r="S928" t="b">
        <f>+ISNUMBER(SEARCH('F-COMPRA'!$F$35,Tabla11[[#This Row],[Cuenta]],1))</f>
        <v>1</v>
      </c>
      <c r="T928" t="b">
        <f>+ISNUMBER(SEARCH('F-COMPRA'!$F$36,Tabla11[[#This Row],[Cuenta]],1))</f>
        <v>1</v>
      </c>
      <c r="U928" t="b">
        <f>+ISNUMBER(SEARCH('F-COMPRA'!$F$37,Tabla11[[#This Row],[Cuenta]],1))</f>
        <v>1</v>
      </c>
      <c r="V928" t="b">
        <f>+ISNUMBER(SEARCH(#REF!,Tabla11[[#This Row],[Cuenta]],1))</f>
        <v>0</v>
      </c>
      <c r="W928" t="b">
        <f>+ISNUMBER(SEARCH('F-COMPRA'!#REF!,Tabla11[[#This Row],[Cuenta]],1))</f>
        <v>0</v>
      </c>
      <c r="X928" t="b">
        <f>+ISNUMBER(SEARCH('F-COMPRA'!#REF!,Tabla11[[#This Row],[Cuenta]],1))</f>
        <v>0</v>
      </c>
      <c r="Y928" t="b">
        <f>+ISNUMBER(SEARCH('F-COMPRA'!#REF!,Tabla11[[#This Row],[Cuenta]],1))</f>
        <v>0</v>
      </c>
      <c r="Z928" t="b">
        <f>+ISNUMBER(SEARCH('F-COMPRA'!#REF!,Tabla11[[#This Row],[Cuenta]],1))</f>
        <v>0</v>
      </c>
      <c r="AA928" t="b">
        <f>+ISNUMBER(SEARCH('F-COMPRA'!#REF!,Tabla11[[#This Row],[Cuenta]],1))</f>
        <v>0</v>
      </c>
      <c r="AB928" t="b">
        <f>+ISNUMBER(SEARCH('F-COMPRA'!#REF!,Tabla11[[#This Row],[Cuenta]],1))</f>
        <v>0</v>
      </c>
      <c r="AC928" t="b">
        <f>+ISNUMBER(SEARCH('F-COMPRA'!#REF!,Tabla11[[#This Row],[Cuenta]],1))</f>
        <v>0</v>
      </c>
      <c r="AD928" t="b">
        <f>+ISNUMBER(SEARCH('F-COMPRA'!#REF!,Tabla11[[#This Row],[Cuenta]],1))</f>
        <v>0</v>
      </c>
      <c r="AE928" t="b">
        <f>+ISNUMBER(SEARCH('F-COMPRA'!#REF!,Tabla11[[#This Row],[Cuenta]],1))</f>
        <v>0</v>
      </c>
      <c r="AF928" t="b">
        <f>+ISNUMBER(SEARCH('F-VTA'!$G$23,Tabla11[[#This Row],[Cuenta]],1))</f>
        <v>0</v>
      </c>
      <c r="AG928" t="b">
        <f>+ISNUMBER(SEARCH('F-VTA'!$G$24,Tabla11[[#This Row],[Cuenta]],1))</f>
        <v>0</v>
      </c>
      <c r="AH928" t="b">
        <f>+ISNUMBER(SEARCH('F-VTA'!$G$25,Tabla11[[#This Row],[Cuenta]],1))</f>
        <v>0</v>
      </c>
      <c r="AI928" t="b">
        <f>+ISNUMBER(SEARCH('F-VTA'!$F$28,Tabla11[[#This Row],[Cuenta]],1))</f>
        <v>1</v>
      </c>
      <c r="AJ928" t="b">
        <f>+ISNUMBER(SEARCH('F-VTA'!$F$29,Tabla11[[#This Row],[Cuenta]],1))</f>
        <v>1</v>
      </c>
      <c r="AK928" t="b">
        <f>+ISNUMBER(SEARCH('F-VTA'!$F$30,Tabla11[[#This Row],[Cuenta]],1))</f>
        <v>1</v>
      </c>
      <c r="AL928" t="b">
        <f>+ISNUMBER(SEARCH('F-VTA'!$F$31,Tabla11[[#This Row],[Cuenta]],1))</f>
        <v>1</v>
      </c>
      <c r="AM928" t="b">
        <f>+ISNUMBER(SEARCH('F-VTA'!$F$32,Tabla11[[#This Row],[Cuenta]],1))</f>
        <v>1</v>
      </c>
      <c r="AN928" t="b">
        <f>+ISNUMBER(SEARCH('F-VTA'!$F$33,Tabla11[[#This Row],[Cuenta]],1))</f>
        <v>1</v>
      </c>
      <c r="AO928" t="b">
        <f>+ISNUMBER(SEARCH('F-VTA'!$F$34,Tabla11[[#This Row],[Cuenta]],1))</f>
        <v>1</v>
      </c>
      <c r="AP928" t="b">
        <f>+ISNUMBER(SEARCH('F-VTA'!$F$35,Tabla11[[#This Row],[Cuenta]],1))</f>
        <v>1</v>
      </c>
      <c r="AQ928" t="b">
        <f>+ISNUMBER(SEARCH('F-VTA'!$F$36,Tabla11[[#This Row],[Cuenta]],1))</f>
        <v>1</v>
      </c>
      <c r="AR928" t="b">
        <f>+ISNUMBER(SEARCH(#REF!,Tabla11[[#This Row],[Cuenta]],1))</f>
        <v>0</v>
      </c>
      <c r="AS928" t="b">
        <f>+ISNUMBER(SEARCH(#REF!,Tabla11[[#This Row],[Cuenta]],1))</f>
        <v>0</v>
      </c>
      <c r="AT928" t="b">
        <f>+ISNUMBER(SEARCH(#REF!,Tabla11[[#This Row],[Cuenta]],1))</f>
        <v>0</v>
      </c>
      <c r="AU928" t="b">
        <f>+ISNUMBER(SEARCH('Conc. Ban.1'!$I$9,Tabla11[[#This Row],[Cuenta]],1))</f>
        <v>0</v>
      </c>
      <c r="AV928" t="b">
        <f>+ISNUMBER(SEARCH(CompConta!$F$21,Tabla11[[#This Row],[Cuenta]],1))</f>
        <v>1</v>
      </c>
      <c r="AW928" t="b">
        <f>+ISNUMBER(SEARCH(CompConta!$F$22,Tabla11[[#This Row],[Cuenta]],1))</f>
        <v>1</v>
      </c>
      <c r="AX928" t="b">
        <f>+ISNUMBER(SEARCH(CompConta!$F$23,Tabla11[[#This Row],[Cuenta]],1))</f>
        <v>1</v>
      </c>
      <c r="AY928" t="b">
        <f>+ISNUMBER(SEARCH(CompConta!$F$24,Tabla11[[#This Row],[Cuenta]],1))</f>
        <v>1</v>
      </c>
      <c r="AZ928" t="b">
        <f>+ISNUMBER(SEARCH(CompConta!$F$25,Tabla11[[#This Row],[Cuenta]],1))</f>
        <v>1</v>
      </c>
      <c r="BA928" t="b">
        <f>+ISNUMBER(SEARCH(CompConta!$F$26,Tabla11[[#This Row],[Cuenta]],1))</f>
        <v>1</v>
      </c>
      <c r="BB928" t="b">
        <f>+ISNUMBER(SEARCH(CompConta!$F$27,Tabla11[[#This Row],[Cuenta]],1))</f>
        <v>1</v>
      </c>
      <c r="BC928" t="b">
        <f>+ISNUMBER(SEARCH(CompConta!$F$28,Tabla11[[#This Row],[Cuenta]],1))</f>
        <v>1</v>
      </c>
      <c r="BD928" t="b">
        <f>+ISNUMBER(SEARCH(CompConta!$F$29,Tabla11[[#This Row],[Cuenta]],1))</f>
        <v>1</v>
      </c>
      <c r="BE928" t="b">
        <f>+ISNUMBER(SEARCH(CompConta!$F$30,Tabla11[[#This Row],[Cuenta]],1))</f>
        <v>1</v>
      </c>
      <c r="BF928" t="b">
        <f>+ISNUMBER(SEARCH('PAGO Compras'!$E$11,Tabla11[[#This Row],[Cuenta]],1))</f>
        <v>1</v>
      </c>
      <c r="BG928" t="b">
        <f>+ISNUMBER(SEARCH(#REF!,Tabla11[[#This Row],[Cuenta]],1))</f>
        <v>0</v>
      </c>
      <c r="BH928" t="b">
        <f>+ISNUMBER(SEARCH(#REF!,Tabla11[[#This Row],[Cuenta]],1))</f>
        <v>0</v>
      </c>
      <c r="BI928" t="b">
        <f>+ISNUMBER(SEARCH(#REF!,Tabla11[[#This Row],[Cuenta]],1))</f>
        <v>0</v>
      </c>
      <c r="BJ928" t="b">
        <f>+ISNUMBER(SEARCH(#REF!,Tabla11[[#This Row],[Cuenta]],1))</f>
        <v>0</v>
      </c>
      <c r="BS928" t="str">
        <v>51952510 Elementos de aseo</v>
      </c>
      <c r="BT928" t="str">
        <v>51952510 Elementos de aseo</v>
      </c>
      <c r="BU928" t="str">
        <v>51952510 Elementos de aseo</v>
      </c>
      <c r="BV928" t="str">
        <v>51952510 Elementos de aseo</v>
      </c>
      <c r="BZ928" t="str">
        <v>51952510 Elementos de aseo</v>
      </c>
      <c r="CA928" t="str">
        <v>51952510 Elementos de aseo</v>
      </c>
      <c r="CB928" t="str">
        <v>51952510 Elementos de aseo</v>
      </c>
      <c r="CC928" t="str">
        <v>51952510 Elementos de aseo</v>
      </c>
      <c r="CD928" t="str">
        <v>51952510 Elementos de aseo</v>
      </c>
      <c r="CE928" t="str">
        <v>51952510 Elementos de aseo</v>
      </c>
      <c r="CS928" s="141" t="str">
        <v>51952510 Elementos de aseo</v>
      </c>
      <c r="CT928" s="141" t="str">
        <v>51952510 Elementos de aseo</v>
      </c>
      <c r="CU928" s="141" t="str">
        <v>51952510 Elementos de aseo</v>
      </c>
      <c r="CV928" s="141" t="str">
        <v>51952510 Elementos de aseo</v>
      </c>
      <c r="CW928" s="141" t="str">
        <v>51952510 Elementos de aseo</v>
      </c>
      <c r="CX928" s="141" t="str">
        <v>51952510 Elementos de aseo</v>
      </c>
      <c r="CY928" s="141" t="str">
        <v>51952510 Elementos de aseo</v>
      </c>
      <c r="CZ928" s="141" t="str">
        <v>51952510 Elementos de aseo</v>
      </c>
      <c r="DA928" s="141" t="str">
        <v>51952510 Elementos de aseo</v>
      </c>
      <c r="DF928" t="str">
        <v>51952510 Elementos de aseo</v>
      </c>
      <c r="DG928" t="str">
        <v>51952510 Elementos de aseo</v>
      </c>
      <c r="DH928" t="str">
        <v>51952510 Elementos de aseo</v>
      </c>
      <c r="DI928" t="str">
        <v>51952510 Elementos de aseo</v>
      </c>
      <c r="DJ928" t="str">
        <v>51952510 Elementos de aseo</v>
      </c>
      <c r="DK928" t="str">
        <v>51952510 Elementos de aseo</v>
      </c>
      <c r="DL928" t="str">
        <v>51952510 Elementos de aseo</v>
      </c>
      <c r="DM928" t="str">
        <v>51952510 Elementos de aseo</v>
      </c>
      <c r="DN928" t="str">
        <v>51952510 Elementos de aseo</v>
      </c>
      <c r="DO928" t="str">
        <v>51952510 Elementos de aseo</v>
      </c>
      <c r="DP928" t="str">
        <v>51952510 Elementos de aseo</v>
      </c>
    </row>
    <row r="929" spans="4:120" ht="12.75">
      <c r="D929" s="7">
        <v>519530</v>
      </c>
      <c r="E929" s="6" t="s">
        <v>530</v>
      </c>
      <c r="F929" s="5">
        <v>4</v>
      </c>
      <c r="G929" s="34" t="s">
        <v>830</v>
      </c>
      <c r="H929" s="8" t="s">
        <v>32</v>
      </c>
      <c r="I929" t="b">
        <f>+ISNUMBER(SEARCH('F-COMPRA'!$F$28,Tabla11[[#This Row],[Cuenta]],1))</f>
        <v>1</v>
      </c>
      <c r="J929" t="b">
        <f>+ISNUMBER(SEARCH('F-COMPRA'!$F$29,Tabla11[[#This Row],[Cuenta]],1))</f>
        <v>1</v>
      </c>
      <c r="K929" t="b">
        <f>+ISNUMBER(SEARCH('F-COMPRA'!$F$30,Tabla11[[#This Row],[Cuenta]],1))</f>
        <v>1</v>
      </c>
      <c r="L929" t="b">
        <f>+ISNUMBER(SEARCH('F-COMPRA'!$F$31,Tabla11[[#This Row],[Cuenta]],1))</f>
        <v>1</v>
      </c>
      <c r="M929" t="b">
        <f>+ISNUMBER(SEARCH('F-COMPRA'!$G$25,Tabla11[[#This Row],[Cuenta]],1))</f>
        <v>0</v>
      </c>
      <c r="N929" t="b">
        <f>+ISNUMBER(SEARCH(#REF!,Tabla11[[#This Row],[Cuenta]],1))</f>
        <v>0</v>
      </c>
      <c r="O929" t="b">
        <f>+ISNUMBER(SEARCH(#REF!,Tabla11[[#This Row],[Cuenta]],1))</f>
        <v>0</v>
      </c>
      <c r="P929" t="b">
        <f>+ISNUMBER(SEARCH('F-COMPRA'!$F$32,Tabla11[[#This Row],[Cuenta]],1))</f>
        <v>1</v>
      </c>
      <c r="Q929" t="b">
        <f>+ISNUMBER(SEARCH('F-COMPRA'!$F$33,Tabla11[[#This Row],[Cuenta]],1))</f>
        <v>1</v>
      </c>
      <c r="R929" t="b">
        <f>+ISNUMBER(SEARCH('F-COMPRA'!$F$34,Tabla11[[#This Row],[Cuenta]],1))</f>
        <v>1</v>
      </c>
      <c r="S929" t="b">
        <f>+ISNUMBER(SEARCH('F-COMPRA'!$F$35,Tabla11[[#This Row],[Cuenta]],1))</f>
        <v>1</v>
      </c>
      <c r="T929" t="b">
        <f>+ISNUMBER(SEARCH('F-COMPRA'!$F$36,Tabla11[[#This Row],[Cuenta]],1))</f>
        <v>1</v>
      </c>
      <c r="U929" t="b">
        <f>+ISNUMBER(SEARCH('F-COMPRA'!$F$37,Tabla11[[#This Row],[Cuenta]],1))</f>
        <v>1</v>
      </c>
      <c r="V929" t="b">
        <f>+ISNUMBER(SEARCH(#REF!,Tabla11[[#This Row],[Cuenta]],1))</f>
        <v>0</v>
      </c>
      <c r="W929" t="b">
        <f>+ISNUMBER(SEARCH('F-COMPRA'!#REF!,Tabla11[[#This Row],[Cuenta]],1))</f>
        <v>0</v>
      </c>
      <c r="X929" t="b">
        <f>+ISNUMBER(SEARCH('F-COMPRA'!#REF!,Tabla11[[#This Row],[Cuenta]],1))</f>
        <v>0</v>
      </c>
      <c r="Y929" t="b">
        <f>+ISNUMBER(SEARCH('F-COMPRA'!#REF!,Tabla11[[#This Row],[Cuenta]],1))</f>
        <v>0</v>
      </c>
      <c r="Z929" t="b">
        <f>+ISNUMBER(SEARCH('F-COMPRA'!#REF!,Tabla11[[#This Row],[Cuenta]],1))</f>
        <v>0</v>
      </c>
      <c r="AA929" t="b">
        <f>+ISNUMBER(SEARCH('F-COMPRA'!#REF!,Tabla11[[#This Row],[Cuenta]],1))</f>
        <v>0</v>
      </c>
      <c r="AB929" t="b">
        <f>+ISNUMBER(SEARCH('F-COMPRA'!#REF!,Tabla11[[#This Row],[Cuenta]],1))</f>
        <v>0</v>
      </c>
      <c r="AC929" t="b">
        <f>+ISNUMBER(SEARCH('F-COMPRA'!#REF!,Tabla11[[#This Row],[Cuenta]],1))</f>
        <v>0</v>
      </c>
      <c r="AD929" t="b">
        <f>+ISNUMBER(SEARCH('F-COMPRA'!#REF!,Tabla11[[#This Row],[Cuenta]],1))</f>
        <v>0</v>
      </c>
      <c r="AE929" t="b">
        <f>+ISNUMBER(SEARCH('F-COMPRA'!#REF!,Tabla11[[#This Row],[Cuenta]],1))</f>
        <v>0</v>
      </c>
      <c r="AF929" t="b">
        <f>+ISNUMBER(SEARCH('F-VTA'!$G$23,Tabla11[[#This Row],[Cuenta]],1))</f>
        <v>0</v>
      </c>
      <c r="AG929" t="b">
        <f>+ISNUMBER(SEARCH('F-VTA'!$G$24,Tabla11[[#This Row],[Cuenta]],1))</f>
        <v>0</v>
      </c>
      <c r="AH929" t="b">
        <f>+ISNUMBER(SEARCH('F-VTA'!$G$25,Tabla11[[#This Row],[Cuenta]],1))</f>
        <v>0</v>
      </c>
      <c r="AI929" t="b">
        <f>+ISNUMBER(SEARCH('F-VTA'!$F$28,Tabla11[[#This Row],[Cuenta]],1))</f>
        <v>1</v>
      </c>
      <c r="AJ929" t="b">
        <f>+ISNUMBER(SEARCH('F-VTA'!$F$29,Tabla11[[#This Row],[Cuenta]],1))</f>
        <v>1</v>
      </c>
      <c r="AK929" t="b">
        <f>+ISNUMBER(SEARCH('F-VTA'!$F$30,Tabla11[[#This Row],[Cuenta]],1))</f>
        <v>1</v>
      </c>
      <c r="AL929" t="b">
        <f>+ISNUMBER(SEARCH('F-VTA'!$F$31,Tabla11[[#This Row],[Cuenta]],1))</f>
        <v>1</v>
      </c>
      <c r="AM929" t="b">
        <f>+ISNUMBER(SEARCH('F-VTA'!$F$32,Tabla11[[#This Row],[Cuenta]],1))</f>
        <v>1</v>
      </c>
      <c r="AN929" t="b">
        <f>+ISNUMBER(SEARCH('F-VTA'!$F$33,Tabla11[[#This Row],[Cuenta]],1))</f>
        <v>1</v>
      </c>
      <c r="AO929" t="b">
        <f>+ISNUMBER(SEARCH('F-VTA'!$F$34,Tabla11[[#This Row],[Cuenta]],1))</f>
        <v>1</v>
      </c>
      <c r="AP929" t="b">
        <f>+ISNUMBER(SEARCH('F-VTA'!$F$35,Tabla11[[#This Row],[Cuenta]],1))</f>
        <v>1</v>
      </c>
      <c r="AQ929" t="b">
        <f>+ISNUMBER(SEARCH('F-VTA'!$F$36,Tabla11[[#This Row],[Cuenta]],1))</f>
        <v>1</v>
      </c>
      <c r="AR929" t="b">
        <f>+ISNUMBER(SEARCH(#REF!,Tabla11[[#This Row],[Cuenta]],1))</f>
        <v>0</v>
      </c>
      <c r="AS929" t="b">
        <f>+ISNUMBER(SEARCH(#REF!,Tabla11[[#This Row],[Cuenta]],1))</f>
        <v>0</v>
      </c>
      <c r="AT929" t="b">
        <f>+ISNUMBER(SEARCH(#REF!,Tabla11[[#This Row],[Cuenta]],1))</f>
        <v>0</v>
      </c>
      <c r="AU929" t="b">
        <f>+ISNUMBER(SEARCH('Conc. Ban.1'!$I$9,Tabla11[[#This Row],[Cuenta]],1))</f>
        <v>0</v>
      </c>
      <c r="AV929" t="b">
        <f>+ISNUMBER(SEARCH(CompConta!$F$21,Tabla11[[#This Row],[Cuenta]],1))</f>
        <v>1</v>
      </c>
      <c r="AW929" t="b">
        <f>+ISNUMBER(SEARCH(CompConta!$F$22,Tabla11[[#This Row],[Cuenta]],1))</f>
        <v>1</v>
      </c>
      <c r="AX929" t="b">
        <f>+ISNUMBER(SEARCH(CompConta!$F$23,Tabla11[[#This Row],[Cuenta]],1))</f>
        <v>1</v>
      </c>
      <c r="AY929" t="b">
        <f>+ISNUMBER(SEARCH(CompConta!$F$24,Tabla11[[#This Row],[Cuenta]],1))</f>
        <v>1</v>
      </c>
      <c r="AZ929" t="b">
        <f>+ISNUMBER(SEARCH(CompConta!$F$25,Tabla11[[#This Row],[Cuenta]],1))</f>
        <v>1</v>
      </c>
      <c r="BA929" t="b">
        <f>+ISNUMBER(SEARCH(CompConta!$F$26,Tabla11[[#This Row],[Cuenta]],1))</f>
        <v>1</v>
      </c>
      <c r="BB929" t="b">
        <f>+ISNUMBER(SEARCH(CompConta!$F$27,Tabla11[[#This Row],[Cuenta]],1))</f>
        <v>1</v>
      </c>
      <c r="BC929" t="b">
        <f>+ISNUMBER(SEARCH(CompConta!$F$28,Tabla11[[#This Row],[Cuenta]],1))</f>
        <v>1</v>
      </c>
      <c r="BD929" t="b">
        <f>+ISNUMBER(SEARCH(CompConta!$F$29,Tabla11[[#This Row],[Cuenta]],1))</f>
        <v>1</v>
      </c>
      <c r="BE929" t="b">
        <f>+ISNUMBER(SEARCH(CompConta!$F$30,Tabla11[[#This Row],[Cuenta]],1))</f>
        <v>1</v>
      </c>
      <c r="BF929" t="b">
        <f>+ISNUMBER(SEARCH('PAGO Compras'!$E$11,Tabla11[[#This Row],[Cuenta]],1))</f>
        <v>1</v>
      </c>
      <c r="BG929" t="b">
        <f>+ISNUMBER(SEARCH(#REF!,Tabla11[[#This Row],[Cuenta]],1))</f>
        <v>0</v>
      </c>
      <c r="BH929" t="b">
        <f>+ISNUMBER(SEARCH(#REF!,Tabla11[[#This Row],[Cuenta]],1))</f>
        <v>0</v>
      </c>
      <c r="BI929" t="b">
        <f>+ISNUMBER(SEARCH(#REF!,Tabla11[[#This Row],[Cuenta]],1))</f>
        <v>0</v>
      </c>
      <c r="BJ929" t="b">
        <f>+ISNUMBER(SEARCH(#REF!,Tabla11[[#This Row],[Cuenta]],1))</f>
        <v>0</v>
      </c>
      <c r="BS929" t="str">
        <v>519530 Útiles, papelería y fotocopias</v>
      </c>
      <c r="BT929" t="str">
        <v>519530 Útiles, papelería y fotocopias</v>
      </c>
      <c r="BU929" t="str">
        <v>519530 Útiles, papelería y fotocopias</v>
      </c>
      <c r="BV929" t="str">
        <v>519530 Útiles, papelería y fotocopias</v>
      </c>
      <c r="BZ929" t="str">
        <v>519530 Útiles, papelería y fotocopias</v>
      </c>
      <c r="CA929" t="str">
        <v>519530 Útiles, papelería y fotocopias</v>
      </c>
      <c r="CB929" t="str">
        <v>519530 Útiles, papelería y fotocopias</v>
      </c>
      <c r="CC929" t="str">
        <v>519530 Útiles, papelería y fotocopias</v>
      </c>
      <c r="CD929" t="str">
        <v>519530 Útiles, papelería y fotocopias</v>
      </c>
      <c r="CE929" t="str">
        <v>519530 Útiles, papelería y fotocopias</v>
      </c>
      <c r="CS929" s="141" t="str">
        <v>519530 Útiles, papelería y fotocopias</v>
      </c>
      <c r="CT929" s="141" t="str">
        <v>519530 Útiles, papelería y fotocopias</v>
      </c>
      <c r="CU929" s="141" t="str">
        <v>519530 Útiles, papelería y fotocopias</v>
      </c>
      <c r="CV929" s="141" t="str">
        <v>519530 Útiles, papelería y fotocopias</v>
      </c>
      <c r="CW929" s="141" t="str">
        <v>519530 Útiles, papelería y fotocopias</v>
      </c>
      <c r="CX929" s="141" t="str">
        <v>519530 Útiles, papelería y fotocopias</v>
      </c>
      <c r="CY929" s="141" t="str">
        <v>519530 Útiles, papelería y fotocopias</v>
      </c>
      <c r="CZ929" s="141" t="str">
        <v>519530 Útiles, papelería y fotocopias</v>
      </c>
      <c r="DA929" s="141" t="str">
        <v>519530 Útiles, papelería y fotocopias</v>
      </c>
      <c r="DF929" t="str">
        <v>519530 Útiles, papelería y fotocopias</v>
      </c>
      <c r="DG929" t="str">
        <v>519530 Útiles, papelería y fotocopias</v>
      </c>
      <c r="DH929" t="str">
        <v>519530 Útiles, papelería y fotocopias</v>
      </c>
      <c r="DI929" t="str">
        <v>519530 Útiles, papelería y fotocopias</v>
      </c>
      <c r="DJ929" t="str">
        <v>519530 Útiles, papelería y fotocopias</v>
      </c>
      <c r="DK929" t="str">
        <v>519530 Útiles, papelería y fotocopias</v>
      </c>
      <c r="DL929" t="str">
        <v>519530 Útiles, papelería y fotocopias</v>
      </c>
      <c r="DM929" t="str">
        <v>519530 Útiles, papelería y fotocopias</v>
      </c>
      <c r="DN929" t="str">
        <v>519530 Útiles, papelería y fotocopias</v>
      </c>
      <c r="DO929" t="str">
        <v>519530 Útiles, papelería y fotocopias</v>
      </c>
      <c r="DP929" t="str">
        <v>519530 Útiles, papelería y fotocopias</v>
      </c>
    </row>
    <row r="930" spans="4:120" ht="12.75">
      <c r="D930" s="7">
        <v>519535</v>
      </c>
      <c r="E930" s="6" t="s">
        <v>511</v>
      </c>
      <c r="F930" s="5">
        <v>4</v>
      </c>
      <c r="G930" s="34" t="s">
        <v>830</v>
      </c>
      <c r="H930" s="8" t="s">
        <v>32</v>
      </c>
      <c r="I930" t="b">
        <f>+ISNUMBER(SEARCH('F-COMPRA'!$F$28,Tabla11[[#This Row],[Cuenta]],1))</f>
        <v>1</v>
      </c>
      <c r="J930" t="b">
        <f>+ISNUMBER(SEARCH('F-COMPRA'!$F$29,Tabla11[[#This Row],[Cuenta]],1))</f>
        <v>1</v>
      </c>
      <c r="K930" t="b">
        <f>+ISNUMBER(SEARCH('F-COMPRA'!$F$30,Tabla11[[#This Row],[Cuenta]],1))</f>
        <v>1</v>
      </c>
      <c r="L930" t="b">
        <f>+ISNUMBER(SEARCH('F-COMPRA'!$F$31,Tabla11[[#This Row],[Cuenta]],1))</f>
        <v>1</v>
      </c>
      <c r="M930" t="b">
        <f>+ISNUMBER(SEARCH('F-COMPRA'!$G$25,Tabla11[[#This Row],[Cuenta]],1))</f>
        <v>0</v>
      </c>
      <c r="N930" t="b">
        <f>+ISNUMBER(SEARCH(#REF!,Tabla11[[#This Row],[Cuenta]],1))</f>
        <v>0</v>
      </c>
      <c r="O930" t="b">
        <f>+ISNUMBER(SEARCH(#REF!,Tabla11[[#This Row],[Cuenta]],1))</f>
        <v>0</v>
      </c>
      <c r="P930" t="b">
        <f>+ISNUMBER(SEARCH('F-COMPRA'!$F$32,Tabla11[[#This Row],[Cuenta]],1))</f>
        <v>1</v>
      </c>
      <c r="Q930" t="b">
        <f>+ISNUMBER(SEARCH('F-COMPRA'!$F$33,Tabla11[[#This Row],[Cuenta]],1))</f>
        <v>1</v>
      </c>
      <c r="R930" t="b">
        <f>+ISNUMBER(SEARCH('F-COMPRA'!$F$34,Tabla11[[#This Row],[Cuenta]],1))</f>
        <v>1</v>
      </c>
      <c r="S930" t="b">
        <f>+ISNUMBER(SEARCH('F-COMPRA'!$F$35,Tabla11[[#This Row],[Cuenta]],1))</f>
        <v>1</v>
      </c>
      <c r="T930" t="b">
        <f>+ISNUMBER(SEARCH('F-COMPRA'!$F$36,Tabla11[[#This Row],[Cuenta]],1))</f>
        <v>1</v>
      </c>
      <c r="U930" t="b">
        <f>+ISNUMBER(SEARCH('F-COMPRA'!$F$37,Tabla11[[#This Row],[Cuenta]],1))</f>
        <v>1</v>
      </c>
      <c r="V930" t="b">
        <f>+ISNUMBER(SEARCH(#REF!,Tabla11[[#This Row],[Cuenta]],1))</f>
        <v>0</v>
      </c>
      <c r="W930" t="b">
        <f>+ISNUMBER(SEARCH('F-COMPRA'!#REF!,Tabla11[[#This Row],[Cuenta]],1))</f>
        <v>0</v>
      </c>
      <c r="X930" t="b">
        <f>+ISNUMBER(SEARCH('F-COMPRA'!#REF!,Tabla11[[#This Row],[Cuenta]],1))</f>
        <v>0</v>
      </c>
      <c r="Y930" t="b">
        <f>+ISNUMBER(SEARCH('F-COMPRA'!#REF!,Tabla11[[#This Row],[Cuenta]],1))</f>
        <v>0</v>
      </c>
      <c r="Z930" t="b">
        <f>+ISNUMBER(SEARCH('F-COMPRA'!#REF!,Tabla11[[#This Row],[Cuenta]],1))</f>
        <v>0</v>
      </c>
      <c r="AA930" t="b">
        <f>+ISNUMBER(SEARCH('F-COMPRA'!#REF!,Tabla11[[#This Row],[Cuenta]],1))</f>
        <v>0</v>
      </c>
      <c r="AB930" t="b">
        <f>+ISNUMBER(SEARCH('F-COMPRA'!#REF!,Tabla11[[#This Row],[Cuenta]],1))</f>
        <v>0</v>
      </c>
      <c r="AC930" t="b">
        <f>+ISNUMBER(SEARCH('F-COMPRA'!#REF!,Tabla11[[#This Row],[Cuenta]],1))</f>
        <v>0</v>
      </c>
      <c r="AD930" t="b">
        <f>+ISNUMBER(SEARCH('F-COMPRA'!#REF!,Tabla11[[#This Row],[Cuenta]],1))</f>
        <v>0</v>
      </c>
      <c r="AE930" t="b">
        <f>+ISNUMBER(SEARCH('F-COMPRA'!#REF!,Tabla11[[#This Row],[Cuenta]],1))</f>
        <v>0</v>
      </c>
      <c r="AF930" t="b">
        <f>+ISNUMBER(SEARCH('F-VTA'!$G$23,Tabla11[[#This Row],[Cuenta]],1))</f>
        <v>0</v>
      </c>
      <c r="AG930" t="b">
        <f>+ISNUMBER(SEARCH('F-VTA'!$G$24,Tabla11[[#This Row],[Cuenta]],1))</f>
        <v>0</v>
      </c>
      <c r="AH930" t="b">
        <f>+ISNUMBER(SEARCH('F-VTA'!$G$25,Tabla11[[#This Row],[Cuenta]],1))</f>
        <v>0</v>
      </c>
      <c r="AI930" t="b">
        <f>+ISNUMBER(SEARCH('F-VTA'!$F$28,Tabla11[[#This Row],[Cuenta]],1))</f>
        <v>1</v>
      </c>
      <c r="AJ930" t="b">
        <f>+ISNUMBER(SEARCH('F-VTA'!$F$29,Tabla11[[#This Row],[Cuenta]],1))</f>
        <v>1</v>
      </c>
      <c r="AK930" t="b">
        <f>+ISNUMBER(SEARCH('F-VTA'!$F$30,Tabla11[[#This Row],[Cuenta]],1))</f>
        <v>1</v>
      </c>
      <c r="AL930" t="b">
        <f>+ISNUMBER(SEARCH('F-VTA'!$F$31,Tabla11[[#This Row],[Cuenta]],1))</f>
        <v>1</v>
      </c>
      <c r="AM930" t="b">
        <f>+ISNUMBER(SEARCH('F-VTA'!$F$32,Tabla11[[#This Row],[Cuenta]],1))</f>
        <v>1</v>
      </c>
      <c r="AN930" t="b">
        <f>+ISNUMBER(SEARCH('F-VTA'!$F$33,Tabla11[[#This Row],[Cuenta]],1))</f>
        <v>1</v>
      </c>
      <c r="AO930" t="b">
        <f>+ISNUMBER(SEARCH('F-VTA'!$F$34,Tabla11[[#This Row],[Cuenta]],1))</f>
        <v>1</v>
      </c>
      <c r="AP930" t="b">
        <f>+ISNUMBER(SEARCH('F-VTA'!$F$35,Tabla11[[#This Row],[Cuenta]],1))</f>
        <v>1</v>
      </c>
      <c r="AQ930" t="b">
        <f>+ISNUMBER(SEARCH('F-VTA'!$F$36,Tabla11[[#This Row],[Cuenta]],1))</f>
        <v>1</v>
      </c>
      <c r="AR930" t="b">
        <f>+ISNUMBER(SEARCH(#REF!,Tabla11[[#This Row],[Cuenta]],1))</f>
        <v>0</v>
      </c>
      <c r="AS930" t="b">
        <f>+ISNUMBER(SEARCH(#REF!,Tabla11[[#This Row],[Cuenta]],1))</f>
        <v>0</v>
      </c>
      <c r="AT930" t="b">
        <f>+ISNUMBER(SEARCH(#REF!,Tabla11[[#This Row],[Cuenta]],1))</f>
        <v>0</v>
      </c>
      <c r="AU930" t="b">
        <f>+ISNUMBER(SEARCH('Conc. Ban.1'!$I$9,Tabla11[[#This Row],[Cuenta]],1))</f>
        <v>0</v>
      </c>
      <c r="AV930" t="b">
        <f>+ISNUMBER(SEARCH(CompConta!$F$21,Tabla11[[#This Row],[Cuenta]],1))</f>
        <v>1</v>
      </c>
      <c r="AW930" t="b">
        <f>+ISNUMBER(SEARCH(CompConta!$F$22,Tabla11[[#This Row],[Cuenta]],1))</f>
        <v>1</v>
      </c>
      <c r="AX930" t="b">
        <f>+ISNUMBER(SEARCH(CompConta!$F$23,Tabla11[[#This Row],[Cuenta]],1))</f>
        <v>1</v>
      </c>
      <c r="AY930" t="b">
        <f>+ISNUMBER(SEARCH(CompConta!$F$24,Tabla11[[#This Row],[Cuenta]],1))</f>
        <v>1</v>
      </c>
      <c r="AZ930" t="b">
        <f>+ISNUMBER(SEARCH(CompConta!$F$25,Tabla11[[#This Row],[Cuenta]],1))</f>
        <v>1</v>
      </c>
      <c r="BA930" t="b">
        <f>+ISNUMBER(SEARCH(CompConta!$F$26,Tabla11[[#This Row],[Cuenta]],1))</f>
        <v>1</v>
      </c>
      <c r="BB930" t="b">
        <f>+ISNUMBER(SEARCH(CompConta!$F$27,Tabla11[[#This Row],[Cuenta]],1))</f>
        <v>1</v>
      </c>
      <c r="BC930" t="b">
        <f>+ISNUMBER(SEARCH(CompConta!$F$28,Tabla11[[#This Row],[Cuenta]],1))</f>
        <v>1</v>
      </c>
      <c r="BD930" t="b">
        <f>+ISNUMBER(SEARCH(CompConta!$F$29,Tabla11[[#This Row],[Cuenta]],1))</f>
        <v>1</v>
      </c>
      <c r="BE930" t="b">
        <f>+ISNUMBER(SEARCH(CompConta!$F$30,Tabla11[[#This Row],[Cuenta]],1))</f>
        <v>1</v>
      </c>
      <c r="BF930" t="b">
        <f>+ISNUMBER(SEARCH('PAGO Compras'!$E$11,Tabla11[[#This Row],[Cuenta]],1))</f>
        <v>1</v>
      </c>
      <c r="BG930" t="b">
        <f>+ISNUMBER(SEARCH(#REF!,Tabla11[[#This Row],[Cuenta]],1))</f>
        <v>0</v>
      </c>
      <c r="BH930" t="b">
        <f>+ISNUMBER(SEARCH(#REF!,Tabla11[[#This Row],[Cuenta]],1))</f>
        <v>0</v>
      </c>
      <c r="BI930" t="b">
        <f>+ISNUMBER(SEARCH(#REF!,Tabla11[[#This Row],[Cuenta]],1))</f>
        <v>0</v>
      </c>
      <c r="BJ930" t="b">
        <f>+ISNUMBER(SEARCH(#REF!,Tabla11[[#This Row],[Cuenta]],1))</f>
        <v>0</v>
      </c>
      <c r="BS930" t="str">
        <v>519535 Combustibles y lubricantes</v>
      </c>
      <c r="BT930" t="str">
        <v>519535 Combustibles y lubricantes</v>
      </c>
      <c r="BU930" t="str">
        <v>519535 Combustibles y lubricantes</v>
      </c>
      <c r="BV930" t="str">
        <v>519535 Combustibles y lubricantes</v>
      </c>
      <c r="BZ930" t="str">
        <v>519535 Combustibles y lubricantes</v>
      </c>
      <c r="CA930" t="str">
        <v>519535 Combustibles y lubricantes</v>
      </c>
      <c r="CB930" t="str">
        <v>519535 Combustibles y lubricantes</v>
      </c>
      <c r="CC930" t="str">
        <v>519535 Combustibles y lubricantes</v>
      </c>
      <c r="CD930" t="str">
        <v>519535 Combustibles y lubricantes</v>
      </c>
      <c r="CE930" t="str">
        <v>519535 Combustibles y lubricantes</v>
      </c>
      <c r="CS930" s="141" t="str">
        <v>519535 Combustibles y lubricantes</v>
      </c>
      <c r="CT930" s="141" t="str">
        <v>519535 Combustibles y lubricantes</v>
      </c>
      <c r="CU930" s="141" t="str">
        <v>519535 Combustibles y lubricantes</v>
      </c>
      <c r="CV930" s="141" t="str">
        <v>519535 Combustibles y lubricantes</v>
      </c>
      <c r="CW930" s="141" t="str">
        <v>519535 Combustibles y lubricantes</v>
      </c>
      <c r="CX930" s="141" t="str">
        <v>519535 Combustibles y lubricantes</v>
      </c>
      <c r="CY930" s="141" t="str">
        <v>519535 Combustibles y lubricantes</v>
      </c>
      <c r="CZ930" s="141" t="str">
        <v>519535 Combustibles y lubricantes</v>
      </c>
      <c r="DA930" s="141" t="str">
        <v>519535 Combustibles y lubricantes</v>
      </c>
      <c r="DF930" t="str">
        <v>519535 Combustibles y lubricantes</v>
      </c>
      <c r="DG930" t="str">
        <v>519535 Combustibles y lubricantes</v>
      </c>
      <c r="DH930" t="str">
        <v>519535 Combustibles y lubricantes</v>
      </c>
      <c r="DI930" t="str">
        <v>519535 Combustibles y lubricantes</v>
      </c>
      <c r="DJ930" t="str">
        <v>519535 Combustibles y lubricantes</v>
      </c>
      <c r="DK930" t="str">
        <v>519535 Combustibles y lubricantes</v>
      </c>
      <c r="DL930" t="str">
        <v>519535 Combustibles y lubricantes</v>
      </c>
      <c r="DM930" t="str">
        <v>519535 Combustibles y lubricantes</v>
      </c>
      <c r="DN930" t="str">
        <v>519535 Combustibles y lubricantes</v>
      </c>
      <c r="DO930" t="str">
        <v>519535 Combustibles y lubricantes</v>
      </c>
      <c r="DP930" t="str">
        <v>519535 Combustibles y lubricantes</v>
      </c>
    </row>
    <row r="931" spans="4:120" ht="12.75">
      <c r="D931" s="7">
        <v>519536</v>
      </c>
      <c r="E931" s="6" t="s">
        <v>807</v>
      </c>
      <c r="F931" s="5">
        <v>4</v>
      </c>
      <c r="G931" s="34" t="s">
        <v>830</v>
      </c>
      <c r="H931" s="8" t="s">
        <v>32</v>
      </c>
      <c r="I931" t="b">
        <f>+ISNUMBER(SEARCH('F-COMPRA'!$F$28,Tabla11[[#This Row],[Cuenta]],1))</f>
        <v>1</v>
      </c>
      <c r="J931" t="b">
        <f>+ISNUMBER(SEARCH('F-COMPRA'!$F$29,Tabla11[[#This Row],[Cuenta]],1))</f>
        <v>1</v>
      </c>
      <c r="K931" t="b">
        <f>+ISNUMBER(SEARCH('F-COMPRA'!$F$30,Tabla11[[#This Row],[Cuenta]],1))</f>
        <v>1</v>
      </c>
      <c r="L931" t="b">
        <f>+ISNUMBER(SEARCH('F-COMPRA'!$F$31,Tabla11[[#This Row],[Cuenta]],1))</f>
        <v>1</v>
      </c>
      <c r="M931" t="b">
        <f>+ISNUMBER(SEARCH('F-COMPRA'!$G$25,Tabla11[[#This Row],[Cuenta]],1))</f>
        <v>0</v>
      </c>
      <c r="N931" t="b">
        <f>+ISNUMBER(SEARCH(#REF!,Tabla11[[#This Row],[Cuenta]],1))</f>
        <v>0</v>
      </c>
      <c r="O931" t="b">
        <f>+ISNUMBER(SEARCH(#REF!,Tabla11[[#This Row],[Cuenta]],1))</f>
        <v>0</v>
      </c>
      <c r="P931" t="b">
        <f>+ISNUMBER(SEARCH('F-COMPRA'!$F$32,Tabla11[[#This Row],[Cuenta]],1))</f>
        <v>1</v>
      </c>
      <c r="Q931" t="b">
        <f>+ISNUMBER(SEARCH('F-COMPRA'!$F$33,Tabla11[[#This Row],[Cuenta]],1))</f>
        <v>1</v>
      </c>
      <c r="R931" t="b">
        <f>+ISNUMBER(SEARCH('F-COMPRA'!$F$34,Tabla11[[#This Row],[Cuenta]],1))</f>
        <v>1</v>
      </c>
      <c r="S931" t="b">
        <f>+ISNUMBER(SEARCH('F-COMPRA'!$F$35,Tabla11[[#This Row],[Cuenta]],1))</f>
        <v>1</v>
      </c>
      <c r="T931" t="b">
        <f>+ISNUMBER(SEARCH('F-COMPRA'!$F$36,Tabla11[[#This Row],[Cuenta]],1))</f>
        <v>1</v>
      </c>
      <c r="U931" t="b">
        <f>+ISNUMBER(SEARCH('F-COMPRA'!$F$37,Tabla11[[#This Row],[Cuenta]],1))</f>
        <v>1</v>
      </c>
      <c r="V931" t="b">
        <f>+ISNUMBER(SEARCH(#REF!,Tabla11[[#This Row],[Cuenta]],1))</f>
        <v>0</v>
      </c>
      <c r="W931" t="b">
        <f>+ISNUMBER(SEARCH('F-COMPRA'!#REF!,Tabla11[[#This Row],[Cuenta]],1))</f>
        <v>0</v>
      </c>
      <c r="X931" t="b">
        <f>+ISNUMBER(SEARCH('F-COMPRA'!#REF!,Tabla11[[#This Row],[Cuenta]],1))</f>
        <v>0</v>
      </c>
      <c r="Y931" t="b">
        <f>+ISNUMBER(SEARCH('F-COMPRA'!#REF!,Tabla11[[#This Row],[Cuenta]],1))</f>
        <v>0</v>
      </c>
      <c r="Z931" t="b">
        <f>+ISNUMBER(SEARCH('F-COMPRA'!#REF!,Tabla11[[#This Row],[Cuenta]],1))</f>
        <v>0</v>
      </c>
      <c r="AA931" t="b">
        <f>+ISNUMBER(SEARCH('F-COMPRA'!#REF!,Tabla11[[#This Row],[Cuenta]],1))</f>
        <v>0</v>
      </c>
      <c r="AB931" t="b">
        <f>+ISNUMBER(SEARCH('F-COMPRA'!#REF!,Tabla11[[#This Row],[Cuenta]],1))</f>
        <v>0</v>
      </c>
      <c r="AC931" t="b">
        <f>+ISNUMBER(SEARCH('F-COMPRA'!#REF!,Tabla11[[#This Row],[Cuenta]],1))</f>
        <v>0</v>
      </c>
      <c r="AD931" t="b">
        <f>+ISNUMBER(SEARCH('F-COMPRA'!#REF!,Tabla11[[#This Row],[Cuenta]],1))</f>
        <v>0</v>
      </c>
      <c r="AE931" t="b">
        <f>+ISNUMBER(SEARCH('F-COMPRA'!#REF!,Tabla11[[#This Row],[Cuenta]],1))</f>
        <v>0</v>
      </c>
      <c r="AF931" t="b">
        <f>+ISNUMBER(SEARCH('F-VTA'!$G$23,Tabla11[[#This Row],[Cuenta]],1))</f>
        <v>0</v>
      </c>
      <c r="AG931" t="b">
        <f>+ISNUMBER(SEARCH('F-VTA'!$G$24,Tabla11[[#This Row],[Cuenta]],1))</f>
        <v>0</v>
      </c>
      <c r="AH931" t="b">
        <f>+ISNUMBER(SEARCH('F-VTA'!$G$25,Tabla11[[#This Row],[Cuenta]],1))</f>
        <v>0</v>
      </c>
      <c r="AI931" t="b">
        <f>+ISNUMBER(SEARCH('F-VTA'!$F$28,Tabla11[[#This Row],[Cuenta]],1))</f>
        <v>1</v>
      </c>
      <c r="AJ931" t="b">
        <f>+ISNUMBER(SEARCH('F-VTA'!$F$29,Tabla11[[#This Row],[Cuenta]],1))</f>
        <v>1</v>
      </c>
      <c r="AK931" t="b">
        <f>+ISNUMBER(SEARCH('F-VTA'!$F$30,Tabla11[[#This Row],[Cuenta]],1))</f>
        <v>1</v>
      </c>
      <c r="AL931" t="b">
        <f>+ISNUMBER(SEARCH('F-VTA'!$F$31,Tabla11[[#This Row],[Cuenta]],1))</f>
        <v>1</v>
      </c>
      <c r="AM931" t="b">
        <f>+ISNUMBER(SEARCH('F-VTA'!$F$32,Tabla11[[#This Row],[Cuenta]],1))</f>
        <v>1</v>
      </c>
      <c r="AN931" t="b">
        <f>+ISNUMBER(SEARCH('F-VTA'!$F$33,Tabla11[[#This Row],[Cuenta]],1))</f>
        <v>1</v>
      </c>
      <c r="AO931" t="b">
        <f>+ISNUMBER(SEARCH('F-VTA'!$F$34,Tabla11[[#This Row],[Cuenta]],1))</f>
        <v>1</v>
      </c>
      <c r="AP931" t="b">
        <f>+ISNUMBER(SEARCH('F-VTA'!$F$35,Tabla11[[#This Row],[Cuenta]],1))</f>
        <v>1</v>
      </c>
      <c r="AQ931" t="b">
        <f>+ISNUMBER(SEARCH('F-VTA'!$F$36,Tabla11[[#This Row],[Cuenta]],1))</f>
        <v>1</v>
      </c>
      <c r="AR931" t="b">
        <f>+ISNUMBER(SEARCH(#REF!,Tabla11[[#This Row],[Cuenta]],1))</f>
        <v>0</v>
      </c>
      <c r="AS931" t="b">
        <f>+ISNUMBER(SEARCH(#REF!,Tabla11[[#This Row],[Cuenta]],1))</f>
        <v>0</v>
      </c>
      <c r="AT931" t="b">
        <f>+ISNUMBER(SEARCH(#REF!,Tabla11[[#This Row],[Cuenta]],1))</f>
        <v>0</v>
      </c>
      <c r="AU931" t="b">
        <f>+ISNUMBER(SEARCH('Conc. Ban.1'!$I$9,Tabla11[[#This Row],[Cuenta]],1))</f>
        <v>0</v>
      </c>
      <c r="AV931" t="b">
        <f>+ISNUMBER(SEARCH(CompConta!$F$21,Tabla11[[#This Row],[Cuenta]],1))</f>
        <v>1</v>
      </c>
      <c r="AW931" t="b">
        <f>+ISNUMBER(SEARCH(CompConta!$F$22,Tabla11[[#This Row],[Cuenta]],1))</f>
        <v>1</v>
      </c>
      <c r="AX931" t="b">
        <f>+ISNUMBER(SEARCH(CompConta!$F$23,Tabla11[[#This Row],[Cuenta]],1))</f>
        <v>1</v>
      </c>
      <c r="AY931" t="b">
        <f>+ISNUMBER(SEARCH(CompConta!$F$24,Tabla11[[#This Row],[Cuenta]],1))</f>
        <v>1</v>
      </c>
      <c r="AZ931" t="b">
        <f>+ISNUMBER(SEARCH(CompConta!$F$25,Tabla11[[#This Row],[Cuenta]],1))</f>
        <v>1</v>
      </c>
      <c r="BA931" t="b">
        <f>+ISNUMBER(SEARCH(CompConta!$F$26,Tabla11[[#This Row],[Cuenta]],1))</f>
        <v>1</v>
      </c>
      <c r="BB931" t="b">
        <f>+ISNUMBER(SEARCH(CompConta!$F$27,Tabla11[[#This Row],[Cuenta]],1))</f>
        <v>1</v>
      </c>
      <c r="BC931" t="b">
        <f>+ISNUMBER(SEARCH(CompConta!$F$28,Tabla11[[#This Row],[Cuenta]],1))</f>
        <v>1</v>
      </c>
      <c r="BD931" t="b">
        <f>+ISNUMBER(SEARCH(CompConta!$F$29,Tabla11[[#This Row],[Cuenta]],1))</f>
        <v>1</v>
      </c>
      <c r="BE931" t="b">
        <f>+ISNUMBER(SEARCH(CompConta!$F$30,Tabla11[[#This Row],[Cuenta]],1))</f>
        <v>1</v>
      </c>
      <c r="BF931" t="b">
        <f>+ISNUMBER(SEARCH('PAGO Compras'!$E$11,Tabla11[[#This Row],[Cuenta]],1))</f>
        <v>1</v>
      </c>
      <c r="BG931" t="b">
        <f>+ISNUMBER(SEARCH(#REF!,Tabla11[[#This Row],[Cuenta]],1))</f>
        <v>0</v>
      </c>
      <c r="BH931" t="b">
        <f>+ISNUMBER(SEARCH(#REF!,Tabla11[[#This Row],[Cuenta]],1))</f>
        <v>0</v>
      </c>
      <c r="BI931" t="b">
        <f>+ISNUMBER(SEARCH(#REF!,Tabla11[[#This Row],[Cuenta]],1))</f>
        <v>0</v>
      </c>
      <c r="BJ931" t="b">
        <f>+ISNUMBER(SEARCH(#REF!,Tabla11[[#This Row],[Cuenta]],1))</f>
        <v>0</v>
      </c>
      <c r="BS931" t="str">
        <v>519536 Retenes y Peajes</v>
      </c>
      <c r="BT931" t="str">
        <v>519536 Retenes y Peajes</v>
      </c>
      <c r="BU931" t="str">
        <v>519536 Retenes y Peajes</v>
      </c>
      <c r="BV931" t="str">
        <v>519536 Retenes y Peajes</v>
      </c>
      <c r="BZ931" t="str">
        <v>519536 Retenes y Peajes</v>
      </c>
      <c r="CA931" t="str">
        <v>519536 Retenes y Peajes</v>
      </c>
      <c r="CB931" t="str">
        <v>519536 Retenes y Peajes</v>
      </c>
      <c r="CC931" t="str">
        <v>519536 Retenes y Peajes</v>
      </c>
      <c r="CD931" t="str">
        <v>519536 Retenes y Peajes</v>
      </c>
      <c r="CE931" t="str">
        <v>519536 Retenes y Peajes</v>
      </c>
      <c r="CS931" s="141" t="str">
        <v>519536 Retenes y Peajes</v>
      </c>
      <c r="CT931" s="141" t="str">
        <v>519536 Retenes y Peajes</v>
      </c>
      <c r="CU931" s="141" t="str">
        <v>519536 Retenes y Peajes</v>
      </c>
      <c r="CV931" s="141" t="str">
        <v>519536 Retenes y Peajes</v>
      </c>
      <c r="CW931" s="141" t="str">
        <v>519536 Retenes y Peajes</v>
      </c>
      <c r="CX931" s="141" t="str">
        <v>519536 Retenes y Peajes</v>
      </c>
      <c r="CY931" s="141" t="str">
        <v>519536 Retenes y Peajes</v>
      </c>
      <c r="CZ931" s="141" t="str">
        <v>519536 Retenes y Peajes</v>
      </c>
      <c r="DA931" s="141" t="str">
        <v>519536 Retenes y Peajes</v>
      </c>
      <c r="DF931" t="str">
        <v>519536 Retenes y Peajes</v>
      </c>
      <c r="DG931" t="str">
        <v>519536 Retenes y Peajes</v>
      </c>
      <c r="DH931" t="str">
        <v>519536 Retenes y Peajes</v>
      </c>
      <c r="DI931" t="str">
        <v>519536 Retenes y Peajes</v>
      </c>
      <c r="DJ931" t="str">
        <v>519536 Retenes y Peajes</v>
      </c>
      <c r="DK931" t="str">
        <v>519536 Retenes y Peajes</v>
      </c>
      <c r="DL931" t="str">
        <v>519536 Retenes y Peajes</v>
      </c>
      <c r="DM931" t="str">
        <v>519536 Retenes y Peajes</v>
      </c>
      <c r="DN931" t="str">
        <v>519536 Retenes y Peajes</v>
      </c>
      <c r="DO931" t="str">
        <v>519536 Retenes y Peajes</v>
      </c>
      <c r="DP931" t="str">
        <v>519536 Retenes y Peajes</v>
      </c>
    </row>
    <row r="932" spans="4:120" ht="12.75">
      <c r="D932" s="7">
        <v>519540</v>
      </c>
      <c r="E932" s="6" t="s">
        <v>213</v>
      </c>
      <c r="F932" s="5">
        <v>4</v>
      </c>
      <c r="G932" s="34" t="s">
        <v>830</v>
      </c>
      <c r="H932" s="8" t="s">
        <v>32</v>
      </c>
      <c r="I932" t="b">
        <f>+ISNUMBER(SEARCH('F-COMPRA'!$F$28,Tabla11[[#This Row],[Cuenta]],1))</f>
        <v>1</v>
      </c>
      <c r="J932" t="b">
        <f>+ISNUMBER(SEARCH('F-COMPRA'!$F$29,Tabla11[[#This Row],[Cuenta]],1))</f>
        <v>1</v>
      </c>
      <c r="K932" t="b">
        <f>+ISNUMBER(SEARCH('F-COMPRA'!$F$30,Tabla11[[#This Row],[Cuenta]],1))</f>
        <v>1</v>
      </c>
      <c r="L932" t="b">
        <f>+ISNUMBER(SEARCH('F-COMPRA'!$F$31,Tabla11[[#This Row],[Cuenta]],1))</f>
        <v>1</v>
      </c>
      <c r="M932" t="b">
        <f>+ISNUMBER(SEARCH('F-COMPRA'!$G$25,Tabla11[[#This Row],[Cuenta]],1))</f>
        <v>0</v>
      </c>
      <c r="N932" t="b">
        <f>+ISNUMBER(SEARCH(#REF!,Tabla11[[#This Row],[Cuenta]],1))</f>
        <v>0</v>
      </c>
      <c r="O932" t="b">
        <f>+ISNUMBER(SEARCH(#REF!,Tabla11[[#This Row],[Cuenta]],1))</f>
        <v>0</v>
      </c>
      <c r="P932" t="b">
        <f>+ISNUMBER(SEARCH('F-COMPRA'!$F$32,Tabla11[[#This Row],[Cuenta]],1))</f>
        <v>1</v>
      </c>
      <c r="Q932" t="b">
        <f>+ISNUMBER(SEARCH('F-COMPRA'!$F$33,Tabla11[[#This Row],[Cuenta]],1))</f>
        <v>1</v>
      </c>
      <c r="R932" t="b">
        <f>+ISNUMBER(SEARCH('F-COMPRA'!$F$34,Tabla11[[#This Row],[Cuenta]],1))</f>
        <v>1</v>
      </c>
      <c r="S932" t="b">
        <f>+ISNUMBER(SEARCH('F-COMPRA'!$F$35,Tabla11[[#This Row],[Cuenta]],1))</f>
        <v>1</v>
      </c>
      <c r="T932" t="b">
        <f>+ISNUMBER(SEARCH('F-COMPRA'!$F$36,Tabla11[[#This Row],[Cuenta]],1))</f>
        <v>1</v>
      </c>
      <c r="U932" t="b">
        <f>+ISNUMBER(SEARCH('F-COMPRA'!$F$37,Tabla11[[#This Row],[Cuenta]],1))</f>
        <v>1</v>
      </c>
      <c r="V932" t="b">
        <f>+ISNUMBER(SEARCH(#REF!,Tabla11[[#This Row],[Cuenta]],1))</f>
        <v>0</v>
      </c>
      <c r="W932" t="b">
        <f>+ISNUMBER(SEARCH('F-COMPRA'!#REF!,Tabla11[[#This Row],[Cuenta]],1))</f>
        <v>0</v>
      </c>
      <c r="X932" t="b">
        <f>+ISNUMBER(SEARCH('F-COMPRA'!#REF!,Tabla11[[#This Row],[Cuenta]],1))</f>
        <v>0</v>
      </c>
      <c r="Y932" t="b">
        <f>+ISNUMBER(SEARCH('F-COMPRA'!#REF!,Tabla11[[#This Row],[Cuenta]],1))</f>
        <v>0</v>
      </c>
      <c r="Z932" t="b">
        <f>+ISNUMBER(SEARCH('F-COMPRA'!#REF!,Tabla11[[#This Row],[Cuenta]],1))</f>
        <v>0</v>
      </c>
      <c r="AA932" t="b">
        <f>+ISNUMBER(SEARCH('F-COMPRA'!#REF!,Tabla11[[#This Row],[Cuenta]],1))</f>
        <v>0</v>
      </c>
      <c r="AB932" t="b">
        <f>+ISNUMBER(SEARCH('F-COMPRA'!#REF!,Tabla11[[#This Row],[Cuenta]],1))</f>
        <v>0</v>
      </c>
      <c r="AC932" t="b">
        <f>+ISNUMBER(SEARCH('F-COMPRA'!#REF!,Tabla11[[#This Row],[Cuenta]],1))</f>
        <v>0</v>
      </c>
      <c r="AD932" t="b">
        <f>+ISNUMBER(SEARCH('F-COMPRA'!#REF!,Tabla11[[#This Row],[Cuenta]],1))</f>
        <v>0</v>
      </c>
      <c r="AE932" t="b">
        <f>+ISNUMBER(SEARCH('F-COMPRA'!#REF!,Tabla11[[#This Row],[Cuenta]],1))</f>
        <v>0</v>
      </c>
      <c r="AF932" t="b">
        <f>+ISNUMBER(SEARCH('F-VTA'!$G$23,Tabla11[[#This Row],[Cuenta]],1))</f>
        <v>0</v>
      </c>
      <c r="AG932" t="b">
        <f>+ISNUMBER(SEARCH('F-VTA'!$G$24,Tabla11[[#This Row],[Cuenta]],1))</f>
        <v>0</v>
      </c>
      <c r="AH932" t="b">
        <f>+ISNUMBER(SEARCH('F-VTA'!$G$25,Tabla11[[#This Row],[Cuenta]],1))</f>
        <v>0</v>
      </c>
      <c r="AI932" t="b">
        <f>+ISNUMBER(SEARCH('F-VTA'!$F$28,Tabla11[[#This Row],[Cuenta]],1))</f>
        <v>1</v>
      </c>
      <c r="AJ932" t="b">
        <f>+ISNUMBER(SEARCH('F-VTA'!$F$29,Tabla11[[#This Row],[Cuenta]],1))</f>
        <v>1</v>
      </c>
      <c r="AK932" t="b">
        <f>+ISNUMBER(SEARCH('F-VTA'!$F$30,Tabla11[[#This Row],[Cuenta]],1))</f>
        <v>1</v>
      </c>
      <c r="AL932" t="b">
        <f>+ISNUMBER(SEARCH('F-VTA'!$F$31,Tabla11[[#This Row],[Cuenta]],1))</f>
        <v>1</v>
      </c>
      <c r="AM932" t="b">
        <f>+ISNUMBER(SEARCH('F-VTA'!$F$32,Tabla11[[#This Row],[Cuenta]],1))</f>
        <v>1</v>
      </c>
      <c r="AN932" t="b">
        <f>+ISNUMBER(SEARCH('F-VTA'!$F$33,Tabla11[[#This Row],[Cuenta]],1))</f>
        <v>1</v>
      </c>
      <c r="AO932" t="b">
        <f>+ISNUMBER(SEARCH('F-VTA'!$F$34,Tabla11[[#This Row],[Cuenta]],1))</f>
        <v>1</v>
      </c>
      <c r="AP932" t="b">
        <f>+ISNUMBER(SEARCH('F-VTA'!$F$35,Tabla11[[#This Row],[Cuenta]],1))</f>
        <v>1</v>
      </c>
      <c r="AQ932" t="b">
        <f>+ISNUMBER(SEARCH('F-VTA'!$F$36,Tabla11[[#This Row],[Cuenta]],1))</f>
        <v>1</v>
      </c>
      <c r="AR932" t="b">
        <f>+ISNUMBER(SEARCH(#REF!,Tabla11[[#This Row],[Cuenta]],1))</f>
        <v>0</v>
      </c>
      <c r="AS932" t="b">
        <f>+ISNUMBER(SEARCH(#REF!,Tabla11[[#This Row],[Cuenta]],1))</f>
        <v>0</v>
      </c>
      <c r="AT932" t="b">
        <f>+ISNUMBER(SEARCH(#REF!,Tabla11[[#This Row],[Cuenta]],1))</f>
        <v>0</v>
      </c>
      <c r="AU932" t="b">
        <f>+ISNUMBER(SEARCH('Conc. Ban.1'!$I$9,Tabla11[[#This Row],[Cuenta]],1))</f>
        <v>0</v>
      </c>
      <c r="AV932" t="b">
        <f>+ISNUMBER(SEARCH(CompConta!$F$21,Tabla11[[#This Row],[Cuenta]],1))</f>
        <v>1</v>
      </c>
      <c r="AW932" t="b">
        <f>+ISNUMBER(SEARCH(CompConta!$F$22,Tabla11[[#This Row],[Cuenta]],1))</f>
        <v>1</v>
      </c>
      <c r="AX932" t="b">
        <f>+ISNUMBER(SEARCH(CompConta!$F$23,Tabla11[[#This Row],[Cuenta]],1))</f>
        <v>1</v>
      </c>
      <c r="AY932" t="b">
        <f>+ISNUMBER(SEARCH(CompConta!$F$24,Tabla11[[#This Row],[Cuenta]],1))</f>
        <v>1</v>
      </c>
      <c r="AZ932" t="b">
        <f>+ISNUMBER(SEARCH(CompConta!$F$25,Tabla11[[#This Row],[Cuenta]],1))</f>
        <v>1</v>
      </c>
      <c r="BA932" t="b">
        <f>+ISNUMBER(SEARCH(CompConta!$F$26,Tabla11[[#This Row],[Cuenta]],1))</f>
        <v>1</v>
      </c>
      <c r="BB932" t="b">
        <f>+ISNUMBER(SEARCH(CompConta!$F$27,Tabla11[[#This Row],[Cuenta]],1))</f>
        <v>1</v>
      </c>
      <c r="BC932" t="b">
        <f>+ISNUMBER(SEARCH(CompConta!$F$28,Tabla11[[#This Row],[Cuenta]],1))</f>
        <v>1</v>
      </c>
      <c r="BD932" t="b">
        <f>+ISNUMBER(SEARCH(CompConta!$F$29,Tabla11[[#This Row],[Cuenta]],1))</f>
        <v>1</v>
      </c>
      <c r="BE932" t="b">
        <f>+ISNUMBER(SEARCH(CompConta!$F$30,Tabla11[[#This Row],[Cuenta]],1))</f>
        <v>1</v>
      </c>
      <c r="BF932" t="b">
        <f>+ISNUMBER(SEARCH('PAGO Compras'!$E$11,Tabla11[[#This Row],[Cuenta]],1))</f>
        <v>1</v>
      </c>
      <c r="BG932" t="b">
        <f>+ISNUMBER(SEARCH(#REF!,Tabla11[[#This Row],[Cuenta]],1))</f>
        <v>0</v>
      </c>
      <c r="BH932" t="b">
        <f>+ISNUMBER(SEARCH(#REF!,Tabla11[[#This Row],[Cuenta]],1))</f>
        <v>0</v>
      </c>
      <c r="BI932" t="b">
        <f>+ISNUMBER(SEARCH(#REF!,Tabla11[[#This Row],[Cuenta]],1))</f>
        <v>0</v>
      </c>
      <c r="BJ932" t="b">
        <f>+ISNUMBER(SEARCH(#REF!,Tabla11[[#This Row],[Cuenta]],1))</f>
        <v>0</v>
      </c>
      <c r="BS932" t="str">
        <v>519540 Envases y empaques</v>
      </c>
      <c r="BT932" t="str">
        <v>519540 Envases y empaques</v>
      </c>
      <c r="BU932" t="str">
        <v>519540 Envases y empaques</v>
      </c>
      <c r="BV932" t="str">
        <v>519540 Envases y empaques</v>
      </c>
      <c r="BZ932" t="str">
        <v>519540 Envases y empaques</v>
      </c>
      <c r="CA932" t="str">
        <v>519540 Envases y empaques</v>
      </c>
      <c r="CB932" t="str">
        <v>519540 Envases y empaques</v>
      </c>
      <c r="CC932" t="str">
        <v>519540 Envases y empaques</v>
      </c>
      <c r="CD932" t="str">
        <v>519540 Envases y empaques</v>
      </c>
      <c r="CE932" t="str">
        <v>519540 Envases y empaques</v>
      </c>
      <c r="CS932" s="141" t="str">
        <v>519540 Envases y empaques</v>
      </c>
      <c r="CT932" s="141" t="str">
        <v>519540 Envases y empaques</v>
      </c>
      <c r="CU932" s="141" t="str">
        <v>519540 Envases y empaques</v>
      </c>
      <c r="CV932" s="141" t="str">
        <v>519540 Envases y empaques</v>
      </c>
      <c r="CW932" s="141" t="str">
        <v>519540 Envases y empaques</v>
      </c>
      <c r="CX932" s="141" t="str">
        <v>519540 Envases y empaques</v>
      </c>
      <c r="CY932" s="141" t="str">
        <v>519540 Envases y empaques</v>
      </c>
      <c r="CZ932" s="141" t="str">
        <v>519540 Envases y empaques</v>
      </c>
      <c r="DA932" s="141" t="str">
        <v>519540 Envases y empaques</v>
      </c>
      <c r="DF932" t="str">
        <v>519540 Envases y empaques</v>
      </c>
      <c r="DG932" t="str">
        <v>519540 Envases y empaques</v>
      </c>
      <c r="DH932" t="str">
        <v>519540 Envases y empaques</v>
      </c>
      <c r="DI932" t="str">
        <v>519540 Envases y empaques</v>
      </c>
      <c r="DJ932" t="str">
        <v>519540 Envases y empaques</v>
      </c>
      <c r="DK932" t="str">
        <v>519540 Envases y empaques</v>
      </c>
      <c r="DL932" t="str">
        <v>519540 Envases y empaques</v>
      </c>
      <c r="DM932" t="str">
        <v>519540 Envases y empaques</v>
      </c>
      <c r="DN932" t="str">
        <v>519540 Envases y empaques</v>
      </c>
      <c r="DO932" t="str">
        <v>519540 Envases y empaques</v>
      </c>
      <c r="DP932" t="str">
        <v>519540 Envases y empaques</v>
      </c>
    </row>
    <row r="933" spans="4:120" ht="12.75">
      <c r="D933" s="7">
        <v>519545</v>
      </c>
      <c r="E933" s="6" t="s">
        <v>615</v>
      </c>
      <c r="F933" s="5">
        <v>4</v>
      </c>
      <c r="G933" s="34" t="s">
        <v>830</v>
      </c>
      <c r="H933" s="8" t="s">
        <v>32</v>
      </c>
      <c r="I933" t="b">
        <f>+ISNUMBER(SEARCH('F-COMPRA'!$F$28,Tabla11[[#This Row],[Cuenta]],1))</f>
        <v>1</v>
      </c>
      <c r="J933" t="b">
        <f>+ISNUMBER(SEARCH('F-COMPRA'!$F$29,Tabla11[[#This Row],[Cuenta]],1))</f>
        <v>1</v>
      </c>
      <c r="K933" t="b">
        <f>+ISNUMBER(SEARCH('F-COMPRA'!$F$30,Tabla11[[#This Row],[Cuenta]],1))</f>
        <v>1</v>
      </c>
      <c r="L933" t="b">
        <f>+ISNUMBER(SEARCH('F-COMPRA'!$F$31,Tabla11[[#This Row],[Cuenta]],1))</f>
        <v>1</v>
      </c>
      <c r="M933" t="b">
        <f>+ISNUMBER(SEARCH('F-COMPRA'!$G$25,Tabla11[[#This Row],[Cuenta]],1))</f>
        <v>0</v>
      </c>
      <c r="N933" t="b">
        <f>+ISNUMBER(SEARCH(#REF!,Tabla11[[#This Row],[Cuenta]],1))</f>
        <v>0</v>
      </c>
      <c r="O933" t="b">
        <f>+ISNUMBER(SEARCH(#REF!,Tabla11[[#This Row],[Cuenta]],1))</f>
        <v>0</v>
      </c>
      <c r="P933" t="b">
        <f>+ISNUMBER(SEARCH('F-COMPRA'!$F$32,Tabla11[[#This Row],[Cuenta]],1))</f>
        <v>1</v>
      </c>
      <c r="Q933" t="b">
        <f>+ISNUMBER(SEARCH('F-COMPRA'!$F$33,Tabla11[[#This Row],[Cuenta]],1))</f>
        <v>1</v>
      </c>
      <c r="R933" t="b">
        <f>+ISNUMBER(SEARCH('F-COMPRA'!$F$34,Tabla11[[#This Row],[Cuenta]],1))</f>
        <v>1</v>
      </c>
      <c r="S933" t="b">
        <f>+ISNUMBER(SEARCH('F-COMPRA'!$F$35,Tabla11[[#This Row],[Cuenta]],1))</f>
        <v>1</v>
      </c>
      <c r="T933" t="b">
        <f>+ISNUMBER(SEARCH('F-COMPRA'!$F$36,Tabla11[[#This Row],[Cuenta]],1))</f>
        <v>1</v>
      </c>
      <c r="U933" t="b">
        <f>+ISNUMBER(SEARCH('F-COMPRA'!$F$37,Tabla11[[#This Row],[Cuenta]],1))</f>
        <v>1</v>
      </c>
      <c r="V933" t="b">
        <f>+ISNUMBER(SEARCH(#REF!,Tabla11[[#This Row],[Cuenta]],1))</f>
        <v>0</v>
      </c>
      <c r="W933" t="b">
        <f>+ISNUMBER(SEARCH('F-COMPRA'!#REF!,Tabla11[[#This Row],[Cuenta]],1))</f>
        <v>0</v>
      </c>
      <c r="X933" t="b">
        <f>+ISNUMBER(SEARCH('F-COMPRA'!#REF!,Tabla11[[#This Row],[Cuenta]],1))</f>
        <v>0</v>
      </c>
      <c r="Y933" t="b">
        <f>+ISNUMBER(SEARCH('F-COMPRA'!#REF!,Tabla11[[#This Row],[Cuenta]],1))</f>
        <v>0</v>
      </c>
      <c r="Z933" t="b">
        <f>+ISNUMBER(SEARCH('F-COMPRA'!#REF!,Tabla11[[#This Row],[Cuenta]],1))</f>
        <v>0</v>
      </c>
      <c r="AA933" t="b">
        <f>+ISNUMBER(SEARCH('F-COMPRA'!#REF!,Tabla11[[#This Row],[Cuenta]],1))</f>
        <v>0</v>
      </c>
      <c r="AB933" t="b">
        <f>+ISNUMBER(SEARCH('F-COMPRA'!#REF!,Tabla11[[#This Row],[Cuenta]],1))</f>
        <v>0</v>
      </c>
      <c r="AC933" t="b">
        <f>+ISNUMBER(SEARCH('F-COMPRA'!#REF!,Tabla11[[#This Row],[Cuenta]],1))</f>
        <v>0</v>
      </c>
      <c r="AD933" t="b">
        <f>+ISNUMBER(SEARCH('F-COMPRA'!#REF!,Tabla11[[#This Row],[Cuenta]],1))</f>
        <v>0</v>
      </c>
      <c r="AE933" t="b">
        <f>+ISNUMBER(SEARCH('F-COMPRA'!#REF!,Tabla11[[#This Row],[Cuenta]],1))</f>
        <v>0</v>
      </c>
      <c r="AF933" t="b">
        <f>+ISNUMBER(SEARCH('F-VTA'!$G$23,Tabla11[[#This Row],[Cuenta]],1))</f>
        <v>0</v>
      </c>
      <c r="AG933" t="b">
        <f>+ISNUMBER(SEARCH('F-VTA'!$G$24,Tabla11[[#This Row],[Cuenta]],1))</f>
        <v>0</v>
      </c>
      <c r="AH933" t="b">
        <f>+ISNUMBER(SEARCH('F-VTA'!$G$25,Tabla11[[#This Row],[Cuenta]],1))</f>
        <v>0</v>
      </c>
      <c r="AI933" t="b">
        <f>+ISNUMBER(SEARCH('F-VTA'!$F$28,Tabla11[[#This Row],[Cuenta]],1))</f>
        <v>1</v>
      </c>
      <c r="AJ933" t="b">
        <f>+ISNUMBER(SEARCH('F-VTA'!$F$29,Tabla11[[#This Row],[Cuenta]],1))</f>
        <v>1</v>
      </c>
      <c r="AK933" t="b">
        <f>+ISNUMBER(SEARCH('F-VTA'!$F$30,Tabla11[[#This Row],[Cuenta]],1))</f>
        <v>1</v>
      </c>
      <c r="AL933" t="b">
        <f>+ISNUMBER(SEARCH('F-VTA'!$F$31,Tabla11[[#This Row],[Cuenta]],1))</f>
        <v>1</v>
      </c>
      <c r="AM933" t="b">
        <f>+ISNUMBER(SEARCH('F-VTA'!$F$32,Tabla11[[#This Row],[Cuenta]],1))</f>
        <v>1</v>
      </c>
      <c r="AN933" t="b">
        <f>+ISNUMBER(SEARCH('F-VTA'!$F$33,Tabla11[[#This Row],[Cuenta]],1))</f>
        <v>1</v>
      </c>
      <c r="AO933" t="b">
        <f>+ISNUMBER(SEARCH('F-VTA'!$F$34,Tabla11[[#This Row],[Cuenta]],1))</f>
        <v>1</v>
      </c>
      <c r="AP933" t="b">
        <f>+ISNUMBER(SEARCH('F-VTA'!$F$35,Tabla11[[#This Row],[Cuenta]],1))</f>
        <v>1</v>
      </c>
      <c r="AQ933" t="b">
        <f>+ISNUMBER(SEARCH('F-VTA'!$F$36,Tabla11[[#This Row],[Cuenta]],1))</f>
        <v>1</v>
      </c>
      <c r="AR933" t="b">
        <f>+ISNUMBER(SEARCH(#REF!,Tabla11[[#This Row],[Cuenta]],1))</f>
        <v>0</v>
      </c>
      <c r="AS933" t="b">
        <f>+ISNUMBER(SEARCH(#REF!,Tabla11[[#This Row],[Cuenta]],1))</f>
        <v>0</v>
      </c>
      <c r="AT933" t="b">
        <f>+ISNUMBER(SEARCH(#REF!,Tabla11[[#This Row],[Cuenta]],1))</f>
        <v>0</v>
      </c>
      <c r="AU933" t="b">
        <f>+ISNUMBER(SEARCH('Conc. Ban.1'!$I$9,Tabla11[[#This Row],[Cuenta]],1))</f>
        <v>0</v>
      </c>
      <c r="AV933" t="b">
        <f>+ISNUMBER(SEARCH(CompConta!$F$21,Tabla11[[#This Row],[Cuenta]],1))</f>
        <v>1</v>
      </c>
      <c r="AW933" t="b">
        <f>+ISNUMBER(SEARCH(CompConta!$F$22,Tabla11[[#This Row],[Cuenta]],1))</f>
        <v>1</v>
      </c>
      <c r="AX933" t="b">
        <f>+ISNUMBER(SEARCH(CompConta!$F$23,Tabla11[[#This Row],[Cuenta]],1))</f>
        <v>1</v>
      </c>
      <c r="AY933" t="b">
        <f>+ISNUMBER(SEARCH(CompConta!$F$24,Tabla11[[#This Row],[Cuenta]],1))</f>
        <v>1</v>
      </c>
      <c r="AZ933" t="b">
        <f>+ISNUMBER(SEARCH(CompConta!$F$25,Tabla11[[#This Row],[Cuenta]],1))</f>
        <v>1</v>
      </c>
      <c r="BA933" t="b">
        <f>+ISNUMBER(SEARCH(CompConta!$F$26,Tabla11[[#This Row],[Cuenta]],1))</f>
        <v>1</v>
      </c>
      <c r="BB933" t="b">
        <f>+ISNUMBER(SEARCH(CompConta!$F$27,Tabla11[[#This Row],[Cuenta]],1))</f>
        <v>1</v>
      </c>
      <c r="BC933" t="b">
        <f>+ISNUMBER(SEARCH(CompConta!$F$28,Tabla11[[#This Row],[Cuenta]],1))</f>
        <v>1</v>
      </c>
      <c r="BD933" t="b">
        <f>+ISNUMBER(SEARCH(CompConta!$F$29,Tabla11[[#This Row],[Cuenta]],1))</f>
        <v>1</v>
      </c>
      <c r="BE933" t="b">
        <f>+ISNUMBER(SEARCH(CompConta!$F$30,Tabla11[[#This Row],[Cuenta]],1))</f>
        <v>1</v>
      </c>
      <c r="BF933" t="b">
        <f>+ISNUMBER(SEARCH('PAGO Compras'!$E$11,Tabla11[[#This Row],[Cuenta]],1))</f>
        <v>1</v>
      </c>
      <c r="BG933" t="b">
        <f>+ISNUMBER(SEARCH(#REF!,Tabla11[[#This Row],[Cuenta]],1))</f>
        <v>0</v>
      </c>
      <c r="BH933" t="b">
        <f>+ISNUMBER(SEARCH(#REF!,Tabla11[[#This Row],[Cuenta]],1))</f>
        <v>0</v>
      </c>
      <c r="BI933" t="b">
        <f>+ISNUMBER(SEARCH(#REF!,Tabla11[[#This Row],[Cuenta]],1))</f>
        <v>0</v>
      </c>
      <c r="BJ933" t="b">
        <f>+ISNUMBER(SEARCH(#REF!,Tabla11[[#This Row],[Cuenta]],1))</f>
        <v>0</v>
      </c>
      <c r="BS933" t="str">
        <v>519545 Taxis y buses</v>
      </c>
      <c r="BT933" t="str">
        <v>519545 Taxis y buses</v>
      </c>
      <c r="BU933" t="str">
        <v>519545 Taxis y buses</v>
      </c>
      <c r="BV933" t="str">
        <v>519545 Taxis y buses</v>
      </c>
      <c r="BZ933" t="str">
        <v>519545 Taxis y buses</v>
      </c>
      <c r="CA933" t="str">
        <v>519545 Taxis y buses</v>
      </c>
      <c r="CB933" t="str">
        <v>519545 Taxis y buses</v>
      </c>
      <c r="CC933" t="str">
        <v>519545 Taxis y buses</v>
      </c>
      <c r="CD933" t="str">
        <v>519545 Taxis y buses</v>
      </c>
      <c r="CE933" t="str">
        <v>519545 Taxis y buses</v>
      </c>
      <c r="CS933" s="141" t="str">
        <v>519545 Taxis y buses</v>
      </c>
      <c r="CT933" s="141" t="str">
        <v>519545 Taxis y buses</v>
      </c>
      <c r="CU933" s="141" t="str">
        <v>519545 Taxis y buses</v>
      </c>
      <c r="CV933" s="141" t="str">
        <v>519545 Taxis y buses</v>
      </c>
      <c r="CW933" s="141" t="str">
        <v>519545 Taxis y buses</v>
      </c>
      <c r="CX933" s="141" t="str">
        <v>519545 Taxis y buses</v>
      </c>
      <c r="CY933" s="141" t="str">
        <v>519545 Taxis y buses</v>
      </c>
      <c r="CZ933" s="141" t="str">
        <v>519545 Taxis y buses</v>
      </c>
      <c r="DA933" s="141" t="str">
        <v>519545 Taxis y buses</v>
      </c>
      <c r="DF933" t="str">
        <v>519545 Taxis y buses</v>
      </c>
      <c r="DG933" t="str">
        <v>519545 Taxis y buses</v>
      </c>
      <c r="DH933" t="str">
        <v>519545 Taxis y buses</v>
      </c>
      <c r="DI933" t="str">
        <v>519545 Taxis y buses</v>
      </c>
      <c r="DJ933" t="str">
        <v>519545 Taxis y buses</v>
      </c>
      <c r="DK933" t="str">
        <v>519545 Taxis y buses</v>
      </c>
      <c r="DL933" t="str">
        <v>519545 Taxis y buses</v>
      </c>
      <c r="DM933" t="str">
        <v>519545 Taxis y buses</v>
      </c>
      <c r="DN933" t="str">
        <v>519545 Taxis y buses</v>
      </c>
      <c r="DO933" t="str">
        <v>519545 Taxis y buses</v>
      </c>
      <c r="DP933" t="str">
        <v>519545 Taxis y buses</v>
      </c>
    </row>
    <row r="934" spans="4:120" ht="12.75">
      <c r="D934" s="7">
        <v>519550</v>
      </c>
      <c r="E934" s="6" t="s">
        <v>285</v>
      </c>
      <c r="F934" s="5">
        <v>4</v>
      </c>
      <c r="G934" s="34" t="s">
        <v>830</v>
      </c>
      <c r="H934" s="8" t="s">
        <v>32</v>
      </c>
      <c r="I934" t="b">
        <f>+ISNUMBER(SEARCH('F-COMPRA'!$F$28,Tabla11[[#This Row],[Cuenta]],1))</f>
        <v>1</v>
      </c>
      <c r="J934" t="b">
        <f>+ISNUMBER(SEARCH('F-COMPRA'!$F$29,Tabla11[[#This Row],[Cuenta]],1))</f>
        <v>1</v>
      </c>
      <c r="K934" t="b">
        <f>+ISNUMBER(SEARCH('F-COMPRA'!$F$30,Tabla11[[#This Row],[Cuenta]],1))</f>
        <v>1</v>
      </c>
      <c r="L934" t="b">
        <f>+ISNUMBER(SEARCH('F-COMPRA'!$F$31,Tabla11[[#This Row],[Cuenta]],1))</f>
        <v>1</v>
      </c>
      <c r="M934" t="b">
        <f>+ISNUMBER(SEARCH('F-COMPRA'!$G$25,Tabla11[[#This Row],[Cuenta]],1))</f>
        <v>0</v>
      </c>
      <c r="N934" t="b">
        <f>+ISNUMBER(SEARCH(#REF!,Tabla11[[#This Row],[Cuenta]],1))</f>
        <v>0</v>
      </c>
      <c r="O934" t="b">
        <f>+ISNUMBER(SEARCH(#REF!,Tabla11[[#This Row],[Cuenta]],1))</f>
        <v>0</v>
      </c>
      <c r="P934" t="b">
        <f>+ISNUMBER(SEARCH('F-COMPRA'!$F$32,Tabla11[[#This Row],[Cuenta]],1))</f>
        <v>1</v>
      </c>
      <c r="Q934" t="b">
        <f>+ISNUMBER(SEARCH('F-COMPRA'!$F$33,Tabla11[[#This Row],[Cuenta]],1))</f>
        <v>1</v>
      </c>
      <c r="R934" t="b">
        <f>+ISNUMBER(SEARCH('F-COMPRA'!$F$34,Tabla11[[#This Row],[Cuenta]],1))</f>
        <v>1</v>
      </c>
      <c r="S934" t="b">
        <f>+ISNUMBER(SEARCH('F-COMPRA'!$F$35,Tabla11[[#This Row],[Cuenta]],1))</f>
        <v>1</v>
      </c>
      <c r="T934" t="b">
        <f>+ISNUMBER(SEARCH('F-COMPRA'!$F$36,Tabla11[[#This Row],[Cuenta]],1))</f>
        <v>1</v>
      </c>
      <c r="U934" t="b">
        <f>+ISNUMBER(SEARCH('F-COMPRA'!$F$37,Tabla11[[#This Row],[Cuenta]],1))</f>
        <v>1</v>
      </c>
      <c r="V934" t="b">
        <f>+ISNUMBER(SEARCH(#REF!,Tabla11[[#This Row],[Cuenta]],1))</f>
        <v>0</v>
      </c>
      <c r="W934" t="b">
        <f>+ISNUMBER(SEARCH('F-COMPRA'!#REF!,Tabla11[[#This Row],[Cuenta]],1))</f>
        <v>0</v>
      </c>
      <c r="X934" t="b">
        <f>+ISNUMBER(SEARCH('F-COMPRA'!#REF!,Tabla11[[#This Row],[Cuenta]],1))</f>
        <v>0</v>
      </c>
      <c r="Y934" t="b">
        <f>+ISNUMBER(SEARCH('F-COMPRA'!#REF!,Tabla11[[#This Row],[Cuenta]],1))</f>
        <v>0</v>
      </c>
      <c r="Z934" t="b">
        <f>+ISNUMBER(SEARCH('F-COMPRA'!#REF!,Tabla11[[#This Row],[Cuenta]],1))</f>
        <v>0</v>
      </c>
      <c r="AA934" t="b">
        <f>+ISNUMBER(SEARCH('F-COMPRA'!#REF!,Tabla11[[#This Row],[Cuenta]],1))</f>
        <v>0</v>
      </c>
      <c r="AB934" t="b">
        <f>+ISNUMBER(SEARCH('F-COMPRA'!#REF!,Tabla11[[#This Row],[Cuenta]],1))</f>
        <v>0</v>
      </c>
      <c r="AC934" t="b">
        <f>+ISNUMBER(SEARCH('F-COMPRA'!#REF!,Tabla11[[#This Row],[Cuenta]],1))</f>
        <v>0</v>
      </c>
      <c r="AD934" t="b">
        <f>+ISNUMBER(SEARCH('F-COMPRA'!#REF!,Tabla11[[#This Row],[Cuenta]],1))</f>
        <v>0</v>
      </c>
      <c r="AE934" t="b">
        <f>+ISNUMBER(SEARCH('F-COMPRA'!#REF!,Tabla11[[#This Row],[Cuenta]],1))</f>
        <v>0</v>
      </c>
      <c r="AF934" t="b">
        <f>+ISNUMBER(SEARCH('F-VTA'!$G$23,Tabla11[[#This Row],[Cuenta]],1))</f>
        <v>0</v>
      </c>
      <c r="AG934" t="b">
        <f>+ISNUMBER(SEARCH('F-VTA'!$G$24,Tabla11[[#This Row],[Cuenta]],1))</f>
        <v>0</v>
      </c>
      <c r="AH934" t="b">
        <f>+ISNUMBER(SEARCH('F-VTA'!$G$25,Tabla11[[#This Row],[Cuenta]],1))</f>
        <v>0</v>
      </c>
      <c r="AI934" t="b">
        <f>+ISNUMBER(SEARCH('F-VTA'!$F$28,Tabla11[[#This Row],[Cuenta]],1))</f>
        <v>1</v>
      </c>
      <c r="AJ934" t="b">
        <f>+ISNUMBER(SEARCH('F-VTA'!$F$29,Tabla11[[#This Row],[Cuenta]],1))</f>
        <v>1</v>
      </c>
      <c r="AK934" t="b">
        <f>+ISNUMBER(SEARCH('F-VTA'!$F$30,Tabla11[[#This Row],[Cuenta]],1))</f>
        <v>1</v>
      </c>
      <c r="AL934" t="b">
        <f>+ISNUMBER(SEARCH('F-VTA'!$F$31,Tabla11[[#This Row],[Cuenta]],1))</f>
        <v>1</v>
      </c>
      <c r="AM934" t="b">
        <f>+ISNUMBER(SEARCH('F-VTA'!$F$32,Tabla11[[#This Row],[Cuenta]],1))</f>
        <v>1</v>
      </c>
      <c r="AN934" t="b">
        <f>+ISNUMBER(SEARCH('F-VTA'!$F$33,Tabla11[[#This Row],[Cuenta]],1))</f>
        <v>1</v>
      </c>
      <c r="AO934" t="b">
        <f>+ISNUMBER(SEARCH('F-VTA'!$F$34,Tabla11[[#This Row],[Cuenta]],1))</f>
        <v>1</v>
      </c>
      <c r="AP934" t="b">
        <f>+ISNUMBER(SEARCH('F-VTA'!$F$35,Tabla11[[#This Row],[Cuenta]],1))</f>
        <v>1</v>
      </c>
      <c r="AQ934" t="b">
        <f>+ISNUMBER(SEARCH('F-VTA'!$F$36,Tabla11[[#This Row],[Cuenta]],1))</f>
        <v>1</v>
      </c>
      <c r="AR934" t="b">
        <f>+ISNUMBER(SEARCH(#REF!,Tabla11[[#This Row],[Cuenta]],1))</f>
        <v>0</v>
      </c>
      <c r="AS934" t="b">
        <f>+ISNUMBER(SEARCH(#REF!,Tabla11[[#This Row],[Cuenta]],1))</f>
        <v>0</v>
      </c>
      <c r="AT934" t="b">
        <f>+ISNUMBER(SEARCH(#REF!,Tabla11[[#This Row],[Cuenta]],1))</f>
        <v>0</v>
      </c>
      <c r="AU934" t="b">
        <f>+ISNUMBER(SEARCH('Conc. Ban.1'!$I$9,Tabla11[[#This Row],[Cuenta]],1))</f>
        <v>0</v>
      </c>
      <c r="AV934" t="b">
        <f>+ISNUMBER(SEARCH(CompConta!$F$21,Tabla11[[#This Row],[Cuenta]],1))</f>
        <v>1</v>
      </c>
      <c r="AW934" t="b">
        <f>+ISNUMBER(SEARCH(CompConta!$F$22,Tabla11[[#This Row],[Cuenta]],1))</f>
        <v>1</v>
      </c>
      <c r="AX934" t="b">
        <f>+ISNUMBER(SEARCH(CompConta!$F$23,Tabla11[[#This Row],[Cuenta]],1))</f>
        <v>1</v>
      </c>
      <c r="AY934" t="b">
        <f>+ISNUMBER(SEARCH(CompConta!$F$24,Tabla11[[#This Row],[Cuenta]],1))</f>
        <v>1</v>
      </c>
      <c r="AZ934" t="b">
        <f>+ISNUMBER(SEARCH(CompConta!$F$25,Tabla11[[#This Row],[Cuenta]],1))</f>
        <v>1</v>
      </c>
      <c r="BA934" t="b">
        <f>+ISNUMBER(SEARCH(CompConta!$F$26,Tabla11[[#This Row],[Cuenta]],1))</f>
        <v>1</v>
      </c>
      <c r="BB934" t="b">
        <f>+ISNUMBER(SEARCH(CompConta!$F$27,Tabla11[[#This Row],[Cuenta]],1))</f>
        <v>1</v>
      </c>
      <c r="BC934" t="b">
        <f>+ISNUMBER(SEARCH(CompConta!$F$28,Tabla11[[#This Row],[Cuenta]],1))</f>
        <v>1</v>
      </c>
      <c r="BD934" t="b">
        <f>+ISNUMBER(SEARCH(CompConta!$F$29,Tabla11[[#This Row],[Cuenta]],1))</f>
        <v>1</v>
      </c>
      <c r="BE934" t="b">
        <f>+ISNUMBER(SEARCH(CompConta!$F$30,Tabla11[[#This Row],[Cuenta]],1))</f>
        <v>1</v>
      </c>
      <c r="BF934" t="b">
        <f>+ISNUMBER(SEARCH('PAGO Compras'!$E$11,Tabla11[[#This Row],[Cuenta]],1))</f>
        <v>1</v>
      </c>
      <c r="BG934" t="b">
        <f>+ISNUMBER(SEARCH(#REF!,Tabla11[[#This Row],[Cuenta]],1))</f>
        <v>0</v>
      </c>
      <c r="BH934" t="b">
        <f>+ISNUMBER(SEARCH(#REF!,Tabla11[[#This Row],[Cuenta]],1))</f>
        <v>0</v>
      </c>
      <c r="BI934" t="b">
        <f>+ISNUMBER(SEARCH(#REF!,Tabla11[[#This Row],[Cuenta]],1))</f>
        <v>0</v>
      </c>
      <c r="BJ934" t="b">
        <f>+ISNUMBER(SEARCH(#REF!,Tabla11[[#This Row],[Cuenta]],1))</f>
        <v>0</v>
      </c>
      <c r="BS934" t="str">
        <v>519550 Estampillas</v>
      </c>
      <c r="BT934" t="str">
        <v>519550 Estampillas</v>
      </c>
      <c r="BU934" t="str">
        <v>519550 Estampillas</v>
      </c>
      <c r="BV934" t="str">
        <v>519550 Estampillas</v>
      </c>
      <c r="BZ934" t="str">
        <v>519550 Estampillas</v>
      </c>
      <c r="CA934" t="str">
        <v>519550 Estampillas</v>
      </c>
      <c r="CB934" t="str">
        <v>519550 Estampillas</v>
      </c>
      <c r="CC934" t="str">
        <v>519550 Estampillas</v>
      </c>
      <c r="CD934" t="str">
        <v>519550 Estampillas</v>
      </c>
      <c r="CE934" t="str">
        <v>519550 Estampillas</v>
      </c>
      <c r="CS934" s="141" t="str">
        <v>519550 Estampillas</v>
      </c>
      <c r="CT934" s="141" t="str">
        <v>519550 Estampillas</v>
      </c>
      <c r="CU934" s="141" t="str">
        <v>519550 Estampillas</v>
      </c>
      <c r="CV934" s="141" t="str">
        <v>519550 Estampillas</v>
      </c>
      <c r="CW934" s="141" t="str">
        <v>519550 Estampillas</v>
      </c>
      <c r="CX934" s="141" t="str">
        <v>519550 Estampillas</v>
      </c>
      <c r="CY934" s="141" t="str">
        <v>519550 Estampillas</v>
      </c>
      <c r="CZ934" s="141" t="str">
        <v>519550 Estampillas</v>
      </c>
      <c r="DA934" s="141" t="str">
        <v>519550 Estampillas</v>
      </c>
      <c r="DF934" t="str">
        <v>519550 Estampillas</v>
      </c>
      <c r="DG934" t="str">
        <v>519550 Estampillas</v>
      </c>
      <c r="DH934" t="str">
        <v>519550 Estampillas</v>
      </c>
      <c r="DI934" t="str">
        <v>519550 Estampillas</v>
      </c>
      <c r="DJ934" t="str">
        <v>519550 Estampillas</v>
      </c>
      <c r="DK934" t="str">
        <v>519550 Estampillas</v>
      </c>
      <c r="DL934" t="str">
        <v>519550 Estampillas</v>
      </c>
      <c r="DM934" t="str">
        <v>519550 Estampillas</v>
      </c>
      <c r="DN934" t="str">
        <v>519550 Estampillas</v>
      </c>
      <c r="DO934" t="str">
        <v>519550 Estampillas</v>
      </c>
      <c r="DP934" t="str">
        <v>519550 Estampillas</v>
      </c>
    </row>
    <row r="935" spans="4:120" ht="12.75">
      <c r="D935" s="7">
        <v>519555</v>
      </c>
      <c r="E935" s="6" t="s">
        <v>616</v>
      </c>
      <c r="F935" s="5">
        <v>4</v>
      </c>
      <c r="G935" s="34" t="s">
        <v>830</v>
      </c>
      <c r="H935" s="8" t="s">
        <v>32</v>
      </c>
      <c r="I935" t="b">
        <f>+ISNUMBER(SEARCH('F-COMPRA'!$F$28,Tabla11[[#This Row],[Cuenta]],1))</f>
        <v>1</v>
      </c>
      <c r="J935" t="b">
        <f>+ISNUMBER(SEARCH('F-COMPRA'!$F$29,Tabla11[[#This Row],[Cuenta]],1))</f>
        <v>1</v>
      </c>
      <c r="K935" t="b">
        <f>+ISNUMBER(SEARCH('F-COMPRA'!$F$30,Tabla11[[#This Row],[Cuenta]],1))</f>
        <v>1</v>
      </c>
      <c r="L935" t="b">
        <f>+ISNUMBER(SEARCH('F-COMPRA'!$F$31,Tabla11[[#This Row],[Cuenta]],1))</f>
        <v>1</v>
      </c>
      <c r="M935" t="b">
        <f>+ISNUMBER(SEARCH('F-COMPRA'!$G$25,Tabla11[[#This Row],[Cuenta]],1))</f>
        <v>0</v>
      </c>
      <c r="N935" t="b">
        <f>+ISNUMBER(SEARCH(#REF!,Tabla11[[#This Row],[Cuenta]],1))</f>
        <v>0</v>
      </c>
      <c r="O935" t="b">
        <f>+ISNUMBER(SEARCH(#REF!,Tabla11[[#This Row],[Cuenta]],1))</f>
        <v>0</v>
      </c>
      <c r="P935" t="b">
        <f>+ISNUMBER(SEARCH('F-COMPRA'!$F$32,Tabla11[[#This Row],[Cuenta]],1))</f>
        <v>1</v>
      </c>
      <c r="Q935" t="b">
        <f>+ISNUMBER(SEARCH('F-COMPRA'!$F$33,Tabla11[[#This Row],[Cuenta]],1))</f>
        <v>1</v>
      </c>
      <c r="R935" t="b">
        <f>+ISNUMBER(SEARCH('F-COMPRA'!$F$34,Tabla11[[#This Row],[Cuenta]],1))</f>
        <v>1</v>
      </c>
      <c r="S935" t="b">
        <f>+ISNUMBER(SEARCH('F-COMPRA'!$F$35,Tabla11[[#This Row],[Cuenta]],1))</f>
        <v>1</v>
      </c>
      <c r="T935" t="b">
        <f>+ISNUMBER(SEARCH('F-COMPRA'!$F$36,Tabla11[[#This Row],[Cuenta]],1))</f>
        <v>1</v>
      </c>
      <c r="U935" t="b">
        <f>+ISNUMBER(SEARCH('F-COMPRA'!$F$37,Tabla11[[#This Row],[Cuenta]],1))</f>
        <v>1</v>
      </c>
      <c r="V935" t="b">
        <f>+ISNUMBER(SEARCH(#REF!,Tabla11[[#This Row],[Cuenta]],1))</f>
        <v>0</v>
      </c>
      <c r="W935" t="b">
        <f>+ISNUMBER(SEARCH('F-COMPRA'!#REF!,Tabla11[[#This Row],[Cuenta]],1))</f>
        <v>0</v>
      </c>
      <c r="X935" t="b">
        <f>+ISNUMBER(SEARCH('F-COMPRA'!#REF!,Tabla11[[#This Row],[Cuenta]],1))</f>
        <v>0</v>
      </c>
      <c r="Y935" t="b">
        <f>+ISNUMBER(SEARCH('F-COMPRA'!#REF!,Tabla11[[#This Row],[Cuenta]],1))</f>
        <v>0</v>
      </c>
      <c r="Z935" t="b">
        <f>+ISNUMBER(SEARCH('F-COMPRA'!#REF!,Tabla11[[#This Row],[Cuenta]],1))</f>
        <v>0</v>
      </c>
      <c r="AA935" t="b">
        <f>+ISNUMBER(SEARCH('F-COMPRA'!#REF!,Tabla11[[#This Row],[Cuenta]],1))</f>
        <v>0</v>
      </c>
      <c r="AB935" t="b">
        <f>+ISNUMBER(SEARCH('F-COMPRA'!#REF!,Tabla11[[#This Row],[Cuenta]],1))</f>
        <v>0</v>
      </c>
      <c r="AC935" t="b">
        <f>+ISNUMBER(SEARCH('F-COMPRA'!#REF!,Tabla11[[#This Row],[Cuenta]],1))</f>
        <v>0</v>
      </c>
      <c r="AD935" t="b">
        <f>+ISNUMBER(SEARCH('F-COMPRA'!#REF!,Tabla11[[#This Row],[Cuenta]],1))</f>
        <v>0</v>
      </c>
      <c r="AE935" t="b">
        <f>+ISNUMBER(SEARCH('F-COMPRA'!#REF!,Tabla11[[#This Row],[Cuenta]],1))</f>
        <v>0</v>
      </c>
      <c r="AF935" t="b">
        <f>+ISNUMBER(SEARCH('F-VTA'!$G$23,Tabla11[[#This Row],[Cuenta]],1))</f>
        <v>0</v>
      </c>
      <c r="AG935" t="b">
        <f>+ISNUMBER(SEARCH('F-VTA'!$G$24,Tabla11[[#This Row],[Cuenta]],1))</f>
        <v>0</v>
      </c>
      <c r="AH935" t="b">
        <f>+ISNUMBER(SEARCH('F-VTA'!$G$25,Tabla11[[#This Row],[Cuenta]],1))</f>
        <v>0</v>
      </c>
      <c r="AI935" t="b">
        <f>+ISNUMBER(SEARCH('F-VTA'!$F$28,Tabla11[[#This Row],[Cuenta]],1))</f>
        <v>1</v>
      </c>
      <c r="AJ935" t="b">
        <f>+ISNUMBER(SEARCH('F-VTA'!$F$29,Tabla11[[#This Row],[Cuenta]],1))</f>
        <v>1</v>
      </c>
      <c r="AK935" t="b">
        <f>+ISNUMBER(SEARCH('F-VTA'!$F$30,Tabla11[[#This Row],[Cuenta]],1))</f>
        <v>1</v>
      </c>
      <c r="AL935" t="b">
        <f>+ISNUMBER(SEARCH('F-VTA'!$F$31,Tabla11[[#This Row],[Cuenta]],1))</f>
        <v>1</v>
      </c>
      <c r="AM935" t="b">
        <f>+ISNUMBER(SEARCH('F-VTA'!$F$32,Tabla11[[#This Row],[Cuenta]],1))</f>
        <v>1</v>
      </c>
      <c r="AN935" t="b">
        <f>+ISNUMBER(SEARCH('F-VTA'!$F$33,Tabla11[[#This Row],[Cuenta]],1))</f>
        <v>1</v>
      </c>
      <c r="AO935" t="b">
        <f>+ISNUMBER(SEARCH('F-VTA'!$F$34,Tabla11[[#This Row],[Cuenta]],1))</f>
        <v>1</v>
      </c>
      <c r="AP935" t="b">
        <f>+ISNUMBER(SEARCH('F-VTA'!$F$35,Tabla11[[#This Row],[Cuenta]],1))</f>
        <v>1</v>
      </c>
      <c r="AQ935" t="b">
        <f>+ISNUMBER(SEARCH('F-VTA'!$F$36,Tabla11[[#This Row],[Cuenta]],1))</f>
        <v>1</v>
      </c>
      <c r="AR935" t="b">
        <f>+ISNUMBER(SEARCH(#REF!,Tabla11[[#This Row],[Cuenta]],1))</f>
        <v>0</v>
      </c>
      <c r="AS935" t="b">
        <f>+ISNUMBER(SEARCH(#REF!,Tabla11[[#This Row],[Cuenta]],1))</f>
        <v>0</v>
      </c>
      <c r="AT935" t="b">
        <f>+ISNUMBER(SEARCH(#REF!,Tabla11[[#This Row],[Cuenta]],1))</f>
        <v>0</v>
      </c>
      <c r="AU935" t="b">
        <f>+ISNUMBER(SEARCH('Conc. Ban.1'!$I$9,Tabla11[[#This Row],[Cuenta]],1))</f>
        <v>0</v>
      </c>
      <c r="AV935" t="b">
        <f>+ISNUMBER(SEARCH(CompConta!$F$21,Tabla11[[#This Row],[Cuenta]],1))</f>
        <v>1</v>
      </c>
      <c r="AW935" t="b">
        <f>+ISNUMBER(SEARCH(CompConta!$F$22,Tabla11[[#This Row],[Cuenta]],1))</f>
        <v>1</v>
      </c>
      <c r="AX935" t="b">
        <f>+ISNUMBER(SEARCH(CompConta!$F$23,Tabla11[[#This Row],[Cuenta]],1))</f>
        <v>1</v>
      </c>
      <c r="AY935" t="b">
        <f>+ISNUMBER(SEARCH(CompConta!$F$24,Tabla11[[#This Row],[Cuenta]],1))</f>
        <v>1</v>
      </c>
      <c r="AZ935" t="b">
        <f>+ISNUMBER(SEARCH(CompConta!$F$25,Tabla11[[#This Row],[Cuenta]],1))</f>
        <v>1</v>
      </c>
      <c r="BA935" t="b">
        <f>+ISNUMBER(SEARCH(CompConta!$F$26,Tabla11[[#This Row],[Cuenta]],1))</f>
        <v>1</v>
      </c>
      <c r="BB935" t="b">
        <f>+ISNUMBER(SEARCH(CompConta!$F$27,Tabla11[[#This Row],[Cuenta]],1))</f>
        <v>1</v>
      </c>
      <c r="BC935" t="b">
        <f>+ISNUMBER(SEARCH(CompConta!$F$28,Tabla11[[#This Row],[Cuenta]],1))</f>
        <v>1</v>
      </c>
      <c r="BD935" t="b">
        <f>+ISNUMBER(SEARCH(CompConta!$F$29,Tabla11[[#This Row],[Cuenta]],1))</f>
        <v>1</v>
      </c>
      <c r="BE935" t="b">
        <f>+ISNUMBER(SEARCH(CompConta!$F$30,Tabla11[[#This Row],[Cuenta]],1))</f>
        <v>1</v>
      </c>
      <c r="BF935" t="b">
        <f>+ISNUMBER(SEARCH('PAGO Compras'!$E$11,Tabla11[[#This Row],[Cuenta]],1))</f>
        <v>1</v>
      </c>
      <c r="BG935" t="b">
        <f>+ISNUMBER(SEARCH(#REF!,Tabla11[[#This Row],[Cuenta]],1))</f>
        <v>0</v>
      </c>
      <c r="BH935" t="b">
        <f>+ISNUMBER(SEARCH(#REF!,Tabla11[[#This Row],[Cuenta]],1))</f>
        <v>0</v>
      </c>
      <c r="BI935" t="b">
        <f>+ISNUMBER(SEARCH(#REF!,Tabla11[[#This Row],[Cuenta]],1))</f>
        <v>0</v>
      </c>
      <c r="BJ935" t="b">
        <f>+ISNUMBER(SEARCH(#REF!,Tabla11[[#This Row],[Cuenta]],1))</f>
        <v>0</v>
      </c>
      <c r="BS935" t="str">
        <v>519555 Microfilmación</v>
      </c>
      <c r="BT935" t="str">
        <v>519555 Microfilmación</v>
      </c>
      <c r="BU935" t="str">
        <v>519555 Microfilmación</v>
      </c>
      <c r="BV935" t="str">
        <v>519555 Microfilmación</v>
      </c>
      <c r="BZ935" t="str">
        <v>519555 Microfilmación</v>
      </c>
      <c r="CA935" t="str">
        <v>519555 Microfilmación</v>
      </c>
      <c r="CB935" t="str">
        <v>519555 Microfilmación</v>
      </c>
      <c r="CC935" t="str">
        <v>519555 Microfilmación</v>
      </c>
      <c r="CD935" t="str">
        <v>519555 Microfilmación</v>
      </c>
      <c r="CE935" t="str">
        <v>519555 Microfilmación</v>
      </c>
      <c r="CS935" s="141" t="str">
        <v>519555 Microfilmación</v>
      </c>
      <c r="CT935" s="141" t="str">
        <v>519555 Microfilmación</v>
      </c>
      <c r="CU935" s="141" t="str">
        <v>519555 Microfilmación</v>
      </c>
      <c r="CV935" s="141" t="str">
        <v>519555 Microfilmación</v>
      </c>
      <c r="CW935" s="141" t="str">
        <v>519555 Microfilmación</v>
      </c>
      <c r="CX935" s="141" t="str">
        <v>519555 Microfilmación</v>
      </c>
      <c r="CY935" s="141" t="str">
        <v>519555 Microfilmación</v>
      </c>
      <c r="CZ935" s="141" t="str">
        <v>519555 Microfilmación</v>
      </c>
      <c r="DA935" s="141" t="str">
        <v>519555 Microfilmación</v>
      </c>
      <c r="DF935" t="str">
        <v>519555 Microfilmación</v>
      </c>
      <c r="DG935" t="str">
        <v>519555 Microfilmación</v>
      </c>
      <c r="DH935" t="str">
        <v>519555 Microfilmación</v>
      </c>
      <c r="DI935" t="str">
        <v>519555 Microfilmación</v>
      </c>
      <c r="DJ935" t="str">
        <v>519555 Microfilmación</v>
      </c>
      <c r="DK935" t="str">
        <v>519555 Microfilmación</v>
      </c>
      <c r="DL935" t="str">
        <v>519555 Microfilmación</v>
      </c>
      <c r="DM935" t="str">
        <v>519555 Microfilmación</v>
      </c>
      <c r="DN935" t="str">
        <v>519555 Microfilmación</v>
      </c>
      <c r="DO935" t="str">
        <v>519555 Microfilmación</v>
      </c>
      <c r="DP935" t="str">
        <v>519555 Microfilmación</v>
      </c>
    </row>
    <row r="936" spans="4:120" ht="12.75">
      <c r="D936" s="7">
        <v>519560</v>
      </c>
      <c r="E936" s="6" t="s">
        <v>617</v>
      </c>
      <c r="F936" s="5">
        <v>4</v>
      </c>
      <c r="G936" s="34" t="s">
        <v>830</v>
      </c>
      <c r="H936" s="8" t="s">
        <v>32</v>
      </c>
      <c r="I936" t="b">
        <f>+ISNUMBER(SEARCH('F-COMPRA'!$F$28,Tabla11[[#This Row],[Cuenta]],1))</f>
        <v>1</v>
      </c>
      <c r="J936" t="b">
        <f>+ISNUMBER(SEARCH('F-COMPRA'!$F$29,Tabla11[[#This Row],[Cuenta]],1))</f>
        <v>1</v>
      </c>
      <c r="K936" t="b">
        <f>+ISNUMBER(SEARCH('F-COMPRA'!$F$30,Tabla11[[#This Row],[Cuenta]],1))</f>
        <v>1</v>
      </c>
      <c r="L936" t="b">
        <f>+ISNUMBER(SEARCH('F-COMPRA'!$F$31,Tabla11[[#This Row],[Cuenta]],1))</f>
        <v>1</v>
      </c>
      <c r="M936" t="b">
        <f>+ISNUMBER(SEARCH('F-COMPRA'!$G$25,Tabla11[[#This Row],[Cuenta]],1))</f>
        <v>0</v>
      </c>
      <c r="N936" t="b">
        <f>+ISNUMBER(SEARCH(#REF!,Tabla11[[#This Row],[Cuenta]],1))</f>
        <v>0</v>
      </c>
      <c r="O936" t="b">
        <f>+ISNUMBER(SEARCH(#REF!,Tabla11[[#This Row],[Cuenta]],1))</f>
        <v>0</v>
      </c>
      <c r="P936" t="b">
        <f>+ISNUMBER(SEARCH('F-COMPRA'!$F$32,Tabla11[[#This Row],[Cuenta]],1))</f>
        <v>1</v>
      </c>
      <c r="Q936" t="b">
        <f>+ISNUMBER(SEARCH('F-COMPRA'!$F$33,Tabla11[[#This Row],[Cuenta]],1))</f>
        <v>1</v>
      </c>
      <c r="R936" t="b">
        <f>+ISNUMBER(SEARCH('F-COMPRA'!$F$34,Tabla11[[#This Row],[Cuenta]],1))</f>
        <v>1</v>
      </c>
      <c r="S936" t="b">
        <f>+ISNUMBER(SEARCH('F-COMPRA'!$F$35,Tabla11[[#This Row],[Cuenta]],1))</f>
        <v>1</v>
      </c>
      <c r="T936" t="b">
        <f>+ISNUMBER(SEARCH('F-COMPRA'!$F$36,Tabla11[[#This Row],[Cuenta]],1))</f>
        <v>1</v>
      </c>
      <c r="U936" t="b">
        <f>+ISNUMBER(SEARCH('F-COMPRA'!$F$37,Tabla11[[#This Row],[Cuenta]],1))</f>
        <v>1</v>
      </c>
      <c r="V936" t="b">
        <f>+ISNUMBER(SEARCH(#REF!,Tabla11[[#This Row],[Cuenta]],1))</f>
        <v>0</v>
      </c>
      <c r="W936" t="b">
        <f>+ISNUMBER(SEARCH('F-COMPRA'!#REF!,Tabla11[[#This Row],[Cuenta]],1))</f>
        <v>0</v>
      </c>
      <c r="X936" t="b">
        <f>+ISNUMBER(SEARCH('F-COMPRA'!#REF!,Tabla11[[#This Row],[Cuenta]],1))</f>
        <v>0</v>
      </c>
      <c r="Y936" t="b">
        <f>+ISNUMBER(SEARCH('F-COMPRA'!#REF!,Tabla11[[#This Row],[Cuenta]],1))</f>
        <v>0</v>
      </c>
      <c r="Z936" t="b">
        <f>+ISNUMBER(SEARCH('F-COMPRA'!#REF!,Tabla11[[#This Row],[Cuenta]],1))</f>
        <v>0</v>
      </c>
      <c r="AA936" t="b">
        <f>+ISNUMBER(SEARCH('F-COMPRA'!#REF!,Tabla11[[#This Row],[Cuenta]],1))</f>
        <v>0</v>
      </c>
      <c r="AB936" t="b">
        <f>+ISNUMBER(SEARCH('F-COMPRA'!#REF!,Tabla11[[#This Row],[Cuenta]],1))</f>
        <v>0</v>
      </c>
      <c r="AC936" t="b">
        <f>+ISNUMBER(SEARCH('F-COMPRA'!#REF!,Tabla11[[#This Row],[Cuenta]],1))</f>
        <v>0</v>
      </c>
      <c r="AD936" t="b">
        <f>+ISNUMBER(SEARCH('F-COMPRA'!#REF!,Tabla11[[#This Row],[Cuenta]],1))</f>
        <v>0</v>
      </c>
      <c r="AE936" t="b">
        <f>+ISNUMBER(SEARCH('F-COMPRA'!#REF!,Tabla11[[#This Row],[Cuenta]],1))</f>
        <v>0</v>
      </c>
      <c r="AF936" t="b">
        <f>+ISNUMBER(SEARCH('F-VTA'!$G$23,Tabla11[[#This Row],[Cuenta]],1))</f>
        <v>0</v>
      </c>
      <c r="AG936" t="b">
        <f>+ISNUMBER(SEARCH('F-VTA'!$G$24,Tabla11[[#This Row],[Cuenta]],1))</f>
        <v>0</v>
      </c>
      <c r="AH936" t="b">
        <f>+ISNUMBER(SEARCH('F-VTA'!$G$25,Tabla11[[#This Row],[Cuenta]],1))</f>
        <v>0</v>
      </c>
      <c r="AI936" t="b">
        <f>+ISNUMBER(SEARCH('F-VTA'!$F$28,Tabla11[[#This Row],[Cuenta]],1))</f>
        <v>1</v>
      </c>
      <c r="AJ936" t="b">
        <f>+ISNUMBER(SEARCH('F-VTA'!$F$29,Tabla11[[#This Row],[Cuenta]],1))</f>
        <v>1</v>
      </c>
      <c r="AK936" t="b">
        <f>+ISNUMBER(SEARCH('F-VTA'!$F$30,Tabla11[[#This Row],[Cuenta]],1))</f>
        <v>1</v>
      </c>
      <c r="AL936" t="b">
        <f>+ISNUMBER(SEARCH('F-VTA'!$F$31,Tabla11[[#This Row],[Cuenta]],1))</f>
        <v>1</v>
      </c>
      <c r="AM936" t="b">
        <f>+ISNUMBER(SEARCH('F-VTA'!$F$32,Tabla11[[#This Row],[Cuenta]],1))</f>
        <v>1</v>
      </c>
      <c r="AN936" t="b">
        <f>+ISNUMBER(SEARCH('F-VTA'!$F$33,Tabla11[[#This Row],[Cuenta]],1))</f>
        <v>1</v>
      </c>
      <c r="AO936" t="b">
        <f>+ISNUMBER(SEARCH('F-VTA'!$F$34,Tabla11[[#This Row],[Cuenta]],1))</f>
        <v>1</v>
      </c>
      <c r="AP936" t="b">
        <f>+ISNUMBER(SEARCH('F-VTA'!$F$35,Tabla11[[#This Row],[Cuenta]],1))</f>
        <v>1</v>
      </c>
      <c r="AQ936" t="b">
        <f>+ISNUMBER(SEARCH('F-VTA'!$F$36,Tabla11[[#This Row],[Cuenta]],1))</f>
        <v>1</v>
      </c>
      <c r="AR936" t="b">
        <f>+ISNUMBER(SEARCH(#REF!,Tabla11[[#This Row],[Cuenta]],1))</f>
        <v>0</v>
      </c>
      <c r="AS936" t="b">
        <f>+ISNUMBER(SEARCH(#REF!,Tabla11[[#This Row],[Cuenta]],1))</f>
        <v>0</v>
      </c>
      <c r="AT936" t="b">
        <f>+ISNUMBER(SEARCH(#REF!,Tabla11[[#This Row],[Cuenta]],1))</f>
        <v>0</v>
      </c>
      <c r="AU936" t="b">
        <f>+ISNUMBER(SEARCH('Conc. Ban.1'!$I$9,Tabla11[[#This Row],[Cuenta]],1))</f>
        <v>0</v>
      </c>
      <c r="AV936" t="b">
        <f>+ISNUMBER(SEARCH(CompConta!$F$21,Tabla11[[#This Row],[Cuenta]],1))</f>
        <v>1</v>
      </c>
      <c r="AW936" t="b">
        <f>+ISNUMBER(SEARCH(CompConta!$F$22,Tabla11[[#This Row],[Cuenta]],1))</f>
        <v>1</v>
      </c>
      <c r="AX936" t="b">
        <f>+ISNUMBER(SEARCH(CompConta!$F$23,Tabla11[[#This Row],[Cuenta]],1))</f>
        <v>1</v>
      </c>
      <c r="AY936" t="b">
        <f>+ISNUMBER(SEARCH(CompConta!$F$24,Tabla11[[#This Row],[Cuenta]],1))</f>
        <v>1</v>
      </c>
      <c r="AZ936" t="b">
        <f>+ISNUMBER(SEARCH(CompConta!$F$25,Tabla11[[#This Row],[Cuenta]],1))</f>
        <v>1</v>
      </c>
      <c r="BA936" t="b">
        <f>+ISNUMBER(SEARCH(CompConta!$F$26,Tabla11[[#This Row],[Cuenta]],1))</f>
        <v>1</v>
      </c>
      <c r="BB936" t="b">
        <f>+ISNUMBER(SEARCH(CompConta!$F$27,Tabla11[[#This Row],[Cuenta]],1))</f>
        <v>1</v>
      </c>
      <c r="BC936" t="b">
        <f>+ISNUMBER(SEARCH(CompConta!$F$28,Tabla11[[#This Row],[Cuenta]],1))</f>
        <v>1</v>
      </c>
      <c r="BD936" t="b">
        <f>+ISNUMBER(SEARCH(CompConta!$F$29,Tabla11[[#This Row],[Cuenta]],1))</f>
        <v>1</v>
      </c>
      <c r="BE936" t="b">
        <f>+ISNUMBER(SEARCH(CompConta!$F$30,Tabla11[[#This Row],[Cuenta]],1))</f>
        <v>1</v>
      </c>
      <c r="BF936" t="b">
        <f>+ISNUMBER(SEARCH('PAGO Compras'!$E$11,Tabla11[[#This Row],[Cuenta]],1))</f>
        <v>1</v>
      </c>
      <c r="BG936" t="b">
        <f>+ISNUMBER(SEARCH(#REF!,Tabla11[[#This Row],[Cuenta]],1))</f>
        <v>0</v>
      </c>
      <c r="BH936" t="b">
        <f>+ISNUMBER(SEARCH(#REF!,Tabla11[[#This Row],[Cuenta]],1))</f>
        <v>0</v>
      </c>
      <c r="BI936" t="b">
        <f>+ISNUMBER(SEARCH(#REF!,Tabla11[[#This Row],[Cuenta]],1))</f>
        <v>0</v>
      </c>
      <c r="BJ936" t="b">
        <f>+ISNUMBER(SEARCH(#REF!,Tabla11[[#This Row],[Cuenta]],1))</f>
        <v>0</v>
      </c>
      <c r="BS936" t="str">
        <v>519560 Casino y restaurante</v>
      </c>
      <c r="BT936" t="str">
        <v>519560 Casino y restaurante</v>
      </c>
      <c r="BU936" t="str">
        <v>519560 Casino y restaurante</v>
      </c>
      <c r="BV936" t="str">
        <v>519560 Casino y restaurante</v>
      </c>
      <c r="BZ936" t="str">
        <v>519560 Casino y restaurante</v>
      </c>
      <c r="CA936" t="str">
        <v>519560 Casino y restaurante</v>
      </c>
      <c r="CB936" t="str">
        <v>519560 Casino y restaurante</v>
      </c>
      <c r="CC936" t="str">
        <v>519560 Casino y restaurante</v>
      </c>
      <c r="CD936" t="str">
        <v>519560 Casino y restaurante</v>
      </c>
      <c r="CE936" t="str">
        <v>519560 Casino y restaurante</v>
      </c>
      <c r="CS936" s="141" t="str">
        <v>519560 Casino y restaurante</v>
      </c>
      <c r="CT936" s="141" t="str">
        <v>519560 Casino y restaurante</v>
      </c>
      <c r="CU936" s="141" t="str">
        <v>519560 Casino y restaurante</v>
      </c>
      <c r="CV936" s="141" t="str">
        <v>519560 Casino y restaurante</v>
      </c>
      <c r="CW936" s="141" t="str">
        <v>519560 Casino y restaurante</v>
      </c>
      <c r="CX936" s="141" t="str">
        <v>519560 Casino y restaurante</v>
      </c>
      <c r="CY936" s="141" t="str">
        <v>519560 Casino y restaurante</v>
      </c>
      <c r="CZ936" s="141" t="str">
        <v>519560 Casino y restaurante</v>
      </c>
      <c r="DA936" s="141" t="str">
        <v>519560 Casino y restaurante</v>
      </c>
      <c r="DF936" t="str">
        <v>519560 Casino y restaurante</v>
      </c>
      <c r="DG936" t="str">
        <v>519560 Casino y restaurante</v>
      </c>
      <c r="DH936" t="str">
        <v>519560 Casino y restaurante</v>
      </c>
      <c r="DI936" t="str">
        <v>519560 Casino y restaurante</v>
      </c>
      <c r="DJ936" t="str">
        <v>519560 Casino y restaurante</v>
      </c>
      <c r="DK936" t="str">
        <v>519560 Casino y restaurante</v>
      </c>
      <c r="DL936" t="str">
        <v>519560 Casino y restaurante</v>
      </c>
      <c r="DM936" t="str">
        <v>519560 Casino y restaurante</v>
      </c>
      <c r="DN936" t="str">
        <v>519560 Casino y restaurante</v>
      </c>
      <c r="DO936" t="str">
        <v>519560 Casino y restaurante</v>
      </c>
      <c r="DP936" t="str">
        <v>519560 Casino y restaurante</v>
      </c>
    </row>
    <row r="937" spans="4:120" ht="12.75">
      <c r="D937" s="7">
        <v>519565</v>
      </c>
      <c r="E937" s="6" t="s">
        <v>618</v>
      </c>
      <c r="F937" s="5">
        <v>4</v>
      </c>
      <c r="G937" s="34" t="s">
        <v>830</v>
      </c>
      <c r="H937" s="8" t="s">
        <v>32</v>
      </c>
      <c r="I937" t="b">
        <f>+ISNUMBER(SEARCH('F-COMPRA'!$F$28,Tabla11[[#This Row],[Cuenta]],1))</f>
        <v>1</v>
      </c>
      <c r="J937" t="b">
        <f>+ISNUMBER(SEARCH('F-COMPRA'!$F$29,Tabla11[[#This Row],[Cuenta]],1))</f>
        <v>1</v>
      </c>
      <c r="K937" t="b">
        <f>+ISNUMBER(SEARCH('F-COMPRA'!$F$30,Tabla11[[#This Row],[Cuenta]],1))</f>
        <v>1</v>
      </c>
      <c r="L937" t="b">
        <f>+ISNUMBER(SEARCH('F-COMPRA'!$F$31,Tabla11[[#This Row],[Cuenta]],1))</f>
        <v>1</v>
      </c>
      <c r="M937" t="b">
        <f>+ISNUMBER(SEARCH('F-COMPRA'!$G$25,Tabla11[[#This Row],[Cuenta]],1))</f>
        <v>0</v>
      </c>
      <c r="N937" t="b">
        <f>+ISNUMBER(SEARCH(#REF!,Tabla11[[#This Row],[Cuenta]],1))</f>
        <v>0</v>
      </c>
      <c r="O937" t="b">
        <f>+ISNUMBER(SEARCH(#REF!,Tabla11[[#This Row],[Cuenta]],1))</f>
        <v>0</v>
      </c>
      <c r="P937" t="b">
        <f>+ISNUMBER(SEARCH('F-COMPRA'!$F$32,Tabla11[[#This Row],[Cuenta]],1))</f>
        <v>1</v>
      </c>
      <c r="Q937" t="b">
        <f>+ISNUMBER(SEARCH('F-COMPRA'!$F$33,Tabla11[[#This Row],[Cuenta]],1))</f>
        <v>1</v>
      </c>
      <c r="R937" t="b">
        <f>+ISNUMBER(SEARCH('F-COMPRA'!$F$34,Tabla11[[#This Row],[Cuenta]],1))</f>
        <v>1</v>
      </c>
      <c r="S937" t="b">
        <f>+ISNUMBER(SEARCH('F-COMPRA'!$F$35,Tabla11[[#This Row],[Cuenta]],1))</f>
        <v>1</v>
      </c>
      <c r="T937" t="b">
        <f>+ISNUMBER(SEARCH('F-COMPRA'!$F$36,Tabla11[[#This Row],[Cuenta]],1))</f>
        <v>1</v>
      </c>
      <c r="U937" t="b">
        <f>+ISNUMBER(SEARCH('F-COMPRA'!$F$37,Tabla11[[#This Row],[Cuenta]],1))</f>
        <v>1</v>
      </c>
      <c r="V937" t="b">
        <f>+ISNUMBER(SEARCH(#REF!,Tabla11[[#This Row],[Cuenta]],1))</f>
        <v>0</v>
      </c>
      <c r="W937" t="b">
        <f>+ISNUMBER(SEARCH('F-COMPRA'!#REF!,Tabla11[[#This Row],[Cuenta]],1))</f>
        <v>0</v>
      </c>
      <c r="X937" t="b">
        <f>+ISNUMBER(SEARCH('F-COMPRA'!#REF!,Tabla11[[#This Row],[Cuenta]],1))</f>
        <v>0</v>
      </c>
      <c r="Y937" t="b">
        <f>+ISNUMBER(SEARCH('F-COMPRA'!#REF!,Tabla11[[#This Row],[Cuenta]],1))</f>
        <v>0</v>
      </c>
      <c r="Z937" t="b">
        <f>+ISNUMBER(SEARCH('F-COMPRA'!#REF!,Tabla11[[#This Row],[Cuenta]],1))</f>
        <v>0</v>
      </c>
      <c r="AA937" t="b">
        <f>+ISNUMBER(SEARCH('F-COMPRA'!#REF!,Tabla11[[#This Row],[Cuenta]],1))</f>
        <v>0</v>
      </c>
      <c r="AB937" t="b">
        <f>+ISNUMBER(SEARCH('F-COMPRA'!#REF!,Tabla11[[#This Row],[Cuenta]],1))</f>
        <v>0</v>
      </c>
      <c r="AC937" t="b">
        <f>+ISNUMBER(SEARCH('F-COMPRA'!#REF!,Tabla11[[#This Row],[Cuenta]],1))</f>
        <v>0</v>
      </c>
      <c r="AD937" t="b">
        <f>+ISNUMBER(SEARCH('F-COMPRA'!#REF!,Tabla11[[#This Row],[Cuenta]],1))</f>
        <v>0</v>
      </c>
      <c r="AE937" t="b">
        <f>+ISNUMBER(SEARCH('F-COMPRA'!#REF!,Tabla11[[#This Row],[Cuenta]],1))</f>
        <v>0</v>
      </c>
      <c r="AF937" t="b">
        <f>+ISNUMBER(SEARCH('F-VTA'!$G$23,Tabla11[[#This Row],[Cuenta]],1))</f>
        <v>0</v>
      </c>
      <c r="AG937" t="b">
        <f>+ISNUMBER(SEARCH('F-VTA'!$G$24,Tabla11[[#This Row],[Cuenta]],1))</f>
        <v>0</v>
      </c>
      <c r="AH937" t="b">
        <f>+ISNUMBER(SEARCH('F-VTA'!$G$25,Tabla11[[#This Row],[Cuenta]],1))</f>
        <v>0</v>
      </c>
      <c r="AI937" t="b">
        <f>+ISNUMBER(SEARCH('F-VTA'!$F$28,Tabla11[[#This Row],[Cuenta]],1))</f>
        <v>1</v>
      </c>
      <c r="AJ937" t="b">
        <f>+ISNUMBER(SEARCH('F-VTA'!$F$29,Tabla11[[#This Row],[Cuenta]],1))</f>
        <v>1</v>
      </c>
      <c r="AK937" t="b">
        <f>+ISNUMBER(SEARCH('F-VTA'!$F$30,Tabla11[[#This Row],[Cuenta]],1))</f>
        <v>1</v>
      </c>
      <c r="AL937" t="b">
        <f>+ISNUMBER(SEARCH('F-VTA'!$F$31,Tabla11[[#This Row],[Cuenta]],1))</f>
        <v>1</v>
      </c>
      <c r="AM937" t="b">
        <f>+ISNUMBER(SEARCH('F-VTA'!$F$32,Tabla11[[#This Row],[Cuenta]],1))</f>
        <v>1</v>
      </c>
      <c r="AN937" t="b">
        <f>+ISNUMBER(SEARCH('F-VTA'!$F$33,Tabla11[[#This Row],[Cuenta]],1))</f>
        <v>1</v>
      </c>
      <c r="AO937" t="b">
        <f>+ISNUMBER(SEARCH('F-VTA'!$F$34,Tabla11[[#This Row],[Cuenta]],1))</f>
        <v>1</v>
      </c>
      <c r="AP937" t="b">
        <f>+ISNUMBER(SEARCH('F-VTA'!$F$35,Tabla11[[#This Row],[Cuenta]],1))</f>
        <v>1</v>
      </c>
      <c r="AQ937" t="b">
        <f>+ISNUMBER(SEARCH('F-VTA'!$F$36,Tabla11[[#This Row],[Cuenta]],1))</f>
        <v>1</v>
      </c>
      <c r="AR937" t="b">
        <f>+ISNUMBER(SEARCH(#REF!,Tabla11[[#This Row],[Cuenta]],1))</f>
        <v>0</v>
      </c>
      <c r="AS937" t="b">
        <f>+ISNUMBER(SEARCH(#REF!,Tabla11[[#This Row],[Cuenta]],1))</f>
        <v>0</v>
      </c>
      <c r="AT937" t="b">
        <f>+ISNUMBER(SEARCH(#REF!,Tabla11[[#This Row],[Cuenta]],1))</f>
        <v>0</v>
      </c>
      <c r="AU937" t="b">
        <f>+ISNUMBER(SEARCH('Conc. Ban.1'!$I$9,Tabla11[[#This Row],[Cuenta]],1))</f>
        <v>0</v>
      </c>
      <c r="AV937" t="b">
        <f>+ISNUMBER(SEARCH(CompConta!$F$21,Tabla11[[#This Row],[Cuenta]],1))</f>
        <v>1</v>
      </c>
      <c r="AW937" t="b">
        <f>+ISNUMBER(SEARCH(CompConta!$F$22,Tabla11[[#This Row],[Cuenta]],1))</f>
        <v>1</v>
      </c>
      <c r="AX937" t="b">
        <f>+ISNUMBER(SEARCH(CompConta!$F$23,Tabla11[[#This Row],[Cuenta]],1))</f>
        <v>1</v>
      </c>
      <c r="AY937" t="b">
        <f>+ISNUMBER(SEARCH(CompConta!$F$24,Tabla11[[#This Row],[Cuenta]],1))</f>
        <v>1</v>
      </c>
      <c r="AZ937" t="b">
        <f>+ISNUMBER(SEARCH(CompConta!$F$25,Tabla11[[#This Row],[Cuenta]],1))</f>
        <v>1</v>
      </c>
      <c r="BA937" t="b">
        <f>+ISNUMBER(SEARCH(CompConta!$F$26,Tabla11[[#This Row],[Cuenta]],1))</f>
        <v>1</v>
      </c>
      <c r="BB937" t="b">
        <f>+ISNUMBER(SEARCH(CompConta!$F$27,Tabla11[[#This Row],[Cuenta]],1))</f>
        <v>1</v>
      </c>
      <c r="BC937" t="b">
        <f>+ISNUMBER(SEARCH(CompConta!$F$28,Tabla11[[#This Row],[Cuenta]],1))</f>
        <v>1</v>
      </c>
      <c r="BD937" t="b">
        <f>+ISNUMBER(SEARCH(CompConta!$F$29,Tabla11[[#This Row],[Cuenta]],1))</f>
        <v>1</v>
      </c>
      <c r="BE937" t="b">
        <f>+ISNUMBER(SEARCH(CompConta!$F$30,Tabla11[[#This Row],[Cuenta]],1))</f>
        <v>1</v>
      </c>
      <c r="BF937" t="b">
        <f>+ISNUMBER(SEARCH('PAGO Compras'!$E$11,Tabla11[[#This Row],[Cuenta]],1))</f>
        <v>1</v>
      </c>
      <c r="BG937" t="b">
        <f>+ISNUMBER(SEARCH(#REF!,Tabla11[[#This Row],[Cuenta]],1))</f>
        <v>0</v>
      </c>
      <c r="BH937" t="b">
        <f>+ISNUMBER(SEARCH(#REF!,Tabla11[[#This Row],[Cuenta]],1))</f>
        <v>0</v>
      </c>
      <c r="BI937" t="b">
        <f>+ISNUMBER(SEARCH(#REF!,Tabla11[[#This Row],[Cuenta]],1))</f>
        <v>0</v>
      </c>
      <c r="BJ937" t="b">
        <f>+ISNUMBER(SEARCH(#REF!,Tabla11[[#This Row],[Cuenta]],1))</f>
        <v>0</v>
      </c>
      <c r="BS937" t="str">
        <v>519565 Parqueaderos</v>
      </c>
      <c r="BT937" t="str">
        <v>519565 Parqueaderos</v>
      </c>
      <c r="BU937" t="str">
        <v>519565 Parqueaderos</v>
      </c>
      <c r="BV937" t="str">
        <v>519565 Parqueaderos</v>
      </c>
      <c r="BZ937" t="str">
        <v>519565 Parqueaderos</v>
      </c>
      <c r="CA937" t="str">
        <v>519565 Parqueaderos</v>
      </c>
      <c r="CB937" t="str">
        <v>519565 Parqueaderos</v>
      </c>
      <c r="CC937" t="str">
        <v>519565 Parqueaderos</v>
      </c>
      <c r="CD937" t="str">
        <v>519565 Parqueaderos</v>
      </c>
      <c r="CE937" t="str">
        <v>519565 Parqueaderos</v>
      </c>
      <c r="CS937" s="141" t="str">
        <v>519565 Parqueaderos</v>
      </c>
      <c r="CT937" s="141" t="str">
        <v>519565 Parqueaderos</v>
      </c>
      <c r="CU937" s="141" t="str">
        <v>519565 Parqueaderos</v>
      </c>
      <c r="CV937" s="141" t="str">
        <v>519565 Parqueaderos</v>
      </c>
      <c r="CW937" s="141" t="str">
        <v>519565 Parqueaderos</v>
      </c>
      <c r="CX937" s="141" t="str">
        <v>519565 Parqueaderos</v>
      </c>
      <c r="CY937" s="141" t="str">
        <v>519565 Parqueaderos</v>
      </c>
      <c r="CZ937" s="141" t="str">
        <v>519565 Parqueaderos</v>
      </c>
      <c r="DA937" s="141" t="str">
        <v>519565 Parqueaderos</v>
      </c>
      <c r="DF937" t="str">
        <v>519565 Parqueaderos</v>
      </c>
      <c r="DG937" t="str">
        <v>519565 Parqueaderos</v>
      </c>
      <c r="DH937" t="str">
        <v>519565 Parqueaderos</v>
      </c>
      <c r="DI937" t="str">
        <v>519565 Parqueaderos</v>
      </c>
      <c r="DJ937" t="str">
        <v>519565 Parqueaderos</v>
      </c>
      <c r="DK937" t="str">
        <v>519565 Parqueaderos</v>
      </c>
      <c r="DL937" t="str">
        <v>519565 Parqueaderos</v>
      </c>
      <c r="DM937" t="str">
        <v>519565 Parqueaderos</v>
      </c>
      <c r="DN937" t="str">
        <v>519565 Parqueaderos</v>
      </c>
      <c r="DO937" t="str">
        <v>519565 Parqueaderos</v>
      </c>
      <c r="DP937" t="str">
        <v>519565 Parqueaderos</v>
      </c>
    </row>
    <row r="938" spans="4:120" ht="12.75">
      <c r="D938" s="7">
        <v>519570</v>
      </c>
      <c r="E938" s="6" t="s">
        <v>619</v>
      </c>
      <c r="F938" s="5">
        <v>4</v>
      </c>
      <c r="G938" s="34" t="s">
        <v>830</v>
      </c>
      <c r="H938" s="8" t="s">
        <v>32</v>
      </c>
      <c r="I938" t="b">
        <f>+ISNUMBER(SEARCH('F-COMPRA'!$F$28,Tabla11[[#This Row],[Cuenta]],1))</f>
        <v>1</v>
      </c>
      <c r="J938" t="b">
        <f>+ISNUMBER(SEARCH('F-COMPRA'!$F$29,Tabla11[[#This Row],[Cuenta]],1))</f>
        <v>1</v>
      </c>
      <c r="K938" t="b">
        <f>+ISNUMBER(SEARCH('F-COMPRA'!$F$30,Tabla11[[#This Row],[Cuenta]],1))</f>
        <v>1</v>
      </c>
      <c r="L938" t="b">
        <f>+ISNUMBER(SEARCH('F-COMPRA'!$F$31,Tabla11[[#This Row],[Cuenta]],1))</f>
        <v>1</v>
      </c>
      <c r="M938" t="b">
        <f>+ISNUMBER(SEARCH('F-COMPRA'!$G$25,Tabla11[[#This Row],[Cuenta]],1))</f>
        <v>0</v>
      </c>
      <c r="N938" t="b">
        <f>+ISNUMBER(SEARCH(#REF!,Tabla11[[#This Row],[Cuenta]],1))</f>
        <v>0</v>
      </c>
      <c r="O938" t="b">
        <f>+ISNUMBER(SEARCH(#REF!,Tabla11[[#This Row],[Cuenta]],1))</f>
        <v>0</v>
      </c>
      <c r="P938" t="b">
        <f>+ISNUMBER(SEARCH('F-COMPRA'!$F$32,Tabla11[[#This Row],[Cuenta]],1))</f>
        <v>1</v>
      </c>
      <c r="Q938" t="b">
        <f>+ISNUMBER(SEARCH('F-COMPRA'!$F$33,Tabla11[[#This Row],[Cuenta]],1))</f>
        <v>1</v>
      </c>
      <c r="R938" t="b">
        <f>+ISNUMBER(SEARCH('F-COMPRA'!$F$34,Tabla11[[#This Row],[Cuenta]],1))</f>
        <v>1</v>
      </c>
      <c r="S938" t="b">
        <f>+ISNUMBER(SEARCH('F-COMPRA'!$F$35,Tabla11[[#This Row],[Cuenta]],1))</f>
        <v>1</v>
      </c>
      <c r="T938" t="b">
        <f>+ISNUMBER(SEARCH('F-COMPRA'!$F$36,Tabla11[[#This Row],[Cuenta]],1))</f>
        <v>1</v>
      </c>
      <c r="U938" t="b">
        <f>+ISNUMBER(SEARCH('F-COMPRA'!$F$37,Tabla11[[#This Row],[Cuenta]],1))</f>
        <v>1</v>
      </c>
      <c r="V938" t="b">
        <f>+ISNUMBER(SEARCH(#REF!,Tabla11[[#This Row],[Cuenta]],1))</f>
        <v>0</v>
      </c>
      <c r="W938" t="b">
        <f>+ISNUMBER(SEARCH('F-COMPRA'!#REF!,Tabla11[[#This Row],[Cuenta]],1))</f>
        <v>0</v>
      </c>
      <c r="X938" t="b">
        <f>+ISNUMBER(SEARCH('F-COMPRA'!#REF!,Tabla11[[#This Row],[Cuenta]],1))</f>
        <v>0</v>
      </c>
      <c r="Y938" t="b">
        <f>+ISNUMBER(SEARCH('F-COMPRA'!#REF!,Tabla11[[#This Row],[Cuenta]],1))</f>
        <v>0</v>
      </c>
      <c r="Z938" t="b">
        <f>+ISNUMBER(SEARCH('F-COMPRA'!#REF!,Tabla11[[#This Row],[Cuenta]],1))</f>
        <v>0</v>
      </c>
      <c r="AA938" t="b">
        <f>+ISNUMBER(SEARCH('F-COMPRA'!#REF!,Tabla11[[#This Row],[Cuenta]],1))</f>
        <v>0</v>
      </c>
      <c r="AB938" t="b">
        <f>+ISNUMBER(SEARCH('F-COMPRA'!#REF!,Tabla11[[#This Row],[Cuenta]],1))</f>
        <v>0</v>
      </c>
      <c r="AC938" t="b">
        <f>+ISNUMBER(SEARCH('F-COMPRA'!#REF!,Tabla11[[#This Row],[Cuenta]],1))</f>
        <v>0</v>
      </c>
      <c r="AD938" t="b">
        <f>+ISNUMBER(SEARCH('F-COMPRA'!#REF!,Tabla11[[#This Row],[Cuenta]],1))</f>
        <v>0</v>
      </c>
      <c r="AE938" t="b">
        <f>+ISNUMBER(SEARCH('F-COMPRA'!#REF!,Tabla11[[#This Row],[Cuenta]],1))</f>
        <v>0</v>
      </c>
      <c r="AF938" t="b">
        <f>+ISNUMBER(SEARCH('F-VTA'!$G$23,Tabla11[[#This Row],[Cuenta]],1))</f>
        <v>0</v>
      </c>
      <c r="AG938" t="b">
        <f>+ISNUMBER(SEARCH('F-VTA'!$G$24,Tabla11[[#This Row],[Cuenta]],1))</f>
        <v>0</v>
      </c>
      <c r="AH938" t="b">
        <f>+ISNUMBER(SEARCH('F-VTA'!$G$25,Tabla11[[#This Row],[Cuenta]],1))</f>
        <v>0</v>
      </c>
      <c r="AI938" t="b">
        <f>+ISNUMBER(SEARCH('F-VTA'!$F$28,Tabla11[[#This Row],[Cuenta]],1))</f>
        <v>1</v>
      </c>
      <c r="AJ938" t="b">
        <f>+ISNUMBER(SEARCH('F-VTA'!$F$29,Tabla11[[#This Row],[Cuenta]],1))</f>
        <v>1</v>
      </c>
      <c r="AK938" t="b">
        <f>+ISNUMBER(SEARCH('F-VTA'!$F$30,Tabla11[[#This Row],[Cuenta]],1))</f>
        <v>1</v>
      </c>
      <c r="AL938" t="b">
        <f>+ISNUMBER(SEARCH('F-VTA'!$F$31,Tabla11[[#This Row],[Cuenta]],1))</f>
        <v>1</v>
      </c>
      <c r="AM938" t="b">
        <f>+ISNUMBER(SEARCH('F-VTA'!$F$32,Tabla11[[#This Row],[Cuenta]],1))</f>
        <v>1</v>
      </c>
      <c r="AN938" t="b">
        <f>+ISNUMBER(SEARCH('F-VTA'!$F$33,Tabla11[[#This Row],[Cuenta]],1))</f>
        <v>1</v>
      </c>
      <c r="AO938" t="b">
        <f>+ISNUMBER(SEARCH('F-VTA'!$F$34,Tabla11[[#This Row],[Cuenta]],1))</f>
        <v>1</v>
      </c>
      <c r="AP938" t="b">
        <f>+ISNUMBER(SEARCH('F-VTA'!$F$35,Tabla11[[#This Row],[Cuenta]],1))</f>
        <v>1</v>
      </c>
      <c r="AQ938" t="b">
        <f>+ISNUMBER(SEARCH('F-VTA'!$F$36,Tabla11[[#This Row],[Cuenta]],1))</f>
        <v>1</v>
      </c>
      <c r="AR938" t="b">
        <f>+ISNUMBER(SEARCH(#REF!,Tabla11[[#This Row],[Cuenta]],1))</f>
        <v>0</v>
      </c>
      <c r="AS938" t="b">
        <f>+ISNUMBER(SEARCH(#REF!,Tabla11[[#This Row],[Cuenta]],1))</f>
        <v>0</v>
      </c>
      <c r="AT938" t="b">
        <f>+ISNUMBER(SEARCH(#REF!,Tabla11[[#This Row],[Cuenta]],1))</f>
        <v>0</v>
      </c>
      <c r="AU938" t="b">
        <f>+ISNUMBER(SEARCH('Conc. Ban.1'!$I$9,Tabla11[[#This Row],[Cuenta]],1))</f>
        <v>0</v>
      </c>
      <c r="AV938" t="b">
        <f>+ISNUMBER(SEARCH(CompConta!$F$21,Tabla11[[#This Row],[Cuenta]],1))</f>
        <v>1</v>
      </c>
      <c r="AW938" t="b">
        <f>+ISNUMBER(SEARCH(CompConta!$F$22,Tabla11[[#This Row],[Cuenta]],1))</f>
        <v>1</v>
      </c>
      <c r="AX938" t="b">
        <f>+ISNUMBER(SEARCH(CompConta!$F$23,Tabla11[[#This Row],[Cuenta]],1))</f>
        <v>1</v>
      </c>
      <c r="AY938" t="b">
        <f>+ISNUMBER(SEARCH(CompConta!$F$24,Tabla11[[#This Row],[Cuenta]],1))</f>
        <v>1</v>
      </c>
      <c r="AZ938" t="b">
        <f>+ISNUMBER(SEARCH(CompConta!$F$25,Tabla11[[#This Row],[Cuenta]],1))</f>
        <v>1</v>
      </c>
      <c r="BA938" t="b">
        <f>+ISNUMBER(SEARCH(CompConta!$F$26,Tabla11[[#This Row],[Cuenta]],1))</f>
        <v>1</v>
      </c>
      <c r="BB938" t="b">
        <f>+ISNUMBER(SEARCH(CompConta!$F$27,Tabla11[[#This Row],[Cuenta]],1))</f>
        <v>1</v>
      </c>
      <c r="BC938" t="b">
        <f>+ISNUMBER(SEARCH(CompConta!$F$28,Tabla11[[#This Row],[Cuenta]],1))</f>
        <v>1</v>
      </c>
      <c r="BD938" t="b">
        <f>+ISNUMBER(SEARCH(CompConta!$F$29,Tabla11[[#This Row],[Cuenta]],1))</f>
        <v>1</v>
      </c>
      <c r="BE938" t="b">
        <f>+ISNUMBER(SEARCH(CompConta!$F$30,Tabla11[[#This Row],[Cuenta]],1))</f>
        <v>1</v>
      </c>
      <c r="BF938" t="b">
        <f>+ISNUMBER(SEARCH('PAGO Compras'!$E$11,Tabla11[[#This Row],[Cuenta]],1))</f>
        <v>1</v>
      </c>
      <c r="BG938" t="b">
        <f>+ISNUMBER(SEARCH(#REF!,Tabla11[[#This Row],[Cuenta]],1))</f>
        <v>0</v>
      </c>
      <c r="BH938" t="b">
        <f>+ISNUMBER(SEARCH(#REF!,Tabla11[[#This Row],[Cuenta]],1))</f>
        <v>0</v>
      </c>
      <c r="BI938" t="b">
        <f>+ISNUMBER(SEARCH(#REF!,Tabla11[[#This Row],[Cuenta]],1))</f>
        <v>0</v>
      </c>
      <c r="BJ938" t="b">
        <f>+ISNUMBER(SEARCH(#REF!,Tabla11[[#This Row],[Cuenta]],1))</f>
        <v>0</v>
      </c>
      <c r="BS938" t="str">
        <v>519570 Indemnización por daños a terceros</v>
      </c>
      <c r="BT938" t="str">
        <v>519570 Indemnización por daños a terceros</v>
      </c>
      <c r="BU938" t="str">
        <v>519570 Indemnización por daños a terceros</v>
      </c>
      <c r="BV938" t="str">
        <v>519570 Indemnización por daños a terceros</v>
      </c>
      <c r="BZ938" t="str">
        <v>519570 Indemnización por daños a terceros</v>
      </c>
      <c r="CA938" t="str">
        <v>519570 Indemnización por daños a terceros</v>
      </c>
      <c r="CB938" t="str">
        <v>519570 Indemnización por daños a terceros</v>
      </c>
      <c r="CC938" t="str">
        <v>519570 Indemnización por daños a terceros</v>
      </c>
      <c r="CD938" t="str">
        <v>519570 Indemnización por daños a terceros</v>
      </c>
      <c r="CE938" t="str">
        <v>519570 Indemnización por daños a terceros</v>
      </c>
      <c r="CS938" s="141" t="str">
        <v>519570 Indemnización por daños a terceros</v>
      </c>
      <c r="CT938" s="141" t="str">
        <v>519570 Indemnización por daños a terceros</v>
      </c>
      <c r="CU938" s="141" t="str">
        <v>519570 Indemnización por daños a terceros</v>
      </c>
      <c r="CV938" s="141" t="str">
        <v>519570 Indemnización por daños a terceros</v>
      </c>
      <c r="CW938" s="141" t="str">
        <v>519570 Indemnización por daños a terceros</v>
      </c>
      <c r="CX938" s="141" t="str">
        <v>519570 Indemnización por daños a terceros</v>
      </c>
      <c r="CY938" s="141" t="str">
        <v>519570 Indemnización por daños a terceros</v>
      </c>
      <c r="CZ938" s="141" t="str">
        <v>519570 Indemnización por daños a terceros</v>
      </c>
      <c r="DA938" s="141" t="str">
        <v>519570 Indemnización por daños a terceros</v>
      </c>
      <c r="DF938" t="str">
        <v>519570 Indemnización por daños a terceros</v>
      </c>
      <c r="DG938" t="str">
        <v>519570 Indemnización por daños a terceros</v>
      </c>
      <c r="DH938" t="str">
        <v>519570 Indemnización por daños a terceros</v>
      </c>
      <c r="DI938" t="str">
        <v>519570 Indemnización por daños a terceros</v>
      </c>
      <c r="DJ938" t="str">
        <v>519570 Indemnización por daños a terceros</v>
      </c>
      <c r="DK938" t="str">
        <v>519570 Indemnización por daños a terceros</v>
      </c>
      <c r="DL938" t="str">
        <v>519570 Indemnización por daños a terceros</v>
      </c>
      <c r="DM938" t="str">
        <v>519570 Indemnización por daños a terceros</v>
      </c>
      <c r="DN938" t="str">
        <v>519570 Indemnización por daños a terceros</v>
      </c>
      <c r="DO938" t="str">
        <v>519570 Indemnización por daños a terceros</v>
      </c>
      <c r="DP938" t="str">
        <v>519570 Indemnización por daños a terceros</v>
      </c>
    </row>
    <row r="939" spans="4:120" ht="12.75">
      <c r="D939" s="7">
        <v>519575</v>
      </c>
      <c r="E939" s="6" t="s">
        <v>620</v>
      </c>
      <c r="F939" s="5">
        <v>4</v>
      </c>
      <c r="G939" s="34" t="s">
        <v>830</v>
      </c>
      <c r="H939" s="8" t="s">
        <v>32</v>
      </c>
      <c r="I939" t="b">
        <f>+ISNUMBER(SEARCH('F-COMPRA'!$F$28,Tabla11[[#This Row],[Cuenta]],1))</f>
        <v>1</v>
      </c>
      <c r="J939" t="b">
        <f>+ISNUMBER(SEARCH('F-COMPRA'!$F$29,Tabla11[[#This Row],[Cuenta]],1))</f>
        <v>1</v>
      </c>
      <c r="K939" t="b">
        <f>+ISNUMBER(SEARCH('F-COMPRA'!$F$30,Tabla11[[#This Row],[Cuenta]],1))</f>
        <v>1</v>
      </c>
      <c r="L939" t="b">
        <f>+ISNUMBER(SEARCH('F-COMPRA'!$F$31,Tabla11[[#This Row],[Cuenta]],1))</f>
        <v>1</v>
      </c>
      <c r="M939" t="b">
        <f>+ISNUMBER(SEARCH('F-COMPRA'!$G$25,Tabla11[[#This Row],[Cuenta]],1))</f>
        <v>0</v>
      </c>
      <c r="N939" t="b">
        <f>+ISNUMBER(SEARCH(#REF!,Tabla11[[#This Row],[Cuenta]],1))</f>
        <v>0</v>
      </c>
      <c r="O939" t="b">
        <f>+ISNUMBER(SEARCH(#REF!,Tabla11[[#This Row],[Cuenta]],1))</f>
        <v>0</v>
      </c>
      <c r="P939" t="b">
        <f>+ISNUMBER(SEARCH('F-COMPRA'!$F$32,Tabla11[[#This Row],[Cuenta]],1))</f>
        <v>1</v>
      </c>
      <c r="Q939" t="b">
        <f>+ISNUMBER(SEARCH('F-COMPRA'!$F$33,Tabla11[[#This Row],[Cuenta]],1))</f>
        <v>1</v>
      </c>
      <c r="R939" t="b">
        <f>+ISNUMBER(SEARCH('F-COMPRA'!$F$34,Tabla11[[#This Row],[Cuenta]],1))</f>
        <v>1</v>
      </c>
      <c r="S939" t="b">
        <f>+ISNUMBER(SEARCH('F-COMPRA'!$F$35,Tabla11[[#This Row],[Cuenta]],1))</f>
        <v>1</v>
      </c>
      <c r="T939" t="b">
        <f>+ISNUMBER(SEARCH('F-COMPRA'!$F$36,Tabla11[[#This Row],[Cuenta]],1))</f>
        <v>1</v>
      </c>
      <c r="U939" t="b">
        <f>+ISNUMBER(SEARCH('F-COMPRA'!$F$37,Tabla11[[#This Row],[Cuenta]],1))</f>
        <v>1</v>
      </c>
      <c r="V939" t="b">
        <f>+ISNUMBER(SEARCH(#REF!,Tabla11[[#This Row],[Cuenta]],1))</f>
        <v>0</v>
      </c>
      <c r="W939" t="b">
        <f>+ISNUMBER(SEARCH('F-COMPRA'!#REF!,Tabla11[[#This Row],[Cuenta]],1))</f>
        <v>0</v>
      </c>
      <c r="X939" t="b">
        <f>+ISNUMBER(SEARCH('F-COMPRA'!#REF!,Tabla11[[#This Row],[Cuenta]],1))</f>
        <v>0</v>
      </c>
      <c r="Y939" t="b">
        <f>+ISNUMBER(SEARCH('F-COMPRA'!#REF!,Tabla11[[#This Row],[Cuenta]],1))</f>
        <v>0</v>
      </c>
      <c r="Z939" t="b">
        <f>+ISNUMBER(SEARCH('F-COMPRA'!#REF!,Tabla11[[#This Row],[Cuenta]],1))</f>
        <v>0</v>
      </c>
      <c r="AA939" t="b">
        <f>+ISNUMBER(SEARCH('F-COMPRA'!#REF!,Tabla11[[#This Row],[Cuenta]],1))</f>
        <v>0</v>
      </c>
      <c r="AB939" t="b">
        <f>+ISNUMBER(SEARCH('F-COMPRA'!#REF!,Tabla11[[#This Row],[Cuenta]],1))</f>
        <v>0</v>
      </c>
      <c r="AC939" t="b">
        <f>+ISNUMBER(SEARCH('F-COMPRA'!#REF!,Tabla11[[#This Row],[Cuenta]],1))</f>
        <v>0</v>
      </c>
      <c r="AD939" t="b">
        <f>+ISNUMBER(SEARCH('F-COMPRA'!#REF!,Tabla11[[#This Row],[Cuenta]],1))</f>
        <v>0</v>
      </c>
      <c r="AE939" t="b">
        <f>+ISNUMBER(SEARCH('F-COMPRA'!#REF!,Tabla11[[#This Row],[Cuenta]],1))</f>
        <v>0</v>
      </c>
      <c r="AF939" t="b">
        <f>+ISNUMBER(SEARCH('F-VTA'!$G$23,Tabla11[[#This Row],[Cuenta]],1))</f>
        <v>0</v>
      </c>
      <c r="AG939" t="b">
        <f>+ISNUMBER(SEARCH('F-VTA'!$G$24,Tabla11[[#This Row],[Cuenta]],1))</f>
        <v>0</v>
      </c>
      <c r="AH939" t="b">
        <f>+ISNUMBER(SEARCH('F-VTA'!$G$25,Tabla11[[#This Row],[Cuenta]],1))</f>
        <v>0</v>
      </c>
      <c r="AI939" t="b">
        <f>+ISNUMBER(SEARCH('F-VTA'!$F$28,Tabla11[[#This Row],[Cuenta]],1))</f>
        <v>1</v>
      </c>
      <c r="AJ939" t="b">
        <f>+ISNUMBER(SEARCH('F-VTA'!$F$29,Tabla11[[#This Row],[Cuenta]],1))</f>
        <v>1</v>
      </c>
      <c r="AK939" t="b">
        <f>+ISNUMBER(SEARCH('F-VTA'!$F$30,Tabla11[[#This Row],[Cuenta]],1))</f>
        <v>1</v>
      </c>
      <c r="AL939" t="b">
        <f>+ISNUMBER(SEARCH('F-VTA'!$F$31,Tabla11[[#This Row],[Cuenta]],1))</f>
        <v>1</v>
      </c>
      <c r="AM939" t="b">
        <f>+ISNUMBER(SEARCH('F-VTA'!$F$32,Tabla11[[#This Row],[Cuenta]],1))</f>
        <v>1</v>
      </c>
      <c r="AN939" t="b">
        <f>+ISNUMBER(SEARCH('F-VTA'!$F$33,Tabla11[[#This Row],[Cuenta]],1))</f>
        <v>1</v>
      </c>
      <c r="AO939" t="b">
        <f>+ISNUMBER(SEARCH('F-VTA'!$F$34,Tabla11[[#This Row],[Cuenta]],1))</f>
        <v>1</v>
      </c>
      <c r="AP939" t="b">
        <f>+ISNUMBER(SEARCH('F-VTA'!$F$35,Tabla11[[#This Row],[Cuenta]],1))</f>
        <v>1</v>
      </c>
      <c r="AQ939" t="b">
        <f>+ISNUMBER(SEARCH('F-VTA'!$F$36,Tabla11[[#This Row],[Cuenta]],1))</f>
        <v>1</v>
      </c>
      <c r="AR939" t="b">
        <f>+ISNUMBER(SEARCH(#REF!,Tabla11[[#This Row],[Cuenta]],1))</f>
        <v>0</v>
      </c>
      <c r="AS939" t="b">
        <f>+ISNUMBER(SEARCH(#REF!,Tabla11[[#This Row],[Cuenta]],1))</f>
        <v>0</v>
      </c>
      <c r="AT939" t="b">
        <f>+ISNUMBER(SEARCH(#REF!,Tabla11[[#This Row],[Cuenta]],1))</f>
        <v>0</v>
      </c>
      <c r="AU939" t="b">
        <f>+ISNUMBER(SEARCH('Conc. Ban.1'!$I$9,Tabla11[[#This Row],[Cuenta]],1))</f>
        <v>0</v>
      </c>
      <c r="AV939" t="b">
        <f>+ISNUMBER(SEARCH(CompConta!$F$21,Tabla11[[#This Row],[Cuenta]],1))</f>
        <v>1</v>
      </c>
      <c r="AW939" t="b">
        <f>+ISNUMBER(SEARCH(CompConta!$F$22,Tabla11[[#This Row],[Cuenta]],1))</f>
        <v>1</v>
      </c>
      <c r="AX939" t="b">
        <f>+ISNUMBER(SEARCH(CompConta!$F$23,Tabla11[[#This Row],[Cuenta]],1))</f>
        <v>1</v>
      </c>
      <c r="AY939" t="b">
        <f>+ISNUMBER(SEARCH(CompConta!$F$24,Tabla11[[#This Row],[Cuenta]],1))</f>
        <v>1</v>
      </c>
      <c r="AZ939" t="b">
        <f>+ISNUMBER(SEARCH(CompConta!$F$25,Tabla11[[#This Row],[Cuenta]],1))</f>
        <v>1</v>
      </c>
      <c r="BA939" t="b">
        <f>+ISNUMBER(SEARCH(CompConta!$F$26,Tabla11[[#This Row],[Cuenta]],1))</f>
        <v>1</v>
      </c>
      <c r="BB939" t="b">
        <f>+ISNUMBER(SEARCH(CompConta!$F$27,Tabla11[[#This Row],[Cuenta]],1))</f>
        <v>1</v>
      </c>
      <c r="BC939" t="b">
        <f>+ISNUMBER(SEARCH(CompConta!$F$28,Tabla11[[#This Row],[Cuenta]],1))</f>
        <v>1</v>
      </c>
      <c r="BD939" t="b">
        <f>+ISNUMBER(SEARCH(CompConta!$F$29,Tabla11[[#This Row],[Cuenta]],1))</f>
        <v>1</v>
      </c>
      <c r="BE939" t="b">
        <f>+ISNUMBER(SEARCH(CompConta!$F$30,Tabla11[[#This Row],[Cuenta]],1))</f>
        <v>1</v>
      </c>
      <c r="BF939" t="b">
        <f>+ISNUMBER(SEARCH('PAGO Compras'!$E$11,Tabla11[[#This Row],[Cuenta]],1))</f>
        <v>1</v>
      </c>
      <c r="BG939" t="b">
        <f>+ISNUMBER(SEARCH(#REF!,Tabla11[[#This Row],[Cuenta]],1))</f>
        <v>0</v>
      </c>
      <c r="BH939" t="b">
        <f>+ISNUMBER(SEARCH(#REF!,Tabla11[[#This Row],[Cuenta]],1))</f>
        <v>0</v>
      </c>
      <c r="BI939" t="b">
        <f>+ISNUMBER(SEARCH(#REF!,Tabla11[[#This Row],[Cuenta]],1))</f>
        <v>0</v>
      </c>
      <c r="BJ939" t="b">
        <f>+ISNUMBER(SEARCH(#REF!,Tabla11[[#This Row],[Cuenta]],1))</f>
        <v>0</v>
      </c>
      <c r="BS939" t="str">
        <v>519575 Pólvora y similares</v>
      </c>
      <c r="BT939" t="str">
        <v>519575 Pólvora y similares</v>
      </c>
      <c r="BU939" t="str">
        <v>519575 Pólvora y similares</v>
      </c>
      <c r="BV939" t="str">
        <v>519575 Pólvora y similares</v>
      </c>
      <c r="BZ939" t="str">
        <v>519575 Pólvora y similares</v>
      </c>
      <c r="CA939" t="str">
        <v>519575 Pólvora y similares</v>
      </c>
      <c r="CB939" t="str">
        <v>519575 Pólvora y similares</v>
      </c>
      <c r="CC939" t="str">
        <v>519575 Pólvora y similares</v>
      </c>
      <c r="CD939" t="str">
        <v>519575 Pólvora y similares</v>
      </c>
      <c r="CE939" t="str">
        <v>519575 Pólvora y similares</v>
      </c>
      <c r="CS939" s="141" t="str">
        <v>519575 Pólvora y similares</v>
      </c>
      <c r="CT939" s="141" t="str">
        <v>519575 Pólvora y similares</v>
      </c>
      <c r="CU939" s="141" t="str">
        <v>519575 Pólvora y similares</v>
      </c>
      <c r="CV939" s="141" t="str">
        <v>519575 Pólvora y similares</v>
      </c>
      <c r="CW939" s="141" t="str">
        <v>519575 Pólvora y similares</v>
      </c>
      <c r="CX939" s="141" t="str">
        <v>519575 Pólvora y similares</v>
      </c>
      <c r="CY939" s="141" t="str">
        <v>519575 Pólvora y similares</v>
      </c>
      <c r="CZ939" s="141" t="str">
        <v>519575 Pólvora y similares</v>
      </c>
      <c r="DA939" s="141" t="str">
        <v>519575 Pólvora y similares</v>
      </c>
      <c r="DF939" t="str">
        <v>519575 Pólvora y similares</v>
      </c>
      <c r="DG939" t="str">
        <v>519575 Pólvora y similares</v>
      </c>
      <c r="DH939" t="str">
        <v>519575 Pólvora y similares</v>
      </c>
      <c r="DI939" t="str">
        <v>519575 Pólvora y similares</v>
      </c>
      <c r="DJ939" t="str">
        <v>519575 Pólvora y similares</v>
      </c>
      <c r="DK939" t="str">
        <v>519575 Pólvora y similares</v>
      </c>
      <c r="DL939" t="str">
        <v>519575 Pólvora y similares</v>
      </c>
      <c r="DM939" t="str">
        <v>519575 Pólvora y similares</v>
      </c>
      <c r="DN939" t="str">
        <v>519575 Pólvora y similares</v>
      </c>
      <c r="DO939" t="str">
        <v>519575 Pólvora y similares</v>
      </c>
      <c r="DP939" t="str">
        <v>519575 Pólvora y similares</v>
      </c>
    </row>
    <row r="940" spans="4:120" ht="12.75">
      <c r="D940" s="7">
        <v>519595</v>
      </c>
      <c r="E940" s="6" t="s">
        <v>45</v>
      </c>
      <c r="F940" s="5">
        <v>4</v>
      </c>
      <c r="G940" s="34" t="s">
        <v>830</v>
      </c>
      <c r="H940" s="8" t="s">
        <v>32</v>
      </c>
      <c r="I940" t="b">
        <f>+ISNUMBER(SEARCH('F-COMPRA'!$F$28,Tabla11[[#This Row],[Cuenta]],1))</f>
        <v>1</v>
      </c>
      <c r="J940" t="b">
        <f>+ISNUMBER(SEARCH('F-COMPRA'!$F$29,Tabla11[[#This Row],[Cuenta]],1))</f>
        <v>1</v>
      </c>
      <c r="K940" t="b">
        <f>+ISNUMBER(SEARCH('F-COMPRA'!$F$30,Tabla11[[#This Row],[Cuenta]],1))</f>
        <v>1</v>
      </c>
      <c r="L940" t="b">
        <f>+ISNUMBER(SEARCH('F-COMPRA'!$F$31,Tabla11[[#This Row],[Cuenta]],1))</f>
        <v>1</v>
      </c>
      <c r="M940" t="b">
        <f>+ISNUMBER(SEARCH('F-COMPRA'!$G$25,Tabla11[[#This Row],[Cuenta]],1))</f>
        <v>0</v>
      </c>
      <c r="N940" t="b">
        <f>+ISNUMBER(SEARCH(#REF!,Tabla11[[#This Row],[Cuenta]],1))</f>
        <v>0</v>
      </c>
      <c r="O940" t="b">
        <f>+ISNUMBER(SEARCH(#REF!,Tabla11[[#This Row],[Cuenta]],1))</f>
        <v>0</v>
      </c>
      <c r="P940" t="b">
        <f>+ISNUMBER(SEARCH('F-COMPRA'!$F$32,Tabla11[[#This Row],[Cuenta]],1))</f>
        <v>1</v>
      </c>
      <c r="Q940" t="b">
        <f>+ISNUMBER(SEARCH('F-COMPRA'!$F$33,Tabla11[[#This Row],[Cuenta]],1))</f>
        <v>1</v>
      </c>
      <c r="R940" t="b">
        <f>+ISNUMBER(SEARCH('F-COMPRA'!$F$34,Tabla11[[#This Row],[Cuenta]],1))</f>
        <v>1</v>
      </c>
      <c r="S940" t="b">
        <f>+ISNUMBER(SEARCH('F-COMPRA'!$F$35,Tabla11[[#This Row],[Cuenta]],1))</f>
        <v>1</v>
      </c>
      <c r="T940" t="b">
        <f>+ISNUMBER(SEARCH('F-COMPRA'!$F$36,Tabla11[[#This Row],[Cuenta]],1))</f>
        <v>1</v>
      </c>
      <c r="U940" t="b">
        <f>+ISNUMBER(SEARCH('F-COMPRA'!$F$37,Tabla11[[#This Row],[Cuenta]],1))</f>
        <v>1</v>
      </c>
      <c r="V940" t="b">
        <f>+ISNUMBER(SEARCH(#REF!,Tabla11[[#This Row],[Cuenta]],1))</f>
        <v>0</v>
      </c>
      <c r="W940" t="b">
        <f>+ISNUMBER(SEARCH('F-COMPRA'!#REF!,Tabla11[[#This Row],[Cuenta]],1))</f>
        <v>0</v>
      </c>
      <c r="X940" t="b">
        <f>+ISNUMBER(SEARCH('F-COMPRA'!#REF!,Tabla11[[#This Row],[Cuenta]],1))</f>
        <v>0</v>
      </c>
      <c r="Y940" t="b">
        <f>+ISNUMBER(SEARCH('F-COMPRA'!#REF!,Tabla11[[#This Row],[Cuenta]],1))</f>
        <v>0</v>
      </c>
      <c r="Z940" t="b">
        <f>+ISNUMBER(SEARCH('F-COMPRA'!#REF!,Tabla11[[#This Row],[Cuenta]],1))</f>
        <v>0</v>
      </c>
      <c r="AA940" t="b">
        <f>+ISNUMBER(SEARCH('F-COMPRA'!#REF!,Tabla11[[#This Row],[Cuenta]],1))</f>
        <v>0</v>
      </c>
      <c r="AB940" t="b">
        <f>+ISNUMBER(SEARCH('F-COMPRA'!#REF!,Tabla11[[#This Row],[Cuenta]],1))</f>
        <v>0</v>
      </c>
      <c r="AC940" t="b">
        <f>+ISNUMBER(SEARCH('F-COMPRA'!#REF!,Tabla11[[#This Row],[Cuenta]],1))</f>
        <v>0</v>
      </c>
      <c r="AD940" t="b">
        <f>+ISNUMBER(SEARCH('F-COMPRA'!#REF!,Tabla11[[#This Row],[Cuenta]],1))</f>
        <v>0</v>
      </c>
      <c r="AE940" t="b">
        <f>+ISNUMBER(SEARCH('F-COMPRA'!#REF!,Tabla11[[#This Row],[Cuenta]],1))</f>
        <v>0</v>
      </c>
      <c r="AF940" t="b">
        <f>+ISNUMBER(SEARCH('F-VTA'!$G$23,Tabla11[[#This Row],[Cuenta]],1))</f>
        <v>0</v>
      </c>
      <c r="AG940" t="b">
        <f>+ISNUMBER(SEARCH('F-VTA'!$G$24,Tabla11[[#This Row],[Cuenta]],1))</f>
        <v>0</v>
      </c>
      <c r="AH940" t="b">
        <f>+ISNUMBER(SEARCH('F-VTA'!$G$25,Tabla11[[#This Row],[Cuenta]],1))</f>
        <v>0</v>
      </c>
      <c r="AI940" t="b">
        <f>+ISNUMBER(SEARCH('F-VTA'!$F$28,Tabla11[[#This Row],[Cuenta]],1))</f>
        <v>1</v>
      </c>
      <c r="AJ940" t="b">
        <f>+ISNUMBER(SEARCH('F-VTA'!$F$29,Tabla11[[#This Row],[Cuenta]],1))</f>
        <v>1</v>
      </c>
      <c r="AK940" t="b">
        <f>+ISNUMBER(SEARCH('F-VTA'!$F$30,Tabla11[[#This Row],[Cuenta]],1))</f>
        <v>1</v>
      </c>
      <c r="AL940" t="b">
        <f>+ISNUMBER(SEARCH('F-VTA'!$F$31,Tabla11[[#This Row],[Cuenta]],1))</f>
        <v>1</v>
      </c>
      <c r="AM940" t="b">
        <f>+ISNUMBER(SEARCH('F-VTA'!$F$32,Tabla11[[#This Row],[Cuenta]],1))</f>
        <v>1</v>
      </c>
      <c r="AN940" t="b">
        <f>+ISNUMBER(SEARCH('F-VTA'!$F$33,Tabla11[[#This Row],[Cuenta]],1))</f>
        <v>1</v>
      </c>
      <c r="AO940" t="b">
        <f>+ISNUMBER(SEARCH('F-VTA'!$F$34,Tabla11[[#This Row],[Cuenta]],1))</f>
        <v>1</v>
      </c>
      <c r="AP940" t="b">
        <f>+ISNUMBER(SEARCH('F-VTA'!$F$35,Tabla11[[#This Row],[Cuenta]],1))</f>
        <v>1</v>
      </c>
      <c r="AQ940" t="b">
        <f>+ISNUMBER(SEARCH('F-VTA'!$F$36,Tabla11[[#This Row],[Cuenta]],1))</f>
        <v>1</v>
      </c>
      <c r="AR940" t="b">
        <f>+ISNUMBER(SEARCH(#REF!,Tabla11[[#This Row],[Cuenta]],1))</f>
        <v>0</v>
      </c>
      <c r="AS940" t="b">
        <f>+ISNUMBER(SEARCH(#REF!,Tabla11[[#This Row],[Cuenta]],1))</f>
        <v>0</v>
      </c>
      <c r="AT940" t="b">
        <f>+ISNUMBER(SEARCH(#REF!,Tabla11[[#This Row],[Cuenta]],1))</f>
        <v>0</v>
      </c>
      <c r="AU940" t="b">
        <f>+ISNUMBER(SEARCH('Conc. Ban.1'!$I$9,Tabla11[[#This Row],[Cuenta]],1))</f>
        <v>0</v>
      </c>
      <c r="AV940" t="b">
        <f>+ISNUMBER(SEARCH(CompConta!$F$21,Tabla11[[#This Row],[Cuenta]],1))</f>
        <v>1</v>
      </c>
      <c r="AW940" t="b">
        <f>+ISNUMBER(SEARCH(CompConta!$F$22,Tabla11[[#This Row],[Cuenta]],1))</f>
        <v>1</v>
      </c>
      <c r="AX940" t="b">
        <f>+ISNUMBER(SEARCH(CompConta!$F$23,Tabla11[[#This Row],[Cuenta]],1))</f>
        <v>1</v>
      </c>
      <c r="AY940" t="b">
        <f>+ISNUMBER(SEARCH(CompConta!$F$24,Tabla11[[#This Row],[Cuenta]],1))</f>
        <v>1</v>
      </c>
      <c r="AZ940" t="b">
        <f>+ISNUMBER(SEARCH(CompConta!$F$25,Tabla11[[#This Row],[Cuenta]],1))</f>
        <v>1</v>
      </c>
      <c r="BA940" t="b">
        <f>+ISNUMBER(SEARCH(CompConta!$F$26,Tabla11[[#This Row],[Cuenta]],1))</f>
        <v>1</v>
      </c>
      <c r="BB940" t="b">
        <f>+ISNUMBER(SEARCH(CompConta!$F$27,Tabla11[[#This Row],[Cuenta]],1))</f>
        <v>1</v>
      </c>
      <c r="BC940" t="b">
        <f>+ISNUMBER(SEARCH(CompConta!$F$28,Tabla11[[#This Row],[Cuenta]],1))</f>
        <v>1</v>
      </c>
      <c r="BD940" t="b">
        <f>+ISNUMBER(SEARCH(CompConta!$F$29,Tabla11[[#This Row],[Cuenta]],1))</f>
        <v>1</v>
      </c>
      <c r="BE940" t="b">
        <f>+ISNUMBER(SEARCH(CompConta!$F$30,Tabla11[[#This Row],[Cuenta]],1))</f>
        <v>1</v>
      </c>
      <c r="BF940" t="b">
        <f>+ISNUMBER(SEARCH('PAGO Compras'!$E$11,Tabla11[[#This Row],[Cuenta]],1))</f>
        <v>1</v>
      </c>
      <c r="BG940" t="b">
        <f>+ISNUMBER(SEARCH(#REF!,Tabla11[[#This Row],[Cuenta]],1))</f>
        <v>0</v>
      </c>
      <c r="BH940" t="b">
        <f>+ISNUMBER(SEARCH(#REF!,Tabla11[[#This Row],[Cuenta]],1))</f>
        <v>0</v>
      </c>
      <c r="BI940" t="b">
        <f>+ISNUMBER(SEARCH(#REF!,Tabla11[[#This Row],[Cuenta]],1))</f>
        <v>0</v>
      </c>
      <c r="BJ940" t="b">
        <f>+ISNUMBER(SEARCH(#REF!,Tabla11[[#This Row],[Cuenta]],1))</f>
        <v>0</v>
      </c>
      <c r="BS940" t="str">
        <v>519595 Otros</v>
      </c>
      <c r="BT940" t="str">
        <v>519595 Otros</v>
      </c>
      <c r="BU940" t="str">
        <v>519595 Otros</v>
      </c>
      <c r="BV940" t="str">
        <v>519595 Otros</v>
      </c>
      <c r="BZ940" t="str">
        <v>519595 Otros</v>
      </c>
      <c r="CA940" t="str">
        <v>519595 Otros</v>
      </c>
      <c r="CB940" t="str">
        <v>519595 Otros</v>
      </c>
      <c r="CC940" t="str">
        <v>519595 Otros</v>
      </c>
      <c r="CD940" t="str">
        <v>519595 Otros</v>
      </c>
      <c r="CE940" t="str">
        <v>519595 Otros</v>
      </c>
      <c r="CS940" s="141" t="str">
        <v>519595 Otros</v>
      </c>
      <c r="CT940" s="141" t="str">
        <v>519595 Otros</v>
      </c>
      <c r="CU940" s="141" t="str">
        <v>519595 Otros</v>
      </c>
      <c r="CV940" s="141" t="str">
        <v>519595 Otros</v>
      </c>
      <c r="CW940" s="141" t="str">
        <v>519595 Otros</v>
      </c>
      <c r="CX940" s="141" t="str">
        <v>519595 Otros</v>
      </c>
      <c r="CY940" s="141" t="str">
        <v>519595 Otros</v>
      </c>
      <c r="CZ940" s="141" t="str">
        <v>519595 Otros</v>
      </c>
      <c r="DA940" s="141" t="str">
        <v>519595 Otros</v>
      </c>
      <c r="DF940" t="str">
        <v>519595 Otros</v>
      </c>
      <c r="DG940" t="str">
        <v>519595 Otros</v>
      </c>
      <c r="DH940" t="str">
        <v>519595 Otros</v>
      </c>
      <c r="DI940" t="str">
        <v>519595 Otros</v>
      </c>
      <c r="DJ940" t="str">
        <v>519595 Otros</v>
      </c>
      <c r="DK940" t="str">
        <v>519595 Otros</v>
      </c>
      <c r="DL940" t="str">
        <v>519595 Otros</v>
      </c>
      <c r="DM940" t="str">
        <v>519595 Otros</v>
      </c>
      <c r="DN940" t="str">
        <v>519595 Otros</v>
      </c>
      <c r="DO940" t="str">
        <v>519595 Otros</v>
      </c>
      <c r="DP940" t="str">
        <v>519595 Otros</v>
      </c>
    </row>
    <row r="941" spans="4:120" ht="12.75">
      <c r="D941" s="7">
        <v>51959505</v>
      </c>
      <c r="E941" s="6" t="s">
        <v>808</v>
      </c>
      <c r="F941" s="5">
        <v>5</v>
      </c>
      <c r="G941" s="34" t="s">
        <v>830</v>
      </c>
      <c r="H941" s="8" t="s">
        <v>32</v>
      </c>
      <c r="I941" t="b">
        <f>+ISNUMBER(SEARCH('F-COMPRA'!$F$28,Tabla11[[#This Row],[Cuenta]],1))</f>
        <v>1</v>
      </c>
      <c r="J941" t="b">
        <f>+ISNUMBER(SEARCH('F-COMPRA'!$F$29,Tabla11[[#This Row],[Cuenta]],1))</f>
        <v>1</v>
      </c>
      <c r="K941" t="b">
        <f>+ISNUMBER(SEARCH('F-COMPRA'!$F$30,Tabla11[[#This Row],[Cuenta]],1))</f>
        <v>1</v>
      </c>
      <c r="L941" t="b">
        <f>+ISNUMBER(SEARCH('F-COMPRA'!$F$31,Tabla11[[#This Row],[Cuenta]],1))</f>
        <v>1</v>
      </c>
      <c r="M941" t="b">
        <f>+ISNUMBER(SEARCH('F-COMPRA'!$G$25,Tabla11[[#This Row],[Cuenta]],1))</f>
        <v>0</v>
      </c>
      <c r="N941" t="b">
        <f>+ISNUMBER(SEARCH(#REF!,Tabla11[[#This Row],[Cuenta]],1))</f>
        <v>0</v>
      </c>
      <c r="O941" t="b">
        <f>+ISNUMBER(SEARCH(#REF!,Tabla11[[#This Row],[Cuenta]],1))</f>
        <v>0</v>
      </c>
      <c r="P941" t="b">
        <f>+ISNUMBER(SEARCH('F-COMPRA'!$F$32,Tabla11[[#This Row],[Cuenta]],1))</f>
        <v>1</v>
      </c>
      <c r="Q941" t="b">
        <f>+ISNUMBER(SEARCH('F-COMPRA'!$F$33,Tabla11[[#This Row],[Cuenta]],1))</f>
        <v>1</v>
      </c>
      <c r="R941" t="b">
        <f>+ISNUMBER(SEARCH('F-COMPRA'!$F$34,Tabla11[[#This Row],[Cuenta]],1))</f>
        <v>1</v>
      </c>
      <c r="S941" t="b">
        <f>+ISNUMBER(SEARCH('F-COMPRA'!$F$35,Tabla11[[#This Row],[Cuenta]],1))</f>
        <v>1</v>
      </c>
      <c r="T941" t="b">
        <f>+ISNUMBER(SEARCH('F-COMPRA'!$F$36,Tabla11[[#This Row],[Cuenta]],1))</f>
        <v>1</v>
      </c>
      <c r="U941" t="b">
        <f>+ISNUMBER(SEARCH('F-COMPRA'!$F$37,Tabla11[[#This Row],[Cuenta]],1))</f>
        <v>1</v>
      </c>
      <c r="V941" t="b">
        <f>+ISNUMBER(SEARCH(#REF!,Tabla11[[#This Row],[Cuenta]],1))</f>
        <v>0</v>
      </c>
      <c r="W941" t="b">
        <f>+ISNUMBER(SEARCH('F-COMPRA'!#REF!,Tabla11[[#This Row],[Cuenta]],1))</f>
        <v>0</v>
      </c>
      <c r="X941" t="b">
        <f>+ISNUMBER(SEARCH('F-COMPRA'!#REF!,Tabla11[[#This Row],[Cuenta]],1))</f>
        <v>0</v>
      </c>
      <c r="Y941" t="b">
        <f>+ISNUMBER(SEARCH('F-COMPRA'!#REF!,Tabla11[[#This Row],[Cuenta]],1))</f>
        <v>0</v>
      </c>
      <c r="Z941" t="b">
        <f>+ISNUMBER(SEARCH('F-COMPRA'!#REF!,Tabla11[[#This Row],[Cuenta]],1))</f>
        <v>0</v>
      </c>
      <c r="AA941" t="b">
        <f>+ISNUMBER(SEARCH('F-COMPRA'!#REF!,Tabla11[[#This Row],[Cuenta]],1))</f>
        <v>0</v>
      </c>
      <c r="AB941" t="b">
        <f>+ISNUMBER(SEARCH('F-COMPRA'!#REF!,Tabla11[[#This Row],[Cuenta]],1))</f>
        <v>0</v>
      </c>
      <c r="AC941" t="b">
        <f>+ISNUMBER(SEARCH('F-COMPRA'!#REF!,Tabla11[[#This Row],[Cuenta]],1))</f>
        <v>0</v>
      </c>
      <c r="AD941" t="b">
        <f>+ISNUMBER(SEARCH('F-COMPRA'!#REF!,Tabla11[[#This Row],[Cuenta]],1))</f>
        <v>0</v>
      </c>
      <c r="AE941" t="b">
        <f>+ISNUMBER(SEARCH('F-COMPRA'!#REF!,Tabla11[[#This Row],[Cuenta]],1))</f>
        <v>0</v>
      </c>
      <c r="AF941" t="b">
        <f>+ISNUMBER(SEARCH('F-VTA'!$G$23,Tabla11[[#This Row],[Cuenta]],1))</f>
        <v>0</v>
      </c>
      <c r="AG941" t="b">
        <f>+ISNUMBER(SEARCH('F-VTA'!$G$24,Tabla11[[#This Row],[Cuenta]],1))</f>
        <v>0</v>
      </c>
      <c r="AH941" t="b">
        <f>+ISNUMBER(SEARCH('F-VTA'!$G$25,Tabla11[[#This Row],[Cuenta]],1))</f>
        <v>0</v>
      </c>
      <c r="AI941" t="b">
        <f>+ISNUMBER(SEARCH('F-VTA'!$F$28,Tabla11[[#This Row],[Cuenta]],1))</f>
        <v>1</v>
      </c>
      <c r="AJ941" t="b">
        <f>+ISNUMBER(SEARCH('F-VTA'!$F$29,Tabla11[[#This Row],[Cuenta]],1))</f>
        <v>1</v>
      </c>
      <c r="AK941" t="b">
        <f>+ISNUMBER(SEARCH('F-VTA'!$F$30,Tabla11[[#This Row],[Cuenta]],1))</f>
        <v>1</v>
      </c>
      <c r="AL941" t="b">
        <f>+ISNUMBER(SEARCH('F-VTA'!$F$31,Tabla11[[#This Row],[Cuenta]],1))</f>
        <v>1</v>
      </c>
      <c r="AM941" t="b">
        <f>+ISNUMBER(SEARCH('F-VTA'!$F$32,Tabla11[[#This Row],[Cuenta]],1))</f>
        <v>1</v>
      </c>
      <c r="AN941" t="b">
        <f>+ISNUMBER(SEARCH('F-VTA'!$F$33,Tabla11[[#This Row],[Cuenta]],1))</f>
        <v>1</v>
      </c>
      <c r="AO941" t="b">
        <f>+ISNUMBER(SEARCH('F-VTA'!$F$34,Tabla11[[#This Row],[Cuenta]],1))</f>
        <v>1</v>
      </c>
      <c r="AP941" t="b">
        <f>+ISNUMBER(SEARCH('F-VTA'!$F$35,Tabla11[[#This Row],[Cuenta]],1))</f>
        <v>1</v>
      </c>
      <c r="AQ941" t="b">
        <f>+ISNUMBER(SEARCH('F-VTA'!$F$36,Tabla11[[#This Row],[Cuenta]],1))</f>
        <v>1</v>
      </c>
      <c r="AR941" t="b">
        <f>+ISNUMBER(SEARCH(#REF!,Tabla11[[#This Row],[Cuenta]],1))</f>
        <v>0</v>
      </c>
      <c r="AS941" t="b">
        <f>+ISNUMBER(SEARCH(#REF!,Tabla11[[#This Row],[Cuenta]],1))</f>
        <v>0</v>
      </c>
      <c r="AT941" t="b">
        <f>+ISNUMBER(SEARCH(#REF!,Tabla11[[#This Row],[Cuenta]],1))</f>
        <v>0</v>
      </c>
      <c r="AU941" t="b">
        <f>+ISNUMBER(SEARCH('Conc. Ban.1'!$I$9,Tabla11[[#This Row],[Cuenta]],1))</f>
        <v>0</v>
      </c>
      <c r="AV941" t="b">
        <f>+ISNUMBER(SEARCH(CompConta!$F$21,Tabla11[[#This Row],[Cuenta]],1))</f>
        <v>1</v>
      </c>
      <c r="AW941" t="b">
        <f>+ISNUMBER(SEARCH(CompConta!$F$22,Tabla11[[#This Row],[Cuenta]],1))</f>
        <v>1</v>
      </c>
      <c r="AX941" t="b">
        <f>+ISNUMBER(SEARCH(CompConta!$F$23,Tabla11[[#This Row],[Cuenta]],1))</f>
        <v>1</v>
      </c>
      <c r="AY941" t="b">
        <f>+ISNUMBER(SEARCH(CompConta!$F$24,Tabla11[[#This Row],[Cuenta]],1))</f>
        <v>1</v>
      </c>
      <c r="AZ941" t="b">
        <f>+ISNUMBER(SEARCH(CompConta!$F$25,Tabla11[[#This Row],[Cuenta]],1))</f>
        <v>1</v>
      </c>
      <c r="BA941" t="b">
        <f>+ISNUMBER(SEARCH(CompConta!$F$26,Tabla11[[#This Row],[Cuenta]],1))</f>
        <v>1</v>
      </c>
      <c r="BB941" t="b">
        <f>+ISNUMBER(SEARCH(CompConta!$F$27,Tabla11[[#This Row],[Cuenta]],1))</f>
        <v>1</v>
      </c>
      <c r="BC941" t="b">
        <f>+ISNUMBER(SEARCH(CompConta!$F$28,Tabla11[[#This Row],[Cuenta]],1))</f>
        <v>1</v>
      </c>
      <c r="BD941" t="b">
        <f>+ISNUMBER(SEARCH(CompConta!$F$29,Tabla11[[#This Row],[Cuenta]],1))</f>
        <v>1</v>
      </c>
      <c r="BE941" t="b">
        <f>+ISNUMBER(SEARCH(CompConta!$F$30,Tabla11[[#This Row],[Cuenta]],1))</f>
        <v>1</v>
      </c>
      <c r="BF941" t="b">
        <f>+ISNUMBER(SEARCH('PAGO Compras'!$E$11,Tabla11[[#This Row],[Cuenta]],1))</f>
        <v>1</v>
      </c>
      <c r="BG941" t="b">
        <f>+ISNUMBER(SEARCH(#REF!,Tabla11[[#This Row],[Cuenta]],1))</f>
        <v>0</v>
      </c>
      <c r="BH941" t="b">
        <f>+ISNUMBER(SEARCH(#REF!,Tabla11[[#This Row],[Cuenta]],1))</f>
        <v>0</v>
      </c>
      <c r="BI941" t="b">
        <f>+ISNUMBER(SEARCH(#REF!,Tabla11[[#This Row],[Cuenta]],1))</f>
        <v>0</v>
      </c>
      <c r="BJ941" t="b">
        <f>+ISNUMBER(SEARCH(#REF!,Tabla11[[#This Row],[Cuenta]],1))</f>
        <v>0</v>
      </c>
      <c r="BS941" t="str">
        <v>51959505 AYUDA PUEBLO SIERVOS</v>
      </c>
      <c r="BT941" t="str">
        <v>51959505 AYUDA PUEBLO SIERVOS</v>
      </c>
      <c r="BU941" t="str">
        <v>51959505 AYUDA PUEBLO SIERVOS</v>
      </c>
      <c r="BV941" t="str">
        <v>51959505 AYUDA PUEBLO SIERVOS</v>
      </c>
      <c r="BZ941" t="str">
        <v>51959505 AYUDA PUEBLO SIERVOS</v>
      </c>
      <c r="CA941" t="str">
        <v>51959505 AYUDA PUEBLO SIERVOS</v>
      </c>
      <c r="CB941" t="str">
        <v>51959505 AYUDA PUEBLO SIERVOS</v>
      </c>
      <c r="CC941" t="str">
        <v>51959505 AYUDA PUEBLO SIERVOS</v>
      </c>
      <c r="CD941" t="str">
        <v>51959505 AYUDA PUEBLO SIERVOS</v>
      </c>
      <c r="CE941" t="str">
        <v>51959505 AYUDA PUEBLO SIERVOS</v>
      </c>
      <c r="CS941" s="141" t="str">
        <v>51959505 AYUDA PUEBLO SIERVOS</v>
      </c>
      <c r="CT941" s="141" t="str">
        <v>51959505 AYUDA PUEBLO SIERVOS</v>
      </c>
      <c r="CU941" s="141" t="str">
        <v>51959505 AYUDA PUEBLO SIERVOS</v>
      </c>
      <c r="CV941" s="141" t="str">
        <v>51959505 AYUDA PUEBLO SIERVOS</v>
      </c>
      <c r="CW941" s="141" t="str">
        <v>51959505 AYUDA PUEBLO SIERVOS</v>
      </c>
      <c r="CX941" s="141" t="str">
        <v>51959505 AYUDA PUEBLO SIERVOS</v>
      </c>
      <c r="CY941" s="141" t="str">
        <v>51959505 AYUDA PUEBLO SIERVOS</v>
      </c>
      <c r="CZ941" s="141" t="str">
        <v>51959505 AYUDA PUEBLO SIERVOS</v>
      </c>
      <c r="DA941" s="141" t="str">
        <v>51959505 AYUDA PUEBLO SIERVOS</v>
      </c>
      <c r="DF941" t="str">
        <v>51959505 AYUDA PUEBLO SIERVOS</v>
      </c>
      <c r="DG941" t="str">
        <v>51959505 AYUDA PUEBLO SIERVOS</v>
      </c>
      <c r="DH941" t="str">
        <v>51959505 AYUDA PUEBLO SIERVOS</v>
      </c>
      <c r="DI941" t="str">
        <v>51959505 AYUDA PUEBLO SIERVOS</v>
      </c>
      <c r="DJ941" t="str">
        <v>51959505 AYUDA PUEBLO SIERVOS</v>
      </c>
      <c r="DK941" t="str">
        <v>51959505 AYUDA PUEBLO SIERVOS</v>
      </c>
      <c r="DL941" t="str">
        <v>51959505 AYUDA PUEBLO SIERVOS</v>
      </c>
      <c r="DM941" t="str">
        <v>51959505 AYUDA PUEBLO SIERVOS</v>
      </c>
      <c r="DN941" t="str">
        <v>51959505 AYUDA PUEBLO SIERVOS</v>
      </c>
      <c r="DO941" t="str">
        <v>51959505 AYUDA PUEBLO SIERVOS</v>
      </c>
      <c r="DP941" t="str">
        <v>51959505 AYUDA PUEBLO SIERVOS</v>
      </c>
    </row>
    <row r="942" spans="4:120" ht="12.75">
      <c r="D942" s="7">
        <v>51959510</v>
      </c>
      <c r="E942" s="6" t="s">
        <v>809</v>
      </c>
      <c r="F942" s="5">
        <v>5</v>
      </c>
      <c r="G942" s="34" t="s">
        <v>830</v>
      </c>
      <c r="H942" s="8" t="s">
        <v>32</v>
      </c>
      <c r="I942" t="b">
        <f>+ISNUMBER(SEARCH('F-COMPRA'!$F$28,Tabla11[[#This Row],[Cuenta]],1))</f>
        <v>1</v>
      </c>
      <c r="J942" t="b">
        <f>+ISNUMBER(SEARCH('F-COMPRA'!$F$29,Tabla11[[#This Row],[Cuenta]],1))</f>
        <v>1</v>
      </c>
      <c r="K942" t="b">
        <f>+ISNUMBER(SEARCH('F-COMPRA'!$F$30,Tabla11[[#This Row],[Cuenta]],1))</f>
        <v>1</v>
      </c>
      <c r="L942" t="b">
        <f>+ISNUMBER(SEARCH('F-COMPRA'!$F$31,Tabla11[[#This Row],[Cuenta]],1))</f>
        <v>1</v>
      </c>
      <c r="M942" t="b">
        <f>+ISNUMBER(SEARCH('F-COMPRA'!$G$25,Tabla11[[#This Row],[Cuenta]],1))</f>
        <v>0</v>
      </c>
      <c r="N942" t="b">
        <f>+ISNUMBER(SEARCH(#REF!,Tabla11[[#This Row],[Cuenta]],1))</f>
        <v>0</v>
      </c>
      <c r="O942" t="b">
        <f>+ISNUMBER(SEARCH(#REF!,Tabla11[[#This Row],[Cuenta]],1))</f>
        <v>0</v>
      </c>
      <c r="P942" t="b">
        <f>+ISNUMBER(SEARCH('F-COMPRA'!$F$32,Tabla11[[#This Row],[Cuenta]],1))</f>
        <v>1</v>
      </c>
      <c r="Q942" t="b">
        <f>+ISNUMBER(SEARCH('F-COMPRA'!$F$33,Tabla11[[#This Row],[Cuenta]],1))</f>
        <v>1</v>
      </c>
      <c r="R942" t="b">
        <f>+ISNUMBER(SEARCH('F-COMPRA'!$F$34,Tabla11[[#This Row],[Cuenta]],1))</f>
        <v>1</v>
      </c>
      <c r="S942" t="b">
        <f>+ISNUMBER(SEARCH('F-COMPRA'!$F$35,Tabla11[[#This Row],[Cuenta]],1))</f>
        <v>1</v>
      </c>
      <c r="T942" t="b">
        <f>+ISNUMBER(SEARCH('F-COMPRA'!$F$36,Tabla11[[#This Row],[Cuenta]],1))</f>
        <v>1</v>
      </c>
      <c r="U942" t="b">
        <f>+ISNUMBER(SEARCH('F-COMPRA'!$F$37,Tabla11[[#This Row],[Cuenta]],1))</f>
        <v>1</v>
      </c>
      <c r="V942" t="b">
        <f>+ISNUMBER(SEARCH(#REF!,Tabla11[[#This Row],[Cuenta]],1))</f>
        <v>0</v>
      </c>
      <c r="W942" t="b">
        <f>+ISNUMBER(SEARCH('F-COMPRA'!#REF!,Tabla11[[#This Row],[Cuenta]],1))</f>
        <v>0</v>
      </c>
      <c r="X942" t="b">
        <f>+ISNUMBER(SEARCH('F-COMPRA'!#REF!,Tabla11[[#This Row],[Cuenta]],1))</f>
        <v>0</v>
      </c>
      <c r="Y942" t="b">
        <f>+ISNUMBER(SEARCH('F-COMPRA'!#REF!,Tabla11[[#This Row],[Cuenta]],1))</f>
        <v>0</v>
      </c>
      <c r="Z942" t="b">
        <f>+ISNUMBER(SEARCH('F-COMPRA'!#REF!,Tabla11[[#This Row],[Cuenta]],1))</f>
        <v>0</v>
      </c>
      <c r="AA942" t="b">
        <f>+ISNUMBER(SEARCH('F-COMPRA'!#REF!,Tabla11[[#This Row],[Cuenta]],1))</f>
        <v>0</v>
      </c>
      <c r="AB942" t="b">
        <f>+ISNUMBER(SEARCH('F-COMPRA'!#REF!,Tabla11[[#This Row],[Cuenta]],1))</f>
        <v>0</v>
      </c>
      <c r="AC942" t="b">
        <f>+ISNUMBER(SEARCH('F-COMPRA'!#REF!,Tabla11[[#This Row],[Cuenta]],1))</f>
        <v>0</v>
      </c>
      <c r="AD942" t="b">
        <f>+ISNUMBER(SEARCH('F-COMPRA'!#REF!,Tabla11[[#This Row],[Cuenta]],1))</f>
        <v>0</v>
      </c>
      <c r="AE942" t="b">
        <f>+ISNUMBER(SEARCH('F-COMPRA'!#REF!,Tabla11[[#This Row],[Cuenta]],1))</f>
        <v>0</v>
      </c>
      <c r="AF942" t="b">
        <f>+ISNUMBER(SEARCH('F-VTA'!$G$23,Tabla11[[#This Row],[Cuenta]],1))</f>
        <v>0</v>
      </c>
      <c r="AG942" t="b">
        <f>+ISNUMBER(SEARCH('F-VTA'!$G$24,Tabla11[[#This Row],[Cuenta]],1))</f>
        <v>0</v>
      </c>
      <c r="AH942" t="b">
        <f>+ISNUMBER(SEARCH('F-VTA'!$G$25,Tabla11[[#This Row],[Cuenta]],1))</f>
        <v>0</v>
      </c>
      <c r="AI942" t="b">
        <f>+ISNUMBER(SEARCH('F-VTA'!$F$28,Tabla11[[#This Row],[Cuenta]],1))</f>
        <v>1</v>
      </c>
      <c r="AJ942" t="b">
        <f>+ISNUMBER(SEARCH('F-VTA'!$F$29,Tabla11[[#This Row],[Cuenta]],1))</f>
        <v>1</v>
      </c>
      <c r="AK942" t="b">
        <f>+ISNUMBER(SEARCH('F-VTA'!$F$30,Tabla11[[#This Row],[Cuenta]],1))</f>
        <v>1</v>
      </c>
      <c r="AL942" t="b">
        <f>+ISNUMBER(SEARCH('F-VTA'!$F$31,Tabla11[[#This Row],[Cuenta]],1))</f>
        <v>1</v>
      </c>
      <c r="AM942" t="b">
        <f>+ISNUMBER(SEARCH('F-VTA'!$F$32,Tabla11[[#This Row],[Cuenta]],1))</f>
        <v>1</v>
      </c>
      <c r="AN942" t="b">
        <f>+ISNUMBER(SEARCH('F-VTA'!$F$33,Tabla11[[#This Row],[Cuenta]],1))</f>
        <v>1</v>
      </c>
      <c r="AO942" t="b">
        <f>+ISNUMBER(SEARCH('F-VTA'!$F$34,Tabla11[[#This Row],[Cuenta]],1))</f>
        <v>1</v>
      </c>
      <c r="AP942" t="b">
        <f>+ISNUMBER(SEARCH('F-VTA'!$F$35,Tabla11[[#This Row],[Cuenta]],1))</f>
        <v>1</v>
      </c>
      <c r="AQ942" t="b">
        <f>+ISNUMBER(SEARCH('F-VTA'!$F$36,Tabla11[[#This Row],[Cuenta]],1))</f>
        <v>1</v>
      </c>
      <c r="AR942" t="b">
        <f>+ISNUMBER(SEARCH(#REF!,Tabla11[[#This Row],[Cuenta]],1))</f>
        <v>0</v>
      </c>
      <c r="AS942" t="b">
        <f>+ISNUMBER(SEARCH(#REF!,Tabla11[[#This Row],[Cuenta]],1))</f>
        <v>0</v>
      </c>
      <c r="AT942" t="b">
        <f>+ISNUMBER(SEARCH(#REF!,Tabla11[[#This Row],[Cuenta]],1))</f>
        <v>0</v>
      </c>
      <c r="AU942" t="b">
        <f>+ISNUMBER(SEARCH('Conc. Ban.1'!$I$9,Tabla11[[#This Row],[Cuenta]],1))</f>
        <v>0</v>
      </c>
      <c r="AV942" t="b">
        <f>+ISNUMBER(SEARCH(CompConta!$F$21,Tabla11[[#This Row],[Cuenta]],1))</f>
        <v>1</v>
      </c>
      <c r="AW942" t="b">
        <f>+ISNUMBER(SEARCH(CompConta!$F$22,Tabla11[[#This Row],[Cuenta]],1))</f>
        <v>1</v>
      </c>
      <c r="AX942" t="b">
        <f>+ISNUMBER(SEARCH(CompConta!$F$23,Tabla11[[#This Row],[Cuenta]],1))</f>
        <v>1</v>
      </c>
      <c r="AY942" t="b">
        <f>+ISNUMBER(SEARCH(CompConta!$F$24,Tabla11[[#This Row],[Cuenta]],1))</f>
        <v>1</v>
      </c>
      <c r="AZ942" t="b">
        <f>+ISNUMBER(SEARCH(CompConta!$F$25,Tabla11[[#This Row],[Cuenta]],1))</f>
        <v>1</v>
      </c>
      <c r="BA942" t="b">
        <f>+ISNUMBER(SEARCH(CompConta!$F$26,Tabla11[[#This Row],[Cuenta]],1))</f>
        <v>1</v>
      </c>
      <c r="BB942" t="b">
        <f>+ISNUMBER(SEARCH(CompConta!$F$27,Tabla11[[#This Row],[Cuenta]],1))</f>
        <v>1</v>
      </c>
      <c r="BC942" t="b">
        <f>+ISNUMBER(SEARCH(CompConta!$F$28,Tabla11[[#This Row],[Cuenta]],1))</f>
        <v>1</v>
      </c>
      <c r="BD942" t="b">
        <f>+ISNUMBER(SEARCH(CompConta!$F$29,Tabla11[[#This Row],[Cuenta]],1))</f>
        <v>1</v>
      </c>
      <c r="BE942" t="b">
        <f>+ISNUMBER(SEARCH(CompConta!$F$30,Tabla11[[#This Row],[Cuenta]],1))</f>
        <v>1</v>
      </c>
      <c r="BF942" t="b">
        <f>+ISNUMBER(SEARCH('PAGO Compras'!$E$11,Tabla11[[#This Row],[Cuenta]],1))</f>
        <v>1</v>
      </c>
      <c r="BG942" t="b">
        <f>+ISNUMBER(SEARCH(#REF!,Tabla11[[#This Row],[Cuenta]],1))</f>
        <v>0</v>
      </c>
      <c r="BH942" t="b">
        <f>+ISNUMBER(SEARCH(#REF!,Tabla11[[#This Row],[Cuenta]],1))</f>
        <v>0</v>
      </c>
      <c r="BI942" t="b">
        <f>+ISNUMBER(SEARCH(#REF!,Tabla11[[#This Row],[Cuenta]],1))</f>
        <v>0</v>
      </c>
      <c r="BJ942" t="b">
        <f>+ISNUMBER(SEARCH(#REF!,Tabla11[[#This Row],[Cuenta]],1))</f>
        <v>0</v>
      </c>
      <c r="BS942" t="str">
        <v>51959510 EVANGELISMO</v>
      </c>
      <c r="BT942" t="str">
        <v>51959510 EVANGELISMO</v>
      </c>
      <c r="BU942" t="str">
        <v>51959510 EVANGELISMO</v>
      </c>
      <c r="BV942" t="str">
        <v>51959510 EVANGELISMO</v>
      </c>
      <c r="BZ942" t="str">
        <v>51959510 EVANGELISMO</v>
      </c>
      <c r="CA942" t="str">
        <v>51959510 EVANGELISMO</v>
      </c>
      <c r="CB942" t="str">
        <v>51959510 EVANGELISMO</v>
      </c>
      <c r="CC942" t="str">
        <v>51959510 EVANGELISMO</v>
      </c>
      <c r="CD942" t="str">
        <v>51959510 EVANGELISMO</v>
      </c>
      <c r="CE942" t="str">
        <v>51959510 EVANGELISMO</v>
      </c>
      <c r="CS942" s="141" t="str">
        <v>51959510 EVANGELISMO</v>
      </c>
      <c r="CT942" s="141" t="str">
        <v>51959510 EVANGELISMO</v>
      </c>
      <c r="CU942" s="141" t="str">
        <v>51959510 EVANGELISMO</v>
      </c>
      <c r="CV942" s="141" t="str">
        <v>51959510 EVANGELISMO</v>
      </c>
      <c r="CW942" s="141" t="str">
        <v>51959510 EVANGELISMO</v>
      </c>
      <c r="CX942" s="141" t="str">
        <v>51959510 EVANGELISMO</v>
      </c>
      <c r="CY942" s="141" t="str">
        <v>51959510 EVANGELISMO</v>
      </c>
      <c r="CZ942" s="141" t="str">
        <v>51959510 EVANGELISMO</v>
      </c>
      <c r="DA942" s="141" t="str">
        <v>51959510 EVANGELISMO</v>
      </c>
      <c r="DF942" t="str">
        <v>51959510 EVANGELISMO</v>
      </c>
      <c r="DG942" t="str">
        <v>51959510 EVANGELISMO</v>
      </c>
      <c r="DH942" t="str">
        <v>51959510 EVANGELISMO</v>
      </c>
      <c r="DI942" t="str">
        <v>51959510 EVANGELISMO</v>
      </c>
      <c r="DJ942" t="str">
        <v>51959510 EVANGELISMO</v>
      </c>
      <c r="DK942" t="str">
        <v>51959510 EVANGELISMO</v>
      </c>
      <c r="DL942" t="str">
        <v>51959510 EVANGELISMO</v>
      </c>
      <c r="DM942" t="str">
        <v>51959510 EVANGELISMO</v>
      </c>
      <c r="DN942" t="str">
        <v>51959510 EVANGELISMO</v>
      </c>
      <c r="DO942" t="str">
        <v>51959510 EVANGELISMO</v>
      </c>
      <c r="DP942" t="str">
        <v>51959510 EVANGELISMO</v>
      </c>
    </row>
    <row r="943" spans="4:120" ht="12.75">
      <c r="D943" s="7">
        <v>519599</v>
      </c>
      <c r="E943" s="6" t="s">
        <v>93</v>
      </c>
      <c r="F943" s="5">
        <v>4</v>
      </c>
      <c r="G943" s="34" t="s">
        <v>830</v>
      </c>
      <c r="H943" s="8" t="s">
        <v>32</v>
      </c>
      <c r="I943" t="b">
        <f>+ISNUMBER(SEARCH('F-COMPRA'!$F$28,Tabla11[[#This Row],[Cuenta]],1))</f>
        <v>1</v>
      </c>
      <c r="J943" t="b">
        <f>+ISNUMBER(SEARCH('F-COMPRA'!$F$29,Tabla11[[#This Row],[Cuenta]],1))</f>
        <v>1</v>
      </c>
      <c r="K943" t="b">
        <f>+ISNUMBER(SEARCH('F-COMPRA'!$F$30,Tabla11[[#This Row],[Cuenta]],1))</f>
        <v>1</v>
      </c>
      <c r="L943" t="b">
        <f>+ISNUMBER(SEARCH('F-COMPRA'!$F$31,Tabla11[[#This Row],[Cuenta]],1))</f>
        <v>1</v>
      </c>
      <c r="M943" t="b">
        <f>+ISNUMBER(SEARCH('F-COMPRA'!$G$25,Tabla11[[#This Row],[Cuenta]],1))</f>
        <v>0</v>
      </c>
      <c r="N943" t="b">
        <f>+ISNUMBER(SEARCH(#REF!,Tabla11[[#This Row],[Cuenta]],1))</f>
        <v>0</v>
      </c>
      <c r="O943" t="b">
        <f>+ISNUMBER(SEARCH(#REF!,Tabla11[[#This Row],[Cuenta]],1))</f>
        <v>0</v>
      </c>
      <c r="P943" t="b">
        <f>+ISNUMBER(SEARCH('F-COMPRA'!$F$32,Tabla11[[#This Row],[Cuenta]],1))</f>
        <v>1</v>
      </c>
      <c r="Q943" t="b">
        <f>+ISNUMBER(SEARCH('F-COMPRA'!$F$33,Tabla11[[#This Row],[Cuenta]],1))</f>
        <v>1</v>
      </c>
      <c r="R943" t="b">
        <f>+ISNUMBER(SEARCH('F-COMPRA'!$F$34,Tabla11[[#This Row],[Cuenta]],1))</f>
        <v>1</v>
      </c>
      <c r="S943" t="b">
        <f>+ISNUMBER(SEARCH('F-COMPRA'!$F$35,Tabla11[[#This Row],[Cuenta]],1))</f>
        <v>1</v>
      </c>
      <c r="T943" t="b">
        <f>+ISNUMBER(SEARCH('F-COMPRA'!$F$36,Tabla11[[#This Row],[Cuenta]],1))</f>
        <v>1</v>
      </c>
      <c r="U943" t="b">
        <f>+ISNUMBER(SEARCH('F-COMPRA'!$F$37,Tabla11[[#This Row],[Cuenta]],1))</f>
        <v>1</v>
      </c>
      <c r="V943" t="b">
        <f>+ISNUMBER(SEARCH(#REF!,Tabla11[[#This Row],[Cuenta]],1))</f>
        <v>0</v>
      </c>
      <c r="W943" t="b">
        <f>+ISNUMBER(SEARCH('F-COMPRA'!#REF!,Tabla11[[#This Row],[Cuenta]],1))</f>
        <v>0</v>
      </c>
      <c r="X943" t="b">
        <f>+ISNUMBER(SEARCH('F-COMPRA'!#REF!,Tabla11[[#This Row],[Cuenta]],1))</f>
        <v>0</v>
      </c>
      <c r="Y943" t="b">
        <f>+ISNUMBER(SEARCH('F-COMPRA'!#REF!,Tabla11[[#This Row],[Cuenta]],1))</f>
        <v>0</v>
      </c>
      <c r="Z943" t="b">
        <f>+ISNUMBER(SEARCH('F-COMPRA'!#REF!,Tabla11[[#This Row],[Cuenta]],1))</f>
        <v>0</v>
      </c>
      <c r="AA943" t="b">
        <f>+ISNUMBER(SEARCH('F-COMPRA'!#REF!,Tabla11[[#This Row],[Cuenta]],1))</f>
        <v>0</v>
      </c>
      <c r="AB943" t="b">
        <f>+ISNUMBER(SEARCH('F-COMPRA'!#REF!,Tabla11[[#This Row],[Cuenta]],1))</f>
        <v>0</v>
      </c>
      <c r="AC943" t="b">
        <f>+ISNUMBER(SEARCH('F-COMPRA'!#REF!,Tabla11[[#This Row],[Cuenta]],1))</f>
        <v>0</v>
      </c>
      <c r="AD943" t="b">
        <f>+ISNUMBER(SEARCH('F-COMPRA'!#REF!,Tabla11[[#This Row],[Cuenta]],1))</f>
        <v>0</v>
      </c>
      <c r="AE943" t="b">
        <f>+ISNUMBER(SEARCH('F-COMPRA'!#REF!,Tabla11[[#This Row],[Cuenta]],1))</f>
        <v>0</v>
      </c>
      <c r="AF943" t="b">
        <f>+ISNUMBER(SEARCH('F-VTA'!$G$23,Tabla11[[#This Row],[Cuenta]],1))</f>
        <v>0</v>
      </c>
      <c r="AG943" t="b">
        <f>+ISNUMBER(SEARCH('F-VTA'!$G$24,Tabla11[[#This Row],[Cuenta]],1))</f>
        <v>0</v>
      </c>
      <c r="AH943" t="b">
        <f>+ISNUMBER(SEARCH('F-VTA'!$G$25,Tabla11[[#This Row],[Cuenta]],1))</f>
        <v>0</v>
      </c>
      <c r="AI943" t="b">
        <f>+ISNUMBER(SEARCH('F-VTA'!$F$28,Tabla11[[#This Row],[Cuenta]],1))</f>
        <v>1</v>
      </c>
      <c r="AJ943" t="b">
        <f>+ISNUMBER(SEARCH('F-VTA'!$F$29,Tabla11[[#This Row],[Cuenta]],1))</f>
        <v>1</v>
      </c>
      <c r="AK943" t="b">
        <f>+ISNUMBER(SEARCH('F-VTA'!$F$30,Tabla11[[#This Row],[Cuenta]],1))</f>
        <v>1</v>
      </c>
      <c r="AL943" t="b">
        <f>+ISNUMBER(SEARCH('F-VTA'!$F$31,Tabla11[[#This Row],[Cuenta]],1))</f>
        <v>1</v>
      </c>
      <c r="AM943" t="b">
        <f>+ISNUMBER(SEARCH('F-VTA'!$F$32,Tabla11[[#This Row],[Cuenta]],1))</f>
        <v>1</v>
      </c>
      <c r="AN943" t="b">
        <f>+ISNUMBER(SEARCH('F-VTA'!$F$33,Tabla11[[#This Row],[Cuenta]],1))</f>
        <v>1</v>
      </c>
      <c r="AO943" t="b">
        <f>+ISNUMBER(SEARCH('F-VTA'!$F$34,Tabla11[[#This Row],[Cuenta]],1))</f>
        <v>1</v>
      </c>
      <c r="AP943" t="b">
        <f>+ISNUMBER(SEARCH('F-VTA'!$F$35,Tabla11[[#This Row],[Cuenta]],1))</f>
        <v>1</v>
      </c>
      <c r="AQ943" t="b">
        <f>+ISNUMBER(SEARCH('F-VTA'!$F$36,Tabla11[[#This Row],[Cuenta]],1))</f>
        <v>1</v>
      </c>
      <c r="AR943" t="b">
        <f>+ISNUMBER(SEARCH(#REF!,Tabla11[[#This Row],[Cuenta]],1))</f>
        <v>0</v>
      </c>
      <c r="AS943" t="b">
        <f>+ISNUMBER(SEARCH(#REF!,Tabla11[[#This Row],[Cuenta]],1))</f>
        <v>0</v>
      </c>
      <c r="AT943" t="b">
        <f>+ISNUMBER(SEARCH(#REF!,Tabla11[[#This Row],[Cuenta]],1))</f>
        <v>0</v>
      </c>
      <c r="AU943" t="b">
        <f>+ISNUMBER(SEARCH('Conc. Ban.1'!$I$9,Tabla11[[#This Row],[Cuenta]],1))</f>
        <v>0</v>
      </c>
      <c r="AV943" t="b">
        <f>+ISNUMBER(SEARCH(CompConta!$F$21,Tabla11[[#This Row],[Cuenta]],1))</f>
        <v>1</v>
      </c>
      <c r="AW943" t="b">
        <f>+ISNUMBER(SEARCH(CompConta!$F$22,Tabla11[[#This Row],[Cuenta]],1))</f>
        <v>1</v>
      </c>
      <c r="AX943" t="b">
        <f>+ISNUMBER(SEARCH(CompConta!$F$23,Tabla11[[#This Row],[Cuenta]],1))</f>
        <v>1</v>
      </c>
      <c r="AY943" t="b">
        <f>+ISNUMBER(SEARCH(CompConta!$F$24,Tabla11[[#This Row],[Cuenta]],1))</f>
        <v>1</v>
      </c>
      <c r="AZ943" t="b">
        <f>+ISNUMBER(SEARCH(CompConta!$F$25,Tabla11[[#This Row],[Cuenta]],1))</f>
        <v>1</v>
      </c>
      <c r="BA943" t="b">
        <f>+ISNUMBER(SEARCH(CompConta!$F$26,Tabla11[[#This Row],[Cuenta]],1))</f>
        <v>1</v>
      </c>
      <c r="BB943" t="b">
        <f>+ISNUMBER(SEARCH(CompConta!$F$27,Tabla11[[#This Row],[Cuenta]],1))</f>
        <v>1</v>
      </c>
      <c r="BC943" t="b">
        <f>+ISNUMBER(SEARCH(CompConta!$F$28,Tabla11[[#This Row],[Cuenta]],1))</f>
        <v>1</v>
      </c>
      <c r="BD943" t="b">
        <f>+ISNUMBER(SEARCH(CompConta!$F$29,Tabla11[[#This Row],[Cuenta]],1))</f>
        <v>1</v>
      </c>
      <c r="BE943" t="b">
        <f>+ISNUMBER(SEARCH(CompConta!$F$30,Tabla11[[#This Row],[Cuenta]],1))</f>
        <v>1</v>
      </c>
      <c r="BF943" t="b">
        <f>+ISNUMBER(SEARCH('PAGO Compras'!$E$11,Tabla11[[#This Row],[Cuenta]],1))</f>
        <v>1</v>
      </c>
      <c r="BG943" t="b">
        <f>+ISNUMBER(SEARCH(#REF!,Tabla11[[#This Row],[Cuenta]],1))</f>
        <v>0</v>
      </c>
      <c r="BH943" t="b">
        <f>+ISNUMBER(SEARCH(#REF!,Tabla11[[#This Row],[Cuenta]],1))</f>
        <v>0</v>
      </c>
      <c r="BI943" t="b">
        <f>+ISNUMBER(SEARCH(#REF!,Tabla11[[#This Row],[Cuenta]],1))</f>
        <v>0</v>
      </c>
      <c r="BJ943" t="b">
        <f>+ISNUMBER(SEARCH(#REF!,Tabla11[[#This Row],[Cuenta]],1))</f>
        <v>0</v>
      </c>
      <c r="BS943" t="str">
        <v>519599 *Ajustes por inflación</v>
      </c>
      <c r="BT943" t="str">
        <v>519599 *Ajustes por inflación</v>
      </c>
      <c r="BU943" t="str">
        <v>519599 *Ajustes por inflación</v>
      </c>
      <c r="BV943" t="str">
        <v>519599 *Ajustes por inflación</v>
      </c>
      <c r="BZ943" t="str">
        <v>519599 *Ajustes por inflación</v>
      </c>
      <c r="CA943" t="str">
        <v>519599 *Ajustes por inflación</v>
      </c>
      <c r="CB943" t="str">
        <v>519599 *Ajustes por inflación</v>
      </c>
      <c r="CC943" t="str">
        <v>519599 *Ajustes por inflación</v>
      </c>
      <c r="CD943" t="str">
        <v>519599 *Ajustes por inflación</v>
      </c>
      <c r="CE943" t="str">
        <v>519599 *Ajustes por inflación</v>
      </c>
      <c r="CS943" s="141" t="str">
        <v>519599 *Ajustes por inflación</v>
      </c>
      <c r="CT943" s="141" t="str">
        <v>519599 *Ajustes por inflación</v>
      </c>
      <c r="CU943" s="141" t="str">
        <v>519599 *Ajustes por inflación</v>
      </c>
      <c r="CV943" s="141" t="str">
        <v>519599 *Ajustes por inflación</v>
      </c>
      <c r="CW943" s="141" t="str">
        <v>519599 *Ajustes por inflación</v>
      </c>
      <c r="CX943" s="141" t="str">
        <v>519599 *Ajustes por inflación</v>
      </c>
      <c r="CY943" s="141" t="str">
        <v>519599 *Ajustes por inflación</v>
      </c>
      <c r="CZ943" s="141" t="str">
        <v>519599 *Ajustes por inflación</v>
      </c>
      <c r="DA943" s="141" t="str">
        <v>519599 *Ajustes por inflación</v>
      </c>
      <c r="DF943" t="str">
        <v>519599 *Ajustes por inflación</v>
      </c>
      <c r="DG943" t="str">
        <v>519599 *Ajustes por inflación</v>
      </c>
      <c r="DH943" t="str">
        <v>519599 *Ajustes por inflación</v>
      </c>
      <c r="DI943" t="str">
        <v>519599 *Ajustes por inflación</v>
      </c>
      <c r="DJ943" t="str">
        <v>519599 *Ajustes por inflación</v>
      </c>
      <c r="DK943" t="str">
        <v>519599 *Ajustes por inflación</v>
      </c>
      <c r="DL943" t="str">
        <v>519599 *Ajustes por inflación</v>
      </c>
      <c r="DM943" t="str">
        <v>519599 *Ajustes por inflación</v>
      </c>
      <c r="DN943" t="str">
        <v>519599 *Ajustes por inflación</v>
      </c>
      <c r="DO943" t="str">
        <v>519599 *Ajustes por inflación</v>
      </c>
      <c r="DP943" t="str">
        <v>519599 *Ajustes por inflación</v>
      </c>
    </row>
    <row r="944" spans="4:120" ht="12.75">
      <c r="D944" s="7">
        <v>52</v>
      </c>
      <c r="E944" s="6" t="s">
        <v>621</v>
      </c>
      <c r="F944" s="5">
        <v>2</v>
      </c>
      <c r="G944" s="34" t="s">
        <v>830</v>
      </c>
      <c r="H944" s="8" t="s">
        <v>32</v>
      </c>
      <c r="I944" t="b">
        <f>+ISNUMBER(SEARCH('F-COMPRA'!$F$28,Tabla11[[#This Row],[Cuenta]],1))</f>
        <v>1</v>
      </c>
      <c r="J944" t="b">
        <f>+ISNUMBER(SEARCH('F-COMPRA'!$F$29,Tabla11[[#This Row],[Cuenta]],1))</f>
        <v>1</v>
      </c>
      <c r="K944" t="b">
        <f>+ISNUMBER(SEARCH('F-COMPRA'!$F$30,Tabla11[[#This Row],[Cuenta]],1))</f>
        <v>1</v>
      </c>
      <c r="L944" t="b">
        <f>+ISNUMBER(SEARCH('F-COMPRA'!$F$31,Tabla11[[#This Row],[Cuenta]],1))</f>
        <v>1</v>
      </c>
      <c r="M944" t="b">
        <f>+ISNUMBER(SEARCH('F-COMPRA'!$G$25,Tabla11[[#This Row],[Cuenta]],1))</f>
        <v>0</v>
      </c>
      <c r="N944" t="b">
        <f>+ISNUMBER(SEARCH(#REF!,Tabla11[[#This Row],[Cuenta]],1))</f>
        <v>0</v>
      </c>
      <c r="O944" t="b">
        <f>+ISNUMBER(SEARCH(#REF!,Tabla11[[#This Row],[Cuenta]],1))</f>
        <v>0</v>
      </c>
      <c r="P944" t="b">
        <f>+ISNUMBER(SEARCH('F-COMPRA'!$F$32,Tabla11[[#This Row],[Cuenta]],1))</f>
        <v>1</v>
      </c>
      <c r="Q944" t="b">
        <f>+ISNUMBER(SEARCH('F-COMPRA'!$F$33,Tabla11[[#This Row],[Cuenta]],1))</f>
        <v>1</v>
      </c>
      <c r="R944" t="b">
        <f>+ISNUMBER(SEARCH('F-COMPRA'!$F$34,Tabla11[[#This Row],[Cuenta]],1))</f>
        <v>1</v>
      </c>
      <c r="S944" t="b">
        <f>+ISNUMBER(SEARCH('F-COMPRA'!$F$35,Tabla11[[#This Row],[Cuenta]],1))</f>
        <v>1</v>
      </c>
      <c r="T944" t="b">
        <f>+ISNUMBER(SEARCH('F-COMPRA'!$F$36,Tabla11[[#This Row],[Cuenta]],1))</f>
        <v>1</v>
      </c>
      <c r="U944" t="b">
        <f>+ISNUMBER(SEARCH('F-COMPRA'!$F$37,Tabla11[[#This Row],[Cuenta]],1))</f>
        <v>1</v>
      </c>
      <c r="V944" t="b">
        <f>+ISNUMBER(SEARCH(#REF!,Tabla11[[#This Row],[Cuenta]],1))</f>
        <v>0</v>
      </c>
      <c r="W944" t="b">
        <f>+ISNUMBER(SEARCH('F-COMPRA'!#REF!,Tabla11[[#This Row],[Cuenta]],1))</f>
        <v>0</v>
      </c>
      <c r="X944" t="b">
        <f>+ISNUMBER(SEARCH('F-COMPRA'!#REF!,Tabla11[[#This Row],[Cuenta]],1))</f>
        <v>0</v>
      </c>
      <c r="Y944" t="b">
        <f>+ISNUMBER(SEARCH('F-COMPRA'!#REF!,Tabla11[[#This Row],[Cuenta]],1))</f>
        <v>0</v>
      </c>
      <c r="Z944" t="b">
        <f>+ISNUMBER(SEARCH('F-COMPRA'!#REF!,Tabla11[[#This Row],[Cuenta]],1))</f>
        <v>0</v>
      </c>
      <c r="AA944" t="b">
        <f>+ISNUMBER(SEARCH('F-COMPRA'!#REF!,Tabla11[[#This Row],[Cuenta]],1))</f>
        <v>0</v>
      </c>
      <c r="AB944" t="b">
        <f>+ISNUMBER(SEARCH('F-COMPRA'!#REF!,Tabla11[[#This Row],[Cuenta]],1))</f>
        <v>0</v>
      </c>
      <c r="AC944" t="b">
        <f>+ISNUMBER(SEARCH('F-COMPRA'!#REF!,Tabla11[[#This Row],[Cuenta]],1))</f>
        <v>0</v>
      </c>
      <c r="AD944" t="b">
        <f>+ISNUMBER(SEARCH('F-COMPRA'!#REF!,Tabla11[[#This Row],[Cuenta]],1))</f>
        <v>0</v>
      </c>
      <c r="AE944" t="b">
        <f>+ISNUMBER(SEARCH('F-COMPRA'!#REF!,Tabla11[[#This Row],[Cuenta]],1))</f>
        <v>0</v>
      </c>
      <c r="AF944" t="b">
        <f>+ISNUMBER(SEARCH('F-VTA'!$G$23,Tabla11[[#This Row],[Cuenta]],1))</f>
        <v>0</v>
      </c>
      <c r="AG944" t="b">
        <f>+ISNUMBER(SEARCH('F-VTA'!$G$24,Tabla11[[#This Row],[Cuenta]],1))</f>
        <v>0</v>
      </c>
      <c r="AH944" t="b">
        <f>+ISNUMBER(SEARCH('F-VTA'!$G$25,Tabla11[[#This Row],[Cuenta]],1))</f>
        <v>0</v>
      </c>
      <c r="AI944" t="b">
        <f>+ISNUMBER(SEARCH('F-VTA'!$F$28,Tabla11[[#This Row],[Cuenta]],1))</f>
        <v>1</v>
      </c>
      <c r="AJ944" t="b">
        <f>+ISNUMBER(SEARCH('F-VTA'!$F$29,Tabla11[[#This Row],[Cuenta]],1))</f>
        <v>1</v>
      </c>
      <c r="AK944" t="b">
        <f>+ISNUMBER(SEARCH('F-VTA'!$F$30,Tabla11[[#This Row],[Cuenta]],1))</f>
        <v>1</v>
      </c>
      <c r="AL944" t="b">
        <f>+ISNUMBER(SEARCH('F-VTA'!$F$31,Tabla11[[#This Row],[Cuenta]],1))</f>
        <v>1</v>
      </c>
      <c r="AM944" t="b">
        <f>+ISNUMBER(SEARCH('F-VTA'!$F$32,Tabla11[[#This Row],[Cuenta]],1))</f>
        <v>1</v>
      </c>
      <c r="AN944" t="b">
        <f>+ISNUMBER(SEARCH('F-VTA'!$F$33,Tabla11[[#This Row],[Cuenta]],1))</f>
        <v>1</v>
      </c>
      <c r="AO944" t="b">
        <f>+ISNUMBER(SEARCH('F-VTA'!$F$34,Tabla11[[#This Row],[Cuenta]],1))</f>
        <v>1</v>
      </c>
      <c r="AP944" t="b">
        <f>+ISNUMBER(SEARCH('F-VTA'!$F$35,Tabla11[[#This Row],[Cuenta]],1))</f>
        <v>1</v>
      </c>
      <c r="AQ944" t="b">
        <f>+ISNUMBER(SEARCH('F-VTA'!$F$36,Tabla11[[#This Row],[Cuenta]],1))</f>
        <v>1</v>
      </c>
      <c r="AR944" t="b">
        <f>+ISNUMBER(SEARCH(#REF!,Tabla11[[#This Row],[Cuenta]],1))</f>
        <v>0</v>
      </c>
      <c r="AS944" t="b">
        <f>+ISNUMBER(SEARCH(#REF!,Tabla11[[#This Row],[Cuenta]],1))</f>
        <v>0</v>
      </c>
      <c r="AT944" t="b">
        <f>+ISNUMBER(SEARCH(#REF!,Tabla11[[#This Row],[Cuenta]],1))</f>
        <v>0</v>
      </c>
      <c r="AU944" t="b">
        <f>+ISNUMBER(SEARCH('Conc. Ban.1'!$I$9,Tabla11[[#This Row],[Cuenta]],1))</f>
        <v>0</v>
      </c>
      <c r="AV944" t="b">
        <f>+ISNUMBER(SEARCH(CompConta!$F$21,Tabla11[[#This Row],[Cuenta]],1))</f>
        <v>1</v>
      </c>
      <c r="AW944" t="b">
        <f>+ISNUMBER(SEARCH(CompConta!$F$22,Tabla11[[#This Row],[Cuenta]],1))</f>
        <v>1</v>
      </c>
      <c r="AX944" t="b">
        <f>+ISNUMBER(SEARCH(CompConta!$F$23,Tabla11[[#This Row],[Cuenta]],1))</f>
        <v>1</v>
      </c>
      <c r="AY944" t="b">
        <f>+ISNUMBER(SEARCH(CompConta!$F$24,Tabla11[[#This Row],[Cuenta]],1))</f>
        <v>1</v>
      </c>
      <c r="AZ944" t="b">
        <f>+ISNUMBER(SEARCH(CompConta!$F$25,Tabla11[[#This Row],[Cuenta]],1))</f>
        <v>1</v>
      </c>
      <c r="BA944" t="b">
        <f>+ISNUMBER(SEARCH(CompConta!$F$26,Tabla11[[#This Row],[Cuenta]],1))</f>
        <v>1</v>
      </c>
      <c r="BB944" t="b">
        <f>+ISNUMBER(SEARCH(CompConta!$F$27,Tabla11[[#This Row],[Cuenta]],1))</f>
        <v>1</v>
      </c>
      <c r="BC944" t="b">
        <f>+ISNUMBER(SEARCH(CompConta!$F$28,Tabla11[[#This Row],[Cuenta]],1))</f>
        <v>1</v>
      </c>
      <c r="BD944" t="b">
        <f>+ISNUMBER(SEARCH(CompConta!$F$29,Tabla11[[#This Row],[Cuenta]],1))</f>
        <v>1</v>
      </c>
      <c r="BE944" t="b">
        <f>+ISNUMBER(SEARCH(CompConta!$F$30,Tabla11[[#This Row],[Cuenta]],1))</f>
        <v>1</v>
      </c>
      <c r="BF944" t="b">
        <f>+ISNUMBER(SEARCH('PAGO Compras'!$E$11,Tabla11[[#This Row],[Cuenta]],1))</f>
        <v>1</v>
      </c>
      <c r="BG944" t="b">
        <f>+ISNUMBER(SEARCH(#REF!,Tabla11[[#This Row],[Cuenta]],1))</f>
        <v>0</v>
      </c>
      <c r="BH944" t="b">
        <f>+ISNUMBER(SEARCH(#REF!,Tabla11[[#This Row],[Cuenta]],1))</f>
        <v>0</v>
      </c>
      <c r="BI944" t="b">
        <f>+ISNUMBER(SEARCH(#REF!,Tabla11[[#This Row],[Cuenta]],1))</f>
        <v>0</v>
      </c>
      <c r="BJ944" t="b">
        <f>+ISNUMBER(SEARCH(#REF!,Tabla11[[#This Row],[Cuenta]],1))</f>
        <v>0</v>
      </c>
      <c r="BS944" t="str">
        <v>52 OPERACIONALES DE VENTAS</v>
      </c>
      <c r="BT944" t="str">
        <v>52 OPERACIONALES DE VENTAS</v>
      </c>
      <c r="BU944" t="str">
        <v>52 OPERACIONALES DE VENTAS</v>
      </c>
      <c r="BV944" t="str">
        <v>52 OPERACIONALES DE VENTAS</v>
      </c>
      <c r="BZ944" t="str">
        <v>52 OPERACIONALES DE VENTAS</v>
      </c>
      <c r="CA944" t="str">
        <v>52 OPERACIONALES DE VENTAS</v>
      </c>
      <c r="CB944" t="str">
        <v>52 OPERACIONALES DE VENTAS</v>
      </c>
      <c r="CC944" t="str">
        <v>52 OPERACIONALES DE VENTAS</v>
      </c>
      <c r="CD944" t="str">
        <v>52 OPERACIONALES DE VENTAS</v>
      </c>
      <c r="CE944" t="str">
        <v>52 OPERACIONALES DE VENTAS</v>
      </c>
      <c r="CS944" s="141" t="str">
        <v>52 OPERACIONALES DE VENTAS</v>
      </c>
      <c r="CT944" s="141" t="str">
        <v>52 OPERACIONALES DE VENTAS</v>
      </c>
      <c r="CU944" s="141" t="str">
        <v>52 OPERACIONALES DE VENTAS</v>
      </c>
      <c r="CV944" s="141" t="str">
        <v>52 OPERACIONALES DE VENTAS</v>
      </c>
      <c r="CW944" s="141" t="str">
        <v>52 OPERACIONALES DE VENTAS</v>
      </c>
      <c r="CX944" s="141" t="str">
        <v>52 OPERACIONALES DE VENTAS</v>
      </c>
      <c r="CY944" s="141" t="str">
        <v>52 OPERACIONALES DE VENTAS</v>
      </c>
      <c r="CZ944" s="141" t="str">
        <v>52 OPERACIONALES DE VENTAS</v>
      </c>
      <c r="DA944" s="141" t="str">
        <v>52 OPERACIONALES DE VENTAS</v>
      </c>
      <c r="DF944" t="str">
        <v>52 OPERACIONALES DE VENTAS</v>
      </c>
      <c r="DG944" t="str">
        <v>52 OPERACIONALES DE VENTAS</v>
      </c>
      <c r="DH944" t="str">
        <v>52 OPERACIONALES DE VENTAS</v>
      </c>
      <c r="DI944" t="str">
        <v>52 OPERACIONALES DE VENTAS</v>
      </c>
      <c r="DJ944" t="str">
        <v>52 OPERACIONALES DE VENTAS</v>
      </c>
      <c r="DK944" t="str">
        <v>52 OPERACIONALES DE VENTAS</v>
      </c>
      <c r="DL944" t="str">
        <v>52 OPERACIONALES DE VENTAS</v>
      </c>
      <c r="DM944" t="str">
        <v>52 OPERACIONALES DE VENTAS</v>
      </c>
      <c r="DN944" t="str">
        <v>52 OPERACIONALES DE VENTAS</v>
      </c>
      <c r="DO944" t="str">
        <v>52 OPERACIONALES DE VENTAS</v>
      </c>
      <c r="DP944" t="str">
        <v>52 OPERACIONALES DE VENTAS</v>
      </c>
    </row>
    <row r="945" spans="4:120" ht="12.75">
      <c r="D945" s="7">
        <v>5205</v>
      </c>
      <c r="E945" s="6" t="s">
        <v>533</v>
      </c>
      <c r="F945" s="5">
        <v>3</v>
      </c>
      <c r="G945" s="34" t="s">
        <v>830</v>
      </c>
      <c r="H945" s="8" t="s">
        <v>32</v>
      </c>
      <c r="I945" t="b">
        <f>+ISNUMBER(SEARCH('F-COMPRA'!$F$28,Tabla11[[#This Row],[Cuenta]],1))</f>
        <v>1</v>
      </c>
      <c r="J945" t="b">
        <f>+ISNUMBER(SEARCH('F-COMPRA'!$F$29,Tabla11[[#This Row],[Cuenta]],1))</f>
        <v>1</v>
      </c>
      <c r="K945" t="b">
        <f>+ISNUMBER(SEARCH('F-COMPRA'!$F$30,Tabla11[[#This Row],[Cuenta]],1))</f>
        <v>1</v>
      </c>
      <c r="L945" t="b">
        <f>+ISNUMBER(SEARCH('F-COMPRA'!$F$31,Tabla11[[#This Row],[Cuenta]],1))</f>
        <v>1</v>
      </c>
      <c r="M945" t="b">
        <f>+ISNUMBER(SEARCH('F-COMPRA'!$G$25,Tabla11[[#This Row],[Cuenta]],1))</f>
        <v>0</v>
      </c>
      <c r="N945" t="b">
        <f>+ISNUMBER(SEARCH(#REF!,Tabla11[[#This Row],[Cuenta]],1))</f>
        <v>0</v>
      </c>
      <c r="O945" t="b">
        <f>+ISNUMBER(SEARCH(#REF!,Tabla11[[#This Row],[Cuenta]],1))</f>
        <v>0</v>
      </c>
      <c r="P945" t="b">
        <f>+ISNUMBER(SEARCH('F-COMPRA'!$F$32,Tabla11[[#This Row],[Cuenta]],1))</f>
        <v>1</v>
      </c>
      <c r="Q945" t="b">
        <f>+ISNUMBER(SEARCH('F-COMPRA'!$F$33,Tabla11[[#This Row],[Cuenta]],1))</f>
        <v>1</v>
      </c>
      <c r="R945" t="b">
        <f>+ISNUMBER(SEARCH('F-COMPRA'!$F$34,Tabla11[[#This Row],[Cuenta]],1))</f>
        <v>1</v>
      </c>
      <c r="S945" t="b">
        <f>+ISNUMBER(SEARCH('F-COMPRA'!$F$35,Tabla11[[#This Row],[Cuenta]],1))</f>
        <v>1</v>
      </c>
      <c r="T945" t="b">
        <f>+ISNUMBER(SEARCH('F-COMPRA'!$F$36,Tabla11[[#This Row],[Cuenta]],1))</f>
        <v>1</v>
      </c>
      <c r="U945" t="b">
        <f>+ISNUMBER(SEARCH('F-COMPRA'!$F$37,Tabla11[[#This Row],[Cuenta]],1))</f>
        <v>1</v>
      </c>
      <c r="V945" t="b">
        <f>+ISNUMBER(SEARCH(#REF!,Tabla11[[#This Row],[Cuenta]],1))</f>
        <v>0</v>
      </c>
      <c r="W945" t="b">
        <f>+ISNUMBER(SEARCH('F-COMPRA'!#REF!,Tabla11[[#This Row],[Cuenta]],1))</f>
        <v>0</v>
      </c>
      <c r="X945" t="b">
        <f>+ISNUMBER(SEARCH('F-COMPRA'!#REF!,Tabla11[[#This Row],[Cuenta]],1))</f>
        <v>0</v>
      </c>
      <c r="Y945" t="b">
        <f>+ISNUMBER(SEARCH('F-COMPRA'!#REF!,Tabla11[[#This Row],[Cuenta]],1))</f>
        <v>0</v>
      </c>
      <c r="Z945" t="b">
        <f>+ISNUMBER(SEARCH('F-COMPRA'!#REF!,Tabla11[[#This Row],[Cuenta]],1))</f>
        <v>0</v>
      </c>
      <c r="AA945" t="b">
        <f>+ISNUMBER(SEARCH('F-COMPRA'!#REF!,Tabla11[[#This Row],[Cuenta]],1))</f>
        <v>0</v>
      </c>
      <c r="AB945" t="b">
        <f>+ISNUMBER(SEARCH('F-COMPRA'!#REF!,Tabla11[[#This Row],[Cuenta]],1))</f>
        <v>0</v>
      </c>
      <c r="AC945" t="b">
        <f>+ISNUMBER(SEARCH('F-COMPRA'!#REF!,Tabla11[[#This Row],[Cuenta]],1))</f>
        <v>0</v>
      </c>
      <c r="AD945" t="b">
        <f>+ISNUMBER(SEARCH('F-COMPRA'!#REF!,Tabla11[[#This Row],[Cuenta]],1))</f>
        <v>0</v>
      </c>
      <c r="AE945" t="b">
        <f>+ISNUMBER(SEARCH('F-COMPRA'!#REF!,Tabla11[[#This Row],[Cuenta]],1))</f>
        <v>0</v>
      </c>
      <c r="AF945" t="b">
        <f>+ISNUMBER(SEARCH('F-VTA'!$G$23,Tabla11[[#This Row],[Cuenta]],1))</f>
        <v>0</v>
      </c>
      <c r="AG945" t="b">
        <f>+ISNUMBER(SEARCH('F-VTA'!$G$24,Tabla11[[#This Row],[Cuenta]],1))</f>
        <v>0</v>
      </c>
      <c r="AH945" t="b">
        <f>+ISNUMBER(SEARCH('F-VTA'!$G$25,Tabla11[[#This Row],[Cuenta]],1))</f>
        <v>0</v>
      </c>
      <c r="AI945" t="b">
        <f>+ISNUMBER(SEARCH('F-VTA'!$F$28,Tabla11[[#This Row],[Cuenta]],1))</f>
        <v>1</v>
      </c>
      <c r="AJ945" t="b">
        <f>+ISNUMBER(SEARCH('F-VTA'!$F$29,Tabla11[[#This Row],[Cuenta]],1))</f>
        <v>1</v>
      </c>
      <c r="AK945" t="b">
        <f>+ISNUMBER(SEARCH('F-VTA'!$F$30,Tabla11[[#This Row],[Cuenta]],1))</f>
        <v>1</v>
      </c>
      <c r="AL945" t="b">
        <f>+ISNUMBER(SEARCH('F-VTA'!$F$31,Tabla11[[#This Row],[Cuenta]],1))</f>
        <v>1</v>
      </c>
      <c r="AM945" t="b">
        <f>+ISNUMBER(SEARCH('F-VTA'!$F$32,Tabla11[[#This Row],[Cuenta]],1))</f>
        <v>1</v>
      </c>
      <c r="AN945" t="b">
        <f>+ISNUMBER(SEARCH('F-VTA'!$F$33,Tabla11[[#This Row],[Cuenta]],1))</f>
        <v>1</v>
      </c>
      <c r="AO945" t="b">
        <f>+ISNUMBER(SEARCH('F-VTA'!$F$34,Tabla11[[#This Row],[Cuenta]],1))</f>
        <v>1</v>
      </c>
      <c r="AP945" t="b">
        <f>+ISNUMBER(SEARCH('F-VTA'!$F$35,Tabla11[[#This Row],[Cuenta]],1))</f>
        <v>1</v>
      </c>
      <c r="AQ945" t="b">
        <f>+ISNUMBER(SEARCH('F-VTA'!$F$36,Tabla11[[#This Row],[Cuenta]],1))</f>
        <v>1</v>
      </c>
      <c r="AR945" t="b">
        <f>+ISNUMBER(SEARCH(#REF!,Tabla11[[#This Row],[Cuenta]],1))</f>
        <v>0</v>
      </c>
      <c r="AS945" t="b">
        <f>+ISNUMBER(SEARCH(#REF!,Tabla11[[#This Row],[Cuenta]],1))</f>
        <v>0</v>
      </c>
      <c r="AT945" t="b">
        <f>+ISNUMBER(SEARCH(#REF!,Tabla11[[#This Row],[Cuenta]],1))</f>
        <v>0</v>
      </c>
      <c r="AU945" t="b">
        <f>+ISNUMBER(SEARCH('Conc. Ban.1'!$I$9,Tabla11[[#This Row],[Cuenta]],1))</f>
        <v>0</v>
      </c>
      <c r="AV945" t="b">
        <f>+ISNUMBER(SEARCH(CompConta!$F$21,Tabla11[[#This Row],[Cuenta]],1))</f>
        <v>1</v>
      </c>
      <c r="AW945" t="b">
        <f>+ISNUMBER(SEARCH(CompConta!$F$22,Tabla11[[#This Row],[Cuenta]],1))</f>
        <v>1</v>
      </c>
      <c r="AX945" t="b">
        <f>+ISNUMBER(SEARCH(CompConta!$F$23,Tabla11[[#This Row],[Cuenta]],1))</f>
        <v>1</v>
      </c>
      <c r="AY945" t="b">
        <f>+ISNUMBER(SEARCH(CompConta!$F$24,Tabla11[[#This Row],[Cuenta]],1))</f>
        <v>1</v>
      </c>
      <c r="AZ945" t="b">
        <f>+ISNUMBER(SEARCH(CompConta!$F$25,Tabla11[[#This Row],[Cuenta]],1))</f>
        <v>1</v>
      </c>
      <c r="BA945" t="b">
        <f>+ISNUMBER(SEARCH(CompConta!$F$26,Tabla11[[#This Row],[Cuenta]],1))</f>
        <v>1</v>
      </c>
      <c r="BB945" t="b">
        <f>+ISNUMBER(SEARCH(CompConta!$F$27,Tabla11[[#This Row],[Cuenta]],1))</f>
        <v>1</v>
      </c>
      <c r="BC945" t="b">
        <f>+ISNUMBER(SEARCH(CompConta!$F$28,Tabla11[[#This Row],[Cuenta]],1))</f>
        <v>1</v>
      </c>
      <c r="BD945" t="b">
        <f>+ISNUMBER(SEARCH(CompConta!$F$29,Tabla11[[#This Row],[Cuenta]],1))</f>
        <v>1</v>
      </c>
      <c r="BE945" t="b">
        <f>+ISNUMBER(SEARCH(CompConta!$F$30,Tabla11[[#This Row],[Cuenta]],1))</f>
        <v>1</v>
      </c>
      <c r="BF945" t="b">
        <f>+ISNUMBER(SEARCH('PAGO Compras'!$E$11,Tabla11[[#This Row],[Cuenta]],1))</f>
        <v>1</v>
      </c>
      <c r="BG945" t="b">
        <f>+ISNUMBER(SEARCH(#REF!,Tabla11[[#This Row],[Cuenta]],1))</f>
        <v>0</v>
      </c>
      <c r="BH945" t="b">
        <f>+ISNUMBER(SEARCH(#REF!,Tabla11[[#This Row],[Cuenta]],1))</f>
        <v>0</v>
      </c>
      <c r="BI945" t="b">
        <f>+ISNUMBER(SEARCH(#REF!,Tabla11[[#This Row],[Cuenta]],1))</f>
        <v>0</v>
      </c>
      <c r="BJ945" t="b">
        <f>+ISNUMBER(SEARCH(#REF!,Tabla11[[#This Row],[Cuenta]],1))</f>
        <v>0</v>
      </c>
      <c r="BS945" t="str">
        <v>5205 GASTOS DE PERSONAL</v>
      </c>
      <c r="BT945" t="str">
        <v>5205 GASTOS DE PERSONAL</v>
      </c>
      <c r="BU945" t="str">
        <v>5205 GASTOS DE PERSONAL</v>
      </c>
      <c r="BV945" t="str">
        <v>5205 GASTOS DE PERSONAL</v>
      </c>
      <c r="BZ945" t="str">
        <v>5205 GASTOS DE PERSONAL</v>
      </c>
      <c r="CA945" t="str">
        <v>5205 GASTOS DE PERSONAL</v>
      </c>
      <c r="CB945" t="str">
        <v>5205 GASTOS DE PERSONAL</v>
      </c>
      <c r="CC945" t="str">
        <v>5205 GASTOS DE PERSONAL</v>
      </c>
      <c r="CD945" t="str">
        <v>5205 GASTOS DE PERSONAL</v>
      </c>
      <c r="CE945" t="str">
        <v>5205 GASTOS DE PERSONAL</v>
      </c>
      <c r="CS945" s="141" t="str">
        <v>5205 GASTOS DE PERSONAL</v>
      </c>
      <c r="CT945" s="141" t="str">
        <v>5205 GASTOS DE PERSONAL</v>
      </c>
      <c r="CU945" s="141" t="str">
        <v>5205 GASTOS DE PERSONAL</v>
      </c>
      <c r="CV945" s="141" t="str">
        <v>5205 GASTOS DE PERSONAL</v>
      </c>
      <c r="CW945" s="141" t="str">
        <v>5205 GASTOS DE PERSONAL</v>
      </c>
      <c r="CX945" s="141" t="str">
        <v>5205 GASTOS DE PERSONAL</v>
      </c>
      <c r="CY945" s="141" t="str">
        <v>5205 GASTOS DE PERSONAL</v>
      </c>
      <c r="CZ945" s="141" t="str">
        <v>5205 GASTOS DE PERSONAL</v>
      </c>
      <c r="DA945" s="141" t="str">
        <v>5205 GASTOS DE PERSONAL</v>
      </c>
      <c r="DF945" t="str">
        <v>5205 GASTOS DE PERSONAL</v>
      </c>
      <c r="DG945" t="str">
        <v>5205 GASTOS DE PERSONAL</v>
      </c>
      <c r="DH945" t="str">
        <v>5205 GASTOS DE PERSONAL</v>
      </c>
      <c r="DI945" t="str">
        <v>5205 GASTOS DE PERSONAL</v>
      </c>
      <c r="DJ945" t="str">
        <v>5205 GASTOS DE PERSONAL</v>
      </c>
      <c r="DK945" t="str">
        <v>5205 GASTOS DE PERSONAL</v>
      </c>
      <c r="DL945" t="str">
        <v>5205 GASTOS DE PERSONAL</v>
      </c>
      <c r="DM945" t="str">
        <v>5205 GASTOS DE PERSONAL</v>
      </c>
      <c r="DN945" t="str">
        <v>5205 GASTOS DE PERSONAL</v>
      </c>
      <c r="DO945" t="str">
        <v>5205 GASTOS DE PERSONAL</v>
      </c>
      <c r="DP945" t="str">
        <v>5205 GASTOS DE PERSONAL</v>
      </c>
    </row>
    <row r="946" spans="4:120" ht="12.75">
      <c r="D946" s="7">
        <v>520503</v>
      </c>
      <c r="E946" s="6" t="s">
        <v>534</v>
      </c>
      <c r="F946" s="5">
        <v>4</v>
      </c>
      <c r="G946" s="34" t="s">
        <v>830</v>
      </c>
      <c r="H946" s="8" t="s">
        <v>32</v>
      </c>
      <c r="I946" t="b">
        <f>+ISNUMBER(SEARCH('F-COMPRA'!$F$28,Tabla11[[#This Row],[Cuenta]],1))</f>
        <v>1</v>
      </c>
      <c r="J946" t="b">
        <f>+ISNUMBER(SEARCH('F-COMPRA'!$F$29,Tabla11[[#This Row],[Cuenta]],1))</f>
        <v>1</v>
      </c>
      <c r="K946" t="b">
        <f>+ISNUMBER(SEARCH('F-COMPRA'!$F$30,Tabla11[[#This Row],[Cuenta]],1))</f>
        <v>1</v>
      </c>
      <c r="L946" t="b">
        <f>+ISNUMBER(SEARCH('F-COMPRA'!$F$31,Tabla11[[#This Row],[Cuenta]],1))</f>
        <v>1</v>
      </c>
      <c r="M946" t="b">
        <f>+ISNUMBER(SEARCH('F-COMPRA'!$G$25,Tabla11[[#This Row],[Cuenta]],1))</f>
        <v>0</v>
      </c>
      <c r="N946" t="b">
        <f>+ISNUMBER(SEARCH(#REF!,Tabla11[[#This Row],[Cuenta]],1))</f>
        <v>0</v>
      </c>
      <c r="O946" t="b">
        <f>+ISNUMBER(SEARCH(#REF!,Tabla11[[#This Row],[Cuenta]],1))</f>
        <v>0</v>
      </c>
      <c r="P946" t="b">
        <f>+ISNUMBER(SEARCH('F-COMPRA'!$F$32,Tabla11[[#This Row],[Cuenta]],1))</f>
        <v>1</v>
      </c>
      <c r="Q946" t="b">
        <f>+ISNUMBER(SEARCH('F-COMPRA'!$F$33,Tabla11[[#This Row],[Cuenta]],1))</f>
        <v>1</v>
      </c>
      <c r="R946" t="b">
        <f>+ISNUMBER(SEARCH('F-COMPRA'!$F$34,Tabla11[[#This Row],[Cuenta]],1))</f>
        <v>1</v>
      </c>
      <c r="S946" t="b">
        <f>+ISNUMBER(SEARCH('F-COMPRA'!$F$35,Tabla11[[#This Row],[Cuenta]],1))</f>
        <v>1</v>
      </c>
      <c r="T946" t="b">
        <f>+ISNUMBER(SEARCH('F-COMPRA'!$F$36,Tabla11[[#This Row],[Cuenta]],1))</f>
        <v>1</v>
      </c>
      <c r="U946" t="b">
        <f>+ISNUMBER(SEARCH('F-COMPRA'!$F$37,Tabla11[[#This Row],[Cuenta]],1))</f>
        <v>1</v>
      </c>
      <c r="V946" t="b">
        <f>+ISNUMBER(SEARCH(#REF!,Tabla11[[#This Row],[Cuenta]],1))</f>
        <v>0</v>
      </c>
      <c r="W946" t="b">
        <f>+ISNUMBER(SEARCH('F-COMPRA'!#REF!,Tabla11[[#This Row],[Cuenta]],1))</f>
        <v>0</v>
      </c>
      <c r="X946" t="b">
        <f>+ISNUMBER(SEARCH('F-COMPRA'!#REF!,Tabla11[[#This Row],[Cuenta]],1))</f>
        <v>0</v>
      </c>
      <c r="Y946" t="b">
        <f>+ISNUMBER(SEARCH('F-COMPRA'!#REF!,Tabla11[[#This Row],[Cuenta]],1))</f>
        <v>0</v>
      </c>
      <c r="Z946" t="b">
        <f>+ISNUMBER(SEARCH('F-COMPRA'!#REF!,Tabla11[[#This Row],[Cuenta]],1))</f>
        <v>0</v>
      </c>
      <c r="AA946" t="b">
        <f>+ISNUMBER(SEARCH('F-COMPRA'!#REF!,Tabla11[[#This Row],[Cuenta]],1))</f>
        <v>0</v>
      </c>
      <c r="AB946" t="b">
        <f>+ISNUMBER(SEARCH('F-COMPRA'!#REF!,Tabla11[[#This Row],[Cuenta]],1))</f>
        <v>0</v>
      </c>
      <c r="AC946" t="b">
        <f>+ISNUMBER(SEARCH('F-COMPRA'!#REF!,Tabla11[[#This Row],[Cuenta]],1))</f>
        <v>0</v>
      </c>
      <c r="AD946" t="b">
        <f>+ISNUMBER(SEARCH('F-COMPRA'!#REF!,Tabla11[[#This Row],[Cuenta]],1))</f>
        <v>0</v>
      </c>
      <c r="AE946" t="b">
        <f>+ISNUMBER(SEARCH('F-COMPRA'!#REF!,Tabla11[[#This Row],[Cuenta]],1))</f>
        <v>0</v>
      </c>
      <c r="AF946" t="b">
        <f>+ISNUMBER(SEARCH('F-VTA'!$G$23,Tabla11[[#This Row],[Cuenta]],1))</f>
        <v>0</v>
      </c>
      <c r="AG946" t="b">
        <f>+ISNUMBER(SEARCH('F-VTA'!$G$24,Tabla11[[#This Row],[Cuenta]],1))</f>
        <v>0</v>
      </c>
      <c r="AH946" t="b">
        <f>+ISNUMBER(SEARCH('F-VTA'!$G$25,Tabla11[[#This Row],[Cuenta]],1))</f>
        <v>0</v>
      </c>
      <c r="AI946" t="b">
        <f>+ISNUMBER(SEARCH('F-VTA'!$F$28,Tabla11[[#This Row],[Cuenta]],1))</f>
        <v>1</v>
      </c>
      <c r="AJ946" t="b">
        <f>+ISNUMBER(SEARCH('F-VTA'!$F$29,Tabla11[[#This Row],[Cuenta]],1))</f>
        <v>1</v>
      </c>
      <c r="AK946" t="b">
        <f>+ISNUMBER(SEARCH('F-VTA'!$F$30,Tabla11[[#This Row],[Cuenta]],1))</f>
        <v>1</v>
      </c>
      <c r="AL946" t="b">
        <f>+ISNUMBER(SEARCH('F-VTA'!$F$31,Tabla11[[#This Row],[Cuenta]],1))</f>
        <v>1</v>
      </c>
      <c r="AM946" t="b">
        <f>+ISNUMBER(SEARCH('F-VTA'!$F$32,Tabla11[[#This Row],[Cuenta]],1))</f>
        <v>1</v>
      </c>
      <c r="AN946" t="b">
        <f>+ISNUMBER(SEARCH('F-VTA'!$F$33,Tabla11[[#This Row],[Cuenta]],1))</f>
        <v>1</v>
      </c>
      <c r="AO946" t="b">
        <f>+ISNUMBER(SEARCH('F-VTA'!$F$34,Tabla11[[#This Row],[Cuenta]],1))</f>
        <v>1</v>
      </c>
      <c r="AP946" t="b">
        <f>+ISNUMBER(SEARCH('F-VTA'!$F$35,Tabla11[[#This Row],[Cuenta]],1))</f>
        <v>1</v>
      </c>
      <c r="AQ946" t="b">
        <f>+ISNUMBER(SEARCH('F-VTA'!$F$36,Tabla11[[#This Row],[Cuenta]],1))</f>
        <v>1</v>
      </c>
      <c r="AR946" t="b">
        <f>+ISNUMBER(SEARCH(#REF!,Tabla11[[#This Row],[Cuenta]],1))</f>
        <v>0</v>
      </c>
      <c r="AS946" t="b">
        <f>+ISNUMBER(SEARCH(#REF!,Tabla11[[#This Row],[Cuenta]],1))</f>
        <v>0</v>
      </c>
      <c r="AT946" t="b">
        <f>+ISNUMBER(SEARCH(#REF!,Tabla11[[#This Row],[Cuenta]],1))</f>
        <v>0</v>
      </c>
      <c r="AU946" t="b">
        <f>+ISNUMBER(SEARCH('Conc. Ban.1'!$I$9,Tabla11[[#This Row],[Cuenta]],1))</f>
        <v>0</v>
      </c>
      <c r="AV946" t="b">
        <f>+ISNUMBER(SEARCH(CompConta!$F$21,Tabla11[[#This Row],[Cuenta]],1))</f>
        <v>1</v>
      </c>
      <c r="AW946" t="b">
        <f>+ISNUMBER(SEARCH(CompConta!$F$22,Tabla11[[#This Row],[Cuenta]],1))</f>
        <v>1</v>
      </c>
      <c r="AX946" t="b">
        <f>+ISNUMBER(SEARCH(CompConta!$F$23,Tabla11[[#This Row],[Cuenta]],1))</f>
        <v>1</v>
      </c>
      <c r="AY946" t="b">
        <f>+ISNUMBER(SEARCH(CompConta!$F$24,Tabla11[[#This Row],[Cuenta]],1))</f>
        <v>1</v>
      </c>
      <c r="AZ946" t="b">
        <f>+ISNUMBER(SEARCH(CompConta!$F$25,Tabla11[[#This Row],[Cuenta]],1))</f>
        <v>1</v>
      </c>
      <c r="BA946" t="b">
        <f>+ISNUMBER(SEARCH(CompConta!$F$26,Tabla11[[#This Row],[Cuenta]],1))</f>
        <v>1</v>
      </c>
      <c r="BB946" t="b">
        <f>+ISNUMBER(SEARCH(CompConta!$F$27,Tabla11[[#This Row],[Cuenta]],1))</f>
        <v>1</v>
      </c>
      <c r="BC946" t="b">
        <f>+ISNUMBER(SEARCH(CompConta!$F$28,Tabla11[[#This Row],[Cuenta]],1))</f>
        <v>1</v>
      </c>
      <c r="BD946" t="b">
        <f>+ISNUMBER(SEARCH(CompConta!$F$29,Tabla11[[#This Row],[Cuenta]],1))</f>
        <v>1</v>
      </c>
      <c r="BE946" t="b">
        <f>+ISNUMBER(SEARCH(CompConta!$F$30,Tabla11[[#This Row],[Cuenta]],1))</f>
        <v>1</v>
      </c>
      <c r="BF946" t="b">
        <f>+ISNUMBER(SEARCH('PAGO Compras'!$E$11,Tabla11[[#This Row],[Cuenta]],1))</f>
        <v>1</v>
      </c>
      <c r="BG946" t="b">
        <f>+ISNUMBER(SEARCH(#REF!,Tabla11[[#This Row],[Cuenta]],1))</f>
        <v>0</v>
      </c>
      <c r="BH946" t="b">
        <f>+ISNUMBER(SEARCH(#REF!,Tabla11[[#This Row],[Cuenta]],1))</f>
        <v>0</v>
      </c>
      <c r="BI946" t="b">
        <f>+ISNUMBER(SEARCH(#REF!,Tabla11[[#This Row],[Cuenta]],1))</f>
        <v>0</v>
      </c>
      <c r="BJ946" t="b">
        <f>+ISNUMBER(SEARCH(#REF!,Tabla11[[#This Row],[Cuenta]],1))</f>
        <v>0</v>
      </c>
      <c r="BS946" t="str">
        <v>520503 Salario integral</v>
      </c>
      <c r="BT946" t="str">
        <v>520503 Salario integral</v>
      </c>
      <c r="BU946" t="str">
        <v>520503 Salario integral</v>
      </c>
      <c r="BV946" t="str">
        <v>520503 Salario integral</v>
      </c>
      <c r="BZ946" t="str">
        <v>520503 Salario integral</v>
      </c>
      <c r="CA946" t="str">
        <v>520503 Salario integral</v>
      </c>
      <c r="CB946" t="str">
        <v>520503 Salario integral</v>
      </c>
      <c r="CC946" t="str">
        <v>520503 Salario integral</v>
      </c>
      <c r="CD946" t="str">
        <v>520503 Salario integral</v>
      </c>
      <c r="CE946" t="str">
        <v>520503 Salario integral</v>
      </c>
      <c r="CS946" s="141" t="str">
        <v>520503 Salario integral</v>
      </c>
      <c r="CT946" s="141" t="str">
        <v>520503 Salario integral</v>
      </c>
      <c r="CU946" s="141" t="str">
        <v>520503 Salario integral</v>
      </c>
      <c r="CV946" s="141" t="str">
        <v>520503 Salario integral</v>
      </c>
      <c r="CW946" s="141" t="str">
        <v>520503 Salario integral</v>
      </c>
      <c r="CX946" s="141" t="str">
        <v>520503 Salario integral</v>
      </c>
      <c r="CY946" s="141" t="str">
        <v>520503 Salario integral</v>
      </c>
      <c r="CZ946" s="141" t="str">
        <v>520503 Salario integral</v>
      </c>
      <c r="DA946" s="141" t="str">
        <v>520503 Salario integral</v>
      </c>
      <c r="DF946" t="str">
        <v>520503 Salario integral</v>
      </c>
      <c r="DG946" t="str">
        <v>520503 Salario integral</v>
      </c>
      <c r="DH946" t="str">
        <v>520503 Salario integral</v>
      </c>
      <c r="DI946" t="str">
        <v>520503 Salario integral</v>
      </c>
      <c r="DJ946" t="str">
        <v>520503 Salario integral</v>
      </c>
      <c r="DK946" t="str">
        <v>520503 Salario integral</v>
      </c>
      <c r="DL946" t="str">
        <v>520503 Salario integral</v>
      </c>
      <c r="DM946" t="str">
        <v>520503 Salario integral</v>
      </c>
      <c r="DN946" t="str">
        <v>520503 Salario integral</v>
      </c>
      <c r="DO946" t="str">
        <v>520503 Salario integral</v>
      </c>
      <c r="DP946" t="str">
        <v>520503 Salario integral</v>
      </c>
    </row>
    <row r="947" spans="4:120" ht="12.75">
      <c r="D947" s="7">
        <v>520506</v>
      </c>
      <c r="E947" s="6" t="s">
        <v>535</v>
      </c>
      <c r="F947" s="5">
        <v>4</v>
      </c>
      <c r="G947" s="34" t="s">
        <v>830</v>
      </c>
      <c r="H947" s="8" t="s">
        <v>32</v>
      </c>
      <c r="I947" t="b">
        <f>+ISNUMBER(SEARCH('F-COMPRA'!$F$28,Tabla11[[#This Row],[Cuenta]],1))</f>
        <v>1</v>
      </c>
      <c r="J947" t="b">
        <f>+ISNUMBER(SEARCH('F-COMPRA'!$F$29,Tabla11[[#This Row],[Cuenta]],1))</f>
        <v>1</v>
      </c>
      <c r="K947" t="b">
        <f>+ISNUMBER(SEARCH('F-COMPRA'!$F$30,Tabla11[[#This Row],[Cuenta]],1))</f>
        <v>1</v>
      </c>
      <c r="L947" t="b">
        <f>+ISNUMBER(SEARCH('F-COMPRA'!$F$31,Tabla11[[#This Row],[Cuenta]],1))</f>
        <v>1</v>
      </c>
      <c r="M947" t="b">
        <f>+ISNUMBER(SEARCH('F-COMPRA'!$G$25,Tabla11[[#This Row],[Cuenta]],1))</f>
        <v>0</v>
      </c>
      <c r="N947" t="b">
        <f>+ISNUMBER(SEARCH(#REF!,Tabla11[[#This Row],[Cuenta]],1))</f>
        <v>0</v>
      </c>
      <c r="O947" t="b">
        <f>+ISNUMBER(SEARCH(#REF!,Tabla11[[#This Row],[Cuenta]],1))</f>
        <v>0</v>
      </c>
      <c r="P947" t="b">
        <f>+ISNUMBER(SEARCH('F-COMPRA'!$F$32,Tabla11[[#This Row],[Cuenta]],1))</f>
        <v>1</v>
      </c>
      <c r="Q947" t="b">
        <f>+ISNUMBER(SEARCH('F-COMPRA'!$F$33,Tabla11[[#This Row],[Cuenta]],1))</f>
        <v>1</v>
      </c>
      <c r="R947" t="b">
        <f>+ISNUMBER(SEARCH('F-COMPRA'!$F$34,Tabla11[[#This Row],[Cuenta]],1))</f>
        <v>1</v>
      </c>
      <c r="S947" t="b">
        <f>+ISNUMBER(SEARCH('F-COMPRA'!$F$35,Tabla11[[#This Row],[Cuenta]],1))</f>
        <v>1</v>
      </c>
      <c r="T947" t="b">
        <f>+ISNUMBER(SEARCH('F-COMPRA'!$F$36,Tabla11[[#This Row],[Cuenta]],1))</f>
        <v>1</v>
      </c>
      <c r="U947" t="b">
        <f>+ISNUMBER(SEARCH('F-COMPRA'!$F$37,Tabla11[[#This Row],[Cuenta]],1))</f>
        <v>1</v>
      </c>
      <c r="V947" t="b">
        <f>+ISNUMBER(SEARCH(#REF!,Tabla11[[#This Row],[Cuenta]],1))</f>
        <v>0</v>
      </c>
      <c r="W947" t="b">
        <f>+ISNUMBER(SEARCH('F-COMPRA'!#REF!,Tabla11[[#This Row],[Cuenta]],1))</f>
        <v>0</v>
      </c>
      <c r="X947" t="b">
        <f>+ISNUMBER(SEARCH('F-COMPRA'!#REF!,Tabla11[[#This Row],[Cuenta]],1))</f>
        <v>0</v>
      </c>
      <c r="Y947" t="b">
        <f>+ISNUMBER(SEARCH('F-COMPRA'!#REF!,Tabla11[[#This Row],[Cuenta]],1))</f>
        <v>0</v>
      </c>
      <c r="Z947" t="b">
        <f>+ISNUMBER(SEARCH('F-COMPRA'!#REF!,Tabla11[[#This Row],[Cuenta]],1))</f>
        <v>0</v>
      </c>
      <c r="AA947" t="b">
        <f>+ISNUMBER(SEARCH('F-COMPRA'!#REF!,Tabla11[[#This Row],[Cuenta]],1))</f>
        <v>0</v>
      </c>
      <c r="AB947" t="b">
        <f>+ISNUMBER(SEARCH('F-COMPRA'!#REF!,Tabla11[[#This Row],[Cuenta]],1))</f>
        <v>0</v>
      </c>
      <c r="AC947" t="b">
        <f>+ISNUMBER(SEARCH('F-COMPRA'!#REF!,Tabla11[[#This Row],[Cuenta]],1))</f>
        <v>0</v>
      </c>
      <c r="AD947" t="b">
        <f>+ISNUMBER(SEARCH('F-COMPRA'!#REF!,Tabla11[[#This Row],[Cuenta]],1))</f>
        <v>0</v>
      </c>
      <c r="AE947" t="b">
        <f>+ISNUMBER(SEARCH('F-COMPRA'!#REF!,Tabla11[[#This Row],[Cuenta]],1))</f>
        <v>0</v>
      </c>
      <c r="AF947" t="b">
        <f>+ISNUMBER(SEARCH('F-VTA'!$G$23,Tabla11[[#This Row],[Cuenta]],1))</f>
        <v>0</v>
      </c>
      <c r="AG947" t="b">
        <f>+ISNUMBER(SEARCH('F-VTA'!$G$24,Tabla11[[#This Row],[Cuenta]],1))</f>
        <v>0</v>
      </c>
      <c r="AH947" t="b">
        <f>+ISNUMBER(SEARCH('F-VTA'!$G$25,Tabla11[[#This Row],[Cuenta]],1))</f>
        <v>0</v>
      </c>
      <c r="AI947" t="b">
        <f>+ISNUMBER(SEARCH('F-VTA'!$F$28,Tabla11[[#This Row],[Cuenta]],1))</f>
        <v>1</v>
      </c>
      <c r="AJ947" t="b">
        <f>+ISNUMBER(SEARCH('F-VTA'!$F$29,Tabla11[[#This Row],[Cuenta]],1))</f>
        <v>1</v>
      </c>
      <c r="AK947" t="b">
        <f>+ISNUMBER(SEARCH('F-VTA'!$F$30,Tabla11[[#This Row],[Cuenta]],1))</f>
        <v>1</v>
      </c>
      <c r="AL947" t="b">
        <f>+ISNUMBER(SEARCH('F-VTA'!$F$31,Tabla11[[#This Row],[Cuenta]],1))</f>
        <v>1</v>
      </c>
      <c r="AM947" t="b">
        <f>+ISNUMBER(SEARCH('F-VTA'!$F$32,Tabla11[[#This Row],[Cuenta]],1))</f>
        <v>1</v>
      </c>
      <c r="AN947" t="b">
        <f>+ISNUMBER(SEARCH('F-VTA'!$F$33,Tabla11[[#This Row],[Cuenta]],1))</f>
        <v>1</v>
      </c>
      <c r="AO947" t="b">
        <f>+ISNUMBER(SEARCH('F-VTA'!$F$34,Tabla11[[#This Row],[Cuenta]],1))</f>
        <v>1</v>
      </c>
      <c r="AP947" t="b">
        <f>+ISNUMBER(SEARCH('F-VTA'!$F$35,Tabla11[[#This Row],[Cuenta]],1))</f>
        <v>1</v>
      </c>
      <c r="AQ947" t="b">
        <f>+ISNUMBER(SEARCH('F-VTA'!$F$36,Tabla11[[#This Row],[Cuenta]],1))</f>
        <v>1</v>
      </c>
      <c r="AR947" t="b">
        <f>+ISNUMBER(SEARCH(#REF!,Tabla11[[#This Row],[Cuenta]],1))</f>
        <v>0</v>
      </c>
      <c r="AS947" t="b">
        <f>+ISNUMBER(SEARCH(#REF!,Tabla11[[#This Row],[Cuenta]],1))</f>
        <v>0</v>
      </c>
      <c r="AT947" t="b">
        <f>+ISNUMBER(SEARCH(#REF!,Tabla11[[#This Row],[Cuenta]],1))</f>
        <v>0</v>
      </c>
      <c r="AU947" t="b">
        <f>+ISNUMBER(SEARCH('Conc. Ban.1'!$I$9,Tabla11[[#This Row],[Cuenta]],1))</f>
        <v>0</v>
      </c>
      <c r="AV947" t="b">
        <f>+ISNUMBER(SEARCH(CompConta!$F$21,Tabla11[[#This Row],[Cuenta]],1))</f>
        <v>1</v>
      </c>
      <c r="AW947" t="b">
        <f>+ISNUMBER(SEARCH(CompConta!$F$22,Tabla11[[#This Row],[Cuenta]],1))</f>
        <v>1</v>
      </c>
      <c r="AX947" t="b">
        <f>+ISNUMBER(SEARCH(CompConta!$F$23,Tabla11[[#This Row],[Cuenta]],1))</f>
        <v>1</v>
      </c>
      <c r="AY947" t="b">
        <f>+ISNUMBER(SEARCH(CompConta!$F$24,Tabla11[[#This Row],[Cuenta]],1))</f>
        <v>1</v>
      </c>
      <c r="AZ947" t="b">
        <f>+ISNUMBER(SEARCH(CompConta!$F$25,Tabla11[[#This Row],[Cuenta]],1))</f>
        <v>1</v>
      </c>
      <c r="BA947" t="b">
        <f>+ISNUMBER(SEARCH(CompConta!$F$26,Tabla11[[#This Row],[Cuenta]],1))</f>
        <v>1</v>
      </c>
      <c r="BB947" t="b">
        <f>+ISNUMBER(SEARCH(CompConta!$F$27,Tabla11[[#This Row],[Cuenta]],1))</f>
        <v>1</v>
      </c>
      <c r="BC947" t="b">
        <f>+ISNUMBER(SEARCH(CompConta!$F$28,Tabla11[[#This Row],[Cuenta]],1))</f>
        <v>1</v>
      </c>
      <c r="BD947" t="b">
        <f>+ISNUMBER(SEARCH(CompConta!$F$29,Tabla11[[#This Row],[Cuenta]],1))</f>
        <v>1</v>
      </c>
      <c r="BE947" t="b">
        <f>+ISNUMBER(SEARCH(CompConta!$F$30,Tabla11[[#This Row],[Cuenta]],1))</f>
        <v>1</v>
      </c>
      <c r="BF947" t="b">
        <f>+ISNUMBER(SEARCH('PAGO Compras'!$E$11,Tabla11[[#This Row],[Cuenta]],1))</f>
        <v>1</v>
      </c>
      <c r="BG947" t="b">
        <f>+ISNUMBER(SEARCH(#REF!,Tabla11[[#This Row],[Cuenta]],1))</f>
        <v>0</v>
      </c>
      <c r="BH947" t="b">
        <f>+ISNUMBER(SEARCH(#REF!,Tabla11[[#This Row],[Cuenta]],1))</f>
        <v>0</v>
      </c>
      <c r="BI947" t="b">
        <f>+ISNUMBER(SEARCH(#REF!,Tabla11[[#This Row],[Cuenta]],1))</f>
        <v>0</v>
      </c>
      <c r="BJ947" t="b">
        <f>+ISNUMBER(SEARCH(#REF!,Tabla11[[#This Row],[Cuenta]],1))</f>
        <v>0</v>
      </c>
      <c r="BS947" t="str">
        <v>520506 Sueldos</v>
      </c>
      <c r="BT947" t="str">
        <v>520506 Sueldos</v>
      </c>
      <c r="BU947" t="str">
        <v>520506 Sueldos</v>
      </c>
      <c r="BV947" t="str">
        <v>520506 Sueldos</v>
      </c>
      <c r="BZ947" t="str">
        <v>520506 Sueldos</v>
      </c>
      <c r="CA947" t="str">
        <v>520506 Sueldos</v>
      </c>
      <c r="CB947" t="str">
        <v>520506 Sueldos</v>
      </c>
      <c r="CC947" t="str">
        <v>520506 Sueldos</v>
      </c>
      <c r="CD947" t="str">
        <v>520506 Sueldos</v>
      </c>
      <c r="CE947" t="str">
        <v>520506 Sueldos</v>
      </c>
      <c r="CS947" s="141" t="str">
        <v>520506 Sueldos</v>
      </c>
      <c r="CT947" s="141" t="str">
        <v>520506 Sueldos</v>
      </c>
      <c r="CU947" s="141" t="str">
        <v>520506 Sueldos</v>
      </c>
      <c r="CV947" s="141" t="str">
        <v>520506 Sueldos</v>
      </c>
      <c r="CW947" s="141" t="str">
        <v>520506 Sueldos</v>
      </c>
      <c r="CX947" s="141" t="str">
        <v>520506 Sueldos</v>
      </c>
      <c r="CY947" s="141" t="str">
        <v>520506 Sueldos</v>
      </c>
      <c r="CZ947" s="141" t="str">
        <v>520506 Sueldos</v>
      </c>
      <c r="DA947" s="141" t="str">
        <v>520506 Sueldos</v>
      </c>
      <c r="DF947" t="str">
        <v>520506 Sueldos</v>
      </c>
      <c r="DG947" t="str">
        <v>520506 Sueldos</v>
      </c>
      <c r="DH947" t="str">
        <v>520506 Sueldos</v>
      </c>
      <c r="DI947" t="str">
        <v>520506 Sueldos</v>
      </c>
      <c r="DJ947" t="str">
        <v>520506 Sueldos</v>
      </c>
      <c r="DK947" t="str">
        <v>520506 Sueldos</v>
      </c>
      <c r="DL947" t="str">
        <v>520506 Sueldos</v>
      </c>
      <c r="DM947" t="str">
        <v>520506 Sueldos</v>
      </c>
      <c r="DN947" t="str">
        <v>520506 Sueldos</v>
      </c>
      <c r="DO947" t="str">
        <v>520506 Sueldos</v>
      </c>
      <c r="DP947" t="str">
        <v>520506 Sueldos</v>
      </c>
    </row>
    <row r="948" spans="4:120" ht="12.75">
      <c r="D948" s="7">
        <v>520512</v>
      </c>
      <c r="E948" s="6" t="s">
        <v>536</v>
      </c>
      <c r="F948" s="5">
        <v>4</v>
      </c>
      <c r="G948" s="34" t="s">
        <v>830</v>
      </c>
      <c r="H948" s="8" t="s">
        <v>32</v>
      </c>
      <c r="I948" t="b">
        <f>+ISNUMBER(SEARCH('F-COMPRA'!$F$28,Tabla11[[#This Row],[Cuenta]],1))</f>
        <v>1</v>
      </c>
      <c r="J948" t="b">
        <f>+ISNUMBER(SEARCH('F-COMPRA'!$F$29,Tabla11[[#This Row],[Cuenta]],1))</f>
        <v>1</v>
      </c>
      <c r="K948" t="b">
        <f>+ISNUMBER(SEARCH('F-COMPRA'!$F$30,Tabla11[[#This Row],[Cuenta]],1))</f>
        <v>1</v>
      </c>
      <c r="L948" t="b">
        <f>+ISNUMBER(SEARCH('F-COMPRA'!$F$31,Tabla11[[#This Row],[Cuenta]],1))</f>
        <v>1</v>
      </c>
      <c r="M948" t="b">
        <f>+ISNUMBER(SEARCH('F-COMPRA'!$G$25,Tabla11[[#This Row],[Cuenta]],1))</f>
        <v>0</v>
      </c>
      <c r="N948" t="b">
        <f>+ISNUMBER(SEARCH(#REF!,Tabla11[[#This Row],[Cuenta]],1))</f>
        <v>0</v>
      </c>
      <c r="O948" t="b">
        <f>+ISNUMBER(SEARCH(#REF!,Tabla11[[#This Row],[Cuenta]],1))</f>
        <v>0</v>
      </c>
      <c r="P948" t="b">
        <f>+ISNUMBER(SEARCH('F-COMPRA'!$F$32,Tabla11[[#This Row],[Cuenta]],1))</f>
        <v>1</v>
      </c>
      <c r="Q948" t="b">
        <f>+ISNUMBER(SEARCH('F-COMPRA'!$F$33,Tabla11[[#This Row],[Cuenta]],1))</f>
        <v>1</v>
      </c>
      <c r="R948" t="b">
        <f>+ISNUMBER(SEARCH('F-COMPRA'!$F$34,Tabla11[[#This Row],[Cuenta]],1))</f>
        <v>1</v>
      </c>
      <c r="S948" t="b">
        <f>+ISNUMBER(SEARCH('F-COMPRA'!$F$35,Tabla11[[#This Row],[Cuenta]],1))</f>
        <v>1</v>
      </c>
      <c r="T948" t="b">
        <f>+ISNUMBER(SEARCH('F-COMPRA'!$F$36,Tabla11[[#This Row],[Cuenta]],1))</f>
        <v>1</v>
      </c>
      <c r="U948" t="b">
        <f>+ISNUMBER(SEARCH('F-COMPRA'!$F$37,Tabla11[[#This Row],[Cuenta]],1))</f>
        <v>1</v>
      </c>
      <c r="V948" t="b">
        <f>+ISNUMBER(SEARCH(#REF!,Tabla11[[#This Row],[Cuenta]],1))</f>
        <v>0</v>
      </c>
      <c r="W948" t="b">
        <f>+ISNUMBER(SEARCH('F-COMPRA'!#REF!,Tabla11[[#This Row],[Cuenta]],1))</f>
        <v>0</v>
      </c>
      <c r="X948" t="b">
        <f>+ISNUMBER(SEARCH('F-COMPRA'!#REF!,Tabla11[[#This Row],[Cuenta]],1))</f>
        <v>0</v>
      </c>
      <c r="Y948" t="b">
        <f>+ISNUMBER(SEARCH('F-COMPRA'!#REF!,Tabla11[[#This Row],[Cuenta]],1))</f>
        <v>0</v>
      </c>
      <c r="Z948" t="b">
        <f>+ISNUMBER(SEARCH('F-COMPRA'!#REF!,Tabla11[[#This Row],[Cuenta]],1))</f>
        <v>0</v>
      </c>
      <c r="AA948" t="b">
        <f>+ISNUMBER(SEARCH('F-COMPRA'!#REF!,Tabla11[[#This Row],[Cuenta]],1))</f>
        <v>0</v>
      </c>
      <c r="AB948" t="b">
        <f>+ISNUMBER(SEARCH('F-COMPRA'!#REF!,Tabla11[[#This Row],[Cuenta]],1))</f>
        <v>0</v>
      </c>
      <c r="AC948" t="b">
        <f>+ISNUMBER(SEARCH('F-COMPRA'!#REF!,Tabla11[[#This Row],[Cuenta]],1))</f>
        <v>0</v>
      </c>
      <c r="AD948" t="b">
        <f>+ISNUMBER(SEARCH('F-COMPRA'!#REF!,Tabla11[[#This Row],[Cuenta]],1))</f>
        <v>0</v>
      </c>
      <c r="AE948" t="b">
        <f>+ISNUMBER(SEARCH('F-COMPRA'!#REF!,Tabla11[[#This Row],[Cuenta]],1))</f>
        <v>0</v>
      </c>
      <c r="AF948" t="b">
        <f>+ISNUMBER(SEARCH('F-VTA'!$G$23,Tabla11[[#This Row],[Cuenta]],1))</f>
        <v>0</v>
      </c>
      <c r="AG948" t="b">
        <f>+ISNUMBER(SEARCH('F-VTA'!$G$24,Tabla11[[#This Row],[Cuenta]],1))</f>
        <v>0</v>
      </c>
      <c r="AH948" t="b">
        <f>+ISNUMBER(SEARCH('F-VTA'!$G$25,Tabla11[[#This Row],[Cuenta]],1))</f>
        <v>0</v>
      </c>
      <c r="AI948" t="b">
        <f>+ISNUMBER(SEARCH('F-VTA'!$F$28,Tabla11[[#This Row],[Cuenta]],1))</f>
        <v>1</v>
      </c>
      <c r="AJ948" t="b">
        <f>+ISNUMBER(SEARCH('F-VTA'!$F$29,Tabla11[[#This Row],[Cuenta]],1))</f>
        <v>1</v>
      </c>
      <c r="AK948" t="b">
        <f>+ISNUMBER(SEARCH('F-VTA'!$F$30,Tabla11[[#This Row],[Cuenta]],1))</f>
        <v>1</v>
      </c>
      <c r="AL948" t="b">
        <f>+ISNUMBER(SEARCH('F-VTA'!$F$31,Tabla11[[#This Row],[Cuenta]],1))</f>
        <v>1</v>
      </c>
      <c r="AM948" t="b">
        <f>+ISNUMBER(SEARCH('F-VTA'!$F$32,Tabla11[[#This Row],[Cuenta]],1))</f>
        <v>1</v>
      </c>
      <c r="AN948" t="b">
        <f>+ISNUMBER(SEARCH('F-VTA'!$F$33,Tabla11[[#This Row],[Cuenta]],1))</f>
        <v>1</v>
      </c>
      <c r="AO948" t="b">
        <f>+ISNUMBER(SEARCH('F-VTA'!$F$34,Tabla11[[#This Row],[Cuenta]],1))</f>
        <v>1</v>
      </c>
      <c r="AP948" t="b">
        <f>+ISNUMBER(SEARCH('F-VTA'!$F$35,Tabla11[[#This Row],[Cuenta]],1))</f>
        <v>1</v>
      </c>
      <c r="AQ948" t="b">
        <f>+ISNUMBER(SEARCH('F-VTA'!$F$36,Tabla11[[#This Row],[Cuenta]],1))</f>
        <v>1</v>
      </c>
      <c r="AR948" t="b">
        <f>+ISNUMBER(SEARCH(#REF!,Tabla11[[#This Row],[Cuenta]],1))</f>
        <v>0</v>
      </c>
      <c r="AS948" t="b">
        <f>+ISNUMBER(SEARCH(#REF!,Tabla11[[#This Row],[Cuenta]],1))</f>
        <v>0</v>
      </c>
      <c r="AT948" t="b">
        <f>+ISNUMBER(SEARCH(#REF!,Tabla11[[#This Row],[Cuenta]],1))</f>
        <v>0</v>
      </c>
      <c r="AU948" t="b">
        <f>+ISNUMBER(SEARCH('Conc. Ban.1'!$I$9,Tabla11[[#This Row],[Cuenta]],1))</f>
        <v>0</v>
      </c>
      <c r="AV948" t="b">
        <f>+ISNUMBER(SEARCH(CompConta!$F$21,Tabla11[[#This Row],[Cuenta]],1))</f>
        <v>1</v>
      </c>
      <c r="AW948" t="b">
        <f>+ISNUMBER(SEARCH(CompConta!$F$22,Tabla11[[#This Row],[Cuenta]],1))</f>
        <v>1</v>
      </c>
      <c r="AX948" t="b">
        <f>+ISNUMBER(SEARCH(CompConta!$F$23,Tabla11[[#This Row],[Cuenta]],1))</f>
        <v>1</v>
      </c>
      <c r="AY948" t="b">
        <f>+ISNUMBER(SEARCH(CompConta!$F$24,Tabla11[[#This Row],[Cuenta]],1))</f>
        <v>1</v>
      </c>
      <c r="AZ948" t="b">
        <f>+ISNUMBER(SEARCH(CompConta!$F$25,Tabla11[[#This Row],[Cuenta]],1))</f>
        <v>1</v>
      </c>
      <c r="BA948" t="b">
        <f>+ISNUMBER(SEARCH(CompConta!$F$26,Tabla11[[#This Row],[Cuenta]],1))</f>
        <v>1</v>
      </c>
      <c r="BB948" t="b">
        <f>+ISNUMBER(SEARCH(CompConta!$F$27,Tabla11[[#This Row],[Cuenta]],1))</f>
        <v>1</v>
      </c>
      <c r="BC948" t="b">
        <f>+ISNUMBER(SEARCH(CompConta!$F$28,Tabla11[[#This Row],[Cuenta]],1))</f>
        <v>1</v>
      </c>
      <c r="BD948" t="b">
        <f>+ISNUMBER(SEARCH(CompConta!$F$29,Tabla11[[#This Row],[Cuenta]],1))</f>
        <v>1</v>
      </c>
      <c r="BE948" t="b">
        <f>+ISNUMBER(SEARCH(CompConta!$F$30,Tabla11[[#This Row],[Cuenta]],1))</f>
        <v>1</v>
      </c>
      <c r="BF948" t="b">
        <f>+ISNUMBER(SEARCH('PAGO Compras'!$E$11,Tabla11[[#This Row],[Cuenta]],1))</f>
        <v>1</v>
      </c>
      <c r="BG948" t="b">
        <f>+ISNUMBER(SEARCH(#REF!,Tabla11[[#This Row],[Cuenta]],1))</f>
        <v>0</v>
      </c>
      <c r="BH948" t="b">
        <f>+ISNUMBER(SEARCH(#REF!,Tabla11[[#This Row],[Cuenta]],1))</f>
        <v>0</v>
      </c>
      <c r="BI948" t="b">
        <f>+ISNUMBER(SEARCH(#REF!,Tabla11[[#This Row],[Cuenta]],1))</f>
        <v>0</v>
      </c>
      <c r="BJ948" t="b">
        <f>+ISNUMBER(SEARCH(#REF!,Tabla11[[#This Row],[Cuenta]],1))</f>
        <v>0</v>
      </c>
      <c r="BS948" t="str">
        <v>520512 Jornales</v>
      </c>
      <c r="BT948" t="str">
        <v>520512 Jornales</v>
      </c>
      <c r="BU948" t="str">
        <v>520512 Jornales</v>
      </c>
      <c r="BV948" t="str">
        <v>520512 Jornales</v>
      </c>
      <c r="BZ948" t="str">
        <v>520512 Jornales</v>
      </c>
      <c r="CA948" t="str">
        <v>520512 Jornales</v>
      </c>
      <c r="CB948" t="str">
        <v>520512 Jornales</v>
      </c>
      <c r="CC948" t="str">
        <v>520512 Jornales</v>
      </c>
      <c r="CD948" t="str">
        <v>520512 Jornales</v>
      </c>
      <c r="CE948" t="str">
        <v>520512 Jornales</v>
      </c>
      <c r="CS948" s="141" t="str">
        <v>520512 Jornales</v>
      </c>
      <c r="CT948" s="141" t="str">
        <v>520512 Jornales</v>
      </c>
      <c r="CU948" s="141" t="str">
        <v>520512 Jornales</v>
      </c>
      <c r="CV948" s="141" t="str">
        <v>520512 Jornales</v>
      </c>
      <c r="CW948" s="141" t="str">
        <v>520512 Jornales</v>
      </c>
      <c r="CX948" s="141" t="str">
        <v>520512 Jornales</v>
      </c>
      <c r="CY948" s="141" t="str">
        <v>520512 Jornales</v>
      </c>
      <c r="CZ948" s="141" t="str">
        <v>520512 Jornales</v>
      </c>
      <c r="DA948" s="141" t="str">
        <v>520512 Jornales</v>
      </c>
      <c r="DF948" t="str">
        <v>520512 Jornales</v>
      </c>
      <c r="DG948" t="str">
        <v>520512 Jornales</v>
      </c>
      <c r="DH948" t="str">
        <v>520512 Jornales</v>
      </c>
      <c r="DI948" t="str">
        <v>520512 Jornales</v>
      </c>
      <c r="DJ948" t="str">
        <v>520512 Jornales</v>
      </c>
      <c r="DK948" t="str">
        <v>520512 Jornales</v>
      </c>
      <c r="DL948" t="str">
        <v>520512 Jornales</v>
      </c>
      <c r="DM948" t="str">
        <v>520512 Jornales</v>
      </c>
      <c r="DN948" t="str">
        <v>520512 Jornales</v>
      </c>
      <c r="DO948" t="str">
        <v>520512 Jornales</v>
      </c>
      <c r="DP948" t="str">
        <v>520512 Jornales</v>
      </c>
    </row>
    <row r="949" spans="4:120" ht="12.75">
      <c r="D949" s="7">
        <v>520515</v>
      </c>
      <c r="E949" s="6" t="s">
        <v>537</v>
      </c>
      <c r="F949" s="5">
        <v>4</v>
      </c>
      <c r="G949" s="34" t="s">
        <v>830</v>
      </c>
      <c r="H949" s="8" t="s">
        <v>32</v>
      </c>
      <c r="I949" t="b">
        <f>+ISNUMBER(SEARCH('F-COMPRA'!$F$28,Tabla11[[#This Row],[Cuenta]],1))</f>
        <v>1</v>
      </c>
      <c r="J949" t="b">
        <f>+ISNUMBER(SEARCH('F-COMPRA'!$F$29,Tabla11[[#This Row],[Cuenta]],1))</f>
        <v>1</v>
      </c>
      <c r="K949" t="b">
        <f>+ISNUMBER(SEARCH('F-COMPRA'!$F$30,Tabla11[[#This Row],[Cuenta]],1))</f>
        <v>1</v>
      </c>
      <c r="L949" t="b">
        <f>+ISNUMBER(SEARCH('F-COMPRA'!$F$31,Tabla11[[#This Row],[Cuenta]],1))</f>
        <v>1</v>
      </c>
      <c r="M949" t="b">
        <f>+ISNUMBER(SEARCH('F-COMPRA'!$G$25,Tabla11[[#This Row],[Cuenta]],1))</f>
        <v>0</v>
      </c>
      <c r="N949" t="b">
        <f>+ISNUMBER(SEARCH(#REF!,Tabla11[[#This Row],[Cuenta]],1))</f>
        <v>0</v>
      </c>
      <c r="O949" t="b">
        <f>+ISNUMBER(SEARCH(#REF!,Tabla11[[#This Row],[Cuenta]],1))</f>
        <v>0</v>
      </c>
      <c r="P949" t="b">
        <f>+ISNUMBER(SEARCH('F-COMPRA'!$F$32,Tabla11[[#This Row],[Cuenta]],1))</f>
        <v>1</v>
      </c>
      <c r="Q949" t="b">
        <f>+ISNUMBER(SEARCH('F-COMPRA'!$F$33,Tabla11[[#This Row],[Cuenta]],1))</f>
        <v>1</v>
      </c>
      <c r="R949" t="b">
        <f>+ISNUMBER(SEARCH('F-COMPRA'!$F$34,Tabla11[[#This Row],[Cuenta]],1))</f>
        <v>1</v>
      </c>
      <c r="S949" t="b">
        <f>+ISNUMBER(SEARCH('F-COMPRA'!$F$35,Tabla11[[#This Row],[Cuenta]],1))</f>
        <v>1</v>
      </c>
      <c r="T949" t="b">
        <f>+ISNUMBER(SEARCH('F-COMPRA'!$F$36,Tabla11[[#This Row],[Cuenta]],1))</f>
        <v>1</v>
      </c>
      <c r="U949" t="b">
        <f>+ISNUMBER(SEARCH('F-COMPRA'!$F$37,Tabla11[[#This Row],[Cuenta]],1))</f>
        <v>1</v>
      </c>
      <c r="V949" t="b">
        <f>+ISNUMBER(SEARCH(#REF!,Tabla11[[#This Row],[Cuenta]],1))</f>
        <v>0</v>
      </c>
      <c r="W949" t="b">
        <f>+ISNUMBER(SEARCH('F-COMPRA'!#REF!,Tabla11[[#This Row],[Cuenta]],1))</f>
        <v>0</v>
      </c>
      <c r="X949" t="b">
        <f>+ISNUMBER(SEARCH('F-COMPRA'!#REF!,Tabla11[[#This Row],[Cuenta]],1))</f>
        <v>0</v>
      </c>
      <c r="Y949" t="b">
        <f>+ISNUMBER(SEARCH('F-COMPRA'!#REF!,Tabla11[[#This Row],[Cuenta]],1))</f>
        <v>0</v>
      </c>
      <c r="Z949" t="b">
        <f>+ISNUMBER(SEARCH('F-COMPRA'!#REF!,Tabla11[[#This Row],[Cuenta]],1))</f>
        <v>0</v>
      </c>
      <c r="AA949" t="b">
        <f>+ISNUMBER(SEARCH('F-COMPRA'!#REF!,Tabla11[[#This Row],[Cuenta]],1))</f>
        <v>0</v>
      </c>
      <c r="AB949" t="b">
        <f>+ISNUMBER(SEARCH('F-COMPRA'!#REF!,Tabla11[[#This Row],[Cuenta]],1))</f>
        <v>0</v>
      </c>
      <c r="AC949" t="b">
        <f>+ISNUMBER(SEARCH('F-COMPRA'!#REF!,Tabla11[[#This Row],[Cuenta]],1))</f>
        <v>0</v>
      </c>
      <c r="AD949" t="b">
        <f>+ISNUMBER(SEARCH('F-COMPRA'!#REF!,Tabla11[[#This Row],[Cuenta]],1))</f>
        <v>0</v>
      </c>
      <c r="AE949" t="b">
        <f>+ISNUMBER(SEARCH('F-COMPRA'!#REF!,Tabla11[[#This Row],[Cuenta]],1))</f>
        <v>0</v>
      </c>
      <c r="AF949" t="b">
        <f>+ISNUMBER(SEARCH('F-VTA'!$G$23,Tabla11[[#This Row],[Cuenta]],1))</f>
        <v>0</v>
      </c>
      <c r="AG949" t="b">
        <f>+ISNUMBER(SEARCH('F-VTA'!$G$24,Tabla11[[#This Row],[Cuenta]],1))</f>
        <v>0</v>
      </c>
      <c r="AH949" t="b">
        <f>+ISNUMBER(SEARCH('F-VTA'!$G$25,Tabla11[[#This Row],[Cuenta]],1))</f>
        <v>0</v>
      </c>
      <c r="AI949" t="b">
        <f>+ISNUMBER(SEARCH('F-VTA'!$F$28,Tabla11[[#This Row],[Cuenta]],1))</f>
        <v>1</v>
      </c>
      <c r="AJ949" t="b">
        <f>+ISNUMBER(SEARCH('F-VTA'!$F$29,Tabla11[[#This Row],[Cuenta]],1))</f>
        <v>1</v>
      </c>
      <c r="AK949" t="b">
        <f>+ISNUMBER(SEARCH('F-VTA'!$F$30,Tabla11[[#This Row],[Cuenta]],1))</f>
        <v>1</v>
      </c>
      <c r="AL949" t="b">
        <f>+ISNUMBER(SEARCH('F-VTA'!$F$31,Tabla11[[#This Row],[Cuenta]],1))</f>
        <v>1</v>
      </c>
      <c r="AM949" t="b">
        <f>+ISNUMBER(SEARCH('F-VTA'!$F$32,Tabla11[[#This Row],[Cuenta]],1))</f>
        <v>1</v>
      </c>
      <c r="AN949" t="b">
        <f>+ISNUMBER(SEARCH('F-VTA'!$F$33,Tabla11[[#This Row],[Cuenta]],1))</f>
        <v>1</v>
      </c>
      <c r="AO949" t="b">
        <f>+ISNUMBER(SEARCH('F-VTA'!$F$34,Tabla11[[#This Row],[Cuenta]],1))</f>
        <v>1</v>
      </c>
      <c r="AP949" t="b">
        <f>+ISNUMBER(SEARCH('F-VTA'!$F$35,Tabla11[[#This Row],[Cuenta]],1))</f>
        <v>1</v>
      </c>
      <c r="AQ949" t="b">
        <f>+ISNUMBER(SEARCH('F-VTA'!$F$36,Tabla11[[#This Row],[Cuenta]],1))</f>
        <v>1</v>
      </c>
      <c r="AR949" t="b">
        <f>+ISNUMBER(SEARCH(#REF!,Tabla11[[#This Row],[Cuenta]],1))</f>
        <v>0</v>
      </c>
      <c r="AS949" t="b">
        <f>+ISNUMBER(SEARCH(#REF!,Tabla11[[#This Row],[Cuenta]],1))</f>
        <v>0</v>
      </c>
      <c r="AT949" t="b">
        <f>+ISNUMBER(SEARCH(#REF!,Tabla11[[#This Row],[Cuenta]],1))</f>
        <v>0</v>
      </c>
      <c r="AU949" t="b">
        <f>+ISNUMBER(SEARCH('Conc. Ban.1'!$I$9,Tabla11[[#This Row],[Cuenta]],1))</f>
        <v>0</v>
      </c>
      <c r="AV949" t="b">
        <f>+ISNUMBER(SEARCH(CompConta!$F$21,Tabla11[[#This Row],[Cuenta]],1))</f>
        <v>1</v>
      </c>
      <c r="AW949" t="b">
        <f>+ISNUMBER(SEARCH(CompConta!$F$22,Tabla11[[#This Row],[Cuenta]],1))</f>
        <v>1</v>
      </c>
      <c r="AX949" t="b">
        <f>+ISNUMBER(SEARCH(CompConta!$F$23,Tabla11[[#This Row],[Cuenta]],1))</f>
        <v>1</v>
      </c>
      <c r="AY949" t="b">
        <f>+ISNUMBER(SEARCH(CompConta!$F$24,Tabla11[[#This Row],[Cuenta]],1))</f>
        <v>1</v>
      </c>
      <c r="AZ949" t="b">
        <f>+ISNUMBER(SEARCH(CompConta!$F$25,Tabla11[[#This Row],[Cuenta]],1))</f>
        <v>1</v>
      </c>
      <c r="BA949" t="b">
        <f>+ISNUMBER(SEARCH(CompConta!$F$26,Tabla11[[#This Row],[Cuenta]],1))</f>
        <v>1</v>
      </c>
      <c r="BB949" t="b">
        <f>+ISNUMBER(SEARCH(CompConta!$F$27,Tabla11[[#This Row],[Cuenta]],1))</f>
        <v>1</v>
      </c>
      <c r="BC949" t="b">
        <f>+ISNUMBER(SEARCH(CompConta!$F$28,Tabla11[[#This Row],[Cuenta]],1))</f>
        <v>1</v>
      </c>
      <c r="BD949" t="b">
        <f>+ISNUMBER(SEARCH(CompConta!$F$29,Tabla11[[#This Row],[Cuenta]],1))</f>
        <v>1</v>
      </c>
      <c r="BE949" t="b">
        <f>+ISNUMBER(SEARCH(CompConta!$F$30,Tabla11[[#This Row],[Cuenta]],1))</f>
        <v>1</v>
      </c>
      <c r="BF949" t="b">
        <f>+ISNUMBER(SEARCH('PAGO Compras'!$E$11,Tabla11[[#This Row],[Cuenta]],1))</f>
        <v>1</v>
      </c>
      <c r="BG949" t="b">
        <f>+ISNUMBER(SEARCH(#REF!,Tabla11[[#This Row],[Cuenta]],1))</f>
        <v>0</v>
      </c>
      <c r="BH949" t="b">
        <f>+ISNUMBER(SEARCH(#REF!,Tabla11[[#This Row],[Cuenta]],1))</f>
        <v>0</v>
      </c>
      <c r="BI949" t="b">
        <f>+ISNUMBER(SEARCH(#REF!,Tabla11[[#This Row],[Cuenta]],1))</f>
        <v>0</v>
      </c>
      <c r="BJ949" t="b">
        <f>+ISNUMBER(SEARCH(#REF!,Tabla11[[#This Row],[Cuenta]],1))</f>
        <v>0</v>
      </c>
      <c r="BS949" t="str">
        <v>520515 Horas extras y recargos</v>
      </c>
      <c r="BT949" t="str">
        <v>520515 Horas extras y recargos</v>
      </c>
      <c r="BU949" t="str">
        <v>520515 Horas extras y recargos</v>
      </c>
      <c r="BV949" t="str">
        <v>520515 Horas extras y recargos</v>
      </c>
      <c r="BZ949" t="str">
        <v>520515 Horas extras y recargos</v>
      </c>
      <c r="CA949" t="str">
        <v>520515 Horas extras y recargos</v>
      </c>
      <c r="CB949" t="str">
        <v>520515 Horas extras y recargos</v>
      </c>
      <c r="CC949" t="str">
        <v>520515 Horas extras y recargos</v>
      </c>
      <c r="CD949" t="str">
        <v>520515 Horas extras y recargos</v>
      </c>
      <c r="CE949" t="str">
        <v>520515 Horas extras y recargos</v>
      </c>
      <c r="CS949" s="141" t="str">
        <v>520515 Horas extras y recargos</v>
      </c>
      <c r="CT949" s="141" t="str">
        <v>520515 Horas extras y recargos</v>
      </c>
      <c r="CU949" s="141" t="str">
        <v>520515 Horas extras y recargos</v>
      </c>
      <c r="CV949" s="141" t="str">
        <v>520515 Horas extras y recargos</v>
      </c>
      <c r="CW949" s="141" t="str">
        <v>520515 Horas extras y recargos</v>
      </c>
      <c r="CX949" s="141" t="str">
        <v>520515 Horas extras y recargos</v>
      </c>
      <c r="CY949" s="141" t="str">
        <v>520515 Horas extras y recargos</v>
      </c>
      <c r="CZ949" s="141" t="str">
        <v>520515 Horas extras y recargos</v>
      </c>
      <c r="DA949" s="141" t="str">
        <v>520515 Horas extras y recargos</v>
      </c>
      <c r="DF949" t="str">
        <v>520515 Horas extras y recargos</v>
      </c>
      <c r="DG949" t="str">
        <v>520515 Horas extras y recargos</v>
      </c>
      <c r="DH949" t="str">
        <v>520515 Horas extras y recargos</v>
      </c>
      <c r="DI949" t="str">
        <v>520515 Horas extras y recargos</v>
      </c>
      <c r="DJ949" t="str">
        <v>520515 Horas extras y recargos</v>
      </c>
      <c r="DK949" t="str">
        <v>520515 Horas extras y recargos</v>
      </c>
      <c r="DL949" t="str">
        <v>520515 Horas extras y recargos</v>
      </c>
      <c r="DM949" t="str">
        <v>520515 Horas extras y recargos</v>
      </c>
      <c r="DN949" t="str">
        <v>520515 Horas extras y recargos</v>
      </c>
      <c r="DO949" t="str">
        <v>520515 Horas extras y recargos</v>
      </c>
      <c r="DP949" t="str">
        <v>520515 Horas extras y recargos</v>
      </c>
    </row>
    <row r="950" spans="4:120" ht="12.75">
      <c r="D950" s="7">
        <v>520518</v>
      </c>
      <c r="E950" s="6" t="s">
        <v>74</v>
      </c>
      <c r="F950" s="5">
        <v>4</v>
      </c>
      <c r="G950" s="34" t="s">
        <v>830</v>
      </c>
      <c r="H950" s="8" t="s">
        <v>32</v>
      </c>
      <c r="I950" t="b">
        <f>+ISNUMBER(SEARCH('F-COMPRA'!$F$28,Tabla11[[#This Row],[Cuenta]],1))</f>
        <v>1</v>
      </c>
      <c r="J950" t="b">
        <f>+ISNUMBER(SEARCH('F-COMPRA'!$F$29,Tabla11[[#This Row],[Cuenta]],1))</f>
        <v>1</v>
      </c>
      <c r="K950" t="b">
        <f>+ISNUMBER(SEARCH('F-COMPRA'!$F$30,Tabla11[[#This Row],[Cuenta]],1))</f>
        <v>1</v>
      </c>
      <c r="L950" t="b">
        <f>+ISNUMBER(SEARCH('F-COMPRA'!$F$31,Tabla11[[#This Row],[Cuenta]],1))</f>
        <v>1</v>
      </c>
      <c r="M950" t="b">
        <f>+ISNUMBER(SEARCH('F-COMPRA'!$G$25,Tabla11[[#This Row],[Cuenta]],1))</f>
        <v>0</v>
      </c>
      <c r="N950" t="b">
        <f>+ISNUMBER(SEARCH(#REF!,Tabla11[[#This Row],[Cuenta]],1))</f>
        <v>0</v>
      </c>
      <c r="O950" t="b">
        <f>+ISNUMBER(SEARCH(#REF!,Tabla11[[#This Row],[Cuenta]],1))</f>
        <v>0</v>
      </c>
      <c r="P950" t="b">
        <f>+ISNUMBER(SEARCH('F-COMPRA'!$F$32,Tabla11[[#This Row],[Cuenta]],1))</f>
        <v>1</v>
      </c>
      <c r="Q950" t="b">
        <f>+ISNUMBER(SEARCH('F-COMPRA'!$F$33,Tabla11[[#This Row],[Cuenta]],1))</f>
        <v>1</v>
      </c>
      <c r="R950" t="b">
        <f>+ISNUMBER(SEARCH('F-COMPRA'!$F$34,Tabla11[[#This Row],[Cuenta]],1))</f>
        <v>1</v>
      </c>
      <c r="S950" t="b">
        <f>+ISNUMBER(SEARCH('F-COMPRA'!$F$35,Tabla11[[#This Row],[Cuenta]],1))</f>
        <v>1</v>
      </c>
      <c r="T950" t="b">
        <f>+ISNUMBER(SEARCH('F-COMPRA'!$F$36,Tabla11[[#This Row],[Cuenta]],1))</f>
        <v>1</v>
      </c>
      <c r="U950" t="b">
        <f>+ISNUMBER(SEARCH('F-COMPRA'!$F$37,Tabla11[[#This Row],[Cuenta]],1))</f>
        <v>1</v>
      </c>
      <c r="V950" t="b">
        <f>+ISNUMBER(SEARCH(#REF!,Tabla11[[#This Row],[Cuenta]],1))</f>
        <v>0</v>
      </c>
      <c r="W950" t="b">
        <f>+ISNUMBER(SEARCH('F-COMPRA'!#REF!,Tabla11[[#This Row],[Cuenta]],1))</f>
        <v>0</v>
      </c>
      <c r="X950" t="b">
        <f>+ISNUMBER(SEARCH('F-COMPRA'!#REF!,Tabla11[[#This Row],[Cuenta]],1))</f>
        <v>0</v>
      </c>
      <c r="Y950" t="b">
        <f>+ISNUMBER(SEARCH('F-COMPRA'!#REF!,Tabla11[[#This Row],[Cuenta]],1))</f>
        <v>0</v>
      </c>
      <c r="Z950" t="b">
        <f>+ISNUMBER(SEARCH('F-COMPRA'!#REF!,Tabla11[[#This Row],[Cuenta]],1))</f>
        <v>0</v>
      </c>
      <c r="AA950" t="b">
        <f>+ISNUMBER(SEARCH('F-COMPRA'!#REF!,Tabla11[[#This Row],[Cuenta]],1))</f>
        <v>0</v>
      </c>
      <c r="AB950" t="b">
        <f>+ISNUMBER(SEARCH('F-COMPRA'!#REF!,Tabla11[[#This Row],[Cuenta]],1))</f>
        <v>0</v>
      </c>
      <c r="AC950" t="b">
        <f>+ISNUMBER(SEARCH('F-COMPRA'!#REF!,Tabla11[[#This Row],[Cuenta]],1))</f>
        <v>0</v>
      </c>
      <c r="AD950" t="b">
        <f>+ISNUMBER(SEARCH('F-COMPRA'!#REF!,Tabla11[[#This Row],[Cuenta]],1))</f>
        <v>0</v>
      </c>
      <c r="AE950" t="b">
        <f>+ISNUMBER(SEARCH('F-COMPRA'!#REF!,Tabla11[[#This Row],[Cuenta]],1))</f>
        <v>0</v>
      </c>
      <c r="AF950" t="b">
        <f>+ISNUMBER(SEARCH('F-VTA'!$G$23,Tabla11[[#This Row],[Cuenta]],1))</f>
        <v>0</v>
      </c>
      <c r="AG950" t="b">
        <f>+ISNUMBER(SEARCH('F-VTA'!$G$24,Tabla11[[#This Row],[Cuenta]],1))</f>
        <v>0</v>
      </c>
      <c r="AH950" t="b">
        <f>+ISNUMBER(SEARCH('F-VTA'!$G$25,Tabla11[[#This Row],[Cuenta]],1))</f>
        <v>0</v>
      </c>
      <c r="AI950" t="b">
        <f>+ISNUMBER(SEARCH('F-VTA'!$F$28,Tabla11[[#This Row],[Cuenta]],1))</f>
        <v>1</v>
      </c>
      <c r="AJ950" t="b">
        <f>+ISNUMBER(SEARCH('F-VTA'!$F$29,Tabla11[[#This Row],[Cuenta]],1))</f>
        <v>1</v>
      </c>
      <c r="AK950" t="b">
        <f>+ISNUMBER(SEARCH('F-VTA'!$F$30,Tabla11[[#This Row],[Cuenta]],1))</f>
        <v>1</v>
      </c>
      <c r="AL950" t="b">
        <f>+ISNUMBER(SEARCH('F-VTA'!$F$31,Tabla11[[#This Row],[Cuenta]],1))</f>
        <v>1</v>
      </c>
      <c r="AM950" t="b">
        <f>+ISNUMBER(SEARCH('F-VTA'!$F$32,Tabla11[[#This Row],[Cuenta]],1))</f>
        <v>1</v>
      </c>
      <c r="AN950" t="b">
        <f>+ISNUMBER(SEARCH('F-VTA'!$F$33,Tabla11[[#This Row],[Cuenta]],1))</f>
        <v>1</v>
      </c>
      <c r="AO950" t="b">
        <f>+ISNUMBER(SEARCH('F-VTA'!$F$34,Tabla11[[#This Row],[Cuenta]],1))</f>
        <v>1</v>
      </c>
      <c r="AP950" t="b">
        <f>+ISNUMBER(SEARCH('F-VTA'!$F$35,Tabla11[[#This Row],[Cuenta]],1))</f>
        <v>1</v>
      </c>
      <c r="AQ950" t="b">
        <f>+ISNUMBER(SEARCH('F-VTA'!$F$36,Tabla11[[#This Row],[Cuenta]],1))</f>
        <v>1</v>
      </c>
      <c r="AR950" t="b">
        <f>+ISNUMBER(SEARCH(#REF!,Tabla11[[#This Row],[Cuenta]],1))</f>
        <v>0</v>
      </c>
      <c r="AS950" t="b">
        <f>+ISNUMBER(SEARCH(#REF!,Tabla11[[#This Row],[Cuenta]],1))</f>
        <v>0</v>
      </c>
      <c r="AT950" t="b">
        <f>+ISNUMBER(SEARCH(#REF!,Tabla11[[#This Row],[Cuenta]],1))</f>
        <v>0</v>
      </c>
      <c r="AU950" t="b">
        <f>+ISNUMBER(SEARCH('Conc. Ban.1'!$I$9,Tabla11[[#This Row],[Cuenta]],1))</f>
        <v>0</v>
      </c>
      <c r="AV950" t="b">
        <f>+ISNUMBER(SEARCH(CompConta!$F$21,Tabla11[[#This Row],[Cuenta]],1))</f>
        <v>1</v>
      </c>
      <c r="AW950" t="b">
        <f>+ISNUMBER(SEARCH(CompConta!$F$22,Tabla11[[#This Row],[Cuenta]],1))</f>
        <v>1</v>
      </c>
      <c r="AX950" t="b">
        <f>+ISNUMBER(SEARCH(CompConta!$F$23,Tabla11[[#This Row],[Cuenta]],1))</f>
        <v>1</v>
      </c>
      <c r="AY950" t="b">
        <f>+ISNUMBER(SEARCH(CompConta!$F$24,Tabla11[[#This Row],[Cuenta]],1))</f>
        <v>1</v>
      </c>
      <c r="AZ950" t="b">
        <f>+ISNUMBER(SEARCH(CompConta!$F$25,Tabla11[[#This Row],[Cuenta]],1))</f>
        <v>1</v>
      </c>
      <c r="BA950" t="b">
        <f>+ISNUMBER(SEARCH(CompConta!$F$26,Tabla11[[#This Row],[Cuenta]],1))</f>
        <v>1</v>
      </c>
      <c r="BB950" t="b">
        <f>+ISNUMBER(SEARCH(CompConta!$F$27,Tabla11[[#This Row],[Cuenta]],1))</f>
        <v>1</v>
      </c>
      <c r="BC950" t="b">
        <f>+ISNUMBER(SEARCH(CompConta!$F$28,Tabla11[[#This Row],[Cuenta]],1))</f>
        <v>1</v>
      </c>
      <c r="BD950" t="b">
        <f>+ISNUMBER(SEARCH(CompConta!$F$29,Tabla11[[#This Row],[Cuenta]],1))</f>
        <v>1</v>
      </c>
      <c r="BE950" t="b">
        <f>+ISNUMBER(SEARCH(CompConta!$F$30,Tabla11[[#This Row],[Cuenta]],1))</f>
        <v>1</v>
      </c>
      <c r="BF950" t="b">
        <f>+ISNUMBER(SEARCH('PAGO Compras'!$E$11,Tabla11[[#This Row],[Cuenta]],1))</f>
        <v>1</v>
      </c>
      <c r="BG950" t="b">
        <f>+ISNUMBER(SEARCH(#REF!,Tabla11[[#This Row],[Cuenta]],1))</f>
        <v>0</v>
      </c>
      <c r="BH950" t="b">
        <f>+ISNUMBER(SEARCH(#REF!,Tabla11[[#This Row],[Cuenta]],1))</f>
        <v>0</v>
      </c>
      <c r="BI950" t="b">
        <f>+ISNUMBER(SEARCH(#REF!,Tabla11[[#This Row],[Cuenta]],1))</f>
        <v>0</v>
      </c>
      <c r="BJ950" t="b">
        <f>+ISNUMBER(SEARCH(#REF!,Tabla11[[#This Row],[Cuenta]],1))</f>
        <v>0</v>
      </c>
      <c r="BS950" t="str">
        <v>520518 Comisiones</v>
      </c>
      <c r="BT950" t="str">
        <v>520518 Comisiones</v>
      </c>
      <c r="BU950" t="str">
        <v>520518 Comisiones</v>
      </c>
      <c r="BV950" t="str">
        <v>520518 Comisiones</v>
      </c>
      <c r="BZ950" t="str">
        <v>520518 Comisiones</v>
      </c>
      <c r="CA950" t="str">
        <v>520518 Comisiones</v>
      </c>
      <c r="CB950" t="str">
        <v>520518 Comisiones</v>
      </c>
      <c r="CC950" t="str">
        <v>520518 Comisiones</v>
      </c>
      <c r="CD950" t="str">
        <v>520518 Comisiones</v>
      </c>
      <c r="CE950" t="str">
        <v>520518 Comisiones</v>
      </c>
      <c r="CS950" s="141" t="str">
        <v>520518 Comisiones</v>
      </c>
      <c r="CT950" s="141" t="str">
        <v>520518 Comisiones</v>
      </c>
      <c r="CU950" s="141" t="str">
        <v>520518 Comisiones</v>
      </c>
      <c r="CV950" s="141" t="str">
        <v>520518 Comisiones</v>
      </c>
      <c r="CW950" s="141" t="str">
        <v>520518 Comisiones</v>
      </c>
      <c r="CX950" s="141" t="str">
        <v>520518 Comisiones</v>
      </c>
      <c r="CY950" s="141" t="str">
        <v>520518 Comisiones</v>
      </c>
      <c r="CZ950" s="141" t="str">
        <v>520518 Comisiones</v>
      </c>
      <c r="DA950" s="141" t="str">
        <v>520518 Comisiones</v>
      </c>
      <c r="DF950" t="str">
        <v>520518 Comisiones</v>
      </c>
      <c r="DG950" t="str">
        <v>520518 Comisiones</v>
      </c>
      <c r="DH950" t="str">
        <v>520518 Comisiones</v>
      </c>
      <c r="DI950" t="str">
        <v>520518 Comisiones</v>
      </c>
      <c r="DJ950" t="str">
        <v>520518 Comisiones</v>
      </c>
      <c r="DK950" t="str">
        <v>520518 Comisiones</v>
      </c>
      <c r="DL950" t="str">
        <v>520518 Comisiones</v>
      </c>
      <c r="DM950" t="str">
        <v>520518 Comisiones</v>
      </c>
      <c r="DN950" t="str">
        <v>520518 Comisiones</v>
      </c>
      <c r="DO950" t="str">
        <v>520518 Comisiones</v>
      </c>
      <c r="DP950" t="str">
        <v>520518 Comisiones</v>
      </c>
    </row>
    <row r="951" spans="4:120" ht="12.75">
      <c r="D951" s="7">
        <v>520521</v>
      </c>
      <c r="E951" s="6" t="s">
        <v>402</v>
      </c>
      <c r="F951" s="5">
        <v>4</v>
      </c>
      <c r="G951" s="34" t="s">
        <v>830</v>
      </c>
      <c r="H951" s="8" t="s">
        <v>32</v>
      </c>
      <c r="I951" t="b">
        <f>+ISNUMBER(SEARCH('F-COMPRA'!$F$28,Tabla11[[#This Row],[Cuenta]],1))</f>
        <v>1</v>
      </c>
      <c r="J951" t="b">
        <f>+ISNUMBER(SEARCH('F-COMPRA'!$F$29,Tabla11[[#This Row],[Cuenta]],1))</f>
        <v>1</v>
      </c>
      <c r="K951" t="b">
        <f>+ISNUMBER(SEARCH('F-COMPRA'!$F$30,Tabla11[[#This Row],[Cuenta]],1))</f>
        <v>1</v>
      </c>
      <c r="L951" t="b">
        <f>+ISNUMBER(SEARCH('F-COMPRA'!$F$31,Tabla11[[#This Row],[Cuenta]],1))</f>
        <v>1</v>
      </c>
      <c r="M951" t="b">
        <f>+ISNUMBER(SEARCH('F-COMPRA'!$G$25,Tabla11[[#This Row],[Cuenta]],1))</f>
        <v>0</v>
      </c>
      <c r="N951" t="b">
        <f>+ISNUMBER(SEARCH(#REF!,Tabla11[[#This Row],[Cuenta]],1))</f>
        <v>0</v>
      </c>
      <c r="O951" t="b">
        <f>+ISNUMBER(SEARCH(#REF!,Tabla11[[#This Row],[Cuenta]],1))</f>
        <v>0</v>
      </c>
      <c r="P951" t="b">
        <f>+ISNUMBER(SEARCH('F-COMPRA'!$F$32,Tabla11[[#This Row],[Cuenta]],1))</f>
        <v>1</v>
      </c>
      <c r="Q951" t="b">
        <f>+ISNUMBER(SEARCH('F-COMPRA'!$F$33,Tabla11[[#This Row],[Cuenta]],1))</f>
        <v>1</v>
      </c>
      <c r="R951" t="b">
        <f>+ISNUMBER(SEARCH('F-COMPRA'!$F$34,Tabla11[[#This Row],[Cuenta]],1))</f>
        <v>1</v>
      </c>
      <c r="S951" t="b">
        <f>+ISNUMBER(SEARCH('F-COMPRA'!$F$35,Tabla11[[#This Row],[Cuenta]],1))</f>
        <v>1</v>
      </c>
      <c r="T951" t="b">
        <f>+ISNUMBER(SEARCH('F-COMPRA'!$F$36,Tabla11[[#This Row],[Cuenta]],1))</f>
        <v>1</v>
      </c>
      <c r="U951" t="b">
        <f>+ISNUMBER(SEARCH('F-COMPRA'!$F$37,Tabla11[[#This Row],[Cuenta]],1))</f>
        <v>1</v>
      </c>
      <c r="V951" t="b">
        <f>+ISNUMBER(SEARCH(#REF!,Tabla11[[#This Row],[Cuenta]],1))</f>
        <v>0</v>
      </c>
      <c r="W951" t="b">
        <f>+ISNUMBER(SEARCH('F-COMPRA'!#REF!,Tabla11[[#This Row],[Cuenta]],1))</f>
        <v>0</v>
      </c>
      <c r="X951" t="b">
        <f>+ISNUMBER(SEARCH('F-COMPRA'!#REF!,Tabla11[[#This Row],[Cuenta]],1))</f>
        <v>0</v>
      </c>
      <c r="Y951" t="b">
        <f>+ISNUMBER(SEARCH('F-COMPRA'!#REF!,Tabla11[[#This Row],[Cuenta]],1))</f>
        <v>0</v>
      </c>
      <c r="Z951" t="b">
        <f>+ISNUMBER(SEARCH('F-COMPRA'!#REF!,Tabla11[[#This Row],[Cuenta]],1))</f>
        <v>0</v>
      </c>
      <c r="AA951" t="b">
        <f>+ISNUMBER(SEARCH('F-COMPRA'!#REF!,Tabla11[[#This Row],[Cuenta]],1))</f>
        <v>0</v>
      </c>
      <c r="AB951" t="b">
        <f>+ISNUMBER(SEARCH('F-COMPRA'!#REF!,Tabla11[[#This Row],[Cuenta]],1))</f>
        <v>0</v>
      </c>
      <c r="AC951" t="b">
        <f>+ISNUMBER(SEARCH('F-COMPRA'!#REF!,Tabla11[[#This Row],[Cuenta]],1))</f>
        <v>0</v>
      </c>
      <c r="AD951" t="b">
        <f>+ISNUMBER(SEARCH('F-COMPRA'!#REF!,Tabla11[[#This Row],[Cuenta]],1))</f>
        <v>0</v>
      </c>
      <c r="AE951" t="b">
        <f>+ISNUMBER(SEARCH('F-COMPRA'!#REF!,Tabla11[[#This Row],[Cuenta]],1))</f>
        <v>0</v>
      </c>
      <c r="AF951" t="b">
        <f>+ISNUMBER(SEARCH('F-VTA'!$G$23,Tabla11[[#This Row],[Cuenta]],1))</f>
        <v>0</v>
      </c>
      <c r="AG951" t="b">
        <f>+ISNUMBER(SEARCH('F-VTA'!$G$24,Tabla11[[#This Row],[Cuenta]],1))</f>
        <v>0</v>
      </c>
      <c r="AH951" t="b">
        <f>+ISNUMBER(SEARCH('F-VTA'!$G$25,Tabla11[[#This Row],[Cuenta]],1))</f>
        <v>0</v>
      </c>
      <c r="AI951" t="b">
        <f>+ISNUMBER(SEARCH('F-VTA'!$F$28,Tabla11[[#This Row],[Cuenta]],1))</f>
        <v>1</v>
      </c>
      <c r="AJ951" t="b">
        <f>+ISNUMBER(SEARCH('F-VTA'!$F$29,Tabla11[[#This Row],[Cuenta]],1))</f>
        <v>1</v>
      </c>
      <c r="AK951" t="b">
        <f>+ISNUMBER(SEARCH('F-VTA'!$F$30,Tabla11[[#This Row],[Cuenta]],1))</f>
        <v>1</v>
      </c>
      <c r="AL951" t="b">
        <f>+ISNUMBER(SEARCH('F-VTA'!$F$31,Tabla11[[#This Row],[Cuenta]],1))</f>
        <v>1</v>
      </c>
      <c r="AM951" t="b">
        <f>+ISNUMBER(SEARCH('F-VTA'!$F$32,Tabla11[[#This Row],[Cuenta]],1))</f>
        <v>1</v>
      </c>
      <c r="AN951" t="b">
        <f>+ISNUMBER(SEARCH('F-VTA'!$F$33,Tabla11[[#This Row],[Cuenta]],1))</f>
        <v>1</v>
      </c>
      <c r="AO951" t="b">
        <f>+ISNUMBER(SEARCH('F-VTA'!$F$34,Tabla11[[#This Row],[Cuenta]],1))</f>
        <v>1</v>
      </c>
      <c r="AP951" t="b">
        <f>+ISNUMBER(SEARCH('F-VTA'!$F$35,Tabla11[[#This Row],[Cuenta]],1))</f>
        <v>1</v>
      </c>
      <c r="AQ951" t="b">
        <f>+ISNUMBER(SEARCH('F-VTA'!$F$36,Tabla11[[#This Row],[Cuenta]],1))</f>
        <v>1</v>
      </c>
      <c r="AR951" t="b">
        <f>+ISNUMBER(SEARCH(#REF!,Tabla11[[#This Row],[Cuenta]],1))</f>
        <v>0</v>
      </c>
      <c r="AS951" t="b">
        <f>+ISNUMBER(SEARCH(#REF!,Tabla11[[#This Row],[Cuenta]],1))</f>
        <v>0</v>
      </c>
      <c r="AT951" t="b">
        <f>+ISNUMBER(SEARCH(#REF!,Tabla11[[#This Row],[Cuenta]],1))</f>
        <v>0</v>
      </c>
      <c r="AU951" t="b">
        <f>+ISNUMBER(SEARCH('Conc. Ban.1'!$I$9,Tabla11[[#This Row],[Cuenta]],1))</f>
        <v>0</v>
      </c>
      <c r="AV951" t="b">
        <f>+ISNUMBER(SEARCH(CompConta!$F$21,Tabla11[[#This Row],[Cuenta]],1))</f>
        <v>1</v>
      </c>
      <c r="AW951" t="b">
        <f>+ISNUMBER(SEARCH(CompConta!$F$22,Tabla11[[#This Row],[Cuenta]],1))</f>
        <v>1</v>
      </c>
      <c r="AX951" t="b">
        <f>+ISNUMBER(SEARCH(CompConta!$F$23,Tabla11[[#This Row],[Cuenta]],1))</f>
        <v>1</v>
      </c>
      <c r="AY951" t="b">
        <f>+ISNUMBER(SEARCH(CompConta!$F$24,Tabla11[[#This Row],[Cuenta]],1))</f>
        <v>1</v>
      </c>
      <c r="AZ951" t="b">
        <f>+ISNUMBER(SEARCH(CompConta!$F$25,Tabla11[[#This Row],[Cuenta]],1))</f>
        <v>1</v>
      </c>
      <c r="BA951" t="b">
        <f>+ISNUMBER(SEARCH(CompConta!$F$26,Tabla11[[#This Row],[Cuenta]],1))</f>
        <v>1</v>
      </c>
      <c r="BB951" t="b">
        <f>+ISNUMBER(SEARCH(CompConta!$F$27,Tabla11[[#This Row],[Cuenta]],1))</f>
        <v>1</v>
      </c>
      <c r="BC951" t="b">
        <f>+ISNUMBER(SEARCH(CompConta!$F$28,Tabla11[[#This Row],[Cuenta]],1))</f>
        <v>1</v>
      </c>
      <c r="BD951" t="b">
        <f>+ISNUMBER(SEARCH(CompConta!$F$29,Tabla11[[#This Row],[Cuenta]],1))</f>
        <v>1</v>
      </c>
      <c r="BE951" t="b">
        <f>+ISNUMBER(SEARCH(CompConta!$F$30,Tabla11[[#This Row],[Cuenta]],1))</f>
        <v>1</v>
      </c>
      <c r="BF951" t="b">
        <f>+ISNUMBER(SEARCH('PAGO Compras'!$E$11,Tabla11[[#This Row],[Cuenta]],1))</f>
        <v>1</v>
      </c>
      <c r="BG951" t="b">
        <f>+ISNUMBER(SEARCH(#REF!,Tabla11[[#This Row],[Cuenta]],1))</f>
        <v>0</v>
      </c>
      <c r="BH951" t="b">
        <f>+ISNUMBER(SEARCH(#REF!,Tabla11[[#This Row],[Cuenta]],1))</f>
        <v>0</v>
      </c>
      <c r="BI951" t="b">
        <f>+ISNUMBER(SEARCH(#REF!,Tabla11[[#This Row],[Cuenta]],1))</f>
        <v>0</v>
      </c>
      <c r="BJ951" t="b">
        <f>+ISNUMBER(SEARCH(#REF!,Tabla11[[#This Row],[Cuenta]],1))</f>
        <v>0</v>
      </c>
      <c r="BS951" t="str">
        <v>520521 Viáticos</v>
      </c>
      <c r="BT951" t="str">
        <v>520521 Viáticos</v>
      </c>
      <c r="BU951" t="str">
        <v>520521 Viáticos</v>
      </c>
      <c r="BV951" t="str">
        <v>520521 Viáticos</v>
      </c>
      <c r="BZ951" t="str">
        <v>520521 Viáticos</v>
      </c>
      <c r="CA951" t="str">
        <v>520521 Viáticos</v>
      </c>
      <c r="CB951" t="str">
        <v>520521 Viáticos</v>
      </c>
      <c r="CC951" t="str">
        <v>520521 Viáticos</v>
      </c>
      <c r="CD951" t="str">
        <v>520521 Viáticos</v>
      </c>
      <c r="CE951" t="str">
        <v>520521 Viáticos</v>
      </c>
      <c r="CS951" s="141" t="str">
        <v>520521 Viáticos</v>
      </c>
      <c r="CT951" s="141" t="str">
        <v>520521 Viáticos</v>
      </c>
      <c r="CU951" s="141" t="str">
        <v>520521 Viáticos</v>
      </c>
      <c r="CV951" s="141" t="str">
        <v>520521 Viáticos</v>
      </c>
      <c r="CW951" s="141" t="str">
        <v>520521 Viáticos</v>
      </c>
      <c r="CX951" s="141" t="str">
        <v>520521 Viáticos</v>
      </c>
      <c r="CY951" s="141" t="str">
        <v>520521 Viáticos</v>
      </c>
      <c r="CZ951" s="141" t="str">
        <v>520521 Viáticos</v>
      </c>
      <c r="DA951" s="141" t="str">
        <v>520521 Viáticos</v>
      </c>
      <c r="DF951" t="str">
        <v>520521 Viáticos</v>
      </c>
      <c r="DG951" t="str">
        <v>520521 Viáticos</v>
      </c>
      <c r="DH951" t="str">
        <v>520521 Viáticos</v>
      </c>
      <c r="DI951" t="str">
        <v>520521 Viáticos</v>
      </c>
      <c r="DJ951" t="str">
        <v>520521 Viáticos</v>
      </c>
      <c r="DK951" t="str">
        <v>520521 Viáticos</v>
      </c>
      <c r="DL951" t="str">
        <v>520521 Viáticos</v>
      </c>
      <c r="DM951" t="str">
        <v>520521 Viáticos</v>
      </c>
      <c r="DN951" t="str">
        <v>520521 Viáticos</v>
      </c>
      <c r="DO951" t="str">
        <v>520521 Viáticos</v>
      </c>
      <c r="DP951" t="str">
        <v>520521 Viáticos</v>
      </c>
    </row>
    <row r="952" spans="4:120" ht="12.75">
      <c r="D952" s="7">
        <v>520524</v>
      </c>
      <c r="E952" s="6" t="s">
        <v>538</v>
      </c>
      <c r="F952" s="5">
        <v>4</v>
      </c>
      <c r="G952" s="34" t="s">
        <v>830</v>
      </c>
      <c r="H952" s="8" t="s">
        <v>32</v>
      </c>
      <c r="I952" t="b">
        <f>+ISNUMBER(SEARCH('F-COMPRA'!$F$28,Tabla11[[#This Row],[Cuenta]],1))</f>
        <v>1</v>
      </c>
      <c r="J952" t="b">
        <f>+ISNUMBER(SEARCH('F-COMPRA'!$F$29,Tabla11[[#This Row],[Cuenta]],1))</f>
        <v>1</v>
      </c>
      <c r="K952" t="b">
        <f>+ISNUMBER(SEARCH('F-COMPRA'!$F$30,Tabla11[[#This Row],[Cuenta]],1))</f>
        <v>1</v>
      </c>
      <c r="L952" t="b">
        <f>+ISNUMBER(SEARCH('F-COMPRA'!$F$31,Tabla11[[#This Row],[Cuenta]],1))</f>
        <v>1</v>
      </c>
      <c r="M952" t="b">
        <f>+ISNUMBER(SEARCH('F-COMPRA'!$G$25,Tabla11[[#This Row],[Cuenta]],1))</f>
        <v>0</v>
      </c>
      <c r="N952" t="b">
        <f>+ISNUMBER(SEARCH(#REF!,Tabla11[[#This Row],[Cuenta]],1))</f>
        <v>0</v>
      </c>
      <c r="O952" t="b">
        <f>+ISNUMBER(SEARCH(#REF!,Tabla11[[#This Row],[Cuenta]],1))</f>
        <v>0</v>
      </c>
      <c r="P952" t="b">
        <f>+ISNUMBER(SEARCH('F-COMPRA'!$F$32,Tabla11[[#This Row],[Cuenta]],1))</f>
        <v>1</v>
      </c>
      <c r="Q952" t="b">
        <f>+ISNUMBER(SEARCH('F-COMPRA'!$F$33,Tabla11[[#This Row],[Cuenta]],1))</f>
        <v>1</v>
      </c>
      <c r="R952" t="b">
        <f>+ISNUMBER(SEARCH('F-COMPRA'!$F$34,Tabla11[[#This Row],[Cuenta]],1))</f>
        <v>1</v>
      </c>
      <c r="S952" t="b">
        <f>+ISNUMBER(SEARCH('F-COMPRA'!$F$35,Tabla11[[#This Row],[Cuenta]],1))</f>
        <v>1</v>
      </c>
      <c r="T952" t="b">
        <f>+ISNUMBER(SEARCH('F-COMPRA'!$F$36,Tabla11[[#This Row],[Cuenta]],1))</f>
        <v>1</v>
      </c>
      <c r="U952" t="b">
        <f>+ISNUMBER(SEARCH('F-COMPRA'!$F$37,Tabla11[[#This Row],[Cuenta]],1))</f>
        <v>1</v>
      </c>
      <c r="V952" t="b">
        <f>+ISNUMBER(SEARCH(#REF!,Tabla11[[#This Row],[Cuenta]],1))</f>
        <v>0</v>
      </c>
      <c r="W952" t="b">
        <f>+ISNUMBER(SEARCH('F-COMPRA'!#REF!,Tabla11[[#This Row],[Cuenta]],1))</f>
        <v>0</v>
      </c>
      <c r="X952" t="b">
        <f>+ISNUMBER(SEARCH('F-COMPRA'!#REF!,Tabla11[[#This Row],[Cuenta]],1))</f>
        <v>0</v>
      </c>
      <c r="Y952" t="b">
        <f>+ISNUMBER(SEARCH('F-COMPRA'!#REF!,Tabla11[[#This Row],[Cuenta]],1))</f>
        <v>0</v>
      </c>
      <c r="Z952" t="b">
        <f>+ISNUMBER(SEARCH('F-COMPRA'!#REF!,Tabla11[[#This Row],[Cuenta]],1))</f>
        <v>0</v>
      </c>
      <c r="AA952" t="b">
        <f>+ISNUMBER(SEARCH('F-COMPRA'!#REF!,Tabla11[[#This Row],[Cuenta]],1))</f>
        <v>0</v>
      </c>
      <c r="AB952" t="b">
        <f>+ISNUMBER(SEARCH('F-COMPRA'!#REF!,Tabla11[[#This Row],[Cuenta]],1))</f>
        <v>0</v>
      </c>
      <c r="AC952" t="b">
        <f>+ISNUMBER(SEARCH('F-COMPRA'!#REF!,Tabla11[[#This Row],[Cuenta]],1))</f>
        <v>0</v>
      </c>
      <c r="AD952" t="b">
        <f>+ISNUMBER(SEARCH('F-COMPRA'!#REF!,Tabla11[[#This Row],[Cuenta]],1))</f>
        <v>0</v>
      </c>
      <c r="AE952" t="b">
        <f>+ISNUMBER(SEARCH('F-COMPRA'!#REF!,Tabla11[[#This Row],[Cuenta]],1))</f>
        <v>0</v>
      </c>
      <c r="AF952" t="b">
        <f>+ISNUMBER(SEARCH('F-VTA'!$G$23,Tabla11[[#This Row],[Cuenta]],1))</f>
        <v>0</v>
      </c>
      <c r="AG952" t="b">
        <f>+ISNUMBER(SEARCH('F-VTA'!$G$24,Tabla11[[#This Row],[Cuenta]],1))</f>
        <v>0</v>
      </c>
      <c r="AH952" t="b">
        <f>+ISNUMBER(SEARCH('F-VTA'!$G$25,Tabla11[[#This Row],[Cuenta]],1))</f>
        <v>0</v>
      </c>
      <c r="AI952" t="b">
        <f>+ISNUMBER(SEARCH('F-VTA'!$F$28,Tabla11[[#This Row],[Cuenta]],1))</f>
        <v>1</v>
      </c>
      <c r="AJ952" t="b">
        <f>+ISNUMBER(SEARCH('F-VTA'!$F$29,Tabla11[[#This Row],[Cuenta]],1))</f>
        <v>1</v>
      </c>
      <c r="AK952" t="b">
        <f>+ISNUMBER(SEARCH('F-VTA'!$F$30,Tabla11[[#This Row],[Cuenta]],1))</f>
        <v>1</v>
      </c>
      <c r="AL952" t="b">
        <f>+ISNUMBER(SEARCH('F-VTA'!$F$31,Tabla11[[#This Row],[Cuenta]],1))</f>
        <v>1</v>
      </c>
      <c r="AM952" t="b">
        <f>+ISNUMBER(SEARCH('F-VTA'!$F$32,Tabla11[[#This Row],[Cuenta]],1))</f>
        <v>1</v>
      </c>
      <c r="AN952" t="b">
        <f>+ISNUMBER(SEARCH('F-VTA'!$F$33,Tabla11[[#This Row],[Cuenta]],1))</f>
        <v>1</v>
      </c>
      <c r="AO952" t="b">
        <f>+ISNUMBER(SEARCH('F-VTA'!$F$34,Tabla11[[#This Row],[Cuenta]],1))</f>
        <v>1</v>
      </c>
      <c r="AP952" t="b">
        <f>+ISNUMBER(SEARCH('F-VTA'!$F$35,Tabla11[[#This Row],[Cuenta]],1))</f>
        <v>1</v>
      </c>
      <c r="AQ952" t="b">
        <f>+ISNUMBER(SEARCH('F-VTA'!$F$36,Tabla11[[#This Row],[Cuenta]],1))</f>
        <v>1</v>
      </c>
      <c r="AR952" t="b">
        <f>+ISNUMBER(SEARCH(#REF!,Tabla11[[#This Row],[Cuenta]],1))</f>
        <v>0</v>
      </c>
      <c r="AS952" t="b">
        <f>+ISNUMBER(SEARCH(#REF!,Tabla11[[#This Row],[Cuenta]],1))</f>
        <v>0</v>
      </c>
      <c r="AT952" t="b">
        <f>+ISNUMBER(SEARCH(#REF!,Tabla11[[#This Row],[Cuenta]],1))</f>
        <v>0</v>
      </c>
      <c r="AU952" t="b">
        <f>+ISNUMBER(SEARCH('Conc. Ban.1'!$I$9,Tabla11[[#This Row],[Cuenta]],1))</f>
        <v>0</v>
      </c>
      <c r="AV952" t="b">
        <f>+ISNUMBER(SEARCH(CompConta!$F$21,Tabla11[[#This Row],[Cuenta]],1))</f>
        <v>1</v>
      </c>
      <c r="AW952" t="b">
        <f>+ISNUMBER(SEARCH(CompConta!$F$22,Tabla11[[#This Row],[Cuenta]],1))</f>
        <v>1</v>
      </c>
      <c r="AX952" t="b">
        <f>+ISNUMBER(SEARCH(CompConta!$F$23,Tabla11[[#This Row],[Cuenta]],1))</f>
        <v>1</v>
      </c>
      <c r="AY952" t="b">
        <f>+ISNUMBER(SEARCH(CompConta!$F$24,Tabla11[[#This Row],[Cuenta]],1))</f>
        <v>1</v>
      </c>
      <c r="AZ952" t="b">
        <f>+ISNUMBER(SEARCH(CompConta!$F$25,Tabla11[[#This Row],[Cuenta]],1))</f>
        <v>1</v>
      </c>
      <c r="BA952" t="b">
        <f>+ISNUMBER(SEARCH(CompConta!$F$26,Tabla11[[#This Row],[Cuenta]],1))</f>
        <v>1</v>
      </c>
      <c r="BB952" t="b">
        <f>+ISNUMBER(SEARCH(CompConta!$F$27,Tabla11[[#This Row],[Cuenta]],1))</f>
        <v>1</v>
      </c>
      <c r="BC952" t="b">
        <f>+ISNUMBER(SEARCH(CompConta!$F$28,Tabla11[[#This Row],[Cuenta]],1))</f>
        <v>1</v>
      </c>
      <c r="BD952" t="b">
        <f>+ISNUMBER(SEARCH(CompConta!$F$29,Tabla11[[#This Row],[Cuenta]],1))</f>
        <v>1</v>
      </c>
      <c r="BE952" t="b">
        <f>+ISNUMBER(SEARCH(CompConta!$F$30,Tabla11[[#This Row],[Cuenta]],1))</f>
        <v>1</v>
      </c>
      <c r="BF952" t="b">
        <f>+ISNUMBER(SEARCH('PAGO Compras'!$E$11,Tabla11[[#This Row],[Cuenta]],1))</f>
        <v>1</v>
      </c>
      <c r="BG952" t="b">
        <f>+ISNUMBER(SEARCH(#REF!,Tabla11[[#This Row],[Cuenta]],1))</f>
        <v>0</v>
      </c>
      <c r="BH952" t="b">
        <f>+ISNUMBER(SEARCH(#REF!,Tabla11[[#This Row],[Cuenta]],1))</f>
        <v>0</v>
      </c>
      <c r="BI952" t="b">
        <f>+ISNUMBER(SEARCH(#REF!,Tabla11[[#This Row],[Cuenta]],1))</f>
        <v>0</v>
      </c>
      <c r="BJ952" t="b">
        <f>+ISNUMBER(SEARCH(#REF!,Tabla11[[#This Row],[Cuenta]],1))</f>
        <v>0</v>
      </c>
      <c r="BS952" t="str">
        <v>520524 Incapacidades</v>
      </c>
      <c r="BT952" t="str">
        <v>520524 Incapacidades</v>
      </c>
      <c r="BU952" t="str">
        <v>520524 Incapacidades</v>
      </c>
      <c r="BV952" t="str">
        <v>520524 Incapacidades</v>
      </c>
      <c r="BZ952" t="str">
        <v>520524 Incapacidades</v>
      </c>
      <c r="CA952" t="str">
        <v>520524 Incapacidades</v>
      </c>
      <c r="CB952" t="str">
        <v>520524 Incapacidades</v>
      </c>
      <c r="CC952" t="str">
        <v>520524 Incapacidades</v>
      </c>
      <c r="CD952" t="str">
        <v>520524 Incapacidades</v>
      </c>
      <c r="CE952" t="str">
        <v>520524 Incapacidades</v>
      </c>
      <c r="CS952" s="141" t="str">
        <v>520524 Incapacidades</v>
      </c>
      <c r="CT952" s="141" t="str">
        <v>520524 Incapacidades</v>
      </c>
      <c r="CU952" s="141" t="str">
        <v>520524 Incapacidades</v>
      </c>
      <c r="CV952" s="141" t="str">
        <v>520524 Incapacidades</v>
      </c>
      <c r="CW952" s="141" t="str">
        <v>520524 Incapacidades</v>
      </c>
      <c r="CX952" s="141" t="str">
        <v>520524 Incapacidades</v>
      </c>
      <c r="CY952" s="141" t="str">
        <v>520524 Incapacidades</v>
      </c>
      <c r="CZ952" s="141" t="str">
        <v>520524 Incapacidades</v>
      </c>
      <c r="DA952" s="141" t="str">
        <v>520524 Incapacidades</v>
      </c>
      <c r="DF952" t="str">
        <v>520524 Incapacidades</v>
      </c>
      <c r="DG952" t="str">
        <v>520524 Incapacidades</v>
      </c>
      <c r="DH952" t="str">
        <v>520524 Incapacidades</v>
      </c>
      <c r="DI952" t="str">
        <v>520524 Incapacidades</v>
      </c>
      <c r="DJ952" t="str">
        <v>520524 Incapacidades</v>
      </c>
      <c r="DK952" t="str">
        <v>520524 Incapacidades</v>
      </c>
      <c r="DL952" t="str">
        <v>520524 Incapacidades</v>
      </c>
      <c r="DM952" t="str">
        <v>520524 Incapacidades</v>
      </c>
      <c r="DN952" t="str">
        <v>520524 Incapacidades</v>
      </c>
      <c r="DO952" t="str">
        <v>520524 Incapacidades</v>
      </c>
      <c r="DP952" t="str">
        <v>520524 Incapacidades</v>
      </c>
    </row>
    <row r="953" spans="4:120" ht="12.75">
      <c r="D953" s="7">
        <v>520527</v>
      </c>
      <c r="E953" s="6" t="s">
        <v>539</v>
      </c>
      <c r="F953" s="5">
        <v>4</v>
      </c>
      <c r="G953" s="34" t="s">
        <v>830</v>
      </c>
      <c r="H953" s="8" t="s">
        <v>32</v>
      </c>
      <c r="I953" t="b">
        <f>+ISNUMBER(SEARCH('F-COMPRA'!$F$28,Tabla11[[#This Row],[Cuenta]],1))</f>
        <v>1</v>
      </c>
      <c r="J953" t="b">
        <f>+ISNUMBER(SEARCH('F-COMPRA'!$F$29,Tabla11[[#This Row],[Cuenta]],1))</f>
        <v>1</v>
      </c>
      <c r="K953" t="b">
        <f>+ISNUMBER(SEARCH('F-COMPRA'!$F$30,Tabla11[[#This Row],[Cuenta]],1))</f>
        <v>1</v>
      </c>
      <c r="L953" t="b">
        <f>+ISNUMBER(SEARCH('F-COMPRA'!$F$31,Tabla11[[#This Row],[Cuenta]],1))</f>
        <v>1</v>
      </c>
      <c r="M953" t="b">
        <f>+ISNUMBER(SEARCH('F-COMPRA'!$G$25,Tabla11[[#This Row],[Cuenta]],1))</f>
        <v>0</v>
      </c>
      <c r="N953" t="b">
        <f>+ISNUMBER(SEARCH(#REF!,Tabla11[[#This Row],[Cuenta]],1))</f>
        <v>0</v>
      </c>
      <c r="O953" t="b">
        <f>+ISNUMBER(SEARCH(#REF!,Tabla11[[#This Row],[Cuenta]],1))</f>
        <v>0</v>
      </c>
      <c r="P953" t="b">
        <f>+ISNUMBER(SEARCH('F-COMPRA'!$F$32,Tabla11[[#This Row],[Cuenta]],1))</f>
        <v>1</v>
      </c>
      <c r="Q953" t="b">
        <f>+ISNUMBER(SEARCH('F-COMPRA'!$F$33,Tabla11[[#This Row],[Cuenta]],1))</f>
        <v>1</v>
      </c>
      <c r="R953" t="b">
        <f>+ISNUMBER(SEARCH('F-COMPRA'!$F$34,Tabla11[[#This Row],[Cuenta]],1))</f>
        <v>1</v>
      </c>
      <c r="S953" t="b">
        <f>+ISNUMBER(SEARCH('F-COMPRA'!$F$35,Tabla11[[#This Row],[Cuenta]],1))</f>
        <v>1</v>
      </c>
      <c r="T953" t="b">
        <f>+ISNUMBER(SEARCH('F-COMPRA'!$F$36,Tabla11[[#This Row],[Cuenta]],1))</f>
        <v>1</v>
      </c>
      <c r="U953" t="b">
        <f>+ISNUMBER(SEARCH('F-COMPRA'!$F$37,Tabla11[[#This Row],[Cuenta]],1))</f>
        <v>1</v>
      </c>
      <c r="V953" t="b">
        <f>+ISNUMBER(SEARCH(#REF!,Tabla11[[#This Row],[Cuenta]],1))</f>
        <v>0</v>
      </c>
      <c r="W953" t="b">
        <f>+ISNUMBER(SEARCH('F-COMPRA'!#REF!,Tabla11[[#This Row],[Cuenta]],1))</f>
        <v>0</v>
      </c>
      <c r="X953" t="b">
        <f>+ISNUMBER(SEARCH('F-COMPRA'!#REF!,Tabla11[[#This Row],[Cuenta]],1))</f>
        <v>0</v>
      </c>
      <c r="Y953" t="b">
        <f>+ISNUMBER(SEARCH('F-COMPRA'!#REF!,Tabla11[[#This Row],[Cuenta]],1))</f>
        <v>0</v>
      </c>
      <c r="Z953" t="b">
        <f>+ISNUMBER(SEARCH('F-COMPRA'!#REF!,Tabla11[[#This Row],[Cuenta]],1))</f>
        <v>0</v>
      </c>
      <c r="AA953" t="b">
        <f>+ISNUMBER(SEARCH('F-COMPRA'!#REF!,Tabla11[[#This Row],[Cuenta]],1))</f>
        <v>0</v>
      </c>
      <c r="AB953" t="b">
        <f>+ISNUMBER(SEARCH('F-COMPRA'!#REF!,Tabla11[[#This Row],[Cuenta]],1))</f>
        <v>0</v>
      </c>
      <c r="AC953" t="b">
        <f>+ISNUMBER(SEARCH('F-COMPRA'!#REF!,Tabla11[[#This Row],[Cuenta]],1))</f>
        <v>0</v>
      </c>
      <c r="AD953" t="b">
        <f>+ISNUMBER(SEARCH('F-COMPRA'!#REF!,Tabla11[[#This Row],[Cuenta]],1))</f>
        <v>0</v>
      </c>
      <c r="AE953" t="b">
        <f>+ISNUMBER(SEARCH('F-COMPRA'!#REF!,Tabla11[[#This Row],[Cuenta]],1))</f>
        <v>0</v>
      </c>
      <c r="AF953" t="b">
        <f>+ISNUMBER(SEARCH('F-VTA'!$G$23,Tabla11[[#This Row],[Cuenta]],1))</f>
        <v>0</v>
      </c>
      <c r="AG953" t="b">
        <f>+ISNUMBER(SEARCH('F-VTA'!$G$24,Tabla11[[#This Row],[Cuenta]],1))</f>
        <v>0</v>
      </c>
      <c r="AH953" t="b">
        <f>+ISNUMBER(SEARCH('F-VTA'!$G$25,Tabla11[[#This Row],[Cuenta]],1))</f>
        <v>0</v>
      </c>
      <c r="AI953" t="b">
        <f>+ISNUMBER(SEARCH('F-VTA'!$F$28,Tabla11[[#This Row],[Cuenta]],1))</f>
        <v>1</v>
      </c>
      <c r="AJ953" t="b">
        <f>+ISNUMBER(SEARCH('F-VTA'!$F$29,Tabla11[[#This Row],[Cuenta]],1))</f>
        <v>1</v>
      </c>
      <c r="AK953" t="b">
        <f>+ISNUMBER(SEARCH('F-VTA'!$F$30,Tabla11[[#This Row],[Cuenta]],1))</f>
        <v>1</v>
      </c>
      <c r="AL953" t="b">
        <f>+ISNUMBER(SEARCH('F-VTA'!$F$31,Tabla11[[#This Row],[Cuenta]],1))</f>
        <v>1</v>
      </c>
      <c r="AM953" t="b">
        <f>+ISNUMBER(SEARCH('F-VTA'!$F$32,Tabla11[[#This Row],[Cuenta]],1))</f>
        <v>1</v>
      </c>
      <c r="AN953" t="b">
        <f>+ISNUMBER(SEARCH('F-VTA'!$F$33,Tabla11[[#This Row],[Cuenta]],1))</f>
        <v>1</v>
      </c>
      <c r="AO953" t="b">
        <f>+ISNUMBER(SEARCH('F-VTA'!$F$34,Tabla11[[#This Row],[Cuenta]],1))</f>
        <v>1</v>
      </c>
      <c r="AP953" t="b">
        <f>+ISNUMBER(SEARCH('F-VTA'!$F$35,Tabla11[[#This Row],[Cuenta]],1))</f>
        <v>1</v>
      </c>
      <c r="AQ953" t="b">
        <f>+ISNUMBER(SEARCH('F-VTA'!$F$36,Tabla11[[#This Row],[Cuenta]],1))</f>
        <v>1</v>
      </c>
      <c r="AR953" t="b">
        <f>+ISNUMBER(SEARCH(#REF!,Tabla11[[#This Row],[Cuenta]],1))</f>
        <v>0</v>
      </c>
      <c r="AS953" t="b">
        <f>+ISNUMBER(SEARCH(#REF!,Tabla11[[#This Row],[Cuenta]],1))</f>
        <v>0</v>
      </c>
      <c r="AT953" t="b">
        <f>+ISNUMBER(SEARCH(#REF!,Tabla11[[#This Row],[Cuenta]],1))</f>
        <v>0</v>
      </c>
      <c r="AU953" t="b">
        <f>+ISNUMBER(SEARCH('Conc. Ban.1'!$I$9,Tabla11[[#This Row],[Cuenta]],1))</f>
        <v>0</v>
      </c>
      <c r="AV953" t="b">
        <f>+ISNUMBER(SEARCH(CompConta!$F$21,Tabla11[[#This Row],[Cuenta]],1))</f>
        <v>1</v>
      </c>
      <c r="AW953" t="b">
        <f>+ISNUMBER(SEARCH(CompConta!$F$22,Tabla11[[#This Row],[Cuenta]],1))</f>
        <v>1</v>
      </c>
      <c r="AX953" t="b">
        <f>+ISNUMBER(SEARCH(CompConta!$F$23,Tabla11[[#This Row],[Cuenta]],1))</f>
        <v>1</v>
      </c>
      <c r="AY953" t="b">
        <f>+ISNUMBER(SEARCH(CompConta!$F$24,Tabla11[[#This Row],[Cuenta]],1))</f>
        <v>1</v>
      </c>
      <c r="AZ953" t="b">
        <f>+ISNUMBER(SEARCH(CompConta!$F$25,Tabla11[[#This Row],[Cuenta]],1))</f>
        <v>1</v>
      </c>
      <c r="BA953" t="b">
        <f>+ISNUMBER(SEARCH(CompConta!$F$26,Tabla11[[#This Row],[Cuenta]],1))</f>
        <v>1</v>
      </c>
      <c r="BB953" t="b">
        <f>+ISNUMBER(SEARCH(CompConta!$F$27,Tabla11[[#This Row],[Cuenta]],1))</f>
        <v>1</v>
      </c>
      <c r="BC953" t="b">
        <f>+ISNUMBER(SEARCH(CompConta!$F$28,Tabla11[[#This Row],[Cuenta]],1))</f>
        <v>1</v>
      </c>
      <c r="BD953" t="b">
        <f>+ISNUMBER(SEARCH(CompConta!$F$29,Tabla11[[#This Row],[Cuenta]],1))</f>
        <v>1</v>
      </c>
      <c r="BE953" t="b">
        <f>+ISNUMBER(SEARCH(CompConta!$F$30,Tabla11[[#This Row],[Cuenta]],1))</f>
        <v>1</v>
      </c>
      <c r="BF953" t="b">
        <f>+ISNUMBER(SEARCH('PAGO Compras'!$E$11,Tabla11[[#This Row],[Cuenta]],1))</f>
        <v>1</v>
      </c>
      <c r="BG953" t="b">
        <f>+ISNUMBER(SEARCH(#REF!,Tabla11[[#This Row],[Cuenta]],1))</f>
        <v>0</v>
      </c>
      <c r="BH953" t="b">
        <f>+ISNUMBER(SEARCH(#REF!,Tabla11[[#This Row],[Cuenta]],1))</f>
        <v>0</v>
      </c>
      <c r="BI953" t="b">
        <f>+ISNUMBER(SEARCH(#REF!,Tabla11[[#This Row],[Cuenta]],1))</f>
        <v>0</v>
      </c>
      <c r="BJ953" t="b">
        <f>+ISNUMBER(SEARCH(#REF!,Tabla11[[#This Row],[Cuenta]],1))</f>
        <v>0</v>
      </c>
      <c r="BS953" t="str">
        <v>520527 Auxilio de transporte</v>
      </c>
      <c r="BT953" t="str">
        <v>520527 Auxilio de transporte</v>
      </c>
      <c r="BU953" t="str">
        <v>520527 Auxilio de transporte</v>
      </c>
      <c r="BV953" t="str">
        <v>520527 Auxilio de transporte</v>
      </c>
      <c r="BZ953" t="str">
        <v>520527 Auxilio de transporte</v>
      </c>
      <c r="CA953" t="str">
        <v>520527 Auxilio de transporte</v>
      </c>
      <c r="CB953" t="str">
        <v>520527 Auxilio de transporte</v>
      </c>
      <c r="CC953" t="str">
        <v>520527 Auxilio de transporte</v>
      </c>
      <c r="CD953" t="str">
        <v>520527 Auxilio de transporte</v>
      </c>
      <c r="CE953" t="str">
        <v>520527 Auxilio de transporte</v>
      </c>
      <c r="CS953" s="141" t="str">
        <v>520527 Auxilio de transporte</v>
      </c>
      <c r="CT953" s="141" t="str">
        <v>520527 Auxilio de transporte</v>
      </c>
      <c r="CU953" s="141" t="str">
        <v>520527 Auxilio de transporte</v>
      </c>
      <c r="CV953" s="141" t="str">
        <v>520527 Auxilio de transporte</v>
      </c>
      <c r="CW953" s="141" t="str">
        <v>520527 Auxilio de transporte</v>
      </c>
      <c r="CX953" s="141" t="str">
        <v>520527 Auxilio de transporte</v>
      </c>
      <c r="CY953" s="141" t="str">
        <v>520527 Auxilio de transporte</v>
      </c>
      <c r="CZ953" s="141" t="str">
        <v>520527 Auxilio de transporte</v>
      </c>
      <c r="DA953" s="141" t="str">
        <v>520527 Auxilio de transporte</v>
      </c>
      <c r="DF953" t="str">
        <v>520527 Auxilio de transporte</v>
      </c>
      <c r="DG953" t="str">
        <v>520527 Auxilio de transporte</v>
      </c>
      <c r="DH953" t="str">
        <v>520527 Auxilio de transporte</v>
      </c>
      <c r="DI953" t="str">
        <v>520527 Auxilio de transporte</v>
      </c>
      <c r="DJ953" t="str">
        <v>520527 Auxilio de transporte</v>
      </c>
      <c r="DK953" t="str">
        <v>520527 Auxilio de transporte</v>
      </c>
      <c r="DL953" t="str">
        <v>520527 Auxilio de transporte</v>
      </c>
      <c r="DM953" t="str">
        <v>520527 Auxilio de transporte</v>
      </c>
      <c r="DN953" t="str">
        <v>520527 Auxilio de transporte</v>
      </c>
      <c r="DO953" t="str">
        <v>520527 Auxilio de transporte</v>
      </c>
      <c r="DP953" t="str">
        <v>520527 Auxilio de transporte</v>
      </c>
    </row>
    <row r="954" spans="4:120" ht="12.75">
      <c r="D954" s="7">
        <v>520530</v>
      </c>
      <c r="E954" s="6" t="s">
        <v>397</v>
      </c>
      <c r="F954" s="5">
        <v>4</v>
      </c>
      <c r="G954" s="34" t="s">
        <v>830</v>
      </c>
      <c r="H954" s="8" t="s">
        <v>32</v>
      </c>
      <c r="I954" t="b">
        <f>+ISNUMBER(SEARCH('F-COMPRA'!$F$28,Tabla11[[#This Row],[Cuenta]],1))</f>
        <v>1</v>
      </c>
      <c r="J954" t="b">
        <f>+ISNUMBER(SEARCH('F-COMPRA'!$F$29,Tabla11[[#This Row],[Cuenta]],1))</f>
        <v>1</v>
      </c>
      <c r="K954" t="b">
        <f>+ISNUMBER(SEARCH('F-COMPRA'!$F$30,Tabla11[[#This Row],[Cuenta]],1))</f>
        <v>1</v>
      </c>
      <c r="L954" t="b">
        <f>+ISNUMBER(SEARCH('F-COMPRA'!$F$31,Tabla11[[#This Row],[Cuenta]],1))</f>
        <v>1</v>
      </c>
      <c r="M954" t="b">
        <f>+ISNUMBER(SEARCH('F-COMPRA'!$G$25,Tabla11[[#This Row],[Cuenta]],1))</f>
        <v>0</v>
      </c>
      <c r="N954" t="b">
        <f>+ISNUMBER(SEARCH(#REF!,Tabla11[[#This Row],[Cuenta]],1))</f>
        <v>0</v>
      </c>
      <c r="O954" t="b">
        <f>+ISNUMBER(SEARCH(#REF!,Tabla11[[#This Row],[Cuenta]],1))</f>
        <v>0</v>
      </c>
      <c r="P954" t="b">
        <f>+ISNUMBER(SEARCH('F-COMPRA'!$F$32,Tabla11[[#This Row],[Cuenta]],1))</f>
        <v>1</v>
      </c>
      <c r="Q954" t="b">
        <f>+ISNUMBER(SEARCH('F-COMPRA'!$F$33,Tabla11[[#This Row],[Cuenta]],1))</f>
        <v>1</v>
      </c>
      <c r="R954" t="b">
        <f>+ISNUMBER(SEARCH('F-COMPRA'!$F$34,Tabla11[[#This Row],[Cuenta]],1))</f>
        <v>1</v>
      </c>
      <c r="S954" t="b">
        <f>+ISNUMBER(SEARCH('F-COMPRA'!$F$35,Tabla11[[#This Row],[Cuenta]],1))</f>
        <v>1</v>
      </c>
      <c r="T954" t="b">
        <f>+ISNUMBER(SEARCH('F-COMPRA'!$F$36,Tabla11[[#This Row],[Cuenta]],1))</f>
        <v>1</v>
      </c>
      <c r="U954" t="b">
        <f>+ISNUMBER(SEARCH('F-COMPRA'!$F$37,Tabla11[[#This Row],[Cuenta]],1))</f>
        <v>1</v>
      </c>
      <c r="V954" t="b">
        <f>+ISNUMBER(SEARCH(#REF!,Tabla11[[#This Row],[Cuenta]],1))</f>
        <v>0</v>
      </c>
      <c r="W954" t="b">
        <f>+ISNUMBER(SEARCH('F-COMPRA'!#REF!,Tabla11[[#This Row],[Cuenta]],1))</f>
        <v>0</v>
      </c>
      <c r="X954" t="b">
        <f>+ISNUMBER(SEARCH('F-COMPRA'!#REF!,Tabla11[[#This Row],[Cuenta]],1))</f>
        <v>0</v>
      </c>
      <c r="Y954" t="b">
        <f>+ISNUMBER(SEARCH('F-COMPRA'!#REF!,Tabla11[[#This Row],[Cuenta]],1))</f>
        <v>0</v>
      </c>
      <c r="Z954" t="b">
        <f>+ISNUMBER(SEARCH('F-COMPRA'!#REF!,Tabla11[[#This Row],[Cuenta]],1))</f>
        <v>0</v>
      </c>
      <c r="AA954" t="b">
        <f>+ISNUMBER(SEARCH('F-COMPRA'!#REF!,Tabla11[[#This Row],[Cuenta]],1))</f>
        <v>0</v>
      </c>
      <c r="AB954" t="b">
        <f>+ISNUMBER(SEARCH('F-COMPRA'!#REF!,Tabla11[[#This Row],[Cuenta]],1))</f>
        <v>0</v>
      </c>
      <c r="AC954" t="b">
        <f>+ISNUMBER(SEARCH('F-COMPRA'!#REF!,Tabla11[[#This Row],[Cuenta]],1))</f>
        <v>0</v>
      </c>
      <c r="AD954" t="b">
        <f>+ISNUMBER(SEARCH('F-COMPRA'!#REF!,Tabla11[[#This Row],[Cuenta]],1))</f>
        <v>0</v>
      </c>
      <c r="AE954" t="b">
        <f>+ISNUMBER(SEARCH('F-COMPRA'!#REF!,Tabla11[[#This Row],[Cuenta]],1))</f>
        <v>0</v>
      </c>
      <c r="AF954" t="b">
        <f>+ISNUMBER(SEARCH('F-VTA'!$G$23,Tabla11[[#This Row],[Cuenta]],1))</f>
        <v>0</v>
      </c>
      <c r="AG954" t="b">
        <f>+ISNUMBER(SEARCH('F-VTA'!$G$24,Tabla11[[#This Row],[Cuenta]],1))</f>
        <v>0</v>
      </c>
      <c r="AH954" t="b">
        <f>+ISNUMBER(SEARCH('F-VTA'!$G$25,Tabla11[[#This Row],[Cuenta]],1))</f>
        <v>0</v>
      </c>
      <c r="AI954" t="b">
        <f>+ISNUMBER(SEARCH('F-VTA'!$F$28,Tabla11[[#This Row],[Cuenta]],1))</f>
        <v>1</v>
      </c>
      <c r="AJ954" t="b">
        <f>+ISNUMBER(SEARCH('F-VTA'!$F$29,Tabla11[[#This Row],[Cuenta]],1))</f>
        <v>1</v>
      </c>
      <c r="AK954" t="b">
        <f>+ISNUMBER(SEARCH('F-VTA'!$F$30,Tabla11[[#This Row],[Cuenta]],1))</f>
        <v>1</v>
      </c>
      <c r="AL954" t="b">
        <f>+ISNUMBER(SEARCH('F-VTA'!$F$31,Tabla11[[#This Row],[Cuenta]],1))</f>
        <v>1</v>
      </c>
      <c r="AM954" t="b">
        <f>+ISNUMBER(SEARCH('F-VTA'!$F$32,Tabla11[[#This Row],[Cuenta]],1))</f>
        <v>1</v>
      </c>
      <c r="AN954" t="b">
        <f>+ISNUMBER(SEARCH('F-VTA'!$F$33,Tabla11[[#This Row],[Cuenta]],1))</f>
        <v>1</v>
      </c>
      <c r="AO954" t="b">
        <f>+ISNUMBER(SEARCH('F-VTA'!$F$34,Tabla11[[#This Row],[Cuenta]],1))</f>
        <v>1</v>
      </c>
      <c r="AP954" t="b">
        <f>+ISNUMBER(SEARCH('F-VTA'!$F$35,Tabla11[[#This Row],[Cuenta]],1))</f>
        <v>1</v>
      </c>
      <c r="AQ954" t="b">
        <f>+ISNUMBER(SEARCH('F-VTA'!$F$36,Tabla11[[#This Row],[Cuenta]],1))</f>
        <v>1</v>
      </c>
      <c r="AR954" t="b">
        <f>+ISNUMBER(SEARCH(#REF!,Tabla11[[#This Row],[Cuenta]],1))</f>
        <v>0</v>
      </c>
      <c r="AS954" t="b">
        <f>+ISNUMBER(SEARCH(#REF!,Tabla11[[#This Row],[Cuenta]],1))</f>
        <v>0</v>
      </c>
      <c r="AT954" t="b">
        <f>+ISNUMBER(SEARCH(#REF!,Tabla11[[#This Row],[Cuenta]],1))</f>
        <v>0</v>
      </c>
      <c r="AU954" t="b">
        <f>+ISNUMBER(SEARCH('Conc. Ban.1'!$I$9,Tabla11[[#This Row],[Cuenta]],1))</f>
        <v>0</v>
      </c>
      <c r="AV954" t="b">
        <f>+ISNUMBER(SEARCH(CompConta!$F$21,Tabla11[[#This Row],[Cuenta]],1))</f>
        <v>1</v>
      </c>
      <c r="AW954" t="b">
        <f>+ISNUMBER(SEARCH(CompConta!$F$22,Tabla11[[#This Row],[Cuenta]],1))</f>
        <v>1</v>
      </c>
      <c r="AX954" t="b">
        <f>+ISNUMBER(SEARCH(CompConta!$F$23,Tabla11[[#This Row],[Cuenta]],1))</f>
        <v>1</v>
      </c>
      <c r="AY954" t="b">
        <f>+ISNUMBER(SEARCH(CompConta!$F$24,Tabla11[[#This Row],[Cuenta]],1))</f>
        <v>1</v>
      </c>
      <c r="AZ954" t="b">
        <f>+ISNUMBER(SEARCH(CompConta!$F$25,Tabla11[[#This Row],[Cuenta]],1))</f>
        <v>1</v>
      </c>
      <c r="BA954" t="b">
        <f>+ISNUMBER(SEARCH(CompConta!$F$26,Tabla11[[#This Row],[Cuenta]],1))</f>
        <v>1</v>
      </c>
      <c r="BB954" t="b">
        <f>+ISNUMBER(SEARCH(CompConta!$F$27,Tabla11[[#This Row],[Cuenta]],1))</f>
        <v>1</v>
      </c>
      <c r="BC954" t="b">
        <f>+ISNUMBER(SEARCH(CompConta!$F$28,Tabla11[[#This Row],[Cuenta]],1))</f>
        <v>1</v>
      </c>
      <c r="BD954" t="b">
        <f>+ISNUMBER(SEARCH(CompConta!$F$29,Tabla11[[#This Row],[Cuenta]],1))</f>
        <v>1</v>
      </c>
      <c r="BE954" t="b">
        <f>+ISNUMBER(SEARCH(CompConta!$F$30,Tabla11[[#This Row],[Cuenta]],1))</f>
        <v>1</v>
      </c>
      <c r="BF954" t="b">
        <f>+ISNUMBER(SEARCH('PAGO Compras'!$E$11,Tabla11[[#This Row],[Cuenta]],1))</f>
        <v>1</v>
      </c>
      <c r="BG954" t="b">
        <f>+ISNUMBER(SEARCH(#REF!,Tabla11[[#This Row],[Cuenta]],1))</f>
        <v>0</v>
      </c>
      <c r="BH954" t="b">
        <f>+ISNUMBER(SEARCH(#REF!,Tabla11[[#This Row],[Cuenta]],1))</f>
        <v>0</v>
      </c>
      <c r="BI954" t="b">
        <f>+ISNUMBER(SEARCH(#REF!,Tabla11[[#This Row],[Cuenta]],1))</f>
        <v>0</v>
      </c>
      <c r="BJ954" t="b">
        <f>+ISNUMBER(SEARCH(#REF!,Tabla11[[#This Row],[Cuenta]],1))</f>
        <v>0</v>
      </c>
      <c r="BS954" t="str">
        <v>520530 Cesantías</v>
      </c>
      <c r="BT954" t="str">
        <v>520530 Cesantías</v>
      </c>
      <c r="BU954" t="str">
        <v>520530 Cesantías</v>
      </c>
      <c r="BV954" t="str">
        <v>520530 Cesantías</v>
      </c>
      <c r="BZ954" t="str">
        <v>520530 Cesantías</v>
      </c>
      <c r="CA954" t="str">
        <v>520530 Cesantías</v>
      </c>
      <c r="CB954" t="str">
        <v>520530 Cesantías</v>
      </c>
      <c r="CC954" t="str">
        <v>520530 Cesantías</v>
      </c>
      <c r="CD954" t="str">
        <v>520530 Cesantías</v>
      </c>
      <c r="CE954" t="str">
        <v>520530 Cesantías</v>
      </c>
      <c r="CS954" s="141" t="str">
        <v>520530 Cesantías</v>
      </c>
      <c r="CT954" s="141" t="str">
        <v>520530 Cesantías</v>
      </c>
      <c r="CU954" s="141" t="str">
        <v>520530 Cesantías</v>
      </c>
      <c r="CV954" s="141" t="str">
        <v>520530 Cesantías</v>
      </c>
      <c r="CW954" s="141" t="str">
        <v>520530 Cesantías</v>
      </c>
      <c r="CX954" s="141" t="str">
        <v>520530 Cesantías</v>
      </c>
      <c r="CY954" s="141" t="str">
        <v>520530 Cesantías</v>
      </c>
      <c r="CZ954" s="141" t="str">
        <v>520530 Cesantías</v>
      </c>
      <c r="DA954" s="141" t="str">
        <v>520530 Cesantías</v>
      </c>
      <c r="DF954" t="str">
        <v>520530 Cesantías</v>
      </c>
      <c r="DG954" t="str">
        <v>520530 Cesantías</v>
      </c>
      <c r="DH954" t="str">
        <v>520530 Cesantías</v>
      </c>
      <c r="DI954" t="str">
        <v>520530 Cesantías</v>
      </c>
      <c r="DJ954" t="str">
        <v>520530 Cesantías</v>
      </c>
      <c r="DK954" t="str">
        <v>520530 Cesantías</v>
      </c>
      <c r="DL954" t="str">
        <v>520530 Cesantías</v>
      </c>
      <c r="DM954" t="str">
        <v>520530 Cesantías</v>
      </c>
      <c r="DN954" t="str">
        <v>520530 Cesantías</v>
      </c>
      <c r="DO954" t="str">
        <v>520530 Cesantías</v>
      </c>
      <c r="DP954" t="str">
        <v>520530 Cesantías</v>
      </c>
    </row>
    <row r="955" spans="4:120" ht="12.75">
      <c r="D955" s="7">
        <v>520533</v>
      </c>
      <c r="E955" s="6" t="s">
        <v>398</v>
      </c>
      <c r="F955" s="5">
        <v>4</v>
      </c>
      <c r="G955" s="34" t="s">
        <v>830</v>
      </c>
      <c r="H955" s="8" t="s">
        <v>32</v>
      </c>
      <c r="I955" t="b">
        <f>+ISNUMBER(SEARCH('F-COMPRA'!$F$28,Tabla11[[#This Row],[Cuenta]],1))</f>
        <v>1</v>
      </c>
      <c r="J955" t="b">
        <f>+ISNUMBER(SEARCH('F-COMPRA'!$F$29,Tabla11[[#This Row],[Cuenta]],1))</f>
        <v>1</v>
      </c>
      <c r="K955" t="b">
        <f>+ISNUMBER(SEARCH('F-COMPRA'!$F$30,Tabla11[[#This Row],[Cuenta]],1))</f>
        <v>1</v>
      </c>
      <c r="L955" t="b">
        <f>+ISNUMBER(SEARCH('F-COMPRA'!$F$31,Tabla11[[#This Row],[Cuenta]],1))</f>
        <v>1</v>
      </c>
      <c r="M955" t="b">
        <f>+ISNUMBER(SEARCH('F-COMPRA'!$G$25,Tabla11[[#This Row],[Cuenta]],1))</f>
        <v>0</v>
      </c>
      <c r="N955" t="b">
        <f>+ISNUMBER(SEARCH(#REF!,Tabla11[[#This Row],[Cuenta]],1))</f>
        <v>0</v>
      </c>
      <c r="O955" t="b">
        <f>+ISNUMBER(SEARCH(#REF!,Tabla11[[#This Row],[Cuenta]],1))</f>
        <v>0</v>
      </c>
      <c r="P955" t="b">
        <f>+ISNUMBER(SEARCH('F-COMPRA'!$F$32,Tabla11[[#This Row],[Cuenta]],1))</f>
        <v>1</v>
      </c>
      <c r="Q955" t="b">
        <f>+ISNUMBER(SEARCH('F-COMPRA'!$F$33,Tabla11[[#This Row],[Cuenta]],1))</f>
        <v>1</v>
      </c>
      <c r="R955" t="b">
        <f>+ISNUMBER(SEARCH('F-COMPRA'!$F$34,Tabla11[[#This Row],[Cuenta]],1))</f>
        <v>1</v>
      </c>
      <c r="S955" t="b">
        <f>+ISNUMBER(SEARCH('F-COMPRA'!$F$35,Tabla11[[#This Row],[Cuenta]],1))</f>
        <v>1</v>
      </c>
      <c r="T955" t="b">
        <f>+ISNUMBER(SEARCH('F-COMPRA'!$F$36,Tabla11[[#This Row],[Cuenta]],1))</f>
        <v>1</v>
      </c>
      <c r="U955" t="b">
        <f>+ISNUMBER(SEARCH('F-COMPRA'!$F$37,Tabla11[[#This Row],[Cuenta]],1))</f>
        <v>1</v>
      </c>
      <c r="V955" t="b">
        <f>+ISNUMBER(SEARCH(#REF!,Tabla11[[#This Row],[Cuenta]],1))</f>
        <v>0</v>
      </c>
      <c r="W955" t="b">
        <f>+ISNUMBER(SEARCH('F-COMPRA'!#REF!,Tabla11[[#This Row],[Cuenta]],1))</f>
        <v>0</v>
      </c>
      <c r="X955" t="b">
        <f>+ISNUMBER(SEARCH('F-COMPRA'!#REF!,Tabla11[[#This Row],[Cuenta]],1))</f>
        <v>0</v>
      </c>
      <c r="Y955" t="b">
        <f>+ISNUMBER(SEARCH('F-COMPRA'!#REF!,Tabla11[[#This Row],[Cuenta]],1))</f>
        <v>0</v>
      </c>
      <c r="Z955" t="b">
        <f>+ISNUMBER(SEARCH('F-COMPRA'!#REF!,Tabla11[[#This Row],[Cuenta]],1))</f>
        <v>0</v>
      </c>
      <c r="AA955" t="b">
        <f>+ISNUMBER(SEARCH('F-COMPRA'!#REF!,Tabla11[[#This Row],[Cuenta]],1))</f>
        <v>0</v>
      </c>
      <c r="AB955" t="b">
        <f>+ISNUMBER(SEARCH('F-COMPRA'!#REF!,Tabla11[[#This Row],[Cuenta]],1))</f>
        <v>0</v>
      </c>
      <c r="AC955" t="b">
        <f>+ISNUMBER(SEARCH('F-COMPRA'!#REF!,Tabla11[[#This Row],[Cuenta]],1))</f>
        <v>0</v>
      </c>
      <c r="AD955" t="b">
        <f>+ISNUMBER(SEARCH('F-COMPRA'!#REF!,Tabla11[[#This Row],[Cuenta]],1))</f>
        <v>0</v>
      </c>
      <c r="AE955" t="b">
        <f>+ISNUMBER(SEARCH('F-COMPRA'!#REF!,Tabla11[[#This Row],[Cuenta]],1))</f>
        <v>0</v>
      </c>
      <c r="AF955" t="b">
        <f>+ISNUMBER(SEARCH('F-VTA'!$G$23,Tabla11[[#This Row],[Cuenta]],1))</f>
        <v>0</v>
      </c>
      <c r="AG955" t="b">
        <f>+ISNUMBER(SEARCH('F-VTA'!$G$24,Tabla11[[#This Row],[Cuenta]],1))</f>
        <v>0</v>
      </c>
      <c r="AH955" t="b">
        <f>+ISNUMBER(SEARCH('F-VTA'!$G$25,Tabla11[[#This Row],[Cuenta]],1))</f>
        <v>0</v>
      </c>
      <c r="AI955" t="b">
        <f>+ISNUMBER(SEARCH('F-VTA'!$F$28,Tabla11[[#This Row],[Cuenta]],1))</f>
        <v>1</v>
      </c>
      <c r="AJ955" t="b">
        <f>+ISNUMBER(SEARCH('F-VTA'!$F$29,Tabla11[[#This Row],[Cuenta]],1))</f>
        <v>1</v>
      </c>
      <c r="AK955" t="b">
        <f>+ISNUMBER(SEARCH('F-VTA'!$F$30,Tabla11[[#This Row],[Cuenta]],1))</f>
        <v>1</v>
      </c>
      <c r="AL955" t="b">
        <f>+ISNUMBER(SEARCH('F-VTA'!$F$31,Tabla11[[#This Row],[Cuenta]],1))</f>
        <v>1</v>
      </c>
      <c r="AM955" t="b">
        <f>+ISNUMBER(SEARCH('F-VTA'!$F$32,Tabla11[[#This Row],[Cuenta]],1))</f>
        <v>1</v>
      </c>
      <c r="AN955" t="b">
        <f>+ISNUMBER(SEARCH('F-VTA'!$F$33,Tabla11[[#This Row],[Cuenta]],1))</f>
        <v>1</v>
      </c>
      <c r="AO955" t="b">
        <f>+ISNUMBER(SEARCH('F-VTA'!$F$34,Tabla11[[#This Row],[Cuenta]],1))</f>
        <v>1</v>
      </c>
      <c r="AP955" t="b">
        <f>+ISNUMBER(SEARCH('F-VTA'!$F$35,Tabla11[[#This Row],[Cuenta]],1))</f>
        <v>1</v>
      </c>
      <c r="AQ955" t="b">
        <f>+ISNUMBER(SEARCH('F-VTA'!$F$36,Tabla11[[#This Row],[Cuenta]],1))</f>
        <v>1</v>
      </c>
      <c r="AR955" t="b">
        <f>+ISNUMBER(SEARCH(#REF!,Tabla11[[#This Row],[Cuenta]],1))</f>
        <v>0</v>
      </c>
      <c r="AS955" t="b">
        <f>+ISNUMBER(SEARCH(#REF!,Tabla11[[#This Row],[Cuenta]],1))</f>
        <v>0</v>
      </c>
      <c r="AT955" t="b">
        <f>+ISNUMBER(SEARCH(#REF!,Tabla11[[#This Row],[Cuenta]],1))</f>
        <v>0</v>
      </c>
      <c r="AU955" t="b">
        <f>+ISNUMBER(SEARCH('Conc. Ban.1'!$I$9,Tabla11[[#This Row],[Cuenta]],1))</f>
        <v>0</v>
      </c>
      <c r="AV955" t="b">
        <f>+ISNUMBER(SEARCH(CompConta!$F$21,Tabla11[[#This Row],[Cuenta]],1))</f>
        <v>1</v>
      </c>
      <c r="AW955" t="b">
        <f>+ISNUMBER(SEARCH(CompConta!$F$22,Tabla11[[#This Row],[Cuenta]],1))</f>
        <v>1</v>
      </c>
      <c r="AX955" t="b">
        <f>+ISNUMBER(SEARCH(CompConta!$F$23,Tabla11[[#This Row],[Cuenta]],1))</f>
        <v>1</v>
      </c>
      <c r="AY955" t="b">
        <f>+ISNUMBER(SEARCH(CompConta!$F$24,Tabla11[[#This Row],[Cuenta]],1))</f>
        <v>1</v>
      </c>
      <c r="AZ955" t="b">
        <f>+ISNUMBER(SEARCH(CompConta!$F$25,Tabla11[[#This Row],[Cuenta]],1))</f>
        <v>1</v>
      </c>
      <c r="BA955" t="b">
        <f>+ISNUMBER(SEARCH(CompConta!$F$26,Tabla11[[#This Row],[Cuenta]],1))</f>
        <v>1</v>
      </c>
      <c r="BB955" t="b">
        <f>+ISNUMBER(SEARCH(CompConta!$F$27,Tabla11[[#This Row],[Cuenta]],1))</f>
        <v>1</v>
      </c>
      <c r="BC955" t="b">
        <f>+ISNUMBER(SEARCH(CompConta!$F$28,Tabla11[[#This Row],[Cuenta]],1))</f>
        <v>1</v>
      </c>
      <c r="BD955" t="b">
        <f>+ISNUMBER(SEARCH(CompConta!$F$29,Tabla11[[#This Row],[Cuenta]],1))</f>
        <v>1</v>
      </c>
      <c r="BE955" t="b">
        <f>+ISNUMBER(SEARCH(CompConta!$F$30,Tabla11[[#This Row],[Cuenta]],1))</f>
        <v>1</v>
      </c>
      <c r="BF955" t="b">
        <f>+ISNUMBER(SEARCH('PAGO Compras'!$E$11,Tabla11[[#This Row],[Cuenta]],1))</f>
        <v>1</v>
      </c>
      <c r="BG955" t="b">
        <f>+ISNUMBER(SEARCH(#REF!,Tabla11[[#This Row],[Cuenta]],1))</f>
        <v>0</v>
      </c>
      <c r="BH955" t="b">
        <f>+ISNUMBER(SEARCH(#REF!,Tabla11[[#This Row],[Cuenta]],1))</f>
        <v>0</v>
      </c>
      <c r="BI955" t="b">
        <f>+ISNUMBER(SEARCH(#REF!,Tabla11[[#This Row],[Cuenta]],1))</f>
        <v>0</v>
      </c>
      <c r="BJ955" t="b">
        <f>+ISNUMBER(SEARCH(#REF!,Tabla11[[#This Row],[Cuenta]],1))</f>
        <v>0</v>
      </c>
      <c r="BS955" t="str">
        <v>520533 Intereses sobre cesantías</v>
      </c>
      <c r="BT955" t="str">
        <v>520533 Intereses sobre cesantías</v>
      </c>
      <c r="BU955" t="str">
        <v>520533 Intereses sobre cesantías</v>
      </c>
      <c r="BV955" t="str">
        <v>520533 Intereses sobre cesantías</v>
      </c>
      <c r="BZ955" t="str">
        <v>520533 Intereses sobre cesantías</v>
      </c>
      <c r="CA955" t="str">
        <v>520533 Intereses sobre cesantías</v>
      </c>
      <c r="CB955" t="str">
        <v>520533 Intereses sobre cesantías</v>
      </c>
      <c r="CC955" t="str">
        <v>520533 Intereses sobre cesantías</v>
      </c>
      <c r="CD955" t="str">
        <v>520533 Intereses sobre cesantías</v>
      </c>
      <c r="CE955" t="str">
        <v>520533 Intereses sobre cesantías</v>
      </c>
      <c r="CS955" s="141" t="str">
        <v>520533 Intereses sobre cesantías</v>
      </c>
      <c r="CT955" s="141" t="str">
        <v>520533 Intereses sobre cesantías</v>
      </c>
      <c r="CU955" s="141" t="str">
        <v>520533 Intereses sobre cesantías</v>
      </c>
      <c r="CV955" s="141" t="str">
        <v>520533 Intereses sobre cesantías</v>
      </c>
      <c r="CW955" s="141" t="str">
        <v>520533 Intereses sobre cesantías</v>
      </c>
      <c r="CX955" s="141" t="str">
        <v>520533 Intereses sobre cesantías</v>
      </c>
      <c r="CY955" s="141" t="str">
        <v>520533 Intereses sobre cesantías</v>
      </c>
      <c r="CZ955" s="141" t="str">
        <v>520533 Intereses sobre cesantías</v>
      </c>
      <c r="DA955" s="141" t="str">
        <v>520533 Intereses sobre cesantías</v>
      </c>
      <c r="DF955" t="str">
        <v>520533 Intereses sobre cesantías</v>
      </c>
      <c r="DG955" t="str">
        <v>520533 Intereses sobre cesantías</v>
      </c>
      <c r="DH955" t="str">
        <v>520533 Intereses sobre cesantías</v>
      </c>
      <c r="DI955" t="str">
        <v>520533 Intereses sobre cesantías</v>
      </c>
      <c r="DJ955" t="str">
        <v>520533 Intereses sobre cesantías</v>
      </c>
      <c r="DK955" t="str">
        <v>520533 Intereses sobre cesantías</v>
      </c>
      <c r="DL955" t="str">
        <v>520533 Intereses sobre cesantías</v>
      </c>
      <c r="DM955" t="str">
        <v>520533 Intereses sobre cesantías</v>
      </c>
      <c r="DN955" t="str">
        <v>520533 Intereses sobre cesantías</v>
      </c>
      <c r="DO955" t="str">
        <v>520533 Intereses sobre cesantías</v>
      </c>
      <c r="DP955" t="str">
        <v>520533 Intereses sobre cesantías</v>
      </c>
    </row>
    <row r="956" spans="4:120" ht="12.75">
      <c r="D956" s="7">
        <v>520536</v>
      </c>
      <c r="E956" s="6" t="s">
        <v>622</v>
      </c>
      <c r="F956" s="5">
        <v>4</v>
      </c>
      <c r="G956" s="34" t="s">
        <v>830</v>
      </c>
      <c r="H956" s="8" t="s">
        <v>32</v>
      </c>
      <c r="I956" t="b">
        <f>+ISNUMBER(SEARCH('F-COMPRA'!$F$28,Tabla11[[#This Row],[Cuenta]],1))</f>
        <v>1</v>
      </c>
      <c r="J956" t="b">
        <f>+ISNUMBER(SEARCH('F-COMPRA'!$F$29,Tabla11[[#This Row],[Cuenta]],1))</f>
        <v>1</v>
      </c>
      <c r="K956" t="b">
        <f>+ISNUMBER(SEARCH('F-COMPRA'!$F$30,Tabla11[[#This Row],[Cuenta]],1))</f>
        <v>1</v>
      </c>
      <c r="L956" t="b">
        <f>+ISNUMBER(SEARCH('F-COMPRA'!$F$31,Tabla11[[#This Row],[Cuenta]],1))</f>
        <v>1</v>
      </c>
      <c r="M956" t="b">
        <f>+ISNUMBER(SEARCH('F-COMPRA'!$G$25,Tabla11[[#This Row],[Cuenta]],1))</f>
        <v>0</v>
      </c>
      <c r="N956" t="b">
        <f>+ISNUMBER(SEARCH(#REF!,Tabla11[[#This Row],[Cuenta]],1))</f>
        <v>0</v>
      </c>
      <c r="O956" t="b">
        <f>+ISNUMBER(SEARCH(#REF!,Tabla11[[#This Row],[Cuenta]],1))</f>
        <v>0</v>
      </c>
      <c r="P956" t="b">
        <f>+ISNUMBER(SEARCH('F-COMPRA'!$F$32,Tabla11[[#This Row],[Cuenta]],1))</f>
        <v>1</v>
      </c>
      <c r="Q956" t="b">
        <f>+ISNUMBER(SEARCH('F-COMPRA'!$F$33,Tabla11[[#This Row],[Cuenta]],1))</f>
        <v>1</v>
      </c>
      <c r="R956" t="b">
        <f>+ISNUMBER(SEARCH('F-COMPRA'!$F$34,Tabla11[[#This Row],[Cuenta]],1))</f>
        <v>1</v>
      </c>
      <c r="S956" t="b">
        <f>+ISNUMBER(SEARCH('F-COMPRA'!$F$35,Tabla11[[#This Row],[Cuenta]],1))</f>
        <v>1</v>
      </c>
      <c r="T956" t="b">
        <f>+ISNUMBER(SEARCH('F-COMPRA'!$F$36,Tabla11[[#This Row],[Cuenta]],1))</f>
        <v>1</v>
      </c>
      <c r="U956" t="b">
        <f>+ISNUMBER(SEARCH('F-COMPRA'!$F$37,Tabla11[[#This Row],[Cuenta]],1))</f>
        <v>1</v>
      </c>
      <c r="V956" t="b">
        <f>+ISNUMBER(SEARCH(#REF!,Tabla11[[#This Row],[Cuenta]],1))</f>
        <v>0</v>
      </c>
      <c r="W956" t="b">
        <f>+ISNUMBER(SEARCH('F-COMPRA'!#REF!,Tabla11[[#This Row],[Cuenta]],1))</f>
        <v>0</v>
      </c>
      <c r="X956" t="b">
        <f>+ISNUMBER(SEARCH('F-COMPRA'!#REF!,Tabla11[[#This Row],[Cuenta]],1))</f>
        <v>0</v>
      </c>
      <c r="Y956" t="b">
        <f>+ISNUMBER(SEARCH('F-COMPRA'!#REF!,Tabla11[[#This Row],[Cuenta]],1))</f>
        <v>0</v>
      </c>
      <c r="Z956" t="b">
        <f>+ISNUMBER(SEARCH('F-COMPRA'!#REF!,Tabla11[[#This Row],[Cuenta]],1))</f>
        <v>0</v>
      </c>
      <c r="AA956" t="b">
        <f>+ISNUMBER(SEARCH('F-COMPRA'!#REF!,Tabla11[[#This Row],[Cuenta]],1))</f>
        <v>0</v>
      </c>
      <c r="AB956" t="b">
        <f>+ISNUMBER(SEARCH('F-COMPRA'!#REF!,Tabla11[[#This Row],[Cuenta]],1))</f>
        <v>0</v>
      </c>
      <c r="AC956" t="b">
        <f>+ISNUMBER(SEARCH('F-COMPRA'!#REF!,Tabla11[[#This Row],[Cuenta]],1))</f>
        <v>0</v>
      </c>
      <c r="AD956" t="b">
        <f>+ISNUMBER(SEARCH('F-COMPRA'!#REF!,Tabla11[[#This Row],[Cuenta]],1))</f>
        <v>0</v>
      </c>
      <c r="AE956" t="b">
        <f>+ISNUMBER(SEARCH('F-COMPRA'!#REF!,Tabla11[[#This Row],[Cuenta]],1))</f>
        <v>0</v>
      </c>
      <c r="AF956" t="b">
        <f>+ISNUMBER(SEARCH('F-VTA'!$G$23,Tabla11[[#This Row],[Cuenta]],1))</f>
        <v>0</v>
      </c>
      <c r="AG956" t="b">
        <f>+ISNUMBER(SEARCH('F-VTA'!$G$24,Tabla11[[#This Row],[Cuenta]],1))</f>
        <v>0</v>
      </c>
      <c r="AH956" t="b">
        <f>+ISNUMBER(SEARCH('F-VTA'!$G$25,Tabla11[[#This Row],[Cuenta]],1))</f>
        <v>0</v>
      </c>
      <c r="AI956" t="b">
        <f>+ISNUMBER(SEARCH('F-VTA'!$F$28,Tabla11[[#This Row],[Cuenta]],1))</f>
        <v>1</v>
      </c>
      <c r="AJ956" t="b">
        <f>+ISNUMBER(SEARCH('F-VTA'!$F$29,Tabla11[[#This Row],[Cuenta]],1))</f>
        <v>1</v>
      </c>
      <c r="AK956" t="b">
        <f>+ISNUMBER(SEARCH('F-VTA'!$F$30,Tabla11[[#This Row],[Cuenta]],1))</f>
        <v>1</v>
      </c>
      <c r="AL956" t="b">
        <f>+ISNUMBER(SEARCH('F-VTA'!$F$31,Tabla11[[#This Row],[Cuenta]],1))</f>
        <v>1</v>
      </c>
      <c r="AM956" t="b">
        <f>+ISNUMBER(SEARCH('F-VTA'!$F$32,Tabla11[[#This Row],[Cuenta]],1))</f>
        <v>1</v>
      </c>
      <c r="AN956" t="b">
        <f>+ISNUMBER(SEARCH('F-VTA'!$F$33,Tabla11[[#This Row],[Cuenta]],1))</f>
        <v>1</v>
      </c>
      <c r="AO956" t="b">
        <f>+ISNUMBER(SEARCH('F-VTA'!$F$34,Tabla11[[#This Row],[Cuenta]],1))</f>
        <v>1</v>
      </c>
      <c r="AP956" t="b">
        <f>+ISNUMBER(SEARCH('F-VTA'!$F$35,Tabla11[[#This Row],[Cuenta]],1))</f>
        <v>1</v>
      </c>
      <c r="AQ956" t="b">
        <f>+ISNUMBER(SEARCH('F-VTA'!$F$36,Tabla11[[#This Row],[Cuenta]],1))</f>
        <v>1</v>
      </c>
      <c r="AR956" t="b">
        <f>+ISNUMBER(SEARCH(#REF!,Tabla11[[#This Row],[Cuenta]],1))</f>
        <v>0</v>
      </c>
      <c r="AS956" t="b">
        <f>+ISNUMBER(SEARCH(#REF!,Tabla11[[#This Row],[Cuenta]],1))</f>
        <v>0</v>
      </c>
      <c r="AT956" t="b">
        <f>+ISNUMBER(SEARCH(#REF!,Tabla11[[#This Row],[Cuenta]],1))</f>
        <v>0</v>
      </c>
      <c r="AU956" t="b">
        <f>+ISNUMBER(SEARCH('Conc. Ban.1'!$I$9,Tabla11[[#This Row],[Cuenta]],1))</f>
        <v>0</v>
      </c>
      <c r="AV956" t="b">
        <f>+ISNUMBER(SEARCH(CompConta!$F$21,Tabla11[[#This Row],[Cuenta]],1))</f>
        <v>1</v>
      </c>
      <c r="AW956" t="b">
        <f>+ISNUMBER(SEARCH(CompConta!$F$22,Tabla11[[#This Row],[Cuenta]],1))</f>
        <v>1</v>
      </c>
      <c r="AX956" t="b">
        <f>+ISNUMBER(SEARCH(CompConta!$F$23,Tabla11[[#This Row],[Cuenta]],1))</f>
        <v>1</v>
      </c>
      <c r="AY956" t="b">
        <f>+ISNUMBER(SEARCH(CompConta!$F$24,Tabla11[[#This Row],[Cuenta]],1))</f>
        <v>1</v>
      </c>
      <c r="AZ956" t="b">
        <f>+ISNUMBER(SEARCH(CompConta!$F$25,Tabla11[[#This Row],[Cuenta]],1))</f>
        <v>1</v>
      </c>
      <c r="BA956" t="b">
        <f>+ISNUMBER(SEARCH(CompConta!$F$26,Tabla11[[#This Row],[Cuenta]],1))</f>
        <v>1</v>
      </c>
      <c r="BB956" t="b">
        <f>+ISNUMBER(SEARCH(CompConta!$F$27,Tabla11[[#This Row],[Cuenta]],1))</f>
        <v>1</v>
      </c>
      <c r="BC956" t="b">
        <f>+ISNUMBER(SEARCH(CompConta!$F$28,Tabla11[[#This Row],[Cuenta]],1))</f>
        <v>1</v>
      </c>
      <c r="BD956" t="b">
        <f>+ISNUMBER(SEARCH(CompConta!$F$29,Tabla11[[#This Row],[Cuenta]],1))</f>
        <v>1</v>
      </c>
      <c r="BE956" t="b">
        <f>+ISNUMBER(SEARCH(CompConta!$F$30,Tabla11[[#This Row],[Cuenta]],1))</f>
        <v>1</v>
      </c>
      <c r="BF956" t="b">
        <f>+ISNUMBER(SEARCH('PAGO Compras'!$E$11,Tabla11[[#This Row],[Cuenta]],1))</f>
        <v>1</v>
      </c>
      <c r="BG956" t="b">
        <f>+ISNUMBER(SEARCH(#REF!,Tabla11[[#This Row],[Cuenta]],1))</f>
        <v>0</v>
      </c>
      <c r="BH956" t="b">
        <f>+ISNUMBER(SEARCH(#REF!,Tabla11[[#This Row],[Cuenta]],1))</f>
        <v>0</v>
      </c>
      <c r="BI956" t="b">
        <f>+ISNUMBER(SEARCH(#REF!,Tabla11[[#This Row],[Cuenta]],1))</f>
        <v>0</v>
      </c>
      <c r="BJ956" t="b">
        <f>+ISNUMBER(SEARCH(#REF!,Tabla11[[#This Row],[Cuenta]],1))</f>
        <v>0</v>
      </c>
      <c r="BS956" t="str">
        <v>520536 Prima de Servicios</v>
      </c>
      <c r="BT956" t="str">
        <v>520536 Prima de Servicios</v>
      </c>
      <c r="BU956" t="str">
        <v>520536 Prima de Servicios</v>
      </c>
      <c r="BV956" t="str">
        <v>520536 Prima de Servicios</v>
      </c>
      <c r="BZ956" t="str">
        <v>520536 Prima de Servicios</v>
      </c>
      <c r="CA956" t="str">
        <v>520536 Prima de Servicios</v>
      </c>
      <c r="CB956" t="str">
        <v>520536 Prima de Servicios</v>
      </c>
      <c r="CC956" t="str">
        <v>520536 Prima de Servicios</v>
      </c>
      <c r="CD956" t="str">
        <v>520536 Prima de Servicios</v>
      </c>
      <c r="CE956" t="str">
        <v>520536 Prima de Servicios</v>
      </c>
      <c r="CS956" s="141" t="str">
        <v>520536 Prima de Servicios</v>
      </c>
      <c r="CT956" s="141" t="str">
        <v>520536 Prima de Servicios</v>
      </c>
      <c r="CU956" s="141" t="str">
        <v>520536 Prima de Servicios</v>
      </c>
      <c r="CV956" s="141" t="str">
        <v>520536 Prima de Servicios</v>
      </c>
      <c r="CW956" s="141" t="str">
        <v>520536 Prima de Servicios</v>
      </c>
      <c r="CX956" s="141" t="str">
        <v>520536 Prima de Servicios</v>
      </c>
      <c r="CY956" s="141" t="str">
        <v>520536 Prima de Servicios</v>
      </c>
      <c r="CZ956" s="141" t="str">
        <v>520536 Prima de Servicios</v>
      </c>
      <c r="DA956" s="141" t="str">
        <v>520536 Prima de Servicios</v>
      </c>
      <c r="DF956" t="str">
        <v>520536 Prima de Servicios</v>
      </c>
      <c r="DG956" t="str">
        <v>520536 Prima de Servicios</v>
      </c>
      <c r="DH956" t="str">
        <v>520536 Prima de Servicios</v>
      </c>
      <c r="DI956" t="str">
        <v>520536 Prima de Servicios</v>
      </c>
      <c r="DJ956" t="str">
        <v>520536 Prima de Servicios</v>
      </c>
      <c r="DK956" t="str">
        <v>520536 Prima de Servicios</v>
      </c>
      <c r="DL956" t="str">
        <v>520536 Prima de Servicios</v>
      </c>
      <c r="DM956" t="str">
        <v>520536 Prima de Servicios</v>
      </c>
      <c r="DN956" t="str">
        <v>520536 Prima de Servicios</v>
      </c>
      <c r="DO956" t="str">
        <v>520536 Prima de Servicios</v>
      </c>
      <c r="DP956" t="str">
        <v>520536 Prima de Servicios</v>
      </c>
    </row>
    <row r="957" spans="4:120" ht="12.75">
      <c r="D957" s="7">
        <v>520539</v>
      </c>
      <c r="E957" s="6" t="s">
        <v>399</v>
      </c>
      <c r="F957" s="5">
        <v>4</v>
      </c>
      <c r="G957" s="34" t="s">
        <v>830</v>
      </c>
      <c r="H957" s="8" t="s">
        <v>32</v>
      </c>
      <c r="I957" t="b">
        <f>+ISNUMBER(SEARCH('F-COMPRA'!$F$28,Tabla11[[#This Row],[Cuenta]],1))</f>
        <v>1</v>
      </c>
      <c r="J957" t="b">
        <f>+ISNUMBER(SEARCH('F-COMPRA'!$F$29,Tabla11[[#This Row],[Cuenta]],1))</f>
        <v>1</v>
      </c>
      <c r="K957" t="b">
        <f>+ISNUMBER(SEARCH('F-COMPRA'!$F$30,Tabla11[[#This Row],[Cuenta]],1))</f>
        <v>1</v>
      </c>
      <c r="L957" t="b">
        <f>+ISNUMBER(SEARCH('F-COMPRA'!$F$31,Tabla11[[#This Row],[Cuenta]],1))</f>
        <v>1</v>
      </c>
      <c r="M957" t="b">
        <f>+ISNUMBER(SEARCH('F-COMPRA'!$G$25,Tabla11[[#This Row],[Cuenta]],1))</f>
        <v>0</v>
      </c>
      <c r="N957" t="b">
        <f>+ISNUMBER(SEARCH(#REF!,Tabla11[[#This Row],[Cuenta]],1))</f>
        <v>0</v>
      </c>
      <c r="O957" t="b">
        <f>+ISNUMBER(SEARCH(#REF!,Tabla11[[#This Row],[Cuenta]],1))</f>
        <v>0</v>
      </c>
      <c r="P957" t="b">
        <f>+ISNUMBER(SEARCH('F-COMPRA'!$F$32,Tabla11[[#This Row],[Cuenta]],1))</f>
        <v>1</v>
      </c>
      <c r="Q957" t="b">
        <f>+ISNUMBER(SEARCH('F-COMPRA'!$F$33,Tabla11[[#This Row],[Cuenta]],1))</f>
        <v>1</v>
      </c>
      <c r="R957" t="b">
        <f>+ISNUMBER(SEARCH('F-COMPRA'!$F$34,Tabla11[[#This Row],[Cuenta]],1))</f>
        <v>1</v>
      </c>
      <c r="S957" t="b">
        <f>+ISNUMBER(SEARCH('F-COMPRA'!$F$35,Tabla11[[#This Row],[Cuenta]],1))</f>
        <v>1</v>
      </c>
      <c r="T957" t="b">
        <f>+ISNUMBER(SEARCH('F-COMPRA'!$F$36,Tabla11[[#This Row],[Cuenta]],1))</f>
        <v>1</v>
      </c>
      <c r="U957" t="b">
        <f>+ISNUMBER(SEARCH('F-COMPRA'!$F$37,Tabla11[[#This Row],[Cuenta]],1))</f>
        <v>1</v>
      </c>
      <c r="V957" t="b">
        <f>+ISNUMBER(SEARCH(#REF!,Tabla11[[#This Row],[Cuenta]],1))</f>
        <v>0</v>
      </c>
      <c r="W957" t="b">
        <f>+ISNUMBER(SEARCH('F-COMPRA'!#REF!,Tabla11[[#This Row],[Cuenta]],1))</f>
        <v>0</v>
      </c>
      <c r="X957" t="b">
        <f>+ISNUMBER(SEARCH('F-COMPRA'!#REF!,Tabla11[[#This Row],[Cuenta]],1))</f>
        <v>0</v>
      </c>
      <c r="Y957" t="b">
        <f>+ISNUMBER(SEARCH('F-COMPRA'!#REF!,Tabla11[[#This Row],[Cuenta]],1))</f>
        <v>0</v>
      </c>
      <c r="Z957" t="b">
        <f>+ISNUMBER(SEARCH('F-COMPRA'!#REF!,Tabla11[[#This Row],[Cuenta]],1))</f>
        <v>0</v>
      </c>
      <c r="AA957" t="b">
        <f>+ISNUMBER(SEARCH('F-COMPRA'!#REF!,Tabla11[[#This Row],[Cuenta]],1))</f>
        <v>0</v>
      </c>
      <c r="AB957" t="b">
        <f>+ISNUMBER(SEARCH('F-COMPRA'!#REF!,Tabla11[[#This Row],[Cuenta]],1))</f>
        <v>0</v>
      </c>
      <c r="AC957" t="b">
        <f>+ISNUMBER(SEARCH('F-COMPRA'!#REF!,Tabla11[[#This Row],[Cuenta]],1))</f>
        <v>0</v>
      </c>
      <c r="AD957" t="b">
        <f>+ISNUMBER(SEARCH('F-COMPRA'!#REF!,Tabla11[[#This Row],[Cuenta]],1))</f>
        <v>0</v>
      </c>
      <c r="AE957" t="b">
        <f>+ISNUMBER(SEARCH('F-COMPRA'!#REF!,Tabla11[[#This Row],[Cuenta]],1))</f>
        <v>0</v>
      </c>
      <c r="AF957" t="b">
        <f>+ISNUMBER(SEARCH('F-VTA'!$G$23,Tabla11[[#This Row],[Cuenta]],1))</f>
        <v>0</v>
      </c>
      <c r="AG957" t="b">
        <f>+ISNUMBER(SEARCH('F-VTA'!$G$24,Tabla11[[#This Row],[Cuenta]],1))</f>
        <v>0</v>
      </c>
      <c r="AH957" t="b">
        <f>+ISNUMBER(SEARCH('F-VTA'!$G$25,Tabla11[[#This Row],[Cuenta]],1))</f>
        <v>0</v>
      </c>
      <c r="AI957" t="b">
        <f>+ISNUMBER(SEARCH('F-VTA'!$F$28,Tabla11[[#This Row],[Cuenta]],1))</f>
        <v>1</v>
      </c>
      <c r="AJ957" t="b">
        <f>+ISNUMBER(SEARCH('F-VTA'!$F$29,Tabla11[[#This Row],[Cuenta]],1))</f>
        <v>1</v>
      </c>
      <c r="AK957" t="b">
        <f>+ISNUMBER(SEARCH('F-VTA'!$F$30,Tabla11[[#This Row],[Cuenta]],1))</f>
        <v>1</v>
      </c>
      <c r="AL957" t="b">
        <f>+ISNUMBER(SEARCH('F-VTA'!$F$31,Tabla11[[#This Row],[Cuenta]],1))</f>
        <v>1</v>
      </c>
      <c r="AM957" t="b">
        <f>+ISNUMBER(SEARCH('F-VTA'!$F$32,Tabla11[[#This Row],[Cuenta]],1))</f>
        <v>1</v>
      </c>
      <c r="AN957" t="b">
        <f>+ISNUMBER(SEARCH('F-VTA'!$F$33,Tabla11[[#This Row],[Cuenta]],1))</f>
        <v>1</v>
      </c>
      <c r="AO957" t="b">
        <f>+ISNUMBER(SEARCH('F-VTA'!$F$34,Tabla11[[#This Row],[Cuenta]],1))</f>
        <v>1</v>
      </c>
      <c r="AP957" t="b">
        <f>+ISNUMBER(SEARCH('F-VTA'!$F$35,Tabla11[[#This Row],[Cuenta]],1))</f>
        <v>1</v>
      </c>
      <c r="AQ957" t="b">
        <f>+ISNUMBER(SEARCH('F-VTA'!$F$36,Tabla11[[#This Row],[Cuenta]],1))</f>
        <v>1</v>
      </c>
      <c r="AR957" t="b">
        <f>+ISNUMBER(SEARCH(#REF!,Tabla11[[#This Row],[Cuenta]],1))</f>
        <v>0</v>
      </c>
      <c r="AS957" t="b">
        <f>+ISNUMBER(SEARCH(#REF!,Tabla11[[#This Row],[Cuenta]],1))</f>
        <v>0</v>
      </c>
      <c r="AT957" t="b">
        <f>+ISNUMBER(SEARCH(#REF!,Tabla11[[#This Row],[Cuenta]],1))</f>
        <v>0</v>
      </c>
      <c r="AU957" t="b">
        <f>+ISNUMBER(SEARCH('Conc. Ban.1'!$I$9,Tabla11[[#This Row],[Cuenta]],1))</f>
        <v>0</v>
      </c>
      <c r="AV957" t="b">
        <f>+ISNUMBER(SEARCH(CompConta!$F$21,Tabla11[[#This Row],[Cuenta]],1))</f>
        <v>1</v>
      </c>
      <c r="AW957" t="b">
        <f>+ISNUMBER(SEARCH(CompConta!$F$22,Tabla11[[#This Row],[Cuenta]],1))</f>
        <v>1</v>
      </c>
      <c r="AX957" t="b">
        <f>+ISNUMBER(SEARCH(CompConta!$F$23,Tabla11[[#This Row],[Cuenta]],1))</f>
        <v>1</v>
      </c>
      <c r="AY957" t="b">
        <f>+ISNUMBER(SEARCH(CompConta!$F$24,Tabla11[[#This Row],[Cuenta]],1))</f>
        <v>1</v>
      </c>
      <c r="AZ957" t="b">
        <f>+ISNUMBER(SEARCH(CompConta!$F$25,Tabla11[[#This Row],[Cuenta]],1))</f>
        <v>1</v>
      </c>
      <c r="BA957" t="b">
        <f>+ISNUMBER(SEARCH(CompConta!$F$26,Tabla11[[#This Row],[Cuenta]],1))</f>
        <v>1</v>
      </c>
      <c r="BB957" t="b">
        <f>+ISNUMBER(SEARCH(CompConta!$F$27,Tabla11[[#This Row],[Cuenta]],1))</f>
        <v>1</v>
      </c>
      <c r="BC957" t="b">
        <f>+ISNUMBER(SEARCH(CompConta!$F$28,Tabla11[[#This Row],[Cuenta]],1))</f>
        <v>1</v>
      </c>
      <c r="BD957" t="b">
        <f>+ISNUMBER(SEARCH(CompConta!$F$29,Tabla11[[#This Row],[Cuenta]],1))</f>
        <v>1</v>
      </c>
      <c r="BE957" t="b">
        <f>+ISNUMBER(SEARCH(CompConta!$F$30,Tabla11[[#This Row],[Cuenta]],1))</f>
        <v>1</v>
      </c>
      <c r="BF957" t="b">
        <f>+ISNUMBER(SEARCH('PAGO Compras'!$E$11,Tabla11[[#This Row],[Cuenta]],1))</f>
        <v>1</v>
      </c>
      <c r="BG957" t="b">
        <f>+ISNUMBER(SEARCH(#REF!,Tabla11[[#This Row],[Cuenta]],1))</f>
        <v>0</v>
      </c>
      <c r="BH957" t="b">
        <f>+ISNUMBER(SEARCH(#REF!,Tabla11[[#This Row],[Cuenta]],1))</f>
        <v>0</v>
      </c>
      <c r="BI957" t="b">
        <f>+ISNUMBER(SEARCH(#REF!,Tabla11[[#This Row],[Cuenta]],1))</f>
        <v>0</v>
      </c>
      <c r="BJ957" t="b">
        <f>+ISNUMBER(SEARCH(#REF!,Tabla11[[#This Row],[Cuenta]],1))</f>
        <v>0</v>
      </c>
      <c r="BS957" t="str">
        <v>520539 Vacaciones</v>
      </c>
      <c r="BT957" t="str">
        <v>520539 Vacaciones</v>
      </c>
      <c r="BU957" t="str">
        <v>520539 Vacaciones</v>
      </c>
      <c r="BV957" t="str">
        <v>520539 Vacaciones</v>
      </c>
      <c r="BZ957" t="str">
        <v>520539 Vacaciones</v>
      </c>
      <c r="CA957" t="str">
        <v>520539 Vacaciones</v>
      </c>
      <c r="CB957" t="str">
        <v>520539 Vacaciones</v>
      </c>
      <c r="CC957" t="str">
        <v>520539 Vacaciones</v>
      </c>
      <c r="CD957" t="str">
        <v>520539 Vacaciones</v>
      </c>
      <c r="CE957" t="str">
        <v>520539 Vacaciones</v>
      </c>
      <c r="CS957" s="141" t="str">
        <v>520539 Vacaciones</v>
      </c>
      <c r="CT957" s="141" t="str">
        <v>520539 Vacaciones</v>
      </c>
      <c r="CU957" s="141" t="str">
        <v>520539 Vacaciones</v>
      </c>
      <c r="CV957" s="141" t="str">
        <v>520539 Vacaciones</v>
      </c>
      <c r="CW957" s="141" t="str">
        <v>520539 Vacaciones</v>
      </c>
      <c r="CX957" s="141" t="str">
        <v>520539 Vacaciones</v>
      </c>
      <c r="CY957" s="141" t="str">
        <v>520539 Vacaciones</v>
      </c>
      <c r="CZ957" s="141" t="str">
        <v>520539 Vacaciones</v>
      </c>
      <c r="DA957" s="141" t="str">
        <v>520539 Vacaciones</v>
      </c>
      <c r="DF957" t="str">
        <v>520539 Vacaciones</v>
      </c>
      <c r="DG957" t="str">
        <v>520539 Vacaciones</v>
      </c>
      <c r="DH957" t="str">
        <v>520539 Vacaciones</v>
      </c>
      <c r="DI957" t="str">
        <v>520539 Vacaciones</v>
      </c>
      <c r="DJ957" t="str">
        <v>520539 Vacaciones</v>
      </c>
      <c r="DK957" t="str">
        <v>520539 Vacaciones</v>
      </c>
      <c r="DL957" t="str">
        <v>520539 Vacaciones</v>
      </c>
      <c r="DM957" t="str">
        <v>520539 Vacaciones</v>
      </c>
      <c r="DN957" t="str">
        <v>520539 Vacaciones</v>
      </c>
      <c r="DO957" t="str">
        <v>520539 Vacaciones</v>
      </c>
      <c r="DP957" t="str">
        <v>520539 Vacaciones</v>
      </c>
    </row>
    <row r="958" spans="4:120" ht="12.75">
      <c r="D958" s="7">
        <v>520542</v>
      </c>
      <c r="E958" s="6" t="s">
        <v>540</v>
      </c>
      <c r="F958" s="5">
        <v>4</v>
      </c>
      <c r="G958" s="34" t="s">
        <v>830</v>
      </c>
      <c r="H958" s="8" t="s">
        <v>32</v>
      </c>
      <c r="I958" t="b">
        <f>+ISNUMBER(SEARCH('F-COMPRA'!$F$28,Tabla11[[#This Row],[Cuenta]],1))</f>
        <v>1</v>
      </c>
      <c r="J958" t="b">
        <f>+ISNUMBER(SEARCH('F-COMPRA'!$F$29,Tabla11[[#This Row],[Cuenta]],1))</f>
        <v>1</v>
      </c>
      <c r="K958" t="b">
        <f>+ISNUMBER(SEARCH('F-COMPRA'!$F$30,Tabla11[[#This Row],[Cuenta]],1))</f>
        <v>1</v>
      </c>
      <c r="L958" t="b">
        <f>+ISNUMBER(SEARCH('F-COMPRA'!$F$31,Tabla11[[#This Row],[Cuenta]],1))</f>
        <v>1</v>
      </c>
      <c r="M958" t="b">
        <f>+ISNUMBER(SEARCH('F-COMPRA'!$G$25,Tabla11[[#This Row],[Cuenta]],1))</f>
        <v>0</v>
      </c>
      <c r="N958" t="b">
        <f>+ISNUMBER(SEARCH(#REF!,Tabla11[[#This Row],[Cuenta]],1))</f>
        <v>0</v>
      </c>
      <c r="O958" t="b">
        <f>+ISNUMBER(SEARCH(#REF!,Tabla11[[#This Row],[Cuenta]],1))</f>
        <v>0</v>
      </c>
      <c r="P958" t="b">
        <f>+ISNUMBER(SEARCH('F-COMPRA'!$F$32,Tabla11[[#This Row],[Cuenta]],1))</f>
        <v>1</v>
      </c>
      <c r="Q958" t="b">
        <f>+ISNUMBER(SEARCH('F-COMPRA'!$F$33,Tabla11[[#This Row],[Cuenta]],1))</f>
        <v>1</v>
      </c>
      <c r="R958" t="b">
        <f>+ISNUMBER(SEARCH('F-COMPRA'!$F$34,Tabla11[[#This Row],[Cuenta]],1))</f>
        <v>1</v>
      </c>
      <c r="S958" t="b">
        <f>+ISNUMBER(SEARCH('F-COMPRA'!$F$35,Tabla11[[#This Row],[Cuenta]],1))</f>
        <v>1</v>
      </c>
      <c r="T958" t="b">
        <f>+ISNUMBER(SEARCH('F-COMPRA'!$F$36,Tabla11[[#This Row],[Cuenta]],1))</f>
        <v>1</v>
      </c>
      <c r="U958" t="b">
        <f>+ISNUMBER(SEARCH('F-COMPRA'!$F$37,Tabla11[[#This Row],[Cuenta]],1))</f>
        <v>1</v>
      </c>
      <c r="V958" t="b">
        <f>+ISNUMBER(SEARCH(#REF!,Tabla11[[#This Row],[Cuenta]],1))</f>
        <v>0</v>
      </c>
      <c r="W958" t="b">
        <f>+ISNUMBER(SEARCH('F-COMPRA'!#REF!,Tabla11[[#This Row],[Cuenta]],1))</f>
        <v>0</v>
      </c>
      <c r="X958" t="b">
        <f>+ISNUMBER(SEARCH('F-COMPRA'!#REF!,Tabla11[[#This Row],[Cuenta]],1))</f>
        <v>0</v>
      </c>
      <c r="Y958" t="b">
        <f>+ISNUMBER(SEARCH('F-COMPRA'!#REF!,Tabla11[[#This Row],[Cuenta]],1))</f>
        <v>0</v>
      </c>
      <c r="Z958" t="b">
        <f>+ISNUMBER(SEARCH('F-COMPRA'!#REF!,Tabla11[[#This Row],[Cuenta]],1))</f>
        <v>0</v>
      </c>
      <c r="AA958" t="b">
        <f>+ISNUMBER(SEARCH('F-COMPRA'!#REF!,Tabla11[[#This Row],[Cuenta]],1))</f>
        <v>0</v>
      </c>
      <c r="AB958" t="b">
        <f>+ISNUMBER(SEARCH('F-COMPRA'!#REF!,Tabla11[[#This Row],[Cuenta]],1))</f>
        <v>0</v>
      </c>
      <c r="AC958" t="b">
        <f>+ISNUMBER(SEARCH('F-COMPRA'!#REF!,Tabla11[[#This Row],[Cuenta]],1))</f>
        <v>0</v>
      </c>
      <c r="AD958" t="b">
        <f>+ISNUMBER(SEARCH('F-COMPRA'!#REF!,Tabla11[[#This Row],[Cuenta]],1))</f>
        <v>0</v>
      </c>
      <c r="AE958" t="b">
        <f>+ISNUMBER(SEARCH('F-COMPRA'!#REF!,Tabla11[[#This Row],[Cuenta]],1))</f>
        <v>0</v>
      </c>
      <c r="AF958" t="b">
        <f>+ISNUMBER(SEARCH('F-VTA'!$G$23,Tabla11[[#This Row],[Cuenta]],1))</f>
        <v>0</v>
      </c>
      <c r="AG958" t="b">
        <f>+ISNUMBER(SEARCH('F-VTA'!$G$24,Tabla11[[#This Row],[Cuenta]],1))</f>
        <v>0</v>
      </c>
      <c r="AH958" t="b">
        <f>+ISNUMBER(SEARCH('F-VTA'!$G$25,Tabla11[[#This Row],[Cuenta]],1))</f>
        <v>0</v>
      </c>
      <c r="AI958" t="b">
        <f>+ISNUMBER(SEARCH('F-VTA'!$F$28,Tabla11[[#This Row],[Cuenta]],1))</f>
        <v>1</v>
      </c>
      <c r="AJ958" t="b">
        <f>+ISNUMBER(SEARCH('F-VTA'!$F$29,Tabla11[[#This Row],[Cuenta]],1))</f>
        <v>1</v>
      </c>
      <c r="AK958" t="b">
        <f>+ISNUMBER(SEARCH('F-VTA'!$F$30,Tabla11[[#This Row],[Cuenta]],1))</f>
        <v>1</v>
      </c>
      <c r="AL958" t="b">
        <f>+ISNUMBER(SEARCH('F-VTA'!$F$31,Tabla11[[#This Row],[Cuenta]],1))</f>
        <v>1</v>
      </c>
      <c r="AM958" t="b">
        <f>+ISNUMBER(SEARCH('F-VTA'!$F$32,Tabla11[[#This Row],[Cuenta]],1))</f>
        <v>1</v>
      </c>
      <c r="AN958" t="b">
        <f>+ISNUMBER(SEARCH('F-VTA'!$F$33,Tabla11[[#This Row],[Cuenta]],1))</f>
        <v>1</v>
      </c>
      <c r="AO958" t="b">
        <f>+ISNUMBER(SEARCH('F-VTA'!$F$34,Tabla11[[#This Row],[Cuenta]],1))</f>
        <v>1</v>
      </c>
      <c r="AP958" t="b">
        <f>+ISNUMBER(SEARCH('F-VTA'!$F$35,Tabla11[[#This Row],[Cuenta]],1))</f>
        <v>1</v>
      </c>
      <c r="AQ958" t="b">
        <f>+ISNUMBER(SEARCH('F-VTA'!$F$36,Tabla11[[#This Row],[Cuenta]],1))</f>
        <v>1</v>
      </c>
      <c r="AR958" t="b">
        <f>+ISNUMBER(SEARCH(#REF!,Tabla11[[#This Row],[Cuenta]],1))</f>
        <v>0</v>
      </c>
      <c r="AS958" t="b">
        <f>+ISNUMBER(SEARCH(#REF!,Tabla11[[#This Row],[Cuenta]],1))</f>
        <v>0</v>
      </c>
      <c r="AT958" t="b">
        <f>+ISNUMBER(SEARCH(#REF!,Tabla11[[#This Row],[Cuenta]],1))</f>
        <v>0</v>
      </c>
      <c r="AU958" t="b">
        <f>+ISNUMBER(SEARCH('Conc. Ban.1'!$I$9,Tabla11[[#This Row],[Cuenta]],1))</f>
        <v>0</v>
      </c>
      <c r="AV958" t="b">
        <f>+ISNUMBER(SEARCH(CompConta!$F$21,Tabla11[[#This Row],[Cuenta]],1))</f>
        <v>1</v>
      </c>
      <c r="AW958" t="b">
        <f>+ISNUMBER(SEARCH(CompConta!$F$22,Tabla11[[#This Row],[Cuenta]],1))</f>
        <v>1</v>
      </c>
      <c r="AX958" t="b">
        <f>+ISNUMBER(SEARCH(CompConta!$F$23,Tabla11[[#This Row],[Cuenta]],1))</f>
        <v>1</v>
      </c>
      <c r="AY958" t="b">
        <f>+ISNUMBER(SEARCH(CompConta!$F$24,Tabla11[[#This Row],[Cuenta]],1))</f>
        <v>1</v>
      </c>
      <c r="AZ958" t="b">
        <f>+ISNUMBER(SEARCH(CompConta!$F$25,Tabla11[[#This Row],[Cuenta]],1))</f>
        <v>1</v>
      </c>
      <c r="BA958" t="b">
        <f>+ISNUMBER(SEARCH(CompConta!$F$26,Tabla11[[#This Row],[Cuenta]],1))</f>
        <v>1</v>
      </c>
      <c r="BB958" t="b">
        <f>+ISNUMBER(SEARCH(CompConta!$F$27,Tabla11[[#This Row],[Cuenta]],1))</f>
        <v>1</v>
      </c>
      <c r="BC958" t="b">
        <f>+ISNUMBER(SEARCH(CompConta!$F$28,Tabla11[[#This Row],[Cuenta]],1))</f>
        <v>1</v>
      </c>
      <c r="BD958" t="b">
        <f>+ISNUMBER(SEARCH(CompConta!$F$29,Tabla11[[#This Row],[Cuenta]],1))</f>
        <v>1</v>
      </c>
      <c r="BE958" t="b">
        <f>+ISNUMBER(SEARCH(CompConta!$F$30,Tabla11[[#This Row],[Cuenta]],1))</f>
        <v>1</v>
      </c>
      <c r="BF958" t="b">
        <f>+ISNUMBER(SEARCH('PAGO Compras'!$E$11,Tabla11[[#This Row],[Cuenta]],1))</f>
        <v>1</v>
      </c>
      <c r="BG958" t="b">
        <f>+ISNUMBER(SEARCH(#REF!,Tabla11[[#This Row],[Cuenta]],1))</f>
        <v>0</v>
      </c>
      <c r="BH958" t="b">
        <f>+ISNUMBER(SEARCH(#REF!,Tabla11[[#This Row],[Cuenta]],1))</f>
        <v>0</v>
      </c>
      <c r="BI958" t="b">
        <f>+ISNUMBER(SEARCH(#REF!,Tabla11[[#This Row],[Cuenta]],1))</f>
        <v>0</v>
      </c>
      <c r="BJ958" t="b">
        <f>+ISNUMBER(SEARCH(#REF!,Tabla11[[#This Row],[Cuenta]],1))</f>
        <v>0</v>
      </c>
      <c r="BS958" t="str">
        <v>520542 Primas extralegales</v>
      </c>
      <c r="BT958" t="str">
        <v>520542 Primas extralegales</v>
      </c>
      <c r="BU958" t="str">
        <v>520542 Primas extralegales</v>
      </c>
      <c r="BV958" t="str">
        <v>520542 Primas extralegales</v>
      </c>
      <c r="BZ958" t="str">
        <v>520542 Primas extralegales</v>
      </c>
      <c r="CA958" t="str">
        <v>520542 Primas extralegales</v>
      </c>
      <c r="CB958" t="str">
        <v>520542 Primas extralegales</v>
      </c>
      <c r="CC958" t="str">
        <v>520542 Primas extralegales</v>
      </c>
      <c r="CD958" t="str">
        <v>520542 Primas extralegales</v>
      </c>
      <c r="CE958" t="str">
        <v>520542 Primas extralegales</v>
      </c>
      <c r="CS958" s="141" t="str">
        <v>520542 Primas extralegales</v>
      </c>
      <c r="CT958" s="141" t="str">
        <v>520542 Primas extralegales</v>
      </c>
      <c r="CU958" s="141" t="str">
        <v>520542 Primas extralegales</v>
      </c>
      <c r="CV958" s="141" t="str">
        <v>520542 Primas extralegales</v>
      </c>
      <c r="CW958" s="141" t="str">
        <v>520542 Primas extralegales</v>
      </c>
      <c r="CX958" s="141" t="str">
        <v>520542 Primas extralegales</v>
      </c>
      <c r="CY958" s="141" t="str">
        <v>520542 Primas extralegales</v>
      </c>
      <c r="CZ958" s="141" t="str">
        <v>520542 Primas extralegales</v>
      </c>
      <c r="DA958" s="141" t="str">
        <v>520542 Primas extralegales</v>
      </c>
      <c r="DF958" t="str">
        <v>520542 Primas extralegales</v>
      </c>
      <c r="DG958" t="str">
        <v>520542 Primas extralegales</v>
      </c>
      <c r="DH958" t="str">
        <v>520542 Primas extralegales</v>
      </c>
      <c r="DI958" t="str">
        <v>520542 Primas extralegales</v>
      </c>
      <c r="DJ958" t="str">
        <v>520542 Primas extralegales</v>
      </c>
      <c r="DK958" t="str">
        <v>520542 Primas extralegales</v>
      </c>
      <c r="DL958" t="str">
        <v>520542 Primas extralegales</v>
      </c>
      <c r="DM958" t="str">
        <v>520542 Primas extralegales</v>
      </c>
      <c r="DN958" t="str">
        <v>520542 Primas extralegales</v>
      </c>
      <c r="DO958" t="str">
        <v>520542 Primas extralegales</v>
      </c>
      <c r="DP958" t="str">
        <v>520542 Primas extralegales</v>
      </c>
    </row>
    <row r="959" spans="4:120" ht="12.75">
      <c r="D959" s="7">
        <v>520545</v>
      </c>
      <c r="E959" s="6" t="s">
        <v>386</v>
      </c>
      <c r="F959" s="5">
        <v>4</v>
      </c>
      <c r="G959" s="34" t="s">
        <v>830</v>
      </c>
      <c r="H959" s="8" t="s">
        <v>32</v>
      </c>
      <c r="I959" t="b">
        <f>+ISNUMBER(SEARCH('F-COMPRA'!$F$28,Tabla11[[#This Row],[Cuenta]],1))</f>
        <v>1</v>
      </c>
      <c r="J959" t="b">
        <f>+ISNUMBER(SEARCH('F-COMPRA'!$F$29,Tabla11[[#This Row],[Cuenta]],1))</f>
        <v>1</v>
      </c>
      <c r="K959" t="b">
        <f>+ISNUMBER(SEARCH('F-COMPRA'!$F$30,Tabla11[[#This Row],[Cuenta]],1))</f>
        <v>1</v>
      </c>
      <c r="L959" t="b">
        <f>+ISNUMBER(SEARCH('F-COMPRA'!$F$31,Tabla11[[#This Row],[Cuenta]],1))</f>
        <v>1</v>
      </c>
      <c r="M959" t="b">
        <f>+ISNUMBER(SEARCH('F-COMPRA'!$G$25,Tabla11[[#This Row],[Cuenta]],1))</f>
        <v>0</v>
      </c>
      <c r="N959" t="b">
        <f>+ISNUMBER(SEARCH(#REF!,Tabla11[[#This Row],[Cuenta]],1))</f>
        <v>0</v>
      </c>
      <c r="O959" t="b">
        <f>+ISNUMBER(SEARCH(#REF!,Tabla11[[#This Row],[Cuenta]],1))</f>
        <v>0</v>
      </c>
      <c r="P959" t="b">
        <f>+ISNUMBER(SEARCH('F-COMPRA'!$F$32,Tabla11[[#This Row],[Cuenta]],1))</f>
        <v>1</v>
      </c>
      <c r="Q959" t="b">
        <f>+ISNUMBER(SEARCH('F-COMPRA'!$F$33,Tabla11[[#This Row],[Cuenta]],1))</f>
        <v>1</v>
      </c>
      <c r="R959" t="b">
        <f>+ISNUMBER(SEARCH('F-COMPRA'!$F$34,Tabla11[[#This Row],[Cuenta]],1))</f>
        <v>1</v>
      </c>
      <c r="S959" t="b">
        <f>+ISNUMBER(SEARCH('F-COMPRA'!$F$35,Tabla11[[#This Row],[Cuenta]],1))</f>
        <v>1</v>
      </c>
      <c r="T959" t="b">
        <f>+ISNUMBER(SEARCH('F-COMPRA'!$F$36,Tabla11[[#This Row],[Cuenta]],1))</f>
        <v>1</v>
      </c>
      <c r="U959" t="b">
        <f>+ISNUMBER(SEARCH('F-COMPRA'!$F$37,Tabla11[[#This Row],[Cuenta]],1))</f>
        <v>1</v>
      </c>
      <c r="V959" t="b">
        <f>+ISNUMBER(SEARCH(#REF!,Tabla11[[#This Row],[Cuenta]],1))</f>
        <v>0</v>
      </c>
      <c r="W959" t="b">
        <f>+ISNUMBER(SEARCH('F-COMPRA'!#REF!,Tabla11[[#This Row],[Cuenta]],1))</f>
        <v>0</v>
      </c>
      <c r="X959" t="b">
        <f>+ISNUMBER(SEARCH('F-COMPRA'!#REF!,Tabla11[[#This Row],[Cuenta]],1))</f>
        <v>0</v>
      </c>
      <c r="Y959" t="b">
        <f>+ISNUMBER(SEARCH('F-COMPRA'!#REF!,Tabla11[[#This Row],[Cuenta]],1))</f>
        <v>0</v>
      </c>
      <c r="Z959" t="b">
        <f>+ISNUMBER(SEARCH('F-COMPRA'!#REF!,Tabla11[[#This Row],[Cuenta]],1))</f>
        <v>0</v>
      </c>
      <c r="AA959" t="b">
        <f>+ISNUMBER(SEARCH('F-COMPRA'!#REF!,Tabla11[[#This Row],[Cuenta]],1))</f>
        <v>0</v>
      </c>
      <c r="AB959" t="b">
        <f>+ISNUMBER(SEARCH('F-COMPRA'!#REF!,Tabla11[[#This Row],[Cuenta]],1))</f>
        <v>0</v>
      </c>
      <c r="AC959" t="b">
        <f>+ISNUMBER(SEARCH('F-COMPRA'!#REF!,Tabla11[[#This Row],[Cuenta]],1))</f>
        <v>0</v>
      </c>
      <c r="AD959" t="b">
        <f>+ISNUMBER(SEARCH('F-COMPRA'!#REF!,Tabla11[[#This Row],[Cuenta]],1))</f>
        <v>0</v>
      </c>
      <c r="AE959" t="b">
        <f>+ISNUMBER(SEARCH('F-COMPRA'!#REF!,Tabla11[[#This Row],[Cuenta]],1))</f>
        <v>0</v>
      </c>
      <c r="AF959" t="b">
        <f>+ISNUMBER(SEARCH('F-VTA'!$G$23,Tabla11[[#This Row],[Cuenta]],1))</f>
        <v>0</v>
      </c>
      <c r="AG959" t="b">
        <f>+ISNUMBER(SEARCH('F-VTA'!$G$24,Tabla11[[#This Row],[Cuenta]],1))</f>
        <v>0</v>
      </c>
      <c r="AH959" t="b">
        <f>+ISNUMBER(SEARCH('F-VTA'!$G$25,Tabla11[[#This Row],[Cuenta]],1))</f>
        <v>0</v>
      </c>
      <c r="AI959" t="b">
        <f>+ISNUMBER(SEARCH('F-VTA'!$F$28,Tabla11[[#This Row],[Cuenta]],1))</f>
        <v>1</v>
      </c>
      <c r="AJ959" t="b">
        <f>+ISNUMBER(SEARCH('F-VTA'!$F$29,Tabla11[[#This Row],[Cuenta]],1))</f>
        <v>1</v>
      </c>
      <c r="AK959" t="b">
        <f>+ISNUMBER(SEARCH('F-VTA'!$F$30,Tabla11[[#This Row],[Cuenta]],1))</f>
        <v>1</v>
      </c>
      <c r="AL959" t="b">
        <f>+ISNUMBER(SEARCH('F-VTA'!$F$31,Tabla11[[#This Row],[Cuenta]],1))</f>
        <v>1</v>
      </c>
      <c r="AM959" t="b">
        <f>+ISNUMBER(SEARCH('F-VTA'!$F$32,Tabla11[[#This Row],[Cuenta]],1))</f>
        <v>1</v>
      </c>
      <c r="AN959" t="b">
        <f>+ISNUMBER(SEARCH('F-VTA'!$F$33,Tabla11[[#This Row],[Cuenta]],1))</f>
        <v>1</v>
      </c>
      <c r="AO959" t="b">
        <f>+ISNUMBER(SEARCH('F-VTA'!$F$34,Tabla11[[#This Row],[Cuenta]],1))</f>
        <v>1</v>
      </c>
      <c r="AP959" t="b">
        <f>+ISNUMBER(SEARCH('F-VTA'!$F$35,Tabla11[[#This Row],[Cuenta]],1))</f>
        <v>1</v>
      </c>
      <c r="AQ959" t="b">
        <f>+ISNUMBER(SEARCH('F-VTA'!$F$36,Tabla11[[#This Row],[Cuenta]],1))</f>
        <v>1</v>
      </c>
      <c r="AR959" t="b">
        <f>+ISNUMBER(SEARCH(#REF!,Tabla11[[#This Row],[Cuenta]],1))</f>
        <v>0</v>
      </c>
      <c r="AS959" t="b">
        <f>+ISNUMBER(SEARCH(#REF!,Tabla11[[#This Row],[Cuenta]],1))</f>
        <v>0</v>
      </c>
      <c r="AT959" t="b">
        <f>+ISNUMBER(SEARCH(#REF!,Tabla11[[#This Row],[Cuenta]],1))</f>
        <v>0</v>
      </c>
      <c r="AU959" t="b">
        <f>+ISNUMBER(SEARCH('Conc. Ban.1'!$I$9,Tabla11[[#This Row],[Cuenta]],1))</f>
        <v>0</v>
      </c>
      <c r="AV959" t="b">
        <f>+ISNUMBER(SEARCH(CompConta!$F$21,Tabla11[[#This Row],[Cuenta]],1))</f>
        <v>1</v>
      </c>
      <c r="AW959" t="b">
        <f>+ISNUMBER(SEARCH(CompConta!$F$22,Tabla11[[#This Row],[Cuenta]],1))</f>
        <v>1</v>
      </c>
      <c r="AX959" t="b">
        <f>+ISNUMBER(SEARCH(CompConta!$F$23,Tabla11[[#This Row],[Cuenta]],1))</f>
        <v>1</v>
      </c>
      <c r="AY959" t="b">
        <f>+ISNUMBER(SEARCH(CompConta!$F$24,Tabla11[[#This Row],[Cuenta]],1))</f>
        <v>1</v>
      </c>
      <c r="AZ959" t="b">
        <f>+ISNUMBER(SEARCH(CompConta!$F$25,Tabla11[[#This Row],[Cuenta]],1))</f>
        <v>1</v>
      </c>
      <c r="BA959" t="b">
        <f>+ISNUMBER(SEARCH(CompConta!$F$26,Tabla11[[#This Row],[Cuenta]],1))</f>
        <v>1</v>
      </c>
      <c r="BB959" t="b">
        <f>+ISNUMBER(SEARCH(CompConta!$F$27,Tabla11[[#This Row],[Cuenta]],1))</f>
        <v>1</v>
      </c>
      <c r="BC959" t="b">
        <f>+ISNUMBER(SEARCH(CompConta!$F$28,Tabla11[[#This Row],[Cuenta]],1))</f>
        <v>1</v>
      </c>
      <c r="BD959" t="b">
        <f>+ISNUMBER(SEARCH(CompConta!$F$29,Tabla11[[#This Row],[Cuenta]],1))</f>
        <v>1</v>
      </c>
      <c r="BE959" t="b">
        <f>+ISNUMBER(SEARCH(CompConta!$F$30,Tabla11[[#This Row],[Cuenta]],1))</f>
        <v>1</v>
      </c>
      <c r="BF959" t="b">
        <f>+ISNUMBER(SEARCH('PAGO Compras'!$E$11,Tabla11[[#This Row],[Cuenta]],1))</f>
        <v>1</v>
      </c>
      <c r="BG959" t="b">
        <f>+ISNUMBER(SEARCH(#REF!,Tabla11[[#This Row],[Cuenta]],1))</f>
        <v>0</v>
      </c>
      <c r="BH959" t="b">
        <f>+ISNUMBER(SEARCH(#REF!,Tabla11[[#This Row],[Cuenta]],1))</f>
        <v>0</v>
      </c>
      <c r="BI959" t="b">
        <f>+ISNUMBER(SEARCH(#REF!,Tabla11[[#This Row],[Cuenta]],1))</f>
        <v>0</v>
      </c>
      <c r="BJ959" t="b">
        <f>+ISNUMBER(SEARCH(#REF!,Tabla11[[#This Row],[Cuenta]],1))</f>
        <v>0</v>
      </c>
      <c r="BS959" t="str">
        <v>520545 Auxilios</v>
      </c>
      <c r="BT959" t="str">
        <v>520545 Auxilios</v>
      </c>
      <c r="BU959" t="str">
        <v>520545 Auxilios</v>
      </c>
      <c r="BV959" t="str">
        <v>520545 Auxilios</v>
      </c>
      <c r="BZ959" t="str">
        <v>520545 Auxilios</v>
      </c>
      <c r="CA959" t="str">
        <v>520545 Auxilios</v>
      </c>
      <c r="CB959" t="str">
        <v>520545 Auxilios</v>
      </c>
      <c r="CC959" t="str">
        <v>520545 Auxilios</v>
      </c>
      <c r="CD959" t="str">
        <v>520545 Auxilios</v>
      </c>
      <c r="CE959" t="str">
        <v>520545 Auxilios</v>
      </c>
      <c r="CS959" s="141" t="str">
        <v>520545 Auxilios</v>
      </c>
      <c r="CT959" s="141" t="str">
        <v>520545 Auxilios</v>
      </c>
      <c r="CU959" s="141" t="str">
        <v>520545 Auxilios</v>
      </c>
      <c r="CV959" s="141" t="str">
        <v>520545 Auxilios</v>
      </c>
      <c r="CW959" s="141" t="str">
        <v>520545 Auxilios</v>
      </c>
      <c r="CX959" s="141" t="str">
        <v>520545 Auxilios</v>
      </c>
      <c r="CY959" s="141" t="str">
        <v>520545 Auxilios</v>
      </c>
      <c r="CZ959" s="141" t="str">
        <v>520545 Auxilios</v>
      </c>
      <c r="DA959" s="141" t="str">
        <v>520545 Auxilios</v>
      </c>
      <c r="DF959" t="str">
        <v>520545 Auxilios</v>
      </c>
      <c r="DG959" t="str">
        <v>520545 Auxilios</v>
      </c>
      <c r="DH959" t="str">
        <v>520545 Auxilios</v>
      </c>
      <c r="DI959" t="str">
        <v>520545 Auxilios</v>
      </c>
      <c r="DJ959" t="str">
        <v>520545 Auxilios</v>
      </c>
      <c r="DK959" t="str">
        <v>520545 Auxilios</v>
      </c>
      <c r="DL959" t="str">
        <v>520545 Auxilios</v>
      </c>
      <c r="DM959" t="str">
        <v>520545 Auxilios</v>
      </c>
      <c r="DN959" t="str">
        <v>520545 Auxilios</v>
      </c>
      <c r="DO959" t="str">
        <v>520545 Auxilios</v>
      </c>
      <c r="DP959" t="str">
        <v>520545 Auxilios</v>
      </c>
    </row>
    <row r="960" spans="4:120" ht="12.75">
      <c r="D960" s="7">
        <v>520548</v>
      </c>
      <c r="E960" s="6" t="s">
        <v>387</v>
      </c>
      <c r="F960" s="5">
        <v>4</v>
      </c>
      <c r="G960" s="34" t="s">
        <v>830</v>
      </c>
      <c r="H960" s="8" t="s">
        <v>32</v>
      </c>
      <c r="I960" t="b">
        <f>+ISNUMBER(SEARCH('F-COMPRA'!$F$28,Tabla11[[#This Row],[Cuenta]],1))</f>
        <v>1</v>
      </c>
      <c r="J960" t="b">
        <f>+ISNUMBER(SEARCH('F-COMPRA'!$F$29,Tabla11[[#This Row],[Cuenta]],1))</f>
        <v>1</v>
      </c>
      <c r="K960" t="b">
        <f>+ISNUMBER(SEARCH('F-COMPRA'!$F$30,Tabla11[[#This Row],[Cuenta]],1))</f>
        <v>1</v>
      </c>
      <c r="L960" t="b">
        <f>+ISNUMBER(SEARCH('F-COMPRA'!$F$31,Tabla11[[#This Row],[Cuenta]],1))</f>
        <v>1</v>
      </c>
      <c r="M960" t="b">
        <f>+ISNUMBER(SEARCH('F-COMPRA'!$G$25,Tabla11[[#This Row],[Cuenta]],1))</f>
        <v>0</v>
      </c>
      <c r="N960" t="b">
        <f>+ISNUMBER(SEARCH(#REF!,Tabla11[[#This Row],[Cuenta]],1))</f>
        <v>0</v>
      </c>
      <c r="O960" t="b">
        <f>+ISNUMBER(SEARCH(#REF!,Tabla11[[#This Row],[Cuenta]],1))</f>
        <v>0</v>
      </c>
      <c r="P960" t="b">
        <f>+ISNUMBER(SEARCH('F-COMPRA'!$F$32,Tabla11[[#This Row],[Cuenta]],1))</f>
        <v>1</v>
      </c>
      <c r="Q960" t="b">
        <f>+ISNUMBER(SEARCH('F-COMPRA'!$F$33,Tabla11[[#This Row],[Cuenta]],1))</f>
        <v>1</v>
      </c>
      <c r="R960" t="b">
        <f>+ISNUMBER(SEARCH('F-COMPRA'!$F$34,Tabla11[[#This Row],[Cuenta]],1))</f>
        <v>1</v>
      </c>
      <c r="S960" t="b">
        <f>+ISNUMBER(SEARCH('F-COMPRA'!$F$35,Tabla11[[#This Row],[Cuenta]],1))</f>
        <v>1</v>
      </c>
      <c r="T960" t="b">
        <f>+ISNUMBER(SEARCH('F-COMPRA'!$F$36,Tabla11[[#This Row],[Cuenta]],1))</f>
        <v>1</v>
      </c>
      <c r="U960" t="b">
        <f>+ISNUMBER(SEARCH('F-COMPRA'!$F$37,Tabla11[[#This Row],[Cuenta]],1))</f>
        <v>1</v>
      </c>
      <c r="V960" t="b">
        <f>+ISNUMBER(SEARCH(#REF!,Tabla11[[#This Row],[Cuenta]],1))</f>
        <v>0</v>
      </c>
      <c r="W960" t="b">
        <f>+ISNUMBER(SEARCH('F-COMPRA'!#REF!,Tabla11[[#This Row],[Cuenta]],1))</f>
        <v>0</v>
      </c>
      <c r="X960" t="b">
        <f>+ISNUMBER(SEARCH('F-COMPRA'!#REF!,Tabla11[[#This Row],[Cuenta]],1))</f>
        <v>0</v>
      </c>
      <c r="Y960" t="b">
        <f>+ISNUMBER(SEARCH('F-COMPRA'!#REF!,Tabla11[[#This Row],[Cuenta]],1))</f>
        <v>0</v>
      </c>
      <c r="Z960" t="b">
        <f>+ISNUMBER(SEARCH('F-COMPRA'!#REF!,Tabla11[[#This Row],[Cuenta]],1))</f>
        <v>0</v>
      </c>
      <c r="AA960" t="b">
        <f>+ISNUMBER(SEARCH('F-COMPRA'!#REF!,Tabla11[[#This Row],[Cuenta]],1))</f>
        <v>0</v>
      </c>
      <c r="AB960" t="b">
        <f>+ISNUMBER(SEARCH('F-COMPRA'!#REF!,Tabla11[[#This Row],[Cuenta]],1))</f>
        <v>0</v>
      </c>
      <c r="AC960" t="b">
        <f>+ISNUMBER(SEARCH('F-COMPRA'!#REF!,Tabla11[[#This Row],[Cuenta]],1))</f>
        <v>0</v>
      </c>
      <c r="AD960" t="b">
        <f>+ISNUMBER(SEARCH('F-COMPRA'!#REF!,Tabla11[[#This Row],[Cuenta]],1))</f>
        <v>0</v>
      </c>
      <c r="AE960" t="b">
        <f>+ISNUMBER(SEARCH('F-COMPRA'!#REF!,Tabla11[[#This Row],[Cuenta]],1))</f>
        <v>0</v>
      </c>
      <c r="AF960" t="b">
        <f>+ISNUMBER(SEARCH('F-VTA'!$G$23,Tabla11[[#This Row],[Cuenta]],1))</f>
        <v>0</v>
      </c>
      <c r="AG960" t="b">
        <f>+ISNUMBER(SEARCH('F-VTA'!$G$24,Tabla11[[#This Row],[Cuenta]],1))</f>
        <v>0</v>
      </c>
      <c r="AH960" t="b">
        <f>+ISNUMBER(SEARCH('F-VTA'!$G$25,Tabla11[[#This Row],[Cuenta]],1))</f>
        <v>0</v>
      </c>
      <c r="AI960" t="b">
        <f>+ISNUMBER(SEARCH('F-VTA'!$F$28,Tabla11[[#This Row],[Cuenta]],1))</f>
        <v>1</v>
      </c>
      <c r="AJ960" t="b">
        <f>+ISNUMBER(SEARCH('F-VTA'!$F$29,Tabla11[[#This Row],[Cuenta]],1))</f>
        <v>1</v>
      </c>
      <c r="AK960" t="b">
        <f>+ISNUMBER(SEARCH('F-VTA'!$F$30,Tabla11[[#This Row],[Cuenta]],1))</f>
        <v>1</v>
      </c>
      <c r="AL960" t="b">
        <f>+ISNUMBER(SEARCH('F-VTA'!$F$31,Tabla11[[#This Row],[Cuenta]],1))</f>
        <v>1</v>
      </c>
      <c r="AM960" t="b">
        <f>+ISNUMBER(SEARCH('F-VTA'!$F$32,Tabla11[[#This Row],[Cuenta]],1))</f>
        <v>1</v>
      </c>
      <c r="AN960" t="b">
        <f>+ISNUMBER(SEARCH('F-VTA'!$F$33,Tabla11[[#This Row],[Cuenta]],1))</f>
        <v>1</v>
      </c>
      <c r="AO960" t="b">
        <f>+ISNUMBER(SEARCH('F-VTA'!$F$34,Tabla11[[#This Row],[Cuenta]],1))</f>
        <v>1</v>
      </c>
      <c r="AP960" t="b">
        <f>+ISNUMBER(SEARCH('F-VTA'!$F$35,Tabla11[[#This Row],[Cuenta]],1))</f>
        <v>1</v>
      </c>
      <c r="AQ960" t="b">
        <f>+ISNUMBER(SEARCH('F-VTA'!$F$36,Tabla11[[#This Row],[Cuenta]],1))</f>
        <v>1</v>
      </c>
      <c r="AR960" t="b">
        <f>+ISNUMBER(SEARCH(#REF!,Tabla11[[#This Row],[Cuenta]],1))</f>
        <v>0</v>
      </c>
      <c r="AS960" t="b">
        <f>+ISNUMBER(SEARCH(#REF!,Tabla11[[#This Row],[Cuenta]],1))</f>
        <v>0</v>
      </c>
      <c r="AT960" t="b">
        <f>+ISNUMBER(SEARCH(#REF!,Tabla11[[#This Row],[Cuenta]],1))</f>
        <v>0</v>
      </c>
      <c r="AU960" t="b">
        <f>+ISNUMBER(SEARCH('Conc. Ban.1'!$I$9,Tabla11[[#This Row],[Cuenta]],1))</f>
        <v>0</v>
      </c>
      <c r="AV960" t="b">
        <f>+ISNUMBER(SEARCH(CompConta!$F$21,Tabla11[[#This Row],[Cuenta]],1))</f>
        <v>1</v>
      </c>
      <c r="AW960" t="b">
        <f>+ISNUMBER(SEARCH(CompConta!$F$22,Tabla11[[#This Row],[Cuenta]],1))</f>
        <v>1</v>
      </c>
      <c r="AX960" t="b">
        <f>+ISNUMBER(SEARCH(CompConta!$F$23,Tabla11[[#This Row],[Cuenta]],1))</f>
        <v>1</v>
      </c>
      <c r="AY960" t="b">
        <f>+ISNUMBER(SEARCH(CompConta!$F$24,Tabla11[[#This Row],[Cuenta]],1))</f>
        <v>1</v>
      </c>
      <c r="AZ960" t="b">
        <f>+ISNUMBER(SEARCH(CompConta!$F$25,Tabla11[[#This Row],[Cuenta]],1))</f>
        <v>1</v>
      </c>
      <c r="BA960" t="b">
        <f>+ISNUMBER(SEARCH(CompConta!$F$26,Tabla11[[#This Row],[Cuenta]],1))</f>
        <v>1</v>
      </c>
      <c r="BB960" t="b">
        <f>+ISNUMBER(SEARCH(CompConta!$F$27,Tabla11[[#This Row],[Cuenta]],1))</f>
        <v>1</v>
      </c>
      <c r="BC960" t="b">
        <f>+ISNUMBER(SEARCH(CompConta!$F$28,Tabla11[[#This Row],[Cuenta]],1))</f>
        <v>1</v>
      </c>
      <c r="BD960" t="b">
        <f>+ISNUMBER(SEARCH(CompConta!$F$29,Tabla11[[#This Row],[Cuenta]],1))</f>
        <v>1</v>
      </c>
      <c r="BE960" t="b">
        <f>+ISNUMBER(SEARCH(CompConta!$F$30,Tabla11[[#This Row],[Cuenta]],1))</f>
        <v>1</v>
      </c>
      <c r="BF960" t="b">
        <f>+ISNUMBER(SEARCH('PAGO Compras'!$E$11,Tabla11[[#This Row],[Cuenta]],1))</f>
        <v>1</v>
      </c>
      <c r="BG960" t="b">
        <f>+ISNUMBER(SEARCH(#REF!,Tabla11[[#This Row],[Cuenta]],1))</f>
        <v>0</v>
      </c>
      <c r="BH960" t="b">
        <f>+ISNUMBER(SEARCH(#REF!,Tabla11[[#This Row],[Cuenta]],1))</f>
        <v>0</v>
      </c>
      <c r="BI960" t="b">
        <f>+ISNUMBER(SEARCH(#REF!,Tabla11[[#This Row],[Cuenta]],1))</f>
        <v>0</v>
      </c>
      <c r="BJ960" t="b">
        <f>+ISNUMBER(SEARCH(#REF!,Tabla11[[#This Row],[Cuenta]],1))</f>
        <v>0</v>
      </c>
      <c r="BS960" t="str">
        <v>520548 Bonificaciones</v>
      </c>
      <c r="BT960" t="str">
        <v>520548 Bonificaciones</v>
      </c>
      <c r="BU960" t="str">
        <v>520548 Bonificaciones</v>
      </c>
      <c r="BV960" t="str">
        <v>520548 Bonificaciones</v>
      </c>
      <c r="BZ960" t="str">
        <v>520548 Bonificaciones</v>
      </c>
      <c r="CA960" t="str">
        <v>520548 Bonificaciones</v>
      </c>
      <c r="CB960" t="str">
        <v>520548 Bonificaciones</v>
      </c>
      <c r="CC960" t="str">
        <v>520548 Bonificaciones</v>
      </c>
      <c r="CD960" t="str">
        <v>520548 Bonificaciones</v>
      </c>
      <c r="CE960" t="str">
        <v>520548 Bonificaciones</v>
      </c>
      <c r="CS960" s="141" t="str">
        <v>520548 Bonificaciones</v>
      </c>
      <c r="CT960" s="141" t="str">
        <v>520548 Bonificaciones</v>
      </c>
      <c r="CU960" s="141" t="str">
        <v>520548 Bonificaciones</v>
      </c>
      <c r="CV960" s="141" t="str">
        <v>520548 Bonificaciones</v>
      </c>
      <c r="CW960" s="141" t="str">
        <v>520548 Bonificaciones</v>
      </c>
      <c r="CX960" s="141" t="str">
        <v>520548 Bonificaciones</v>
      </c>
      <c r="CY960" s="141" t="str">
        <v>520548 Bonificaciones</v>
      </c>
      <c r="CZ960" s="141" t="str">
        <v>520548 Bonificaciones</v>
      </c>
      <c r="DA960" s="141" t="str">
        <v>520548 Bonificaciones</v>
      </c>
      <c r="DF960" t="str">
        <v>520548 Bonificaciones</v>
      </c>
      <c r="DG960" t="str">
        <v>520548 Bonificaciones</v>
      </c>
      <c r="DH960" t="str">
        <v>520548 Bonificaciones</v>
      </c>
      <c r="DI960" t="str">
        <v>520548 Bonificaciones</v>
      </c>
      <c r="DJ960" t="str">
        <v>520548 Bonificaciones</v>
      </c>
      <c r="DK960" t="str">
        <v>520548 Bonificaciones</v>
      </c>
      <c r="DL960" t="str">
        <v>520548 Bonificaciones</v>
      </c>
      <c r="DM960" t="str">
        <v>520548 Bonificaciones</v>
      </c>
      <c r="DN960" t="str">
        <v>520548 Bonificaciones</v>
      </c>
      <c r="DO960" t="str">
        <v>520548 Bonificaciones</v>
      </c>
      <c r="DP960" t="str">
        <v>520548 Bonificaciones</v>
      </c>
    </row>
    <row r="961" spans="4:120" ht="12.75">
      <c r="D961" s="7">
        <v>520551</v>
      </c>
      <c r="E961" s="6" t="s">
        <v>276</v>
      </c>
      <c r="F961" s="5">
        <v>4</v>
      </c>
      <c r="G961" s="34" t="s">
        <v>830</v>
      </c>
      <c r="H961" s="8" t="s">
        <v>32</v>
      </c>
      <c r="I961" t="b">
        <f>+ISNUMBER(SEARCH('F-COMPRA'!$F$28,Tabla11[[#This Row],[Cuenta]],1))</f>
        <v>1</v>
      </c>
      <c r="J961" t="b">
        <f>+ISNUMBER(SEARCH('F-COMPRA'!$F$29,Tabla11[[#This Row],[Cuenta]],1))</f>
        <v>1</v>
      </c>
      <c r="K961" t="b">
        <f>+ISNUMBER(SEARCH('F-COMPRA'!$F$30,Tabla11[[#This Row],[Cuenta]],1))</f>
        <v>1</v>
      </c>
      <c r="L961" t="b">
        <f>+ISNUMBER(SEARCH('F-COMPRA'!$F$31,Tabla11[[#This Row],[Cuenta]],1))</f>
        <v>1</v>
      </c>
      <c r="M961" t="b">
        <f>+ISNUMBER(SEARCH('F-COMPRA'!$G$25,Tabla11[[#This Row],[Cuenta]],1))</f>
        <v>0</v>
      </c>
      <c r="N961" t="b">
        <f>+ISNUMBER(SEARCH(#REF!,Tabla11[[#This Row],[Cuenta]],1))</f>
        <v>0</v>
      </c>
      <c r="O961" t="b">
        <f>+ISNUMBER(SEARCH(#REF!,Tabla11[[#This Row],[Cuenta]],1))</f>
        <v>0</v>
      </c>
      <c r="P961" t="b">
        <f>+ISNUMBER(SEARCH('F-COMPRA'!$F$32,Tabla11[[#This Row],[Cuenta]],1))</f>
        <v>1</v>
      </c>
      <c r="Q961" t="b">
        <f>+ISNUMBER(SEARCH('F-COMPRA'!$F$33,Tabla11[[#This Row],[Cuenta]],1))</f>
        <v>1</v>
      </c>
      <c r="R961" t="b">
        <f>+ISNUMBER(SEARCH('F-COMPRA'!$F$34,Tabla11[[#This Row],[Cuenta]],1))</f>
        <v>1</v>
      </c>
      <c r="S961" t="b">
        <f>+ISNUMBER(SEARCH('F-COMPRA'!$F$35,Tabla11[[#This Row],[Cuenta]],1))</f>
        <v>1</v>
      </c>
      <c r="T961" t="b">
        <f>+ISNUMBER(SEARCH('F-COMPRA'!$F$36,Tabla11[[#This Row],[Cuenta]],1))</f>
        <v>1</v>
      </c>
      <c r="U961" t="b">
        <f>+ISNUMBER(SEARCH('F-COMPRA'!$F$37,Tabla11[[#This Row],[Cuenta]],1))</f>
        <v>1</v>
      </c>
      <c r="V961" t="b">
        <f>+ISNUMBER(SEARCH(#REF!,Tabla11[[#This Row],[Cuenta]],1))</f>
        <v>0</v>
      </c>
      <c r="W961" t="b">
        <f>+ISNUMBER(SEARCH('F-COMPRA'!#REF!,Tabla11[[#This Row],[Cuenta]],1))</f>
        <v>0</v>
      </c>
      <c r="X961" t="b">
        <f>+ISNUMBER(SEARCH('F-COMPRA'!#REF!,Tabla11[[#This Row],[Cuenta]],1))</f>
        <v>0</v>
      </c>
      <c r="Y961" t="b">
        <f>+ISNUMBER(SEARCH('F-COMPRA'!#REF!,Tabla11[[#This Row],[Cuenta]],1))</f>
        <v>0</v>
      </c>
      <c r="Z961" t="b">
        <f>+ISNUMBER(SEARCH('F-COMPRA'!#REF!,Tabla11[[#This Row],[Cuenta]],1))</f>
        <v>0</v>
      </c>
      <c r="AA961" t="b">
        <f>+ISNUMBER(SEARCH('F-COMPRA'!#REF!,Tabla11[[#This Row],[Cuenta]],1))</f>
        <v>0</v>
      </c>
      <c r="AB961" t="b">
        <f>+ISNUMBER(SEARCH('F-COMPRA'!#REF!,Tabla11[[#This Row],[Cuenta]],1))</f>
        <v>0</v>
      </c>
      <c r="AC961" t="b">
        <f>+ISNUMBER(SEARCH('F-COMPRA'!#REF!,Tabla11[[#This Row],[Cuenta]],1))</f>
        <v>0</v>
      </c>
      <c r="AD961" t="b">
        <f>+ISNUMBER(SEARCH('F-COMPRA'!#REF!,Tabla11[[#This Row],[Cuenta]],1))</f>
        <v>0</v>
      </c>
      <c r="AE961" t="b">
        <f>+ISNUMBER(SEARCH('F-COMPRA'!#REF!,Tabla11[[#This Row],[Cuenta]],1))</f>
        <v>0</v>
      </c>
      <c r="AF961" t="b">
        <f>+ISNUMBER(SEARCH('F-VTA'!$G$23,Tabla11[[#This Row],[Cuenta]],1))</f>
        <v>0</v>
      </c>
      <c r="AG961" t="b">
        <f>+ISNUMBER(SEARCH('F-VTA'!$G$24,Tabla11[[#This Row],[Cuenta]],1))</f>
        <v>0</v>
      </c>
      <c r="AH961" t="b">
        <f>+ISNUMBER(SEARCH('F-VTA'!$G$25,Tabla11[[#This Row],[Cuenta]],1))</f>
        <v>0</v>
      </c>
      <c r="AI961" t="b">
        <f>+ISNUMBER(SEARCH('F-VTA'!$F$28,Tabla11[[#This Row],[Cuenta]],1))</f>
        <v>1</v>
      </c>
      <c r="AJ961" t="b">
        <f>+ISNUMBER(SEARCH('F-VTA'!$F$29,Tabla11[[#This Row],[Cuenta]],1))</f>
        <v>1</v>
      </c>
      <c r="AK961" t="b">
        <f>+ISNUMBER(SEARCH('F-VTA'!$F$30,Tabla11[[#This Row],[Cuenta]],1))</f>
        <v>1</v>
      </c>
      <c r="AL961" t="b">
        <f>+ISNUMBER(SEARCH('F-VTA'!$F$31,Tabla11[[#This Row],[Cuenta]],1))</f>
        <v>1</v>
      </c>
      <c r="AM961" t="b">
        <f>+ISNUMBER(SEARCH('F-VTA'!$F$32,Tabla11[[#This Row],[Cuenta]],1))</f>
        <v>1</v>
      </c>
      <c r="AN961" t="b">
        <f>+ISNUMBER(SEARCH('F-VTA'!$F$33,Tabla11[[#This Row],[Cuenta]],1))</f>
        <v>1</v>
      </c>
      <c r="AO961" t="b">
        <f>+ISNUMBER(SEARCH('F-VTA'!$F$34,Tabla11[[#This Row],[Cuenta]],1))</f>
        <v>1</v>
      </c>
      <c r="AP961" t="b">
        <f>+ISNUMBER(SEARCH('F-VTA'!$F$35,Tabla11[[#This Row],[Cuenta]],1))</f>
        <v>1</v>
      </c>
      <c r="AQ961" t="b">
        <f>+ISNUMBER(SEARCH('F-VTA'!$F$36,Tabla11[[#This Row],[Cuenta]],1))</f>
        <v>1</v>
      </c>
      <c r="AR961" t="b">
        <f>+ISNUMBER(SEARCH(#REF!,Tabla11[[#This Row],[Cuenta]],1))</f>
        <v>0</v>
      </c>
      <c r="AS961" t="b">
        <f>+ISNUMBER(SEARCH(#REF!,Tabla11[[#This Row],[Cuenta]],1))</f>
        <v>0</v>
      </c>
      <c r="AT961" t="b">
        <f>+ISNUMBER(SEARCH(#REF!,Tabla11[[#This Row],[Cuenta]],1))</f>
        <v>0</v>
      </c>
      <c r="AU961" t="b">
        <f>+ISNUMBER(SEARCH('Conc. Ban.1'!$I$9,Tabla11[[#This Row],[Cuenta]],1))</f>
        <v>0</v>
      </c>
      <c r="AV961" t="b">
        <f>+ISNUMBER(SEARCH(CompConta!$F$21,Tabla11[[#This Row],[Cuenta]],1))</f>
        <v>1</v>
      </c>
      <c r="AW961" t="b">
        <f>+ISNUMBER(SEARCH(CompConta!$F$22,Tabla11[[#This Row],[Cuenta]],1))</f>
        <v>1</v>
      </c>
      <c r="AX961" t="b">
        <f>+ISNUMBER(SEARCH(CompConta!$F$23,Tabla11[[#This Row],[Cuenta]],1))</f>
        <v>1</v>
      </c>
      <c r="AY961" t="b">
        <f>+ISNUMBER(SEARCH(CompConta!$F$24,Tabla11[[#This Row],[Cuenta]],1))</f>
        <v>1</v>
      </c>
      <c r="AZ961" t="b">
        <f>+ISNUMBER(SEARCH(CompConta!$F$25,Tabla11[[#This Row],[Cuenta]],1))</f>
        <v>1</v>
      </c>
      <c r="BA961" t="b">
        <f>+ISNUMBER(SEARCH(CompConta!$F$26,Tabla11[[#This Row],[Cuenta]],1))</f>
        <v>1</v>
      </c>
      <c r="BB961" t="b">
        <f>+ISNUMBER(SEARCH(CompConta!$F$27,Tabla11[[#This Row],[Cuenta]],1))</f>
        <v>1</v>
      </c>
      <c r="BC961" t="b">
        <f>+ISNUMBER(SEARCH(CompConta!$F$28,Tabla11[[#This Row],[Cuenta]],1))</f>
        <v>1</v>
      </c>
      <c r="BD961" t="b">
        <f>+ISNUMBER(SEARCH(CompConta!$F$29,Tabla11[[#This Row],[Cuenta]],1))</f>
        <v>1</v>
      </c>
      <c r="BE961" t="b">
        <f>+ISNUMBER(SEARCH(CompConta!$F$30,Tabla11[[#This Row],[Cuenta]],1))</f>
        <v>1</v>
      </c>
      <c r="BF961" t="b">
        <f>+ISNUMBER(SEARCH('PAGO Compras'!$E$11,Tabla11[[#This Row],[Cuenta]],1))</f>
        <v>1</v>
      </c>
      <c r="BG961" t="b">
        <f>+ISNUMBER(SEARCH(#REF!,Tabla11[[#This Row],[Cuenta]],1))</f>
        <v>0</v>
      </c>
      <c r="BH961" t="b">
        <f>+ISNUMBER(SEARCH(#REF!,Tabla11[[#This Row],[Cuenta]],1))</f>
        <v>0</v>
      </c>
      <c r="BI961" t="b">
        <f>+ISNUMBER(SEARCH(#REF!,Tabla11[[#This Row],[Cuenta]],1))</f>
        <v>0</v>
      </c>
      <c r="BJ961" t="b">
        <f>+ISNUMBER(SEARCH(#REF!,Tabla11[[#This Row],[Cuenta]],1))</f>
        <v>0</v>
      </c>
      <c r="BS961" t="str">
        <v>520551 Dotación y suministro a trabajadores</v>
      </c>
      <c r="BT961" t="str">
        <v>520551 Dotación y suministro a trabajadores</v>
      </c>
      <c r="BU961" t="str">
        <v>520551 Dotación y suministro a trabajadores</v>
      </c>
      <c r="BV961" t="str">
        <v>520551 Dotación y suministro a trabajadores</v>
      </c>
      <c r="BZ961" t="str">
        <v>520551 Dotación y suministro a trabajadores</v>
      </c>
      <c r="CA961" t="str">
        <v>520551 Dotación y suministro a trabajadores</v>
      </c>
      <c r="CB961" t="str">
        <v>520551 Dotación y suministro a trabajadores</v>
      </c>
      <c r="CC961" t="str">
        <v>520551 Dotación y suministro a trabajadores</v>
      </c>
      <c r="CD961" t="str">
        <v>520551 Dotación y suministro a trabajadores</v>
      </c>
      <c r="CE961" t="str">
        <v>520551 Dotación y suministro a trabajadores</v>
      </c>
      <c r="CS961" s="141" t="str">
        <v>520551 Dotación y suministro a trabajadores</v>
      </c>
      <c r="CT961" s="141" t="str">
        <v>520551 Dotación y suministro a trabajadores</v>
      </c>
      <c r="CU961" s="141" t="str">
        <v>520551 Dotación y suministro a trabajadores</v>
      </c>
      <c r="CV961" s="141" t="str">
        <v>520551 Dotación y suministro a trabajadores</v>
      </c>
      <c r="CW961" s="141" t="str">
        <v>520551 Dotación y suministro a trabajadores</v>
      </c>
      <c r="CX961" s="141" t="str">
        <v>520551 Dotación y suministro a trabajadores</v>
      </c>
      <c r="CY961" s="141" t="str">
        <v>520551 Dotación y suministro a trabajadores</v>
      </c>
      <c r="CZ961" s="141" t="str">
        <v>520551 Dotación y suministro a trabajadores</v>
      </c>
      <c r="DA961" s="141" t="str">
        <v>520551 Dotación y suministro a trabajadores</v>
      </c>
      <c r="DF961" t="str">
        <v>520551 Dotación y suministro a trabajadores</v>
      </c>
      <c r="DG961" t="str">
        <v>520551 Dotación y suministro a trabajadores</v>
      </c>
      <c r="DH961" t="str">
        <v>520551 Dotación y suministro a trabajadores</v>
      </c>
      <c r="DI961" t="str">
        <v>520551 Dotación y suministro a trabajadores</v>
      </c>
      <c r="DJ961" t="str">
        <v>520551 Dotación y suministro a trabajadores</v>
      </c>
      <c r="DK961" t="str">
        <v>520551 Dotación y suministro a trabajadores</v>
      </c>
      <c r="DL961" t="str">
        <v>520551 Dotación y suministro a trabajadores</v>
      </c>
      <c r="DM961" t="str">
        <v>520551 Dotación y suministro a trabajadores</v>
      </c>
      <c r="DN961" t="str">
        <v>520551 Dotación y suministro a trabajadores</v>
      </c>
      <c r="DO961" t="str">
        <v>520551 Dotación y suministro a trabajadores</v>
      </c>
      <c r="DP961" t="str">
        <v>520551 Dotación y suministro a trabajadores</v>
      </c>
    </row>
    <row r="962" spans="4:120" ht="12.75">
      <c r="D962" s="7">
        <v>520554</v>
      </c>
      <c r="E962" s="6" t="s">
        <v>321</v>
      </c>
      <c r="F962" s="5">
        <v>4</v>
      </c>
      <c r="G962" s="34" t="s">
        <v>830</v>
      </c>
      <c r="H962" s="8" t="s">
        <v>32</v>
      </c>
      <c r="I962" t="b">
        <f>+ISNUMBER(SEARCH('F-COMPRA'!$F$28,Tabla11[[#This Row],[Cuenta]],1))</f>
        <v>1</v>
      </c>
      <c r="J962" t="b">
        <f>+ISNUMBER(SEARCH('F-COMPRA'!$F$29,Tabla11[[#This Row],[Cuenta]],1))</f>
        <v>1</v>
      </c>
      <c r="K962" t="b">
        <f>+ISNUMBER(SEARCH('F-COMPRA'!$F$30,Tabla11[[#This Row],[Cuenta]],1))</f>
        <v>1</v>
      </c>
      <c r="L962" t="b">
        <f>+ISNUMBER(SEARCH('F-COMPRA'!$F$31,Tabla11[[#This Row],[Cuenta]],1))</f>
        <v>1</v>
      </c>
      <c r="M962" t="b">
        <f>+ISNUMBER(SEARCH('F-COMPRA'!$G$25,Tabla11[[#This Row],[Cuenta]],1))</f>
        <v>0</v>
      </c>
      <c r="N962" t="b">
        <f>+ISNUMBER(SEARCH(#REF!,Tabla11[[#This Row],[Cuenta]],1))</f>
        <v>0</v>
      </c>
      <c r="O962" t="b">
        <f>+ISNUMBER(SEARCH(#REF!,Tabla11[[#This Row],[Cuenta]],1))</f>
        <v>0</v>
      </c>
      <c r="P962" t="b">
        <f>+ISNUMBER(SEARCH('F-COMPRA'!$F$32,Tabla11[[#This Row],[Cuenta]],1))</f>
        <v>1</v>
      </c>
      <c r="Q962" t="b">
        <f>+ISNUMBER(SEARCH('F-COMPRA'!$F$33,Tabla11[[#This Row],[Cuenta]],1))</f>
        <v>1</v>
      </c>
      <c r="R962" t="b">
        <f>+ISNUMBER(SEARCH('F-COMPRA'!$F$34,Tabla11[[#This Row],[Cuenta]],1))</f>
        <v>1</v>
      </c>
      <c r="S962" t="b">
        <f>+ISNUMBER(SEARCH('F-COMPRA'!$F$35,Tabla11[[#This Row],[Cuenta]],1))</f>
        <v>1</v>
      </c>
      <c r="T962" t="b">
        <f>+ISNUMBER(SEARCH('F-COMPRA'!$F$36,Tabla11[[#This Row],[Cuenta]],1))</f>
        <v>1</v>
      </c>
      <c r="U962" t="b">
        <f>+ISNUMBER(SEARCH('F-COMPRA'!$F$37,Tabla11[[#This Row],[Cuenta]],1))</f>
        <v>1</v>
      </c>
      <c r="V962" t="b">
        <f>+ISNUMBER(SEARCH(#REF!,Tabla11[[#This Row],[Cuenta]],1))</f>
        <v>0</v>
      </c>
      <c r="W962" t="b">
        <f>+ISNUMBER(SEARCH('F-COMPRA'!#REF!,Tabla11[[#This Row],[Cuenta]],1))</f>
        <v>0</v>
      </c>
      <c r="X962" t="b">
        <f>+ISNUMBER(SEARCH('F-COMPRA'!#REF!,Tabla11[[#This Row],[Cuenta]],1))</f>
        <v>0</v>
      </c>
      <c r="Y962" t="b">
        <f>+ISNUMBER(SEARCH('F-COMPRA'!#REF!,Tabla11[[#This Row],[Cuenta]],1))</f>
        <v>0</v>
      </c>
      <c r="Z962" t="b">
        <f>+ISNUMBER(SEARCH('F-COMPRA'!#REF!,Tabla11[[#This Row],[Cuenta]],1))</f>
        <v>0</v>
      </c>
      <c r="AA962" t="b">
        <f>+ISNUMBER(SEARCH('F-COMPRA'!#REF!,Tabla11[[#This Row],[Cuenta]],1))</f>
        <v>0</v>
      </c>
      <c r="AB962" t="b">
        <f>+ISNUMBER(SEARCH('F-COMPRA'!#REF!,Tabla11[[#This Row],[Cuenta]],1))</f>
        <v>0</v>
      </c>
      <c r="AC962" t="b">
        <f>+ISNUMBER(SEARCH('F-COMPRA'!#REF!,Tabla11[[#This Row],[Cuenta]],1))</f>
        <v>0</v>
      </c>
      <c r="AD962" t="b">
        <f>+ISNUMBER(SEARCH('F-COMPRA'!#REF!,Tabla11[[#This Row],[Cuenta]],1))</f>
        <v>0</v>
      </c>
      <c r="AE962" t="b">
        <f>+ISNUMBER(SEARCH('F-COMPRA'!#REF!,Tabla11[[#This Row],[Cuenta]],1))</f>
        <v>0</v>
      </c>
      <c r="AF962" t="b">
        <f>+ISNUMBER(SEARCH('F-VTA'!$G$23,Tabla11[[#This Row],[Cuenta]],1))</f>
        <v>0</v>
      </c>
      <c r="AG962" t="b">
        <f>+ISNUMBER(SEARCH('F-VTA'!$G$24,Tabla11[[#This Row],[Cuenta]],1))</f>
        <v>0</v>
      </c>
      <c r="AH962" t="b">
        <f>+ISNUMBER(SEARCH('F-VTA'!$G$25,Tabla11[[#This Row],[Cuenta]],1))</f>
        <v>0</v>
      </c>
      <c r="AI962" t="b">
        <f>+ISNUMBER(SEARCH('F-VTA'!$F$28,Tabla11[[#This Row],[Cuenta]],1))</f>
        <v>1</v>
      </c>
      <c r="AJ962" t="b">
        <f>+ISNUMBER(SEARCH('F-VTA'!$F$29,Tabla11[[#This Row],[Cuenta]],1))</f>
        <v>1</v>
      </c>
      <c r="AK962" t="b">
        <f>+ISNUMBER(SEARCH('F-VTA'!$F$30,Tabla11[[#This Row],[Cuenta]],1))</f>
        <v>1</v>
      </c>
      <c r="AL962" t="b">
        <f>+ISNUMBER(SEARCH('F-VTA'!$F$31,Tabla11[[#This Row],[Cuenta]],1))</f>
        <v>1</v>
      </c>
      <c r="AM962" t="b">
        <f>+ISNUMBER(SEARCH('F-VTA'!$F$32,Tabla11[[#This Row],[Cuenta]],1))</f>
        <v>1</v>
      </c>
      <c r="AN962" t="b">
        <f>+ISNUMBER(SEARCH('F-VTA'!$F$33,Tabla11[[#This Row],[Cuenta]],1))</f>
        <v>1</v>
      </c>
      <c r="AO962" t="b">
        <f>+ISNUMBER(SEARCH('F-VTA'!$F$34,Tabla11[[#This Row],[Cuenta]],1))</f>
        <v>1</v>
      </c>
      <c r="AP962" t="b">
        <f>+ISNUMBER(SEARCH('F-VTA'!$F$35,Tabla11[[#This Row],[Cuenta]],1))</f>
        <v>1</v>
      </c>
      <c r="AQ962" t="b">
        <f>+ISNUMBER(SEARCH('F-VTA'!$F$36,Tabla11[[#This Row],[Cuenta]],1))</f>
        <v>1</v>
      </c>
      <c r="AR962" t="b">
        <f>+ISNUMBER(SEARCH(#REF!,Tabla11[[#This Row],[Cuenta]],1))</f>
        <v>0</v>
      </c>
      <c r="AS962" t="b">
        <f>+ISNUMBER(SEARCH(#REF!,Tabla11[[#This Row],[Cuenta]],1))</f>
        <v>0</v>
      </c>
      <c r="AT962" t="b">
        <f>+ISNUMBER(SEARCH(#REF!,Tabla11[[#This Row],[Cuenta]],1))</f>
        <v>0</v>
      </c>
      <c r="AU962" t="b">
        <f>+ISNUMBER(SEARCH('Conc. Ban.1'!$I$9,Tabla11[[#This Row],[Cuenta]],1))</f>
        <v>0</v>
      </c>
      <c r="AV962" t="b">
        <f>+ISNUMBER(SEARCH(CompConta!$F$21,Tabla11[[#This Row],[Cuenta]],1))</f>
        <v>1</v>
      </c>
      <c r="AW962" t="b">
        <f>+ISNUMBER(SEARCH(CompConta!$F$22,Tabla11[[#This Row],[Cuenta]],1))</f>
        <v>1</v>
      </c>
      <c r="AX962" t="b">
        <f>+ISNUMBER(SEARCH(CompConta!$F$23,Tabla11[[#This Row],[Cuenta]],1))</f>
        <v>1</v>
      </c>
      <c r="AY962" t="b">
        <f>+ISNUMBER(SEARCH(CompConta!$F$24,Tabla11[[#This Row],[Cuenta]],1))</f>
        <v>1</v>
      </c>
      <c r="AZ962" t="b">
        <f>+ISNUMBER(SEARCH(CompConta!$F$25,Tabla11[[#This Row],[Cuenta]],1))</f>
        <v>1</v>
      </c>
      <c r="BA962" t="b">
        <f>+ISNUMBER(SEARCH(CompConta!$F$26,Tabla11[[#This Row],[Cuenta]],1))</f>
        <v>1</v>
      </c>
      <c r="BB962" t="b">
        <f>+ISNUMBER(SEARCH(CompConta!$F$27,Tabla11[[#This Row],[Cuenta]],1))</f>
        <v>1</v>
      </c>
      <c r="BC962" t="b">
        <f>+ISNUMBER(SEARCH(CompConta!$F$28,Tabla11[[#This Row],[Cuenta]],1))</f>
        <v>1</v>
      </c>
      <c r="BD962" t="b">
        <f>+ISNUMBER(SEARCH(CompConta!$F$29,Tabla11[[#This Row],[Cuenta]],1))</f>
        <v>1</v>
      </c>
      <c r="BE962" t="b">
        <f>+ISNUMBER(SEARCH(CompConta!$F$30,Tabla11[[#This Row],[Cuenta]],1))</f>
        <v>1</v>
      </c>
      <c r="BF962" t="b">
        <f>+ISNUMBER(SEARCH('PAGO Compras'!$E$11,Tabla11[[#This Row],[Cuenta]],1))</f>
        <v>1</v>
      </c>
      <c r="BG962" t="b">
        <f>+ISNUMBER(SEARCH(#REF!,Tabla11[[#This Row],[Cuenta]],1))</f>
        <v>0</v>
      </c>
      <c r="BH962" t="b">
        <f>+ISNUMBER(SEARCH(#REF!,Tabla11[[#This Row],[Cuenta]],1))</f>
        <v>0</v>
      </c>
      <c r="BI962" t="b">
        <f>+ISNUMBER(SEARCH(#REF!,Tabla11[[#This Row],[Cuenta]],1))</f>
        <v>0</v>
      </c>
      <c r="BJ962" t="b">
        <f>+ISNUMBER(SEARCH(#REF!,Tabla11[[#This Row],[Cuenta]],1))</f>
        <v>0</v>
      </c>
      <c r="BS962" t="str">
        <v>520554 Seguros</v>
      </c>
      <c r="BT962" t="str">
        <v>520554 Seguros</v>
      </c>
      <c r="BU962" t="str">
        <v>520554 Seguros</v>
      </c>
      <c r="BV962" t="str">
        <v>520554 Seguros</v>
      </c>
      <c r="BZ962" t="str">
        <v>520554 Seguros</v>
      </c>
      <c r="CA962" t="str">
        <v>520554 Seguros</v>
      </c>
      <c r="CB962" t="str">
        <v>520554 Seguros</v>
      </c>
      <c r="CC962" t="str">
        <v>520554 Seguros</v>
      </c>
      <c r="CD962" t="str">
        <v>520554 Seguros</v>
      </c>
      <c r="CE962" t="str">
        <v>520554 Seguros</v>
      </c>
      <c r="CS962" s="141" t="str">
        <v>520554 Seguros</v>
      </c>
      <c r="CT962" s="141" t="str">
        <v>520554 Seguros</v>
      </c>
      <c r="CU962" s="141" t="str">
        <v>520554 Seguros</v>
      </c>
      <c r="CV962" s="141" t="str">
        <v>520554 Seguros</v>
      </c>
      <c r="CW962" s="141" t="str">
        <v>520554 Seguros</v>
      </c>
      <c r="CX962" s="141" t="str">
        <v>520554 Seguros</v>
      </c>
      <c r="CY962" s="141" t="str">
        <v>520554 Seguros</v>
      </c>
      <c r="CZ962" s="141" t="str">
        <v>520554 Seguros</v>
      </c>
      <c r="DA962" s="141" t="str">
        <v>520554 Seguros</v>
      </c>
      <c r="DF962" t="str">
        <v>520554 Seguros</v>
      </c>
      <c r="DG962" t="str">
        <v>520554 Seguros</v>
      </c>
      <c r="DH962" t="str">
        <v>520554 Seguros</v>
      </c>
      <c r="DI962" t="str">
        <v>520554 Seguros</v>
      </c>
      <c r="DJ962" t="str">
        <v>520554 Seguros</v>
      </c>
      <c r="DK962" t="str">
        <v>520554 Seguros</v>
      </c>
      <c r="DL962" t="str">
        <v>520554 Seguros</v>
      </c>
      <c r="DM962" t="str">
        <v>520554 Seguros</v>
      </c>
      <c r="DN962" t="str">
        <v>520554 Seguros</v>
      </c>
      <c r="DO962" t="str">
        <v>520554 Seguros</v>
      </c>
      <c r="DP962" t="str">
        <v>520554 Seguros</v>
      </c>
    </row>
    <row r="963" spans="4:120" ht="12.75">
      <c r="D963" s="7">
        <v>520557</v>
      </c>
      <c r="E963" s="6" t="s">
        <v>541</v>
      </c>
      <c r="F963" s="5">
        <v>4</v>
      </c>
      <c r="G963" s="34" t="s">
        <v>830</v>
      </c>
      <c r="H963" s="8" t="s">
        <v>32</v>
      </c>
      <c r="I963" t="b">
        <f>+ISNUMBER(SEARCH('F-COMPRA'!$F$28,Tabla11[[#This Row],[Cuenta]],1))</f>
        <v>1</v>
      </c>
      <c r="J963" t="b">
        <f>+ISNUMBER(SEARCH('F-COMPRA'!$F$29,Tabla11[[#This Row],[Cuenta]],1))</f>
        <v>1</v>
      </c>
      <c r="K963" t="b">
        <f>+ISNUMBER(SEARCH('F-COMPRA'!$F$30,Tabla11[[#This Row],[Cuenta]],1))</f>
        <v>1</v>
      </c>
      <c r="L963" t="b">
        <f>+ISNUMBER(SEARCH('F-COMPRA'!$F$31,Tabla11[[#This Row],[Cuenta]],1))</f>
        <v>1</v>
      </c>
      <c r="M963" t="b">
        <f>+ISNUMBER(SEARCH('F-COMPRA'!$G$25,Tabla11[[#This Row],[Cuenta]],1))</f>
        <v>0</v>
      </c>
      <c r="N963" t="b">
        <f>+ISNUMBER(SEARCH(#REF!,Tabla11[[#This Row],[Cuenta]],1))</f>
        <v>0</v>
      </c>
      <c r="O963" t="b">
        <f>+ISNUMBER(SEARCH(#REF!,Tabla11[[#This Row],[Cuenta]],1))</f>
        <v>0</v>
      </c>
      <c r="P963" t="b">
        <f>+ISNUMBER(SEARCH('F-COMPRA'!$F$32,Tabla11[[#This Row],[Cuenta]],1))</f>
        <v>1</v>
      </c>
      <c r="Q963" t="b">
        <f>+ISNUMBER(SEARCH('F-COMPRA'!$F$33,Tabla11[[#This Row],[Cuenta]],1))</f>
        <v>1</v>
      </c>
      <c r="R963" t="b">
        <f>+ISNUMBER(SEARCH('F-COMPRA'!$F$34,Tabla11[[#This Row],[Cuenta]],1))</f>
        <v>1</v>
      </c>
      <c r="S963" t="b">
        <f>+ISNUMBER(SEARCH('F-COMPRA'!$F$35,Tabla11[[#This Row],[Cuenta]],1))</f>
        <v>1</v>
      </c>
      <c r="T963" t="b">
        <f>+ISNUMBER(SEARCH('F-COMPRA'!$F$36,Tabla11[[#This Row],[Cuenta]],1))</f>
        <v>1</v>
      </c>
      <c r="U963" t="b">
        <f>+ISNUMBER(SEARCH('F-COMPRA'!$F$37,Tabla11[[#This Row],[Cuenta]],1))</f>
        <v>1</v>
      </c>
      <c r="V963" t="b">
        <f>+ISNUMBER(SEARCH(#REF!,Tabla11[[#This Row],[Cuenta]],1))</f>
        <v>0</v>
      </c>
      <c r="W963" t="b">
        <f>+ISNUMBER(SEARCH('F-COMPRA'!#REF!,Tabla11[[#This Row],[Cuenta]],1))</f>
        <v>0</v>
      </c>
      <c r="X963" t="b">
        <f>+ISNUMBER(SEARCH('F-COMPRA'!#REF!,Tabla11[[#This Row],[Cuenta]],1))</f>
        <v>0</v>
      </c>
      <c r="Y963" t="b">
        <f>+ISNUMBER(SEARCH('F-COMPRA'!#REF!,Tabla11[[#This Row],[Cuenta]],1))</f>
        <v>0</v>
      </c>
      <c r="Z963" t="b">
        <f>+ISNUMBER(SEARCH('F-COMPRA'!#REF!,Tabla11[[#This Row],[Cuenta]],1))</f>
        <v>0</v>
      </c>
      <c r="AA963" t="b">
        <f>+ISNUMBER(SEARCH('F-COMPRA'!#REF!,Tabla11[[#This Row],[Cuenta]],1))</f>
        <v>0</v>
      </c>
      <c r="AB963" t="b">
        <f>+ISNUMBER(SEARCH('F-COMPRA'!#REF!,Tabla11[[#This Row],[Cuenta]],1))</f>
        <v>0</v>
      </c>
      <c r="AC963" t="b">
        <f>+ISNUMBER(SEARCH('F-COMPRA'!#REF!,Tabla11[[#This Row],[Cuenta]],1))</f>
        <v>0</v>
      </c>
      <c r="AD963" t="b">
        <f>+ISNUMBER(SEARCH('F-COMPRA'!#REF!,Tabla11[[#This Row],[Cuenta]],1))</f>
        <v>0</v>
      </c>
      <c r="AE963" t="b">
        <f>+ISNUMBER(SEARCH('F-COMPRA'!#REF!,Tabla11[[#This Row],[Cuenta]],1))</f>
        <v>0</v>
      </c>
      <c r="AF963" t="b">
        <f>+ISNUMBER(SEARCH('F-VTA'!$G$23,Tabla11[[#This Row],[Cuenta]],1))</f>
        <v>0</v>
      </c>
      <c r="AG963" t="b">
        <f>+ISNUMBER(SEARCH('F-VTA'!$G$24,Tabla11[[#This Row],[Cuenta]],1))</f>
        <v>0</v>
      </c>
      <c r="AH963" t="b">
        <f>+ISNUMBER(SEARCH('F-VTA'!$G$25,Tabla11[[#This Row],[Cuenta]],1))</f>
        <v>0</v>
      </c>
      <c r="AI963" t="b">
        <f>+ISNUMBER(SEARCH('F-VTA'!$F$28,Tabla11[[#This Row],[Cuenta]],1))</f>
        <v>1</v>
      </c>
      <c r="AJ963" t="b">
        <f>+ISNUMBER(SEARCH('F-VTA'!$F$29,Tabla11[[#This Row],[Cuenta]],1))</f>
        <v>1</v>
      </c>
      <c r="AK963" t="b">
        <f>+ISNUMBER(SEARCH('F-VTA'!$F$30,Tabla11[[#This Row],[Cuenta]],1))</f>
        <v>1</v>
      </c>
      <c r="AL963" t="b">
        <f>+ISNUMBER(SEARCH('F-VTA'!$F$31,Tabla11[[#This Row],[Cuenta]],1))</f>
        <v>1</v>
      </c>
      <c r="AM963" t="b">
        <f>+ISNUMBER(SEARCH('F-VTA'!$F$32,Tabla11[[#This Row],[Cuenta]],1))</f>
        <v>1</v>
      </c>
      <c r="AN963" t="b">
        <f>+ISNUMBER(SEARCH('F-VTA'!$F$33,Tabla11[[#This Row],[Cuenta]],1))</f>
        <v>1</v>
      </c>
      <c r="AO963" t="b">
        <f>+ISNUMBER(SEARCH('F-VTA'!$F$34,Tabla11[[#This Row],[Cuenta]],1))</f>
        <v>1</v>
      </c>
      <c r="AP963" t="b">
        <f>+ISNUMBER(SEARCH('F-VTA'!$F$35,Tabla11[[#This Row],[Cuenta]],1))</f>
        <v>1</v>
      </c>
      <c r="AQ963" t="b">
        <f>+ISNUMBER(SEARCH('F-VTA'!$F$36,Tabla11[[#This Row],[Cuenta]],1))</f>
        <v>1</v>
      </c>
      <c r="AR963" t="b">
        <f>+ISNUMBER(SEARCH(#REF!,Tabla11[[#This Row],[Cuenta]],1))</f>
        <v>0</v>
      </c>
      <c r="AS963" t="b">
        <f>+ISNUMBER(SEARCH(#REF!,Tabla11[[#This Row],[Cuenta]],1))</f>
        <v>0</v>
      </c>
      <c r="AT963" t="b">
        <f>+ISNUMBER(SEARCH(#REF!,Tabla11[[#This Row],[Cuenta]],1))</f>
        <v>0</v>
      </c>
      <c r="AU963" t="b">
        <f>+ISNUMBER(SEARCH('Conc. Ban.1'!$I$9,Tabla11[[#This Row],[Cuenta]],1))</f>
        <v>0</v>
      </c>
      <c r="AV963" t="b">
        <f>+ISNUMBER(SEARCH(CompConta!$F$21,Tabla11[[#This Row],[Cuenta]],1))</f>
        <v>1</v>
      </c>
      <c r="AW963" t="b">
        <f>+ISNUMBER(SEARCH(CompConta!$F$22,Tabla11[[#This Row],[Cuenta]],1))</f>
        <v>1</v>
      </c>
      <c r="AX963" t="b">
        <f>+ISNUMBER(SEARCH(CompConta!$F$23,Tabla11[[#This Row],[Cuenta]],1))</f>
        <v>1</v>
      </c>
      <c r="AY963" t="b">
        <f>+ISNUMBER(SEARCH(CompConta!$F$24,Tabla11[[#This Row],[Cuenta]],1))</f>
        <v>1</v>
      </c>
      <c r="AZ963" t="b">
        <f>+ISNUMBER(SEARCH(CompConta!$F$25,Tabla11[[#This Row],[Cuenta]],1))</f>
        <v>1</v>
      </c>
      <c r="BA963" t="b">
        <f>+ISNUMBER(SEARCH(CompConta!$F$26,Tabla11[[#This Row],[Cuenta]],1))</f>
        <v>1</v>
      </c>
      <c r="BB963" t="b">
        <f>+ISNUMBER(SEARCH(CompConta!$F$27,Tabla11[[#This Row],[Cuenta]],1))</f>
        <v>1</v>
      </c>
      <c r="BC963" t="b">
        <f>+ISNUMBER(SEARCH(CompConta!$F$28,Tabla11[[#This Row],[Cuenta]],1))</f>
        <v>1</v>
      </c>
      <c r="BD963" t="b">
        <f>+ISNUMBER(SEARCH(CompConta!$F$29,Tabla11[[#This Row],[Cuenta]],1))</f>
        <v>1</v>
      </c>
      <c r="BE963" t="b">
        <f>+ISNUMBER(SEARCH(CompConta!$F$30,Tabla11[[#This Row],[Cuenta]],1))</f>
        <v>1</v>
      </c>
      <c r="BF963" t="b">
        <f>+ISNUMBER(SEARCH('PAGO Compras'!$E$11,Tabla11[[#This Row],[Cuenta]],1))</f>
        <v>1</v>
      </c>
      <c r="BG963" t="b">
        <f>+ISNUMBER(SEARCH(#REF!,Tabla11[[#This Row],[Cuenta]],1))</f>
        <v>0</v>
      </c>
      <c r="BH963" t="b">
        <f>+ISNUMBER(SEARCH(#REF!,Tabla11[[#This Row],[Cuenta]],1))</f>
        <v>0</v>
      </c>
      <c r="BI963" t="b">
        <f>+ISNUMBER(SEARCH(#REF!,Tabla11[[#This Row],[Cuenta]],1))</f>
        <v>0</v>
      </c>
      <c r="BJ963" t="b">
        <f>+ISNUMBER(SEARCH(#REF!,Tabla11[[#This Row],[Cuenta]],1))</f>
        <v>0</v>
      </c>
      <c r="BS963" t="str">
        <v>520557 Cuotas partes pensiones de jubilación</v>
      </c>
      <c r="BT963" t="str">
        <v>520557 Cuotas partes pensiones de jubilación</v>
      </c>
      <c r="BU963" t="str">
        <v>520557 Cuotas partes pensiones de jubilación</v>
      </c>
      <c r="BV963" t="str">
        <v>520557 Cuotas partes pensiones de jubilación</v>
      </c>
      <c r="BZ963" t="str">
        <v>520557 Cuotas partes pensiones de jubilación</v>
      </c>
      <c r="CA963" t="str">
        <v>520557 Cuotas partes pensiones de jubilación</v>
      </c>
      <c r="CB963" t="str">
        <v>520557 Cuotas partes pensiones de jubilación</v>
      </c>
      <c r="CC963" t="str">
        <v>520557 Cuotas partes pensiones de jubilación</v>
      </c>
      <c r="CD963" t="str">
        <v>520557 Cuotas partes pensiones de jubilación</v>
      </c>
      <c r="CE963" t="str">
        <v>520557 Cuotas partes pensiones de jubilación</v>
      </c>
      <c r="CS963" s="141" t="str">
        <v>520557 Cuotas partes pensiones de jubilación</v>
      </c>
      <c r="CT963" s="141" t="str">
        <v>520557 Cuotas partes pensiones de jubilación</v>
      </c>
      <c r="CU963" s="141" t="str">
        <v>520557 Cuotas partes pensiones de jubilación</v>
      </c>
      <c r="CV963" s="141" t="str">
        <v>520557 Cuotas partes pensiones de jubilación</v>
      </c>
      <c r="CW963" s="141" t="str">
        <v>520557 Cuotas partes pensiones de jubilación</v>
      </c>
      <c r="CX963" s="141" t="str">
        <v>520557 Cuotas partes pensiones de jubilación</v>
      </c>
      <c r="CY963" s="141" t="str">
        <v>520557 Cuotas partes pensiones de jubilación</v>
      </c>
      <c r="CZ963" s="141" t="str">
        <v>520557 Cuotas partes pensiones de jubilación</v>
      </c>
      <c r="DA963" s="141" t="str">
        <v>520557 Cuotas partes pensiones de jubilación</v>
      </c>
      <c r="DF963" t="str">
        <v>520557 Cuotas partes pensiones de jubilación</v>
      </c>
      <c r="DG963" t="str">
        <v>520557 Cuotas partes pensiones de jubilación</v>
      </c>
      <c r="DH963" t="str">
        <v>520557 Cuotas partes pensiones de jubilación</v>
      </c>
      <c r="DI963" t="str">
        <v>520557 Cuotas partes pensiones de jubilación</v>
      </c>
      <c r="DJ963" t="str">
        <v>520557 Cuotas partes pensiones de jubilación</v>
      </c>
      <c r="DK963" t="str">
        <v>520557 Cuotas partes pensiones de jubilación</v>
      </c>
      <c r="DL963" t="str">
        <v>520557 Cuotas partes pensiones de jubilación</v>
      </c>
      <c r="DM963" t="str">
        <v>520557 Cuotas partes pensiones de jubilación</v>
      </c>
      <c r="DN963" t="str">
        <v>520557 Cuotas partes pensiones de jubilación</v>
      </c>
      <c r="DO963" t="str">
        <v>520557 Cuotas partes pensiones de jubilación</v>
      </c>
      <c r="DP963" t="str">
        <v>520557 Cuotas partes pensiones de jubilación</v>
      </c>
    </row>
    <row r="964" spans="4:120" ht="12.75">
      <c r="D964" s="7">
        <v>520558</v>
      </c>
      <c r="E964" s="6" t="s">
        <v>542</v>
      </c>
      <c r="F964" s="5">
        <v>4</v>
      </c>
      <c r="G964" s="34" t="s">
        <v>830</v>
      </c>
      <c r="H964" s="8" t="s">
        <v>32</v>
      </c>
      <c r="I964" t="b">
        <f>+ISNUMBER(SEARCH('F-COMPRA'!$F$28,Tabla11[[#This Row],[Cuenta]],1))</f>
        <v>1</v>
      </c>
      <c r="J964" t="b">
        <f>+ISNUMBER(SEARCH('F-COMPRA'!$F$29,Tabla11[[#This Row],[Cuenta]],1))</f>
        <v>1</v>
      </c>
      <c r="K964" t="b">
        <f>+ISNUMBER(SEARCH('F-COMPRA'!$F$30,Tabla11[[#This Row],[Cuenta]],1))</f>
        <v>1</v>
      </c>
      <c r="L964" t="b">
        <f>+ISNUMBER(SEARCH('F-COMPRA'!$F$31,Tabla11[[#This Row],[Cuenta]],1))</f>
        <v>1</v>
      </c>
      <c r="M964" t="b">
        <f>+ISNUMBER(SEARCH('F-COMPRA'!$G$25,Tabla11[[#This Row],[Cuenta]],1))</f>
        <v>0</v>
      </c>
      <c r="N964" t="b">
        <f>+ISNUMBER(SEARCH(#REF!,Tabla11[[#This Row],[Cuenta]],1))</f>
        <v>0</v>
      </c>
      <c r="O964" t="b">
        <f>+ISNUMBER(SEARCH(#REF!,Tabla11[[#This Row],[Cuenta]],1))</f>
        <v>0</v>
      </c>
      <c r="P964" t="b">
        <f>+ISNUMBER(SEARCH('F-COMPRA'!$F$32,Tabla11[[#This Row],[Cuenta]],1))</f>
        <v>1</v>
      </c>
      <c r="Q964" t="b">
        <f>+ISNUMBER(SEARCH('F-COMPRA'!$F$33,Tabla11[[#This Row],[Cuenta]],1))</f>
        <v>1</v>
      </c>
      <c r="R964" t="b">
        <f>+ISNUMBER(SEARCH('F-COMPRA'!$F$34,Tabla11[[#This Row],[Cuenta]],1))</f>
        <v>1</v>
      </c>
      <c r="S964" t="b">
        <f>+ISNUMBER(SEARCH('F-COMPRA'!$F$35,Tabla11[[#This Row],[Cuenta]],1))</f>
        <v>1</v>
      </c>
      <c r="T964" t="b">
        <f>+ISNUMBER(SEARCH('F-COMPRA'!$F$36,Tabla11[[#This Row],[Cuenta]],1))</f>
        <v>1</v>
      </c>
      <c r="U964" t="b">
        <f>+ISNUMBER(SEARCH('F-COMPRA'!$F$37,Tabla11[[#This Row],[Cuenta]],1))</f>
        <v>1</v>
      </c>
      <c r="V964" t="b">
        <f>+ISNUMBER(SEARCH(#REF!,Tabla11[[#This Row],[Cuenta]],1))</f>
        <v>0</v>
      </c>
      <c r="W964" t="b">
        <f>+ISNUMBER(SEARCH('F-COMPRA'!#REF!,Tabla11[[#This Row],[Cuenta]],1))</f>
        <v>0</v>
      </c>
      <c r="X964" t="b">
        <f>+ISNUMBER(SEARCH('F-COMPRA'!#REF!,Tabla11[[#This Row],[Cuenta]],1))</f>
        <v>0</v>
      </c>
      <c r="Y964" t="b">
        <f>+ISNUMBER(SEARCH('F-COMPRA'!#REF!,Tabla11[[#This Row],[Cuenta]],1))</f>
        <v>0</v>
      </c>
      <c r="Z964" t="b">
        <f>+ISNUMBER(SEARCH('F-COMPRA'!#REF!,Tabla11[[#This Row],[Cuenta]],1))</f>
        <v>0</v>
      </c>
      <c r="AA964" t="b">
        <f>+ISNUMBER(SEARCH('F-COMPRA'!#REF!,Tabla11[[#This Row],[Cuenta]],1))</f>
        <v>0</v>
      </c>
      <c r="AB964" t="b">
        <f>+ISNUMBER(SEARCH('F-COMPRA'!#REF!,Tabla11[[#This Row],[Cuenta]],1))</f>
        <v>0</v>
      </c>
      <c r="AC964" t="b">
        <f>+ISNUMBER(SEARCH('F-COMPRA'!#REF!,Tabla11[[#This Row],[Cuenta]],1))</f>
        <v>0</v>
      </c>
      <c r="AD964" t="b">
        <f>+ISNUMBER(SEARCH('F-COMPRA'!#REF!,Tabla11[[#This Row],[Cuenta]],1))</f>
        <v>0</v>
      </c>
      <c r="AE964" t="b">
        <f>+ISNUMBER(SEARCH('F-COMPRA'!#REF!,Tabla11[[#This Row],[Cuenta]],1))</f>
        <v>0</v>
      </c>
      <c r="AF964" t="b">
        <f>+ISNUMBER(SEARCH('F-VTA'!$G$23,Tabla11[[#This Row],[Cuenta]],1))</f>
        <v>0</v>
      </c>
      <c r="AG964" t="b">
        <f>+ISNUMBER(SEARCH('F-VTA'!$G$24,Tabla11[[#This Row],[Cuenta]],1))</f>
        <v>0</v>
      </c>
      <c r="AH964" t="b">
        <f>+ISNUMBER(SEARCH('F-VTA'!$G$25,Tabla11[[#This Row],[Cuenta]],1))</f>
        <v>0</v>
      </c>
      <c r="AI964" t="b">
        <f>+ISNUMBER(SEARCH('F-VTA'!$F$28,Tabla11[[#This Row],[Cuenta]],1))</f>
        <v>1</v>
      </c>
      <c r="AJ964" t="b">
        <f>+ISNUMBER(SEARCH('F-VTA'!$F$29,Tabla11[[#This Row],[Cuenta]],1))</f>
        <v>1</v>
      </c>
      <c r="AK964" t="b">
        <f>+ISNUMBER(SEARCH('F-VTA'!$F$30,Tabla11[[#This Row],[Cuenta]],1))</f>
        <v>1</v>
      </c>
      <c r="AL964" t="b">
        <f>+ISNUMBER(SEARCH('F-VTA'!$F$31,Tabla11[[#This Row],[Cuenta]],1))</f>
        <v>1</v>
      </c>
      <c r="AM964" t="b">
        <f>+ISNUMBER(SEARCH('F-VTA'!$F$32,Tabla11[[#This Row],[Cuenta]],1))</f>
        <v>1</v>
      </c>
      <c r="AN964" t="b">
        <f>+ISNUMBER(SEARCH('F-VTA'!$F$33,Tabla11[[#This Row],[Cuenta]],1))</f>
        <v>1</v>
      </c>
      <c r="AO964" t="b">
        <f>+ISNUMBER(SEARCH('F-VTA'!$F$34,Tabla11[[#This Row],[Cuenta]],1))</f>
        <v>1</v>
      </c>
      <c r="AP964" t="b">
        <f>+ISNUMBER(SEARCH('F-VTA'!$F$35,Tabla11[[#This Row],[Cuenta]],1))</f>
        <v>1</v>
      </c>
      <c r="AQ964" t="b">
        <f>+ISNUMBER(SEARCH('F-VTA'!$F$36,Tabla11[[#This Row],[Cuenta]],1))</f>
        <v>1</v>
      </c>
      <c r="AR964" t="b">
        <f>+ISNUMBER(SEARCH(#REF!,Tabla11[[#This Row],[Cuenta]],1))</f>
        <v>0</v>
      </c>
      <c r="AS964" t="b">
        <f>+ISNUMBER(SEARCH(#REF!,Tabla11[[#This Row],[Cuenta]],1))</f>
        <v>0</v>
      </c>
      <c r="AT964" t="b">
        <f>+ISNUMBER(SEARCH(#REF!,Tabla11[[#This Row],[Cuenta]],1))</f>
        <v>0</v>
      </c>
      <c r="AU964" t="b">
        <f>+ISNUMBER(SEARCH('Conc. Ban.1'!$I$9,Tabla11[[#This Row],[Cuenta]],1))</f>
        <v>0</v>
      </c>
      <c r="AV964" t="b">
        <f>+ISNUMBER(SEARCH(CompConta!$F$21,Tabla11[[#This Row],[Cuenta]],1))</f>
        <v>1</v>
      </c>
      <c r="AW964" t="b">
        <f>+ISNUMBER(SEARCH(CompConta!$F$22,Tabla11[[#This Row],[Cuenta]],1))</f>
        <v>1</v>
      </c>
      <c r="AX964" t="b">
        <f>+ISNUMBER(SEARCH(CompConta!$F$23,Tabla11[[#This Row],[Cuenta]],1))</f>
        <v>1</v>
      </c>
      <c r="AY964" t="b">
        <f>+ISNUMBER(SEARCH(CompConta!$F$24,Tabla11[[#This Row],[Cuenta]],1))</f>
        <v>1</v>
      </c>
      <c r="AZ964" t="b">
        <f>+ISNUMBER(SEARCH(CompConta!$F$25,Tabla11[[#This Row],[Cuenta]],1))</f>
        <v>1</v>
      </c>
      <c r="BA964" t="b">
        <f>+ISNUMBER(SEARCH(CompConta!$F$26,Tabla11[[#This Row],[Cuenta]],1))</f>
        <v>1</v>
      </c>
      <c r="BB964" t="b">
        <f>+ISNUMBER(SEARCH(CompConta!$F$27,Tabla11[[#This Row],[Cuenta]],1))</f>
        <v>1</v>
      </c>
      <c r="BC964" t="b">
        <f>+ISNUMBER(SEARCH(CompConta!$F$28,Tabla11[[#This Row],[Cuenta]],1))</f>
        <v>1</v>
      </c>
      <c r="BD964" t="b">
        <f>+ISNUMBER(SEARCH(CompConta!$F$29,Tabla11[[#This Row],[Cuenta]],1))</f>
        <v>1</v>
      </c>
      <c r="BE964" t="b">
        <f>+ISNUMBER(SEARCH(CompConta!$F$30,Tabla11[[#This Row],[Cuenta]],1))</f>
        <v>1</v>
      </c>
      <c r="BF964" t="b">
        <f>+ISNUMBER(SEARCH('PAGO Compras'!$E$11,Tabla11[[#This Row],[Cuenta]],1))</f>
        <v>1</v>
      </c>
      <c r="BG964" t="b">
        <f>+ISNUMBER(SEARCH(#REF!,Tabla11[[#This Row],[Cuenta]],1))</f>
        <v>0</v>
      </c>
      <c r="BH964" t="b">
        <f>+ISNUMBER(SEARCH(#REF!,Tabla11[[#This Row],[Cuenta]],1))</f>
        <v>0</v>
      </c>
      <c r="BI964" t="b">
        <f>+ISNUMBER(SEARCH(#REF!,Tabla11[[#This Row],[Cuenta]],1))</f>
        <v>0</v>
      </c>
      <c r="BJ964" t="b">
        <f>+ISNUMBER(SEARCH(#REF!,Tabla11[[#This Row],[Cuenta]],1))</f>
        <v>0</v>
      </c>
      <c r="BS964" t="str">
        <v>520558 Amortiz cálculo actuarial pens de jubilación</v>
      </c>
      <c r="BT964" t="str">
        <v>520558 Amortiz cálculo actuarial pens de jubilación</v>
      </c>
      <c r="BU964" t="str">
        <v>520558 Amortiz cálculo actuarial pens de jubilación</v>
      </c>
      <c r="BV964" t="str">
        <v>520558 Amortiz cálculo actuarial pens de jubilación</v>
      </c>
      <c r="BZ964" t="str">
        <v>520558 Amortiz cálculo actuarial pens de jubilación</v>
      </c>
      <c r="CA964" t="str">
        <v>520558 Amortiz cálculo actuarial pens de jubilación</v>
      </c>
      <c r="CB964" t="str">
        <v>520558 Amortiz cálculo actuarial pens de jubilación</v>
      </c>
      <c r="CC964" t="str">
        <v>520558 Amortiz cálculo actuarial pens de jubilación</v>
      </c>
      <c r="CD964" t="str">
        <v>520558 Amortiz cálculo actuarial pens de jubilación</v>
      </c>
      <c r="CE964" t="str">
        <v>520558 Amortiz cálculo actuarial pens de jubilación</v>
      </c>
      <c r="CS964" s="141" t="str">
        <v>520558 Amortiz cálculo actuarial pens de jubilación</v>
      </c>
      <c r="CT964" s="141" t="str">
        <v>520558 Amortiz cálculo actuarial pens de jubilación</v>
      </c>
      <c r="CU964" s="141" t="str">
        <v>520558 Amortiz cálculo actuarial pens de jubilación</v>
      </c>
      <c r="CV964" s="141" t="str">
        <v>520558 Amortiz cálculo actuarial pens de jubilación</v>
      </c>
      <c r="CW964" s="141" t="str">
        <v>520558 Amortiz cálculo actuarial pens de jubilación</v>
      </c>
      <c r="CX964" s="141" t="str">
        <v>520558 Amortiz cálculo actuarial pens de jubilación</v>
      </c>
      <c r="CY964" s="141" t="str">
        <v>520558 Amortiz cálculo actuarial pens de jubilación</v>
      </c>
      <c r="CZ964" s="141" t="str">
        <v>520558 Amortiz cálculo actuarial pens de jubilación</v>
      </c>
      <c r="DA964" s="141" t="str">
        <v>520558 Amortiz cálculo actuarial pens de jubilación</v>
      </c>
      <c r="DF964" t="str">
        <v>520558 Amortiz cálculo actuarial pens de jubilación</v>
      </c>
      <c r="DG964" t="str">
        <v>520558 Amortiz cálculo actuarial pens de jubilación</v>
      </c>
      <c r="DH964" t="str">
        <v>520558 Amortiz cálculo actuarial pens de jubilación</v>
      </c>
      <c r="DI964" t="str">
        <v>520558 Amortiz cálculo actuarial pens de jubilación</v>
      </c>
      <c r="DJ964" t="str">
        <v>520558 Amortiz cálculo actuarial pens de jubilación</v>
      </c>
      <c r="DK964" t="str">
        <v>520558 Amortiz cálculo actuarial pens de jubilación</v>
      </c>
      <c r="DL964" t="str">
        <v>520558 Amortiz cálculo actuarial pens de jubilación</v>
      </c>
      <c r="DM964" t="str">
        <v>520558 Amortiz cálculo actuarial pens de jubilación</v>
      </c>
      <c r="DN964" t="str">
        <v>520558 Amortiz cálculo actuarial pens de jubilación</v>
      </c>
      <c r="DO964" t="str">
        <v>520558 Amortiz cálculo actuarial pens de jubilación</v>
      </c>
      <c r="DP964" t="str">
        <v>520558 Amortiz cálculo actuarial pens de jubilación</v>
      </c>
    </row>
    <row r="965" spans="4:120" ht="12.75">
      <c r="D965" s="7">
        <v>520559</v>
      </c>
      <c r="E965" s="6" t="s">
        <v>543</v>
      </c>
      <c r="F965" s="5">
        <v>4</v>
      </c>
      <c r="G965" s="34" t="s">
        <v>830</v>
      </c>
      <c r="H965" s="8" t="s">
        <v>32</v>
      </c>
      <c r="I965" t="b">
        <f>+ISNUMBER(SEARCH('F-COMPRA'!$F$28,Tabla11[[#This Row],[Cuenta]],1))</f>
        <v>1</v>
      </c>
      <c r="J965" t="b">
        <f>+ISNUMBER(SEARCH('F-COMPRA'!$F$29,Tabla11[[#This Row],[Cuenta]],1))</f>
        <v>1</v>
      </c>
      <c r="K965" t="b">
        <f>+ISNUMBER(SEARCH('F-COMPRA'!$F$30,Tabla11[[#This Row],[Cuenta]],1))</f>
        <v>1</v>
      </c>
      <c r="L965" t="b">
        <f>+ISNUMBER(SEARCH('F-COMPRA'!$F$31,Tabla11[[#This Row],[Cuenta]],1))</f>
        <v>1</v>
      </c>
      <c r="M965" t="b">
        <f>+ISNUMBER(SEARCH('F-COMPRA'!$G$25,Tabla11[[#This Row],[Cuenta]],1))</f>
        <v>0</v>
      </c>
      <c r="N965" t="b">
        <f>+ISNUMBER(SEARCH(#REF!,Tabla11[[#This Row],[Cuenta]],1))</f>
        <v>0</v>
      </c>
      <c r="O965" t="b">
        <f>+ISNUMBER(SEARCH(#REF!,Tabla11[[#This Row],[Cuenta]],1))</f>
        <v>0</v>
      </c>
      <c r="P965" t="b">
        <f>+ISNUMBER(SEARCH('F-COMPRA'!$F$32,Tabla11[[#This Row],[Cuenta]],1))</f>
        <v>1</v>
      </c>
      <c r="Q965" t="b">
        <f>+ISNUMBER(SEARCH('F-COMPRA'!$F$33,Tabla11[[#This Row],[Cuenta]],1))</f>
        <v>1</v>
      </c>
      <c r="R965" t="b">
        <f>+ISNUMBER(SEARCH('F-COMPRA'!$F$34,Tabla11[[#This Row],[Cuenta]],1))</f>
        <v>1</v>
      </c>
      <c r="S965" t="b">
        <f>+ISNUMBER(SEARCH('F-COMPRA'!$F$35,Tabla11[[#This Row],[Cuenta]],1))</f>
        <v>1</v>
      </c>
      <c r="T965" t="b">
        <f>+ISNUMBER(SEARCH('F-COMPRA'!$F$36,Tabla11[[#This Row],[Cuenta]],1))</f>
        <v>1</v>
      </c>
      <c r="U965" t="b">
        <f>+ISNUMBER(SEARCH('F-COMPRA'!$F$37,Tabla11[[#This Row],[Cuenta]],1))</f>
        <v>1</v>
      </c>
      <c r="V965" t="b">
        <f>+ISNUMBER(SEARCH(#REF!,Tabla11[[#This Row],[Cuenta]],1))</f>
        <v>0</v>
      </c>
      <c r="W965" t="b">
        <f>+ISNUMBER(SEARCH('F-COMPRA'!#REF!,Tabla11[[#This Row],[Cuenta]],1))</f>
        <v>0</v>
      </c>
      <c r="X965" t="b">
        <f>+ISNUMBER(SEARCH('F-COMPRA'!#REF!,Tabla11[[#This Row],[Cuenta]],1))</f>
        <v>0</v>
      </c>
      <c r="Y965" t="b">
        <f>+ISNUMBER(SEARCH('F-COMPRA'!#REF!,Tabla11[[#This Row],[Cuenta]],1))</f>
        <v>0</v>
      </c>
      <c r="Z965" t="b">
        <f>+ISNUMBER(SEARCH('F-COMPRA'!#REF!,Tabla11[[#This Row],[Cuenta]],1))</f>
        <v>0</v>
      </c>
      <c r="AA965" t="b">
        <f>+ISNUMBER(SEARCH('F-COMPRA'!#REF!,Tabla11[[#This Row],[Cuenta]],1))</f>
        <v>0</v>
      </c>
      <c r="AB965" t="b">
        <f>+ISNUMBER(SEARCH('F-COMPRA'!#REF!,Tabla11[[#This Row],[Cuenta]],1))</f>
        <v>0</v>
      </c>
      <c r="AC965" t="b">
        <f>+ISNUMBER(SEARCH('F-COMPRA'!#REF!,Tabla11[[#This Row],[Cuenta]],1))</f>
        <v>0</v>
      </c>
      <c r="AD965" t="b">
        <f>+ISNUMBER(SEARCH('F-COMPRA'!#REF!,Tabla11[[#This Row],[Cuenta]],1))</f>
        <v>0</v>
      </c>
      <c r="AE965" t="b">
        <f>+ISNUMBER(SEARCH('F-COMPRA'!#REF!,Tabla11[[#This Row],[Cuenta]],1))</f>
        <v>0</v>
      </c>
      <c r="AF965" t="b">
        <f>+ISNUMBER(SEARCH('F-VTA'!$G$23,Tabla11[[#This Row],[Cuenta]],1))</f>
        <v>0</v>
      </c>
      <c r="AG965" t="b">
        <f>+ISNUMBER(SEARCH('F-VTA'!$G$24,Tabla11[[#This Row],[Cuenta]],1))</f>
        <v>0</v>
      </c>
      <c r="AH965" t="b">
        <f>+ISNUMBER(SEARCH('F-VTA'!$G$25,Tabla11[[#This Row],[Cuenta]],1))</f>
        <v>0</v>
      </c>
      <c r="AI965" t="b">
        <f>+ISNUMBER(SEARCH('F-VTA'!$F$28,Tabla11[[#This Row],[Cuenta]],1))</f>
        <v>1</v>
      </c>
      <c r="AJ965" t="b">
        <f>+ISNUMBER(SEARCH('F-VTA'!$F$29,Tabla11[[#This Row],[Cuenta]],1))</f>
        <v>1</v>
      </c>
      <c r="AK965" t="b">
        <f>+ISNUMBER(SEARCH('F-VTA'!$F$30,Tabla11[[#This Row],[Cuenta]],1))</f>
        <v>1</v>
      </c>
      <c r="AL965" t="b">
        <f>+ISNUMBER(SEARCH('F-VTA'!$F$31,Tabla11[[#This Row],[Cuenta]],1))</f>
        <v>1</v>
      </c>
      <c r="AM965" t="b">
        <f>+ISNUMBER(SEARCH('F-VTA'!$F$32,Tabla11[[#This Row],[Cuenta]],1))</f>
        <v>1</v>
      </c>
      <c r="AN965" t="b">
        <f>+ISNUMBER(SEARCH('F-VTA'!$F$33,Tabla11[[#This Row],[Cuenta]],1))</f>
        <v>1</v>
      </c>
      <c r="AO965" t="b">
        <f>+ISNUMBER(SEARCH('F-VTA'!$F$34,Tabla11[[#This Row],[Cuenta]],1))</f>
        <v>1</v>
      </c>
      <c r="AP965" t="b">
        <f>+ISNUMBER(SEARCH('F-VTA'!$F$35,Tabla11[[#This Row],[Cuenta]],1))</f>
        <v>1</v>
      </c>
      <c r="AQ965" t="b">
        <f>+ISNUMBER(SEARCH('F-VTA'!$F$36,Tabla11[[#This Row],[Cuenta]],1))</f>
        <v>1</v>
      </c>
      <c r="AR965" t="b">
        <f>+ISNUMBER(SEARCH(#REF!,Tabla11[[#This Row],[Cuenta]],1))</f>
        <v>0</v>
      </c>
      <c r="AS965" t="b">
        <f>+ISNUMBER(SEARCH(#REF!,Tabla11[[#This Row],[Cuenta]],1))</f>
        <v>0</v>
      </c>
      <c r="AT965" t="b">
        <f>+ISNUMBER(SEARCH(#REF!,Tabla11[[#This Row],[Cuenta]],1))</f>
        <v>0</v>
      </c>
      <c r="AU965" t="b">
        <f>+ISNUMBER(SEARCH('Conc. Ban.1'!$I$9,Tabla11[[#This Row],[Cuenta]],1))</f>
        <v>0</v>
      </c>
      <c r="AV965" t="b">
        <f>+ISNUMBER(SEARCH(CompConta!$F$21,Tabla11[[#This Row],[Cuenta]],1))</f>
        <v>1</v>
      </c>
      <c r="AW965" t="b">
        <f>+ISNUMBER(SEARCH(CompConta!$F$22,Tabla11[[#This Row],[Cuenta]],1))</f>
        <v>1</v>
      </c>
      <c r="AX965" t="b">
        <f>+ISNUMBER(SEARCH(CompConta!$F$23,Tabla11[[#This Row],[Cuenta]],1))</f>
        <v>1</v>
      </c>
      <c r="AY965" t="b">
        <f>+ISNUMBER(SEARCH(CompConta!$F$24,Tabla11[[#This Row],[Cuenta]],1))</f>
        <v>1</v>
      </c>
      <c r="AZ965" t="b">
        <f>+ISNUMBER(SEARCH(CompConta!$F$25,Tabla11[[#This Row],[Cuenta]],1))</f>
        <v>1</v>
      </c>
      <c r="BA965" t="b">
        <f>+ISNUMBER(SEARCH(CompConta!$F$26,Tabla11[[#This Row],[Cuenta]],1))</f>
        <v>1</v>
      </c>
      <c r="BB965" t="b">
        <f>+ISNUMBER(SEARCH(CompConta!$F$27,Tabla11[[#This Row],[Cuenta]],1))</f>
        <v>1</v>
      </c>
      <c r="BC965" t="b">
        <f>+ISNUMBER(SEARCH(CompConta!$F$28,Tabla11[[#This Row],[Cuenta]],1))</f>
        <v>1</v>
      </c>
      <c r="BD965" t="b">
        <f>+ISNUMBER(SEARCH(CompConta!$F$29,Tabla11[[#This Row],[Cuenta]],1))</f>
        <v>1</v>
      </c>
      <c r="BE965" t="b">
        <f>+ISNUMBER(SEARCH(CompConta!$F$30,Tabla11[[#This Row],[Cuenta]],1))</f>
        <v>1</v>
      </c>
      <c r="BF965" t="b">
        <f>+ISNUMBER(SEARCH('PAGO Compras'!$E$11,Tabla11[[#This Row],[Cuenta]],1))</f>
        <v>1</v>
      </c>
      <c r="BG965" t="b">
        <f>+ISNUMBER(SEARCH(#REF!,Tabla11[[#This Row],[Cuenta]],1))</f>
        <v>0</v>
      </c>
      <c r="BH965" t="b">
        <f>+ISNUMBER(SEARCH(#REF!,Tabla11[[#This Row],[Cuenta]],1))</f>
        <v>0</v>
      </c>
      <c r="BI965" t="b">
        <f>+ISNUMBER(SEARCH(#REF!,Tabla11[[#This Row],[Cuenta]],1))</f>
        <v>0</v>
      </c>
      <c r="BJ965" t="b">
        <f>+ISNUMBER(SEARCH(#REF!,Tabla11[[#This Row],[Cuenta]],1))</f>
        <v>0</v>
      </c>
      <c r="BS965" t="str">
        <v>520559 Pensiones de jubilación</v>
      </c>
      <c r="BT965" t="str">
        <v>520559 Pensiones de jubilación</v>
      </c>
      <c r="BU965" t="str">
        <v>520559 Pensiones de jubilación</v>
      </c>
      <c r="BV965" t="str">
        <v>520559 Pensiones de jubilación</v>
      </c>
      <c r="BZ965" t="str">
        <v>520559 Pensiones de jubilación</v>
      </c>
      <c r="CA965" t="str">
        <v>520559 Pensiones de jubilación</v>
      </c>
      <c r="CB965" t="str">
        <v>520559 Pensiones de jubilación</v>
      </c>
      <c r="CC965" t="str">
        <v>520559 Pensiones de jubilación</v>
      </c>
      <c r="CD965" t="str">
        <v>520559 Pensiones de jubilación</v>
      </c>
      <c r="CE965" t="str">
        <v>520559 Pensiones de jubilación</v>
      </c>
      <c r="CS965" s="141" t="str">
        <v>520559 Pensiones de jubilación</v>
      </c>
      <c r="CT965" s="141" t="str">
        <v>520559 Pensiones de jubilación</v>
      </c>
      <c r="CU965" s="141" t="str">
        <v>520559 Pensiones de jubilación</v>
      </c>
      <c r="CV965" s="141" t="str">
        <v>520559 Pensiones de jubilación</v>
      </c>
      <c r="CW965" s="141" t="str">
        <v>520559 Pensiones de jubilación</v>
      </c>
      <c r="CX965" s="141" t="str">
        <v>520559 Pensiones de jubilación</v>
      </c>
      <c r="CY965" s="141" t="str">
        <v>520559 Pensiones de jubilación</v>
      </c>
      <c r="CZ965" s="141" t="str">
        <v>520559 Pensiones de jubilación</v>
      </c>
      <c r="DA965" s="141" t="str">
        <v>520559 Pensiones de jubilación</v>
      </c>
      <c r="DF965" t="str">
        <v>520559 Pensiones de jubilación</v>
      </c>
      <c r="DG965" t="str">
        <v>520559 Pensiones de jubilación</v>
      </c>
      <c r="DH965" t="str">
        <v>520559 Pensiones de jubilación</v>
      </c>
      <c r="DI965" t="str">
        <v>520559 Pensiones de jubilación</v>
      </c>
      <c r="DJ965" t="str">
        <v>520559 Pensiones de jubilación</v>
      </c>
      <c r="DK965" t="str">
        <v>520559 Pensiones de jubilación</v>
      </c>
      <c r="DL965" t="str">
        <v>520559 Pensiones de jubilación</v>
      </c>
      <c r="DM965" t="str">
        <v>520559 Pensiones de jubilación</v>
      </c>
      <c r="DN965" t="str">
        <v>520559 Pensiones de jubilación</v>
      </c>
      <c r="DO965" t="str">
        <v>520559 Pensiones de jubilación</v>
      </c>
      <c r="DP965" t="str">
        <v>520559 Pensiones de jubilación</v>
      </c>
    </row>
    <row r="966" spans="4:120" ht="12.75">
      <c r="D966" s="7">
        <v>520560</v>
      </c>
      <c r="E966" s="6" t="s">
        <v>544</v>
      </c>
      <c r="F966" s="5">
        <v>4</v>
      </c>
      <c r="G966" s="34" t="s">
        <v>830</v>
      </c>
      <c r="H966" s="8" t="s">
        <v>32</v>
      </c>
      <c r="I966" t="b">
        <f>+ISNUMBER(SEARCH('F-COMPRA'!$F$28,Tabla11[[#This Row],[Cuenta]],1))</f>
        <v>1</v>
      </c>
      <c r="J966" t="b">
        <f>+ISNUMBER(SEARCH('F-COMPRA'!$F$29,Tabla11[[#This Row],[Cuenta]],1))</f>
        <v>1</v>
      </c>
      <c r="K966" t="b">
        <f>+ISNUMBER(SEARCH('F-COMPRA'!$F$30,Tabla11[[#This Row],[Cuenta]],1))</f>
        <v>1</v>
      </c>
      <c r="L966" t="b">
        <f>+ISNUMBER(SEARCH('F-COMPRA'!$F$31,Tabla11[[#This Row],[Cuenta]],1))</f>
        <v>1</v>
      </c>
      <c r="M966" t="b">
        <f>+ISNUMBER(SEARCH('F-COMPRA'!$G$25,Tabla11[[#This Row],[Cuenta]],1))</f>
        <v>0</v>
      </c>
      <c r="N966" t="b">
        <f>+ISNUMBER(SEARCH(#REF!,Tabla11[[#This Row],[Cuenta]],1))</f>
        <v>0</v>
      </c>
      <c r="O966" t="b">
        <f>+ISNUMBER(SEARCH(#REF!,Tabla11[[#This Row],[Cuenta]],1))</f>
        <v>0</v>
      </c>
      <c r="P966" t="b">
        <f>+ISNUMBER(SEARCH('F-COMPRA'!$F$32,Tabla11[[#This Row],[Cuenta]],1))</f>
        <v>1</v>
      </c>
      <c r="Q966" t="b">
        <f>+ISNUMBER(SEARCH('F-COMPRA'!$F$33,Tabla11[[#This Row],[Cuenta]],1))</f>
        <v>1</v>
      </c>
      <c r="R966" t="b">
        <f>+ISNUMBER(SEARCH('F-COMPRA'!$F$34,Tabla11[[#This Row],[Cuenta]],1))</f>
        <v>1</v>
      </c>
      <c r="S966" t="b">
        <f>+ISNUMBER(SEARCH('F-COMPRA'!$F$35,Tabla11[[#This Row],[Cuenta]],1))</f>
        <v>1</v>
      </c>
      <c r="T966" t="b">
        <f>+ISNUMBER(SEARCH('F-COMPRA'!$F$36,Tabla11[[#This Row],[Cuenta]],1))</f>
        <v>1</v>
      </c>
      <c r="U966" t="b">
        <f>+ISNUMBER(SEARCH('F-COMPRA'!$F$37,Tabla11[[#This Row],[Cuenta]],1))</f>
        <v>1</v>
      </c>
      <c r="V966" t="b">
        <f>+ISNUMBER(SEARCH(#REF!,Tabla11[[#This Row],[Cuenta]],1))</f>
        <v>0</v>
      </c>
      <c r="W966" t="b">
        <f>+ISNUMBER(SEARCH('F-COMPRA'!#REF!,Tabla11[[#This Row],[Cuenta]],1))</f>
        <v>0</v>
      </c>
      <c r="X966" t="b">
        <f>+ISNUMBER(SEARCH('F-COMPRA'!#REF!,Tabla11[[#This Row],[Cuenta]],1))</f>
        <v>0</v>
      </c>
      <c r="Y966" t="b">
        <f>+ISNUMBER(SEARCH('F-COMPRA'!#REF!,Tabla11[[#This Row],[Cuenta]],1))</f>
        <v>0</v>
      </c>
      <c r="Z966" t="b">
        <f>+ISNUMBER(SEARCH('F-COMPRA'!#REF!,Tabla11[[#This Row],[Cuenta]],1))</f>
        <v>0</v>
      </c>
      <c r="AA966" t="b">
        <f>+ISNUMBER(SEARCH('F-COMPRA'!#REF!,Tabla11[[#This Row],[Cuenta]],1))</f>
        <v>0</v>
      </c>
      <c r="AB966" t="b">
        <f>+ISNUMBER(SEARCH('F-COMPRA'!#REF!,Tabla11[[#This Row],[Cuenta]],1))</f>
        <v>0</v>
      </c>
      <c r="AC966" t="b">
        <f>+ISNUMBER(SEARCH('F-COMPRA'!#REF!,Tabla11[[#This Row],[Cuenta]],1))</f>
        <v>0</v>
      </c>
      <c r="AD966" t="b">
        <f>+ISNUMBER(SEARCH('F-COMPRA'!#REF!,Tabla11[[#This Row],[Cuenta]],1))</f>
        <v>0</v>
      </c>
      <c r="AE966" t="b">
        <f>+ISNUMBER(SEARCH('F-COMPRA'!#REF!,Tabla11[[#This Row],[Cuenta]],1))</f>
        <v>0</v>
      </c>
      <c r="AF966" t="b">
        <f>+ISNUMBER(SEARCH('F-VTA'!$G$23,Tabla11[[#This Row],[Cuenta]],1))</f>
        <v>0</v>
      </c>
      <c r="AG966" t="b">
        <f>+ISNUMBER(SEARCH('F-VTA'!$G$24,Tabla11[[#This Row],[Cuenta]],1))</f>
        <v>0</v>
      </c>
      <c r="AH966" t="b">
        <f>+ISNUMBER(SEARCH('F-VTA'!$G$25,Tabla11[[#This Row],[Cuenta]],1))</f>
        <v>0</v>
      </c>
      <c r="AI966" t="b">
        <f>+ISNUMBER(SEARCH('F-VTA'!$F$28,Tabla11[[#This Row],[Cuenta]],1))</f>
        <v>1</v>
      </c>
      <c r="AJ966" t="b">
        <f>+ISNUMBER(SEARCH('F-VTA'!$F$29,Tabla11[[#This Row],[Cuenta]],1))</f>
        <v>1</v>
      </c>
      <c r="AK966" t="b">
        <f>+ISNUMBER(SEARCH('F-VTA'!$F$30,Tabla11[[#This Row],[Cuenta]],1))</f>
        <v>1</v>
      </c>
      <c r="AL966" t="b">
        <f>+ISNUMBER(SEARCH('F-VTA'!$F$31,Tabla11[[#This Row],[Cuenta]],1))</f>
        <v>1</v>
      </c>
      <c r="AM966" t="b">
        <f>+ISNUMBER(SEARCH('F-VTA'!$F$32,Tabla11[[#This Row],[Cuenta]],1))</f>
        <v>1</v>
      </c>
      <c r="AN966" t="b">
        <f>+ISNUMBER(SEARCH('F-VTA'!$F$33,Tabla11[[#This Row],[Cuenta]],1))</f>
        <v>1</v>
      </c>
      <c r="AO966" t="b">
        <f>+ISNUMBER(SEARCH('F-VTA'!$F$34,Tabla11[[#This Row],[Cuenta]],1))</f>
        <v>1</v>
      </c>
      <c r="AP966" t="b">
        <f>+ISNUMBER(SEARCH('F-VTA'!$F$35,Tabla11[[#This Row],[Cuenta]],1))</f>
        <v>1</v>
      </c>
      <c r="AQ966" t="b">
        <f>+ISNUMBER(SEARCH('F-VTA'!$F$36,Tabla11[[#This Row],[Cuenta]],1))</f>
        <v>1</v>
      </c>
      <c r="AR966" t="b">
        <f>+ISNUMBER(SEARCH(#REF!,Tabla11[[#This Row],[Cuenta]],1))</f>
        <v>0</v>
      </c>
      <c r="AS966" t="b">
        <f>+ISNUMBER(SEARCH(#REF!,Tabla11[[#This Row],[Cuenta]],1))</f>
        <v>0</v>
      </c>
      <c r="AT966" t="b">
        <f>+ISNUMBER(SEARCH(#REF!,Tabla11[[#This Row],[Cuenta]],1))</f>
        <v>0</v>
      </c>
      <c r="AU966" t="b">
        <f>+ISNUMBER(SEARCH('Conc. Ban.1'!$I$9,Tabla11[[#This Row],[Cuenta]],1))</f>
        <v>0</v>
      </c>
      <c r="AV966" t="b">
        <f>+ISNUMBER(SEARCH(CompConta!$F$21,Tabla11[[#This Row],[Cuenta]],1))</f>
        <v>1</v>
      </c>
      <c r="AW966" t="b">
        <f>+ISNUMBER(SEARCH(CompConta!$F$22,Tabla11[[#This Row],[Cuenta]],1))</f>
        <v>1</v>
      </c>
      <c r="AX966" t="b">
        <f>+ISNUMBER(SEARCH(CompConta!$F$23,Tabla11[[#This Row],[Cuenta]],1))</f>
        <v>1</v>
      </c>
      <c r="AY966" t="b">
        <f>+ISNUMBER(SEARCH(CompConta!$F$24,Tabla11[[#This Row],[Cuenta]],1))</f>
        <v>1</v>
      </c>
      <c r="AZ966" t="b">
        <f>+ISNUMBER(SEARCH(CompConta!$F$25,Tabla11[[#This Row],[Cuenta]],1))</f>
        <v>1</v>
      </c>
      <c r="BA966" t="b">
        <f>+ISNUMBER(SEARCH(CompConta!$F$26,Tabla11[[#This Row],[Cuenta]],1))</f>
        <v>1</v>
      </c>
      <c r="BB966" t="b">
        <f>+ISNUMBER(SEARCH(CompConta!$F$27,Tabla11[[#This Row],[Cuenta]],1))</f>
        <v>1</v>
      </c>
      <c r="BC966" t="b">
        <f>+ISNUMBER(SEARCH(CompConta!$F$28,Tabla11[[#This Row],[Cuenta]],1))</f>
        <v>1</v>
      </c>
      <c r="BD966" t="b">
        <f>+ISNUMBER(SEARCH(CompConta!$F$29,Tabla11[[#This Row],[Cuenta]],1))</f>
        <v>1</v>
      </c>
      <c r="BE966" t="b">
        <f>+ISNUMBER(SEARCH(CompConta!$F$30,Tabla11[[#This Row],[Cuenta]],1))</f>
        <v>1</v>
      </c>
      <c r="BF966" t="b">
        <f>+ISNUMBER(SEARCH('PAGO Compras'!$E$11,Tabla11[[#This Row],[Cuenta]],1))</f>
        <v>1</v>
      </c>
      <c r="BG966" t="b">
        <f>+ISNUMBER(SEARCH(#REF!,Tabla11[[#This Row],[Cuenta]],1))</f>
        <v>0</v>
      </c>
      <c r="BH966" t="b">
        <f>+ISNUMBER(SEARCH(#REF!,Tabla11[[#This Row],[Cuenta]],1))</f>
        <v>0</v>
      </c>
      <c r="BI966" t="b">
        <f>+ISNUMBER(SEARCH(#REF!,Tabla11[[#This Row],[Cuenta]],1))</f>
        <v>0</v>
      </c>
      <c r="BJ966" t="b">
        <f>+ISNUMBER(SEARCH(#REF!,Tabla11[[#This Row],[Cuenta]],1))</f>
        <v>0</v>
      </c>
      <c r="BS966" t="str">
        <v>520560 Indemnizaciones laborales</v>
      </c>
      <c r="BT966" t="str">
        <v>520560 Indemnizaciones laborales</v>
      </c>
      <c r="BU966" t="str">
        <v>520560 Indemnizaciones laborales</v>
      </c>
      <c r="BV966" t="str">
        <v>520560 Indemnizaciones laborales</v>
      </c>
      <c r="BZ966" t="str">
        <v>520560 Indemnizaciones laborales</v>
      </c>
      <c r="CA966" t="str">
        <v>520560 Indemnizaciones laborales</v>
      </c>
      <c r="CB966" t="str">
        <v>520560 Indemnizaciones laborales</v>
      </c>
      <c r="CC966" t="str">
        <v>520560 Indemnizaciones laborales</v>
      </c>
      <c r="CD966" t="str">
        <v>520560 Indemnizaciones laborales</v>
      </c>
      <c r="CE966" t="str">
        <v>520560 Indemnizaciones laborales</v>
      </c>
      <c r="CS966" s="141" t="str">
        <v>520560 Indemnizaciones laborales</v>
      </c>
      <c r="CT966" s="141" t="str">
        <v>520560 Indemnizaciones laborales</v>
      </c>
      <c r="CU966" s="141" t="str">
        <v>520560 Indemnizaciones laborales</v>
      </c>
      <c r="CV966" s="141" t="str">
        <v>520560 Indemnizaciones laborales</v>
      </c>
      <c r="CW966" s="141" t="str">
        <v>520560 Indemnizaciones laborales</v>
      </c>
      <c r="CX966" s="141" t="str">
        <v>520560 Indemnizaciones laborales</v>
      </c>
      <c r="CY966" s="141" t="str">
        <v>520560 Indemnizaciones laborales</v>
      </c>
      <c r="CZ966" s="141" t="str">
        <v>520560 Indemnizaciones laborales</v>
      </c>
      <c r="DA966" s="141" t="str">
        <v>520560 Indemnizaciones laborales</v>
      </c>
      <c r="DF966" t="str">
        <v>520560 Indemnizaciones laborales</v>
      </c>
      <c r="DG966" t="str">
        <v>520560 Indemnizaciones laborales</v>
      </c>
      <c r="DH966" t="str">
        <v>520560 Indemnizaciones laborales</v>
      </c>
      <c r="DI966" t="str">
        <v>520560 Indemnizaciones laborales</v>
      </c>
      <c r="DJ966" t="str">
        <v>520560 Indemnizaciones laborales</v>
      </c>
      <c r="DK966" t="str">
        <v>520560 Indemnizaciones laborales</v>
      </c>
      <c r="DL966" t="str">
        <v>520560 Indemnizaciones laborales</v>
      </c>
      <c r="DM966" t="str">
        <v>520560 Indemnizaciones laborales</v>
      </c>
      <c r="DN966" t="str">
        <v>520560 Indemnizaciones laborales</v>
      </c>
      <c r="DO966" t="str">
        <v>520560 Indemnizaciones laborales</v>
      </c>
      <c r="DP966" t="str">
        <v>520560 Indemnizaciones laborales</v>
      </c>
    </row>
    <row r="967" spans="4:120" ht="12.75">
      <c r="D967" s="7">
        <v>520561</v>
      </c>
      <c r="E967" s="6" t="s">
        <v>545</v>
      </c>
      <c r="F967" s="5">
        <v>4</v>
      </c>
      <c r="G967" s="34" t="s">
        <v>830</v>
      </c>
      <c r="H967" s="8" t="s">
        <v>32</v>
      </c>
      <c r="I967" t="b">
        <f>+ISNUMBER(SEARCH('F-COMPRA'!$F$28,Tabla11[[#This Row],[Cuenta]],1))</f>
        <v>1</v>
      </c>
      <c r="J967" t="b">
        <f>+ISNUMBER(SEARCH('F-COMPRA'!$F$29,Tabla11[[#This Row],[Cuenta]],1))</f>
        <v>1</v>
      </c>
      <c r="K967" t="b">
        <f>+ISNUMBER(SEARCH('F-COMPRA'!$F$30,Tabla11[[#This Row],[Cuenta]],1))</f>
        <v>1</v>
      </c>
      <c r="L967" t="b">
        <f>+ISNUMBER(SEARCH('F-COMPRA'!$F$31,Tabla11[[#This Row],[Cuenta]],1))</f>
        <v>1</v>
      </c>
      <c r="M967" t="b">
        <f>+ISNUMBER(SEARCH('F-COMPRA'!$G$25,Tabla11[[#This Row],[Cuenta]],1))</f>
        <v>0</v>
      </c>
      <c r="N967" t="b">
        <f>+ISNUMBER(SEARCH(#REF!,Tabla11[[#This Row],[Cuenta]],1))</f>
        <v>0</v>
      </c>
      <c r="O967" t="b">
        <f>+ISNUMBER(SEARCH(#REF!,Tabla11[[#This Row],[Cuenta]],1))</f>
        <v>0</v>
      </c>
      <c r="P967" t="b">
        <f>+ISNUMBER(SEARCH('F-COMPRA'!$F$32,Tabla11[[#This Row],[Cuenta]],1))</f>
        <v>1</v>
      </c>
      <c r="Q967" t="b">
        <f>+ISNUMBER(SEARCH('F-COMPRA'!$F$33,Tabla11[[#This Row],[Cuenta]],1))</f>
        <v>1</v>
      </c>
      <c r="R967" t="b">
        <f>+ISNUMBER(SEARCH('F-COMPRA'!$F$34,Tabla11[[#This Row],[Cuenta]],1))</f>
        <v>1</v>
      </c>
      <c r="S967" t="b">
        <f>+ISNUMBER(SEARCH('F-COMPRA'!$F$35,Tabla11[[#This Row],[Cuenta]],1))</f>
        <v>1</v>
      </c>
      <c r="T967" t="b">
        <f>+ISNUMBER(SEARCH('F-COMPRA'!$F$36,Tabla11[[#This Row],[Cuenta]],1))</f>
        <v>1</v>
      </c>
      <c r="U967" t="b">
        <f>+ISNUMBER(SEARCH('F-COMPRA'!$F$37,Tabla11[[#This Row],[Cuenta]],1))</f>
        <v>1</v>
      </c>
      <c r="V967" t="b">
        <f>+ISNUMBER(SEARCH(#REF!,Tabla11[[#This Row],[Cuenta]],1))</f>
        <v>0</v>
      </c>
      <c r="W967" t="b">
        <f>+ISNUMBER(SEARCH('F-COMPRA'!#REF!,Tabla11[[#This Row],[Cuenta]],1))</f>
        <v>0</v>
      </c>
      <c r="X967" t="b">
        <f>+ISNUMBER(SEARCH('F-COMPRA'!#REF!,Tabla11[[#This Row],[Cuenta]],1))</f>
        <v>0</v>
      </c>
      <c r="Y967" t="b">
        <f>+ISNUMBER(SEARCH('F-COMPRA'!#REF!,Tabla11[[#This Row],[Cuenta]],1))</f>
        <v>0</v>
      </c>
      <c r="Z967" t="b">
        <f>+ISNUMBER(SEARCH('F-COMPRA'!#REF!,Tabla11[[#This Row],[Cuenta]],1))</f>
        <v>0</v>
      </c>
      <c r="AA967" t="b">
        <f>+ISNUMBER(SEARCH('F-COMPRA'!#REF!,Tabla11[[#This Row],[Cuenta]],1))</f>
        <v>0</v>
      </c>
      <c r="AB967" t="b">
        <f>+ISNUMBER(SEARCH('F-COMPRA'!#REF!,Tabla11[[#This Row],[Cuenta]],1))</f>
        <v>0</v>
      </c>
      <c r="AC967" t="b">
        <f>+ISNUMBER(SEARCH('F-COMPRA'!#REF!,Tabla11[[#This Row],[Cuenta]],1))</f>
        <v>0</v>
      </c>
      <c r="AD967" t="b">
        <f>+ISNUMBER(SEARCH('F-COMPRA'!#REF!,Tabla11[[#This Row],[Cuenta]],1))</f>
        <v>0</v>
      </c>
      <c r="AE967" t="b">
        <f>+ISNUMBER(SEARCH('F-COMPRA'!#REF!,Tabla11[[#This Row],[Cuenta]],1))</f>
        <v>0</v>
      </c>
      <c r="AF967" t="b">
        <f>+ISNUMBER(SEARCH('F-VTA'!$G$23,Tabla11[[#This Row],[Cuenta]],1))</f>
        <v>0</v>
      </c>
      <c r="AG967" t="b">
        <f>+ISNUMBER(SEARCH('F-VTA'!$G$24,Tabla11[[#This Row],[Cuenta]],1))</f>
        <v>0</v>
      </c>
      <c r="AH967" t="b">
        <f>+ISNUMBER(SEARCH('F-VTA'!$G$25,Tabla11[[#This Row],[Cuenta]],1))</f>
        <v>0</v>
      </c>
      <c r="AI967" t="b">
        <f>+ISNUMBER(SEARCH('F-VTA'!$F$28,Tabla11[[#This Row],[Cuenta]],1))</f>
        <v>1</v>
      </c>
      <c r="AJ967" t="b">
        <f>+ISNUMBER(SEARCH('F-VTA'!$F$29,Tabla11[[#This Row],[Cuenta]],1))</f>
        <v>1</v>
      </c>
      <c r="AK967" t="b">
        <f>+ISNUMBER(SEARCH('F-VTA'!$F$30,Tabla11[[#This Row],[Cuenta]],1))</f>
        <v>1</v>
      </c>
      <c r="AL967" t="b">
        <f>+ISNUMBER(SEARCH('F-VTA'!$F$31,Tabla11[[#This Row],[Cuenta]],1))</f>
        <v>1</v>
      </c>
      <c r="AM967" t="b">
        <f>+ISNUMBER(SEARCH('F-VTA'!$F$32,Tabla11[[#This Row],[Cuenta]],1))</f>
        <v>1</v>
      </c>
      <c r="AN967" t="b">
        <f>+ISNUMBER(SEARCH('F-VTA'!$F$33,Tabla11[[#This Row],[Cuenta]],1))</f>
        <v>1</v>
      </c>
      <c r="AO967" t="b">
        <f>+ISNUMBER(SEARCH('F-VTA'!$F$34,Tabla11[[#This Row],[Cuenta]],1))</f>
        <v>1</v>
      </c>
      <c r="AP967" t="b">
        <f>+ISNUMBER(SEARCH('F-VTA'!$F$35,Tabla11[[#This Row],[Cuenta]],1))</f>
        <v>1</v>
      </c>
      <c r="AQ967" t="b">
        <f>+ISNUMBER(SEARCH('F-VTA'!$F$36,Tabla11[[#This Row],[Cuenta]],1))</f>
        <v>1</v>
      </c>
      <c r="AR967" t="b">
        <f>+ISNUMBER(SEARCH(#REF!,Tabla11[[#This Row],[Cuenta]],1))</f>
        <v>0</v>
      </c>
      <c r="AS967" t="b">
        <f>+ISNUMBER(SEARCH(#REF!,Tabla11[[#This Row],[Cuenta]],1))</f>
        <v>0</v>
      </c>
      <c r="AT967" t="b">
        <f>+ISNUMBER(SEARCH(#REF!,Tabla11[[#This Row],[Cuenta]],1))</f>
        <v>0</v>
      </c>
      <c r="AU967" t="b">
        <f>+ISNUMBER(SEARCH('Conc. Ban.1'!$I$9,Tabla11[[#This Row],[Cuenta]],1))</f>
        <v>0</v>
      </c>
      <c r="AV967" t="b">
        <f>+ISNUMBER(SEARCH(CompConta!$F$21,Tabla11[[#This Row],[Cuenta]],1))</f>
        <v>1</v>
      </c>
      <c r="AW967" t="b">
        <f>+ISNUMBER(SEARCH(CompConta!$F$22,Tabla11[[#This Row],[Cuenta]],1))</f>
        <v>1</v>
      </c>
      <c r="AX967" t="b">
        <f>+ISNUMBER(SEARCH(CompConta!$F$23,Tabla11[[#This Row],[Cuenta]],1))</f>
        <v>1</v>
      </c>
      <c r="AY967" t="b">
        <f>+ISNUMBER(SEARCH(CompConta!$F$24,Tabla11[[#This Row],[Cuenta]],1))</f>
        <v>1</v>
      </c>
      <c r="AZ967" t="b">
        <f>+ISNUMBER(SEARCH(CompConta!$F$25,Tabla11[[#This Row],[Cuenta]],1))</f>
        <v>1</v>
      </c>
      <c r="BA967" t="b">
        <f>+ISNUMBER(SEARCH(CompConta!$F$26,Tabla11[[#This Row],[Cuenta]],1))</f>
        <v>1</v>
      </c>
      <c r="BB967" t="b">
        <f>+ISNUMBER(SEARCH(CompConta!$F$27,Tabla11[[#This Row],[Cuenta]],1))</f>
        <v>1</v>
      </c>
      <c r="BC967" t="b">
        <f>+ISNUMBER(SEARCH(CompConta!$F$28,Tabla11[[#This Row],[Cuenta]],1))</f>
        <v>1</v>
      </c>
      <c r="BD967" t="b">
        <f>+ISNUMBER(SEARCH(CompConta!$F$29,Tabla11[[#This Row],[Cuenta]],1))</f>
        <v>1</v>
      </c>
      <c r="BE967" t="b">
        <f>+ISNUMBER(SEARCH(CompConta!$F$30,Tabla11[[#This Row],[Cuenta]],1))</f>
        <v>1</v>
      </c>
      <c r="BF967" t="b">
        <f>+ISNUMBER(SEARCH('PAGO Compras'!$E$11,Tabla11[[#This Row],[Cuenta]],1))</f>
        <v>1</v>
      </c>
      <c r="BG967" t="b">
        <f>+ISNUMBER(SEARCH(#REF!,Tabla11[[#This Row],[Cuenta]],1))</f>
        <v>0</v>
      </c>
      <c r="BH967" t="b">
        <f>+ISNUMBER(SEARCH(#REF!,Tabla11[[#This Row],[Cuenta]],1))</f>
        <v>0</v>
      </c>
      <c r="BI967" t="b">
        <f>+ISNUMBER(SEARCH(#REF!,Tabla11[[#This Row],[Cuenta]],1))</f>
        <v>0</v>
      </c>
      <c r="BJ967" t="b">
        <f>+ISNUMBER(SEARCH(#REF!,Tabla11[[#This Row],[Cuenta]],1))</f>
        <v>0</v>
      </c>
      <c r="BS967" t="str">
        <v>520561 Amortización bonos pensionales</v>
      </c>
      <c r="BT967" t="str">
        <v>520561 Amortización bonos pensionales</v>
      </c>
      <c r="BU967" t="str">
        <v>520561 Amortización bonos pensionales</v>
      </c>
      <c r="BV967" t="str">
        <v>520561 Amortización bonos pensionales</v>
      </c>
      <c r="BZ967" t="str">
        <v>520561 Amortización bonos pensionales</v>
      </c>
      <c r="CA967" t="str">
        <v>520561 Amortización bonos pensionales</v>
      </c>
      <c r="CB967" t="str">
        <v>520561 Amortización bonos pensionales</v>
      </c>
      <c r="CC967" t="str">
        <v>520561 Amortización bonos pensionales</v>
      </c>
      <c r="CD967" t="str">
        <v>520561 Amortización bonos pensionales</v>
      </c>
      <c r="CE967" t="str">
        <v>520561 Amortización bonos pensionales</v>
      </c>
      <c r="CS967" s="141" t="str">
        <v>520561 Amortización bonos pensionales</v>
      </c>
      <c r="CT967" s="141" t="str">
        <v>520561 Amortización bonos pensionales</v>
      </c>
      <c r="CU967" s="141" t="str">
        <v>520561 Amortización bonos pensionales</v>
      </c>
      <c r="CV967" s="141" t="str">
        <v>520561 Amortización bonos pensionales</v>
      </c>
      <c r="CW967" s="141" t="str">
        <v>520561 Amortización bonos pensionales</v>
      </c>
      <c r="CX967" s="141" t="str">
        <v>520561 Amortización bonos pensionales</v>
      </c>
      <c r="CY967" s="141" t="str">
        <v>520561 Amortización bonos pensionales</v>
      </c>
      <c r="CZ967" s="141" t="str">
        <v>520561 Amortización bonos pensionales</v>
      </c>
      <c r="DA967" s="141" t="str">
        <v>520561 Amortización bonos pensionales</v>
      </c>
      <c r="DF967" t="str">
        <v>520561 Amortización bonos pensionales</v>
      </c>
      <c r="DG967" t="str">
        <v>520561 Amortización bonos pensionales</v>
      </c>
      <c r="DH967" t="str">
        <v>520561 Amortización bonos pensionales</v>
      </c>
      <c r="DI967" t="str">
        <v>520561 Amortización bonos pensionales</v>
      </c>
      <c r="DJ967" t="str">
        <v>520561 Amortización bonos pensionales</v>
      </c>
      <c r="DK967" t="str">
        <v>520561 Amortización bonos pensionales</v>
      </c>
      <c r="DL967" t="str">
        <v>520561 Amortización bonos pensionales</v>
      </c>
      <c r="DM967" t="str">
        <v>520561 Amortización bonos pensionales</v>
      </c>
      <c r="DN967" t="str">
        <v>520561 Amortización bonos pensionales</v>
      </c>
      <c r="DO967" t="str">
        <v>520561 Amortización bonos pensionales</v>
      </c>
      <c r="DP967" t="str">
        <v>520561 Amortización bonos pensionales</v>
      </c>
    </row>
    <row r="968" spans="4:120" ht="12.75">
      <c r="D968" s="7">
        <v>520562</v>
      </c>
      <c r="E968" s="6" t="s">
        <v>546</v>
      </c>
      <c r="F968" s="5">
        <v>4</v>
      </c>
      <c r="G968" s="34" t="s">
        <v>830</v>
      </c>
      <c r="H968" s="8" t="s">
        <v>32</v>
      </c>
      <c r="I968" t="b">
        <f>+ISNUMBER(SEARCH('F-COMPRA'!$F$28,Tabla11[[#This Row],[Cuenta]],1))</f>
        <v>1</v>
      </c>
      <c r="J968" t="b">
        <f>+ISNUMBER(SEARCH('F-COMPRA'!$F$29,Tabla11[[#This Row],[Cuenta]],1))</f>
        <v>1</v>
      </c>
      <c r="K968" t="b">
        <f>+ISNUMBER(SEARCH('F-COMPRA'!$F$30,Tabla11[[#This Row],[Cuenta]],1))</f>
        <v>1</v>
      </c>
      <c r="L968" t="b">
        <f>+ISNUMBER(SEARCH('F-COMPRA'!$F$31,Tabla11[[#This Row],[Cuenta]],1))</f>
        <v>1</v>
      </c>
      <c r="M968" t="b">
        <f>+ISNUMBER(SEARCH('F-COMPRA'!$G$25,Tabla11[[#This Row],[Cuenta]],1))</f>
        <v>0</v>
      </c>
      <c r="N968" t="b">
        <f>+ISNUMBER(SEARCH(#REF!,Tabla11[[#This Row],[Cuenta]],1))</f>
        <v>0</v>
      </c>
      <c r="O968" t="b">
        <f>+ISNUMBER(SEARCH(#REF!,Tabla11[[#This Row],[Cuenta]],1))</f>
        <v>0</v>
      </c>
      <c r="P968" t="b">
        <f>+ISNUMBER(SEARCH('F-COMPRA'!$F$32,Tabla11[[#This Row],[Cuenta]],1))</f>
        <v>1</v>
      </c>
      <c r="Q968" t="b">
        <f>+ISNUMBER(SEARCH('F-COMPRA'!$F$33,Tabla11[[#This Row],[Cuenta]],1))</f>
        <v>1</v>
      </c>
      <c r="R968" t="b">
        <f>+ISNUMBER(SEARCH('F-COMPRA'!$F$34,Tabla11[[#This Row],[Cuenta]],1))</f>
        <v>1</v>
      </c>
      <c r="S968" t="b">
        <f>+ISNUMBER(SEARCH('F-COMPRA'!$F$35,Tabla11[[#This Row],[Cuenta]],1))</f>
        <v>1</v>
      </c>
      <c r="T968" t="b">
        <f>+ISNUMBER(SEARCH('F-COMPRA'!$F$36,Tabla11[[#This Row],[Cuenta]],1))</f>
        <v>1</v>
      </c>
      <c r="U968" t="b">
        <f>+ISNUMBER(SEARCH('F-COMPRA'!$F$37,Tabla11[[#This Row],[Cuenta]],1))</f>
        <v>1</v>
      </c>
      <c r="V968" t="b">
        <f>+ISNUMBER(SEARCH(#REF!,Tabla11[[#This Row],[Cuenta]],1))</f>
        <v>0</v>
      </c>
      <c r="W968" t="b">
        <f>+ISNUMBER(SEARCH('F-COMPRA'!#REF!,Tabla11[[#This Row],[Cuenta]],1))</f>
        <v>0</v>
      </c>
      <c r="X968" t="b">
        <f>+ISNUMBER(SEARCH('F-COMPRA'!#REF!,Tabla11[[#This Row],[Cuenta]],1))</f>
        <v>0</v>
      </c>
      <c r="Y968" t="b">
        <f>+ISNUMBER(SEARCH('F-COMPRA'!#REF!,Tabla11[[#This Row],[Cuenta]],1))</f>
        <v>0</v>
      </c>
      <c r="Z968" t="b">
        <f>+ISNUMBER(SEARCH('F-COMPRA'!#REF!,Tabla11[[#This Row],[Cuenta]],1))</f>
        <v>0</v>
      </c>
      <c r="AA968" t="b">
        <f>+ISNUMBER(SEARCH('F-COMPRA'!#REF!,Tabla11[[#This Row],[Cuenta]],1))</f>
        <v>0</v>
      </c>
      <c r="AB968" t="b">
        <f>+ISNUMBER(SEARCH('F-COMPRA'!#REF!,Tabla11[[#This Row],[Cuenta]],1))</f>
        <v>0</v>
      </c>
      <c r="AC968" t="b">
        <f>+ISNUMBER(SEARCH('F-COMPRA'!#REF!,Tabla11[[#This Row],[Cuenta]],1))</f>
        <v>0</v>
      </c>
      <c r="AD968" t="b">
        <f>+ISNUMBER(SEARCH('F-COMPRA'!#REF!,Tabla11[[#This Row],[Cuenta]],1))</f>
        <v>0</v>
      </c>
      <c r="AE968" t="b">
        <f>+ISNUMBER(SEARCH('F-COMPRA'!#REF!,Tabla11[[#This Row],[Cuenta]],1))</f>
        <v>0</v>
      </c>
      <c r="AF968" t="b">
        <f>+ISNUMBER(SEARCH('F-VTA'!$G$23,Tabla11[[#This Row],[Cuenta]],1))</f>
        <v>0</v>
      </c>
      <c r="AG968" t="b">
        <f>+ISNUMBER(SEARCH('F-VTA'!$G$24,Tabla11[[#This Row],[Cuenta]],1))</f>
        <v>0</v>
      </c>
      <c r="AH968" t="b">
        <f>+ISNUMBER(SEARCH('F-VTA'!$G$25,Tabla11[[#This Row],[Cuenta]],1))</f>
        <v>0</v>
      </c>
      <c r="AI968" t="b">
        <f>+ISNUMBER(SEARCH('F-VTA'!$F$28,Tabla11[[#This Row],[Cuenta]],1))</f>
        <v>1</v>
      </c>
      <c r="AJ968" t="b">
        <f>+ISNUMBER(SEARCH('F-VTA'!$F$29,Tabla11[[#This Row],[Cuenta]],1))</f>
        <v>1</v>
      </c>
      <c r="AK968" t="b">
        <f>+ISNUMBER(SEARCH('F-VTA'!$F$30,Tabla11[[#This Row],[Cuenta]],1))</f>
        <v>1</v>
      </c>
      <c r="AL968" t="b">
        <f>+ISNUMBER(SEARCH('F-VTA'!$F$31,Tabla11[[#This Row],[Cuenta]],1))</f>
        <v>1</v>
      </c>
      <c r="AM968" t="b">
        <f>+ISNUMBER(SEARCH('F-VTA'!$F$32,Tabla11[[#This Row],[Cuenta]],1))</f>
        <v>1</v>
      </c>
      <c r="AN968" t="b">
        <f>+ISNUMBER(SEARCH('F-VTA'!$F$33,Tabla11[[#This Row],[Cuenta]],1))</f>
        <v>1</v>
      </c>
      <c r="AO968" t="b">
        <f>+ISNUMBER(SEARCH('F-VTA'!$F$34,Tabla11[[#This Row],[Cuenta]],1))</f>
        <v>1</v>
      </c>
      <c r="AP968" t="b">
        <f>+ISNUMBER(SEARCH('F-VTA'!$F$35,Tabla11[[#This Row],[Cuenta]],1))</f>
        <v>1</v>
      </c>
      <c r="AQ968" t="b">
        <f>+ISNUMBER(SEARCH('F-VTA'!$F$36,Tabla11[[#This Row],[Cuenta]],1))</f>
        <v>1</v>
      </c>
      <c r="AR968" t="b">
        <f>+ISNUMBER(SEARCH(#REF!,Tabla11[[#This Row],[Cuenta]],1))</f>
        <v>0</v>
      </c>
      <c r="AS968" t="b">
        <f>+ISNUMBER(SEARCH(#REF!,Tabla11[[#This Row],[Cuenta]],1))</f>
        <v>0</v>
      </c>
      <c r="AT968" t="b">
        <f>+ISNUMBER(SEARCH(#REF!,Tabla11[[#This Row],[Cuenta]],1))</f>
        <v>0</v>
      </c>
      <c r="AU968" t="b">
        <f>+ISNUMBER(SEARCH('Conc. Ban.1'!$I$9,Tabla11[[#This Row],[Cuenta]],1))</f>
        <v>0</v>
      </c>
      <c r="AV968" t="b">
        <f>+ISNUMBER(SEARCH(CompConta!$F$21,Tabla11[[#This Row],[Cuenta]],1))</f>
        <v>1</v>
      </c>
      <c r="AW968" t="b">
        <f>+ISNUMBER(SEARCH(CompConta!$F$22,Tabla11[[#This Row],[Cuenta]],1))</f>
        <v>1</v>
      </c>
      <c r="AX968" t="b">
        <f>+ISNUMBER(SEARCH(CompConta!$F$23,Tabla11[[#This Row],[Cuenta]],1))</f>
        <v>1</v>
      </c>
      <c r="AY968" t="b">
        <f>+ISNUMBER(SEARCH(CompConta!$F$24,Tabla11[[#This Row],[Cuenta]],1))</f>
        <v>1</v>
      </c>
      <c r="AZ968" t="b">
        <f>+ISNUMBER(SEARCH(CompConta!$F$25,Tabla11[[#This Row],[Cuenta]],1))</f>
        <v>1</v>
      </c>
      <c r="BA968" t="b">
        <f>+ISNUMBER(SEARCH(CompConta!$F$26,Tabla11[[#This Row],[Cuenta]],1))</f>
        <v>1</v>
      </c>
      <c r="BB968" t="b">
        <f>+ISNUMBER(SEARCH(CompConta!$F$27,Tabla11[[#This Row],[Cuenta]],1))</f>
        <v>1</v>
      </c>
      <c r="BC968" t="b">
        <f>+ISNUMBER(SEARCH(CompConta!$F$28,Tabla11[[#This Row],[Cuenta]],1))</f>
        <v>1</v>
      </c>
      <c r="BD968" t="b">
        <f>+ISNUMBER(SEARCH(CompConta!$F$29,Tabla11[[#This Row],[Cuenta]],1))</f>
        <v>1</v>
      </c>
      <c r="BE968" t="b">
        <f>+ISNUMBER(SEARCH(CompConta!$F$30,Tabla11[[#This Row],[Cuenta]],1))</f>
        <v>1</v>
      </c>
      <c r="BF968" t="b">
        <f>+ISNUMBER(SEARCH('PAGO Compras'!$E$11,Tabla11[[#This Row],[Cuenta]],1))</f>
        <v>1</v>
      </c>
      <c r="BG968" t="b">
        <f>+ISNUMBER(SEARCH(#REF!,Tabla11[[#This Row],[Cuenta]],1))</f>
        <v>0</v>
      </c>
      <c r="BH968" t="b">
        <f>+ISNUMBER(SEARCH(#REF!,Tabla11[[#This Row],[Cuenta]],1))</f>
        <v>0</v>
      </c>
      <c r="BI968" t="b">
        <f>+ISNUMBER(SEARCH(#REF!,Tabla11[[#This Row],[Cuenta]],1))</f>
        <v>0</v>
      </c>
      <c r="BJ968" t="b">
        <f>+ISNUMBER(SEARCH(#REF!,Tabla11[[#This Row],[Cuenta]],1))</f>
        <v>0</v>
      </c>
      <c r="BS968" t="str">
        <v>520562 Amortización títulos pensionales</v>
      </c>
      <c r="BT968" t="str">
        <v>520562 Amortización títulos pensionales</v>
      </c>
      <c r="BU968" t="str">
        <v>520562 Amortización títulos pensionales</v>
      </c>
      <c r="BV968" t="str">
        <v>520562 Amortización títulos pensionales</v>
      </c>
      <c r="BZ968" t="str">
        <v>520562 Amortización títulos pensionales</v>
      </c>
      <c r="CA968" t="str">
        <v>520562 Amortización títulos pensionales</v>
      </c>
      <c r="CB968" t="str">
        <v>520562 Amortización títulos pensionales</v>
      </c>
      <c r="CC968" t="str">
        <v>520562 Amortización títulos pensionales</v>
      </c>
      <c r="CD968" t="str">
        <v>520562 Amortización títulos pensionales</v>
      </c>
      <c r="CE968" t="str">
        <v>520562 Amortización títulos pensionales</v>
      </c>
      <c r="CS968" s="141" t="str">
        <v>520562 Amortización títulos pensionales</v>
      </c>
      <c r="CT968" s="141" t="str">
        <v>520562 Amortización títulos pensionales</v>
      </c>
      <c r="CU968" s="141" t="str">
        <v>520562 Amortización títulos pensionales</v>
      </c>
      <c r="CV968" s="141" t="str">
        <v>520562 Amortización títulos pensionales</v>
      </c>
      <c r="CW968" s="141" t="str">
        <v>520562 Amortización títulos pensionales</v>
      </c>
      <c r="CX968" s="141" t="str">
        <v>520562 Amortización títulos pensionales</v>
      </c>
      <c r="CY968" s="141" t="str">
        <v>520562 Amortización títulos pensionales</v>
      </c>
      <c r="CZ968" s="141" t="str">
        <v>520562 Amortización títulos pensionales</v>
      </c>
      <c r="DA968" s="141" t="str">
        <v>520562 Amortización títulos pensionales</v>
      </c>
      <c r="DF968" t="str">
        <v>520562 Amortización títulos pensionales</v>
      </c>
      <c r="DG968" t="str">
        <v>520562 Amortización títulos pensionales</v>
      </c>
      <c r="DH968" t="str">
        <v>520562 Amortización títulos pensionales</v>
      </c>
      <c r="DI968" t="str">
        <v>520562 Amortización títulos pensionales</v>
      </c>
      <c r="DJ968" t="str">
        <v>520562 Amortización títulos pensionales</v>
      </c>
      <c r="DK968" t="str">
        <v>520562 Amortización títulos pensionales</v>
      </c>
      <c r="DL968" t="str">
        <v>520562 Amortización títulos pensionales</v>
      </c>
      <c r="DM968" t="str">
        <v>520562 Amortización títulos pensionales</v>
      </c>
      <c r="DN968" t="str">
        <v>520562 Amortización títulos pensionales</v>
      </c>
      <c r="DO968" t="str">
        <v>520562 Amortización títulos pensionales</v>
      </c>
      <c r="DP968" t="str">
        <v>520562 Amortización títulos pensionales</v>
      </c>
    </row>
    <row r="969" spans="4:120" ht="12.75">
      <c r="D969" s="7">
        <v>520563</v>
      </c>
      <c r="E969" s="6" t="s">
        <v>547</v>
      </c>
      <c r="F969" s="5">
        <v>4</v>
      </c>
      <c r="G969" s="34" t="s">
        <v>830</v>
      </c>
      <c r="H969" s="8" t="s">
        <v>32</v>
      </c>
      <c r="I969" t="b">
        <f>+ISNUMBER(SEARCH('F-COMPRA'!$F$28,Tabla11[[#This Row],[Cuenta]],1))</f>
        <v>1</v>
      </c>
      <c r="J969" t="b">
        <f>+ISNUMBER(SEARCH('F-COMPRA'!$F$29,Tabla11[[#This Row],[Cuenta]],1))</f>
        <v>1</v>
      </c>
      <c r="K969" t="b">
        <f>+ISNUMBER(SEARCH('F-COMPRA'!$F$30,Tabla11[[#This Row],[Cuenta]],1))</f>
        <v>1</v>
      </c>
      <c r="L969" t="b">
        <f>+ISNUMBER(SEARCH('F-COMPRA'!$F$31,Tabla11[[#This Row],[Cuenta]],1))</f>
        <v>1</v>
      </c>
      <c r="M969" t="b">
        <f>+ISNUMBER(SEARCH('F-COMPRA'!$G$25,Tabla11[[#This Row],[Cuenta]],1))</f>
        <v>0</v>
      </c>
      <c r="N969" t="b">
        <f>+ISNUMBER(SEARCH(#REF!,Tabla11[[#This Row],[Cuenta]],1))</f>
        <v>0</v>
      </c>
      <c r="O969" t="b">
        <f>+ISNUMBER(SEARCH(#REF!,Tabla11[[#This Row],[Cuenta]],1))</f>
        <v>0</v>
      </c>
      <c r="P969" t="b">
        <f>+ISNUMBER(SEARCH('F-COMPRA'!$F$32,Tabla11[[#This Row],[Cuenta]],1))</f>
        <v>1</v>
      </c>
      <c r="Q969" t="b">
        <f>+ISNUMBER(SEARCH('F-COMPRA'!$F$33,Tabla11[[#This Row],[Cuenta]],1))</f>
        <v>1</v>
      </c>
      <c r="R969" t="b">
        <f>+ISNUMBER(SEARCH('F-COMPRA'!$F$34,Tabla11[[#This Row],[Cuenta]],1))</f>
        <v>1</v>
      </c>
      <c r="S969" t="b">
        <f>+ISNUMBER(SEARCH('F-COMPRA'!$F$35,Tabla11[[#This Row],[Cuenta]],1))</f>
        <v>1</v>
      </c>
      <c r="T969" t="b">
        <f>+ISNUMBER(SEARCH('F-COMPRA'!$F$36,Tabla11[[#This Row],[Cuenta]],1))</f>
        <v>1</v>
      </c>
      <c r="U969" t="b">
        <f>+ISNUMBER(SEARCH('F-COMPRA'!$F$37,Tabla11[[#This Row],[Cuenta]],1))</f>
        <v>1</v>
      </c>
      <c r="V969" t="b">
        <f>+ISNUMBER(SEARCH(#REF!,Tabla11[[#This Row],[Cuenta]],1))</f>
        <v>0</v>
      </c>
      <c r="W969" t="b">
        <f>+ISNUMBER(SEARCH('F-COMPRA'!#REF!,Tabla11[[#This Row],[Cuenta]],1))</f>
        <v>0</v>
      </c>
      <c r="X969" t="b">
        <f>+ISNUMBER(SEARCH('F-COMPRA'!#REF!,Tabla11[[#This Row],[Cuenta]],1))</f>
        <v>0</v>
      </c>
      <c r="Y969" t="b">
        <f>+ISNUMBER(SEARCH('F-COMPRA'!#REF!,Tabla11[[#This Row],[Cuenta]],1))</f>
        <v>0</v>
      </c>
      <c r="Z969" t="b">
        <f>+ISNUMBER(SEARCH('F-COMPRA'!#REF!,Tabla11[[#This Row],[Cuenta]],1))</f>
        <v>0</v>
      </c>
      <c r="AA969" t="b">
        <f>+ISNUMBER(SEARCH('F-COMPRA'!#REF!,Tabla11[[#This Row],[Cuenta]],1))</f>
        <v>0</v>
      </c>
      <c r="AB969" t="b">
        <f>+ISNUMBER(SEARCH('F-COMPRA'!#REF!,Tabla11[[#This Row],[Cuenta]],1))</f>
        <v>0</v>
      </c>
      <c r="AC969" t="b">
        <f>+ISNUMBER(SEARCH('F-COMPRA'!#REF!,Tabla11[[#This Row],[Cuenta]],1))</f>
        <v>0</v>
      </c>
      <c r="AD969" t="b">
        <f>+ISNUMBER(SEARCH('F-COMPRA'!#REF!,Tabla11[[#This Row],[Cuenta]],1))</f>
        <v>0</v>
      </c>
      <c r="AE969" t="b">
        <f>+ISNUMBER(SEARCH('F-COMPRA'!#REF!,Tabla11[[#This Row],[Cuenta]],1))</f>
        <v>0</v>
      </c>
      <c r="AF969" t="b">
        <f>+ISNUMBER(SEARCH('F-VTA'!$G$23,Tabla11[[#This Row],[Cuenta]],1))</f>
        <v>0</v>
      </c>
      <c r="AG969" t="b">
        <f>+ISNUMBER(SEARCH('F-VTA'!$G$24,Tabla11[[#This Row],[Cuenta]],1))</f>
        <v>0</v>
      </c>
      <c r="AH969" t="b">
        <f>+ISNUMBER(SEARCH('F-VTA'!$G$25,Tabla11[[#This Row],[Cuenta]],1))</f>
        <v>0</v>
      </c>
      <c r="AI969" t="b">
        <f>+ISNUMBER(SEARCH('F-VTA'!$F$28,Tabla11[[#This Row],[Cuenta]],1))</f>
        <v>1</v>
      </c>
      <c r="AJ969" t="b">
        <f>+ISNUMBER(SEARCH('F-VTA'!$F$29,Tabla11[[#This Row],[Cuenta]],1))</f>
        <v>1</v>
      </c>
      <c r="AK969" t="b">
        <f>+ISNUMBER(SEARCH('F-VTA'!$F$30,Tabla11[[#This Row],[Cuenta]],1))</f>
        <v>1</v>
      </c>
      <c r="AL969" t="b">
        <f>+ISNUMBER(SEARCH('F-VTA'!$F$31,Tabla11[[#This Row],[Cuenta]],1))</f>
        <v>1</v>
      </c>
      <c r="AM969" t="b">
        <f>+ISNUMBER(SEARCH('F-VTA'!$F$32,Tabla11[[#This Row],[Cuenta]],1))</f>
        <v>1</v>
      </c>
      <c r="AN969" t="b">
        <f>+ISNUMBER(SEARCH('F-VTA'!$F$33,Tabla11[[#This Row],[Cuenta]],1))</f>
        <v>1</v>
      </c>
      <c r="AO969" t="b">
        <f>+ISNUMBER(SEARCH('F-VTA'!$F$34,Tabla11[[#This Row],[Cuenta]],1))</f>
        <v>1</v>
      </c>
      <c r="AP969" t="b">
        <f>+ISNUMBER(SEARCH('F-VTA'!$F$35,Tabla11[[#This Row],[Cuenta]],1))</f>
        <v>1</v>
      </c>
      <c r="AQ969" t="b">
        <f>+ISNUMBER(SEARCH('F-VTA'!$F$36,Tabla11[[#This Row],[Cuenta]],1))</f>
        <v>1</v>
      </c>
      <c r="AR969" t="b">
        <f>+ISNUMBER(SEARCH(#REF!,Tabla11[[#This Row],[Cuenta]],1))</f>
        <v>0</v>
      </c>
      <c r="AS969" t="b">
        <f>+ISNUMBER(SEARCH(#REF!,Tabla11[[#This Row],[Cuenta]],1))</f>
        <v>0</v>
      </c>
      <c r="AT969" t="b">
        <f>+ISNUMBER(SEARCH(#REF!,Tabla11[[#This Row],[Cuenta]],1))</f>
        <v>0</v>
      </c>
      <c r="AU969" t="b">
        <f>+ISNUMBER(SEARCH('Conc. Ban.1'!$I$9,Tabla11[[#This Row],[Cuenta]],1))</f>
        <v>0</v>
      </c>
      <c r="AV969" t="b">
        <f>+ISNUMBER(SEARCH(CompConta!$F$21,Tabla11[[#This Row],[Cuenta]],1))</f>
        <v>1</v>
      </c>
      <c r="AW969" t="b">
        <f>+ISNUMBER(SEARCH(CompConta!$F$22,Tabla11[[#This Row],[Cuenta]],1))</f>
        <v>1</v>
      </c>
      <c r="AX969" t="b">
        <f>+ISNUMBER(SEARCH(CompConta!$F$23,Tabla11[[#This Row],[Cuenta]],1))</f>
        <v>1</v>
      </c>
      <c r="AY969" t="b">
        <f>+ISNUMBER(SEARCH(CompConta!$F$24,Tabla11[[#This Row],[Cuenta]],1))</f>
        <v>1</v>
      </c>
      <c r="AZ969" t="b">
        <f>+ISNUMBER(SEARCH(CompConta!$F$25,Tabla11[[#This Row],[Cuenta]],1))</f>
        <v>1</v>
      </c>
      <c r="BA969" t="b">
        <f>+ISNUMBER(SEARCH(CompConta!$F$26,Tabla11[[#This Row],[Cuenta]],1))</f>
        <v>1</v>
      </c>
      <c r="BB969" t="b">
        <f>+ISNUMBER(SEARCH(CompConta!$F$27,Tabla11[[#This Row],[Cuenta]],1))</f>
        <v>1</v>
      </c>
      <c r="BC969" t="b">
        <f>+ISNUMBER(SEARCH(CompConta!$F$28,Tabla11[[#This Row],[Cuenta]],1))</f>
        <v>1</v>
      </c>
      <c r="BD969" t="b">
        <f>+ISNUMBER(SEARCH(CompConta!$F$29,Tabla11[[#This Row],[Cuenta]],1))</f>
        <v>1</v>
      </c>
      <c r="BE969" t="b">
        <f>+ISNUMBER(SEARCH(CompConta!$F$30,Tabla11[[#This Row],[Cuenta]],1))</f>
        <v>1</v>
      </c>
      <c r="BF969" t="b">
        <f>+ISNUMBER(SEARCH('PAGO Compras'!$E$11,Tabla11[[#This Row],[Cuenta]],1))</f>
        <v>1</v>
      </c>
      <c r="BG969" t="b">
        <f>+ISNUMBER(SEARCH(#REF!,Tabla11[[#This Row],[Cuenta]],1))</f>
        <v>0</v>
      </c>
      <c r="BH969" t="b">
        <f>+ISNUMBER(SEARCH(#REF!,Tabla11[[#This Row],[Cuenta]],1))</f>
        <v>0</v>
      </c>
      <c r="BI969" t="b">
        <f>+ISNUMBER(SEARCH(#REF!,Tabla11[[#This Row],[Cuenta]],1))</f>
        <v>0</v>
      </c>
      <c r="BJ969" t="b">
        <f>+ISNUMBER(SEARCH(#REF!,Tabla11[[#This Row],[Cuenta]],1))</f>
        <v>0</v>
      </c>
      <c r="BS969" t="str">
        <v>520563 Capacitación al personal</v>
      </c>
      <c r="BT969" t="str">
        <v>520563 Capacitación al personal</v>
      </c>
      <c r="BU969" t="str">
        <v>520563 Capacitación al personal</v>
      </c>
      <c r="BV969" t="str">
        <v>520563 Capacitación al personal</v>
      </c>
      <c r="BZ969" t="str">
        <v>520563 Capacitación al personal</v>
      </c>
      <c r="CA969" t="str">
        <v>520563 Capacitación al personal</v>
      </c>
      <c r="CB969" t="str">
        <v>520563 Capacitación al personal</v>
      </c>
      <c r="CC969" t="str">
        <v>520563 Capacitación al personal</v>
      </c>
      <c r="CD969" t="str">
        <v>520563 Capacitación al personal</v>
      </c>
      <c r="CE969" t="str">
        <v>520563 Capacitación al personal</v>
      </c>
      <c r="CS969" s="141" t="str">
        <v>520563 Capacitación al personal</v>
      </c>
      <c r="CT969" s="141" t="str">
        <v>520563 Capacitación al personal</v>
      </c>
      <c r="CU969" s="141" t="str">
        <v>520563 Capacitación al personal</v>
      </c>
      <c r="CV969" s="141" t="str">
        <v>520563 Capacitación al personal</v>
      </c>
      <c r="CW969" s="141" t="str">
        <v>520563 Capacitación al personal</v>
      </c>
      <c r="CX969" s="141" t="str">
        <v>520563 Capacitación al personal</v>
      </c>
      <c r="CY969" s="141" t="str">
        <v>520563 Capacitación al personal</v>
      </c>
      <c r="CZ969" s="141" t="str">
        <v>520563 Capacitación al personal</v>
      </c>
      <c r="DA969" s="141" t="str">
        <v>520563 Capacitación al personal</v>
      </c>
      <c r="DF969" t="str">
        <v>520563 Capacitación al personal</v>
      </c>
      <c r="DG969" t="str">
        <v>520563 Capacitación al personal</v>
      </c>
      <c r="DH969" t="str">
        <v>520563 Capacitación al personal</v>
      </c>
      <c r="DI969" t="str">
        <v>520563 Capacitación al personal</v>
      </c>
      <c r="DJ969" t="str">
        <v>520563 Capacitación al personal</v>
      </c>
      <c r="DK969" t="str">
        <v>520563 Capacitación al personal</v>
      </c>
      <c r="DL969" t="str">
        <v>520563 Capacitación al personal</v>
      </c>
      <c r="DM969" t="str">
        <v>520563 Capacitación al personal</v>
      </c>
      <c r="DN969" t="str">
        <v>520563 Capacitación al personal</v>
      </c>
      <c r="DO969" t="str">
        <v>520563 Capacitación al personal</v>
      </c>
      <c r="DP969" t="str">
        <v>520563 Capacitación al personal</v>
      </c>
    </row>
    <row r="970" spans="4:120" ht="12.75">
      <c r="D970" s="7">
        <v>520568</v>
      </c>
      <c r="E970" s="6" t="s">
        <v>343</v>
      </c>
      <c r="F970" s="5">
        <v>4</v>
      </c>
      <c r="G970" s="34" t="s">
        <v>830</v>
      </c>
      <c r="H970" s="8" t="s">
        <v>32</v>
      </c>
      <c r="I970" t="b">
        <f>+ISNUMBER(SEARCH('F-COMPRA'!$F$28,Tabla11[[#This Row],[Cuenta]],1))</f>
        <v>1</v>
      </c>
      <c r="J970" t="b">
        <f>+ISNUMBER(SEARCH('F-COMPRA'!$F$29,Tabla11[[#This Row],[Cuenta]],1))</f>
        <v>1</v>
      </c>
      <c r="K970" t="b">
        <f>+ISNUMBER(SEARCH('F-COMPRA'!$F$30,Tabla11[[#This Row],[Cuenta]],1))</f>
        <v>1</v>
      </c>
      <c r="L970" t="b">
        <f>+ISNUMBER(SEARCH('F-COMPRA'!$F$31,Tabla11[[#This Row],[Cuenta]],1))</f>
        <v>1</v>
      </c>
      <c r="M970" t="b">
        <f>+ISNUMBER(SEARCH('F-COMPRA'!$G$25,Tabla11[[#This Row],[Cuenta]],1))</f>
        <v>0</v>
      </c>
      <c r="N970" t="b">
        <f>+ISNUMBER(SEARCH(#REF!,Tabla11[[#This Row],[Cuenta]],1))</f>
        <v>0</v>
      </c>
      <c r="O970" t="b">
        <f>+ISNUMBER(SEARCH(#REF!,Tabla11[[#This Row],[Cuenta]],1))</f>
        <v>0</v>
      </c>
      <c r="P970" t="b">
        <f>+ISNUMBER(SEARCH('F-COMPRA'!$F$32,Tabla11[[#This Row],[Cuenta]],1))</f>
        <v>1</v>
      </c>
      <c r="Q970" t="b">
        <f>+ISNUMBER(SEARCH('F-COMPRA'!$F$33,Tabla11[[#This Row],[Cuenta]],1))</f>
        <v>1</v>
      </c>
      <c r="R970" t="b">
        <f>+ISNUMBER(SEARCH('F-COMPRA'!$F$34,Tabla11[[#This Row],[Cuenta]],1))</f>
        <v>1</v>
      </c>
      <c r="S970" t="b">
        <f>+ISNUMBER(SEARCH('F-COMPRA'!$F$35,Tabla11[[#This Row],[Cuenta]],1))</f>
        <v>1</v>
      </c>
      <c r="T970" t="b">
        <f>+ISNUMBER(SEARCH('F-COMPRA'!$F$36,Tabla11[[#This Row],[Cuenta]],1))</f>
        <v>1</v>
      </c>
      <c r="U970" t="b">
        <f>+ISNUMBER(SEARCH('F-COMPRA'!$F$37,Tabla11[[#This Row],[Cuenta]],1))</f>
        <v>1</v>
      </c>
      <c r="V970" t="b">
        <f>+ISNUMBER(SEARCH(#REF!,Tabla11[[#This Row],[Cuenta]],1))</f>
        <v>0</v>
      </c>
      <c r="W970" t="b">
        <f>+ISNUMBER(SEARCH('F-COMPRA'!#REF!,Tabla11[[#This Row],[Cuenta]],1))</f>
        <v>0</v>
      </c>
      <c r="X970" t="b">
        <f>+ISNUMBER(SEARCH('F-COMPRA'!#REF!,Tabla11[[#This Row],[Cuenta]],1))</f>
        <v>0</v>
      </c>
      <c r="Y970" t="b">
        <f>+ISNUMBER(SEARCH('F-COMPRA'!#REF!,Tabla11[[#This Row],[Cuenta]],1))</f>
        <v>0</v>
      </c>
      <c r="Z970" t="b">
        <f>+ISNUMBER(SEARCH('F-COMPRA'!#REF!,Tabla11[[#This Row],[Cuenta]],1))</f>
        <v>0</v>
      </c>
      <c r="AA970" t="b">
        <f>+ISNUMBER(SEARCH('F-COMPRA'!#REF!,Tabla11[[#This Row],[Cuenta]],1))</f>
        <v>0</v>
      </c>
      <c r="AB970" t="b">
        <f>+ISNUMBER(SEARCH('F-COMPRA'!#REF!,Tabla11[[#This Row],[Cuenta]],1))</f>
        <v>0</v>
      </c>
      <c r="AC970" t="b">
        <f>+ISNUMBER(SEARCH('F-COMPRA'!#REF!,Tabla11[[#This Row],[Cuenta]],1))</f>
        <v>0</v>
      </c>
      <c r="AD970" t="b">
        <f>+ISNUMBER(SEARCH('F-COMPRA'!#REF!,Tabla11[[#This Row],[Cuenta]],1))</f>
        <v>0</v>
      </c>
      <c r="AE970" t="b">
        <f>+ISNUMBER(SEARCH('F-COMPRA'!#REF!,Tabla11[[#This Row],[Cuenta]],1))</f>
        <v>0</v>
      </c>
      <c r="AF970" t="b">
        <f>+ISNUMBER(SEARCH('F-VTA'!$G$23,Tabla11[[#This Row],[Cuenta]],1))</f>
        <v>0</v>
      </c>
      <c r="AG970" t="b">
        <f>+ISNUMBER(SEARCH('F-VTA'!$G$24,Tabla11[[#This Row],[Cuenta]],1))</f>
        <v>0</v>
      </c>
      <c r="AH970" t="b">
        <f>+ISNUMBER(SEARCH('F-VTA'!$G$25,Tabla11[[#This Row],[Cuenta]],1))</f>
        <v>0</v>
      </c>
      <c r="AI970" t="b">
        <f>+ISNUMBER(SEARCH('F-VTA'!$F$28,Tabla11[[#This Row],[Cuenta]],1))</f>
        <v>1</v>
      </c>
      <c r="AJ970" t="b">
        <f>+ISNUMBER(SEARCH('F-VTA'!$F$29,Tabla11[[#This Row],[Cuenta]],1))</f>
        <v>1</v>
      </c>
      <c r="AK970" t="b">
        <f>+ISNUMBER(SEARCH('F-VTA'!$F$30,Tabla11[[#This Row],[Cuenta]],1))</f>
        <v>1</v>
      </c>
      <c r="AL970" t="b">
        <f>+ISNUMBER(SEARCH('F-VTA'!$F$31,Tabla11[[#This Row],[Cuenta]],1))</f>
        <v>1</v>
      </c>
      <c r="AM970" t="b">
        <f>+ISNUMBER(SEARCH('F-VTA'!$F$32,Tabla11[[#This Row],[Cuenta]],1))</f>
        <v>1</v>
      </c>
      <c r="AN970" t="b">
        <f>+ISNUMBER(SEARCH('F-VTA'!$F$33,Tabla11[[#This Row],[Cuenta]],1))</f>
        <v>1</v>
      </c>
      <c r="AO970" t="b">
        <f>+ISNUMBER(SEARCH('F-VTA'!$F$34,Tabla11[[#This Row],[Cuenta]],1))</f>
        <v>1</v>
      </c>
      <c r="AP970" t="b">
        <f>+ISNUMBER(SEARCH('F-VTA'!$F$35,Tabla11[[#This Row],[Cuenta]],1))</f>
        <v>1</v>
      </c>
      <c r="AQ970" t="b">
        <f>+ISNUMBER(SEARCH('F-VTA'!$F$36,Tabla11[[#This Row],[Cuenta]],1))</f>
        <v>1</v>
      </c>
      <c r="AR970" t="b">
        <f>+ISNUMBER(SEARCH(#REF!,Tabla11[[#This Row],[Cuenta]],1))</f>
        <v>0</v>
      </c>
      <c r="AS970" t="b">
        <f>+ISNUMBER(SEARCH(#REF!,Tabla11[[#This Row],[Cuenta]],1))</f>
        <v>0</v>
      </c>
      <c r="AT970" t="b">
        <f>+ISNUMBER(SEARCH(#REF!,Tabla11[[#This Row],[Cuenta]],1))</f>
        <v>0</v>
      </c>
      <c r="AU970" t="b">
        <f>+ISNUMBER(SEARCH('Conc. Ban.1'!$I$9,Tabla11[[#This Row],[Cuenta]],1))</f>
        <v>0</v>
      </c>
      <c r="AV970" t="b">
        <f>+ISNUMBER(SEARCH(CompConta!$F$21,Tabla11[[#This Row],[Cuenta]],1))</f>
        <v>1</v>
      </c>
      <c r="AW970" t="b">
        <f>+ISNUMBER(SEARCH(CompConta!$F$22,Tabla11[[#This Row],[Cuenta]],1))</f>
        <v>1</v>
      </c>
      <c r="AX970" t="b">
        <f>+ISNUMBER(SEARCH(CompConta!$F$23,Tabla11[[#This Row],[Cuenta]],1))</f>
        <v>1</v>
      </c>
      <c r="AY970" t="b">
        <f>+ISNUMBER(SEARCH(CompConta!$F$24,Tabla11[[#This Row],[Cuenta]],1))</f>
        <v>1</v>
      </c>
      <c r="AZ970" t="b">
        <f>+ISNUMBER(SEARCH(CompConta!$F$25,Tabla11[[#This Row],[Cuenta]],1))</f>
        <v>1</v>
      </c>
      <c r="BA970" t="b">
        <f>+ISNUMBER(SEARCH(CompConta!$F$26,Tabla11[[#This Row],[Cuenta]],1))</f>
        <v>1</v>
      </c>
      <c r="BB970" t="b">
        <f>+ISNUMBER(SEARCH(CompConta!$F$27,Tabla11[[#This Row],[Cuenta]],1))</f>
        <v>1</v>
      </c>
      <c r="BC970" t="b">
        <f>+ISNUMBER(SEARCH(CompConta!$F$28,Tabla11[[#This Row],[Cuenta]],1))</f>
        <v>1</v>
      </c>
      <c r="BD970" t="b">
        <f>+ISNUMBER(SEARCH(CompConta!$F$29,Tabla11[[#This Row],[Cuenta]],1))</f>
        <v>1</v>
      </c>
      <c r="BE970" t="b">
        <f>+ISNUMBER(SEARCH(CompConta!$F$30,Tabla11[[#This Row],[Cuenta]],1))</f>
        <v>1</v>
      </c>
      <c r="BF970" t="b">
        <f>+ISNUMBER(SEARCH('PAGO Compras'!$E$11,Tabla11[[#This Row],[Cuenta]],1))</f>
        <v>1</v>
      </c>
      <c r="BG970" t="b">
        <f>+ISNUMBER(SEARCH(#REF!,Tabla11[[#This Row],[Cuenta]],1))</f>
        <v>0</v>
      </c>
      <c r="BH970" t="b">
        <f>+ISNUMBER(SEARCH(#REF!,Tabla11[[#This Row],[Cuenta]],1))</f>
        <v>0</v>
      </c>
      <c r="BI970" t="b">
        <f>+ISNUMBER(SEARCH(#REF!,Tabla11[[#This Row],[Cuenta]],1))</f>
        <v>0</v>
      </c>
      <c r="BJ970" t="b">
        <f>+ISNUMBER(SEARCH(#REF!,Tabla11[[#This Row],[Cuenta]],1))</f>
        <v>0</v>
      </c>
      <c r="BS970" t="str">
        <v>520568 Aportes a administrador de riesgos profes ARP</v>
      </c>
      <c r="BT970" t="str">
        <v>520568 Aportes a administrador de riesgos profes ARP</v>
      </c>
      <c r="BU970" t="str">
        <v>520568 Aportes a administrador de riesgos profes ARP</v>
      </c>
      <c r="BV970" t="str">
        <v>520568 Aportes a administrador de riesgos profes ARP</v>
      </c>
      <c r="BZ970" t="str">
        <v>520568 Aportes a administrador de riesgos profes ARP</v>
      </c>
      <c r="CA970" t="str">
        <v>520568 Aportes a administrador de riesgos profes ARP</v>
      </c>
      <c r="CB970" t="str">
        <v>520568 Aportes a administrador de riesgos profes ARP</v>
      </c>
      <c r="CC970" t="str">
        <v>520568 Aportes a administrador de riesgos profes ARP</v>
      </c>
      <c r="CD970" t="str">
        <v>520568 Aportes a administrador de riesgos profes ARP</v>
      </c>
      <c r="CE970" t="str">
        <v>520568 Aportes a administrador de riesgos profes ARP</v>
      </c>
      <c r="CS970" s="141" t="str">
        <v>520568 Aportes a administrador de riesgos profes ARP</v>
      </c>
      <c r="CT970" s="141" t="str">
        <v>520568 Aportes a administrador de riesgos profes ARP</v>
      </c>
      <c r="CU970" s="141" t="str">
        <v>520568 Aportes a administrador de riesgos profes ARP</v>
      </c>
      <c r="CV970" s="141" t="str">
        <v>520568 Aportes a administrador de riesgos profes ARP</v>
      </c>
      <c r="CW970" s="141" t="str">
        <v>520568 Aportes a administrador de riesgos profes ARP</v>
      </c>
      <c r="CX970" s="141" t="str">
        <v>520568 Aportes a administrador de riesgos profes ARP</v>
      </c>
      <c r="CY970" s="141" t="str">
        <v>520568 Aportes a administrador de riesgos profes ARP</v>
      </c>
      <c r="CZ970" s="141" t="str">
        <v>520568 Aportes a administrador de riesgos profes ARP</v>
      </c>
      <c r="DA970" s="141" t="str">
        <v>520568 Aportes a administrador de riesgos profes ARP</v>
      </c>
      <c r="DF970" t="str">
        <v>520568 Aportes a administrador de riesgos profes ARP</v>
      </c>
      <c r="DG970" t="str">
        <v>520568 Aportes a administrador de riesgos profes ARP</v>
      </c>
      <c r="DH970" t="str">
        <v>520568 Aportes a administrador de riesgos profes ARP</v>
      </c>
      <c r="DI970" t="str">
        <v>520568 Aportes a administrador de riesgos profes ARP</v>
      </c>
      <c r="DJ970" t="str">
        <v>520568 Aportes a administrador de riesgos profes ARP</v>
      </c>
      <c r="DK970" t="str">
        <v>520568 Aportes a administrador de riesgos profes ARP</v>
      </c>
      <c r="DL970" t="str">
        <v>520568 Aportes a administrador de riesgos profes ARP</v>
      </c>
      <c r="DM970" t="str">
        <v>520568 Aportes a administrador de riesgos profes ARP</v>
      </c>
      <c r="DN970" t="str">
        <v>520568 Aportes a administrador de riesgos profes ARP</v>
      </c>
      <c r="DO970" t="str">
        <v>520568 Aportes a administrador de riesgos profes ARP</v>
      </c>
      <c r="DP970" t="str">
        <v>520568 Aportes a administrador de riesgos profes ARP</v>
      </c>
    </row>
    <row r="971" spans="4:120" ht="12.75">
      <c r="D971" s="7">
        <v>520569</v>
      </c>
      <c r="E971" s="6" t="s">
        <v>342</v>
      </c>
      <c r="F971" s="5">
        <v>4</v>
      </c>
      <c r="G971" s="34" t="s">
        <v>830</v>
      </c>
      <c r="H971" s="8" t="s">
        <v>32</v>
      </c>
      <c r="I971" t="b">
        <f>+ISNUMBER(SEARCH('F-COMPRA'!$F$28,Tabla11[[#This Row],[Cuenta]],1))</f>
        <v>1</v>
      </c>
      <c r="J971" t="b">
        <f>+ISNUMBER(SEARCH('F-COMPRA'!$F$29,Tabla11[[#This Row],[Cuenta]],1))</f>
        <v>1</v>
      </c>
      <c r="K971" t="b">
        <f>+ISNUMBER(SEARCH('F-COMPRA'!$F$30,Tabla11[[#This Row],[Cuenta]],1))</f>
        <v>1</v>
      </c>
      <c r="L971" t="b">
        <f>+ISNUMBER(SEARCH('F-COMPRA'!$F$31,Tabla11[[#This Row],[Cuenta]],1))</f>
        <v>1</v>
      </c>
      <c r="M971" t="b">
        <f>+ISNUMBER(SEARCH('F-COMPRA'!$G$25,Tabla11[[#This Row],[Cuenta]],1))</f>
        <v>0</v>
      </c>
      <c r="N971" t="b">
        <f>+ISNUMBER(SEARCH(#REF!,Tabla11[[#This Row],[Cuenta]],1))</f>
        <v>0</v>
      </c>
      <c r="O971" t="b">
        <f>+ISNUMBER(SEARCH(#REF!,Tabla11[[#This Row],[Cuenta]],1))</f>
        <v>0</v>
      </c>
      <c r="P971" t="b">
        <f>+ISNUMBER(SEARCH('F-COMPRA'!$F$32,Tabla11[[#This Row],[Cuenta]],1))</f>
        <v>1</v>
      </c>
      <c r="Q971" t="b">
        <f>+ISNUMBER(SEARCH('F-COMPRA'!$F$33,Tabla11[[#This Row],[Cuenta]],1))</f>
        <v>1</v>
      </c>
      <c r="R971" t="b">
        <f>+ISNUMBER(SEARCH('F-COMPRA'!$F$34,Tabla11[[#This Row],[Cuenta]],1))</f>
        <v>1</v>
      </c>
      <c r="S971" t="b">
        <f>+ISNUMBER(SEARCH('F-COMPRA'!$F$35,Tabla11[[#This Row],[Cuenta]],1))</f>
        <v>1</v>
      </c>
      <c r="T971" t="b">
        <f>+ISNUMBER(SEARCH('F-COMPRA'!$F$36,Tabla11[[#This Row],[Cuenta]],1))</f>
        <v>1</v>
      </c>
      <c r="U971" t="b">
        <f>+ISNUMBER(SEARCH('F-COMPRA'!$F$37,Tabla11[[#This Row],[Cuenta]],1))</f>
        <v>1</v>
      </c>
      <c r="V971" t="b">
        <f>+ISNUMBER(SEARCH(#REF!,Tabla11[[#This Row],[Cuenta]],1))</f>
        <v>0</v>
      </c>
      <c r="W971" t="b">
        <f>+ISNUMBER(SEARCH('F-COMPRA'!#REF!,Tabla11[[#This Row],[Cuenta]],1))</f>
        <v>0</v>
      </c>
      <c r="X971" t="b">
        <f>+ISNUMBER(SEARCH('F-COMPRA'!#REF!,Tabla11[[#This Row],[Cuenta]],1))</f>
        <v>0</v>
      </c>
      <c r="Y971" t="b">
        <f>+ISNUMBER(SEARCH('F-COMPRA'!#REF!,Tabla11[[#This Row],[Cuenta]],1))</f>
        <v>0</v>
      </c>
      <c r="Z971" t="b">
        <f>+ISNUMBER(SEARCH('F-COMPRA'!#REF!,Tabla11[[#This Row],[Cuenta]],1))</f>
        <v>0</v>
      </c>
      <c r="AA971" t="b">
        <f>+ISNUMBER(SEARCH('F-COMPRA'!#REF!,Tabla11[[#This Row],[Cuenta]],1))</f>
        <v>0</v>
      </c>
      <c r="AB971" t="b">
        <f>+ISNUMBER(SEARCH('F-COMPRA'!#REF!,Tabla11[[#This Row],[Cuenta]],1))</f>
        <v>0</v>
      </c>
      <c r="AC971" t="b">
        <f>+ISNUMBER(SEARCH('F-COMPRA'!#REF!,Tabla11[[#This Row],[Cuenta]],1))</f>
        <v>0</v>
      </c>
      <c r="AD971" t="b">
        <f>+ISNUMBER(SEARCH('F-COMPRA'!#REF!,Tabla11[[#This Row],[Cuenta]],1))</f>
        <v>0</v>
      </c>
      <c r="AE971" t="b">
        <f>+ISNUMBER(SEARCH('F-COMPRA'!#REF!,Tabla11[[#This Row],[Cuenta]],1))</f>
        <v>0</v>
      </c>
      <c r="AF971" t="b">
        <f>+ISNUMBER(SEARCH('F-VTA'!$G$23,Tabla11[[#This Row],[Cuenta]],1))</f>
        <v>0</v>
      </c>
      <c r="AG971" t="b">
        <f>+ISNUMBER(SEARCH('F-VTA'!$G$24,Tabla11[[#This Row],[Cuenta]],1))</f>
        <v>0</v>
      </c>
      <c r="AH971" t="b">
        <f>+ISNUMBER(SEARCH('F-VTA'!$G$25,Tabla11[[#This Row],[Cuenta]],1))</f>
        <v>0</v>
      </c>
      <c r="AI971" t="b">
        <f>+ISNUMBER(SEARCH('F-VTA'!$F$28,Tabla11[[#This Row],[Cuenta]],1))</f>
        <v>1</v>
      </c>
      <c r="AJ971" t="b">
        <f>+ISNUMBER(SEARCH('F-VTA'!$F$29,Tabla11[[#This Row],[Cuenta]],1))</f>
        <v>1</v>
      </c>
      <c r="AK971" t="b">
        <f>+ISNUMBER(SEARCH('F-VTA'!$F$30,Tabla11[[#This Row],[Cuenta]],1))</f>
        <v>1</v>
      </c>
      <c r="AL971" t="b">
        <f>+ISNUMBER(SEARCH('F-VTA'!$F$31,Tabla11[[#This Row],[Cuenta]],1))</f>
        <v>1</v>
      </c>
      <c r="AM971" t="b">
        <f>+ISNUMBER(SEARCH('F-VTA'!$F$32,Tabla11[[#This Row],[Cuenta]],1))</f>
        <v>1</v>
      </c>
      <c r="AN971" t="b">
        <f>+ISNUMBER(SEARCH('F-VTA'!$F$33,Tabla11[[#This Row],[Cuenta]],1))</f>
        <v>1</v>
      </c>
      <c r="AO971" t="b">
        <f>+ISNUMBER(SEARCH('F-VTA'!$F$34,Tabla11[[#This Row],[Cuenta]],1))</f>
        <v>1</v>
      </c>
      <c r="AP971" t="b">
        <f>+ISNUMBER(SEARCH('F-VTA'!$F$35,Tabla11[[#This Row],[Cuenta]],1))</f>
        <v>1</v>
      </c>
      <c r="AQ971" t="b">
        <f>+ISNUMBER(SEARCH('F-VTA'!$F$36,Tabla11[[#This Row],[Cuenta]],1))</f>
        <v>1</v>
      </c>
      <c r="AR971" t="b">
        <f>+ISNUMBER(SEARCH(#REF!,Tabla11[[#This Row],[Cuenta]],1))</f>
        <v>0</v>
      </c>
      <c r="AS971" t="b">
        <f>+ISNUMBER(SEARCH(#REF!,Tabla11[[#This Row],[Cuenta]],1))</f>
        <v>0</v>
      </c>
      <c r="AT971" t="b">
        <f>+ISNUMBER(SEARCH(#REF!,Tabla11[[#This Row],[Cuenta]],1))</f>
        <v>0</v>
      </c>
      <c r="AU971" t="b">
        <f>+ISNUMBER(SEARCH('Conc. Ban.1'!$I$9,Tabla11[[#This Row],[Cuenta]],1))</f>
        <v>0</v>
      </c>
      <c r="AV971" t="b">
        <f>+ISNUMBER(SEARCH(CompConta!$F$21,Tabla11[[#This Row],[Cuenta]],1))</f>
        <v>1</v>
      </c>
      <c r="AW971" t="b">
        <f>+ISNUMBER(SEARCH(CompConta!$F$22,Tabla11[[#This Row],[Cuenta]],1))</f>
        <v>1</v>
      </c>
      <c r="AX971" t="b">
        <f>+ISNUMBER(SEARCH(CompConta!$F$23,Tabla11[[#This Row],[Cuenta]],1))</f>
        <v>1</v>
      </c>
      <c r="AY971" t="b">
        <f>+ISNUMBER(SEARCH(CompConta!$F$24,Tabla11[[#This Row],[Cuenta]],1))</f>
        <v>1</v>
      </c>
      <c r="AZ971" t="b">
        <f>+ISNUMBER(SEARCH(CompConta!$F$25,Tabla11[[#This Row],[Cuenta]],1))</f>
        <v>1</v>
      </c>
      <c r="BA971" t="b">
        <f>+ISNUMBER(SEARCH(CompConta!$F$26,Tabla11[[#This Row],[Cuenta]],1))</f>
        <v>1</v>
      </c>
      <c r="BB971" t="b">
        <f>+ISNUMBER(SEARCH(CompConta!$F$27,Tabla11[[#This Row],[Cuenta]],1))</f>
        <v>1</v>
      </c>
      <c r="BC971" t="b">
        <f>+ISNUMBER(SEARCH(CompConta!$F$28,Tabla11[[#This Row],[Cuenta]],1))</f>
        <v>1</v>
      </c>
      <c r="BD971" t="b">
        <f>+ISNUMBER(SEARCH(CompConta!$F$29,Tabla11[[#This Row],[Cuenta]],1))</f>
        <v>1</v>
      </c>
      <c r="BE971" t="b">
        <f>+ISNUMBER(SEARCH(CompConta!$F$30,Tabla11[[#This Row],[Cuenta]],1))</f>
        <v>1</v>
      </c>
      <c r="BF971" t="b">
        <f>+ISNUMBER(SEARCH('PAGO Compras'!$E$11,Tabla11[[#This Row],[Cuenta]],1))</f>
        <v>1</v>
      </c>
      <c r="BG971" t="b">
        <f>+ISNUMBER(SEARCH(#REF!,Tabla11[[#This Row],[Cuenta]],1))</f>
        <v>0</v>
      </c>
      <c r="BH971" t="b">
        <f>+ISNUMBER(SEARCH(#REF!,Tabla11[[#This Row],[Cuenta]],1))</f>
        <v>0</v>
      </c>
      <c r="BI971" t="b">
        <f>+ISNUMBER(SEARCH(#REF!,Tabla11[[#This Row],[Cuenta]],1))</f>
        <v>0</v>
      </c>
      <c r="BJ971" t="b">
        <f>+ISNUMBER(SEARCH(#REF!,Tabla11[[#This Row],[Cuenta]],1))</f>
        <v>0</v>
      </c>
      <c r="BS971" t="str">
        <v>520569 Aportes a entidades promotoras de salud EPS</v>
      </c>
      <c r="BT971" t="str">
        <v>520569 Aportes a entidades promotoras de salud EPS</v>
      </c>
      <c r="BU971" t="str">
        <v>520569 Aportes a entidades promotoras de salud EPS</v>
      </c>
      <c r="BV971" t="str">
        <v>520569 Aportes a entidades promotoras de salud EPS</v>
      </c>
      <c r="BZ971" t="str">
        <v>520569 Aportes a entidades promotoras de salud EPS</v>
      </c>
      <c r="CA971" t="str">
        <v>520569 Aportes a entidades promotoras de salud EPS</v>
      </c>
      <c r="CB971" t="str">
        <v>520569 Aportes a entidades promotoras de salud EPS</v>
      </c>
      <c r="CC971" t="str">
        <v>520569 Aportes a entidades promotoras de salud EPS</v>
      </c>
      <c r="CD971" t="str">
        <v>520569 Aportes a entidades promotoras de salud EPS</v>
      </c>
      <c r="CE971" t="str">
        <v>520569 Aportes a entidades promotoras de salud EPS</v>
      </c>
      <c r="CS971" s="141" t="str">
        <v>520569 Aportes a entidades promotoras de salud EPS</v>
      </c>
      <c r="CT971" s="141" t="str">
        <v>520569 Aportes a entidades promotoras de salud EPS</v>
      </c>
      <c r="CU971" s="141" t="str">
        <v>520569 Aportes a entidades promotoras de salud EPS</v>
      </c>
      <c r="CV971" s="141" t="str">
        <v>520569 Aportes a entidades promotoras de salud EPS</v>
      </c>
      <c r="CW971" s="141" t="str">
        <v>520569 Aportes a entidades promotoras de salud EPS</v>
      </c>
      <c r="CX971" s="141" t="str">
        <v>520569 Aportes a entidades promotoras de salud EPS</v>
      </c>
      <c r="CY971" s="141" t="str">
        <v>520569 Aportes a entidades promotoras de salud EPS</v>
      </c>
      <c r="CZ971" s="141" t="str">
        <v>520569 Aportes a entidades promotoras de salud EPS</v>
      </c>
      <c r="DA971" s="141" t="str">
        <v>520569 Aportes a entidades promotoras de salud EPS</v>
      </c>
      <c r="DF971" t="str">
        <v>520569 Aportes a entidades promotoras de salud EPS</v>
      </c>
      <c r="DG971" t="str">
        <v>520569 Aportes a entidades promotoras de salud EPS</v>
      </c>
      <c r="DH971" t="str">
        <v>520569 Aportes a entidades promotoras de salud EPS</v>
      </c>
      <c r="DI971" t="str">
        <v>520569 Aportes a entidades promotoras de salud EPS</v>
      </c>
      <c r="DJ971" t="str">
        <v>520569 Aportes a entidades promotoras de salud EPS</v>
      </c>
      <c r="DK971" t="str">
        <v>520569 Aportes a entidades promotoras de salud EPS</v>
      </c>
      <c r="DL971" t="str">
        <v>520569 Aportes a entidades promotoras de salud EPS</v>
      </c>
      <c r="DM971" t="str">
        <v>520569 Aportes a entidades promotoras de salud EPS</v>
      </c>
      <c r="DN971" t="str">
        <v>520569 Aportes a entidades promotoras de salud EPS</v>
      </c>
      <c r="DO971" t="str">
        <v>520569 Aportes a entidades promotoras de salud EPS</v>
      </c>
      <c r="DP971" t="str">
        <v>520569 Aportes a entidades promotoras de salud EPS</v>
      </c>
    </row>
    <row r="972" spans="4:120" ht="12.75">
      <c r="D972" s="7">
        <v>520570</v>
      </c>
      <c r="E972" s="6" t="s">
        <v>549</v>
      </c>
      <c r="F972" s="5">
        <v>4</v>
      </c>
      <c r="G972" s="34" t="s">
        <v>830</v>
      </c>
      <c r="H972" s="8" t="s">
        <v>32</v>
      </c>
      <c r="I972" t="b">
        <f>+ISNUMBER(SEARCH('F-COMPRA'!$F$28,Tabla11[[#This Row],[Cuenta]],1))</f>
        <v>1</v>
      </c>
      <c r="J972" t="b">
        <f>+ISNUMBER(SEARCH('F-COMPRA'!$F$29,Tabla11[[#This Row],[Cuenta]],1))</f>
        <v>1</v>
      </c>
      <c r="K972" t="b">
        <f>+ISNUMBER(SEARCH('F-COMPRA'!$F$30,Tabla11[[#This Row],[Cuenta]],1))</f>
        <v>1</v>
      </c>
      <c r="L972" t="b">
        <f>+ISNUMBER(SEARCH('F-COMPRA'!$F$31,Tabla11[[#This Row],[Cuenta]],1))</f>
        <v>1</v>
      </c>
      <c r="M972" t="b">
        <f>+ISNUMBER(SEARCH('F-COMPRA'!$G$25,Tabla11[[#This Row],[Cuenta]],1))</f>
        <v>0</v>
      </c>
      <c r="N972" t="b">
        <f>+ISNUMBER(SEARCH(#REF!,Tabla11[[#This Row],[Cuenta]],1))</f>
        <v>0</v>
      </c>
      <c r="O972" t="b">
        <f>+ISNUMBER(SEARCH(#REF!,Tabla11[[#This Row],[Cuenta]],1))</f>
        <v>0</v>
      </c>
      <c r="P972" t="b">
        <f>+ISNUMBER(SEARCH('F-COMPRA'!$F$32,Tabla11[[#This Row],[Cuenta]],1))</f>
        <v>1</v>
      </c>
      <c r="Q972" t="b">
        <f>+ISNUMBER(SEARCH('F-COMPRA'!$F$33,Tabla11[[#This Row],[Cuenta]],1))</f>
        <v>1</v>
      </c>
      <c r="R972" t="b">
        <f>+ISNUMBER(SEARCH('F-COMPRA'!$F$34,Tabla11[[#This Row],[Cuenta]],1))</f>
        <v>1</v>
      </c>
      <c r="S972" t="b">
        <f>+ISNUMBER(SEARCH('F-COMPRA'!$F$35,Tabla11[[#This Row],[Cuenta]],1))</f>
        <v>1</v>
      </c>
      <c r="T972" t="b">
        <f>+ISNUMBER(SEARCH('F-COMPRA'!$F$36,Tabla11[[#This Row],[Cuenta]],1))</f>
        <v>1</v>
      </c>
      <c r="U972" t="b">
        <f>+ISNUMBER(SEARCH('F-COMPRA'!$F$37,Tabla11[[#This Row],[Cuenta]],1))</f>
        <v>1</v>
      </c>
      <c r="V972" t="b">
        <f>+ISNUMBER(SEARCH(#REF!,Tabla11[[#This Row],[Cuenta]],1))</f>
        <v>0</v>
      </c>
      <c r="W972" t="b">
        <f>+ISNUMBER(SEARCH('F-COMPRA'!#REF!,Tabla11[[#This Row],[Cuenta]],1))</f>
        <v>0</v>
      </c>
      <c r="X972" t="b">
        <f>+ISNUMBER(SEARCH('F-COMPRA'!#REF!,Tabla11[[#This Row],[Cuenta]],1))</f>
        <v>0</v>
      </c>
      <c r="Y972" t="b">
        <f>+ISNUMBER(SEARCH('F-COMPRA'!#REF!,Tabla11[[#This Row],[Cuenta]],1))</f>
        <v>0</v>
      </c>
      <c r="Z972" t="b">
        <f>+ISNUMBER(SEARCH('F-COMPRA'!#REF!,Tabla11[[#This Row],[Cuenta]],1))</f>
        <v>0</v>
      </c>
      <c r="AA972" t="b">
        <f>+ISNUMBER(SEARCH('F-COMPRA'!#REF!,Tabla11[[#This Row],[Cuenta]],1))</f>
        <v>0</v>
      </c>
      <c r="AB972" t="b">
        <f>+ISNUMBER(SEARCH('F-COMPRA'!#REF!,Tabla11[[#This Row],[Cuenta]],1))</f>
        <v>0</v>
      </c>
      <c r="AC972" t="b">
        <f>+ISNUMBER(SEARCH('F-COMPRA'!#REF!,Tabla11[[#This Row],[Cuenta]],1))</f>
        <v>0</v>
      </c>
      <c r="AD972" t="b">
        <f>+ISNUMBER(SEARCH('F-COMPRA'!#REF!,Tabla11[[#This Row],[Cuenta]],1))</f>
        <v>0</v>
      </c>
      <c r="AE972" t="b">
        <f>+ISNUMBER(SEARCH('F-COMPRA'!#REF!,Tabla11[[#This Row],[Cuenta]],1))</f>
        <v>0</v>
      </c>
      <c r="AF972" t="b">
        <f>+ISNUMBER(SEARCH('F-VTA'!$G$23,Tabla11[[#This Row],[Cuenta]],1))</f>
        <v>0</v>
      </c>
      <c r="AG972" t="b">
        <f>+ISNUMBER(SEARCH('F-VTA'!$G$24,Tabla11[[#This Row],[Cuenta]],1))</f>
        <v>0</v>
      </c>
      <c r="AH972" t="b">
        <f>+ISNUMBER(SEARCH('F-VTA'!$G$25,Tabla11[[#This Row],[Cuenta]],1))</f>
        <v>0</v>
      </c>
      <c r="AI972" t="b">
        <f>+ISNUMBER(SEARCH('F-VTA'!$F$28,Tabla11[[#This Row],[Cuenta]],1))</f>
        <v>1</v>
      </c>
      <c r="AJ972" t="b">
        <f>+ISNUMBER(SEARCH('F-VTA'!$F$29,Tabla11[[#This Row],[Cuenta]],1))</f>
        <v>1</v>
      </c>
      <c r="AK972" t="b">
        <f>+ISNUMBER(SEARCH('F-VTA'!$F$30,Tabla11[[#This Row],[Cuenta]],1))</f>
        <v>1</v>
      </c>
      <c r="AL972" t="b">
        <f>+ISNUMBER(SEARCH('F-VTA'!$F$31,Tabla11[[#This Row],[Cuenta]],1))</f>
        <v>1</v>
      </c>
      <c r="AM972" t="b">
        <f>+ISNUMBER(SEARCH('F-VTA'!$F$32,Tabla11[[#This Row],[Cuenta]],1))</f>
        <v>1</v>
      </c>
      <c r="AN972" t="b">
        <f>+ISNUMBER(SEARCH('F-VTA'!$F$33,Tabla11[[#This Row],[Cuenta]],1))</f>
        <v>1</v>
      </c>
      <c r="AO972" t="b">
        <f>+ISNUMBER(SEARCH('F-VTA'!$F$34,Tabla11[[#This Row],[Cuenta]],1))</f>
        <v>1</v>
      </c>
      <c r="AP972" t="b">
        <f>+ISNUMBER(SEARCH('F-VTA'!$F$35,Tabla11[[#This Row],[Cuenta]],1))</f>
        <v>1</v>
      </c>
      <c r="AQ972" t="b">
        <f>+ISNUMBER(SEARCH('F-VTA'!$F$36,Tabla11[[#This Row],[Cuenta]],1))</f>
        <v>1</v>
      </c>
      <c r="AR972" t="b">
        <f>+ISNUMBER(SEARCH(#REF!,Tabla11[[#This Row],[Cuenta]],1))</f>
        <v>0</v>
      </c>
      <c r="AS972" t="b">
        <f>+ISNUMBER(SEARCH(#REF!,Tabla11[[#This Row],[Cuenta]],1))</f>
        <v>0</v>
      </c>
      <c r="AT972" t="b">
        <f>+ISNUMBER(SEARCH(#REF!,Tabla11[[#This Row],[Cuenta]],1))</f>
        <v>0</v>
      </c>
      <c r="AU972" t="b">
        <f>+ISNUMBER(SEARCH('Conc. Ban.1'!$I$9,Tabla11[[#This Row],[Cuenta]],1))</f>
        <v>0</v>
      </c>
      <c r="AV972" t="b">
        <f>+ISNUMBER(SEARCH(CompConta!$F$21,Tabla11[[#This Row],[Cuenta]],1))</f>
        <v>1</v>
      </c>
      <c r="AW972" t="b">
        <f>+ISNUMBER(SEARCH(CompConta!$F$22,Tabla11[[#This Row],[Cuenta]],1))</f>
        <v>1</v>
      </c>
      <c r="AX972" t="b">
        <f>+ISNUMBER(SEARCH(CompConta!$F$23,Tabla11[[#This Row],[Cuenta]],1))</f>
        <v>1</v>
      </c>
      <c r="AY972" t="b">
        <f>+ISNUMBER(SEARCH(CompConta!$F$24,Tabla11[[#This Row],[Cuenta]],1))</f>
        <v>1</v>
      </c>
      <c r="AZ972" t="b">
        <f>+ISNUMBER(SEARCH(CompConta!$F$25,Tabla11[[#This Row],[Cuenta]],1))</f>
        <v>1</v>
      </c>
      <c r="BA972" t="b">
        <f>+ISNUMBER(SEARCH(CompConta!$F$26,Tabla11[[#This Row],[Cuenta]],1))</f>
        <v>1</v>
      </c>
      <c r="BB972" t="b">
        <f>+ISNUMBER(SEARCH(CompConta!$F$27,Tabla11[[#This Row],[Cuenta]],1))</f>
        <v>1</v>
      </c>
      <c r="BC972" t="b">
        <f>+ISNUMBER(SEARCH(CompConta!$F$28,Tabla11[[#This Row],[Cuenta]],1))</f>
        <v>1</v>
      </c>
      <c r="BD972" t="b">
        <f>+ISNUMBER(SEARCH(CompConta!$F$29,Tabla11[[#This Row],[Cuenta]],1))</f>
        <v>1</v>
      </c>
      <c r="BE972" t="b">
        <f>+ISNUMBER(SEARCH(CompConta!$F$30,Tabla11[[#This Row],[Cuenta]],1))</f>
        <v>1</v>
      </c>
      <c r="BF972" t="b">
        <f>+ISNUMBER(SEARCH('PAGO Compras'!$E$11,Tabla11[[#This Row],[Cuenta]],1))</f>
        <v>1</v>
      </c>
      <c r="BG972" t="b">
        <f>+ISNUMBER(SEARCH(#REF!,Tabla11[[#This Row],[Cuenta]],1))</f>
        <v>0</v>
      </c>
      <c r="BH972" t="b">
        <f>+ISNUMBER(SEARCH(#REF!,Tabla11[[#This Row],[Cuenta]],1))</f>
        <v>0</v>
      </c>
      <c r="BI972" t="b">
        <f>+ISNUMBER(SEARCH(#REF!,Tabla11[[#This Row],[Cuenta]],1))</f>
        <v>0</v>
      </c>
      <c r="BJ972" t="b">
        <f>+ISNUMBER(SEARCH(#REF!,Tabla11[[#This Row],[Cuenta]],1))</f>
        <v>0</v>
      </c>
      <c r="BS972" t="str">
        <v>520570 Aportes a fondos de pensiones y/o cesantías</v>
      </c>
      <c r="BT972" t="str">
        <v>520570 Aportes a fondos de pensiones y/o cesantías</v>
      </c>
      <c r="BU972" t="str">
        <v>520570 Aportes a fondos de pensiones y/o cesantías</v>
      </c>
      <c r="BV972" t="str">
        <v>520570 Aportes a fondos de pensiones y/o cesantías</v>
      </c>
      <c r="BZ972" t="str">
        <v>520570 Aportes a fondos de pensiones y/o cesantías</v>
      </c>
      <c r="CA972" t="str">
        <v>520570 Aportes a fondos de pensiones y/o cesantías</v>
      </c>
      <c r="CB972" t="str">
        <v>520570 Aportes a fondos de pensiones y/o cesantías</v>
      </c>
      <c r="CC972" t="str">
        <v>520570 Aportes a fondos de pensiones y/o cesantías</v>
      </c>
      <c r="CD972" t="str">
        <v>520570 Aportes a fondos de pensiones y/o cesantías</v>
      </c>
      <c r="CE972" t="str">
        <v>520570 Aportes a fondos de pensiones y/o cesantías</v>
      </c>
      <c r="CS972" s="141" t="str">
        <v>520570 Aportes a fondos de pensiones y/o cesantías</v>
      </c>
      <c r="CT972" s="141" t="str">
        <v>520570 Aportes a fondos de pensiones y/o cesantías</v>
      </c>
      <c r="CU972" s="141" t="str">
        <v>520570 Aportes a fondos de pensiones y/o cesantías</v>
      </c>
      <c r="CV972" s="141" t="str">
        <v>520570 Aportes a fondos de pensiones y/o cesantías</v>
      </c>
      <c r="CW972" s="141" t="str">
        <v>520570 Aportes a fondos de pensiones y/o cesantías</v>
      </c>
      <c r="CX972" s="141" t="str">
        <v>520570 Aportes a fondos de pensiones y/o cesantías</v>
      </c>
      <c r="CY972" s="141" t="str">
        <v>520570 Aportes a fondos de pensiones y/o cesantías</v>
      </c>
      <c r="CZ972" s="141" t="str">
        <v>520570 Aportes a fondos de pensiones y/o cesantías</v>
      </c>
      <c r="DA972" s="141" t="str">
        <v>520570 Aportes a fondos de pensiones y/o cesantías</v>
      </c>
      <c r="DF972" t="str">
        <v>520570 Aportes a fondos de pensiones y/o cesantías</v>
      </c>
      <c r="DG972" t="str">
        <v>520570 Aportes a fondos de pensiones y/o cesantías</v>
      </c>
      <c r="DH972" t="str">
        <v>520570 Aportes a fondos de pensiones y/o cesantías</v>
      </c>
      <c r="DI972" t="str">
        <v>520570 Aportes a fondos de pensiones y/o cesantías</v>
      </c>
      <c r="DJ972" t="str">
        <v>520570 Aportes a fondos de pensiones y/o cesantías</v>
      </c>
      <c r="DK972" t="str">
        <v>520570 Aportes a fondos de pensiones y/o cesantías</v>
      </c>
      <c r="DL972" t="str">
        <v>520570 Aportes a fondos de pensiones y/o cesantías</v>
      </c>
      <c r="DM972" t="str">
        <v>520570 Aportes a fondos de pensiones y/o cesantías</v>
      </c>
      <c r="DN972" t="str">
        <v>520570 Aportes a fondos de pensiones y/o cesantías</v>
      </c>
      <c r="DO972" t="str">
        <v>520570 Aportes a fondos de pensiones y/o cesantías</v>
      </c>
      <c r="DP972" t="str">
        <v>520570 Aportes a fondos de pensiones y/o cesantías</v>
      </c>
    </row>
    <row r="973" spans="4:120" ht="12.75">
      <c r="D973" s="7">
        <v>520572</v>
      </c>
      <c r="E973" s="6" t="s">
        <v>550</v>
      </c>
      <c r="F973" s="5">
        <v>4</v>
      </c>
      <c r="G973" s="34" t="s">
        <v>830</v>
      </c>
      <c r="H973" s="8" t="s">
        <v>32</v>
      </c>
      <c r="I973" t="b">
        <f>+ISNUMBER(SEARCH('F-COMPRA'!$F$28,Tabla11[[#This Row],[Cuenta]],1))</f>
        <v>1</v>
      </c>
      <c r="J973" t="b">
        <f>+ISNUMBER(SEARCH('F-COMPRA'!$F$29,Tabla11[[#This Row],[Cuenta]],1))</f>
        <v>1</v>
      </c>
      <c r="K973" t="b">
        <f>+ISNUMBER(SEARCH('F-COMPRA'!$F$30,Tabla11[[#This Row],[Cuenta]],1))</f>
        <v>1</v>
      </c>
      <c r="L973" t="b">
        <f>+ISNUMBER(SEARCH('F-COMPRA'!$F$31,Tabla11[[#This Row],[Cuenta]],1))</f>
        <v>1</v>
      </c>
      <c r="M973" t="b">
        <f>+ISNUMBER(SEARCH('F-COMPRA'!$G$25,Tabla11[[#This Row],[Cuenta]],1))</f>
        <v>0</v>
      </c>
      <c r="N973" t="b">
        <f>+ISNUMBER(SEARCH(#REF!,Tabla11[[#This Row],[Cuenta]],1))</f>
        <v>0</v>
      </c>
      <c r="O973" t="b">
        <f>+ISNUMBER(SEARCH(#REF!,Tabla11[[#This Row],[Cuenta]],1))</f>
        <v>0</v>
      </c>
      <c r="P973" t="b">
        <f>+ISNUMBER(SEARCH('F-COMPRA'!$F$32,Tabla11[[#This Row],[Cuenta]],1))</f>
        <v>1</v>
      </c>
      <c r="Q973" t="b">
        <f>+ISNUMBER(SEARCH('F-COMPRA'!$F$33,Tabla11[[#This Row],[Cuenta]],1))</f>
        <v>1</v>
      </c>
      <c r="R973" t="b">
        <f>+ISNUMBER(SEARCH('F-COMPRA'!$F$34,Tabla11[[#This Row],[Cuenta]],1))</f>
        <v>1</v>
      </c>
      <c r="S973" t="b">
        <f>+ISNUMBER(SEARCH('F-COMPRA'!$F$35,Tabla11[[#This Row],[Cuenta]],1))</f>
        <v>1</v>
      </c>
      <c r="T973" t="b">
        <f>+ISNUMBER(SEARCH('F-COMPRA'!$F$36,Tabla11[[#This Row],[Cuenta]],1))</f>
        <v>1</v>
      </c>
      <c r="U973" t="b">
        <f>+ISNUMBER(SEARCH('F-COMPRA'!$F$37,Tabla11[[#This Row],[Cuenta]],1))</f>
        <v>1</v>
      </c>
      <c r="V973" t="b">
        <f>+ISNUMBER(SEARCH(#REF!,Tabla11[[#This Row],[Cuenta]],1))</f>
        <v>0</v>
      </c>
      <c r="W973" t="b">
        <f>+ISNUMBER(SEARCH('F-COMPRA'!#REF!,Tabla11[[#This Row],[Cuenta]],1))</f>
        <v>0</v>
      </c>
      <c r="X973" t="b">
        <f>+ISNUMBER(SEARCH('F-COMPRA'!#REF!,Tabla11[[#This Row],[Cuenta]],1))</f>
        <v>0</v>
      </c>
      <c r="Y973" t="b">
        <f>+ISNUMBER(SEARCH('F-COMPRA'!#REF!,Tabla11[[#This Row],[Cuenta]],1))</f>
        <v>0</v>
      </c>
      <c r="Z973" t="b">
        <f>+ISNUMBER(SEARCH('F-COMPRA'!#REF!,Tabla11[[#This Row],[Cuenta]],1))</f>
        <v>0</v>
      </c>
      <c r="AA973" t="b">
        <f>+ISNUMBER(SEARCH('F-COMPRA'!#REF!,Tabla11[[#This Row],[Cuenta]],1))</f>
        <v>0</v>
      </c>
      <c r="AB973" t="b">
        <f>+ISNUMBER(SEARCH('F-COMPRA'!#REF!,Tabla11[[#This Row],[Cuenta]],1))</f>
        <v>0</v>
      </c>
      <c r="AC973" t="b">
        <f>+ISNUMBER(SEARCH('F-COMPRA'!#REF!,Tabla11[[#This Row],[Cuenta]],1))</f>
        <v>0</v>
      </c>
      <c r="AD973" t="b">
        <f>+ISNUMBER(SEARCH('F-COMPRA'!#REF!,Tabla11[[#This Row],[Cuenta]],1))</f>
        <v>0</v>
      </c>
      <c r="AE973" t="b">
        <f>+ISNUMBER(SEARCH('F-COMPRA'!#REF!,Tabla11[[#This Row],[Cuenta]],1))</f>
        <v>0</v>
      </c>
      <c r="AF973" t="b">
        <f>+ISNUMBER(SEARCH('F-VTA'!$G$23,Tabla11[[#This Row],[Cuenta]],1))</f>
        <v>0</v>
      </c>
      <c r="AG973" t="b">
        <f>+ISNUMBER(SEARCH('F-VTA'!$G$24,Tabla11[[#This Row],[Cuenta]],1))</f>
        <v>0</v>
      </c>
      <c r="AH973" t="b">
        <f>+ISNUMBER(SEARCH('F-VTA'!$G$25,Tabla11[[#This Row],[Cuenta]],1))</f>
        <v>0</v>
      </c>
      <c r="AI973" t="b">
        <f>+ISNUMBER(SEARCH('F-VTA'!$F$28,Tabla11[[#This Row],[Cuenta]],1))</f>
        <v>1</v>
      </c>
      <c r="AJ973" t="b">
        <f>+ISNUMBER(SEARCH('F-VTA'!$F$29,Tabla11[[#This Row],[Cuenta]],1))</f>
        <v>1</v>
      </c>
      <c r="AK973" t="b">
        <f>+ISNUMBER(SEARCH('F-VTA'!$F$30,Tabla11[[#This Row],[Cuenta]],1))</f>
        <v>1</v>
      </c>
      <c r="AL973" t="b">
        <f>+ISNUMBER(SEARCH('F-VTA'!$F$31,Tabla11[[#This Row],[Cuenta]],1))</f>
        <v>1</v>
      </c>
      <c r="AM973" t="b">
        <f>+ISNUMBER(SEARCH('F-VTA'!$F$32,Tabla11[[#This Row],[Cuenta]],1))</f>
        <v>1</v>
      </c>
      <c r="AN973" t="b">
        <f>+ISNUMBER(SEARCH('F-VTA'!$F$33,Tabla11[[#This Row],[Cuenta]],1))</f>
        <v>1</v>
      </c>
      <c r="AO973" t="b">
        <f>+ISNUMBER(SEARCH('F-VTA'!$F$34,Tabla11[[#This Row],[Cuenta]],1))</f>
        <v>1</v>
      </c>
      <c r="AP973" t="b">
        <f>+ISNUMBER(SEARCH('F-VTA'!$F$35,Tabla11[[#This Row],[Cuenta]],1))</f>
        <v>1</v>
      </c>
      <c r="AQ973" t="b">
        <f>+ISNUMBER(SEARCH('F-VTA'!$F$36,Tabla11[[#This Row],[Cuenta]],1))</f>
        <v>1</v>
      </c>
      <c r="AR973" t="b">
        <f>+ISNUMBER(SEARCH(#REF!,Tabla11[[#This Row],[Cuenta]],1))</f>
        <v>0</v>
      </c>
      <c r="AS973" t="b">
        <f>+ISNUMBER(SEARCH(#REF!,Tabla11[[#This Row],[Cuenta]],1))</f>
        <v>0</v>
      </c>
      <c r="AT973" t="b">
        <f>+ISNUMBER(SEARCH(#REF!,Tabla11[[#This Row],[Cuenta]],1))</f>
        <v>0</v>
      </c>
      <c r="AU973" t="b">
        <f>+ISNUMBER(SEARCH('Conc. Ban.1'!$I$9,Tabla11[[#This Row],[Cuenta]],1))</f>
        <v>0</v>
      </c>
      <c r="AV973" t="b">
        <f>+ISNUMBER(SEARCH(CompConta!$F$21,Tabla11[[#This Row],[Cuenta]],1))</f>
        <v>1</v>
      </c>
      <c r="AW973" t="b">
        <f>+ISNUMBER(SEARCH(CompConta!$F$22,Tabla11[[#This Row],[Cuenta]],1))</f>
        <v>1</v>
      </c>
      <c r="AX973" t="b">
        <f>+ISNUMBER(SEARCH(CompConta!$F$23,Tabla11[[#This Row],[Cuenta]],1))</f>
        <v>1</v>
      </c>
      <c r="AY973" t="b">
        <f>+ISNUMBER(SEARCH(CompConta!$F$24,Tabla11[[#This Row],[Cuenta]],1))</f>
        <v>1</v>
      </c>
      <c r="AZ973" t="b">
        <f>+ISNUMBER(SEARCH(CompConta!$F$25,Tabla11[[#This Row],[Cuenta]],1))</f>
        <v>1</v>
      </c>
      <c r="BA973" t="b">
        <f>+ISNUMBER(SEARCH(CompConta!$F$26,Tabla11[[#This Row],[Cuenta]],1))</f>
        <v>1</v>
      </c>
      <c r="BB973" t="b">
        <f>+ISNUMBER(SEARCH(CompConta!$F$27,Tabla11[[#This Row],[Cuenta]],1))</f>
        <v>1</v>
      </c>
      <c r="BC973" t="b">
        <f>+ISNUMBER(SEARCH(CompConta!$F$28,Tabla11[[#This Row],[Cuenta]],1))</f>
        <v>1</v>
      </c>
      <c r="BD973" t="b">
        <f>+ISNUMBER(SEARCH(CompConta!$F$29,Tabla11[[#This Row],[Cuenta]],1))</f>
        <v>1</v>
      </c>
      <c r="BE973" t="b">
        <f>+ISNUMBER(SEARCH(CompConta!$F$30,Tabla11[[#This Row],[Cuenta]],1))</f>
        <v>1</v>
      </c>
      <c r="BF973" t="b">
        <f>+ISNUMBER(SEARCH('PAGO Compras'!$E$11,Tabla11[[#This Row],[Cuenta]],1))</f>
        <v>1</v>
      </c>
      <c r="BG973" t="b">
        <f>+ISNUMBER(SEARCH(#REF!,Tabla11[[#This Row],[Cuenta]],1))</f>
        <v>0</v>
      </c>
      <c r="BH973" t="b">
        <f>+ISNUMBER(SEARCH(#REF!,Tabla11[[#This Row],[Cuenta]],1))</f>
        <v>0</v>
      </c>
      <c r="BI973" t="b">
        <f>+ISNUMBER(SEARCH(#REF!,Tabla11[[#This Row],[Cuenta]],1))</f>
        <v>0</v>
      </c>
      <c r="BJ973" t="b">
        <f>+ISNUMBER(SEARCH(#REF!,Tabla11[[#This Row],[Cuenta]],1))</f>
        <v>0</v>
      </c>
      <c r="BS973" t="str">
        <v>520572 Aportes cajas de compensación familiar</v>
      </c>
      <c r="BT973" t="str">
        <v>520572 Aportes cajas de compensación familiar</v>
      </c>
      <c r="BU973" t="str">
        <v>520572 Aportes cajas de compensación familiar</v>
      </c>
      <c r="BV973" t="str">
        <v>520572 Aportes cajas de compensación familiar</v>
      </c>
      <c r="BZ973" t="str">
        <v>520572 Aportes cajas de compensación familiar</v>
      </c>
      <c r="CA973" t="str">
        <v>520572 Aportes cajas de compensación familiar</v>
      </c>
      <c r="CB973" t="str">
        <v>520572 Aportes cajas de compensación familiar</v>
      </c>
      <c r="CC973" t="str">
        <v>520572 Aportes cajas de compensación familiar</v>
      </c>
      <c r="CD973" t="str">
        <v>520572 Aportes cajas de compensación familiar</v>
      </c>
      <c r="CE973" t="str">
        <v>520572 Aportes cajas de compensación familiar</v>
      </c>
      <c r="CS973" s="141" t="str">
        <v>520572 Aportes cajas de compensación familiar</v>
      </c>
      <c r="CT973" s="141" t="str">
        <v>520572 Aportes cajas de compensación familiar</v>
      </c>
      <c r="CU973" s="141" t="str">
        <v>520572 Aportes cajas de compensación familiar</v>
      </c>
      <c r="CV973" s="141" t="str">
        <v>520572 Aportes cajas de compensación familiar</v>
      </c>
      <c r="CW973" s="141" t="str">
        <v>520572 Aportes cajas de compensación familiar</v>
      </c>
      <c r="CX973" s="141" t="str">
        <v>520572 Aportes cajas de compensación familiar</v>
      </c>
      <c r="CY973" s="141" t="str">
        <v>520572 Aportes cajas de compensación familiar</v>
      </c>
      <c r="CZ973" s="141" t="str">
        <v>520572 Aportes cajas de compensación familiar</v>
      </c>
      <c r="DA973" s="141" t="str">
        <v>520572 Aportes cajas de compensación familiar</v>
      </c>
      <c r="DF973" t="str">
        <v>520572 Aportes cajas de compensación familiar</v>
      </c>
      <c r="DG973" t="str">
        <v>520572 Aportes cajas de compensación familiar</v>
      </c>
      <c r="DH973" t="str">
        <v>520572 Aportes cajas de compensación familiar</v>
      </c>
      <c r="DI973" t="str">
        <v>520572 Aportes cajas de compensación familiar</v>
      </c>
      <c r="DJ973" t="str">
        <v>520572 Aportes cajas de compensación familiar</v>
      </c>
      <c r="DK973" t="str">
        <v>520572 Aportes cajas de compensación familiar</v>
      </c>
      <c r="DL973" t="str">
        <v>520572 Aportes cajas de compensación familiar</v>
      </c>
      <c r="DM973" t="str">
        <v>520572 Aportes cajas de compensación familiar</v>
      </c>
      <c r="DN973" t="str">
        <v>520572 Aportes cajas de compensación familiar</v>
      </c>
      <c r="DO973" t="str">
        <v>520572 Aportes cajas de compensación familiar</v>
      </c>
      <c r="DP973" t="str">
        <v>520572 Aportes cajas de compensación familiar</v>
      </c>
    </row>
    <row r="974" spans="4:120" ht="12.75">
      <c r="D974" s="7">
        <v>520575</v>
      </c>
      <c r="E974" s="6" t="s">
        <v>551</v>
      </c>
      <c r="F974" s="5">
        <v>4</v>
      </c>
      <c r="G974" s="34" t="s">
        <v>830</v>
      </c>
      <c r="H974" s="8" t="s">
        <v>32</v>
      </c>
      <c r="I974" t="b">
        <f>+ISNUMBER(SEARCH('F-COMPRA'!$F$28,Tabla11[[#This Row],[Cuenta]],1))</f>
        <v>1</v>
      </c>
      <c r="J974" t="b">
        <f>+ISNUMBER(SEARCH('F-COMPRA'!$F$29,Tabla11[[#This Row],[Cuenta]],1))</f>
        <v>1</v>
      </c>
      <c r="K974" t="b">
        <f>+ISNUMBER(SEARCH('F-COMPRA'!$F$30,Tabla11[[#This Row],[Cuenta]],1))</f>
        <v>1</v>
      </c>
      <c r="L974" t="b">
        <f>+ISNUMBER(SEARCH('F-COMPRA'!$F$31,Tabla11[[#This Row],[Cuenta]],1))</f>
        <v>1</v>
      </c>
      <c r="M974" t="b">
        <f>+ISNUMBER(SEARCH('F-COMPRA'!$G$25,Tabla11[[#This Row],[Cuenta]],1))</f>
        <v>0</v>
      </c>
      <c r="N974" t="b">
        <f>+ISNUMBER(SEARCH(#REF!,Tabla11[[#This Row],[Cuenta]],1))</f>
        <v>0</v>
      </c>
      <c r="O974" t="b">
        <f>+ISNUMBER(SEARCH(#REF!,Tabla11[[#This Row],[Cuenta]],1))</f>
        <v>0</v>
      </c>
      <c r="P974" t="b">
        <f>+ISNUMBER(SEARCH('F-COMPRA'!$F$32,Tabla11[[#This Row],[Cuenta]],1))</f>
        <v>1</v>
      </c>
      <c r="Q974" t="b">
        <f>+ISNUMBER(SEARCH('F-COMPRA'!$F$33,Tabla11[[#This Row],[Cuenta]],1))</f>
        <v>1</v>
      </c>
      <c r="R974" t="b">
        <f>+ISNUMBER(SEARCH('F-COMPRA'!$F$34,Tabla11[[#This Row],[Cuenta]],1))</f>
        <v>1</v>
      </c>
      <c r="S974" t="b">
        <f>+ISNUMBER(SEARCH('F-COMPRA'!$F$35,Tabla11[[#This Row],[Cuenta]],1))</f>
        <v>1</v>
      </c>
      <c r="T974" t="b">
        <f>+ISNUMBER(SEARCH('F-COMPRA'!$F$36,Tabla11[[#This Row],[Cuenta]],1))</f>
        <v>1</v>
      </c>
      <c r="U974" t="b">
        <f>+ISNUMBER(SEARCH('F-COMPRA'!$F$37,Tabla11[[#This Row],[Cuenta]],1))</f>
        <v>1</v>
      </c>
      <c r="V974" t="b">
        <f>+ISNUMBER(SEARCH(#REF!,Tabla11[[#This Row],[Cuenta]],1))</f>
        <v>0</v>
      </c>
      <c r="W974" t="b">
        <f>+ISNUMBER(SEARCH('F-COMPRA'!#REF!,Tabla11[[#This Row],[Cuenta]],1))</f>
        <v>0</v>
      </c>
      <c r="X974" t="b">
        <f>+ISNUMBER(SEARCH('F-COMPRA'!#REF!,Tabla11[[#This Row],[Cuenta]],1))</f>
        <v>0</v>
      </c>
      <c r="Y974" t="b">
        <f>+ISNUMBER(SEARCH('F-COMPRA'!#REF!,Tabla11[[#This Row],[Cuenta]],1))</f>
        <v>0</v>
      </c>
      <c r="Z974" t="b">
        <f>+ISNUMBER(SEARCH('F-COMPRA'!#REF!,Tabla11[[#This Row],[Cuenta]],1))</f>
        <v>0</v>
      </c>
      <c r="AA974" t="b">
        <f>+ISNUMBER(SEARCH('F-COMPRA'!#REF!,Tabla11[[#This Row],[Cuenta]],1))</f>
        <v>0</v>
      </c>
      <c r="AB974" t="b">
        <f>+ISNUMBER(SEARCH('F-COMPRA'!#REF!,Tabla11[[#This Row],[Cuenta]],1))</f>
        <v>0</v>
      </c>
      <c r="AC974" t="b">
        <f>+ISNUMBER(SEARCH('F-COMPRA'!#REF!,Tabla11[[#This Row],[Cuenta]],1))</f>
        <v>0</v>
      </c>
      <c r="AD974" t="b">
        <f>+ISNUMBER(SEARCH('F-COMPRA'!#REF!,Tabla11[[#This Row],[Cuenta]],1))</f>
        <v>0</v>
      </c>
      <c r="AE974" t="b">
        <f>+ISNUMBER(SEARCH('F-COMPRA'!#REF!,Tabla11[[#This Row],[Cuenta]],1))</f>
        <v>0</v>
      </c>
      <c r="AF974" t="b">
        <f>+ISNUMBER(SEARCH('F-VTA'!$G$23,Tabla11[[#This Row],[Cuenta]],1))</f>
        <v>0</v>
      </c>
      <c r="AG974" t="b">
        <f>+ISNUMBER(SEARCH('F-VTA'!$G$24,Tabla11[[#This Row],[Cuenta]],1))</f>
        <v>0</v>
      </c>
      <c r="AH974" t="b">
        <f>+ISNUMBER(SEARCH('F-VTA'!$G$25,Tabla11[[#This Row],[Cuenta]],1))</f>
        <v>0</v>
      </c>
      <c r="AI974" t="b">
        <f>+ISNUMBER(SEARCH('F-VTA'!$F$28,Tabla11[[#This Row],[Cuenta]],1))</f>
        <v>1</v>
      </c>
      <c r="AJ974" t="b">
        <f>+ISNUMBER(SEARCH('F-VTA'!$F$29,Tabla11[[#This Row],[Cuenta]],1))</f>
        <v>1</v>
      </c>
      <c r="AK974" t="b">
        <f>+ISNUMBER(SEARCH('F-VTA'!$F$30,Tabla11[[#This Row],[Cuenta]],1))</f>
        <v>1</v>
      </c>
      <c r="AL974" t="b">
        <f>+ISNUMBER(SEARCH('F-VTA'!$F$31,Tabla11[[#This Row],[Cuenta]],1))</f>
        <v>1</v>
      </c>
      <c r="AM974" t="b">
        <f>+ISNUMBER(SEARCH('F-VTA'!$F$32,Tabla11[[#This Row],[Cuenta]],1))</f>
        <v>1</v>
      </c>
      <c r="AN974" t="b">
        <f>+ISNUMBER(SEARCH('F-VTA'!$F$33,Tabla11[[#This Row],[Cuenta]],1))</f>
        <v>1</v>
      </c>
      <c r="AO974" t="b">
        <f>+ISNUMBER(SEARCH('F-VTA'!$F$34,Tabla11[[#This Row],[Cuenta]],1))</f>
        <v>1</v>
      </c>
      <c r="AP974" t="b">
        <f>+ISNUMBER(SEARCH('F-VTA'!$F$35,Tabla11[[#This Row],[Cuenta]],1))</f>
        <v>1</v>
      </c>
      <c r="AQ974" t="b">
        <f>+ISNUMBER(SEARCH('F-VTA'!$F$36,Tabla11[[#This Row],[Cuenta]],1))</f>
        <v>1</v>
      </c>
      <c r="AR974" t="b">
        <f>+ISNUMBER(SEARCH(#REF!,Tabla11[[#This Row],[Cuenta]],1))</f>
        <v>0</v>
      </c>
      <c r="AS974" t="b">
        <f>+ISNUMBER(SEARCH(#REF!,Tabla11[[#This Row],[Cuenta]],1))</f>
        <v>0</v>
      </c>
      <c r="AT974" t="b">
        <f>+ISNUMBER(SEARCH(#REF!,Tabla11[[#This Row],[Cuenta]],1))</f>
        <v>0</v>
      </c>
      <c r="AU974" t="b">
        <f>+ISNUMBER(SEARCH('Conc. Ban.1'!$I$9,Tabla11[[#This Row],[Cuenta]],1))</f>
        <v>0</v>
      </c>
      <c r="AV974" t="b">
        <f>+ISNUMBER(SEARCH(CompConta!$F$21,Tabla11[[#This Row],[Cuenta]],1))</f>
        <v>1</v>
      </c>
      <c r="AW974" t="b">
        <f>+ISNUMBER(SEARCH(CompConta!$F$22,Tabla11[[#This Row],[Cuenta]],1))</f>
        <v>1</v>
      </c>
      <c r="AX974" t="b">
        <f>+ISNUMBER(SEARCH(CompConta!$F$23,Tabla11[[#This Row],[Cuenta]],1))</f>
        <v>1</v>
      </c>
      <c r="AY974" t="b">
        <f>+ISNUMBER(SEARCH(CompConta!$F$24,Tabla11[[#This Row],[Cuenta]],1))</f>
        <v>1</v>
      </c>
      <c r="AZ974" t="b">
        <f>+ISNUMBER(SEARCH(CompConta!$F$25,Tabla11[[#This Row],[Cuenta]],1))</f>
        <v>1</v>
      </c>
      <c r="BA974" t="b">
        <f>+ISNUMBER(SEARCH(CompConta!$F$26,Tabla11[[#This Row],[Cuenta]],1))</f>
        <v>1</v>
      </c>
      <c r="BB974" t="b">
        <f>+ISNUMBER(SEARCH(CompConta!$F$27,Tabla11[[#This Row],[Cuenta]],1))</f>
        <v>1</v>
      </c>
      <c r="BC974" t="b">
        <f>+ISNUMBER(SEARCH(CompConta!$F$28,Tabla11[[#This Row],[Cuenta]],1))</f>
        <v>1</v>
      </c>
      <c r="BD974" t="b">
        <f>+ISNUMBER(SEARCH(CompConta!$F$29,Tabla11[[#This Row],[Cuenta]],1))</f>
        <v>1</v>
      </c>
      <c r="BE974" t="b">
        <f>+ISNUMBER(SEARCH(CompConta!$F$30,Tabla11[[#This Row],[Cuenta]],1))</f>
        <v>1</v>
      </c>
      <c r="BF974" t="b">
        <f>+ISNUMBER(SEARCH('PAGO Compras'!$E$11,Tabla11[[#This Row],[Cuenta]],1))</f>
        <v>1</v>
      </c>
      <c r="BG974" t="b">
        <f>+ISNUMBER(SEARCH(#REF!,Tabla11[[#This Row],[Cuenta]],1))</f>
        <v>0</v>
      </c>
      <c r="BH974" t="b">
        <f>+ISNUMBER(SEARCH(#REF!,Tabla11[[#This Row],[Cuenta]],1))</f>
        <v>0</v>
      </c>
      <c r="BI974" t="b">
        <f>+ISNUMBER(SEARCH(#REF!,Tabla11[[#This Row],[Cuenta]],1))</f>
        <v>0</v>
      </c>
      <c r="BJ974" t="b">
        <f>+ISNUMBER(SEARCH(#REF!,Tabla11[[#This Row],[Cuenta]],1))</f>
        <v>0</v>
      </c>
      <c r="BS974" t="str">
        <v>520575 Aportes ICBF</v>
      </c>
      <c r="BT974" t="str">
        <v>520575 Aportes ICBF</v>
      </c>
      <c r="BU974" t="str">
        <v>520575 Aportes ICBF</v>
      </c>
      <c r="BV974" t="str">
        <v>520575 Aportes ICBF</v>
      </c>
      <c r="BZ974" t="str">
        <v>520575 Aportes ICBF</v>
      </c>
      <c r="CA974" t="str">
        <v>520575 Aportes ICBF</v>
      </c>
      <c r="CB974" t="str">
        <v>520575 Aportes ICBF</v>
      </c>
      <c r="CC974" t="str">
        <v>520575 Aportes ICBF</v>
      </c>
      <c r="CD974" t="str">
        <v>520575 Aportes ICBF</v>
      </c>
      <c r="CE974" t="str">
        <v>520575 Aportes ICBF</v>
      </c>
      <c r="CS974" s="141" t="str">
        <v>520575 Aportes ICBF</v>
      </c>
      <c r="CT974" s="141" t="str">
        <v>520575 Aportes ICBF</v>
      </c>
      <c r="CU974" s="141" t="str">
        <v>520575 Aportes ICBF</v>
      </c>
      <c r="CV974" s="141" t="str">
        <v>520575 Aportes ICBF</v>
      </c>
      <c r="CW974" s="141" t="str">
        <v>520575 Aportes ICBF</v>
      </c>
      <c r="CX974" s="141" t="str">
        <v>520575 Aportes ICBF</v>
      </c>
      <c r="CY974" s="141" t="str">
        <v>520575 Aportes ICBF</v>
      </c>
      <c r="CZ974" s="141" t="str">
        <v>520575 Aportes ICBF</v>
      </c>
      <c r="DA974" s="141" t="str">
        <v>520575 Aportes ICBF</v>
      </c>
      <c r="DF974" t="str">
        <v>520575 Aportes ICBF</v>
      </c>
      <c r="DG974" t="str">
        <v>520575 Aportes ICBF</v>
      </c>
      <c r="DH974" t="str">
        <v>520575 Aportes ICBF</v>
      </c>
      <c r="DI974" t="str">
        <v>520575 Aportes ICBF</v>
      </c>
      <c r="DJ974" t="str">
        <v>520575 Aportes ICBF</v>
      </c>
      <c r="DK974" t="str">
        <v>520575 Aportes ICBF</v>
      </c>
      <c r="DL974" t="str">
        <v>520575 Aportes ICBF</v>
      </c>
      <c r="DM974" t="str">
        <v>520575 Aportes ICBF</v>
      </c>
      <c r="DN974" t="str">
        <v>520575 Aportes ICBF</v>
      </c>
      <c r="DO974" t="str">
        <v>520575 Aportes ICBF</v>
      </c>
      <c r="DP974" t="str">
        <v>520575 Aportes ICBF</v>
      </c>
    </row>
    <row r="975" spans="4:120" ht="12.75">
      <c r="D975" s="7">
        <v>520578</v>
      </c>
      <c r="E975" s="6" t="s">
        <v>552</v>
      </c>
      <c r="F975" s="5">
        <v>4</v>
      </c>
      <c r="G975" s="34" t="s">
        <v>830</v>
      </c>
      <c r="H975" s="8" t="s">
        <v>32</v>
      </c>
      <c r="I975" t="b">
        <f>+ISNUMBER(SEARCH('F-COMPRA'!$F$28,Tabla11[[#This Row],[Cuenta]],1))</f>
        <v>1</v>
      </c>
      <c r="J975" t="b">
        <f>+ISNUMBER(SEARCH('F-COMPRA'!$F$29,Tabla11[[#This Row],[Cuenta]],1))</f>
        <v>1</v>
      </c>
      <c r="K975" t="b">
        <f>+ISNUMBER(SEARCH('F-COMPRA'!$F$30,Tabla11[[#This Row],[Cuenta]],1))</f>
        <v>1</v>
      </c>
      <c r="L975" t="b">
        <f>+ISNUMBER(SEARCH('F-COMPRA'!$F$31,Tabla11[[#This Row],[Cuenta]],1))</f>
        <v>1</v>
      </c>
      <c r="M975" t="b">
        <f>+ISNUMBER(SEARCH('F-COMPRA'!$G$25,Tabla11[[#This Row],[Cuenta]],1))</f>
        <v>0</v>
      </c>
      <c r="N975" t="b">
        <f>+ISNUMBER(SEARCH(#REF!,Tabla11[[#This Row],[Cuenta]],1))</f>
        <v>0</v>
      </c>
      <c r="O975" t="b">
        <f>+ISNUMBER(SEARCH(#REF!,Tabla11[[#This Row],[Cuenta]],1))</f>
        <v>0</v>
      </c>
      <c r="P975" t="b">
        <f>+ISNUMBER(SEARCH('F-COMPRA'!$F$32,Tabla11[[#This Row],[Cuenta]],1))</f>
        <v>1</v>
      </c>
      <c r="Q975" t="b">
        <f>+ISNUMBER(SEARCH('F-COMPRA'!$F$33,Tabla11[[#This Row],[Cuenta]],1))</f>
        <v>1</v>
      </c>
      <c r="R975" t="b">
        <f>+ISNUMBER(SEARCH('F-COMPRA'!$F$34,Tabla11[[#This Row],[Cuenta]],1))</f>
        <v>1</v>
      </c>
      <c r="S975" t="b">
        <f>+ISNUMBER(SEARCH('F-COMPRA'!$F$35,Tabla11[[#This Row],[Cuenta]],1))</f>
        <v>1</v>
      </c>
      <c r="T975" t="b">
        <f>+ISNUMBER(SEARCH('F-COMPRA'!$F$36,Tabla11[[#This Row],[Cuenta]],1))</f>
        <v>1</v>
      </c>
      <c r="U975" t="b">
        <f>+ISNUMBER(SEARCH('F-COMPRA'!$F$37,Tabla11[[#This Row],[Cuenta]],1))</f>
        <v>1</v>
      </c>
      <c r="V975" t="b">
        <f>+ISNUMBER(SEARCH(#REF!,Tabla11[[#This Row],[Cuenta]],1))</f>
        <v>0</v>
      </c>
      <c r="W975" t="b">
        <f>+ISNUMBER(SEARCH('F-COMPRA'!#REF!,Tabla11[[#This Row],[Cuenta]],1))</f>
        <v>0</v>
      </c>
      <c r="X975" t="b">
        <f>+ISNUMBER(SEARCH('F-COMPRA'!#REF!,Tabla11[[#This Row],[Cuenta]],1))</f>
        <v>0</v>
      </c>
      <c r="Y975" t="b">
        <f>+ISNUMBER(SEARCH('F-COMPRA'!#REF!,Tabla11[[#This Row],[Cuenta]],1))</f>
        <v>0</v>
      </c>
      <c r="Z975" t="b">
        <f>+ISNUMBER(SEARCH('F-COMPRA'!#REF!,Tabla11[[#This Row],[Cuenta]],1))</f>
        <v>0</v>
      </c>
      <c r="AA975" t="b">
        <f>+ISNUMBER(SEARCH('F-COMPRA'!#REF!,Tabla11[[#This Row],[Cuenta]],1))</f>
        <v>0</v>
      </c>
      <c r="AB975" t="b">
        <f>+ISNUMBER(SEARCH('F-COMPRA'!#REF!,Tabla11[[#This Row],[Cuenta]],1))</f>
        <v>0</v>
      </c>
      <c r="AC975" t="b">
        <f>+ISNUMBER(SEARCH('F-COMPRA'!#REF!,Tabla11[[#This Row],[Cuenta]],1))</f>
        <v>0</v>
      </c>
      <c r="AD975" t="b">
        <f>+ISNUMBER(SEARCH('F-COMPRA'!#REF!,Tabla11[[#This Row],[Cuenta]],1))</f>
        <v>0</v>
      </c>
      <c r="AE975" t="b">
        <f>+ISNUMBER(SEARCH('F-COMPRA'!#REF!,Tabla11[[#This Row],[Cuenta]],1))</f>
        <v>0</v>
      </c>
      <c r="AF975" t="b">
        <f>+ISNUMBER(SEARCH('F-VTA'!$G$23,Tabla11[[#This Row],[Cuenta]],1))</f>
        <v>0</v>
      </c>
      <c r="AG975" t="b">
        <f>+ISNUMBER(SEARCH('F-VTA'!$G$24,Tabla11[[#This Row],[Cuenta]],1))</f>
        <v>0</v>
      </c>
      <c r="AH975" t="b">
        <f>+ISNUMBER(SEARCH('F-VTA'!$G$25,Tabla11[[#This Row],[Cuenta]],1))</f>
        <v>0</v>
      </c>
      <c r="AI975" t="b">
        <f>+ISNUMBER(SEARCH('F-VTA'!$F$28,Tabla11[[#This Row],[Cuenta]],1))</f>
        <v>1</v>
      </c>
      <c r="AJ975" t="b">
        <f>+ISNUMBER(SEARCH('F-VTA'!$F$29,Tabla11[[#This Row],[Cuenta]],1))</f>
        <v>1</v>
      </c>
      <c r="AK975" t="b">
        <f>+ISNUMBER(SEARCH('F-VTA'!$F$30,Tabla11[[#This Row],[Cuenta]],1))</f>
        <v>1</v>
      </c>
      <c r="AL975" t="b">
        <f>+ISNUMBER(SEARCH('F-VTA'!$F$31,Tabla11[[#This Row],[Cuenta]],1))</f>
        <v>1</v>
      </c>
      <c r="AM975" t="b">
        <f>+ISNUMBER(SEARCH('F-VTA'!$F$32,Tabla11[[#This Row],[Cuenta]],1))</f>
        <v>1</v>
      </c>
      <c r="AN975" t="b">
        <f>+ISNUMBER(SEARCH('F-VTA'!$F$33,Tabla11[[#This Row],[Cuenta]],1))</f>
        <v>1</v>
      </c>
      <c r="AO975" t="b">
        <f>+ISNUMBER(SEARCH('F-VTA'!$F$34,Tabla11[[#This Row],[Cuenta]],1))</f>
        <v>1</v>
      </c>
      <c r="AP975" t="b">
        <f>+ISNUMBER(SEARCH('F-VTA'!$F$35,Tabla11[[#This Row],[Cuenta]],1))</f>
        <v>1</v>
      </c>
      <c r="AQ975" t="b">
        <f>+ISNUMBER(SEARCH('F-VTA'!$F$36,Tabla11[[#This Row],[Cuenta]],1))</f>
        <v>1</v>
      </c>
      <c r="AR975" t="b">
        <f>+ISNUMBER(SEARCH(#REF!,Tabla11[[#This Row],[Cuenta]],1))</f>
        <v>0</v>
      </c>
      <c r="AS975" t="b">
        <f>+ISNUMBER(SEARCH(#REF!,Tabla11[[#This Row],[Cuenta]],1))</f>
        <v>0</v>
      </c>
      <c r="AT975" t="b">
        <f>+ISNUMBER(SEARCH(#REF!,Tabla11[[#This Row],[Cuenta]],1))</f>
        <v>0</v>
      </c>
      <c r="AU975" t="b">
        <f>+ISNUMBER(SEARCH('Conc. Ban.1'!$I$9,Tabla11[[#This Row],[Cuenta]],1))</f>
        <v>0</v>
      </c>
      <c r="AV975" t="b">
        <f>+ISNUMBER(SEARCH(CompConta!$F$21,Tabla11[[#This Row],[Cuenta]],1))</f>
        <v>1</v>
      </c>
      <c r="AW975" t="b">
        <f>+ISNUMBER(SEARCH(CompConta!$F$22,Tabla11[[#This Row],[Cuenta]],1))</f>
        <v>1</v>
      </c>
      <c r="AX975" t="b">
        <f>+ISNUMBER(SEARCH(CompConta!$F$23,Tabla11[[#This Row],[Cuenta]],1))</f>
        <v>1</v>
      </c>
      <c r="AY975" t="b">
        <f>+ISNUMBER(SEARCH(CompConta!$F$24,Tabla11[[#This Row],[Cuenta]],1))</f>
        <v>1</v>
      </c>
      <c r="AZ975" t="b">
        <f>+ISNUMBER(SEARCH(CompConta!$F$25,Tabla11[[#This Row],[Cuenta]],1))</f>
        <v>1</v>
      </c>
      <c r="BA975" t="b">
        <f>+ISNUMBER(SEARCH(CompConta!$F$26,Tabla11[[#This Row],[Cuenta]],1))</f>
        <v>1</v>
      </c>
      <c r="BB975" t="b">
        <f>+ISNUMBER(SEARCH(CompConta!$F$27,Tabla11[[#This Row],[Cuenta]],1))</f>
        <v>1</v>
      </c>
      <c r="BC975" t="b">
        <f>+ISNUMBER(SEARCH(CompConta!$F$28,Tabla11[[#This Row],[Cuenta]],1))</f>
        <v>1</v>
      </c>
      <c r="BD975" t="b">
        <f>+ISNUMBER(SEARCH(CompConta!$F$29,Tabla11[[#This Row],[Cuenta]],1))</f>
        <v>1</v>
      </c>
      <c r="BE975" t="b">
        <f>+ISNUMBER(SEARCH(CompConta!$F$30,Tabla11[[#This Row],[Cuenta]],1))</f>
        <v>1</v>
      </c>
      <c r="BF975" t="b">
        <f>+ISNUMBER(SEARCH('PAGO Compras'!$E$11,Tabla11[[#This Row],[Cuenta]],1))</f>
        <v>1</v>
      </c>
      <c r="BG975" t="b">
        <f>+ISNUMBER(SEARCH(#REF!,Tabla11[[#This Row],[Cuenta]],1))</f>
        <v>0</v>
      </c>
      <c r="BH975" t="b">
        <f>+ISNUMBER(SEARCH(#REF!,Tabla11[[#This Row],[Cuenta]],1))</f>
        <v>0</v>
      </c>
      <c r="BI975" t="b">
        <f>+ISNUMBER(SEARCH(#REF!,Tabla11[[#This Row],[Cuenta]],1))</f>
        <v>0</v>
      </c>
      <c r="BJ975" t="b">
        <f>+ISNUMBER(SEARCH(#REF!,Tabla11[[#This Row],[Cuenta]],1))</f>
        <v>0</v>
      </c>
      <c r="BS975" t="str">
        <v>520578 SENA</v>
      </c>
      <c r="BT975" t="str">
        <v>520578 SENA</v>
      </c>
      <c r="BU975" t="str">
        <v>520578 SENA</v>
      </c>
      <c r="BV975" t="str">
        <v>520578 SENA</v>
      </c>
      <c r="BZ975" t="str">
        <v>520578 SENA</v>
      </c>
      <c r="CA975" t="str">
        <v>520578 SENA</v>
      </c>
      <c r="CB975" t="str">
        <v>520578 SENA</v>
      </c>
      <c r="CC975" t="str">
        <v>520578 SENA</v>
      </c>
      <c r="CD975" t="str">
        <v>520578 SENA</v>
      </c>
      <c r="CE975" t="str">
        <v>520578 SENA</v>
      </c>
      <c r="CS975" s="141" t="str">
        <v>520578 SENA</v>
      </c>
      <c r="CT975" s="141" t="str">
        <v>520578 SENA</v>
      </c>
      <c r="CU975" s="141" t="str">
        <v>520578 SENA</v>
      </c>
      <c r="CV975" s="141" t="str">
        <v>520578 SENA</v>
      </c>
      <c r="CW975" s="141" t="str">
        <v>520578 SENA</v>
      </c>
      <c r="CX975" s="141" t="str">
        <v>520578 SENA</v>
      </c>
      <c r="CY975" s="141" t="str">
        <v>520578 SENA</v>
      </c>
      <c r="CZ975" s="141" t="str">
        <v>520578 SENA</v>
      </c>
      <c r="DA975" s="141" t="str">
        <v>520578 SENA</v>
      </c>
      <c r="DF975" t="str">
        <v>520578 SENA</v>
      </c>
      <c r="DG975" t="str">
        <v>520578 SENA</v>
      </c>
      <c r="DH975" t="str">
        <v>520578 SENA</v>
      </c>
      <c r="DI975" t="str">
        <v>520578 SENA</v>
      </c>
      <c r="DJ975" t="str">
        <v>520578 SENA</v>
      </c>
      <c r="DK975" t="str">
        <v>520578 SENA</v>
      </c>
      <c r="DL975" t="str">
        <v>520578 SENA</v>
      </c>
      <c r="DM975" t="str">
        <v>520578 SENA</v>
      </c>
      <c r="DN975" t="str">
        <v>520578 SENA</v>
      </c>
      <c r="DO975" t="str">
        <v>520578 SENA</v>
      </c>
      <c r="DP975" t="str">
        <v>520578 SENA</v>
      </c>
    </row>
    <row r="976" spans="4:120" ht="12.75">
      <c r="D976" s="7">
        <v>520581</v>
      </c>
      <c r="E976" s="6" t="s">
        <v>553</v>
      </c>
      <c r="F976" s="5">
        <v>4</v>
      </c>
      <c r="G976" s="34" t="s">
        <v>830</v>
      </c>
      <c r="H976" s="8" t="s">
        <v>32</v>
      </c>
      <c r="I976" t="b">
        <f>+ISNUMBER(SEARCH('F-COMPRA'!$F$28,Tabla11[[#This Row],[Cuenta]],1))</f>
        <v>1</v>
      </c>
      <c r="J976" t="b">
        <f>+ISNUMBER(SEARCH('F-COMPRA'!$F$29,Tabla11[[#This Row],[Cuenta]],1))</f>
        <v>1</v>
      </c>
      <c r="K976" t="b">
        <f>+ISNUMBER(SEARCH('F-COMPRA'!$F$30,Tabla11[[#This Row],[Cuenta]],1))</f>
        <v>1</v>
      </c>
      <c r="L976" t="b">
        <f>+ISNUMBER(SEARCH('F-COMPRA'!$F$31,Tabla11[[#This Row],[Cuenta]],1))</f>
        <v>1</v>
      </c>
      <c r="M976" t="b">
        <f>+ISNUMBER(SEARCH('F-COMPRA'!$G$25,Tabla11[[#This Row],[Cuenta]],1))</f>
        <v>0</v>
      </c>
      <c r="N976" t="b">
        <f>+ISNUMBER(SEARCH(#REF!,Tabla11[[#This Row],[Cuenta]],1))</f>
        <v>0</v>
      </c>
      <c r="O976" t="b">
        <f>+ISNUMBER(SEARCH(#REF!,Tabla11[[#This Row],[Cuenta]],1))</f>
        <v>0</v>
      </c>
      <c r="P976" t="b">
        <f>+ISNUMBER(SEARCH('F-COMPRA'!$F$32,Tabla11[[#This Row],[Cuenta]],1))</f>
        <v>1</v>
      </c>
      <c r="Q976" t="b">
        <f>+ISNUMBER(SEARCH('F-COMPRA'!$F$33,Tabla11[[#This Row],[Cuenta]],1))</f>
        <v>1</v>
      </c>
      <c r="R976" t="b">
        <f>+ISNUMBER(SEARCH('F-COMPRA'!$F$34,Tabla11[[#This Row],[Cuenta]],1))</f>
        <v>1</v>
      </c>
      <c r="S976" t="b">
        <f>+ISNUMBER(SEARCH('F-COMPRA'!$F$35,Tabla11[[#This Row],[Cuenta]],1))</f>
        <v>1</v>
      </c>
      <c r="T976" t="b">
        <f>+ISNUMBER(SEARCH('F-COMPRA'!$F$36,Tabla11[[#This Row],[Cuenta]],1))</f>
        <v>1</v>
      </c>
      <c r="U976" t="b">
        <f>+ISNUMBER(SEARCH('F-COMPRA'!$F$37,Tabla11[[#This Row],[Cuenta]],1))</f>
        <v>1</v>
      </c>
      <c r="V976" t="b">
        <f>+ISNUMBER(SEARCH(#REF!,Tabla11[[#This Row],[Cuenta]],1))</f>
        <v>0</v>
      </c>
      <c r="W976" t="b">
        <f>+ISNUMBER(SEARCH('F-COMPRA'!#REF!,Tabla11[[#This Row],[Cuenta]],1))</f>
        <v>0</v>
      </c>
      <c r="X976" t="b">
        <f>+ISNUMBER(SEARCH('F-COMPRA'!#REF!,Tabla11[[#This Row],[Cuenta]],1))</f>
        <v>0</v>
      </c>
      <c r="Y976" t="b">
        <f>+ISNUMBER(SEARCH('F-COMPRA'!#REF!,Tabla11[[#This Row],[Cuenta]],1))</f>
        <v>0</v>
      </c>
      <c r="Z976" t="b">
        <f>+ISNUMBER(SEARCH('F-COMPRA'!#REF!,Tabla11[[#This Row],[Cuenta]],1))</f>
        <v>0</v>
      </c>
      <c r="AA976" t="b">
        <f>+ISNUMBER(SEARCH('F-COMPRA'!#REF!,Tabla11[[#This Row],[Cuenta]],1))</f>
        <v>0</v>
      </c>
      <c r="AB976" t="b">
        <f>+ISNUMBER(SEARCH('F-COMPRA'!#REF!,Tabla11[[#This Row],[Cuenta]],1))</f>
        <v>0</v>
      </c>
      <c r="AC976" t="b">
        <f>+ISNUMBER(SEARCH('F-COMPRA'!#REF!,Tabla11[[#This Row],[Cuenta]],1))</f>
        <v>0</v>
      </c>
      <c r="AD976" t="b">
        <f>+ISNUMBER(SEARCH('F-COMPRA'!#REF!,Tabla11[[#This Row],[Cuenta]],1))</f>
        <v>0</v>
      </c>
      <c r="AE976" t="b">
        <f>+ISNUMBER(SEARCH('F-COMPRA'!#REF!,Tabla11[[#This Row],[Cuenta]],1))</f>
        <v>0</v>
      </c>
      <c r="AF976" t="b">
        <f>+ISNUMBER(SEARCH('F-VTA'!$G$23,Tabla11[[#This Row],[Cuenta]],1))</f>
        <v>0</v>
      </c>
      <c r="AG976" t="b">
        <f>+ISNUMBER(SEARCH('F-VTA'!$G$24,Tabla11[[#This Row],[Cuenta]],1))</f>
        <v>0</v>
      </c>
      <c r="AH976" t="b">
        <f>+ISNUMBER(SEARCH('F-VTA'!$G$25,Tabla11[[#This Row],[Cuenta]],1))</f>
        <v>0</v>
      </c>
      <c r="AI976" t="b">
        <f>+ISNUMBER(SEARCH('F-VTA'!$F$28,Tabla11[[#This Row],[Cuenta]],1))</f>
        <v>1</v>
      </c>
      <c r="AJ976" t="b">
        <f>+ISNUMBER(SEARCH('F-VTA'!$F$29,Tabla11[[#This Row],[Cuenta]],1))</f>
        <v>1</v>
      </c>
      <c r="AK976" t="b">
        <f>+ISNUMBER(SEARCH('F-VTA'!$F$30,Tabla11[[#This Row],[Cuenta]],1))</f>
        <v>1</v>
      </c>
      <c r="AL976" t="b">
        <f>+ISNUMBER(SEARCH('F-VTA'!$F$31,Tabla11[[#This Row],[Cuenta]],1))</f>
        <v>1</v>
      </c>
      <c r="AM976" t="b">
        <f>+ISNUMBER(SEARCH('F-VTA'!$F$32,Tabla11[[#This Row],[Cuenta]],1))</f>
        <v>1</v>
      </c>
      <c r="AN976" t="b">
        <f>+ISNUMBER(SEARCH('F-VTA'!$F$33,Tabla11[[#This Row],[Cuenta]],1))</f>
        <v>1</v>
      </c>
      <c r="AO976" t="b">
        <f>+ISNUMBER(SEARCH('F-VTA'!$F$34,Tabla11[[#This Row],[Cuenta]],1))</f>
        <v>1</v>
      </c>
      <c r="AP976" t="b">
        <f>+ISNUMBER(SEARCH('F-VTA'!$F$35,Tabla11[[#This Row],[Cuenta]],1))</f>
        <v>1</v>
      </c>
      <c r="AQ976" t="b">
        <f>+ISNUMBER(SEARCH('F-VTA'!$F$36,Tabla11[[#This Row],[Cuenta]],1))</f>
        <v>1</v>
      </c>
      <c r="AR976" t="b">
        <f>+ISNUMBER(SEARCH(#REF!,Tabla11[[#This Row],[Cuenta]],1))</f>
        <v>0</v>
      </c>
      <c r="AS976" t="b">
        <f>+ISNUMBER(SEARCH(#REF!,Tabla11[[#This Row],[Cuenta]],1))</f>
        <v>0</v>
      </c>
      <c r="AT976" t="b">
        <f>+ISNUMBER(SEARCH(#REF!,Tabla11[[#This Row],[Cuenta]],1))</f>
        <v>0</v>
      </c>
      <c r="AU976" t="b">
        <f>+ISNUMBER(SEARCH('Conc. Ban.1'!$I$9,Tabla11[[#This Row],[Cuenta]],1))</f>
        <v>0</v>
      </c>
      <c r="AV976" t="b">
        <f>+ISNUMBER(SEARCH(CompConta!$F$21,Tabla11[[#This Row],[Cuenta]],1))</f>
        <v>1</v>
      </c>
      <c r="AW976" t="b">
        <f>+ISNUMBER(SEARCH(CompConta!$F$22,Tabla11[[#This Row],[Cuenta]],1))</f>
        <v>1</v>
      </c>
      <c r="AX976" t="b">
        <f>+ISNUMBER(SEARCH(CompConta!$F$23,Tabla11[[#This Row],[Cuenta]],1))</f>
        <v>1</v>
      </c>
      <c r="AY976" t="b">
        <f>+ISNUMBER(SEARCH(CompConta!$F$24,Tabla11[[#This Row],[Cuenta]],1))</f>
        <v>1</v>
      </c>
      <c r="AZ976" t="b">
        <f>+ISNUMBER(SEARCH(CompConta!$F$25,Tabla11[[#This Row],[Cuenta]],1))</f>
        <v>1</v>
      </c>
      <c r="BA976" t="b">
        <f>+ISNUMBER(SEARCH(CompConta!$F$26,Tabla11[[#This Row],[Cuenta]],1))</f>
        <v>1</v>
      </c>
      <c r="BB976" t="b">
        <f>+ISNUMBER(SEARCH(CompConta!$F$27,Tabla11[[#This Row],[Cuenta]],1))</f>
        <v>1</v>
      </c>
      <c r="BC976" t="b">
        <f>+ISNUMBER(SEARCH(CompConta!$F$28,Tabla11[[#This Row],[Cuenta]],1))</f>
        <v>1</v>
      </c>
      <c r="BD976" t="b">
        <f>+ISNUMBER(SEARCH(CompConta!$F$29,Tabla11[[#This Row],[Cuenta]],1))</f>
        <v>1</v>
      </c>
      <c r="BE976" t="b">
        <f>+ISNUMBER(SEARCH(CompConta!$F$30,Tabla11[[#This Row],[Cuenta]],1))</f>
        <v>1</v>
      </c>
      <c r="BF976" t="b">
        <f>+ISNUMBER(SEARCH('PAGO Compras'!$E$11,Tabla11[[#This Row],[Cuenta]],1))</f>
        <v>1</v>
      </c>
      <c r="BG976" t="b">
        <f>+ISNUMBER(SEARCH(#REF!,Tabla11[[#This Row],[Cuenta]],1))</f>
        <v>0</v>
      </c>
      <c r="BH976" t="b">
        <f>+ISNUMBER(SEARCH(#REF!,Tabla11[[#This Row],[Cuenta]],1))</f>
        <v>0</v>
      </c>
      <c r="BI976" t="b">
        <f>+ISNUMBER(SEARCH(#REF!,Tabla11[[#This Row],[Cuenta]],1))</f>
        <v>0</v>
      </c>
      <c r="BJ976" t="b">
        <f>+ISNUMBER(SEARCH(#REF!,Tabla11[[#This Row],[Cuenta]],1))</f>
        <v>0</v>
      </c>
      <c r="BS976" t="str">
        <v>520581 Aportes sindicales</v>
      </c>
      <c r="BT976" t="str">
        <v>520581 Aportes sindicales</v>
      </c>
      <c r="BU976" t="str">
        <v>520581 Aportes sindicales</v>
      </c>
      <c r="BV976" t="str">
        <v>520581 Aportes sindicales</v>
      </c>
      <c r="BZ976" t="str">
        <v>520581 Aportes sindicales</v>
      </c>
      <c r="CA976" t="str">
        <v>520581 Aportes sindicales</v>
      </c>
      <c r="CB976" t="str">
        <v>520581 Aportes sindicales</v>
      </c>
      <c r="CC976" t="str">
        <v>520581 Aportes sindicales</v>
      </c>
      <c r="CD976" t="str">
        <v>520581 Aportes sindicales</v>
      </c>
      <c r="CE976" t="str">
        <v>520581 Aportes sindicales</v>
      </c>
      <c r="CS976" s="141" t="str">
        <v>520581 Aportes sindicales</v>
      </c>
      <c r="CT976" s="141" t="str">
        <v>520581 Aportes sindicales</v>
      </c>
      <c r="CU976" s="141" t="str">
        <v>520581 Aportes sindicales</v>
      </c>
      <c r="CV976" s="141" t="str">
        <v>520581 Aportes sindicales</v>
      </c>
      <c r="CW976" s="141" t="str">
        <v>520581 Aportes sindicales</v>
      </c>
      <c r="CX976" s="141" t="str">
        <v>520581 Aportes sindicales</v>
      </c>
      <c r="CY976" s="141" t="str">
        <v>520581 Aportes sindicales</v>
      </c>
      <c r="CZ976" s="141" t="str">
        <v>520581 Aportes sindicales</v>
      </c>
      <c r="DA976" s="141" t="str">
        <v>520581 Aportes sindicales</v>
      </c>
      <c r="DF976" t="str">
        <v>520581 Aportes sindicales</v>
      </c>
      <c r="DG976" t="str">
        <v>520581 Aportes sindicales</v>
      </c>
      <c r="DH976" t="str">
        <v>520581 Aportes sindicales</v>
      </c>
      <c r="DI976" t="str">
        <v>520581 Aportes sindicales</v>
      </c>
      <c r="DJ976" t="str">
        <v>520581 Aportes sindicales</v>
      </c>
      <c r="DK976" t="str">
        <v>520581 Aportes sindicales</v>
      </c>
      <c r="DL976" t="str">
        <v>520581 Aportes sindicales</v>
      </c>
      <c r="DM976" t="str">
        <v>520581 Aportes sindicales</v>
      </c>
      <c r="DN976" t="str">
        <v>520581 Aportes sindicales</v>
      </c>
      <c r="DO976" t="str">
        <v>520581 Aportes sindicales</v>
      </c>
      <c r="DP976" t="str">
        <v>520581 Aportes sindicales</v>
      </c>
    </row>
    <row r="977" spans="4:120" ht="12.75">
      <c r="D977" s="7">
        <v>520599</v>
      </c>
      <c r="E977" s="6" t="s">
        <v>93</v>
      </c>
      <c r="F977" s="5">
        <v>4</v>
      </c>
      <c r="G977" s="34" t="s">
        <v>830</v>
      </c>
      <c r="H977" s="8" t="s">
        <v>32</v>
      </c>
      <c r="I977" t="b">
        <f>+ISNUMBER(SEARCH('F-COMPRA'!$F$28,Tabla11[[#This Row],[Cuenta]],1))</f>
        <v>1</v>
      </c>
      <c r="J977" t="b">
        <f>+ISNUMBER(SEARCH('F-COMPRA'!$F$29,Tabla11[[#This Row],[Cuenta]],1))</f>
        <v>1</v>
      </c>
      <c r="K977" t="b">
        <f>+ISNUMBER(SEARCH('F-COMPRA'!$F$30,Tabla11[[#This Row],[Cuenta]],1))</f>
        <v>1</v>
      </c>
      <c r="L977" t="b">
        <f>+ISNUMBER(SEARCH('F-COMPRA'!$F$31,Tabla11[[#This Row],[Cuenta]],1))</f>
        <v>1</v>
      </c>
      <c r="M977" t="b">
        <f>+ISNUMBER(SEARCH('F-COMPRA'!$G$25,Tabla11[[#This Row],[Cuenta]],1))</f>
        <v>0</v>
      </c>
      <c r="N977" t="b">
        <f>+ISNUMBER(SEARCH(#REF!,Tabla11[[#This Row],[Cuenta]],1))</f>
        <v>0</v>
      </c>
      <c r="O977" t="b">
        <f>+ISNUMBER(SEARCH(#REF!,Tabla11[[#This Row],[Cuenta]],1))</f>
        <v>0</v>
      </c>
      <c r="P977" t="b">
        <f>+ISNUMBER(SEARCH('F-COMPRA'!$F$32,Tabla11[[#This Row],[Cuenta]],1))</f>
        <v>1</v>
      </c>
      <c r="Q977" t="b">
        <f>+ISNUMBER(SEARCH('F-COMPRA'!$F$33,Tabla11[[#This Row],[Cuenta]],1))</f>
        <v>1</v>
      </c>
      <c r="R977" t="b">
        <f>+ISNUMBER(SEARCH('F-COMPRA'!$F$34,Tabla11[[#This Row],[Cuenta]],1))</f>
        <v>1</v>
      </c>
      <c r="S977" t="b">
        <f>+ISNUMBER(SEARCH('F-COMPRA'!$F$35,Tabla11[[#This Row],[Cuenta]],1))</f>
        <v>1</v>
      </c>
      <c r="T977" t="b">
        <f>+ISNUMBER(SEARCH('F-COMPRA'!$F$36,Tabla11[[#This Row],[Cuenta]],1))</f>
        <v>1</v>
      </c>
      <c r="U977" t="b">
        <f>+ISNUMBER(SEARCH('F-COMPRA'!$F$37,Tabla11[[#This Row],[Cuenta]],1))</f>
        <v>1</v>
      </c>
      <c r="V977" t="b">
        <f>+ISNUMBER(SEARCH(#REF!,Tabla11[[#This Row],[Cuenta]],1))</f>
        <v>0</v>
      </c>
      <c r="W977" t="b">
        <f>+ISNUMBER(SEARCH('F-COMPRA'!#REF!,Tabla11[[#This Row],[Cuenta]],1))</f>
        <v>0</v>
      </c>
      <c r="X977" t="b">
        <f>+ISNUMBER(SEARCH('F-COMPRA'!#REF!,Tabla11[[#This Row],[Cuenta]],1))</f>
        <v>0</v>
      </c>
      <c r="Y977" t="b">
        <f>+ISNUMBER(SEARCH('F-COMPRA'!#REF!,Tabla11[[#This Row],[Cuenta]],1))</f>
        <v>0</v>
      </c>
      <c r="Z977" t="b">
        <f>+ISNUMBER(SEARCH('F-COMPRA'!#REF!,Tabla11[[#This Row],[Cuenta]],1))</f>
        <v>0</v>
      </c>
      <c r="AA977" t="b">
        <f>+ISNUMBER(SEARCH('F-COMPRA'!#REF!,Tabla11[[#This Row],[Cuenta]],1))</f>
        <v>0</v>
      </c>
      <c r="AB977" t="b">
        <f>+ISNUMBER(SEARCH('F-COMPRA'!#REF!,Tabla11[[#This Row],[Cuenta]],1))</f>
        <v>0</v>
      </c>
      <c r="AC977" t="b">
        <f>+ISNUMBER(SEARCH('F-COMPRA'!#REF!,Tabla11[[#This Row],[Cuenta]],1))</f>
        <v>0</v>
      </c>
      <c r="AD977" t="b">
        <f>+ISNUMBER(SEARCH('F-COMPRA'!#REF!,Tabla11[[#This Row],[Cuenta]],1))</f>
        <v>0</v>
      </c>
      <c r="AE977" t="b">
        <f>+ISNUMBER(SEARCH('F-COMPRA'!#REF!,Tabla11[[#This Row],[Cuenta]],1))</f>
        <v>0</v>
      </c>
      <c r="AF977" t="b">
        <f>+ISNUMBER(SEARCH('F-VTA'!$G$23,Tabla11[[#This Row],[Cuenta]],1))</f>
        <v>0</v>
      </c>
      <c r="AG977" t="b">
        <f>+ISNUMBER(SEARCH('F-VTA'!$G$24,Tabla11[[#This Row],[Cuenta]],1))</f>
        <v>0</v>
      </c>
      <c r="AH977" t="b">
        <f>+ISNUMBER(SEARCH('F-VTA'!$G$25,Tabla11[[#This Row],[Cuenta]],1))</f>
        <v>0</v>
      </c>
      <c r="AI977" t="b">
        <f>+ISNUMBER(SEARCH('F-VTA'!$F$28,Tabla11[[#This Row],[Cuenta]],1))</f>
        <v>1</v>
      </c>
      <c r="AJ977" t="b">
        <f>+ISNUMBER(SEARCH('F-VTA'!$F$29,Tabla11[[#This Row],[Cuenta]],1))</f>
        <v>1</v>
      </c>
      <c r="AK977" t="b">
        <f>+ISNUMBER(SEARCH('F-VTA'!$F$30,Tabla11[[#This Row],[Cuenta]],1))</f>
        <v>1</v>
      </c>
      <c r="AL977" t="b">
        <f>+ISNUMBER(SEARCH('F-VTA'!$F$31,Tabla11[[#This Row],[Cuenta]],1))</f>
        <v>1</v>
      </c>
      <c r="AM977" t="b">
        <f>+ISNUMBER(SEARCH('F-VTA'!$F$32,Tabla11[[#This Row],[Cuenta]],1))</f>
        <v>1</v>
      </c>
      <c r="AN977" t="b">
        <f>+ISNUMBER(SEARCH('F-VTA'!$F$33,Tabla11[[#This Row],[Cuenta]],1))</f>
        <v>1</v>
      </c>
      <c r="AO977" t="b">
        <f>+ISNUMBER(SEARCH('F-VTA'!$F$34,Tabla11[[#This Row],[Cuenta]],1))</f>
        <v>1</v>
      </c>
      <c r="AP977" t="b">
        <f>+ISNUMBER(SEARCH('F-VTA'!$F$35,Tabla11[[#This Row],[Cuenta]],1))</f>
        <v>1</v>
      </c>
      <c r="AQ977" t="b">
        <f>+ISNUMBER(SEARCH('F-VTA'!$F$36,Tabla11[[#This Row],[Cuenta]],1))</f>
        <v>1</v>
      </c>
      <c r="AR977" t="b">
        <f>+ISNUMBER(SEARCH(#REF!,Tabla11[[#This Row],[Cuenta]],1))</f>
        <v>0</v>
      </c>
      <c r="AS977" t="b">
        <f>+ISNUMBER(SEARCH(#REF!,Tabla11[[#This Row],[Cuenta]],1))</f>
        <v>0</v>
      </c>
      <c r="AT977" t="b">
        <f>+ISNUMBER(SEARCH(#REF!,Tabla11[[#This Row],[Cuenta]],1))</f>
        <v>0</v>
      </c>
      <c r="AU977" t="b">
        <f>+ISNUMBER(SEARCH('Conc. Ban.1'!$I$9,Tabla11[[#This Row],[Cuenta]],1))</f>
        <v>0</v>
      </c>
      <c r="AV977" t="b">
        <f>+ISNUMBER(SEARCH(CompConta!$F$21,Tabla11[[#This Row],[Cuenta]],1))</f>
        <v>1</v>
      </c>
      <c r="AW977" t="b">
        <f>+ISNUMBER(SEARCH(CompConta!$F$22,Tabla11[[#This Row],[Cuenta]],1))</f>
        <v>1</v>
      </c>
      <c r="AX977" t="b">
        <f>+ISNUMBER(SEARCH(CompConta!$F$23,Tabla11[[#This Row],[Cuenta]],1))</f>
        <v>1</v>
      </c>
      <c r="AY977" t="b">
        <f>+ISNUMBER(SEARCH(CompConta!$F$24,Tabla11[[#This Row],[Cuenta]],1))</f>
        <v>1</v>
      </c>
      <c r="AZ977" t="b">
        <f>+ISNUMBER(SEARCH(CompConta!$F$25,Tabla11[[#This Row],[Cuenta]],1))</f>
        <v>1</v>
      </c>
      <c r="BA977" t="b">
        <f>+ISNUMBER(SEARCH(CompConta!$F$26,Tabla11[[#This Row],[Cuenta]],1))</f>
        <v>1</v>
      </c>
      <c r="BB977" t="b">
        <f>+ISNUMBER(SEARCH(CompConta!$F$27,Tabla11[[#This Row],[Cuenta]],1))</f>
        <v>1</v>
      </c>
      <c r="BC977" t="b">
        <f>+ISNUMBER(SEARCH(CompConta!$F$28,Tabla11[[#This Row],[Cuenta]],1))</f>
        <v>1</v>
      </c>
      <c r="BD977" t="b">
        <f>+ISNUMBER(SEARCH(CompConta!$F$29,Tabla11[[#This Row],[Cuenta]],1))</f>
        <v>1</v>
      </c>
      <c r="BE977" t="b">
        <f>+ISNUMBER(SEARCH(CompConta!$F$30,Tabla11[[#This Row],[Cuenta]],1))</f>
        <v>1</v>
      </c>
      <c r="BF977" t="b">
        <f>+ISNUMBER(SEARCH('PAGO Compras'!$E$11,Tabla11[[#This Row],[Cuenta]],1))</f>
        <v>1</v>
      </c>
      <c r="BG977" t="b">
        <f>+ISNUMBER(SEARCH(#REF!,Tabla11[[#This Row],[Cuenta]],1))</f>
        <v>0</v>
      </c>
      <c r="BH977" t="b">
        <f>+ISNUMBER(SEARCH(#REF!,Tabla11[[#This Row],[Cuenta]],1))</f>
        <v>0</v>
      </c>
      <c r="BI977" t="b">
        <f>+ISNUMBER(SEARCH(#REF!,Tabla11[[#This Row],[Cuenta]],1))</f>
        <v>0</v>
      </c>
      <c r="BJ977" t="b">
        <f>+ISNUMBER(SEARCH(#REF!,Tabla11[[#This Row],[Cuenta]],1))</f>
        <v>0</v>
      </c>
      <c r="BS977" t="str">
        <v>520599 *Ajustes por inflación</v>
      </c>
      <c r="BT977" t="str">
        <v>520599 *Ajustes por inflación</v>
      </c>
      <c r="BU977" t="str">
        <v>520599 *Ajustes por inflación</v>
      </c>
      <c r="BV977" t="str">
        <v>520599 *Ajustes por inflación</v>
      </c>
      <c r="BZ977" t="str">
        <v>520599 *Ajustes por inflación</v>
      </c>
      <c r="CA977" t="str">
        <v>520599 *Ajustes por inflación</v>
      </c>
      <c r="CB977" t="str">
        <v>520599 *Ajustes por inflación</v>
      </c>
      <c r="CC977" t="str">
        <v>520599 *Ajustes por inflación</v>
      </c>
      <c r="CD977" t="str">
        <v>520599 *Ajustes por inflación</v>
      </c>
      <c r="CE977" t="str">
        <v>520599 *Ajustes por inflación</v>
      </c>
      <c r="CS977" s="141" t="str">
        <v>520599 *Ajustes por inflación</v>
      </c>
      <c r="CT977" s="141" t="str">
        <v>520599 *Ajustes por inflación</v>
      </c>
      <c r="CU977" s="141" t="str">
        <v>520599 *Ajustes por inflación</v>
      </c>
      <c r="CV977" s="141" t="str">
        <v>520599 *Ajustes por inflación</v>
      </c>
      <c r="CW977" s="141" t="str">
        <v>520599 *Ajustes por inflación</v>
      </c>
      <c r="CX977" s="141" t="str">
        <v>520599 *Ajustes por inflación</v>
      </c>
      <c r="CY977" s="141" t="str">
        <v>520599 *Ajustes por inflación</v>
      </c>
      <c r="CZ977" s="141" t="str">
        <v>520599 *Ajustes por inflación</v>
      </c>
      <c r="DA977" s="141" t="str">
        <v>520599 *Ajustes por inflación</v>
      </c>
      <c r="DF977" t="str">
        <v>520599 *Ajustes por inflación</v>
      </c>
      <c r="DG977" t="str">
        <v>520599 *Ajustes por inflación</v>
      </c>
      <c r="DH977" t="str">
        <v>520599 *Ajustes por inflación</v>
      </c>
      <c r="DI977" t="str">
        <v>520599 *Ajustes por inflación</v>
      </c>
      <c r="DJ977" t="str">
        <v>520599 *Ajustes por inflación</v>
      </c>
      <c r="DK977" t="str">
        <v>520599 *Ajustes por inflación</v>
      </c>
      <c r="DL977" t="str">
        <v>520599 *Ajustes por inflación</v>
      </c>
      <c r="DM977" t="str">
        <v>520599 *Ajustes por inflación</v>
      </c>
      <c r="DN977" t="str">
        <v>520599 *Ajustes por inflación</v>
      </c>
      <c r="DO977" t="str">
        <v>520599 *Ajustes por inflación</v>
      </c>
      <c r="DP977" t="str">
        <v>520599 *Ajustes por inflación</v>
      </c>
    </row>
    <row r="978" spans="4:120" ht="12.75">
      <c r="D978" s="7">
        <v>5210</v>
      </c>
      <c r="E978" s="6" t="s">
        <v>526</v>
      </c>
      <c r="F978" s="5">
        <v>3</v>
      </c>
      <c r="G978" s="34" t="s">
        <v>830</v>
      </c>
      <c r="H978" s="8" t="s">
        <v>32</v>
      </c>
      <c r="I978" t="b">
        <f>+ISNUMBER(SEARCH('F-COMPRA'!$F$28,Tabla11[[#This Row],[Cuenta]],1))</f>
        <v>1</v>
      </c>
      <c r="J978" t="b">
        <f>+ISNUMBER(SEARCH('F-COMPRA'!$F$29,Tabla11[[#This Row],[Cuenta]],1))</f>
        <v>1</v>
      </c>
      <c r="K978" t="b">
        <f>+ISNUMBER(SEARCH('F-COMPRA'!$F$30,Tabla11[[#This Row],[Cuenta]],1))</f>
        <v>1</v>
      </c>
      <c r="L978" t="b">
        <f>+ISNUMBER(SEARCH('F-COMPRA'!$F$31,Tabla11[[#This Row],[Cuenta]],1))</f>
        <v>1</v>
      </c>
      <c r="M978" t="b">
        <f>+ISNUMBER(SEARCH('F-COMPRA'!$G$25,Tabla11[[#This Row],[Cuenta]],1))</f>
        <v>0</v>
      </c>
      <c r="N978" t="b">
        <f>+ISNUMBER(SEARCH(#REF!,Tabla11[[#This Row],[Cuenta]],1))</f>
        <v>0</v>
      </c>
      <c r="O978" t="b">
        <f>+ISNUMBER(SEARCH(#REF!,Tabla11[[#This Row],[Cuenta]],1))</f>
        <v>0</v>
      </c>
      <c r="P978" t="b">
        <f>+ISNUMBER(SEARCH('F-COMPRA'!$F$32,Tabla11[[#This Row],[Cuenta]],1))</f>
        <v>1</v>
      </c>
      <c r="Q978" t="b">
        <f>+ISNUMBER(SEARCH('F-COMPRA'!$F$33,Tabla11[[#This Row],[Cuenta]],1))</f>
        <v>1</v>
      </c>
      <c r="R978" t="b">
        <f>+ISNUMBER(SEARCH('F-COMPRA'!$F$34,Tabla11[[#This Row],[Cuenta]],1))</f>
        <v>1</v>
      </c>
      <c r="S978" t="b">
        <f>+ISNUMBER(SEARCH('F-COMPRA'!$F$35,Tabla11[[#This Row],[Cuenta]],1))</f>
        <v>1</v>
      </c>
      <c r="T978" t="b">
        <f>+ISNUMBER(SEARCH('F-COMPRA'!$F$36,Tabla11[[#This Row],[Cuenta]],1))</f>
        <v>1</v>
      </c>
      <c r="U978" t="b">
        <f>+ISNUMBER(SEARCH('F-COMPRA'!$F$37,Tabla11[[#This Row],[Cuenta]],1))</f>
        <v>1</v>
      </c>
      <c r="V978" t="b">
        <f>+ISNUMBER(SEARCH(#REF!,Tabla11[[#This Row],[Cuenta]],1))</f>
        <v>0</v>
      </c>
      <c r="W978" t="b">
        <f>+ISNUMBER(SEARCH('F-COMPRA'!#REF!,Tabla11[[#This Row],[Cuenta]],1))</f>
        <v>0</v>
      </c>
      <c r="X978" t="b">
        <f>+ISNUMBER(SEARCH('F-COMPRA'!#REF!,Tabla11[[#This Row],[Cuenta]],1))</f>
        <v>0</v>
      </c>
      <c r="Y978" t="b">
        <f>+ISNUMBER(SEARCH('F-COMPRA'!#REF!,Tabla11[[#This Row],[Cuenta]],1))</f>
        <v>0</v>
      </c>
      <c r="Z978" t="b">
        <f>+ISNUMBER(SEARCH('F-COMPRA'!#REF!,Tabla11[[#This Row],[Cuenta]],1))</f>
        <v>0</v>
      </c>
      <c r="AA978" t="b">
        <f>+ISNUMBER(SEARCH('F-COMPRA'!#REF!,Tabla11[[#This Row],[Cuenta]],1))</f>
        <v>0</v>
      </c>
      <c r="AB978" t="b">
        <f>+ISNUMBER(SEARCH('F-COMPRA'!#REF!,Tabla11[[#This Row],[Cuenta]],1))</f>
        <v>0</v>
      </c>
      <c r="AC978" t="b">
        <f>+ISNUMBER(SEARCH('F-COMPRA'!#REF!,Tabla11[[#This Row],[Cuenta]],1))</f>
        <v>0</v>
      </c>
      <c r="AD978" t="b">
        <f>+ISNUMBER(SEARCH('F-COMPRA'!#REF!,Tabla11[[#This Row],[Cuenta]],1))</f>
        <v>0</v>
      </c>
      <c r="AE978" t="b">
        <f>+ISNUMBER(SEARCH('F-COMPRA'!#REF!,Tabla11[[#This Row],[Cuenta]],1))</f>
        <v>0</v>
      </c>
      <c r="AF978" t="b">
        <f>+ISNUMBER(SEARCH('F-VTA'!$G$23,Tabla11[[#This Row],[Cuenta]],1))</f>
        <v>0</v>
      </c>
      <c r="AG978" t="b">
        <f>+ISNUMBER(SEARCH('F-VTA'!$G$24,Tabla11[[#This Row],[Cuenta]],1))</f>
        <v>0</v>
      </c>
      <c r="AH978" t="b">
        <f>+ISNUMBER(SEARCH('F-VTA'!$G$25,Tabla11[[#This Row],[Cuenta]],1))</f>
        <v>0</v>
      </c>
      <c r="AI978" t="b">
        <f>+ISNUMBER(SEARCH('F-VTA'!$F$28,Tabla11[[#This Row],[Cuenta]],1))</f>
        <v>1</v>
      </c>
      <c r="AJ978" t="b">
        <f>+ISNUMBER(SEARCH('F-VTA'!$F$29,Tabla11[[#This Row],[Cuenta]],1))</f>
        <v>1</v>
      </c>
      <c r="AK978" t="b">
        <f>+ISNUMBER(SEARCH('F-VTA'!$F$30,Tabla11[[#This Row],[Cuenta]],1))</f>
        <v>1</v>
      </c>
      <c r="AL978" t="b">
        <f>+ISNUMBER(SEARCH('F-VTA'!$F$31,Tabla11[[#This Row],[Cuenta]],1))</f>
        <v>1</v>
      </c>
      <c r="AM978" t="b">
        <f>+ISNUMBER(SEARCH('F-VTA'!$F$32,Tabla11[[#This Row],[Cuenta]],1))</f>
        <v>1</v>
      </c>
      <c r="AN978" t="b">
        <f>+ISNUMBER(SEARCH('F-VTA'!$F$33,Tabla11[[#This Row],[Cuenta]],1))</f>
        <v>1</v>
      </c>
      <c r="AO978" t="b">
        <f>+ISNUMBER(SEARCH('F-VTA'!$F$34,Tabla11[[#This Row],[Cuenta]],1))</f>
        <v>1</v>
      </c>
      <c r="AP978" t="b">
        <f>+ISNUMBER(SEARCH('F-VTA'!$F$35,Tabla11[[#This Row],[Cuenta]],1))</f>
        <v>1</v>
      </c>
      <c r="AQ978" t="b">
        <f>+ISNUMBER(SEARCH('F-VTA'!$F$36,Tabla11[[#This Row],[Cuenta]],1))</f>
        <v>1</v>
      </c>
      <c r="AR978" t="b">
        <f>+ISNUMBER(SEARCH(#REF!,Tabla11[[#This Row],[Cuenta]],1))</f>
        <v>0</v>
      </c>
      <c r="AS978" t="b">
        <f>+ISNUMBER(SEARCH(#REF!,Tabla11[[#This Row],[Cuenta]],1))</f>
        <v>0</v>
      </c>
      <c r="AT978" t="b">
        <f>+ISNUMBER(SEARCH(#REF!,Tabla11[[#This Row],[Cuenta]],1))</f>
        <v>0</v>
      </c>
      <c r="AU978" t="b">
        <f>+ISNUMBER(SEARCH('Conc. Ban.1'!$I$9,Tabla11[[#This Row],[Cuenta]],1))</f>
        <v>0</v>
      </c>
      <c r="AV978" t="b">
        <f>+ISNUMBER(SEARCH(CompConta!$F$21,Tabla11[[#This Row],[Cuenta]],1))</f>
        <v>1</v>
      </c>
      <c r="AW978" t="b">
        <f>+ISNUMBER(SEARCH(CompConta!$F$22,Tabla11[[#This Row],[Cuenta]],1))</f>
        <v>1</v>
      </c>
      <c r="AX978" t="b">
        <f>+ISNUMBER(SEARCH(CompConta!$F$23,Tabla11[[#This Row],[Cuenta]],1))</f>
        <v>1</v>
      </c>
      <c r="AY978" t="b">
        <f>+ISNUMBER(SEARCH(CompConta!$F$24,Tabla11[[#This Row],[Cuenta]],1))</f>
        <v>1</v>
      </c>
      <c r="AZ978" t="b">
        <f>+ISNUMBER(SEARCH(CompConta!$F$25,Tabla11[[#This Row],[Cuenta]],1))</f>
        <v>1</v>
      </c>
      <c r="BA978" t="b">
        <f>+ISNUMBER(SEARCH(CompConta!$F$26,Tabla11[[#This Row],[Cuenta]],1))</f>
        <v>1</v>
      </c>
      <c r="BB978" t="b">
        <f>+ISNUMBER(SEARCH(CompConta!$F$27,Tabla11[[#This Row],[Cuenta]],1))</f>
        <v>1</v>
      </c>
      <c r="BC978" t="b">
        <f>+ISNUMBER(SEARCH(CompConta!$F$28,Tabla11[[#This Row],[Cuenta]],1))</f>
        <v>1</v>
      </c>
      <c r="BD978" t="b">
        <f>+ISNUMBER(SEARCH(CompConta!$F$29,Tabla11[[#This Row],[Cuenta]],1))</f>
        <v>1</v>
      </c>
      <c r="BE978" t="b">
        <f>+ISNUMBER(SEARCH(CompConta!$F$30,Tabla11[[#This Row],[Cuenta]],1))</f>
        <v>1</v>
      </c>
      <c r="BF978" t="b">
        <f>+ISNUMBER(SEARCH('PAGO Compras'!$E$11,Tabla11[[#This Row],[Cuenta]],1))</f>
        <v>1</v>
      </c>
      <c r="BG978" t="b">
        <f>+ISNUMBER(SEARCH(#REF!,Tabla11[[#This Row],[Cuenta]],1))</f>
        <v>0</v>
      </c>
      <c r="BH978" t="b">
        <f>+ISNUMBER(SEARCH(#REF!,Tabla11[[#This Row],[Cuenta]],1))</f>
        <v>0</v>
      </c>
      <c r="BI978" t="b">
        <f>+ISNUMBER(SEARCH(#REF!,Tabla11[[#This Row],[Cuenta]],1))</f>
        <v>0</v>
      </c>
      <c r="BJ978" t="b">
        <f>+ISNUMBER(SEARCH(#REF!,Tabla11[[#This Row],[Cuenta]],1))</f>
        <v>0</v>
      </c>
      <c r="BS978" t="str">
        <v>5210 HONORARIOS</v>
      </c>
      <c r="BT978" t="str">
        <v>5210 HONORARIOS</v>
      </c>
      <c r="BU978" t="str">
        <v>5210 HONORARIOS</v>
      </c>
      <c r="BV978" t="str">
        <v>5210 HONORARIOS</v>
      </c>
      <c r="BZ978" t="str">
        <v>5210 HONORARIOS</v>
      </c>
      <c r="CA978" t="str">
        <v>5210 HONORARIOS</v>
      </c>
      <c r="CB978" t="str">
        <v>5210 HONORARIOS</v>
      </c>
      <c r="CC978" t="str">
        <v>5210 HONORARIOS</v>
      </c>
      <c r="CD978" t="str">
        <v>5210 HONORARIOS</v>
      </c>
      <c r="CE978" t="str">
        <v>5210 HONORARIOS</v>
      </c>
      <c r="CS978" s="141" t="str">
        <v>5210 HONORARIOS</v>
      </c>
      <c r="CT978" s="141" t="str">
        <v>5210 HONORARIOS</v>
      </c>
      <c r="CU978" s="141" t="str">
        <v>5210 HONORARIOS</v>
      </c>
      <c r="CV978" s="141" t="str">
        <v>5210 HONORARIOS</v>
      </c>
      <c r="CW978" s="141" t="str">
        <v>5210 HONORARIOS</v>
      </c>
      <c r="CX978" s="141" t="str">
        <v>5210 HONORARIOS</v>
      </c>
      <c r="CY978" s="141" t="str">
        <v>5210 HONORARIOS</v>
      </c>
      <c r="CZ978" s="141" t="str">
        <v>5210 HONORARIOS</v>
      </c>
      <c r="DA978" s="141" t="str">
        <v>5210 HONORARIOS</v>
      </c>
      <c r="DF978" t="str">
        <v>5210 HONORARIOS</v>
      </c>
      <c r="DG978" t="str">
        <v>5210 HONORARIOS</v>
      </c>
      <c r="DH978" t="str">
        <v>5210 HONORARIOS</v>
      </c>
      <c r="DI978" t="str">
        <v>5210 HONORARIOS</v>
      </c>
      <c r="DJ978" t="str">
        <v>5210 HONORARIOS</v>
      </c>
      <c r="DK978" t="str">
        <v>5210 HONORARIOS</v>
      </c>
      <c r="DL978" t="str">
        <v>5210 HONORARIOS</v>
      </c>
      <c r="DM978" t="str">
        <v>5210 HONORARIOS</v>
      </c>
      <c r="DN978" t="str">
        <v>5210 HONORARIOS</v>
      </c>
      <c r="DO978" t="str">
        <v>5210 HONORARIOS</v>
      </c>
      <c r="DP978" t="str">
        <v>5210 HONORARIOS</v>
      </c>
    </row>
    <row r="979" spans="4:120" ht="12.75">
      <c r="D979" s="7">
        <v>521005</v>
      </c>
      <c r="E979" s="6" t="s">
        <v>555</v>
      </c>
      <c r="F979" s="5">
        <v>4</v>
      </c>
      <c r="G979" s="34" t="s">
        <v>830</v>
      </c>
      <c r="H979" s="8" t="s">
        <v>32</v>
      </c>
      <c r="I979" t="b">
        <f>+ISNUMBER(SEARCH('F-COMPRA'!$F$28,Tabla11[[#This Row],[Cuenta]],1))</f>
        <v>1</v>
      </c>
      <c r="J979" t="b">
        <f>+ISNUMBER(SEARCH('F-COMPRA'!$F$29,Tabla11[[#This Row],[Cuenta]],1))</f>
        <v>1</v>
      </c>
      <c r="K979" t="b">
        <f>+ISNUMBER(SEARCH('F-COMPRA'!$F$30,Tabla11[[#This Row],[Cuenta]],1))</f>
        <v>1</v>
      </c>
      <c r="L979" t="b">
        <f>+ISNUMBER(SEARCH('F-COMPRA'!$F$31,Tabla11[[#This Row],[Cuenta]],1))</f>
        <v>1</v>
      </c>
      <c r="M979" t="b">
        <f>+ISNUMBER(SEARCH('F-COMPRA'!$G$25,Tabla11[[#This Row],[Cuenta]],1))</f>
        <v>0</v>
      </c>
      <c r="N979" t="b">
        <f>+ISNUMBER(SEARCH(#REF!,Tabla11[[#This Row],[Cuenta]],1))</f>
        <v>0</v>
      </c>
      <c r="O979" t="b">
        <f>+ISNUMBER(SEARCH(#REF!,Tabla11[[#This Row],[Cuenta]],1))</f>
        <v>0</v>
      </c>
      <c r="P979" t="b">
        <f>+ISNUMBER(SEARCH('F-COMPRA'!$F$32,Tabla11[[#This Row],[Cuenta]],1))</f>
        <v>1</v>
      </c>
      <c r="Q979" t="b">
        <f>+ISNUMBER(SEARCH('F-COMPRA'!$F$33,Tabla11[[#This Row],[Cuenta]],1))</f>
        <v>1</v>
      </c>
      <c r="R979" t="b">
        <f>+ISNUMBER(SEARCH('F-COMPRA'!$F$34,Tabla11[[#This Row],[Cuenta]],1))</f>
        <v>1</v>
      </c>
      <c r="S979" t="b">
        <f>+ISNUMBER(SEARCH('F-COMPRA'!$F$35,Tabla11[[#This Row],[Cuenta]],1))</f>
        <v>1</v>
      </c>
      <c r="T979" t="b">
        <f>+ISNUMBER(SEARCH('F-COMPRA'!$F$36,Tabla11[[#This Row],[Cuenta]],1))</f>
        <v>1</v>
      </c>
      <c r="U979" t="b">
        <f>+ISNUMBER(SEARCH('F-COMPRA'!$F$37,Tabla11[[#This Row],[Cuenta]],1))</f>
        <v>1</v>
      </c>
      <c r="V979" t="b">
        <f>+ISNUMBER(SEARCH(#REF!,Tabla11[[#This Row],[Cuenta]],1))</f>
        <v>0</v>
      </c>
      <c r="W979" t="b">
        <f>+ISNUMBER(SEARCH('F-COMPRA'!#REF!,Tabla11[[#This Row],[Cuenta]],1))</f>
        <v>0</v>
      </c>
      <c r="X979" t="b">
        <f>+ISNUMBER(SEARCH('F-COMPRA'!#REF!,Tabla11[[#This Row],[Cuenta]],1))</f>
        <v>0</v>
      </c>
      <c r="Y979" t="b">
        <f>+ISNUMBER(SEARCH('F-COMPRA'!#REF!,Tabla11[[#This Row],[Cuenta]],1))</f>
        <v>0</v>
      </c>
      <c r="Z979" t="b">
        <f>+ISNUMBER(SEARCH('F-COMPRA'!#REF!,Tabla11[[#This Row],[Cuenta]],1))</f>
        <v>0</v>
      </c>
      <c r="AA979" t="b">
        <f>+ISNUMBER(SEARCH('F-COMPRA'!#REF!,Tabla11[[#This Row],[Cuenta]],1))</f>
        <v>0</v>
      </c>
      <c r="AB979" t="b">
        <f>+ISNUMBER(SEARCH('F-COMPRA'!#REF!,Tabla11[[#This Row],[Cuenta]],1))</f>
        <v>0</v>
      </c>
      <c r="AC979" t="b">
        <f>+ISNUMBER(SEARCH('F-COMPRA'!#REF!,Tabla11[[#This Row],[Cuenta]],1))</f>
        <v>0</v>
      </c>
      <c r="AD979" t="b">
        <f>+ISNUMBER(SEARCH('F-COMPRA'!#REF!,Tabla11[[#This Row],[Cuenta]],1))</f>
        <v>0</v>
      </c>
      <c r="AE979" t="b">
        <f>+ISNUMBER(SEARCH('F-COMPRA'!#REF!,Tabla11[[#This Row],[Cuenta]],1))</f>
        <v>0</v>
      </c>
      <c r="AF979" t="b">
        <f>+ISNUMBER(SEARCH('F-VTA'!$G$23,Tabla11[[#This Row],[Cuenta]],1))</f>
        <v>0</v>
      </c>
      <c r="AG979" t="b">
        <f>+ISNUMBER(SEARCH('F-VTA'!$G$24,Tabla11[[#This Row],[Cuenta]],1))</f>
        <v>0</v>
      </c>
      <c r="AH979" t="b">
        <f>+ISNUMBER(SEARCH('F-VTA'!$G$25,Tabla11[[#This Row],[Cuenta]],1))</f>
        <v>0</v>
      </c>
      <c r="AI979" t="b">
        <f>+ISNUMBER(SEARCH('F-VTA'!$F$28,Tabla11[[#This Row],[Cuenta]],1))</f>
        <v>1</v>
      </c>
      <c r="AJ979" t="b">
        <f>+ISNUMBER(SEARCH('F-VTA'!$F$29,Tabla11[[#This Row],[Cuenta]],1))</f>
        <v>1</v>
      </c>
      <c r="AK979" t="b">
        <f>+ISNUMBER(SEARCH('F-VTA'!$F$30,Tabla11[[#This Row],[Cuenta]],1))</f>
        <v>1</v>
      </c>
      <c r="AL979" t="b">
        <f>+ISNUMBER(SEARCH('F-VTA'!$F$31,Tabla11[[#This Row],[Cuenta]],1))</f>
        <v>1</v>
      </c>
      <c r="AM979" t="b">
        <f>+ISNUMBER(SEARCH('F-VTA'!$F$32,Tabla11[[#This Row],[Cuenta]],1))</f>
        <v>1</v>
      </c>
      <c r="AN979" t="b">
        <f>+ISNUMBER(SEARCH('F-VTA'!$F$33,Tabla11[[#This Row],[Cuenta]],1))</f>
        <v>1</v>
      </c>
      <c r="AO979" t="b">
        <f>+ISNUMBER(SEARCH('F-VTA'!$F$34,Tabla11[[#This Row],[Cuenta]],1))</f>
        <v>1</v>
      </c>
      <c r="AP979" t="b">
        <f>+ISNUMBER(SEARCH('F-VTA'!$F$35,Tabla11[[#This Row],[Cuenta]],1))</f>
        <v>1</v>
      </c>
      <c r="AQ979" t="b">
        <f>+ISNUMBER(SEARCH('F-VTA'!$F$36,Tabla11[[#This Row],[Cuenta]],1))</f>
        <v>1</v>
      </c>
      <c r="AR979" t="b">
        <f>+ISNUMBER(SEARCH(#REF!,Tabla11[[#This Row],[Cuenta]],1))</f>
        <v>0</v>
      </c>
      <c r="AS979" t="b">
        <f>+ISNUMBER(SEARCH(#REF!,Tabla11[[#This Row],[Cuenta]],1))</f>
        <v>0</v>
      </c>
      <c r="AT979" t="b">
        <f>+ISNUMBER(SEARCH(#REF!,Tabla11[[#This Row],[Cuenta]],1))</f>
        <v>0</v>
      </c>
      <c r="AU979" t="b">
        <f>+ISNUMBER(SEARCH('Conc. Ban.1'!$I$9,Tabla11[[#This Row],[Cuenta]],1))</f>
        <v>0</v>
      </c>
      <c r="AV979" t="b">
        <f>+ISNUMBER(SEARCH(CompConta!$F$21,Tabla11[[#This Row],[Cuenta]],1))</f>
        <v>1</v>
      </c>
      <c r="AW979" t="b">
        <f>+ISNUMBER(SEARCH(CompConta!$F$22,Tabla11[[#This Row],[Cuenta]],1))</f>
        <v>1</v>
      </c>
      <c r="AX979" t="b">
        <f>+ISNUMBER(SEARCH(CompConta!$F$23,Tabla11[[#This Row],[Cuenta]],1))</f>
        <v>1</v>
      </c>
      <c r="AY979" t="b">
        <f>+ISNUMBER(SEARCH(CompConta!$F$24,Tabla11[[#This Row],[Cuenta]],1))</f>
        <v>1</v>
      </c>
      <c r="AZ979" t="b">
        <f>+ISNUMBER(SEARCH(CompConta!$F$25,Tabla11[[#This Row],[Cuenta]],1))</f>
        <v>1</v>
      </c>
      <c r="BA979" t="b">
        <f>+ISNUMBER(SEARCH(CompConta!$F$26,Tabla11[[#This Row],[Cuenta]],1))</f>
        <v>1</v>
      </c>
      <c r="BB979" t="b">
        <f>+ISNUMBER(SEARCH(CompConta!$F$27,Tabla11[[#This Row],[Cuenta]],1))</f>
        <v>1</v>
      </c>
      <c r="BC979" t="b">
        <f>+ISNUMBER(SEARCH(CompConta!$F$28,Tabla11[[#This Row],[Cuenta]],1))</f>
        <v>1</v>
      </c>
      <c r="BD979" t="b">
        <f>+ISNUMBER(SEARCH(CompConta!$F$29,Tabla11[[#This Row],[Cuenta]],1))</f>
        <v>1</v>
      </c>
      <c r="BE979" t="b">
        <f>+ISNUMBER(SEARCH(CompConta!$F$30,Tabla11[[#This Row],[Cuenta]],1))</f>
        <v>1</v>
      </c>
      <c r="BF979" t="b">
        <f>+ISNUMBER(SEARCH('PAGO Compras'!$E$11,Tabla11[[#This Row],[Cuenta]],1))</f>
        <v>1</v>
      </c>
      <c r="BG979" t="b">
        <f>+ISNUMBER(SEARCH(#REF!,Tabla11[[#This Row],[Cuenta]],1))</f>
        <v>0</v>
      </c>
      <c r="BH979" t="b">
        <f>+ISNUMBER(SEARCH(#REF!,Tabla11[[#This Row],[Cuenta]],1))</f>
        <v>0</v>
      </c>
      <c r="BI979" t="b">
        <f>+ISNUMBER(SEARCH(#REF!,Tabla11[[#This Row],[Cuenta]],1))</f>
        <v>0</v>
      </c>
      <c r="BJ979" t="b">
        <f>+ISNUMBER(SEARCH(#REF!,Tabla11[[#This Row],[Cuenta]],1))</f>
        <v>0</v>
      </c>
      <c r="BS979" t="str">
        <v>521005 Junta directiva</v>
      </c>
      <c r="BT979" t="str">
        <v>521005 Junta directiva</v>
      </c>
      <c r="BU979" t="str">
        <v>521005 Junta directiva</v>
      </c>
      <c r="BV979" t="str">
        <v>521005 Junta directiva</v>
      </c>
      <c r="BZ979" t="str">
        <v>521005 Junta directiva</v>
      </c>
      <c r="CA979" t="str">
        <v>521005 Junta directiva</v>
      </c>
      <c r="CB979" t="str">
        <v>521005 Junta directiva</v>
      </c>
      <c r="CC979" t="str">
        <v>521005 Junta directiva</v>
      </c>
      <c r="CD979" t="str">
        <v>521005 Junta directiva</v>
      </c>
      <c r="CE979" t="str">
        <v>521005 Junta directiva</v>
      </c>
      <c r="CS979" s="141" t="str">
        <v>521005 Junta directiva</v>
      </c>
      <c r="CT979" s="141" t="str">
        <v>521005 Junta directiva</v>
      </c>
      <c r="CU979" s="141" t="str">
        <v>521005 Junta directiva</v>
      </c>
      <c r="CV979" s="141" t="str">
        <v>521005 Junta directiva</v>
      </c>
      <c r="CW979" s="141" t="str">
        <v>521005 Junta directiva</v>
      </c>
      <c r="CX979" s="141" t="str">
        <v>521005 Junta directiva</v>
      </c>
      <c r="CY979" s="141" t="str">
        <v>521005 Junta directiva</v>
      </c>
      <c r="CZ979" s="141" t="str">
        <v>521005 Junta directiva</v>
      </c>
      <c r="DA979" s="141" t="str">
        <v>521005 Junta directiva</v>
      </c>
      <c r="DF979" t="str">
        <v>521005 Junta directiva</v>
      </c>
      <c r="DG979" t="str">
        <v>521005 Junta directiva</v>
      </c>
      <c r="DH979" t="str">
        <v>521005 Junta directiva</v>
      </c>
      <c r="DI979" t="str">
        <v>521005 Junta directiva</v>
      </c>
      <c r="DJ979" t="str">
        <v>521005 Junta directiva</v>
      </c>
      <c r="DK979" t="str">
        <v>521005 Junta directiva</v>
      </c>
      <c r="DL979" t="str">
        <v>521005 Junta directiva</v>
      </c>
      <c r="DM979" t="str">
        <v>521005 Junta directiva</v>
      </c>
      <c r="DN979" t="str">
        <v>521005 Junta directiva</v>
      </c>
      <c r="DO979" t="str">
        <v>521005 Junta directiva</v>
      </c>
      <c r="DP979" t="str">
        <v>521005 Junta directiva</v>
      </c>
    </row>
    <row r="980" spans="4:120" ht="12.75">
      <c r="D980" s="7">
        <v>521010</v>
      </c>
      <c r="E980" s="6" t="s">
        <v>556</v>
      </c>
      <c r="F980" s="5">
        <v>4</v>
      </c>
      <c r="G980" s="34" t="s">
        <v>830</v>
      </c>
      <c r="H980" s="8" t="s">
        <v>32</v>
      </c>
      <c r="I980" t="b">
        <f>+ISNUMBER(SEARCH('F-COMPRA'!$F$28,Tabla11[[#This Row],[Cuenta]],1))</f>
        <v>1</v>
      </c>
      <c r="J980" t="b">
        <f>+ISNUMBER(SEARCH('F-COMPRA'!$F$29,Tabla11[[#This Row],[Cuenta]],1))</f>
        <v>1</v>
      </c>
      <c r="K980" t="b">
        <f>+ISNUMBER(SEARCH('F-COMPRA'!$F$30,Tabla11[[#This Row],[Cuenta]],1))</f>
        <v>1</v>
      </c>
      <c r="L980" t="b">
        <f>+ISNUMBER(SEARCH('F-COMPRA'!$F$31,Tabla11[[#This Row],[Cuenta]],1))</f>
        <v>1</v>
      </c>
      <c r="M980" t="b">
        <f>+ISNUMBER(SEARCH('F-COMPRA'!$G$25,Tabla11[[#This Row],[Cuenta]],1))</f>
        <v>0</v>
      </c>
      <c r="N980" t="b">
        <f>+ISNUMBER(SEARCH(#REF!,Tabla11[[#This Row],[Cuenta]],1))</f>
        <v>0</v>
      </c>
      <c r="O980" t="b">
        <f>+ISNUMBER(SEARCH(#REF!,Tabla11[[#This Row],[Cuenta]],1))</f>
        <v>0</v>
      </c>
      <c r="P980" t="b">
        <f>+ISNUMBER(SEARCH('F-COMPRA'!$F$32,Tabla11[[#This Row],[Cuenta]],1))</f>
        <v>1</v>
      </c>
      <c r="Q980" t="b">
        <f>+ISNUMBER(SEARCH('F-COMPRA'!$F$33,Tabla11[[#This Row],[Cuenta]],1))</f>
        <v>1</v>
      </c>
      <c r="R980" t="b">
        <f>+ISNUMBER(SEARCH('F-COMPRA'!$F$34,Tabla11[[#This Row],[Cuenta]],1))</f>
        <v>1</v>
      </c>
      <c r="S980" t="b">
        <f>+ISNUMBER(SEARCH('F-COMPRA'!$F$35,Tabla11[[#This Row],[Cuenta]],1))</f>
        <v>1</v>
      </c>
      <c r="T980" t="b">
        <f>+ISNUMBER(SEARCH('F-COMPRA'!$F$36,Tabla11[[#This Row],[Cuenta]],1))</f>
        <v>1</v>
      </c>
      <c r="U980" t="b">
        <f>+ISNUMBER(SEARCH('F-COMPRA'!$F$37,Tabla11[[#This Row],[Cuenta]],1))</f>
        <v>1</v>
      </c>
      <c r="V980" t="b">
        <f>+ISNUMBER(SEARCH(#REF!,Tabla11[[#This Row],[Cuenta]],1))</f>
        <v>0</v>
      </c>
      <c r="W980" t="b">
        <f>+ISNUMBER(SEARCH('F-COMPRA'!#REF!,Tabla11[[#This Row],[Cuenta]],1))</f>
        <v>0</v>
      </c>
      <c r="X980" t="b">
        <f>+ISNUMBER(SEARCH('F-COMPRA'!#REF!,Tabla11[[#This Row],[Cuenta]],1))</f>
        <v>0</v>
      </c>
      <c r="Y980" t="b">
        <f>+ISNUMBER(SEARCH('F-COMPRA'!#REF!,Tabla11[[#This Row],[Cuenta]],1))</f>
        <v>0</v>
      </c>
      <c r="Z980" t="b">
        <f>+ISNUMBER(SEARCH('F-COMPRA'!#REF!,Tabla11[[#This Row],[Cuenta]],1))</f>
        <v>0</v>
      </c>
      <c r="AA980" t="b">
        <f>+ISNUMBER(SEARCH('F-COMPRA'!#REF!,Tabla11[[#This Row],[Cuenta]],1))</f>
        <v>0</v>
      </c>
      <c r="AB980" t="b">
        <f>+ISNUMBER(SEARCH('F-COMPRA'!#REF!,Tabla11[[#This Row],[Cuenta]],1))</f>
        <v>0</v>
      </c>
      <c r="AC980" t="b">
        <f>+ISNUMBER(SEARCH('F-COMPRA'!#REF!,Tabla11[[#This Row],[Cuenta]],1))</f>
        <v>0</v>
      </c>
      <c r="AD980" t="b">
        <f>+ISNUMBER(SEARCH('F-COMPRA'!#REF!,Tabla11[[#This Row],[Cuenta]],1))</f>
        <v>0</v>
      </c>
      <c r="AE980" t="b">
        <f>+ISNUMBER(SEARCH('F-COMPRA'!#REF!,Tabla11[[#This Row],[Cuenta]],1))</f>
        <v>0</v>
      </c>
      <c r="AF980" t="b">
        <f>+ISNUMBER(SEARCH('F-VTA'!$G$23,Tabla11[[#This Row],[Cuenta]],1))</f>
        <v>0</v>
      </c>
      <c r="AG980" t="b">
        <f>+ISNUMBER(SEARCH('F-VTA'!$G$24,Tabla11[[#This Row],[Cuenta]],1))</f>
        <v>0</v>
      </c>
      <c r="AH980" t="b">
        <f>+ISNUMBER(SEARCH('F-VTA'!$G$25,Tabla11[[#This Row],[Cuenta]],1))</f>
        <v>0</v>
      </c>
      <c r="AI980" t="b">
        <f>+ISNUMBER(SEARCH('F-VTA'!$F$28,Tabla11[[#This Row],[Cuenta]],1))</f>
        <v>1</v>
      </c>
      <c r="AJ980" t="b">
        <f>+ISNUMBER(SEARCH('F-VTA'!$F$29,Tabla11[[#This Row],[Cuenta]],1))</f>
        <v>1</v>
      </c>
      <c r="AK980" t="b">
        <f>+ISNUMBER(SEARCH('F-VTA'!$F$30,Tabla11[[#This Row],[Cuenta]],1))</f>
        <v>1</v>
      </c>
      <c r="AL980" t="b">
        <f>+ISNUMBER(SEARCH('F-VTA'!$F$31,Tabla11[[#This Row],[Cuenta]],1))</f>
        <v>1</v>
      </c>
      <c r="AM980" t="b">
        <f>+ISNUMBER(SEARCH('F-VTA'!$F$32,Tabla11[[#This Row],[Cuenta]],1))</f>
        <v>1</v>
      </c>
      <c r="AN980" t="b">
        <f>+ISNUMBER(SEARCH('F-VTA'!$F$33,Tabla11[[#This Row],[Cuenta]],1))</f>
        <v>1</v>
      </c>
      <c r="AO980" t="b">
        <f>+ISNUMBER(SEARCH('F-VTA'!$F$34,Tabla11[[#This Row],[Cuenta]],1))</f>
        <v>1</v>
      </c>
      <c r="AP980" t="b">
        <f>+ISNUMBER(SEARCH('F-VTA'!$F$35,Tabla11[[#This Row],[Cuenta]],1))</f>
        <v>1</v>
      </c>
      <c r="AQ980" t="b">
        <f>+ISNUMBER(SEARCH('F-VTA'!$F$36,Tabla11[[#This Row],[Cuenta]],1))</f>
        <v>1</v>
      </c>
      <c r="AR980" t="b">
        <f>+ISNUMBER(SEARCH(#REF!,Tabla11[[#This Row],[Cuenta]],1))</f>
        <v>0</v>
      </c>
      <c r="AS980" t="b">
        <f>+ISNUMBER(SEARCH(#REF!,Tabla11[[#This Row],[Cuenta]],1))</f>
        <v>0</v>
      </c>
      <c r="AT980" t="b">
        <f>+ISNUMBER(SEARCH(#REF!,Tabla11[[#This Row],[Cuenta]],1))</f>
        <v>0</v>
      </c>
      <c r="AU980" t="b">
        <f>+ISNUMBER(SEARCH('Conc. Ban.1'!$I$9,Tabla11[[#This Row],[Cuenta]],1))</f>
        <v>0</v>
      </c>
      <c r="AV980" t="b">
        <f>+ISNUMBER(SEARCH(CompConta!$F$21,Tabla11[[#This Row],[Cuenta]],1))</f>
        <v>1</v>
      </c>
      <c r="AW980" t="b">
        <f>+ISNUMBER(SEARCH(CompConta!$F$22,Tabla11[[#This Row],[Cuenta]],1))</f>
        <v>1</v>
      </c>
      <c r="AX980" t="b">
        <f>+ISNUMBER(SEARCH(CompConta!$F$23,Tabla11[[#This Row],[Cuenta]],1))</f>
        <v>1</v>
      </c>
      <c r="AY980" t="b">
        <f>+ISNUMBER(SEARCH(CompConta!$F$24,Tabla11[[#This Row],[Cuenta]],1))</f>
        <v>1</v>
      </c>
      <c r="AZ980" t="b">
        <f>+ISNUMBER(SEARCH(CompConta!$F$25,Tabla11[[#This Row],[Cuenta]],1))</f>
        <v>1</v>
      </c>
      <c r="BA980" t="b">
        <f>+ISNUMBER(SEARCH(CompConta!$F$26,Tabla11[[#This Row],[Cuenta]],1))</f>
        <v>1</v>
      </c>
      <c r="BB980" t="b">
        <f>+ISNUMBER(SEARCH(CompConta!$F$27,Tabla11[[#This Row],[Cuenta]],1))</f>
        <v>1</v>
      </c>
      <c r="BC980" t="b">
        <f>+ISNUMBER(SEARCH(CompConta!$F$28,Tabla11[[#This Row],[Cuenta]],1))</f>
        <v>1</v>
      </c>
      <c r="BD980" t="b">
        <f>+ISNUMBER(SEARCH(CompConta!$F$29,Tabla11[[#This Row],[Cuenta]],1))</f>
        <v>1</v>
      </c>
      <c r="BE980" t="b">
        <f>+ISNUMBER(SEARCH(CompConta!$F$30,Tabla11[[#This Row],[Cuenta]],1))</f>
        <v>1</v>
      </c>
      <c r="BF980" t="b">
        <f>+ISNUMBER(SEARCH('PAGO Compras'!$E$11,Tabla11[[#This Row],[Cuenta]],1))</f>
        <v>1</v>
      </c>
      <c r="BG980" t="b">
        <f>+ISNUMBER(SEARCH(#REF!,Tabla11[[#This Row],[Cuenta]],1))</f>
        <v>0</v>
      </c>
      <c r="BH980" t="b">
        <f>+ISNUMBER(SEARCH(#REF!,Tabla11[[#This Row],[Cuenta]],1))</f>
        <v>0</v>
      </c>
      <c r="BI980" t="b">
        <f>+ISNUMBER(SEARCH(#REF!,Tabla11[[#This Row],[Cuenta]],1))</f>
        <v>0</v>
      </c>
      <c r="BJ980" t="b">
        <f>+ISNUMBER(SEARCH(#REF!,Tabla11[[#This Row],[Cuenta]],1))</f>
        <v>0</v>
      </c>
      <c r="BS980" t="str">
        <v>521010 Revisoría fiscal</v>
      </c>
      <c r="BT980" t="str">
        <v>521010 Revisoría fiscal</v>
      </c>
      <c r="BU980" t="str">
        <v>521010 Revisoría fiscal</v>
      </c>
      <c r="BV980" t="str">
        <v>521010 Revisoría fiscal</v>
      </c>
      <c r="BZ980" t="str">
        <v>521010 Revisoría fiscal</v>
      </c>
      <c r="CA980" t="str">
        <v>521010 Revisoría fiscal</v>
      </c>
      <c r="CB980" t="str">
        <v>521010 Revisoría fiscal</v>
      </c>
      <c r="CC980" t="str">
        <v>521010 Revisoría fiscal</v>
      </c>
      <c r="CD980" t="str">
        <v>521010 Revisoría fiscal</v>
      </c>
      <c r="CE980" t="str">
        <v>521010 Revisoría fiscal</v>
      </c>
      <c r="CS980" s="141" t="str">
        <v>521010 Revisoría fiscal</v>
      </c>
      <c r="CT980" s="141" t="str">
        <v>521010 Revisoría fiscal</v>
      </c>
      <c r="CU980" s="141" t="str">
        <v>521010 Revisoría fiscal</v>
      </c>
      <c r="CV980" s="141" t="str">
        <v>521010 Revisoría fiscal</v>
      </c>
      <c r="CW980" s="141" t="str">
        <v>521010 Revisoría fiscal</v>
      </c>
      <c r="CX980" s="141" t="str">
        <v>521010 Revisoría fiscal</v>
      </c>
      <c r="CY980" s="141" t="str">
        <v>521010 Revisoría fiscal</v>
      </c>
      <c r="CZ980" s="141" t="str">
        <v>521010 Revisoría fiscal</v>
      </c>
      <c r="DA980" s="141" t="str">
        <v>521010 Revisoría fiscal</v>
      </c>
      <c r="DF980" t="str">
        <v>521010 Revisoría fiscal</v>
      </c>
      <c r="DG980" t="str">
        <v>521010 Revisoría fiscal</v>
      </c>
      <c r="DH980" t="str">
        <v>521010 Revisoría fiscal</v>
      </c>
      <c r="DI980" t="str">
        <v>521010 Revisoría fiscal</v>
      </c>
      <c r="DJ980" t="str">
        <v>521010 Revisoría fiscal</v>
      </c>
      <c r="DK980" t="str">
        <v>521010 Revisoría fiscal</v>
      </c>
      <c r="DL980" t="str">
        <v>521010 Revisoría fiscal</v>
      </c>
      <c r="DM980" t="str">
        <v>521010 Revisoría fiscal</v>
      </c>
      <c r="DN980" t="str">
        <v>521010 Revisoría fiscal</v>
      </c>
      <c r="DO980" t="str">
        <v>521010 Revisoría fiscal</v>
      </c>
      <c r="DP980" t="str">
        <v>521010 Revisoría fiscal</v>
      </c>
    </row>
    <row r="981" spans="4:120" ht="12.75">
      <c r="D981" s="7">
        <v>521015</v>
      </c>
      <c r="E981" s="6" t="s">
        <v>623</v>
      </c>
      <c r="F981" s="5">
        <v>4</v>
      </c>
      <c r="G981" s="34" t="s">
        <v>830</v>
      </c>
      <c r="H981" s="8" t="s">
        <v>32</v>
      </c>
      <c r="I981" t="b">
        <f>+ISNUMBER(SEARCH('F-COMPRA'!$F$28,Tabla11[[#This Row],[Cuenta]],1))</f>
        <v>1</v>
      </c>
      <c r="J981" t="b">
        <f>+ISNUMBER(SEARCH('F-COMPRA'!$F$29,Tabla11[[#This Row],[Cuenta]],1))</f>
        <v>1</v>
      </c>
      <c r="K981" t="b">
        <f>+ISNUMBER(SEARCH('F-COMPRA'!$F$30,Tabla11[[#This Row],[Cuenta]],1))</f>
        <v>1</v>
      </c>
      <c r="L981" t="b">
        <f>+ISNUMBER(SEARCH('F-COMPRA'!$F$31,Tabla11[[#This Row],[Cuenta]],1))</f>
        <v>1</v>
      </c>
      <c r="M981" t="b">
        <f>+ISNUMBER(SEARCH('F-COMPRA'!$G$25,Tabla11[[#This Row],[Cuenta]],1))</f>
        <v>0</v>
      </c>
      <c r="N981" t="b">
        <f>+ISNUMBER(SEARCH(#REF!,Tabla11[[#This Row],[Cuenta]],1))</f>
        <v>0</v>
      </c>
      <c r="O981" t="b">
        <f>+ISNUMBER(SEARCH(#REF!,Tabla11[[#This Row],[Cuenta]],1))</f>
        <v>0</v>
      </c>
      <c r="P981" t="b">
        <f>+ISNUMBER(SEARCH('F-COMPRA'!$F$32,Tabla11[[#This Row],[Cuenta]],1))</f>
        <v>1</v>
      </c>
      <c r="Q981" t="b">
        <f>+ISNUMBER(SEARCH('F-COMPRA'!$F$33,Tabla11[[#This Row],[Cuenta]],1))</f>
        <v>1</v>
      </c>
      <c r="R981" t="b">
        <f>+ISNUMBER(SEARCH('F-COMPRA'!$F$34,Tabla11[[#This Row],[Cuenta]],1))</f>
        <v>1</v>
      </c>
      <c r="S981" t="b">
        <f>+ISNUMBER(SEARCH('F-COMPRA'!$F$35,Tabla11[[#This Row],[Cuenta]],1))</f>
        <v>1</v>
      </c>
      <c r="T981" t="b">
        <f>+ISNUMBER(SEARCH('F-COMPRA'!$F$36,Tabla11[[#This Row],[Cuenta]],1))</f>
        <v>1</v>
      </c>
      <c r="U981" t="b">
        <f>+ISNUMBER(SEARCH('F-COMPRA'!$F$37,Tabla11[[#This Row],[Cuenta]],1))</f>
        <v>1</v>
      </c>
      <c r="V981" t="b">
        <f>+ISNUMBER(SEARCH(#REF!,Tabla11[[#This Row],[Cuenta]],1))</f>
        <v>0</v>
      </c>
      <c r="W981" t="b">
        <f>+ISNUMBER(SEARCH('F-COMPRA'!#REF!,Tabla11[[#This Row],[Cuenta]],1))</f>
        <v>0</v>
      </c>
      <c r="X981" t="b">
        <f>+ISNUMBER(SEARCH('F-COMPRA'!#REF!,Tabla11[[#This Row],[Cuenta]],1))</f>
        <v>0</v>
      </c>
      <c r="Y981" t="b">
        <f>+ISNUMBER(SEARCH('F-COMPRA'!#REF!,Tabla11[[#This Row],[Cuenta]],1))</f>
        <v>0</v>
      </c>
      <c r="Z981" t="b">
        <f>+ISNUMBER(SEARCH('F-COMPRA'!#REF!,Tabla11[[#This Row],[Cuenta]],1))</f>
        <v>0</v>
      </c>
      <c r="AA981" t="b">
        <f>+ISNUMBER(SEARCH('F-COMPRA'!#REF!,Tabla11[[#This Row],[Cuenta]],1))</f>
        <v>0</v>
      </c>
      <c r="AB981" t="b">
        <f>+ISNUMBER(SEARCH('F-COMPRA'!#REF!,Tabla11[[#This Row],[Cuenta]],1))</f>
        <v>0</v>
      </c>
      <c r="AC981" t="b">
        <f>+ISNUMBER(SEARCH('F-COMPRA'!#REF!,Tabla11[[#This Row],[Cuenta]],1))</f>
        <v>0</v>
      </c>
      <c r="AD981" t="b">
        <f>+ISNUMBER(SEARCH('F-COMPRA'!#REF!,Tabla11[[#This Row],[Cuenta]],1))</f>
        <v>0</v>
      </c>
      <c r="AE981" t="b">
        <f>+ISNUMBER(SEARCH('F-COMPRA'!#REF!,Tabla11[[#This Row],[Cuenta]],1))</f>
        <v>0</v>
      </c>
      <c r="AF981" t="b">
        <f>+ISNUMBER(SEARCH('F-VTA'!$G$23,Tabla11[[#This Row],[Cuenta]],1))</f>
        <v>0</v>
      </c>
      <c r="AG981" t="b">
        <f>+ISNUMBER(SEARCH('F-VTA'!$G$24,Tabla11[[#This Row],[Cuenta]],1))</f>
        <v>0</v>
      </c>
      <c r="AH981" t="b">
        <f>+ISNUMBER(SEARCH('F-VTA'!$G$25,Tabla11[[#This Row],[Cuenta]],1))</f>
        <v>0</v>
      </c>
      <c r="AI981" t="b">
        <f>+ISNUMBER(SEARCH('F-VTA'!$F$28,Tabla11[[#This Row],[Cuenta]],1))</f>
        <v>1</v>
      </c>
      <c r="AJ981" t="b">
        <f>+ISNUMBER(SEARCH('F-VTA'!$F$29,Tabla11[[#This Row],[Cuenta]],1))</f>
        <v>1</v>
      </c>
      <c r="AK981" t="b">
        <f>+ISNUMBER(SEARCH('F-VTA'!$F$30,Tabla11[[#This Row],[Cuenta]],1))</f>
        <v>1</v>
      </c>
      <c r="AL981" t="b">
        <f>+ISNUMBER(SEARCH('F-VTA'!$F$31,Tabla11[[#This Row],[Cuenta]],1))</f>
        <v>1</v>
      </c>
      <c r="AM981" t="b">
        <f>+ISNUMBER(SEARCH('F-VTA'!$F$32,Tabla11[[#This Row],[Cuenta]],1))</f>
        <v>1</v>
      </c>
      <c r="AN981" t="b">
        <f>+ISNUMBER(SEARCH('F-VTA'!$F$33,Tabla11[[#This Row],[Cuenta]],1))</f>
        <v>1</v>
      </c>
      <c r="AO981" t="b">
        <f>+ISNUMBER(SEARCH('F-VTA'!$F$34,Tabla11[[#This Row],[Cuenta]],1))</f>
        <v>1</v>
      </c>
      <c r="AP981" t="b">
        <f>+ISNUMBER(SEARCH('F-VTA'!$F$35,Tabla11[[#This Row],[Cuenta]],1))</f>
        <v>1</v>
      </c>
      <c r="AQ981" t="b">
        <f>+ISNUMBER(SEARCH('F-VTA'!$F$36,Tabla11[[#This Row],[Cuenta]],1))</f>
        <v>1</v>
      </c>
      <c r="AR981" t="b">
        <f>+ISNUMBER(SEARCH(#REF!,Tabla11[[#This Row],[Cuenta]],1))</f>
        <v>0</v>
      </c>
      <c r="AS981" t="b">
        <f>+ISNUMBER(SEARCH(#REF!,Tabla11[[#This Row],[Cuenta]],1))</f>
        <v>0</v>
      </c>
      <c r="AT981" t="b">
        <f>+ISNUMBER(SEARCH(#REF!,Tabla11[[#This Row],[Cuenta]],1))</f>
        <v>0</v>
      </c>
      <c r="AU981" t="b">
        <f>+ISNUMBER(SEARCH('Conc. Ban.1'!$I$9,Tabla11[[#This Row],[Cuenta]],1))</f>
        <v>0</v>
      </c>
      <c r="AV981" t="b">
        <f>+ISNUMBER(SEARCH(CompConta!$F$21,Tabla11[[#This Row],[Cuenta]],1))</f>
        <v>1</v>
      </c>
      <c r="AW981" t="b">
        <f>+ISNUMBER(SEARCH(CompConta!$F$22,Tabla11[[#This Row],[Cuenta]],1))</f>
        <v>1</v>
      </c>
      <c r="AX981" t="b">
        <f>+ISNUMBER(SEARCH(CompConta!$F$23,Tabla11[[#This Row],[Cuenta]],1))</f>
        <v>1</v>
      </c>
      <c r="AY981" t="b">
        <f>+ISNUMBER(SEARCH(CompConta!$F$24,Tabla11[[#This Row],[Cuenta]],1))</f>
        <v>1</v>
      </c>
      <c r="AZ981" t="b">
        <f>+ISNUMBER(SEARCH(CompConta!$F$25,Tabla11[[#This Row],[Cuenta]],1))</f>
        <v>1</v>
      </c>
      <c r="BA981" t="b">
        <f>+ISNUMBER(SEARCH(CompConta!$F$26,Tabla11[[#This Row],[Cuenta]],1))</f>
        <v>1</v>
      </c>
      <c r="BB981" t="b">
        <f>+ISNUMBER(SEARCH(CompConta!$F$27,Tabla11[[#This Row],[Cuenta]],1))</f>
        <v>1</v>
      </c>
      <c r="BC981" t="b">
        <f>+ISNUMBER(SEARCH(CompConta!$F$28,Tabla11[[#This Row],[Cuenta]],1))</f>
        <v>1</v>
      </c>
      <c r="BD981" t="b">
        <f>+ISNUMBER(SEARCH(CompConta!$F$29,Tabla11[[#This Row],[Cuenta]],1))</f>
        <v>1</v>
      </c>
      <c r="BE981" t="b">
        <f>+ISNUMBER(SEARCH(CompConta!$F$30,Tabla11[[#This Row],[Cuenta]],1))</f>
        <v>1</v>
      </c>
      <c r="BF981" t="b">
        <f>+ISNUMBER(SEARCH('PAGO Compras'!$E$11,Tabla11[[#This Row],[Cuenta]],1))</f>
        <v>1</v>
      </c>
      <c r="BG981" t="b">
        <f>+ISNUMBER(SEARCH(#REF!,Tabla11[[#This Row],[Cuenta]],1))</f>
        <v>0</v>
      </c>
      <c r="BH981" t="b">
        <f>+ISNUMBER(SEARCH(#REF!,Tabla11[[#This Row],[Cuenta]],1))</f>
        <v>0</v>
      </c>
      <c r="BI981" t="b">
        <f>+ISNUMBER(SEARCH(#REF!,Tabla11[[#This Row],[Cuenta]],1))</f>
        <v>0</v>
      </c>
      <c r="BJ981" t="b">
        <f>+ISNUMBER(SEARCH(#REF!,Tabla11[[#This Row],[Cuenta]],1))</f>
        <v>0</v>
      </c>
      <c r="BS981" t="str">
        <v>521015 Auditoria externa</v>
      </c>
      <c r="BT981" t="str">
        <v>521015 Auditoria externa</v>
      </c>
      <c r="BU981" t="str">
        <v>521015 Auditoria externa</v>
      </c>
      <c r="BV981" t="str">
        <v>521015 Auditoria externa</v>
      </c>
      <c r="BZ981" t="str">
        <v>521015 Auditoria externa</v>
      </c>
      <c r="CA981" t="str">
        <v>521015 Auditoria externa</v>
      </c>
      <c r="CB981" t="str">
        <v>521015 Auditoria externa</v>
      </c>
      <c r="CC981" t="str">
        <v>521015 Auditoria externa</v>
      </c>
      <c r="CD981" t="str">
        <v>521015 Auditoria externa</v>
      </c>
      <c r="CE981" t="str">
        <v>521015 Auditoria externa</v>
      </c>
      <c r="CS981" s="141" t="str">
        <v>521015 Auditoria externa</v>
      </c>
      <c r="CT981" s="141" t="str">
        <v>521015 Auditoria externa</v>
      </c>
      <c r="CU981" s="141" t="str">
        <v>521015 Auditoria externa</v>
      </c>
      <c r="CV981" s="141" t="str">
        <v>521015 Auditoria externa</v>
      </c>
      <c r="CW981" s="141" t="str">
        <v>521015 Auditoria externa</v>
      </c>
      <c r="CX981" s="141" t="str">
        <v>521015 Auditoria externa</v>
      </c>
      <c r="CY981" s="141" t="str">
        <v>521015 Auditoria externa</v>
      </c>
      <c r="CZ981" s="141" t="str">
        <v>521015 Auditoria externa</v>
      </c>
      <c r="DA981" s="141" t="str">
        <v>521015 Auditoria externa</v>
      </c>
      <c r="DF981" t="str">
        <v>521015 Auditoria externa</v>
      </c>
      <c r="DG981" t="str">
        <v>521015 Auditoria externa</v>
      </c>
      <c r="DH981" t="str">
        <v>521015 Auditoria externa</v>
      </c>
      <c r="DI981" t="str">
        <v>521015 Auditoria externa</v>
      </c>
      <c r="DJ981" t="str">
        <v>521015 Auditoria externa</v>
      </c>
      <c r="DK981" t="str">
        <v>521015 Auditoria externa</v>
      </c>
      <c r="DL981" t="str">
        <v>521015 Auditoria externa</v>
      </c>
      <c r="DM981" t="str">
        <v>521015 Auditoria externa</v>
      </c>
      <c r="DN981" t="str">
        <v>521015 Auditoria externa</v>
      </c>
      <c r="DO981" t="str">
        <v>521015 Auditoria externa</v>
      </c>
      <c r="DP981" t="str">
        <v>521015 Auditoria externa</v>
      </c>
    </row>
    <row r="982" spans="4:120" ht="12.75">
      <c r="D982" s="7">
        <v>521020</v>
      </c>
      <c r="E982" s="6" t="s">
        <v>624</v>
      </c>
      <c r="F982" s="5">
        <v>4</v>
      </c>
      <c r="G982" s="34" t="s">
        <v>830</v>
      </c>
      <c r="H982" s="8" t="s">
        <v>32</v>
      </c>
      <c r="I982" t="b">
        <f>+ISNUMBER(SEARCH('F-COMPRA'!$F$28,Tabla11[[#This Row],[Cuenta]],1))</f>
        <v>1</v>
      </c>
      <c r="J982" t="b">
        <f>+ISNUMBER(SEARCH('F-COMPRA'!$F$29,Tabla11[[#This Row],[Cuenta]],1))</f>
        <v>1</v>
      </c>
      <c r="K982" t="b">
        <f>+ISNUMBER(SEARCH('F-COMPRA'!$F$30,Tabla11[[#This Row],[Cuenta]],1))</f>
        <v>1</v>
      </c>
      <c r="L982" t="b">
        <f>+ISNUMBER(SEARCH('F-COMPRA'!$F$31,Tabla11[[#This Row],[Cuenta]],1))</f>
        <v>1</v>
      </c>
      <c r="M982" t="b">
        <f>+ISNUMBER(SEARCH('F-COMPRA'!$G$25,Tabla11[[#This Row],[Cuenta]],1))</f>
        <v>0</v>
      </c>
      <c r="N982" t="b">
        <f>+ISNUMBER(SEARCH(#REF!,Tabla11[[#This Row],[Cuenta]],1))</f>
        <v>0</v>
      </c>
      <c r="O982" t="b">
        <f>+ISNUMBER(SEARCH(#REF!,Tabla11[[#This Row],[Cuenta]],1))</f>
        <v>0</v>
      </c>
      <c r="P982" t="b">
        <f>+ISNUMBER(SEARCH('F-COMPRA'!$F$32,Tabla11[[#This Row],[Cuenta]],1))</f>
        <v>1</v>
      </c>
      <c r="Q982" t="b">
        <f>+ISNUMBER(SEARCH('F-COMPRA'!$F$33,Tabla11[[#This Row],[Cuenta]],1))</f>
        <v>1</v>
      </c>
      <c r="R982" t="b">
        <f>+ISNUMBER(SEARCH('F-COMPRA'!$F$34,Tabla11[[#This Row],[Cuenta]],1))</f>
        <v>1</v>
      </c>
      <c r="S982" t="b">
        <f>+ISNUMBER(SEARCH('F-COMPRA'!$F$35,Tabla11[[#This Row],[Cuenta]],1))</f>
        <v>1</v>
      </c>
      <c r="T982" t="b">
        <f>+ISNUMBER(SEARCH('F-COMPRA'!$F$36,Tabla11[[#This Row],[Cuenta]],1))</f>
        <v>1</v>
      </c>
      <c r="U982" t="b">
        <f>+ISNUMBER(SEARCH('F-COMPRA'!$F$37,Tabla11[[#This Row],[Cuenta]],1))</f>
        <v>1</v>
      </c>
      <c r="V982" t="b">
        <f>+ISNUMBER(SEARCH(#REF!,Tabla11[[#This Row],[Cuenta]],1))</f>
        <v>0</v>
      </c>
      <c r="W982" t="b">
        <f>+ISNUMBER(SEARCH('F-COMPRA'!#REF!,Tabla11[[#This Row],[Cuenta]],1))</f>
        <v>0</v>
      </c>
      <c r="X982" t="b">
        <f>+ISNUMBER(SEARCH('F-COMPRA'!#REF!,Tabla11[[#This Row],[Cuenta]],1))</f>
        <v>0</v>
      </c>
      <c r="Y982" t="b">
        <f>+ISNUMBER(SEARCH('F-COMPRA'!#REF!,Tabla11[[#This Row],[Cuenta]],1))</f>
        <v>0</v>
      </c>
      <c r="Z982" t="b">
        <f>+ISNUMBER(SEARCH('F-COMPRA'!#REF!,Tabla11[[#This Row],[Cuenta]],1))</f>
        <v>0</v>
      </c>
      <c r="AA982" t="b">
        <f>+ISNUMBER(SEARCH('F-COMPRA'!#REF!,Tabla11[[#This Row],[Cuenta]],1))</f>
        <v>0</v>
      </c>
      <c r="AB982" t="b">
        <f>+ISNUMBER(SEARCH('F-COMPRA'!#REF!,Tabla11[[#This Row],[Cuenta]],1))</f>
        <v>0</v>
      </c>
      <c r="AC982" t="b">
        <f>+ISNUMBER(SEARCH('F-COMPRA'!#REF!,Tabla11[[#This Row],[Cuenta]],1))</f>
        <v>0</v>
      </c>
      <c r="AD982" t="b">
        <f>+ISNUMBER(SEARCH('F-COMPRA'!#REF!,Tabla11[[#This Row],[Cuenta]],1))</f>
        <v>0</v>
      </c>
      <c r="AE982" t="b">
        <f>+ISNUMBER(SEARCH('F-COMPRA'!#REF!,Tabla11[[#This Row],[Cuenta]],1))</f>
        <v>0</v>
      </c>
      <c r="AF982" t="b">
        <f>+ISNUMBER(SEARCH('F-VTA'!$G$23,Tabla11[[#This Row],[Cuenta]],1))</f>
        <v>0</v>
      </c>
      <c r="AG982" t="b">
        <f>+ISNUMBER(SEARCH('F-VTA'!$G$24,Tabla11[[#This Row],[Cuenta]],1))</f>
        <v>0</v>
      </c>
      <c r="AH982" t="b">
        <f>+ISNUMBER(SEARCH('F-VTA'!$G$25,Tabla11[[#This Row],[Cuenta]],1))</f>
        <v>0</v>
      </c>
      <c r="AI982" t="b">
        <f>+ISNUMBER(SEARCH('F-VTA'!$F$28,Tabla11[[#This Row],[Cuenta]],1))</f>
        <v>1</v>
      </c>
      <c r="AJ982" t="b">
        <f>+ISNUMBER(SEARCH('F-VTA'!$F$29,Tabla11[[#This Row],[Cuenta]],1))</f>
        <v>1</v>
      </c>
      <c r="AK982" t="b">
        <f>+ISNUMBER(SEARCH('F-VTA'!$F$30,Tabla11[[#This Row],[Cuenta]],1))</f>
        <v>1</v>
      </c>
      <c r="AL982" t="b">
        <f>+ISNUMBER(SEARCH('F-VTA'!$F$31,Tabla11[[#This Row],[Cuenta]],1))</f>
        <v>1</v>
      </c>
      <c r="AM982" t="b">
        <f>+ISNUMBER(SEARCH('F-VTA'!$F$32,Tabla11[[#This Row],[Cuenta]],1))</f>
        <v>1</v>
      </c>
      <c r="AN982" t="b">
        <f>+ISNUMBER(SEARCH('F-VTA'!$F$33,Tabla11[[#This Row],[Cuenta]],1))</f>
        <v>1</v>
      </c>
      <c r="AO982" t="b">
        <f>+ISNUMBER(SEARCH('F-VTA'!$F$34,Tabla11[[#This Row],[Cuenta]],1))</f>
        <v>1</v>
      </c>
      <c r="AP982" t="b">
        <f>+ISNUMBER(SEARCH('F-VTA'!$F$35,Tabla11[[#This Row],[Cuenta]],1))</f>
        <v>1</v>
      </c>
      <c r="AQ982" t="b">
        <f>+ISNUMBER(SEARCH('F-VTA'!$F$36,Tabla11[[#This Row],[Cuenta]],1))</f>
        <v>1</v>
      </c>
      <c r="AR982" t="b">
        <f>+ISNUMBER(SEARCH(#REF!,Tabla11[[#This Row],[Cuenta]],1))</f>
        <v>0</v>
      </c>
      <c r="AS982" t="b">
        <f>+ISNUMBER(SEARCH(#REF!,Tabla11[[#This Row],[Cuenta]],1))</f>
        <v>0</v>
      </c>
      <c r="AT982" t="b">
        <f>+ISNUMBER(SEARCH(#REF!,Tabla11[[#This Row],[Cuenta]],1))</f>
        <v>0</v>
      </c>
      <c r="AU982" t="b">
        <f>+ISNUMBER(SEARCH('Conc. Ban.1'!$I$9,Tabla11[[#This Row],[Cuenta]],1))</f>
        <v>0</v>
      </c>
      <c r="AV982" t="b">
        <f>+ISNUMBER(SEARCH(CompConta!$F$21,Tabla11[[#This Row],[Cuenta]],1))</f>
        <v>1</v>
      </c>
      <c r="AW982" t="b">
        <f>+ISNUMBER(SEARCH(CompConta!$F$22,Tabla11[[#This Row],[Cuenta]],1))</f>
        <v>1</v>
      </c>
      <c r="AX982" t="b">
        <f>+ISNUMBER(SEARCH(CompConta!$F$23,Tabla11[[#This Row],[Cuenta]],1))</f>
        <v>1</v>
      </c>
      <c r="AY982" t="b">
        <f>+ISNUMBER(SEARCH(CompConta!$F$24,Tabla11[[#This Row],[Cuenta]],1))</f>
        <v>1</v>
      </c>
      <c r="AZ982" t="b">
        <f>+ISNUMBER(SEARCH(CompConta!$F$25,Tabla11[[#This Row],[Cuenta]],1))</f>
        <v>1</v>
      </c>
      <c r="BA982" t="b">
        <f>+ISNUMBER(SEARCH(CompConta!$F$26,Tabla11[[#This Row],[Cuenta]],1))</f>
        <v>1</v>
      </c>
      <c r="BB982" t="b">
        <f>+ISNUMBER(SEARCH(CompConta!$F$27,Tabla11[[#This Row],[Cuenta]],1))</f>
        <v>1</v>
      </c>
      <c r="BC982" t="b">
        <f>+ISNUMBER(SEARCH(CompConta!$F$28,Tabla11[[#This Row],[Cuenta]],1))</f>
        <v>1</v>
      </c>
      <c r="BD982" t="b">
        <f>+ISNUMBER(SEARCH(CompConta!$F$29,Tabla11[[#This Row],[Cuenta]],1))</f>
        <v>1</v>
      </c>
      <c r="BE982" t="b">
        <f>+ISNUMBER(SEARCH(CompConta!$F$30,Tabla11[[#This Row],[Cuenta]],1))</f>
        <v>1</v>
      </c>
      <c r="BF982" t="b">
        <f>+ISNUMBER(SEARCH('PAGO Compras'!$E$11,Tabla11[[#This Row],[Cuenta]],1))</f>
        <v>1</v>
      </c>
      <c r="BG982" t="b">
        <f>+ISNUMBER(SEARCH(#REF!,Tabla11[[#This Row],[Cuenta]],1))</f>
        <v>0</v>
      </c>
      <c r="BH982" t="b">
        <f>+ISNUMBER(SEARCH(#REF!,Tabla11[[#This Row],[Cuenta]],1))</f>
        <v>0</v>
      </c>
      <c r="BI982" t="b">
        <f>+ISNUMBER(SEARCH(#REF!,Tabla11[[#This Row],[Cuenta]],1))</f>
        <v>0</v>
      </c>
      <c r="BJ982" t="b">
        <f>+ISNUMBER(SEARCH(#REF!,Tabla11[[#This Row],[Cuenta]],1))</f>
        <v>0</v>
      </c>
      <c r="BS982" t="str">
        <v>521020 Avaluos</v>
      </c>
      <c r="BT982" t="str">
        <v>521020 Avaluos</v>
      </c>
      <c r="BU982" t="str">
        <v>521020 Avaluos</v>
      </c>
      <c r="BV982" t="str">
        <v>521020 Avaluos</v>
      </c>
      <c r="BZ982" t="str">
        <v>521020 Avaluos</v>
      </c>
      <c r="CA982" t="str">
        <v>521020 Avaluos</v>
      </c>
      <c r="CB982" t="str">
        <v>521020 Avaluos</v>
      </c>
      <c r="CC982" t="str">
        <v>521020 Avaluos</v>
      </c>
      <c r="CD982" t="str">
        <v>521020 Avaluos</v>
      </c>
      <c r="CE982" t="str">
        <v>521020 Avaluos</v>
      </c>
      <c r="CS982" s="141" t="str">
        <v>521020 Avaluos</v>
      </c>
      <c r="CT982" s="141" t="str">
        <v>521020 Avaluos</v>
      </c>
      <c r="CU982" s="141" t="str">
        <v>521020 Avaluos</v>
      </c>
      <c r="CV982" s="141" t="str">
        <v>521020 Avaluos</v>
      </c>
      <c r="CW982" s="141" t="str">
        <v>521020 Avaluos</v>
      </c>
      <c r="CX982" s="141" t="str">
        <v>521020 Avaluos</v>
      </c>
      <c r="CY982" s="141" t="str">
        <v>521020 Avaluos</v>
      </c>
      <c r="CZ982" s="141" t="str">
        <v>521020 Avaluos</v>
      </c>
      <c r="DA982" s="141" t="str">
        <v>521020 Avaluos</v>
      </c>
      <c r="DF982" t="str">
        <v>521020 Avaluos</v>
      </c>
      <c r="DG982" t="str">
        <v>521020 Avaluos</v>
      </c>
      <c r="DH982" t="str">
        <v>521020 Avaluos</v>
      </c>
      <c r="DI982" t="str">
        <v>521020 Avaluos</v>
      </c>
      <c r="DJ982" t="str">
        <v>521020 Avaluos</v>
      </c>
      <c r="DK982" t="str">
        <v>521020 Avaluos</v>
      </c>
      <c r="DL982" t="str">
        <v>521020 Avaluos</v>
      </c>
      <c r="DM982" t="str">
        <v>521020 Avaluos</v>
      </c>
      <c r="DN982" t="str">
        <v>521020 Avaluos</v>
      </c>
      <c r="DO982" t="str">
        <v>521020 Avaluos</v>
      </c>
      <c r="DP982" t="str">
        <v>521020 Avaluos</v>
      </c>
    </row>
    <row r="983" spans="4:120" ht="12.75">
      <c r="D983" s="7">
        <v>521025</v>
      </c>
      <c r="E983" s="6" t="s">
        <v>559</v>
      </c>
      <c r="F983" s="5">
        <v>4</v>
      </c>
      <c r="G983" s="34" t="s">
        <v>830</v>
      </c>
      <c r="H983" s="8" t="s">
        <v>32</v>
      </c>
      <c r="I983" t="b">
        <f>+ISNUMBER(SEARCH('F-COMPRA'!$F$28,Tabla11[[#This Row],[Cuenta]],1))</f>
        <v>1</v>
      </c>
      <c r="J983" t="b">
        <f>+ISNUMBER(SEARCH('F-COMPRA'!$F$29,Tabla11[[#This Row],[Cuenta]],1))</f>
        <v>1</v>
      </c>
      <c r="K983" t="b">
        <f>+ISNUMBER(SEARCH('F-COMPRA'!$F$30,Tabla11[[#This Row],[Cuenta]],1))</f>
        <v>1</v>
      </c>
      <c r="L983" t="b">
        <f>+ISNUMBER(SEARCH('F-COMPRA'!$F$31,Tabla11[[#This Row],[Cuenta]],1))</f>
        <v>1</v>
      </c>
      <c r="M983" t="b">
        <f>+ISNUMBER(SEARCH('F-COMPRA'!$G$25,Tabla11[[#This Row],[Cuenta]],1))</f>
        <v>0</v>
      </c>
      <c r="N983" t="b">
        <f>+ISNUMBER(SEARCH(#REF!,Tabla11[[#This Row],[Cuenta]],1))</f>
        <v>0</v>
      </c>
      <c r="O983" t="b">
        <f>+ISNUMBER(SEARCH(#REF!,Tabla11[[#This Row],[Cuenta]],1))</f>
        <v>0</v>
      </c>
      <c r="P983" t="b">
        <f>+ISNUMBER(SEARCH('F-COMPRA'!$F$32,Tabla11[[#This Row],[Cuenta]],1))</f>
        <v>1</v>
      </c>
      <c r="Q983" t="b">
        <f>+ISNUMBER(SEARCH('F-COMPRA'!$F$33,Tabla11[[#This Row],[Cuenta]],1))</f>
        <v>1</v>
      </c>
      <c r="R983" t="b">
        <f>+ISNUMBER(SEARCH('F-COMPRA'!$F$34,Tabla11[[#This Row],[Cuenta]],1))</f>
        <v>1</v>
      </c>
      <c r="S983" t="b">
        <f>+ISNUMBER(SEARCH('F-COMPRA'!$F$35,Tabla11[[#This Row],[Cuenta]],1))</f>
        <v>1</v>
      </c>
      <c r="T983" t="b">
        <f>+ISNUMBER(SEARCH('F-COMPRA'!$F$36,Tabla11[[#This Row],[Cuenta]],1))</f>
        <v>1</v>
      </c>
      <c r="U983" t="b">
        <f>+ISNUMBER(SEARCH('F-COMPRA'!$F$37,Tabla11[[#This Row],[Cuenta]],1))</f>
        <v>1</v>
      </c>
      <c r="V983" t="b">
        <f>+ISNUMBER(SEARCH(#REF!,Tabla11[[#This Row],[Cuenta]],1))</f>
        <v>0</v>
      </c>
      <c r="W983" t="b">
        <f>+ISNUMBER(SEARCH('F-COMPRA'!#REF!,Tabla11[[#This Row],[Cuenta]],1))</f>
        <v>0</v>
      </c>
      <c r="X983" t="b">
        <f>+ISNUMBER(SEARCH('F-COMPRA'!#REF!,Tabla11[[#This Row],[Cuenta]],1))</f>
        <v>0</v>
      </c>
      <c r="Y983" t="b">
        <f>+ISNUMBER(SEARCH('F-COMPRA'!#REF!,Tabla11[[#This Row],[Cuenta]],1))</f>
        <v>0</v>
      </c>
      <c r="Z983" t="b">
        <f>+ISNUMBER(SEARCH('F-COMPRA'!#REF!,Tabla11[[#This Row],[Cuenta]],1))</f>
        <v>0</v>
      </c>
      <c r="AA983" t="b">
        <f>+ISNUMBER(SEARCH('F-COMPRA'!#REF!,Tabla11[[#This Row],[Cuenta]],1))</f>
        <v>0</v>
      </c>
      <c r="AB983" t="b">
        <f>+ISNUMBER(SEARCH('F-COMPRA'!#REF!,Tabla11[[#This Row],[Cuenta]],1))</f>
        <v>0</v>
      </c>
      <c r="AC983" t="b">
        <f>+ISNUMBER(SEARCH('F-COMPRA'!#REF!,Tabla11[[#This Row],[Cuenta]],1))</f>
        <v>0</v>
      </c>
      <c r="AD983" t="b">
        <f>+ISNUMBER(SEARCH('F-COMPRA'!#REF!,Tabla11[[#This Row],[Cuenta]],1))</f>
        <v>0</v>
      </c>
      <c r="AE983" t="b">
        <f>+ISNUMBER(SEARCH('F-COMPRA'!#REF!,Tabla11[[#This Row],[Cuenta]],1))</f>
        <v>0</v>
      </c>
      <c r="AF983" t="b">
        <f>+ISNUMBER(SEARCH('F-VTA'!$G$23,Tabla11[[#This Row],[Cuenta]],1))</f>
        <v>0</v>
      </c>
      <c r="AG983" t="b">
        <f>+ISNUMBER(SEARCH('F-VTA'!$G$24,Tabla11[[#This Row],[Cuenta]],1))</f>
        <v>0</v>
      </c>
      <c r="AH983" t="b">
        <f>+ISNUMBER(SEARCH('F-VTA'!$G$25,Tabla11[[#This Row],[Cuenta]],1))</f>
        <v>0</v>
      </c>
      <c r="AI983" t="b">
        <f>+ISNUMBER(SEARCH('F-VTA'!$F$28,Tabla11[[#This Row],[Cuenta]],1))</f>
        <v>1</v>
      </c>
      <c r="AJ983" t="b">
        <f>+ISNUMBER(SEARCH('F-VTA'!$F$29,Tabla11[[#This Row],[Cuenta]],1))</f>
        <v>1</v>
      </c>
      <c r="AK983" t="b">
        <f>+ISNUMBER(SEARCH('F-VTA'!$F$30,Tabla11[[#This Row],[Cuenta]],1))</f>
        <v>1</v>
      </c>
      <c r="AL983" t="b">
        <f>+ISNUMBER(SEARCH('F-VTA'!$F$31,Tabla11[[#This Row],[Cuenta]],1))</f>
        <v>1</v>
      </c>
      <c r="AM983" t="b">
        <f>+ISNUMBER(SEARCH('F-VTA'!$F$32,Tabla11[[#This Row],[Cuenta]],1))</f>
        <v>1</v>
      </c>
      <c r="AN983" t="b">
        <f>+ISNUMBER(SEARCH('F-VTA'!$F$33,Tabla11[[#This Row],[Cuenta]],1))</f>
        <v>1</v>
      </c>
      <c r="AO983" t="b">
        <f>+ISNUMBER(SEARCH('F-VTA'!$F$34,Tabla11[[#This Row],[Cuenta]],1))</f>
        <v>1</v>
      </c>
      <c r="AP983" t="b">
        <f>+ISNUMBER(SEARCH('F-VTA'!$F$35,Tabla11[[#This Row],[Cuenta]],1))</f>
        <v>1</v>
      </c>
      <c r="AQ983" t="b">
        <f>+ISNUMBER(SEARCH('F-VTA'!$F$36,Tabla11[[#This Row],[Cuenta]],1))</f>
        <v>1</v>
      </c>
      <c r="AR983" t="b">
        <f>+ISNUMBER(SEARCH(#REF!,Tabla11[[#This Row],[Cuenta]],1))</f>
        <v>0</v>
      </c>
      <c r="AS983" t="b">
        <f>+ISNUMBER(SEARCH(#REF!,Tabla11[[#This Row],[Cuenta]],1))</f>
        <v>0</v>
      </c>
      <c r="AT983" t="b">
        <f>+ISNUMBER(SEARCH(#REF!,Tabla11[[#This Row],[Cuenta]],1))</f>
        <v>0</v>
      </c>
      <c r="AU983" t="b">
        <f>+ISNUMBER(SEARCH('Conc. Ban.1'!$I$9,Tabla11[[#This Row],[Cuenta]],1))</f>
        <v>0</v>
      </c>
      <c r="AV983" t="b">
        <f>+ISNUMBER(SEARCH(CompConta!$F$21,Tabla11[[#This Row],[Cuenta]],1))</f>
        <v>1</v>
      </c>
      <c r="AW983" t="b">
        <f>+ISNUMBER(SEARCH(CompConta!$F$22,Tabla11[[#This Row],[Cuenta]],1))</f>
        <v>1</v>
      </c>
      <c r="AX983" t="b">
        <f>+ISNUMBER(SEARCH(CompConta!$F$23,Tabla11[[#This Row],[Cuenta]],1))</f>
        <v>1</v>
      </c>
      <c r="AY983" t="b">
        <f>+ISNUMBER(SEARCH(CompConta!$F$24,Tabla11[[#This Row],[Cuenta]],1))</f>
        <v>1</v>
      </c>
      <c r="AZ983" t="b">
        <f>+ISNUMBER(SEARCH(CompConta!$F$25,Tabla11[[#This Row],[Cuenta]],1))</f>
        <v>1</v>
      </c>
      <c r="BA983" t="b">
        <f>+ISNUMBER(SEARCH(CompConta!$F$26,Tabla11[[#This Row],[Cuenta]],1))</f>
        <v>1</v>
      </c>
      <c r="BB983" t="b">
        <f>+ISNUMBER(SEARCH(CompConta!$F$27,Tabla11[[#This Row],[Cuenta]],1))</f>
        <v>1</v>
      </c>
      <c r="BC983" t="b">
        <f>+ISNUMBER(SEARCH(CompConta!$F$28,Tabla11[[#This Row],[Cuenta]],1))</f>
        <v>1</v>
      </c>
      <c r="BD983" t="b">
        <f>+ISNUMBER(SEARCH(CompConta!$F$29,Tabla11[[#This Row],[Cuenta]],1))</f>
        <v>1</v>
      </c>
      <c r="BE983" t="b">
        <f>+ISNUMBER(SEARCH(CompConta!$F$30,Tabla11[[#This Row],[Cuenta]],1))</f>
        <v>1</v>
      </c>
      <c r="BF983" t="b">
        <f>+ISNUMBER(SEARCH('PAGO Compras'!$E$11,Tabla11[[#This Row],[Cuenta]],1))</f>
        <v>1</v>
      </c>
      <c r="BG983" t="b">
        <f>+ISNUMBER(SEARCH(#REF!,Tabla11[[#This Row],[Cuenta]],1))</f>
        <v>0</v>
      </c>
      <c r="BH983" t="b">
        <f>+ISNUMBER(SEARCH(#REF!,Tabla11[[#This Row],[Cuenta]],1))</f>
        <v>0</v>
      </c>
      <c r="BI983" t="b">
        <f>+ISNUMBER(SEARCH(#REF!,Tabla11[[#This Row],[Cuenta]],1))</f>
        <v>0</v>
      </c>
      <c r="BJ983" t="b">
        <f>+ISNUMBER(SEARCH(#REF!,Tabla11[[#This Row],[Cuenta]],1))</f>
        <v>0</v>
      </c>
      <c r="BS983" t="str">
        <v>521025 Asesoría jurídica</v>
      </c>
      <c r="BT983" t="str">
        <v>521025 Asesoría jurídica</v>
      </c>
      <c r="BU983" t="str">
        <v>521025 Asesoría jurídica</v>
      </c>
      <c r="BV983" t="str">
        <v>521025 Asesoría jurídica</v>
      </c>
      <c r="BZ983" t="str">
        <v>521025 Asesoría jurídica</v>
      </c>
      <c r="CA983" t="str">
        <v>521025 Asesoría jurídica</v>
      </c>
      <c r="CB983" t="str">
        <v>521025 Asesoría jurídica</v>
      </c>
      <c r="CC983" t="str">
        <v>521025 Asesoría jurídica</v>
      </c>
      <c r="CD983" t="str">
        <v>521025 Asesoría jurídica</v>
      </c>
      <c r="CE983" t="str">
        <v>521025 Asesoría jurídica</v>
      </c>
      <c r="CS983" s="141" t="str">
        <v>521025 Asesoría jurídica</v>
      </c>
      <c r="CT983" s="141" t="str">
        <v>521025 Asesoría jurídica</v>
      </c>
      <c r="CU983" s="141" t="str">
        <v>521025 Asesoría jurídica</v>
      </c>
      <c r="CV983" s="141" t="str">
        <v>521025 Asesoría jurídica</v>
      </c>
      <c r="CW983" s="141" t="str">
        <v>521025 Asesoría jurídica</v>
      </c>
      <c r="CX983" s="141" t="str">
        <v>521025 Asesoría jurídica</v>
      </c>
      <c r="CY983" s="141" t="str">
        <v>521025 Asesoría jurídica</v>
      </c>
      <c r="CZ983" s="141" t="str">
        <v>521025 Asesoría jurídica</v>
      </c>
      <c r="DA983" s="141" t="str">
        <v>521025 Asesoría jurídica</v>
      </c>
      <c r="DF983" t="str">
        <v>521025 Asesoría jurídica</v>
      </c>
      <c r="DG983" t="str">
        <v>521025 Asesoría jurídica</v>
      </c>
      <c r="DH983" t="str">
        <v>521025 Asesoría jurídica</v>
      </c>
      <c r="DI983" t="str">
        <v>521025 Asesoría jurídica</v>
      </c>
      <c r="DJ983" t="str">
        <v>521025 Asesoría jurídica</v>
      </c>
      <c r="DK983" t="str">
        <v>521025 Asesoría jurídica</v>
      </c>
      <c r="DL983" t="str">
        <v>521025 Asesoría jurídica</v>
      </c>
      <c r="DM983" t="str">
        <v>521025 Asesoría jurídica</v>
      </c>
      <c r="DN983" t="str">
        <v>521025 Asesoría jurídica</v>
      </c>
      <c r="DO983" t="str">
        <v>521025 Asesoría jurídica</v>
      </c>
      <c r="DP983" t="str">
        <v>521025 Asesoría jurídica</v>
      </c>
    </row>
    <row r="984" spans="4:120" ht="12.75">
      <c r="D984" s="7">
        <v>521030</v>
      </c>
      <c r="E984" s="6" t="s">
        <v>560</v>
      </c>
      <c r="F984" s="5">
        <v>4</v>
      </c>
      <c r="G984" s="34" t="s">
        <v>830</v>
      </c>
      <c r="H984" s="8" t="s">
        <v>32</v>
      </c>
      <c r="I984" t="b">
        <f>+ISNUMBER(SEARCH('F-COMPRA'!$F$28,Tabla11[[#This Row],[Cuenta]],1))</f>
        <v>1</v>
      </c>
      <c r="J984" t="b">
        <f>+ISNUMBER(SEARCH('F-COMPRA'!$F$29,Tabla11[[#This Row],[Cuenta]],1))</f>
        <v>1</v>
      </c>
      <c r="K984" t="b">
        <f>+ISNUMBER(SEARCH('F-COMPRA'!$F$30,Tabla11[[#This Row],[Cuenta]],1))</f>
        <v>1</v>
      </c>
      <c r="L984" t="b">
        <f>+ISNUMBER(SEARCH('F-COMPRA'!$F$31,Tabla11[[#This Row],[Cuenta]],1))</f>
        <v>1</v>
      </c>
      <c r="M984" t="b">
        <f>+ISNUMBER(SEARCH('F-COMPRA'!$G$25,Tabla11[[#This Row],[Cuenta]],1))</f>
        <v>0</v>
      </c>
      <c r="N984" t="b">
        <f>+ISNUMBER(SEARCH(#REF!,Tabla11[[#This Row],[Cuenta]],1))</f>
        <v>0</v>
      </c>
      <c r="O984" t="b">
        <f>+ISNUMBER(SEARCH(#REF!,Tabla11[[#This Row],[Cuenta]],1))</f>
        <v>0</v>
      </c>
      <c r="P984" t="b">
        <f>+ISNUMBER(SEARCH('F-COMPRA'!$F$32,Tabla11[[#This Row],[Cuenta]],1))</f>
        <v>1</v>
      </c>
      <c r="Q984" t="b">
        <f>+ISNUMBER(SEARCH('F-COMPRA'!$F$33,Tabla11[[#This Row],[Cuenta]],1))</f>
        <v>1</v>
      </c>
      <c r="R984" t="b">
        <f>+ISNUMBER(SEARCH('F-COMPRA'!$F$34,Tabla11[[#This Row],[Cuenta]],1))</f>
        <v>1</v>
      </c>
      <c r="S984" t="b">
        <f>+ISNUMBER(SEARCH('F-COMPRA'!$F$35,Tabla11[[#This Row],[Cuenta]],1))</f>
        <v>1</v>
      </c>
      <c r="T984" t="b">
        <f>+ISNUMBER(SEARCH('F-COMPRA'!$F$36,Tabla11[[#This Row],[Cuenta]],1))</f>
        <v>1</v>
      </c>
      <c r="U984" t="b">
        <f>+ISNUMBER(SEARCH('F-COMPRA'!$F$37,Tabla11[[#This Row],[Cuenta]],1))</f>
        <v>1</v>
      </c>
      <c r="V984" t="b">
        <f>+ISNUMBER(SEARCH(#REF!,Tabla11[[#This Row],[Cuenta]],1))</f>
        <v>0</v>
      </c>
      <c r="W984" t="b">
        <f>+ISNUMBER(SEARCH('F-COMPRA'!#REF!,Tabla11[[#This Row],[Cuenta]],1))</f>
        <v>0</v>
      </c>
      <c r="X984" t="b">
        <f>+ISNUMBER(SEARCH('F-COMPRA'!#REF!,Tabla11[[#This Row],[Cuenta]],1))</f>
        <v>0</v>
      </c>
      <c r="Y984" t="b">
        <f>+ISNUMBER(SEARCH('F-COMPRA'!#REF!,Tabla11[[#This Row],[Cuenta]],1))</f>
        <v>0</v>
      </c>
      <c r="Z984" t="b">
        <f>+ISNUMBER(SEARCH('F-COMPRA'!#REF!,Tabla11[[#This Row],[Cuenta]],1))</f>
        <v>0</v>
      </c>
      <c r="AA984" t="b">
        <f>+ISNUMBER(SEARCH('F-COMPRA'!#REF!,Tabla11[[#This Row],[Cuenta]],1))</f>
        <v>0</v>
      </c>
      <c r="AB984" t="b">
        <f>+ISNUMBER(SEARCH('F-COMPRA'!#REF!,Tabla11[[#This Row],[Cuenta]],1))</f>
        <v>0</v>
      </c>
      <c r="AC984" t="b">
        <f>+ISNUMBER(SEARCH('F-COMPRA'!#REF!,Tabla11[[#This Row],[Cuenta]],1))</f>
        <v>0</v>
      </c>
      <c r="AD984" t="b">
        <f>+ISNUMBER(SEARCH('F-COMPRA'!#REF!,Tabla11[[#This Row],[Cuenta]],1))</f>
        <v>0</v>
      </c>
      <c r="AE984" t="b">
        <f>+ISNUMBER(SEARCH('F-COMPRA'!#REF!,Tabla11[[#This Row],[Cuenta]],1))</f>
        <v>0</v>
      </c>
      <c r="AF984" t="b">
        <f>+ISNUMBER(SEARCH('F-VTA'!$G$23,Tabla11[[#This Row],[Cuenta]],1))</f>
        <v>0</v>
      </c>
      <c r="AG984" t="b">
        <f>+ISNUMBER(SEARCH('F-VTA'!$G$24,Tabla11[[#This Row],[Cuenta]],1))</f>
        <v>0</v>
      </c>
      <c r="AH984" t="b">
        <f>+ISNUMBER(SEARCH('F-VTA'!$G$25,Tabla11[[#This Row],[Cuenta]],1))</f>
        <v>0</v>
      </c>
      <c r="AI984" t="b">
        <f>+ISNUMBER(SEARCH('F-VTA'!$F$28,Tabla11[[#This Row],[Cuenta]],1))</f>
        <v>1</v>
      </c>
      <c r="AJ984" t="b">
        <f>+ISNUMBER(SEARCH('F-VTA'!$F$29,Tabla11[[#This Row],[Cuenta]],1))</f>
        <v>1</v>
      </c>
      <c r="AK984" t="b">
        <f>+ISNUMBER(SEARCH('F-VTA'!$F$30,Tabla11[[#This Row],[Cuenta]],1))</f>
        <v>1</v>
      </c>
      <c r="AL984" t="b">
        <f>+ISNUMBER(SEARCH('F-VTA'!$F$31,Tabla11[[#This Row],[Cuenta]],1))</f>
        <v>1</v>
      </c>
      <c r="AM984" t="b">
        <f>+ISNUMBER(SEARCH('F-VTA'!$F$32,Tabla11[[#This Row],[Cuenta]],1))</f>
        <v>1</v>
      </c>
      <c r="AN984" t="b">
        <f>+ISNUMBER(SEARCH('F-VTA'!$F$33,Tabla11[[#This Row],[Cuenta]],1))</f>
        <v>1</v>
      </c>
      <c r="AO984" t="b">
        <f>+ISNUMBER(SEARCH('F-VTA'!$F$34,Tabla11[[#This Row],[Cuenta]],1))</f>
        <v>1</v>
      </c>
      <c r="AP984" t="b">
        <f>+ISNUMBER(SEARCH('F-VTA'!$F$35,Tabla11[[#This Row],[Cuenta]],1))</f>
        <v>1</v>
      </c>
      <c r="AQ984" t="b">
        <f>+ISNUMBER(SEARCH('F-VTA'!$F$36,Tabla11[[#This Row],[Cuenta]],1))</f>
        <v>1</v>
      </c>
      <c r="AR984" t="b">
        <f>+ISNUMBER(SEARCH(#REF!,Tabla11[[#This Row],[Cuenta]],1))</f>
        <v>0</v>
      </c>
      <c r="AS984" t="b">
        <f>+ISNUMBER(SEARCH(#REF!,Tabla11[[#This Row],[Cuenta]],1))</f>
        <v>0</v>
      </c>
      <c r="AT984" t="b">
        <f>+ISNUMBER(SEARCH(#REF!,Tabla11[[#This Row],[Cuenta]],1))</f>
        <v>0</v>
      </c>
      <c r="AU984" t="b">
        <f>+ISNUMBER(SEARCH('Conc. Ban.1'!$I$9,Tabla11[[#This Row],[Cuenta]],1))</f>
        <v>0</v>
      </c>
      <c r="AV984" t="b">
        <f>+ISNUMBER(SEARCH(CompConta!$F$21,Tabla11[[#This Row],[Cuenta]],1))</f>
        <v>1</v>
      </c>
      <c r="AW984" t="b">
        <f>+ISNUMBER(SEARCH(CompConta!$F$22,Tabla11[[#This Row],[Cuenta]],1))</f>
        <v>1</v>
      </c>
      <c r="AX984" t="b">
        <f>+ISNUMBER(SEARCH(CompConta!$F$23,Tabla11[[#This Row],[Cuenta]],1))</f>
        <v>1</v>
      </c>
      <c r="AY984" t="b">
        <f>+ISNUMBER(SEARCH(CompConta!$F$24,Tabla11[[#This Row],[Cuenta]],1))</f>
        <v>1</v>
      </c>
      <c r="AZ984" t="b">
        <f>+ISNUMBER(SEARCH(CompConta!$F$25,Tabla11[[#This Row],[Cuenta]],1))</f>
        <v>1</v>
      </c>
      <c r="BA984" t="b">
        <f>+ISNUMBER(SEARCH(CompConta!$F$26,Tabla11[[#This Row],[Cuenta]],1))</f>
        <v>1</v>
      </c>
      <c r="BB984" t="b">
        <f>+ISNUMBER(SEARCH(CompConta!$F$27,Tabla11[[#This Row],[Cuenta]],1))</f>
        <v>1</v>
      </c>
      <c r="BC984" t="b">
        <f>+ISNUMBER(SEARCH(CompConta!$F$28,Tabla11[[#This Row],[Cuenta]],1))</f>
        <v>1</v>
      </c>
      <c r="BD984" t="b">
        <f>+ISNUMBER(SEARCH(CompConta!$F$29,Tabla11[[#This Row],[Cuenta]],1))</f>
        <v>1</v>
      </c>
      <c r="BE984" t="b">
        <f>+ISNUMBER(SEARCH(CompConta!$F$30,Tabla11[[#This Row],[Cuenta]],1))</f>
        <v>1</v>
      </c>
      <c r="BF984" t="b">
        <f>+ISNUMBER(SEARCH('PAGO Compras'!$E$11,Tabla11[[#This Row],[Cuenta]],1))</f>
        <v>1</v>
      </c>
      <c r="BG984" t="b">
        <f>+ISNUMBER(SEARCH(#REF!,Tabla11[[#This Row],[Cuenta]],1))</f>
        <v>0</v>
      </c>
      <c r="BH984" t="b">
        <f>+ISNUMBER(SEARCH(#REF!,Tabla11[[#This Row],[Cuenta]],1))</f>
        <v>0</v>
      </c>
      <c r="BI984" t="b">
        <f>+ISNUMBER(SEARCH(#REF!,Tabla11[[#This Row],[Cuenta]],1))</f>
        <v>0</v>
      </c>
      <c r="BJ984" t="b">
        <f>+ISNUMBER(SEARCH(#REF!,Tabla11[[#This Row],[Cuenta]],1))</f>
        <v>0</v>
      </c>
      <c r="BS984" t="str">
        <v>521030 Asesoría financiera</v>
      </c>
      <c r="BT984" t="str">
        <v>521030 Asesoría financiera</v>
      </c>
      <c r="BU984" t="str">
        <v>521030 Asesoría financiera</v>
      </c>
      <c r="BV984" t="str">
        <v>521030 Asesoría financiera</v>
      </c>
      <c r="BZ984" t="str">
        <v>521030 Asesoría financiera</v>
      </c>
      <c r="CA984" t="str">
        <v>521030 Asesoría financiera</v>
      </c>
      <c r="CB984" t="str">
        <v>521030 Asesoría financiera</v>
      </c>
      <c r="CC984" t="str">
        <v>521030 Asesoría financiera</v>
      </c>
      <c r="CD984" t="str">
        <v>521030 Asesoría financiera</v>
      </c>
      <c r="CE984" t="str">
        <v>521030 Asesoría financiera</v>
      </c>
      <c r="CS984" s="141" t="str">
        <v>521030 Asesoría financiera</v>
      </c>
      <c r="CT984" s="141" t="str">
        <v>521030 Asesoría financiera</v>
      </c>
      <c r="CU984" s="141" t="str">
        <v>521030 Asesoría financiera</v>
      </c>
      <c r="CV984" s="141" t="str">
        <v>521030 Asesoría financiera</v>
      </c>
      <c r="CW984" s="141" t="str">
        <v>521030 Asesoría financiera</v>
      </c>
      <c r="CX984" s="141" t="str">
        <v>521030 Asesoría financiera</v>
      </c>
      <c r="CY984" s="141" t="str">
        <v>521030 Asesoría financiera</v>
      </c>
      <c r="CZ984" s="141" t="str">
        <v>521030 Asesoría financiera</v>
      </c>
      <c r="DA984" s="141" t="str">
        <v>521030 Asesoría financiera</v>
      </c>
      <c r="DF984" t="str">
        <v>521030 Asesoría financiera</v>
      </c>
      <c r="DG984" t="str">
        <v>521030 Asesoría financiera</v>
      </c>
      <c r="DH984" t="str">
        <v>521030 Asesoría financiera</v>
      </c>
      <c r="DI984" t="str">
        <v>521030 Asesoría financiera</v>
      </c>
      <c r="DJ984" t="str">
        <v>521030 Asesoría financiera</v>
      </c>
      <c r="DK984" t="str">
        <v>521030 Asesoría financiera</v>
      </c>
      <c r="DL984" t="str">
        <v>521030 Asesoría financiera</v>
      </c>
      <c r="DM984" t="str">
        <v>521030 Asesoría financiera</v>
      </c>
      <c r="DN984" t="str">
        <v>521030 Asesoría financiera</v>
      </c>
      <c r="DO984" t="str">
        <v>521030 Asesoría financiera</v>
      </c>
      <c r="DP984" t="str">
        <v>521030 Asesoría financiera</v>
      </c>
    </row>
    <row r="985" spans="4:120" ht="12.75">
      <c r="D985" s="7">
        <v>521035</v>
      </c>
      <c r="E985" s="6" t="s">
        <v>561</v>
      </c>
      <c r="F985" s="5">
        <v>4</v>
      </c>
      <c r="G985" s="34" t="s">
        <v>830</v>
      </c>
      <c r="H985" s="8" t="s">
        <v>32</v>
      </c>
      <c r="I985" t="b">
        <f>+ISNUMBER(SEARCH('F-COMPRA'!$F$28,Tabla11[[#This Row],[Cuenta]],1))</f>
        <v>1</v>
      </c>
      <c r="J985" t="b">
        <f>+ISNUMBER(SEARCH('F-COMPRA'!$F$29,Tabla11[[#This Row],[Cuenta]],1))</f>
        <v>1</v>
      </c>
      <c r="K985" t="b">
        <f>+ISNUMBER(SEARCH('F-COMPRA'!$F$30,Tabla11[[#This Row],[Cuenta]],1))</f>
        <v>1</v>
      </c>
      <c r="L985" t="b">
        <f>+ISNUMBER(SEARCH('F-COMPRA'!$F$31,Tabla11[[#This Row],[Cuenta]],1))</f>
        <v>1</v>
      </c>
      <c r="M985" t="b">
        <f>+ISNUMBER(SEARCH('F-COMPRA'!$G$25,Tabla11[[#This Row],[Cuenta]],1))</f>
        <v>0</v>
      </c>
      <c r="N985" t="b">
        <f>+ISNUMBER(SEARCH(#REF!,Tabla11[[#This Row],[Cuenta]],1))</f>
        <v>0</v>
      </c>
      <c r="O985" t="b">
        <f>+ISNUMBER(SEARCH(#REF!,Tabla11[[#This Row],[Cuenta]],1))</f>
        <v>0</v>
      </c>
      <c r="P985" t="b">
        <f>+ISNUMBER(SEARCH('F-COMPRA'!$F$32,Tabla11[[#This Row],[Cuenta]],1))</f>
        <v>1</v>
      </c>
      <c r="Q985" t="b">
        <f>+ISNUMBER(SEARCH('F-COMPRA'!$F$33,Tabla11[[#This Row],[Cuenta]],1))</f>
        <v>1</v>
      </c>
      <c r="R985" t="b">
        <f>+ISNUMBER(SEARCH('F-COMPRA'!$F$34,Tabla11[[#This Row],[Cuenta]],1))</f>
        <v>1</v>
      </c>
      <c r="S985" t="b">
        <f>+ISNUMBER(SEARCH('F-COMPRA'!$F$35,Tabla11[[#This Row],[Cuenta]],1))</f>
        <v>1</v>
      </c>
      <c r="T985" t="b">
        <f>+ISNUMBER(SEARCH('F-COMPRA'!$F$36,Tabla11[[#This Row],[Cuenta]],1))</f>
        <v>1</v>
      </c>
      <c r="U985" t="b">
        <f>+ISNUMBER(SEARCH('F-COMPRA'!$F$37,Tabla11[[#This Row],[Cuenta]],1))</f>
        <v>1</v>
      </c>
      <c r="V985" t="b">
        <f>+ISNUMBER(SEARCH(#REF!,Tabla11[[#This Row],[Cuenta]],1))</f>
        <v>0</v>
      </c>
      <c r="W985" t="b">
        <f>+ISNUMBER(SEARCH('F-COMPRA'!#REF!,Tabla11[[#This Row],[Cuenta]],1))</f>
        <v>0</v>
      </c>
      <c r="X985" t="b">
        <f>+ISNUMBER(SEARCH('F-COMPRA'!#REF!,Tabla11[[#This Row],[Cuenta]],1))</f>
        <v>0</v>
      </c>
      <c r="Y985" t="b">
        <f>+ISNUMBER(SEARCH('F-COMPRA'!#REF!,Tabla11[[#This Row],[Cuenta]],1))</f>
        <v>0</v>
      </c>
      <c r="Z985" t="b">
        <f>+ISNUMBER(SEARCH('F-COMPRA'!#REF!,Tabla11[[#This Row],[Cuenta]],1))</f>
        <v>0</v>
      </c>
      <c r="AA985" t="b">
        <f>+ISNUMBER(SEARCH('F-COMPRA'!#REF!,Tabla11[[#This Row],[Cuenta]],1))</f>
        <v>0</v>
      </c>
      <c r="AB985" t="b">
        <f>+ISNUMBER(SEARCH('F-COMPRA'!#REF!,Tabla11[[#This Row],[Cuenta]],1))</f>
        <v>0</v>
      </c>
      <c r="AC985" t="b">
        <f>+ISNUMBER(SEARCH('F-COMPRA'!#REF!,Tabla11[[#This Row],[Cuenta]],1))</f>
        <v>0</v>
      </c>
      <c r="AD985" t="b">
        <f>+ISNUMBER(SEARCH('F-COMPRA'!#REF!,Tabla11[[#This Row],[Cuenta]],1))</f>
        <v>0</v>
      </c>
      <c r="AE985" t="b">
        <f>+ISNUMBER(SEARCH('F-COMPRA'!#REF!,Tabla11[[#This Row],[Cuenta]],1))</f>
        <v>0</v>
      </c>
      <c r="AF985" t="b">
        <f>+ISNUMBER(SEARCH('F-VTA'!$G$23,Tabla11[[#This Row],[Cuenta]],1))</f>
        <v>0</v>
      </c>
      <c r="AG985" t="b">
        <f>+ISNUMBER(SEARCH('F-VTA'!$G$24,Tabla11[[#This Row],[Cuenta]],1))</f>
        <v>0</v>
      </c>
      <c r="AH985" t="b">
        <f>+ISNUMBER(SEARCH('F-VTA'!$G$25,Tabla11[[#This Row],[Cuenta]],1))</f>
        <v>0</v>
      </c>
      <c r="AI985" t="b">
        <f>+ISNUMBER(SEARCH('F-VTA'!$F$28,Tabla11[[#This Row],[Cuenta]],1))</f>
        <v>1</v>
      </c>
      <c r="AJ985" t="b">
        <f>+ISNUMBER(SEARCH('F-VTA'!$F$29,Tabla11[[#This Row],[Cuenta]],1))</f>
        <v>1</v>
      </c>
      <c r="AK985" t="b">
        <f>+ISNUMBER(SEARCH('F-VTA'!$F$30,Tabla11[[#This Row],[Cuenta]],1))</f>
        <v>1</v>
      </c>
      <c r="AL985" t="b">
        <f>+ISNUMBER(SEARCH('F-VTA'!$F$31,Tabla11[[#This Row],[Cuenta]],1))</f>
        <v>1</v>
      </c>
      <c r="AM985" t="b">
        <f>+ISNUMBER(SEARCH('F-VTA'!$F$32,Tabla11[[#This Row],[Cuenta]],1))</f>
        <v>1</v>
      </c>
      <c r="AN985" t="b">
        <f>+ISNUMBER(SEARCH('F-VTA'!$F$33,Tabla11[[#This Row],[Cuenta]],1))</f>
        <v>1</v>
      </c>
      <c r="AO985" t="b">
        <f>+ISNUMBER(SEARCH('F-VTA'!$F$34,Tabla11[[#This Row],[Cuenta]],1))</f>
        <v>1</v>
      </c>
      <c r="AP985" t="b">
        <f>+ISNUMBER(SEARCH('F-VTA'!$F$35,Tabla11[[#This Row],[Cuenta]],1))</f>
        <v>1</v>
      </c>
      <c r="AQ985" t="b">
        <f>+ISNUMBER(SEARCH('F-VTA'!$F$36,Tabla11[[#This Row],[Cuenta]],1))</f>
        <v>1</v>
      </c>
      <c r="AR985" t="b">
        <f>+ISNUMBER(SEARCH(#REF!,Tabla11[[#This Row],[Cuenta]],1))</f>
        <v>0</v>
      </c>
      <c r="AS985" t="b">
        <f>+ISNUMBER(SEARCH(#REF!,Tabla11[[#This Row],[Cuenta]],1))</f>
        <v>0</v>
      </c>
      <c r="AT985" t="b">
        <f>+ISNUMBER(SEARCH(#REF!,Tabla11[[#This Row],[Cuenta]],1))</f>
        <v>0</v>
      </c>
      <c r="AU985" t="b">
        <f>+ISNUMBER(SEARCH('Conc. Ban.1'!$I$9,Tabla11[[#This Row],[Cuenta]],1))</f>
        <v>0</v>
      </c>
      <c r="AV985" t="b">
        <f>+ISNUMBER(SEARCH(CompConta!$F$21,Tabla11[[#This Row],[Cuenta]],1))</f>
        <v>1</v>
      </c>
      <c r="AW985" t="b">
        <f>+ISNUMBER(SEARCH(CompConta!$F$22,Tabla11[[#This Row],[Cuenta]],1))</f>
        <v>1</v>
      </c>
      <c r="AX985" t="b">
        <f>+ISNUMBER(SEARCH(CompConta!$F$23,Tabla11[[#This Row],[Cuenta]],1))</f>
        <v>1</v>
      </c>
      <c r="AY985" t="b">
        <f>+ISNUMBER(SEARCH(CompConta!$F$24,Tabla11[[#This Row],[Cuenta]],1))</f>
        <v>1</v>
      </c>
      <c r="AZ985" t="b">
        <f>+ISNUMBER(SEARCH(CompConta!$F$25,Tabla11[[#This Row],[Cuenta]],1))</f>
        <v>1</v>
      </c>
      <c r="BA985" t="b">
        <f>+ISNUMBER(SEARCH(CompConta!$F$26,Tabla11[[#This Row],[Cuenta]],1))</f>
        <v>1</v>
      </c>
      <c r="BB985" t="b">
        <f>+ISNUMBER(SEARCH(CompConta!$F$27,Tabla11[[#This Row],[Cuenta]],1))</f>
        <v>1</v>
      </c>
      <c r="BC985" t="b">
        <f>+ISNUMBER(SEARCH(CompConta!$F$28,Tabla11[[#This Row],[Cuenta]],1))</f>
        <v>1</v>
      </c>
      <c r="BD985" t="b">
        <f>+ISNUMBER(SEARCH(CompConta!$F$29,Tabla11[[#This Row],[Cuenta]],1))</f>
        <v>1</v>
      </c>
      <c r="BE985" t="b">
        <f>+ISNUMBER(SEARCH(CompConta!$F$30,Tabla11[[#This Row],[Cuenta]],1))</f>
        <v>1</v>
      </c>
      <c r="BF985" t="b">
        <f>+ISNUMBER(SEARCH('PAGO Compras'!$E$11,Tabla11[[#This Row],[Cuenta]],1))</f>
        <v>1</v>
      </c>
      <c r="BG985" t="b">
        <f>+ISNUMBER(SEARCH(#REF!,Tabla11[[#This Row],[Cuenta]],1))</f>
        <v>0</v>
      </c>
      <c r="BH985" t="b">
        <f>+ISNUMBER(SEARCH(#REF!,Tabla11[[#This Row],[Cuenta]],1))</f>
        <v>0</v>
      </c>
      <c r="BI985" t="b">
        <f>+ISNUMBER(SEARCH(#REF!,Tabla11[[#This Row],[Cuenta]],1))</f>
        <v>0</v>
      </c>
      <c r="BJ985" t="b">
        <f>+ISNUMBER(SEARCH(#REF!,Tabla11[[#This Row],[Cuenta]],1))</f>
        <v>0</v>
      </c>
      <c r="BS985" t="str">
        <v>521035 Asesoría técnica</v>
      </c>
      <c r="BT985" t="str">
        <v>521035 Asesoría técnica</v>
      </c>
      <c r="BU985" t="str">
        <v>521035 Asesoría técnica</v>
      </c>
      <c r="BV985" t="str">
        <v>521035 Asesoría técnica</v>
      </c>
      <c r="BZ985" t="str">
        <v>521035 Asesoría técnica</v>
      </c>
      <c r="CA985" t="str">
        <v>521035 Asesoría técnica</v>
      </c>
      <c r="CB985" t="str">
        <v>521035 Asesoría técnica</v>
      </c>
      <c r="CC985" t="str">
        <v>521035 Asesoría técnica</v>
      </c>
      <c r="CD985" t="str">
        <v>521035 Asesoría técnica</v>
      </c>
      <c r="CE985" t="str">
        <v>521035 Asesoría técnica</v>
      </c>
      <c r="CS985" s="141" t="str">
        <v>521035 Asesoría técnica</v>
      </c>
      <c r="CT985" s="141" t="str">
        <v>521035 Asesoría técnica</v>
      </c>
      <c r="CU985" s="141" t="str">
        <v>521035 Asesoría técnica</v>
      </c>
      <c r="CV985" s="141" t="str">
        <v>521035 Asesoría técnica</v>
      </c>
      <c r="CW985" s="141" t="str">
        <v>521035 Asesoría técnica</v>
      </c>
      <c r="CX985" s="141" t="str">
        <v>521035 Asesoría técnica</v>
      </c>
      <c r="CY985" s="141" t="str">
        <v>521035 Asesoría técnica</v>
      </c>
      <c r="CZ985" s="141" t="str">
        <v>521035 Asesoría técnica</v>
      </c>
      <c r="DA985" s="141" t="str">
        <v>521035 Asesoría técnica</v>
      </c>
      <c r="DF985" t="str">
        <v>521035 Asesoría técnica</v>
      </c>
      <c r="DG985" t="str">
        <v>521035 Asesoría técnica</v>
      </c>
      <c r="DH985" t="str">
        <v>521035 Asesoría técnica</v>
      </c>
      <c r="DI985" t="str">
        <v>521035 Asesoría técnica</v>
      </c>
      <c r="DJ985" t="str">
        <v>521035 Asesoría técnica</v>
      </c>
      <c r="DK985" t="str">
        <v>521035 Asesoría técnica</v>
      </c>
      <c r="DL985" t="str">
        <v>521035 Asesoría técnica</v>
      </c>
      <c r="DM985" t="str">
        <v>521035 Asesoría técnica</v>
      </c>
      <c r="DN985" t="str">
        <v>521035 Asesoría técnica</v>
      </c>
      <c r="DO985" t="str">
        <v>521035 Asesoría técnica</v>
      </c>
      <c r="DP985" t="str">
        <v>521035 Asesoría técnica</v>
      </c>
    </row>
    <row r="986" spans="4:120" ht="12.75">
      <c r="D986" s="7">
        <v>521095</v>
      </c>
      <c r="E986" s="6" t="s">
        <v>45</v>
      </c>
      <c r="F986" s="5">
        <v>4</v>
      </c>
      <c r="G986" s="34" t="s">
        <v>830</v>
      </c>
      <c r="H986" s="8" t="s">
        <v>32</v>
      </c>
      <c r="I986" t="b">
        <f>+ISNUMBER(SEARCH('F-COMPRA'!$F$28,Tabla11[[#This Row],[Cuenta]],1))</f>
        <v>1</v>
      </c>
      <c r="J986" t="b">
        <f>+ISNUMBER(SEARCH('F-COMPRA'!$F$29,Tabla11[[#This Row],[Cuenta]],1))</f>
        <v>1</v>
      </c>
      <c r="K986" t="b">
        <f>+ISNUMBER(SEARCH('F-COMPRA'!$F$30,Tabla11[[#This Row],[Cuenta]],1))</f>
        <v>1</v>
      </c>
      <c r="L986" t="b">
        <f>+ISNUMBER(SEARCH('F-COMPRA'!$F$31,Tabla11[[#This Row],[Cuenta]],1))</f>
        <v>1</v>
      </c>
      <c r="M986" t="b">
        <f>+ISNUMBER(SEARCH('F-COMPRA'!$G$25,Tabla11[[#This Row],[Cuenta]],1))</f>
        <v>0</v>
      </c>
      <c r="N986" t="b">
        <f>+ISNUMBER(SEARCH(#REF!,Tabla11[[#This Row],[Cuenta]],1))</f>
        <v>0</v>
      </c>
      <c r="O986" t="b">
        <f>+ISNUMBER(SEARCH(#REF!,Tabla11[[#This Row],[Cuenta]],1))</f>
        <v>0</v>
      </c>
      <c r="P986" t="b">
        <f>+ISNUMBER(SEARCH('F-COMPRA'!$F$32,Tabla11[[#This Row],[Cuenta]],1))</f>
        <v>1</v>
      </c>
      <c r="Q986" t="b">
        <f>+ISNUMBER(SEARCH('F-COMPRA'!$F$33,Tabla11[[#This Row],[Cuenta]],1))</f>
        <v>1</v>
      </c>
      <c r="R986" t="b">
        <f>+ISNUMBER(SEARCH('F-COMPRA'!$F$34,Tabla11[[#This Row],[Cuenta]],1))</f>
        <v>1</v>
      </c>
      <c r="S986" t="b">
        <f>+ISNUMBER(SEARCH('F-COMPRA'!$F$35,Tabla11[[#This Row],[Cuenta]],1))</f>
        <v>1</v>
      </c>
      <c r="T986" t="b">
        <f>+ISNUMBER(SEARCH('F-COMPRA'!$F$36,Tabla11[[#This Row],[Cuenta]],1))</f>
        <v>1</v>
      </c>
      <c r="U986" t="b">
        <f>+ISNUMBER(SEARCH('F-COMPRA'!$F$37,Tabla11[[#This Row],[Cuenta]],1))</f>
        <v>1</v>
      </c>
      <c r="V986" t="b">
        <f>+ISNUMBER(SEARCH(#REF!,Tabla11[[#This Row],[Cuenta]],1))</f>
        <v>0</v>
      </c>
      <c r="W986" t="b">
        <f>+ISNUMBER(SEARCH('F-COMPRA'!#REF!,Tabla11[[#This Row],[Cuenta]],1))</f>
        <v>0</v>
      </c>
      <c r="X986" t="b">
        <f>+ISNUMBER(SEARCH('F-COMPRA'!#REF!,Tabla11[[#This Row],[Cuenta]],1))</f>
        <v>0</v>
      </c>
      <c r="Y986" t="b">
        <f>+ISNUMBER(SEARCH('F-COMPRA'!#REF!,Tabla11[[#This Row],[Cuenta]],1))</f>
        <v>0</v>
      </c>
      <c r="Z986" t="b">
        <f>+ISNUMBER(SEARCH('F-COMPRA'!#REF!,Tabla11[[#This Row],[Cuenta]],1))</f>
        <v>0</v>
      </c>
      <c r="AA986" t="b">
        <f>+ISNUMBER(SEARCH('F-COMPRA'!#REF!,Tabla11[[#This Row],[Cuenta]],1))</f>
        <v>0</v>
      </c>
      <c r="AB986" t="b">
        <f>+ISNUMBER(SEARCH('F-COMPRA'!#REF!,Tabla11[[#This Row],[Cuenta]],1))</f>
        <v>0</v>
      </c>
      <c r="AC986" t="b">
        <f>+ISNUMBER(SEARCH('F-COMPRA'!#REF!,Tabla11[[#This Row],[Cuenta]],1))</f>
        <v>0</v>
      </c>
      <c r="AD986" t="b">
        <f>+ISNUMBER(SEARCH('F-COMPRA'!#REF!,Tabla11[[#This Row],[Cuenta]],1))</f>
        <v>0</v>
      </c>
      <c r="AE986" t="b">
        <f>+ISNUMBER(SEARCH('F-COMPRA'!#REF!,Tabla11[[#This Row],[Cuenta]],1))</f>
        <v>0</v>
      </c>
      <c r="AF986" t="b">
        <f>+ISNUMBER(SEARCH('F-VTA'!$G$23,Tabla11[[#This Row],[Cuenta]],1))</f>
        <v>0</v>
      </c>
      <c r="AG986" t="b">
        <f>+ISNUMBER(SEARCH('F-VTA'!$G$24,Tabla11[[#This Row],[Cuenta]],1))</f>
        <v>0</v>
      </c>
      <c r="AH986" t="b">
        <f>+ISNUMBER(SEARCH('F-VTA'!$G$25,Tabla11[[#This Row],[Cuenta]],1))</f>
        <v>0</v>
      </c>
      <c r="AI986" t="b">
        <f>+ISNUMBER(SEARCH('F-VTA'!$F$28,Tabla11[[#This Row],[Cuenta]],1))</f>
        <v>1</v>
      </c>
      <c r="AJ986" t="b">
        <f>+ISNUMBER(SEARCH('F-VTA'!$F$29,Tabla11[[#This Row],[Cuenta]],1))</f>
        <v>1</v>
      </c>
      <c r="AK986" t="b">
        <f>+ISNUMBER(SEARCH('F-VTA'!$F$30,Tabla11[[#This Row],[Cuenta]],1))</f>
        <v>1</v>
      </c>
      <c r="AL986" t="b">
        <f>+ISNUMBER(SEARCH('F-VTA'!$F$31,Tabla11[[#This Row],[Cuenta]],1))</f>
        <v>1</v>
      </c>
      <c r="AM986" t="b">
        <f>+ISNUMBER(SEARCH('F-VTA'!$F$32,Tabla11[[#This Row],[Cuenta]],1))</f>
        <v>1</v>
      </c>
      <c r="AN986" t="b">
        <f>+ISNUMBER(SEARCH('F-VTA'!$F$33,Tabla11[[#This Row],[Cuenta]],1))</f>
        <v>1</v>
      </c>
      <c r="AO986" t="b">
        <f>+ISNUMBER(SEARCH('F-VTA'!$F$34,Tabla11[[#This Row],[Cuenta]],1))</f>
        <v>1</v>
      </c>
      <c r="AP986" t="b">
        <f>+ISNUMBER(SEARCH('F-VTA'!$F$35,Tabla11[[#This Row],[Cuenta]],1))</f>
        <v>1</v>
      </c>
      <c r="AQ986" t="b">
        <f>+ISNUMBER(SEARCH('F-VTA'!$F$36,Tabla11[[#This Row],[Cuenta]],1))</f>
        <v>1</v>
      </c>
      <c r="AR986" t="b">
        <f>+ISNUMBER(SEARCH(#REF!,Tabla11[[#This Row],[Cuenta]],1))</f>
        <v>0</v>
      </c>
      <c r="AS986" t="b">
        <f>+ISNUMBER(SEARCH(#REF!,Tabla11[[#This Row],[Cuenta]],1))</f>
        <v>0</v>
      </c>
      <c r="AT986" t="b">
        <f>+ISNUMBER(SEARCH(#REF!,Tabla11[[#This Row],[Cuenta]],1))</f>
        <v>0</v>
      </c>
      <c r="AU986" t="b">
        <f>+ISNUMBER(SEARCH('Conc. Ban.1'!$I$9,Tabla11[[#This Row],[Cuenta]],1))</f>
        <v>0</v>
      </c>
      <c r="AV986" t="b">
        <f>+ISNUMBER(SEARCH(CompConta!$F$21,Tabla11[[#This Row],[Cuenta]],1))</f>
        <v>1</v>
      </c>
      <c r="AW986" t="b">
        <f>+ISNUMBER(SEARCH(CompConta!$F$22,Tabla11[[#This Row],[Cuenta]],1))</f>
        <v>1</v>
      </c>
      <c r="AX986" t="b">
        <f>+ISNUMBER(SEARCH(CompConta!$F$23,Tabla11[[#This Row],[Cuenta]],1))</f>
        <v>1</v>
      </c>
      <c r="AY986" t="b">
        <f>+ISNUMBER(SEARCH(CompConta!$F$24,Tabla11[[#This Row],[Cuenta]],1))</f>
        <v>1</v>
      </c>
      <c r="AZ986" t="b">
        <f>+ISNUMBER(SEARCH(CompConta!$F$25,Tabla11[[#This Row],[Cuenta]],1))</f>
        <v>1</v>
      </c>
      <c r="BA986" t="b">
        <f>+ISNUMBER(SEARCH(CompConta!$F$26,Tabla11[[#This Row],[Cuenta]],1))</f>
        <v>1</v>
      </c>
      <c r="BB986" t="b">
        <f>+ISNUMBER(SEARCH(CompConta!$F$27,Tabla11[[#This Row],[Cuenta]],1))</f>
        <v>1</v>
      </c>
      <c r="BC986" t="b">
        <f>+ISNUMBER(SEARCH(CompConta!$F$28,Tabla11[[#This Row],[Cuenta]],1))</f>
        <v>1</v>
      </c>
      <c r="BD986" t="b">
        <f>+ISNUMBER(SEARCH(CompConta!$F$29,Tabla11[[#This Row],[Cuenta]],1))</f>
        <v>1</v>
      </c>
      <c r="BE986" t="b">
        <f>+ISNUMBER(SEARCH(CompConta!$F$30,Tabla11[[#This Row],[Cuenta]],1))</f>
        <v>1</v>
      </c>
      <c r="BF986" t="b">
        <f>+ISNUMBER(SEARCH('PAGO Compras'!$E$11,Tabla11[[#This Row],[Cuenta]],1))</f>
        <v>1</v>
      </c>
      <c r="BG986" t="b">
        <f>+ISNUMBER(SEARCH(#REF!,Tabla11[[#This Row],[Cuenta]],1))</f>
        <v>0</v>
      </c>
      <c r="BH986" t="b">
        <f>+ISNUMBER(SEARCH(#REF!,Tabla11[[#This Row],[Cuenta]],1))</f>
        <v>0</v>
      </c>
      <c r="BI986" t="b">
        <f>+ISNUMBER(SEARCH(#REF!,Tabla11[[#This Row],[Cuenta]],1))</f>
        <v>0</v>
      </c>
      <c r="BJ986" t="b">
        <f>+ISNUMBER(SEARCH(#REF!,Tabla11[[#This Row],[Cuenta]],1))</f>
        <v>0</v>
      </c>
      <c r="BS986" t="str">
        <v>521095 Otros</v>
      </c>
      <c r="BT986" t="str">
        <v>521095 Otros</v>
      </c>
      <c r="BU986" t="str">
        <v>521095 Otros</v>
      </c>
      <c r="BV986" t="str">
        <v>521095 Otros</v>
      </c>
      <c r="BZ986" t="str">
        <v>521095 Otros</v>
      </c>
      <c r="CA986" t="str">
        <v>521095 Otros</v>
      </c>
      <c r="CB986" t="str">
        <v>521095 Otros</v>
      </c>
      <c r="CC986" t="str">
        <v>521095 Otros</v>
      </c>
      <c r="CD986" t="str">
        <v>521095 Otros</v>
      </c>
      <c r="CE986" t="str">
        <v>521095 Otros</v>
      </c>
      <c r="CS986" s="141" t="str">
        <v>521095 Otros</v>
      </c>
      <c r="CT986" s="141" t="str">
        <v>521095 Otros</v>
      </c>
      <c r="CU986" s="141" t="str">
        <v>521095 Otros</v>
      </c>
      <c r="CV986" s="141" t="str">
        <v>521095 Otros</v>
      </c>
      <c r="CW986" s="141" t="str">
        <v>521095 Otros</v>
      </c>
      <c r="CX986" s="141" t="str">
        <v>521095 Otros</v>
      </c>
      <c r="CY986" s="141" t="str">
        <v>521095 Otros</v>
      </c>
      <c r="CZ986" s="141" t="str">
        <v>521095 Otros</v>
      </c>
      <c r="DA986" s="141" t="str">
        <v>521095 Otros</v>
      </c>
      <c r="DF986" t="str">
        <v>521095 Otros</v>
      </c>
      <c r="DG986" t="str">
        <v>521095 Otros</v>
      </c>
      <c r="DH986" t="str">
        <v>521095 Otros</v>
      </c>
      <c r="DI986" t="str">
        <v>521095 Otros</v>
      </c>
      <c r="DJ986" t="str">
        <v>521095 Otros</v>
      </c>
      <c r="DK986" t="str">
        <v>521095 Otros</v>
      </c>
      <c r="DL986" t="str">
        <v>521095 Otros</v>
      </c>
      <c r="DM986" t="str">
        <v>521095 Otros</v>
      </c>
      <c r="DN986" t="str">
        <v>521095 Otros</v>
      </c>
      <c r="DO986" t="str">
        <v>521095 Otros</v>
      </c>
      <c r="DP986" t="str">
        <v>521095 Otros</v>
      </c>
    </row>
    <row r="987" spans="4:120" ht="12.75">
      <c r="D987" s="7">
        <v>521099</v>
      </c>
      <c r="E987" s="6" t="s">
        <v>93</v>
      </c>
      <c r="F987" s="5">
        <v>4</v>
      </c>
      <c r="G987" s="34" t="s">
        <v>830</v>
      </c>
      <c r="H987" s="8" t="s">
        <v>32</v>
      </c>
      <c r="I987" t="b">
        <f>+ISNUMBER(SEARCH('F-COMPRA'!$F$28,Tabla11[[#This Row],[Cuenta]],1))</f>
        <v>1</v>
      </c>
      <c r="J987" t="b">
        <f>+ISNUMBER(SEARCH('F-COMPRA'!$F$29,Tabla11[[#This Row],[Cuenta]],1))</f>
        <v>1</v>
      </c>
      <c r="K987" t="b">
        <f>+ISNUMBER(SEARCH('F-COMPRA'!$F$30,Tabla11[[#This Row],[Cuenta]],1))</f>
        <v>1</v>
      </c>
      <c r="L987" t="b">
        <f>+ISNUMBER(SEARCH('F-COMPRA'!$F$31,Tabla11[[#This Row],[Cuenta]],1))</f>
        <v>1</v>
      </c>
      <c r="M987" t="b">
        <f>+ISNUMBER(SEARCH('F-COMPRA'!$G$25,Tabla11[[#This Row],[Cuenta]],1))</f>
        <v>0</v>
      </c>
      <c r="N987" t="b">
        <f>+ISNUMBER(SEARCH(#REF!,Tabla11[[#This Row],[Cuenta]],1))</f>
        <v>0</v>
      </c>
      <c r="O987" t="b">
        <f>+ISNUMBER(SEARCH(#REF!,Tabla11[[#This Row],[Cuenta]],1))</f>
        <v>0</v>
      </c>
      <c r="P987" t="b">
        <f>+ISNUMBER(SEARCH('F-COMPRA'!$F$32,Tabla11[[#This Row],[Cuenta]],1))</f>
        <v>1</v>
      </c>
      <c r="Q987" t="b">
        <f>+ISNUMBER(SEARCH('F-COMPRA'!$F$33,Tabla11[[#This Row],[Cuenta]],1))</f>
        <v>1</v>
      </c>
      <c r="R987" t="b">
        <f>+ISNUMBER(SEARCH('F-COMPRA'!$F$34,Tabla11[[#This Row],[Cuenta]],1))</f>
        <v>1</v>
      </c>
      <c r="S987" t="b">
        <f>+ISNUMBER(SEARCH('F-COMPRA'!$F$35,Tabla11[[#This Row],[Cuenta]],1))</f>
        <v>1</v>
      </c>
      <c r="T987" t="b">
        <f>+ISNUMBER(SEARCH('F-COMPRA'!$F$36,Tabla11[[#This Row],[Cuenta]],1))</f>
        <v>1</v>
      </c>
      <c r="U987" t="b">
        <f>+ISNUMBER(SEARCH('F-COMPRA'!$F$37,Tabla11[[#This Row],[Cuenta]],1))</f>
        <v>1</v>
      </c>
      <c r="V987" t="b">
        <f>+ISNUMBER(SEARCH(#REF!,Tabla11[[#This Row],[Cuenta]],1))</f>
        <v>0</v>
      </c>
      <c r="W987" t="b">
        <f>+ISNUMBER(SEARCH('F-COMPRA'!#REF!,Tabla11[[#This Row],[Cuenta]],1))</f>
        <v>0</v>
      </c>
      <c r="X987" t="b">
        <f>+ISNUMBER(SEARCH('F-COMPRA'!#REF!,Tabla11[[#This Row],[Cuenta]],1))</f>
        <v>0</v>
      </c>
      <c r="Y987" t="b">
        <f>+ISNUMBER(SEARCH('F-COMPRA'!#REF!,Tabla11[[#This Row],[Cuenta]],1))</f>
        <v>0</v>
      </c>
      <c r="Z987" t="b">
        <f>+ISNUMBER(SEARCH('F-COMPRA'!#REF!,Tabla11[[#This Row],[Cuenta]],1))</f>
        <v>0</v>
      </c>
      <c r="AA987" t="b">
        <f>+ISNUMBER(SEARCH('F-COMPRA'!#REF!,Tabla11[[#This Row],[Cuenta]],1))</f>
        <v>0</v>
      </c>
      <c r="AB987" t="b">
        <f>+ISNUMBER(SEARCH('F-COMPRA'!#REF!,Tabla11[[#This Row],[Cuenta]],1))</f>
        <v>0</v>
      </c>
      <c r="AC987" t="b">
        <f>+ISNUMBER(SEARCH('F-COMPRA'!#REF!,Tabla11[[#This Row],[Cuenta]],1))</f>
        <v>0</v>
      </c>
      <c r="AD987" t="b">
        <f>+ISNUMBER(SEARCH('F-COMPRA'!#REF!,Tabla11[[#This Row],[Cuenta]],1))</f>
        <v>0</v>
      </c>
      <c r="AE987" t="b">
        <f>+ISNUMBER(SEARCH('F-COMPRA'!#REF!,Tabla11[[#This Row],[Cuenta]],1))</f>
        <v>0</v>
      </c>
      <c r="AF987" t="b">
        <f>+ISNUMBER(SEARCH('F-VTA'!$G$23,Tabla11[[#This Row],[Cuenta]],1))</f>
        <v>0</v>
      </c>
      <c r="AG987" t="b">
        <f>+ISNUMBER(SEARCH('F-VTA'!$G$24,Tabla11[[#This Row],[Cuenta]],1))</f>
        <v>0</v>
      </c>
      <c r="AH987" t="b">
        <f>+ISNUMBER(SEARCH('F-VTA'!$G$25,Tabla11[[#This Row],[Cuenta]],1))</f>
        <v>0</v>
      </c>
      <c r="AI987" t="b">
        <f>+ISNUMBER(SEARCH('F-VTA'!$F$28,Tabla11[[#This Row],[Cuenta]],1))</f>
        <v>1</v>
      </c>
      <c r="AJ987" t="b">
        <f>+ISNUMBER(SEARCH('F-VTA'!$F$29,Tabla11[[#This Row],[Cuenta]],1))</f>
        <v>1</v>
      </c>
      <c r="AK987" t="b">
        <f>+ISNUMBER(SEARCH('F-VTA'!$F$30,Tabla11[[#This Row],[Cuenta]],1))</f>
        <v>1</v>
      </c>
      <c r="AL987" t="b">
        <f>+ISNUMBER(SEARCH('F-VTA'!$F$31,Tabla11[[#This Row],[Cuenta]],1))</f>
        <v>1</v>
      </c>
      <c r="AM987" t="b">
        <f>+ISNUMBER(SEARCH('F-VTA'!$F$32,Tabla11[[#This Row],[Cuenta]],1))</f>
        <v>1</v>
      </c>
      <c r="AN987" t="b">
        <f>+ISNUMBER(SEARCH('F-VTA'!$F$33,Tabla11[[#This Row],[Cuenta]],1))</f>
        <v>1</v>
      </c>
      <c r="AO987" t="b">
        <f>+ISNUMBER(SEARCH('F-VTA'!$F$34,Tabla11[[#This Row],[Cuenta]],1))</f>
        <v>1</v>
      </c>
      <c r="AP987" t="b">
        <f>+ISNUMBER(SEARCH('F-VTA'!$F$35,Tabla11[[#This Row],[Cuenta]],1))</f>
        <v>1</v>
      </c>
      <c r="AQ987" t="b">
        <f>+ISNUMBER(SEARCH('F-VTA'!$F$36,Tabla11[[#This Row],[Cuenta]],1))</f>
        <v>1</v>
      </c>
      <c r="AR987" t="b">
        <f>+ISNUMBER(SEARCH(#REF!,Tabla11[[#This Row],[Cuenta]],1))</f>
        <v>0</v>
      </c>
      <c r="AS987" t="b">
        <f>+ISNUMBER(SEARCH(#REF!,Tabla11[[#This Row],[Cuenta]],1))</f>
        <v>0</v>
      </c>
      <c r="AT987" t="b">
        <f>+ISNUMBER(SEARCH(#REF!,Tabla11[[#This Row],[Cuenta]],1))</f>
        <v>0</v>
      </c>
      <c r="AU987" t="b">
        <f>+ISNUMBER(SEARCH('Conc. Ban.1'!$I$9,Tabla11[[#This Row],[Cuenta]],1))</f>
        <v>0</v>
      </c>
      <c r="AV987" t="b">
        <f>+ISNUMBER(SEARCH(CompConta!$F$21,Tabla11[[#This Row],[Cuenta]],1))</f>
        <v>1</v>
      </c>
      <c r="AW987" t="b">
        <f>+ISNUMBER(SEARCH(CompConta!$F$22,Tabla11[[#This Row],[Cuenta]],1))</f>
        <v>1</v>
      </c>
      <c r="AX987" t="b">
        <f>+ISNUMBER(SEARCH(CompConta!$F$23,Tabla11[[#This Row],[Cuenta]],1))</f>
        <v>1</v>
      </c>
      <c r="AY987" t="b">
        <f>+ISNUMBER(SEARCH(CompConta!$F$24,Tabla11[[#This Row],[Cuenta]],1))</f>
        <v>1</v>
      </c>
      <c r="AZ987" t="b">
        <f>+ISNUMBER(SEARCH(CompConta!$F$25,Tabla11[[#This Row],[Cuenta]],1))</f>
        <v>1</v>
      </c>
      <c r="BA987" t="b">
        <f>+ISNUMBER(SEARCH(CompConta!$F$26,Tabla11[[#This Row],[Cuenta]],1))</f>
        <v>1</v>
      </c>
      <c r="BB987" t="b">
        <f>+ISNUMBER(SEARCH(CompConta!$F$27,Tabla11[[#This Row],[Cuenta]],1))</f>
        <v>1</v>
      </c>
      <c r="BC987" t="b">
        <f>+ISNUMBER(SEARCH(CompConta!$F$28,Tabla11[[#This Row],[Cuenta]],1))</f>
        <v>1</v>
      </c>
      <c r="BD987" t="b">
        <f>+ISNUMBER(SEARCH(CompConta!$F$29,Tabla11[[#This Row],[Cuenta]],1))</f>
        <v>1</v>
      </c>
      <c r="BE987" t="b">
        <f>+ISNUMBER(SEARCH(CompConta!$F$30,Tabla11[[#This Row],[Cuenta]],1))</f>
        <v>1</v>
      </c>
      <c r="BF987" t="b">
        <f>+ISNUMBER(SEARCH('PAGO Compras'!$E$11,Tabla11[[#This Row],[Cuenta]],1))</f>
        <v>1</v>
      </c>
      <c r="BG987" t="b">
        <f>+ISNUMBER(SEARCH(#REF!,Tabla11[[#This Row],[Cuenta]],1))</f>
        <v>0</v>
      </c>
      <c r="BH987" t="b">
        <f>+ISNUMBER(SEARCH(#REF!,Tabla11[[#This Row],[Cuenta]],1))</f>
        <v>0</v>
      </c>
      <c r="BI987" t="b">
        <f>+ISNUMBER(SEARCH(#REF!,Tabla11[[#This Row],[Cuenta]],1))</f>
        <v>0</v>
      </c>
      <c r="BJ987" t="b">
        <f>+ISNUMBER(SEARCH(#REF!,Tabla11[[#This Row],[Cuenta]],1))</f>
        <v>0</v>
      </c>
      <c r="BS987" t="str">
        <v>521099 *Ajustes por inflación</v>
      </c>
      <c r="BT987" t="str">
        <v>521099 *Ajustes por inflación</v>
      </c>
      <c r="BU987" t="str">
        <v>521099 *Ajustes por inflación</v>
      </c>
      <c r="BV987" t="str">
        <v>521099 *Ajustes por inflación</v>
      </c>
      <c r="BZ987" t="str">
        <v>521099 *Ajustes por inflación</v>
      </c>
      <c r="CA987" t="str">
        <v>521099 *Ajustes por inflación</v>
      </c>
      <c r="CB987" t="str">
        <v>521099 *Ajustes por inflación</v>
      </c>
      <c r="CC987" t="str">
        <v>521099 *Ajustes por inflación</v>
      </c>
      <c r="CD987" t="str">
        <v>521099 *Ajustes por inflación</v>
      </c>
      <c r="CE987" t="str">
        <v>521099 *Ajustes por inflación</v>
      </c>
      <c r="CS987" s="141" t="str">
        <v>521099 *Ajustes por inflación</v>
      </c>
      <c r="CT987" s="141" t="str">
        <v>521099 *Ajustes por inflación</v>
      </c>
      <c r="CU987" s="141" t="str">
        <v>521099 *Ajustes por inflación</v>
      </c>
      <c r="CV987" s="141" t="str">
        <v>521099 *Ajustes por inflación</v>
      </c>
      <c r="CW987" s="141" t="str">
        <v>521099 *Ajustes por inflación</v>
      </c>
      <c r="CX987" s="141" t="str">
        <v>521099 *Ajustes por inflación</v>
      </c>
      <c r="CY987" s="141" t="str">
        <v>521099 *Ajustes por inflación</v>
      </c>
      <c r="CZ987" s="141" t="str">
        <v>521099 *Ajustes por inflación</v>
      </c>
      <c r="DA987" s="141" t="str">
        <v>521099 *Ajustes por inflación</v>
      </c>
      <c r="DF987" t="str">
        <v>521099 *Ajustes por inflación</v>
      </c>
      <c r="DG987" t="str">
        <v>521099 *Ajustes por inflación</v>
      </c>
      <c r="DH987" t="str">
        <v>521099 *Ajustes por inflación</v>
      </c>
      <c r="DI987" t="str">
        <v>521099 *Ajustes por inflación</v>
      </c>
      <c r="DJ987" t="str">
        <v>521099 *Ajustes por inflación</v>
      </c>
      <c r="DK987" t="str">
        <v>521099 *Ajustes por inflación</v>
      </c>
      <c r="DL987" t="str">
        <v>521099 *Ajustes por inflación</v>
      </c>
      <c r="DM987" t="str">
        <v>521099 *Ajustes por inflación</v>
      </c>
      <c r="DN987" t="str">
        <v>521099 *Ajustes por inflación</v>
      </c>
      <c r="DO987" t="str">
        <v>521099 *Ajustes por inflación</v>
      </c>
      <c r="DP987" t="str">
        <v>521099 *Ajustes por inflación</v>
      </c>
    </row>
    <row r="988" spans="4:120" ht="12.75">
      <c r="D988" s="7">
        <v>5215</v>
      </c>
      <c r="E988" s="6" t="s">
        <v>562</v>
      </c>
      <c r="F988" s="5">
        <v>3</v>
      </c>
      <c r="G988" s="34" t="s">
        <v>830</v>
      </c>
      <c r="H988" s="8" t="s">
        <v>32</v>
      </c>
      <c r="I988" t="b">
        <f>+ISNUMBER(SEARCH('F-COMPRA'!$F$28,Tabla11[[#This Row],[Cuenta]],1))</f>
        <v>1</v>
      </c>
      <c r="J988" t="b">
        <f>+ISNUMBER(SEARCH('F-COMPRA'!$F$29,Tabla11[[#This Row],[Cuenta]],1))</f>
        <v>1</v>
      </c>
      <c r="K988" t="b">
        <f>+ISNUMBER(SEARCH('F-COMPRA'!$F$30,Tabla11[[#This Row],[Cuenta]],1))</f>
        <v>1</v>
      </c>
      <c r="L988" t="b">
        <f>+ISNUMBER(SEARCH('F-COMPRA'!$F$31,Tabla11[[#This Row],[Cuenta]],1))</f>
        <v>1</v>
      </c>
      <c r="M988" t="b">
        <f>+ISNUMBER(SEARCH('F-COMPRA'!$G$25,Tabla11[[#This Row],[Cuenta]],1))</f>
        <v>0</v>
      </c>
      <c r="N988" t="b">
        <f>+ISNUMBER(SEARCH(#REF!,Tabla11[[#This Row],[Cuenta]],1))</f>
        <v>0</v>
      </c>
      <c r="O988" t="b">
        <f>+ISNUMBER(SEARCH(#REF!,Tabla11[[#This Row],[Cuenta]],1))</f>
        <v>0</v>
      </c>
      <c r="P988" t="b">
        <f>+ISNUMBER(SEARCH('F-COMPRA'!$F$32,Tabla11[[#This Row],[Cuenta]],1))</f>
        <v>1</v>
      </c>
      <c r="Q988" t="b">
        <f>+ISNUMBER(SEARCH('F-COMPRA'!$F$33,Tabla11[[#This Row],[Cuenta]],1))</f>
        <v>1</v>
      </c>
      <c r="R988" t="b">
        <f>+ISNUMBER(SEARCH('F-COMPRA'!$F$34,Tabla11[[#This Row],[Cuenta]],1))</f>
        <v>1</v>
      </c>
      <c r="S988" t="b">
        <f>+ISNUMBER(SEARCH('F-COMPRA'!$F$35,Tabla11[[#This Row],[Cuenta]],1))</f>
        <v>1</v>
      </c>
      <c r="T988" t="b">
        <f>+ISNUMBER(SEARCH('F-COMPRA'!$F$36,Tabla11[[#This Row],[Cuenta]],1))</f>
        <v>1</v>
      </c>
      <c r="U988" t="b">
        <f>+ISNUMBER(SEARCH('F-COMPRA'!$F$37,Tabla11[[#This Row],[Cuenta]],1))</f>
        <v>1</v>
      </c>
      <c r="V988" t="b">
        <f>+ISNUMBER(SEARCH(#REF!,Tabla11[[#This Row],[Cuenta]],1))</f>
        <v>0</v>
      </c>
      <c r="W988" t="b">
        <f>+ISNUMBER(SEARCH('F-COMPRA'!#REF!,Tabla11[[#This Row],[Cuenta]],1))</f>
        <v>0</v>
      </c>
      <c r="X988" t="b">
        <f>+ISNUMBER(SEARCH('F-COMPRA'!#REF!,Tabla11[[#This Row],[Cuenta]],1))</f>
        <v>0</v>
      </c>
      <c r="Y988" t="b">
        <f>+ISNUMBER(SEARCH('F-COMPRA'!#REF!,Tabla11[[#This Row],[Cuenta]],1))</f>
        <v>0</v>
      </c>
      <c r="Z988" t="b">
        <f>+ISNUMBER(SEARCH('F-COMPRA'!#REF!,Tabla11[[#This Row],[Cuenta]],1))</f>
        <v>0</v>
      </c>
      <c r="AA988" t="b">
        <f>+ISNUMBER(SEARCH('F-COMPRA'!#REF!,Tabla11[[#This Row],[Cuenta]],1))</f>
        <v>0</v>
      </c>
      <c r="AB988" t="b">
        <f>+ISNUMBER(SEARCH('F-COMPRA'!#REF!,Tabla11[[#This Row],[Cuenta]],1))</f>
        <v>0</v>
      </c>
      <c r="AC988" t="b">
        <f>+ISNUMBER(SEARCH('F-COMPRA'!#REF!,Tabla11[[#This Row],[Cuenta]],1))</f>
        <v>0</v>
      </c>
      <c r="AD988" t="b">
        <f>+ISNUMBER(SEARCH('F-COMPRA'!#REF!,Tabla11[[#This Row],[Cuenta]],1))</f>
        <v>0</v>
      </c>
      <c r="AE988" t="b">
        <f>+ISNUMBER(SEARCH('F-COMPRA'!#REF!,Tabla11[[#This Row],[Cuenta]],1))</f>
        <v>0</v>
      </c>
      <c r="AF988" t="b">
        <f>+ISNUMBER(SEARCH('F-VTA'!$G$23,Tabla11[[#This Row],[Cuenta]],1))</f>
        <v>0</v>
      </c>
      <c r="AG988" t="b">
        <f>+ISNUMBER(SEARCH('F-VTA'!$G$24,Tabla11[[#This Row],[Cuenta]],1))</f>
        <v>0</v>
      </c>
      <c r="AH988" t="b">
        <f>+ISNUMBER(SEARCH('F-VTA'!$G$25,Tabla11[[#This Row],[Cuenta]],1))</f>
        <v>0</v>
      </c>
      <c r="AI988" t="b">
        <f>+ISNUMBER(SEARCH('F-VTA'!$F$28,Tabla11[[#This Row],[Cuenta]],1))</f>
        <v>1</v>
      </c>
      <c r="AJ988" t="b">
        <f>+ISNUMBER(SEARCH('F-VTA'!$F$29,Tabla11[[#This Row],[Cuenta]],1))</f>
        <v>1</v>
      </c>
      <c r="AK988" t="b">
        <f>+ISNUMBER(SEARCH('F-VTA'!$F$30,Tabla11[[#This Row],[Cuenta]],1))</f>
        <v>1</v>
      </c>
      <c r="AL988" t="b">
        <f>+ISNUMBER(SEARCH('F-VTA'!$F$31,Tabla11[[#This Row],[Cuenta]],1))</f>
        <v>1</v>
      </c>
      <c r="AM988" t="b">
        <f>+ISNUMBER(SEARCH('F-VTA'!$F$32,Tabla11[[#This Row],[Cuenta]],1))</f>
        <v>1</v>
      </c>
      <c r="AN988" t="b">
        <f>+ISNUMBER(SEARCH('F-VTA'!$F$33,Tabla11[[#This Row],[Cuenta]],1))</f>
        <v>1</v>
      </c>
      <c r="AO988" t="b">
        <f>+ISNUMBER(SEARCH('F-VTA'!$F$34,Tabla11[[#This Row],[Cuenta]],1))</f>
        <v>1</v>
      </c>
      <c r="AP988" t="b">
        <f>+ISNUMBER(SEARCH('F-VTA'!$F$35,Tabla11[[#This Row],[Cuenta]],1))</f>
        <v>1</v>
      </c>
      <c r="AQ988" t="b">
        <f>+ISNUMBER(SEARCH('F-VTA'!$F$36,Tabla11[[#This Row],[Cuenta]],1))</f>
        <v>1</v>
      </c>
      <c r="AR988" t="b">
        <f>+ISNUMBER(SEARCH(#REF!,Tabla11[[#This Row],[Cuenta]],1))</f>
        <v>0</v>
      </c>
      <c r="AS988" t="b">
        <f>+ISNUMBER(SEARCH(#REF!,Tabla11[[#This Row],[Cuenta]],1))</f>
        <v>0</v>
      </c>
      <c r="AT988" t="b">
        <f>+ISNUMBER(SEARCH(#REF!,Tabla11[[#This Row],[Cuenta]],1))</f>
        <v>0</v>
      </c>
      <c r="AU988" t="b">
        <f>+ISNUMBER(SEARCH('Conc. Ban.1'!$I$9,Tabla11[[#This Row],[Cuenta]],1))</f>
        <v>0</v>
      </c>
      <c r="AV988" t="b">
        <f>+ISNUMBER(SEARCH(CompConta!$F$21,Tabla11[[#This Row],[Cuenta]],1))</f>
        <v>1</v>
      </c>
      <c r="AW988" t="b">
        <f>+ISNUMBER(SEARCH(CompConta!$F$22,Tabla11[[#This Row],[Cuenta]],1))</f>
        <v>1</v>
      </c>
      <c r="AX988" t="b">
        <f>+ISNUMBER(SEARCH(CompConta!$F$23,Tabla11[[#This Row],[Cuenta]],1))</f>
        <v>1</v>
      </c>
      <c r="AY988" t="b">
        <f>+ISNUMBER(SEARCH(CompConta!$F$24,Tabla11[[#This Row],[Cuenta]],1))</f>
        <v>1</v>
      </c>
      <c r="AZ988" t="b">
        <f>+ISNUMBER(SEARCH(CompConta!$F$25,Tabla11[[#This Row],[Cuenta]],1))</f>
        <v>1</v>
      </c>
      <c r="BA988" t="b">
        <f>+ISNUMBER(SEARCH(CompConta!$F$26,Tabla11[[#This Row],[Cuenta]],1))</f>
        <v>1</v>
      </c>
      <c r="BB988" t="b">
        <f>+ISNUMBER(SEARCH(CompConta!$F$27,Tabla11[[#This Row],[Cuenta]],1))</f>
        <v>1</v>
      </c>
      <c r="BC988" t="b">
        <f>+ISNUMBER(SEARCH(CompConta!$F$28,Tabla11[[#This Row],[Cuenta]],1))</f>
        <v>1</v>
      </c>
      <c r="BD988" t="b">
        <f>+ISNUMBER(SEARCH(CompConta!$F$29,Tabla11[[#This Row],[Cuenta]],1))</f>
        <v>1</v>
      </c>
      <c r="BE988" t="b">
        <f>+ISNUMBER(SEARCH(CompConta!$F$30,Tabla11[[#This Row],[Cuenta]],1))</f>
        <v>1</v>
      </c>
      <c r="BF988" t="b">
        <f>+ISNUMBER(SEARCH('PAGO Compras'!$E$11,Tabla11[[#This Row],[Cuenta]],1))</f>
        <v>1</v>
      </c>
      <c r="BG988" t="b">
        <f>+ISNUMBER(SEARCH(#REF!,Tabla11[[#This Row],[Cuenta]],1))</f>
        <v>0</v>
      </c>
      <c r="BH988" t="b">
        <f>+ISNUMBER(SEARCH(#REF!,Tabla11[[#This Row],[Cuenta]],1))</f>
        <v>0</v>
      </c>
      <c r="BI988" t="b">
        <f>+ISNUMBER(SEARCH(#REF!,Tabla11[[#This Row],[Cuenta]],1))</f>
        <v>0</v>
      </c>
      <c r="BJ988" t="b">
        <f>+ISNUMBER(SEARCH(#REF!,Tabla11[[#This Row],[Cuenta]],1))</f>
        <v>0</v>
      </c>
      <c r="BS988" t="str">
        <v>5215 IMPUESTOS</v>
      </c>
      <c r="BT988" t="str">
        <v>5215 IMPUESTOS</v>
      </c>
      <c r="BU988" t="str">
        <v>5215 IMPUESTOS</v>
      </c>
      <c r="BV988" t="str">
        <v>5215 IMPUESTOS</v>
      </c>
      <c r="BZ988" t="str">
        <v>5215 IMPUESTOS</v>
      </c>
      <c r="CA988" t="str">
        <v>5215 IMPUESTOS</v>
      </c>
      <c r="CB988" t="str">
        <v>5215 IMPUESTOS</v>
      </c>
      <c r="CC988" t="str">
        <v>5215 IMPUESTOS</v>
      </c>
      <c r="CD988" t="str">
        <v>5215 IMPUESTOS</v>
      </c>
      <c r="CE988" t="str">
        <v>5215 IMPUESTOS</v>
      </c>
      <c r="CS988" s="141" t="str">
        <v>5215 IMPUESTOS</v>
      </c>
      <c r="CT988" s="141" t="str">
        <v>5215 IMPUESTOS</v>
      </c>
      <c r="CU988" s="141" t="str">
        <v>5215 IMPUESTOS</v>
      </c>
      <c r="CV988" s="141" t="str">
        <v>5215 IMPUESTOS</v>
      </c>
      <c r="CW988" s="141" t="str">
        <v>5215 IMPUESTOS</v>
      </c>
      <c r="CX988" s="141" t="str">
        <v>5215 IMPUESTOS</v>
      </c>
      <c r="CY988" s="141" t="str">
        <v>5215 IMPUESTOS</v>
      </c>
      <c r="CZ988" s="141" t="str">
        <v>5215 IMPUESTOS</v>
      </c>
      <c r="DA988" s="141" t="str">
        <v>5215 IMPUESTOS</v>
      </c>
      <c r="DF988" t="str">
        <v>5215 IMPUESTOS</v>
      </c>
      <c r="DG988" t="str">
        <v>5215 IMPUESTOS</v>
      </c>
      <c r="DH988" t="str">
        <v>5215 IMPUESTOS</v>
      </c>
      <c r="DI988" t="str">
        <v>5215 IMPUESTOS</v>
      </c>
      <c r="DJ988" t="str">
        <v>5215 IMPUESTOS</v>
      </c>
      <c r="DK988" t="str">
        <v>5215 IMPUESTOS</v>
      </c>
      <c r="DL988" t="str">
        <v>5215 IMPUESTOS</v>
      </c>
      <c r="DM988" t="str">
        <v>5215 IMPUESTOS</v>
      </c>
      <c r="DN988" t="str">
        <v>5215 IMPUESTOS</v>
      </c>
      <c r="DO988" t="str">
        <v>5215 IMPUESTOS</v>
      </c>
      <c r="DP988" t="str">
        <v>5215 IMPUESTOS</v>
      </c>
    </row>
    <row r="989" spans="4:120" ht="12.75">
      <c r="D989" s="7">
        <v>521505</v>
      </c>
      <c r="E989" s="6" t="s">
        <v>563</v>
      </c>
      <c r="F989" s="5">
        <v>4</v>
      </c>
      <c r="G989" s="34" t="s">
        <v>830</v>
      </c>
      <c r="H989" s="8" t="s">
        <v>32</v>
      </c>
      <c r="I989" t="b">
        <f>+ISNUMBER(SEARCH('F-COMPRA'!$F$28,Tabla11[[#This Row],[Cuenta]],1))</f>
        <v>1</v>
      </c>
      <c r="J989" t="b">
        <f>+ISNUMBER(SEARCH('F-COMPRA'!$F$29,Tabla11[[#This Row],[Cuenta]],1))</f>
        <v>1</v>
      </c>
      <c r="K989" t="b">
        <f>+ISNUMBER(SEARCH('F-COMPRA'!$F$30,Tabla11[[#This Row],[Cuenta]],1))</f>
        <v>1</v>
      </c>
      <c r="L989" t="b">
        <f>+ISNUMBER(SEARCH('F-COMPRA'!$F$31,Tabla11[[#This Row],[Cuenta]],1))</f>
        <v>1</v>
      </c>
      <c r="M989" t="b">
        <f>+ISNUMBER(SEARCH('F-COMPRA'!$G$25,Tabla11[[#This Row],[Cuenta]],1))</f>
        <v>0</v>
      </c>
      <c r="N989" t="b">
        <f>+ISNUMBER(SEARCH(#REF!,Tabla11[[#This Row],[Cuenta]],1))</f>
        <v>0</v>
      </c>
      <c r="O989" t="b">
        <f>+ISNUMBER(SEARCH(#REF!,Tabla11[[#This Row],[Cuenta]],1))</f>
        <v>0</v>
      </c>
      <c r="P989" t="b">
        <f>+ISNUMBER(SEARCH('F-COMPRA'!$F$32,Tabla11[[#This Row],[Cuenta]],1))</f>
        <v>1</v>
      </c>
      <c r="Q989" t="b">
        <f>+ISNUMBER(SEARCH('F-COMPRA'!$F$33,Tabla11[[#This Row],[Cuenta]],1))</f>
        <v>1</v>
      </c>
      <c r="R989" t="b">
        <f>+ISNUMBER(SEARCH('F-COMPRA'!$F$34,Tabla11[[#This Row],[Cuenta]],1))</f>
        <v>1</v>
      </c>
      <c r="S989" t="b">
        <f>+ISNUMBER(SEARCH('F-COMPRA'!$F$35,Tabla11[[#This Row],[Cuenta]],1))</f>
        <v>1</v>
      </c>
      <c r="T989" t="b">
        <f>+ISNUMBER(SEARCH('F-COMPRA'!$F$36,Tabla11[[#This Row],[Cuenta]],1))</f>
        <v>1</v>
      </c>
      <c r="U989" t="b">
        <f>+ISNUMBER(SEARCH('F-COMPRA'!$F$37,Tabla11[[#This Row],[Cuenta]],1))</f>
        <v>1</v>
      </c>
      <c r="V989" t="b">
        <f>+ISNUMBER(SEARCH(#REF!,Tabla11[[#This Row],[Cuenta]],1))</f>
        <v>0</v>
      </c>
      <c r="W989" t="b">
        <f>+ISNUMBER(SEARCH('F-COMPRA'!#REF!,Tabla11[[#This Row],[Cuenta]],1))</f>
        <v>0</v>
      </c>
      <c r="X989" t="b">
        <f>+ISNUMBER(SEARCH('F-COMPRA'!#REF!,Tabla11[[#This Row],[Cuenta]],1))</f>
        <v>0</v>
      </c>
      <c r="Y989" t="b">
        <f>+ISNUMBER(SEARCH('F-COMPRA'!#REF!,Tabla11[[#This Row],[Cuenta]],1))</f>
        <v>0</v>
      </c>
      <c r="Z989" t="b">
        <f>+ISNUMBER(SEARCH('F-COMPRA'!#REF!,Tabla11[[#This Row],[Cuenta]],1))</f>
        <v>0</v>
      </c>
      <c r="AA989" t="b">
        <f>+ISNUMBER(SEARCH('F-COMPRA'!#REF!,Tabla11[[#This Row],[Cuenta]],1))</f>
        <v>0</v>
      </c>
      <c r="AB989" t="b">
        <f>+ISNUMBER(SEARCH('F-COMPRA'!#REF!,Tabla11[[#This Row],[Cuenta]],1))</f>
        <v>0</v>
      </c>
      <c r="AC989" t="b">
        <f>+ISNUMBER(SEARCH('F-COMPRA'!#REF!,Tabla11[[#This Row],[Cuenta]],1))</f>
        <v>0</v>
      </c>
      <c r="AD989" t="b">
        <f>+ISNUMBER(SEARCH('F-COMPRA'!#REF!,Tabla11[[#This Row],[Cuenta]],1))</f>
        <v>0</v>
      </c>
      <c r="AE989" t="b">
        <f>+ISNUMBER(SEARCH('F-COMPRA'!#REF!,Tabla11[[#This Row],[Cuenta]],1))</f>
        <v>0</v>
      </c>
      <c r="AF989" t="b">
        <f>+ISNUMBER(SEARCH('F-VTA'!$G$23,Tabla11[[#This Row],[Cuenta]],1))</f>
        <v>0</v>
      </c>
      <c r="AG989" t="b">
        <f>+ISNUMBER(SEARCH('F-VTA'!$G$24,Tabla11[[#This Row],[Cuenta]],1))</f>
        <v>0</v>
      </c>
      <c r="AH989" t="b">
        <f>+ISNUMBER(SEARCH('F-VTA'!$G$25,Tabla11[[#This Row],[Cuenta]],1))</f>
        <v>0</v>
      </c>
      <c r="AI989" t="b">
        <f>+ISNUMBER(SEARCH('F-VTA'!$F$28,Tabla11[[#This Row],[Cuenta]],1))</f>
        <v>1</v>
      </c>
      <c r="AJ989" t="b">
        <f>+ISNUMBER(SEARCH('F-VTA'!$F$29,Tabla11[[#This Row],[Cuenta]],1))</f>
        <v>1</v>
      </c>
      <c r="AK989" t="b">
        <f>+ISNUMBER(SEARCH('F-VTA'!$F$30,Tabla11[[#This Row],[Cuenta]],1))</f>
        <v>1</v>
      </c>
      <c r="AL989" t="b">
        <f>+ISNUMBER(SEARCH('F-VTA'!$F$31,Tabla11[[#This Row],[Cuenta]],1))</f>
        <v>1</v>
      </c>
      <c r="AM989" t="b">
        <f>+ISNUMBER(SEARCH('F-VTA'!$F$32,Tabla11[[#This Row],[Cuenta]],1))</f>
        <v>1</v>
      </c>
      <c r="AN989" t="b">
        <f>+ISNUMBER(SEARCH('F-VTA'!$F$33,Tabla11[[#This Row],[Cuenta]],1))</f>
        <v>1</v>
      </c>
      <c r="AO989" t="b">
        <f>+ISNUMBER(SEARCH('F-VTA'!$F$34,Tabla11[[#This Row],[Cuenta]],1))</f>
        <v>1</v>
      </c>
      <c r="AP989" t="b">
        <f>+ISNUMBER(SEARCH('F-VTA'!$F$35,Tabla11[[#This Row],[Cuenta]],1))</f>
        <v>1</v>
      </c>
      <c r="AQ989" t="b">
        <f>+ISNUMBER(SEARCH('F-VTA'!$F$36,Tabla11[[#This Row],[Cuenta]],1))</f>
        <v>1</v>
      </c>
      <c r="AR989" t="b">
        <f>+ISNUMBER(SEARCH(#REF!,Tabla11[[#This Row],[Cuenta]],1))</f>
        <v>0</v>
      </c>
      <c r="AS989" t="b">
        <f>+ISNUMBER(SEARCH(#REF!,Tabla11[[#This Row],[Cuenta]],1))</f>
        <v>0</v>
      </c>
      <c r="AT989" t="b">
        <f>+ISNUMBER(SEARCH(#REF!,Tabla11[[#This Row],[Cuenta]],1))</f>
        <v>0</v>
      </c>
      <c r="AU989" t="b">
        <f>+ISNUMBER(SEARCH('Conc. Ban.1'!$I$9,Tabla11[[#This Row],[Cuenta]],1))</f>
        <v>0</v>
      </c>
      <c r="AV989" t="b">
        <f>+ISNUMBER(SEARCH(CompConta!$F$21,Tabla11[[#This Row],[Cuenta]],1))</f>
        <v>1</v>
      </c>
      <c r="AW989" t="b">
        <f>+ISNUMBER(SEARCH(CompConta!$F$22,Tabla11[[#This Row],[Cuenta]],1))</f>
        <v>1</v>
      </c>
      <c r="AX989" t="b">
        <f>+ISNUMBER(SEARCH(CompConta!$F$23,Tabla11[[#This Row],[Cuenta]],1))</f>
        <v>1</v>
      </c>
      <c r="AY989" t="b">
        <f>+ISNUMBER(SEARCH(CompConta!$F$24,Tabla11[[#This Row],[Cuenta]],1))</f>
        <v>1</v>
      </c>
      <c r="AZ989" t="b">
        <f>+ISNUMBER(SEARCH(CompConta!$F$25,Tabla11[[#This Row],[Cuenta]],1))</f>
        <v>1</v>
      </c>
      <c r="BA989" t="b">
        <f>+ISNUMBER(SEARCH(CompConta!$F$26,Tabla11[[#This Row],[Cuenta]],1))</f>
        <v>1</v>
      </c>
      <c r="BB989" t="b">
        <f>+ISNUMBER(SEARCH(CompConta!$F$27,Tabla11[[#This Row],[Cuenta]],1))</f>
        <v>1</v>
      </c>
      <c r="BC989" t="b">
        <f>+ISNUMBER(SEARCH(CompConta!$F$28,Tabla11[[#This Row],[Cuenta]],1))</f>
        <v>1</v>
      </c>
      <c r="BD989" t="b">
        <f>+ISNUMBER(SEARCH(CompConta!$F$29,Tabla11[[#This Row],[Cuenta]],1))</f>
        <v>1</v>
      </c>
      <c r="BE989" t="b">
        <f>+ISNUMBER(SEARCH(CompConta!$F$30,Tabla11[[#This Row],[Cuenta]],1))</f>
        <v>1</v>
      </c>
      <c r="BF989" t="b">
        <f>+ISNUMBER(SEARCH('PAGO Compras'!$E$11,Tabla11[[#This Row],[Cuenta]],1))</f>
        <v>1</v>
      </c>
      <c r="BG989" t="b">
        <f>+ISNUMBER(SEARCH(#REF!,Tabla11[[#This Row],[Cuenta]],1))</f>
        <v>0</v>
      </c>
      <c r="BH989" t="b">
        <f>+ISNUMBER(SEARCH(#REF!,Tabla11[[#This Row],[Cuenta]],1))</f>
        <v>0</v>
      </c>
      <c r="BI989" t="b">
        <f>+ISNUMBER(SEARCH(#REF!,Tabla11[[#This Row],[Cuenta]],1))</f>
        <v>0</v>
      </c>
      <c r="BJ989" t="b">
        <f>+ISNUMBER(SEARCH(#REF!,Tabla11[[#This Row],[Cuenta]],1))</f>
        <v>0</v>
      </c>
      <c r="BS989" t="str">
        <v>521505 Industria y comercio</v>
      </c>
      <c r="BT989" t="str">
        <v>521505 Industria y comercio</v>
      </c>
      <c r="BU989" t="str">
        <v>521505 Industria y comercio</v>
      </c>
      <c r="BV989" t="str">
        <v>521505 Industria y comercio</v>
      </c>
      <c r="BZ989" t="str">
        <v>521505 Industria y comercio</v>
      </c>
      <c r="CA989" t="str">
        <v>521505 Industria y comercio</v>
      </c>
      <c r="CB989" t="str">
        <v>521505 Industria y comercio</v>
      </c>
      <c r="CC989" t="str">
        <v>521505 Industria y comercio</v>
      </c>
      <c r="CD989" t="str">
        <v>521505 Industria y comercio</v>
      </c>
      <c r="CE989" t="str">
        <v>521505 Industria y comercio</v>
      </c>
      <c r="CS989" s="141" t="str">
        <v>521505 Industria y comercio</v>
      </c>
      <c r="CT989" s="141" t="str">
        <v>521505 Industria y comercio</v>
      </c>
      <c r="CU989" s="141" t="str">
        <v>521505 Industria y comercio</v>
      </c>
      <c r="CV989" s="141" t="str">
        <v>521505 Industria y comercio</v>
      </c>
      <c r="CW989" s="141" t="str">
        <v>521505 Industria y comercio</v>
      </c>
      <c r="CX989" s="141" t="str">
        <v>521505 Industria y comercio</v>
      </c>
      <c r="CY989" s="141" t="str">
        <v>521505 Industria y comercio</v>
      </c>
      <c r="CZ989" s="141" t="str">
        <v>521505 Industria y comercio</v>
      </c>
      <c r="DA989" s="141" t="str">
        <v>521505 Industria y comercio</v>
      </c>
      <c r="DF989" t="str">
        <v>521505 Industria y comercio</v>
      </c>
      <c r="DG989" t="str">
        <v>521505 Industria y comercio</v>
      </c>
      <c r="DH989" t="str">
        <v>521505 Industria y comercio</v>
      </c>
      <c r="DI989" t="str">
        <v>521505 Industria y comercio</v>
      </c>
      <c r="DJ989" t="str">
        <v>521505 Industria y comercio</v>
      </c>
      <c r="DK989" t="str">
        <v>521505 Industria y comercio</v>
      </c>
      <c r="DL989" t="str">
        <v>521505 Industria y comercio</v>
      </c>
      <c r="DM989" t="str">
        <v>521505 Industria y comercio</v>
      </c>
      <c r="DN989" t="str">
        <v>521505 Industria y comercio</v>
      </c>
      <c r="DO989" t="str">
        <v>521505 Industria y comercio</v>
      </c>
      <c r="DP989" t="str">
        <v>521505 Industria y comercio</v>
      </c>
    </row>
    <row r="990" spans="4:120" ht="12.75">
      <c r="D990" s="7">
        <v>521510</v>
      </c>
      <c r="E990" s="6" t="s">
        <v>564</v>
      </c>
      <c r="F990" s="5">
        <v>4</v>
      </c>
      <c r="G990" s="34" t="s">
        <v>830</v>
      </c>
      <c r="H990" s="8" t="s">
        <v>32</v>
      </c>
      <c r="I990" t="b">
        <f>+ISNUMBER(SEARCH('F-COMPRA'!$F$28,Tabla11[[#This Row],[Cuenta]],1))</f>
        <v>1</v>
      </c>
      <c r="J990" t="b">
        <f>+ISNUMBER(SEARCH('F-COMPRA'!$F$29,Tabla11[[#This Row],[Cuenta]],1))</f>
        <v>1</v>
      </c>
      <c r="K990" t="b">
        <f>+ISNUMBER(SEARCH('F-COMPRA'!$F$30,Tabla11[[#This Row],[Cuenta]],1))</f>
        <v>1</v>
      </c>
      <c r="L990" t="b">
        <f>+ISNUMBER(SEARCH('F-COMPRA'!$F$31,Tabla11[[#This Row],[Cuenta]],1))</f>
        <v>1</v>
      </c>
      <c r="M990" t="b">
        <f>+ISNUMBER(SEARCH('F-COMPRA'!$G$25,Tabla11[[#This Row],[Cuenta]],1))</f>
        <v>0</v>
      </c>
      <c r="N990" t="b">
        <f>+ISNUMBER(SEARCH(#REF!,Tabla11[[#This Row],[Cuenta]],1))</f>
        <v>0</v>
      </c>
      <c r="O990" t="b">
        <f>+ISNUMBER(SEARCH(#REF!,Tabla11[[#This Row],[Cuenta]],1))</f>
        <v>0</v>
      </c>
      <c r="P990" t="b">
        <f>+ISNUMBER(SEARCH('F-COMPRA'!$F$32,Tabla11[[#This Row],[Cuenta]],1))</f>
        <v>1</v>
      </c>
      <c r="Q990" t="b">
        <f>+ISNUMBER(SEARCH('F-COMPRA'!$F$33,Tabla11[[#This Row],[Cuenta]],1))</f>
        <v>1</v>
      </c>
      <c r="R990" t="b">
        <f>+ISNUMBER(SEARCH('F-COMPRA'!$F$34,Tabla11[[#This Row],[Cuenta]],1))</f>
        <v>1</v>
      </c>
      <c r="S990" t="b">
        <f>+ISNUMBER(SEARCH('F-COMPRA'!$F$35,Tabla11[[#This Row],[Cuenta]],1))</f>
        <v>1</v>
      </c>
      <c r="T990" t="b">
        <f>+ISNUMBER(SEARCH('F-COMPRA'!$F$36,Tabla11[[#This Row],[Cuenta]],1))</f>
        <v>1</v>
      </c>
      <c r="U990" t="b">
        <f>+ISNUMBER(SEARCH('F-COMPRA'!$F$37,Tabla11[[#This Row],[Cuenta]],1))</f>
        <v>1</v>
      </c>
      <c r="V990" t="b">
        <f>+ISNUMBER(SEARCH(#REF!,Tabla11[[#This Row],[Cuenta]],1))</f>
        <v>0</v>
      </c>
      <c r="W990" t="b">
        <f>+ISNUMBER(SEARCH('F-COMPRA'!#REF!,Tabla11[[#This Row],[Cuenta]],1))</f>
        <v>0</v>
      </c>
      <c r="X990" t="b">
        <f>+ISNUMBER(SEARCH('F-COMPRA'!#REF!,Tabla11[[#This Row],[Cuenta]],1))</f>
        <v>0</v>
      </c>
      <c r="Y990" t="b">
        <f>+ISNUMBER(SEARCH('F-COMPRA'!#REF!,Tabla11[[#This Row],[Cuenta]],1))</f>
        <v>0</v>
      </c>
      <c r="Z990" t="b">
        <f>+ISNUMBER(SEARCH('F-COMPRA'!#REF!,Tabla11[[#This Row],[Cuenta]],1))</f>
        <v>0</v>
      </c>
      <c r="AA990" t="b">
        <f>+ISNUMBER(SEARCH('F-COMPRA'!#REF!,Tabla11[[#This Row],[Cuenta]],1))</f>
        <v>0</v>
      </c>
      <c r="AB990" t="b">
        <f>+ISNUMBER(SEARCH('F-COMPRA'!#REF!,Tabla11[[#This Row],[Cuenta]],1))</f>
        <v>0</v>
      </c>
      <c r="AC990" t="b">
        <f>+ISNUMBER(SEARCH('F-COMPRA'!#REF!,Tabla11[[#This Row],[Cuenta]],1))</f>
        <v>0</v>
      </c>
      <c r="AD990" t="b">
        <f>+ISNUMBER(SEARCH('F-COMPRA'!#REF!,Tabla11[[#This Row],[Cuenta]],1))</f>
        <v>0</v>
      </c>
      <c r="AE990" t="b">
        <f>+ISNUMBER(SEARCH('F-COMPRA'!#REF!,Tabla11[[#This Row],[Cuenta]],1))</f>
        <v>0</v>
      </c>
      <c r="AF990" t="b">
        <f>+ISNUMBER(SEARCH('F-VTA'!$G$23,Tabla11[[#This Row],[Cuenta]],1))</f>
        <v>0</v>
      </c>
      <c r="AG990" t="b">
        <f>+ISNUMBER(SEARCH('F-VTA'!$G$24,Tabla11[[#This Row],[Cuenta]],1))</f>
        <v>0</v>
      </c>
      <c r="AH990" t="b">
        <f>+ISNUMBER(SEARCH('F-VTA'!$G$25,Tabla11[[#This Row],[Cuenta]],1))</f>
        <v>0</v>
      </c>
      <c r="AI990" t="b">
        <f>+ISNUMBER(SEARCH('F-VTA'!$F$28,Tabla11[[#This Row],[Cuenta]],1))</f>
        <v>1</v>
      </c>
      <c r="AJ990" t="b">
        <f>+ISNUMBER(SEARCH('F-VTA'!$F$29,Tabla11[[#This Row],[Cuenta]],1))</f>
        <v>1</v>
      </c>
      <c r="AK990" t="b">
        <f>+ISNUMBER(SEARCH('F-VTA'!$F$30,Tabla11[[#This Row],[Cuenta]],1))</f>
        <v>1</v>
      </c>
      <c r="AL990" t="b">
        <f>+ISNUMBER(SEARCH('F-VTA'!$F$31,Tabla11[[#This Row],[Cuenta]],1))</f>
        <v>1</v>
      </c>
      <c r="AM990" t="b">
        <f>+ISNUMBER(SEARCH('F-VTA'!$F$32,Tabla11[[#This Row],[Cuenta]],1))</f>
        <v>1</v>
      </c>
      <c r="AN990" t="b">
        <f>+ISNUMBER(SEARCH('F-VTA'!$F$33,Tabla11[[#This Row],[Cuenta]],1))</f>
        <v>1</v>
      </c>
      <c r="AO990" t="b">
        <f>+ISNUMBER(SEARCH('F-VTA'!$F$34,Tabla11[[#This Row],[Cuenta]],1))</f>
        <v>1</v>
      </c>
      <c r="AP990" t="b">
        <f>+ISNUMBER(SEARCH('F-VTA'!$F$35,Tabla11[[#This Row],[Cuenta]],1))</f>
        <v>1</v>
      </c>
      <c r="AQ990" t="b">
        <f>+ISNUMBER(SEARCH('F-VTA'!$F$36,Tabla11[[#This Row],[Cuenta]],1))</f>
        <v>1</v>
      </c>
      <c r="AR990" t="b">
        <f>+ISNUMBER(SEARCH(#REF!,Tabla11[[#This Row],[Cuenta]],1))</f>
        <v>0</v>
      </c>
      <c r="AS990" t="b">
        <f>+ISNUMBER(SEARCH(#REF!,Tabla11[[#This Row],[Cuenta]],1))</f>
        <v>0</v>
      </c>
      <c r="AT990" t="b">
        <f>+ISNUMBER(SEARCH(#REF!,Tabla11[[#This Row],[Cuenta]],1))</f>
        <v>0</v>
      </c>
      <c r="AU990" t="b">
        <f>+ISNUMBER(SEARCH('Conc. Ban.1'!$I$9,Tabla11[[#This Row],[Cuenta]],1))</f>
        <v>0</v>
      </c>
      <c r="AV990" t="b">
        <f>+ISNUMBER(SEARCH(CompConta!$F$21,Tabla11[[#This Row],[Cuenta]],1))</f>
        <v>1</v>
      </c>
      <c r="AW990" t="b">
        <f>+ISNUMBER(SEARCH(CompConta!$F$22,Tabla11[[#This Row],[Cuenta]],1))</f>
        <v>1</v>
      </c>
      <c r="AX990" t="b">
        <f>+ISNUMBER(SEARCH(CompConta!$F$23,Tabla11[[#This Row],[Cuenta]],1))</f>
        <v>1</v>
      </c>
      <c r="AY990" t="b">
        <f>+ISNUMBER(SEARCH(CompConta!$F$24,Tabla11[[#This Row],[Cuenta]],1))</f>
        <v>1</v>
      </c>
      <c r="AZ990" t="b">
        <f>+ISNUMBER(SEARCH(CompConta!$F$25,Tabla11[[#This Row],[Cuenta]],1))</f>
        <v>1</v>
      </c>
      <c r="BA990" t="b">
        <f>+ISNUMBER(SEARCH(CompConta!$F$26,Tabla11[[#This Row],[Cuenta]],1))</f>
        <v>1</v>
      </c>
      <c r="BB990" t="b">
        <f>+ISNUMBER(SEARCH(CompConta!$F$27,Tabla11[[#This Row],[Cuenta]],1))</f>
        <v>1</v>
      </c>
      <c r="BC990" t="b">
        <f>+ISNUMBER(SEARCH(CompConta!$F$28,Tabla11[[#This Row],[Cuenta]],1))</f>
        <v>1</v>
      </c>
      <c r="BD990" t="b">
        <f>+ISNUMBER(SEARCH(CompConta!$F$29,Tabla11[[#This Row],[Cuenta]],1))</f>
        <v>1</v>
      </c>
      <c r="BE990" t="b">
        <f>+ISNUMBER(SEARCH(CompConta!$F$30,Tabla11[[#This Row],[Cuenta]],1))</f>
        <v>1</v>
      </c>
      <c r="BF990" t="b">
        <f>+ISNUMBER(SEARCH('PAGO Compras'!$E$11,Tabla11[[#This Row],[Cuenta]],1))</f>
        <v>1</v>
      </c>
      <c r="BG990" t="b">
        <f>+ISNUMBER(SEARCH(#REF!,Tabla11[[#This Row],[Cuenta]],1))</f>
        <v>0</v>
      </c>
      <c r="BH990" t="b">
        <f>+ISNUMBER(SEARCH(#REF!,Tabla11[[#This Row],[Cuenta]],1))</f>
        <v>0</v>
      </c>
      <c r="BI990" t="b">
        <f>+ISNUMBER(SEARCH(#REF!,Tabla11[[#This Row],[Cuenta]],1))</f>
        <v>0</v>
      </c>
      <c r="BJ990" t="b">
        <f>+ISNUMBER(SEARCH(#REF!,Tabla11[[#This Row],[Cuenta]],1))</f>
        <v>0</v>
      </c>
      <c r="BS990" t="str">
        <v>521510 De timbres</v>
      </c>
      <c r="BT990" t="str">
        <v>521510 De timbres</v>
      </c>
      <c r="BU990" t="str">
        <v>521510 De timbres</v>
      </c>
      <c r="BV990" t="str">
        <v>521510 De timbres</v>
      </c>
      <c r="BZ990" t="str">
        <v>521510 De timbres</v>
      </c>
      <c r="CA990" t="str">
        <v>521510 De timbres</v>
      </c>
      <c r="CB990" t="str">
        <v>521510 De timbres</v>
      </c>
      <c r="CC990" t="str">
        <v>521510 De timbres</v>
      </c>
      <c r="CD990" t="str">
        <v>521510 De timbres</v>
      </c>
      <c r="CE990" t="str">
        <v>521510 De timbres</v>
      </c>
      <c r="CS990" s="141" t="str">
        <v>521510 De timbres</v>
      </c>
      <c r="CT990" s="141" t="str">
        <v>521510 De timbres</v>
      </c>
      <c r="CU990" s="141" t="str">
        <v>521510 De timbres</v>
      </c>
      <c r="CV990" s="141" t="str">
        <v>521510 De timbres</v>
      </c>
      <c r="CW990" s="141" t="str">
        <v>521510 De timbres</v>
      </c>
      <c r="CX990" s="141" t="str">
        <v>521510 De timbres</v>
      </c>
      <c r="CY990" s="141" t="str">
        <v>521510 De timbres</v>
      </c>
      <c r="CZ990" s="141" t="str">
        <v>521510 De timbres</v>
      </c>
      <c r="DA990" s="141" t="str">
        <v>521510 De timbres</v>
      </c>
      <c r="DF990" t="str">
        <v>521510 De timbres</v>
      </c>
      <c r="DG990" t="str">
        <v>521510 De timbres</v>
      </c>
      <c r="DH990" t="str">
        <v>521510 De timbres</v>
      </c>
      <c r="DI990" t="str">
        <v>521510 De timbres</v>
      </c>
      <c r="DJ990" t="str">
        <v>521510 De timbres</v>
      </c>
      <c r="DK990" t="str">
        <v>521510 De timbres</v>
      </c>
      <c r="DL990" t="str">
        <v>521510 De timbres</v>
      </c>
      <c r="DM990" t="str">
        <v>521510 De timbres</v>
      </c>
      <c r="DN990" t="str">
        <v>521510 De timbres</v>
      </c>
      <c r="DO990" t="str">
        <v>521510 De timbres</v>
      </c>
      <c r="DP990" t="str">
        <v>521510 De timbres</v>
      </c>
    </row>
    <row r="991" spans="4:120" ht="12.75">
      <c r="D991" s="7">
        <v>521515</v>
      </c>
      <c r="E991" s="6" t="s">
        <v>565</v>
      </c>
      <c r="F991" s="5">
        <v>4</v>
      </c>
      <c r="G991" s="34" t="s">
        <v>830</v>
      </c>
      <c r="H991" s="8" t="s">
        <v>32</v>
      </c>
      <c r="I991" t="b">
        <f>+ISNUMBER(SEARCH('F-COMPRA'!$F$28,Tabla11[[#This Row],[Cuenta]],1))</f>
        <v>1</v>
      </c>
      <c r="J991" t="b">
        <f>+ISNUMBER(SEARCH('F-COMPRA'!$F$29,Tabla11[[#This Row],[Cuenta]],1))</f>
        <v>1</v>
      </c>
      <c r="K991" t="b">
        <f>+ISNUMBER(SEARCH('F-COMPRA'!$F$30,Tabla11[[#This Row],[Cuenta]],1))</f>
        <v>1</v>
      </c>
      <c r="L991" t="b">
        <f>+ISNUMBER(SEARCH('F-COMPRA'!$F$31,Tabla11[[#This Row],[Cuenta]],1))</f>
        <v>1</v>
      </c>
      <c r="M991" t="b">
        <f>+ISNUMBER(SEARCH('F-COMPRA'!$G$25,Tabla11[[#This Row],[Cuenta]],1))</f>
        <v>0</v>
      </c>
      <c r="N991" t="b">
        <f>+ISNUMBER(SEARCH(#REF!,Tabla11[[#This Row],[Cuenta]],1))</f>
        <v>0</v>
      </c>
      <c r="O991" t="b">
        <f>+ISNUMBER(SEARCH(#REF!,Tabla11[[#This Row],[Cuenta]],1))</f>
        <v>0</v>
      </c>
      <c r="P991" t="b">
        <f>+ISNUMBER(SEARCH('F-COMPRA'!$F$32,Tabla11[[#This Row],[Cuenta]],1))</f>
        <v>1</v>
      </c>
      <c r="Q991" t="b">
        <f>+ISNUMBER(SEARCH('F-COMPRA'!$F$33,Tabla11[[#This Row],[Cuenta]],1))</f>
        <v>1</v>
      </c>
      <c r="R991" t="b">
        <f>+ISNUMBER(SEARCH('F-COMPRA'!$F$34,Tabla11[[#This Row],[Cuenta]],1))</f>
        <v>1</v>
      </c>
      <c r="S991" t="b">
        <f>+ISNUMBER(SEARCH('F-COMPRA'!$F$35,Tabla11[[#This Row],[Cuenta]],1))</f>
        <v>1</v>
      </c>
      <c r="T991" t="b">
        <f>+ISNUMBER(SEARCH('F-COMPRA'!$F$36,Tabla11[[#This Row],[Cuenta]],1))</f>
        <v>1</v>
      </c>
      <c r="U991" t="b">
        <f>+ISNUMBER(SEARCH('F-COMPRA'!$F$37,Tabla11[[#This Row],[Cuenta]],1))</f>
        <v>1</v>
      </c>
      <c r="V991" t="b">
        <f>+ISNUMBER(SEARCH(#REF!,Tabla11[[#This Row],[Cuenta]],1))</f>
        <v>0</v>
      </c>
      <c r="W991" t="b">
        <f>+ISNUMBER(SEARCH('F-COMPRA'!#REF!,Tabla11[[#This Row],[Cuenta]],1))</f>
        <v>0</v>
      </c>
      <c r="X991" t="b">
        <f>+ISNUMBER(SEARCH('F-COMPRA'!#REF!,Tabla11[[#This Row],[Cuenta]],1))</f>
        <v>0</v>
      </c>
      <c r="Y991" t="b">
        <f>+ISNUMBER(SEARCH('F-COMPRA'!#REF!,Tabla11[[#This Row],[Cuenta]],1))</f>
        <v>0</v>
      </c>
      <c r="Z991" t="b">
        <f>+ISNUMBER(SEARCH('F-COMPRA'!#REF!,Tabla11[[#This Row],[Cuenta]],1))</f>
        <v>0</v>
      </c>
      <c r="AA991" t="b">
        <f>+ISNUMBER(SEARCH('F-COMPRA'!#REF!,Tabla11[[#This Row],[Cuenta]],1))</f>
        <v>0</v>
      </c>
      <c r="AB991" t="b">
        <f>+ISNUMBER(SEARCH('F-COMPRA'!#REF!,Tabla11[[#This Row],[Cuenta]],1))</f>
        <v>0</v>
      </c>
      <c r="AC991" t="b">
        <f>+ISNUMBER(SEARCH('F-COMPRA'!#REF!,Tabla11[[#This Row],[Cuenta]],1))</f>
        <v>0</v>
      </c>
      <c r="AD991" t="b">
        <f>+ISNUMBER(SEARCH('F-COMPRA'!#REF!,Tabla11[[#This Row],[Cuenta]],1))</f>
        <v>0</v>
      </c>
      <c r="AE991" t="b">
        <f>+ISNUMBER(SEARCH('F-COMPRA'!#REF!,Tabla11[[#This Row],[Cuenta]],1))</f>
        <v>0</v>
      </c>
      <c r="AF991" t="b">
        <f>+ISNUMBER(SEARCH('F-VTA'!$G$23,Tabla11[[#This Row],[Cuenta]],1))</f>
        <v>0</v>
      </c>
      <c r="AG991" t="b">
        <f>+ISNUMBER(SEARCH('F-VTA'!$G$24,Tabla11[[#This Row],[Cuenta]],1))</f>
        <v>0</v>
      </c>
      <c r="AH991" t="b">
        <f>+ISNUMBER(SEARCH('F-VTA'!$G$25,Tabla11[[#This Row],[Cuenta]],1))</f>
        <v>0</v>
      </c>
      <c r="AI991" t="b">
        <f>+ISNUMBER(SEARCH('F-VTA'!$F$28,Tabla11[[#This Row],[Cuenta]],1))</f>
        <v>1</v>
      </c>
      <c r="AJ991" t="b">
        <f>+ISNUMBER(SEARCH('F-VTA'!$F$29,Tabla11[[#This Row],[Cuenta]],1))</f>
        <v>1</v>
      </c>
      <c r="AK991" t="b">
        <f>+ISNUMBER(SEARCH('F-VTA'!$F$30,Tabla11[[#This Row],[Cuenta]],1))</f>
        <v>1</v>
      </c>
      <c r="AL991" t="b">
        <f>+ISNUMBER(SEARCH('F-VTA'!$F$31,Tabla11[[#This Row],[Cuenta]],1))</f>
        <v>1</v>
      </c>
      <c r="AM991" t="b">
        <f>+ISNUMBER(SEARCH('F-VTA'!$F$32,Tabla11[[#This Row],[Cuenta]],1))</f>
        <v>1</v>
      </c>
      <c r="AN991" t="b">
        <f>+ISNUMBER(SEARCH('F-VTA'!$F$33,Tabla11[[#This Row],[Cuenta]],1))</f>
        <v>1</v>
      </c>
      <c r="AO991" t="b">
        <f>+ISNUMBER(SEARCH('F-VTA'!$F$34,Tabla11[[#This Row],[Cuenta]],1))</f>
        <v>1</v>
      </c>
      <c r="AP991" t="b">
        <f>+ISNUMBER(SEARCH('F-VTA'!$F$35,Tabla11[[#This Row],[Cuenta]],1))</f>
        <v>1</v>
      </c>
      <c r="AQ991" t="b">
        <f>+ISNUMBER(SEARCH('F-VTA'!$F$36,Tabla11[[#This Row],[Cuenta]],1))</f>
        <v>1</v>
      </c>
      <c r="AR991" t="b">
        <f>+ISNUMBER(SEARCH(#REF!,Tabla11[[#This Row],[Cuenta]],1))</f>
        <v>0</v>
      </c>
      <c r="AS991" t="b">
        <f>+ISNUMBER(SEARCH(#REF!,Tabla11[[#This Row],[Cuenta]],1))</f>
        <v>0</v>
      </c>
      <c r="AT991" t="b">
        <f>+ISNUMBER(SEARCH(#REF!,Tabla11[[#This Row],[Cuenta]],1))</f>
        <v>0</v>
      </c>
      <c r="AU991" t="b">
        <f>+ISNUMBER(SEARCH('Conc. Ban.1'!$I$9,Tabla11[[#This Row],[Cuenta]],1))</f>
        <v>0</v>
      </c>
      <c r="AV991" t="b">
        <f>+ISNUMBER(SEARCH(CompConta!$F$21,Tabla11[[#This Row],[Cuenta]],1))</f>
        <v>1</v>
      </c>
      <c r="AW991" t="b">
        <f>+ISNUMBER(SEARCH(CompConta!$F$22,Tabla11[[#This Row],[Cuenta]],1))</f>
        <v>1</v>
      </c>
      <c r="AX991" t="b">
        <f>+ISNUMBER(SEARCH(CompConta!$F$23,Tabla11[[#This Row],[Cuenta]],1))</f>
        <v>1</v>
      </c>
      <c r="AY991" t="b">
        <f>+ISNUMBER(SEARCH(CompConta!$F$24,Tabla11[[#This Row],[Cuenta]],1))</f>
        <v>1</v>
      </c>
      <c r="AZ991" t="b">
        <f>+ISNUMBER(SEARCH(CompConta!$F$25,Tabla11[[#This Row],[Cuenta]],1))</f>
        <v>1</v>
      </c>
      <c r="BA991" t="b">
        <f>+ISNUMBER(SEARCH(CompConta!$F$26,Tabla11[[#This Row],[Cuenta]],1))</f>
        <v>1</v>
      </c>
      <c r="BB991" t="b">
        <f>+ISNUMBER(SEARCH(CompConta!$F$27,Tabla11[[#This Row],[Cuenta]],1))</f>
        <v>1</v>
      </c>
      <c r="BC991" t="b">
        <f>+ISNUMBER(SEARCH(CompConta!$F$28,Tabla11[[#This Row],[Cuenta]],1))</f>
        <v>1</v>
      </c>
      <c r="BD991" t="b">
        <f>+ISNUMBER(SEARCH(CompConta!$F$29,Tabla11[[#This Row],[Cuenta]],1))</f>
        <v>1</v>
      </c>
      <c r="BE991" t="b">
        <f>+ISNUMBER(SEARCH(CompConta!$F$30,Tabla11[[#This Row],[Cuenta]],1))</f>
        <v>1</v>
      </c>
      <c r="BF991" t="b">
        <f>+ISNUMBER(SEARCH('PAGO Compras'!$E$11,Tabla11[[#This Row],[Cuenta]],1))</f>
        <v>1</v>
      </c>
      <c r="BG991" t="b">
        <f>+ISNUMBER(SEARCH(#REF!,Tabla11[[#This Row],[Cuenta]],1))</f>
        <v>0</v>
      </c>
      <c r="BH991" t="b">
        <f>+ISNUMBER(SEARCH(#REF!,Tabla11[[#This Row],[Cuenta]],1))</f>
        <v>0</v>
      </c>
      <c r="BI991" t="b">
        <f>+ISNUMBER(SEARCH(#REF!,Tabla11[[#This Row],[Cuenta]],1))</f>
        <v>0</v>
      </c>
      <c r="BJ991" t="b">
        <f>+ISNUMBER(SEARCH(#REF!,Tabla11[[#This Row],[Cuenta]],1))</f>
        <v>0</v>
      </c>
      <c r="BS991" t="str">
        <v>521515 A la propiedad raíz</v>
      </c>
      <c r="BT991" t="str">
        <v>521515 A la propiedad raíz</v>
      </c>
      <c r="BU991" t="str">
        <v>521515 A la propiedad raíz</v>
      </c>
      <c r="BV991" t="str">
        <v>521515 A la propiedad raíz</v>
      </c>
      <c r="BZ991" t="str">
        <v>521515 A la propiedad raíz</v>
      </c>
      <c r="CA991" t="str">
        <v>521515 A la propiedad raíz</v>
      </c>
      <c r="CB991" t="str">
        <v>521515 A la propiedad raíz</v>
      </c>
      <c r="CC991" t="str">
        <v>521515 A la propiedad raíz</v>
      </c>
      <c r="CD991" t="str">
        <v>521515 A la propiedad raíz</v>
      </c>
      <c r="CE991" t="str">
        <v>521515 A la propiedad raíz</v>
      </c>
      <c r="CS991" s="141" t="str">
        <v>521515 A la propiedad raíz</v>
      </c>
      <c r="CT991" s="141" t="str">
        <v>521515 A la propiedad raíz</v>
      </c>
      <c r="CU991" s="141" t="str">
        <v>521515 A la propiedad raíz</v>
      </c>
      <c r="CV991" s="141" t="str">
        <v>521515 A la propiedad raíz</v>
      </c>
      <c r="CW991" s="141" t="str">
        <v>521515 A la propiedad raíz</v>
      </c>
      <c r="CX991" s="141" t="str">
        <v>521515 A la propiedad raíz</v>
      </c>
      <c r="CY991" s="141" t="str">
        <v>521515 A la propiedad raíz</v>
      </c>
      <c r="CZ991" s="141" t="str">
        <v>521515 A la propiedad raíz</v>
      </c>
      <c r="DA991" s="141" t="str">
        <v>521515 A la propiedad raíz</v>
      </c>
      <c r="DF991" t="str">
        <v>521515 A la propiedad raíz</v>
      </c>
      <c r="DG991" t="str">
        <v>521515 A la propiedad raíz</v>
      </c>
      <c r="DH991" t="str">
        <v>521515 A la propiedad raíz</v>
      </c>
      <c r="DI991" t="str">
        <v>521515 A la propiedad raíz</v>
      </c>
      <c r="DJ991" t="str">
        <v>521515 A la propiedad raíz</v>
      </c>
      <c r="DK991" t="str">
        <v>521515 A la propiedad raíz</v>
      </c>
      <c r="DL991" t="str">
        <v>521515 A la propiedad raíz</v>
      </c>
      <c r="DM991" t="str">
        <v>521515 A la propiedad raíz</v>
      </c>
      <c r="DN991" t="str">
        <v>521515 A la propiedad raíz</v>
      </c>
      <c r="DO991" t="str">
        <v>521515 A la propiedad raíz</v>
      </c>
      <c r="DP991" t="str">
        <v>521515 A la propiedad raíz</v>
      </c>
    </row>
    <row r="992" spans="4:120" ht="12.75">
      <c r="D992" s="7">
        <v>521520</v>
      </c>
      <c r="E992" s="6" t="s">
        <v>566</v>
      </c>
      <c r="F992" s="5">
        <v>4</v>
      </c>
      <c r="G992" s="34" t="s">
        <v>830</v>
      </c>
      <c r="H992" s="8" t="s">
        <v>32</v>
      </c>
      <c r="I992" t="b">
        <f>+ISNUMBER(SEARCH('F-COMPRA'!$F$28,Tabla11[[#This Row],[Cuenta]],1))</f>
        <v>1</v>
      </c>
      <c r="J992" t="b">
        <f>+ISNUMBER(SEARCH('F-COMPRA'!$F$29,Tabla11[[#This Row],[Cuenta]],1))</f>
        <v>1</v>
      </c>
      <c r="K992" t="b">
        <f>+ISNUMBER(SEARCH('F-COMPRA'!$F$30,Tabla11[[#This Row],[Cuenta]],1))</f>
        <v>1</v>
      </c>
      <c r="L992" t="b">
        <f>+ISNUMBER(SEARCH('F-COMPRA'!$F$31,Tabla11[[#This Row],[Cuenta]],1))</f>
        <v>1</v>
      </c>
      <c r="M992" t="b">
        <f>+ISNUMBER(SEARCH('F-COMPRA'!$G$25,Tabla11[[#This Row],[Cuenta]],1))</f>
        <v>0</v>
      </c>
      <c r="N992" t="b">
        <f>+ISNUMBER(SEARCH(#REF!,Tabla11[[#This Row],[Cuenta]],1))</f>
        <v>0</v>
      </c>
      <c r="O992" t="b">
        <f>+ISNUMBER(SEARCH(#REF!,Tabla11[[#This Row],[Cuenta]],1))</f>
        <v>0</v>
      </c>
      <c r="P992" t="b">
        <f>+ISNUMBER(SEARCH('F-COMPRA'!$F$32,Tabla11[[#This Row],[Cuenta]],1))</f>
        <v>1</v>
      </c>
      <c r="Q992" t="b">
        <f>+ISNUMBER(SEARCH('F-COMPRA'!$F$33,Tabla11[[#This Row],[Cuenta]],1))</f>
        <v>1</v>
      </c>
      <c r="R992" t="b">
        <f>+ISNUMBER(SEARCH('F-COMPRA'!$F$34,Tabla11[[#This Row],[Cuenta]],1))</f>
        <v>1</v>
      </c>
      <c r="S992" t="b">
        <f>+ISNUMBER(SEARCH('F-COMPRA'!$F$35,Tabla11[[#This Row],[Cuenta]],1))</f>
        <v>1</v>
      </c>
      <c r="T992" t="b">
        <f>+ISNUMBER(SEARCH('F-COMPRA'!$F$36,Tabla11[[#This Row],[Cuenta]],1))</f>
        <v>1</v>
      </c>
      <c r="U992" t="b">
        <f>+ISNUMBER(SEARCH('F-COMPRA'!$F$37,Tabla11[[#This Row],[Cuenta]],1))</f>
        <v>1</v>
      </c>
      <c r="V992" t="b">
        <f>+ISNUMBER(SEARCH(#REF!,Tabla11[[#This Row],[Cuenta]],1))</f>
        <v>0</v>
      </c>
      <c r="W992" t="b">
        <f>+ISNUMBER(SEARCH('F-COMPRA'!#REF!,Tabla11[[#This Row],[Cuenta]],1))</f>
        <v>0</v>
      </c>
      <c r="X992" t="b">
        <f>+ISNUMBER(SEARCH('F-COMPRA'!#REF!,Tabla11[[#This Row],[Cuenta]],1))</f>
        <v>0</v>
      </c>
      <c r="Y992" t="b">
        <f>+ISNUMBER(SEARCH('F-COMPRA'!#REF!,Tabla11[[#This Row],[Cuenta]],1))</f>
        <v>0</v>
      </c>
      <c r="Z992" t="b">
        <f>+ISNUMBER(SEARCH('F-COMPRA'!#REF!,Tabla11[[#This Row],[Cuenta]],1))</f>
        <v>0</v>
      </c>
      <c r="AA992" t="b">
        <f>+ISNUMBER(SEARCH('F-COMPRA'!#REF!,Tabla11[[#This Row],[Cuenta]],1))</f>
        <v>0</v>
      </c>
      <c r="AB992" t="b">
        <f>+ISNUMBER(SEARCH('F-COMPRA'!#REF!,Tabla11[[#This Row],[Cuenta]],1))</f>
        <v>0</v>
      </c>
      <c r="AC992" t="b">
        <f>+ISNUMBER(SEARCH('F-COMPRA'!#REF!,Tabla11[[#This Row],[Cuenta]],1))</f>
        <v>0</v>
      </c>
      <c r="AD992" t="b">
        <f>+ISNUMBER(SEARCH('F-COMPRA'!#REF!,Tabla11[[#This Row],[Cuenta]],1))</f>
        <v>0</v>
      </c>
      <c r="AE992" t="b">
        <f>+ISNUMBER(SEARCH('F-COMPRA'!#REF!,Tabla11[[#This Row],[Cuenta]],1))</f>
        <v>0</v>
      </c>
      <c r="AF992" t="b">
        <f>+ISNUMBER(SEARCH('F-VTA'!$G$23,Tabla11[[#This Row],[Cuenta]],1))</f>
        <v>0</v>
      </c>
      <c r="AG992" t="b">
        <f>+ISNUMBER(SEARCH('F-VTA'!$G$24,Tabla11[[#This Row],[Cuenta]],1))</f>
        <v>0</v>
      </c>
      <c r="AH992" t="b">
        <f>+ISNUMBER(SEARCH('F-VTA'!$G$25,Tabla11[[#This Row],[Cuenta]],1))</f>
        <v>0</v>
      </c>
      <c r="AI992" t="b">
        <f>+ISNUMBER(SEARCH('F-VTA'!$F$28,Tabla11[[#This Row],[Cuenta]],1))</f>
        <v>1</v>
      </c>
      <c r="AJ992" t="b">
        <f>+ISNUMBER(SEARCH('F-VTA'!$F$29,Tabla11[[#This Row],[Cuenta]],1))</f>
        <v>1</v>
      </c>
      <c r="AK992" t="b">
        <f>+ISNUMBER(SEARCH('F-VTA'!$F$30,Tabla11[[#This Row],[Cuenta]],1))</f>
        <v>1</v>
      </c>
      <c r="AL992" t="b">
        <f>+ISNUMBER(SEARCH('F-VTA'!$F$31,Tabla11[[#This Row],[Cuenta]],1))</f>
        <v>1</v>
      </c>
      <c r="AM992" t="b">
        <f>+ISNUMBER(SEARCH('F-VTA'!$F$32,Tabla11[[#This Row],[Cuenta]],1))</f>
        <v>1</v>
      </c>
      <c r="AN992" t="b">
        <f>+ISNUMBER(SEARCH('F-VTA'!$F$33,Tabla11[[#This Row],[Cuenta]],1))</f>
        <v>1</v>
      </c>
      <c r="AO992" t="b">
        <f>+ISNUMBER(SEARCH('F-VTA'!$F$34,Tabla11[[#This Row],[Cuenta]],1))</f>
        <v>1</v>
      </c>
      <c r="AP992" t="b">
        <f>+ISNUMBER(SEARCH('F-VTA'!$F$35,Tabla11[[#This Row],[Cuenta]],1))</f>
        <v>1</v>
      </c>
      <c r="AQ992" t="b">
        <f>+ISNUMBER(SEARCH('F-VTA'!$F$36,Tabla11[[#This Row],[Cuenta]],1))</f>
        <v>1</v>
      </c>
      <c r="AR992" t="b">
        <f>+ISNUMBER(SEARCH(#REF!,Tabla11[[#This Row],[Cuenta]],1))</f>
        <v>0</v>
      </c>
      <c r="AS992" t="b">
        <f>+ISNUMBER(SEARCH(#REF!,Tabla11[[#This Row],[Cuenta]],1))</f>
        <v>0</v>
      </c>
      <c r="AT992" t="b">
        <f>+ISNUMBER(SEARCH(#REF!,Tabla11[[#This Row],[Cuenta]],1))</f>
        <v>0</v>
      </c>
      <c r="AU992" t="b">
        <f>+ISNUMBER(SEARCH('Conc. Ban.1'!$I$9,Tabla11[[#This Row],[Cuenta]],1))</f>
        <v>0</v>
      </c>
      <c r="AV992" t="b">
        <f>+ISNUMBER(SEARCH(CompConta!$F$21,Tabla11[[#This Row],[Cuenta]],1))</f>
        <v>1</v>
      </c>
      <c r="AW992" t="b">
        <f>+ISNUMBER(SEARCH(CompConta!$F$22,Tabla11[[#This Row],[Cuenta]],1))</f>
        <v>1</v>
      </c>
      <c r="AX992" t="b">
        <f>+ISNUMBER(SEARCH(CompConta!$F$23,Tabla11[[#This Row],[Cuenta]],1))</f>
        <v>1</v>
      </c>
      <c r="AY992" t="b">
        <f>+ISNUMBER(SEARCH(CompConta!$F$24,Tabla11[[#This Row],[Cuenta]],1))</f>
        <v>1</v>
      </c>
      <c r="AZ992" t="b">
        <f>+ISNUMBER(SEARCH(CompConta!$F$25,Tabla11[[#This Row],[Cuenta]],1))</f>
        <v>1</v>
      </c>
      <c r="BA992" t="b">
        <f>+ISNUMBER(SEARCH(CompConta!$F$26,Tabla11[[#This Row],[Cuenta]],1))</f>
        <v>1</v>
      </c>
      <c r="BB992" t="b">
        <f>+ISNUMBER(SEARCH(CompConta!$F$27,Tabla11[[#This Row],[Cuenta]],1))</f>
        <v>1</v>
      </c>
      <c r="BC992" t="b">
        <f>+ISNUMBER(SEARCH(CompConta!$F$28,Tabla11[[#This Row],[Cuenta]],1))</f>
        <v>1</v>
      </c>
      <c r="BD992" t="b">
        <f>+ISNUMBER(SEARCH(CompConta!$F$29,Tabla11[[#This Row],[Cuenta]],1))</f>
        <v>1</v>
      </c>
      <c r="BE992" t="b">
        <f>+ISNUMBER(SEARCH(CompConta!$F$30,Tabla11[[#This Row],[Cuenta]],1))</f>
        <v>1</v>
      </c>
      <c r="BF992" t="b">
        <f>+ISNUMBER(SEARCH('PAGO Compras'!$E$11,Tabla11[[#This Row],[Cuenta]],1))</f>
        <v>1</v>
      </c>
      <c r="BG992" t="b">
        <f>+ISNUMBER(SEARCH(#REF!,Tabla11[[#This Row],[Cuenta]],1))</f>
        <v>0</v>
      </c>
      <c r="BH992" t="b">
        <f>+ISNUMBER(SEARCH(#REF!,Tabla11[[#This Row],[Cuenta]],1))</f>
        <v>0</v>
      </c>
      <c r="BI992" t="b">
        <f>+ISNUMBER(SEARCH(#REF!,Tabla11[[#This Row],[Cuenta]],1))</f>
        <v>0</v>
      </c>
      <c r="BJ992" t="b">
        <f>+ISNUMBER(SEARCH(#REF!,Tabla11[[#This Row],[Cuenta]],1))</f>
        <v>0</v>
      </c>
      <c r="BS992" t="str">
        <v>521520 Derechos sobre instrumentos públicos</v>
      </c>
      <c r="BT992" t="str">
        <v>521520 Derechos sobre instrumentos públicos</v>
      </c>
      <c r="BU992" t="str">
        <v>521520 Derechos sobre instrumentos públicos</v>
      </c>
      <c r="BV992" t="str">
        <v>521520 Derechos sobre instrumentos públicos</v>
      </c>
      <c r="BZ992" t="str">
        <v>521520 Derechos sobre instrumentos públicos</v>
      </c>
      <c r="CA992" t="str">
        <v>521520 Derechos sobre instrumentos públicos</v>
      </c>
      <c r="CB992" t="str">
        <v>521520 Derechos sobre instrumentos públicos</v>
      </c>
      <c r="CC992" t="str">
        <v>521520 Derechos sobre instrumentos públicos</v>
      </c>
      <c r="CD992" t="str">
        <v>521520 Derechos sobre instrumentos públicos</v>
      </c>
      <c r="CE992" t="str">
        <v>521520 Derechos sobre instrumentos públicos</v>
      </c>
      <c r="CS992" s="141" t="str">
        <v>521520 Derechos sobre instrumentos públicos</v>
      </c>
      <c r="CT992" s="141" t="str">
        <v>521520 Derechos sobre instrumentos públicos</v>
      </c>
      <c r="CU992" s="141" t="str">
        <v>521520 Derechos sobre instrumentos públicos</v>
      </c>
      <c r="CV992" s="141" t="str">
        <v>521520 Derechos sobre instrumentos públicos</v>
      </c>
      <c r="CW992" s="141" t="str">
        <v>521520 Derechos sobre instrumentos públicos</v>
      </c>
      <c r="CX992" s="141" t="str">
        <v>521520 Derechos sobre instrumentos públicos</v>
      </c>
      <c r="CY992" s="141" t="str">
        <v>521520 Derechos sobre instrumentos públicos</v>
      </c>
      <c r="CZ992" s="141" t="str">
        <v>521520 Derechos sobre instrumentos públicos</v>
      </c>
      <c r="DA992" s="141" t="str">
        <v>521520 Derechos sobre instrumentos públicos</v>
      </c>
      <c r="DF992" t="str">
        <v>521520 Derechos sobre instrumentos públicos</v>
      </c>
      <c r="DG992" t="str">
        <v>521520 Derechos sobre instrumentos públicos</v>
      </c>
      <c r="DH992" t="str">
        <v>521520 Derechos sobre instrumentos públicos</v>
      </c>
      <c r="DI992" t="str">
        <v>521520 Derechos sobre instrumentos públicos</v>
      </c>
      <c r="DJ992" t="str">
        <v>521520 Derechos sobre instrumentos públicos</v>
      </c>
      <c r="DK992" t="str">
        <v>521520 Derechos sobre instrumentos públicos</v>
      </c>
      <c r="DL992" t="str">
        <v>521520 Derechos sobre instrumentos públicos</v>
      </c>
      <c r="DM992" t="str">
        <v>521520 Derechos sobre instrumentos públicos</v>
      </c>
      <c r="DN992" t="str">
        <v>521520 Derechos sobre instrumentos públicos</v>
      </c>
      <c r="DO992" t="str">
        <v>521520 Derechos sobre instrumentos públicos</v>
      </c>
      <c r="DP992" t="str">
        <v>521520 Derechos sobre instrumentos públicos</v>
      </c>
    </row>
    <row r="993" spans="4:120" ht="12.75">
      <c r="D993" s="7">
        <v>521525</v>
      </c>
      <c r="E993" s="6" t="s">
        <v>567</v>
      </c>
      <c r="F993" s="5">
        <v>4</v>
      </c>
      <c r="G993" s="34" t="s">
        <v>830</v>
      </c>
      <c r="H993" s="8" t="s">
        <v>32</v>
      </c>
      <c r="I993" t="b">
        <f>+ISNUMBER(SEARCH('F-COMPRA'!$F$28,Tabla11[[#This Row],[Cuenta]],1))</f>
        <v>1</v>
      </c>
      <c r="J993" t="b">
        <f>+ISNUMBER(SEARCH('F-COMPRA'!$F$29,Tabla11[[#This Row],[Cuenta]],1))</f>
        <v>1</v>
      </c>
      <c r="K993" t="b">
        <f>+ISNUMBER(SEARCH('F-COMPRA'!$F$30,Tabla11[[#This Row],[Cuenta]],1))</f>
        <v>1</v>
      </c>
      <c r="L993" t="b">
        <f>+ISNUMBER(SEARCH('F-COMPRA'!$F$31,Tabla11[[#This Row],[Cuenta]],1))</f>
        <v>1</v>
      </c>
      <c r="M993" t="b">
        <f>+ISNUMBER(SEARCH('F-COMPRA'!$G$25,Tabla11[[#This Row],[Cuenta]],1))</f>
        <v>0</v>
      </c>
      <c r="N993" t="b">
        <f>+ISNUMBER(SEARCH(#REF!,Tabla11[[#This Row],[Cuenta]],1))</f>
        <v>0</v>
      </c>
      <c r="O993" t="b">
        <f>+ISNUMBER(SEARCH(#REF!,Tabla11[[#This Row],[Cuenta]],1))</f>
        <v>0</v>
      </c>
      <c r="P993" t="b">
        <f>+ISNUMBER(SEARCH('F-COMPRA'!$F$32,Tabla11[[#This Row],[Cuenta]],1))</f>
        <v>1</v>
      </c>
      <c r="Q993" t="b">
        <f>+ISNUMBER(SEARCH('F-COMPRA'!$F$33,Tabla11[[#This Row],[Cuenta]],1))</f>
        <v>1</v>
      </c>
      <c r="R993" t="b">
        <f>+ISNUMBER(SEARCH('F-COMPRA'!$F$34,Tabla11[[#This Row],[Cuenta]],1))</f>
        <v>1</v>
      </c>
      <c r="S993" t="b">
        <f>+ISNUMBER(SEARCH('F-COMPRA'!$F$35,Tabla11[[#This Row],[Cuenta]],1))</f>
        <v>1</v>
      </c>
      <c r="T993" t="b">
        <f>+ISNUMBER(SEARCH('F-COMPRA'!$F$36,Tabla11[[#This Row],[Cuenta]],1))</f>
        <v>1</v>
      </c>
      <c r="U993" t="b">
        <f>+ISNUMBER(SEARCH('F-COMPRA'!$F$37,Tabla11[[#This Row],[Cuenta]],1))</f>
        <v>1</v>
      </c>
      <c r="V993" t="b">
        <f>+ISNUMBER(SEARCH(#REF!,Tabla11[[#This Row],[Cuenta]],1))</f>
        <v>0</v>
      </c>
      <c r="W993" t="b">
        <f>+ISNUMBER(SEARCH('F-COMPRA'!#REF!,Tabla11[[#This Row],[Cuenta]],1))</f>
        <v>0</v>
      </c>
      <c r="X993" t="b">
        <f>+ISNUMBER(SEARCH('F-COMPRA'!#REF!,Tabla11[[#This Row],[Cuenta]],1))</f>
        <v>0</v>
      </c>
      <c r="Y993" t="b">
        <f>+ISNUMBER(SEARCH('F-COMPRA'!#REF!,Tabla11[[#This Row],[Cuenta]],1))</f>
        <v>0</v>
      </c>
      <c r="Z993" t="b">
        <f>+ISNUMBER(SEARCH('F-COMPRA'!#REF!,Tabla11[[#This Row],[Cuenta]],1))</f>
        <v>0</v>
      </c>
      <c r="AA993" t="b">
        <f>+ISNUMBER(SEARCH('F-COMPRA'!#REF!,Tabla11[[#This Row],[Cuenta]],1))</f>
        <v>0</v>
      </c>
      <c r="AB993" t="b">
        <f>+ISNUMBER(SEARCH('F-COMPRA'!#REF!,Tabla11[[#This Row],[Cuenta]],1))</f>
        <v>0</v>
      </c>
      <c r="AC993" t="b">
        <f>+ISNUMBER(SEARCH('F-COMPRA'!#REF!,Tabla11[[#This Row],[Cuenta]],1))</f>
        <v>0</v>
      </c>
      <c r="AD993" t="b">
        <f>+ISNUMBER(SEARCH('F-COMPRA'!#REF!,Tabla11[[#This Row],[Cuenta]],1))</f>
        <v>0</v>
      </c>
      <c r="AE993" t="b">
        <f>+ISNUMBER(SEARCH('F-COMPRA'!#REF!,Tabla11[[#This Row],[Cuenta]],1))</f>
        <v>0</v>
      </c>
      <c r="AF993" t="b">
        <f>+ISNUMBER(SEARCH('F-VTA'!$G$23,Tabla11[[#This Row],[Cuenta]],1))</f>
        <v>0</v>
      </c>
      <c r="AG993" t="b">
        <f>+ISNUMBER(SEARCH('F-VTA'!$G$24,Tabla11[[#This Row],[Cuenta]],1))</f>
        <v>0</v>
      </c>
      <c r="AH993" t="b">
        <f>+ISNUMBER(SEARCH('F-VTA'!$G$25,Tabla11[[#This Row],[Cuenta]],1))</f>
        <v>0</v>
      </c>
      <c r="AI993" t="b">
        <f>+ISNUMBER(SEARCH('F-VTA'!$F$28,Tabla11[[#This Row],[Cuenta]],1))</f>
        <v>1</v>
      </c>
      <c r="AJ993" t="b">
        <f>+ISNUMBER(SEARCH('F-VTA'!$F$29,Tabla11[[#This Row],[Cuenta]],1))</f>
        <v>1</v>
      </c>
      <c r="AK993" t="b">
        <f>+ISNUMBER(SEARCH('F-VTA'!$F$30,Tabla11[[#This Row],[Cuenta]],1))</f>
        <v>1</v>
      </c>
      <c r="AL993" t="b">
        <f>+ISNUMBER(SEARCH('F-VTA'!$F$31,Tabla11[[#This Row],[Cuenta]],1))</f>
        <v>1</v>
      </c>
      <c r="AM993" t="b">
        <f>+ISNUMBER(SEARCH('F-VTA'!$F$32,Tabla11[[#This Row],[Cuenta]],1))</f>
        <v>1</v>
      </c>
      <c r="AN993" t="b">
        <f>+ISNUMBER(SEARCH('F-VTA'!$F$33,Tabla11[[#This Row],[Cuenta]],1))</f>
        <v>1</v>
      </c>
      <c r="AO993" t="b">
        <f>+ISNUMBER(SEARCH('F-VTA'!$F$34,Tabla11[[#This Row],[Cuenta]],1))</f>
        <v>1</v>
      </c>
      <c r="AP993" t="b">
        <f>+ISNUMBER(SEARCH('F-VTA'!$F$35,Tabla11[[#This Row],[Cuenta]],1))</f>
        <v>1</v>
      </c>
      <c r="AQ993" t="b">
        <f>+ISNUMBER(SEARCH('F-VTA'!$F$36,Tabla11[[#This Row],[Cuenta]],1))</f>
        <v>1</v>
      </c>
      <c r="AR993" t="b">
        <f>+ISNUMBER(SEARCH(#REF!,Tabla11[[#This Row],[Cuenta]],1))</f>
        <v>0</v>
      </c>
      <c r="AS993" t="b">
        <f>+ISNUMBER(SEARCH(#REF!,Tabla11[[#This Row],[Cuenta]],1))</f>
        <v>0</v>
      </c>
      <c r="AT993" t="b">
        <f>+ISNUMBER(SEARCH(#REF!,Tabla11[[#This Row],[Cuenta]],1))</f>
        <v>0</v>
      </c>
      <c r="AU993" t="b">
        <f>+ISNUMBER(SEARCH('Conc. Ban.1'!$I$9,Tabla11[[#This Row],[Cuenta]],1))</f>
        <v>0</v>
      </c>
      <c r="AV993" t="b">
        <f>+ISNUMBER(SEARCH(CompConta!$F$21,Tabla11[[#This Row],[Cuenta]],1))</f>
        <v>1</v>
      </c>
      <c r="AW993" t="b">
        <f>+ISNUMBER(SEARCH(CompConta!$F$22,Tabla11[[#This Row],[Cuenta]],1))</f>
        <v>1</v>
      </c>
      <c r="AX993" t="b">
        <f>+ISNUMBER(SEARCH(CompConta!$F$23,Tabla11[[#This Row],[Cuenta]],1))</f>
        <v>1</v>
      </c>
      <c r="AY993" t="b">
        <f>+ISNUMBER(SEARCH(CompConta!$F$24,Tabla11[[#This Row],[Cuenta]],1))</f>
        <v>1</v>
      </c>
      <c r="AZ993" t="b">
        <f>+ISNUMBER(SEARCH(CompConta!$F$25,Tabla11[[#This Row],[Cuenta]],1))</f>
        <v>1</v>
      </c>
      <c r="BA993" t="b">
        <f>+ISNUMBER(SEARCH(CompConta!$F$26,Tabla11[[#This Row],[Cuenta]],1))</f>
        <v>1</v>
      </c>
      <c r="BB993" t="b">
        <f>+ISNUMBER(SEARCH(CompConta!$F$27,Tabla11[[#This Row],[Cuenta]],1))</f>
        <v>1</v>
      </c>
      <c r="BC993" t="b">
        <f>+ISNUMBER(SEARCH(CompConta!$F$28,Tabla11[[#This Row],[Cuenta]],1))</f>
        <v>1</v>
      </c>
      <c r="BD993" t="b">
        <f>+ISNUMBER(SEARCH(CompConta!$F$29,Tabla11[[#This Row],[Cuenta]],1))</f>
        <v>1</v>
      </c>
      <c r="BE993" t="b">
        <f>+ISNUMBER(SEARCH(CompConta!$F$30,Tabla11[[#This Row],[Cuenta]],1))</f>
        <v>1</v>
      </c>
      <c r="BF993" t="b">
        <f>+ISNUMBER(SEARCH('PAGO Compras'!$E$11,Tabla11[[#This Row],[Cuenta]],1))</f>
        <v>1</v>
      </c>
      <c r="BG993" t="b">
        <f>+ISNUMBER(SEARCH(#REF!,Tabla11[[#This Row],[Cuenta]],1))</f>
        <v>0</v>
      </c>
      <c r="BH993" t="b">
        <f>+ISNUMBER(SEARCH(#REF!,Tabla11[[#This Row],[Cuenta]],1))</f>
        <v>0</v>
      </c>
      <c r="BI993" t="b">
        <f>+ISNUMBER(SEARCH(#REF!,Tabla11[[#This Row],[Cuenta]],1))</f>
        <v>0</v>
      </c>
      <c r="BJ993" t="b">
        <f>+ISNUMBER(SEARCH(#REF!,Tabla11[[#This Row],[Cuenta]],1))</f>
        <v>0</v>
      </c>
      <c r="BS993" t="str">
        <v>521525 De valorización</v>
      </c>
      <c r="BT993" t="str">
        <v>521525 De valorización</v>
      </c>
      <c r="BU993" t="str">
        <v>521525 De valorización</v>
      </c>
      <c r="BV993" t="str">
        <v>521525 De valorización</v>
      </c>
      <c r="BZ993" t="str">
        <v>521525 De valorización</v>
      </c>
      <c r="CA993" t="str">
        <v>521525 De valorización</v>
      </c>
      <c r="CB993" t="str">
        <v>521525 De valorización</v>
      </c>
      <c r="CC993" t="str">
        <v>521525 De valorización</v>
      </c>
      <c r="CD993" t="str">
        <v>521525 De valorización</v>
      </c>
      <c r="CE993" t="str">
        <v>521525 De valorización</v>
      </c>
      <c r="CS993" s="141" t="str">
        <v>521525 De valorización</v>
      </c>
      <c r="CT993" s="141" t="str">
        <v>521525 De valorización</v>
      </c>
      <c r="CU993" s="141" t="str">
        <v>521525 De valorización</v>
      </c>
      <c r="CV993" s="141" t="str">
        <v>521525 De valorización</v>
      </c>
      <c r="CW993" s="141" t="str">
        <v>521525 De valorización</v>
      </c>
      <c r="CX993" s="141" t="str">
        <v>521525 De valorización</v>
      </c>
      <c r="CY993" s="141" t="str">
        <v>521525 De valorización</v>
      </c>
      <c r="CZ993" s="141" t="str">
        <v>521525 De valorización</v>
      </c>
      <c r="DA993" s="141" t="str">
        <v>521525 De valorización</v>
      </c>
      <c r="DF993" t="str">
        <v>521525 De valorización</v>
      </c>
      <c r="DG993" t="str">
        <v>521525 De valorización</v>
      </c>
      <c r="DH993" t="str">
        <v>521525 De valorización</v>
      </c>
      <c r="DI993" t="str">
        <v>521525 De valorización</v>
      </c>
      <c r="DJ993" t="str">
        <v>521525 De valorización</v>
      </c>
      <c r="DK993" t="str">
        <v>521525 De valorización</v>
      </c>
      <c r="DL993" t="str">
        <v>521525 De valorización</v>
      </c>
      <c r="DM993" t="str">
        <v>521525 De valorización</v>
      </c>
      <c r="DN993" t="str">
        <v>521525 De valorización</v>
      </c>
      <c r="DO993" t="str">
        <v>521525 De valorización</v>
      </c>
      <c r="DP993" t="str">
        <v>521525 De valorización</v>
      </c>
    </row>
    <row r="994" spans="4:120" ht="12.75">
      <c r="D994" s="7">
        <v>521530</v>
      </c>
      <c r="E994" s="6" t="s">
        <v>568</v>
      </c>
      <c r="F994" s="5">
        <v>4</v>
      </c>
      <c r="G994" s="34" t="s">
        <v>830</v>
      </c>
      <c r="H994" s="8" t="s">
        <v>32</v>
      </c>
      <c r="I994" t="b">
        <f>+ISNUMBER(SEARCH('F-COMPRA'!$F$28,Tabla11[[#This Row],[Cuenta]],1))</f>
        <v>1</v>
      </c>
      <c r="J994" t="b">
        <f>+ISNUMBER(SEARCH('F-COMPRA'!$F$29,Tabla11[[#This Row],[Cuenta]],1))</f>
        <v>1</v>
      </c>
      <c r="K994" t="b">
        <f>+ISNUMBER(SEARCH('F-COMPRA'!$F$30,Tabla11[[#This Row],[Cuenta]],1))</f>
        <v>1</v>
      </c>
      <c r="L994" t="b">
        <f>+ISNUMBER(SEARCH('F-COMPRA'!$F$31,Tabla11[[#This Row],[Cuenta]],1))</f>
        <v>1</v>
      </c>
      <c r="M994" t="b">
        <f>+ISNUMBER(SEARCH('F-COMPRA'!$G$25,Tabla11[[#This Row],[Cuenta]],1))</f>
        <v>0</v>
      </c>
      <c r="N994" t="b">
        <f>+ISNUMBER(SEARCH(#REF!,Tabla11[[#This Row],[Cuenta]],1))</f>
        <v>0</v>
      </c>
      <c r="O994" t="b">
        <f>+ISNUMBER(SEARCH(#REF!,Tabla11[[#This Row],[Cuenta]],1))</f>
        <v>0</v>
      </c>
      <c r="P994" t="b">
        <f>+ISNUMBER(SEARCH('F-COMPRA'!$F$32,Tabla11[[#This Row],[Cuenta]],1))</f>
        <v>1</v>
      </c>
      <c r="Q994" t="b">
        <f>+ISNUMBER(SEARCH('F-COMPRA'!$F$33,Tabla11[[#This Row],[Cuenta]],1))</f>
        <v>1</v>
      </c>
      <c r="R994" t="b">
        <f>+ISNUMBER(SEARCH('F-COMPRA'!$F$34,Tabla11[[#This Row],[Cuenta]],1))</f>
        <v>1</v>
      </c>
      <c r="S994" t="b">
        <f>+ISNUMBER(SEARCH('F-COMPRA'!$F$35,Tabla11[[#This Row],[Cuenta]],1))</f>
        <v>1</v>
      </c>
      <c r="T994" t="b">
        <f>+ISNUMBER(SEARCH('F-COMPRA'!$F$36,Tabla11[[#This Row],[Cuenta]],1))</f>
        <v>1</v>
      </c>
      <c r="U994" t="b">
        <f>+ISNUMBER(SEARCH('F-COMPRA'!$F$37,Tabla11[[#This Row],[Cuenta]],1))</f>
        <v>1</v>
      </c>
      <c r="V994" t="b">
        <f>+ISNUMBER(SEARCH(#REF!,Tabla11[[#This Row],[Cuenta]],1))</f>
        <v>0</v>
      </c>
      <c r="W994" t="b">
        <f>+ISNUMBER(SEARCH('F-COMPRA'!#REF!,Tabla11[[#This Row],[Cuenta]],1))</f>
        <v>0</v>
      </c>
      <c r="X994" t="b">
        <f>+ISNUMBER(SEARCH('F-COMPRA'!#REF!,Tabla11[[#This Row],[Cuenta]],1))</f>
        <v>0</v>
      </c>
      <c r="Y994" t="b">
        <f>+ISNUMBER(SEARCH('F-COMPRA'!#REF!,Tabla11[[#This Row],[Cuenta]],1))</f>
        <v>0</v>
      </c>
      <c r="Z994" t="b">
        <f>+ISNUMBER(SEARCH('F-COMPRA'!#REF!,Tabla11[[#This Row],[Cuenta]],1))</f>
        <v>0</v>
      </c>
      <c r="AA994" t="b">
        <f>+ISNUMBER(SEARCH('F-COMPRA'!#REF!,Tabla11[[#This Row],[Cuenta]],1))</f>
        <v>0</v>
      </c>
      <c r="AB994" t="b">
        <f>+ISNUMBER(SEARCH('F-COMPRA'!#REF!,Tabla11[[#This Row],[Cuenta]],1))</f>
        <v>0</v>
      </c>
      <c r="AC994" t="b">
        <f>+ISNUMBER(SEARCH('F-COMPRA'!#REF!,Tabla11[[#This Row],[Cuenta]],1))</f>
        <v>0</v>
      </c>
      <c r="AD994" t="b">
        <f>+ISNUMBER(SEARCH('F-COMPRA'!#REF!,Tabla11[[#This Row],[Cuenta]],1))</f>
        <v>0</v>
      </c>
      <c r="AE994" t="b">
        <f>+ISNUMBER(SEARCH('F-COMPRA'!#REF!,Tabla11[[#This Row],[Cuenta]],1))</f>
        <v>0</v>
      </c>
      <c r="AF994" t="b">
        <f>+ISNUMBER(SEARCH('F-VTA'!$G$23,Tabla11[[#This Row],[Cuenta]],1))</f>
        <v>0</v>
      </c>
      <c r="AG994" t="b">
        <f>+ISNUMBER(SEARCH('F-VTA'!$G$24,Tabla11[[#This Row],[Cuenta]],1))</f>
        <v>0</v>
      </c>
      <c r="AH994" t="b">
        <f>+ISNUMBER(SEARCH('F-VTA'!$G$25,Tabla11[[#This Row],[Cuenta]],1))</f>
        <v>0</v>
      </c>
      <c r="AI994" t="b">
        <f>+ISNUMBER(SEARCH('F-VTA'!$F$28,Tabla11[[#This Row],[Cuenta]],1))</f>
        <v>1</v>
      </c>
      <c r="AJ994" t="b">
        <f>+ISNUMBER(SEARCH('F-VTA'!$F$29,Tabla11[[#This Row],[Cuenta]],1))</f>
        <v>1</v>
      </c>
      <c r="AK994" t="b">
        <f>+ISNUMBER(SEARCH('F-VTA'!$F$30,Tabla11[[#This Row],[Cuenta]],1))</f>
        <v>1</v>
      </c>
      <c r="AL994" t="b">
        <f>+ISNUMBER(SEARCH('F-VTA'!$F$31,Tabla11[[#This Row],[Cuenta]],1))</f>
        <v>1</v>
      </c>
      <c r="AM994" t="b">
        <f>+ISNUMBER(SEARCH('F-VTA'!$F$32,Tabla11[[#This Row],[Cuenta]],1))</f>
        <v>1</v>
      </c>
      <c r="AN994" t="b">
        <f>+ISNUMBER(SEARCH('F-VTA'!$F$33,Tabla11[[#This Row],[Cuenta]],1))</f>
        <v>1</v>
      </c>
      <c r="AO994" t="b">
        <f>+ISNUMBER(SEARCH('F-VTA'!$F$34,Tabla11[[#This Row],[Cuenta]],1))</f>
        <v>1</v>
      </c>
      <c r="AP994" t="b">
        <f>+ISNUMBER(SEARCH('F-VTA'!$F$35,Tabla11[[#This Row],[Cuenta]],1))</f>
        <v>1</v>
      </c>
      <c r="AQ994" t="b">
        <f>+ISNUMBER(SEARCH('F-VTA'!$F$36,Tabla11[[#This Row],[Cuenta]],1))</f>
        <v>1</v>
      </c>
      <c r="AR994" t="b">
        <f>+ISNUMBER(SEARCH(#REF!,Tabla11[[#This Row],[Cuenta]],1))</f>
        <v>0</v>
      </c>
      <c r="AS994" t="b">
        <f>+ISNUMBER(SEARCH(#REF!,Tabla11[[#This Row],[Cuenta]],1))</f>
        <v>0</v>
      </c>
      <c r="AT994" t="b">
        <f>+ISNUMBER(SEARCH(#REF!,Tabla11[[#This Row],[Cuenta]],1))</f>
        <v>0</v>
      </c>
      <c r="AU994" t="b">
        <f>+ISNUMBER(SEARCH('Conc. Ban.1'!$I$9,Tabla11[[#This Row],[Cuenta]],1))</f>
        <v>0</v>
      </c>
      <c r="AV994" t="b">
        <f>+ISNUMBER(SEARCH(CompConta!$F$21,Tabla11[[#This Row],[Cuenta]],1))</f>
        <v>1</v>
      </c>
      <c r="AW994" t="b">
        <f>+ISNUMBER(SEARCH(CompConta!$F$22,Tabla11[[#This Row],[Cuenta]],1))</f>
        <v>1</v>
      </c>
      <c r="AX994" t="b">
        <f>+ISNUMBER(SEARCH(CompConta!$F$23,Tabla11[[#This Row],[Cuenta]],1))</f>
        <v>1</v>
      </c>
      <c r="AY994" t="b">
        <f>+ISNUMBER(SEARCH(CompConta!$F$24,Tabla11[[#This Row],[Cuenta]],1))</f>
        <v>1</v>
      </c>
      <c r="AZ994" t="b">
        <f>+ISNUMBER(SEARCH(CompConta!$F$25,Tabla11[[#This Row],[Cuenta]],1))</f>
        <v>1</v>
      </c>
      <c r="BA994" t="b">
        <f>+ISNUMBER(SEARCH(CompConta!$F$26,Tabla11[[#This Row],[Cuenta]],1))</f>
        <v>1</v>
      </c>
      <c r="BB994" t="b">
        <f>+ISNUMBER(SEARCH(CompConta!$F$27,Tabla11[[#This Row],[Cuenta]],1))</f>
        <v>1</v>
      </c>
      <c r="BC994" t="b">
        <f>+ISNUMBER(SEARCH(CompConta!$F$28,Tabla11[[#This Row],[Cuenta]],1))</f>
        <v>1</v>
      </c>
      <c r="BD994" t="b">
        <f>+ISNUMBER(SEARCH(CompConta!$F$29,Tabla11[[#This Row],[Cuenta]],1))</f>
        <v>1</v>
      </c>
      <c r="BE994" t="b">
        <f>+ISNUMBER(SEARCH(CompConta!$F$30,Tabla11[[#This Row],[Cuenta]],1))</f>
        <v>1</v>
      </c>
      <c r="BF994" t="b">
        <f>+ISNUMBER(SEARCH('PAGO Compras'!$E$11,Tabla11[[#This Row],[Cuenta]],1))</f>
        <v>1</v>
      </c>
      <c r="BG994" t="b">
        <f>+ISNUMBER(SEARCH(#REF!,Tabla11[[#This Row],[Cuenta]],1))</f>
        <v>0</v>
      </c>
      <c r="BH994" t="b">
        <f>+ISNUMBER(SEARCH(#REF!,Tabla11[[#This Row],[Cuenta]],1))</f>
        <v>0</v>
      </c>
      <c r="BI994" t="b">
        <f>+ISNUMBER(SEARCH(#REF!,Tabla11[[#This Row],[Cuenta]],1))</f>
        <v>0</v>
      </c>
      <c r="BJ994" t="b">
        <f>+ISNUMBER(SEARCH(#REF!,Tabla11[[#This Row],[Cuenta]],1))</f>
        <v>0</v>
      </c>
      <c r="BS994" t="str">
        <v>521530 De turismo</v>
      </c>
      <c r="BT994" t="str">
        <v>521530 De turismo</v>
      </c>
      <c r="BU994" t="str">
        <v>521530 De turismo</v>
      </c>
      <c r="BV994" t="str">
        <v>521530 De turismo</v>
      </c>
      <c r="BZ994" t="str">
        <v>521530 De turismo</v>
      </c>
      <c r="CA994" t="str">
        <v>521530 De turismo</v>
      </c>
      <c r="CB994" t="str">
        <v>521530 De turismo</v>
      </c>
      <c r="CC994" t="str">
        <v>521530 De turismo</v>
      </c>
      <c r="CD994" t="str">
        <v>521530 De turismo</v>
      </c>
      <c r="CE994" t="str">
        <v>521530 De turismo</v>
      </c>
      <c r="CS994" s="141" t="str">
        <v>521530 De turismo</v>
      </c>
      <c r="CT994" s="141" t="str">
        <v>521530 De turismo</v>
      </c>
      <c r="CU994" s="141" t="str">
        <v>521530 De turismo</v>
      </c>
      <c r="CV994" s="141" t="str">
        <v>521530 De turismo</v>
      </c>
      <c r="CW994" s="141" t="str">
        <v>521530 De turismo</v>
      </c>
      <c r="CX994" s="141" t="str">
        <v>521530 De turismo</v>
      </c>
      <c r="CY994" s="141" t="str">
        <v>521530 De turismo</v>
      </c>
      <c r="CZ994" s="141" t="str">
        <v>521530 De turismo</v>
      </c>
      <c r="DA994" s="141" t="str">
        <v>521530 De turismo</v>
      </c>
      <c r="DF994" t="str">
        <v>521530 De turismo</v>
      </c>
      <c r="DG994" t="str">
        <v>521530 De turismo</v>
      </c>
      <c r="DH994" t="str">
        <v>521530 De turismo</v>
      </c>
      <c r="DI994" t="str">
        <v>521530 De turismo</v>
      </c>
      <c r="DJ994" t="str">
        <v>521530 De turismo</v>
      </c>
      <c r="DK994" t="str">
        <v>521530 De turismo</v>
      </c>
      <c r="DL994" t="str">
        <v>521530 De turismo</v>
      </c>
      <c r="DM994" t="str">
        <v>521530 De turismo</v>
      </c>
      <c r="DN994" t="str">
        <v>521530 De turismo</v>
      </c>
      <c r="DO994" t="str">
        <v>521530 De turismo</v>
      </c>
      <c r="DP994" t="str">
        <v>521530 De turismo</v>
      </c>
    </row>
    <row r="995" spans="4:120" ht="12.75">
      <c r="D995" s="7">
        <v>521535</v>
      </c>
      <c r="E995" s="6" t="s">
        <v>406</v>
      </c>
      <c r="F995" s="5">
        <v>4</v>
      </c>
      <c r="G995" s="34" t="s">
        <v>830</v>
      </c>
      <c r="H995" s="8" t="s">
        <v>32</v>
      </c>
      <c r="I995" t="b">
        <f>+ISNUMBER(SEARCH('F-COMPRA'!$F$28,Tabla11[[#This Row],[Cuenta]],1))</f>
        <v>1</v>
      </c>
      <c r="J995" t="b">
        <f>+ISNUMBER(SEARCH('F-COMPRA'!$F$29,Tabla11[[#This Row],[Cuenta]],1))</f>
        <v>1</v>
      </c>
      <c r="K995" t="b">
        <f>+ISNUMBER(SEARCH('F-COMPRA'!$F$30,Tabla11[[#This Row],[Cuenta]],1))</f>
        <v>1</v>
      </c>
      <c r="L995" t="b">
        <f>+ISNUMBER(SEARCH('F-COMPRA'!$F$31,Tabla11[[#This Row],[Cuenta]],1))</f>
        <v>1</v>
      </c>
      <c r="M995" t="b">
        <f>+ISNUMBER(SEARCH('F-COMPRA'!$G$25,Tabla11[[#This Row],[Cuenta]],1))</f>
        <v>0</v>
      </c>
      <c r="N995" t="b">
        <f>+ISNUMBER(SEARCH(#REF!,Tabla11[[#This Row],[Cuenta]],1))</f>
        <v>0</v>
      </c>
      <c r="O995" t="b">
        <f>+ISNUMBER(SEARCH(#REF!,Tabla11[[#This Row],[Cuenta]],1))</f>
        <v>0</v>
      </c>
      <c r="P995" t="b">
        <f>+ISNUMBER(SEARCH('F-COMPRA'!$F$32,Tabla11[[#This Row],[Cuenta]],1))</f>
        <v>1</v>
      </c>
      <c r="Q995" t="b">
        <f>+ISNUMBER(SEARCH('F-COMPRA'!$F$33,Tabla11[[#This Row],[Cuenta]],1))</f>
        <v>1</v>
      </c>
      <c r="R995" t="b">
        <f>+ISNUMBER(SEARCH('F-COMPRA'!$F$34,Tabla11[[#This Row],[Cuenta]],1))</f>
        <v>1</v>
      </c>
      <c r="S995" t="b">
        <f>+ISNUMBER(SEARCH('F-COMPRA'!$F$35,Tabla11[[#This Row],[Cuenta]],1))</f>
        <v>1</v>
      </c>
      <c r="T995" t="b">
        <f>+ISNUMBER(SEARCH('F-COMPRA'!$F$36,Tabla11[[#This Row],[Cuenta]],1))</f>
        <v>1</v>
      </c>
      <c r="U995" t="b">
        <f>+ISNUMBER(SEARCH('F-COMPRA'!$F$37,Tabla11[[#This Row],[Cuenta]],1))</f>
        <v>1</v>
      </c>
      <c r="V995" t="b">
        <f>+ISNUMBER(SEARCH(#REF!,Tabla11[[#This Row],[Cuenta]],1))</f>
        <v>0</v>
      </c>
      <c r="W995" t="b">
        <f>+ISNUMBER(SEARCH('F-COMPRA'!#REF!,Tabla11[[#This Row],[Cuenta]],1))</f>
        <v>0</v>
      </c>
      <c r="X995" t="b">
        <f>+ISNUMBER(SEARCH('F-COMPRA'!#REF!,Tabla11[[#This Row],[Cuenta]],1))</f>
        <v>0</v>
      </c>
      <c r="Y995" t="b">
        <f>+ISNUMBER(SEARCH('F-COMPRA'!#REF!,Tabla11[[#This Row],[Cuenta]],1))</f>
        <v>0</v>
      </c>
      <c r="Z995" t="b">
        <f>+ISNUMBER(SEARCH('F-COMPRA'!#REF!,Tabla11[[#This Row],[Cuenta]],1))</f>
        <v>0</v>
      </c>
      <c r="AA995" t="b">
        <f>+ISNUMBER(SEARCH('F-COMPRA'!#REF!,Tabla11[[#This Row],[Cuenta]],1))</f>
        <v>0</v>
      </c>
      <c r="AB995" t="b">
        <f>+ISNUMBER(SEARCH('F-COMPRA'!#REF!,Tabla11[[#This Row],[Cuenta]],1))</f>
        <v>0</v>
      </c>
      <c r="AC995" t="b">
        <f>+ISNUMBER(SEARCH('F-COMPRA'!#REF!,Tabla11[[#This Row],[Cuenta]],1))</f>
        <v>0</v>
      </c>
      <c r="AD995" t="b">
        <f>+ISNUMBER(SEARCH('F-COMPRA'!#REF!,Tabla11[[#This Row],[Cuenta]],1))</f>
        <v>0</v>
      </c>
      <c r="AE995" t="b">
        <f>+ISNUMBER(SEARCH('F-COMPRA'!#REF!,Tabla11[[#This Row],[Cuenta]],1))</f>
        <v>0</v>
      </c>
      <c r="AF995" t="b">
        <f>+ISNUMBER(SEARCH('F-VTA'!$G$23,Tabla11[[#This Row],[Cuenta]],1))</f>
        <v>0</v>
      </c>
      <c r="AG995" t="b">
        <f>+ISNUMBER(SEARCH('F-VTA'!$G$24,Tabla11[[#This Row],[Cuenta]],1))</f>
        <v>0</v>
      </c>
      <c r="AH995" t="b">
        <f>+ISNUMBER(SEARCH('F-VTA'!$G$25,Tabla11[[#This Row],[Cuenta]],1))</f>
        <v>0</v>
      </c>
      <c r="AI995" t="b">
        <f>+ISNUMBER(SEARCH('F-VTA'!$F$28,Tabla11[[#This Row],[Cuenta]],1))</f>
        <v>1</v>
      </c>
      <c r="AJ995" t="b">
        <f>+ISNUMBER(SEARCH('F-VTA'!$F$29,Tabla11[[#This Row],[Cuenta]],1))</f>
        <v>1</v>
      </c>
      <c r="AK995" t="b">
        <f>+ISNUMBER(SEARCH('F-VTA'!$F$30,Tabla11[[#This Row],[Cuenta]],1))</f>
        <v>1</v>
      </c>
      <c r="AL995" t="b">
        <f>+ISNUMBER(SEARCH('F-VTA'!$F$31,Tabla11[[#This Row],[Cuenta]],1))</f>
        <v>1</v>
      </c>
      <c r="AM995" t="b">
        <f>+ISNUMBER(SEARCH('F-VTA'!$F$32,Tabla11[[#This Row],[Cuenta]],1))</f>
        <v>1</v>
      </c>
      <c r="AN995" t="b">
        <f>+ISNUMBER(SEARCH('F-VTA'!$F$33,Tabla11[[#This Row],[Cuenta]],1))</f>
        <v>1</v>
      </c>
      <c r="AO995" t="b">
        <f>+ISNUMBER(SEARCH('F-VTA'!$F$34,Tabla11[[#This Row],[Cuenta]],1))</f>
        <v>1</v>
      </c>
      <c r="AP995" t="b">
        <f>+ISNUMBER(SEARCH('F-VTA'!$F$35,Tabla11[[#This Row],[Cuenta]],1))</f>
        <v>1</v>
      </c>
      <c r="AQ995" t="b">
        <f>+ISNUMBER(SEARCH('F-VTA'!$F$36,Tabla11[[#This Row],[Cuenta]],1))</f>
        <v>1</v>
      </c>
      <c r="AR995" t="b">
        <f>+ISNUMBER(SEARCH(#REF!,Tabla11[[#This Row],[Cuenta]],1))</f>
        <v>0</v>
      </c>
      <c r="AS995" t="b">
        <f>+ISNUMBER(SEARCH(#REF!,Tabla11[[#This Row],[Cuenta]],1))</f>
        <v>0</v>
      </c>
      <c r="AT995" t="b">
        <f>+ISNUMBER(SEARCH(#REF!,Tabla11[[#This Row],[Cuenta]],1))</f>
        <v>0</v>
      </c>
      <c r="AU995" t="b">
        <f>+ISNUMBER(SEARCH('Conc. Ban.1'!$I$9,Tabla11[[#This Row],[Cuenta]],1))</f>
        <v>0</v>
      </c>
      <c r="AV995" t="b">
        <f>+ISNUMBER(SEARCH(CompConta!$F$21,Tabla11[[#This Row],[Cuenta]],1))</f>
        <v>1</v>
      </c>
      <c r="AW995" t="b">
        <f>+ISNUMBER(SEARCH(CompConta!$F$22,Tabla11[[#This Row],[Cuenta]],1))</f>
        <v>1</v>
      </c>
      <c r="AX995" t="b">
        <f>+ISNUMBER(SEARCH(CompConta!$F$23,Tabla11[[#This Row],[Cuenta]],1))</f>
        <v>1</v>
      </c>
      <c r="AY995" t="b">
        <f>+ISNUMBER(SEARCH(CompConta!$F$24,Tabla11[[#This Row],[Cuenta]],1))</f>
        <v>1</v>
      </c>
      <c r="AZ995" t="b">
        <f>+ISNUMBER(SEARCH(CompConta!$F$25,Tabla11[[#This Row],[Cuenta]],1))</f>
        <v>1</v>
      </c>
      <c r="BA995" t="b">
        <f>+ISNUMBER(SEARCH(CompConta!$F$26,Tabla11[[#This Row],[Cuenta]],1))</f>
        <v>1</v>
      </c>
      <c r="BB995" t="b">
        <f>+ISNUMBER(SEARCH(CompConta!$F$27,Tabla11[[#This Row],[Cuenta]],1))</f>
        <v>1</v>
      </c>
      <c r="BC995" t="b">
        <f>+ISNUMBER(SEARCH(CompConta!$F$28,Tabla11[[#This Row],[Cuenta]],1))</f>
        <v>1</v>
      </c>
      <c r="BD995" t="b">
        <f>+ISNUMBER(SEARCH(CompConta!$F$29,Tabla11[[#This Row],[Cuenta]],1))</f>
        <v>1</v>
      </c>
      <c r="BE995" t="b">
        <f>+ISNUMBER(SEARCH(CompConta!$F$30,Tabla11[[#This Row],[Cuenta]],1))</f>
        <v>1</v>
      </c>
      <c r="BF995" t="b">
        <f>+ISNUMBER(SEARCH('PAGO Compras'!$E$11,Tabla11[[#This Row],[Cuenta]],1))</f>
        <v>1</v>
      </c>
      <c r="BG995" t="b">
        <f>+ISNUMBER(SEARCH(#REF!,Tabla11[[#This Row],[Cuenta]],1))</f>
        <v>0</v>
      </c>
      <c r="BH995" t="b">
        <f>+ISNUMBER(SEARCH(#REF!,Tabla11[[#This Row],[Cuenta]],1))</f>
        <v>0</v>
      </c>
      <c r="BI995" t="b">
        <f>+ISNUMBER(SEARCH(#REF!,Tabla11[[#This Row],[Cuenta]],1))</f>
        <v>0</v>
      </c>
      <c r="BJ995" t="b">
        <f>+ISNUMBER(SEARCH(#REF!,Tabla11[[#This Row],[Cuenta]],1))</f>
        <v>0</v>
      </c>
      <c r="BS995" t="str">
        <v>521535 Tasa por utilización de puertos</v>
      </c>
      <c r="BT995" t="str">
        <v>521535 Tasa por utilización de puertos</v>
      </c>
      <c r="BU995" t="str">
        <v>521535 Tasa por utilización de puertos</v>
      </c>
      <c r="BV995" t="str">
        <v>521535 Tasa por utilización de puertos</v>
      </c>
      <c r="BZ995" t="str">
        <v>521535 Tasa por utilización de puertos</v>
      </c>
      <c r="CA995" t="str">
        <v>521535 Tasa por utilización de puertos</v>
      </c>
      <c r="CB995" t="str">
        <v>521535 Tasa por utilización de puertos</v>
      </c>
      <c r="CC995" t="str">
        <v>521535 Tasa por utilización de puertos</v>
      </c>
      <c r="CD995" t="str">
        <v>521535 Tasa por utilización de puertos</v>
      </c>
      <c r="CE995" t="str">
        <v>521535 Tasa por utilización de puertos</v>
      </c>
      <c r="CS995" s="141" t="str">
        <v>521535 Tasa por utilización de puertos</v>
      </c>
      <c r="CT995" s="141" t="str">
        <v>521535 Tasa por utilización de puertos</v>
      </c>
      <c r="CU995" s="141" t="str">
        <v>521535 Tasa por utilización de puertos</v>
      </c>
      <c r="CV995" s="141" t="str">
        <v>521535 Tasa por utilización de puertos</v>
      </c>
      <c r="CW995" s="141" t="str">
        <v>521535 Tasa por utilización de puertos</v>
      </c>
      <c r="CX995" s="141" t="str">
        <v>521535 Tasa por utilización de puertos</v>
      </c>
      <c r="CY995" s="141" t="str">
        <v>521535 Tasa por utilización de puertos</v>
      </c>
      <c r="CZ995" s="141" t="str">
        <v>521535 Tasa por utilización de puertos</v>
      </c>
      <c r="DA995" s="141" t="str">
        <v>521535 Tasa por utilización de puertos</v>
      </c>
      <c r="DF995" t="str">
        <v>521535 Tasa por utilización de puertos</v>
      </c>
      <c r="DG995" t="str">
        <v>521535 Tasa por utilización de puertos</v>
      </c>
      <c r="DH995" t="str">
        <v>521535 Tasa por utilización de puertos</v>
      </c>
      <c r="DI995" t="str">
        <v>521535 Tasa por utilización de puertos</v>
      </c>
      <c r="DJ995" t="str">
        <v>521535 Tasa por utilización de puertos</v>
      </c>
      <c r="DK995" t="str">
        <v>521535 Tasa por utilización de puertos</v>
      </c>
      <c r="DL995" t="str">
        <v>521535 Tasa por utilización de puertos</v>
      </c>
      <c r="DM995" t="str">
        <v>521535 Tasa por utilización de puertos</v>
      </c>
      <c r="DN995" t="str">
        <v>521535 Tasa por utilización de puertos</v>
      </c>
      <c r="DO995" t="str">
        <v>521535 Tasa por utilización de puertos</v>
      </c>
      <c r="DP995" t="str">
        <v>521535 Tasa por utilización de puertos</v>
      </c>
    </row>
    <row r="996" spans="4:120" ht="12.75">
      <c r="D996" s="7">
        <v>521540</v>
      </c>
      <c r="E996" s="6" t="s">
        <v>407</v>
      </c>
      <c r="F996" s="5">
        <v>4</v>
      </c>
      <c r="G996" s="34" t="s">
        <v>830</v>
      </c>
      <c r="H996" s="8" t="s">
        <v>32</v>
      </c>
      <c r="I996" t="b">
        <f>+ISNUMBER(SEARCH('F-COMPRA'!$F$28,Tabla11[[#This Row],[Cuenta]],1))</f>
        <v>1</v>
      </c>
      <c r="J996" t="b">
        <f>+ISNUMBER(SEARCH('F-COMPRA'!$F$29,Tabla11[[#This Row],[Cuenta]],1))</f>
        <v>1</v>
      </c>
      <c r="K996" t="b">
        <f>+ISNUMBER(SEARCH('F-COMPRA'!$F$30,Tabla11[[#This Row],[Cuenta]],1))</f>
        <v>1</v>
      </c>
      <c r="L996" t="b">
        <f>+ISNUMBER(SEARCH('F-COMPRA'!$F$31,Tabla11[[#This Row],[Cuenta]],1))</f>
        <v>1</v>
      </c>
      <c r="M996" t="b">
        <f>+ISNUMBER(SEARCH('F-COMPRA'!$G$25,Tabla11[[#This Row],[Cuenta]],1))</f>
        <v>0</v>
      </c>
      <c r="N996" t="b">
        <f>+ISNUMBER(SEARCH(#REF!,Tabla11[[#This Row],[Cuenta]],1))</f>
        <v>0</v>
      </c>
      <c r="O996" t="b">
        <f>+ISNUMBER(SEARCH(#REF!,Tabla11[[#This Row],[Cuenta]],1))</f>
        <v>0</v>
      </c>
      <c r="P996" t="b">
        <f>+ISNUMBER(SEARCH('F-COMPRA'!$F$32,Tabla11[[#This Row],[Cuenta]],1))</f>
        <v>1</v>
      </c>
      <c r="Q996" t="b">
        <f>+ISNUMBER(SEARCH('F-COMPRA'!$F$33,Tabla11[[#This Row],[Cuenta]],1))</f>
        <v>1</v>
      </c>
      <c r="R996" t="b">
        <f>+ISNUMBER(SEARCH('F-COMPRA'!$F$34,Tabla11[[#This Row],[Cuenta]],1))</f>
        <v>1</v>
      </c>
      <c r="S996" t="b">
        <f>+ISNUMBER(SEARCH('F-COMPRA'!$F$35,Tabla11[[#This Row],[Cuenta]],1))</f>
        <v>1</v>
      </c>
      <c r="T996" t="b">
        <f>+ISNUMBER(SEARCH('F-COMPRA'!$F$36,Tabla11[[#This Row],[Cuenta]],1))</f>
        <v>1</v>
      </c>
      <c r="U996" t="b">
        <f>+ISNUMBER(SEARCH('F-COMPRA'!$F$37,Tabla11[[#This Row],[Cuenta]],1))</f>
        <v>1</v>
      </c>
      <c r="V996" t="b">
        <f>+ISNUMBER(SEARCH(#REF!,Tabla11[[#This Row],[Cuenta]],1))</f>
        <v>0</v>
      </c>
      <c r="W996" t="b">
        <f>+ISNUMBER(SEARCH('F-COMPRA'!#REF!,Tabla11[[#This Row],[Cuenta]],1))</f>
        <v>0</v>
      </c>
      <c r="X996" t="b">
        <f>+ISNUMBER(SEARCH('F-COMPRA'!#REF!,Tabla11[[#This Row],[Cuenta]],1))</f>
        <v>0</v>
      </c>
      <c r="Y996" t="b">
        <f>+ISNUMBER(SEARCH('F-COMPRA'!#REF!,Tabla11[[#This Row],[Cuenta]],1))</f>
        <v>0</v>
      </c>
      <c r="Z996" t="b">
        <f>+ISNUMBER(SEARCH('F-COMPRA'!#REF!,Tabla11[[#This Row],[Cuenta]],1))</f>
        <v>0</v>
      </c>
      <c r="AA996" t="b">
        <f>+ISNUMBER(SEARCH('F-COMPRA'!#REF!,Tabla11[[#This Row],[Cuenta]],1))</f>
        <v>0</v>
      </c>
      <c r="AB996" t="b">
        <f>+ISNUMBER(SEARCH('F-COMPRA'!#REF!,Tabla11[[#This Row],[Cuenta]],1))</f>
        <v>0</v>
      </c>
      <c r="AC996" t="b">
        <f>+ISNUMBER(SEARCH('F-COMPRA'!#REF!,Tabla11[[#This Row],[Cuenta]],1))</f>
        <v>0</v>
      </c>
      <c r="AD996" t="b">
        <f>+ISNUMBER(SEARCH('F-COMPRA'!#REF!,Tabla11[[#This Row],[Cuenta]],1))</f>
        <v>0</v>
      </c>
      <c r="AE996" t="b">
        <f>+ISNUMBER(SEARCH('F-COMPRA'!#REF!,Tabla11[[#This Row],[Cuenta]],1))</f>
        <v>0</v>
      </c>
      <c r="AF996" t="b">
        <f>+ISNUMBER(SEARCH('F-VTA'!$G$23,Tabla11[[#This Row],[Cuenta]],1))</f>
        <v>0</v>
      </c>
      <c r="AG996" t="b">
        <f>+ISNUMBER(SEARCH('F-VTA'!$G$24,Tabla11[[#This Row],[Cuenta]],1))</f>
        <v>0</v>
      </c>
      <c r="AH996" t="b">
        <f>+ISNUMBER(SEARCH('F-VTA'!$G$25,Tabla11[[#This Row],[Cuenta]],1))</f>
        <v>0</v>
      </c>
      <c r="AI996" t="b">
        <f>+ISNUMBER(SEARCH('F-VTA'!$F$28,Tabla11[[#This Row],[Cuenta]],1))</f>
        <v>1</v>
      </c>
      <c r="AJ996" t="b">
        <f>+ISNUMBER(SEARCH('F-VTA'!$F$29,Tabla11[[#This Row],[Cuenta]],1))</f>
        <v>1</v>
      </c>
      <c r="AK996" t="b">
        <f>+ISNUMBER(SEARCH('F-VTA'!$F$30,Tabla11[[#This Row],[Cuenta]],1))</f>
        <v>1</v>
      </c>
      <c r="AL996" t="b">
        <f>+ISNUMBER(SEARCH('F-VTA'!$F$31,Tabla11[[#This Row],[Cuenta]],1))</f>
        <v>1</v>
      </c>
      <c r="AM996" t="b">
        <f>+ISNUMBER(SEARCH('F-VTA'!$F$32,Tabla11[[#This Row],[Cuenta]],1))</f>
        <v>1</v>
      </c>
      <c r="AN996" t="b">
        <f>+ISNUMBER(SEARCH('F-VTA'!$F$33,Tabla11[[#This Row],[Cuenta]],1))</f>
        <v>1</v>
      </c>
      <c r="AO996" t="b">
        <f>+ISNUMBER(SEARCH('F-VTA'!$F$34,Tabla11[[#This Row],[Cuenta]],1))</f>
        <v>1</v>
      </c>
      <c r="AP996" t="b">
        <f>+ISNUMBER(SEARCH('F-VTA'!$F$35,Tabla11[[#This Row],[Cuenta]],1))</f>
        <v>1</v>
      </c>
      <c r="AQ996" t="b">
        <f>+ISNUMBER(SEARCH('F-VTA'!$F$36,Tabla11[[#This Row],[Cuenta]],1))</f>
        <v>1</v>
      </c>
      <c r="AR996" t="b">
        <f>+ISNUMBER(SEARCH(#REF!,Tabla11[[#This Row],[Cuenta]],1))</f>
        <v>0</v>
      </c>
      <c r="AS996" t="b">
        <f>+ISNUMBER(SEARCH(#REF!,Tabla11[[#This Row],[Cuenta]],1))</f>
        <v>0</v>
      </c>
      <c r="AT996" t="b">
        <f>+ISNUMBER(SEARCH(#REF!,Tabla11[[#This Row],[Cuenta]],1))</f>
        <v>0</v>
      </c>
      <c r="AU996" t="b">
        <f>+ISNUMBER(SEARCH('Conc. Ban.1'!$I$9,Tabla11[[#This Row],[Cuenta]],1))</f>
        <v>0</v>
      </c>
      <c r="AV996" t="b">
        <f>+ISNUMBER(SEARCH(CompConta!$F$21,Tabla11[[#This Row],[Cuenta]],1))</f>
        <v>1</v>
      </c>
      <c r="AW996" t="b">
        <f>+ISNUMBER(SEARCH(CompConta!$F$22,Tabla11[[#This Row],[Cuenta]],1))</f>
        <v>1</v>
      </c>
      <c r="AX996" t="b">
        <f>+ISNUMBER(SEARCH(CompConta!$F$23,Tabla11[[#This Row],[Cuenta]],1))</f>
        <v>1</v>
      </c>
      <c r="AY996" t="b">
        <f>+ISNUMBER(SEARCH(CompConta!$F$24,Tabla11[[#This Row],[Cuenta]],1))</f>
        <v>1</v>
      </c>
      <c r="AZ996" t="b">
        <f>+ISNUMBER(SEARCH(CompConta!$F$25,Tabla11[[#This Row],[Cuenta]],1))</f>
        <v>1</v>
      </c>
      <c r="BA996" t="b">
        <f>+ISNUMBER(SEARCH(CompConta!$F$26,Tabla11[[#This Row],[Cuenta]],1))</f>
        <v>1</v>
      </c>
      <c r="BB996" t="b">
        <f>+ISNUMBER(SEARCH(CompConta!$F$27,Tabla11[[#This Row],[Cuenta]],1))</f>
        <v>1</v>
      </c>
      <c r="BC996" t="b">
        <f>+ISNUMBER(SEARCH(CompConta!$F$28,Tabla11[[#This Row],[Cuenta]],1))</f>
        <v>1</v>
      </c>
      <c r="BD996" t="b">
        <f>+ISNUMBER(SEARCH(CompConta!$F$29,Tabla11[[#This Row],[Cuenta]],1))</f>
        <v>1</v>
      </c>
      <c r="BE996" t="b">
        <f>+ISNUMBER(SEARCH(CompConta!$F$30,Tabla11[[#This Row],[Cuenta]],1))</f>
        <v>1</v>
      </c>
      <c r="BF996" t="b">
        <f>+ISNUMBER(SEARCH('PAGO Compras'!$E$11,Tabla11[[#This Row],[Cuenta]],1))</f>
        <v>1</v>
      </c>
      <c r="BG996" t="b">
        <f>+ISNUMBER(SEARCH(#REF!,Tabla11[[#This Row],[Cuenta]],1))</f>
        <v>0</v>
      </c>
      <c r="BH996" t="b">
        <f>+ISNUMBER(SEARCH(#REF!,Tabla11[[#This Row],[Cuenta]],1))</f>
        <v>0</v>
      </c>
      <c r="BI996" t="b">
        <f>+ISNUMBER(SEARCH(#REF!,Tabla11[[#This Row],[Cuenta]],1))</f>
        <v>0</v>
      </c>
      <c r="BJ996" t="b">
        <f>+ISNUMBER(SEARCH(#REF!,Tabla11[[#This Row],[Cuenta]],1))</f>
        <v>0</v>
      </c>
      <c r="BS996" t="str">
        <v>521540 De vehículos</v>
      </c>
      <c r="BT996" t="str">
        <v>521540 De vehículos</v>
      </c>
      <c r="BU996" t="str">
        <v>521540 De vehículos</v>
      </c>
      <c r="BV996" t="str">
        <v>521540 De vehículos</v>
      </c>
      <c r="BZ996" t="str">
        <v>521540 De vehículos</v>
      </c>
      <c r="CA996" t="str">
        <v>521540 De vehículos</v>
      </c>
      <c r="CB996" t="str">
        <v>521540 De vehículos</v>
      </c>
      <c r="CC996" t="str">
        <v>521540 De vehículos</v>
      </c>
      <c r="CD996" t="str">
        <v>521540 De vehículos</v>
      </c>
      <c r="CE996" t="str">
        <v>521540 De vehículos</v>
      </c>
      <c r="CS996" s="141" t="str">
        <v>521540 De vehículos</v>
      </c>
      <c r="CT996" s="141" t="str">
        <v>521540 De vehículos</v>
      </c>
      <c r="CU996" s="141" t="str">
        <v>521540 De vehículos</v>
      </c>
      <c r="CV996" s="141" t="str">
        <v>521540 De vehículos</v>
      </c>
      <c r="CW996" s="141" t="str">
        <v>521540 De vehículos</v>
      </c>
      <c r="CX996" s="141" t="str">
        <v>521540 De vehículos</v>
      </c>
      <c r="CY996" s="141" t="str">
        <v>521540 De vehículos</v>
      </c>
      <c r="CZ996" s="141" t="str">
        <v>521540 De vehículos</v>
      </c>
      <c r="DA996" s="141" t="str">
        <v>521540 De vehículos</v>
      </c>
      <c r="DF996" t="str">
        <v>521540 De vehículos</v>
      </c>
      <c r="DG996" t="str">
        <v>521540 De vehículos</v>
      </c>
      <c r="DH996" t="str">
        <v>521540 De vehículos</v>
      </c>
      <c r="DI996" t="str">
        <v>521540 De vehículos</v>
      </c>
      <c r="DJ996" t="str">
        <v>521540 De vehículos</v>
      </c>
      <c r="DK996" t="str">
        <v>521540 De vehículos</v>
      </c>
      <c r="DL996" t="str">
        <v>521540 De vehículos</v>
      </c>
      <c r="DM996" t="str">
        <v>521540 De vehículos</v>
      </c>
      <c r="DN996" t="str">
        <v>521540 De vehículos</v>
      </c>
      <c r="DO996" t="str">
        <v>521540 De vehículos</v>
      </c>
      <c r="DP996" t="str">
        <v>521540 De vehículos</v>
      </c>
    </row>
    <row r="997" spans="4:120" ht="12.75">
      <c r="D997" s="7">
        <v>521545</v>
      </c>
      <c r="E997" s="6" t="s">
        <v>625</v>
      </c>
      <c r="F997" s="5">
        <v>4</v>
      </c>
      <c r="G997" s="34" t="s">
        <v>830</v>
      </c>
      <c r="H997" s="8" t="s">
        <v>32</v>
      </c>
      <c r="I997" t="b">
        <f>+ISNUMBER(SEARCH('F-COMPRA'!$F$28,Tabla11[[#This Row],[Cuenta]],1))</f>
        <v>1</v>
      </c>
      <c r="J997" t="b">
        <f>+ISNUMBER(SEARCH('F-COMPRA'!$F$29,Tabla11[[#This Row],[Cuenta]],1))</f>
        <v>1</v>
      </c>
      <c r="K997" t="b">
        <f>+ISNUMBER(SEARCH('F-COMPRA'!$F$30,Tabla11[[#This Row],[Cuenta]],1))</f>
        <v>1</v>
      </c>
      <c r="L997" t="b">
        <f>+ISNUMBER(SEARCH('F-COMPRA'!$F$31,Tabla11[[#This Row],[Cuenta]],1))</f>
        <v>1</v>
      </c>
      <c r="M997" t="b">
        <f>+ISNUMBER(SEARCH('F-COMPRA'!$G$25,Tabla11[[#This Row],[Cuenta]],1))</f>
        <v>0</v>
      </c>
      <c r="N997" t="b">
        <f>+ISNUMBER(SEARCH(#REF!,Tabla11[[#This Row],[Cuenta]],1))</f>
        <v>0</v>
      </c>
      <c r="O997" t="b">
        <f>+ISNUMBER(SEARCH(#REF!,Tabla11[[#This Row],[Cuenta]],1))</f>
        <v>0</v>
      </c>
      <c r="P997" t="b">
        <f>+ISNUMBER(SEARCH('F-COMPRA'!$F$32,Tabla11[[#This Row],[Cuenta]],1))</f>
        <v>1</v>
      </c>
      <c r="Q997" t="b">
        <f>+ISNUMBER(SEARCH('F-COMPRA'!$F$33,Tabla11[[#This Row],[Cuenta]],1))</f>
        <v>1</v>
      </c>
      <c r="R997" t="b">
        <f>+ISNUMBER(SEARCH('F-COMPRA'!$F$34,Tabla11[[#This Row],[Cuenta]],1))</f>
        <v>1</v>
      </c>
      <c r="S997" t="b">
        <f>+ISNUMBER(SEARCH('F-COMPRA'!$F$35,Tabla11[[#This Row],[Cuenta]],1))</f>
        <v>1</v>
      </c>
      <c r="T997" t="b">
        <f>+ISNUMBER(SEARCH('F-COMPRA'!$F$36,Tabla11[[#This Row],[Cuenta]],1))</f>
        <v>1</v>
      </c>
      <c r="U997" t="b">
        <f>+ISNUMBER(SEARCH('F-COMPRA'!$F$37,Tabla11[[#This Row],[Cuenta]],1))</f>
        <v>1</v>
      </c>
      <c r="V997" t="b">
        <f>+ISNUMBER(SEARCH(#REF!,Tabla11[[#This Row],[Cuenta]],1))</f>
        <v>0</v>
      </c>
      <c r="W997" t="b">
        <f>+ISNUMBER(SEARCH('F-COMPRA'!#REF!,Tabla11[[#This Row],[Cuenta]],1))</f>
        <v>0</v>
      </c>
      <c r="X997" t="b">
        <f>+ISNUMBER(SEARCH('F-COMPRA'!#REF!,Tabla11[[#This Row],[Cuenta]],1))</f>
        <v>0</v>
      </c>
      <c r="Y997" t="b">
        <f>+ISNUMBER(SEARCH('F-COMPRA'!#REF!,Tabla11[[#This Row],[Cuenta]],1))</f>
        <v>0</v>
      </c>
      <c r="Z997" t="b">
        <f>+ISNUMBER(SEARCH('F-COMPRA'!#REF!,Tabla11[[#This Row],[Cuenta]],1))</f>
        <v>0</v>
      </c>
      <c r="AA997" t="b">
        <f>+ISNUMBER(SEARCH('F-COMPRA'!#REF!,Tabla11[[#This Row],[Cuenta]],1))</f>
        <v>0</v>
      </c>
      <c r="AB997" t="b">
        <f>+ISNUMBER(SEARCH('F-COMPRA'!#REF!,Tabla11[[#This Row],[Cuenta]],1))</f>
        <v>0</v>
      </c>
      <c r="AC997" t="b">
        <f>+ISNUMBER(SEARCH('F-COMPRA'!#REF!,Tabla11[[#This Row],[Cuenta]],1))</f>
        <v>0</v>
      </c>
      <c r="AD997" t="b">
        <f>+ISNUMBER(SEARCH('F-COMPRA'!#REF!,Tabla11[[#This Row],[Cuenta]],1))</f>
        <v>0</v>
      </c>
      <c r="AE997" t="b">
        <f>+ISNUMBER(SEARCH('F-COMPRA'!#REF!,Tabla11[[#This Row],[Cuenta]],1))</f>
        <v>0</v>
      </c>
      <c r="AF997" t="b">
        <f>+ISNUMBER(SEARCH('F-VTA'!$G$23,Tabla11[[#This Row],[Cuenta]],1))</f>
        <v>0</v>
      </c>
      <c r="AG997" t="b">
        <f>+ISNUMBER(SEARCH('F-VTA'!$G$24,Tabla11[[#This Row],[Cuenta]],1))</f>
        <v>0</v>
      </c>
      <c r="AH997" t="b">
        <f>+ISNUMBER(SEARCH('F-VTA'!$G$25,Tabla11[[#This Row],[Cuenta]],1))</f>
        <v>0</v>
      </c>
      <c r="AI997" t="b">
        <f>+ISNUMBER(SEARCH('F-VTA'!$F$28,Tabla11[[#This Row],[Cuenta]],1))</f>
        <v>1</v>
      </c>
      <c r="AJ997" t="b">
        <f>+ISNUMBER(SEARCH('F-VTA'!$F$29,Tabla11[[#This Row],[Cuenta]],1))</f>
        <v>1</v>
      </c>
      <c r="AK997" t="b">
        <f>+ISNUMBER(SEARCH('F-VTA'!$F$30,Tabla11[[#This Row],[Cuenta]],1))</f>
        <v>1</v>
      </c>
      <c r="AL997" t="b">
        <f>+ISNUMBER(SEARCH('F-VTA'!$F$31,Tabla11[[#This Row],[Cuenta]],1))</f>
        <v>1</v>
      </c>
      <c r="AM997" t="b">
        <f>+ISNUMBER(SEARCH('F-VTA'!$F$32,Tabla11[[#This Row],[Cuenta]],1))</f>
        <v>1</v>
      </c>
      <c r="AN997" t="b">
        <f>+ISNUMBER(SEARCH('F-VTA'!$F$33,Tabla11[[#This Row],[Cuenta]],1))</f>
        <v>1</v>
      </c>
      <c r="AO997" t="b">
        <f>+ISNUMBER(SEARCH('F-VTA'!$F$34,Tabla11[[#This Row],[Cuenta]],1))</f>
        <v>1</v>
      </c>
      <c r="AP997" t="b">
        <f>+ISNUMBER(SEARCH('F-VTA'!$F$35,Tabla11[[#This Row],[Cuenta]],1))</f>
        <v>1</v>
      </c>
      <c r="AQ997" t="b">
        <f>+ISNUMBER(SEARCH('F-VTA'!$F$36,Tabla11[[#This Row],[Cuenta]],1))</f>
        <v>1</v>
      </c>
      <c r="AR997" t="b">
        <f>+ISNUMBER(SEARCH(#REF!,Tabla11[[#This Row],[Cuenta]],1))</f>
        <v>0</v>
      </c>
      <c r="AS997" t="b">
        <f>+ISNUMBER(SEARCH(#REF!,Tabla11[[#This Row],[Cuenta]],1))</f>
        <v>0</v>
      </c>
      <c r="AT997" t="b">
        <f>+ISNUMBER(SEARCH(#REF!,Tabla11[[#This Row],[Cuenta]],1))</f>
        <v>0</v>
      </c>
      <c r="AU997" t="b">
        <f>+ISNUMBER(SEARCH('Conc. Ban.1'!$I$9,Tabla11[[#This Row],[Cuenta]],1))</f>
        <v>0</v>
      </c>
      <c r="AV997" t="b">
        <f>+ISNUMBER(SEARCH(CompConta!$F$21,Tabla11[[#This Row],[Cuenta]],1))</f>
        <v>1</v>
      </c>
      <c r="AW997" t="b">
        <f>+ISNUMBER(SEARCH(CompConta!$F$22,Tabla11[[#This Row],[Cuenta]],1))</f>
        <v>1</v>
      </c>
      <c r="AX997" t="b">
        <f>+ISNUMBER(SEARCH(CompConta!$F$23,Tabla11[[#This Row],[Cuenta]],1))</f>
        <v>1</v>
      </c>
      <c r="AY997" t="b">
        <f>+ISNUMBER(SEARCH(CompConta!$F$24,Tabla11[[#This Row],[Cuenta]],1))</f>
        <v>1</v>
      </c>
      <c r="AZ997" t="b">
        <f>+ISNUMBER(SEARCH(CompConta!$F$25,Tabla11[[#This Row],[Cuenta]],1))</f>
        <v>1</v>
      </c>
      <c r="BA997" t="b">
        <f>+ISNUMBER(SEARCH(CompConta!$F$26,Tabla11[[#This Row],[Cuenta]],1))</f>
        <v>1</v>
      </c>
      <c r="BB997" t="b">
        <f>+ISNUMBER(SEARCH(CompConta!$F$27,Tabla11[[#This Row],[Cuenta]],1))</f>
        <v>1</v>
      </c>
      <c r="BC997" t="b">
        <f>+ISNUMBER(SEARCH(CompConta!$F$28,Tabla11[[#This Row],[Cuenta]],1))</f>
        <v>1</v>
      </c>
      <c r="BD997" t="b">
        <f>+ISNUMBER(SEARCH(CompConta!$F$29,Tabla11[[#This Row],[Cuenta]],1))</f>
        <v>1</v>
      </c>
      <c r="BE997" t="b">
        <f>+ISNUMBER(SEARCH(CompConta!$F$30,Tabla11[[#This Row],[Cuenta]],1))</f>
        <v>1</v>
      </c>
      <c r="BF997" t="b">
        <f>+ISNUMBER(SEARCH('PAGO Compras'!$E$11,Tabla11[[#This Row],[Cuenta]],1))</f>
        <v>1</v>
      </c>
      <c r="BG997" t="b">
        <f>+ISNUMBER(SEARCH(#REF!,Tabla11[[#This Row],[Cuenta]],1))</f>
        <v>0</v>
      </c>
      <c r="BH997" t="b">
        <f>+ISNUMBER(SEARCH(#REF!,Tabla11[[#This Row],[Cuenta]],1))</f>
        <v>0</v>
      </c>
      <c r="BI997" t="b">
        <f>+ISNUMBER(SEARCH(#REF!,Tabla11[[#This Row],[Cuenta]],1))</f>
        <v>0</v>
      </c>
      <c r="BJ997" t="b">
        <f>+ISNUMBER(SEARCH(#REF!,Tabla11[[#This Row],[Cuenta]],1))</f>
        <v>0</v>
      </c>
      <c r="BS997" t="str">
        <v>521545 De espectáculos públicos</v>
      </c>
      <c r="BT997" t="str">
        <v>521545 De espectáculos públicos</v>
      </c>
      <c r="BU997" t="str">
        <v>521545 De espectáculos públicos</v>
      </c>
      <c r="BV997" t="str">
        <v>521545 De espectáculos públicos</v>
      </c>
      <c r="BZ997" t="str">
        <v>521545 De espectáculos públicos</v>
      </c>
      <c r="CA997" t="str">
        <v>521545 De espectáculos públicos</v>
      </c>
      <c r="CB997" t="str">
        <v>521545 De espectáculos públicos</v>
      </c>
      <c r="CC997" t="str">
        <v>521545 De espectáculos públicos</v>
      </c>
      <c r="CD997" t="str">
        <v>521545 De espectáculos públicos</v>
      </c>
      <c r="CE997" t="str">
        <v>521545 De espectáculos públicos</v>
      </c>
      <c r="CS997" s="141" t="str">
        <v>521545 De espectáculos públicos</v>
      </c>
      <c r="CT997" s="141" t="str">
        <v>521545 De espectáculos públicos</v>
      </c>
      <c r="CU997" s="141" t="str">
        <v>521545 De espectáculos públicos</v>
      </c>
      <c r="CV997" s="141" t="str">
        <v>521545 De espectáculos públicos</v>
      </c>
      <c r="CW997" s="141" t="str">
        <v>521545 De espectáculos públicos</v>
      </c>
      <c r="CX997" s="141" t="str">
        <v>521545 De espectáculos públicos</v>
      </c>
      <c r="CY997" s="141" t="str">
        <v>521545 De espectáculos públicos</v>
      </c>
      <c r="CZ997" s="141" t="str">
        <v>521545 De espectáculos públicos</v>
      </c>
      <c r="DA997" s="141" t="str">
        <v>521545 De espectáculos públicos</v>
      </c>
      <c r="DF997" t="str">
        <v>521545 De espectáculos públicos</v>
      </c>
      <c r="DG997" t="str">
        <v>521545 De espectáculos públicos</v>
      </c>
      <c r="DH997" t="str">
        <v>521545 De espectáculos públicos</v>
      </c>
      <c r="DI997" t="str">
        <v>521545 De espectáculos públicos</v>
      </c>
      <c r="DJ997" t="str">
        <v>521545 De espectáculos públicos</v>
      </c>
      <c r="DK997" t="str">
        <v>521545 De espectáculos públicos</v>
      </c>
      <c r="DL997" t="str">
        <v>521545 De espectáculos públicos</v>
      </c>
      <c r="DM997" t="str">
        <v>521545 De espectáculos públicos</v>
      </c>
      <c r="DN997" t="str">
        <v>521545 De espectáculos públicos</v>
      </c>
      <c r="DO997" t="str">
        <v>521545 De espectáculos públicos</v>
      </c>
      <c r="DP997" t="str">
        <v>521545 De espectáculos públicos</v>
      </c>
    </row>
    <row r="998" spans="4:120" ht="12.75">
      <c r="D998" s="7">
        <v>521550</v>
      </c>
      <c r="E998" s="6" t="s">
        <v>570</v>
      </c>
      <c r="F998" s="5">
        <v>4</v>
      </c>
      <c r="G998" s="34" t="s">
        <v>830</v>
      </c>
      <c r="H998" s="8" t="s">
        <v>32</v>
      </c>
      <c r="I998" t="b">
        <f>+ISNUMBER(SEARCH('F-COMPRA'!$F$28,Tabla11[[#This Row],[Cuenta]],1))</f>
        <v>1</v>
      </c>
      <c r="J998" t="b">
        <f>+ISNUMBER(SEARCH('F-COMPRA'!$F$29,Tabla11[[#This Row],[Cuenta]],1))</f>
        <v>1</v>
      </c>
      <c r="K998" t="b">
        <f>+ISNUMBER(SEARCH('F-COMPRA'!$F$30,Tabla11[[#This Row],[Cuenta]],1))</f>
        <v>1</v>
      </c>
      <c r="L998" t="b">
        <f>+ISNUMBER(SEARCH('F-COMPRA'!$F$31,Tabla11[[#This Row],[Cuenta]],1))</f>
        <v>1</v>
      </c>
      <c r="M998" t="b">
        <f>+ISNUMBER(SEARCH('F-COMPRA'!$G$25,Tabla11[[#This Row],[Cuenta]],1))</f>
        <v>0</v>
      </c>
      <c r="N998" t="b">
        <f>+ISNUMBER(SEARCH(#REF!,Tabla11[[#This Row],[Cuenta]],1))</f>
        <v>0</v>
      </c>
      <c r="O998" t="b">
        <f>+ISNUMBER(SEARCH(#REF!,Tabla11[[#This Row],[Cuenta]],1))</f>
        <v>0</v>
      </c>
      <c r="P998" t="b">
        <f>+ISNUMBER(SEARCH('F-COMPRA'!$F$32,Tabla11[[#This Row],[Cuenta]],1))</f>
        <v>1</v>
      </c>
      <c r="Q998" t="b">
        <f>+ISNUMBER(SEARCH('F-COMPRA'!$F$33,Tabla11[[#This Row],[Cuenta]],1))</f>
        <v>1</v>
      </c>
      <c r="R998" t="b">
        <f>+ISNUMBER(SEARCH('F-COMPRA'!$F$34,Tabla11[[#This Row],[Cuenta]],1))</f>
        <v>1</v>
      </c>
      <c r="S998" t="b">
        <f>+ISNUMBER(SEARCH('F-COMPRA'!$F$35,Tabla11[[#This Row],[Cuenta]],1))</f>
        <v>1</v>
      </c>
      <c r="T998" t="b">
        <f>+ISNUMBER(SEARCH('F-COMPRA'!$F$36,Tabla11[[#This Row],[Cuenta]],1))</f>
        <v>1</v>
      </c>
      <c r="U998" t="b">
        <f>+ISNUMBER(SEARCH('F-COMPRA'!$F$37,Tabla11[[#This Row],[Cuenta]],1))</f>
        <v>1</v>
      </c>
      <c r="V998" t="b">
        <f>+ISNUMBER(SEARCH(#REF!,Tabla11[[#This Row],[Cuenta]],1))</f>
        <v>0</v>
      </c>
      <c r="W998" t="b">
        <f>+ISNUMBER(SEARCH('F-COMPRA'!#REF!,Tabla11[[#This Row],[Cuenta]],1))</f>
        <v>0</v>
      </c>
      <c r="X998" t="b">
        <f>+ISNUMBER(SEARCH('F-COMPRA'!#REF!,Tabla11[[#This Row],[Cuenta]],1))</f>
        <v>0</v>
      </c>
      <c r="Y998" t="b">
        <f>+ISNUMBER(SEARCH('F-COMPRA'!#REF!,Tabla11[[#This Row],[Cuenta]],1))</f>
        <v>0</v>
      </c>
      <c r="Z998" t="b">
        <f>+ISNUMBER(SEARCH('F-COMPRA'!#REF!,Tabla11[[#This Row],[Cuenta]],1))</f>
        <v>0</v>
      </c>
      <c r="AA998" t="b">
        <f>+ISNUMBER(SEARCH('F-COMPRA'!#REF!,Tabla11[[#This Row],[Cuenta]],1))</f>
        <v>0</v>
      </c>
      <c r="AB998" t="b">
        <f>+ISNUMBER(SEARCH('F-COMPRA'!#REF!,Tabla11[[#This Row],[Cuenta]],1))</f>
        <v>0</v>
      </c>
      <c r="AC998" t="b">
        <f>+ISNUMBER(SEARCH('F-COMPRA'!#REF!,Tabla11[[#This Row],[Cuenta]],1))</f>
        <v>0</v>
      </c>
      <c r="AD998" t="b">
        <f>+ISNUMBER(SEARCH('F-COMPRA'!#REF!,Tabla11[[#This Row],[Cuenta]],1))</f>
        <v>0</v>
      </c>
      <c r="AE998" t="b">
        <f>+ISNUMBER(SEARCH('F-COMPRA'!#REF!,Tabla11[[#This Row],[Cuenta]],1))</f>
        <v>0</v>
      </c>
      <c r="AF998" t="b">
        <f>+ISNUMBER(SEARCH('F-VTA'!$G$23,Tabla11[[#This Row],[Cuenta]],1))</f>
        <v>0</v>
      </c>
      <c r="AG998" t="b">
        <f>+ISNUMBER(SEARCH('F-VTA'!$G$24,Tabla11[[#This Row],[Cuenta]],1))</f>
        <v>0</v>
      </c>
      <c r="AH998" t="b">
        <f>+ISNUMBER(SEARCH('F-VTA'!$G$25,Tabla11[[#This Row],[Cuenta]],1))</f>
        <v>0</v>
      </c>
      <c r="AI998" t="b">
        <f>+ISNUMBER(SEARCH('F-VTA'!$F$28,Tabla11[[#This Row],[Cuenta]],1))</f>
        <v>1</v>
      </c>
      <c r="AJ998" t="b">
        <f>+ISNUMBER(SEARCH('F-VTA'!$F$29,Tabla11[[#This Row],[Cuenta]],1))</f>
        <v>1</v>
      </c>
      <c r="AK998" t="b">
        <f>+ISNUMBER(SEARCH('F-VTA'!$F$30,Tabla11[[#This Row],[Cuenta]],1))</f>
        <v>1</v>
      </c>
      <c r="AL998" t="b">
        <f>+ISNUMBER(SEARCH('F-VTA'!$F$31,Tabla11[[#This Row],[Cuenta]],1))</f>
        <v>1</v>
      </c>
      <c r="AM998" t="b">
        <f>+ISNUMBER(SEARCH('F-VTA'!$F$32,Tabla11[[#This Row],[Cuenta]],1))</f>
        <v>1</v>
      </c>
      <c r="AN998" t="b">
        <f>+ISNUMBER(SEARCH('F-VTA'!$F$33,Tabla11[[#This Row],[Cuenta]],1))</f>
        <v>1</v>
      </c>
      <c r="AO998" t="b">
        <f>+ISNUMBER(SEARCH('F-VTA'!$F$34,Tabla11[[#This Row],[Cuenta]],1))</f>
        <v>1</v>
      </c>
      <c r="AP998" t="b">
        <f>+ISNUMBER(SEARCH('F-VTA'!$F$35,Tabla11[[#This Row],[Cuenta]],1))</f>
        <v>1</v>
      </c>
      <c r="AQ998" t="b">
        <f>+ISNUMBER(SEARCH('F-VTA'!$F$36,Tabla11[[#This Row],[Cuenta]],1))</f>
        <v>1</v>
      </c>
      <c r="AR998" t="b">
        <f>+ISNUMBER(SEARCH(#REF!,Tabla11[[#This Row],[Cuenta]],1))</f>
        <v>0</v>
      </c>
      <c r="AS998" t="b">
        <f>+ISNUMBER(SEARCH(#REF!,Tabla11[[#This Row],[Cuenta]],1))</f>
        <v>0</v>
      </c>
      <c r="AT998" t="b">
        <f>+ISNUMBER(SEARCH(#REF!,Tabla11[[#This Row],[Cuenta]],1))</f>
        <v>0</v>
      </c>
      <c r="AU998" t="b">
        <f>+ISNUMBER(SEARCH('Conc. Ban.1'!$I$9,Tabla11[[#This Row],[Cuenta]],1))</f>
        <v>0</v>
      </c>
      <c r="AV998" t="b">
        <f>+ISNUMBER(SEARCH(CompConta!$F$21,Tabla11[[#This Row],[Cuenta]],1))</f>
        <v>1</v>
      </c>
      <c r="AW998" t="b">
        <f>+ISNUMBER(SEARCH(CompConta!$F$22,Tabla11[[#This Row],[Cuenta]],1))</f>
        <v>1</v>
      </c>
      <c r="AX998" t="b">
        <f>+ISNUMBER(SEARCH(CompConta!$F$23,Tabla11[[#This Row],[Cuenta]],1))</f>
        <v>1</v>
      </c>
      <c r="AY998" t="b">
        <f>+ISNUMBER(SEARCH(CompConta!$F$24,Tabla11[[#This Row],[Cuenta]],1))</f>
        <v>1</v>
      </c>
      <c r="AZ998" t="b">
        <f>+ISNUMBER(SEARCH(CompConta!$F$25,Tabla11[[#This Row],[Cuenta]],1))</f>
        <v>1</v>
      </c>
      <c r="BA998" t="b">
        <f>+ISNUMBER(SEARCH(CompConta!$F$26,Tabla11[[#This Row],[Cuenta]],1))</f>
        <v>1</v>
      </c>
      <c r="BB998" t="b">
        <f>+ISNUMBER(SEARCH(CompConta!$F$27,Tabla11[[#This Row],[Cuenta]],1))</f>
        <v>1</v>
      </c>
      <c r="BC998" t="b">
        <f>+ISNUMBER(SEARCH(CompConta!$F$28,Tabla11[[#This Row],[Cuenta]],1))</f>
        <v>1</v>
      </c>
      <c r="BD998" t="b">
        <f>+ISNUMBER(SEARCH(CompConta!$F$29,Tabla11[[#This Row],[Cuenta]],1))</f>
        <v>1</v>
      </c>
      <c r="BE998" t="b">
        <f>+ISNUMBER(SEARCH(CompConta!$F$30,Tabla11[[#This Row],[Cuenta]],1))</f>
        <v>1</v>
      </c>
      <c r="BF998" t="b">
        <f>+ISNUMBER(SEARCH('PAGO Compras'!$E$11,Tabla11[[#This Row],[Cuenta]],1))</f>
        <v>1</v>
      </c>
      <c r="BG998" t="b">
        <f>+ISNUMBER(SEARCH(#REF!,Tabla11[[#This Row],[Cuenta]],1))</f>
        <v>0</v>
      </c>
      <c r="BH998" t="b">
        <f>+ISNUMBER(SEARCH(#REF!,Tabla11[[#This Row],[Cuenta]],1))</f>
        <v>0</v>
      </c>
      <c r="BI998" t="b">
        <f>+ISNUMBER(SEARCH(#REF!,Tabla11[[#This Row],[Cuenta]],1))</f>
        <v>0</v>
      </c>
      <c r="BJ998" t="b">
        <f>+ISNUMBER(SEARCH(#REF!,Tabla11[[#This Row],[Cuenta]],1))</f>
        <v>0</v>
      </c>
      <c r="BS998" t="str">
        <v>521550 Cuotas de fomento</v>
      </c>
      <c r="BT998" t="str">
        <v>521550 Cuotas de fomento</v>
      </c>
      <c r="BU998" t="str">
        <v>521550 Cuotas de fomento</v>
      </c>
      <c r="BV998" t="str">
        <v>521550 Cuotas de fomento</v>
      </c>
      <c r="BZ998" t="str">
        <v>521550 Cuotas de fomento</v>
      </c>
      <c r="CA998" t="str">
        <v>521550 Cuotas de fomento</v>
      </c>
      <c r="CB998" t="str">
        <v>521550 Cuotas de fomento</v>
      </c>
      <c r="CC998" t="str">
        <v>521550 Cuotas de fomento</v>
      </c>
      <c r="CD998" t="str">
        <v>521550 Cuotas de fomento</v>
      </c>
      <c r="CE998" t="str">
        <v>521550 Cuotas de fomento</v>
      </c>
      <c r="CS998" s="141" t="str">
        <v>521550 Cuotas de fomento</v>
      </c>
      <c r="CT998" s="141" t="str">
        <v>521550 Cuotas de fomento</v>
      </c>
      <c r="CU998" s="141" t="str">
        <v>521550 Cuotas de fomento</v>
      </c>
      <c r="CV998" s="141" t="str">
        <v>521550 Cuotas de fomento</v>
      </c>
      <c r="CW998" s="141" t="str">
        <v>521550 Cuotas de fomento</v>
      </c>
      <c r="CX998" s="141" t="str">
        <v>521550 Cuotas de fomento</v>
      </c>
      <c r="CY998" s="141" t="str">
        <v>521550 Cuotas de fomento</v>
      </c>
      <c r="CZ998" s="141" t="str">
        <v>521550 Cuotas de fomento</v>
      </c>
      <c r="DA998" s="141" t="str">
        <v>521550 Cuotas de fomento</v>
      </c>
      <c r="DF998" t="str">
        <v>521550 Cuotas de fomento</v>
      </c>
      <c r="DG998" t="str">
        <v>521550 Cuotas de fomento</v>
      </c>
      <c r="DH998" t="str">
        <v>521550 Cuotas de fomento</v>
      </c>
      <c r="DI998" t="str">
        <v>521550 Cuotas de fomento</v>
      </c>
      <c r="DJ998" t="str">
        <v>521550 Cuotas de fomento</v>
      </c>
      <c r="DK998" t="str">
        <v>521550 Cuotas de fomento</v>
      </c>
      <c r="DL998" t="str">
        <v>521550 Cuotas de fomento</v>
      </c>
      <c r="DM998" t="str">
        <v>521550 Cuotas de fomento</v>
      </c>
      <c r="DN998" t="str">
        <v>521550 Cuotas de fomento</v>
      </c>
      <c r="DO998" t="str">
        <v>521550 Cuotas de fomento</v>
      </c>
      <c r="DP998" t="str">
        <v>521550 Cuotas de fomento</v>
      </c>
    </row>
    <row r="999" spans="4:120" ht="12.75">
      <c r="D999" s="7">
        <v>521555</v>
      </c>
      <c r="E999" s="6" t="s">
        <v>626</v>
      </c>
      <c r="F999" s="5">
        <v>4</v>
      </c>
      <c r="G999" s="34" t="s">
        <v>830</v>
      </c>
      <c r="H999" s="8" t="s">
        <v>32</v>
      </c>
      <c r="I999" t="b">
        <f>+ISNUMBER(SEARCH('F-COMPRA'!$F$28,Tabla11[[#This Row],[Cuenta]],1))</f>
        <v>1</v>
      </c>
      <c r="J999" t="b">
        <f>+ISNUMBER(SEARCH('F-COMPRA'!$F$29,Tabla11[[#This Row],[Cuenta]],1))</f>
        <v>1</v>
      </c>
      <c r="K999" t="b">
        <f>+ISNUMBER(SEARCH('F-COMPRA'!$F$30,Tabla11[[#This Row],[Cuenta]],1))</f>
        <v>1</v>
      </c>
      <c r="L999" t="b">
        <f>+ISNUMBER(SEARCH('F-COMPRA'!$F$31,Tabla11[[#This Row],[Cuenta]],1))</f>
        <v>1</v>
      </c>
      <c r="M999" t="b">
        <f>+ISNUMBER(SEARCH('F-COMPRA'!$G$25,Tabla11[[#This Row],[Cuenta]],1))</f>
        <v>0</v>
      </c>
      <c r="N999" t="b">
        <f>+ISNUMBER(SEARCH(#REF!,Tabla11[[#This Row],[Cuenta]],1))</f>
        <v>0</v>
      </c>
      <c r="O999" t="b">
        <f>+ISNUMBER(SEARCH(#REF!,Tabla11[[#This Row],[Cuenta]],1))</f>
        <v>0</v>
      </c>
      <c r="P999" t="b">
        <f>+ISNUMBER(SEARCH('F-COMPRA'!$F$32,Tabla11[[#This Row],[Cuenta]],1))</f>
        <v>1</v>
      </c>
      <c r="Q999" t="b">
        <f>+ISNUMBER(SEARCH('F-COMPRA'!$F$33,Tabla11[[#This Row],[Cuenta]],1))</f>
        <v>1</v>
      </c>
      <c r="R999" t="b">
        <f>+ISNUMBER(SEARCH('F-COMPRA'!$F$34,Tabla11[[#This Row],[Cuenta]],1))</f>
        <v>1</v>
      </c>
      <c r="S999" t="b">
        <f>+ISNUMBER(SEARCH('F-COMPRA'!$F$35,Tabla11[[#This Row],[Cuenta]],1))</f>
        <v>1</v>
      </c>
      <c r="T999" t="b">
        <f>+ISNUMBER(SEARCH('F-COMPRA'!$F$36,Tabla11[[#This Row],[Cuenta]],1))</f>
        <v>1</v>
      </c>
      <c r="U999" t="b">
        <f>+ISNUMBER(SEARCH('F-COMPRA'!$F$37,Tabla11[[#This Row],[Cuenta]],1))</f>
        <v>1</v>
      </c>
      <c r="V999" t="b">
        <f>+ISNUMBER(SEARCH(#REF!,Tabla11[[#This Row],[Cuenta]],1))</f>
        <v>0</v>
      </c>
      <c r="W999" t="b">
        <f>+ISNUMBER(SEARCH('F-COMPRA'!#REF!,Tabla11[[#This Row],[Cuenta]],1))</f>
        <v>0</v>
      </c>
      <c r="X999" t="b">
        <f>+ISNUMBER(SEARCH('F-COMPRA'!#REF!,Tabla11[[#This Row],[Cuenta]],1))</f>
        <v>0</v>
      </c>
      <c r="Y999" t="b">
        <f>+ISNUMBER(SEARCH('F-COMPRA'!#REF!,Tabla11[[#This Row],[Cuenta]],1))</f>
        <v>0</v>
      </c>
      <c r="Z999" t="b">
        <f>+ISNUMBER(SEARCH('F-COMPRA'!#REF!,Tabla11[[#This Row],[Cuenta]],1))</f>
        <v>0</v>
      </c>
      <c r="AA999" t="b">
        <f>+ISNUMBER(SEARCH('F-COMPRA'!#REF!,Tabla11[[#This Row],[Cuenta]],1))</f>
        <v>0</v>
      </c>
      <c r="AB999" t="b">
        <f>+ISNUMBER(SEARCH('F-COMPRA'!#REF!,Tabla11[[#This Row],[Cuenta]],1))</f>
        <v>0</v>
      </c>
      <c r="AC999" t="b">
        <f>+ISNUMBER(SEARCH('F-COMPRA'!#REF!,Tabla11[[#This Row],[Cuenta]],1))</f>
        <v>0</v>
      </c>
      <c r="AD999" t="b">
        <f>+ISNUMBER(SEARCH('F-COMPRA'!#REF!,Tabla11[[#This Row],[Cuenta]],1))</f>
        <v>0</v>
      </c>
      <c r="AE999" t="b">
        <f>+ISNUMBER(SEARCH('F-COMPRA'!#REF!,Tabla11[[#This Row],[Cuenta]],1))</f>
        <v>0</v>
      </c>
      <c r="AF999" t="b">
        <f>+ISNUMBER(SEARCH('F-VTA'!$G$23,Tabla11[[#This Row],[Cuenta]],1))</f>
        <v>0</v>
      </c>
      <c r="AG999" t="b">
        <f>+ISNUMBER(SEARCH('F-VTA'!$G$24,Tabla11[[#This Row],[Cuenta]],1))</f>
        <v>0</v>
      </c>
      <c r="AH999" t="b">
        <f>+ISNUMBER(SEARCH('F-VTA'!$G$25,Tabla11[[#This Row],[Cuenta]],1))</f>
        <v>0</v>
      </c>
      <c r="AI999" t="b">
        <f>+ISNUMBER(SEARCH('F-VTA'!$F$28,Tabla11[[#This Row],[Cuenta]],1))</f>
        <v>1</v>
      </c>
      <c r="AJ999" t="b">
        <f>+ISNUMBER(SEARCH('F-VTA'!$F$29,Tabla11[[#This Row],[Cuenta]],1))</f>
        <v>1</v>
      </c>
      <c r="AK999" t="b">
        <f>+ISNUMBER(SEARCH('F-VTA'!$F$30,Tabla11[[#This Row],[Cuenta]],1))</f>
        <v>1</v>
      </c>
      <c r="AL999" t="b">
        <f>+ISNUMBER(SEARCH('F-VTA'!$F$31,Tabla11[[#This Row],[Cuenta]],1))</f>
        <v>1</v>
      </c>
      <c r="AM999" t="b">
        <f>+ISNUMBER(SEARCH('F-VTA'!$F$32,Tabla11[[#This Row],[Cuenta]],1))</f>
        <v>1</v>
      </c>
      <c r="AN999" t="b">
        <f>+ISNUMBER(SEARCH('F-VTA'!$F$33,Tabla11[[#This Row],[Cuenta]],1))</f>
        <v>1</v>
      </c>
      <c r="AO999" t="b">
        <f>+ISNUMBER(SEARCH('F-VTA'!$F$34,Tabla11[[#This Row],[Cuenta]],1))</f>
        <v>1</v>
      </c>
      <c r="AP999" t="b">
        <f>+ISNUMBER(SEARCH('F-VTA'!$F$35,Tabla11[[#This Row],[Cuenta]],1))</f>
        <v>1</v>
      </c>
      <c r="AQ999" t="b">
        <f>+ISNUMBER(SEARCH('F-VTA'!$F$36,Tabla11[[#This Row],[Cuenta]],1))</f>
        <v>1</v>
      </c>
      <c r="AR999" t="b">
        <f>+ISNUMBER(SEARCH(#REF!,Tabla11[[#This Row],[Cuenta]],1))</f>
        <v>0</v>
      </c>
      <c r="AS999" t="b">
        <f>+ISNUMBER(SEARCH(#REF!,Tabla11[[#This Row],[Cuenta]],1))</f>
        <v>0</v>
      </c>
      <c r="AT999" t="b">
        <f>+ISNUMBER(SEARCH(#REF!,Tabla11[[#This Row],[Cuenta]],1))</f>
        <v>0</v>
      </c>
      <c r="AU999" t="b">
        <f>+ISNUMBER(SEARCH('Conc. Ban.1'!$I$9,Tabla11[[#This Row],[Cuenta]],1))</f>
        <v>0</v>
      </c>
      <c r="AV999" t="b">
        <f>+ISNUMBER(SEARCH(CompConta!$F$21,Tabla11[[#This Row],[Cuenta]],1))</f>
        <v>1</v>
      </c>
      <c r="AW999" t="b">
        <f>+ISNUMBER(SEARCH(CompConta!$F$22,Tabla11[[#This Row],[Cuenta]],1))</f>
        <v>1</v>
      </c>
      <c r="AX999" t="b">
        <f>+ISNUMBER(SEARCH(CompConta!$F$23,Tabla11[[#This Row],[Cuenta]],1))</f>
        <v>1</v>
      </c>
      <c r="AY999" t="b">
        <f>+ISNUMBER(SEARCH(CompConta!$F$24,Tabla11[[#This Row],[Cuenta]],1))</f>
        <v>1</v>
      </c>
      <c r="AZ999" t="b">
        <f>+ISNUMBER(SEARCH(CompConta!$F$25,Tabla11[[#This Row],[Cuenta]],1))</f>
        <v>1</v>
      </c>
      <c r="BA999" t="b">
        <f>+ISNUMBER(SEARCH(CompConta!$F$26,Tabla11[[#This Row],[Cuenta]],1))</f>
        <v>1</v>
      </c>
      <c r="BB999" t="b">
        <f>+ISNUMBER(SEARCH(CompConta!$F$27,Tabla11[[#This Row],[Cuenta]],1))</f>
        <v>1</v>
      </c>
      <c r="BC999" t="b">
        <f>+ISNUMBER(SEARCH(CompConta!$F$28,Tabla11[[#This Row],[Cuenta]],1))</f>
        <v>1</v>
      </c>
      <c r="BD999" t="b">
        <f>+ISNUMBER(SEARCH(CompConta!$F$29,Tabla11[[#This Row],[Cuenta]],1))</f>
        <v>1</v>
      </c>
      <c r="BE999" t="b">
        <f>+ISNUMBER(SEARCH(CompConta!$F$30,Tabla11[[#This Row],[Cuenta]],1))</f>
        <v>1</v>
      </c>
      <c r="BF999" t="b">
        <f>+ISNUMBER(SEARCH('PAGO Compras'!$E$11,Tabla11[[#This Row],[Cuenta]],1))</f>
        <v>1</v>
      </c>
      <c r="BG999" t="b">
        <f>+ISNUMBER(SEARCH(#REF!,Tabla11[[#This Row],[Cuenta]],1))</f>
        <v>0</v>
      </c>
      <c r="BH999" t="b">
        <f>+ISNUMBER(SEARCH(#REF!,Tabla11[[#This Row],[Cuenta]],1))</f>
        <v>0</v>
      </c>
      <c r="BI999" t="b">
        <f>+ISNUMBER(SEARCH(#REF!,Tabla11[[#This Row],[Cuenta]],1))</f>
        <v>0</v>
      </c>
      <c r="BJ999" t="b">
        <f>+ISNUMBER(SEARCH(#REF!,Tabla11[[#This Row],[Cuenta]],1))</f>
        <v>0</v>
      </c>
      <c r="BS999" t="str">
        <v>521555 Licores</v>
      </c>
      <c r="BT999" t="str">
        <v>521555 Licores</v>
      </c>
      <c r="BU999" t="str">
        <v>521555 Licores</v>
      </c>
      <c r="BV999" t="str">
        <v>521555 Licores</v>
      </c>
      <c r="BZ999" t="str">
        <v>521555 Licores</v>
      </c>
      <c r="CA999" t="str">
        <v>521555 Licores</v>
      </c>
      <c r="CB999" t="str">
        <v>521555 Licores</v>
      </c>
      <c r="CC999" t="str">
        <v>521555 Licores</v>
      </c>
      <c r="CD999" t="str">
        <v>521555 Licores</v>
      </c>
      <c r="CE999" t="str">
        <v>521555 Licores</v>
      </c>
      <c r="CS999" s="141" t="str">
        <v>521555 Licores</v>
      </c>
      <c r="CT999" s="141" t="str">
        <v>521555 Licores</v>
      </c>
      <c r="CU999" s="141" t="str">
        <v>521555 Licores</v>
      </c>
      <c r="CV999" s="141" t="str">
        <v>521555 Licores</v>
      </c>
      <c r="CW999" s="141" t="str">
        <v>521555 Licores</v>
      </c>
      <c r="CX999" s="141" t="str">
        <v>521555 Licores</v>
      </c>
      <c r="CY999" s="141" t="str">
        <v>521555 Licores</v>
      </c>
      <c r="CZ999" s="141" t="str">
        <v>521555 Licores</v>
      </c>
      <c r="DA999" s="141" t="str">
        <v>521555 Licores</v>
      </c>
      <c r="DF999" t="str">
        <v>521555 Licores</v>
      </c>
      <c r="DG999" t="str">
        <v>521555 Licores</v>
      </c>
      <c r="DH999" t="str">
        <v>521555 Licores</v>
      </c>
      <c r="DI999" t="str">
        <v>521555 Licores</v>
      </c>
      <c r="DJ999" t="str">
        <v>521555 Licores</v>
      </c>
      <c r="DK999" t="str">
        <v>521555 Licores</v>
      </c>
      <c r="DL999" t="str">
        <v>521555 Licores</v>
      </c>
      <c r="DM999" t="str">
        <v>521555 Licores</v>
      </c>
      <c r="DN999" t="str">
        <v>521555 Licores</v>
      </c>
      <c r="DO999" t="str">
        <v>521555 Licores</v>
      </c>
      <c r="DP999" t="str">
        <v>521555 Licores</v>
      </c>
    </row>
    <row r="1000" spans="4:120" ht="12.75">
      <c r="D1000" s="7">
        <v>521560</v>
      </c>
      <c r="E1000" s="6" t="s">
        <v>627</v>
      </c>
      <c r="F1000" s="5">
        <v>4</v>
      </c>
      <c r="G1000" s="34" t="s">
        <v>830</v>
      </c>
      <c r="H1000" s="8" t="s">
        <v>32</v>
      </c>
      <c r="I1000" t="b">
        <f>+ISNUMBER(SEARCH('F-COMPRA'!$F$28,Tabla11[[#This Row],[Cuenta]],1))</f>
        <v>1</v>
      </c>
      <c r="J1000" t="b">
        <f>+ISNUMBER(SEARCH('F-COMPRA'!$F$29,Tabla11[[#This Row],[Cuenta]],1))</f>
        <v>1</v>
      </c>
      <c r="K1000" t="b">
        <f>+ISNUMBER(SEARCH('F-COMPRA'!$F$30,Tabla11[[#This Row],[Cuenta]],1))</f>
        <v>1</v>
      </c>
      <c r="L1000" t="b">
        <f>+ISNUMBER(SEARCH('F-COMPRA'!$F$31,Tabla11[[#This Row],[Cuenta]],1))</f>
        <v>1</v>
      </c>
      <c r="M1000" t="b">
        <f>+ISNUMBER(SEARCH('F-COMPRA'!$G$25,Tabla11[[#This Row],[Cuenta]],1))</f>
        <v>0</v>
      </c>
      <c r="N1000" t="b">
        <f>+ISNUMBER(SEARCH(#REF!,Tabla11[[#This Row],[Cuenta]],1))</f>
        <v>0</v>
      </c>
      <c r="O1000" t="b">
        <f>+ISNUMBER(SEARCH(#REF!,Tabla11[[#This Row],[Cuenta]],1))</f>
        <v>0</v>
      </c>
      <c r="P1000" t="b">
        <f>+ISNUMBER(SEARCH('F-COMPRA'!$F$32,Tabla11[[#This Row],[Cuenta]],1))</f>
        <v>1</v>
      </c>
      <c r="Q1000" t="b">
        <f>+ISNUMBER(SEARCH('F-COMPRA'!$F$33,Tabla11[[#This Row],[Cuenta]],1))</f>
        <v>1</v>
      </c>
      <c r="R1000" t="b">
        <f>+ISNUMBER(SEARCH('F-COMPRA'!$F$34,Tabla11[[#This Row],[Cuenta]],1))</f>
        <v>1</v>
      </c>
      <c r="S1000" t="b">
        <f>+ISNUMBER(SEARCH('F-COMPRA'!$F$35,Tabla11[[#This Row],[Cuenta]],1))</f>
        <v>1</v>
      </c>
      <c r="T1000" t="b">
        <f>+ISNUMBER(SEARCH('F-COMPRA'!$F$36,Tabla11[[#This Row],[Cuenta]],1))</f>
        <v>1</v>
      </c>
      <c r="U1000" t="b">
        <f>+ISNUMBER(SEARCH('F-COMPRA'!$F$37,Tabla11[[#This Row],[Cuenta]],1))</f>
        <v>1</v>
      </c>
      <c r="V1000" t="b">
        <f>+ISNUMBER(SEARCH(#REF!,Tabla11[[#This Row],[Cuenta]],1))</f>
        <v>0</v>
      </c>
      <c r="W1000" t="b">
        <f>+ISNUMBER(SEARCH('F-COMPRA'!#REF!,Tabla11[[#This Row],[Cuenta]],1))</f>
        <v>0</v>
      </c>
      <c r="X1000" t="b">
        <f>+ISNUMBER(SEARCH('F-COMPRA'!#REF!,Tabla11[[#This Row],[Cuenta]],1))</f>
        <v>0</v>
      </c>
      <c r="Y1000" t="b">
        <f>+ISNUMBER(SEARCH('F-COMPRA'!#REF!,Tabla11[[#This Row],[Cuenta]],1))</f>
        <v>0</v>
      </c>
      <c r="Z1000" t="b">
        <f>+ISNUMBER(SEARCH('F-COMPRA'!#REF!,Tabla11[[#This Row],[Cuenta]],1))</f>
        <v>0</v>
      </c>
      <c r="AA1000" t="b">
        <f>+ISNUMBER(SEARCH('F-COMPRA'!#REF!,Tabla11[[#This Row],[Cuenta]],1))</f>
        <v>0</v>
      </c>
      <c r="AB1000" t="b">
        <f>+ISNUMBER(SEARCH('F-COMPRA'!#REF!,Tabla11[[#This Row],[Cuenta]],1))</f>
        <v>0</v>
      </c>
      <c r="AC1000" t="b">
        <f>+ISNUMBER(SEARCH('F-COMPRA'!#REF!,Tabla11[[#This Row],[Cuenta]],1))</f>
        <v>0</v>
      </c>
      <c r="AD1000" t="b">
        <f>+ISNUMBER(SEARCH('F-COMPRA'!#REF!,Tabla11[[#This Row],[Cuenta]],1))</f>
        <v>0</v>
      </c>
      <c r="AE1000" t="b">
        <f>+ISNUMBER(SEARCH('F-COMPRA'!#REF!,Tabla11[[#This Row],[Cuenta]],1))</f>
        <v>0</v>
      </c>
      <c r="AF1000" t="b">
        <f>+ISNUMBER(SEARCH('F-VTA'!$G$23,Tabla11[[#This Row],[Cuenta]],1))</f>
        <v>0</v>
      </c>
      <c r="AG1000" t="b">
        <f>+ISNUMBER(SEARCH('F-VTA'!$G$24,Tabla11[[#This Row],[Cuenta]],1))</f>
        <v>0</v>
      </c>
      <c r="AH1000" t="b">
        <f>+ISNUMBER(SEARCH('F-VTA'!$G$25,Tabla11[[#This Row],[Cuenta]],1))</f>
        <v>0</v>
      </c>
      <c r="AI1000" t="b">
        <f>+ISNUMBER(SEARCH('F-VTA'!$F$28,Tabla11[[#This Row],[Cuenta]],1))</f>
        <v>1</v>
      </c>
      <c r="AJ1000" t="b">
        <f>+ISNUMBER(SEARCH('F-VTA'!$F$29,Tabla11[[#This Row],[Cuenta]],1))</f>
        <v>1</v>
      </c>
      <c r="AK1000" t="b">
        <f>+ISNUMBER(SEARCH('F-VTA'!$F$30,Tabla11[[#This Row],[Cuenta]],1))</f>
        <v>1</v>
      </c>
      <c r="AL1000" t="b">
        <f>+ISNUMBER(SEARCH('F-VTA'!$F$31,Tabla11[[#This Row],[Cuenta]],1))</f>
        <v>1</v>
      </c>
      <c r="AM1000" t="b">
        <f>+ISNUMBER(SEARCH('F-VTA'!$F$32,Tabla11[[#This Row],[Cuenta]],1))</f>
        <v>1</v>
      </c>
      <c r="AN1000" t="b">
        <f>+ISNUMBER(SEARCH('F-VTA'!$F$33,Tabla11[[#This Row],[Cuenta]],1))</f>
        <v>1</v>
      </c>
      <c r="AO1000" t="b">
        <f>+ISNUMBER(SEARCH('F-VTA'!$F$34,Tabla11[[#This Row],[Cuenta]],1))</f>
        <v>1</v>
      </c>
      <c r="AP1000" t="b">
        <f>+ISNUMBER(SEARCH('F-VTA'!$F$35,Tabla11[[#This Row],[Cuenta]],1))</f>
        <v>1</v>
      </c>
      <c r="AQ1000" t="b">
        <f>+ISNUMBER(SEARCH('F-VTA'!$F$36,Tabla11[[#This Row],[Cuenta]],1))</f>
        <v>1</v>
      </c>
      <c r="AR1000" t="b">
        <f>+ISNUMBER(SEARCH(#REF!,Tabla11[[#This Row],[Cuenta]],1))</f>
        <v>0</v>
      </c>
      <c r="AS1000" t="b">
        <f>+ISNUMBER(SEARCH(#REF!,Tabla11[[#This Row],[Cuenta]],1))</f>
        <v>0</v>
      </c>
      <c r="AT1000" t="b">
        <f>+ISNUMBER(SEARCH(#REF!,Tabla11[[#This Row],[Cuenta]],1))</f>
        <v>0</v>
      </c>
      <c r="AU1000" t="b">
        <f>+ISNUMBER(SEARCH('Conc. Ban.1'!$I$9,Tabla11[[#This Row],[Cuenta]],1))</f>
        <v>0</v>
      </c>
      <c r="AV1000" t="b">
        <f>+ISNUMBER(SEARCH(CompConta!$F$21,Tabla11[[#This Row],[Cuenta]],1))</f>
        <v>1</v>
      </c>
      <c r="AW1000" t="b">
        <f>+ISNUMBER(SEARCH(CompConta!$F$22,Tabla11[[#This Row],[Cuenta]],1))</f>
        <v>1</v>
      </c>
      <c r="AX1000" t="b">
        <f>+ISNUMBER(SEARCH(CompConta!$F$23,Tabla11[[#This Row],[Cuenta]],1))</f>
        <v>1</v>
      </c>
      <c r="AY1000" t="b">
        <f>+ISNUMBER(SEARCH(CompConta!$F$24,Tabla11[[#This Row],[Cuenta]],1))</f>
        <v>1</v>
      </c>
      <c r="AZ1000" t="b">
        <f>+ISNUMBER(SEARCH(CompConta!$F$25,Tabla11[[#This Row],[Cuenta]],1))</f>
        <v>1</v>
      </c>
      <c r="BA1000" t="b">
        <f>+ISNUMBER(SEARCH(CompConta!$F$26,Tabla11[[#This Row],[Cuenta]],1))</f>
        <v>1</v>
      </c>
      <c r="BB1000" t="b">
        <f>+ISNUMBER(SEARCH(CompConta!$F$27,Tabla11[[#This Row],[Cuenta]],1))</f>
        <v>1</v>
      </c>
      <c r="BC1000" t="b">
        <f>+ISNUMBER(SEARCH(CompConta!$F$28,Tabla11[[#This Row],[Cuenta]],1))</f>
        <v>1</v>
      </c>
      <c r="BD1000" t="b">
        <f>+ISNUMBER(SEARCH(CompConta!$F$29,Tabla11[[#This Row],[Cuenta]],1))</f>
        <v>1</v>
      </c>
      <c r="BE1000" t="b">
        <f>+ISNUMBER(SEARCH(CompConta!$F$30,Tabla11[[#This Row],[Cuenta]],1))</f>
        <v>1</v>
      </c>
      <c r="BF1000" t="b">
        <f>+ISNUMBER(SEARCH('PAGO Compras'!$E$11,Tabla11[[#This Row],[Cuenta]],1))</f>
        <v>1</v>
      </c>
      <c r="BG1000" t="b">
        <f>+ISNUMBER(SEARCH(#REF!,Tabla11[[#This Row],[Cuenta]],1))</f>
        <v>0</v>
      </c>
      <c r="BH1000" t="b">
        <f>+ISNUMBER(SEARCH(#REF!,Tabla11[[#This Row],[Cuenta]],1))</f>
        <v>0</v>
      </c>
      <c r="BI1000" t="b">
        <f>+ISNUMBER(SEARCH(#REF!,Tabla11[[#This Row],[Cuenta]],1))</f>
        <v>0</v>
      </c>
      <c r="BJ1000" t="b">
        <f>+ISNUMBER(SEARCH(#REF!,Tabla11[[#This Row],[Cuenta]],1))</f>
        <v>0</v>
      </c>
      <c r="BS1000" t="str">
        <v>521560 Cervezas</v>
      </c>
      <c r="BT1000" t="str">
        <v>521560 Cervezas</v>
      </c>
      <c r="BU1000" t="str">
        <v>521560 Cervezas</v>
      </c>
      <c r="BV1000" t="str">
        <v>521560 Cervezas</v>
      </c>
      <c r="BZ1000" t="str">
        <v>521560 Cervezas</v>
      </c>
      <c r="CA1000" t="str">
        <v>521560 Cervezas</v>
      </c>
      <c r="CB1000" t="str">
        <v>521560 Cervezas</v>
      </c>
      <c r="CC1000" t="str">
        <v>521560 Cervezas</v>
      </c>
      <c r="CD1000" t="str">
        <v>521560 Cervezas</v>
      </c>
      <c r="CE1000" t="str">
        <v>521560 Cervezas</v>
      </c>
      <c r="CS1000" s="141" t="str">
        <v>521560 Cervezas</v>
      </c>
      <c r="CT1000" s="141" t="str">
        <v>521560 Cervezas</v>
      </c>
      <c r="CU1000" s="141" t="str">
        <v>521560 Cervezas</v>
      </c>
      <c r="CV1000" s="141" t="str">
        <v>521560 Cervezas</v>
      </c>
      <c r="CW1000" s="141" t="str">
        <v>521560 Cervezas</v>
      </c>
      <c r="CX1000" s="141" t="str">
        <v>521560 Cervezas</v>
      </c>
      <c r="CY1000" s="141" t="str">
        <v>521560 Cervezas</v>
      </c>
      <c r="CZ1000" s="141" t="str">
        <v>521560 Cervezas</v>
      </c>
      <c r="DA1000" s="141" t="str">
        <v>521560 Cervezas</v>
      </c>
      <c r="DF1000" t="str">
        <v>521560 Cervezas</v>
      </c>
      <c r="DG1000" t="str">
        <v>521560 Cervezas</v>
      </c>
      <c r="DH1000" t="str">
        <v>521560 Cervezas</v>
      </c>
      <c r="DI1000" t="str">
        <v>521560 Cervezas</v>
      </c>
      <c r="DJ1000" t="str">
        <v>521560 Cervezas</v>
      </c>
      <c r="DK1000" t="str">
        <v>521560 Cervezas</v>
      </c>
      <c r="DL1000" t="str">
        <v>521560 Cervezas</v>
      </c>
      <c r="DM1000" t="str">
        <v>521560 Cervezas</v>
      </c>
      <c r="DN1000" t="str">
        <v>521560 Cervezas</v>
      </c>
      <c r="DO1000" t="str">
        <v>521560 Cervezas</v>
      </c>
      <c r="DP1000" t="str">
        <v>521560 Cervezas</v>
      </c>
    </row>
    <row r="1001" spans="4:120" ht="12.75">
      <c r="D1001" s="7">
        <v>521565</v>
      </c>
      <c r="E1001" s="6" t="s">
        <v>628</v>
      </c>
      <c r="F1001" s="5">
        <v>4</v>
      </c>
      <c r="G1001" s="34" t="s">
        <v>830</v>
      </c>
      <c r="H1001" s="8" t="s">
        <v>32</v>
      </c>
      <c r="I1001" t="b">
        <f>+ISNUMBER(SEARCH('F-COMPRA'!$F$28,Tabla11[[#This Row],[Cuenta]],1))</f>
        <v>1</v>
      </c>
      <c r="J1001" t="b">
        <f>+ISNUMBER(SEARCH('F-COMPRA'!$F$29,Tabla11[[#This Row],[Cuenta]],1))</f>
        <v>1</v>
      </c>
      <c r="K1001" t="b">
        <f>+ISNUMBER(SEARCH('F-COMPRA'!$F$30,Tabla11[[#This Row],[Cuenta]],1))</f>
        <v>1</v>
      </c>
      <c r="L1001" t="b">
        <f>+ISNUMBER(SEARCH('F-COMPRA'!$F$31,Tabla11[[#This Row],[Cuenta]],1))</f>
        <v>1</v>
      </c>
      <c r="M1001" t="b">
        <f>+ISNUMBER(SEARCH('F-COMPRA'!$G$25,Tabla11[[#This Row],[Cuenta]],1))</f>
        <v>0</v>
      </c>
      <c r="N1001" t="b">
        <f>+ISNUMBER(SEARCH(#REF!,Tabla11[[#This Row],[Cuenta]],1))</f>
        <v>0</v>
      </c>
      <c r="O1001" t="b">
        <f>+ISNUMBER(SEARCH(#REF!,Tabla11[[#This Row],[Cuenta]],1))</f>
        <v>0</v>
      </c>
      <c r="P1001" t="b">
        <f>+ISNUMBER(SEARCH('F-COMPRA'!$F$32,Tabla11[[#This Row],[Cuenta]],1))</f>
        <v>1</v>
      </c>
      <c r="Q1001" t="b">
        <f>+ISNUMBER(SEARCH('F-COMPRA'!$F$33,Tabla11[[#This Row],[Cuenta]],1))</f>
        <v>1</v>
      </c>
      <c r="R1001" t="b">
        <f>+ISNUMBER(SEARCH('F-COMPRA'!$F$34,Tabla11[[#This Row],[Cuenta]],1))</f>
        <v>1</v>
      </c>
      <c r="S1001" t="b">
        <f>+ISNUMBER(SEARCH('F-COMPRA'!$F$35,Tabla11[[#This Row],[Cuenta]],1))</f>
        <v>1</v>
      </c>
      <c r="T1001" t="b">
        <f>+ISNUMBER(SEARCH('F-COMPRA'!$F$36,Tabla11[[#This Row],[Cuenta]],1))</f>
        <v>1</v>
      </c>
      <c r="U1001" t="b">
        <f>+ISNUMBER(SEARCH('F-COMPRA'!$F$37,Tabla11[[#This Row],[Cuenta]],1))</f>
        <v>1</v>
      </c>
      <c r="V1001" t="b">
        <f>+ISNUMBER(SEARCH(#REF!,Tabla11[[#This Row],[Cuenta]],1))</f>
        <v>0</v>
      </c>
      <c r="W1001" t="b">
        <f>+ISNUMBER(SEARCH('F-COMPRA'!#REF!,Tabla11[[#This Row],[Cuenta]],1))</f>
        <v>0</v>
      </c>
      <c r="X1001" t="b">
        <f>+ISNUMBER(SEARCH('F-COMPRA'!#REF!,Tabla11[[#This Row],[Cuenta]],1))</f>
        <v>0</v>
      </c>
      <c r="Y1001" t="b">
        <f>+ISNUMBER(SEARCH('F-COMPRA'!#REF!,Tabla11[[#This Row],[Cuenta]],1))</f>
        <v>0</v>
      </c>
      <c r="Z1001" t="b">
        <f>+ISNUMBER(SEARCH('F-COMPRA'!#REF!,Tabla11[[#This Row],[Cuenta]],1))</f>
        <v>0</v>
      </c>
      <c r="AA1001" t="b">
        <f>+ISNUMBER(SEARCH('F-COMPRA'!#REF!,Tabla11[[#This Row],[Cuenta]],1))</f>
        <v>0</v>
      </c>
      <c r="AB1001" t="b">
        <f>+ISNUMBER(SEARCH('F-COMPRA'!#REF!,Tabla11[[#This Row],[Cuenta]],1))</f>
        <v>0</v>
      </c>
      <c r="AC1001" t="b">
        <f>+ISNUMBER(SEARCH('F-COMPRA'!#REF!,Tabla11[[#This Row],[Cuenta]],1))</f>
        <v>0</v>
      </c>
      <c r="AD1001" t="b">
        <f>+ISNUMBER(SEARCH('F-COMPRA'!#REF!,Tabla11[[#This Row],[Cuenta]],1))</f>
        <v>0</v>
      </c>
      <c r="AE1001" t="b">
        <f>+ISNUMBER(SEARCH('F-COMPRA'!#REF!,Tabla11[[#This Row],[Cuenta]],1))</f>
        <v>0</v>
      </c>
      <c r="AF1001" t="b">
        <f>+ISNUMBER(SEARCH('F-VTA'!$G$23,Tabla11[[#This Row],[Cuenta]],1))</f>
        <v>0</v>
      </c>
      <c r="AG1001" t="b">
        <f>+ISNUMBER(SEARCH('F-VTA'!$G$24,Tabla11[[#This Row],[Cuenta]],1))</f>
        <v>0</v>
      </c>
      <c r="AH1001" t="b">
        <f>+ISNUMBER(SEARCH('F-VTA'!$G$25,Tabla11[[#This Row],[Cuenta]],1))</f>
        <v>0</v>
      </c>
      <c r="AI1001" t="b">
        <f>+ISNUMBER(SEARCH('F-VTA'!$F$28,Tabla11[[#This Row],[Cuenta]],1))</f>
        <v>1</v>
      </c>
      <c r="AJ1001" t="b">
        <f>+ISNUMBER(SEARCH('F-VTA'!$F$29,Tabla11[[#This Row],[Cuenta]],1))</f>
        <v>1</v>
      </c>
      <c r="AK1001" t="b">
        <f>+ISNUMBER(SEARCH('F-VTA'!$F$30,Tabla11[[#This Row],[Cuenta]],1))</f>
        <v>1</v>
      </c>
      <c r="AL1001" t="b">
        <f>+ISNUMBER(SEARCH('F-VTA'!$F$31,Tabla11[[#This Row],[Cuenta]],1))</f>
        <v>1</v>
      </c>
      <c r="AM1001" t="b">
        <f>+ISNUMBER(SEARCH('F-VTA'!$F$32,Tabla11[[#This Row],[Cuenta]],1))</f>
        <v>1</v>
      </c>
      <c r="AN1001" t="b">
        <f>+ISNUMBER(SEARCH('F-VTA'!$F$33,Tabla11[[#This Row],[Cuenta]],1))</f>
        <v>1</v>
      </c>
      <c r="AO1001" t="b">
        <f>+ISNUMBER(SEARCH('F-VTA'!$F$34,Tabla11[[#This Row],[Cuenta]],1))</f>
        <v>1</v>
      </c>
      <c r="AP1001" t="b">
        <f>+ISNUMBER(SEARCH('F-VTA'!$F$35,Tabla11[[#This Row],[Cuenta]],1))</f>
        <v>1</v>
      </c>
      <c r="AQ1001" t="b">
        <f>+ISNUMBER(SEARCH('F-VTA'!$F$36,Tabla11[[#This Row],[Cuenta]],1))</f>
        <v>1</v>
      </c>
      <c r="AR1001" t="b">
        <f>+ISNUMBER(SEARCH(#REF!,Tabla11[[#This Row],[Cuenta]],1))</f>
        <v>0</v>
      </c>
      <c r="AS1001" t="b">
        <f>+ISNUMBER(SEARCH(#REF!,Tabla11[[#This Row],[Cuenta]],1))</f>
        <v>0</v>
      </c>
      <c r="AT1001" t="b">
        <f>+ISNUMBER(SEARCH(#REF!,Tabla11[[#This Row],[Cuenta]],1))</f>
        <v>0</v>
      </c>
      <c r="AU1001" t="b">
        <f>+ISNUMBER(SEARCH('Conc. Ban.1'!$I$9,Tabla11[[#This Row],[Cuenta]],1))</f>
        <v>0</v>
      </c>
      <c r="AV1001" t="b">
        <f>+ISNUMBER(SEARCH(CompConta!$F$21,Tabla11[[#This Row],[Cuenta]],1))</f>
        <v>1</v>
      </c>
      <c r="AW1001" t="b">
        <f>+ISNUMBER(SEARCH(CompConta!$F$22,Tabla11[[#This Row],[Cuenta]],1))</f>
        <v>1</v>
      </c>
      <c r="AX1001" t="b">
        <f>+ISNUMBER(SEARCH(CompConta!$F$23,Tabla11[[#This Row],[Cuenta]],1))</f>
        <v>1</v>
      </c>
      <c r="AY1001" t="b">
        <f>+ISNUMBER(SEARCH(CompConta!$F$24,Tabla11[[#This Row],[Cuenta]],1))</f>
        <v>1</v>
      </c>
      <c r="AZ1001" t="b">
        <f>+ISNUMBER(SEARCH(CompConta!$F$25,Tabla11[[#This Row],[Cuenta]],1))</f>
        <v>1</v>
      </c>
      <c r="BA1001" t="b">
        <f>+ISNUMBER(SEARCH(CompConta!$F$26,Tabla11[[#This Row],[Cuenta]],1))</f>
        <v>1</v>
      </c>
      <c r="BB1001" t="b">
        <f>+ISNUMBER(SEARCH(CompConta!$F$27,Tabla11[[#This Row],[Cuenta]],1))</f>
        <v>1</v>
      </c>
      <c r="BC1001" t="b">
        <f>+ISNUMBER(SEARCH(CompConta!$F$28,Tabla11[[#This Row],[Cuenta]],1))</f>
        <v>1</v>
      </c>
      <c r="BD1001" t="b">
        <f>+ISNUMBER(SEARCH(CompConta!$F$29,Tabla11[[#This Row],[Cuenta]],1))</f>
        <v>1</v>
      </c>
      <c r="BE1001" t="b">
        <f>+ISNUMBER(SEARCH(CompConta!$F$30,Tabla11[[#This Row],[Cuenta]],1))</f>
        <v>1</v>
      </c>
      <c r="BF1001" t="b">
        <f>+ISNUMBER(SEARCH('PAGO Compras'!$E$11,Tabla11[[#This Row],[Cuenta]],1))</f>
        <v>1</v>
      </c>
      <c r="BG1001" t="b">
        <f>+ISNUMBER(SEARCH(#REF!,Tabla11[[#This Row],[Cuenta]],1))</f>
        <v>0</v>
      </c>
      <c r="BH1001" t="b">
        <f>+ISNUMBER(SEARCH(#REF!,Tabla11[[#This Row],[Cuenta]],1))</f>
        <v>0</v>
      </c>
      <c r="BI1001" t="b">
        <f>+ISNUMBER(SEARCH(#REF!,Tabla11[[#This Row],[Cuenta]],1))</f>
        <v>0</v>
      </c>
      <c r="BJ1001" t="b">
        <f>+ISNUMBER(SEARCH(#REF!,Tabla11[[#This Row],[Cuenta]],1))</f>
        <v>0</v>
      </c>
      <c r="BS1001" t="str">
        <v>521565 Cigarrillos</v>
      </c>
      <c r="BT1001" t="str">
        <v>521565 Cigarrillos</v>
      </c>
      <c r="BU1001" t="str">
        <v>521565 Cigarrillos</v>
      </c>
      <c r="BV1001" t="str">
        <v>521565 Cigarrillos</v>
      </c>
      <c r="BZ1001" t="str">
        <v>521565 Cigarrillos</v>
      </c>
      <c r="CA1001" t="str">
        <v>521565 Cigarrillos</v>
      </c>
      <c r="CB1001" t="str">
        <v>521565 Cigarrillos</v>
      </c>
      <c r="CC1001" t="str">
        <v>521565 Cigarrillos</v>
      </c>
      <c r="CD1001" t="str">
        <v>521565 Cigarrillos</v>
      </c>
      <c r="CE1001" t="str">
        <v>521565 Cigarrillos</v>
      </c>
      <c r="CS1001" s="141" t="str">
        <v>521565 Cigarrillos</v>
      </c>
      <c r="CT1001" s="141" t="str">
        <v>521565 Cigarrillos</v>
      </c>
      <c r="CU1001" s="141" t="str">
        <v>521565 Cigarrillos</v>
      </c>
      <c r="CV1001" s="141" t="str">
        <v>521565 Cigarrillos</v>
      </c>
      <c r="CW1001" s="141" t="str">
        <v>521565 Cigarrillos</v>
      </c>
      <c r="CX1001" s="141" t="str">
        <v>521565 Cigarrillos</v>
      </c>
      <c r="CY1001" s="141" t="str">
        <v>521565 Cigarrillos</v>
      </c>
      <c r="CZ1001" s="141" t="str">
        <v>521565 Cigarrillos</v>
      </c>
      <c r="DA1001" s="141" t="str">
        <v>521565 Cigarrillos</v>
      </c>
      <c r="DF1001" t="str">
        <v>521565 Cigarrillos</v>
      </c>
      <c r="DG1001" t="str">
        <v>521565 Cigarrillos</v>
      </c>
      <c r="DH1001" t="str">
        <v>521565 Cigarrillos</v>
      </c>
      <c r="DI1001" t="str">
        <v>521565 Cigarrillos</v>
      </c>
      <c r="DJ1001" t="str">
        <v>521565 Cigarrillos</v>
      </c>
      <c r="DK1001" t="str">
        <v>521565 Cigarrillos</v>
      </c>
      <c r="DL1001" t="str">
        <v>521565 Cigarrillos</v>
      </c>
      <c r="DM1001" t="str">
        <v>521565 Cigarrillos</v>
      </c>
      <c r="DN1001" t="str">
        <v>521565 Cigarrillos</v>
      </c>
      <c r="DO1001" t="str">
        <v>521565 Cigarrillos</v>
      </c>
      <c r="DP1001" t="str">
        <v>521565 Cigarrillos</v>
      </c>
    </row>
    <row r="1002" spans="4:120" ht="12.75">
      <c r="D1002" s="7">
        <v>521570</v>
      </c>
      <c r="E1002" s="6" t="s">
        <v>571</v>
      </c>
      <c r="F1002" s="5">
        <v>4</v>
      </c>
      <c r="G1002" s="34" t="s">
        <v>830</v>
      </c>
      <c r="H1002" s="8" t="s">
        <v>32</v>
      </c>
      <c r="I1002" t="b">
        <f>+ISNUMBER(SEARCH('F-COMPRA'!$F$28,Tabla11[[#This Row],[Cuenta]],1))</f>
        <v>1</v>
      </c>
      <c r="J1002" t="b">
        <f>+ISNUMBER(SEARCH('F-COMPRA'!$F$29,Tabla11[[#This Row],[Cuenta]],1))</f>
        <v>1</v>
      </c>
      <c r="K1002" t="b">
        <f>+ISNUMBER(SEARCH('F-COMPRA'!$F$30,Tabla11[[#This Row],[Cuenta]],1))</f>
        <v>1</v>
      </c>
      <c r="L1002" t="b">
        <f>+ISNUMBER(SEARCH('F-COMPRA'!$F$31,Tabla11[[#This Row],[Cuenta]],1))</f>
        <v>1</v>
      </c>
      <c r="M1002" t="b">
        <f>+ISNUMBER(SEARCH('F-COMPRA'!$G$25,Tabla11[[#This Row],[Cuenta]],1))</f>
        <v>0</v>
      </c>
      <c r="N1002" t="b">
        <f>+ISNUMBER(SEARCH(#REF!,Tabla11[[#This Row],[Cuenta]],1))</f>
        <v>0</v>
      </c>
      <c r="O1002" t="b">
        <f>+ISNUMBER(SEARCH(#REF!,Tabla11[[#This Row],[Cuenta]],1))</f>
        <v>0</v>
      </c>
      <c r="P1002" t="b">
        <f>+ISNUMBER(SEARCH('F-COMPRA'!$F$32,Tabla11[[#This Row],[Cuenta]],1))</f>
        <v>1</v>
      </c>
      <c r="Q1002" t="b">
        <f>+ISNUMBER(SEARCH('F-COMPRA'!$F$33,Tabla11[[#This Row],[Cuenta]],1))</f>
        <v>1</v>
      </c>
      <c r="R1002" t="b">
        <f>+ISNUMBER(SEARCH('F-COMPRA'!$F$34,Tabla11[[#This Row],[Cuenta]],1))</f>
        <v>1</v>
      </c>
      <c r="S1002" t="b">
        <f>+ISNUMBER(SEARCH('F-COMPRA'!$F$35,Tabla11[[#This Row],[Cuenta]],1))</f>
        <v>1</v>
      </c>
      <c r="T1002" t="b">
        <f>+ISNUMBER(SEARCH('F-COMPRA'!$F$36,Tabla11[[#This Row],[Cuenta]],1))</f>
        <v>1</v>
      </c>
      <c r="U1002" t="b">
        <f>+ISNUMBER(SEARCH('F-COMPRA'!$F$37,Tabla11[[#This Row],[Cuenta]],1))</f>
        <v>1</v>
      </c>
      <c r="V1002" t="b">
        <f>+ISNUMBER(SEARCH(#REF!,Tabla11[[#This Row],[Cuenta]],1))</f>
        <v>0</v>
      </c>
      <c r="W1002" t="b">
        <f>+ISNUMBER(SEARCH('F-COMPRA'!#REF!,Tabla11[[#This Row],[Cuenta]],1))</f>
        <v>0</v>
      </c>
      <c r="X1002" t="b">
        <f>+ISNUMBER(SEARCH('F-COMPRA'!#REF!,Tabla11[[#This Row],[Cuenta]],1))</f>
        <v>0</v>
      </c>
      <c r="Y1002" t="b">
        <f>+ISNUMBER(SEARCH('F-COMPRA'!#REF!,Tabla11[[#This Row],[Cuenta]],1))</f>
        <v>0</v>
      </c>
      <c r="Z1002" t="b">
        <f>+ISNUMBER(SEARCH('F-COMPRA'!#REF!,Tabla11[[#This Row],[Cuenta]],1))</f>
        <v>0</v>
      </c>
      <c r="AA1002" t="b">
        <f>+ISNUMBER(SEARCH('F-COMPRA'!#REF!,Tabla11[[#This Row],[Cuenta]],1))</f>
        <v>0</v>
      </c>
      <c r="AB1002" t="b">
        <f>+ISNUMBER(SEARCH('F-COMPRA'!#REF!,Tabla11[[#This Row],[Cuenta]],1))</f>
        <v>0</v>
      </c>
      <c r="AC1002" t="b">
        <f>+ISNUMBER(SEARCH('F-COMPRA'!#REF!,Tabla11[[#This Row],[Cuenta]],1))</f>
        <v>0</v>
      </c>
      <c r="AD1002" t="b">
        <f>+ISNUMBER(SEARCH('F-COMPRA'!#REF!,Tabla11[[#This Row],[Cuenta]],1))</f>
        <v>0</v>
      </c>
      <c r="AE1002" t="b">
        <f>+ISNUMBER(SEARCH('F-COMPRA'!#REF!,Tabla11[[#This Row],[Cuenta]],1))</f>
        <v>0</v>
      </c>
      <c r="AF1002" t="b">
        <f>+ISNUMBER(SEARCH('F-VTA'!$G$23,Tabla11[[#This Row],[Cuenta]],1))</f>
        <v>0</v>
      </c>
      <c r="AG1002" t="b">
        <f>+ISNUMBER(SEARCH('F-VTA'!$G$24,Tabla11[[#This Row],[Cuenta]],1))</f>
        <v>0</v>
      </c>
      <c r="AH1002" t="b">
        <f>+ISNUMBER(SEARCH('F-VTA'!$G$25,Tabla11[[#This Row],[Cuenta]],1))</f>
        <v>0</v>
      </c>
      <c r="AI1002" t="b">
        <f>+ISNUMBER(SEARCH('F-VTA'!$F$28,Tabla11[[#This Row],[Cuenta]],1))</f>
        <v>1</v>
      </c>
      <c r="AJ1002" t="b">
        <f>+ISNUMBER(SEARCH('F-VTA'!$F$29,Tabla11[[#This Row],[Cuenta]],1))</f>
        <v>1</v>
      </c>
      <c r="AK1002" t="b">
        <f>+ISNUMBER(SEARCH('F-VTA'!$F$30,Tabla11[[#This Row],[Cuenta]],1))</f>
        <v>1</v>
      </c>
      <c r="AL1002" t="b">
        <f>+ISNUMBER(SEARCH('F-VTA'!$F$31,Tabla11[[#This Row],[Cuenta]],1))</f>
        <v>1</v>
      </c>
      <c r="AM1002" t="b">
        <f>+ISNUMBER(SEARCH('F-VTA'!$F$32,Tabla11[[#This Row],[Cuenta]],1))</f>
        <v>1</v>
      </c>
      <c r="AN1002" t="b">
        <f>+ISNUMBER(SEARCH('F-VTA'!$F$33,Tabla11[[#This Row],[Cuenta]],1))</f>
        <v>1</v>
      </c>
      <c r="AO1002" t="b">
        <f>+ISNUMBER(SEARCH('F-VTA'!$F$34,Tabla11[[#This Row],[Cuenta]],1))</f>
        <v>1</v>
      </c>
      <c r="AP1002" t="b">
        <f>+ISNUMBER(SEARCH('F-VTA'!$F$35,Tabla11[[#This Row],[Cuenta]],1))</f>
        <v>1</v>
      </c>
      <c r="AQ1002" t="b">
        <f>+ISNUMBER(SEARCH('F-VTA'!$F$36,Tabla11[[#This Row],[Cuenta]],1))</f>
        <v>1</v>
      </c>
      <c r="AR1002" t="b">
        <f>+ISNUMBER(SEARCH(#REF!,Tabla11[[#This Row],[Cuenta]],1))</f>
        <v>0</v>
      </c>
      <c r="AS1002" t="b">
        <f>+ISNUMBER(SEARCH(#REF!,Tabla11[[#This Row],[Cuenta]],1))</f>
        <v>0</v>
      </c>
      <c r="AT1002" t="b">
        <f>+ISNUMBER(SEARCH(#REF!,Tabla11[[#This Row],[Cuenta]],1))</f>
        <v>0</v>
      </c>
      <c r="AU1002" t="b">
        <f>+ISNUMBER(SEARCH('Conc. Ban.1'!$I$9,Tabla11[[#This Row],[Cuenta]],1))</f>
        <v>0</v>
      </c>
      <c r="AV1002" t="b">
        <f>+ISNUMBER(SEARCH(CompConta!$F$21,Tabla11[[#This Row],[Cuenta]],1))</f>
        <v>1</v>
      </c>
      <c r="AW1002" t="b">
        <f>+ISNUMBER(SEARCH(CompConta!$F$22,Tabla11[[#This Row],[Cuenta]],1))</f>
        <v>1</v>
      </c>
      <c r="AX1002" t="b">
        <f>+ISNUMBER(SEARCH(CompConta!$F$23,Tabla11[[#This Row],[Cuenta]],1))</f>
        <v>1</v>
      </c>
      <c r="AY1002" t="b">
        <f>+ISNUMBER(SEARCH(CompConta!$F$24,Tabla11[[#This Row],[Cuenta]],1))</f>
        <v>1</v>
      </c>
      <c r="AZ1002" t="b">
        <f>+ISNUMBER(SEARCH(CompConta!$F$25,Tabla11[[#This Row],[Cuenta]],1))</f>
        <v>1</v>
      </c>
      <c r="BA1002" t="b">
        <f>+ISNUMBER(SEARCH(CompConta!$F$26,Tabla11[[#This Row],[Cuenta]],1))</f>
        <v>1</v>
      </c>
      <c r="BB1002" t="b">
        <f>+ISNUMBER(SEARCH(CompConta!$F$27,Tabla11[[#This Row],[Cuenta]],1))</f>
        <v>1</v>
      </c>
      <c r="BC1002" t="b">
        <f>+ISNUMBER(SEARCH(CompConta!$F$28,Tabla11[[#This Row],[Cuenta]],1))</f>
        <v>1</v>
      </c>
      <c r="BD1002" t="b">
        <f>+ISNUMBER(SEARCH(CompConta!$F$29,Tabla11[[#This Row],[Cuenta]],1))</f>
        <v>1</v>
      </c>
      <c r="BE1002" t="b">
        <f>+ISNUMBER(SEARCH(CompConta!$F$30,Tabla11[[#This Row],[Cuenta]],1))</f>
        <v>1</v>
      </c>
      <c r="BF1002" t="b">
        <f>+ISNUMBER(SEARCH('PAGO Compras'!$E$11,Tabla11[[#This Row],[Cuenta]],1))</f>
        <v>1</v>
      </c>
      <c r="BG1002" t="b">
        <f>+ISNUMBER(SEARCH(#REF!,Tabla11[[#This Row],[Cuenta]],1))</f>
        <v>0</v>
      </c>
      <c r="BH1002" t="b">
        <f>+ISNUMBER(SEARCH(#REF!,Tabla11[[#This Row],[Cuenta]],1))</f>
        <v>0</v>
      </c>
      <c r="BI1002" t="b">
        <f>+ISNUMBER(SEARCH(#REF!,Tabla11[[#This Row],[Cuenta]],1))</f>
        <v>0</v>
      </c>
      <c r="BJ1002" t="b">
        <f>+ISNUMBER(SEARCH(#REF!,Tabla11[[#This Row],[Cuenta]],1))</f>
        <v>0</v>
      </c>
      <c r="BS1002" t="str">
        <v>521570 IVA descontable</v>
      </c>
      <c r="BT1002" t="str">
        <v>521570 IVA descontable</v>
      </c>
      <c r="BU1002" t="str">
        <v>521570 IVA descontable</v>
      </c>
      <c r="BV1002" t="str">
        <v>521570 IVA descontable</v>
      </c>
      <c r="BZ1002" t="str">
        <v>521570 IVA descontable</v>
      </c>
      <c r="CA1002" t="str">
        <v>521570 IVA descontable</v>
      </c>
      <c r="CB1002" t="str">
        <v>521570 IVA descontable</v>
      </c>
      <c r="CC1002" t="str">
        <v>521570 IVA descontable</v>
      </c>
      <c r="CD1002" t="str">
        <v>521570 IVA descontable</v>
      </c>
      <c r="CE1002" t="str">
        <v>521570 IVA descontable</v>
      </c>
      <c r="CS1002" s="141" t="str">
        <v>521570 IVA descontable</v>
      </c>
      <c r="CT1002" s="141" t="str">
        <v>521570 IVA descontable</v>
      </c>
      <c r="CU1002" s="141" t="str">
        <v>521570 IVA descontable</v>
      </c>
      <c r="CV1002" s="141" t="str">
        <v>521570 IVA descontable</v>
      </c>
      <c r="CW1002" s="141" t="str">
        <v>521570 IVA descontable</v>
      </c>
      <c r="CX1002" s="141" t="str">
        <v>521570 IVA descontable</v>
      </c>
      <c r="CY1002" s="141" t="str">
        <v>521570 IVA descontable</v>
      </c>
      <c r="CZ1002" s="141" t="str">
        <v>521570 IVA descontable</v>
      </c>
      <c r="DA1002" s="141" t="str">
        <v>521570 IVA descontable</v>
      </c>
      <c r="DF1002" t="str">
        <v>521570 IVA descontable</v>
      </c>
      <c r="DG1002" t="str">
        <v>521570 IVA descontable</v>
      </c>
      <c r="DH1002" t="str">
        <v>521570 IVA descontable</v>
      </c>
      <c r="DI1002" t="str">
        <v>521570 IVA descontable</v>
      </c>
      <c r="DJ1002" t="str">
        <v>521570 IVA descontable</v>
      </c>
      <c r="DK1002" t="str">
        <v>521570 IVA descontable</v>
      </c>
      <c r="DL1002" t="str">
        <v>521570 IVA descontable</v>
      </c>
      <c r="DM1002" t="str">
        <v>521570 IVA descontable</v>
      </c>
      <c r="DN1002" t="str">
        <v>521570 IVA descontable</v>
      </c>
      <c r="DO1002" t="str">
        <v>521570 IVA descontable</v>
      </c>
      <c r="DP1002" t="str">
        <v>521570 IVA descontable</v>
      </c>
    </row>
    <row r="1003" spans="4:120" ht="12.75">
      <c r="D1003" s="7">
        <v>521595</v>
      </c>
      <c r="E1003" s="6" t="s">
        <v>45</v>
      </c>
      <c r="F1003" s="5">
        <v>4</v>
      </c>
      <c r="G1003" s="34" t="s">
        <v>830</v>
      </c>
      <c r="H1003" s="8" t="s">
        <v>32</v>
      </c>
      <c r="I1003" t="b">
        <f>+ISNUMBER(SEARCH('F-COMPRA'!$F$28,Tabla11[[#This Row],[Cuenta]],1))</f>
        <v>1</v>
      </c>
      <c r="J1003" t="b">
        <f>+ISNUMBER(SEARCH('F-COMPRA'!$F$29,Tabla11[[#This Row],[Cuenta]],1))</f>
        <v>1</v>
      </c>
      <c r="K1003" t="b">
        <f>+ISNUMBER(SEARCH('F-COMPRA'!$F$30,Tabla11[[#This Row],[Cuenta]],1))</f>
        <v>1</v>
      </c>
      <c r="L1003" t="b">
        <f>+ISNUMBER(SEARCH('F-COMPRA'!$F$31,Tabla11[[#This Row],[Cuenta]],1))</f>
        <v>1</v>
      </c>
      <c r="M1003" t="b">
        <f>+ISNUMBER(SEARCH('F-COMPRA'!$G$25,Tabla11[[#This Row],[Cuenta]],1))</f>
        <v>0</v>
      </c>
      <c r="N1003" t="b">
        <f>+ISNUMBER(SEARCH(#REF!,Tabla11[[#This Row],[Cuenta]],1))</f>
        <v>0</v>
      </c>
      <c r="O1003" t="b">
        <f>+ISNUMBER(SEARCH(#REF!,Tabla11[[#This Row],[Cuenta]],1))</f>
        <v>0</v>
      </c>
      <c r="P1003" t="b">
        <f>+ISNUMBER(SEARCH('F-COMPRA'!$F$32,Tabla11[[#This Row],[Cuenta]],1))</f>
        <v>1</v>
      </c>
      <c r="Q1003" t="b">
        <f>+ISNUMBER(SEARCH('F-COMPRA'!$F$33,Tabla11[[#This Row],[Cuenta]],1))</f>
        <v>1</v>
      </c>
      <c r="R1003" t="b">
        <f>+ISNUMBER(SEARCH('F-COMPRA'!$F$34,Tabla11[[#This Row],[Cuenta]],1))</f>
        <v>1</v>
      </c>
      <c r="S1003" t="b">
        <f>+ISNUMBER(SEARCH('F-COMPRA'!$F$35,Tabla11[[#This Row],[Cuenta]],1))</f>
        <v>1</v>
      </c>
      <c r="T1003" t="b">
        <f>+ISNUMBER(SEARCH('F-COMPRA'!$F$36,Tabla11[[#This Row],[Cuenta]],1))</f>
        <v>1</v>
      </c>
      <c r="U1003" t="b">
        <f>+ISNUMBER(SEARCH('F-COMPRA'!$F$37,Tabla11[[#This Row],[Cuenta]],1))</f>
        <v>1</v>
      </c>
      <c r="V1003" t="b">
        <f>+ISNUMBER(SEARCH(#REF!,Tabla11[[#This Row],[Cuenta]],1))</f>
        <v>0</v>
      </c>
      <c r="W1003" t="b">
        <f>+ISNUMBER(SEARCH('F-COMPRA'!#REF!,Tabla11[[#This Row],[Cuenta]],1))</f>
        <v>0</v>
      </c>
      <c r="X1003" t="b">
        <f>+ISNUMBER(SEARCH('F-COMPRA'!#REF!,Tabla11[[#This Row],[Cuenta]],1))</f>
        <v>0</v>
      </c>
      <c r="Y1003" t="b">
        <f>+ISNUMBER(SEARCH('F-COMPRA'!#REF!,Tabla11[[#This Row],[Cuenta]],1))</f>
        <v>0</v>
      </c>
      <c r="Z1003" t="b">
        <f>+ISNUMBER(SEARCH('F-COMPRA'!#REF!,Tabla11[[#This Row],[Cuenta]],1))</f>
        <v>0</v>
      </c>
      <c r="AA1003" t="b">
        <f>+ISNUMBER(SEARCH('F-COMPRA'!#REF!,Tabla11[[#This Row],[Cuenta]],1))</f>
        <v>0</v>
      </c>
      <c r="AB1003" t="b">
        <f>+ISNUMBER(SEARCH('F-COMPRA'!#REF!,Tabla11[[#This Row],[Cuenta]],1))</f>
        <v>0</v>
      </c>
      <c r="AC1003" t="b">
        <f>+ISNUMBER(SEARCH('F-COMPRA'!#REF!,Tabla11[[#This Row],[Cuenta]],1))</f>
        <v>0</v>
      </c>
      <c r="AD1003" t="b">
        <f>+ISNUMBER(SEARCH('F-COMPRA'!#REF!,Tabla11[[#This Row],[Cuenta]],1))</f>
        <v>0</v>
      </c>
      <c r="AE1003" t="b">
        <f>+ISNUMBER(SEARCH('F-COMPRA'!#REF!,Tabla11[[#This Row],[Cuenta]],1))</f>
        <v>0</v>
      </c>
      <c r="AF1003" t="b">
        <f>+ISNUMBER(SEARCH('F-VTA'!$G$23,Tabla11[[#This Row],[Cuenta]],1))</f>
        <v>0</v>
      </c>
      <c r="AG1003" t="b">
        <f>+ISNUMBER(SEARCH('F-VTA'!$G$24,Tabla11[[#This Row],[Cuenta]],1))</f>
        <v>0</v>
      </c>
      <c r="AH1003" t="b">
        <f>+ISNUMBER(SEARCH('F-VTA'!$G$25,Tabla11[[#This Row],[Cuenta]],1))</f>
        <v>0</v>
      </c>
      <c r="AI1003" t="b">
        <f>+ISNUMBER(SEARCH('F-VTA'!$F$28,Tabla11[[#This Row],[Cuenta]],1))</f>
        <v>1</v>
      </c>
      <c r="AJ1003" t="b">
        <f>+ISNUMBER(SEARCH('F-VTA'!$F$29,Tabla11[[#This Row],[Cuenta]],1))</f>
        <v>1</v>
      </c>
      <c r="AK1003" t="b">
        <f>+ISNUMBER(SEARCH('F-VTA'!$F$30,Tabla11[[#This Row],[Cuenta]],1))</f>
        <v>1</v>
      </c>
      <c r="AL1003" t="b">
        <f>+ISNUMBER(SEARCH('F-VTA'!$F$31,Tabla11[[#This Row],[Cuenta]],1))</f>
        <v>1</v>
      </c>
      <c r="AM1003" t="b">
        <f>+ISNUMBER(SEARCH('F-VTA'!$F$32,Tabla11[[#This Row],[Cuenta]],1))</f>
        <v>1</v>
      </c>
      <c r="AN1003" t="b">
        <f>+ISNUMBER(SEARCH('F-VTA'!$F$33,Tabla11[[#This Row],[Cuenta]],1))</f>
        <v>1</v>
      </c>
      <c r="AO1003" t="b">
        <f>+ISNUMBER(SEARCH('F-VTA'!$F$34,Tabla11[[#This Row],[Cuenta]],1))</f>
        <v>1</v>
      </c>
      <c r="AP1003" t="b">
        <f>+ISNUMBER(SEARCH('F-VTA'!$F$35,Tabla11[[#This Row],[Cuenta]],1))</f>
        <v>1</v>
      </c>
      <c r="AQ1003" t="b">
        <f>+ISNUMBER(SEARCH('F-VTA'!$F$36,Tabla11[[#This Row],[Cuenta]],1))</f>
        <v>1</v>
      </c>
      <c r="AR1003" t="b">
        <f>+ISNUMBER(SEARCH(#REF!,Tabla11[[#This Row],[Cuenta]],1))</f>
        <v>0</v>
      </c>
      <c r="AS1003" t="b">
        <f>+ISNUMBER(SEARCH(#REF!,Tabla11[[#This Row],[Cuenta]],1))</f>
        <v>0</v>
      </c>
      <c r="AT1003" t="b">
        <f>+ISNUMBER(SEARCH(#REF!,Tabla11[[#This Row],[Cuenta]],1))</f>
        <v>0</v>
      </c>
      <c r="AU1003" t="b">
        <f>+ISNUMBER(SEARCH('Conc. Ban.1'!$I$9,Tabla11[[#This Row],[Cuenta]],1))</f>
        <v>0</v>
      </c>
      <c r="AV1003" t="b">
        <f>+ISNUMBER(SEARCH(CompConta!$F$21,Tabla11[[#This Row],[Cuenta]],1))</f>
        <v>1</v>
      </c>
      <c r="AW1003" t="b">
        <f>+ISNUMBER(SEARCH(CompConta!$F$22,Tabla11[[#This Row],[Cuenta]],1))</f>
        <v>1</v>
      </c>
      <c r="AX1003" t="b">
        <f>+ISNUMBER(SEARCH(CompConta!$F$23,Tabla11[[#This Row],[Cuenta]],1))</f>
        <v>1</v>
      </c>
      <c r="AY1003" t="b">
        <f>+ISNUMBER(SEARCH(CompConta!$F$24,Tabla11[[#This Row],[Cuenta]],1))</f>
        <v>1</v>
      </c>
      <c r="AZ1003" t="b">
        <f>+ISNUMBER(SEARCH(CompConta!$F$25,Tabla11[[#This Row],[Cuenta]],1))</f>
        <v>1</v>
      </c>
      <c r="BA1003" t="b">
        <f>+ISNUMBER(SEARCH(CompConta!$F$26,Tabla11[[#This Row],[Cuenta]],1))</f>
        <v>1</v>
      </c>
      <c r="BB1003" t="b">
        <f>+ISNUMBER(SEARCH(CompConta!$F$27,Tabla11[[#This Row],[Cuenta]],1))</f>
        <v>1</v>
      </c>
      <c r="BC1003" t="b">
        <f>+ISNUMBER(SEARCH(CompConta!$F$28,Tabla11[[#This Row],[Cuenta]],1))</f>
        <v>1</v>
      </c>
      <c r="BD1003" t="b">
        <f>+ISNUMBER(SEARCH(CompConta!$F$29,Tabla11[[#This Row],[Cuenta]],1))</f>
        <v>1</v>
      </c>
      <c r="BE1003" t="b">
        <f>+ISNUMBER(SEARCH(CompConta!$F$30,Tabla11[[#This Row],[Cuenta]],1))</f>
        <v>1</v>
      </c>
      <c r="BF1003" t="b">
        <f>+ISNUMBER(SEARCH('PAGO Compras'!$E$11,Tabla11[[#This Row],[Cuenta]],1))</f>
        <v>1</v>
      </c>
      <c r="BG1003" t="b">
        <f>+ISNUMBER(SEARCH(#REF!,Tabla11[[#This Row],[Cuenta]],1))</f>
        <v>0</v>
      </c>
      <c r="BH1003" t="b">
        <f>+ISNUMBER(SEARCH(#REF!,Tabla11[[#This Row],[Cuenta]],1))</f>
        <v>0</v>
      </c>
      <c r="BI1003" t="b">
        <f>+ISNUMBER(SEARCH(#REF!,Tabla11[[#This Row],[Cuenta]],1))</f>
        <v>0</v>
      </c>
      <c r="BJ1003" t="b">
        <f>+ISNUMBER(SEARCH(#REF!,Tabla11[[#This Row],[Cuenta]],1))</f>
        <v>0</v>
      </c>
      <c r="BS1003" t="str">
        <v>521595 Otros</v>
      </c>
      <c r="BT1003" t="str">
        <v>521595 Otros</v>
      </c>
      <c r="BU1003" t="str">
        <v>521595 Otros</v>
      </c>
      <c r="BV1003" t="str">
        <v>521595 Otros</v>
      </c>
      <c r="BZ1003" t="str">
        <v>521595 Otros</v>
      </c>
      <c r="CA1003" t="str">
        <v>521595 Otros</v>
      </c>
      <c r="CB1003" t="str">
        <v>521595 Otros</v>
      </c>
      <c r="CC1003" t="str">
        <v>521595 Otros</v>
      </c>
      <c r="CD1003" t="str">
        <v>521595 Otros</v>
      </c>
      <c r="CE1003" t="str">
        <v>521595 Otros</v>
      </c>
      <c r="CS1003" s="141" t="str">
        <v>521595 Otros</v>
      </c>
      <c r="CT1003" s="141" t="str">
        <v>521595 Otros</v>
      </c>
      <c r="CU1003" s="141" t="str">
        <v>521595 Otros</v>
      </c>
      <c r="CV1003" s="141" t="str">
        <v>521595 Otros</v>
      </c>
      <c r="CW1003" s="141" t="str">
        <v>521595 Otros</v>
      </c>
      <c r="CX1003" s="141" t="str">
        <v>521595 Otros</v>
      </c>
      <c r="CY1003" s="141" t="str">
        <v>521595 Otros</v>
      </c>
      <c r="CZ1003" s="141" t="str">
        <v>521595 Otros</v>
      </c>
      <c r="DA1003" s="141" t="str">
        <v>521595 Otros</v>
      </c>
      <c r="DF1003" t="str">
        <v>521595 Otros</v>
      </c>
      <c r="DG1003" t="str">
        <v>521595 Otros</v>
      </c>
      <c r="DH1003" t="str">
        <v>521595 Otros</v>
      </c>
      <c r="DI1003" t="str">
        <v>521595 Otros</v>
      </c>
      <c r="DJ1003" t="str">
        <v>521595 Otros</v>
      </c>
      <c r="DK1003" t="str">
        <v>521595 Otros</v>
      </c>
      <c r="DL1003" t="str">
        <v>521595 Otros</v>
      </c>
      <c r="DM1003" t="str">
        <v>521595 Otros</v>
      </c>
      <c r="DN1003" t="str">
        <v>521595 Otros</v>
      </c>
      <c r="DO1003" t="str">
        <v>521595 Otros</v>
      </c>
      <c r="DP1003" t="str">
        <v>521595 Otros</v>
      </c>
    </row>
    <row r="1004" spans="4:120" ht="12.75">
      <c r="D1004" s="7">
        <v>521599</v>
      </c>
      <c r="E1004" s="6" t="s">
        <v>93</v>
      </c>
      <c r="F1004" s="5">
        <v>4</v>
      </c>
      <c r="G1004" s="34" t="s">
        <v>830</v>
      </c>
      <c r="H1004" s="8" t="s">
        <v>32</v>
      </c>
      <c r="I1004" t="b">
        <f>+ISNUMBER(SEARCH('F-COMPRA'!$F$28,Tabla11[[#This Row],[Cuenta]],1))</f>
        <v>1</v>
      </c>
      <c r="J1004" t="b">
        <f>+ISNUMBER(SEARCH('F-COMPRA'!$F$29,Tabla11[[#This Row],[Cuenta]],1))</f>
        <v>1</v>
      </c>
      <c r="K1004" t="b">
        <f>+ISNUMBER(SEARCH('F-COMPRA'!$F$30,Tabla11[[#This Row],[Cuenta]],1))</f>
        <v>1</v>
      </c>
      <c r="L1004" t="b">
        <f>+ISNUMBER(SEARCH('F-COMPRA'!$F$31,Tabla11[[#This Row],[Cuenta]],1))</f>
        <v>1</v>
      </c>
      <c r="M1004" t="b">
        <f>+ISNUMBER(SEARCH('F-COMPRA'!$G$25,Tabla11[[#This Row],[Cuenta]],1))</f>
        <v>0</v>
      </c>
      <c r="N1004" t="b">
        <f>+ISNUMBER(SEARCH(#REF!,Tabla11[[#This Row],[Cuenta]],1))</f>
        <v>0</v>
      </c>
      <c r="O1004" t="b">
        <f>+ISNUMBER(SEARCH(#REF!,Tabla11[[#This Row],[Cuenta]],1))</f>
        <v>0</v>
      </c>
      <c r="P1004" t="b">
        <f>+ISNUMBER(SEARCH('F-COMPRA'!$F$32,Tabla11[[#This Row],[Cuenta]],1))</f>
        <v>1</v>
      </c>
      <c r="Q1004" t="b">
        <f>+ISNUMBER(SEARCH('F-COMPRA'!$F$33,Tabla11[[#This Row],[Cuenta]],1))</f>
        <v>1</v>
      </c>
      <c r="R1004" t="b">
        <f>+ISNUMBER(SEARCH('F-COMPRA'!$F$34,Tabla11[[#This Row],[Cuenta]],1))</f>
        <v>1</v>
      </c>
      <c r="S1004" t="b">
        <f>+ISNUMBER(SEARCH('F-COMPRA'!$F$35,Tabla11[[#This Row],[Cuenta]],1))</f>
        <v>1</v>
      </c>
      <c r="T1004" t="b">
        <f>+ISNUMBER(SEARCH('F-COMPRA'!$F$36,Tabla11[[#This Row],[Cuenta]],1))</f>
        <v>1</v>
      </c>
      <c r="U1004" t="b">
        <f>+ISNUMBER(SEARCH('F-COMPRA'!$F$37,Tabla11[[#This Row],[Cuenta]],1))</f>
        <v>1</v>
      </c>
      <c r="V1004" t="b">
        <f>+ISNUMBER(SEARCH(#REF!,Tabla11[[#This Row],[Cuenta]],1))</f>
        <v>0</v>
      </c>
      <c r="W1004" t="b">
        <f>+ISNUMBER(SEARCH('F-COMPRA'!#REF!,Tabla11[[#This Row],[Cuenta]],1))</f>
        <v>0</v>
      </c>
      <c r="X1004" t="b">
        <f>+ISNUMBER(SEARCH('F-COMPRA'!#REF!,Tabla11[[#This Row],[Cuenta]],1))</f>
        <v>0</v>
      </c>
      <c r="Y1004" t="b">
        <f>+ISNUMBER(SEARCH('F-COMPRA'!#REF!,Tabla11[[#This Row],[Cuenta]],1))</f>
        <v>0</v>
      </c>
      <c r="Z1004" t="b">
        <f>+ISNUMBER(SEARCH('F-COMPRA'!#REF!,Tabla11[[#This Row],[Cuenta]],1))</f>
        <v>0</v>
      </c>
      <c r="AA1004" t="b">
        <f>+ISNUMBER(SEARCH('F-COMPRA'!#REF!,Tabla11[[#This Row],[Cuenta]],1))</f>
        <v>0</v>
      </c>
      <c r="AB1004" t="b">
        <f>+ISNUMBER(SEARCH('F-COMPRA'!#REF!,Tabla11[[#This Row],[Cuenta]],1))</f>
        <v>0</v>
      </c>
      <c r="AC1004" t="b">
        <f>+ISNUMBER(SEARCH('F-COMPRA'!#REF!,Tabla11[[#This Row],[Cuenta]],1))</f>
        <v>0</v>
      </c>
      <c r="AD1004" t="b">
        <f>+ISNUMBER(SEARCH('F-COMPRA'!#REF!,Tabla11[[#This Row],[Cuenta]],1))</f>
        <v>0</v>
      </c>
      <c r="AE1004" t="b">
        <f>+ISNUMBER(SEARCH('F-COMPRA'!#REF!,Tabla11[[#This Row],[Cuenta]],1))</f>
        <v>0</v>
      </c>
      <c r="AF1004" t="b">
        <f>+ISNUMBER(SEARCH('F-VTA'!$G$23,Tabla11[[#This Row],[Cuenta]],1))</f>
        <v>0</v>
      </c>
      <c r="AG1004" t="b">
        <f>+ISNUMBER(SEARCH('F-VTA'!$G$24,Tabla11[[#This Row],[Cuenta]],1))</f>
        <v>0</v>
      </c>
      <c r="AH1004" t="b">
        <f>+ISNUMBER(SEARCH('F-VTA'!$G$25,Tabla11[[#This Row],[Cuenta]],1))</f>
        <v>0</v>
      </c>
      <c r="AI1004" t="b">
        <f>+ISNUMBER(SEARCH('F-VTA'!$F$28,Tabla11[[#This Row],[Cuenta]],1))</f>
        <v>1</v>
      </c>
      <c r="AJ1004" t="b">
        <f>+ISNUMBER(SEARCH('F-VTA'!$F$29,Tabla11[[#This Row],[Cuenta]],1))</f>
        <v>1</v>
      </c>
      <c r="AK1004" t="b">
        <f>+ISNUMBER(SEARCH('F-VTA'!$F$30,Tabla11[[#This Row],[Cuenta]],1))</f>
        <v>1</v>
      </c>
      <c r="AL1004" t="b">
        <f>+ISNUMBER(SEARCH('F-VTA'!$F$31,Tabla11[[#This Row],[Cuenta]],1))</f>
        <v>1</v>
      </c>
      <c r="AM1004" t="b">
        <f>+ISNUMBER(SEARCH('F-VTA'!$F$32,Tabla11[[#This Row],[Cuenta]],1))</f>
        <v>1</v>
      </c>
      <c r="AN1004" t="b">
        <f>+ISNUMBER(SEARCH('F-VTA'!$F$33,Tabla11[[#This Row],[Cuenta]],1))</f>
        <v>1</v>
      </c>
      <c r="AO1004" t="b">
        <f>+ISNUMBER(SEARCH('F-VTA'!$F$34,Tabla11[[#This Row],[Cuenta]],1))</f>
        <v>1</v>
      </c>
      <c r="AP1004" t="b">
        <f>+ISNUMBER(SEARCH('F-VTA'!$F$35,Tabla11[[#This Row],[Cuenta]],1))</f>
        <v>1</v>
      </c>
      <c r="AQ1004" t="b">
        <f>+ISNUMBER(SEARCH('F-VTA'!$F$36,Tabla11[[#This Row],[Cuenta]],1))</f>
        <v>1</v>
      </c>
      <c r="AR1004" t="b">
        <f>+ISNUMBER(SEARCH(#REF!,Tabla11[[#This Row],[Cuenta]],1))</f>
        <v>0</v>
      </c>
      <c r="AS1004" t="b">
        <f>+ISNUMBER(SEARCH(#REF!,Tabla11[[#This Row],[Cuenta]],1))</f>
        <v>0</v>
      </c>
      <c r="AT1004" t="b">
        <f>+ISNUMBER(SEARCH(#REF!,Tabla11[[#This Row],[Cuenta]],1))</f>
        <v>0</v>
      </c>
      <c r="AU1004" t="b">
        <f>+ISNUMBER(SEARCH('Conc. Ban.1'!$I$9,Tabla11[[#This Row],[Cuenta]],1))</f>
        <v>0</v>
      </c>
      <c r="AV1004" t="b">
        <f>+ISNUMBER(SEARCH(CompConta!$F$21,Tabla11[[#This Row],[Cuenta]],1))</f>
        <v>1</v>
      </c>
      <c r="AW1004" t="b">
        <f>+ISNUMBER(SEARCH(CompConta!$F$22,Tabla11[[#This Row],[Cuenta]],1))</f>
        <v>1</v>
      </c>
      <c r="AX1004" t="b">
        <f>+ISNUMBER(SEARCH(CompConta!$F$23,Tabla11[[#This Row],[Cuenta]],1))</f>
        <v>1</v>
      </c>
      <c r="AY1004" t="b">
        <f>+ISNUMBER(SEARCH(CompConta!$F$24,Tabla11[[#This Row],[Cuenta]],1))</f>
        <v>1</v>
      </c>
      <c r="AZ1004" t="b">
        <f>+ISNUMBER(SEARCH(CompConta!$F$25,Tabla11[[#This Row],[Cuenta]],1))</f>
        <v>1</v>
      </c>
      <c r="BA1004" t="b">
        <f>+ISNUMBER(SEARCH(CompConta!$F$26,Tabla11[[#This Row],[Cuenta]],1))</f>
        <v>1</v>
      </c>
      <c r="BB1004" t="b">
        <f>+ISNUMBER(SEARCH(CompConta!$F$27,Tabla11[[#This Row],[Cuenta]],1))</f>
        <v>1</v>
      </c>
      <c r="BC1004" t="b">
        <f>+ISNUMBER(SEARCH(CompConta!$F$28,Tabla11[[#This Row],[Cuenta]],1))</f>
        <v>1</v>
      </c>
      <c r="BD1004" t="b">
        <f>+ISNUMBER(SEARCH(CompConta!$F$29,Tabla11[[#This Row],[Cuenta]],1))</f>
        <v>1</v>
      </c>
      <c r="BE1004" t="b">
        <f>+ISNUMBER(SEARCH(CompConta!$F$30,Tabla11[[#This Row],[Cuenta]],1))</f>
        <v>1</v>
      </c>
      <c r="BF1004" t="b">
        <f>+ISNUMBER(SEARCH('PAGO Compras'!$E$11,Tabla11[[#This Row],[Cuenta]],1))</f>
        <v>1</v>
      </c>
      <c r="BG1004" t="b">
        <f>+ISNUMBER(SEARCH(#REF!,Tabla11[[#This Row],[Cuenta]],1))</f>
        <v>0</v>
      </c>
      <c r="BH1004" t="b">
        <f>+ISNUMBER(SEARCH(#REF!,Tabla11[[#This Row],[Cuenta]],1))</f>
        <v>0</v>
      </c>
      <c r="BI1004" t="b">
        <f>+ISNUMBER(SEARCH(#REF!,Tabla11[[#This Row],[Cuenta]],1))</f>
        <v>0</v>
      </c>
      <c r="BJ1004" t="b">
        <f>+ISNUMBER(SEARCH(#REF!,Tabla11[[#This Row],[Cuenta]],1))</f>
        <v>0</v>
      </c>
      <c r="BS1004" t="str">
        <v>521599 *Ajustes por inflación</v>
      </c>
      <c r="BT1004" t="str">
        <v>521599 *Ajustes por inflación</v>
      </c>
      <c r="BU1004" t="str">
        <v>521599 *Ajustes por inflación</v>
      </c>
      <c r="BV1004" t="str">
        <v>521599 *Ajustes por inflación</v>
      </c>
      <c r="BZ1004" t="str">
        <v>521599 *Ajustes por inflación</v>
      </c>
      <c r="CA1004" t="str">
        <v>521599 *Ajustes por inflación</v>
      </c>
      <c r="CB1004" t="str">
        <v>521599 *Ajustes por inflación</v>
      </c>
      <c r="CC1004" t="str">
        <v>521599 *Ajustes por inflación</v>
      </c>
      <c r="CD1004" t="str">
        <v>521599 *Ajustes por inflación</v>
      </c>
      <c r="CE1004" t="str">
        <v>521599 *Ajustes por inflación</v>
      </c>
      <c r="CS1004" s="141" t="str">
        <v>521599 *Ajustes por inflación</v>
      </c>
      <c r="CT1004" s="141" t="str">
        <v>521599 *Ajustes por inflación</v>
      </c>
      <c r="CU1004" s="141" t="str">
        <v>521599 *Ajustes por inflación</v>
      </c>
      <c r="CV1004" s="141" t="str">
        <v>521599 *Ajustes por inflación</v>
      </c>
      <c r="CW1004" s="141" t="str">
        <v>521599 *Ajustes por inflación</v>
      </c>
      <c r="CX1004" s="141" t="str">
        <v>521599 *Ajustes por inflación</v>
      </c>
      <c r="CY1004" s="141" t="str">
        <v>521599 *Ajustes por inflación</v>
      </c>
      <c r="CZ1004" s="141" t="str">
        <v>521599 *Ajustes por inflación</v>
      </c>
      <c r="DA1004" s="141" t="str">
        <v>521599 *Ajustes por inflación</v>
      </c>
      <c r="DF1004" t="str">
        <v>521599 *Ajustes por inflación</v>
      </c>
      <c r="DG1004" t="str">
        <v>521599 *Ajustes por inflación</v>
      </c>
      <c r="DH1004" t="str">
        <v>521599 *Ajustes por inflación</v>
      </c>
      <c r="DI1004" t="str">
        <v>521599 *Ajustes por inflación</v>
      </c>
      <c r="DJ1004" t="str">
        <v>521599 *Ajustes por inflación</v>
      </c>
      <c r="DK1004" t="str">
        <v>521599 *Ajustes por inflación</v>
      </c>
      <c r="DL1004" t="str">
        <v>521599 *Ajustes por inflación</v>
      </c>
      <c r="DM1004" t="str">
        <v>521599 *Ajustes por inflación</v>
      </c>
      <c r="DN1004" t="str">
        <v>521599 *Ajustes por inflación</v>
      </c>
      <c r="DO1004" t="str">
        <v>521599 *Ajustes por inflación</v>
      </c>
      <c r="DP1004" t="str">
        <v>521599 *Ajustes por inflación</v>
      </c>
    </row>
    <row r="1005" spans="4:120" ht="12.75">
      <c r="D1005" s="7">
        <v>5220</v>
      </c>
      <c r="E1005" s="6" t="s">
        <v>525</v>
      </c>
      <c r="F1005" s="5">
        <v>3</v>
      </c>
      <c r="G1005" s="34" t="s">
        <v>830</v>
      </c>
      <c r="H1005" s="8" t="s">
        <v>32</v>
      </c>
      <c r="I1005" t="b">
        <f>+ISNUMBER(SEARCH('F-COMPRA'!$F$28,Tabla11[[#This Row],[Cuenta]],1))</f>
        <v>1</v>
      </c>
      <c r="J1005" t="b">
        <f>+ISNUMBER(SEARCH('F-COMPRA'!$F$29,Tabla11[[#This Row],[Cuenta]],1))</f>
        <v>1</v>
      </c>
      <c r="K1005" t="b">
        <f>+ISNUMBER(SEARCH('F-COMPRA'!$F$30,Tabla11[[#This Row],[Cuenta]],1))</f>
        <v>1</v>
      </c>
      <c r="L1005" t="b">
        <f>+ISNUMBER(SEARCH('F-COMPRA'!$F$31,Tabla11[[#This Row],[Cuenta]],1))</f>
        <v>1</v>
      </c>
      <c r="M1005" t="b">
        <f>+ISNUMBER(SEARCH('F-COMPRA'!$G$25,Tabla11[[#This Row],[Cuenta]],1))</f>
        <v>0</v>
      </c>
      <c r="N1005" t="b">
        <f>+ISNUMBER(SEARCH(#REF!,Tabla11[[#This Row],[Cuenta]],1))</f>
        <v>0</v>
      </c>
      <c r="O1005" t="b">
        <f>+ISNUMBER(SEARCH(#REF!,Tabla11[[#This Row],[Cuenta]],1))</f>
        <v>0</v>
      </c>
      <c r="P1005" t="b">
        <f>+ISNUMBER(SEARCH('F-COMPRA'!$F$32,Tabla11[[#This Row],[Cuenta]],1))</f>
        <v>1</v>
      </c>
      <c r="Q1005" t="b">
        <f>+ISNUMBER(SEARCH('F-COMPRA'!$F$33,Tabla11[[#This Row],[Cuenta]],1))</f>
        <v>1</v>
      </c>
      <c r="R1005" t="b">
        <f>+ISNUMBER(SEARCH('F-COMPRA'!$F$34,Tabla11[[#This Row],[Cuenta]],1))</f>
        <v>1</v>
      </c>
      <c r="S1005" t="b">
        <f>+ISNUMBER(SEARCH('F-COMPRA'!$F$35,Tabla11[[#This Row],[Cuenta]],1))</f>
        <v>1</v>
      </c>
      <c r="T1005" t="b">
        <f>+ISNUMBER(SEARCH('F-COMPRA'!$F$36,Tabla11[[#This Row],[Cuenta]],1))</f>
        <v>1</v>
      </c>
      <c r="U1005" t="b">
        <f>+ISNUMBER(SEARCH('F-COMPRA'!$F$37,Tabla11[[#This Row],[Cuenta]],1))</f>
        <v>1</v>
      </c>
      <c r="V1005" t="b">
        <f>+ISNUMBER(SEARCH(#REF!,Tabla11[[#This Row],[Cuenta]],1))</f>
        <v>0</v>
      </c>
      <c r="W1005" t="b">
        <f>+ISNUMBER(SEARCH('F-COMPRA'!#REF!,Tabla11[[#This Row],[Cuenta]],1))</f>
        <v>0</v>
      </c>
      <c r="X1005" t="b">
        <f>+ISNUMBER(SEARCH('F-COMPRA'!#REF!,Tabla11[[#This Row],[Cuenta]],1))</f>
        <v>0</v>
      </c>
      <c r="Y1005" t="b">
        <f>+ISNUMBER(SEARCH('F-COMPRA'!#REF!,Tabla11[[#This Row],[Cuenta]],1))</f>
        <v>0</v>
      </c>
      <c r="Z1005" t="b">
        <f>+ISNUMBER(SEARCH('F-COMPRA'!#REF!,Tabla11[[#This Row],[Cuenta]],1))</f>
        <v>0</v>
      </c>
      <c r="AA1005" t="b">
        <f>+ISNUMBER(SEARCH('F-COMPRA'!#REF!,Tabla11[[#This Row],[Cuenta]],1))</f>
        <v>0</v>
      </c>
      <c r="AB1005" t="b">
        <f>+ISNUMBER(SEARCH('F-COMPRA'!#REF!,Tabla11[[#This Row],[Cuenta]],1))</f>
        <v>0</v>
      </c>
      <c r="AC1005" t="b">
        <f>+ISNUMBER(SEARCH('F-COMPRA'!#REF!,Tabla11[[#This Row],[Cuenta]],1))</f>
        <v>0</v>
      </c>
      <c r="AD1005" t="b">
        <f>+ISNUMBER(SEARCH('F-COMPRA'!#REF!,Tabla11[[#This Row],[Cuenta]],1))</f>
        <v>0</v>
      </c>
      <c r="AE1005" t="b">
        <f>+ISNUMBER(SEARCH('F-COMPRA'!#REF!,Tabla11[[#This Row],[Cuenta]],1))</f>
        <v>0</v>
      </c>
      <c r="AF1005" t="b">
        <f>+ISNUMBER(SEARCH('F-VTA'!$G$23,Tabla11[[#This Row],[Cuenta]],1))</f>
        <v>0</v>
      </c>
      <c r="AG1005" t="b">
        <f>+ISNUMBER(SEARCH('F-VTA'!$G$24,Tabla11[[#This Row],[Cuenta]],1))</f>
        <v>0</v>
      </c>
      <c r="AH1005" t="b">
        <f>+ISNUMBER(SEARCH('F-VTA'!$G$25,Tabla11[[#This Row],[Cuenta]],1))</f>
        <v>0</v>
      </c>
      <c r="AI1005" t="b">
        <f>+ISNUMBER(SEARCH('F-VTA'!$F$28,Tabla11[[#This Row],[Cuenta]],1))</f>
        <v>1</v>
      </c>
      <c r="AJ1005" t="b">
        <f>+ISNUMBER(SEARCH('F-VTA'!$F$29,Tabla11[[#This Row],[Cuenta]],1))</f>
        <v>1</v>
      </c>
      <c r="AK1005" t="b">
        <f>+ISNUMBER(SEARCH('F-VTA'!$F$30,Tabla11[[#This Row],[Cuenta]],1))</f>
        <v>1</v>
      </c>
      <c r="AL1005" t="b">
        <f>+ISNUMBER(SEARCH('F-VTA'!$F$31,Tabla11[[#This Row],[Cuenta]],1))</f>
        <v>1</v>
      </c>
      <c r="AM1005" t="b">
        <f>+ISNUMBER(SEARCH('F-VTA'!$F$32,Tabla11[[#This Row],[Cuenta]],1))</f>
        <v>1</v>
      </c>
      <c r="AN1005" t="b">
        <f>+ISNUMBER(SEARCH('F-VTA'!$F$33,Tabla11[[#This Row],[Cuenta]],1))</f>
        <v>1</v>
      </c>
      <c r="AO1005" t="b">
        <f>+ISNUMBER(SEARCH('F-VTA'!$F$34,Tabla11[[#This Row],[Cuenta]],1))</f>
        <v>1</v>
      </c>
      <c r="AP1005" t="b">
        <f>+ISNUMBER(SEARCH('F-VTA'!$F$35,Tabla11[[#This Row],[Cuenta]],1))</f>
        <v>1</v>
      </c>
      <c r="AQ1005" t="b">
        <f>+ISNUMBER(SEARCH('F-VTA'!$F$36,Tabla11[[#This Row],[Cuenta]],1))</f>
        <v>1</v>
      </c>
      <c r="AR1005" t="b">
        <f>+ISNUMBER(SEARCH(#REF!,Tabla11[[#This Row],[Cuenta]],1))</f>
        <v>0</v>
      </c>
      <c r="AS1005" t="b">
        <f>+ISNUMBER(SEARCH(#REF!,Tabla11[[#This Row],[Cuenta]],1))</f>
        <v>0</v>
      </c>
      <c r="AT1005" t="b">
        <f>+ISNUMBER(SEARCH(#REF!,Tabla11[[#This Row],[Cuenta]],1))</f>
        <v>0</v>
      </c>
      <c r="AU1005" t="b">
        <f>+ISNUMBER(SEARCH('Conc. Ban.1'!$I$9,Tabla11[[#This Row],[Cuenta]],1))</f>
        <v>0</v>
      </c>
      <c r="AV1005" t="b">
        <f>+ISNUMBER(SEARCH(CompConta!$F$21,Tabla11[[#This Row],[Cuenta]],1))</f>
        <v>1</v>
      </c>
      <c r="AW1005" t="b">
        <f>+ISNUMBER(SEARCH(CompConta!$F$22,Tabla11[[#This Row],[Cuenta]],1))</f>
        <v>1</v>
      </c>
      <c r="AX1005" t="b">
        <f>+ISNUMBER(SEARCH(CompConta!$F$23,Tabla11[[#This Row],[Cuenta]],1))</f>
        <v>1</v>
      </c>
      <c r="AY1005" t="b">
        <f>+ISNUMBER(SEARCH(CompConta!$F$24,Tabla11[[#This Row],[Cuenta]],1))</f>
        <v>1</v>
      </c>
      <c r="AZ1005" t="b">
        <f>+ISNUMBER(SEARCH(CompConta!$F$25,Tabla11[[#This Row],[Cuenta]],1))</f>
        <v>1</v>
      </c>
      <c r="BA1005" t="b">
        <f>+ISNUMBER(SEARCH(CompConta!$F$26,Tabla11[[#This Row],[Cuenta]],1))</f>
        <v>1</v>
      </c>
      <c r="BB1005" t="b">
        <f>+ISNUMBER(SEARCH(CompConta!$F$27,Tabla11[[#This Row],[Cuenta]],1))</f>
        <v>1</v>
      </c>
      <c r="BC1005" t="b">
        <f>+ISNUMBER(SEARCH(CompConta!$F$28,Tabla11[[#This Row],[Cuenta]],1))</f>
        <v>1</v>
      </c>
      <c r="BD1005" t="b">
        <f>+ISNUMBER(SEARCH(CompConta!$F$29,Tabla11[[#This Row],[Cuenta]],1))</f>
        <v>1</v>
      </c>
      <c r="BE1005" t="b">
        <f>+ISNUMBER(SEARCH(CompConta!$F$30,Tabla11[[#This Row],[Cuenta]],1))</f>
        <v>1</v>
      </c>
      <c r="BF1005" t="b">
        <f>+ISNUMBER(SEARCH('PAGO Compras'!$E$11,Tabla11[[#This Row],[Cuenta]],1))</f>
        <v>1</v>
      </c>
      <c r="BG1005" t="b">
        <f>+ISNUMBER(SEARCH(#REF!,Tabla11[[#This Row],[Cuenta]],1))</f>
        <v>0</v>
      </c>
      <c r="BH1005" t="b">
        <f>+ISNUMBER(SEARCH(#REF!,Tabla11[[#This Row],[Cuenta]],1))</f>
        <v>0</v>
      </c>
      <c r="BI1005" t="b">
        <f>+ISNUMBER(SEARCH(#REF!,Tabla11[[#This Row],[Cuenta]],1))</f>
        <v>0</v>
      </c>
      <c r="BJ1005" t="b">
        <f>+ISNUMBER(SEARCH(#REF!,Tabla11[[#This Row],[Cuenta]],1))</f>
        <v>0</v>
      </c>
      <c r="BS1005" t="str">
        <v>5220 ARRENDAMIENTOS</v>
      </c>
      <c r="BT1005" t="str">
        <v>5220 ARRENDAMIENTOS</v>
      </c>
      <c r="BU1005" t="str">
        <v>5220 ARRENDAMIENTOS</v>
      </c>
      <c r="BV1005" t="str">
        <v>5220 ARRENDAMIENTOS</v>
      </c>
      <c r="BZ1005" t="str">
        <v>5220 ARRENDAMIENTOS</v>
      </c>
      <c r="CA1005" t="str">
        <v>5220 ARRENDAMIENTOS</v>
      </c>
      <c r="CB1005" t="str">
        <v>5220 ARRENDAMIENTOS</v>
      </c>
      <c r="CC1005" t="str">
        <v>5220 ARRENDAMIENTOS</v>
      </c>
      <c r="CD1005" t="str">
        <v>5220 ARRENDAMIENTOS</v>
      </c>
      <c r="CE1005" t="str">
        <v>5220 ARRENDAMIENTOS</v>
      </c>
      <c r="CS1005" s="141" t="str">
        <v>5220 ARRENDAMIENTOS</v>
      </c>
      <c r="CT1005" s="141" t="str">
        <v>5220 ARRENDAMIENTOS</v>
      </c>
      <c r="CU1005" s="141" t="str">
        <v>5220 ARRENDAMIENTOS</v>
      </c>
      <c r="CV1005" s="141" t="str">
        <v>5220 ARRENDAMIENTOS</v>
      </c>
      <c r="CW1005" s="141" t="str">
        <v>5220 ARRENDAMIENTOS</v>
      </c>
      <c r="CX1005" s="141" t="str">
        <v>5220 ARRENDAMIENTOS</v>
      </c>
      <c r="CY1005" s="141" t="str">
        <v>5220 ARRENDAMIENTOS</v>
      </c>
      <c r="CZ1005" s="141" t="str">
        <v>5220 ARRENDAMIENTOS</v>
      </c>
      <c r="DA1005" s="141" t="str">
        <v>5220 ARRENDAMIENTOS</v>
      </c>
      <c r="DF1005" t="str">
        <v>5220 ARRENDAMIENTOS</v>
      </c>
      <c r="DG1005" t="str">
        <v>5220 ARRENDAMIENTOS</v>
      </c>
      <c r="DH1005" t="str">
        <v>5220 ARRENDAMIENTOS</v>
      </c>
      <c r="DI1005" t="str">
        <v>5220 ARRENDAMIENTOS</v>
      </c>
      <c r="DJ1005" t="str">
        <v>5220 ARRENDAMIENTOS</v>
      </c>
      <c r="DK1005" t="str">
        <v>5220 ARRENDAMIENTOS</v>
      </c>
      <c r="DL1005" t="str">
        <v>5220 ARRENDAMIENTOS</v>
      </c>
      <c r="DM1005" t="str">
        <v>5220 ARRENDAMIENTOS</v>
      </c>
      <c r="DN1005" t="str">
        <v>5220 ARRENDAMIENTOS</v>
      </c>
      <c r="DO1005" t="str">
        <v>5220 ARRENDAMIENTOS</v>
      </c>
      <c r="DP1005" t="str">
        <v>5220 ARRENDAMIENTOS</v>
      </c>
    </row>
    <row r="1006" spans="4:120" ht="12.75">
      <c r="D1006" s="7">
        <v>522005</v>
      </c>
      <c r="E1006" s="6" t="s">
        <v>223</v>
      </c>
      <c r="F1006" s="5">
        <v>4</v>
      </c>
      <c r="G1006" s="34" t="s">
        <v>830</v>
      </c>
      <c r="H1006" s="8" t="s">
        <v>32</v>
      </c>
      <c r="I1006" t="b">
        <f>+ISNUMBER(SEARCH('F-COMPRA'!$F$28,Tabla11[[#This Row],[Cuenta]],1))</f>
        <v>1</v>
      </c>
      <c r="J1006" t="b">
        <f>+ISNUMBER(SEARCH('F-COMPRA'!$F$29,Tabla11[[#This Row],[Cuenta]],1))</f>
        <v>1</v>
      </c>
      <c r="K1006" t="b">
        <f>+ISNUMBER(SEARCH('F-COMPRA'!$F$30,Tabla11[[#This Row],[Cuenta]],1))</f>
        <v>1</v>
      </c>
      <c r="L1006" t="b">
        <f>+ISNUMBER(SEARCH('F-COMPRA'!$F$31,Tabla11[[#This Row],[Cuenta]],1))</f>
        <v>1</v>
      </c>
      <c r="M1006" t="b">
        <f>+ISNUMBER(SEARCH('F-COMPRA'!$G$25,Tabla11[[#This Row],[Cuenta]],1))</f>
        <v>0</v>
      </c>
      <c r="N1006" t="b">
        <f>+ISNUMBER(SEARCH(#REF!,Tabla11[[#This Row],[Cuenta]],1))</f>
        <v>0</v>
      </c>
      <c r="O1006" t="b">
        <f>+ISNUMBER(SEARCH(#REF!,Tabla11[[#This Row],[Cuenta]],1))</f>
        <v>0</v>
      </c>
      <c r="P1006" t="b">
        <f>+ISNUMBER(SEARCH('F-COMPRA'!$F$32,Tabla11[[#This Row],[Cuenta]],1))</f>
        <v>1</v>
      </c>
      <c r="Q1006" t="b">
        <f>+ISNUMBER(SEARCH('F-COMPRA'!$F$33,Tabla11[[#This Row],[Cuenta]],1))</f>
        <v>1</v>
      </c>
      <c r="R1006" t="b">
        <f>+ISNUMBER(SEARCH('F-COMPRA'!$F$34,Tabla11[[#This Row],[Cuenta]],1))</f>
        <v>1</v>
      </c>
      <c r="S1006" t="b">
        <f>+ISNUMBER(SEARCH('F-COMPRA'!$F$35,Tabla11[[#This Row],[Cuenta]],1))</f>
        <v>1</v>
      </c>
      <c r="T1006" t="b">
        <f>+ISNUMBER(SEARCH('F-COMPRA'!$F$36,Tabla11[[#This Row],[Cuenta]],1))</f>
        <v>1</v>
      </c>
      <c r="U1006" t="b">
        <f>+ISNUMBER(SEARCH('F-COMPRA'!$F$37,Tabla11[[#This Row],[Cuenta]],1))</f>
        <v>1</v>
      </c>
      <c r="V1006" t="b">
        <f>+ISNUMBER(SEARCH(#REF!,Tabla11[[#This Row],[Cuenta]],1))</f>
        <v>0</v>
      </c>
      <c r="W1006" t="b">
        <f>+ISNUMBER(SEARCH('F-COMPRA'!#REF!,Tabla11[[#This Row],[Cuenta]],1))</f>
        <v>0</v>
      </c>
      <c r="X1006" t="b">
        <f>+ISNUMBER(SEARCH('F-COMPRA'!#REF!,Tabla11[[#This Row],[Cuenta]],1))</f>
        <v>0</v>
      </c>
      <c r="Y1006" t="b">
        <f>+ISNUMBER(SEARCH('F-COMPRA'!#REF!,Tabla11[[#This Row],[Cuenta]],1))</f>
        <v>0</v>
      </c>
      <c r="Z1006" t="b">
        <f>+ISNUMBER(SEARCH('F-COMPRA'!#REF!,Tabla11[[#This Row],[Cuenta]],1))</f>
        <v>0</v>
      </c>
      <c r="AA1006" t="b">
        <f>+ISNUMBER(SEARCH('F-COMPRA'!#REF!,Tabla11[[#This Row],[Cuenta]],1))</f>
        <v>0</v>
      </c>
      <c r="AB1006" t="b">
        <f>+ISNUMBER(SEARCH('F-COMPRA'!#REF!,Tabla11[[#This Row],[Cuenta]],1))</f>
        <v>0</v>
      </c>
      <c r="AC1006" t="b">
        <f>+ISNUMBER(SEARCH('F-COMPRA'!#REF!,Tabla11[[#This Row],[Cuenta]],1))</f>
        <v>0</v>
      </c>
      <c r="AD1006" t="b">
        <f>+ISNUMBER(SEARCH('F-COMPRA'!#REF!,Tabla11[[#This Row],[Cuenta]],1))</f>
        <v>0</v>
      </c>
      <c r="AE1006" t="b">
        <f>+ISNUMBER(SEARCH('F-COMPRA'!#REF!,Tabla11[[#This Row],[Cuenta]],1))</f>
        <v>0</v>
      </c>
      <c r="AF1006" t="b">
        <f>+ISNUMBER(SEARCH('F-VTA'!$G$23,Tabla11[[#This Row],[Cuenta]],1))</f>
        <v>0</v>
      </c>
      <c r="AG1006" t="b">
        <f>+ISNUMBER(SEARCH('F-VTA'!$G$24,Tabla11[[#This Row],[Cuenta]],1))</f>
        <v>0</v>
      </c>
      <c r="AH1006" t="b">
        <f>+ISNUMBER(SEARCH('F-VTA'!$G$25,Tabla11[[#This Row],[Cuenta]],1))</f>
        <v>0</v>
      </c>
      <c r="AI1006" t="b">
        <f>+ISNUMBER(SEARCH('F-VTA'!$F$28,Tabla11[[#This Row],[Cuenta]],1))</f>
        <v>1</v>
      </c>
      <c r="AJ1006" t="b">
        <f>+ISNUMBER(SEARCH('F-VTA'!$F$29,Tabla11[[#This Row],[Cuenta]],1))</f>
        <v>1</v>
      </c>
      <c r="AK1006" t="b">
        <f>+ISNUMBER(SEARCH('F-VTA'!$F$30,Tabla11[[#This Row],[Cuenta]],1))</f>
        <v>1</v>
      </c>
      <c r="AL1006" t="b">
        <f>+ISNUMBER(SEARCH('F-VTA'!$F$31,Tabla11[[#This Row],[Cuenta]],1))</f>
        <v>1</v>
      </c>
      <c r="AM1006" t="b">
        <f>+ISNUMBER(SEARCH('F-VTA'!$F$32,Tabla11[[#This Row],[Cuenta]],1))</f>
        <v>1</v>
      </c>
      <c r="AN1006" t="b">
        <f>+ISNUMBER(SEARCH('F-VTA'!$F$33,Tabla11[[#This Row],[Cuenta]],1))</f>
        <v>1</v>
      </c>
      <c r="AO1006" t="b">
        <f>+ISNUMBER(SEARCH('F-VTA'!$F$34,Tabla11[[#This Row],[Cuenta]],1))</f>
        <v>1</v>
      </c>
      <c r="AP1006" t="b">
        <f>+ISNUMBER(SEARCH('F-VTA'!$F$35,Tabla11[[#This Row],[Cuenta]],1))</f>
        <v>1</v>
      </c>
      <c r="AQ1006" t="b">
        <f>+ISNUMBER(SEARCH('F-VTA'!$F$36,Tabla11[[#This Row],[Cuenta]],1))</f>
        <v>1</v>
      </c>
      <c r="AR1006" t="b">
        <f>+ISNUMBER(SEARCH(#REF!,Tabla11[[#This Row],[Cuenta]],1))</f>
        <v>0</v>
      </c>
      <c r="AS1006" t="b">
        <f>+ISNUMBER(SEARCH(#REF!,Tabla11[[#This Row],[Cuenta]],1))</f>
        <v>0</v>
      </c>
      <c r="AT1006" t="b">
        <f>+ISNUMBER(SEARCH(#REF!,Tabla11[[#This Row],[Cuenta]],1))</f>
        <v>0</v>
      </c>
      <c r="AU1006" t="b">
        <f>+ISNUMBER(SEARCH('Conc. Ban.1'!$I$9,Tabla11[[#This Row],[Cuenta]],1))</f>
        <v>0</v>
      </c>
      <c r="AV1006" t="b">
        <f>+ISNUMBER(SEARCH(CompConta!$F$21,Tabla11[[#This Row],[Cuenta]],1))</f>
        <v>1</v>
      </c>
      <c r="AW1006" t="b">
        <f>+ISNUMBER(SEARCH(CompConta!$F$22,Tabla11[[#This Row],[Cuenta]],1))</f>
        <v>1</v>
      </c>
      <c r="AX1006" t="b">
        <f>+ISNUMBER(SEARCH(CompConta!$F$23,Tabla11[[#This Row],[Cuenta]],1))</f>
        <v>1</v>
      </c>
      <c r="AY1006" t="b">
        <f>+ISNUMBER(SEARCH(CompConta!$F$24,Tabla11[[#This Row],[Cuenta]],1))</f>
        <v>1</v>
      </c>
      <c r="AZ1006" t="b">
        <f>+ISNUMBER(SEARCH(CompConta!$F$25,Tabla11[[#This Row],[Cuenta]],1))</f>
        <v>1</v>
      </c>
      <c r="BA1006" t="b">
        <f>+ISNUMBER(SEARCH(CompConta!$F$26,Tabla11[[#This Row],[Cuenta]],1))</f>
        <v>1</v>
      </c>
      <c r="BB1006" t="b">
        <f>+ISNUMBER(SEARCH(CompConta!$F$27,Tabla11[[#This Row],[Cuenta]],1))</f>
        <v>1</v>
      </c>
      <c r="BC1006" t="b">
        <f>+ISNUMBER(SEARCH(CompConta!$F$28,Tabla11[[#This Row],[Cuenta]],1))</f>
        <v>1</v>
      </c>
      <c r="BD1006" t="b">
        <f>+ISNUMBER(SEARCH(CompConta!$F$29,Tabla11[[#This Row],[Cuenta]],1))</f>
        <v>1</v>
      </c>
      <c r="BE1006" t="b">
        <f>+ISNUMBER(SEARCH(CompConta!$F$30,Tabla11[[#This Row],[Cuenta]],1))</f>
        <v>1</v>
      </c>
      <c r="BF1006" t="b">
        <f>+ISNUMBER(SEARCH('PAGO Compras'!$E$11,Tabla11[[#This Row],[Cuenta]],1))</f>
        <v>1</v>
      </c>
      <c r="BG1006" t="b">
        <f>+ISNUMBER(SEARCH(#REF!,Tabla11[[#This Row],[Cuenta]],1))</f>
        <v>0</v>
      </c>
      <c r="BH1006" t="b">
        <f>+ISNUMBER(SEARCH(#REF!,Tabla11[[#This Row],[Cuenta]],1))</f>
        <v>0</v>
      </c>
      <c r="BI1006" t="b">
        <f>+ISNUMBER(SEARCH(#REF!,Tabla11[[#This Row],[Cuenta]],1))</f>
        <v>0</v>
      </c>
      <c r="BJ1006" t="b">
        <f>+ISNUMBER(SEARCH(#REF!,Tabla11[[#This Row],[Cuenta]],1))</f>
        <v>0</v>
      </c>
      <c r="BS1006" t="str">
        <v>522005 Terrenos</v>
      </c>
      <c r="BT1006" t="str">
        <v>522005 Terrenos</v>
      </c>
      <c r="BU1006" t="str">
        <v>522005 Terrenos</v>
      </c>
      <c r="BV1006" t="str">
        <v>522005 Terrenos</v>
      </c>
      <c r="BZ1006" t="str">
        <v>522005 Terrenos</v>
      </c>
      <c r="CA1006" t="str">
        <v>522005 Terrenos</v>
      </c>
      <c r="CB1006" t="str">
        <v>522005 Terrenos</v>
      </c>
      <c r="CC1006" t="str">
        <v>522005 Terrenos</v>
      </c>
      <c r="CD1006" t="str">
        <v>522005 Terrenos</v>
      </c>
      <c r="CE1006" t="str">
        <v>522005 Terrenos</v>
      </c>
      <c r="CS1006" s="141" t="str">
        <v>522005 Terrenos</v>
      </c>
      <c r="CT1006" s="141" t="str">
        <v>522005 Terrenos</v>
      </c>
      <c r="CU1006" s="141" t="str">
        <v>522005 Terrenos</v>
      </c>
      <c r="CV1006" s="141" t="str">
        <v>522005 Terrenos</v>
      </c>
      <c r="CW1006" s="141" t="str">
        <v>522005 Terrenos</v>
      </c>
      <c r="CX1006" s="141" t="str">
        <v>522005 Terrenos</v>
      </c>
      <c r="CY1006" s="141" t="str">
        <v>522005 Terrenos</v>
      </c>
      <c r="CZ1006" s="141" t="str">
        <v>522005 Terrenos</v>
      </c>
      <c r="DA1006" s="141" t="str">
        <v>522005 Terrenos</v>
      </c>
      <c r="DF1006" t="str">
        <v>522005 Terrenos</v>
      </c>
      <c r="DG1006" t="str">
        <v>522005 Terrenos</v>
      </c>
      <c r="DH1006" t="str">
        <v>522005 Terrenos</v>
      </c>
      <c r="DI1006" t="str">
        <v>522005 Terrenos</v>
      </c>
      <c r="DJ1006" t="str">
        <v>522005 Terrenos</v>
      </c>
      <c r="DK1006" t="str">
        <v>522005 Terrenos</v>
      </c>
      <c r="DL1006" t="str">
        <v>522005 Terrenos</v>
      </c>
      <c r="DM1006" t="str">
        <v>522005 Terrenos</v>
      </c>
      <c r="DN1006" t="str">
        <v>522005 Terrenos</v>
      </c>
      <c r="DO1006" t="str">
        <v>522005 Terrenos</v>
      </c>
      <c r="DP1006" t="str">
        <v>522005 Terrenos</v>
      </c>
    </row>
    <row r="1007" spans="4:120" ht="12.75">
      <c r="D1007" s="7">
        <v>522010</v>
      </c>
      <c r="E1007" s="6" t="s">
        <v>121</v>
      </c>
      <c r="F1007" s="5">
        <v>4</v>
      </c>
      <c r="G1007" s="34" t="s">
        <v>830</v>
      </c>
      <c r="H1007" s="8" t="s">
        <v>32</v>
      </c>
      <c r="I1007" t="b">
        <f>+ISNUMBER(SEARCH('F-COMPRA'!$F$28,Tabla11[[#This Row],[Cuenta]],1))</f>
        <v>1</v>
      </c>
      <c r="J1007" t="b">
        <f>+ISNUMBER(SEARCH('F-COMPRA'!$F$29,Tabla11[[#This Row],[Cuenta]],1))</f>
        <v>1</v>
      </c>
      <c r="K1007" t="b">
        <f>+ISNUMBER(SEARCH('F-COMPRA'!$F$30,Tabla11[[#This Row],[Cuenta]],1))</f>
        <v>1</v>
      </c>
      <c r="L1007" t="b">
        <f>+ISNUMBER(SEARCH('F-COMPRA'!$F$31,Tabla11[[#This Row],[Cuenta]],1))</f>
        <v>1</v>
      </c>
      <c r="M1007" t="b">
        <f>+ISNUMBER(SEARCH('F-COMPRA'!$G$25,Tabla11[[#This Row],[Cuenta]],1))</f>
        <v>0</v>
      </c>
      <c r="N1007" t="b">
        <f>+ISNUMBER(SEARCH(#REF!,Tabla11[[#This Row],[Cuenta]],1))</f>
        <v>0</v>
      </c>
      <c r="O1007" t="b">
        <f>+ISNUMBER(SEARCH(#REF!,Tabla11[[#This Row],[Cuenta]],1))</f>
        <v>0</v>
      </c>
      <c r="P1007" t="b">
        <f>+ISNUMBER(SEARCH('F-COMPRA'!$F$32,Tabla11[[#This Row],[Cuenta]],1))</f>
        <v>1</v>
      </c>
      <c r="Q1007" t="b">
        <f>+ISNUMBER(SEARCH('F-COMPRA'!$F$33,Tabla11[[#This Row],[Cuenta]],1))</f>
        <v>1</v>
      </c>
      <c r="R1007" t="b">
        <f>+ISNUMBER(SEARCH('F-COMPRA'!$F$34,Tabla11[[#This Row],[Cuenta]],1))</f>
        <v>1</v>
      </c>
      <c r="S1007" t="b">
        <f>+ISNUMBER(SEARCH('F-COMPRA'!$F$35,Tabla11[[#This Row],[Cuenta]],1))</f>
        <v>1</v>
      </c>
      <c r="T1007" t="b">
        <f>+ISNUMBER(SEARCH('F-COMPRA'!$F$36,Tabla11[[#This Row],[Cuenta]],1))</f>
        <v>1</v>
      </c>
      <c r="U1007" t="b">
        <f>+ISNUMBER(SEARCH('F-COMPRA'!$F$37,Tabla11[[#This Row],[Cuenta]],1))</f>
        <v>1</v>
      </c>
      <c r="V1007" t="b">
        <f>+ISNUMBER(SEARCH(#REF!,Tabla11[[#This Row],[Cuenta]],1))</f>
        <v>0</v>
      </c>
      <c r="W1007" t="b">
        <f>+ISNUMBER(SEARCH('F-COMPRA'!#REF!,Tabla11[[#This Row],[Cuenta]],1))</f>
        <v>0</v>
      </c>
      <c r="X1007" t="b">
        <f>+ISNUMBER(SEARCH('F-COMPRA'!#REF!,Tabla11[[#This Row],[Cuenta]],1))</f>
        <v>0</v>
      </c>
      <c r="Y1007" t="b">
        <f>+ISNUMBER(SEARCH('F-COMPRA'!#REF!,Tabla11[[#This Row],[Cuenta]],1))</f>
        <v>0</v>
      </c>
      <c r="Z1007" t="b">
        <f>+ISNUMBER(SEARCH('F-COMPRA'!#REF!,Tabla11[[#This Row],[Cuenta]],1))</f>
        <v>0</v>
      </c>
      <c r="AA1007" t="b">
        <f>+ISNUMBER(SEARCH('F-COMPRA'!#REF!,Tabla11[[#This Row],[Cuenta]],1))</f>
        <v>0</v>
      </c>
      <c r="AB1007" t="b">
        <f>+ISNUMBER(SEARCH('F-COMPRA'!#REF!,Tabla11[[#This Row],[Cuenta]],1))</f>
        <v>0</v>
      </c>
      <c r="AC1007" t="b">
        <f>+ISNUMBER(SEARCH('F-COMPRA'!#REF!,Tabla11[[#This Row],[Cuenta]],1))</f>
        <v>0</v>
      </c>
      <c r="AD1007" t="b">
        <f>+ISNUMBER(SEARCH('F-COMPRA'!#REF!,Tabla11[[#This Row],[Cuenta]],1))</f>
        <v>0</v>
      </c>
      <c r="AE1007" t="b">
        <f>+ISNUMBER(SEARCH('F-COMPRA'!#REF!,Tabla11[[#This Row],[Cuenta]],1))</f>
        <v>0</v>
      </c>
      <c r="AF1007" t="b">
        <f>+ISNUMBER(SEARCH('F-VTA'!$G$23,Tabla11[[#This Row],[Cuenta]],1))</f>
        <v>0</v>
      </c>
      <c r="AG1007" t="b">
        <f>+ISNUMBER(SEARCH('F-VTA'!$G$24,Tabla11[[#This Row],[Cuenta]],1))</f>
        <v>0</v>
      </c>
      <c r="AH1007" t="b">
        <f>+ISNUMBER(SEARCH('F-VTA'!$G$25,Tabla11[[#This Row],[Cuenta]],1))</f>
        <v>0</v>
      </c>
      <c r="AI1007" t="b">
        <f>+ISNUMBER(SEARCH('F-VTA'!$F$28,Tabla11[[#This Row],[Cuenta]],1))</f>
        <v>1</v>
      </c>
      <c r="AJ1007" t="b">
        <f>+ISNUMBER(SEARCH('F-VTA'!$F$29,Tabla11[[#This Row],[Cuenta]],1))</f>
        <v>1</v>
      </c>
      <c r="AK1007" t="b">
        <f>+ISNUMBER(SEARCH('F-VTA'!$F$30,Tabla11[[#This Row],[Cuenta]],1))</f>
        <v>1</v>
      </c>
      <c r="AL1007" t="b">
        <f>+ISNUMBER(SEARCH('F-VTA'!$F$31,Tabla11[[#This Row],[Cuenta]],1))</f>
        <v>1</v>
      </c>
      <c r="AM1007" t="b">
        <f>+ISNUMBER(SEARCH('F-VTA'!$F$32,Tabla11[[#This Row],[Cuenta]],1))</f>
        <v>1</v>
      </c>
      <c r="AN1007" t="b">
        <f>+ISNUMBER(SEARCH('F-VTA'!$F$33,Tabla11[[#This Row],[Cuenta]],1))</f>
        <v>1</v>
      </c>
      <c r="AO1007" t="b">
        <f>+ISNUMBER(SEARCH('F-VTA'!$F$34,Tabla11[[#This Row],[Cuenta]],1))</f>
        <v>1</v>
      </c>
      <c r="AP1007" t="b">
        <f>+ISNUMBER(SEARCH('F-VTA'!$F$35,Tabla11[[#This Row],[Cuenta]],1))</f>
        <v>1</v>
      </c>
      <c r="AQ1007" t="b">
        <f>+ISNUMBER(SEARCH('F-VTA'!$F$36,Tabla11[[#This Row],[Cuenta]],1))</f>
        <v>1</v>
      </c>
      <c r="AR1007" t="b">
        <f>+ISNUMBER(SEARCH(#REF!,Tabla11[[#This Row],[Cuenta]],1))</f>
        <v>0</v>
      </c>
      <c r="AS1007" t="b">
        <f>+ISNUMBER(SEARCH(#REF!,Tabla11[[#This Row],[Cuenta]],1))</f>
        <v>0</v>
      </c>
      <c r="AT1007" t="b">
        <f>+ISNUMBER(SEARCH(#REF!,Tabla11[[#This Row],[Cuenta]],1))</f>
        <v>0</v>
      </c>
      <c r="AU1007" t="b">
        <f>+ISNUMBER(SEARCH('Conc. Ban.1'!$I$9,Tabla11[[#This Row],[Cuenta]],1))</f>
        <v>0</v>
      </c>
      <c r="AV1007" t="b">
        <f>+ISNUMBER(SEARCH(CompConta!$F$21,Tabla11[[#This Row],[Cuenta]],1))</f>
        <v>1</v>
      </c>
      <c r="AW1007" t="b">
        <f>+ISNUMBER(SEARCH(CompConta!$F$22,Tabla11[[#This Row],[Cuenta]],1))</f>
        <v>1</v>
      </c>
      <c r="AX1007" t="b">
        <f>+ISNUMBER(SEARCH(CompConta!$F$23,Tabla11[[#This Row],[Cuenta]],1))</f>
        <v>1</v>
      </c>
      <c r="AY1007" t="b">
        <f>+ISNUMBER(SEARCH(CompConta!$F$24,Tabla11[[#This Row],[Cuenta]],1))</f>
        <v>1</v>
      </c>
      <c r="AZ1007" t="b">
        <f>+ISNUMBER(SEARCH(CompConta!$F$25,Tabla11[[#This Row],[Cuenta]],1))</f>
        <v>1</v>
      </c>
      <c r="BA1007" t="b">
        <f>+ISNUMBER(SEARCH(CompConta!$F$26,Tabla11[[#This Row],[Cuenta]],1))</f>
        <v>1</v>
      </c>
      <c r="BB1007" t="b">
        <f>+ISNUMBER(SEARCH(CompConta!$F$27,Tabla11[[#This Row],[Cuenta]],1))</f>
        <v>1</v>
      </c>
      <c r="BC1007" t="b">
        <f>+ISNUMBER(SEARCH(CompConta!$F$28,Tabla11[[#This Row],[Cuenta]],1))</f>
        <v>1</v>
      </c>
      <c r="BD1007" t="b">
        <f>+ISNUMBER(SEARCH(CompConta!$F$29,Tabla11[[#This Row],[Cuenta]],1))</f>
        <v>1</v>
      </c>
      <c r="BE1007" t="b">
        <f>+ISNUMBER(SEARCH(CompConta!$F$30,Tabla11[[#This Row],[Cuenta]],1))</f>
        <v>1</v>
      </c>
      <c r="BF1007" t="b">
        <f>+ISNUMBER(SEARCH('PAGO Compras'!$E$11,Tabla11[[#This Row],[Cuenta]],1))</f>
        <v>1</v>
      </c>
      <c r="BG1007" t="b">
        <f>+ISNUMBER(SEARCH(#REF!,Tabla11[[#This Row],[Cuenta]],1))</f>
        <v>0</v>
      </c>
      <c r="BH1007" t="b">
        <f>+ISNUMBER(SEARCH(#REF!,Tabla11[[#This Row],[Cuenta]],1))</f>
        <v>0</v>
      </c>
      <c r="BI1007" t="b">
        <f>+ISNUMBER(SEARCH(#REF!,Tabla11[[#This Row],[Cuenta]],1))</f>
        <v>0</v>
      </c>
      <c r="BJ1007" t="b">
        <f>+ISNUMBER(SEARCH(#REF!,Tabla11[[#This Row],[Cuenta]],1))</f>
        <v>0</v>
      </c>
      <c r="BS1007" t="str">
        <v>522010 Construcciones y edificaciones</v>
      </c>
      <c r="BT1007" t="str">
        <v>522010 Construcciones y edificaciones</v>
      </c>
      <c r="BU1007" t="str">
        <v>522010 Construcciones y edificaciones</v>
      </c>
      <c r="BV1007" t="str">
        <v>522010 Construcciones y edificaciones</v>
      </c>
      <c r="BZ1007" t="str">
        <v>522010 Construcciones y edificaciones</v>
      </c>
      <c r="CA1007" t="str">
        <v>522010 Construcciones y edificaciones</v>
      </c>
      <c r="CB1007" t="str">
        <v>522010 Construcciones y edificaciones</v>
      </c>
      <c r="CC1007" t="str">
        <v>522010 Construcciones y edificaciones</v>
      </c>
      <c r="CD1007" t="str">
        <v>522010 Construcciones y edificaciones</v>
      </c>
      <c r="CE1007" t="str">
        <v>522010 Construcciones y edificaciones</v>
      </c>
      <c r="CS1007" s="141" t="str">
        <v>522010 Construcciones y edificaciones</v>
      </c>
      <c r="CT1007" s="141" t="str">
        <v>522010 Construcciones y edificaciones</v>
      </c>
      <c r="CU1007" s="141" t="str">
        <v>522010 Construcciones y edificaciones</v>
      </c>
      <c r="CV1007" s="141" t="str">
        <v>522010 Construcciones y edificaciones</v>
      </c>
      <c r="CW1007" s="141" t="str">
        <v>522010 Construcciones y edificaciones</v>
      </c>
      <c r="CX1007" s="141" t="str">
        <v>522010 Construcciones y edificaciones</v>
      </c>
      <c r="CY1007" s="141" t="str">
        <v>522010 Construcciones y edificaciones</v>
      </c>
      <c r="CZ1007" s="141" t="str">
        <v>522010 Construcciones y edificaciones</v>
      </c>
      <c r="DA1007" s="141" t="str">
        <v>522010 Construcciones y edificaciones</v>
      </c>
      <c r="DF1007" t="str">
        <v>522010 Construcciones y edificaciones</v>
      </c>
      <c r="DG1007" t="str">
        <v>522010 Construcciones y edificaciones</v>
      </c>
      <c r="DH1007" t="str">
        <v>522010 Construcciones y edificaciones</v>
      </c>
      <c r="DI1007" t="str">
        <v>522010 Construcciones y edificaciones</v>
      </c>
      <c r="DJ1007" t="str">
        <v>522010 Construcciones y edificaciones</v>
      </c>
      <c r="DK1007" t="str">
        <v>522010 Construcciones y edificaciones</v>
      </c>
      <c r="DL1007" t="str">
        <v>522010 Construcciones y edificaciones</v>
      </c>
      <c r="DM1007" t="str">
        <v>522010 Construcciones y edificaciones</v>
      </c>
      <c r="DN1007" t="str">
        <v>522010 Construcciones y edificaciones</v>
      </c>
      <c r="DO1007" t="str">
        <v>522010 Construcciones y edificaciones</v>
      </c>
      <c r="DP1007" t="str">
        <v>522010 Construcciones y edificaciones</v>
      </c>
    </row>
    <row r="1008" spans="4:120" ht="12.75">
      <c r="D1008" s="7">
        <v>522015</v>
      </c>
      <c r="E1008" s="6" t="s">
        <v>128</v>
      </c>
      <c r="F1008" s="5">
        <v>4</v>
      </c>
      <c r="G1008" s="34" t="s">
        <v>830</v>
      </c>
      <c r="H1008" s="8" t="s">
        <v>32</v>
      </c>
      <c r="I1008" t="b">
        <f>+ISNUMBER(SEARCH('F-COMPRA'!$F$28,Tabla11[[#This Row],[Cuenta]],1))</f>
        <v>1</v>
      </c>
      <c r="J1008" t="b">
        <f>+ISNUMBER(SEARCH('F-COMPRA'!$F$29,Tabla11[[#This Row],[Cuenta]],1))</f>
        <v>1</v>
      </c>
      <c r="K1008" t="b">
        <f>+ISNUMBER(SEARCH('F-COMPRA'!$F$30,Tabla11[[#This Row],[Cuenta]],1))</f>
        <v>1</v>
      </c>
      <c r="L1008" t="b">
        <f>+ISNUMBER(SEARCH('F-COMPRA'!$F$31,Tabla11[[#This Row],[Cuenta]],1))</f>
        <v>1</v>
      </c>
      <c r="M1008" t="b">
        <f>+ISNUMBER(SEARCH('F-COMPRA'!$G$25,Tabla11[[#This Row],[Cuenta]],1))</f>
        <v>0</v>
      </c>
      <c r="N1008" t="b">
        <f>+ISNUMBER(SEARCH(#REF!,Tabla11[[#This Row],[Cuenta]],1))</f>
        <v>0</v>
      </c>
      <c r="O1008" t="b">
        <f>+ISNUMBER(SEARCH(#REF!,Tabla11[[#This Row],[Cuenta]],1))</f>
        <v>0</v>
      </c>
      <c r="P1008" t="b">
        <f>+ISNUMBER(SEARCH('F-COMPRA'!$F$32,Tabla11[[#This Row],[Cuenta]],1))</f>
        <v>1</v>
      </c>
      <c r="Q1008" t="b">
        <f>+ISNUMBER(SEARCH('F-COMPRA'!$F$33,Tabla11[[#This Row],[Cuenta]],1))</f>
        <v>1</v>
      </c>
      <c r="R1008" t="b">
        <f>+ISNUMBER(SEARCH('F-COMPRA'!$F$34,Tabla11[[#This Row],[Cuenta]],1))</f>
        <v>1</v>
      </c>
      <c r="S1008" t="b">
        <f>+ISNUMBER(SEARCH('F-COMPRA'!$F$35,Tabla11[[#This Row],[Cuenta]],1))</f>
        <v>1</v>
      </c>
      <c r="T1008" t="b">
        <f>+ISNUMBER(SEARCH('F-COMPRA'!$F$36,Tabla11[[#This Row],[Cuenta]],1))</f>
        <v>1</v>
      </c>
      <c r="U1008" t="b">
        <f>+ISNUMBER(SEARCH('F-COMPRA'!$F$37,Tabla11[[#This Row],[Cuenta]],1))</f>
        <v>1</v>
      </c>
      <c r="V1008" t="b">
        <f>+ISNUMBER(SEARCH(#REF!,Tabla11[[#This Row],[Cuenta]],1))</f>
        <v>0</v>
      </c>
      <c r="W1008" t="b">
        <f>+ISNUMBER(SEARCH('F-COMPRA'!#REF!,Tabla11[[#This Row],[Cuenta]],1))</f>
        <v>0</v>
      </c>
      <c r="X1008" t="b">
        <f>+ISNUMBER(SEARCH('F-COMPRA'!#REF!,Tabla11[[#This Row],[Cuenta]],1))</f>
        <v>0</v>
      </c>
      <c r="Y1008" t="b">
        <f>+ISNUMBER(SEARCH('F-COMPRA'!#REF!,Tabla11[[#This Row],[Cuenta]],1))</f>
        <v>0</v>
      </c>
      <c r="Z1008" t="b">
        <f>+ISNUMBER(SEARCH('F-COMPRA'!#REF!,Tabla11[[#This Row],[Cuenta]],1))</f>
        <v>0</v>
      </c>
      <c r="AA1008" t="b">
        <f>+ISNUMBER(SEARCH('F-COMPRA'!#REF!,Tabla11[[#This Row],[Cuenta]],1))</f>
        <v>0</v>
      </c>
      <c r="AB1008" t="b">
        <f>+ISNUMBER(SEARCH('F-COMPRA'!#REF!,Tabla11[[#This Row],[Cuenta]],1))</f>
        <v>0</v>
      </c>
      <c r="AC1008" t="b">
        <f>+ISNUMBER(SEARCH('F-COMPRA'!#REF!,Tabla11[[#This Row],[Cuenta]],1))</f>
        <v>0</v>
      </c>
      <c r="AD1008" t="b">
        <f>+ISNUMBER(SEARCH('F-COMPRA'!#REF!,Tabla11[[#This Row],[Cuenta]],1))</f>
        <v>0</v>
      </c>
      <c r="AE1008" t="b">
        <f>+ISNUMBER(SEARCH('F-COMPRA'!#REF!,Tabla11[[#This Row],[Cuenta]],1))</f>
        <v>0</v>
      </c>
      <c r="AF1008" t="b">
        <f>+ISNUMBER(SEARCH('F-VTA'!$G$23,Tabla11[[#This Row],[Cuenta]],1))</f>
        <v>0</v>
      </c>
      <c r="AG1008" t="b">
        <f>+ISNUMBER(SEARCH('F-VTA'!$G$24,Tabla11[[#This Row],[Cuenta]],1))</f>
        <v>0</v>
      </c>
      <c r="AH1008" t="b">
        <f>+ISNUMBER(SEARCH('F-VTA'!$G$25,Tabla11[[#This Row],[Cuenta]],1))</f>
        <v>0</v>
      </c>
      <c r="AI1008" t="b">
        <f>+ISNUMBER(SEARCH('F-VTA'!$F$28,Tabla11[[#This Row],[Cuenta]],1))</f>
        <v>1</v>
      </c>
      <c r="AJ1008" t="b">
        <f>+ISNUMBER(SEARCH('F-VTA'!$F$29,Tabla11[[#This Row],[Cuenta]],1))</f>
        <v>1</v>
      </c>
      <c r="AK1008" t="b">
        <f>+ISNUMBER(SEARCH('F-VTA'!$F$30,Tabla11[[#This Row],[Cuenta]],1))</f>
        <v>1</v>
      </c>
      <c r="AL1008" t="b">
        <f>+ISNUMBER(SEARCH('F-VTA'!$F$31,Tabla11[[#This Row],[Cuenta]],1))</f>
        <v>1</v>
      </c>
      <c r="AM1008" t="b">
        <f>+ISNUMBER(SEARCH('F-VTA'!$F$32,Tabla11[[#This Row],[Cuenta]],1))</f>
        <v>1</v>
      </c>
      <c r="AN1008" t="b">
        <f>+ISNUMBER(SEARCH('F-VTA'!$F$33,Tabla11[[#This Row],[Cuenta]],1))</f>
        <v>1</v>
      </c>
      <c r="AO1008" t="b">
        <f>+ISNUMBER(SEARCH('F-VTA'!$F$34,Tabla11[[#This Row],[Cuenta]],1))</f>
        <v>1</v>
      </c>
      <c r="AP1008" t="b">
        <f>+ISNUMBER(SEARCH('F-VTA'!$F$35,Tabla11[[#This Row],[Cuenta]],1))</f>
        <v>1</v>
      </c>
      <c r="AQ1008" t="b">
        <f>+ISNUMBER(SEARCH('F-VTA'!$F$36,Tabla11[[#This Row],[Cuenta]],1))</f>
        <v>1</v>
      </c>
      <c r="AR1008" t="b">
        <f>+ISNUMBER(SEARCH(#REF!,Tabla11[[#This Row],[Cuenta]],1))</f>
        <v>0</v>
      </c>
      <c r="AS1008" t="b">
        <f>+ISNUMBER(SEARCH(#REF!,Tabla11[[#This Row],[Cuenta]],1))</f>
        <v>0</v>
      </c>
      <c r="AT1008" t="b">
        <f>+ISNUMBER(SEARCH(#REF!,Tabla11[[#This Row],[Cuenta]],1))</f>
        <v>0</v>
      </c>
      <c r="AU1008" t="b">
        <f>+ISNUMBER(SEARCH('Conc. Ban.1'!$I$9,Tabla11[[#This Row],[Cuenta]],1))</f>
        <v>0</v>
      </c>
      <c r="AV1008" t="b">
        <f>+ISNUMBER(SEARCH(CompConta!$F$21,Tabla11[[#This Row],[Cuenta]],1))</f>
        <v>1</v>
      </c>
      <c r="AW1008" t="b">
        <f>+ISNUMBER(SEARCH(CompConta!$F$22,Tabla11[[#This Row],[Cuenta]],1))</f>
        <v>1</v>
      </c>
      <c r="AX1008" t="b">
        <f>+ISNUMBER(SEARCH(CompConta!$F$23,Tabla11[[#This Row],[Cuenta]],1))</f>
        <v>1</v>
      </c>
      <c r="AY1008" t="b">
        <f>+ISNUMBER(SEARCH(CompConta!$F$24,Tabla11[[#This Row],[Cuenta]],1))</f>
        <v>1</v>
      </c>
      <c r="AZ1008" t="b">
        <f>+ISNUMBER(SEARCH(CompConta!$F$25,Tabla11[[#This Row],[Cuenta]],1))</f>
        <v>1</v>
      </c>
      <c r="BA1008" t="b">
        <f>+ISNUMBER(SEARCH(CompConta!$F$26,Tabla11[[#This Row],[Cuenta]],1))</f>
        <v>1</v>
      </c>
      <c r="BB1008" t="b">
        <f>+ISNUMBER(SEARCH(CompConta!$F$27,Tabla11[[#This Row],[Cuenta]],1))</f>
        <v>1</v>
      </c>
      <c r="BC1008" t="b">
        <f>+ISNUMBER(SEARCH(CompConta!$F$28,Tabla11[[#This Row],[Cuenta]],1))</f>
        <v>1</v>
      </c>
      <c r="BD1008" t="b">
        <f>+ISNUMBER(SEARCH(CompConta!$F$29,Tabla11[[#This Row],[Cuenta]],1))</f>
        <v>1</v>
      </c>
      <c r="BE1008" t="b">
        <f>+ISNUMBER(SEARCH(CompConta!$F$30,Tabla11[[#This Row],[Cuenta]],1))</f>
        <v>1</v>
      </c>
      <c r="BF1008" t="b">
        <f>+ISNUMBER(SEARCH('PAGO Compras'!$E$11,Tabla11[[#This Row],[Cuenta]],1))</f>
        <v>1</v>
      </c>
      <c r="BG1008" t="b">
        <f>+ISNUMBER(SEARCH(#REF!,Tabla11[[#This Row],[Cuenta]],1))</f>
        <v>0</v>
      </c>
      <c r="BH1008" t="b">
        <f>+ISNUMBER(SEARCH(#REF!,Tabla11[[#This Row],[Cuenta]],1))</f>
        <v>0</v>
      </c>
      <c r="BI1008" t="b">
        <f>+ISNUMBER(SEARCH(#REF!,Tabla11[[#This Row],[Cuenta]],1))</f>
        <v>0</v>
      </c>
      <c r="BJ1008" t="b">
        <f>+ISNUMBER(SEARCH(#REF!,Tabla11[[#This Row],[Cuenta]],1))</f>
        <v>0</v>
      </c>
      <c r="BS1008" t="str">
        <v>522015 Maquinaria y equipo</v>
      </c>
      <c r="BT1008" t="str">
        <v>522015 Maquinaria y equipo</v>
      </c>
      <c r="BU1008" t="str">
        <v>522015 Maquinaria y equipo</v>
      </c>
      <c r="BV1008" t="str">
        <v>522015 Maquinaria y equipo</v>
      </c>
      <c r="BZ1008" t="str">
        <v>522015 Maquinaria y equipo</v>
      </c>
      <c r="CA1008" t="str">
        <v>522015 Maquinaria y equipo</v>
      </c>
      <c r="CB1008" t="str">
        <v>522015 Maquinaria y equipo</v>
      </c>
      <c r="CC1008" t="str">
        <v>522015 Maquinaria y equipo</v>
      </c>
      <c r="CD1008" t="str">
        <v>522015 Maquinaria y equipo</v>
      </c>
      <c r="CE1008" t="str">
        <v>522015 Maquinaria y equipo</v>
      </c>
      <c r="CS1008" s="141" t="str">
        <v>522015 Maquinaria y equipo</v>
      </c>
      <c r="CT1008" s="141" t="str">
        <v>522015 Maquinaria y equipo</v>
      </c>
      <c r="CU1008" s="141" t="str">
        <v>522015 Maquinaria y equipo</v>
      </c>
      <c r="CV1008" s="141" t="str">
        <v>522015 Maquinaria y equipo</v>
      </c>
      <c r="CW1008" s="141" t="str">
        <v>522015 Maquinaria y equipo</v>
      </c>
      <c r="CX1008" s="141" t="str">
        <v>522015 Maquinaria y equipo</v>
      </c>
      <c r="CY1008" s="141" t="str">
        <v>522015 Maquinaria y equipo</v>
      </c>
      <c r="CZ1008" s="141" t="str">
        <v>522015 Maquinaria y equipo</v>
      </c>
      <c r="DA1008" s="141" t="str">
        <v>522015 Maquinaria y equipo</v>
      </c>
      <c r="DF1008" t="str">
        <v>522015 Maquinaria y equipo</v>
      </c>
      <c r="DG1008" t="str">
        <v>522015 Maquinaria y equipo</v>
      </c>
      <c r="DH1008" t="str">
        <v>522015 Maquinaria y equipo</v>
      </c>
      <c r="DI1008" t="str">
        <v>522015 Maquinaria y equipo</v>
      </c>
      <c r="DJ1008" t="str">
        <v>522015 Maquinaria y equipo</v>
      </c>
      <c r="DK1008" t="str">
        <v>522015 Maquinaria y equipo</v>
      </c>
      <c r="DL1008" t="str">
        <v>522015 Maquinaria y equipo</v>
      </c>
      <c r="DM1008" t="str">
        <v>522015 Maquinaria y equipo</v>
      </c>
      <c r="DN1008" t="str">
        <v>522015 Maquinaria y equipo</v>
      </c>
      <c r="DO1008" t="str">
        <v>522015 Maquinaria y equipo</v>
      </c>
      <c r="DP1008" t="str">
        <v>522015 Maquinaria y equipo</v>
      </c>
    </row>
    <row r="1009" spans="4:120" ht="12.75">
      <c r="D1009" s="7">
        <v>522020</v>
      </c>
      <c r="E1009" s="6" t="s">
        <v>129</v>
      </c>
      <c r="F1009" s="5">
        <v>4</v>
      </c>
      <c r="G1009" s="34" t="s">
        <v>830</v>
      </c>
      <c r="H1009" s="8" t="s">
        <v>32</v>
      </c>
      <c r="I1009" t="b">
        <f>+ISNUMBER(SEARCH('F-COMPRA'!$F$28,Tabla11[[#This Row],[Cuenta]],1))</f>
        <v>1</v>
      </c>
      <c r="J1009" t="b">
        <f>+ISNUMBER(SEARCH('F-COMPRA'!$F$29,Tabla11[[#This Row],[Cuenta]],1))</f>
        <v>1</v>
      </c>
      <c r="K1009" t="b">
        <f>+ISNUMBER(SEARCH('F-COMPRA'!$F$30,Tabla11[[#This Row],[Cuenta]],1))</f>
        <v>1</v>
      </c>
      <c r="L1009" t="b">
        <f>+ISNUMBER(SEARCH('F-COMPRA'!$F$31,Tabla11[[#This Row],[Cuenta]],1))</f>
        <v>1</v>
      </c>
      <c r="M1009" t="b">
        <f>+ISNUMBER(SEARCH('F-COMPRA'!$G$25,Tabla11[[#This Row],[Cuenta]],1))</f>
        <v>0</v>
      </c>
      <c r="N1009" t="b">
        <f>+ISNUMBER(SEARCH(#REF!,Tabla11[[#This Row],[Cuenta]],1))</f>
        <v>0</v>
      </c>
      <c r="O1009" t="b">
        <f>+ISNUMBER(SEARCH(#REF!,Tabla11[[#This Row],[Cuenta]],1))</f>
        <v>0</v>
      </c>
      <c r="P1009" t="b">
        <f>+ISNUMBER(SEARCH('F-COMPRA'!$F$32,Tabla11[[#This Row],[Cuenta]],1))</f>
        <v>1</v>
      </c>
      <c r="Q1009" t="b">
        <f>+ISNUMBER(SEARCH('F-COMPRA'!$F$33,Tabla11[[#This Row],[Cuenta]],1))</f>
        <v>1</v>
      </c>
      <c r="R1009" t="b">
        <f>+ISNUMBER(SEARCH('F-COMPRA'!$F$34,Tabla11[[#This Row],[Cuenta]],1))</f>
        <v>1</v>
      </c>
      <c r="S1009" t="b">
        <f>+ISNUMBER(SEARCH('F-COMPRA'!$F$35,Tabla11[[#This Row],[Cuenta]],1))</f>
        <v>1</v>
      </c>
      <c r="T1009" t="b">
        <f>+ISNUMBER(SEARCH('F-COMPRA'!$F$36,Tabla11[[#This Row],[Cuenta]],1))</f>
        <v>1</v>
      </c>
      <c r="U1009" t="b">
        <f>+ISNUMBER(SEARCH('F-COMPRA'!$F$37,Tabla11[[#This Row],[Cuenta]],1))</f>
        <v>1</v>
      </c>
      <c r="V1009" t="b">
        <f>+ISNUMBER(SEARCH(#REF!,Tabla11[[#This Row],[Cuenta]],1))</f>
        <v>0</v>
      </c>
      <c r="W1009" t="b">
        <f>+ISNUMBER(SEARCH('F-COMPRA'!#REF!,Tabla11[[#This Row],[Cuenta]],1))</f>
        <v>0</v>
      </c>
      <c r="X1009" t="b">
        <f>+ISNUMBER(SEARCH('F-COMPRA'!#REF!,Tabla11[[#This Row],[Cuenta]],1))</f>
        <v>0</v>
      </c>
      <c r="Y1009" t="b">
        <f>+ISNUMBER(SEARCH('F-COMPRA'!#REF!,Tabla11[[#This Row],[Cuenta]],1))</f>
        <v>0</v>
      </c>
      <c r="Z1009" t="b">
        <f>+ISNUMBER(SEARCH('F-COMPRA'!#REF!,Tabla11[[#This Row],[Cuenta]],1))</f>
        <v>0</v>
      </c>
      <c r="AA1009" t="b">
        <f>+ISNUMBER(SEARCH('F-COMPRA'!#REF!,Tabla11[[#This Row],[Cuenta]],1))</f>
        <v>0</v>
      </c>
      <c r="AB1009" t="b">
        <f>+ISNUMBER(SEARCH('F-COMPRA'!#REF!,Tabla11[[#This Row],[Cuenta]],1))</f>
        <v>0</v>
      </c>
      <c r="AC1009" t="b">
        <f>+ISNUMBER(SEARCH('F-COMPRA'!#REF!,Tabla11[[#This Row],[Cuenta]],1))</f>
        <v>0</v>
      </c>
      <c r="AD1009" t="b">
        <f>+ISNUMBER(SEARCH('F-COMPRA'!#REF!,Tabla11[[#This Row],[Cuenta]],1))</f>
        <v>0</v>
      </c>
      <c r="AE1009" t="b">
        <f>+ISNUMBER(SEARCH('F-COMPRA'!#REF!,Tabla11[[#This Row],[Cuenta]],1))</f>
        <v>0</v>
      </c>
      <c r="AF1009" t="b">
        <f>+ISNUMBER(SEARCH('F-VTA'!$G$23,Tabla11[[#This Row],[Cuenta]],1))</f>
        <v>0</v>
      </c>
      <c r="AG1009" t="b">
        <f>+ISNUMBER(SEARCH('F-VTA'!$G$24,Tabla11[[#This Row],[Cuenta]],1))</f>
        <v>0</v>
      </c>
      <c r="AH1009" t="b">
        <f>+ISNUMBER(SEARCH('F-VTA'!$G$25,Tabla11[[#This Row],[Cuenta]],1))</f>
        <v>0</v>
      </c>
      <c r="AI1009" t="b">
        <f>+ISNUMBER(SEARCH('F-VTA'!$F$28,Tabla11[[#This Row],[Cuenta]],1))</f>
        <v>1</v>
      </c>
      <c r="AJ1009" t="b">
        <f>+ISNUMBER(SEARCH('F-VTA'!$F$29,Tabla11[[#This Row],[Cuenta]],1))</f>
        <v>1</v>
      </c>
      <c r="AK1009" t="b">
        <f>+ISNUMBER(SEARCH('F-VTA'!$F$30,Tabla11[[#This Row],[Cuenta]],1))</f>
        <v>1</v>
      </c>
      <c r="AL1009" t="b">
        <f>+ISNUMBER(SEARCH('F-VTA'!$F$31,Tabla11[[#This Row],[Cuenta]],1))</f>
        <v>1</v>
      </c>
      <c r="AM1009" t="b">
        <f>+ISNUMBER(SEARCH('F-VTA'!$F$32,Tabla11[[#This Row],[Cuenta]],1))</f>
        <v>1</v>
      </c>
      <c r="AN1009" t="b">
        <f>+ISNUMBER(SEARCH('F-VTA'!$F$33,Tabla11[[#This Row],[Cuenta]],1))</f>
        <v>1</v>
      </c>
      <c r="AO1009" t="b">
        <f>+ISNUMBER(SEARCH('F-VTA'!$F$34,Tabla11[[#This Row],[Cuenta]],1))</f>
        <v>1</v>
      </c>
      <c r="AP1009" t="b">
        <f>+ISNUMBER(SEARCH('F-VTA'!$F$35,Tabla11[[#This Row],[Cuenta]],1))</f>
        <v>1</v>
      </c>
      <c r="AQ1009" t="b">
        <f>+ISNUMBER(SEARCH('F-VTA'!$F$36,Tabla11[[#This Row],[Cuenta]],1))</f>
        <v>1</v>
      </c>
      <c r="AR1009" t="b">
        <f>+ISNUMBER(SEARCH(#REF!,Tabla11[[#This Row],[Cuenta]],1))</f>
        <v>0</v>
      </c>
      <c r="AS1009" t="b">
        <f>+ISNUMBER(SEARCH(#REF!,Tabla11[[#This Row],[Cuenta]],1))</f>
        <v>0</v>
      </c>
      <c r="AT1009" t="b">
        <f>+ISNUMBER(SEARCH(#REF!,Tabla11[[#This Row],[Cuenta]],1))</f>
        <v>0</v>
      </c>
      <c r="AU1009" t="b">
        <f>+ISNUMBER(SEARCH('Conc. Ban.1'!$I$9,Tabla11[[#This Row],[Cuenta]],1))</f>
        <v>0</v>
      </c>
      <c r="AV1009" t="b">
        <f>+ISNUMBER(SEARCH(CompConta!$F$21,Tabla11[[#This Row],[Cuenta]],1))</f>
        <v>1</v>
      </c>
      <c r="AW1009" t="b">
        <f>+ISNUMBER(SEARCH(CompConta!$F$22,Tabla11[[#This Row],[Cuenta]],1))</f>
        <v>1</v>
      </c>
      <c r="AX1009" t="b">
        <f>+ISNUMBER(SEARCH(CompConta!$F$23,Tabla11[[#This Row],[Cuenta]],1))</f>
        <v>1</v>
      </c>
      <c r="AY1009" t="b">
        <f>+ISNUMBER(SEARCH(CompConta!$F$24,Tabla11[[#This Row],[Cuenta]],1))</f>
        <v>1</v>
      </c>
      <c r="AZ1009" t="b">
        <f>+ISNUMBER(SEARCH(CompConta!$F$25,Tabla11[[#This Row],[Cuenta]],1))</f>
        <v>1</v>
      </c>
      <c r="BA1009" t="b">
        <f>+ISNUMBER(SEARCH(CompConta!$F$26,Tabla11[[#This Row],[Cuenta]],1))</f>
        <v>1</v>
      </c>
      <c r="BB1009" t="b">
        <f>+ISNUMBER(SEARCH(CompConta!$F$27,Tabla11[[#This Row],[Cuenta]],1))</f>
        <v>1</v>
      </c>
      <c r="BC1009" t="b">
        <f>+ISNUMBER(SEARCH(CompConta!$F$28,Tabla11[[#This Row],[Cuenta]],1))</f>
        <v>1</v>
      </c>
      <c r="BD1009" t="b">
        <f>+ISNUMBER(SEARCH(CompConta!$F$29,Tabla11[[#This Row],[Cuenta]],1))</f>
        <v>1</v>
      </c>
      <c r="BE1009" t="b">
        <f>+ISNUMBER(SEARCH(CompConta!$F$30,Tabla11[[#This Row],[Cuenta]],1))</f>
        <v>1</v>
      </c>
      <c r="BF1009" t="b">
        <f>+ISNUMBER(SEARCH('PAGO Compras'!$E$11,Tabla11[[#This Row],[Cuenta]],1))</f>
        <v>1</v>
      </c>
      <c r="BG1009" t="b">
        <f>+ISNUMBER(SEARCH(#REF!,Tabla11[[#This Row],[Cuenta]],1))</f>
        <v>0</v>
      </c>
      <c r="BH1009" t="b">
        <f>+ISNUMBER(SEARCH(#REF!,Tabla11[[#This Row],[Cuenta]],1))</f>
        <v>0</v>
      </c>
      <c r="BI1009" t="b">
        <f>+ISNUMBER(SEARCH(#REF!,Tabla11[[#This Row],[Cuenta]],1))</f>
        <v>0</v>
      </c>
      <c r="BJ1009" t="b">
        <f>+ISNUMBER(SEARCH(#REF!,Tabla11[[#This Row],[Cuenta]],1))</f>
        <v>0</v>
      </c>
      <c r="BS1009" t="str">
        <v>522020 Equipo de oficina</v>
      </c>
      <c r="BT1009" t="str">
        <v>522020 Equipo de oficina</v>
      </c>
      <c r="BU1009" t="str">
        <v>522020 Equipo de oficina</v>
      </c>
      <c r="BV1009" t="str">
        <v>522020 Equipo de oficina</v>
      </c>
      <c r="BZ1009" t="str">
        <v>522020 Equipo de oficina</v>
      </c>
      <c r="CA1009" t="str">
        <v>522020 Equipo de oficina</v>
      </c>
      <c r="CB1009" t="str">
        <v>522020 Equipo de oficina</v>
      </c>
      <c r="CC1009" t="str">
        <v>522020 Equipo de oficina</v>
      </c>
      <c r="CD1009" t="str">
        <v>522020 Equipo de oficina</v>
      </c>
      <c r="CE1009" t="str">
        <v>522020 Equipo de oficina</v>
      </c>
      <c r="CS1009" s="141" t="str">
        <v>522020 Equipo de oficina</v>
      </c>
      <c r="CT1009" s="141" t="str">
        <v>522020 Equipo de oficina</v>
      </c>
      <c r="CU1009" s="141" t="str">
        <v>522020 Equipo de oficina</v>
      </c>
      <c r="CV1009" s="141" t="str">
        <v>522020 Equipo de oficina</v>
      </c>
      <c r="CW1009" s="141" t="str">
        <v>522020 Equipo de oficina</v>
      </c>
      <c r="CX1009" s="141" t="str">
        <v>522020 Equipo de oficina</v>
      </c>
      <c r="CY1009" s="141" t="str">
        <v>522020 Equipo de oficina</v>
      </c>
      <c r="CZ1009" s="141" t="str">
        <v>522020 Equipo de oficina</v>
      </c>
      <c r="DA1009" s="141" t="str">
        <v>522020 Equipo de oficina</v>
      </c>
      <c r="DF1009" t="str">
        <v>522020 Equipo de oficina</v>
      </c>
      <c r="DG1009" t="str">
        <v>522020 Equipo de oficina</v>
      </c>
      <c r="DH1009" t="str">
        <v>522020 Equipo de oficina</v>
      </c>
      <c r="DI1009" t="str">
        <v>522020 Equipo de oficina</v>
      </c>
      <c r="DJ1009" t="str">
        <v>522020 Equipo de oficina</v>
      </c>
      <c r="DK1009" t="str">
        <v>522020 Equipo de oficina</v>
      </c>
      <c r="DL1009" t="str">
        <v>522020 Equipo de oficina</v>
      </c>
      <c r="DM1009" t="str">
        <v>522020 Equipo de oficina</v>
      </c>
      <c r="DN1009" t="str">
        <v>522020 Equipo de oficina</v>
      </c>
      <c r="DO1009" t="str">
        <v>522020 Equipo de oficina</v>
      </c>
      <c r="DP1009" t="str">
        <v>522020 Equipo de oficina</v>
      </c>
    </row>
    <row r="1010" spans="4:120" ht="12.75">
      <c r="D1010" s="7">
        <v>522025</v>
      </c>
      <c r="E1010" s="6" t="s">
        <v>130</v>
      </c>
      <c r="F1010" s="5">
        <v>4</v>
      </c>
      <c r="G1010" s="34" t="s">
        <v>830</v>
      </c>
      <c r="H1010" s="8" t="s">
        <v>32</v>
      </c>
      <c r="I1010" t="b">
        <f>+ISNUMBER(SEARCH('F-COMPRA'!$F$28,Tabla11[[#This Row],[Cuenta]],1))</f>
        <v>1</v>
      </c>
      <c r="J1010" t="b">
        <f>+ISNUMBER(SEARCH('F-COMPRA'!$F$29,Tabla11[[#This Row],[Cuenta]],1))</f>
        <v>1</v>
      </c>
      <c r="K1010" t="b">
        <f>+ISNUMBER(SEARCH('F-COMPRA'!$F$30,Tabla11[[#This Row],[Cuenta]],1))</f>
        <v>1</v>
      </c>
      <c r="L1010" t="b">
        <f>+ISNUMBER(SEARCH('F-COMPRA'!$F$31,Tabla11[[#This Row],[Cuenta]],1))</f>
        <v>1</v>
      </c>
      <c r="M1010" t="b">
        <f>+ISNUMBER(SEARCH('F-COMPRA'!$G$25,Tabla11[[#This Row],[Cuenta]],1))</f>
        <v>0</v>
      </c>
      <c r="N1010" t="b">
        <f>+ISNUMBER(SEARCH(#REF!,Tabla11[[#This Row],[Cuenta]],1))</f>
        <v>0</v>
      </c>
      <c r="O1010" t="b">
        <f>+ISNUMBER(SEARCH(#REF!,Tabla11[[#This Row],[Cuenta]],1))</f>
        <v>0</v>
      </c>
      <c r="P1010" t="b">
        <f>+ISNUMBER(SEARCH('F-COMPRA'!$F$32,Tabla11[[#This Row],[Cuenta]],1))</f>
        <v>1</v>
      </c>
      <c r="Q1010" t="b">
        <f>+ISNUMBER(SEARCH('F-COMPRA'!$F$33,Tabla11[[#This Row],[Cuenta]],1))</f>
        <v>1</v>
      </c>
      <c r="R1010" t="b">
        <f>+ISNUMBER(SEARCH('F-COMPRA'!$F$34,Tabla11[[#This Row],[Cuenta]],1))</f>
        <v>1</v>
      </c>
      <c r="S1010" t="b">
        <f>+ISNUMBER(SEARCH('F-COMPRA'!$F$35,Tabla11[[#This Row],[Cuenta]],1))</f>
        <v>1</v>
      </c>
      <c r="T1010" t="b">
        <f>+ISNUMBER(SEARCH('F-COMPRA'!$F$36,Tabla11[[#This Row],[Cuenta]],1))</f>
        <v>1</v>
      </c>
      <c r="U1010" t="b">
        <f>+ISNUMBER(SEARCH('F-COMPRA'!$F$37,Tabla11[[#This Row],[Cuenta]],1))</f>
        <v>1</v>
      </c>
      <c r="V1010" t="b">
        <f>+ISNUMBER(SEARCH(#REF!,Tabla11[[#This Row],[Cuenta]],1))</f>
        <v>0</v>
      </c>
      <c r="W1010" t="b">
        <f>+ISNUMBER(SEARCH('F-COMPRA'!#REF!,Tabla11[[#This Row],[Cuenta]],1))</f>
        <v>0</v>
      </c>
      <c r="X1010" t="b">
        <f>+ISNUMBER(SEARCH('F-COMPRA'!#REF!,Tabla11[[#This Row],[Cuenta]],1))</f>
        <v>0</v>
      </c>
      <c r="Y1010" t="b">
        <f>+ISNUMBER(SEARCH('F-COMPRA'!#REF!,Tabla11[[#This Row],[Cuenta]],1))</f>
        <v>0</v>
      </c>
      <c r="Z1010" t="b">
        <f>+ISNUMBER(SEARCH('F-COMPRA'!#REF!,Tabla11[[#This Row],[Cuenta]],1))</f>
        <v>0</v>
      </c>
      <c r="AA1010" t="b">
        <f>+ISNUMBER(SEARCH('F-COMPRA'!#REF!,Tabla11[[#This Row],[Cuenta]],1))</f>
        <v>0</v>
      </c>
      <c r="AB1010" t="b">
        <f>+ISNUMBER(SEARCH('F-COMPRA'!#REF!,Tabla11[[#This Row],[Cuenta]],1))</f>
        <v>0</v>
      </c>
      <c r="AC1010" t="b">
        <f>+ISNUMBER(SEARCH('F-COMPRA'!#REF!,Tabla11[[#This Row],[Cuenta]],1))</f>
        <v>0</v>
      </c>
      <c r="AD1010" t="b">
        <f>+ISNUMBER(SEARCH('F-COMPRA'!#REF!,Tabla11[[#This Row],[Cuenta]],1))</f>
        <v>0</v>
      </c>
      <c r="AE1010" t="b">
        <f>+ISNUMBER(SEARCH('F-COMPRA'!#REF!,Tabla11[[#This Row],[Cuenta]],1))</f>
        <v>0</v>
      </c>
      <c r="AF1010" t="b">
        <f>+ISNUMBER(SEARCH('F-VTA'!$G$23,Tabla11[[#This Row],[Cuenta]],1))</f>
        <v>0</v>
      </c>
      <c r="AG1010" t="b">
        <f>+ISNUMBER(SEARCH('F-VTA'!$G$24,Tabla11[[#This Row],[Cuenta]],1))</f>
        <v>0</v>
      </c>
      <c r="AH1010" t="b">
        <f>+ISNUMBER(SEARCH('F-VTA'!$G$25,Tabla11[[#This Row],[Cuenta]],1))</f>
        <v>0</v>
      </c>
      <c r="AI1010" t="b">
        <f>+ISNUMBER(SEARCH('F-VTA'!$F$28,Tabla11[[#This Row],[Cuenta]],1))</f>
        <v>1</v>
      </c>
      <c r="AJ1010" t="b">
        <f>+ISNUMBER(SEARCH('F-VTA'!$F$29,Tabla11[[#This Row],[Cuenta]],1))</f>
        <v>1</v>
      </c>
      <c r="AK1010" t="b">
        <f>+ISNUMBER(SEARCH('F-VTA'!$F$30,Tabla11[[#This Row],[Cuenta]],1))</f>
        <v>1</v>
      </c>
      <c r="AL1010" t="b">
        <f>+ISNUMBER(SEARCH('F-VTA'!$F$31,Tabla11[[#This Row],[Cuenta]],1))</f>
        <v>1</v>
      </c>
      <c r="AM1010" t="b">
        <f>+ISNUMBER(SEARCH('F-VTA'!$F$32,Tabla11[[#This Row],[Cuenta]],1))</f>
        <v>1</v>
      </c>
      <c r="AN1010" t="b">
        <f>+ISNUMBER(SEARCH('F-VTA'!$F$33,Tabla11[[#This Row],[Cuenta]],1))</f>
        <v>1</v>
      </c>
      <c r="AO1010" t="b">
        <f>+ISNUMBER(SEARCH('F-VTA'!$F$34,Tabla11[[#This Row],[Cuenta]],1))</f>
        <v>1</v>
      </c>
      <c r="AP1010" t="b">
        <f>+ISNUMBER(SEARCH('F-VTA'!$F$35,Tabla11[[#This Row],[Cuenta]],1))</f>
        <v>1</v>
      </c>
      <c r="AQ1010" t="b">
        <f>+ISNUMBER(SEARCH('F-VTA'!$F$36,Tabla11[[#This Row],[Cuenta]],1))</f>
        <v>1</v>
      </c>
      <c r="AR1010" t="b">
        <f>+ISNUMBER(SEARCH(#REF!,Tabla11[[#This Row],[Cuenta]],1))</f>
        <v>0</v>
      </c>
      <c r="AS1010" t="b">
        <f>+ISNUMBER(SEARCH(#REF!,Tabla11[[#This Row],[Cuenta]],1))</f>
        <v>0</v>
      </c>
      <c r="AT1010" t="b">
        <f>+ISNUMBER(SEARCH(#REF!,Tabla11[[#This Row],[Cuenta]],1))</f>
        <v>0</v>
      </c>
      <c r="AU1010" t="b">
        <f>+ISNUMBER(SEARCH('Conc. Ban.1'!$I$9,Tabla11[[#This Row],[Cuenta]],1))</f>
        <v>0</v>
      </c>
      <c r="AV1010" t="b">
        <f>+ISNUMBER(SEARCH(CompConta!$F$21,Tabla11[[#This Row],[Cuenta]],1))</f>
        <v>1</v>
      </c>
      <c r="AW1010" t="b">
        <f>+ISNUMBER(SEARCH(CompConta!$F$22,Tabla11[[#This Row],[Cuenta]],1))</f>
        <v>1</v>
      </c>
      <c r="AX1010" t="b">
        <f>+ISNUMBER(SEARCH(CompConta!$F$23,Tabla11[[#This Row],[Cuenta]],1))</f>
        <v>1</v>
      </c>
      <c r="AY1010" t="b">
        <f>+ISNUMBER(SEARCH(CompConta!$F$24,Tabla11[[#This Row],[Cuenta]],1))</f>
        <v>1</v>
      </c>
      <c r="AZ1010" t="b">
        <f>+ISNUMBER(SEARCH(CompConta!$F$25,Tabla11[[#This Row],[Cuenta]],1))</f>
        <v>1</v>
      </c>
      <c r="BA1010" t="b">
        <f>+ISNUMBER(SEARCH(CompConta!$F$26,Tabla11[[#This Row],[Cuenta]],1))</f>
        <v>1</v>
      </c>
      <c r="BB1010" t="b">
        <f>+ISNUMBER(SEARCH(CompConta!$F$27,Tabla11[[#This Row],[Cuenta]],1))</f>
        <v>1</v>
      </c>
      <c r="BC1010" t="b">
        <f>+ISNUMBER(SEARCH(CompConta!$F$28,Tabla11[[#This Row],[Cuenta]],1))</f>
        <v>1</v>
      </c>
      <c r="BD1010" t="b">
        <f>+ISNUMBER(SEARCH(CompConta!$F$29,Tabla11[[#This Row],[Cuenta]],1))</f>
        <v>1</v>
      </c>
      <c r="BE1010" t="b">
        <f>+ISNUMBER(SEARCH(CompConta!$F$30,Tabla11[[#This Row],[Cuenta]],1))</f>
        <v>1</v>
      </c>
      <c r="BF1010" t="b">
        <f>+ISNUMBER(SEARCH('PAGO Compras'!$E$11,Tabla11[[#This Row],[Cuenta]],1))</f>
        <v>1</v>
      </c>
      <c r="BG1010" t="b">
        <f>+ISNUMBER(SEARCH(#REF!,Tabla11[[#This Row],[Cuenta]],1))</f>
        <v>0</v>
      </c>
      <c r="BH1010" t="b">
        <f>+ISNUMBER(SEARCH(#REF!,Tabla11[[#This Row],[Cuenta]],1))</f>
        <v>0</v>
      </c>
      <c r="BI1010" t="b">
        <f>+ISNUMBER(SEARCH(#REF!,Tabla11[[#This Row],[Cuenta]],1))</f>
        <v>0</v>
      </c>
      <c r="BJ1010" t="b">
        <f>+ISNUMBER(SEARCH(#REF!,Tabla11[[#This Row],[Cuenta]],1))</f>
        <v>0</v>
      </c>
      <c r="BS1010" t="str">
        <v>522025 Equipo de computación y comunicación</v>
      </c>
      <c r="BT1010" t="str">
        <v>522025 Equipo de computación y comunicación</v>
      </c>
      <c r="BU1010" t="str">
        <v>522025 Equipo de computación y comunicación</v>
      </c>
      <c r="BV1010" t="str">
        <v>522025 Equipo de computación y comunicación</v>
      </c>
      <c r="BZ1010" t="str">
        <v>522025 Equipo de computación y comunicación</v>
      </c>
      <c r="CA1010" t="str">
        <v>522025 Equipo de computación y comunicación</v>
      </c>
      <c r="CB1010" t="str">
        <v>522025 Equipo de computación y comunicación</v>
      </c>
      <c r="CC1010" t="str">
        <v>522025 Equipo de computación y comunicación</v>
      </c>
      <c r="CD1010" t="str">
        <v>522025 Equipo de computación y comunicación</v>
      </c>
      <c r="CE1010" t="str">
        <v>522025 Equipo de computación y comunicación</v>
      </c>
      <c r="CS1010" s="141" t="str">
        <v>522025 Equipo de computación y comunicación</v>
      </c>
      <c r="CT1010" s="141" t="str">
        <v>522025 Equipo de computación y comunicación</v>
      </c>
      <c r="CU1010" s="141" t="str">
        <v>522025 Equipo de computación y comunicación</v>
      </c>
      <c r="CV1010" s="141" t="str">
        <v>522025 Equipo de computación y comunicación</v>
      </c>
      <c r="CW1010" s="141" t="str">
        <v>522025 Equipo de computación y comunicación</v>
      </c>
      <c r="CX1010" s="141" t="str">
        <v>522025 Equipo de computación y comunicación</v>
      </c>
      <c r="CY1010" s="141" t="str">
        <v>522025 Equipo de computación y comunicación</v>
      </c>
      <c r="CZ1010" s="141" t="str">
        <v>522025 Equipo de computación y comunicación</v>
      </c>
      <c r="DA1010" s="141" t="str">
        <v>522025 Equipo de computación y comunicación</v>
      </c>
      <c r="DF1010" t="str">
        <v>522025 Equipo de computación y comunicación</v>
      </c>
      <c r="DG1010" t="str">
        <v>522025 Equipo de computación y comunicación</v>
      </c>
      <c r="DH1010" t="str">
        <v>522025 Equipo de computación y comunicación</v>
      </c>
      <c r="DI1010" t="str">
        <v>522025 Equipo de computación y comunicación</v>
      </c>
      <c r="DJ1010" t="str">
        <v>522025 Equipo de computación y comunicación</v>
      </c>
      <c r="DK1010" t="str">
        <v>522025 Equipo de computación y comunicación</v>
      </c>
      <c r="DL1010" t="str">
        <v>522025 Equipo de computación y comunicación</v>
      </c>
      <c r="DM1010" t="str">
        <v>522025 Equipo de computación y comunicación</v>
      </c>
      <c r="DN1010" t="str">
        <v>522025 Equipo de computación y comunicación</v>
      </c>
      <c r="DO1010" t="str">
        <v>522025 Equipo de computación y comunicación</v>
      </c>
      <c r="DP1010" t="str">
        <v>522025 Equipo de computación y comunicación</v>
      </c>
    </row>
    <row r="1011" spans="4:120" ht="12.75">
      <c r="D1011" s="7">
        <v>522095</v>
      </c>
      <c r="E1011" s="6" t="s">
        <v>45</v>
      </c>
      <c r="F1011" s="5">
        <v>4</v>
      </c>
      <c r="G1011" s="34" t="s">
        <v>830</v>
      </c>
      <c r="H1011" s="8" t="s">
        <v>32</v>
      </c>
      <c r="I1011" t="b">
        <f>+ISNUMBER(SEARCH('F-COMPRA'!$F$28,Tabla11[[#This Row],[Cuenta]],1))</f>
        <v>1</v>
      </c>
      <c r="J1011" t="b">
        <f>+ISNUMBER(SEARCH('F-COMPRA'!$F$29,Tabla11[[#This Row],[Cuenta]],1))</f>
        <v>1</v>
      </c>
      <c r="K1011" t="b">
        <f>+ISNUMBER(SEARCH('F-COMPRA'!$F$30,Tabla11[[#This Row],[Cuenta]],1))</f>
        <v>1</v>
      </c>
      <c r="L1011" t="b">
        <f>+ISNUMBER(SEARCH('F-COMPRA'!$F$31,Tabla11[[#This Row],[Cuenta]],1))</f>
        <v>1</v>
      </c>
      <c r="M1011" t="b">
        <f>+ISNUMBER(SEARCH('F-COMPRA'!$G$25,Tabla11[[#This Row],[Cuenta]],1))</f>
        <v>0</v>
      </c>
      <c r="N1011" t="b">
        <f>+ISNUMBER(SEARCH(#REF!,Tabla11[[#This Row],[Cuenta]],1))</f>
        <v>0</v>
      </c>
      <c r="O1011" t="b">
        <f>+ISNUMBER(SEARCH(#REF!,Tabla11[[#This Row],[Cuenta]],1))</f>
        <v>0</v>
      </c>
      <c r="P1011" t="b">
        <f>+ISNUMBER(SEARCH('F-COMPRA'!$F$32,Tabla11[[#This Row],[Cuenta]],1))</f>
        <v>1</v>
      </c>
      <c r="Q1011" t="b">
        <f>+ISNUMBER(SEARCH('F-COMPRA'!$F$33,Tabla11[[#This Row],[Cuenta]],1))</f>
        <v>1</v>
      </c>
      <c r="R1011" t="b">
        <f>+ISNUMBER(SEARCH('F-COMPRA'!$F$34,Tabla11[[#This Row],[Cuenta]],1))</f>
        <v>1</v>
      </c>
      <c r="S1011" t="b">
        <f>+ISNUMBER(SEARCH('F-COMPRA'!$F$35,Tabla11[[#This Row],[Cuenta]],1))</f>
        <v>1</v>
      </c>
      <c r="T1011" t="b">
        <f>+ISNUMBER(SEARCH('F-COMPRA'!$F$36,Tabla11[[#This Row],[Cuenta]],1))</f>
        <v>1</v>
      </c>
      <c r="U1011" t="b">
        <f>+ISNUMBER(SEARCH('F-COMPRA'!$F$37,Tabla11[[#This Row],[Cuenta]],1))</f>
        <v>1</v>
      </c>
      <c r="V1011" t="b">
        <f>+ISNUMBER(SEARCH(#REF!,Tabla11[[#This Row],[Cuenta]],1))</f>
        <v>0</v>
      </c>
      <c r="W1011" t="b">
        <f>+ISNUMBER(SEARCH('F-COMPRA'!#REF!,Tabla11[[#This Row],[Cuenta]],1))</f>
        <v>0</v>
      </c>
      <c r="X1011" t="b">
        <f>+ISNUMBER(SEARCH('F-COMPRA'!#REF!,Tabla11[[#This Row],[Cuenta]],1))</f>
        <v>0</v>
      </c>
      <c r="Y1011" t="b">
        <f>+ISNUMBER(SEARCH('F-COMPRA'!#REF!,Tabla11[[#This Row],[Cuenta]],1))</f>
        <v>0</v>
      </c>
      <c r="Z1011" t="b">
        <f>+ISNUMBER(SEARCH('F-COMPRA'!#REF!,Tabla11[[#This Row],[Cuenta]],1))</f>
        <v>0</v>
      </c>
      <c r="AA1011" t="b">
        <f>+ISNUMBER(SEARCH('F-COMPRA'!#REF!,Tabla11[[#This Row],[Cuenta]],1))</f>
        <v>0</v>
      </c>
      <c r="AB1011" t="b">
        <f>+ISNUMBER(SEARCH('F-COMPRA'!#REF!,Tabla11[[#This Row],[Cuenta]],1))</f>
        <v>0</v>
      </c>
      <c r="AC1011" t="b">
        <f>+ISNUMBER(SEARCH('F-COMPRA'!#REF!,Tabla11[[#This Row],[Cuenta]],1))</f>
        <v>0</v>
      </c>
      <c r="AD1011" t="b">
        <f>+ISNUMBER(SEARCH('F-COMPRA'!#REF!,Tabla11[[#This Row],[Cuenta]],1))</f>
        <v>0</v>
      </c>
      <c r="AE1011" t="b">
        <f>+ISNUMBER(SEARCH('F-COMPRA'!#REF!,Tabla11[[#This Row],[Cuenta]],1))</f>
        <v>0</v>
      </c>
      <c r="AF1011" t="b">
        <f>+ISNUMBER(SEARCH('F-VTA'!$G$23,Tabla11[[#This Row],[Cuenta]],1))</f>
        <v>0</v>
      </c>
      <c r="AG1011" t="b">
        <f>+ISNUMBER(SEARCH('F-VTA'!$G$24,Tabla11[[#This Row],[Cuenta]],1))</f>
        <v>0</v>
      </c>
      <c r="AH1011" t="b">
        <f>+ISNUMBER(SEARCH('F-VTA'!$G$25,Tabla11[[#This Row],[Cuenta]],1))</f>
        <v>0</v>
      </c>
      <c r="AI1011" t="b">
        <f>+ISNUMBER(SEARCH('F-VTA'!$F$28,Tabla11[[#This Row],[Cuenta]],1))</f>
        <v>1</v>
      </c>
      <c r="AJ1011" t="b">
        <f>+ISNUMBER(SEARCH('F-VTA'!$F$29,Tabla11[[#This Row],[Cuenta]],1))</f>
        <v>1</v>
      </c>
      <c r="AK1011" t="b">
        <f>+ISNUMBER(SEARCH('F-VTA'!$F$30,Tabla11[[#This Row],[Cuenta]],1))</f>
        <v>1</v>
      </c>
      <c r="AL1011" t="b">
        <f>+ISNUMBER(SEARCH('F-VTA'!$F$31,Tabla11[[#This Row],[Cuenta]],1))</f>
        <v>1</v>
      </c>
      <c r="AM1011" t="b">
        <f>+ISNUMBER(SEARCH('F-VTA'!$F$32,Tabla11[[#This Row],[Cuenta]],1))</f>
        <v>1</v>
      </c>
      <c r="AN1011" t="b">
        <f>+ISNUMBER(SEARCH('F-VTA'!$F$33,Tabla11[[#This Row],[Cuenta]],1))</f>
        <v>1</v>
      </c>
      <c r="AO1011" t="b">
        <f>+ISNUMBER(SEARCH('F-VTA'!$F$34,Tabla11[[#This Row],[Cuenta]],1))</f>
        <v>1</v>
      </c>
      <c r="AP1011" t="b">
        <f>+ISNUMBER(SEARCH('F-VTA'!$F$35,Tabla11[[#This Row],[Cuenta]],1))</f>
        <v>1</v>
      </c>
      <c r="AQ1011" t="b">
        <f>+ISNUMBER(SEARCH('F-VTA'!$F$36,Tabla11[[#This Row],[Cuenta]],1))</f>
        <v>1</v>
      </c>
      <c r="AR1011" t="b">
        <f>+ISNUMBER(SEARCH(#REF!,Tabla11[[#This Row],[Cuenta]],1))</f>
        <v>0</v>
      </c>
      <c r="AS1011" t="b">
        <f>+ISNUMBER(SEARCH(#REF!,Tabla11[[#This Row],[Cuenta]],1))</f>
        <v>0</v>
      </c>
      <c r="AT1011" t="b">
        <f>+ISNUMBER(SEARCH(#REF!,Tabla11[[#This Row],[Cuenta]],1))</f>
        <v>0</v>
      </c>
      <c r="AU1011" t="b">
        <f>+ISNUMBER(SEARCH('Conc. Ban.1'!$I$9,Tabla11[[#This Row],[Cuenta]],1))</f>
        <v>0</v>
      </c>
      <c r="AV1011" t="b">
        <f>+ISNUMBER(SEARCH(CompConta!$F$21,Tabla11[[#This Row],[Cuenta]],1))</f>
        <v>1</v>
      </c>
      <c r="AW1011" t="b">
        <f>+ISNUMBER(SEARCH(CompConta!$F$22,Tabla11[[#This Row],[Cuenta]],1))</f>
        <v>1</v>
      </c>
      <c r="AX1011" t="b">
        <f>+ISNUMBER(SEARCH(CompConta!$F$23,Tabla11[[#This Row],[Cuenta]],1))</f>
        <v>1</v>
      </c>
      <c r="AY1011" t="b">
        <f>+ISNUMBER(SEARCH(CompConta!$F$24,Tabla11[[#This Row],[Cuenta]],1))</f>
        <v>1</v>
      </c>
      <c r="AZ1011" t="b">
        <f>+ISNUMBER(SEARCH(CompConta!$F$25,Tabla11[[#This Row],[Cuenta]],1))</f>
        <v>1</v>
      </c>
      <c r="BA1011" t="b">
        <f>+ISNUMBER(SEARCH(CompConta!$F$26,Tabla11[[#This Row],[Cuenta]],1))</f>
        <v>1</v>
      </c>
      <c r="BB1011" t="b">
        <f>+ISNUMBER(SEARCH(CompConta!$F$27,Tabla11[[#This Row],[Cuenta]],1))</f>
        <v>1</v>
      </c>
      <c r="BC1011" t="b">
        <f>+ISNUMBER(SEARCH(CompConta!$F$28,Tabla11[[#This Row],[Cuenta]],1))</f>
        <v>1</v>
      </c>
      <c r="BD1011" t="b">
        <f>+ISNUMBER(SEARCH(CompConta!$F$29,Tabla11[[#This Row],[Cuenta]],1))</f>
        <v>1</v>
      </c>
      <c r="BE1011" t="b">
        <f>+ISNUMBER(SEARCH(CompConta!$F$30,Tabla11[[#This Row],[Cuenta]],1))</f>
        <v>1</v>
      </c>
      <c r="BF1011" t="b">
        <f>+ISNUMBER(SEARCH('PAGO Compras'!$E$11,Tabla11[[#This Row],[Cuenta]],1))</f>
        <v>1</v>
      </c>
      <c r="BG1011" t="b">
        <f>+ISNUMBER(SEARCH(#REF!,Tabla11[[#This Row],[Cuenta]],1))</f>
        <v>0</v>
      </c>
      <c r="BH1011" t="b">
        <f>+ISNUMBER(SEARCH(#REF!,Tabla11[[#This Row],[Cuenta]],1))</f>
        <v>0</v>
      </c>
      <c r="BI1011" t="b">
        <f>+ISNUMBER(SEARCH(#REF!,Tabla11[[#This Row],[Cuenta]],1))</f>
        <v>0</v>
      </c>
      <c r="BJ1011" t="b">
        <f>+ISNUMBER(SEARCH(#REF!,Tabla11[[#This Row],[Cuenta]],1))</f>
        <v>0</v>
      </c>
      <c r="BS1011" t="str">
        <v>522095 Otros</v>
      </c>
      <c r="BT1011" t="str">
        <v>522095 Otros</v>
      </c>
      <c r="BU1011" t="str">
        <v>522095 Otros</v>
      </c>
      <c r="BV1011" t="str">
        <v>522095 Otros</v>
      </c>
      <c r="BZ1011" t="str">
        <v>522095 Otros</v>
      </c>
      <c r="CA1011" t="str">
        <v>522095 Otros</v>
      </c>
      <c r="CB1011" t="str">
        <v>522095 Otros</v>
      </c>
      <c r="CC1011" t="str">
        <v>522095 Otros</v>
      </c>
      <c r="CD1011" t="str">
        <v>522095 Otros</v>
      </c>
      <c r="CE1011" t="str">
        <v>522095 Otros</v>
      </c>
      <c r="CS1011" s="141" t="str">
        <v>522095 Otros</v>
      </c>
      <c r="CT1011" s="141" t="str">
        <v>522095 Otros</v>
      </c>
      <c r="CU1011" s="141" t="str">
        <v>522095 Otros</v>
      </c>
      <c r="CV1011" s="141" t="str">
        <v>522095 Otros</v>
      </c>
      <c r="CW1011" s="141" t="str">
        <v>522095 Otros</v>
      </c>
      <c r="CX1011" s="141" t="str">
        <v>522095 Otros</v>
      </c>
      <c r="CY1011" s="141" t="str">
        <v>522095 Otros</v>
      </c>
      <c r="CZ1011" s="141" t="str">
        <v>522095 Otros</v>
      </c>
      <c r="DA1011" s="141" t="str">
        <v>522095 Otros</v>
      </c>
      <c r="DF1011" t="str">
        <v>522095 Otros</v>
      </c>
      <c r="DG1011" t="str">
        <v>522095 Otros</v>
      </c>
      <c r="DH1011" t="str">
        <v>522095 Otros</v>
      </c>
      <c r="DI1011" t="str">
        <v>522095 Otros</v>
      </c>
      <c r="DJ1011" t="str">
        <v>522095 Otros</v>
      </c>
      <c r="DK1011" t="str">
        <v>522095 Otros</v>
      </c>
      <c r="DL1011" t="str">
        <v>522095 Otros</v>
      </c>
      <c r="DM1011" t="str">
        <v>522095 Otros</v>
      </c>
      <c r="DN1011" t="str">
        <v>522095 Otros</v>
      </c>
      <c r="DO1011" t="str">
        <v>522095 Otros</v>
      </c>
      <c r="DP1011" t="str">
        <v>522095 Otros</v>
      </c>
    </row>
    <row r="1012" spans="4:120" ht="12.75">
      <c r="D1012" s="7">
        <v>522099</v>
      </c>
      <c r="E1012" s="6" t="s">
        <v>93</v>
      </c>
      <c r="F1012" s="5">
        <v>4</v>
      </c>
      <c r="G1012" s="34" t="s">
        <v>830</v>
      </c>
      <c r="H1012" s="8" t="s">
        <v>32</v>
      </c>
      <c r="I1012" t="b">
        <f>+ISNUMBER(SEARCH('F-COMPRA'!$F$28,Tabla11[[#This Row],[Cuenta]],1))</f>
        <v>1</v>
      </c>
      <c r="J1012" t="b">
        <f>+ISNUMBER(SEARCH('F-COMPRA'!$F$29,Tabla11[[#This Row],[Cuenta]],1))</f>
        <v>1</v>
      </c>
      <c r="K1012" t="b">
        <f>+ISNUMBER(SEARCH('F-COMPRA'!$F$30,Tabla11[[#This Row],[Cuenta]],1))</f>
        <v>1</v>
      </c>
      <c r="L1012" t="b">
        <f>+ISNUMBER(SEARCH('F-COMPRA'!$F$31,Tabla11[[#This Row],[Cuenta]],1))</f>
        <v>1</v>
      </c>
      <c r="M1012" t="b">
        <f>+ISNUMBER(SEARCH('F-COMPRA'!$G$25,Tabla11[[#This Row],[Cuenta]],1))</f>
        <v>0</v>
      </c>
      <c r="N1012" t="b">
        <f>+ISNUMBER(SEARCH(#REF!,Tabla11[[#This Row],[Cuenta]],1))</f>
        <v>0</v>
      </c>
      <c r="O1012" t="b">
        <f>+ISNUMBER(SEARCH(#REF!,Tabla11[[#This Row],[Cuenta]],1))</f>
        <v>0</v>
      </c>
      <c r="P1012" t="b">
        <f>+ISNUMBER(SEARCH('F-COMPRA'!$F$32,Tabla11[[#This Row],[Cuenta]],1))</f>
        <v>1</v>
      </c>
      <c r="Q1012" t="b">
        <f>+ISNUMBER(SEARCH('F-COMPRA'!$F$33,Tabla11[[#This Row],[Cuenta]],1))</f>
        <v>1</v>
      </c>
      <c r="R1012" t="b">
        <f>+ISNUMBER(SEARCH('F-COMPRA'!$F$34,Tabla11[[#This Row],[Cuenta]],1))</f>
        <v>1</v>
      </c>
      <c r="S1012" t="b">
        <f>+ISNUMBER(SEARCH('F-COMPRA'!$F$35,Tabla11[[#This Row],[Cuenta]],1))</f>
        <v>1</v>
      </c>
      <c r="T1012" t="b">
        <f>+ISNUMBER(SEARCH('F-COMPRA'!$F$36,Tabla11[[#This Row],[Cuenta]],1))</f>
        <v>1</v>
      </c>
      <c r="U1012" t="b">
        <f>+ISNUMBER(SEARCH('F-COMPRA'!$F$37,Tabla11[[#This Row],[Cuenta]],1))</f>
        <v>1</v>
      </c>
      <c r="V1012" t="b">
        <f>+ISNUMBER(SEARCH(#REF!,Tabla11[[#This Row],[Cuenta]],1))</f>
        <v>0</v>
      </c>
      <c r="W1012" t="b">
        <f>+ISNUMBER(SEARCH('F-COMPRA'!#REF!,Tabla11[[#This Row],[Cuenta]],1))</f>
        <v>0</v>
      </c>
      <c r="X1012" t="b">
        <f>+ISNUMBER(SEARCH('F-COMPRA'!#REF!,Tabla11[[#This Row],[Cuenta]],1))</f>
        <v>0</v>
      </c>
      <c r="Y1012" t="b">
        <f>+ISNUMBER(SEARCH('F-COMPRA'!#REF!,Tabla11[[#This Row],[Cuenta]],1))</f>
        <v>0</v>
      </c>
      <c r="Z1012" t="b">
        <f>+ISNUMBER(SEARCH('F-COMPRA'!#REF!,Tabla11[[#This Row],[Cuenta]],1))</f>
        <v>0</v>
      </c>
      <c r="AA1012" t="b">
        <f>+ISNUMBER(SEARCH('F-COMPRA'!#REF!,Tabla11[[#This Row],[Cuenta]],1))</f>
        <v>0</v>
      </c>
      <c r="AB1012" t="b">
        <f>+ISNUMBER(SEARCH('F-COMPRA'!#REF!,Tabla11[[#This Row],[Cuenta]],1))</f>
        <v>0</v>
      </c>
      <c r="AC1012" t="b">
        <f>+ISNUMBER(SEARCH('F-COMPRA'!#REF!,Tabla11[[#This Row],[Cuenta]],1))</f>
        <v>0</v>
      </c>
      <c r="AD1012" t="b">
        <f>+ISNUMBER(SEARCH('F-COMPRA'!#REF!,Tabla11[[#This Row],[Cuenta]],1))</f>
        <v>0</v>
      </c>
      <c r="AE1012" t="b">
        <f>+ISNUMBER(SEARCH('F-COMPRA'!#REF!,Tabla11[[#This Row],[Cuenta]],1))</f>
        <v>0</v>
      </c>
      <c r="AF1012" t="b">
        <f>+ISNUMBER(SEARCH('F-VTA'!$G$23,Tabla11[[#This Row],[Cuenta]],1))</f>
        <v>0</v>
      </c>
      <c r="AG1012" t="b">
        <f>+ISNUMBER(SEARCH('F-VTA'!$G$24,Tabla11[[#This Row],[Cuenta]],1))</f>
        <v>0</v>
      </c>
      <c r="AH1012" t="b">
        <f>+ISNUMBER(SEARCH('F-VTA'!$G$25,Tabla11[[#This Row],[Cuenta]],1))</f>
        <v>0</v>
      </c>
      <c r="AI1012" t="b">
        <f>+ISNUMBER(SEARCH('F-VTA'!$F$28,Tabla11[[#This Row],[Cuenta]],1))</f>
        <v>1</v>
      </c>
      <c r="AJ1012" t="b">
        <f>+ISNUMBER(SEARCH('F-VTA'!$F$29,Tabla11[[#This Row],[Cuenta]],1))</f>
        <v>1</v>
      </c>
      <c r="AK1012" t="b">
        <f>+ISNUMBER(SEARCH('F-VTA'!$F$30,Tabla11[[#This Row],[Cuenta]],1))</f>
        <v>1</v>
      </c>
      <c r="AL1012" t="b">
        <f>+ISNUMBER(SEARCH('F-VTA'!$F$31,Tabla11[[#This Row],[Cuenta]],1))</f>
        <v>1</v>
      </c>
      <c r="AM1012" t="b">
        <f>+ISNUMBER(SEARCH('F-VTA'!$F$32,Tabla11[[#This Row],[Cuenta]],1))</f>
        <v>1</v>
      </c>
      <c r="AN1012" t="b">
        <f>+ISNUMBER(SEARCH('F-VTA'!$F$33,Tabla11[[#This Row],[Cuenta]],1))</f>
        <v>1</v>
      </c>
      <c r="AO1012" t="b">
        <f>+ISNUMBER(SEARCH('F-VTA'!$F$34,Tabla11[[#This Row],[Cuenta]],1))</f>
        <v>1</v>
      </c>
      <c r="AP1012" t="b">
        <f>+ISNUMBER(SEARCH('F-VTA'!$F$35,Tabla11[[#This Row],[Cuenta]],1))</f>
        <v>1</v>
      </c>
      <c r="AQ1012" t="b">
        <f>+ISNUMBER(SEARCH('F-VTA'!$F$36,Tabla11[[#This Row],[Cuenta]],1))</f>
        <v>1</v>
      </c>
      <c r="AR1012" t="b">
        <f>+ISNUMBER(SEARCH(#REF!,Tabla11[[#This Row],[Cuenta]],1))</f>
        <v>0</v>
      </c>
      <c r="AS1012" t="b">
        <f>+ISNUMBER(SEARCH(#REF!,Tabla11[[#This Row],[Cuenta]],1))</f>
        <v>0</v>
      </c>
      <c r="AT1012" t="b">
        <f>+ISNUMBER(SEARCH(#REF!,Tabla11[[#This Row],[Cuenta]],1))</f>
        <v>0</v>
      </c>
      <c r="AU1012" t="b">
        <f>+ISNUMBER(SEARCH('Conc. Ban.1'!$I$9,Tabla11[[#This Row],[Cuenta]],1))</f>
        <v>0</v>
      </c>
      <c r="AV1012" t="b">
        <f>+ISNUMBER(SEARCH(CompConta!$F$21,Tabla11[[#This Row],[Cuenta]],1))</f>
        <v>1</v>
      </c>
      <c r="AW1012" t="b">
        <f>+ISNUMBER(SEARCH(CompConta!$F$22,Tabla11[[#This Row],[Cuenta]],1))</f>
        <v>1</v>
      </c>
      <c r="AX1012" t="b">
        <f>+ISNUMBER(SEARCH(CompConta!$F$23,Tabla11[[#This Row],[Cuenta]],1))</f>
        <v>1</v>
      </c>
      <c r="AY1012" t="b">
        <f>+ISNUMBER(SEARCH(CompConta!$F$24,Tabla11[[#This Row],[Cuenta]],1))</f>
        <v>1</v>
      </c>
      <c r="AZ1012" t="b">
        <f>+ISNUMBER(SEARCH(CompConta!$F$25,Tabla11[[#This Row],[Cuenta]],1))</f>
        <v>1</v>
      </c>
      <c r="BA1012" t="b">
        <f>+ISNUMBER(SEARCH(CompConta!$F$26,Tabla11[[#This Row],[Cuenta]],1))</f>
        <v>1</v>
      </c>
      <c r="BB1012" t="b">
        <f>+ISNUMBER(SEARCH(CompConta!$F$27,Tabla11[[#This Row],[Cuenta]],1))</f>
        <v>1</v>
      </c>
      <c r="BC1012" t="b">
        <f>+ISNUMBER(SEARCH(CompConta!$F$28,Tabla11[[#This Row],[Cuenta]],1))</f>
        <v>1</v>
      </c>
      <c r="BD1012" t="b">
        <f>+ISNUMBER(SEARCH(CompConta!$F$29,Tabla11[[#This Row],[Cuenta]],1))</f>
        <v>1</v>
      </c>
      <c r="BE1012" t="b">
        <f>+ISNUMBER(SEARCH(CompConta!$F$30,Tabla11[[#This Row],[Cuenta]],1))</f>
        <v>1</v>
      </c>
      <c r="BF1012" t="b">
        <f>+ISNUMBER(SEARCH('PAGO Compras'!$E$11,Tabla11[[#This Row],[Cuenta]],1))</f>
        <v>1</v>
      </c>
      <c r="BG1012" t="b">
        <f>+ISNUMBER(SEARCH(#REF!,Tabla11[[#This Row],[Cuenta]],1))</f>
        <v>0</v>
      </c>
      <c r="BH1012" t="b">
        <f>+ISNUMBER(SEARCH(#REF!,Tabla11[[#This Row],[Cuenta]],1))</f>
        <v>0</v>
      </c>
      <c r="BI1012" t="b">
        <f>+ISNUMBER(SEARCH(#REF!,Tabla11[[#This Row],[Cuenta]],1))</f>
        <v>0</v>
      </c>
      <c r="BJ1012" t="b">
        <f>+ISNUMBER(SEARCH(#REF!,Tabla11[[#This Row],[Cuenta]],1))</f>
        <v>0</v>
      </c>
      <c r="BS1012" t="str">
        <v>522099 *Ajustes por inflación</v>
      </c>
      <c r="BT1012" t="str">
        <v>522099 *Ajustes por inflación</v>
      </c>
      <c r="BU1012" t="str">
        <v>522099 *Ajustes por inflación</v>
      </c>
      <c r="BV1012" t="str">
        <v>522099 *Ajustes por inflación</v>
      </c>
      <c r="BZ1012" t="str">
        <v>522099 *Ajustes por inflación</v>
      </c>
      <c r="CA1012" t="str">
        <v>522099 *Ajustes por inflación</v>
      </c>
      <c r="CB1012" t="str">
        <v>522099 *Ajustes por inflación</v>
      </c>
      <c r="CC1012" t="str">
        <v>522099 *Ajustes por inflación</v>
      </c>
      <c r="CD1012" t="str">
        <v>522099 *Ajustes por inflación</v>
      </c>
      <c r="CE1012" t="str">
        <v>522099 *Ajustes por inflación</v>
      </c>
      <c r="CS1012" s="141" t="str">
        <v>522099 *Ajustes por inflación</v>
      </c>
      <c r="CT1012" s="141" t="str">
        <v>522099 *Ajustes por inflación</v>
      </c>
      <c r="CU1012" s="141" t="str">
        <v>522099 *Ajustes por inflación</v>
      </c>
      <c r="CV1012" s="141" t="str">
        <v>522099 *Ajustes por inflación</v>
      </c>
      <c r="CW1012" s="141" t="str">
        <v>522099 *Ajustes por inflación</v>
      </c>
      <c r="CX1012" s="141" t="str">
        <v>522099 *Ajustes por inflación</v>
      </c>
      <c r="CY1012" s="141" t="str">
        <v>522099 *Ajustes por inflación</v>
      </c>
      <c r="CZ1012" s="141" t="str">
        <v>522099 *Ajustes por inflación</v>
      </c>
      <c r="DA1012" s="141" t="str">
        <v>522099 *Ajustes por inflación</v>
      </c>
      <c r="DF1012" t="str">
        <v>522099 *Ajustes por inflación</v>
      </c>
      <c r="DG1012" t="str">
        <v>522099 *Ajustes por inflación</v>
      </c>
      <c r="DH1012" t="str">
        <v>522099 *Ajustes por inflación</v>
      </c>
      <c r="DI1012" t="str">
        <v>522099 *Ajustes por inflación</v>
      </c>
      <c r="DJ1012" t="str">
        <v>522099 *Ajustes por inflación</v>
      </c>
      <c r="DK1012" t="str">
        <v>522099 *Ajustes por inflación</v>
      </c>
      <c r="DL1012" t="str">
        <v>522099 *Ajustes por inflación</v>
      </c>
      <c r="DM1012" t="str">
        <v>522099 *Ajustes por inflación</v>
      </c>
      <c r="DN1012" t="str">
        <v>522099 *Ajustes por inflación</v>
      </c>
      <c r="DO1012" t="str">
        <v>522099 *Ajustes por inflación</v>
      </c>
      <c r="DP1012" t="str">
        <v>522099 *Ajustes por inflación</v>
      </c>
    </row>
    <row r="1013" spans="4:120" ht="12.75">
      <c r="D1013" s="7">
        <v>5235</v>
      </c>
      <c r="E1013" s="6" t="s">
        <v>528</v>
      </c>
      <c r="F1013" s="5">
        <v>3</v>
      </c>
      <c r="G1013" s="34" t="s">
        <v>830</v>
      </c>
      <c r="H1013" s="8" t="s">
        <v>32</v>
      </c>
      <c r="I1013" t="b">
        <f>+ISNUMBER(SEARCH('F-COMPRA'!$F$28,Tabla11[[#This Row],[Cuenta]],1))</f>
        <v>1</v>
      </c>
      <c r="J1013" t="b">
        <f>+ISNUMBER(SEARCH('F-COMPRA'!$F$29,Tabla11[[#This Row],[Cuenta]],1))</f>
        <v>1</v>
      </c>
      <c r="K1013" t="b">
        <f>+ISNUMBER(SEARCH('F-COMPRA'!$F$30,Tabla11[[#This Row],[Cuenta]],1))</f>
        <v>1</v>
      </c>
      <c r="L1013" t="b">
        <f>+ISNUMBER(SEARCH('F-COMPRA'!$F$31,Tabla11[[#This Row],[Cuenta]],1))</f>
        <v>1</v>
      </c>
      <c r="M1013" t="b">
        <f>+ISNUMBER(SEARCH('F-COMPRA'!$G$25,Tabla11[[#This Row],[Cuenta]],1))</f>
        <v>0</v>
      </c>
      <c r="N1013" t="b">
        <f>+ISNUMBER(SEARCH(#REF!,Tabla11[[#This Row],[Cuenta]],1))</f>
        <v>0</v>
      </c>
      <c r="O1013" t="b">
        <f>+ISNUMBER(SEARCH(#REF!,Tabla11[[#This Row],[Cuenta]],1))</f>
        <v>0</v>
      </c>
      <c r="P1013" t="b">
        <f>+ISNUMBER(SEARCH('F-COMPRA'!$F$32,Tabla11[[#This Row],[Cuenta]],1))</f>
        <v>1</v>
      </c>
      <c r="Q1013" t="b">
        <f>+ISNUMBER(SEARCH('F-COMPRA'!$F$33,Tabla11[[#This Row],[Cuenta]],1))</f>
        <v>1</v>
      </c>
      <c r="R1013" t="b">
        <f>+ISNUMBER(SEARCH('F-COMPRA'!$F$34,Tabla11[[#This Row],[Cuenta]],1))</f>
        <v>1</v>
      </c>
      <c r="S1013" t="b">
        <f>+ISNUMBER(SEARCH('F-COMPRA'!$F$35,Tabla11[[#This Row],[Cuenta]],1))</f>
        <v>1</v>
      </c>
      <c r="T1013" t="b">
        <f>+ISNUMBER(SEARCH('F-COMPRA'!$F$36,Tabla11[[#This Row],[Cuenta]],1))</f>
        <v>1</v>
      </c>
      <c r="U1013" t="b">
        <f>+ISNUMBER(SEARCH('F-COMPRA'!$F$37,Tabla11[[#This Row],[Cuenta]],1))</f>
        <v>1</v>
      </c>
      <c r="V1013" t="b">
        <f>+ISNUMBER(SEARCH(#REF!,Tabla11[[#This Row],[Cuenta]],1))</f>
        <v>0</v>
      </c>
      <c r="W1013" t="b">
        <f>+ISNUMBER(SEARCH('F-COMPRA'!#REF!,Tabla11[[#This Row],[Cuenta]],1))</f>
        <v>0</v>
      </c>
      <c r="X1013" t="b">
        <f>+ISNUMBER(SEARCH('F-COMPRA'!#REF!,Tabla11[[#This Row],[Cuenta]],1))</f>
        <v>0</v>
      </c>
      <c r="Y1013" t="b">
        <f>+ISNUMBER(SEARCH('F-COMPRA'!#REF!,Tabla11[[#This Row],[Cuenta]],1))</f>
        <v>0</v>
      </c>
      <c r="Z1013" t="b">
        <f>+ISNUMBER(SEARCH('F-COMPRA'!#REF!,Tabla11[[#This Row],[Cuenta]],1))</f>
        <v>0</v>
      </c>
      <c r="AA1013" t="b">
        <f>+ISNUMBER(SEARCH('F-COMPRA'!#REF!,Tabla11[[#This Row],[Cuenta]],1))</f>
        <v>0</v>
      </c>
      <c r="AB1013" t="b">
        <f>+ISNUMBER(SEARCH('F-COMPRA'!#REF!,Tabla11[[#This Row],[Cuenta]],1))</f>
        <v>0</v>
      </c>
      <c r="AC1013" t="b">
        <f>+ISNUMBER(SEARCH('F-COMPRA'!#REF!,Tabla11[[#This Row],[Cuenta]],1))</f>
        <v>0</v>
      </c>
      <c r="AD1013" t="b">
        <f>+ISNUMBER(SEARCH('F-COMPRA'!#REF!,Tabla11[[#This Row],[Cuenta]],1))</f>
        <v>0</v>
      </c>
      <c r="AE1013" t="b">
        <f>+ISNUMBER(SEARCH('F-COMPRA'!#REF!,Tabla11[[#This Row],[Cuenta]],1))</f>
        <v>0</v>
      </c>
      <c r="AF1013" t="b">
        <f>+ISNUMBER(SEARCH('F-VTA'!$G$23,Tabla11[[#This Row],[Cuenta]],1))</f>
        <v>0</v>
      </c>
      <c r="AG1013" t="b">
        <f>+ISNUMBER(SEARCH('F-VTA'!$G$24,Tabla11[[#This Row],[Cuenta]],1))</f>
        <v>0</v>
      </c>
      <c r="AH1013" t="b">
        <f>+ISNUMBER(SEARCH('F-VTA'!$G$25,Tabla11[[#This Row],[Cuenta]],1))</f>
        <v>0</v>
      </c>
      <c r="AI1013" t="b">
        <f>+ISNUMBER(SEARCH('F-VTA'!$F$28,Tabla11[[#This Row],[Cuenta]],1))</f>
        <v>1</v>
      </c>
      <c r="AJ1013" t="b">
        <f>+ISNUMBER(SEARCH('F-VTA'!$F$29,Tabla11[[#This Row],[Cuenta]],1))</f>
        <v>1</v>
      </c>
      <c r="AK1013" t="b">
        <f>+ISNUMBER(SEARCH('F-VTA'!$F$30,Tabla11[[#This Row],[Cuenta]],1))</f>
        <v>1</v>
      </c>
      <c r="AL1013" t="b">
        <f>+ISNUMBER(SEARCH('F-VTA'!$F$31,Tabla11[[#This Row],[Cuenta]],1))</f>
        <v>1</v>
      </c>
      <c r="AM1013" t="b">
        <f>+ISNUMBER(SEARCH('F-VTA'!$F$32,Tabla11[[#This Row],[Cuenta]],1))</f>
        <v>1</v>
      </c>
      <c r="AN1013" t="b">
        <f>+ISNUMBER(SEARCH('F-VTA'!$F$33,Tabla11[[#This Row],[Cuenta]],1))</f>
        <v>1</v>
      </c>
      <c r="AO1013" t="b">
        <f>+ISNUMBER(SEARCH('F-VTA'!$F$34,Tabla11[[#This Row],[Cuenta]],1))</f>
        <v>1</v>
      </c>
      <c r="AP1013" t="b">
        <f>+ISNUMBER(SEARCH('F-VTA'!$F$35,Tabla11[[#This Row],[Cuenta]],1))</f>
        <v>1</v>
      </c>
      <c r="AQ1013" t="b">
        <f>+ISNUMBER(SEARCH('F-VTA'!$F$36,Tabla11[[#This Row],[Cuenta]],1))</f>
        <v>1</v>
      </c>
      <c r="AR1013" t="b">
        <f>+ISNUMBER(SEARCH(#REF!,Tabla11[[#This Row],[Cuenta]],1))</f>
        <v>0</v>
      </c>
      <c r="AS1013" t="b">
        <f>+ISNUMBER(SEARCH(#REF!,Tabla11[[#This Row],[Cuenta]],1))</f>
        <v>0</v>
      </c>
      <c r="AT1013" t="b">
        <f>+ISNUMBER(SEARCH(#REF!,Tabla11[[#This Row],[Cuenta]],1))</f>
        <v>0</v>
      </c>
      <c r="AU1013" t="b">
        <f>+ISNUMBER(SEARCH('Conc. Ban.1'!$I$9,Tabla11[[#This Row],[Cuenta]],1))</f>
        <v>0</v>
      </c>
      <c r="AV1013" t="b">
        <f>+ISNUMBER(SEARCH(CompConta!$F$21,Tabla11[[#This Row],[Cuenta]],1))</f>
        <v>1</v>
      </c>
      <c r="AW1013" t="b">
        <f>+ISNUMBER(SEARCH(CompConta!$F$22,Tabla11[[#This Row],[Cuenta]],1))</f>
        <v>1</v>
      </c>
      <c r="AX1013" t="b">
        <f>+ISNUMBER(SEARCH(CompConta!$F$23,Tabla11[[#This Row],[Cuenta]],1))</f>
        <v>1</v>
      </c>
      <c r="AY1013" t="b">
        <f>+ISNUMBER(SEARCH(CompConta!$F$24,Tabla11[[#This Row],[Cuenta]],1))</f>
        <v>1</v>
      </c>
      <c r="AZ1013" t="b">
        <f>+ISNUMBER(SEARCH(CompConta!$F$25,Tabla11[[#This Row],[Cuenta]],1))</f>
        <v>1</v>
      </c>
      <c r="BA1013" t="b">
        <f>+ISNUMBER(SEARCH(CompConta!$F$26,Tabla11[[#This Row],[Cuenta]],1))</f>
        <v>1</v>
      </c>
      <c r="BB1013" t="b">
        <f>+ISNUMBER(SEARCH(CompConta!$F$27,Tabla11[[#This Row],[Cuenta]],1))</f>
        <v>1</v>
      </c>
      <c r="BC1013" t="b">
        <f>+ISNUMBER(SEARCH(CompConta!$F$28,Tabla11[[#This Row],[Cuenta]],1))</f>
        <v>1</v>
      </c>
      <c r="BD1013" t="b">
        <f>+ISNUMBER(SEARCH(CompConta!$F$29,Tabla11[[#This Row],[Cuenta]],1))</f>
        <v>1</v>
      </c>
      <c r="BE1013" t="b">
        <f>+ISNUMBER(SEARCH(CompConta!$F$30,Tabla11[[#This Row],[Cuenta]],1))</f>
        <v>1</v>
      </c>
      <c r="BF1013" t="b">
        <f>+ISNUMBER(SEARCH('PAGO Compras'!$E$11,Tabla11[[#This Row],[Cuenta]],1))</f>
        <v>1</v>
      </c>
      <c r="BG1013" t="b">
        <f>+ISNUMBER(SEARCH(#REF!,Tabla11[[#This Row],[Cuenta]],1))</f>
        <v>0</v>
      </c>
      <c r="BH1013" t="b">
        <f>+ISNUMBER(SEARCH(#REF!,Tabla11[[#This Row],[Cuenta]],1))</f>
        <v>0</v>
      </c>
      <c r="BI1013" t="b">
        <f>+ISNUMBER(SEARCH(#REF!,Tabla11[[#This Row],[Cuenta]],1))</f>
        <v>0</v>
      </c>
      <c r="BJ1013" t="b">
        <f>+ISNUMBER(SEARCH(#REF!,Tabla11[[#This Row],[Cuenta]],1))</f>
        <v>0</v>
      </c>
      <c r="BS1013" t="str">
        <v>5235 SERVICIOS</v>
      </c>
      <c r="BT1013" t="str">
        <v>5235 SERVICIOS</v>
      </c>
      <c r="BU1013" t="str">
        <v>5235 SERVICIOS</v>
      </c>
      <c r="BV1013" t="str">
        <v>5235 SERVICIOS</v>
      </c>
      <c r="BZ1013" t="str">
        <v>5235 SERVICIOS</v>
      </c>
      <c r="CA1013" t="str">
        <v>5235 SERVICIOS</v>
      </c>
      <c r="CB1013" t="str">
        <v>5235 SERVICIOS</v>
      </c>
      <c r="CC1013" t="str">
        <v>5235 SERVICIOS</v>
      </c>
      <c r="CD1013" t="str">
        <v>5235 SERVICIOS</v>
      </c>
      <c r="CE1013" t="str">
        <v>5235 SERVICIOS</v>
      </c>
      <c r="CS1013" s="141" t="str">
        <v>5235 SERVICIOS</v>
      </c>
      <c r="CT1013" s="141" t="str">
        <v>5235 SERVICIOS</v>
      </c>
      <c r="CU1013" s="141" t="str">
        <v>5235 SERVICIOS</v>
      </c>
      <c r="CV1013" s="141" t="str">
        <v>5235 SERVICIOS</v>
      </c>
      <c r="CW1013" s="141" t="str">
        <v>5235 SERVICIOS</v>
      </c>
      <c r="CX1013" s="141" t="str">
        <v>5235 SERVICIOS</v>
      </c>
      <c r="CY1013" s="141" t="str">
        <v>5235 SERVICIOS</v>
      </c>
      <c r="CZ1013" s="141" t="str">
        <v>5235 SERVICIOS</v>
      </c>
      <c r="DA1013" s="141" t="str">
        <v>5235 SERVICIOS</v>
      </c>
      <c r="DF1013" t="str">
        <v>5235 SERVICIOS</v>
      </c>
      <c r="DG1013" t="str">
        <v>5235 SERVICIOS</v>
      </c>
      <c r="DH1013" t="str">
        <v>5235 SERVICIOS</v>
      </c>
      <c r="DI1013" t="str">
        <v>5235 SERVICIOS</v>
      </c>
      <c r="DJ1013" t="str">
        <v>5235 SERVICIOS</v>
      </c>
      <c r="DK1013" t="str">
        <v>5235 SERVICIOS</v>
      </c>
      <c r="DL1013" t="str">
        <v>5235 SERVICIOS</v>
      </c>
      <c r="DM1013" t="str">
        <v>5235 SERVICIOS</v>
      </c>
      <c r="DN1013" t="str">
        <v>5235 SERVICIOS</v>
      </c>
      <c r="DO1013" t="str">
        <v>5235 SERVICIOS</v>
      </c>
      <c r="DP1013" t="str">
        <v>5235 SERVICIOS</v>
      </c>
    </row>
    <row r="1014" spans="4:120" ht="12.75">
      <c r="D1014" s="7">
        <v>523505</v>
      </c>
      <c r="E1014" s="6" t="s">
        <v>586</v>
      </c>
      <c r="F1014" s="5">
        <v>4</v>
      </c>
      <c r="G1014" s="34" t="s">
        <v>830</v>
      </c>
      <c r="H1014" s="8" t="s">
        <v>32</v>
      </c>
      <c r="I1014" t="b">
        <f>+ISNUMBER(SEARCH('F-COMPRA'!$F$28,Tabla11[[#This Row],[Cuenta]],1))</f>
        <v>1</v>
      </c>
      <c r="J1014" t="b">
        <f>+ISNUMBER(SEARCH('F-COMPRA'!$F$29,Tabla11[[#This Row],[Cuenta]],1))</f>
        <v>1</v>
      </c>
      <c r="K1014" t="b">
        <f>+ISNUMBER(SEARCH('F-COMPRA'!$F$30,Tabla11[[#This Row],[Cuenta]],1))</f>
        <v>1</v>
      </c>
      <c r="L1014" t="b">
        <f>+ISNUMBER(SEARCH('F-COMPRA'!$F$31,Tabla11[[#This Row],[Cuenta]],1))</f>
        <v>1</v>
      </c>
      <c r="M1014" t="b">
        <f>+ISNUMBER(SEARCH('F-COMPRA'!$G$25,Tabla11[[#This Row],[Cuenta]],1))</f>
        <v>0</v>
      </c>
      <c r="N1014" t="b">
        <f>+ISNUMBER(SEARCH(#REF!,Tabla11[[#This Row],[Cuenta]],1))</f>
        <v>0</v>
      </c>
      <c r="O1014" t="b">
        <f>+ISNUMBER(SEARCH(#REF!,Tabla11[[#This Row],[Cuenta]],1))</f>
        <v>0</v>
      </c>
      <c r="P1014" t="b">
        <f>+ISNUMBER(SEARCH('F-COMPRA'!$F$32,Tabla11[[#This Row],[Cuenta]],1))</f>
        <v>1</v>
      </c>
      <c r="Q1014" t="b">
        <f>+ISNUMBER(SEARCH('F-COMPRA'!$F$33,Tabla11[[#This Row],[Cuenta]],1))</f>
        <v>1</v>
      </c>
      <c r="R1014" t="b">
        <f>+ISNUMBER(SEARCH('F-COMPRA'!$F$34,Tabla11[[#This Row],[Cuenta]],1))</f>
        <v>1</v>
      </c>
      <c r="S1014" t="b">
        <f>+ISNUMBER(SEARCH('F-COMPRA'!$F$35,Tabla11[[#This Row],[Cuenta]],1))</f>
        <v>1</v>
      </c>
      <c r="T1014" t="b">
        <f>+ISNUMBER(SEARCH('F-COMPRA'!$F$36,Tabla11[[#This Row],[Cuenta]],1))</f>
        <v>1</v>
      </c>
      <c r="U1014" t="b">
        <f>+ISNUMBER(SEARCH('F-COMPRA'!$F$37,Tabla11[[#This Row],[Cuenta]],1))</f>
        <v>1</v>
      </c>
      <c r="V1014" t="b">
        <f>+ISNUMBER(SEARCH(#REF!,Tabla11[[#This Row],[Cuenta]],1))</f>
        <v>0</v>
      </c>
      <c r="W1014" t="b">
        <f>+ISNUMBER(SEARCH('F-COMPRA'!#REF!,Tabla11[[#This Row],[Cuenta]],1))</f>
        <v>0</v>
      </c>
      <c r="X1014" t="b">
        <f>+ISNUMBER(SEARCH('F-COMPRA'!#REF!,Tabla11[[#This Row],[Cuenta]],1))</f>
        <v>0</v>
      </c>
      <c r="Y1014" t="b">
        <f>+ISNUMBER(SEARCH('F-COMPRA'!#REF!,Tabla11[[#This Row],[Cuenta]],1))</f>
        <v>0</v>
      </c>
      <c r="Z1014" t="b">
        <f>+ISNUMBER(SEARCH('F-COMPRA'!#REF!,Tabla11[[#This Row],[Cuenta]],1))</f>
        <v>0</v>
      </c>
      <c r="AA1014" t="b">
        <f>+ISNUMBER(SEARCH('F-COMPRA'!#REF!,Tabla11[[#This Row],[Cuenta]],1))</f>
        <v>0</v>
      </c>
      <c r="AB1014" t="b">
        <f>+ISNUMBER(SEARCH('F-COMPRA'!#REF!,Tabla11[[#This Row],[Cuenta]],1))</f>
        <v>0</v>
      </c>
      <c r="AC1014" t="b">
        <f>+ISNUMBER(SEARCH('F-COMPRA'!#REF!,Tabla11[[#This Row],[Cuenta]],1))</f>
        <v>0</v>
      </c>
      <c r="AD1014" t="b">
        <f>+ISNUMBER(SEARCH('F-COMPRA'!#REF!,Tabla11[[#This Row],[Cuenta]],1))</f>
        <v>0</v>
      </c>
      <c r="AE1014" t="b">
        <f>+ISNUMBER(SEARCH('F-COMPRA'!#REF!,Tabla11[[#This Row],[Cuenta]],1))</f>
        <v>0</v>
      </c>
      <c r="AF1014" t="b">
        <f>+ISNUMBER(SEARCH('F-VTA'!$G$23,Tabla11[[#This Row],[Cuenta]],1))</f>
        <v>0</v>
      </c>
      <c r="AG1014" t="b">
        <f>+ISNUMBER(SEARCH('F-VTA'!$G$24,Tabla11[[#This Row],[Cuenta]],1))</f>
        <v>0</v>
      </c>
      <c r="AH1014" t="b">
        <f>+ISNUMBER(SEARCH('F-VTA'!$G$25,Tabla11[[#This Row],[Cuenta]],1))</f>
        <v>0</v>
      </c>
      <c r="AI1014" t="b">
        <f>+ISNUMBER(SEARCH('F-VTA'!$F$28,Tabla11[[#This Row],[Cuenta]],1))</f>
        <v>1</v>
      </c>
      <c r="AJ1014" t="b">
        <f>+ISNUMBER(SEARCH('F-VTA'!$F$29,Tabla11[[#This Row],[Cuenta]],1))</f>
        <v>1</v>
      </c>
      <c r="AK1014" t="b">
        <f>+ISNUMBER(SEARCH('F-VTA'!$F$30,Tabla11[[#This Row],[Cuenta]],1))</f>
        <v>1</v>
      </c>
      <c r="AL1014" t="b">
        <f>+ISNUMBER(SEARCH('F-VTA'!$F$31,Tabla11[[#This Row],[Cuenta]],1))</f>
        <v>1</v>
      </c>
      <c r="AM1014" t="b">
        <f>+ISNUMBER(SEARCH('F-VTA'!$F$32,Tabla11[[#This Row],[Cuenta]],1))</f>
        <v>1</v>
      </c>
      <c r="AN1014" t="b">
        <f>+ISNUMBER(SEARCH('F-VTA'!$F$33,Tabla11[[#This Row],[Cuenta]],1))</f>
        <v>1</v>
      </c>
      <c r="AO1014" t="b">
        <f>+ISNUMBER(SEARCH('F-VTA'!$F$34,Tabla11[[#This Row],[Cuenta]],1))</f>
        <v>1</v>
      </c>
      <c r="AP1014" t="b">
        <f>+ISNUMBER(SEARCH('F-VTA'!$F$35,Tabla11[[#This Row],[Cuenta]],1))</f>
        <v>1</v>
      </c>
      <c r="AQ1014" t="b">
        <f>+ISNUMBER(SEARCH('F-VTA'!$F$36,Tabla11[[#This Row],[Cuenta]],1))</f>
        <v>1</v>
      </c>
      <c r="AR1014" t="b">
        <f>+ISNUMBER(SEARCH(#REF!,Tabla11[[#This Row],[Cuenta]],1))</f>
        <v>0</v>
      </c>
      <c r="AS1014" t="b">
        <f>+ISNUMBER(SEARCH(#REF!,Tabla11[[#This Row],[Cuenta]],1))</f>
        <v>0</v>
      </c>
      <c r="AT1014" t="b">
        <f>+ISNUMBER(SEARCH(#REF!,Tabla11[[#This Row],[Cuenta]],1))</f>
        <v>0</v>
      </c>
      <c r="AU1014" t="b">
        <f>+ISNUMBER(SEARCH('Conc. Ban.1'!$I$9,Tabla11[[#This Row],[Cuenta]],1))</f>
        <v>0</v>
      </c>
      <c r="AV1014" t="b">
        <f>+ISNUMBER(SEARCH(CompConta!$F$21,Tabla11[[#This Row],[Cuenta]],1))</f>
        <v>1</v>
      </c>
      <c r="AW1014" t="b">
        <f>+ISNUMBER(SEARCH(CompConta!$F$22,Tabla11[[#This Row],[Cuenta]],1))</f>
        <v>1</v>
      </c>
      <c r="AX1014" t="b">
        <f>+ISNUMBER(SEARCH(CompConta!$F$23,Tabla11[[#This Row],[Cuenta]],1))</f>
        <v>1</v>
      </c>
      <c r="AY1014" t="b">
        <f>+ISNUMBER(SEARCH(CompConta!$F$24,Tabla11[[#This Row],[Cuenta]],1))</f>
        <v>1</v>
      </c>
      <c r="AZ1014" t="b">
        <f>+ISNUMBER(SEARCH(CompConta!$F$25,Tabla11[[#This Row],[Cuenta]],1))</f>
        <v>1</v>
      </c>
      <c r="BA1014" t="b">
        <f>+ISNUMBER(SEARCH(CompConta!$F$26,Tabla11[[#This Row],[Cuenta]],1))</f>
        <v>1</v>
      </c>
      <c r="BB1014" t="b">
        <f>+ISNUMBER(SEARCH(CompConta!$F$27,Tabla11[[#This Row],[Cuenta]],1))</f>
        <v>1</v>
      </c>
      <c r="BC1014" t="b">
        <f>+ISNUMBER(SEARCH(CompConta!$F$28,Tabla11[[#This Row],[Cuenta]],1))</f>
        <v>1</v>
      </c>
      <c r="BD1014" t="b">
        <f>+ISNUMBER(SEARCH(CompConta!$F$29,Tabla11[[#This Row],[Cuenta]],1))</f>
        <v>1</v>
      </c>
      <c r="BE1014" t="b">
        <f>+ISNUMBER(SEARCH(CompConta!$F$30,Tabla11[[#This Row],[Cuenta]],1))</f>
        <v>1</v>
      </c>
      <c r="BF1014" t="b">
        <f>+ISNUMBER(SEARCH('PAGO Compras'!$E$11,Tabla11[[#This Row],[Cuenta]],1))</f>
        <v>1</v>
      </c>
      <c r="BG1014" t="b">
        <f>+ISNUMBER(SEARCH(#REF!,Tabla11[[#This Row],[Cuenta]],1))</f>
        <v>0</v>
      </c>
      <c r="BH1014" t="b">
        <f>+ISNUMBER(SEARCH(#REF!,Tabla11[[#This Row],[Cuenta]],1))</f>
        <v>0</v>
      </c>
      <c r="BI1014" t="b">
        <f>+ISNUMBER(SEARCH(#REF!,Tabla11[[#This Row],[Cuenta]],1))</f>
        <v>0</v>
      </c>
      <c r="BJ1014" t="b">
        <f>+ISNUMBER(SEARCH(#REF!,Tabla11[[#This Row],[Cuenta]],1))</f>
        <v>0</v>
      </c>
      <c r="BS1014" t="str">
        <v>523505 Aseo y vigilancia</v>
      </c>
      <c r="BT1014" t="str">
        <v>523505 Aseo y vigilancia</v>
      </c>
      <c r="BU1014" t="str">
        <v>523505 Aseo y vigilancia</v>
      </c>
      <c r="BV1014" t="str">
        <v>523505 Aseo y vigilancia</v>
      </c>
      <c r="BZ1014" t="str">
        <v>523505 Aseo y vigilancia</v>
      </c>
      <c r="CA1014" t="str">
        <v>523505 Aseo y vigilancia</v>
      </c>
      <c r="CB1014" t="str">
        <v>523505 Aseo y vigilancia</v>
      </c>
      <c r="CC1014" t="str">
        <v>523505 Aseo y vigilancia</v>
      </c>
      <c r="CD1014" t="str">
        <v>523505 Aseo y vigilancia</v>
      </c>
      <c r="CE1014" t="str">
        <v>523505 Aseo y vigilancia</v>
      </c>
      <c r="CS1014" s="141" t="str">
        <v>523505 Aseo y vigilancia</v>
      </c>
      <c r="CT1014" s="141" t="str">
        <v>523505 Aseo y vigilancia</v>
      </c>
      <c r="CU1014" s="141" t="str">
        <v>523505 Aseo y vigilancia</v>
      </c>
      <c r="CV1014" s="141" t="str">
        <v>523505 Aseo y vigilancia</v>
      </c>
      <c r="CW1014" s="141" t="str">
        <v>523505 Aseo y vigilancia</v>
      </c>
      <c r="CX1014" s="141" t="str">
        <v>523505 Aseo y vigilancia</v>
      </c>
      <c r="CY1014" s="141" t="str">
        <v>523505 Aseo y vigilancia</v>
      </c>
      <c r="CZ1014" s="141" t="str">
        <v>523505 Aseo y vigilancia</v>
      </c>
      <c r="DA1014" s="141" t="str">
        <v>523505 Aseo y vigilancia</v>
      </c>
      <c r="DF1014" t="str">
        <v>523505 Aseo y vigilancia</v>
      </c>
      <c r="DG1014" t="str">
        <v>523505 Aseo y vigilancia</v>
      </c>
      <c r="DH1014" t="str">
        <v>523505 Aseo y vigilancia</v>
      </c>
      <c r="DI1014" t="str">
        <v>523505 Aseo y vigilancia</v>
      </c>
      <c r="DJ1014" t="str">
        <v>523505 Aseo y vigilancia</v>
      </c>
      <c r="DK1014" t="str">
        <v>523505 Aseo y vigilancia</v>
      </c>
      <c r="DL1014" t="str">
        <v>523505 Aseo y vigilancia</v>
      </c>
      <c r="DM1014" t="str">
        <v>523505 Aseo y vigilancia</v>
      </c>
      <c r="DN1014" t="str">
        <v>523505 Aseo y vigilancia</v>
      </c>
      <c r="DO1014" t="str">
        <v>523505 Aseo y vigilancia</v>
      </c>
      <c r="DP1014" t="str">
        <v>523505 Aseo y vigilancia</v>
      </c>
    </row>
    <row r="1015" spans="4:120" ht="12.75">
      <c r="D1015" s="7">
        <v>523510</v>
      </c>
      <c r="E1015" s="6" t="s">
        <v>587</v>
      </c>
      <c r="F1015" s="5">
        <v>4</v>
      </c>
      <c r="G1015" s="34" t="s">
        <v>830</v>
      </c>
      <c r="H1015" s="8" t="s">
        <v>32</v>
      </c>
      <c r="I1015" t="b">
        <f>+ISNUMBER(SEARCH('F-COMPRA'!$F$28,Tabla11[[#This Row],[Cuenta]],1))</f>
        <v>1</v>
      </c>
      <c r="J1015" t="b">
        <f>+ISNUMBER(SEARCH('F-COMPRA'!$F$29,Tabla11[[#This Row],[Cuenta]],1))</f>
        <v>1</v>
      </c>
      <c r="K1015" t="b">
        <f>+ISNUMBER(SEARCH('F-COMPRA'!$F$30,Tabla11[[#This Row],[Cuenta]],1))</f>
        <v>1</v>
      </c>
      <c r="L1015" t="b">
        <f>+ISNUMBER(SEARCH('F-COMPRA'!$F$31,Tabla11[[#This Row],[Cuenta]],1))</f>
        <v>1</v>
      </c>
      <c r="M1015" t="b">
        <f>+ISNUMBER(SEARCH('F-COMPRA'!$G$25,Tabla11[[#This Row],[Cuenta]],1))</f>
        <v>0</v>
      </c>
      <c r="N1015" t="b">
        <f>+ISNUMBER(SEARCH(#REF!,Tabla11[[#This Row],[Cuenta]],1))</f>
        <v>0</v>
      </c>
      <c r="O1015" t="b">
        <f>+ISNUMBER(SEARCH(#REF!,Tabla11[[#This Row],[Cuenta]],1))</f>
        <v>0</v>
      </c>
      <c r="P1015" t="b">
        <f>+ISNUMBER(SEARCH('F-COMPRA'!$F$32,Tabla11[[#This Row],[Cuenta]],1))</f>
        <v>1</v>
      </c>
      <c r="Q1015" t="b">
        <f>+ISNUMBER(SEARCH('F-COMPRA'!$F$33,Tabla11[[#This Row],[Cuenta]],1))</f>
        <v>1</v>
      </c>
      <c r="R1015" t="b">
        <f>+ISNUMBER(SEARCH('F-COMPRA'!$F$34,Tabla11[[#This Row],[Cuenta]],1))</f>
        <v>1</v>
      </c>
      <c r="S1015" t="b">
        <f>+ISNUMBER(SEARCH('F-COMPRA'!$F$35,Tabla11[[#This Row],[Cuenta]],1))</f>
        <v>1</v>
      </c>
      <c r="T1015" t="b">
        <f>+ISNUMBER(SEARCH('F-COMPRA'!$F$36,Tabla11[[#This Row],[Cuenta]],1))</f>
        <v>1</v>
      </c>
      <c r="U1015" t="b">
        <f>+ISNUMBER(SEARCH('F-COMPRA'!$F$37,Tabla11[[#This Row],[Cuenta]],1))</f>
        <v>1</v>
      </c>
      <c r="V1015" t="b">
        <f>+ISNUMBER(SEARCH(#REF!,Tabla11[[#This Row],[Cuenta]],1))</f>
        <v>0</v>
      </c>
      <c r="W1015" t="b">
        <f>+ISNUMBER(SEARCH('F-COMPRA'!#REF!,Tabla11[[#This Row],[Cuenta]],1))</f>
        <v>0</v>
      </c>
      <c r="X1015" t="b">
        <f>+ISNUMBER(SEARCH('F-COMPRA'!#REF!,Tabla11[[#This Row],[Cuenta]],1))</f>
        <v>0</v>
      </c>
      <c r="Y1015" t="b">
        <f>+ISNUMBER(SEARCH('F-COMPRA'!#REF!,Tabla11[[#This Row],[Cuenta]],1))</f>
        <v>0</v>
      </c>
      <c r="Z1015" t="b">
        <f>+ISNUMBER(SEARCH('F-COMPRA'!#REF!,Tabla11[[#This Row],[Cuenta]],1))</f>
        <v>0</v>
      </c>
      <c r="AA1015" t="b">
        <f>+ISNUMBER(SEARCH('F-COMPRA'!#REF!,Tabla11[[#This Row],[Cuenta]],1))</f>
        <v>0</v>
      </c>
      <c r="AB1015" t="b">
        <f>+ISNUMBER(SEARCH('F-COMPRA'!#REF!,Tabla11[[#This Row],[Cuenta]],1))</f>
        <v>0</v>
      </c>
      <c r="AC1015" t="b">
        <f>+ISNUMBER(SEARCH('F-COMPRA'!#REF!,Tabla11[[#This Row],[Cuenta]],1))</f>
        <v>0</v>
      </c>
      <c r="AD1015" t="b">
        <f>+ISNUMBER(SEARCH('F-COMPRA'!#REF!,Tabla11[[#This Row],[Cuenta]],1))</f>
        <v>0</v>
      </c>
      <c r="AE1015" t="b">
        <f>+ISNUMBER(SEARCH('F-COMPRA'!#REF!,Tabla11[[#This Row],[Cuenta]],1))</f>
        <v>0</v>
      </c>
      <c r="AF1015" t="b">
        <f>+ISNUMBER(SEARCH('F-VTA'!$G$23,Tabla11[[#This Row],[Cuenta]],1))</f>
        <v>0</v>
      </c>
      <c r="AG1015" t="b">
        <f>+ISNUMBER(SEARCH('F-VTA'!$G$24,Tabla11[[#This Row],[Cuenta]],1))</f>
        <v>0</v>
      </c>
      <c r="AH1015" t="b">
        <f>+ISNUMBER(SEARCH('F-VTA'!$G$25,Tabla11[[#This Row],[Cuenta]],1))</f>
        <v>0</v>
      </c>
      <c r="AI1015" t="b">
        <f>+ISNUMBER(SEARCH('F-VTA'!$F$28,Tabla11[[#This Row],[Cuenta]],1))</f>
        <v>1</v>
      </c>
      <c r="AJ1015" t="b">
        <f>+ISNUMBER(SEARCH('F-VTA'!$F$29,Tabla11[[#This Row],[Cuenta]],1))</f>
        <v>1</v>
      </c>
      <c r="AK1015" t="b">
        <f>+ISNUMBER(SEARCH('F-VTA'!$F$30,Tabla11[[#This Row],[Cuenta]],1))</f>
        <v>1</v>
      </c>
      <c r="AL1015" t="b">
        <f>+ISNUMBER(SEARCH('F-VTA'!$F$31,Tabla11[[#This Row],[Cuenta]],1))</f>
        <v>1</v>
      </c>
      <c r="AM1015" t="b">
        <f>+ISNUMBER(SEARCH('F-VTA'!$F$32,Tabla11[[#This Row],[Cuenta]],1))</f>
        <v>1</v>
      </c>
      <c r="AN1015" t="b">
        <f>+ISNUMBER(SEARCH('F-VTA'!$F$33,Tabla11[[#This Row],[Cuenta]],1))</f>
        <v>1</v>
      </c>
      <c r="AO1015" t="b">
        <f>+ISNUMBER(SEARCH('F-VTA'!$F$34,Tabla11[[#This Row],[Cuenta]],1))</f>
        <v>1</v>
      </c>
      <c r="AP1015" t="b">
        <f>+ISNUMBER(SEARCH('F-VTA'!$F$35,Tabla11[[#This Row],[Cuenta]],1))</f>
        <v>1</v>
      </c>
      <c r="AQ1015" t="b">
        <f>+ISNUMBER(SEARCH('F-VTA'!$F$36,Tabla11[[#This Row],[Cuenta]],1))</f>
        <v>1</v>
      </c>
      <c r="AR1015" t="b">
        <f>+ISNUMBER(SEARCH(#REF!,Tabla11[[#This Row],[Cuenta]],1))</f>
        <v>0</v>
      </c>
      <c r="AS1015" t="b">
        <f>+ISNUMBER(SEARCH(#REF!,Tabla11[[#This Row],[Cuenta]],1))</f>
        <v>0</v>
      </c>
      <c r="AT1015" t="b">
        <f>+ISNUMBER(SEARCH(#REF!,Tabla11[[#This Row],[Cuenta]],1))</f>
        <v>0</v>
      </c>
      <c r="AU1015" t="b">
        <f>+ISNUMBER(SEARCH('Conc. Ban.1'!$I$9,Tabla11[[#This Row],[Cuenta]],1))</f>
        <v>0</v>
      </c>
      <c r="AV1015" t="b">
        <f>+ISNUMBER(SEARCH(CompConta!$F$21,Tabla11[[#This Row],[Cuenta]],1))</f>
        <v>1</v>
      </c>
      <c r="AW1015" t="b">
        <f>+ISNUMBER(SEARCH(CompConta!$F$22,Tabla11[[#This Row],[Cuenta]],1))</f>
        <v>1</v>
      </c>
      <c r="AX1015" t="b">
        <f>+ISNUMBER(SEARCH(CompConta!$F$23,Tabla11[[#This Row],[Cuenta]],1))</f>
        <v>1</v>
      </c>
      <c r="AY1015" t="b">
        <f>+ISNUMBER(SEARCH(CompConta!$F$24,Tabla11[[#This Row],[Cuenta]],1))</f>
        <v>1</v>
      </c>
      <c r="AZ1015" t="b">
        <f>+ISNUMBER(SEARCH(CompConta!$F$25,Tabla11[[#This Row],[Cuenta]],1))</f>
        <v>1</v>
      </c>
      <c r="BA1015" t="b">
        <f>+ISNUMBER(SEARCH(CompConta!$F$26,Tabla11[[#This Row],[Cuenta]],1))</f>
        <v>1</v>
      </c>
      <c r="BB1015" t="b">
        <f>+ISNUMBER(SEARCH(CompConta!$F$27,Tabla11[[#This Row],[Cuenta]],1))</f>
        <v>1</v>
      </c>
      <c r="BC1015" t="b">
        <f>+ISNUMBER(SEARCH(CompConta!$F$28,Tabla11[[#This Row],[Cuenta]],1))</f>
        <v>1</v>
      </c>
      <c r="BD1015" t="b">
        <f>+ISNUMBER(SEARCH(CompConta!$F$29,Tabla11[[#This Row],[Cuenta]],1))</f>
        <v>1</v>
      </c>
      <c r="BE1015" t="b">
        <f>+ISNUMBER(SEARCH(CompConta!$F$30,Tabla11[[#This Row],[Cuenta]],1))</f>
        <v>1</v>
      </c>
      <c r="BF1015" t="b">
        <f>+ISNUMBER(SEARCH('PAGO Compras'!$E$11,Tabla11[[#This Row],[Cuenta]],1))</f>
        <v>1</v>
      </c>
      <c r="BG1015" t="b">
        <f>+ISNUMBER(SEARCH(#REF!,Tabla11[[#This Row],[Cuenta]],1))</f>
        <v>0</v>
      </c>
      <c r="BH1015" t="b">
        <f>+ISNUMBER(SEARCH(#REF!,Tabla11[[#This Row],[Cuenta]],1))</f>
        <v>0</v>
      </c>
      <c r="BI1015" t="b">
        <f>+ISNUMBER(SEARCH(#REF!,Tabla11[[#This Row],[Cuenta]],1))</f>
        <v>0</v>
      </c>
      <c r="BJ1015" t="b">
        <f>+ISNUMBER(SEARCH(#REF!,Tabla11[[#This Row],[Cuenta]],1))</f>
        <v>0</v>
      </c>
      <c r="BS1015" t="str">
        <v>523510 Temporales</v>
      </c>
      <c r="BT1015" t="str">
        <v>523510 Temporales</v>
      </c>
      <c r="BU1015" t="str">
        <v>523510 Temporales</v>
      </c>
      <c r="BV1015" t="str">
        <v>523510 Temporales</v>
      </c>
      <c r="BZ1015" t="str">
        <v>523510 Temporales</v>
      </c>
      <c r="CA1015" t="str">
        <v>523510 Temporales</v>
      </c>
      <c r="CB1015" t="str">
        <v>523510 Temporales</v>
      </c>
      <c r="CC1015" t="str">
        <v>523510 Temporales</v>
      </c>
      <c r="CD1015" t="str">
        <v>523510 Temporales</v>
      </c>
      <c r="CE1015" t="str">
        <v>523510 Temporales</v>
      </c>
      <c r="CS1015" s="141" t="str">
        <v>523510 Temporales</v>
      </c>
      <c r="CT1015" s="141" t="str">
        <v>523510 Temporales</v>
      </c>
      <c r="CU1015" s="141" t="str">
        <v>523510 Temporales</v>
      </c>
      <c r="CV1015" s="141" t="str">
        <v>523510 Temporales</v>
      </c>
      <c r="CW1015" s="141" t="str">
        <v>523510 Temporales</v>
      </c>
      <c r="CX1015" s="141" t="str">
        <v>523510 Temporales</v>
      </c>
      <c r="CY1015" s="141" t="str">
        <v>523510 Temporales</v>
      </c>
      <c r="CZ1015" s="141" t="str">
        <v>523510 Temporales</v>
      </c>
      <c r="DA1015" s="141" t="str">
        <v>523510 Temporales</v>
      </c>
      <c r="DF1015" t="str">
        <v>523510 Temporales</v>
      </c>
      <c r="DG1015" t="str">
        <v>523510 Temporales</v>
      </c>
      <c r="DH1015" t="str">
        <v>523510 Temporales</v>
      </c>
      <c r="DI1015" t="str">
        <v>523510 Temporales</v>
      </c>
      <c r="DJ1015" t="str">
        <v>523510 Temporales</v>
      </c>
      <c r="DK1015" t="str">
        <v>523510 Temporales</v>
      </c>
      <c r="DL1015" t="str">
        <v>523510 Temporales</v>
      </c>
      <c r="DM1015" t="str">
        <v>523510 Temporales</v>
      </c>
      <c r="DN1015" t="str">
        <v>523510 Temporales</v>
      </c>
      <c r="DO1015" t="str">
        <v>523510 Temporales</v>
      </c>
      <c r="DP1015" t="str">
        <v>523510 Temporales</v>
      </c>
    </row>
    <row r="1016" spans="4:120" ht="12.75">
      <c r="D1016" s="7">
        <v>523515</v>
      </c>
      <c r="E1016" s="6" t="s">
        <v>527</v>
      </c>
      <c r="F1016" s="5">
        <v>4</v>
      </c>
      <c r="G1016" s="34" t="s">
        <v>830</v>
      </c>
      <c r="H1016" s="8" t="s">
        <v>32</v>
      </c>
      <c r="I1016" t="b">
        <f>+ISNUMBER(SEARCH('F-COMPRA'!$F$28,Tabla11[[#This Row],[Cuenta]],1))</f>
        <v>1</v>
      </c>
      <c r="J1016" t="b">
        <f>+ISNUMBER(SEARCH('F-COMPRA'!$F$29,Tabla11[[#This Row],[Cuenta]],1))</f>
        <v>1</v>
      </c>
      <c r="K1016" t="b">
        <f>+ISNUMBER(SEARCH('F-COMPRA'!$F$30,Tabla11[[#This Row],[Cuenta]],1))</f>
        <v>1</v>
      </c>
      <c r="L1016" t="b">
        <f>+ISNUMBER(SEARCH('F-COMPRA'!$F$31,Tabla11[[#This Row],[Cuenta]],1))</f>
        <v>1</v>
      </c>
      <c r="M1016" t="b">
        <f>+ISNUMBER(SEARCH('F-COMPRA'!$G$25,Tabla11[[#This Row],[Cuenta]],1))</f>
        <v>0</v>
      </c>
      <c r="N1016" t="b">
        <f>+ISNUMBER(SEARCH(#REF!,Tabla11[[#This Row],[Cuenta]],1))</f>
        <v>0</v>
      </c>
      <c r="O1016" t="b">
        <f>+ISNUMBER(SEARCH(#REF!,Tabla11[[#This Row],[Cuenta]],1))</f>
        <v>0</v>
      </c>
      <c r="P1016" t="b">
        <f>+ISNUMBER(SEARCH('F-COMPRA'!$F$32,Tabla11[[#This Row],[Cuenta]],1))</f>
        <v>1</v>
      </c>
      <c r="Q1016" t="b">
        <f>+ISNUMBER(SEARCH('F-COMPRA'!$F$33,Tabla11[[#This Row],[Cuenta]],1))</f>
        <v>1</v>
      </c>
      <c r="R1016" t="b">
        <f>+ISNUMBER(SEARCH('F-COMPRA'!$F$34,Tabla11[[#This Row],[Cuenta]],1))</f>
        <v>1</v>
      </c>
      <c r="S1016" t="b">
        <f>+ISNUMBER(SEARCH('F-COMPRA'!$F$35,Tabla11[[#This Row],[Cuenta]],1))</f>
        <v>1</v>
      </c>
      <c r="T1016" t="b">
        <f>+ISNUMBER(SEARCH('F-COMPRA'!$F$36,Tabla11[[#This Row],[Cuenta]],1))</f>
        <v>1</v>
      </c>
      <c r="U1016" t="b">
        <f>+ISNUMBER(SEARCH('F-COMPRA'!$F$37,Tabla11[[#This Row],[Cuenta]],1))</f>
        <v>1</v>
      </c>
      <c r="V1016" t="b">
        <f>+ISNUMBER(SEARCH(#REF!,Tabla11[[#This Row],[Cuenta]],1))</f>
        <v>0</v>
      </c>
      <c r="W1016" t="b">
        <f>+ISNUMBER(SEARCH('F-COMPRA'!#REF!,Tabla11[[#This Row],[Cuenta]],1))</f>
        <v>0</v>
      </c>
      <c r="X1016" t="b">
        <f>+ISNUMBER(SEARCH('F-COMPRA'!#REF!,Tabla11[[#This Row],[Cuenta]],1))</f>
        <v>0</v>
      </c>
      <c r="Y1016" t="b">
        <f>+ISNUMBER(SEARCH('F-COMPRA'!#REF!,Tabla11[[#This Row],[Cuenta]],1))</f>
        <v>0</v>
      </c>
      <c r="Z1016" t="b">
        <f>+ISNUMBER(SEARCH('F-COMPRA'!#REF!,Tabla11[[#This Row],[Cuenta]],1))</f>
        <v>0</v>
      </c>
      <c r="AA1016" t="b">
        <f>+ISNUMBER(SEARCH('F-COMPRA'!#REF!,Tabla11[[#This Row],[Cuenta]],1))</f>
        <v>0</v>
      </c>
      <c r="AB1016" t="b">
        <f>+ISNUMBER(SEARCH('F-COMPRA'!#REF!,Tabla11[[#This Row],[Cuenta]],1))</f>
        <v>0</v>
      </c>
      <c r="AC1016" t="b">
        <f>+ISNUMBER(SEARCH('F-COMPRA'!#REF!,Tabla11[[#This Row],[Cuenta]],1))</f>
        <v>0</v>
      </c>
      <c r="AD1016" t="b">
        <f>+ISNUMBER(SEARCH('F-COMPRA'!#REF!,Tabla11[[#This Row],[Cuenta]],1))</f>
        <v>0</v>
      </c>
      <c r="AE1016" t="b">
        <f>+ISNUMBER(SEARCH('F-COMPRA'!#REF!,Tabla11[[#This Row],[Cuenta]],1))</f>
        <v>0</v>
      </c>
      <c r="AF1016" t="b">
        <f>+ISNUMBER(SEARCH('F-VTA'!$G$23,Tabla11[[#This Row],[Cuenta]],1))</f>
        <v>0</v>
      </c>
      <c r="AG1016" t="b">
        <f>+ISNUMBER(SEARCH('F-VTA'!$G$24,Tabla11[[#This Row],[Cuenta]],1))</f>
        <v>0</v>
      </c>
      <c r="AH1016" t="b">
        <f>+ISNUMBER(SEARCH('F-VTA'!$G$25,Tabla11[[#This Row],[Cuenta]],1))</f>
        <v>0</v>
      </c>
      <c r="AI1016" t="b">
        <f>+ISNUMBER(SEARCH('F-VTA'!$F$28,Tabla11[[#This Row],[Cuenta]],1))</f>
        <v>1</v>
      </c>
      <c r="AJ1016" t="b">
        <f>+ISNUMBER(SEARCH('F-VTA'!$F$29,Tabla11[[#This Row],[Cuenta]],1))</f>
        <v>1</v>
      </c>
      <c r="AK1016" t="b">
        <f>+ISNUMBER(SEARCH('F-VTA'!$F$30,Tabla11[[#This Row],[Cuenta]],1))</f>
        <v>1</v>
      </c>
      <c r="AL1016" t="b">
        <f>+ISNUMBER(SEARCH('F-VTA'!$F$31,Tabla11[[#This Row],[Cuenta]],1))</f>
        <v>1</v>
      </c>
      <c r="AM1016" t="b">
        <f>+ISNUMBER(SEARCH('F-VTA'!$F$32,Tabla11[[#This Row],[Cuenta]],1))</f>
        <v>1</v>
      </c>
      <c r="AN1016" t="b">
        <f>+ISNUMBER(SEARCH('F-VTA'!$F$33,Tabla11[[#This Row],[Cuenta]],1))</f>
        <v>1</v>
      </c>
      <c r="AO1016" t="b">
        <f>+ISNUMBER(SEARCH('F-VTA'!$F$34,Tabla11[[#This Row],[Cuenta]],1))</f>
        <v>1</v>
      </c>
      <c r="AP1016" t="b">
        <f>+ISNUMBER(SEARCH('F-VTA'!$F$35,Tabla11[[#This Row],[Cuenta]],1))</f>
        <v>1</v>
      </c>
      <c r="AQ1016" t="b">
        <f>+ISNUMBER(SEARCH('F-VTA'!$F$36,Tabla11[[#This Row],[Cuenta]],1))</f>
        <v>1</v>
      </c>
      <c r="AR1016" t="b">
        <f>+ISNUMBER(SEARCH(#REF!,Tabla11[[#This Row],[Cuenta]],1))</f>
        <v>0</v>
      </c>
      <c r="AS1016" t="b">
        <f>+ISNUMBER(SEARCH(#REF!,Tabla11[[#This Row],[Cuenta]],1))</f>
        <v>0</v>
      </c>
      <c r="AT1016" t="b">
        <f>+ISNUMBER(SEARCH(#REF!,Tabla11[[#This Row],[Cuenta]],1))</f>
        <v>0</v>
      </c>
      <c r="AU1016" t="b">
        <f>+ISNUMBER(SEARCH('Conc. Ban.1'!$I$9,Tabla11[[#This Row],[Cuenta]],1))</f>
        <v>0</v>
      </c>
      <c r="AV1016" t="b">
        <f>+ISNUMBER(SEARCH(CompConta!$F$21,Tabla11[[#This Row],[Cuenta]],1))</f>
        <v>1</v>
      </c>
      <c r="AW1016" t="b">
        <f>+ISNUMBER(SEARCH(CompConta!$F$22,Tabla11[[#This Row],[Cuenta]],1))</f>
        <v>1</v>
      </c>
      <c r="AX1016" t="b">
        <f>+ISNUMBER(SEARCH(CompConta!$F$23,Tabla11[[#This Row],[Cuenta]],1))</f>
        <v>1</v>
      </c>
      <c r="AY1016" t="b">
        <f>+ISNUMBER(SEARCH(CompConta!$F$24,Tabla11[[#This Row],[Cuenta]],1))</f>
        <v>1</v>
      </c>
      <c r="AZ1016" t="b">
        <f>+ISNUMBER(SEARCH(CompConta!$F$25,Tabla11[[#This Row],[Cuenta]],1))</f>
        <v>1</v>
      </c>
      <c r="BA1016" t="b">
        <f>+ISNUMBER(SEARCH(CompConta!$F$26,Tabla11[[#This Row],[Cuenta]],1))</f>
        <v>1</v>
      </c>
      <c r="BB1016" t="b">
        <f>+ISNUMBER(SEARCH(CompConta!$F$27,Tabla11[[#This Row],[Cuenta]],1))</f>
        <v>1</v>
      </c>
      <c r="BC1016" t="b">
        <f>+ISNUMBER(SEARCH(CompConta!$F$28,Tabla11[[#This Row],[Cuenta]],1))</f>
        <v>1</v>
      </c>
      <c r="BD1016" t="b">
        <f>+ISNUMBER(SEARCH(CompConta!$F$29,Tabla11[[#This Row],[Cuenta]],1))</f>
        <v>1</v>
      </c>
      <c r="BE1016" t="b">
        <f>+ISNUMBER(SEARCH(CompConta!$F$30,Tabla11[[#This Row],[Cuenta]],1))</f>
        <v>1</v>
      </c>
      <c r="BF1016" t="b">
        <f>+ISNUMBER(SEARCH('PAGO Compras'!$E$11,Tabla11[[#This Row],[Cuenta]],1))</f>
        <v>1</v>
      </c>
      <c r="BG1016" t="b">
        <f>+ISNUMBER(SEARCH(#REF!,Tabla11[[#This Row],[Cuenta]],1))</f>
        <v>0</v>
      </c>
      <c r="BH1016" t="b">
        <f>+ISNUMBER(SEARCH(#REF!,Tabla11[[#This Row],[Cuenta]],1))</f>
        <v>0</v>
      </c>
      <c r="BI1016" t="b">
        <f>+ISNUMBER(SEARCH(#REF!,Tabla11[[#This Row],[Cuenta]],1))</f>
        <v>0</v>
      </c>
      <c r="BJ1016" t="b">
        <f>+ISNUMBER(SEARCH(#REF!,Tabla11[[#This Row],[Cuenta]],1))</f>
        <v>0</v>
      </c>
      <c r="BS1016" t="str">
        <v>523515 Asistencia técnica</v>
      </c>
      <c r="BT1016" t="str">
        <v>523515 Asistencia técnica</v>
      </c>
      <c r="BU1016" t="str">
        <v>523515 Asistencia técnica</v>
      </c>
      <c r="BV1016" t="str">
        <v>523515 Asistencia técnica</v>
      </c>
      <c r="BZ1016" t="str">
        <v>523515 Asistencia técnica</v>
      </c>
      <c r="CA1016" t="str">
        <v>523515 Asistencia técnica</v>
      </c>
      <c r="CB1016" t="str">
        <v>523515 Asistencia técnica</v>
      </c>
      <c r="CC1016" t="str">
        <v>523515 Asistencia técnica</v>
      </c>
      <c r="CD1016" t="str">
        <v>523515 Asistencia técnica</v>
      </c>
      <c r="CE1016" t="str">
        <v>523515 Asistencia técnica</v>
      </c>
      <c r="CS1016" s="141" t="str">
        <v>523515 Asistencia técnica</v>
      </c>
      <c r="CT1016" s="141" t="str">
        <v>523515 Asistencia técnica</v>
      </c>
      <c r="CU1016" s="141" t="str">
        <v>523515 Asistencia técnica</v>
      </c>
      <c r="CV1016" s="141" t="str">
        <v>523515 Asistencia técnica</v>
      </c>
      <c r="CW1016" s="141" t="str">
        <v>523515 Asistencia técnica</v>
      </c>
      <c r="CX1016" s="141" t="str">
        <v>523515 Asistencia técnica</v>
      </c>
      <c r="CY1016" s="141" t="str">
        <v>523515 Asistencia técnica</v>
      </c>
      <c r="CZ1016" s="141" t="str">
        <v>523515 Asistencia técnica</v>
      </c>
      <c r="DA1016" s="141" t="str">
        <v>523515 Asistencia técnica</v>
      </c>
      <c r="DF1016" t="str">
        <v>523515 Asistencia técnica</v>
      </c>
      <c r="DG1016" t="str">
        <v>523515 Asistencia técnica</v>
      </c>
      <c r="DH1016" t="str">
        <v>523515 Asistencia técnica</v>
      </c>
      <c r="DI1016" t="str">
        <v>523515 Asistencia técnica</v>
      </c>
      <c r="DJ1016" t="str">
        <v>523515 Asistencia técnica</v>
      </c>
      <c r="DK1016" t="str">
        <v>523515 Asistencia técnica</v>
      </c>
      <c r="DL1016" t="str">
        <v>523515 Asistencia técnica</v>
      </c>
      <c r="DM1016" t="str">
        <v>523515 Asistencia técnica</v>
      </c>
      <c r="DN1016" t="str">
        <v>523515 Asistencia técnica</v>
      </c>
      <c r="DO1016" t="str">
        <v>523515 Asistencia técnica</v>
      </c>
      <c r="DP1016" t="str">
        <v>523515 Asistencia técnica</v>
      </c>
    </row>
    <row r="1017" spans="4:120" ht="12.75">
      <c r="D1017" s="7">
        <v>523520</v>
      </c>
      <c r="E1017" s="6" t="s">
        <v>588</v>
      </c>
      <c r="F1017" s="5">
        <v>4</v>
      </c>
      <c r="G1017" s="34" t="s">
        <v>830</v>
      </c>
      <c r="H1017" s="8" t="s">
        <v>32</v>
      </c>
      <c r="I1017" t="b">
        <f>+ISNUMBER(SEARCH('F-COMPRA'!$F$28,Tabla11[[#This Row],[Cuenta]],1))</f>
        <v>1</v>
      </c>
      <c r="J1017" t="b">
        <f>+ISNUMBER(SEARCH('F-COMPRA'!$F$29,Tabla11[[#This Row],[Cuenta]],1))</f>
        <v>1</v>
      </c>
      <c r="K1017" t="b">
        <f>+ISNUMBER(SEARCH('F-COMPRA'!$F$30,Tabla11[[#This Row],[Cuenta]],1))</f>
        <v>1</v>
      </c>
      <c r="L1017" t="b">
        <f>+ISNUMBER(SEARCH('F-COMPRA'!$F$31,Tabla11[[#This Row],[Cuenta]],1))</f>
        <v>1</v>
      </c>
      <c r="M1017" t="b">
        <f>+ISNUMBER(SEARCH('F-COMPRA'!$G$25,Tabla11[[#This Row],[Cuenta]],1))</f>
        <v>0</v>
      </c>
      <c r="N1017" t="b">
        <f>+ISNUMBER(SEARCH(#REF!,Tabla11[[#This Row],[Cuenta]],1))</f>
        <v>0</v>
      </c>
      <c r="O1017" t="b">
        <f>+ISNUMBER(SEARCH(#REF!,Tabla11[[#This Row],[Cuenta]],1))</f>
        <v>0</v>
      </c>
      <c r="P1017" t="b">
        <f>+ISNUMBER(SEARCH('F-COMPRA'!$F$32,Tabla11[[#This Row],[Cuenta]],1))</f>
        <v>1</v>
      </c>
      <c r="Q1017" t="b">
        <f>+ISNUMBER(SEARCH('F-COMPRA'!$F$33,Tabla11[[#This Row],[Cuenta]],1))</f>
        <v>1</v>
      </c>
      <c r="R1017" t="b">
        <f>+ISNUMBER(SEARCH('F-COMPRA'!$F$34,Tabla11[[#This Row],[Cuenta]],1))</f>
        <v>1</v>
      </c>
      <c r="S1017" t="b">
        <f>+ISNUMBER(SEARCH('F-COMPRA'!$F$35,Tabla11[[#This Row],[Cuenta]],1))</f>
        <v>1</v>
      </c>
      <c r="T1017" t="b">
        <f>+ISNUMBER(SEARCH('F-COMPRA'!$F$36,Tabla11[[#This Row],[Cuenta]],1))</f>
        <v>1</v>
      </c>
      <c r="U1017" t="b">
        <f>+ISNUMBER(SEARCH('F-COMPRA'!$F$37,Tabla11[[#This Row],[Cuenta]],1))</f>
        <v>1</v>
      </c>
      <c r="V1017" t="b">
        <f>+ISNUMBER(SEARCH(#REF!,Tabla11[[#This Row],[Cuenta]],1))</f>
        <v>0</v>
      </c>
      <c r="W1017" t="b">
        <f>+ISNUMBER(SEARCH('F-COMPRA'!#REF!,Tabla11[[#This Row],[Cuenta]],1))</f>
        <v>0</v>
      </c>
      <c r="X1017" t="b">
        <f>+ISNUMBER(SEARCH('F-COMPRA'!#REF!,Tabla11[[#This Row],[Cuenta]],1))</f>
        <v>0</v>
      </c>
      <c r="Y1017" t="b">
        <f>+ISNUMBER(SEARCH('F-COMPRA'!#REF!,Tabla11[[#This Row],[Cuenta]],1))</f>
        <v>0</v>
      </c>
      <c r="Z1017" t="b">
        <f>+ISNUMBER(SEARCH('F-COMPRA'!#REF!,Tabla11[[#This Row],[Cuenta]],1))</f>
        <v>0</v>
      </c>
      <c r="AA1017" t="b">
        <f>+ISNUMBER(SEARCH('F-COMPRA'!#REF!,Tabla11[[#This Row],[Cuenta]],1))</f>
        <v>0</v>
      </c>
      <c r="AB1017" t="b">
        <f>+ISNUMBER(SEARCH('F-COMPRA'!#REF!,Tabla11[[#This Row],[Cuenta]],1))</f>
        <v>0</v>
      </c>
      <c r="AC1017" t="b">
        <f>+ISNUMBER(SEARCH('F-COMPRA'!#REF!,Tabla11[[#This Row],[Cuenta]],1))</f>
        <v>0</v>
      </c>
      <c r="AD1017" t="b">
        <f>+ISNUMBER(SEARCH('F-COMPRA'!#REF!,Tabla11[[#This Row],[Cuenta]],1))</f>
        <v>0</v>
      </c>
      <c r="AE1017" t="b">
        <f>+ISNUMBER(SEARCH('F-COMPRA'!#REF!,Tabla11[[#This Row],[Cuenta]],1))</f>
        <v>0</v>
      </c>
      <c r="AF1017" t="b">
        <f>+ISNUMBER(SEARCH('F-VTA'!$G$23,Tabla11[[#This Row],[Cuenta]],1))</f>
        <v>0</v>
      </c>
      <c r="AG1017" t="b">
        <f>+ISNUMBER(SEARCH('F-VTA'!$G$24,Tabla11[[#This Row],[Cuenta]],1))</f>
        <v>0</v>
      </c>
      <c r="AH1017" t="b">
        <f>+ISNUMBER(SEARCH('F-VTA'!$G$25,Tabla11[[#This Row],[Cuenta]],1))</f>
        <v>0</v>
      </c>
      <c r="AI1017" t="b">
        <f>+ISNUMBER(SEARCH('F-VTA'!$F$28,Tabla11[[#This Row],[Cuenta]],1))</f>
        <v>1</v>
      </c>
      <c r="AJ1017" t="b">
        <f>+ISNUMBER(SEARCH('F-VTA'!$F$29,Tabla11[[#This Row],[Cuenta]],1))</f>
        <v>1</v>
      </c>
      <c r="AK1017" t="b">
        <f>+ISNUMBER(SEARCH('F-VTA'!$F$30,Tabla11[[#This Row],[Cuenta]],1))</f>
        <v>1</v>
      </c>
      <c r="AL1017" t="b">
        <f>+ISNUMBER(SEARCH('F-VTA'!$F$31,Tabla11[[#This Row],[Cuenta]],1))</f>
        <v>1</v>
      </c>
      <c r="AM1017" t="b">
        <f>+ISNUMBER(SEARCH('F-VTA'!$F$32,Tabla11[[#This Row],[Cuenta]],1))</f>
        <v>1</v>
      </c>
      <c r="AN1017" t="b">
        <f>+ISNUMBER(SEARCH('F-VTA'!$F$33,Tabla11[[#This Row],[Cuenta]],1))</f>
        <v>1</v>
      </c>
      <c r="AO1017" t="b">
        <f>+ISNUMBER(SEARCH('F-VTA'!$F$34,Tabla11[[#This Row],[Cuenta]],1))</f>
        <v>1</v>
      </c>
      <c r="AP1017" t="b">
        <f>+ISNUMBER(SEARCH('F-VTA'!$F$35,Tabla11[[#This Row],[Cuenta]],1))</f>
        <v>1</v>
      </c>
      <c r="AQ1017" t="b">
        <f>+ISNUMBER(SEARCH('F-VTA'!$F$36,Tabla11[[#This Row],[Cuenta]],1))</f>
        <v>1</v>
      </c>
      <c r="AR1017" t="b">
        <f>+ISNUMBER(SEARCH(#REF!,Tabla11[[#This Row],[Cuenta]],1))</f>
        <v>0</v>
      </c>
      <c r="AS1017" t="b">
        <f>+ISNUMBER(SEARCH(#REF!,Tabla11[[#This Row],[Cuenta]],1))</f>
        <v>0</v>
      </c>
      <c r="AT1017" t="b">
        <f>+ISNUMBER(SEARCH(#REF!,Tabla11[[#This Row],[Cuenta]],1))</f>
        <v>0</v>
      </c>
      <c r="AU1017" t="b">
        <f>+ISNUMBER(SEARCH('Conc. Ban.1'!$I$9,Tabla11[[#This Row],[Cuenta]],1))</f>
        <v>0</v>
      </c>
      <c r="AV1017" t="b">
        <f>+ISNUMBER(SEARCH(CompConta!$F$21,Tabla11[[#This Row],[Cuenta]],1))</f>
        <v>1</v>
      </c>
      <c r="AW1017" t="b">
        <f>+ISNUMBER(SEARCH(CompConta!$F$22,Tabla11[[#This Row],[Cuenta]],1))</f>
        <v>1</v>
      </c>
      <c r="AX1017" t="b">
        <f>+ISNUMBER(SEARCH(CompConta!$F$23,Tabla11[[#This Row],[Cuenta]],1))</f>
        <v>1</v>
      </c>
      <c r="AY1017" t="b">
        <f>+ISNUMBER(SEARCH(CompConta!$F$24,Tabla11[[#This Row],[Cuenta]],1))</f>
        <v>1</v>
      </c>
      <c r="AZ1017" t="b">
        <f>+ISNUMBER(SEARCH(CompConta!$F$25,Tabla11[[#This Row],[Cuenta]],1))</f>
        <v>1</v>
      </c>
      <c r="BA1017" t="b">
        <f>+ISNUMBER(SEARCH(CompConta!$F$26,Tabla11[[#This Row],[Cuenta]],1))</f>
        <v>1</v>
      </c>
      <c r="BB1017" t="b">
        <f>+ISNUMBER(SEARCH(CompConta!$F$27,Tabla11[[#This Row],[Cuenta]],1))</f>
        <v>1</v>
      </c>
      <c r="BC1017" t="b">
        <f>+ISNUMBER(SEARCH(CompConta!$F$28,Tabla11[[#This Row],[Cuenta]],1))</f>
        <v>1</v>
      </c>
      <c r="BD1017" t="b">
        <f>+ISNUMBER(SEARCH(CompConta!$F$29,Tabla11[[#This Row],[Cuenta]],1))</f>
        <v>1</v>
      </c>
      <c r="BE1017" t="b">
        <f>+ISNUMBER(SEARCH(CompConta!$F$30,Tabla11[[#This Row],[Cuenta]],1))</f>
        <v>1</v>
      </c>
      <c r="BF1017" t="b">
        <f>+ISNUMBER(SEARCH('PAGO Compras'!$E$11,Tabla11[[#This Row],[Cuenta]],1))</f>
        <v>1</v>
      </c>
      <c r="BG1017" t="b">
        <f>+ISNUMBER(SEARCH(#REF!,Tabla11[[#This Row],[Cuenta]],1))</f>
        <v>0</v>
      </c>
      <c r="BH1017" t="b">
        <f>+ISNUMBER(SEARCH(#REF!,Tabla11[[#This Row],[Cuenta]],1))</f>
        <v>0</v>
      </c>
      <c r="BI1017" t="b">
        <f>+ISNUMBER(SEARCH(#REF!,Tabla11[[#This Row],[Cuenta]],1))</f>
        <v>0</v>
      </c>
      <c r="BJ1017" t="b">
        <f>+ISNUMBER(SEARCH(#REF!,Tabla11[[#This Row],[Cuenta]],1))</f>
        <v>0</v>
      </c>
      <c r="BS1017" t="str">
        <v>523520 Procesamiento electrónico de datos</v>
      </c>
      <c r="BT1017" t="str">
        <v>523520 Procesamiento electrónico de datos</v>
      </c>
      <c r="BU1017" t="str">
        <v>523520 Procesamiento electrónico de datos</v>
      </c>
      <c r="BV1017" t="str">
        <v>523520 Procesamiento electrónico de datos</v>
      </c>
      <c r="BZ1017" t="str">
        <v>523520 Procesamiento electrónico de datos</v>
      </c>
      <c r="CA1017" t="str">
        <v>523520 Procesamiento electrónico de datos</v>
      </c>
      <c r="CB1017" t="str">
        <v>523520 Procesamiento electrónico de datos</v>
      </c>
      <c r="CC1017" t="str">
        <v>523520 Procesamiento electrónico de datos</v>
      </c>
      <c r="CD1017" t="str">
        <v>523520 Procesamiento electrónico de datos</v>
      </c>
      <c r="CE1017" t="str">
        <v>523520 Procesamiento electrónico de datos</v>
      </c>
      <c r="CS1017" s="141" t="str">
        <v>523520 Procesamiento electrónico de datos</v>
      </c>
      <c r="CT1017" s="141" t="str">
        <v>523520 Procesamiento electrónico de datos</v>
      </c>
      <c r="CU1017" s="141" t="str">
        <v>523520 Procesamiento electrónico de datos</v>
      </c>
      <c r="CV1017" s="141" t="str">
        <v>523520 Procesamiento electrónico de datos</v>
      </c>
      <c r="CW1017" s="141" t="str">
        <v>523520 Procesamiento electrónico de datos</v>
      </c>
      <c r="CX1017" s="141" t="str">
        <v>523520 Procesamiento electrónico de datos</v>
      </c>
      <c r="CY1017" s="141" t="str">
        <v>523520 Procesamiento electrónico de datos</v>
      </c>
      <c r="CZ1017" s="141" t="str">
        <v>523520 Procesamiento electrónico de datos</v>
      </c>
      <c r="DA1017" s="141" t="str">
        <v>523520 Procesamiento electrónico de datos</v>
      </c>
      <c r="DF1017" t="str">
        <v>523520 Procesamiento electrónico de datos</v>
      </c>
      <c r="DG1017" t="str">
        <v>523520 Procesamiento electrónico de datos</v>
      </c>
      <c r="DH1017" t="str">
        <v>523520 Procesamiento electrónico de datos</v>
      </c>
      <c r="DI1017" t="str">
        <v>523520 Procesamiento electrónico de datos</v>
      </c>
      <c r="DJ1017" t="str">
        <v>523520 Procesamiento electrónico de datos</v>
      </c>
      <c r="DK1017" t="str">
        <v>523520 Procesamiento electrónico de datos</v>
      </c>
      <c r="DL1017" t="str">
        <v>523520 Procesamiento electrónico de datos</v>
      </c>
      <c r="DM1017" t="str">
        <v>523520 Procesamiento electrónico de datos</v>
      </c>
      <c r="DN1017" t="str">
        <v>523520 Procesamiento electrónico de datos</v>
      </c>
      <c r="DO1017" t="str">
        <v>523520 Procesamiento electrónico de datos</v>
      </c>
      <c r="DP1017" t="str">
        <v>523520 Procesamiento electrónico de datos</v>
      </c>
    </row>
    <row r="1018" spans="4:120" ht="12.75">
      <c r="D1018" s="7">
        <v>523525</v>
      </c>
      <c r="E1018" s="6" t="s">
        <v>413</v>
      </c>
      <c r="F1018" s="5">
        <v>4</v>
      </c>
      <c r="G1018" s="34" t="s">
        <v>830</v>
      </c>
      <c r="H1018" s="8" t="s">
        <v>32</v>
      </c>
      <c r="I1018" t="b">
        <f>+ISNUMBER(SEARCH('F-COMPRA'!$F$28,Tabla11[[#This Row],[Cuenta]],1))</f>
        <v>1</v>
      </c>
      <c r="J1018" t="b">
        <f>+ISNUMBER(SEARCH('F-COMPRA'!$F$29,Tabla11[[#This Row],[Cuenta]],1))</f>
        <v>1</v>
      </c>
      <c r="K1018" t="b">
        <f>+ISNUMBER(SEARCH('F-COMPRA'!$F$30,Tabla11[[#This Row],[Cuenta]],1))</f>
        <v>1</v>
      </c>
      <c r="L1018" t="b">
        <f>+ISNUMBER(SEARCH('F-COMPRA'!$F$31,Tabla11[[#This Row],[Cuenta]],1))</f>
        <v>1</v>
      </c>
      <c r="M1018" t="b">
        <f>+ISNUMBER(SEARCH('F-COMPRA'!$G$25,Tabla11[[#This Row],[Cuenta]],1))</f>
        <v>0</v>
      </c>
      <c r="N1018" t="b">
        <f>+ISNUMBER(SEARCH(#REF!,Tabla11[[#This Row],[Cuenta]],1))</f>
        <v>0</v>
      </c>
      <c r="O1018" t="b">
        <f>+ISNUMBER(SEARCH(#REF!,Tabla11[[#This Row],[Cuenta]],1))</f>
        <v>0</v>
      </c>
      <c r="P1018" t="b">
        <f>+ISNUMBER(SEARCH('F-COMPRA'!$F$32,Tabla11[[#This Row],[Cuenta]],1))</f>
        <v>1</v>
      </c>
      <c r="Q1018" t="b">
        <f>+ISNUMBER(SEARCH('F-COMPRA'!$F$33,Tabla11[[#This Row],[Cuenta]],1))</f>
        <v>1</v>
      </c>
      <c r="R1018" t="b">
        <f>+ISNUMBER(SEARCH('F-COMPRA'!$F$34,Tabla11[[#This Row],[Cuenta]],1))</f>
        <v>1</v>
      </c>
      <c r="S1018" t="b">
        <f>+ISNUMBER(SEARCH('F-COMPRA'!$F$35,Tabla11[[#This Row],[Cuenta]],1))</f>
        <v>1</v>
      </c>
      <c r="T1018" t="b">
        <f>+ISNUMBER(SEARCH('F-COMPRA'!$F$36,Tabla11[[#This Row],[Cuenta]],1))</f>
        <v>1</v>
      </c>
      <c r="U1018" t="b">
        <f>+ISNUMBER(SEARCH('F-COMPRA'!$F$37,Tabla11[[#This Row],[Cuenta]],1))</f>
        <v>1</v>
      </c>
      <c r="V1018" t="b">
        <f>+ISNUMBER(SEARCH(#REF!,Tabla11[[#This Row],[Cuenta]],1))</f>
        <v>0</v>
      </c>
      <c r="W1018" t="b">
        <f>+ISNUMBER(SEARCH('F-COMPRA'!#REF!,Tabla11[[#This Row],[Cuenta]],1))</f>
        <v>0</v>
      </c>
      <c r="X1018" t="b">
        <f>+ISNUMBER(SEARCH('F-COMPRA'!#REF!,Tabla11[[#This Row],[Cuenta]],1))</f>
        <v>0</v>
      </c>
      <c r="Y1018" t="b">
        <f>+ISNUMBER(SEARCH('F-COMPRA'!#REF!,Tabla11[[#This Row],[Cuenta]],1))</f>
        <v>0</v>
      </c>
      <c r="Z1018" t="b">
        <f>+ISNUMBER(SEARCH('F-COMPRA'!#REF!,Tabla11[[#This Row],[Cuenta]],1))</f>
        <v>0</v>
      </c>
      <c r="AA1018" t="b">
        <f>+ISNUMBER(SEARCH('F-COMPRA'!#REF!,Tabla11[[#This Row],[Cuenta]],1))</f>
        <v>0</v>
      </c>
      <c r="AB1018" t="b">
        <f>+ISNUMBER(SEARCH('F-COMPRA'!#REF!,Tabla11[[#This Row],[Cuenta]],1))</f>
        <v>0</v>
      </c>
      <c r="AC1018" t="b">
        <f>+ISNUMBER(SEARCH('F-COMPRA'!#REF!,Tabla11[[#This Row],[Cuenta]],1))</f>
        <v>0</v>
      </c>
      <c r="AD1018" t="b">
        <f>+ISNUMBER(SEARCH('F-COMPRA'!#REF!,Tabla11[[#This Row],[Cuenta]],1))</f>
        <v>0</v>
      </c>
      <c r="AE1018" t="b">
        <f>+ISNUMBER(SEARCH('F-COMPRA'!#REF!,Tabla11[[#This Row],[Cuenta]],1))</f>
        <v>0</v>
      </c>
      <c r="AF1018" t="b">
        <f>+ISNUMBER(SEARCH('F-VTA'!$G$23,Tabla11[[#This Row],[Cuenta]],1))</f>
        <v>0</v>
      </c>
      <c r="AG1018" t="b">
        <f>+ISNUMBER(SEARCH('F-VTA'!$G$24,Tabla11[[#This Row],[Cuenta]],1))</f>
        <v>0</v>
      </c>
      <c r="AH1018" t="b">
        <f>+ISNUMBER(SEARCH('F-VTA'!$G$25,Tabla11[[#This Row],[Cuenta]],1))</f>
        <v>0</v>
      </c>
      <c r="AI1018" t="b">
        <f>+ISNUMBER(SEARCH('F-VTA'!$F$28,Tabla11[[#This Row],[Cuenta]],1))</f>
        <v>1</v>
      </c>
      <c r="AJ1018" t="b">
        <f>+ISNUMBER(SEARCH('F-VTA'!$F$29,Tabla11[[#This Row],[Cuenta]],1))</f>
        <v>1</v>
      </c>
      <c r="AK1018" t="b">
        <f>+ISNUMBER(SEARCH('F-VTA'!$F$30,Tabla11[[#This Row],[Cuenta]],1))</f>
        <v>1</v>
      </c>
      <c r="AL1018" t="b">
        <f>+ISNUMBER(SEARCH('F-VTA'!$F$31,Tabla11[[#This Row],[Cuenta]],1))</f>
        <v>1</v>
      </c>
      <c r="AM1018" t="b">
        <f>+ISNUMBER(SEARCH('F-VTA'!$F$32,Tabla11[[#This Row],[Cuenta]],1))</f>
        <v>1</v>
      </c>
      <c r="AN1018" t="b">
        <f>+ISNUMBER(SEARCH('F-VTA'!$F$33,Tabla11[[#This Row],[Cuenta]],1))</f>
        <v>1</v>
      </c>
      <c r="AO1018" t="b">
        <f>+ISNUMBER(SEARCH('F-VTA'!$F$34,Tabla11[[#This Row],[Cuenta]],1))</f>
        <v>1</v>
      </c>
      <c r="AP1018" t="b">
        <f>+ISNUMBER(SEARCH('F-VTA'!$F$35,Tabla11[[#This Row],[Cuenta]],1))</f>
        <v>1</v>
      </c>
      <c r="AQ1018" t="b">
        <f>+ISNUMBER(SEARCH('F-VTA'!$F$36,Tabla11[[#This Row],[Cuenta]],1))</f>
        <v>1</v>
      </c>
      <c r="AR1018" t="b">
        <f>+ISNUMBER(SEARCH(#REF!,Tabla11[[#This Row],[Cuenta]],1))</f>
        <v>0</v>
      </c>
      <c r="AS1018" t="b">
        <f>+ISNUMBER(SEARCH(#REF!,Tabla11[[#This Row],[Cuenta]],1))</f>
        <v>0</v>
      </c>
      <c r="AT1018" t="b">
        <f>+ISNUMBER(SEARCH(#REF!,Tabla11[[#This Row],[Cuenta]],1))</f>
        <v>0</v>
      </c>
      <c r="AU1018" t="b">
        <f>+ISNUMBER(SEARCH('Conc. Ban.1'!$I$9,Tabla11[[#This Row],[Cuenta]],1))</f>
        <v>0</v>
      </c>
      <c r="AV1018" t="b">
        <f>+ISNUMBER(SEARCH(CompConta!$F$21,Tabla11[[#This Row],[Cuenta]],1))</f>
        <v>1</v>
      </c>
      <c r="AW1018" t="b">
        <f>+ISNUMBER(SEARCH(CompConta!$F$22,Tabla11[[#This Row],[Cuenta]],1))</f>
        <v>1</v>
      </c>
      <c r="AX1018" t="b">
        <f>+ISNUMBER(SEARCH(CompConta!$F$23,Tabla11[[#This Row],[Cuenta]],1))</f>
        <v>1</v>
      </c>
      <c r="AY1018" t="b">
        <f>+ISNUMBER(SEARCH(CompConta!$F$24,Tabla11[[#This Row],[Cuenta]],1))</f>
        <v>1</v>
      </c>
      <c r="AZ1018" t="b">
        <f>+ISNUMBER(SEARCH(CompConta!$F$25,Tabla11[[#This Row],[Cuenta]],1))</f>
        <v>1</v>
      </c>
      <c r="BA1018" t="b">
        <f>+ISNUMBER(SEARCH(CompConta!$F$26,Tabla11[[#This Row],[Cuenta]],1))</f>
        <v>1</v>
      </c>
      <c r="BB1018" t="b">
        <f>+ISNUMBER(SEARCH(CompConta!$F$27,Tabla11[[#This Row],[Cuenta]],1))</f>
        <v>1</v>
      </c>
      <c r="BC1018" t="b">
        <f>+ISNUMBER(SEARCH(CompConta!$F$28,Tabla11[[#This Row],[Cuenta]],1))</f>
        <v>1</v>
      </c>
      <c r="BD1018" t="b">
        <f>+ISNUMBER(SEARCH(CompConta!$F$29,Tabla11[[#This Row],[Cuenta]],1))</f>
        <v>1</v>
      </c>
      <c r="BE1018" t="b">
        <f>+ISNUMBER(SEARCH(CompConta!$F$30,Tabla11[[#This Row],[Cuenta]],1))</f>
        <v>1</v>
      </c>
      <c r="BF1018" t="b">
        <f>+ISNUMBER(SEARCH('PAGO Compras'!$E$11,Tabla11[[#This Row],[Cuenta]],1))</f>
        <v>1</v>
      </c>
      <c r="BG1018" t="b">
        <f>+ISNUMBER(SEARCH(#REF!,Tabla11[[#This Row],[Cuenta]],1))</f>
        <v>0</v>
      </c>
      <c r="BH1018" t="b">
        <f>+ISNUMBER(SEARCH(#REF!,Tabla11[[#This Row],[Cuenta]],1))</f>
        <v>0</v>
      </c>
      <c r="BI1018" t="b">
        <f>+ISNUMBER(SEARCH(#REF!,Tabla11[[#This Row],[Cuenta]],1))</f>
        <v>0</v>
      </c>
      <c r="BJ1018" t="b">
        <f>+ISNUMBER(SEARCH(#REF!,Tabla11[[#This Row],[Cuenta]],1))</f>
        <v>0</v>
      </c>
      <c r="BS1018" t="str">
        <v>523525 Acueducto y alcantarillado</v>
      </c>
      <c r="BT1018" t="str">
        <v>523525 Acueducto y alcantarillado</v>
      </c>
      <c r="BU1018" t="str">
        <v>523525 Acueducto y alcantarillado</v>
      </c>
      <c r="BV1018" t="str">
        <v>523525 Acueducto y alcantarillado</v>
      </c>
      <c r="BZ1018" t="str">
        <v>523525 Acueducto y alcantarillado</v>
      </c>
      <c r="CA1018" t="str">
        <v>523525 Acueducto y alcantarillado</v>
      </c>
      <c r="CB1018" t="str">
        <v>523525 Acueducto y alcantarillado</v>
      </c>
      <c r="CC1018" t="str">
        <v>523525 Acueducto y alcantarillado</v>
      </c>
      <c r="CD1018" t="str">
        <v>523525 Acueducto y alcantarillado</v>
      </c>
      <c r="CE1018" t="str">
        <v>523525 Acueducto y alcantarillado</v>
      </c>
      <c r="CS1018" s="141" t="str">
        <v>523525 Acueducto y alcantarillado</v>
      </c>
      <c r="CT1018" s="141" t="str">
        <v>523525 Acueducto y alcantarillado</v>
      </c>
      <c r="CU1018" s="141" t="str">
        <v>523525 Acueducto y alcantarillado</v>
      </c>
      <c r="CV1018" s="141" t="str">
        <v>523525 Acueducto y alcantarillado</v>
      </c>
      <c r="CW1018" s="141" t="str">
        <v>523525 Acueducto y alcantarillado</v>
      </c>
      <c r="CX1018" s="141" t="str">
        <v>523525 Acueducto y alcantarillado</v>
      </c>
      <c r="CY1018" s="141" t="str">
        <v>523525 Acueducto y alcantarillado</v>
      </c>
      <c r="CZ1018" s="141" t="str">
        <v>523525 Acueducto y alcantarillado</v>
      </c>
      <c r="DA1018" s="141" t="str">
        <v>523525 Acueducto y alcantarillado</v>
      </c>
      <c r="DF1018" t="str">
        <v>523525 Acueducto y alcantarillado</v>
      </c>
      <c r="DG1018" t="str">
        <v>523525 Acueducto y alcantarillado</v>
      </c>
      <c r="DH1018" t="str">
        <v>523525 Acueducto y alcantarillado</v>
      </c>
      <c r="DI1018" t="str">
        <v>523525 Acueducto y alcantarillado</v>
      </c>
      <c r="DJ1018" t="str">
        <v>523525 Acueducto y alcantarillado</v>
      </c>
      <c r="DK1018" t="str">
        <v>523525 Acueducto y alcantarillado</v>
      </c>
      <c r="DL1018" t="str">
        <v>523525 Acueducto y alcantarillado</v>
      </c>
      <c r="DM1018" t="str">
        <v>523525 Acueducto y alcantarillado</v>
      </c>
      <c r="DN1018" t="str">
        <v>523525 Acueducto y alcantarillado</v>
      </c>
      <c r="DO1018" t="str">
        <v>523525 Acueducto y alcantarillado</v>
      </c>
      <c r="DP1018" t="str">
        <v>523525 Acueducto y alcantarillado</v>
      </c>
    </row>
    <row r="1019" spans="4:120" ht="12.75">
      <c r="D1019" s="7">
        <v>523530</v>
      </c>
      <c r="E1019" s="6" t="s">
        <v>414</v>
      </c>
      <c r="F1019" s="5">
        <v>4</v>
      </c>
      <c r="G1019" s="34" t="s">
        <v>830</v>
      </c>
      <c r="H1019" s="8" t="s">
        <v>32</v>
      </c>
      <c r="I1019" t="b">
        <f>+ISNUMBER(SEARCH('F-COMPRA'!$F$28,Tabla11[[#This Row],[Cuenta]],1))</f>
        <v>1</v>
      </c>
      <c r="J1019" t="b">
        <f>+ISNUMBER(SEARCH('F-COMPRA'!$F$29,Tabla11[[#This Row],[Cuenta]],1))</f>
        <v>1</v>
      </c>
      <c r="K1019" t="b">
        <f>+ISNUMBER(SEARCH('F-COMPRA'!$F$30,Tabla11[[#This Row],[Cuenta]],1))</f>
        <v>1</v>
      </c>
      <c r="L1019" t="b">
        <f>+ISNUMBER(SEARCH('F-COMPRA'!$F$31,Tabla11[[#This Row],[Cuenta]],1))</f>
        <v>1</v>
      </c>
      <c r="M1019" t="b">
        <f>+ISNUMBER(SEARCH('F-COMPRA'!$G$25,Tabla11[[#This Row],[Cuenta]],1))</f>
        <v>0</v>
      </c>
      <c r="N1019" t="b">
        <f>+ISNUMBER(SEARCH(#REF!,Tabla11[[#This Row],[Cuenta]],1))</f>
        <v>0</v>
      </c>
      <c r="O1019" t="b">
        <f>+ISNUMBER(SEARCH(#REF!,Tabla11[[#This Row],[Cuenta]],1))</f>
        <v>0</v>
      </c>
      <c r="P1019" t="b">
        <f>+ISNUMBER(SEARCH('F-COMPRA'!$F$32,Tabla11[[#This Row],[Cuenta]],1))</f>
        <v>1</v>
      </c>
      <c r="Q1019" t="b">
        <f>+ISNUMBER(SEARCH('F-COMPRA'!$F$33,Tabla11[[#This Row],[Cuenta]],1))</f>
        <v>1</v>
      </c>
      <c r="R1019" t="b">
        <f>+ISNUMBER(SEARCH('F-COMPRA'!$F$34,Tabla11[[#This Row],[Cuenta]],1))</f>
        <v>1</v>
      </c>
      <c r="S1019" t="b">
        <f>+ISNUMBER(SEARCH('F-COMPRA'!$F$35,Tabla11[[#This Row],[Cuenta]],1))</f>
        <v>1</v>
      </c>
      <c r="T1019" t="b">
        <f>+ISNUMBER(SEARCH('F-COMPRA'!$F$36,Tabla11[[#This Row],[Cuenta]],1))</f>
        <v>1</v>
      </c>
      <c r="U1019" t="b">
        <f>+ISNUMBER(SEARCH('F-COMPRA'!$F$37,Tabla11[[#This Row],[Cuenta]],1))</f>
        <v>1</v>
      </c>
      <c r="V1019" t="b">
        <f>+ISNUMBER(SEARCH(#REF!,Tabla11[[#This Row],[Cuenta]],1))</f>
        <v>0</v>
      </c>
      <c r="W1019" t="b">
        <f>+ISNUMBER(SEARCH('F-COMPRA'!#REF!,Tabla11[[#This Row],[Cuenta]],1))</f>
        <v>0</v>
      </c>
      <c r="X1019" t="b">
        <f>+ISNUMBER(SEARCH('F-COMPRA'!#REF!,Tabla11[[#This Row],[Cuenta]],1))</f>
        <v>0</v>
      </c>
      <c r="Y1019" t="b">
        <f>+ISNUMBER(SEARCH('F-COMPRA'!#REF!,Tabla11[[#This Row],[Cuenta]],1))</f>
        <v>0</v>
      </c>
      <c r="Z1019" t="b">
        <f>+ISNUMBER(SEARCH('F-COMPRA'!#REF!,Tabla11[[#This Row],[Cuenta]],1))</f>
        <v>0</v>
      </c>
      <c r="AA1019" t="b">
        <f>+ISNUMBER(SEARCH('F-COMPRA'!#REF!,Tabla11[[#This Row],[Cuenta]],1))</f>
        <v>0</v>
      </c>
      <c r="AB1019" t="b">
        <f>+ISNUMBER(SEARCH('F-COMPRA'!#REF!,Tabla11[[#This Row],[Cuenta]],1))</f>
        <v>0</v>
      </c>
      <c r="AC1019" t="b">
        <f>+ISNUMBER(SEARCH('F-COMPRA'!#REF!,Tabla11[[#This Row],[Cuenta]],1))</f>
        <v>0</v>
      </c>
      <c r="AD1019" t="b">
        <f>+ISNUMBER(SEARCH('F-COMPRA'!#REF!,Tabla11[[#This Row],[Cuenta]],1))</f>
        <v>0</v>
      </c>
      <c r="AE1019" t="b">
        <f>+ISNUMBER(SEARCH('F-COMPRA'!#REF!,Tabla11[[#This Row],[Cuenta]],1))</f>
        <v>0</v>
      </c>
      <c r="AF1019" t="b">
        <f>+ISNUMBER(SEARCH('F-VTA'!$G$23,Tabla11[[#This Row],[Cuenta]],1))</f>
        <v>0</v>
      </c>
      <c r="AG1019" t="b">
        <f>+ISNUMBER(SEARCH('F-VTA'!$G$24,Tabla11[[#This Row],[Cuenta]],1))</f>
        <v>0</v>
      </c>
      <c r="AH1019" t="b">
        <f>+ISNUMBER(SEARCH('F-VTA'!$G$25,Tabla11[[#This Row],[Cuenta]],1))</f>
        <v>0</v>
      </c>
      <c r="AI1019" t="b">
        <f>+ISNUMBER(SEARCH('F-VTA'!$F$28,Tabla11[[#This Row],[Cuenta]],1))</f>
        <v>1</v>
      </c>
      <c r="AJ1019" t="b">
        <f>+ISNUMBER(SEARCH('F-VTA'!$F$29,Tabla11[[#This Row],[Cuenta]],1))</f>
        <v>1</v>
      </c>
      <c r="AK1019" t="b">
        <f>+ISNUMBER(SEARCH('F-VTA'!$F$30,Tabla11[[#This Row],[Cuenta]],1))</f>
        <v>1</v>
      </c>
      <c r="AL1019" t="b">
        <f>+ISNUMBER(SEARCH('F-VTA'!$F$31,Tabla11[[#This Row],[Cuenta]],1))</f>
        <v>1</v>
      </c>
      <c r="AM1019" t="b">
        <f>+ISNUMBER(SEARCH('F-VTA'!$F$32,Tabla11[[#This Row],[Cuenta]],1))</f>
        <v>1</v>
      </c>
      <c r="AN1019" t="b">
        <f>+ISNUMBER(SEARCH('F-VTA'!$F$33,Tabla11[[#This Row],[Cuenta]],1))</f>
        <v>1</v>
      </c>
      <c r="AO1019" t="b">
        <f>+ISNUMBER(SEARCH('F-VTA'!$F$34,Tabla11[[#This Row],[Cuenta]],1))</f>
        <v>1</v>
      </c>
      <c r="AP1019" t="b">
        <f>+ISNUMBER(SEARCH('F-VTA'!$F$35,Tabla11[[#This Row],[Cuenta]],1))</f>
        <v>1</v>
      </c>
      <c r="AQ1019" t="b">
        <f>+ISNUMBER(SEARCH('F-VTA'!$F$36,Tabla11[[#This Row],[Cuenta]],1))</f>
        <v>1</v>
      </c>
      <c r="AR1019" t="b">
        <f>+ISNUMBER(SEARCH(#REF!,Tabla11[[#This Row],[Cuenta]],1))</f>
        <v>0</v>
      </c>
      <c r="AS1019" t="b">
        <f>+ISNUMBER(SEARCH(#REF!,Tabla11[[#This Row],[Cuenta]],1))</f>
        <v>0</v>
      </c>
      <c r="AT1019" t="b">
        <f>+ISNUMBER(SEARCH(#REF!,Tabla11[[#This Row],[Cuenta]],1))</f>
        <v>0</v>
      </c>
      <c r="AU1019" t="b">
        <f>+ISNUMBER(SEARCH('Conc. Ban.1'!$I$9,Tabla11[[#This Row],[Cuenta]],1))</f>
        <v>0</v>
      </c>
      <c r="AV1019" t="b">
        <f>+ISNUMBER(SEARCH(CompConta!$F$21,Tabla11[[#This Row],[Cuenta]],1))</f>
        <v>1</v>
      </c>
      <c r="AW1019" t="b">
        <f>+ISNUMBER(SEARCH(CompConta!$F$22,Tabla11[[#This Row],[Cuenta]],1))</f>
        <v>1</v>
      </c>
      <c r="AX1019" t="b">
        <f>+ISNUMBER(SEARCH(CompConta!$F$23,Tabla11[[#This Row],[Cuenta]],1))</f>
        <v>1</v>
      </c>
      <c r="AY1019" t="b">
        <f>+ISNUMBER(SEARCH(CompConta!$F$24,Tabla11[[#This Row],[Cuenta]],1))</f>
        <v>1</v>
      </c>
      <c r="AZ1019" t="b">
        <f>+ISNUMBER(SEARCH(CompConta!$F$25,Tabla11[[#This Row],[Cuenta]],1))</f>
        <v>1</v>
      </c>
      <c r="BA1019" t="b">
        <f>+ISNUMBER(SEARCH(CompConta!$F$26,Tabla11[[#This Row],[Cuenta]],1))</f>
        <v>1</v>
      </c>
      <c r="BB1019" t="b">
        <f>+ISNUMBER(SEARCH(CompConta!$F$27,Tabla11[[#This Row],[Cuenta]],1))</f>
        <v>1</v>
      </c>
      <c r="BC1019" t="b">
        <f>+ISNUMBER(SEARCH(CompConta!$F$28,Tabla11[[#This Row],[Cuenta]],1))</f>
        <v>1</v>
      </c>
      <c r="BD1019" t="b">
        <f>+ISNUMBER(SEARCH(CompConta!$F$29,Tabla11[[#This Row],[Cuenta]],1))</f>
        <v>1</v>
      </c>
      <c r="BE1019" t="b">
        <f>+ISNUMBER(SEARCH(CompConta!$F$30,Tabla11[[#This Row],[Cuenta]],1))</f>
        <v>1</v>
      </c>
      <c r="BF1019" t="b">
        <f>+ISNUMBER(SEARCH('PAGO Compras'!$E$11,Tabla11[[#This Row],[Cuenta]],1))</f>
        <v>1</v>
      </c>
      <c r="BG1019" t="b">
        <f>+ISNUMBER(SEARCH(#REF!,Tabla11[[#This Row],[Cuenta]],1))</f>
        <v>0</v>
      </c>
      <c r="BH1019" t="b">
        <f>+ISNUMBER(SEARCH(#REF!,Tabla11[[#This Row],[Cuenta]],1))</f>
        <v>0</v>
      </c>
      <c r="BI1019" t="b">
        <f>+ISNUMBER(SEARCH(#REF!,Tabla11[[#This Row],[Cuenta]],1))</f>
        <v>0</v>
      </c>
      <c r="BJ1019" t="b">
        <f>+ISNUMBER(SEARCH(#REF!,Tabla11[[#This Row],[Cuenta]],1))</f>
        <v>0</v>
      </c>
      <c r="BS1019" t="str">
        <v>523530 Energía eléctrica</v>
      </c>
      <c r="BT1019" t="str">
        <v>523530 Energía eléctrica</v>
      </c>
      <c r="BU1019" t="str">
        <v>523530 Energía eléctrica</v>
      </c>
      <c r="BV1019" t="str">
        <v>523530 Energía eléctrica</v>
      </c>
      <c r="BZ1019" t="str">
        <v>523530 Energía eléctrica</v>
      </c>
      <c r="CA1019" t="str">
        <v>523530 Energía eléctrica</v>
      </c>
      <c r="CB1019" t="str">
        <v>523530 Energía eléctrica</v>
      </c>
      <c r="CC1019" t="str">
        <v>523530 Energía eléctrica</v>
      </c>
      <c r="CD1019" t="str">
        <v>523530 Energía eléctrica</v>
      </c>
      <c r="CE1019" t="str">
        <v>523530 Energía eléctrica</v>
      </c>
      <c r="CS1019" s="141" t="str">
        <v>523530 Energía eléctrica</v>
      </c>
      <c r="CT1019" s="141" t="str">
        <v>523530 Energía eléctrica</v>
      </c>
      <c r="CU1019" s="141" t="str">
        <v>523530 Energía eléctrica</v>
      </c>
      <c r="CV1019" s="141" t="str">
        <v>523530 Energía eléctrica</v>
      </c>
      <c r="CW1019" s="141" t="str">
        <v>523530 Energía eléctrica</v>
      </c>
      <c r="CX1019" s="141" t="str">
        <v>523530 Energía eléctrica</v>
      </c>
      <c r="CY1019" s="141" t="str">
        <v>523530 Energía eléctrica</v>
      </c>
      <c r="CZ1019" s="141" t="str">
        <v>523530 Energía eléctrica</v>
      </c>
      <c r="DA1019" s="141" t="str">
        <v>523530 Energía eléctrica</v>
      </c>
      <c r="DF1019" t="str">
        <v>523530 Energía eléctrica</v>
      </c>
      <c r="DG1019" t="str">
        <v>523530 Energía eléctrica</v>
      </c>
      <c r="DH1019" t="str">
        <v>523530 Energía eléctrica</v>
      </c>
      <c r="DI1019" t="str">
        <v>523530 Energía eléctrica</v>
      </c>
      <c r="DJ1019" t="str">
        <v>523530 Energía eléctrica</v>
      </c>
      <c r="DK1019" t="str">
        <v>523530 Energía eléctrica</v>
      </c>
      <c r="DL1019" t="str">
        <v>523530 Energía eléctrica</v>
      </c>
      <c r="DM1019" t="str">
        <v>523530 Energía eléctrica</v>
      </c>
      <c r="DN1019" t="str">
        <v>523530 Energía eléctrica</v>
      </c>
      <c r="DO1019" t="str">
        <v>523530 Energía eléctrica</v>
      </c>
      <c r="DP1019" t="str">
        <v>523530 Energía eléctrica</v>
      </c>
    </row>
    <row r="1020" spans="4:120" ht="12.75">
      <c r="D1020" s="7">
        <v>523535</v>
      </c>
      <c r="E1020" s="6" t="s">
        <v>589</v>
      </c>
      <c r="F1020" s="5">
        <v>4</v>
      </c>
      <c r="G1020" s="34" t="s">
        <v>830</v>
      </c>
      <c r="H1020" s="8" t="s">
        <v>32</v>
      </c>
      <c r="I1020" t="b">
        <f>+ISNUMBER(SEARCH('F-COMPRA'!$F$28,Tabla11[[#This Row],[Cuenta]],1))</f>
        <v>1</v>
      </c>
      <c r="J1020" t="b">
        <f>+ISNUMBER(SEARCH('F-COMPRA'!$F$29,Tabla11[[#This Row],[Cuenta]],1))</f>
        <v>1</v>
      </c>
      <c r="K1020" t="b">
        <f>+ISNUMBER(SEARCH('F-COMPRA'!$F$30,Tabla11[[#This Row],[Cuenta]],1))</f>
        <v>1</v>
      </c>
      <c r="L1020" t="b">
        <f>+ISNUMBER(SEARCH('F-COMPRA'!$F$31,Tabla11[[#This Row],[Cuenta]],1))</f>
        <v>1</v>
      </c>
      <c r="M1020" t="b">
        <f>+ISNUMBER(SEARCH('F-COMPRA'!$G$25,Tabla11[[#This Row],[Cuenta]],1))</f>
        <v>0</v>
      </c>
      <c r="N1020" t="b">
        <f>+ISNUMBER(SEARCH(#REF!,Tabla11[[#This Row],[Cuenta]],1))</f>
        <v>0</v>
      </c>
      <c r="O1020" t="b">
        <f>+ISNUMBER(SEARCH(#REF!,Tabla11[[#This Row],[Cuenta]],1))</f>
        <v>0</v>
      </c>
      <c r="P1020" t="b">
        <f>+ISNUMBER(SEARCH('F-COMPRA'!$F$32,Tabla11[[#This Row],[Cuenta]],1))</f>
        <v>1</v>
      </c>
      <c r="Q1020" t="b">
        <f>+ISNUMBER(SEARCH('F-COMPRA'!$F$33,Tabla11[[#This Row],[Cuenta]],1))</f>
        <v>1</v>
      </c>
      <c r="R1020" t="b">
        <f>+ISNUMBER(SEARCH('F-COMPRA'!$F$34,Tabla11[[#This Row],[Cuenta]],1))</f>
        <v>1</v>
      </c>
      <c r="S1020" t="b">
        <f>+ISNUMBER(SEARCH('F-COMPRA'!$F$35,Tabla11[[#This Row],[Cuenta]],1))</f>
        <v>1</v>
      </c>
      <c r="T1020" t="b">
        <f>+ISNUMBER(SEARCH('F-COMPRA'!$F$36,Tabla11[[#This Row],[Cuenta]],1))</f>
        <v>1</v>
      </c>
      <c r="U1020" t="b">
        <f>+ISNUMBER(SEARCH('F-COMPRA'!$F$37,Tabla11[[#This Row],[Cuenta]],1))</f>
        <v>1</v>
      </c>
      <c r="V1020" t="b">
        <f>+ISNUMBER(SEARCH(#REF!,Tabla11[[#This Row],[Cuenta]],1))</f>
        <v>0</v>
      </c>
      <c r="W1020" t="b">
        <f>+ISNUMBER(SEARCH('F-COMPRA'!#REF!,Tabla11[[#This Row],[Cuenta]],1))</f>
        <v>0</v>
      </c>
      <c r="X1020" t="b">
        <f>+ISNUMBER(SEARCH('F-COMPRA'!#REF!,Tabla11[[#This Row],[Cuenta]],1))</f>
        <v>0</v>
      </c>
      <c r="Y1020" t="b">
        <f>+ISNUMBER(SEARCH('F-COMPRA'!#REF!,Tabla11[[#This Row],[Cuenta]],1))</f>
        <v>0</v>
      </c>
      <c r="Z1020" t="b">
        <f>+ISNUMBER(SEARCH('F-COMPRA'!#REF!,Tabla11[[#This Row],[Cuenta]],1))</f>
        <v>0</v>
      </c>
      <c r="AA1020" t="b">
        <f>+ISNUMBER(SEARCH('F-COMPRA'!#REF!,Tabla11[[#This Row],[Cuenta]],1))</f>
        <v>0</v>
      </c>
      <c r="AB1020" t="b">
        <f>+ISNUMBER(SEARCH('F-COMPRA'!#REF!,Tabla11[[#This Row],[Cuenta]],1))</f>
        <v>0</v>
      </c>
      <c r="AC1020" t="b">
        <f>+ISNUMBER(SEARCH('F-COMPRA'!#REF!,Tabla11[[#This Row],[Cuenta]],1))</f>
        <v>0</v>
      </c>
      <c r="AD1020" t="b">
        <f>+ISNUMBER(SEARCH('F-COMPRA'!#REF!,Tabla11[[#This Row],[Cuenta]],1))</f>
        <v>0</v>
      </c>
      <c r="AE1020" t="b">
        <f>+ISNUMBER(SEARCH('F-COMPRA'!#REF!,Tabla11[[#This Row],[Cuenta]],1))</f>
        <v>0</v>
      </c>
      <c r="AF1020" t="b">
        <f>+ISNUMBER(SEARCH('F-VTA'!$G$23,Tabla11[[#This Row],[Cuenta]],1))</f>
        <v>0</v>
      </c>
      <c r="AG1020" t="b">
        <f>+ISNUMBER(SEARCH('F-VTA'!$G$24,Tabla11[[#This Row],[Cuenta]],1))</f>
        <v>0</v>
      </c>
      <c r="AH1020" t="b">
        <f>+ISNUMBER(SEARCH('F-VTA'!$G$25,Tabla11[[#This Row],[Cuenta]],1))</f>
        <v>0</v>
      </c>
      <c r="AI1020" t="b">
        <f>+ISNUMBER(SEARCH('F-VTA'!$F$28,Tabla11[[#This Row],[Cuenta]],1))</f>
        <v>1</v>
      </c>
      <c r="AJ1020" t="b">
        <f>+ISNUMBER(SEARCH('F-VTA'!$F$29,Tabla11[[#This Row],[Cuenta]],1))</f>
        <v>1</v>
      </c>
      <c r="AK1020" t="b">
        <f>+ISNUMBER(SEARCH('F-VTA'!$F$30,Tabla11[[#This Row],[Cuenta]],1))</f>
        <v>1</v>
      </c>
      <c r="AL1020" t="b">
        <f>+ISNUMBER(SEARCH('F-VTA'!$F$31,Tabla11[[#This Row],[Cuenta]],1))</f>
        <v>1</v>
      </c>
      <c r="AM1020" t="b">
        <f>+ISNUMBER(SEARCH('F-VTA'!$F$32,Tabla11[[#This Row],[Cuenta]],1))</f>
        <v>1</v>
      </c>
      <c r="AN1020" t="b">
        <f>+ISNUMBER(SEARCH('F-VTA'!$F$33,Tabla11[[#This Row],[Cuenta]],1))</f>
        <v>1</v>
      </c>
      <c r="AO1020" t="b">
        <f>+ISNUMBER(SEARCH('F-VTA'!$F$34,Tabla11[[#This Row],[Cuenta]],1))</f>
        <v>1</v>
      </c>
      <c r="AP1020" t="b">
        <f>+ISNUMBER(SEARCH('F-VTA'!$F$35,Tabla11[[#This Row],[Cuenta]],1))</f>
        <v>1</v>
      </c>
      <c r="AQ1020" t="b">
        <f>+ISNUMBER(SEARCH('F-VTA'!$F$36,Tabla11[[#This Row],[Cuenta]],1))</f>
        <v>1</v>
      </c>
      <c r="AR1020" t="b">
        <f>+ISNUMBER(SEARCH(#REF!,Tabla11[[#This Row],[Cuenta]],1))</f>
        <v>0</v>
      </c>
      <c r="AS1020" t="b">
        <f>+ISNUMBER(SEARCH(#REF!,Tabla11[[#This Row],[Cuenta]],1))</f>
        <v>0</v>
      </c>
      <c r="AT1020" t="b">
        <f>+ISNUMBER(SEARCH(#REF!,Tabla11[[#This Row],[Cuenta]],1))</f>
        <v>0</v>
      </c>
      <c r="AU1020" t="b">
        <f>+ISNUMBER(SEARCH('Conc. Ban.1'!$I$9,Tabla11[[#This Row],[Cuenta]],1))</f>
        <v>0</v>
      </c>
      <c r="AV1020" t="b">
        <f>+ISNUMBER(SEARCH(CompConta!$F$21,Tabla11[[#This Row],[Cuenta]],1))</f>
        <v>1</v>
      </c>
      <c r="AW1020" t="b">
        <f>+ISNUMBER(SEARCH(CompConta!$F$22,Tabla11[[#This Row],[Cuenta]],1))</f>
        <v>1</v>
      </c>
      <c r="AX1020" t="b">
        <f>+ISNUMBER(SEARCH(CompConta!$F$23,Tabla11[[#This Row],[Cuenta]],1))</f>
        <v>1</v>
      </c>
      <c r="AY1020" t="b">
        <f>+ISNUMBER(SEARCH(CompConta!$F$24,Tabla11[[#This Row],[Cuenta]],1))</f>
        <v>1</v>
      </c>
      <c r="AZ1020" t="b">
        <f>+ISNUMBER(SEARCH(CompConta!$F$25,Tabla11[[#This Row],[Cuenta]],1))</f>
        <v>1</v>
      </c>
      <c r="BA1020" t="b">
        <f>+ISNUMBER(SEARCH(CompConta!$F$26,Tabla11[[#This Row],[Cuenta]],1))</f>
        <v>1</v>
      </c>
      <c r="BB1020" t="b">
        <f>+ISNUMBER(SEARCH(CompConta!$F$27,Tabla11[[#This Row],[Cuenta]],1))</f>
        <v>1</v>
      </c>
      <c r="BC1020" t="b">
        <f>+ISNUMBER(SEARCH(CompConta!$F$28,Tabla11[[#This Row],[Cuenta]],1))</f>
        <v>1</v>
      </c>
      <c r="BD1020" t="b">
        <f>+ISNUMBER(SEARCH(CompConta!$F$29,Tabla11[[#This Row],[Cuenta]],1))</f>
        <v>1</v>
      </c>
      <c r="BE1020" t="b">
        <f>+ISNUMBER(SEARCH(CompConta!$F$30,Tabla11[[#This Row],[Cuenta]],1))</f>
        <v>1</v>
      </c>
      <c r="BF1020" t="b">
        <f>+ISNUMBER(SEARCH('PAGO Compras'!$E$11,Tabla11[[#This Row],[Cuenta]],1))</f>
        <v>1</v>
      </c>
      <c r="BG1020" t="b">
        <f>+ISNUMBER(SEARCH(#REF!,Tabla11[[#This Row],[Cuenta]],1))</f>
        <v>0</v>
      </c>
      <c r="BH1020" t="b">
        <f>+ISNUMBER(SEARCH(#REF!,Tabla11[[#This Row],[Cuenta]],1))</f>
        <v>0</v>
      </c>
      <c r="BI1020" t="b">
        <f>+ISNUMBER(SEARCH(#REF!,Tabla11[[#This Row],[Cuenta]],1))</f>
        <v>0</v>
      </c>
      <c r="BJ1020" t="b">
        <f>+ISNUMBER(SEARCH(#REF!,Tabla11[[#This Row],[Cuenta]],1))</f>
        <v>0</v>
      </c>
      <c r="BS1020" t="str">
        <v>523535 Teléfono</v>
      </c>
      <c r="BT1020" t="str">
        <v>523535 Teléfono</v>
      </c>
      <c r="BU1020" t="str">
        <v>523535 Teléfono</v>
      </c>
      <c r="BV1020" t="str">
        <v>523535 Teléfono</v>
      </c>
      <c r="BZ1020" t="str">
        <v>523535 Teléfono</v>
      </c>
      <c r="CA1020" t="str">
        <v>523535 Teléfono</v>
      </c>
      <c r="CB1020" t="str">
        <v>523535 Teléfono</v>
      </c>
      <c r="CC1020" t="str">
        <v>523535 Teléfono</v>
      </c>
      <c r="CD1020" t="str">
        <v>523535 Teléfono</v>
      </c>
      <c r="CE1020" t="str">
        <v>523535 Teléfono</v>
      </c>
      <c r="CS1020" s="141" t="str">
        <v>523535 Teléfono</v>
      </c>
      <c r="CT1020" s="141" t="str">
        <v>523535 Teléfono</v>
      </c>
      <c r="CU1020" s="141" t="str">
        <v>523535 Teléfono</v>
      </c>
      <c r="CV1020" s="141" t="str">
        <v>523535 Teléfono</v>
      </c>
      <c r="CW1020" s="141" t="str">
        <v>523535 Teléfono</v>
      </c>
      <c r="CX1020" s="141" t="str">
        <v>523535 Teléfono</v>
      </c>
      <c r="CY1020" s="141" t="str">
        <v>523535 Teléfono</v>
      </c>
      <c r="CZ1020" s="141" t="str">
        <v>523535 Teléfono</v>
      </c>
      <c r="DA1020" s="141" t="str">
        <v>523535 Teléfono</v>
      </c>
      <c r="DF1020" t="str">
        <v>523535 Teléfono</v>
      </c>
      <c r="DG1020" t="str">
        <v>523535 Teléfono</v>
      </c>
      <c r="DH1020" t="str">
        <v>523535 Teléfono</v>
      </c>
      <c r="DI1020" t="str">
        <v>523535 Teléfono</v>
      </c>
      <c r="DJ1020" t="str">
        <v>523535 Teléfono</v>
      </c>
      <c r="DK1020" t="str">
        <v>523535 Teléfono</v>
      </c>
      <c r="DL1020" t="str">
        <v>523535 Teléfono</v>
      </c>
      <c r="DM1020" t="str">
        <v>523535 Teléfono</v>
      </c>
      <c r="DN1020" t="str">
        <v>523535 Teléfono</v>
      </c>
      <c r="DO1020" t="str">
        <v>523535 Teléfono</v>
      </c>
      <c r="DP1020" t="str">
        <v>523535 Teléfono</v>
      </c>
    </row>
    <row r="1021" spans="4:120" ht="12.75">
      <c r="D1021" s="7">
        <v>523540</v>
      </c>
      <c r="E1021" s="6" t="s">
        <v>590</v>
      </c>
      <c r="F1021" s="5">
        <v>4</v>
      </c>
      <c r="G1021" s="34" t="s">
        <v>830</v>
      </c>
      <c r="H1021" s="8" t="s">
        <v>32</v>
      </c>
      <c r="I1021" t="b">
        <f>+ISNUMBER(SEARCH('F-COMPRA'!$F$28,Tabla11[[#This Row],[Cuenta]],1))</f>
        <v>1</v>
      </c>
      <c r="J1021" t="b">
        <f>+ISNUMBER(SEARCH('F-COMPRA'!$F$29,Tabla11[[#This Row],[Cuenta]],1))</f>
        <v>1</v>
      </c>
      <c r="K1021" t="b">
        <f>+ISNUMBER(SEARCH('F-COMPRA'!$F$30,Tabla11[[#This Row],[Cuenta]],1))</f>
        <v>1</v>
      </c>
      <c r="L1021" t="b">
        <f>+ISNUMBER(SEARCH('F-COMPRA'!$F$31,Tabla11[[#This Row],[Cuenta]],1))</f>
        <v>1</v>
      </c>
      <c r="M1021" t="b">
        <f>+ISNUMBER(SEARCH('F-COMPRA'!$G$25,Tabla11[[#This Row],[Cuenta]],1))</f>
        <v>0</v>
      </c>
      <c r="N1021" t="b">
        <f>+ISNUMBER(SEARCH(#REF!,Tabla11[[#This Row],[Cuenta]],1))</f>
        <v>0</v>
      </c>
      <c r="O1021" t="b">
        <f>+ISNUMBER(SEARCH(#REF!,Tabla11[[#This Row],[Cuenta]],1))</f>
        <v>0</v>
      </c>
      <c r="P1021" t="b">
        <f>+ISNUMBER(SEARCH('F-COMPRA'!$F$32,Tabla11[[#This Row],[Cuenta]],1))</f>
        <v>1</v>
      </c>
      <c r="Q1021" t="b">
        <f>+ISNUMBER(SEARCH('F-COMPRA'!$F$33,Tabla11[[#This Row],[Cuenta]],1))</f>
        <v>1</v>
      </c>
      <c r="R1021" t="b">
        <f>+ISNUMBER(SEARCH('F-COMPRA'!$F$34,Tabla11[[#This Row],[Cuenta]],1))</f>
        <v>1</v>
      </c>
      <c r="S1021" t="b">
        <f>+ISNUMBER(SEARCH('F-COMPRA'!$F$35,Tabla11[[#This Row],[Cuenta]],1))</f>
        <v>1</v>
      </c>
      <c r="T1021" t="b">
        <f>+ISNUMBER(SEARCH('F-COMPRA'!$F$36,Tabla11[[#This Row],[Cuenta]],1))</f>
        <v>1</v>
      </c>
      <c r="U1021" t="b">
        <f>+ISNUMBER(SEARCH('F-COMPRA'!$F$37,Tabla11[[#This Row],[Cuenta]],1))</f>
        <v>1</v>
      </c>
      <c r="V1021" t="b">
        <f>+ISNUMBER(SEARCH(#REF!,Tabla11[[#This Row],[Cuenta]],1))</f>
        <v>0</v>
      </c>
      <c r="W1021" t="b">
        <f>+ISNUMBER(SEARCH('F-COMPRA'!#REF!,Tabla11[[#This Row],[Cuenta]],1))</f>
        <v>0</v>
      </c>
      <c r="X1021" t="b">
        <f>+ISNUMBER(SEARCH('F-COMPRA'!#REF!,Tabla11[[#This Row],[Cuenta]],1))</f>
        <v>0</v>
      </c>
      <c r="Y1021" t="b">
        <f>+ISNUMBER(SEARCH('F-COMPRA'!#REF!,Tabla11[[#This Row],[Cuenta]],1))</f>
        <v>0</v>
      </c>
      <c r="Z1021" t="b">
        <f>+ISNUMBER(SEARCH('F-COMPRA'!#REF!,Tabla11[[#This Row],[Cuenta]],1))</f>
        <v>0</v>
      </c>
      <c r="AA1021" t="b">
        <f>+ISNUMBER(SEARCH('F-COMPRA'!#REF!,Tabla11[[#This Row],[Cuenta]],1))</f>
        <v>0</v>
      </c>
      <c r="AB1021" t="b">
        <f>+ISNUMBER(SEARCH('F-COMPRA'!#REF!,Tabla11[[#This Row],[Cuenta]],1))</f>
        <v>0</v>
      </c>
      <c r="AC1021" t="b">
        <f>+ISNUMBER(SEARCH('F-COMPRA'!#REF!,Tabla11[[#This Row],[Cuenta]],1))</f>
        <v>0</v>
      </c>
      <c r="AD1021" t="b">
        <f>+ISNUMBER(SEARCH('F-COMPRA'!#REF!,Tabla11[[#This Row],[Cuenta]],1))</f>
        <v>0</v>
      </c>
      <c r="AE1021" t="b">
        <f>+ISNUMBER(SEARCH('F-COMPRA'!#REF!,Tabla11[[#This Row],[Cuenta]],1))</f>
        <v>0</v>
      </c>
      <c r="AF1021" t="b">
        <f>+ISNUMBER(SEARCH('F-VTA'!$G$23,Tabla11[[#This Row],[Cuenta]],1))</f>
        <v>0</v>
      </c>
      <c r="AG1021" t="b">
        <f>+ISNUMBER(SEARCH('F-VTA'!$G$24,Tabla11[[#This Row],[Cuenta]],1))</f>
        <v>0</v>
      </c>
      <c r="AH1021" t="b">
        <f>+ISNUMBER(SEARCH('F-VTA'!$G$25,Tabla11[[#This Row],[Cuenta]],1))</f>
        <v>0</v>
      </c>
      <c r="AI1021" t="b">
        <f>+ISNUMBER(SEARCH('F-VTA'!$F$28,Tabla11[[#This Row],[Cuenta]],1))</f>
        <v>1</v>
      </c>
      <c r="AJ1021" t="b">
        <f>+ISNUMBER(SEARCH('F-VTA'!$F$29,Tabla11[[#This Row],[Cuenta]],1))</f>
        <v>1</v>
      </c>
      <c r="AK1021" t="b">
        <f>+ISNUMBER(SEARCH('F-VTA'!$F$30,Tabla11[[#This Row],[Cuenta]],1))</f>
        <v>1</v>
      </c>
      <c r="AL1021" t="b">
        <f>+ISNUMBER(SEARCH('F-VTA'!$F$31,Tabla11[[#This Row],[Cuenta]],1))</f>
        <v>1</v>
      </c>
      <c r="AM1021" t="b">
        <f>+ISNUMBER(SEARCH('F-VTA'!$F$32,Tabla11[[#This Row],[Cuenta]],1))</f>
        <v>1</v>
      </c>
      <c r="AN1021" t="b">
        <f>+ISNUMBER(SEARCH('F-VTA'!$F$33,Tabla11[[#This Row],[Cuenta]],1))</f>
        <v>1</v>
      </c>
      <c r="AO1021" t="b">
        <f>+ISNUMBER(SEARCH('F-VTA'!$F$34,Tabla11[[#This Row],[Cuenta]],1))</f>
        <v>1</v>
      </c>
      <c r="AP1021" t="b">
        <f>+ISNUMBER(SEARCH('F-VTA'!$F$35,Tabla11[[#This Row],[Cuenta]],1))</f>
        <v>1</v>
      </c>
      <c r="AQ1021" t="b">
        <f>+ISNUMBER(SEARCH('F-VTA'!$F$36,Tabla11[[#This Row],[Cuenta]],1))</f>
        <v>1</v>
      </c>
      <c r="AR1021" t="b">
        <f>+ISNUMBER(SEARCH(#REF!,Tabla11[[#This Row],[Cuenta]],1))</f>
        <v>0</v>
      </c>
      <c r="AS1021" t="b">
        <f>+ISNUMBER(SEARCH(#REF!,Tabla11[[#This Row],[Cuenta]],1))</f>
        <v>0</v>
      </c>
      <c r="AT1021" t="b">
        <f>+ISNUMBER(SEARCH(#REF!,Tabla11[[#This Row],[Cuenta]],1))</f>
        <v>0</v>
      </c>
      <c r="AU1021" t="b">
        <f>+ISNUMBER(SEARCH('Conc. Ban.1'!$I$9,Tabla11[[#This Row],[Cuenta]],1))</f>
        <v>0</v>
      </c>
      <c r="AV1021" t="b">
        <f>+ISNUMBER(SEARCH(CompConta!$F$21,Tabla11[[#This Row],[Cuenta]],1))</f>
        <v>1</v>
      </c>
      <c r="AW1021" t="b">
        <f>+ISNUMBER(SEARCH(CompConta!$F$22,Tabla11[[#This Row],[Cuenta]],1))</f>
        <v>1</v>
      </c>
      <c r="AX1021" t="b">
        <f>+ISNUMBER(SEARCH(CompConta!$F$23,Tabla11[[#This Row],[Cuenta]],1))</f>
        <v>1</v>
      </c>
      <c r="AY1021" t="b">
        <f>+ISNUMBER(SEARCH(CompConta!$F$24,Tabla11[[#This Row],[Cuenta]],1))</f>
        <v>1</v>
      </c>
      <c r="AZ1021" t="b">
        <f>+ISNUMBER(SEARCH(CompConta!$F$25,Tabla11[[#This Row],[Cuenta]],1))</f>
        <v>1</v>
      </c>
      <c r="BA1021" t="b">
        <f>+ISNUMBER(SEARCH(CompConta!$F$26,Tabla11[[#This Row],[Cuenta]],1))</f>
        <v>1</v>
      </c>
      <c r="BB1021" t="b">
        <f>+ISNUMBER(SEARCH(CompConta!$F$27,Tabla11[[#This Row],[Cuenta]],1))</f>
        <v>1</v>
      </c>
      <c r="BC1021" t="b">
        <f>+ISNUMBER(SEARCH(CompConta!$F$28,Tabla11[[#This Row],[Cuenta]],1))</f>
        <v>1</v>
      </c>
      <c r="BD1021" t="b">
        <f>+ISNUMBER(SEARCH(CompConta!$F$29,Tabla11[[#This Row],[Cuenta]],1))</f>
        <v>1</v>
      </c>
      <c r="BE1021" t="b">
        <f>+ISNUMBER(SEARCH(CompConta!$F$30,Tabla11[[#This Row],[Cuenta]],1))</f>
        <v>1</v>
      </c>
      <c r="BF1021" t="b">
        <f>+ISNUMBER(SEARCH('PAGO Compras'!$E$11,Tabla11[[#This Row],[Cuenta]],1))</f>
        <v>1</v>
      </c>
      <c r="BG1021" t="b">
        <f>+ISNUMBER(SEARCH(#REF!,Tabla11[[#This Row],[Cuenta]],1))</f>
        <v>0</v>
      </c>
      <c r="BH1021" t="b">
        <f>+ISNUMBER(SEARCH(#REF!,Tabla11[[#This Row],[Cuenta]],1))</f>
        <v>0</v>
      </c>
      <c r="BI1021" t="b">
        <f>+ISNUMBER(SEARCH(#REF!,Tabla11[[#This Row],[Cuenta]],1))</f>
        <v>0</v>
      </c>
      <c r="BJ1021" t="b">
        <f>+ISNUMBER(SEARCH(#REF!,Tabla11[[#This Row],[Cuenta]],1))</f>
        <v>0</v>
      </c>
      <c r="BS1021" t="str">
        <v>523540 Correo, portes y telegramas</v>
      </c>
      <c r="BT1021" t="str">
        <v>523540 Correo, portes y telegramas</v>
      </c>
      <c r="BU1021" t="str">
        <v>523540 Correo, portes y telegramas</v>
      </c>
      <c r="BV1021" t="str">
        <v>523540 Correo, portes y telegramas</v>
      </c>
      <c r="BZ1021" t="str">
        <v>523540 Correo, portes y telegramas</v>
      </c>
      <c r="CA1021" t="str">
        <v>523540 Correo, portes y telegramas</v>
      </c>
      <c r="CB1021" t="str">
        <v>523540 Correo, portes y telegramas</v>
      </c>
      <c r="CC1021" t="str">
        <v>523540 Correo, portes y telegramas</v>
      </c>
      <c r="CD1021" t="str">
        <v>523540 Correo, portes y telegramas</v>
      </c>
      <c r="CE1021" t="str">
        <v>523540 Correo, portes y telegramas</v>
      </c>
      <c r="CS1021" s="141" t="str">
        <v>523540 Correo, portes y telegramas</v>
      </c>
      <c r="CT1021" s="141" t="str">
        <v>523540 Correo, portes y telegramas</v>
      </c>
      <c r="CU1021" s="141" t="str">
        <v>523540 Correo, portes y telegramas</v>
      </c>
      <c r="CV1021" s="141" t="str">
        <v>523540 Correo, portes y telegramas</v>
      </c>
      <c r="CW1021" s="141" t="str">
        <v>523540 Correo, portes y telegramas</v>
      </c>
      <c r="CX1021" s="141" t="str">
        <v>523540 Correo, portes y telegramas</v>
      </c>
      <c r="CY1021" s="141" t="str">
        <v>523540 Correo, portes y telegramas</v>
      </c>
      <c r="CZ1021" s="141" t="str">
        <v>523540 Correo, portes y telegramas</v>
      </c>
      <c r="DA1021" s="141" t="str">
        <v>523540 Correo, portes y telegramas</v>
      </c>
      <c r="DF1021" t="str">
        <v>523540 Correo, portes y telegramas</v>
      </c>
      <c r="DG1021" t="str">
        <v>523540 Correo, portes y telegramas</v>
      </c>
      <c r="DH1021" t="str">
        <v>523540 Correo, portes y telegramas</v>
      </c>
      <c r="DI1021" t="str">
        <v>523540 Correo, portes y telegramas</v>
      </c>
      <c r="DJ1021" t="str">
        <v>523540 Correo, portes y telegramas</v>
      </c>
      <c r="DK1021" t="str">
        <v>523540 Correo, portes y telegramas</v>
      </c>
      <c r="DL1021" t="str">
        <v>523540 Correo, portes y telegramas</v>
      </c>
      <c r="DM1021" t="str">
        <v>523540 Correo, portes y telegramas</v>
      </c>
      <c r="DN1021" t="str">
        <v>523540 Correo, portes y telegramas</v>
      </c>
      <c r="DO1021" t="str">
        <v>523540 Correo, portes y telegramas</v>
      </c>
      <c r="DP1021" t="str">
        <v>523540 Correo, portes y telegramas</v>
      </c>
    </row>
    <row r="1022" spans="4:120" ht="12.75">
      <c r="D1022" s="7">
        <v>523550</v>
      </c>
      <c r="E1022" s="6" t="s">
        <v>591</v>
      </c>
      <c r="F1022" s="5">
        <v>4</v>
      </c>
      <c r="G1022" s="34" t="s">
        <v>830</v>
      </c>
      <c r="H1022" s="8" t="s">
        <v>32</v>
      </c>
      <c r="I1022" t="b">
        <f>+ISNUMBER(SEARCH('F-COMPRA'!$F$28,Tabla11[[#This Row],[Cuenta]],1))</f>
        <v>1</v>
      </c>
      <c r="J1022" t="b">
        <f>+ISNUMBER(SEARCH('F-COMPRA'!$F$29,Tabla11[[#This Row],[Cuenta]],1))</f>
        <v>1</v>
      </c>
      <c r="K1022" t="b">
        <f>+ISNUMBER(SEARCH('F-COMPRA'!$F$30,Tabla11[[#This Row],[Cuenta]],1))</f>
        <v>1</v>
      </c>
      <c r="L1022" t="b">
        <f>+ISNUMBER(SEARCH('F-COMPRA'!$F$31,Tabla11[[#This Row],[Cuenta]],1))</f>
        <v>1</v>
      </c>
      <c r="M1022" t="b">
        <f>+ISNUMBER(SEARCH('F-COMPRA'!$G$25,Tabla11[[#This Row],[Cuenta]],1))</f>
        <v>0</v>
      </c>
      <c r="N1022" t="b">
        <f>+ISNUMBER(SEARCH(#REF!,Tabla11[[#This Row],[Cuenta]],1))</f>
        <v>0</v>
      </c>
      <c r="O1022" t="b">
        <f>+ISNUMBER(SEARCH(#REF!,Tabla11[[#This Row],[Cuenta]],1))</f>
        <v>0</v>
      </c>
      <c r="P1022" t="b">
        <f>+ISNUMBER(SEARCH('F-COMPRA'!$F$32,Tabla11[[#This Row],[Cuenta]],1))</f>
        <v>1</v>
      </c>
      <c r="Q1022" t="b">
        <f>+ISNUMBER(SEARCH('F-COMPRA'!$F$33,Tabla11[[#This Row],[Cuenta]],1))</f>
        <v>1</v>
      </c>
      <c r="R1022" t="b">
        <f>+ISNUMBER(SEARCH('F-COMPRA'!$F$34,Tabla11[[#This Row],[Cuenta]],1))</f>
        <v>1</v>
      </c>
      <c r="S1022" t="b">
        <f>+ISNUMBER(SEARCH('F-COMPRA'!$F$35,Tabla11[[#This Row],[Cuenta]],1))</f>
        <v>1</v>
      </c>
      <c r="T1022" t="b">
        <f>+ISNUMBER(SEARCH('F-COMPRA'!$F$36,Tabla11[[#This Row],[Cuenta]],1))</f>
        <v>1</v>
      </c>
      <c r="U1022" t="b">
        <f>+ISNUMBER(SEARCH('F-COMPRA'!$F$37,Tabla11[[#This Row],[Cuenta]],1))</f>
        <v>1</v>
      </c>
      <c r="V1022" t="b">
        <f>+ISNUMBER(SEARCH(#REF!,Tabla11[[#This Row],[Cuenta]],1))</f>
        <v>0</v>
      </c>
      <c r="W1022" t="b">
        <f>+ISNUMBER(SEARCH('F-COMPRA'!#REF!,Tabla11[[#This Row],[Cuenta]],1))</f>
        <v>0</v>
      </c>
      <c r="X1022" t="b">
        <f>+ISNUMBER(SEARCH('F-COMPRA'!#REF!,Tabla11[[#This Row],[Cuenta]],1))</f>
        <v>0</v>
      </c>
      <c r="Y1022" t="b">
        <f>+ISNUMBER(SEARCH('F-COMPRA'!#REF!,Tabla11[[#This Row],[Cuenta]],1))</f>
        <v>0</v>
      </c>
      <c r="Z1022" t="b">
        <f>+ISNUMBER(SEARCH('F-COMPRA'!#REF!,Tabla11[[#This Row],[Cuenta]],1))</f>
        <v>0</v>
      </c>
      <c r="AA1022" t="b">
        <f>+ISNUMBER(SEARCH('F-COMPRA'!#REF!,Tabla11[[#This Row],[Cuenta]],1))</f>
        <v>0</v>
      </c>
      <c r="AB1022" t="b">
        <f>+ISNUMBER(SEARCH('F-COMPRA'!#REF!,Tabla11[[#This Row],[Cuenta]],1))</f>
        <v>0</v>
      </c>
      <c r="AC1022" t="b">
        <f>+ISNUMBER(SEARCH('F-COMPRA'!#REF!,Tabla11[[#This Row],[Cuenta]],1))</f>
        <v>0</v>
      </c>
      <c r="AD1022" t="b">
        <f>+ISNUMBER(SEARCH('F-COMPRA'!#REF!,Tabla11[[#This Row],[Cuenta]],1))</f>
        <v>0</v>
      </c>
      <c r="AE1022" t="b">
        <f>+ISNUMBER(SEARCH('F-COMPRA'!#REF!,Tabla11[[#This Row],[Cuenta]],1))</f>
        <v>0</v>
      </c>
      <c r="AF1022" t="b">
        <f>+ISNUMBER(SEARCH('F-VTA'!$G$23,Tabla11[[#This Row],[Cuenta]],1))</f>
        <v>0</v>
      </c>
      <c r="AG1022" t="b">
        <f>+ISNUMBER(SEARCH('F-VTA'!$G$24,Tabla11[[#This Row],[Cuenta]],1))</f>
        <v>0</v>
      </c>
      <c r="AH1022" t="b">
        <f>+ISNUMBER(SEARCH('F-VTA'!$G$25,Tabla11[[#This Row],[Cuenta]],1))</f>
        <v>0</v>
      </c>
      <c r="AI1022" t="b">
        <f>+ISNUMBER(SEARCH('F-VTA'!$F$28,Tabla11[[#This Row],[Cuenta]],1))</f>
        <v>1</v>
      </c>
      <c r="AJ1022" t="b">
        <f>+ISNUMBER(SEARCH('F-VTA'!$F$29,Tabla11[[#This Row],[Cuenta]],1))</f>
        <v>1</v>
      </c>
      <c r="AK1022" t="b">
        <f>+ISNUMBER(SEARCH('F-VTA'!$F$30,Tabla11[[#This Row],[Cuenta]],1))</f>
        <v>1</v>
      </c>
      <c r="AL1022" t="b">
        <f>+ISNUMBER(SEARCH('F-VTA'!$F$31,Tabla11[[#This Row],[Cuenta]],1))</f>
        <v>1</v>
      </c>
      <c r="AM1022" t="b">
        <f>+ISNUMBER(SEARCH('F-VTA'!$F$32,Tabla11[[#This Row],[Cuenta]],1))</f>
        <v>1</v>
      </c>
      <c r="AN1022" t="b">
        <f>+ISNUMBER(SEARCH('F-VTA'!$F$33,Tabla11[[#This Row],[Cuenta]],1))</f>
        <v>1</v>
      </c>
      <c r="AO1022" t="b">
        <f>+ISNUMBER(SEARCH('F-VTA'!$F$34,Tabla11[[#This Row],[Cuenta]],1))</f>
        <v>1</v>
      </c>
      <c r="AP1022" t="b">
        <f>+ISNUMBER(SEARCH('F-VTA'!$F$35,Tabla11[[#This Row],[Cuenta]],1))</f>
        <v>1</v>
      </c>
      <c r="AQ1022" t="b">
        <f>+ISNUMBER(SEARCH('F-VTA'!$F$36,Tabla11[[#This Row],[Cuenta]],1))</f>
        <v>1</v>
      </c>
      <c r="AR1022" t="b">
        <f>+ISNUMBER(SEARCH(#REF!,Tabla11[[#This Row],[Cuenta]],1))</f>
        <v>0</v>
      </c>
      <c r="AS1022" t="b">
        <f>+ISNUMBER(SEARCH(#REF!,Tabla11[[#This Row],[Cuenta]],1))</f>
        <v>0</v>
      </c>
      <c r="AT1022" t="b">
        <f>+ISNUMBER(SEARCH(#REF!,Tabla11[[#This Row],[Cuenta]],1))</f>
        <v>0</v>
      </c>
      <c r="AU1022" t="b">
        <f>+ISNUMBER(SEARCH('Conc. Ban.1'!$I$9,Tabla11[[#This Row],[Cuenta]],1))</f>
        <v>0</v>
      </c>
      <c r="AV1022" t="b">
        <f>+ISNUMBER(SEARCH(CompConta!$F$21,Tabla11[[#This Row],[Cuenta]],1))</f>
        <v>1</v>
      </c>
      <c r="AW1022" t="b">
        <f>+ISNUMBER(SEARCH(CompConta!$F$22,Tabla11[[#This Row],[Cuenta]],1))</f>
        <v>1</v>
      </c>
      <c r="AX1022" t="b">
        <f>+ISNUMBER(SEARCH(CompConta!$F$23,Tabla11[[#This Row],[Cuenta]],1))</f>
        <v>1</v>
      </c>
      <c r="AY1022" t="b">
        <f>+ISNUMBER(SEARCH(CompConta!$F$24,Tabla11[[#This Row],[Cuenta]],1))</f>
        <v>1</v>
      </c>
      <c r="AZ1022" t="b">
        <f>+ISNUMBER(SEARCH(CompConta!$F$25,Tabla11[[#This Row],[Cuenta]],1))</f>
        <v>1</v>
      </c>
      <c r="BA1022" t="b">
        <f>+ISNUMBER(SEARCH(CompConta!$F$26,Tabla11[[#This Row],[Cuenta]],1))</f>
        <v>1</v>
      </c>
      <c r="BB1022" t="b">
        <f>+ISNUMBER(SEARCH(CompConta!$F$27,Tabla11[[#This Row],[Cuenta]],1))</f>
        <v>1</v>
      </c>
      <c r="BC1022" t="b">
        <f>+ISNUMBER(SEARCH(CompConta!$F$28,Tabla11[[#This Row],[Cuenta]],1))</f>
        <v>1</v>
      </c>
      <c r="BD1022" t="b">
        <f>+ISNUMBER(SEARCH(CompConta!$F$29,Tabla11[[#This Row],[Cuenta]],1))</f>
        <v>1</v>
      </c>
      <c r="BE1022" t="b">
        <f>+ISNUMBER(SEARCH(CompConta!$F$30,Tabla11[[#This Row],[Cuenta]],1))</f>
        <v>1</v>
      </c>
      <c r="BF1022" t="b">
        <f>+ISNUMBER(SEARCH('PAGO Compras'!$E$11,Tabla11[[#This Row],[Cuenta]],1))</f>
        <v>1</v>
      </c>
      <c r="BG1022" t="b">
        <f>+ISNUMBER(SEARCH(#REF!,Tabla11[[#This Row],[Cuenta]],1))</f>
        <v>0</v>
      </c>
      <c r="BH1022" t="b">
        <f>+ISNUMBER(SEARCH(#REF!,Tabla11[[#This Row],[Cuenta]],1))</f>
        <v>0</v>
      </c>
      <c r="BI1022" t="b">
        <f>+ISNUMBER(SEARCH(#REF!,Tabla11[[#This Row],[Cuenta]],1))</f>
        <v>0</v>
      </c>
      <c r="BJ1022" t="b">
        <f>+ISNUMBER(SEARCH(#REF!,Tabla11[[#This Row],[Cuenta]],1))</f>
        <v>0</v>
      </c>
      <c r="BS1022" t="str">
        <v>523550 Transporte, fletes y acarreos</v>
      </c>
      <c r="BT1022" t="str">
        <v>523550 Transporte, fletes y acarreos</v>
      </c>
      <c r="BU1022" t="str">
        <v>523550 Transporte, fletes y acarreos</v>
      </c>
      <c r="BV1022" t="str">
        <v>523550 Transporte, fletes y acarreos</v>
      </c>
      <c r="BZ1022" t="str">
        <v>523550 Transporte, fletes y acarreos</v>
      </c>
      <c r="CA1022" t="str">
        <v>523550 Transporte, fletes y acarreos</v>
      </c>
      <c r="CB1022" t="str">
        <v>523550 Transporte, fletes y acarreos</v>
      </c>
      <c r="CC1022" t="str">
        <v>523550 Transporte, fletes y acarreos</v>
      </c>
      <c r="CD1022" t="str">
        <v>523550 Transporte, fletes y acarreos</v>
      </c>
      <c r="CE1022" t="str">
        <v>523550 Transporte, fletes y acarreos</v>
      </c>
      <c r="CS1022" s="141" t="str">
        <v>523550 Transporte, fletes y acarreos</v>
      </c>
      <c r="CT1022" s="141" t="str">
        <v>523550 Transporte, fletes y acarreos</v>
      </c>
      <c r="CU1022" s="141" t="str">
        <v>523550 Transporte, fletes y acarreos</v>
      </c>
      <c r="CV1022" s="141" t="str">
        <v>523550 Transporte, fletes y acarreos</v>
      </c>
      <c r="CW1022" s="141" t="str">
        <v>523550 Transporte, fletes y acarreos</v>
      </c>
      <c r="CX1022" s="141" t="str">
        <v>523550 Transporte, fletes y acarreos</v>
      </c>
      <c r="CY1022" s="141" t="str">
        <v>523550 Transporte, fletes y acarreos</v>
      </c>
      <c r="CZ1022" s="141" t="str">
        <v>523550 Transporte, fletes y acarreos</v>
      </c>
      <c r="DA1022" s="141" t="str">
        <v>523550 Transporte, fletes y acarreos</v>
      </c>
      <c r="DF1022" t="str">
        <v>523550 Transporte, fletes y acarreos</v>
      </c>
      <c r="DG1022" t="str">
        <v>523550 Transporte, fletes y acarreos</v>
      </c>
      <c r="DH1022" t="str">
        <v>523550 Transporte, fletes y acarreos</v>
      </c>
      <c r="DI1022" t="str">
        <v>523550 Transporte, fletes y acarreos</v>
      </c>
      <c r="DJ1022" t="str">
        <v>523550 Transporte, fletes y acarreos</v>
      </c>
      <c r="DK1022" t="str">
        <v>523550 Transporte, fletes y acarreos</v>
      </c>
      <c r="DL1022" t="str">
        <v>523550 Transporte, fletes y acarreos</v>
      </c>
      <c r="DM1022" t="str">
        <v>523550 Transporte, fletes y acarreos</v>
      </c>
      <c r="DN1022" t="str">
        <v>523550 Transporte, fletes y acarreos</v>
      </c>
      <c r="DO1022" t="str">
        <v>523550 Transporte, fletes y acarreos</v>
      </c>
      <c r="DP1022" t="str">
        <v>523550 Transporte, fletes y acarreos</v>
      </c>
    </row>
    <row r="1023" spans="4:120" ht="12.75">
      <c r="D1023" s="7">
        <v>523555</v>
      </c>
      <c r="E1023" s="6" t="s">
        <v>592</v>
      </c>
      <c r="F1023" s="5">
        <v>4</v>
      </c>
      <c r="G1023" s="34" t="s">
        <v>830</v>
      </c>
      <c r="H1023" s="8" t="s">
        <v>32</v>
      </c>
      <c r="I1023" t="b">
        <f>+ISNUMBER(SEARCH('F-COMPRA'!$F$28,Tabla11[[#This Row],[Cuenta]],1))</f>
        <v>1</v>
      </c>
      <c r="J1023" t="b">
        <f>+ISNUMBER(SEARCH('F-COMPRA'!$F$29,Tabla11[[#This Row],[Cuenta]],1))</f>
        <v>1</v>
      </c>
      <c r="K1023" t="b">
        <f>+ISNUMBER(SEARCH('F-COMPRA'!$F$30,Tabla11[[#This Row],[Cuenta]],1))</f>
        <v>1</v>
      </c>
      <c r="L1023" t="b">
        <f>+ISNUMBER(SEARCH('F-COMPRA'!$F$31,Tabla11[[#This Row],[Cuenta]],1))</f>
        <v>1</v>
      </c>
      <c r="M1023" t="b">
        <f>+ISNUMBER(SEARCH('F-COMPRA'!$G$25,Tabla11[[#This Row],[Cuenta]],1))</f>
        <v>0</v>
      </c>
      <c r="N1023" t="b">
        <f>+ISNUMBER(SEARCH(#REF!,Tabla11[[#This Row],[Cuenta]],1))</f>
        <v>0</v>
      </c>
      <c r="O1023" t="b">
        <f>+ISNUMBER(SEARCH(#REF!,Tabla11[[#This Row],[Cuenta]],1))</f>
        <v>0</v>
      </c>
      <c r="P1023" t="b">
        <f>+ISNUMBER(SEARCH('F-COMPRA'!$F$32,Tabla11[[#This Row],[Cuenta]],1))</f>
        <v>1</v>
      </c>
      <c r="Q1023" t="b">
        <f>+ISNUMBER(SEARCH('F-COMPRA'!$F$33,Tabla11[[#This Row],[Cuenta]],1))</f>
        <v>1</v>
      </c>
      <c r="R1023" t="b">
        <f>+ISNUMBER(SEARCH('F-COMPRA'!$F$34,Tabla11[[#This Row],[Cuenta]],1))</f>
        <v>1</v>
      </c>
      <c r="S1023" t="b">
        <f>+ISNUMBER(SEARCH('F-COMPRA'!$F$35,Tabla11[[#This Row],[Cuenta]],1))</f>
        <v>1</v>
      </c>
      <c r="T1023" t="b">
        <f>+ISNUMBER(SEARCH('F-COMPRA'!$F$36,Tabla11[[#This Row],[Cuenta]],1))</f>
        <v>1</v>
      </c>
      <c r="U1023" t="b">
        <f>+ISNUMBER(SEARCH('F-COMPRA'!$F$37,Tabla11[[#This Row],[Cuenta]],1))</f>
        <v>1</v>
      </c>
      <c r="V1023" t="b">
        <f>+ISNUMBER(SEARCH(#REF!,Tabla11[[#This Row],[Cuenta]],1))</f>
        <v>0</v>
      </c>
      <c r="W1023" t="b">
        <f>+ISNUMBER(SEARCH('F-COMPRA'!#REF!,Tabla11[[#This Row],[Cuenta]],1))</f>
        <v>0</v>
      </c>
      <c r="X1023" t="b">
        <f>+ISNUMBER(SEARCH('F-COMPRA'!#REF!,Tabla11[[#This Row],[Cuenta]],1))</f>
        <v>0</v>
      </c>
      <c r="Y1023" t="b">
        <f>+ISNUMBER(SEARCH('F-COMPRA'!#REF!,Tabla11[[#This Row],[Cuenta]],1))</f>
        <v>0</v>
      </c>
      <c r="Z1023" t="b">
        <f>+ISNUMBER(SEARCH('F-COMPRA'!#REF!,Tabla11[[#This Row],[Cuenta]],1))</f>
        <v>0</v>
      </c>
      <c r="AA1023" t="b">
        <f>+ISNUMBER(SEARCH('F-COMPRA'!#REF!,Tabla11[[#This Row],[Cuenta]],1))</f>
        <v>0</v>
      </c>
      <c r="AB1023" t="b">
        <f>+ISNUMBER(SEARCH('F-COMPRA'!#REF!,Tabla11[[#This Row],[Cuenta]],1))</f>
        <v>0</v>
      </c>
      <c r="AC1023" t="b">
        <f>+ISNUMBER(SEARCH('F-COMPRA'!#REF!,Tabla11[[#This Row],[Cuenta]],1))</f>
        <v>0</v>
      </c>
      <c r="AD1023" t="b">
        <f>+ISNUMBER(SEARCH('F-COMPRA'!#REF!,Tabla11[[#This Row],[Cuenta]],1))</f>
        <v>0</v>
      </c>
      <c r="AE1023" t="b">
        <f>+ISNUMBER(SEARCH('F-COMPRA'!#REF!,Tabla11[[#This Row],[Cuenta]],1))</f>
        <v>0</v>
      </c>
      <c r="AF1023" t="b">
        <f>+ISNUMBER(SEARCH('F-VTA'!$G$23,Tabla11[[#This Row],[Cuenta]],1))</f>
        <v>0</v>
      </c>
      <c r="AG1023" t="b">
        <f>+ISNUMBER(SEARCH('F-VTA'!$G$24,Tabla11[[#This Row],[Cuenta]],1))</f>
        <v>0</v>
      </c>
      <c r="AH1023" t="b">
        <f>+ISNUMBER(SEARCH('F-VTA'!$G$25,Tabla11[[#This Row],[Cuenta]],1))</f>
        <v>0</v>
      </c>
      <c r="AI1023" t="b">
        <f>+ISNUMBER(SEARCH('F-VTA'!$F$28,Tabla11[[#This Row],[Cuenta]],1))</f>
        <v>1</v>
      </c>
      <c r="AJ1023" t="b">
        <f>+ISNUMBER(SEARCH('F-VTA'!$F$29,Tabla11[[#This Row],[Cuenta]],1))</f>
        <v>1</v>
      </c>
      <c r="AK1023" t="b">
        <f>+ISNUMBER(SEARCH('F-VTA'!$F$30,Tabla11[[#This Row],[Cuenta]],1))</f>
        <v>1</v>
      </c>
      <c r="AL1023" t="b">
        <f>+ISNUMBER(SEARCH('F-VTA'!$F$31,Tabla11[[#This Row],[Cuenta]],1))</f>
        <v>1</v>
      </c>
      <c r="AM1023" t="b">
        <f>+ISNUMBER(SEARCH('F-VTA'!$F$32,Tabla11[[#This Row],[Cuenta]],1))</f>
        <v>1</v>
      </c>
      <c r="AN1023" t="b">
        <f>+ISNUMBER(SEARCH('F-VTA'!$F$33,Tabla11[[#This Row],[Cuenta]],1))</f>
        <v>1</v>
      </c>
      <c r="AO1023" t="b">
        <f>+ISNUMBER(SEARCH('F-VTA'!$F$34,Tabla11[[#This Row],[Cuenta]],1))</f>
        <v>1</v>
      </c>
      <c r="AP1023" t="b">
        <f>+ISNUMBER(SEARCH('F-VTA'!$F$35,Tabla11[[#This Row],[Cuenta]],1))</f>
        <v>1</v>
      </c>
      <c r="AQ1023" t="b">
        <f>+ISNUMBER(SEARCH('F-VTA'!$F$36,Tabla11[[#This Row],[Cuenta]],1))</f>
        <v>1</v>
      </c>
      <c r="AR1023" t="b">
        <f>+ISNUMBER(SEARCH(#REF!,Tabla11[[#This Row],[Cuenta]],1))</f>
        <v>0</v>
      </c>
      <c r="AS1023" t="b">
        <f>+ISNUMBER(SEARCH(#REF!,Tabla11[[#This Row],[Cuenta]],1))</f>
        <v>0</v>
      </c>
      <c r="AT1023" t="b">
        <f>+ISNUMBER(SEARCH(#REF!,Tabla11[[#This Row],[Cuenta]],1))</f>
        <v>0</v>
      </c>
      <c r="AU1023" t="b">
        <f>+ISNUMBER(SEARCH('Conc. Ban.1'!$I$9,Tabla11[[#This Row],[Cuenta]],1))</f>
        <v>0</v>
      </c>
      <c r="AV1023" t="b">
        <f>+ISNUMBER(SEARCH(CompConta!$F$21,Tabla11[[#This Row],[Cuenta]],1))</f>
        <v>1</v>
      </c>
      <c r="AW1023" t="b">
        <f>+ISNUMBER(SEARCH(CompConta!$F$22,Tabla11[[#This Row],[Cuenta]],1))</f>
        <v>1</v>
      </c>
      <c r="AX1023" t="b">
        <f>+ISNUMBER(SEARCH(CompConta!$F$23,Tabla11[[#This Row],[Cuenta]],1))</f>
        <v>1</v>
      </c>
      <c r="AY1023" t="b">
        <f>+ISNUMBER(SEARCH(CompConta!$F$24,Tabla11[[#This Row],[Cuenta]],1))</f>
        <v>1</v>
      </c>
      <c r="AZ1023" t="b">
        <f>+ISNUMBER(SEARCH(CompConta!$F$25,Tabla11[[#This Row],[Cuenta]],1))</f>
        <v>1</v>
      </c>
      <c r="BA1023" t="b">
        <f>+ISNUMBER(SEARCH(CompConta!$F$26,Tabla11[[#This Row],[Cuenta]],1))</f>
        <v>1</v>
      </c>
      <c r="BB1023" t="b">
        <f>+ISNUMBER(SEARCH(CompConta!$F$27,Tabla11[[#This Row],[Cuenta]],1))</f>
        <v>1</v>
      </c>
      <c r="BC1023" t="b">
        <f>+ISNUMBER(SEARCH(CompConta!$F$28,Tabla11[[#This Row],[Cuenta]],1))</f>
        <v>1</v>
      </c>
      <c r="BD1023" t="b">
        <f>+ISNUMBER(SEARCH(CompConta!$F$29,Tabla11[[#This Row],[Cuenta]],1))</f>
        <v>1</v>
      </c>
      <c r="BE1023" t="b">
        <f>+ISNUMBER(SEARCH(CompConta!$F$30,Tabla11[[#This Row],[Cuenta]],1))</f>
        <v>1</v>
      </c>
      <c r="BF1023" t="b">
        <f>+ISNUMBER(SEARCH('PAGO Compras'!$E$11,Tabla11[[#This Row],[Cuenta]],1))</f>
        <v>1</v>
      </c>
      <c r="BG1023" t="b">
        <f>+ISNUMBER(SEARCH(#REF!,Tabla11[[#This Row],[Cuenta]],1))</f>
        <v>0</v>
      </c>
      <c r="BH1023" t="b">
        <f>+ISNUMBER(SEARCH(#REF!,Tabla11[[#This Row],[Cuenta]],1))</f>
        <v>0</v>
      </c>
      <c r="BI1023" t="b">
        <f>+ISNUMBER(SEARCH(#REF!,Tabla11[[#This Row],[Cuenta]],1))</f>
        <v>0</v>
      </c>
      <c r="BJ1023" t="b">
        <f>+ISNUMBER(SEARCH(#REF!,Tabla11[[#This Row],[Cuenta]],1))</f>
        <v>0</v>
      </c>
      <c r="BS1023" t="str">
        <v>523555 Gas</v>
      </c>
      <c r="BT1023" t="str">
        <v>523555 Gas</v>
      </c>
      <c r="BU1023" t="str">
        <v>523555 Gas</v>
      </c>
      <c r="BV1023" t="str">
        <v>523555 Gas</v>
      </c>
      <c r="BZ1023" t="str">
        <v>523555 Gas</v>
      </c>
      <c r="CA1023" t="str">
        <v>523555 Gas</v>
      </c>
      <c r="CB1023" t="str">
        <v>523555 Gas</v>
      </c>
      <c r="CC1023" t="str">
        <v>523555 Gas</v>
      </c>
      <c r="CD1023" t="str">
        <v>523555 Gas</v>
      </c>
      <c r="CE1023" t="str">
        <v>523555 Gas</v>
      </c>
      <c r="CS1023" s="141" t="str">
        <v>523555 Gas</v>
      </c>
      <c r="CT1023" s="141" t="str">
        <v>523555 Gas</v>
      </c>
      <c r="CU1023" s="141" t="str">
        <v>523555 Gas</v>
      </c>
      <c r="CV1023" s="141" t="str">
        <v>523555 Gas</v>
      </c>
      <c r="CW1023" s="141" t="str">
        <v>523555 Gas</v>
      </c>
      <c r="CX1023" s="141" t="str">
        <v>523555 Gas</v>
      </c>
      <c r="CY1023" s="141" t="str">
        <v>523555 Gas</v>
      </c>
      <c r="CZ1023" s="141" t="str">
        <v>523555 Gas</v>
      </c>
      <c r="DA1023" s="141" t="str">
        <v>523555 Gas</v>
      </c>
      <c r="DF1023" t="str">
        <v>523555 Gas</v>
      </c>
      <c r="DG1023" t="str">
        <v>523555 Gas</v>
      </c>
      <c r="DH1023" t="str">
        <v>523555 Gas</v>
      </c>
      <c r="DI1023" t="str">
        <v>523555 Gas</v>
      </c>
      <c r="DJ1023" t="str">
        <v>523555 Gas</v>
      </c>
      <c r="DK1023" t="str">
        <v>523555 Gas</v>
      </c>
      <c r="DL1023" t="str">
        <v>523555 Gas</v>
      </c>
      <c r="DM1023" t="str">
        <v>523555 Gas</v>
      </c>
      <c r="DN1023" t="str">
        <v>523555 Gas</v>
      </c>
      <c r="DO1023" t="str">
        <v>523555 Gas</v>
      </c>
      <c r="DP1023" t="str">
        <v>523555 Gas</v>
      </c>
    </row>
    <row r="1024" spans="4:120" ht="12.75">
      <c r="D1024" s="7">
        <v>523560</v>
      </c>
      <c r="E1024" s="6" t="s">
        <v>629</v>
      </c>
      <c r="F1024" s="5">
        <v>4</v>
      </c>
      <c r="G1024" s="34" t="s">
        <v>830</v>
      </c>
      <c r="H1024" s="8" t="s">
        <v>32</v>
      </c>
      <c r="I1024" t="b">
        <f>+ISNUMBER(SEARCH('F-COMPRA'!$F$28,Tabla11[[#This Row],[Cuenta]],1))</f>
        <v>1</v>
      </c>
      <c r="J1024" t="b">
        <f>+ISNUMBER(SEARCH('F-COMPRA'!$F$29,Tabla11[[#This Row],[Cuenta]],1))</f>
        <v>1</v>
      </c>
      <c r="K1024" t="b">
        <f>+ISNUMBER(SEARCH('F-COMPRA'!$F$30,Tabla11[[#This Row],[Cuenta]],1))</f>
        <v>1</v>
      </c>
      <c r="L1024" t="b">
        <f>+ISNUMBER(SEARCH('F-COMPRA'!$F$31,Tabla11[[#This Row],[Cuenta]],1))</f>
        <v>1</v>
      </c>
      <c r="M1024" t="b">
        <f>+ISNUMBER(SEARCH('F-COMPRA'!$G$25,Tabla11[[#This Row],[Cuenta]],1))</f>
        <v>0</v>
      </c>
      <c r="N1024" t="b">
        <f>+ISNUMBER(SEARCH(#REF!,Tabla11[[#This Row],[Cuenta]],1))</f>
        <v>0</v>
      </c>
      <c r="O1024" t="b">
        <f>+ISNUMBER(SEARCH(#REF!,Tabla11[[#This Row],[Cuenta]],1))</f>
        <v>0</v>
      </c>
      <c r="P1024" t="b">
        <f>+ISNUMBER(SEARCH('F-COMPRA'!$F$32,Tabla11[[#This Row],[Cuenta]],1))</f>
        <v>1</v>
      </c>
      <c r="Q1024" t="b">
        <f>+ISNUMBER(SEARCH('F-COMPRA'!$F$33,Tabla11[[#This Row],[Cuenta]],1))</f>
        <v>1</v>
      </c>
      <c r="R1024" t="b">
        <f>+ISNUMBER(SEARCH('F-COMPRA'!$F$34,Tabla11[[#This Row],[Cuenta]],1))</f>
        <v>1</v>
      </c>
      <c r="S1024" t="b">
        <f>+ISNUMBER(SEARCH('F-COMPRA'!$F$35,Tabla11[[#This Row],[Cuenta]],1))</f>
        <v>1</v>
      </c>
      <c r="T1024" t="b">
        <f>+ISNUMBER(SEARCH('F-COMPRA'!$F$36,Tabla11[[#This Row],[Cuenta]],1))</f>
        <v>1</v>
      </c>
      <c r="U1024" t="b">
        <f>+ISNUMBER(SEARCH('F-COMPRA'!$F$37,Tabla11[[#This Row],[Cuenta]],1))</f>
        <v>1</v>
      </c>
      <c r="V1024" t="b">
        <f>+ISNUMBER(SEARCH(#REF!,Tabla11[[#This Row],[Cuenta]],1))</f>
        <v>0</v>
      </c>
      <c r="W1024" t="b">
        <f>+ISNUMBER(SEARCH('F-COMPRA'!#REF!,Tabla11[[#This Row],[Cuenta]],1))</f>
        <v>0</v>
      </c>
      <c r="X1024" t="b">
        <f>+ISNUMBER(SEARCH('F-COMPRA'!#REF!,Tabla11[[#This Row],[Cuenta]],1))</f>
        <v>0</v>
      </c>
      <c r="Y1024" t="b">
        <f>+ISNUMBER(SEARCH('F-COMPRA'!#REF!,Tabla11[[#This Row],[Cuenta]],1))</f>
        <v>0</v>
      </c>
      <c r="Z1024" t="b">
        <f>+ISNUMBER(SEARCH('F-COMPRA'!#REF!,Tabla11[[#This Row],[Cuenta]],1))</f>
        <v>0</v>
      </c>
      <c r="AA1024" t="b">
        <f>+ISNUMBER(SEARCH('F-COMPRA'!#REF!,Tabla11[[#This Row],[Cuenta]],1))</f>
        <v>0</v>
      </c>
      <c r="AB1024" t="b">
        <f>+ISNUMBER(SEARCH('F-COMPRA'!#REF!,Tabla11[[#This Row],[Cuenta]],1))</f>
        <v>0</v>
      </c>
      <c r="AC1024" t="b">
        <f>+ISNUMBER(SEARCH('F-COMPRA'!#REF!,Tabla11[[#This Row],[Cuenta]],1))</f>
        <v>0</v>
      </c>
      <c r="AD1024" t="b">
        <f>+ISNUMBER(SEARCH('F-COMPRA'!#REF!,Tabla11[[#This Row],[Cuenta]],1))</f>
        <v>0</v>
      </c>
      <c r="AE1024" t="b">
        <f>+ISNUMBER(SEARCH('F-COMPRA'!#REF!,Tabla11[[#This Row],[Cuenta]],1))</f>
        <v>0</v>
      </c>
      <c r="AF1024" t="b">
        <f>+ISNUMBER(SEARCH('F-VTA'!$G$23,Tabla11[[#This Row],[Cuenta]],1))</f>
        <v>0</v>
      </c>
      <c r="AG1024" t="b">
        <f>+ISNUMBER(SEARCH('F-VTA'!$G$24,Tabla11[[#This Row],[Cuenta]],1))</f>
        <v>0</v>
      </c>
      <c r="AH1024" t="b">
        <f>+ISNUMBER(SEARCH('F-VTA'!$G$25,Tabla11[[#This Row],[Cuenta]],1))</f>
        <v>0</v>
      </c>
      <c r="AI1024" t="b">
        <f>+ISNUMBER(SEARCH('F-VTA'!$F$28,Tabla11[[#This Row],[Cuenta]],1))</f>
        <v>1</v>
      </c>
      <c r="AJ1024" t="b">
        <f>+ISNUMBER(SEARCH('F-VTA'!$F$29,Tabla11[[#This Row],[Cuenta]],1))</f>
        <v>1</v>
      </c>
      <c r="AK1024" t="b">
        <f>+ISNUMBER(SEARCH('F-VTA'!$F$30,Tabla11[[#This Row],[Cuenta]],1))</f>
        <v>1</v>
      </c>
      <c r="AL1024" t="b">
        <f>+ISNUMBER(SEARCH('F-VTA'!$F$31,Tabla11[[#This Row],[Cuenta]],1))</f>
        <v>1</v>
      </c>
      <c r="AM1024" t="b">
        <f>+ISNUMBER(SEARCH('F-VTA'!$F$32,Tabla11[[#This Row],[Cuenta]],1))</f>
        <v>1</v>
      </c>
      <c r="AN1024" t="b">
        <f>+ISNUMBER(SEARCH('F-VTA'!$F$33,Tabla11[[#This Row],[Cuenta]],1))</f>
        <v>1</v>
      </c>
      <c r="AO1024" t="b">
        <f>+ISNUMBER(SEARCH('F-VTA'!$F$34,Tabla11[[#This Row],[Cuenta]],1))</f>
        <v>1</v>
      </c>
      <c r="AP1024" t="b">
        <f>+ISNUMBER(SEARCH('F-VTA'!$F$35,Tabla11[[#This Row],[Cuenta]],1))</f>
        <v>1</v>
      </c>
      <c r="AQ1024" t="b">
        <f>+ISNUMBER(SEARCH('F-VTA'!$F$36,Tabla11[[#This Row],[Cuenta]],1))</f>
        <v>1</v>
      </c>
      <c r="AR1024" t="b">
        <f>+ISNUMBER(SEARCH(#REF!,Tabla11[[#This Row],[Cuenta]],1))</f>
        <v>0</v>
      </c>
      <c r="AS1024" t="b">
        <f>+ISNUMBER(SEARCH(#REF!,Tabla11[[#This Row],[Cuenta]],1))</f>
        <v>0</v>
      </c>
      <c r="AT1024" t="b">
        <f>+ISNUMBER(SEARCH(#REF!,Tabla11[[#This Row],[Cuenta]],1))</f>
        <v>0</v>
      </c>
      <c r="AU1024" t="b">
        <f>+ISNUMBER(SEARCH('Conc. Ban.1'!$I$9,Tabla11[[#This Row],[Cuenta]],1))</f>
        <v>0</v>
      </c>
      <c r="AV1024" t="b">
        <f>+ISNUMBER(SEARCH(CompConta!$F$21,Tabla11[[#This Row],[Cuenta]],1))</f>
        <v>1</v>
      </c>
      <c r="AW1024" t="b">
        <f>+ISNUMBER(SEARCH(CompConta!$F$22,Tabla11[[#This Row],[Cuenta]],1))</f>
        <v>1</v>
      </c>
      <c r="AX1024" t="b">
        <f>+ISNUMBER(SEARCH(CompConta!$F$23,Tabla11[[#This Row],[Cuenta]],1))</f>
        <v>1</v>
      </c>
      <c r="AY1024" t="b">
        <f>+ISNUMBER(SEARCH(CompConta!$F$24,Tabla11[[#This Row],[Cuenta]],1))</f>
        <v>1</v>
      </c>
      <c r="AZ1024" t="b">
        <f>+ISNUMBER(SEARCH(CompConta!$F$25,Tabla11[[#This Row],[Cuenta]],1))</f>
        <v>1</v>
      </c>
      <c r="BA1024" t="b">
        <f>+ISNUMBER(SEARCH(CompConta!$F$26,Tabla11[[#This Row],[Cuenta]],1))</f>
        <v>1</v>
      </c>
      <c r="BB1024" t="b">
        <f>+ISNUMBER(SEARCH(CompConta!$F$27,Tabla11[[#This Row],[Cuenta]],1))</f>
        <v>1</v>
      </c>
      <c r="BC1024" t="b">
        <f>+ISNUMBER(SEARCH(CompConta!$F$28,Tabla11[[#This Row],[Cuenta]],1))</f>
        <v>1</v>
      </c>
      <c r="BD1024" t="b">
        <f>+ISNUMBER(SEARCH(CompConta!$F$29,Tabla11[[#This Row],[Cuenta]],1))</f>
        <v>1</v>
      </c>
      <c r="BE1024" t="b">
        <f>+ISNUMBER(SEARCH(CompConta!$F$30,Tabla11[[#This Row],[Cuenta]],1))</f>
        <v>1</v>
      </c>
      <c r="BF1024" t="b">
        <f>+ISNUMBER(SEARCH('PAGO Compras'!$E$11,Tabla11[[#This Row],[Cuenta]],1))</f>
        <v>1</v>
      </c>
      <c r="BG1024" t="b">
        <f>+ISNUMBER(SEARCH(#REF!,Tabla11[[#This Row],[Cuenta]],1))</f>
        <v>0</v>
      </c>
      <c r="BH1024" t="b">
        <f>+ISNUMBER(SEARCH(#REF!,Tabla11[[#This Row],[Cuenta]],1))</f>
        <v>0</v>
      </c>
      <c r="BI1024" t="b">
        <f>+ISNUMBER(SEARCH(#REF!,Tabla11[[#This Row],[Cuenta]],1))</f>
        <v>0</v>
      </c>
      <c r="BJ1024" t="b">
        <f>+ISNUMBER(SEARCH(#REF!,Tabla11[[#This Row],[Cuenta]],1))</f>
        <v>0</v>
      </c>
      <c r="BS1024" t="str">
        <v>523560 Publicidad, propaganda y promoción</v>
      </c>
      <c r="BT1024" t="str">
        <v>523560 Publicidad, propaganda y promoción</v>
      </c>
      <c r="BU1024" t="str">
        <v>523560 Publicidad, propaganda y promoción</v>
      </c>
      <c r="BV1024" t="str">
        <v>523560 Publicidad, propaganda y promoción</v>
      </c>
      <c r="BZ1024" t="str">
        <v>523560 Publicidad, propaganda y promoción</v>
      </c>
      <c r="CA1024" t="str">
        <v>523560 Publicidad, propaganda y promoción</v>
      </c>
      <c r="CB1024" t="str">
        <v>523560 Publicidad, propaganda y promoción</v>
      </c>
      <c r="CC1024" t="str">
        <v>523560 Publicidad, propaganda y promoción</v>
      </c>
      <c r="CD1024" t="str">
        <v>523560 Publicidad, propaganda y promoción</v>
      </c>
      <c r="CE1024" t="str">
        <v>523560 Publicidad, propaganda y promoción</v>
      </c>
      <c r="CS1024" s="141" t="str">
        <v>523560 Publicidad, propaganda y promoción</v>
      </c>
      <c r="CT1024" s="141" t="str">
        <v>523560 Publicidad, propaganda y promoción</v>
      </c>
      <c r="CU1024" s="141" t="str">
        <v>523560 Publicidad, propaganda y promoción</v>
      </c>
      <c r="CV1024" s="141" t="str">
        <v>523560 Publicidad, propaganda y promoción</v>
      </c>
      <c r="CW1024" s="141" t="str">
        <v>523560 Publicidad, propaganda y promoción</v>
      </c>
      <c r="CX1024" s="141" t="str">
        <v>523560 Publicidad, propaganda y promoción</v>
      </c>
      <c r="CY1024" s="141" t="str">
        <v>523560 Publicidad, propaganda y promoción</v>
      </c>
      <c r="CZ1024" s="141" t="str">
        <v>523560 Publicidad, propaganda y promoción</v>
      </c>
      <c r="DA1024" s="141" t="str">
        <v>523560 Publicidad, propaganda y promoción</v>
      </c>
      <c r="DF1024" t="str">
        <v>523560 Publicidad, propaganda y promoción</v>
      </c>
      <c r="DG1024" t="str">
        <v>523560 Publicidad, propaganda y promoción</v>
      </c>
      <c r="DH1024" t="str">
        <v>523560 Publicidad, propaganda y promoción</v>
      </c>
      <c r="DI1024" t="str">
        <v>523560 Publicidad, propaganda y promoción</v>
      </c>
      <c r="DJ1024" t="str">
        <v>523560 Publicidad, propaganda y promoción</v>
      </c>
      <c r="DK1024" t="str">
        <v>523560 Publicidad, propaganda y promoción</v>
      </c>
      <c r="DL1024" t="str">
        <v>523560 Publicidad, propaganda y promoción</v>
      </c>
      <c r="DM1024" t="str">
        <v>523560 Publicidad, propaganda y promoción</v>
      </c>
      <c r="DN1024" t="str">
        <v>523560 Publicidad, propaganda y promoción</v>
      </c>
      <c r="DO1024" t="str">
        <v>523560 Publicidad, propaganda y promoción</v>
      </c>
      <c r="DP1024" t="str">
        <v>523560 Publicidad, propaganda y promoción</v>
      </c>
    </row>
    <row r="1025" spans="4:120" ht="12.75">
      <c r="D1025" s="7">
        <v>523595</v>
      </c>
      <c r="E1025" s="6" t="s">
        <v>45</v>
      </c>
      <c r="F1025" s="5">
        <v>4</v>
      </c>
      <c r="G1025" s="34" t="s">
        <v>830</v>
      </c>
      <c r="H1025" s="8" t="s">
        <v>32</v>
      </c>
      <c r="I1025" t="b">
        <f>+ISNUMBER(SEARCH('F-COMPRA'!$F$28,Tabla11[[#This Row],[Cuenta]],1))</f>
        <v>1</v>
      </c>
      <c r="J1025" t="b">
        <f>+ISNUMBER(SEARCH('F-COMPRA'!$F$29,Tabla11[[#This Row],[Cuenta]],1))</f>
        <v>1</v>
      </c>
      <c r="K1025" t="b">
        <f>+ISNUMBER(SEARCH('F-COMPRA'!$F$30,Tabla11[[#This Row],[Cuenta]],1))</f>
        <v>1</v>
      </c>
      <c r="L1025" t="b">
        <f>+ISNUMBER(SEARCH('F-COMPRA'!$F$31,Tabla11[[#This Row],[Cuenta]],1))</f>
        <v>1</v>
      </c>
      <c r="M1025" t="b">
        <f>+ISNUMBER(SEARCH('F-COMPRA'!$G$25,Tabla11[[#This Row],[Cuenta]],1))</f>
        <v>0</v>
      </c>
      <c r="N1025" t="b">
        <f>+ISNUMBER(SEARCH(#REF!,Tabla11[[#This Row],[Cuenta]],1))</f>
        <v>0</v>
      </c>
      <c r="O1025" t="b">
        <f>+ISNUMBER(SEARCH(#REF!,Tabla11[[#This Row],[Cuenta]],1))</f>
        <v>0</v>
      </c>
      <c r="P1025" t="b">
        <f>+ISNUMBER(SEARCH('F-COMPRA'!$F$32,Tabla11[[#This Row],[Cuenta]],1))</f>
        <v>1</v>
      </c>
      <c r="Q1025" t="b">
        <f>+ISNUMBER(SEARCH('F-COMPRA'!$F$33,Tabla11[[#This Row],[Cuenta]],1))</f>
        <v>1</v>
      </c>
      <c r="R1025" t="b">
        <f>+ISNUMBER(SEARCH('F-COMPRA'!$F$34,Tabla11[[#This Row],[Cuenta]],1))</f>
        <v>1</v>
      </c>
      <c r="S1025" t="b">
        <f>+ISNUMBER(SEARCH('F-COMPRA'!$F$35,Tabla11[[#This Row],[Cuenta]],1))</f>
        <v>1</v>
      </c>
      <c r="T1025" t="b">
        <f>+ISNUMBER(SEARCH('F-COMPRA'!$F$36,Tabla11[[#This Row],[Cuenta]],1))</f>
        <v>1</v>
      </c>
      <c r="U1025" t="b">
        <f>+ISNUMBER(SEARCH('F-COMPRA'!$F$37,Tabla11[[#This Row],[Cuenta]],1))</f>
        <v>1</v>
      </c>
      <c r="V1025" t="b">
        <f>+ISNUMBER(SEARCH(#REF!,Tabla11[[#This Row],[Cuenta]],1))</f>
        <v>0</v>
      </c>
      <c r="W1025" t="b">
        <f>+ISNUMBER(SEARCH('F-COMPRA'!#REF!,Tabla11[[#This Row],[Cuenta]],1))</f>
        <v>0</v>
      </c>
      <c r="X1025" t="b">
        <f>+ISNUMBER(SEARCH('F-COMPRA'!#REF!,Tabla11[[#This Row],[Cuenta]],1))</f>
        <v>0</v>
      </c>
      <c r="Y1025" t="b">
        <f>+ISNUMBER(SEARCH('F-COMPRA'!#REF!,Tabla11[[#This Row],[Cuenta]],1))</f>
        <v>0</v>
      </c>
      <c r="Z1025" t="b">
        <f>+ISNUMBER(SEARCH('F-COMPRA'!#REF!,Tabla11[[#This Row],[Cuenta]],1))</f>
        <v>0</v>
      </c>
      <c r="AA1025" t="b">
        <f>+ISNUMBER(SEARCH('F-COMPRA'!#REF!,Tabla11[[#This Row],[Cuenta]],1))</f>
        <v>0</v>
      </c>
      <c r="AB1025" t="b">
        <f>+ISNUMBER(SEARCH('F-COMPRA'!#REF!,Tabla11[[#This Row],[Cuenta]],1))</f>
        <v>0</v>
      </c>
      <c r="AC1025" t="b">
        <f>+ISNUMBER(SEARCH('F-COMPRA'!#REF!,Tabla11[[#This Row],[Cuenta]],1))</f>
        <v>0</v>
      </c>
      <c r="AD1025" t="b">
        <f>+ISNUMBER(SEARCH('F-COMPRA'!#REF!,Tabla11[[#This Row],[Cuenta]],1))</f>
        <v>0</v>
      </c>
      <c r="AE1025" t="b">
        <f>+ISNUMBER(SEARCH('F-COMPRA'!#REF!,Tabla11[[#This Row],[Cuenta]],1))</f>
        <v>0</v>
      </c>
      <c r="AF1025" t="b">
        <f>+ISNUMBER(SEARCH('F-VTA'!$G$23,Tabla11[[#This Row],[Cuenta]],1))</f>
        <v>0</v>
      </c>
      <c r="AG1025" t="b">
        <f>+ISNUMBER(SEARCH('F-VTA'!$G$24,Tabla11[[#This Row],[Cuenta]],1))</f>
        <v>0</v>
      </c>
      <c r="AH1025" t="b">
        <f>+ISNUMBER(SEARCH('F-VTA'!$G$25,Tabla11[[#This Row],[Cuenta]],1))</f>
        <v>0</v>
      </c>
      <c r="AI1025" t="b">
        <f>+ISNUMBER(SEARCH('F-VTA'!$F$28,Tabla11[[#This Row],[Cuenta]],1))</f>
        <v>1</v>
      </c>
      <c r="AJ1025" t="b">
        <f>+ISNUMBER(SEARCH('F-VTA'!$F$29,Tabla11[[#This Row],[Cuenta]],1))</f>
        <v>1</v>
      </c>
      <c r="AK1025" t="b">
        <f>+ISNUMBER(SEARCH('F-VTA'!$F$30,Tabla11[[#This Row],[Cuenta]],1))</f>
        <v>1</v>
      </c>
      <c r="AL1025" t="b">
        <f>+ISNUMBER(SEARCH('F-VTA'!$F$31,Tabla11[[#This Row],[Cuenta]],1))</f>
        <v>1</v>
      </c>
      <c r="AM1025" t="b">
        <f>+ISNUMBER(SEARCH('F-VTA'!$F$32,Tabla11[[#This Row],[Cuenta]],1))</f>
        <v>1</v>
      </c>
      <c r="AN1025" t="b">
        <f>+ISNUMBER(SEARCH('F-VTA'!$F$33,Tabla11[[#This Row],[Cuenta]],1))</f>
        <v>1</v>
      </c>
      <c r="AO1025" t="b">
        <f>+ISNUMBER(SEARCH('F-VTA'!$F$34,Tabla11[[#This Row],[Cuenta]],1))</f>
        <v>1</v>
      </c>
      <c r="AP1025" t="b">
        <f>+ISNUMBER(SEARCH('F-VTA'!$F$35,Tabla11[[#This Row],[Cuenta]],1))</f>
        <v>1</v>
      </c>
      <c r="AQ1025" t="b">
        <f>+ISNUMBER(SEARCH('F-VTA'!$F$36,Tabla11[[#This Row],[Cuenta]],1))</f>
        <v>1</v>
      </c>
      <c r="AR1025" t="b">
        <f>+ISNUMBER(SEARCH(#REF!,Tabla11[[#This Row],[Cuenta]],1))</f>
        <v>0</v>
      </c>
      <c r="AS1025" t="b">
        <f>+ISNUMBER(SEARCH(#REF!,Tabla11[[#This Row],[Cuenta]],1))</f>
        <v>0</v>
      </c>
      <c r="AT1025" t="b">
        <f>+ISNUMBER(SEARCH(#REF!,Tabla11[[#This Row],[Cuenta]],1))</f>
        <v>0</v>
      </c>
      <c r="AU1025" t="b">
        <f>+ISNUMBER(SEARCH('Conc. Ban.1'!$I$9,Tabla11[[#This Row],[Cuenta]],1))</f>
        <v>0</v>
      </c>
      <c r="AV1025" t="b">
        <f>+ISNUMBER(SEARCH(CompConta!$F$21,Tabla11[[#This Row],[Cuenta]],1))</f>
        <v>1</v>
      </c>
      <c r="AW1025" t="b">
        <f>+ISNUMBER(SEARCH(CompConta!$F$22,Tabla11[[#This Row],[Cuenta]],1))</f>
        <v>1</v>
      </c>
      <c r="AX1025" t="b">
        <f>+ISNUMBER(SEARCH(CompConta!$F$23,Tabla11[[#This Row],[Cuenta]],1))</f>
        <v>1</v>
      </c>
      <c r="AY1025" t="b">
        <f>+ISNUMBER(SEARCH(CompConta!$F$24,Tabla11[[#This Row],[Cuenta]],1))</f>
        <v>1</v>
      </c>
      <c r="AZ1025" t="b">
        <f>+ISNUMBER(SEARCH(CompConta!$F$25,Tabla11[[#This Row],[Cuenta]],1))</f>
        <v>1</v>
      </c>
      <c r="BA1025" t="b">
        <f>+ISNUMBER(SEARCH(CompConta!$F$26,Tabla11[[#This Row],[Cuenta]],1))</f>
        <v>1</v>
      </c>
      <c r="BB1025" t="b">
        <f>+ISNUMBER(SEARCH(CompConta!$F$27,Tabla11[[#This Row],[Cuenta]],1))</f>
        <v>1</v>
      </c>
      <c r="BC1025" t="b">
        <f>+ISNUMBER(SEARCH(CompConta!$F$28,Tabla11[[#This Row],[Cuenta]],1))</f>
        <v>1</v>
      </c>
      <c r="BD1025" t="b">
        <f>+ISNUMBER(SEARCH(CompConta!$F$29,Tabla11[[#This Row],[Cuenta]],1))</f>
        <v>1</v>
      </c>
      <c r="BE1025" t="b">
        <f>+ISNUMBER(SEARCH(CompConta!$F$30,Tabla11[[#This Row],[Cuenta]],1))</f>
        <v>1</v>
      </c>
      <c r="BF1025" t="b">
        <f>+ISNUMBER(SEARCH('PAGO Compras'!$E$11,Tabla11[[#This Row],[Cuenta]],1))</f>
        <v>1</v>
      </c>
      <c r="BG1025" t="b">
        <f>+ISNUMBER(SEARCH(#REF!,Tabla11[[#This Row],[Cuenta]],1))</f>
        <v>0</v>
      </c>
      <c r="BH1025" t="b">
        <f>+ISNUMBER(SEARCH(#REF!,Tabla11[[#This Row],[Cuenta]],1))</f>
        <v>0</v>
      </c>
      <c r="BI1025" t="b">
        <f>+ISNUMBER(SEARCH(#REF!,Tabla11[[#This Row],[Cuenta]],1))</f>
        <v>0</v>
      </c>
      <c r="BJ1025" t="b">
        <f>+ISNUMBER(SEARCH(#REF!,Tabla11[[#This Row],[Cuenta]],1))</f>
        <v>0</v>
      </c>
      <c r="BS1025" t="str">
        <v>523595 Otros</v>
      </c>
      <c r="BT1025" t="str">
        <v>523595 Otros</v>
      </c>
      <c r="BU1025" t="str">
        <v>523595 Otros</v>
      </c>
      <c r="BV1025" t="str">
        <v>523595 Otros</v>
      </c>
      <c r="BZ1025" t="str">
        <v>523595 Otros</v>
      </c>
      <c r="CA1025" t="str">
        <v>523595 Otros</v>
      </c>
      <c r="CB1025" t="str">
        <v>523595 Otros</v>
      </c>
      <c r="CC1025" t="str">
        <v>523595 Otros</v>
      </c>
      <c r="CD1025" t="str">
        <v>523595 Otros</v>
      </c>
      <c r="CE1025" t="str">
        <v>523595 Otros</v>
      </c>
      <c r="CS1025" s="141" t="str">
        <v>523595 Otros</v>
      </c>
      <c r="CT1025" s="141" t="str">
        <v>523595 Otros</v>
      </c>
      <c r="CU1025" s="141" t="str">
        <v>523595 Otros</v>
      </c>
      <c r="CV1025" s="141" t="str">
        <v>523595 Otros</v>
      </c>
      <c r="CW1025" s="141" t="str">
        <v>523595 Otros</v>
      </c>
      <c r="CX1025" s="141" t="str">
        <v>523595 Otros</v>
      </c>
      <c r="CY1025" s="141" t="str">
        <v>523595 Otros</v>
      </c>
      <c r="CZ1025" s="141" t="str">
        <v>523595 Otros</v>
      </c>
      <c r="DA1025" s="141" t="str">
        <v>523595 Otros</v>
      </c>
      <c r="DF1025" t="str">
        <v>523595 Otros</v>
      </c>
      <c r="DG1025" t="str">
        <v>523595 Otros</v>
      </c>
      <c r="DH1025" t="str">
        <v>523595 Otros</v>
      </c>
      <c r="DI1025" t="str">
        <v>523595 Otros</v>
      </c>
      <c r="DJ1025" t="str">
        <v>523595 Otros</v>
      </c>
      <c r="DK1025" t="str">
        <v>523595 Otros</v>
      </c>
      <c r="DL1025" t="str">
        <v>523595 Otros</v>
      </c>
      <c r="DM1025" t="str">
        <v>523595 Otros</v>
      </c>
      <c r="DN1025" t="str">
        <v>523595 Otros</v>
      </c>
      <c r="DO1025" t="str">
        <v>523595 Otros</v>
      </c>
      <c r="DP1025" t="str">
        <v>523595 Otros</v>
      </c>
    </row>
    <row r="1026" spans="4:120" ht="12.75">
      <c r="D1026" s="7">
        <v>523599</v>
      </c>
      <c r="E1026" s="6" t="s">
        <v>93</v>
      </c>
      <c r="F1026" s="5">
        <v>4</v>
      </c>
      <c r="G1026" s="34" t="s">
        <v>830</v>
      </c>
      <c r="H1026" s="8" t="s">
        <v>32</v>
      </c>
      <c r="I1026" t="b">
        <f>+ISNUMBER(SEARCH('F-COMPRA'!$F$28,Tabla11[[#This Row],[Cuenta]],1))</f>
        <v>1</v>
      </c>
      <c r="J1026" t="b">
        <f>+ISNUMBER(SEARCH('F-COMPRA'!$F$29,Tabla11[[#This Row],[Cuenta]],1))</f>
        <v>1</v>
      </c>
      <c r="K1026" t="b">
        <f>+ISNUMBER(SEARCH('F-COMPRA'!$F$30,Tabla11[[#This Row],[Cuenta]],1))</f>
        <v>1</v>
      </c>
      <c r="L1026" t="b">
        <f>+ISNUMBER(SEARCH('F-COMPRA'!$F$31,Tabla11[[#This Row],[Cuenta]],1))</f>
        <v>1</v>
      </c>
      <c r="M1026" t="b">
        <f>+ISNUMBER(SEARCH('F-COMPRA'!$G$25,Tabla11[[#This Row],[Cuenta]],1))</f>
        <v>0</v>
      </c>
      <c r="N1026" t="b">
        <f>+ISNUMBER(SEARCH(#REF!,Tabla11[[#This Row],[Cuenta]],1))</f>
        <v>0</v>
      </c>
      <c r="O1026" t="b">
        <f>+ISNUMBER(SEARCH(#REF!,Tabla11[[#This Row],[Cuenta]],1))</f>
        <v>0</v>
      </c>
      <c r="P1026" t="b">
        <f>+ISNUMBER(SEARCH('F-COMPRA'!$F$32,Tabla11[[#This Row],[Cuenta]],1))</f>
        <v>1</v>
      </c>
      <c r="Q1026" t="b">
        <f>+ISNUMBER(SEARCH('F-COMPRA'!$F$33,Tabla11[[#This Row],[Cuenta]],1))</f>
        <v>1</v>
      </c>
      <c r="R1026" t="b">
        <f>+ISNUMBER(SEARCH('F-COMPRA'!$F$34,Tabla11[[#This Row],[Cuenta]],1))</f>
        <v>1</v>
      </c>
      <c r="S1026" t="b">
        <f>+ISNUMBER(SEARCH('F-COMPRA'!$F$35,Tabla11[[#This Row],[Cuenta]],1))</f>
        <v>1</v>
      </c>
      <c r="T1026" t="b">
        <f>+ISNUMBER(SEARCH('F-COMPRA'!$F$36,Tabla11[[#This Row],[Cuenta]],1))</f>
        <v>1</v>
      </c>
      <c r="U1026" t="b">
        <f>+ISNUMBER(SEARCH('F-COMPRA'!$F$37,Tabla11[[#This Row],[Cuenta]],1))</f>
        <v>1</v>
      </c>
      <c r="V1026" t="b">
        <f>+ISNUMBER(SEARCH(#REF!,Tabla11[[#This Row],[Cuenta]],1))</f>
        <v>0</v>
      </c>
      <c r="W1026" t="b">
        <f>+ISNUMBER(SEARCH('F-COMPRA'!#REF!,Tabla11[[#This Row],[Cuenta]],1))</f>
        <v>0</v>
      </c>
      <c r="X1026" t="b">
        <f>+ISNUMBER(SEARCH('F-COMPRA'!#REF!,Tabla11[[#This Row],[Cuenta]],1))</f>
        <v>0</v>
      </c>
      <c r="Y1026" t="b">
        <f>+ISNUMBER(SEARCH('F-COMPRA'!#REF!,Tabla11[[#This Row],[Cuenta]],1))</f>
        <v>0</v>
      </c>
      <c r="Z1026" t="b">
        <f>+ISNUMBER(SEARCH('F-COMPRA'!#REF!,Tabla11[[#This Row],[Cuenta]],1))</f>
        <v>0</v>
      </c>
      <c r="AA1026" t="b">
        <f>+ISNUMBER(SEARCH('F-COMPRA'!#REF!,Tabla11[[#This Row],[Cuenta]],1))</f>
        <v>0</v>
      </c>
      <c r="AB1026" t="b">
        <f>+ISNUMBER(SEARCH('F-COMPRA'!#REF!,Tabla11[[#This Row],[Cuenta]],1))</f>
        <v>0</v>
      </c>
      <c r="AC1026" t="b">
        <f>+ISNUMBER(SEARCH('F-COMPRA'!#REF!,Tabla11[[#This Row],[Cuenta]],1))</f>
        <v>0</v>
      </c>
      <c r="AD1026" t="b">
        <f>+ISNUMBER(SEARCH('F-COMPRA'!#REF!,Tabla11[[#This Row],[Cuenta]],1))</f>
        <v>0</v>
      </c>
      <c r="AE1026" t="b">
        <f>+ISNUMBER(SEARCH('F-COMPRA'!#REF!,Tabla11[[#This Row],[Cuenta]],1))</f>
        <v>0</v>
      </c>
      <c r="AF1026" t="b">
        <f>+ISNUMBER(SEARCH('F-VTA'!$G$23,Tabla11[[#This Row],[Cuenta]],1))</f>
        <v>0</v>
      </c>
      <c r="AG1026" t="b">
        <f>+ISNUMBER(SEARCH('F-VTA'!$G$24,Tabla11[[#This Row],[Cuenta]],1))</f>
        <v>0</v>
      </c>
      <c r="AH1026" t="b">
        <f>+ISNUMBER(SEARCH('F-VTA'!$G$25,Tabla11[[#This Row],[Cuenta]],1))</f>
        <v>0</v>
      </c>
      <c r="AI1026" t="b">
        <f>+ISNUMBER(SEARCH('F-VTA'!$F$28,Tabla11[[#This Row],[Cuenta]],1))</f>
        <v>1</v>
      </c>
      <c r="AJ1026" t="b">
        <f>+ISNUMBER(SEARCH('F-VTA'!$F$29,Tabla11[[#This Row],[Cuenta]],1))</f>
        <v>1</v>
      </c>
      <c r="AK1026" t="b">
        <f>+ISNUMBER(SEARCH('F-VTA'!$F$30,Tabla11[[#This Row],[Cuenta]],1))</f>
        <v>1</v>
      </c>
      <c r="AL1026" t="b">
        <f>+ISNUMBER(SEARCH('F-VTA'!$F$31,Tabla11[[#This Row],[Cuenta]],1))</f>
        <v>1</v>
      </c>
      <c r="AM1026" t="b">
        <f>+ISNUMBER(SEARCH('F-VTA'!$F$32,Tabla11[[#This Row],[Cuenta]],1))</f>
        <v>1</v>
      </c>
      <c r="AN1026" t="b">
        <f>+ISNUMBER(SEARCH('F-VTA'!$F$33,Tabla11[[#This Row],[Cuenta]],1))</f>
        <v>1</v>
      </c>
      <c r="AO1026" t="b">
        <f>+ISNUMBER(SEARCH('F-VTA'!$F$34,Tabla11[[#This Row],[Cuenta]],1))</f>
        <v>1</v>
      </c>
      <c r="AP1026" t="b">
        <f>+ISNUMBER(SEARCH('F-VTA'!$F$35,Tabla11[[#This Row],[Cuenta]],1))</f>
        <v>1</v>
      </c>
      <c r="AQ1026" t="b">
        <f>+ISNUMBER(SEARCH('F-VTA'!$F$36,Tabla11[[#This Row],[Cuenta]],1))</f>
        <v>1</v>
      </c>
      <c r="AR1026" t="b">
        <f>+ISNUMBER(SEARCH(#REF!,Tabla11[[#This Row],[Cuenta]],1))</f>
        <v>0</v>
      </c>
      <c r="AS1026" t="b">
        <f>+ISNUMBER(SEARCH(#REF!,Tabla11[[#This Row],[Cuenta]],1))</f>
        <v>0</v>
      </c>
      <c r="AT1026" t="b">
        <f>+ISNUMBER(SEARCH(#REF!,Tabla11[[#This Row],[Cuenta]],1))</f>
        <v>0</v>
      </c>
      <c r="AU1026" t="b">
        <f>+ISNUMBER(SEARCH('Conc. Ban.1'!$I$9,Tabla11[[#This Row],[Cuenta]],1))</f>
        <v>0</v>
      </c>
      <c r="AV1026" t="b">
        <f>+ISNUMBER(SEARCH(CompConta!$F$21,Tabla11[[#This Row],[Cuenta]],1))</f>
        <v>1</v>
      </c>
      <c r="AW1026" t="b">
        <f>+ISNUMBER(SEARCH(CompConta!$F$22,Tabla11[[#This Row],[Cuenta]],1))</f>
        <v>1</v>
      </c>
      <c r="AX1026" t="b">
        <f>+ISNUMBER(SEARCH(CompConta!$F$23,Tabla11[[#This Row],[Cuenta]],1))</f>
        <v>1</v>
      </c>
      <c r="AY1026" t="b">
        <f>+ISNUMBER(SEARCH(CompConta!$F$24,Tabla11[[#This Row],[Cuenta]],1))</f>
        <v>1</v>
      </c>
      <c r="AZ1026" t="b">
        <f>+ISNUMBER(SEARCH(CompConta!$F$25,Tabla11[[#This Row],[Cuenta]],1))</f>
        <v>1</v>
      </c>
      <c r="BA1026" t="b">
        <f>+ISNUMBER(SEARCH(CompConta!$F$26,Tabla11[[#This Row],[Cuenta]],1))</f>
        <v>1</v>
      </c>
      <c r="BB1026" t="b">
        <f>+ISNUMBER(SEARCH(CompConta!$F$27,Tabla11[[#This Row],[Cuenta]],1))</f>
        <v>1</v>
      </c>
      <c r="BC1026" t="b">
        <f>+ISNUMBER(SEARCH(CompConta!$F$28,Tabla11[[#This Row],[Cuenta]],1))</f>
        <v>1</v>
      </c>
      <c r="BD1026" t="b">
        <f>+ISNUMBER(SEARCH(CompConta!$F$29,Tabla11[[#This Row],[Cuenta]],1))</f>
        <v>1</v>
      </c>
      <c r="BE1026" t="b">
        <f>+ISNUMBER(SEARCH(CompConta!$F$30,Tabla11[[#This Row],[Cuenta]],1))</f>
        <v>1</v>
      </c>
      <c r="BF1026" t="b">
        <f>+ISNUMBER(SEARCH('PAGO Compras'!$E$11,Tabla11[[#This Row],[Cuenta]],1))</f>
        <v>1</v>
      </c>
      <c r="BG1026" t="b">
        <f>+ISNUMBER(SEARCH(#REF!,Tabla11[[#This Row],[Cuenta]],1))</f>
        <v>0</v>
      </c>
      <c r="BH1026" t="b">
        <f>+ISNUMBER(SEARCH(#REF!,Tabla11[[#This Row],[Cuenta]],1))</f>
        <v>0</v>
      </c>
      <c r="BI1026" t="b">
        <f>+ISNUMBER(SEARCH(#REF!,Tabla11[[#This Row],[Cuenta]],1))</f>
        <v>0</v>
      </c>
      <c r="BJ1026" t="b">
        <f>+ISNUMBER(SEARCH(#REF!,Tabla11[[#This Row],[Cuenta]],1))</f>
        <v>0</v>
      </c>
      <c r="BS1026" t="str">
        <v>523599 *Ajustes por inflación</v>
      </c>
      <c r="BT1026" t="str">
        <v>523599 *Ajustes por inflación</v>
      </c>
      <c r="BU1026" t="str">
        <v>523599 *Ajustes por inflación</v>
      </c>
      <c r="BV1026" t="str">
        <v>523599 *Ajustes por inflación</v>
      </c>
      <c r="BZ1026" t="str">
        <v>523599 *Ajustes por inflación</v>
      </c>
      <c r="CA1026" t="str">
        <v>523599 *Ajustes por inflación</v>
      </c>
      <c r="CB1026" t="str">
        <v>523599 *Ajustes por inflación</v>
      </c>
      <c r="CC1026" t="str">
        <v>523599 *Ajustes por inflación</v>
      </c>
      <c r="CD1026" t="str">
        <v>523599 *Ajustes por inflación</v>
      </c>
      <c r="CE1026" t="str">
        <v>523599 *Ajustes por inflación</v>
      </c>
      <c r="CS1026" s="141" t="str">
        <v>523599 *Ajustes por inflación</v>
      </c>
      <c r="CT1026" s="141" t="str">
        <v>523599 *Ajustes por inflación</v>
      </c>
      <c r="CU1026" s="141" t="str">
        <v>523599 *Ajustes por inflación</v>
      </c>
      <c r="CV1026" s="141" t="str">
        <v>523599 *Ajustes por inflación</v>
      </c>
      <c r="CW1026" s="141" t="str">
        <v>523599 *Ajustes por inflación</v>
      </c>
      <c r="CX1026" s="141" t="str">
        <v>523599 *Ajustes por inflación</v>
      </c>
      <c r="CY1026" s="141" t="str">
        <v>523599 *Ajustes por inflación</v>
      </c>
      <c r="CZ1026" s="141" t="str">
        <v>523599 *Ajustes por inflación</v>
      </c>
      <c r="DA1026" s="141" t="str">
        <v>523599 *Ajustes por inflación</v>
      </c>
      <c r="DF1026" t="str">
        <v>523599 *Ajustes por inflación</v>
      </c>
      <c r="DG1026" t="str">
        <v>523599 *Ajustes por inflación</v>
      </c>
      <c r="DH1026" t="str">
        <v>523599 *Ajustes por inflación</v>
      </c>
      <c r="DI1026" t="str">
        <v>523599 *Ajustes por inflación</v>
      </c>
      <c r="DJ1026" t="str">
        <v>523599 *Ajustes por inflación</v>
      </c>
      <c r="DK1026" t="str">
        <v>523599 *Ajustes por inflación</v>
      </c>
      <c r="DL1026" t="str">
        <v>523599 *Ajustes por inflación</v>
      </c>
      <c r="DM1026" t="str">
        <v>523599 *Ajustes por inflación</v>
      </c>
      <c r="DN1026" t="str">
        <v>523599 *Ajustes por inflación</v>
      </c>
      <c r="DO1026" t="str">
        <v>523599 *Ajustes por inflación</v>
      </c>
      <c r="DP1026" t="str">
        <v>523599 *Ajustes por inflación</v>
      </c>
    </row>
    <row r="1027" spans="4:120" ht="12.75">
      <c r="D1027" s="7">
        <v>5240</v>
      </c>
      <c r="E1027" s="6" t="s">
        <v>593</v>
      </c>
      <c r="F1027" s="5">
        <v>3</v>
      </c>
      <c r="G1027" s="34" t="s">
        <v>830</v>
      </c>
      <c r="H1027" s="8" t="s">
        <v>32</v>
      </c>
      <c r="I1027" t="b">
        <f>+ISNUMBER(SEARCH('F-COMPRA'!$F$28,Tabla11[[#This Row],[Cuenta]],1))</f>
        <v>1</v>
      </c>
      <c r="J1027" t="b">
        <f>+ISNUMBER(SEARCH('F-COMPRA'!$F$29,Tabla11[[#This Row],[Cuenta]],1))</f>
        <v>1</v>
      </c>
      <c r="K1027" t="b">
        <f>+ISNUMBER(SEARCH('F-COMPRA'!$F$30,Tabla11[[#This Row],[Cuenta]],1))</f>
        <v>1</v>
      </c>
      <c r="L1027" t="b">
        <f>+ISNUMBER(SEARCH('F-COMPRA'!$F$31,Tabla11[[#This Row],[Cuenta]],1))</f>
        <v>1</v>
      </c>
      <c r="M1027" t="b">
        <f>+ISNUMBER(SEARCH('F-COMPRA'!$G$25,Tabla11[[#This Row],[Cuenta]],1))</f>
        <v>0</v>
      </c>
      <c r="N1027" t="b">
        <f>+ISNUMBER(SEARCH(#REF!,Tabla11[[#This Row],[Cuenta]],1))</f>
        <v>0</v>
      </c>
      <c r="O1027" t="b">
        <f>+ISNUMBER(SEARCH(#REF!,Tabla11[[#This Row],[Cuenta]],1))</f>
        <v>0</v>
      </c>
      <c r="P1027" t="b">
        <f>+ISNUMBER(SEARCH('F-COMPRA'!$F$32,Tabla11[[#This Row],[Cuenta]],1))</f>
        <v>1</v>
      </c>
      <c r="Q1027" t="b">
        <f>+ISNUMBER(SEARCH('F-COMPRA'!$F$33,Tabla11[[#This Row],[Cuenta]],1))</f>
        <v>1</v>
      </c>
      <c r="R1027" t="b">
        <f>+ISNUMBER(SEARCH('F-COMPRA'!$F$34,Tabla11[[#This Row],[Cuenta]],1))</f>
        <v>1</v>
      </c>
      <c r="S1027" t="b">
        <f>+ISNUMBER(SEARCH('F-COMPRA'!$F$35,Tabla11[[#This Row],[Cuenta]],1))</f>
        <v>1</v>
      </c>
      <c r="T1027" t="b">
        <f>+ISNUMBER(SEARCH('F-COMPRA'!$F$36,Tabla11[[#This Row],[Cuenta]],1))</f>
        <v>1</v>
      </c>
      <c r="U1027" t="b">
        <f>+ISNUMBER(SEARCH('F-COMPRA'!$F$37,Tabla11[[#This Row],[Cuenta]],1))</f>
        <v>1</v>
      </c>
      <c r="V1027" t="b">
        <f>+ISNUMBER(SEARCH(#REF!,Tabla11[[#This Row],[Cuenta]],1))</f>
        <v>0</v>
      </c>
      <c r="W1027" t="b">
        <f>+ISNUMBER(SEARCH('F-COMPRA'!#REF!,Tabla11[[#This Row],[Cuenta]],1))</f>
        <v>0</v>
      </c>
      <c r="X1027" t="b">
        <f>+ISNUMBER(SEARCH('F-COMPRA'!#REF!,Tabla11[[#This Row],[Cuenta]],1))</f>
        <v>0</v>
      </c>
      <c r="Y1027" t="b">
        <f>+ISNUMBER(SEARCH('F-COMPRA'!#REF!,Tabla11[[#This Row],[Cuenta]],1))</f>
        <v>0</v>
      </c>
      <c r="Z1027" t="b">
        <f>+ISNUMBER(SEARCH('F-COMPRA'!#REF!,Tabla11[[#This Row],[Cuenta]],1))</f>
        <v>0</v>
      </c>
      <c r="AA1027" t="b">
        <f>+ISNUMBER(SEARCH('F-COMPRA'!#REF!,Tabla11[[#This Row],[Cuenta]],1))</f>
        <v>0</v>
      </c>
      <c r="AB1027" t="b">
        <f>+ISNUMBER(SEARCH('F-COMPRA'!#REF!,Tabla11[[#This Row],[Cuenta]],1))</f>
        <v>0</v>
      </c>
      <c r="AC1027" t="b">
        <f>+ISNUMBER(SEARCH('F-COMPRA'!#REF!,Tabla11[[#This Row],[Cuenta]],1))</f>
        <v>0</v>
      </c>
      <c r="AD1027" t="b">
        <f>+ISNUMBER(SEARCH('F-COMPRA'!#REF!,Tabla11[[#This Row],[Cuenta]],1))</f>
        <v>0</v>
      </c>
      <c r="AE1027" t="b">
        <f>+ISNUMBER(SEARCH('F-COMPRA'!#REF!,Tabla11[[#This Row],[Cuenta]],1))</f>
        <v>0</v>
      </c>
      <c r="AF1027" t="b">
        <f>+ISNUMBER(SEARCH('F-VTA'!$G$23,Tabla11[[#This Row],[Cuenta]],1))</f>
        <v>0</v>
      </c>
      <c r="AG1027" t="b">
        <f>+ISNUMBER(SEARCH('F-VTA'!$G$24,Tabla11[[#This Row],[Cuenta]],1))</f>
        <v>0</v>
      </c>
      <c r="AH1027" t="b">
        <f>+ISNUMBER(SEARCH('F-VTA'!$G$25,Tabla11[[#This Row],[Cuenta]],1))</f>
        <v>0</v>
      </c>
      <c r="AI1027" t="b">
        <f>+ISNUMBER(SEARCH('F-VTA'!$F$28,Tabla11[[#This Row],[Cuenta]],1))</f>
        <v>1</v>
      </c>
      <c r="AJ1027" t="b">
        <f>+ISNUMBER(SEARCH('F-VTA'!$F$29,Tabla11[[#This Row],[Cuenta]],1))</f>
        <v>1</v>
      </c>
      <c r="AK1027" t="b">
        <f>+ISNUMBER(SEARCH('F-VTA'!$F$30,Tabla11[[#This Row],[Cuenta]],1))</f>
        <v>1</v>
      </c>
      <c r="AL1027" t="b">
        <f>+ISNUMBER(SEARCH('F-VTA'!$F$31,Tabla11[[#This Row],[Cuenta]],1))</f>
        <v>1</v>
      </c>
      <c r="AM1027" t="b">
        <f>+ISNUMBER(SEARCH('F-VTA'!$F$32,Tabla11[[#This Row],[Cuenta]],1))</f>
        <v>1</v>
      </c>
      <c r="AN1027" t="b">
        <f>+ISNUMBER(SEARCH('F-VTA'!$F$33,Tabla11[[#This Row],[Cuenta]],1))</f>
        <v>1</v>
      </c>
      <c r="AO1027" t="b">
        <f>+ISNUMBER(SEARCH('F-VTA'!$F$34,Tabla11[[#This Row],[Cuenta]],1))</f>
        <v>1</v>
      </c>
      <c r="AP1027" t="b">
        <f>+ISNUMBER(SEARCH('F-VTA'!$F$35,Tabla11[[#This Row],[Cuenta]],1))</f>
        <v>1</v>
      </c>
      <c r="AQ1027" t="b">
        <f>+ISNUMBER(SEARCH('F-VTA'!$F$36,Tabla11[[#This Row],[Cuenta]],1))</f>
        <v>1</v>
      </c>
      <c r="AR1027" t="b">
        <f>+ISNUMBER(SEARCH(#REF!,Tabla11[[#This Row],[Cuenta]],1))</f>
        <v>0</v>
      </c>
      <c r="AS1027" t="b">
        <f>+ISNUMBER(SEARCH(#REF!,Tabla11[[#This Row],[Cuenta]],1))</f>
        <v>0</v>
      </c>
      <c r="AT1027" t="b">
        <f>+ISNUMBER(SEARCH(#REF!,Tabla11[[#This Row],[Cuenta]],1))</f>
        <v>0</v>
      </c>
      <c r="AU1027" t="b">
        <f>+ISNUMBER(SEARCH('Conc. Ban.1'!$I$9,Tabla11[[#This Row],[Cuenta]],1))</f>
        <v>0</v>
      </c>
      <c r="AV1027" t="b">
        <f>+ISNUMBER(SEARCH(CompConta!$F$21,Tabla11[[#This Row],[Cuenta]],1))</f>
        <v>1</v>
      </c>
      <c r="AW1027" t="b">
        <f>+ISNUMBER(SEARCH(CompConta!$F$22,Tabla11[[#This Row],[Cuenta]],1))</f>
        <v>1</v>
      </c>
      <c r="AX1027" t="b">
        <f>+ISNUMBER(SEARCH(CompConta!$F$23,Tabla11[[#This Row],[Cuenta]],1))</f>
        <v>1</v>
      </c>
      <c r="AY1027" t="b">
        <f>+ISNUMBER(SEARCH(CompConta!$F$24,Tabla11[[#This Row],[Cuenta]],1))</f>
        <v>1</v>
      </c>
      <c r="AZ1027" t="b">
        <f>+ISNUMBER(SEARCH(CompConta!$F$25,Tabla11[[#This Row],[Cuenta]],1))</f>
        <v>1</v>
      </c>
      <c r="BA1027" t="b">
        <f>+ISNUMBER(SEARCH(CompConta!$F$26,Tabla11[[#This Row],[Cuenta]],1))</f>
        <v>1</v>
      </c>
      <c r="BB1027" t="b">
        <f>+ISNUMBER(SEARCH(CompConta!$F$27,Tabla11[[#This Row],[Cuenta]],1))</f>
        <v>1</v>
      </c>
      <c r="BC1027" t="b">
        <f>+ISNUMBER(SEARCH(CompConta!$F$28,Tabla11[[#This Row],[Cuenta]],1))</f>
        <v>1</v>
      </c>
      <c r="BD1027" t="b">
        <f>+ISNUMBER(SEARCH(CompConta!$F$29,Tabla11[[#This Row],[Cuenta]],1))</f>
        <v>1</v>
      </c>
      <c r="BE1027" t="b">
        <f>+ISNUMBER(SEARCH(CompConta!$F$30,Tabla11[[#This Row],[Cuenta]],1))</f>
        <v>1</v>
      </c>
      <c r="BF1027" t="b">
        <f>+ISNUMBER(SEARCH('PAGO Compras'!$E$11,Tabla11[[#This Row],[Cuenta]],1))</f>
        <v>1</v>
      </c>
      <c r="BG1027" t="b">
        <f>+ISNUMBER(SEARCH(#REF!,Tabla11[[#This Row],[Cuenta]],1))</f>
        <v>0</v>
      </c>
      <c r="BH1027" t="b">
        <f>+ISNUMBER(SEARCH(#REF!,Tabla11[[#This Row],[Cuenta]],1))</f>
        <v>0</v>
      </c>
      <c r="BI1027" t="b">
        <f>+ISNUMBER(SEARCH(#REF!,Tabla11[[#This Row],[Cuenta]],1))</f>
        <v>0</v>
      </c>
      <c r="BJ1027" t="b">
        <f>+ISNUMBER(SEARCH(#REF!,Tabla11[[#This Row],[Cuenta]],1))</f>
        <v>0</v>
      </c>
      <c r="BS1027" t="str">
        <v>5240 GASTOS LEGALES</v>
      </c>
      <c r="BT1027" t="str">
        <v>5240 GASTOS LEGALES</v>
      </c>
      <c r="BU1027" t="str">
        <v>5240 GASTOS LEGALES</v>
      </c>
      <c r="BV1027" t="str">
        <v>5240 GASTOS LEGALES</v>
      </c>
      <c r="BZ1027" t="str">
        <v>5240 GASTOS LEGALES</v>
      </c>
      <c r="CA1027" t="str">
        <v>5240 GASTOS LEGALES</v>
      </c>
      <c r="CB1027" t="str">
        <v>5240 GASTOS LEGALES</v>
      </c>
      <c r="CC1027" t="str">
        <v>5240 GASTOS LEGALES</v>
      </c>
      <c r="CD1027" t="str">
        <v>5240 GASTOS LEGALES</v>
      </c>
      <c r="CE1027" t="str">
        <v>5240 GASTOS LEGALES</v>
      </c>
      <c r="CS1027" s="141" t="str">
        <v>5240 GASTOS LEGALES</v>
      </c>
      <c r="CT1027" s="141" t="str">
        <v>5240 GASTOS LEGALES</v>
      </c>
      <c r="CU1027" s="141" t="str">
        <v>5240 GASTOS LEGALES</v>
      </c>
      <c r="CV1027" s="141" t="str">
        <v>5240 GASTOS LEGALES</v>
      </c>
      <c r="CW1027" s="141" t="str">
        <v>5240 GASTOS LEGALES</v>
      </c>
      <c r="CX1027" s="141" t="str">
        <v>5240 GASTOS LEGALES</v>
      </c>
      <c r="CY1027" s="141" t="str">
        <v>5240 GASTOS LEGALES</v>
      </c>
      <c r="CZ1027" s="141" t="str">
        <v>5240 GASTOS LEGALES</v>
      </c>
      <c r="DA1027" s="141" t="str">
        <v>5240 GASTOS LEGALES</v>
      </c>
      <c r="DF1027" t="str">
        <v>5240 GASTOS LEGALES</v>
      </c>
      <c r="DG1027" t="str">
        <v>5240 GASTOS LEGALES</v>
      </c>
      <c r="DH1027" t="str">
        <v>5240 GASTOS LEGALES</v>
      </c>
      <c r="DI1027" t="str">
        <v>5240 GASTOS LEGALES</v>
      </c>
      <c r="DJ1027" t="str">
        <v>5240 GASTOS LEGALES</v>
      </c>
      <c r="DK1027" t="str">
        <v>5240 GASTOS LEGALES</v>
      </c>
      <c r="DL1027" t="str">
        <v>5240 GASTOS LEGALES</v>
      </c>
      <c r="DM1027" t="str">
        <v>5240 GASTOS LEGALES</v>
      </c>
      <c r="DN1027" t="str">
        <v>5240 GASTOS LEGALES</v>
      </c>
      <c r="DO1027" t="str">
        <v>5240 GASTOS LEGALES</v>
      </c>
      <c r="DP1027" t="str">
        <v>5240 GASTOS LEGALES</v>
      </c>
    </row>
    <row r="1028" spans="4:120" ht="12.75">
      <c r="D1028" s="7">
        <v>524005</v>
      </c>
      <c r="E1028" s="6" t="s">
        <v>594</v>
      </c>
      <c r="F1028" s="5">
        <v>4</v>
      </c>
      <c r="G1028" s="34" t="s">
        <v>830</v>
      </c>
      <c r="H1028" s="8" t="s">
        <v>32</v>
      </c>
      <c r="I1028" t="b">
        <f>+ISNUMBER(SEARCH('F-COMPRA'!$F$28,Tabla11[[#This Row],[Cuenta]],1))</f>
        <v>1</v>
      </c>
      <c r="J1028" t="b">
        <f>+ISNUMBER(SEARCH('F-COMPRA'!$F$29,Tabla11[[#This Row],[Cuenta]],1))</f>
        <v>1</v>
      </c>
      <c r="K1028" t="b">
        <f>+ISNUMBER(SEARCH('F-COMPRA'!$F$30,Tabla11[[#This Row],[Cuenta]],1))</f>
        <v>1</v>
      </c>
      <c r="L1028" t="b">
        <f>+ISNUMBER(SEARCH('F-COMPRA'!$F$31,Tabla11[[#This Row],[Cuenta]],1))</f>
        <v>1</v>
      </c>
      <c r="M1028" t="b">
        <f>+ISNUMBER(SEARCH('F-COMPRA'!$G$25,Tabla11[[#This Row],[Cuenta]],1))</f>
        <v>0</v>
      </c>
      <c r="N1028" t="b">
        <f>+ISNUMBER(SEARCH(#REF!,Tabla11[[#This Row],[Cuenta]],1))</f>
        <v>0</v>
      </c>
      <c r="O1028" t="b">
        <f>+ISNUMBER(SEARCH(#REF!,Tabla11[[#This Row],[Cuenta]],1))</f>
        <v>0</v>
      </c>
      <c r="P1028" t="b">
        <f>+ISNUMBER(SEARCH('F-COMPRA'!$F$32,Tabla11[[#This Row],[Cuenta]],1))</f>
        <v>1</v>
      </c>
      <c r="Q1028" t="b">
        <f>+ISNUMBER(SEARCH('F-COMPRA'!$F$33,Tabla11[[#This Row],[Cuenta]],1))</f>
        <v>1</v>
      </c>
      <c r="R1028" t="b">
        <f>+ISNUMBER(SEARCH('F-COMPRA'!$F$34,Tabla11[[#This Row],[Cuenta]],1))</f>
        <v>1</v>
      </c>
      <c r="S1028" t="b">
        <f>+ISNUMBER(SEARCH('F-COMPRA'!$F$35,Tabla11[[#This Row],[Cuenta]],1))</f>
        <v>1</v>
      </c>
      <c r="T1028" t="b">
        <f>+ISNUMBER(SEARCH('F-COMPRA'!$F$36,Tabla11[[#This Row],[Cuenta]],1))</f>
        <v>1</v>
      </c>
      <c r="U1028" t="b">
        <f>+ISNUMBER(SEARCH('F-COMPRA'!$F$37,Tabla11[[#This Row],[Cuenta]],1))</f>
        <v>1</v>
      </c>
      <c r="V1028" t="b">
        <f>+ISNUMBER(SEARCH(#REF!,Tabla11[[#This Row],[Cuenta]],1))</f>
        <v>0</v>
      </c>
      <c r="W1028" t="b">
        <f>+ISNUMBER(SEARCH('F-COMPRA'!#REF!,Tabla11[[#This Row],[Cuenta]],1))</f>
        <v>0</v>
      </c>
      <c r="X1028" t="b">
        <f>+ISNUMBER(SEARCH('F-COMPRA'!#REF!,Tabla11[[#This Row],[Cuenta]],1))</f>
        <v>0</v>
      </c>
      <c r="Y1028" t="b">
        <f>+ISNUMBER(SEARCH('F-COMPRA'!#REF!,Tabla11[[#This Row],[Cuenta]],1))</f>
        <v>0</v>
      </c>
      <c r="Z1028" t="b">
        <f>+ISNUMBER(SEARCH('F-COMPRA'!#REF!,Tabla11[[#This Row],[Cuenta]],1))</f>
        <v>0</v>
      </c>
      <c r="AA1028" t="b">
        <f>+ISNUMBER(SEARCH('F-COMPRA'!#REF!,Tabla11[[#This Row],[Cuenta]],1))</f>
        <v>0</v>
      </c>
      <c r="AB1028" t="b">
        <f>+ISNUMBER(SEARCH('F-COMPRA'!#REF!,Tabla11[[#This Row],[Cuenta]],1))</f>
        <v>0</v>
      </c>
      <c r="AC1028" t="b">
        <f>+ISNUMBER(SEARCH('F-COMPRA'!#REF!,Tabla11[[#This Row],[Cuenta]],1))</f>
        <v>0</v>
      </c>
      <c r="AD1028" t="b">
        <f>+ISNUMBER(SEARCH('F-COMPRA'!#REF!,Tabla11[[#This Row],[Cuenta]],1))</f>
        <v>0</v>
      </c>
      <c r="AE1028" t="b">
        <f>+ISNUMBER(SEARCH('F-COMPRA'!#REF!,Tabla11[[#This Row],[Cuenta]],1))</f>
        <v>0</v>
      </c>
      <c r="AF1028" t="b">
        <f>+ISNUMBER(SEARCH('F-VTA'!$G$23,Tabla11[[#This Row],[Cuenta]],1))</f>
        <v>0</v>
      </c>
      <c r="AG1028" t="b">
        <f>+ISNUMBER(SEARCH('F-VTA'!$G$24,Tabla11[[#This Row],[Cuenta]],1))</f>
        <v>0</v>
      </c>
      <c r="AH1028" t="b">
        <f>+ISNUMBER(SEARCH('F-VTA'!$G$25,Tabla11[[#This Row],[Cuenta]],1))</f>
        <v>0</v>
      </c>
      <c r="AI1028" t="b">
        <f>+ISNUMBER(SEARCH('F-VTA'!$F$28,Tabla11[[#This Row],[Cuenta]],1))</f>
        <v>1</v>
      </c>
      <c r="AJ1028" t="b">
        <f>+ISNUMBER(SEARCH('F-VTA'!$F$29,Tabla11[[#This Row],[Cuenta]],1))</f>
        <v>1</v>
      </c>
      <c r="AK1028" t="b">
        <f>+ISNUMBER(SEARCH('F-VTA'!$F$30,Tabla11[[#This Row],[Cuenta]],1))</f>
        <v>1</v>
      </c>
      <c r="AL1028" t="b">
        <f>+ISNUMBER(SEARCH('F-VTA'!$F$31,Tabla11[[#This Row],[Cuenta]],1))</f>
        <v>1</v>
      </c>
      <c r="AM1028" t="b">
        <f>+ISNUMBER(SEARCH('F-VTA'!$F$32,Tabla11[[#This Row],[Cuenta]],1))</f>
        <v>1</v>
      </c>
      <c r="AN1028" t="b">
        <f>+ISNUMBER(SEARCH('F-VTA'!$F$33,Tabla11[[#This Row],[Cuenta]],1))</f>
        <v>1</v>
      </c>
      <c r="AO1028" t="b">
        <f>+ISNUMBER(SEARCH('F-VTA'!$F$34,Tabla11[[#This Row],[Cuenta]],1))</f>
        <v>1</v>
      </c>
      <c r="AP1028" t="b">
        <f>+ISNUMBER(SEARCH('F-VTA'!$F$35,Tabla11[[#This Row],[Cuenta]],1))</f>
        <v>1</v>
      </c>
      <c r="AQ1028" t="b">
        <f>+ISNUMBER(SEARCH('F-VTA'!$F$36,Tabla11[[#This Row],[Cuenta]],1))</f>
        <v>1</v>
      </c>
      <c r="AR1028" t="b">
        <f>+ISNUMBER(SEARCH(#REF!,Tabla11[[#This Row],[Cuenta]],1))</f>
        <v>0</v>
      </c>
      <c r="AS1028" t="b">
        <f>+ISNUMBER(SEARCH(#REF!,Tabla11[[#This Row],[Cuenta]],1))</f>
        <v>0</v>
      </c>
      <c r="AT1028" t="b">
        <f>+ISNUMBER(SEARCH(#REF!,Tabla11[[#This Row],[Cuenta]],1))</f>
        <v>0</v>
      </c>
      <c r="AU1028" t="b">
        <f>+ISNUMBER(SEARCH('Conc. Ban.1'!$I$9,Tabla11[[#This Row],[Cuenta]],1))</f>
        <v>0</v>
      </c>
      <c r="AV1028" t="b">
        <f>+ISNUMBER(SEARCH(CompConta!$F$21,Tabla11[[#This Row],[Cuenta]],1))</f>
        <v>1</v>
      </c>
      <c r="AW1028" t="b">
        <f>+ISNUMBER(SEARCH(CompConta!$F$22,Tabla11[[#This Row],[Cuenta]],1))</f>
        <v>1</v>
      </c>
      <c r="AX1028" t="b">
        <f>+ISNUMBER(SEARCH(CompConta!$F$23,Tabla11[[#This Row],[Cuenta]],1))</f>
        <v>1</v>
      </c>
      <c r="AY1028" t="b">
        <f>+ISNUMBER(SEARCH(CompConta!$F$24,Tabla11[[#This Row],[Cuenta]],1))</f>
        <v>1</v>
      </c>
      <c r="AZ1028" t="b">
        <f>+ISNUMBER(SEARCH(CompConta!$F$25,Tabla11[[#This Row],[Cuenta]],1))</f>
        <v>1</v>
      </c>
      <c r="BA1028" t="b">
        <f>+ISNUMBER(SEARCH(CompConta!$F$26,Tabla11[[#This Row],[Cuenta]],1))</f>
        <v>1</v>
      </c>
      <c r="BB1028" t="b">
        <f>+ISNUMBER(SEARCH(CompConta!$F$27,Tabla11[[#This Row],[Cuenta]],1))</f>
        <v>1</v>
      </c>
      <c r="BC1028" t="b">
        <f>+ISNUMBER(SEARCH(CompConta!$F$28,Tabla11[[#This Row],[Cuenta]],1))</f>
        <v>1</v>
      </c>
      <c r="BD1028" t="b">
        <f>+ISNUMBER(SEARCH(CompConta!$F$29,Tabla11[[#This Row],[Cuenta]],1))</f>
        <v>1</v>
      </c>
      <c r="BE1028" t="b">
        <f>+ISNUMBER(SEARCH(CompConta!$F$30,Tabla11[[#This Row],[Cuenta]],1))</f>
        <v>1</v>
      </c>
      <c r="BF1028" t="b">
        <f>+ISNUMBER(SEARCH('PAGO Compras'!$E$11,Tabla11[[#This Row],[Cuenta]],1))</f>
        <v>1</v>
      </c>
      <c r="BG1028" t="b">
        <f>+ISNUMBER(SEARCH(#REF!,Tabla11[[#This Row],[Cuenta]],1))</f>
        <v>0</v>
      </c>
      <c r="BH1028" t="b">
        <f>+ISNUMBER(SEARCH(#REF!,Tabla11[[#This Row],[Cuenta]],1))</f>
        <v>0</v>
      </c>
      <c r="BI1028" t="b">
        <f>+ISNUMBER(SEARCH(#REF!,Tabla11[[#This Row],[Cuenta]],1))</f>
        <v>0</v>
      </c>
      <c r="BJ1028" t="b">
        <f>+ISNUMBER(SEARCH(#REF!,Tabla11[[#This Row],[Cuenta]],1))</f>
        <v>0</v>
      </c>
      <c r="BS1028" t="str">
        <v>524005 Notariales</v>
      </c>
      <c r="BT1028" t="str">
        <v>524005 Notariales</v>
      </c>
      <c r="BU1028" t="str">
        <v>524005 Notariales</v>
      </c>
      <c r="BV1028" t="str">
        <v>524005 Notariales</v>
      </c>
      <c r="BZ1028" t="str">
        <v>524005 Notariales</v>
      </c>
      <c r="CA1028" t="str">
        <v>524005 Notariales</v>
      </c>
      <c r="CB1028" t="str">
        <v>524005 Notariales</v>
      </c>
      <c r="CC1028" t="str">
        <v>524005 Notariales</v>
      </c>
      <c r="CD1028" t="str">
        <v>524005 Notariales</v>
      </c>
      <c r="CE1028" t="str">
        <v>524005 Notariales</v>
      </c>
      <c r="CS1028" s="141" t="str">
        <v>524005 Notariales</v>
      </c>
      <c r="CT1028" s="141" t="str">
        <v>524005 Notariales</v>
      </c>
      <c r="CU1028" s="141" t="str">
        <v>524005 Notariales</v>
      </c>
      <c r="CV1028" s="141" t="str">
        <v>524005 Notariales</v>
      </c>
      <c r="CW1028" s="141" t="str">
        <v>524005 Notariales</v>
      </c>
      <c r="CX1028" s="141" t="str">
        <v>524005 Notariales</v>
      </c>
      <c r="CY1028" s="141" t="str">
        <v>524005 Notariales</v>
      </c>
      <c r="CZ1028" s="141" t="str">
        <v>524005 Notariales</v>
      </c>
      <c r="DA1028" s="141" t="str">
        <v>524005 Notariales</v>
      </c>
      <c r="DF1028" t="str">
        <v>524005 Notariales</v>
      </c>
      <c r="DG1028" t="str">
        <v>524005 Notariales</v>
      </c>
      <c r="DH1028" t="str">
        <v>524005 Notariales</v>
      </c>
      <c r="DI1028" t="str">
        <v>524005 Notariales</v>
      </c>
      <c r="DJ1028" t="str">
        <v>524005 Notariales</v>
      </c>
      <c r="DK1028" t="str">
        <v>524005 Notariales</v>
      </c>
      <c r="DL1028" t="str">
        <v>524005 Notariales</v>
      </c>
      <c r="DM1028" t="str">
        <v>524005 Notariales</v>
      </c>
      <c r="DN1028" t="str">
        <v>524005 Notariales</v>
      </c>
      <c r="DO1028" t="str">
        <v>524005 Notariales</v>
      </c>
      <c r="DP1028" t="str">
        <v>524005 Notariales</v>
      </c>
    </row>
    <row r="1029" spans="4:120" ht="12.75">
      <c r="D1029" s="7">
        <v>524010</v>
      </c>
      <c r="E1029" s="6" t="s">
        <v>595</v>
      </c>
      <c r="F1029" s="5">
        <v>4</v>
      </c>
      <c r="G1029" s="34" t="s">
        <v>830</v>
      </c>
      <c r="H1029" s="8" t="s">
        <v>32</v>
      </c>
      <c r="I1029" t="b">
        <f>+ISNUMBER(SEARCH('F-COMPRA'!$F$28,Tabla11[[#This Row],[Cuenta]],1))</f>
        <v>1</v>
      </c>
      <c r="J1029" t="b">
        <f>+ISNUMBER(SEARCH('F-COMPRA'!$F$29,Tabla11[[#This Row],[Cuenta]],1))</f>
        <v>1</v>
      </c>
      <c r="K1029" t="b">
        <f>+ISNUMBER(SEARCH('F-COMPRA'!$F$30,Tabla11[[#This Row],[Cuenta]],1))</f>
        <v>1</v>
      </c>
      <c r="L1029" t="b">
        <f>+ISNUMBER(SEARCH('F-COMPRA'!$F$31,Tabla11[[#This Row],[Cuenta]],1))</f>
        <v>1</v>
      </c>
      <c r="M1029" t="b">
        <f>+ISNUMBER(SEARCH('F-COMPRA'!$G$25,Tabla11[[#This Row],[Cuenta]],1))</f>
        <v>0</v>
      </c>
      <c r="N1029" t="b">
        <f>+ISNUMBER(SEARCH(#REF!,Tabla11[[#This Row],[Cuenta]],1))</f>
        <v>0</v>
      </c>
      <c r="O1029" t="b">
        <f>+ISNUMBER(SEARCH(#REF!,Tabla11[[#This Row],[Cuenta]],1))</f>
        <v>0</v>
      </c>
      <c r="P1029" t="b">
        <f>+ISNUMBER(SEARCH('F-COMPRA'!$F$32,Tabla11[[#This Row],[Cuenta]],1))</f>
        <v>1</v>
      </c>
      <c r="Q1029" t="b">
        <f>+ISNUMBER(SEARCH('F-COMPRA'!$F$33,Tabla11[[#This Row],[Cuenta]],1))</f>
        <v>1</v>
      </c>
      <c r="R1029" t="b">
        <f>+ISNUMBER(SEARCH('F-COMPRA'!$F$34,Tabla11[[#This Row],[Cuenta]],1))</f>
        <v>1</v>
      </c>
      <c r="S1029" t="b">
        <f>+ISNUMBER(SEARCH('F-COMPRA'!$F$35,Tabla11[[#This Row],[Cuenta]],1))</f>
        <v>1</v>
      </c>
      <c r="T1029" t="b">
        <f>+ISNUMBER(SEARCH('F-COMPRA'!$F$36,Tabla11[[#This Row],[Cuenta]],1))</f>
        <v>1</v>
      </c>
      <c r="U1029" t="b">
        <f>+ISNUMBER(SEARCH('F-COMPRA'!$F$37,Tabla11[[#This Row],[Cuenta]],1))</f>
        <v>1</v>
      </c>
      <c r="V1029" t="b">
        <f>+ISNUMBER(SEARCH(#REF!,Tabla11[[#This Row],[Cuenta]],1))</f>
        <v>0</v>
      </c>
      <c r="W1029" t="b">
        <f>+ISNUMBER(SEARCH('F-COMPRA'!#REF!,Tabla11[[#This Row],[Cuenta]],1))</f>
        <v>0</v>
      </c>
      <c r="X1029" t="b">
        <f>+ISNUMBER(SEARCH('F-COMPRA'!#REF!,Tabla11[[#This Row],[Cuenta]],1))</f>
        <v>0</v>
      </c>
      <c r="Y1029" t="b">
        <f>+ISNUMBER(SEARCH('F-COMPRA'!#REF!,Tabla11[[#This Row],[Cuenta]],1))</f>
        <v>0</v>
      </c>
      <c r="Z1029" t="b">
        <f>+ISNUMBER(SEARCH('F-COMPRA'!#REF!,Tabla11[[#This Row],[Cuenta]],1))</f>
        <v>0</v>
      </c>
      <c r="AA1029" t="b">
        <f>+ISNUMBER(SEARCH('F-COMPRA'!#REF!,Tabla11[[#This Row],[Cuenta]],1))</f>
        <v>0</v>
      </c>
      <c r="AB1029" t="b">
        <f>+ISNUMBER(SEARCH('F-COMPRA'!#REF!,Tabla11[[#This Row],[Cuenta]],1))</f>
        <v>0</v>
      </c>
      <c r="AC1029" t="b">
        <f>+ISNUMBER(SEARCH('F-COMPRA'!#REF!,Tabla11[[#This Row],[Cuenta]],1))</f>
        <v>0</v>
      </c>
      <c r="AD1029" t="b">
        <f>+ISNUMBER(SEARCH('F-COMPRA'!#REF!,Tabla11[[#This Row],[Cuenta]],1))</f>
        <v>0</v>
      </c>
      <c r="AE1029" t="b">
        <f>+ISNUMBER(SEARCH('F-COMPRA'!#REF!,Tabla11[[#This Row],[Cuenta]],1))</f>
        <v>0</v>
      </c>
      <c r="AF1029" t="b">
        <f>+ISNUMBER(SEARCH('F-VTA'!$G$23,Tabla11[[#This Row],[Cuenta]],1))</f>
        <v>0</v>
      </c>
      <c r="AG1029" t="b">
        <f>+ISNUMBER(SEARCH('F-VTA'!$G$24,Tabla11[[#This Row],[Cuenta]],1))</f>
        <v>0</v>
      </c>
      <c r="AH1029" t="b">
        <f>+ISNUMBER(SEARCH('F-VTA'!$G$25,Tabla11[[#This Row],[Cuenta]],1))</f>
        <v>0</v>
      </c>
      <c r="AI1029" t="b">
        <f>+ISNUMBER(SEARCH('F-VTA'!$F$28,Tabla11[[#This Row],[Cuenta]],1))</f>
        <v>1</v>
      </c>
      <c r="AJ1029" t="b">
        <f>+ISNUMBER(SEARCH('F-VTA'!$F$29,Tabla11[[#This Row],[Cuenta]],1))</f>
        <v>1</v>
      </c>
      <c r="AK1029" t="b">
        <f>+ISNUMBER(SEARCH('F-VTA'!$F$30,Tabla11[[#This Row],[Cuenta]],1))</f>
        <v>1</v>
      </c>
      <c r="AL1029" t="b">
        <f>+ISNUMBER(SEARCH('F-VTA'!$F$31,Tabla11[[#This Row],[Cuenta]],1))</f>
        <v>1</v>
      </c>
      <c r="AM1029" t="b">
        <f>+ISNUMBER(SEARCH('F-VTA'!$F$32,Tabla11[[#This Row],[Cuenta]],1))</f>
        <v>1</v>
      </c>
      <c r="AN1029" t="b">
        <f>+ISNUMBER(SEARCH('F-VTA'!$F$33,Tabla11[[#This Row],[Cuenta]],1))</f>
        <v>1</v>
      </c>
      <c r="AO1029" t="b">
        <f>+ISNUMBER(SEARCH('F-VTA'!$F$34,Tabla11[[#This Row],[Cuenta]],1))</f>
        <v>1</v>
      </c>
      <c r="AP1029" t="b">
        <f>+ISNUMBER(SEARCH('F-VTA'!$F$35,Tabla11[[#This Row],[Cuenta]],1))</f>
        <v>1</v>
      </c>
      <c r="AQ1029" t="b">
        <f>+ISNUMBER(SEARCH('F-VTA'!$F$36,Tabla11[[#This Row],[Cuenta]],1))</f>
        <v>1</v>
      </c>
      <c r="AR1029" t="b">
        <f>+ISNUMBER(SEARCH(#REF!,Tabla11[[#This Row],[Cuenta]],1))</f>
        <v>0</v>
      </c>
      <c r="AS1029" t="b">
        <f>+ISNUMBER(SEARCH(#REF!,Tabla11[[#This Row],[Cuenta]],1))</f>
        <v>0</v>
      </c>
      <c r="AT1029" t="b">
        <f>+ISNUMBER(SEARCH(#REF!,Tabla11[[#This Row],[Cuenta]],1))</f>
        <v>0</v>
      </c>
      <c r="AU1029" t="b">
        <f>+ISNUMBER(SEARCH('Conc. Ban.1'!$I$9,Tabla11[[#This Row],[Cuenta]],1))</f>
        <v>0</v>
      </c>
      <c r="AV1029" t="b">
        <f>+ISNUMBER(SEARCH(CompConta!$F$21,Tabla11[[#This Row],[Cuenta]],1))</f>
        <v>1</v>
      </c>
      <c r="AW1029" t="b">
        <f>+ISNUMBER(SEARCH(CompConta!$F$22,Tabla11[[#This Row],[Cuenta]],1))</f>
        <v>1</v>
      </c>
      <c r="AX1029" t="b">
        <f>+ISNUMBER(SEARCH(CompConta!$F$23,Tabla11[[#This Row],[Cuenta]],1))</f>
        <v>1</v>
      </c>
      <c r="AY1029" t="b">
        <f>+ISNUMBER(SEARCH(CompConta!$F$24,Tabla11[[#This Row],[Cuenta]],1))</f>
        <v>1</v>
      </c>
      <c r="AZ1029" t="b">
        <f>+ISNUMBER(SEARCH(CompConta!$F$25,Tabla11[[#This Row],[Cuenta]],1))</f>
        <v>1</v>
      </c>
      <c r="BA1029" t="b">
        <f>+ISNUMBER(SEARCH(CompConta!$F$26,Tabla11[[#This Row],[Cuenta]],1))</f>
        <v>1</v>
      </c>
      <c r="BB1029" t="b">
        <f>+ISNUMBER(SEARCH(CompConta!$F$27,Tabla11[[#This Row],[Cuenta]],1))</f>
        <v>1</v>
      </c>
      <c r="BC1029" t="b">
        <f>+ISNUMBER(SEARCH(CompConta!$F$28,Tabla11[[#This Row],[Cuenta]],1))</f>
        <v>1</v>
      </c>
      <c r="BD1029" t="b">
        <f>+ISNUMBER(SEARCH(CompConta!$F$29,Tabla11[[#This Row],[Cuenta]],1))</f>
        <v>1</v>
      </c>
      <c r="BE1029" t="b">
        <f>+ISNUMBER(SEARCH(CompConta!$F$30,Tabla11[[#This Row],[Cuenta]],1))</f>
        <v>1</v>
      </c>
      <c r="BF1029" t="b">
        <f>+ISNUMBER(SEARCH('PAGO Compras'!$E$11,Tabla11[[#This Row],[Cuenta]],1))</f>
        <v>1</v>
      </c>
      <c r="BG1029" t="b">
        <f>+ISNUMBER(SEARCH(#REF!,Tabla11[[#This Row],[Cuenta]],1))</f>
        <v>0</v>
      </c>
      <c r="BH1029" t="b">
        <f>+ISNUMBER(SEARCH(#REF!,Tabla11[[#This Row],[Cuenta]],1))</f>
        <v>0</v>
      </c>
      <c r="BI1029" t="b">
        <f>+ISNUMBER(SEARCH(#REF!,Tabla11[[#This Row],[Cuenta]],1))</f>
        <v>0</v>
      </c>
      <c r="BJ1029" t="b">
        <f>+ISNUMBER(SEARCH(#REF!,Tabla11[[#This Row],[Cuenta]],1))</f>
        <v>0</v>
      </c>
      <c r="BS1029" t="str">
        <v>524010 Registro mercantil</v>
      </c>
      <c r="BT1029" t="str">
        <v>524010 Registro mercantil</v>
      </c>
      <c r="BU1029" t="str">
        <v>524010 Registro mercantil</v>
      </c>
      <c r="BV1029" t="str">
        <v>524010 Registro mercantil</v>
      </c>
      <c r="BZ1029" t="str">
        <v>524010 Registro mercantil</v>
      </c>
      <c r="CA1029" t="str">
        <v>524010 Registro mercantil</v>
      </c>
      <c r="CB1029" t="str">
        <v>524010 Registro mercantil</v>
      </c>
      <c r="CC1029" t="str">
        <v>524010 Registro mercantil</v>
      </c>
      <c r="CD1029" t="str">
        <v>524010 Registro mercantil</v>
      </c>
      <c r="CE1029" t="str">
        <v>524010 Registro mercantil</v>
      </c>
      <c r="CS1029" s="141" t="str">
        <v>524010 Registro mercantil</v>
      </c>
      <c r="CT1029" s="141" t="str">
        <v>524010 Registro mercantil</v>
      </c>
      <c r="CU1029" s="141" t="str">
        <v>524010 Registro mercantil</v>
      </c>
      <c r="CV1029" s="141" t="str">
        <v>524010 Registro mercantil</v>
      </c>
      <c r="CW1029" s="141" t="str">
        <v>524010 Registro mercantil</v>
      </c>
      <c r="CX1029" s="141" t="str">
        <v>524010 Registro mercantil</v>
      </c>
      <c r="CY1029" s="141" t="str">
        <v>524010 Registro mercantil</v>
      </c>
      <c r="CZ1029" s="141" t="str">
        <v>524010 Registro mercantil</v>
      </c>
      <c r="DA1029" s="141" t="str">
        <v>524010 Registro mercantil</v>
      </c>
      <c r="DF1029" t="str">
        <v>524010 Registro mercantil</v>
      </c>
      <c r="DG1029" t="str">
        <v>524010 Registro mercantil</v>
      </c>
      <c r="DH1029" t="str">
        <v>524010 Registro mercantil</v>
      </c>
      <c r="DI1029" t="str">
        <v>524010 Registro mercantil</v>
      </c>
      <c r="DJ1029" t="str">
        <v>524010 Registro mercantil</v>
      </c>
      <c r="DK1029" t="str">
        <v>524010 Registro mercantil</v>
      </c>
      <c r="DL1029" t="str">
        <v>524010 Registro mercantil</v>
      </c>
      <c r="DM1029" t="str">
        <v>524010 Registro mercantil</v>
      </c>
      <c r="DN1029" t="str">
        <v>524010 Registro mercantil</v>
      </c>
      <c r="DO1029" t="str">
        <v>524010 Registro mercantil</v>
      </c>
      <c r="DP1029" t="str">
        <v>524010 Registro mercantil</v>
      </c>
    </row>
    <row r="1030" spans="4:120" ht="12.75">
      <c r="D1030" s="7">
        <v>524015</v>
      </c>
      <c r="E1030" s="6" t="s">
        <v>596</v>
      </c>
      <c r="F1030" s="5">
        <v>4</v>
      </c>
      <c r="G1030" s="34" t="s">
        <v>830</v>
      </c>
      <c r="H1030" s="8" t="s">
        <v>32</v>
      </c>
      <c r="I1030" t="b">
        <f>+ISNUMBER(SEARCH('F-COMPRA'!$F$28,Tabla11[[#This Row],[Cuenta]],1))</f>
        <v>1</v>
      </c>
      <c r="J1030" t="b">
        <f>+ISNUMBER(SEARCH('F-COMPRA'!$F$29,Tabla11[[#This Row],[Cuenta]],1))</f>
        <v>1</v>
      </c>
      <c r="K1030" t="b">
        <f>+ISNUMBER(SEARCH('F-COMPRA'!$F$30,Tabla11[[#This Row],[Cuenta]],1))</f>
        <v>1</v>
      </c>
      <c r="L1030" t="b">
        <f>+ISNUMBER(SEARCH('F-COMPRA'!$F$31,Tabla11[[#This Row],[Cuenta]],1))</f>
        <v>1</v>
      </c>
      <c r="M1030" t="b">
        <f>+ISNUMBER(SEARCH('F-COMPRA'!$G$25,Tabla11[[#This Row],[Cuenta]],1))</f>
        <v>0</v>
      </c>
      <c r="N1030" t="b">
        <f>+ISNUMBER(SEARCH(#REF!,Tabla11[[#This Row],[Cuenta]],1))</f>
        <v>0</v>
      </c>
      <c r="O1030" t="b">
        <f>+ISNUMBER(SEARCH(#REF!,Tabla11[[#This Row],[Cuenta]],1))</f>
        <v>0</v>
      </c>
      <c r="P1030" t="b">
        <f>+ISNUMBER(SEARCH('F-COMPRA'!$F$32,Tabla11[[#This Row],[Cuenta]],1))</f>
        <v>1</v>
      </c>
      <c r="Q1030" t="b">
        <f>+ISNUMBER(SEARCH('F-COMPRA'!$F$33,Tabla11[[#This Row],[Cuenta]],1))</f>
        <v>1</v>
      </c>
      <c r="R1030" t="b">
        <f>+ISNUMBER(SEARCH('F-COMPRA'!$F$34,Tabla11[[#This Row],[Cuenta]],1))</f>
        <v>1</v>
      </c>
      <c r="S1030" t="b">
        <f>+ISNUMBER(SEARCH('F-COMPRA'!$F$35,Tabla11[[#This Row],[Cuenta]],1))</f>
        <v>1</v>
      </c>
      <c r="T1030" t="b">
        <f>+ISNUMBER(SEARCH('F-COMPRA'!$F$36,Tabla11[[#This Row],[Cuenta]],1))</f>
        <v>1</v>
      </c>
      <c r="U1030" t="b">
        <f>+ISNUMBER(SEARCH('F-COMPRA'!$F$37,Tabla11[[#This Row],[Cuenta]],1))</f>
        <v>1</v>
      </c>
      <c r="V1030" t="b">
        <f>+ISNUMBER(SEARCH(#REF!,Tabla11[[#This Row],[Cuenta]],1))</f>
        <v>0</v>
      </c>
      <c r="W1030" t="b">
        <f>+ISNUMBER(SEARCH('F-COMPRA'!#REF!,Tabla11[[#This Row],[Cuenta]],1))</f>
        <v>0</v>
      </c>
      <c r="X1030" t="b">
        <f>+ISNUMBER(SEARCH('F-COMPRA'!#REF!,Tabla11[[#This Row],[Cuenta]],1))</f>
        <v>0</v>
      </c>
      <c r="Y1030" t="b">
        <f>+ISNUMBER(SEARCH('F-COMPRA'!#REF!,Tabla11[[#This Row],[Cuenta]],1))</f>
        <v>0</v>
      </c>
      <c r="Z1030" t="b">
        <f>+ISNUMBER(SEARCH('F-COMPRA'!#REF!,Tabla11[[#This Row],[Cuenta]],1))</f>
        <v>0</v>
      </c>
      <c r="AA1030" t="b">
        <f>+ISNUMBER(SEARCH('F-COMPRA'!#REF!,Tabla11[[#This Row],[Cuenta]],1))</f>
        <v>0</v>
      </c>
      <c r="AB1030" t="b">
        <f>+ISNUMBER(SEARCH('F-COMPRA'!#REF!,Tabla11[[#This Row],[Cuenta]],1))</f>
        <v>0</v>
      </c>
      <c r="AC1030" t="b">
        <f>+ISNUMBER(SEARCH('F-COMPRA'!#REF!,Tabla11[[#This Row],[Cuenta]],1))</f>
        <v>0</v>
      </c>
      <c r="AD1030" t="b">
        <f>+ISNUMBER(SEARCH('F-COMPRA'!#REF!,Tabla11[[#This Row],[Cuenta]],1))</f>
        <v>0</v>
      </c>
      <c r="AE1030" t="b">
        <f>+ISNUMBER(SEARCH('F-COMPRA'!#REF!,Tabla11[[#This Row],[Cuenta]],1))</f>
        <v>0</v>
      </c>
      <c r="AF1030" t="b">
        <f>+ISNUMBER(SEARCH('F-VTA'!$G$23,Tabla11[[#This Row],[Cuenta]],1))</f>
        <v>0</v>
      </c>
      <c r="AG1030" t="b">
        <f>+ISNUMBER(SEARCH('F-VTA'!$G$24,Tabla11[[#This Row],[Cuenta]],1))</f>
        <v>0</v>
      </c>
      <c r="AH1030" t="b">
        <f>+ISNUMBER(SEARCH('F-VTA'!$G$25,Tabla11[[#This Row],[Cuenta]],1))</f>
        <v>0</v>
      </c>
      <c r="AI1030" t="b">
        <f>+ISNUMBER(SEARCH('F-VTA'!$F$28,Tabla11[[#This Row],[Cuenta]],1))</f>
        <v>1</v>
      </c>
      <c r="AJ1030" t="b">
        <f>+ISNUMBER(SEARCH('F-VTA'!$F$29,Tabla11[[#This Row],[Cuenta]],1))</f>
        <v>1</v>
      </c>
      <c r="AK1030" t="b">
        <f>+ISNUMBER(SEARCH('F-VTA'!$F$30,Tabla11[[#This Row],[Cuenta]],1))</f>
        <v>1</v>
      </c>
      <c r="AL1030" t="b">
        <f>+ISNUMBER(SEARCH('F-VTA'!$F$31,Tabla11[[#This Row],[Cuenta]],1))</f>
        <v>1</v>
      </c>
      <c r="AM1030" t="b">
        <f>+ISNUMBER(SEARCH('F-VTA'!$F$32,Tabla11[[#This Row],[Cuenta]],1))</f>
        <v>1</v>
      </c>
      <c r="AN1030" t="b">
        <f>+ISNUMBER(SEARCH('F-VTA'!$F$33,Tabla11[[#This Row],[Cuenta]],1))</f>
        <v>1</v>
      </c>
      <c r="AO1030" t="b">
        <f>+ISNUMBER(SEARCH('F-VTA'!$F$34,Tabla11[[#This Row],[Cuenta]],1))</f>
        <v>1</v>
      </c>
      <c r="AP1030" t="b">
        <f>+ISNUMBER(SEARCH('F-VTA'!$F$35,Tabla11[[#This Row],[Cuenta]],1))</f>
        <v>1</v>
      </c>
      <c r="AQ1030" t="b">
        <f>+ISNUMBER(SEARCH('F-VTA'!$F$36,Tabla11[[#This Row],[Cuenta]],1))</f>
        <v>1</v>
      </c>
      <c r="AR1030" t="b">
        <f>+ISNUMBER(SEARCH(#REF!,Tabla11[[#This Row],[Cuenta]],1))</f>
        <v>0</v>
      </c>
      <c r="AS1030" t="b">
        <f>+ISNUMBER(SEARCH(#REF!,Tabla11[[#This Row],[Cuenta]],1))</f>
        <v>0</v>
      </c>
      <c r="AT1030" t="b">
        <f>+ISNUMBER(SEARCH(#REF!,Tabla11[[#This Row],[Cuenta]],1))</f>
        <v>0</v>
      </c>
      <c r="AU1030" t="b">
        <f>+ISNUMBER(SEARCH('Conc. Ban.1'!$I$9,Tabla11[[#This Row],[Cuenta]],1))</f>
        <v>0</v>
      </c>
      <c r="AV1030" t="b">
        <f>+ISNUMBER(SEARCH(CompConta!$F$21,Tabla11[[#This Row],[Cuenta]],1))</f>
        <v>1</v>
      </c>
      <c r="AW1030" t="b">
        <f>+ISNUMBER(SEARCH(CompConta!$F$22,Tabla11[[#This Row],[Cuenta]],1))</f>
        <v>1</v>
      </c>
      <c r="AX1030" t="b">
        <f>+ISNUMBER(SEARCH(CompConta!$F$23,Tabla11[[#This Row],[Cuenta]],1))</f>
        <v>1</v>
      </c>
      <c r="AY1030" t="b">
        <f>+ISNUMBER(SEARCH(CompConta!$F$24,Tabla11[[#This Row],[Cuenta]],1))</f>
        <v>1</v>
      </c>
      <c r="AZ1030" t="b">
        <f>+ISNUMBER(SEARCH(CompConta!$F$25,Tabla11[[#This Row],[Cuenta]],1))</f>
        <v>1</v>
      </c>
      <c r="BA1030" t="b">
        <f>+ISNUMBER(SEARCH(CompConta!$F$26,Tabla11[[#This Row],[Cuenta]],1))</f>
        <v>1</v>
      </c>
      <c r="BB1030" t="b">
        <f>+ISNUMBER(SEARCH(CompConta!$F$27,Tabla11[[#This Row],[Cuenta]],1))</f>
        <v>1</v>
      </c>
      <c r="BC1030" t="b">
        <f>+ISNUMBER(SEARCH(CompConta!$F$28,Tabla11[[#This Row],[Cuenta]],1))</f>
        <v>1</v>
      </c>
      <c r="BD1030" t="b">
        <f>+ISNUMBER(SEARCH(CompConta!$F$29,Tabla11[[#This Row],[Cuenta]],1))</f>
        <v>1</v>
      </c>
      <c r="BE1030" t="b">
        <f>+ISNUMBER(SEARCH(CompConta!$F$30,Tabla11[[#This Row],[Cuenta]],1))</f>
        <v>1</v>
      </c>
      <c r="BF1030" t="b">
        <f>+ISNUMBER(SEARCH('PAGO Compras'!$E$11,Tabla11[[#This Row],[Cuenta]],1))</f>
        <v>1</v>
      </c>
      <c r="BG1030" t="b">
        <f>+ISNUMBER(SEARCH(#REF!,Tabla11[[#This Row],[Cuenta]],1))</f>
        <v>0</v>
      </c>
      <c r="BH1030" t="b">
        <f>+ISNUMBER(SEARCH(#REF!,Tabla11[[#This Row],[Cuenta]],1))</f>
        <v>0</v>
      </c>
      <c r="BI1030" t="b">
        <f>+ISNUMBER(SEARCH(#REF!,Tabla11[[#This Row],[Cuenta]],1))</f>
        <v>0</v>
      </c>
      <c r="BJ1030" t="b">
        <f>+ISNUMBER(SEARCH(#REF!,Tabla11[[#This Row],[Cuenta]],1))</f>
        <v>0</v>
      </c>
      <c r="BS1030" t="str">
        <v>524015 Trámites y licencias</v>
      </c>
      <c r="BT1030" t="str">
        <v>524015 Trámites y licencias</v>
      </c>
      <c r="BU1030" t="str">
        <v>524015 Trámites y licencias</v>
      </c>
      <c r="BV1030" t="str">
        <v>524015 Trámites y licencias</v>
      </c>
      <c r="BZ1030" t="str">
        <v>524015 Trámites y licencias</v>
      </c>
      <c r="CA1030" t="str">
        <v>524015 Trámites y licencias</v>
      </c>
      <c r="CB1030" t="str">
        <v>524015 Trámites y licencias</v>
      </c>
      <c r="CC1030" t="str">
        <v>524015 Trámites y licencias</v>
      </c>
      <c r="CD1030" t="str">
        <v>524015 Trámites y licencias</v>
      </c>
      <c r="CE1030" t="str">
        <v>524015 Trámites y licencias</v>
      </c>
      <c r="CS1030" s="141" t="str">
        <v>524015 Trámites y licencias</v>
      </c>
      <c r="CT1030" s="141" t="str">
        <v>524015 Trámites y licencias</v>
      </c>
      <c r="CU1030" s="141" t="str">
        <v>524015 Trámites y licencias</v>
      </c>
      <c r="CV1030" s="141" t="str">
        <v>524015 Trámites y licencias</v>
      </c>
      <c r="CW1030" s="141" t="str">
        <v>524015 Trámites y licencias</v>
      </c>
      <c r="CX1030" s="141" t="str">
        <v>524015 Trámites y licencias</v>
      </c>
      <c r="CY1030" s="141" t="str">
        <v>524015 Trámites y licencias</v>
      </c>
      <c r="CZ1030" s="141" t="str">
        <v>524015 Trámites y licencias</v>
      </c>
      <c r="DA1030" s="141" t="str">
        <v>524015 Trámites y licencias</v>
      </c>
      <c r="DF1030" t="str">
        <v>524015 Trámites y licencias</v>
      </c>
      <c r="DG1030" t="str">
        <v>524015 Trámites y licencias</v>
      </c>
      <c r="DH1030" t="str">
        <v>524015 Trámites y licencias</v>
      </c>
      <c r="DI1030" t="str">
        <v>524015 Trámites y licencias</v>
      </c>
      <c r="DJ1030" t="str">
        <v>524015 Trámites y licencias</v>
      </c>
      <c r="DK1030" t="str">
        <v>524015 Trámites y licencias</v>
      </c>
      <c r="DL1030" t="str">
        <v>524015 Trámites y licencias</v>
      </c>
      <c r="DM1030" t="str">
        <v>524015 Trámites y licencias</v>
      </c>
      <c r="DN1030" t="str">
        <v>524015 Trámites y licencias</v>
      </c>
      <c r="DO1030" t="str">
        <v>524015 Trámites y licencias</v>
      </c>
      <c r="DP1030" t="str">
        <v>524015 Trámites y licencias</v>
      </c>
    </row>
    <row r="1031" spans="4:120" ht="12.75">
      <c r="D1031" s="7">
        <v>524020</v>
      </c>
      <c r="E1031" s="6" t="s">
        <v>597</v>
      </c>
      <c r="F1031" s="5">
        <v>4</v>
      </c>
      <c r="G1031" s="34" t="s">
        <v>830</v>
      </c>
      <c r="H1031" s="8" t="s">
        <v>32</v>
      </c>
      <c r="I1031" t="b">
        <f>+ISNUMBER(SEARCH('F-COMPRA'!$F$28,Tabla11[[#This Row],[Cuenta]],1))</f>
        <v>1</v>
      </c>
      <c r="J1031" t="b">
        <f>+ISNUMBER(SEARCH('F-COMPRA'!$F$29,Tabla11[[#This Row],[Cuenta]],1))</f>
        <v>1</v>
      </c>
      <c r="K1031" t="b">
        <f>+ISNUMBER(SEARCH('F-COMPRA'!$F$30,Tabla11[[#This Row],[Cuenta]],1))</f>
        <v>1</v>
      </c>
      <c r="L1031" t="b">
        <f>+ISNUMBER(SEARCH('F-COMPRA'!$F$31,Tabla11[[#This Row],[Cuenta]],1))</f>
        <v>1</v>
      </c>
      <c r="M1031" t="b">
        <f>+ISNUMBER(SEARCH('F-COMPRA'!$G$25,Tabla11[[#This Row],[Cuenta]],1))</f>
        <v>0</v>
      </c>
      <c r="N1031" t="b">
        <f>+ISNUMBER(SEARCH(#REF!,Tabla11[[#This Row],[Cuenta]],1))</f>
        <v>0</v>
      </c>
      <c r="O1031" t="b">
        <f>+ISNUMBER(SEARCH(#REF!,Tabla11[[#This Row],[Cuenta]],1))</f>
        <v>0</v>
      </c>
      <c r="P1031" t="b">
        <f>+ISNUMBER(SEARCH('F-COMPRA'!$F$32,Tabla11[[#This Row],[Cuenta]],1))</f>
        <v>1</v>
      </c>
      <c r="Q1031" t="b">
        <f>+ISNUMBER(SEARCH('F-COMPRA'!$F$33,Tabla11[[#This Row],[Cuenta]],1))</f>
        <v>1</v>
      </c>
      <c r="R1031" t="b">
        <f>+ISNUMBER(SEARCH('F-COMPRA'!$F$34,Tabla11[[#This Row],[Cuenta]],1))</f>
        <v>1</v>
      </c>
      <c r="S1031" t="b">
        <f>+ISNUMBER(SEARCH('F-COMPRA'!$F$35,Tabla11[[#This Row],[Cuenta]],1))</f>
        <v>1</v>
      </c>
      <c r="T1031" t="b">
        <f>+ISNUMBER(SEARCH('F-COMPRA'!$F$36,Tabla11[[#This Row],[Cuenta]],1))</f>
        <v>1</v>
      </c>
      <c r="U1031" t="b">
        <f>+ISNUMBER(SEARCH('F-COMPRA'!$F$37,Tabla11[[#This Row],[Cuenta]],1))</f>
        <v>1</v>
      </c>
      <c r="V1031" t="b">
        <f>+ISNUMBER(SEARCH(#REF!,Tabla11[[#This Row],[Cuenta]],1))</f>
        <v>0</v>
      </c>
      <c r="W1031" t="b">
        <f>+ISNUMBER(SEARCH('F-COMPRA'!#REF!,Tabla11[[#This Row],[Cuenta]],1))</f>
        <v>0</v>
      </c>
      <c r="X1031" t="b">
        <f>+ISNUMBER(SEARCH('F-COMPRA'!#REF!,Tabla11[[#This Row],[Cuenta]],1))</f>
        <v>0</v>
      </c>
      <c r="Y1031" t="b">
        <f>+ISNUMBER(SEARCH('F-COMPRA'!#REF!,Tabla11[[#This Row],[Cuenta]],1))</f>
        <v>0</v>
      </c>
      <c r="Z1031" t="b">
        <f>+ISNUMBER(SEARCH('F-COMPRA'!#REF!,Tabla11[[#This Row],[Cuenta]],1))</f>
        <v>0</v>
      </c>
      <c r="AA1031" t="b">
        <f>+ISNUMBER(SEARCH('F-COMPRA'!#REF!,Tabla11[[#This Row],[Cuenta]],1))</f>
        <v>0</v>
      </c>
      <c r="AB1031" t="b">
        <f>+ISNUMBER(SEARCH('F-COMPRA'!#REF!,Tabla11[[#This Row],[Cuenta]],1))</f>
        <v>0</v>
      </c>
      <c r="AC1031" t="b">
        <f>+ISNUMBER(SEARCH('F-COMPRA'!#REF!,Tabla11[[#This Row],[Cuenta]],1))</f>
        <v>0</v>
      </c>
      <c r="AD1031" t="b">
        <f>+ISNUMBER(SEARCH('F-COMPRA'!#REF!,Tabla11[[#This Row],[Cuenta]],1))</f>
        <v>0</v>
      </c>
      <c r="AE1031" t="b">
        <f>+ISNUMBER(SEARCH('F-COMPRA'!#REF!,Tabla11[[#This Row],[Cuenta]],1))</f>
        <v>0</v>
      </c>
      <c r="AF1031" t="b">
        <f>+ISNUMBER(SEARCH('F-VTA'!$G$23,Tabla11[[#This Row],[Cuenta]],1))</f>
        <v>0</v>
      </c>
      <c r="AG1031" t="b">
        <f>+ISNUMBER(SEARCH('F-VTA'!$G$24,Tabla11[[#This Row],[Cuenta]],1))</f>
        <v>0</v>
      </c>
      <c r="AH1031" t="b">
        <f>+ISNUMBER(SEARCH('F-VTA'!$G$25,Tabla11[[#This Row],[Cuenta]],1))</f>
        <v>0</v>
      </c>
      <c r="AI1031" t="b">
        <f>+ISNUMBER(SEARCH('F-VTA'!$F$28,Tabla11[[#This Row],[Cuenta]],1))</f>
        <v>1</v>
      </c>
      <c r="AJ1031" t="b">
        <f>+ISNUMBER(SEARCH('F-VTA'!$F$29,Tabla11[[#This Row],[Cuenta]],1))</f>
        <v>1</v>
      </c>
      <c r="AK1031" t="b">
        <f>+ISNUMBER(SEARCH('F-VTA'!$F$30,Tabla11[[#This Row],[Cuenta]],1))</f>
        <v>1</v>
      </c>
      <c r="AL1031" t="b">
        <f>+ISNUMBER(SEARCH('F-VTA'!$F$31,Tabla11[[#This Row],[Cuenta]],1))</f>
        <v>1</v>
      </c>
      <c r="AM1031" t="b">
        <f>+ISNUMBER(SEARCH('F-VTA'!$F$32,Tabla11[[#This Row],[Cuenta]],1))</f>
        <v>1</v>
      </c>
      <c r="AN1031" t="b">
        <f>+ISNUMBER(SEARCH('F-VTA'!$F$33,Tabla11[[#This Row],[Cuenta]],1))</f>
        <v>1</v>
      </c>
      <c r="AO1031" t="b">
        <f>+ISNUMBER(SEARCH('F-VTA'!$F$34,Tabla11[[#This Row],[Cuenta]],1))</f>
        <v>1</v>
      </c>
      <c r="AP1031" t="b">
        <f>+ISNUMBER(SEARCH('F-VTA'!$F$35,Tabla11[[#This Row],[Cuenta]],1))</f>
        <v>1</v>
      </c>
      <c r="AQ1031" t="b">
        <f>+ISNUMBER(SEARCH('F-VTA'!$F$36,Tabla11[[#This Row],[Cuenta]],1))</f>
        <v>1</v>
      </c>
      <c r="AR1031" t="b">
        <f>+ISNUMBER(SEARCH(#REF!,Tabla11[[#This Row],[Cuenta]],1))</f>
        <v>0</v>
      </c>
      <c r="AS1031" t="b">
        <f>+ISNUMBER(SEARCH(#REF!,Tabla11[[#This Row],[Cuenta]],1))</f>
        <v>0</v>
      </c>
      <c r="AT1031" t="b">
        <f>+ISNUMBER(SEARCH(#REF!,Tabla11[[#This Row],[Cuenta]],1))</f>
        <v>0</v>
      </c>
      <c r="AU1031" t="b">
        <f>+ISNUMBER(SEARCH('Conc. Ban.1'!$I$9,Tabla11[[#This Row],[Cuenta]],1))</f>
        <v>0</v>
      </c>
      <c r="AV1031" t="b">
        <f>+ISNUMBER(SEARCH(CompConta!$F$21,Tabla11[[#This Row],[Cuenta]],1))</f>
        <v>1</v>
      </c>
      <c r="AW1031" t="b">
        <f>+ISNUMBER(SEARCH(CompConta!$F$22,Tabla11[[#This Row],[Cuenta]],1))</f>
        <v>1</v>
      </c>
      <c r="AX1031" t="b">
        <f>+ISNUMBER(SEARCH(CompConta!$F$23,Tabla11[[#This Row],[Cuenta]],1))</f>
        <v>1</v>
      </c>
      <c r="AY1031" t="b">
        <f>+ISNUMBER(SEARCH(CompConta!$F$24,Tabla11[[#This Row],[Cuenta]],1))</f>
        <v>1</v>
      </c>
      <c r="AZ1031" t="b">
        <f>+ISNUMBER(SEARCH(CompConta!$F$25,Tabla11[[#This Row],[Cuenta]],1))</f>
        <v>1</v>
      </c>
      <c r="BA1031" t="b">
        <f>+ISNUMBER(SEARCH(CompConta!$F$26,Tabla11[[#This Row],[Cuenta]],1))</f>
        <v>1</v>
      </c>
      <c r="BB1031" t="b">
        <f>+ISNUMBER(SEARCH(CompConta!$F$27,Tabla11[[#This Row],[Cuenta]],1))</f>
        <v>1</v>
      </c>
      <c r="BC1031" t="b">
        <f>+ISNUMBER(SEARCH(CompConta!$F$28,Tabla11[[#This Row],[Cuenta]],1))</f>
        <v>1</v>
      </c>
      <c r="BD1031" t="b">
        <f>+ISNUMBER(SEARCH(CompConta!$F$29,Tabla11[[#This Row],[Cuenta]],1))</f>
        <v>1</v>
      </c>
      <c r="BE1031" t="b">
        <f>+ISNUMBER(SEARCH(CompConta!$F$30,Tabla11[[#This Row],[Cuenta]],1))</f>
        <v>1</v>
      </c>
      <c r="BF1031" t="b">
        <f>+ISNUMBER(SEARCH('PAGO Compras'!$E$11,Tabla11[[#This Row],[Cuenta]],1))</f>
        <v>1</v>
      </c>
      <c r="BG1031" t="b">
        <f>+ISNUMBER(SEARCH(#REF!,Tabla11[[#This Row],[Cuenta]],1))</f>
        <v>0</v>
      </c>
      <c r="BH1031" t="b">
        <f>+ISNUMBER(SEARCH(#REF!,Tabla11[[#This Row],[Cuenta]],1))</f>
        <v>0</v>
      </c>
      <c r="BI1031" t="b">
        <f>+ISNUMBER(SEARCH(#REF!,Tabla11[[#This Row],[Cuenta]],1))</f>
        <v>0</v>
      </c>
      <c r="BJ1031" t="b">
        <f>+ISNUMBER(SEARCH(#REF!,Tabla11[[#This Row],[Cuenta]],1))</f>
        <v>0</v>
      </c>
      <c r="BS1031" t="str">
        <v>524020 Aduaneros</v>
      </c>
      <c r="BT1031" t="str">
        <v>524020 Aduaneros</v>
      </c>
      <c r="BU1031" t="str">
        <v>524020 Aduaneros</v>
      </c>
      <c r="BV1031" t="str">
        <v>524020 Aduaneros</v>
      </c>
      <c r="BZ1031" t="str">
        <v>524020 Aduaneros</v>
      </c>
      <c r="CA1031" t="str">
        <v>524020 Aduaneros</v>
      </c>
      <c r="CB1031" t="str">
        <v>524020 Aduaneros</v>
      </c>
      <c r="CC1031" t="str">
        <v>524020 Aduaneros</v>
      </c>
      <c r="CD1031" t="str">
        <v>524020 Aduaneros</v>
      </c>
      <c r="CE1031" t="str">
        <v>524020 Aduaneros</v>
      </c>
      <c r="CS1031" s="141" t="str">
        <v>524020 Aduaneros</v>
      </c>
      <c r="CT1031" s="141" t="str">
        <v>524020 Aduaneros</v>
      </c>
      <c r="CU1031" s="141" t="str">
        <v>524020 Aduaneros</v>
      </c>
      <c r="CV1031" s="141" t="str">
        <v>524020 Aduaneros</v>
      </c>
      <c r="CW1031" s="141" t="str">
        <v>524020 Aduaneros</v>
      </c>
      <c r="CX1031" s="141" t="str">
        <v>524020 Aduaneros</v>
      </c>
      <c r="CY1031" s="141" t="str">
        <v>524020 Aduaneros</v>
      </c>
      <c r="CZ1031" s="141" t="str">
        <v>524020 Aduaneros</v>
      </c>
      <c r="DA1031" s="141" t="str">
        <v>524020 Aduaneros</v>
      </c>
      <c r="DF1031" t="str">
        <v>524020 Aduaneros</v>
      </c>
      <c r="DG1031" t="str">
        <v>524020 Aduaneros</v>
      </c>
      <c r="DH1031" t="str">
        <v>524020 Aduaneros</v>
      </c>
      <c r="DI1031" t="str">
        <v>524020 Aduaneros</v>
      </c>
      <c r="DJ1031" t="str">
        <v>524020 Aduaneros</v>
      </c>
      <c r="DK1031" t="str">
        <v>524020 Aduaneros</v>
      </c>
      <c r="DL1031" t="str">
        <v>524020 Aduaneros</v>
      </c>
      <c r="DM1031" t="str">
        <v>524020 Aduaneros</v>
      </c>
      <c r="DN1031" t="str">
        <v>524020 Aduaneros</v>
      </c>
      <c r="DO1031" t="str">
        <v>524020 Aduaneros</v>
      </c>
      <c r="DP1031" t="str">
        <v>524020 Aduaneros</v>
      </c>
    </row>
    <row r="1032" spans="4:120" ht="12.75">
      <c r="D1032" s="7">
        <v>524025</v>
      </c>
      <c r="E1032" s="6" t="s">
        <v>598</v>
      </c>
      <c r="F1032" s="5">
        <v>4</v>
      </c>
      <c r="G1032" s="34" t="s">
        <v>830</v>
      </c>
      <c r="H1032" s="8" t="s">
        <v>32</v>
      </c>
      <c r="I1032" t="b">
        <f>+ISNUMBER(SEARCH('F-COMPRA'!$F$28,Tabla11[[#This Row],[Cuenta]],1))</f>
        <v>1</v>
      </c>
      <c r="J1032" t="b">
        <f>+ISNUMBER(SEARCH('F-COMPRA'!$F$29,Tabla11[[#This Row],[Cuenta]],1))</f>
        <v>1</v>
      </c>
      <c r="K1032" t="b">
        <f>+ISNUMBER(SEARCH('F-COMPRA'!$F$30,Tabla11[[#This Row],[Cuenta]],1))</f>
        <v>1</v>
      </c>
      <c r="L1032" t="b">
        <f>+ISNUMBER(SEARCH('F-COMPRA'!$F$31,Tabla11[[#This Row],[Cuenta]],1))</f>
        <v>1</v>
      </c>
      <c r="M1032" t="b">
        <f>+ISNUMBER(SEARCH('F-COMPRA'!$G$25,Tabla11[[#This Row],[Cuenta]],1))</f>
        <v>0</v>
      </c>
      <c r="N1032" t="b">
        <f>+ISNUMBER(SEARCH(#REF!,Tabla11[[#This Row],[Cuenta]],1))</f>
        <v>0</v>
      </c>
      <c r="O1032" t="b">
        <f>+ISNUMBER(SEARCH(#REF!,Tabla11[[#This Row],[Cuenta]],1))</f>
        <v>0</v>
      </c>
      <c r="P1032" t="b">
        <f>+ISNUMBER(SEARCH('F-COMPRA'!$F$32,Tabla11[[#This Row],[Cuenta]],1))</f>
        <v>1</v>
      </c>
      <c r="Q1032" t="b">
        <f>+ISNUMBER(SEARCH('F-COMPRA'!$F$33,Tabla11[[#This Row],[Cuenta]],1))</f>
        <v>1</v>
      </c>
      <c r="R1032" t="b">
        <f>+ISNUMBER(SEARCH('F-COMPRA'!$F$34,Tabla11[[#This Row],[Cuenta]],1))</f>
        <v>1</v>
      </c>
      <c r="S1032" t="b">
        <f>+ISNUMBER(SEARCH('F-COMPRA'!$F$35,Tabla11[[#This Row],[Cuenta]],1))</f>
        <v>1</v>
      </c>
      <c r="T1032" t="b">
        <f>+ISNUMBER(SEARCH('F-COMPRA'!$F$36,Tabla11[[#This Row],[Cuenta]],1))</f>
        <v>1</v>
      </c>
      <c r="U1032" t="b">
        <f>+ISNUMBER(SEARCH('F-COMPRA'!$F$37,Tabla11[[#This Row],[Cuenta]],1))</f>
        <v>1</v>
      </c>
      <c r="V1032" t="b">
        <f>+ISNUMBER(SEARCH(#REF!,Tabla11[[#This Row],[Cuenta]],1))</f>
        <v>0</v>
      </c>
      <c r="W1032" t="b">
        <f>+ISNUMBER(SEARCH('F-COMPRA'!#REF!,Tabla11[[#This Row],[Cuenta]],1))</f>
        <v>0</v>
      </c>
      <c r="X1032" t="b">
        <f>+ISNUMBER(SEARCH('F-COMPRA'!#REF!,Tabla11[[#This Row],[Cuenta]],1))</f>
        <v>0</v>
      </c>
      <c r="Y1032" t="b">
        <f>+ISNUMBER(SEARCH('F-COMPRA'!#REF!,Tabla11[[#This Row],[Cuenta]],1))</f>
        <v>0</v>
      </c>
      <c r="Z1032" t="b">
        <f>+ISNUMBER(SEARCH('F-COMPRA'!#REF!,Tabla11[[#This Row],[Cuenta]],1))</f>
        <v>0</v>
      </c>
      <c r="AA1032" t="b">
        <f>+ISNUMBER(SEARCH('F-COMPRA'!#REF!,Tabla11[[#This Row],[Cuenta]],1))</f>
        <v>0</v>
      </c>
      <c r="AB1032" t="b">
        <f>+ISNUMBER(SEARCH('F-COMPRA'!#REF!,Tabla11[[#This Row],[Cuenta]],1))</f>
        <v>0</v>
      </c>
      <c r="AC1032" t="b">
        <f>+ISNUMBER(SEARCH('F-COMPRA'!#REF!,Tabla11[[#This Row],[Cuenta]],1))</f>
        <v>0</v>
      </c>
      <c r="AD1032" t="b">
        <f>+ISNUMBER(SEARCH('F-COMPRA'!#REF!,Tabla11[[#This Row],[Cuenta]],1))</f>
        <v>0</v>
      </c>
      <c r="AE1032" t="b">
        <f>+ISNUMBER(SEARCH('F-COMPRA'!#REF!,Tabla11[[#This Row],[Cuenta]],1))</f>
        <v>0</v>
      </c>
      <c r="AF1032" t="b">
        <f>+ISNUMBER(SEARCH('F-VTA'!$G$23,Tabla11[[#This Row],[Cuenta]],1))</f>
        <v>0</v>
      </c>
      <c r="AG1032" t="b">
        <f>+ISNUMBER(SEARCH('F-VTA'!$G$24,Tabla11[[#This Row],[Cuenta]],1))</f>
        <v>0</v>
      </c>
      <c r="AH1032" t="b">
        <f>+ISNUMBER(SEARCH('F-VTA'!$G$25,Tabla11[[#This Row],[Cuenta]],1))</f>
        <v>0</v>
      </c>
      <c r="AI1032" t="b">
        <f>+ISNUMBER(SEARCH('F-VTA'!$F$28,Tabla11[[#This Row],[Cuenta]],1))</f>
        <v>1</v>
      </c>
      <c r="AJ1032" t="b">
        <f>+ISNUMBER(SEARCH('F-VTA'!$F$29,Tabla11[[#This Row],[Cuenta]],1))</f>
        <v>1</v>
      </c>
      <c r="AK1032" t="b">
        <f>+ISNUMBER(SEARCH('F-VTA'!$F$30,Tabla11[[#This Row],[Cuenta]],1))</f>
        <v>1</v>
      </c>
      <c r="AL1032" t="b">
        <f>+ISNUMBER(SEARCH('F-VTA'!$F$31,Tabla11[[#This Row],[Cuenta]],1))</f>
        <v>1</v>
      </c>
      <c r="AM1032" t="b">
        <f>+ISNUMBER(SEARCH('F-VTA'!$F$32,Tabla11[[#This Row],[Cuenta]],1))</f>
        <v>1</v>
      </c>
      <c r="AN1032" t="b">
        <f>+ISNUMBER(SEARCH('F-VTA'!$F$33,Tabla11[[#This Row],[Cuenta]],1))</f>
        <v>1</v>
      </c>
      <c r="AO1032" t="b">
        <f>+ISNUMBER(SEARCH('F-VTA'!$F$34,Tabla11[[#This Row],[Cuenta]],1))</f>
        <v>1</v>
      </c>
      <c r="AP1032" t="b">
        <f>+ISNUMBER(SEARCH('F-VTA'!$F$35,Tabla11[[#This Row],[Cuenta]],1))</f>
        <v>1</v>
      </c>
      <c r="AQ1032" t="b">
        <f>+ISNUMBER(SEARCH('F-VTA'!$F$36,Tabla11[[#This Row],[Cuenta]],1))</f>
        <v>1</v>
      </c>
      <c r="AR1032" t="b">
        <f>+ISNUMBER(SEARCH(#REF!,Tabla11[[#This Row],[Cuenta]],1))</f>
        <v>0</v>
      </c>
      <c r="AS1032" t="b">
        <f>+ISNUMBER(SEARCH(#REF!,Tabla11[[#This Row],[Cuenta]],1))</f>
        <v>0</v>
      </c>
      <c r="AT1032" t="b">
        <f>+ISNUMBER(SEARCH(#REF!,Tabla11[[#This Row],[Cuenta]],1))</f>
        <v>0</v>
      </c>
      <c r="AU1032" t="b">
        <f>+ISNUMBER(SEARCH('Conc. Ban.1'!$I$9,Tabla11[[#This Row],[Cuenta]],1))</f>
        <v>0</v>
      </c>
      <c r="AV1032" t="b">
        <f>+ISNUMBER(SEARCH(CompConta!$F$21,Tabla11[[#This Row],[Cuenta]],1))</f>
        <v>1</v>
      </c>
      <c r="AW1032" t="b">
        <f>+ISNUMBER(SEARCH(CompConta!$F$22,Tabla11[[#This Row],[Cuenta]],1))</f>
        <v>1</v>
      </c>
      <c r="AX1032" t="b">
        <f>+ISNUMBER(SEARCH(CompConta!$F$23,Tabla11[[#This Row],[Cuenta]],1))</f>
        <v>1</v>
      </c>
      <c r="AY1032" t="b">
        <f>+ISNUMBER(SEARCH(CompConta!$F$24,Tabla11[[#This Row],[Cuenta]],1))</f>
        <v>1</v>
      </c>
      <c r="AZ1032" t="b">
        <f>+ISNUMBER(SEARCH(CompConta!$F$25,Tabla11[[#This Row],[Cuenta]],1))</f>
        <v>1</v>
      </c>
      <c r="BA1032" t="b">
        <f>+ISNUMBER(SEARCH(CompConta!$F$26,Tabla11[[#This Row],[Cuenta]],1))</f>
        <v>1</v>
      </c>
      <c r="BB1032" t="b">
        <f>+ISNUMBER(SEARCH(CompConta!$F$27,Tabla11[[#This Row],[Cuenta]],1))</f>
        <v>1</v>
      </c>
      <c r="BC1032" t="b">
        <f>+ISNUMBER(SEARCH(CompConta!$F$28,Tabla11[[#This Row],[Cuenta]],1))</f>
        <v>1</v>
      </c>
      <c r="BD1032" t="b">
        <f>+ISNUMBER(SEARCH(CompConta!$F$29,Tabla11[[#This Row],[Cuenta]],1))</f>
        <v>1</v>
      </c>
      <c r="BE1032" t="b">
        <f>+ISNUMBER(SEARCH(CompConta!$F$30,Tabla11[[#This Row],[Cuenta]],1))</f>
        <v>1</v>
      </c>
      <c r="BF1032" t="b">
        <f>+ISNUMBER(SEARCH('PAGO Compras'!$E$11,Tabla11[[#This Row],[Cuenta]],1))</f>
        <v>1</v>
      </c>
      <c r="BG1032" t="b">
        <f>+ISNUMBER(SEARCH(#REF!,Tabla11[[#This Row],[Cuenta]],1))</f>
        <v>0</v>
      </c>
      <c r="BH1032" t="b">
        <f>+ISNUMBER(SEARCH(#REF!,Tabla11[[#This Row],[Cuenta]],1))</f>
        <v>0</v>
      </c>
      <c r="BI1032" t="b">
        <f>+ISNUMBER(SEARCH(#REF!,Tabla11[[#This Row],[Cuenta]],1))</f>
        <v>0</v>
      </c>
      <c r="BJ1032" t="b">
        <f>+ISNUMBER(SEARCH(#REF!,Tabla11[[#This Row],[Cuenta]],1))</f>
        <v>0</v>
      </c>
      <c r="BS1032" t="str">
        <v>524025 Consulares</v>
      </c>
      <c r="BT1032" t="str">
        <v>524025 Consulares</v>
      </c>
      <c r="BU1032" t="str">
        <v>524025 Consulares</v>
      </c>
      <c r="BV1032" t="str">
        <v>524025 Consulares</v>
      </c>
      <c r="BZ1032" t="str">
        <v>524025 Consulares</v>
      </c>
      <c r="CA1032" t="str">
        <v>524025 Consulares</v>
      </c>
      <c r="CB1032" t="str">
        <v>524025 Consulares</v>
      </c>
      <c r="CC1032" t="str">
        <v>524025 Consulares</v>
      </c>
      <c r="CD1032" t="str">
        <v>524025 Consulares</v>
      </c>
      <c r="CE1032" t="str">
        <v>524025 Consulares</v>
      </c>
      <c r="CS1032" s="141" t="str">
        <v>524025 Consulares</v>
      </c>
      <c r="CT1032" s="141" t="str">
        <v>524025 Consulares</v>
      </c>
      <c r="CU1032" s="141" t="str">
        <v>524025 Consulares</v>
      </c>
      <c r="CV1032" s="141" t="str">
        <v>524025 Consulares</v>
      </c>
      <c r="CW1032" s="141" t="str">
        <v>524025 Consulares</v>
      </c>
      <c r="CX1032" s="141" t="str">
        <v>524025 Consulares</v>
      </c>
      <c r="CY1032" s="141" t="str">
        <v>524025 Consulares</v>
      </c>
      <c r="CZ1032" s="141" t="str">
        <v>524025 Consulares</v>
      </c>
      <c r="DA1032" s="141" t="str">
        <v>524025 Consulares</v>
      </c>
      <c r="DF1032" t="str">
        <v>524025 Consulares</v>
      </c>
      <c r="DG1032" t="str">
        <v>524025 Consulares</v>
      </c>
      <c r="DH1032" t="str">
        <v>524025 Consulares</v>
      </c>
      <c r="DI1032" t="str">
        <v>524025 Consulares</v>
      </c>
      <c r="DJ1032" t="str">
        <v>524025 Consulares</v>
      </c>
      <c r="DK1032" t="str">
        <v>524025 Consulares</v>
      </c>
      <c r="DL1032" t="str">
        <v>524025 Consulares</v>
      </c>
      <c r="DM1032" t="str">
        <v>524025 Consulares</v>
      </c>
      <c r="DN1032" t="str">
        <v>524025 Consulares</v>
      </c>
      <c r="DO1032" t="str">
        <v>524025 Consulares</v>
      </c>
      <c r="DP1032" t="str">
        <v>524025 Consulares</v>
      </c>
    </row>
    <row r="1033" spans="4:120" ht="12.75">
      <c r="D1033" s="7">
        <v>524095</v>
      </c>
      <c r="E1033" s="6" t="s">
        <v>45</v>
      </c>
      <c r="F1033" s="5">
        <v>4</v>
      </c>
      <c r="G1033" s="34" t="s">
        <v>830</v>
      </c>
      <c r="H1033" s="8" t="s">
        <v>32</v>
      </c>
      <c r="I1033" t="b">
        <f>+ISNUMBER(SEARCH('F-COMPRA'!$F$28,Tabla11[[#This Row],[Cuenta]],1))</f>
        <v>1</v>
      </c>
      <c r="J1033" t="b">
        <f>+ISNUMBER(SEARCH('F-COMPRA'!$F$29,Tabla11[[#This Row],[Cuenta]],1))</f>
        <v>1</v>
      </c>
      <c r="K1033" t="b">
        <f>+ISNUMBER(SEARCH('F-COMPRA'!$F$30,Tabla11[[#This Row],[Cuenta]],1))</f>
        <v>1</v>
      </c>
      <c r="L1033" t="b">
        <f>+ISNUMBER(SEARCH('F-COMPRA'!$F$31,Tabla11[[#This Row],[Cuenta]],1))</f>
        <v>1</v>
      </c>
      <c r="M1033" t="b">
        <f>+ISNUMBER(SEARCH('F-COMPRA'!$G$25,Tabla11[[#This Row],[Cuenta]],1))</f>
        <v>0</v>
      </c>
      <c r="N1033" t="b">
        <f>+ISNUMBER(SEARCH(#REF!,Tabla11[[#This Row],[Cuenta]],1))</f>
        <v>0</v>
      </c>
      <c r="O1033" t="b">
        <f>+ISNUMBER(SEARCH(#REF!,Tabla11[[#This Row],[Cuenta]],1))</f>
        <v>0</v>
      </c>
      <c r="P1033" t="b">
        <f>+ISNUMBER(SEARCH('F-COMPRA'!$F$32,Tabla11[[#This Row],[Cuenta]],1))</f>
        <v>1</v>
      </c>
      <c r="Q1033" t="b">
        <f>+ISNUMBER(SEARCH('F-COMPRA'!$F$33,Tabla11[[#This Row],[Cuenta]],1))</f>
        <v>1</v>
      </c>
      <c r="R1033" t="b">
        <f>+ISNUMBER(SEARCH('F-COMPRA'!$F$34,Tabla11[[#This Row],[Cuenta]],1))</f>
        <v>1</v>
      </c>
      <c r="S1033" t="b">
        <f>+ISNUMBER(SEARCH('F-COMPRA'!$F$35,Tabla11[[#This Row],[Cuenta]],1))</f>
        <v>1</v>
      </c>
      <c r="T1033" t="b">
        <f>+ISNUMBER(SEARCH('F-COMPRA'!$F$36,Tabla11[[#This Row],[Cuenta]],1))</f>
        <v>1</v>
      </c>
      <c r="U1033" t="b">
        <f>+ISNUMBER(SEARCH('F-COMPRA'!$F$37,Tabla11[[#This Row],[Cuenta]],1))</f>
        <v>1</v>
      </c>
      <c r="V1033" t="b">
        <f>+ISNUMBER(SEARCH(#REF!,Tabla11[[#This Row],[Cuenta]],1))</f>
        <v>0</v>
      </c>
      <c r="W1033" t="b">
        <f>+ISNUMBER(SEARCH('F-COMPRA'!#REF!,Tabla11[[#This Row],[Cuenta]],1))</f>
        <v>0</v>
      </c>
      <c r="X1033" t="b">
        <f>+ISNUMBER(SEARCH('F-COMPRA'!#REF!,Tabla11[[#This Row],[Cuenta]],1))</f>
        <v>0</v>
      </c>
      <c r="Y1033" t="b">
        <f>+ISNUMBER(SEARCH('F-COMPRA'!#REF!,Tabla11[[#This Row],[Cuenta]],1))</f>
        <v>0</v>
      </c>
      <c r="Z1033" t="b">
        <f>+ISNUMBER(SEARCH('F-COMPRA'!#REF!,Tabla11[[#This Row],[Cuenta]],1))</f>
        <v>0</v>
      </c>
      <c r="AA1033" t="b">
        <f>+ISNUMBER(SEARCH('F-COMPRA'!#REF!,Tabla11[[#This Row],[Cuenta]],1))</f>
        <v>0</v>
      </c>
      <c r="AB1033" t="b">
        <f>+ISNUMBER(SEARCH('F-COMPRA'!#REF!,Tabla11[[#This Row],[Cuenta]],1))</f>
        <v>0</v>
      </c>
      <c r="AC1033" t="b">
        <f>+ISNUMBER(SEARCH('F-COMPRA'!#REF!,Tabla11[[#This Row],[Cuenta]],1))</f>
        <v>0</v>
      </c>
      <c r="AD1033" t="b">
        <f>+ISNUMBER(SEARCH('F-COMPRA'!#REF!,Tabla11[[#This Row],[Cuenta]],1))</f>
        <v>0</v>
      </c>
      <c r="AE1033" t="b">
        <f>+ISNUMBER(SEARCH('F-COMPRA'!#REF!,Tabla11[[#This Row],[Cuenta]],1))</f>
        <v>0</v>
      </c>
      <c r="AF1033" t="b">
        <f>+ISNUMBER(SEARCH('F-VTA'!$G$23,Tabla11[[#This Row],[Cuenta]],1))</f>
        <v>0</v>
      </c>
      <c r="AG1033" t="b">
        <f>+ISNUMBER(SEARCH('F-VTA'!$G$24,Tabla11[[#This Row],[Cuenta]],1))</f>
        <v>0</v>
      </c>
      <c r="AH1033" t="b">
        <f>+ISNUMBER(SEARCH('F-VTA'!$G$25,Tabla11[[#This Row],[Cuenta]],1))</f>
        <v>0</v>
      </c>
      <c r="AI1033" t="b">
        <f>+ISNUMBER(SEARCH('F-VTA'!$F$28,Tabla11[[#This Row],[Cuenta]],1))</f>
        <v>1</v>
      </c>
      <c r="AJ1033" t="b">
        <f>+ISNUMBER(SEARCH('F-VTA'!$F$29,Tabla11[[#This Row],[Cuenta]],1))</f>
        <v>1</v>
      </c>
      <c r="AK1033" t="b">
        <f>+ISNUMBER(SEARCH('F-VTA'!$F$30,Tabla11[[#This Row],[Cuenta]],1))</f>
        <v>1</v>
      </c>
      <c r="AL1033" t="b">
        <f>+ISNUMBER(SEARCH('F-VTA'!$F$31,Tabla11[[#This Row],[Cuenta]],1))</f>
        <v>1</v>
      </c>
      <c r="AM1033" t="b">
        <f>+ISNUMBER(SEARCH('F-VTA'!$F$32,Tabla11[[#This Row],[Cuenta]],1))</f>
        <v>1</v>
      </c>
      <c r="AN1033" t="b">
        <f>+ISNUMBER(SEARCH('F-VTA'!$F$33,Tabla11[[#This Row],[Cuenta]],1))</f>
        <v>1</v>
      </c>
      <c r="AO1033" t="b">
        <f>+ISNUMBER(SEARCH('F-VTA'!$F$34,Tabla11[[#This Row],[Cuenta]],1))</f>
        <v>1</v>
      </c>
      <c r="AP1033" t="b">
        <f>+ISNUMBER(SEARCH('F-VTA'!$F$35,Tabla11[[#This Row],[Cuenta]],1))</f>
        <v>1</v>
      </c>
      <c r="AQ1033" t="b">
        <f>+ISNUMBER(SEARCH('F-VTA'!$F$36,Tabla11[[#This Row],[Cuenta]],1))</f>
        <v>1</v>
      </c>
      <c r="AR1033" t="b">
        <f>+ISNUMBER(SEARCH(#REF!,Tabla11[[#This Row],[Cuenta]],1))</f>
        <v>0</v>
      </c>
      <c r="AS1033" t="b">
        <f>+ISNUMBER(SEARCH(#REF!,Tabla11[[#This Row],[Cuenta]],1))</f>
        <v>0</v>
      </c>
      <c r="AT1033" t="b">
        <f>+ISNUMBER(SEARCH(#REF!,Tabla11[[#This Row],[Cuenta]],1))</f>
        <v>0</v>
      </c>
      <c r="AU1033" t="b">
        <f>+ISNUMBER(SEARCH('Conc. Ban.1'!$I$9,Tabla11[[#This Row],[Cuenta]],1))</f>
        <v>0</v>
      </c>
      <c r="AV1033" t="b">
        <f>+ISNUMBER(SEARCH(CompConta!$F$21,Tabla11[[#This Row],[Cuenta]],1))</f>
        <v>1</v>
      </c>
      <c r="AW1033" t="b">
        <f>+ISNUMBER(SEARCH(CompConta!$F$22,Tabla11[[#This Row],[Cuenta]],1))</f>
        <v>1</v>
      </c>
      <c r="AX1033" t="b">
        <f>+ISNUMBER(SEARCH(CompConta!$F$23,Tabla11[[#This Row],[Cuenta]],1))</f>
        <v>1</v>
      </c>
      <c r="AY1033" t="b">
        <f>+ISNUMBER(SEARCH(CompConta!$F$24,Tabla11[[#This Row],[Cuenta]],1))</f>
        <v>1</v>
      </c>
      <c r="AZ1033" t="b">
        <f>+ISNUMBER(SEARCH(CompConta!$F$25,Tabla11[[#This Row],[Cuenta]],1))</f>
        <v>1</v>
      </c>
      <c r="BA1033" t="b">
        <f>+ISNUMBER(SEARCH(CompConta!$F$26,Tabla11[[#This Row],[Cuenta]],1))</f>
        <v>1</v>
      </c>
      <c r="BB1033" t="b">
        <f>+ISNUMBER(SEARCH(CompConta!$F$27,Tabla11[[#This Row],[Cuenta]],1))</f>
        <v>1</v>
      </c>
      <c r="BC1033" t="b">
        <f>+ISNUMBER(SEARCH(CompConta!$F$28,Tabla11[[#This Row],[Cuenta]],1))</f>
        <v>1</v>
      </c>
      <c r="BD1033" t="b">
        <f>+ISNUMBER(SEARCH(CompConta!$F$29,Tabla11[[#This Row],[Cuenta]],1))</f>
        <v>1</v>
      </c>
      <c r="BE1033" t="b">
        <f>+ISNUMBER(SEARCH(CompConta!$F$30,Tabla11[[#This Row],[Cuenta]],1))</f>
        <v>1</v>
      </c>
      <c r="BF1033" t="b">
        <f>+ISNUMBER(SEARCH('PAGO Compras'!$E$11,Tabla11[[#This Row],[Cuenta]],1))</f>
        <v>1</v>
      </c>
      <c r="BG1033" t="b">
        <f>+ISNUMBER(SEARCH(#REF!,Tabla11[[#This Row],[Cuenta]],1))</f>
        <v>0</v>
      </c>
      <c r="BH1033" t="b">
        <f>+ISNUMBER(SEARCH(#REF!,Tabla11[[#This Row],[Cuenta]],1))</f>
        <v>0</v>
      </c>
      <c r="BI1033" t="b">
        <f>+ISNUMBER(SEARCH(#REF!,Tabla11[[#This Row],[Cuenta]],1))</f>
        <v>0</v>
      </c>
      <c r="BJ1033" t="b">
        <f>+ISNUMBER(SEARCH(#REF!,Tabla11[[#This Row],[Cuenta]],1))</f>
        <v>0</v>
      </c>
      <c r="BS1033" t="str">
        <v>524095 Otros</v>
      </c>
      <c r="BT1033" t="str">
        <v>524095 Otros</v>
      </c>
      <c r="BU1033" t="str">
        <v>524095 Otros</v>
      </c>
      <c r="BV1033" t="str">
        <v>524095 Otros</v>
      </c>
      <c r="BZ1033" t="str">
        <v>524095 Otros</v>
      </c>
      <c r="CA1033" t="str">
        <v>524095 Otros</v>
      </c>
      <c r="CB1033" t="str">
        <v>524095 Otros</v>
      </c>
      <c r="CC1033" t="str">
        <v>524095 Otros</v>
      </c>
      <c r="CD1033" t="str">
        <v>524095 Otros</v>
      </c>
      <c r="CE1033" t="str">
        <v>524095 Otros</v>
      </c>
      <c r="CS1033" s="141" t="str">
        <v>524095 Otros</v>
      </c>
      <c r="CT1033" s="141" t="str">
        <v>524095 Otros</v>
      </c>
      <c r="CU1033" s="141" t="str">
        <v>524095 Otros</v>
      </c>
      <c r="CV1033" s="141" t="str">
        <v>524095 Otros</v>
      </c>
      <c r="CW1033" s="141" t="str">
        <v>524095 Otros</v>
      </c>
      <c r="CX1033" s="141" t="str">
        <v>524095 Otros</v>
      </c>
      <c r="CY1033" s="141" t="str">
        <v>524095 Otros</v>
      </c>
      <c r="CZ1033" s="141" t="str">
        <v>524095 Otros</v>
      </c>
      <c r="DA1033" s="141" t="str">
        <v>524095 Otros</v>
      </c>
      <c r="DF1033" t="str">
        <v>524095 Otros</v>
      </c>
      <c r="DG1033" t="str">
        <v>524095 Otros</v>
      </c>
      <c r="DH1033" t="str">
        <v>524095 Otros</v>
      </c>
      <c r="DI1033" t="str">
        <v>524095 Otros</v>
      </c>
      <c r="DJ1033" t="str">
        <v>524095 Otros</v>
      </c>
      <c r="DK1033" t="str">
        <v>524095 Otros</v>
      </c>
      <c r="DL1033" t="str">
        <v>524095 Otros</v>
      </c>
      <c r="DM1033" t="str">
        <v>524095 Otros</v>
      </c>
      <c r="DN1033" t="str">
        <v>524095 Otros</v>
      </c>
      <c r="DO1033" t="str">
        <v>524095 Otros</v>
      </c>
      <c r="DP1033" t="str">
        <v>524095 Otros</v>
      </c>
    </row>
    <row r="1034" spans="4:120" ht="12.75">
      <c r="D1034" s="7">
        <v>524099</v>
      </c>
      <c r="E1034" s="6" t="s">
        <v>93</v>
      </c>
      <c r="F1034" s="5">
        <v>4</v>
      </c>
      <c r="G1034" s="34" t="s">
        <v>830</v>
      </c>
      <c r="H1034" s="8" t="s">
        <v>32</v>
      </c>
      <c r="I1034" t="b">
        <f>+ISNUMBER(SEARCH('F-COMPRA'!$F$28,Tabla11[[#This Row],[Cuenta]],1))</f>
        <v>1</v>
      </c>
      <c r="J1034" t="b">
        <f>+ISNUMBER(SEARCH('F-COMPRA'!$F$29,Tabla11[[#This Row],[Cuenta]],1))</f>
        <v>1</v>
      </c>
      <c r="K1034" t="b">
        <f>+ISNUMBER(SEARCH('F-COMPRA'!$F$30,Tabla11[[#This Row],[Cuenta]],1))</f>
        <v>1</v>
      </c>
      <c r="L1034" t="b">
        <f>+ISNUMBER(SEARCH('F-COMPRA'!$F$31,Tabla11[[#This Row],[Cuenta]],1))</f>
        <v>1</v>
      </c>
      <c r="M1034" t="b">
        <f>+ISNUMBER(SEARCH('F-COMPRA'!$G$25,Tabla11[[#This Row],[Cuenta]],1))</f>
        <v>0</v>
      </c>
      <c r="N1034" t="b">
        <f>+ISNUMBER(SEARCH(#REF!,Tabla11[[#This Row],[Cuenta]],1))</f>
        <v>0</v>
      </c>
      <c r="O1034" t="b">
        <f>+ISNUMBER(SEARCH(#REF!,Tabla11[[#This Row],[Cuenta]],1))</f>
        <v>0</v>
      </c>
      <c r="P1034" t="b">
        <f>+ISNUMBER(SEARCH('F-COMPRA'!$F$32,Tabla11[[#This Row],[Cuenta]],1))</f>
        <v>1</v>
      </c>
      <c r="Q1034" t="b">
        <f>+ISNUMBER(SEARCH('F-COMPRA'!$F$33,Tabla11[[#This Row],[Cuenta]],1))</f>
        <v>1</v>
      </c>
      <c r="R1034" t="b">
        <f>+ISNUMBER(SEARCH('F-COMPRA'!$F$34,Tabla11[[#This Row],[Cuenta]],1))</f>
        <v>1</v>
      </c>
      <c r="S1034" t="b">
        <f>+ISNUMBER(SEARCH('F-COMPRA'!$F$35,Tabla11[[#This Row],[Cuenta]],1))</f>
        <v>1</v>
      </c>
      <c r="T1034" t="b">
        <f>+ISNUMBER(SEARCH('F-COMPRA'!$F$36,Tabla11[[#This Row],[Cuenta]],1))</f>
        <v>1</v>
      </c>
      <c r="U1034" t="b">
        <f>+ISNUMBER(SEARCH('F-COMPRA'!$F$37,Tabla11[[#This Row],[Cuenta]],1))</f>
        <v>1</v>
      </c>
      <c r="V1034" t="b">
        <f>+ISNUMBER(SEARCH(#REF!,Tabla11[[#This Row],[Cuenta]],1))</f>
        <v>0</v>
      </c>
      <c r="W1034" t="b">
        <f>+ISNUMBER(SEARCH('F-COMPRA'!#REF!,Tabla11[[#This Row],[Cuenta]],1))</f>
        <v>0</v>
      </c>
      <c r="X1034" t="b">
        <f>+ISNUMBER(SEARCH('F-COMPRA'!#REF!,Tabla11[[#This Row],[Cuenta]],1))</f>
        <v>0</v>
      </c>
      <c r="Y1034" t="b">
        <f>+ISNUMBER(SEARCH('F-COMPRA'!#REF!,Tabla11[[#This Row],[Cuenta]],1))</f>
        <v>0</v>
      </c>
      <c r="Z1034" t="b">
        <f>+ISNUMBER(SEARCH('F-COMPRA'!#REF!,Tabla11[[#This Row],[Cuenta]],1))</f>
        <v>0</v>
      </c>
      <c r="AA1034" t="b">
        <f>+ISNUMBER(SEARCH('F-COMPRA'!#REF!,Tabla11[[#This Row],[Cuenta]],1))</f>
        <v>0</v>
      </c>
      <c r="AB1034" t="b">
        <f>+ISNUMBER(SEARCH('F-COMPRA'!#REF!,Tabla11[[#This Row],[Cuenta]],1))</f>
        <v>0</v>
      </c>
      <c r="AC1034" t="b">
        <f>+ISNUMBER(SEARCH('F-COMPRA'!#REF!,Tabla11[[#This Row],[Cuenta]],1))</f>
        <v>0</v>
      </c>
      <c r="AD1034" t="b">
        <f>+ISNUMBER(SEARCH('F-COMPRA'!#REF!,Tabla11[[#This Row],[Cuenta]],1))</f>
        <v>0</v>
      </c>
      <c r="AE1034" t="b">
        <f>+ISNUMBER(SEARCH('F-COMPRA'!#REF!,Tabla11[[#This Row],[Cuenta]],1))</f>
        <v>0</v>
      </c>
      <c r="AF1034" t="b">
        <f>+ISNUMBER(SEARCH('F-VTA'!$G$23,Tabla11[[#This Row],[Cuenta]],1))</f>
        <v>0</v>
      </c>
      <c r="AG1034" t="b">
        <f>+ISNUMBER(SEARCH('F-VTA'!$G$24,Tabla11[[#This Row],[Cuenta]],1))</f>
        <v>0</v>
      </c>
      <c r="AH1034" t="b">
        <f>+ISNUMBER(SEARCH('F-VTA'!$G$25,Tabla11[[#This Row],[Cuenta]],1))</f>
        <v>0</v>
      </c>
      <c r="AI1034" t="b">
        <f>+ISNUMBER(SEARCH('F-VTA'!$F$28,Tabla11[[#This Row],[Cuenta]],1))</f>
        <v>1</v>
      </c>
      <c r="AJ1034" t="b">
        <f>+ISNUMBER(SEARCH('F-VTA'!$F$29,Tabla11[[#This Row],[Cuenta]],1))</f>
        <v>1</v>
      </c>
      <c r="AK1034" t="b">
        <f>+ISNUMBER(SEARCH('F-VTA'!$F$30,Tabla11[[#This Row],[Cuenta]],1))</f>
        <v>1</v>
      </c>
      <c r="AL1034" t="b">
        <f>+ISNUMBER(SEARCH('F-VTA'!$F$31,Tabla11[[#This Row],[Cuenta]],1))</f>
        <v>1</v>
      </c>
      <c r="AM1034" t="b">
        <f>+ISNUMBER(SEARCH('F-VTA'!$F$32,Tabla11[[#This Row],[Cuenta]],1))</f>
        <v>1</v>
      </c>
      <c r="AN1034" t="b">
        <f>+ISNUMBER(SEARCH('F-VTA'!$F$33,Tabla11[[#This Row],[Cuenta]],1))</f>
        <v>1</v>
      </c>
      <c r="AO1034" t="b">
        <f>+ISNUMBER(SEARCH('F-VTA'!$F$34,Tabla11[[#This Row],[Cuenta]],1))</f>
        <v>1</v>
      </c>
      <c r="AP1034" t="b">
        <f>+ISNUMBER(SEARCH('F-VTA'!$F$35,Tabla11[[#This Row],[Cuenta]],1))</f>
        <v>1</v>
      </c>
      <c r="AQ1034" t="b">
        <f>+ISNUMBER(SEARCH('F-VTA'!$F$36,Tabla11[[#This Row],[Cuenta]],1))</f>
        <v>1</v>
      </c>
      <c r="AR1034" t="b">
        <f>+ISNUMBER(SEARCH(#REF!,Tabla11[[#This Row],[Cuenta]],1))</f>
        <v>0</v>
      </c>
      <c r="AS1034" t="b">
        <f>+ISNUMBER(SEARCH(#REF!,Tabla11[[#This Row],[Cuenta]],1))</f>
        <v>0</v>
      </c>
      <c r="AT1034" t="b">
        <f>+ISNUMBER(SEARCH(#REF!,Tabla11[[#This Row],[Cuenta]],1))</f>
        <v>0</v>
      </c>
      <c r="AU1034" t="b">
        <f>+ISNUMBER(SEARCH('Conc. Ban.1'!$I$9,Tabla11[[#This Row],[Cuenta]],1))</f>
        <v>0</v>
      </c>
      <c r="AV1034" t="b">
        <f>+ISNUMBER(SEARCH(CompConta!$F$21,Tabla11[[#This Row],[Cuenta]],1))</f>
        <v>1</v>
      </c>
      <c r="AW1034" t="b">
        <f>+ISNUMBER(SEARCH(CompConta!$F$22,Tabla11[[#This Row],[Cuenta]],1))</f>
        <v>1</v>
      </c>
      <c r="AX1034" t="b">
        <f>+ISNUMBER(SEARCH(CompConta!$F$23,Tabla11[[#This Row],[Cuenta]],1))</f>
        <v>1</v>
      </c>
      <c r="AY1034" t="b">
        <f>+ISNUMBER(SEARCH(CompConta!$F$24,Tabla11[[#This Row],[Cuenta]],1))</f>
        <v>1</v>
      </c>
      <c r="AZ1034" t="b">
        <f>+ISNUMBER(SEARCH(CompConta!$F$25,Tabla11[[#This Row],[Cuenta]],1))</f>
        <v>1</v>
      </c>
      <c r="BA1034" t="b">
        <f>+ISNUMBER(SEARCH(CompConta!$F$26,Tabla11[[#This Row],[Cuenta]],1))</f>
        <v>1</v>
      </c>
      <c r="BB1034" t="b">
        <f>+ISNUMBER(SEARCH(CompConta!$F$27,Tabla11[[#This Row],[Cuenta]],1))</f>
        <v>1</v>
      </c>
      <c r="BC1034" t="b">
        <f>+ISNUMBER(SEARCH(CompConta!$F$28,Tabla11[[#This Row],[Cuenta]],1))</f>
        <v>1</v>
      </c>
      <c r="BD1034" t="b">
        <f>+ISNUMBER(SEARCH(CompConta!$F$29,Tabla11[[#This Row],[Cuenta]],1))</f>
        <v>1</v>
      </c>
      <c r="BE1034" t="b">
        <f>+ISNUMBER(SEARCH(CompConta!$F$30,Tabla11[[#This Row],[Cuenta]],1))</f>
        <v>1</v>
      </c>
      <c r="BF1034" t="b">
        <f>+ISNUMBER(SEARCH('PAGO Compras'!$E$11,Tabla11[[#This Row],[Cuenta]],1))</f>
        <v>1</v>
      </c>
      <c r="BG1034" t="b">
        <f>+ISNUMBER(SEARCH(#REF!,Tabla11[[#This Row],[Cuenta]],1))</f>
        <v>0</v>
      </c>
      <c r="BH1034" t="b">
        <f>+ISNUMBER(SEARCH(#REF!,Tabla11[[#This Row],[Cuenta]],1))</f>
        <v>0</v>
      </c>
      <c r="BI1034" t="b">
        <f>+ISNUMBER(SEARCH(#REF!,Tabla11[[#This Row],[Cuenta]],1))</f>
        <v>0</v>
      </c>
      <c r="BJ1034" t="b">
        <f>+ISNUMBER(SEARCH(#REF!,Tabla11[[#This Row],[Cuenta]],1))</f>
        <v>0</v>
      </c>
      <c r="BS1034" t="str">
        <v>524099 *Ajustes por inflación</v>
      </c>
      <c r="BT1034" t="str">
        <v>524099 *Ajustes por inflación</v>
      </c>
      <c r="BU1034" t="str">
        <v>524099 *Ajustes por inflación</v>
      </c>
      <c r="BV1034" t="str">
        <v>524099 *Ajustes por inflación</v>
      </c>
      <c r="BZ1034" t="str">
        <v>524099 *Ajustes por inflación</v>
      </c>
      <c r="CA1034" t="str">
        <v>524099 *Ajustes por inflación</v>
      </c>
      <c r="CB1034" t="str">
        <v>524099 *Ajustes por inflación</v>
      </c>
      <c r="CC1034" t="str">
        <v>524099 *Ajustes por inflación</v>
      </c>
      <c r="CD1034" t="str">
        <v>524099 *Ajustes por inflación</v>
      </c>
      <c r="CE1034" t="str">
        <v>524099 *Ajustes por inflación</v>
      </c>
      <c r="CS1034" s="141" t="str">
        <v>524099 *Ajustes por inflación</v>
      </c>
      <c r="CT1034" s="141" t="str">
        <v>524099 *Ajustes por inflación</v>
      </c>
      <c r="CU1034" s="141" t="str">
        <v>524099 *Ajustes por inflación</v>
      </c>
      <c r="CV1034" s="141" t="str">
        <v>524099 *Ajustes por inflación</v>
      </c>
      <c r="CW1034" s="141" t="str">
        <v>524099 *Ajustes por inflación</v>
      </c>
      <c r="CX1034" s="141" t="str">
        <v>524099 *Ajustes por inflación</v>
      </c>
      <c r="CY1034" s="141" t="str">
        <v>524099 *Ajustes por inflación</v>
      </c>
      <c r="CZ1034" s="141" t="str">
        <v>524099 *Ajustes por inflación</v>
      </c>
      <c r="DA1034" s="141" t="str">
        <v>524099 *Ajustes por inflación</v>
      </c>
      <c r="DF1034" t="str">
        <v>524099 *Ajustes por inflación</v>
      </c>
      <c r="DG1034" t="str">
        <v>524099 *Ajustes por inflación</v>
      </c>
      <c r="DH1034" t="str">
        <v>524099 *Ajustes por inflación</v>
      </c>
      <c r="DI1034" t="str">
        <v>524099 *Ajustes por inflación</v>
      </c>
      <c r="DJ1034" t="str">
        <v>524099 *Ajustes por inflación</v>
      </c>
      <c r="DK1034" t="str">
        <v>524099 *Ajustes por inflación</v>
      </c>
      <c r="DL1034" t="str">
        <v>524099 *Ajustes por inflación</v>
      </c>
      <c r="DM1034" t="str">
        <v>524099 *Ajustes por inflación</v>
      </c>
      <c r="DN1034" t="str">
        <v>524099 *Ajustes por inflación</v>
      </c>
      <c r="DO1034" t="str">
        <v>524099 *Ajustes por inflación</v>
      </c>
      <c r="DP1034" t="str">
        <v>524099 *Ajustes por inflación</v>
      </c>
    </row>
    <row r="1035" spans="4:120" ht="12.75">
      <c r="D1035" s="7">
        <v>5245</v>
      </c>
      <c r="E1035" s="6" t="s">
        <v>599</v>
      </c>
      <c r="F1035" s="5">
        <v>3</v>
      </c>
      <c r="G1035" s="34" t="s">
        <v>830</v>
      </c>
      <c r="H1035" s="8" t="s">
        <v>32</v>
      </c>
      <c r="I1035" t="b">
        <f>+ISNUMBER(SEARCH('F-COMPRA'!$F$28,Tabla11[[#This Row],[Cuenta]],1))</f>
        <v>1</v>
      </c>
      <c r="J1035" t="b">
        <f>+ISNUMBER(SEARCH('F-COMPRA'!$F$29,Tabla11[[#This Row],[Cuenta]],1))</f>
        <v>1</v>
      </c>
      <c r="K1035" t="b">
        <f>+ISNUMBER(SEARCH('F-COMPRA'!$F$30,Tabla11[[#This Row],[Cuenta]],1))</f>
        <v>1</v>
      </c>
      <c r="L1035" t="b">
        <f>+ISNUMBER(SEARCH('F-COMPRA'!$F$31,Tabla11[[#This Row],[Cuenta]],1))</f>
        <v>1</v>
      </c>
      <c r="M1035" t="b">
        <f>+ISNUMBER(SEARCH('F-COMPRA'!$G$25,Tabla11[[#This Row],[Cuenta]],1))</f>
        <v>0</v>
      </c>
      <c r="N1035" t="b">
        <f>+ISNUMBER(SEARCH(#REF!,Tabla11[[#This Row],[Cuenta]],1))</f>
        <v>0</v>
      </c>
      <c r="O1035" t="b">
        <f>+ISNUMBER(SEARCH(#REF!,Tabla11[[#This Row],[Cuenta]],1))</f>
        <v>0</v>
      </c>
      <c r="P1035" t="b">
        <f>+ISNUMBER(SEARCH('F-COMPRA'!$F$32,Tabla11[[#This Row],[Cuenta]],1))</f>
        <v>1</v>
      </c>
      <c r="Q1035" t="b">
        <f>+ISNUMBER(SEARCH('F-COMPRA'!$F$33,Tabla11[[#This Row],[Cuenta]],1))</f>
        <v>1</v>
      </c>
      <c r="R1035" t="b">
        <f>+ISNUMBER(SEARCH('F-COMPRA'!$F$34,Tabla11[[#This Row],[Cuenta]],1))</f>
        <v>1</v>
      </c>
      <c r="S1035" t="b">
        <f>+ISNUMBER(SEARCH('F-COMPRA'!$F$35,Tabla11[[#This Row],[Cuenta]],1))</f>
        <v>1</v>
      </c>
      <c r="T1035" t="b">
        <f>+ISNUMBER(SEARCH('F-COMPRA'!$F$36,Tabla11[[#This Row],[Cuenta]],1))</f>
        <v>1</v>
      </c>
      <c r="U1035" t="b">
        <f>+ISNUMBER(SEARCH('F-COMPRA'!$F$37,Tabla11[[#This Row],[Cuenta]],1))</f>
        <v>1</v>
      </c>
      <c r="V1035" t="b">
        <f>+ISNUMBER(SEARCH(#REF!,Tabla11[[#This Row],[Cuenta]],1))</f>
        <v>0</v>
      </c>
      <c r="W1035" t="b">
        <f>+ISNUMBER(SEARCH('F-COMPRA'!#REF!,Tabla11[[#This Row],[Cuenta]],1))</f>
        <v>0</v>
      </c>
      <c r="X1035" t="b">
        <f>+ISNUMBER(SEARCH('F-COMPRA'!#REF!,Tabla11[[#This Row],[Cuenta]],1))</f>
        <v>0</v>
      </c>
      <c r="Y1035" t="b">
        <f>+ISNUMBER(SEARCH('F-COMPRA'!#REF!,Tabla11[[#This Row],[Cuenta]],1))</f>
        <v>0</v>
      </c>
      <c r="Z1035" t="b">
        <f>+ISNUMBER(SEARCH('F-COMPRA'!#REF!,Tabla11[[#This Row],[Cuenta]],1))</f>
        <v>0</v>
      </c>
      <c r="AA1035" t="b">
        <f>+ISNUMBER(SEARCH('F-COMPRA'!#REF!,Tabla11[[#This Row],[Cuenta]],1))</f>
        <v>0</v>
      </c>
      <c r="AB1035" t="b">
        <f>+ISNUMBER(SEARCH('F-COMPRA'!#REF!,Tabla11[[#This Row],[Cuenta]],1))</f>
        <v>0</v>
      </c>
      <c r="AC1035" t="b">
        <f>+ISNUMBER(SEARCH('F-COMPRA'!#REF!,Tabla11[[#This Row],[Cuenta]],1))</f>
        <v>0</v>
      </c>
      <c r="AD1035" t="b">
        <f>+ISNUMBER(SEARCH('F-COMPRA'!#REF!,Tabla11[[#This Row],[Cuenta]],1))</f>
        <v>0</v>
      </c>
      <c r="AE1035" t="b">
        <f>+ISNUMBER(SEARCH('F-COMPRA'!#REF!,Tabla11[[#This Row],[Cuenta]],1))</f>
        <v>0</v>
      </c>
      <c r="AF1035" t="b">
        <f>+ISNUMBER(SEARCH('F-VTA'!$G$23,Tabla11[[#This Row],[Cuenta]],1))</f>
        <v>0</v>
      </c>
      <c r="AG1035" t="b">
        <f>+ISNUMBER(SEARCH('F-VTA'!$G$24,Tabla11[[#This Row],[Cuenta]],1))</f>
        <v>0</v>
      </c>
      <c r="AH1035" t="b">
        <f>+ISNUMBER(SEARCH('F-VTA'!$G$25,Tabla11[[#This Row],[Cuenta]],1))</f>
        <v>0</v>
      </c>
      <c r="AI1035" t="b">
        <f>+ISNUMBER(SEARCH('F-VTA'!$F$28,Tabla11[[#This Row],[Cuenta]],1))</f>
        <v>1</v>
      </c>
      <c r="AJ1035" t="b">
        <f>+ISNUMBER(SEARCH('F-VTA'!$F$29,Tabla11[[#This Row],[Cuenta]],1))</f>
        <v>1</v>
      </c>
      <c r="AK1035" t="b">
        <f>+ISNUMBER(SEARCH('F-VTA'!$F$30,Tabla11[[#This Row],[Cuenta]],1))</f>
        <v>1</v>
      </c>
      <c r="AL1035" t="b">
        <f>+ISNUMBER(SEARCH('F-VTA'!$F$31,Tabla11[[#This Row],[Cuenta]],1))</f>
        <v>1</v>
      </c>
      <c r="AM1035" t="b">
        <f>+ISNUMBER(SEARCH('F-VTA'!$F$32,Tabla11[[#This Row],[Cuenta]],1))</f>
        <v>1</v>
      </c>
      <c r="AN1035" t="b">
        <f>+ISNUMBER(SEARCH('F-VTA'!$F$33,Tabla11[[#This Row],[Cuenta]],1))</f>
        <v>1</v>
      </c>
      <c r="AO1035" t="b">
        <f>+ISNUMBER(SEARCH('F-VTA'!$F$34,Tabla11[[#This Row],[Cuenta]],1))</f>
        <v>1</v>
      </c>
      <c r="AP1035" t="b">
        <f>+ISNUMBER(SEARCH('F-VTA'!$F$35,Tabla11[[#This Row],[Cuenta]],1))</f>
        <v>1</v>
      </c>
      <c r="AQ1035" t="b">
        <f>+ISNUMBER(SEARCH('F-VTA'!$F$36,Tabla11[[#This Row],[Cuenta]],1))</f>
        <v>1</v>
      </c>
      <c r="AR1035" t="b">
        <f>+ISNUMBER(SEARCH(#REF!,Tabla11[[#This Row],[Cuenta]],1))</f>
        <v>0</v>
      </c>
      <c r="AS1035" t="b">
        <f>+ISNUMBER(SEARCH(#REF!,Tabla11[[#This Row],[Cuenta]],1))</f>
        <v>0</v>
      </c>
      <c r="AT1035" t="b">
        <f>+ISNUMBER(SEARCH(#REF!,Tabla11[[#This Row],[Cuenta]],1))</f>
        <v>0</v>
      </c>
      <c r="AU1035" t="b">
        <f>+ISNUMBER(SEARCH('Conc. Ban.1'!$I$9,Tabla11[[#This Row],[Cuenta]],1))</f>
        <v>0</v>
      </c>
      <c r="AV1035" t="b">
        <f>+ISNUMBER(SEARCH(CompConta!$F$21,Tabla11[[#This Row],[Cuenta]],1))</f>
        <v>1</v>
      </c>
      <c r="AW1035" t="b">
        <f>+ISNUMBER(SEARCH(CompConta!$F$22,Tabla11[[#This Row],[Cuenta]],1))</f>
        <v>1</v>
      </c>
      <c r="AX1035" t="b">
        <f>+ISNUMBER(SEARCH(CompConta!$F$23,Tabla11[[#This Row],[Cuenta]],1))</f>
        <v>1</v>
      </c>
      <c r="AY1035" t="b">
        <f>+ISNUMBER(SEARCH(CompConta!$F$24,Tabla11[[#This Row],[Cuenta]],1))</f>
        <v>1</v>
      </c>
      <c r="AZ1035" t="b">
        <f>+ISNUMBER(SEARCH(CompConta!$F$25,Tabla11[[#This Row],[Cuenta]],1))</f>
        <v>1</v>
      </c>
      <c r="BA1035" t="b">
        <f>+ISNUMBER(SEARCH(CompConta!$F$26,Tabla11[[#This Row],[Cuenta]],1))</f>
        <v>1</v>
      </c>
      <c r="BB1035" t="b">
        <f>+ISNUMBER(SEARCH(CompConta!$F$27,Tabla11[[#This Row],[Cuenta]],1))</f>
        <v>1</v>
      </c>
      <c r="BC1035" t="b">
        <f>+ISNUMBER(SEARCH(CompConta!$F$28,Tabla11[[#This Row],[Cuenta]],1))</f>
        <v>1</v>
      </c>
      <c r="BD1035" t="b">
        <f>+ISNUMBER(SEARCH(CompConta!$F$29,Tabla11[[#This Row],[Cuenta]],1))</f>
        <v>1</v>
      </c>
      <c r="BE1035" t="b">
        <f>+ISNUMBER(SEARCH(CompConta!$F$30,Tabla11[[#This Row],[Cuenta]],1))</f>
        <v>1</v>
      </c>
      <c r="BF1035" t="b">
        <f>+ISNUMBER(SEARCH('PAGO Compras'!$E$11,Tabla11[[#This Row],[Cuenta]],1))</f>
        <v>1</v>
      </c>
      <c r="BG1035" t="b">
        <f>+ISNUMBER(SEARCH(#REF!,Tabla11[[#This Row],[Cuenta]],1))</f>
        <v>0</v>
      </c>
      <c r="BH1035" t="b">
        <f>+ISNUMBER(SEARCH(#REF!,Tabla11[[#This Row],[Cuenta]],1))</f>
        <v>0</v>
      </c>
      <c r="BI1035" t="b">
        <f>+ISNUMBER(SEARCH(#REF!,Tabla11[[#This Row],[Cuenta]],1))</f>
        <v>0</v>
      </c>
      <c r="BJ1035" t="b">
        <f>+ISNUMBER(SEARCH(#REF!,Tabla11[[#This Row],[Cuenta]],1))</f>
        <v>0</v>
      </c>
      <c r="BS1035" t="str">
        <v>5245 MANTENIMIENTO Y REPARACIONES</v>
      </c>
      <c r="BT1035" t="str">
        <v>5245 MANTENIMIENTO Y REPARACIONES</v>
      </c>
      <c r="BU1035" t="str">
        <v>5245 MANTENIMIENTO Y REPARACIONES</v>
      </c>
      <c r="BV1035" t="str">
        <v>5245 MANTENIMIENTO Y REPARACIONES</v>
      </c>
      <c r="BZ1035" t="str">
        <v>5245 MANTENIMIENTO Y REPARACIONES</v>
      </c>
      <c r="CA1035" t="str">
        <v>5245 MANTENIMIENTO Y REPARACIONES</v>
      </c>
      <c r="CB1035" t="str">
        <v>5245 MANTENIMIENTO Y REPARACIONES</v>
      </c>
      <c r="CC1035" t="str">
        <v>5245 MANTENIMIENTO Y REPARACIONES</v>
      </c>
      <c r="CD1035" t="str">
        <v>5245 MANTENIMIENTO Y REPARACIONES</v>
      </c>
      <c r="CE1035" t="str">
        <v>5245 MANTENIMIENTO Y REPARACIONES</v>
      </c>
      <c r="CS1035" s="141" t="str">
        <v>5245 MANTENIMIENTO Y REPARACIONES</v>
      </c>
      <c r="CT1035" s="141" t="str">
        <v>5245 MANTENIMIENTO Y REPARACIONES</v>
      </c>
      <c r="CU1035" s="141" t="str">
        <v>5245 MANTENIMIENTO Y REPARACIONES</v>
      </c>
      <c r="CV1035" s="141" t="str">
        <v>5245 MANTENIMIENTO Y REPARACIONES</v>
      </c>
      <c r="CW1035" s="141" t="str">
        <v>5245 MANTENIMIENTO Y REPARACIONES</v>
      </c>
      <c r="CX1035" s="141" t="str">
        <v>5245 MANTENIMIENTO Y REPARACIONES</v>
      </c>
      <c r="CY1035" s="141" t="str">
        <v>5245 MANTENIMIENTO Y REPARACIONES</v>
      </c>
      <c r="CZ1035" s="141" t="str">
        <v>5245 MANTENIMIENTO Y REPARACIONES</v>
      </c>
      <c r="DA1035" s="141" t="str">
        <v>5245 MANTENIMIENTO Y REPARACIONES</v>
      </c>
      <c r="DF1035" t="str">
        <v>5245 MANTENIMIENTO Y REPARACIONES</v>
      </c>
      <c r="DG1035" t="str">
        <v>5245 MANTENIMIENTO Y REPARACIONES</v>
      </c>
      <c r="DH1035" t="str">
        <v>5245 MANTENIMIENTO Y REPARACIONES</v>
      </c>
      <c r="DI1035" t="str">
        <v>5245 MANTENIMIENTO Y REPARACIONES</v>
      </c>
      <c r="DJ1035" t="str">
        <v>5245 MANTENIMIENTO Y REPARACIONES</v>
      </c>
      <c r="DK1035" t="str">
        <v>5245 MANTENIMIENTO Y REPARACIONES</v>
      </c>
      <c r="DL1035" t="str">
        <v>5245 MANTENIMIENTO Y REPARACIONES</v>
      </c>
      <c r="DM1035" t="str">
        <v>5245 MANTENIMIENTO Y REPARACIONES</v>
      </c>
      <c r="DN1035" t="str">
        <v>5245 MANTENIMIENTO Y REPARACIONES</v>
      </c>
      <c r="DO1035" t="str">
        <v>5245 MANTENIMIENTO Y REPARACIONES</v>
      </c>
      <c r="DP1035" t="str">
        <v>5245 MANTENIMIENTO Y REPARACIONES</v>
      </c>
    </row>
    <row r="1036" spans="4:120" ht="12.75">
      <c r="D1036" s="7">
        <v>524505</v>
      </c>
      <c r="E1036" s="6" t="s">
        <v>223</v>
      </c>
      <c r="F1036" s="5">
        <v>4</v>
      </c>
      <c r="G1036" s="34" t="s">
        <v>830</v>
      </c>
      <c r="H1036" s="8" t="s">
        <v>32</v>
      </c>
      <c r="I1036" t="b">
        <f>+ISNUMBER(SEARCH('F-COMPRA'!$F$28,Tabla11[[#This Row],[Cuenta]],1))</f>
        <v>1</v>
      </c>
      <c r="J1036" t="b">
        <f>+ISNUMBER(SEARCH('F-COMPRA'!$F$29,Tabla11[[#This Row],[Cuenta]],1))</f>
        <v>1</v>
      </c>
      <c r="K1036" t="b">
        <f>+ISNUMBER(SEARCH('F-COMPRA'!$F$30,Tabla11[[#This Row],[Cuenta]],1))</f>
        <v>1</v>
      </c>
      <c r="L1036" t="b">
        <f>+ISNUMBER(SEARCH('F-COMPRA'!$F$31,Tabla11[[#This Row],[Cuenta]],1))</f>
        <v>1</v>
      </c>
      <c r="M1036" t="b">
        <f>+ISNUMBER(SEARCH('F-COMPRA'!$G$25,Tabla11[[#This Row],[Cuenta]],1))</f>
        <v>0</v>
      </c>
      <c r="N1036" t="b">
        <f>+ISNUMBER(SEARCH(#REF!,Tabla11[[#This Row],[Cuenta]],1))</f>
        <v>0</v>
      </c>
      <c r="O1036" t="b">
        <f>+ISNUMBER(SEARCH(#REF!,Tabla11[[#This Row],[Cuenta]],1))</f>
        <v>0</v>
      </c>
      <c r="P1036" t="b">
        <f>+ISNUMBER(SEARCH('F-COMPRA'!$F$32,Tabla11[[#This Row],[Cuenta]],1))</f>
        <v>1</v>
      </c>
      <c r="Q1036" t="b">
        <f>+ISNUMBER(SEARCH('F-COMPRA'!$F$33,Tabla11[[#This Row],[Cuenta]],1))</f>
        <v>1</v>
      </c>
      <c r="R1036" t="b">
        <f>+ISNUMBER(SEARCH('F-COMPRA'!$F$34,Tabla11[[#This Row],[Cuenta]],1))</f>
        <v>1</v>
      </c>
      <c r="S1036" t="b">
        <f>+ISNUMBER(SEARCH('F-COMPRA'!$F$35,Tabla11[[#This Row],[Cuenta]],1))</f>
        <v>1</v>
      </c>
      <c r="T1036" t="b">
        <f>+ISNUMBER(SEARCH('F-COMPRA'!$F$36,Tabla11[[#This Row],[Cuenta]],1))</f>
        <v>1</v>
      </c>
      <c r="U1036" t="b">
        <f>+ISNUMBER(SEARCH('F-COMPRA'!$F$37,Tabla11[[#This Row],[Cuenta]],1))</f>
        <v>1</v>
      </c>
      <c r="V1036" t="b">
        <f>+ISNUMBER(SEARCH(#REF!,Tabla11[[#This Row],[Cuenta]],1))</f>
        <v>0</v>
      </c>
      <c r="W1036" t="b">
        <f>+ISNUMBER(SEARCH('F-COMPRA'!#REF!,Tabla11[[#This Row],[Cuenta]],1))</f>
        <v>0</v>
      </c>
      <c r="X1036" t="b">
        <f>+ISNUMBER(SEARCH('F-COMPRA'!#REF!,Tabla11[[#This Row],[Cuenta]],1))</f>
        <v>0</v>
      </c>
      <c r="Y1036" t="b">
        <f>+ISNUMBER(SEARCH('F-COMPRA'!#REF!,Tabla11[[#This Row],[Cuenta]],1))</f>
        <v>0</v>
      </c>
      <c r="Z1036" t="b">
        <f>+ISNUMBER(SEARCH('F-COMPRA'!#REF!,Tabla11[[#This Row],[Cuenta]],1))</f>
        <v>0</v>
      </c>
      <c r="AA1036" t="b">
        <f>+ISNUMBER(SEARCH('F-COMPRA'!#REF!,Tabla11[[#This Row],[Cuenta]],1))</f>
        <v>0</v>
      </c>
      <c r="AB1036" t="b">
        <f>+ISNUMBER(SEARCH('F-COMPRA'!#REF!,Tabla11[[#This Row],[Cuenta]],1))</f>
        <v>0</v>
      </c>
      <c r="AC1036" t="b">
        <f>+ISNUMBER(SEARCH('F-COMPRA'!#REF!,Tabla11[[#This Row],[Cuenta]],1))</f>
        <v>0</v>
      </c>
      <c r="AD1036" t="b">
        <f>+ISNUMBER(SEARCH('F-COMPRA'!#REF!,Tabla11[[#This Row],[Cuenta]],1))</f>
        <v>0</v>
      </c>
      <c r="AE1036" t="b">
        <f>+ISNUMBER(SEARCH('F-COMPRA'!#REF!,Tabla11[[#This Row],[Cuenta]],1))</f>
        <v>0</v>
      </c>
      <c r="AF1036" t="b">
        <f>+ISNUMBER(SEARCH('F-VTA'!$G$23,Tabla11[[#This Row],[Cuenta]],1))</f>
        <v>0</v>
      </c>
      <c r="AG1036" t="b">
        <f>+ISNUMBER(SEARCH('F-VTA'!$G$24,Tabla11[[#This Row],[Cuenta]],1))</f>
        <v>0</v>
      </c>
      <c r="AH1036" t="b">
        <f>+ISNUMBER(SEARCH('F-VTA'!$G$25,Tabla11[[#This Row],[Cuenta]],1))</f>
        <v>0</v>
      </c>
      <c r="AI1036" t="b">
        <f>+ISNUMBER(SEARCH('F-VTA'!$F$28,Tabla11[[#This Row],[Cuenta]],1))</f>
        <v>1</v>
      </c>
      <c r="AJ1036" t="b">
        <f>+ISNUMBER(SEARCH('F-VTA'!$F$29,Tabla11[[#This Row],[Cuenta]],1))</f>
        <v>1</v>
      </c>
      <c r="AK1036" t="b">
        <f>+ISNUMBER(SEARCH('F-VTA'!$F$30,Tabla11[[#This Row],[Cuenta]],1))</f>
        <v>1</v>
      </c>
      <c r="AL1036" t="b">
        <f>+ISNUMBER(SEARCH('F-VTA'!$F$31,Tabla11[[#This Row],[Cuenta]],1))</f>
        <v>1</v>
      </c>
      <c r="AM1036" t="b">
        <f>+ISNUMBER(SEARCH('F-VTA'!$F$32,Tabla11[[#This Row],[Cuenta]],1))</f>
        <v>1</v>
      </c>
      <c r="AN1036" t="b">
        <f>+ISNUMBER(SEARCH('F-VTA'!$F$33,Tabla11[[#This Row],[Cuenta]],1))</f>
        <v>1</v>
      </c>
      <c r="AO1036" t="b">
        <f>+ISNUMBER(SEARCH('F-VTA'!$F$34,Tabla11[[#This Row],[Cuenta]],1))</f>
        <v>1</v>
      </c>
      <c r="AP1036" t="b">
        <f>+ISNUMBER(SEARCH('F-VTA'!$F$35,Tabla11[[#This Row],[Cuenta]],1))</f>
        <v>1</v>
      </c>
      <c r="AQ1036" t="b">
        <f>+ISNUMBER(SEARCH('F-VTA'!$F$36,Tabla11[[#This Row],[Cuenta]],1))</f>
        <v>1</v>
      </c>
      <c r="AR1036" t="b">
        <f>+ISNUMBER(SEARCH(#REF!,Tabla11[[#This Row],[Cuenta]],1))</f>
        <v>0</v>
      </c>
      <c r="AS1036" t="b">
        <f>+ISNUMBER(SEARCH(#REF!,Tabla11[[#This Row],[Cuenta]],1))</f>
        <v>0</v>
      </c>
      <c r="AT1036" t="b">
        <f>+ISNUMBER(SEARCH(#REF!,Tabla11[[#This Row],[Cuenta]],1))</f>
        <v>0</v>
      </c>
      <c r="AU1036" t="b">
        <f>+ISNUMBER(SEARCH('Conc. Ban.1'!$I$9,Tabla11[[#This Row],[Cuenta]],1))</f>
        <v>0</v>
      </c>
      <c r="AV1036" t="b">
        <f>+ISNUMBER(SEARCH(CompConta!$F$21,Tabla11[[#This Row],[Cuenta]],1))</f>
        <v>1</v>
      </c>
      <c r="AW1036" t="b">
        <f>+ISNUMBER(SEARCH(CompConta!$F$22,Tabla11[[#This Row],[Cuenta]],1))</f>
        <v>1</v>
      </c>
      <c r="AX1036" t="b">
        <f>+ISNUMBER(SEARCH(CompConta!$F$23,Tabla11[[#This Row],[Cuenta]],1))</f>
        <v>1</v>
      </c>
      <c r="AY1036" t="b">
        <f>+ISNUMBER(SEARCH(CompConta!$F$24,Tabla11[[#This Row],[Cuenta]],1))</f>
        <v>1</v>
      </c>
      <c r="AZ1036" t="b">
        <f>+ISNUMBER(SEARCH(CompConta!$F$25,Tabla11[[#This Row],[Cuenta]],1))</f>
        <v>1</v>
      </c>
      <c r="BA1036" t="b">
        <f>+ISNUMBER(SEARCH(CompConta!$F$26,Tabla11[[#This Row],[Cuenta]],1))</f>
        <v>1</v>
      </c>
      <c r="BB1036" t="b">
        <f>+ISNUMBER(SEARCH(CompConta!$F$27,Tabla11[[#This Row],[Cuenta]],1))</f>
        <v>1</v>
      </c>
      <c r="BC1036" t="b">
        <f>+ISNUMBER(SEARCH(CompConta!$F$28,Tabla11[[#This Row],[Cuenta]],1))</f>
        <v>1</v>
      </c>
      <c r="BD1036" t="b">
        <f>+ISNUMBER(SEARCH(CompConta!$F$29,Tabla11[[#This Row],[Cuenta]],1))</f>
        <v>1</v>
      </c>
      <c r="BE1036" t="b">
        <f>+ISNUMBER(SEARCH(CompConta!$F$30,Tabla11[[#This Row],[Cuenta]],1))</f>
        <v>1</v>
      </c>
      <c r="BF1036" t="b">
        <f>+ISNUMBER(SEARCH('PAGO Compras'!$E$11,Tabla11[[#This Row],[Cuenta]],1))</f>
        <v>1</v>
      </c>
      <c r="BG1036" t="b">
        <f>+ISNUMBER(SEARCH(#REF!,Tabla11[[#This Row],[Cuenta]],1))</f>
        <v>0</v>
      </c>
      <c r="BH1036" t="b">
        <f>+ISNUMBER(SEARCH(#REF!,Tabla11[[#This Row],[Cuenta]],1))</f>
        <v>0</v>
      </c>
      <c r="BI1036" t="b">
        <f>+ISNUMBER(SEARCH(#REF!,Tabla11[[#This Row],[Cuenta]],1))</f>
        <v>0</v>
      </c>
      <c r="BJ1036" t="b">
        <f>+ISNUMBER(SEARCH(#REF!,Tabla11[[#This Row],[Cuenta]],1))</f>
        <v>0</v>
      </c>
      <c r="BS1036" t="str">
        <v>524505 Terrenos</v>
      </c>
      <c r="BT1036" t="str">
        <v>524505 Terrenos</v>
      </c>
      <c r="BU1036" t="str">
        <v>524505 Terrenos</v>
      </c>
      <c r="BV1036" t="str">
        <v>524505 Terrenos</v>
      </c>
      <c r="BZ1036" t="str">
        <v>524505 Terrenos</v>
      </c>
      <c r="CA1036" t="str">
        <v>524505 Terrenos</v>
      </c>
      <c r="CB1036" t="str">
        <v>524505 Terrenos</v>
      </c>
      <c r="CC1036" t="str">
        <v>524505 Terrenos</v>
      </c>
      <c r="CD1036" t="str">
        <v>524505 Terrenos</v>
      </c>
      <c r="CE1036" t="str">
        <v>524505 Terrenos</v>
      </c>
      <c r="CS1036" s="141" t="str">
        <v>524505 Terrenos</v>
      </c>
      <c r="CT1036" s="141" t="str">
        <v>524505 Terrenos</v>
      </c>
      <c r="CU1036" s="141" t="str">
        <v>524505 Terrenos</v>
      </c>
      <c r="CV1036" s="141" t="str">
        <v>524505 Terrenos</v>
      </c>
      <c r="CW1036" s="141" t="str">
        <v>524505 Terrenos</v>
      </c>
      <c r="CX1036" s="141" t="str">
        <v>524505 Terrenos</v>
      </c>
      <c r="CY1036" s="141" t="str">
        <v>524505 Terrenos</v>
      </c>
      <c r="CZ1036" s="141" t="str">
        <v>524505 Terrenos</v>
      </c>
      <c r="DA1036" s="141" t="str">
        <v>524505 Terrenos</v>
      </c>
      <c r="DF1036" t="str">
        <v>524505 Terrenos</v>
      </c>
      <c r="DG1036" t="str">
        <v>524505 Terrenos</v>
      </c>
      <c r="DH1036" t="str">
        <v>524505 Terrenos</v>
      </c>
      <c r="DI1036" t="str">
        <v>524505 Terrenos</v>
      </c>
      <c r="DJ1036" t="str">
        <v>524505 Terrenos</v>
      </c>
      <c r="DK1036" t="str">
        <v>524505 Terrenos</v>
      </c>
      <c r="DL1036" t="str">
        <v>524505 Terrenos</v>
      </c>
      <c r="DM1036" t="str">
        <v>524505 Terrenos</v>
      </c>
      <c r="DN1036" t="str">
        <v>524505 Terrenos</v>
      </c>
      <c r="DO1036" t="str">
        <v>524505 Terrenos</v>
      </c>
      <c r="DP1036" t="str">
        <v>524505 Terrenos</v>
      </c>
    </row>
    <row r="1037" spans="4:120" ht="12.75">
      <c r="D1037" s="7">
        <v>524510</v>
      </c>
      <c r="E1037" s="6" t="s">
        <v>121</v>
      </c>
      <c r="F1037" s="5">
        <v>4</v>
      </c>
      <c r="G1037" s="34" t="s">
        <v>830</v>
      </c>
      <c r="H1037" s="8" t="s">
        <v>32</v>
      </c>
      <c r="I1037" t="b">
        <f>+ISNUMBER(SEARCH('F-COMPRA'!$F$28,Tabla11[[#This Row],[Cuenta]],1))</f>
        <v>1</v>
      </c>
      <c r="J1037" t="b">
        <f>+ISNUMBER(SEARCH('F-COMPRA'!$F$29,Tabla11[[#This Row],[Cuenta]],1))</f>
        <v>1</v>
      </c>
      <c r="K1037" t="b">
        <f>+ISNUMBER(SEARCH('F-COMPRA'!$F$30,Tabla11[[#This Row],[Cuenta]],1))</f>
        <v>1</v>
      </c>
      <c r="L1037" t="b">
        <f>+ISNUMBER(SEARCH('F-COMPRA'!$F$31,Tabla11[[#This Row],[Cuenta]],1))</f>
        <v>1</v>
      </c>
      <c r="M1037" t="b">
        <f>+ISNUMBER(SEARCH('F-COMPRA'!$G$25,Tabla11[[#This Row],[Cuenta]],1))</f>
        <v>0</v>
      </c>
      <c r="N1037" t="b">
        <f>+ISNUMBER(SEARCH(#REF!,Tabla11[[#This Row],[Cuenta]],1))</f>
        <v>0</v>
      </c>
      <c r="O1037" t="b">
        <f>+ISNUMBER(SEARCH(#REF!,Tabla11[[#This Row],[Cuenta]],1))</f>
        <v>0</v>
      </c>
      <c r="P1037" t="b">
        <f>+ISNUMBER(SEARCH('F-COMPRA'!$F$32,Tabla11[[#This Row],[Cuenta]],1))</f>
        <v>1</v>
      </c>
      <c r="Q1037" t="b">
        <f>+ISNUMBER(SEARCH('F-COMPRA'!$F$33,Tabla11[[#This Row],[Cuenta]],1))</f>
        <v>1</v>
      </c>
      <c r="R1037" t="b">
        <f>+ISNUMBER(SEARCH('F-COMPRA'!$F$34,Tabla11[[#This Row],[Cuenta]],1))</f>
        <v>1</v>
      </c>
      <c r="S1037" t="b">
        <f>+ISNUMBER(SEARCH('F-COMPRA'!$F$35,Tabla11[[#This Row],[Cuenta]],1))</f>
        <v>1</v>
      </c>
      <c r="T1037" t="b">
        <f>+ISNUMBER(SEARCH('F-COMPRA'!$F$36,Tabla11[[#This Row],[Cuenta]],1))</f>
        <v>1</v>
      </c>
      <c r="U1037" t="b">
        <f>+ISNUMBER(SEARCH('F-COMPRA'!$F$37,Tabla11[[#This Row],[Cuenta]],1))</f>
        <v>1</v>
      </c>
      <c r="V1037" t="b">
        <f>+ISNUMBER(SEARCH(#REF!,Tabla11[[#This Row],[Cuenta]],1))</f>
        <v>0</v>
      </c>
      <c r="W1037" t="b">
        <f>+ISNUMBER(SEARCH('F-COMPRA'!#REF!,Tabla11[[#This Row],[Cuenta]],1))</f>
        <v>0</v>
      </c>
      <c r="X1037" t="b">
        <f>+ISNUMBER(SEARCH('F-COMPRA'!#REF!,Tabla11[[#This Row],[Cuenta]],1))</f>
        <v>0</v>
      </c>
      <c r="Y1037" t="b">
        <f>+ISNUMBER(SEARCH('F-COMPRA'!#REF!,Tabla11[[#This Row],[Cuenta]],1))</f>
        <v>0</v>
      </c>
      <c r="Z1037" t="b">
        <f>+ISNUMBER(SEARCH('F-COMPRA'!#REF!,Tabla11[[#This Row],[Cuenta]],1))</f>
        <v>0</v>
      </c>
      <c r="AA1037" t="b">
        <f>+ISNUMBER(SEARCH('F-COMPRA'!#REF!,Tabla11[[#This Row],[Cuenta]],1))</f>
        <v>0</v>
      </c>
      <c r="AB1037" t="b">
        <f>+ISNUMBER(SEARCH('F-COMPRA'!#REF!,Tabla11[[#This Row],[Cuenta]],1))</f>
        <v>0</v>
      </c>
      <c r="AC1037" t="b">
        <f>+ISNUMBER(SEARCH('F-COMPRA'!#REF!,Tabla11[[#This Row],[Cuenta]],1))</f>
        <v>0</v>
      </c>
      <c r="AD1037" t="b">
        <f>+ISNUMBER(SEARCH('F-COMPRA'!#REF!,Tabla11[[#This Row],[Cuenta]],1))</f>
        <v>0</v>
      </c>
      <c r="AE1037" t="b">
        <f>+ISNUMBER(SEARCH('F-COMPRA'!#REF!,Tabla11[[#This Row],[Cuenta]],1))</f>
        <v>0</v>
      </c>
      <c r="AF1037" t="b">
        <f>+ISNUMBER(SEARCH('F-VTA'!$G$23,Tabla11[[#This Row],[Cuenta]],1))</f>
        <v>0</v>
      </c>
      <c r="AG1037" t="b">
        <f>+ISNUMBER(SEARCH('F-VTA'!$G$24,Tabla11[[#This Row],[Cuenta]],1))</f>
        <v>0</v>
      </c>
      <c r="AH1037" t="b">
        <f>+ISNUMBER(SEARCH('F-VTA'!$G$25,Tabla11[[#This Row],[Cuenta]],1))</f>
        <v>0</v>
      </c>
      <c r="AI1037" t="b">
        <f>+ISNUMBER(SEARCH('F-VTA'!$F$28,Tabla11[[#This Row],[Cuenta]],1))</f>
        <v>1</v>
      </c>
      <c r="AJ1037" t="b">
        <f>+ISNUMBER(SEARCH('F-VTA'!$F$29,Tabla11[[#This Row],[Cuenta]],1))</f>
        <v>1</v>
      </c>
      <c r="AK1037" t="b">
        <f>+ISNUMBER(SEARCH('F-VTA'!$F$30,Tabla11[[#This Row],[Cuenta]],1))</f>
        <v>1</v>
      </c>
      <c r="AL1037" t="b">
        <f>+ISNUMBER(SEARCH('F-VTA'!$F$31,Tabla11[[#This Row],[Cuenta]],1))</f>
        <v>1</v>
      </c>
      <c r="AM1037" t="b">
        <f>+ISNUMBER(SEARCH('F-VTA'!$F$32,Tabla11[[#This Row],[Cuenta]],1))</f>
        <v>1</v>
      </c>
      <c r="AN1037" t="b">
        <f>+ISNUMBER(SEARCH('F-VTA'!$F$33,Tabla11[[#This Row],[Cuenta]],1))</f>
        <v>1</v>
      </c>
      <c r="AO1037" t="b">
        <f>+ISNUMBER(SEARCH('F-VTA'!$F$34,Tabla11[[#This Row],[Cuenta]],1))</f>
        <v>1</v>
      </c>
      <c r="AP1037" t="b">
        <f>+ISNUMBER(SEARCH('F-VTA'!$F$35,Tabla11[[#This Row],[Cuenta]],1))</f>
        <v>1</v>
      </c>
      <c r="AQ1037" t="b">
        <f>+ISNUMBER(SEARCH('F-VTA'!$F$36,Tabla11[[#This Row],[Cuenta]],1))</f>
        <v>1</v>
      </c>
      <c r="AR1037" t="b">
        <f>+ISNUMBER(SEARCH(#REF!,Tabla11[[#This Row],[Cuenta]],1))</f>
        <v>0</v>
      </c>
      <c r="AS1037" t="b">
        <f>+ISNUMBER(SEARCH(#REF!,Tabla11[[#This Row],[Cuenta]],1))</f>
        <v>0</v>
      </c>
      <c r="AT1037" t="b">
        <f>+ISNUMBER(SEARCH(#REF!,Tabla11[[#This Row],[Cuenta]],1))</f>
        <v>0</v>
      </c>
      <c r="AU1037" t="b">
        <f>+ISNUMBER(SEARCH('Conc. Ban.1'!$I$9,Tabla11[[#This Row],[Cuenta]],1))</f>
        <v>0</v>
      </c>
      <c r="AV1037" t="b">
        <f>+ISNUMBER(SEARCH(CompConta!$F$21,Tabla11[[#This Row],[Cuenta]],1))</f>
        <v>1</v>
      </c>
      <c r="AW1037" t="b">
        <f>+ISNUMBER(SEARCH(CompConta!$F$22,Tabla11[[#This Row],[Cuenta]],1))</f>
        <v>1</v>
      </c>
      <c r="AX1037" t="b">
        <f>+ISNUMBER(SEARCH(CompConta!$F$23,Tabla11[[#This Row],[Cuenta]],1))</f>
        <v>1</v>
      </c>
      <c r="AY1037" t="b">
        <f>+ISNUMBER(SEARCH(CompConta!$F$24,Tabla11[[#This Row],[Cuenta]],1))</f>
        <v>1</v>
      </c>
      <c r="AZ1037" t="b">
        <f>+ISNUMBER(SEARCH(CompConta!$F$25,Tabla11[[#This Row],[Cuenta]],1))</f>
        <v>1</v>
      </c>
      <c r="BA1037" t="b">
        <f>+ISNUMBER(SEARCH(CompConta!$F$26,Tabla11[[#This Row],[Cuenta]],1))</f>
        <v>1</v>
      </c>
      <c r="BB1037" t="b">
        <f>+ISNUMBER(SEARCH(CompConta!$F$27,Tabla11[[#This Row],[Cuenta]],1))</f>
        <v>1</v>
      </c>
      <c r="BC1037" t="b">
        <f>+ISNUMBER(SEARCH(CompConta!$F$28,Tabla11[[#This Row],[Cuenta]],1))</f>
        <v>1</v>
      </c>
      <c r="BD1037" t="b">
        <f>+ISNUMBER(SEARCH(CompConta!$F$29,Tabla11[[#This Row],[Cuenta]],1))</f>
        <v>1</v>
      </c>
      <c r="BE1037" t="b">
        <f>+ISNUMBER(SEARCH(CompConta!$F$30,Tabla11[[#This Row],[Cuenta]],1))</f>
        <v>1</v>
      </c>
      <c r="BF1037" t="b">
        <f>+ISNUMBER(SEARCH('PAGO Compras'!$E$11,Tabla11[[#This Row],[Cuenta]],1))</f>
        <v>1</v>
      </c>
      <c r="BG1037" t="b">
        <f>+ISNUMBER(SEARCH(#REF!,Tabla11[[#This Row],[Cuenta]],1))</f>
        <v>0</v>
      </c>
      <c r="BH1037" t="b">
        <f>+ISNUMBER(SEARCH(#REF!,Tabla11[[#This Row],[Cuenta]],1))</f>
        <v>0</v>
      </c>
      <c r="BI1037" t="b">
        <f>+ISNUMBER(SEARCH(#REF!,Tabla11[[#This Row],[Cuenta]],1))</f>
        <v>0</v>
      </c>
      <c r="BJ1037" t="b">
        <f>+ISNUMBER(SEARCH(#REF!,Tabla11[[#This Row],[Cuenta]],1))</f>
        <v>0</v>
      </c>
      <c r="BS1037" t="str">
        <v>524510 Construcciones y edificaciones</v>
      </c>
      <c r="BT1037" t="str">
        <v>524510 Construcciones y edificaciones</v>
      </c>
      <c r="BU1037" t="str">
        <v>524510 Construcciones y edificaciones</v>
      </c>
      <c r="BV1037" t="str">
        <v>524510 Construcciones y edificaciones</v>
      </c>
      <c r="BZ1037" t="str">
        <v>524510 Construcciones y edificaciones</v>
      </c>
      <c r="CA1037" t="str">
        <v>524510 Construcciones y edificaciones</v>
      </c>
      <c r="CB1037" t="str">
        <v>524510 Construcciones y edificaciones</v>
      </c>
      <c r="CC1037" t="str">
        <v>524510 Construcciones y edificaciones</v>
      </c>
      <c r="CD1037" t="str">
        <v>524510 Construcciones y edificaciones</v>
      </c>
      <c r="CE1037" t="str">
        <v>524510 Construcciones y edificaciones</v>
      </c>
      <c r="CS1037" s="141" t="str">
        <v>524510 Construcciones y edificaciones</v>
      </c>
      <c r="CT1037" s="141" t="str">
        <v>524510 Construcciones y edificaciones</v>
      </c>
      <c r="CU1037" s="141" t="str">
        <v>524510 Construcciones y edificaciones</v>
      </c>
      <c r="CV1037" s="141" t="str">
        <v>524510 Construcciones y edificaciones</v>
      </c>
      <c r="CW1037" s="141" t="str">
        <v>524510 Construcciones y edificaciones</v>
      </c>
      <c r="CX1037" s="141" t="str">
        <v>524510 Construcciones y edificaciones</v>
      </c>
      <c r="CY1037" s="141" t="str">
        <v>524510 Construcciones y edificaciones</v>
      </c>
      <c r="CZ1037" s="141" t="str">
        <v>524510 Construcciones y edificaciones</v>
      </c>
      <c r="DA1037" s="141" t="str">
        <v>524510 Construcciones y edificaciones</v>
      </c>
      <c r="DF1037" t="str">
        <v>524510 Construcciones y edificaciones</v>
      </c>
      <c r="DG1037" t="str">
        <v>524510 Construcciones y edificaciones</v>
      </c>
      <c r="DH1037" t="str">
        <v>524510 Construcciones y edificaciones</v>
      </c>
      <c r="DI1037" t="str">
        <v>524510 Construcciones y edificaciones</v>
      </c>
      <c r="DJ1037" t="str">
        <v>524510 Construcciones y edificaciones</v>
      </c>
      <c r="DK1037" t="str">
        <v>524510 Construcciones y edificaciones</v>
      </c>
      <c r="DL1037" t="str">
        <v>524510 Construcciones y edificaciones</v>
      </c>
      <c r="DM1037" t="str">
        <v>524510 Construcciones y edificaciones</v>
      </c>
      <c r="DN1037" t="str">
        <v>524510 Construcciones y edificaciones</v>
      </c>
      <c r="DO1037" t="str">
        <v>524510 Construcciones y edificaciones</v>
      </c>
      <c r="DP1037" t="str">
        <v>524510 Construcciones y edificaciones</v>
      </c>
    </row>
    <row r="1038" spans="4:120" ht="12.75">
      <c r="D1038" s="7">
        <v>524515</v>
      </c>
      <c r="E1038" s="6" t="s">
        <v>128</v>
      </c>
      <c r="F1038" s="5">
        <v>4</v>
      </c>
      <c r="G1038" s="34" t="s">
        <v>830</v>
      </c>
      <c r="H1038" s="8" t="s">
        <v>32</v>
      </c>
      <c r="I1038" t="b">
        <f>+ISNUMBER(SEARCH('F-COMPRA'!$F$28,Tabla11[[#This Row],[Cuenta]],1))</f>
        <v>1</v>
      </c>
      <c r="J1038" t="b">
        <f>+ISNUMBER(SEARCH('F-COMPRA'!$F$29,Tabla11[[#This Row],[Cuenta]],1))</f>
        <v>1</v>
      </c>
      <c r="K1038" t="b">
        <f>+ISNUMBER(SEARCH('F-COMPRA'!$F$30,Tabla11[[#This Row],[Cuenta]],1))</f>
        <v>1</v>
      </c>
      <c r="L1038" t="b">
        <f>+ISNUMBER(SEARCH('F-COMPRA'!$F$31,Tabla11[[#This Row],[Cuenta]],1))</f>
        <v>1</v>
      </c>
      <c r="M1038" t="b">
        <f>+ISNUMBER(SEARCH('F-COMPRA'!$G$25,Tabla11[[#This Row],[Cuenta]],1))</f>
        <v>0</v>
      </c>
      <c r="N1038" t="b">
        <f>+ISNUMBER(SEARCH(#REF!,Tabla11[[#This Row],[Cuenta]],1))</f>
        <v>0</v>
      </c>
      <c r="O1038" t="b">
        <f>+ISNUMBER(SEARCH(#REF!,Tabla11[[#This Row],[Cuenta]],1))</f>
        <v>0</v>
      </c>
      <c r="P1038" t="b">
        <f>+ISNUMBER(SEARCH('F-COMPRA'!$F$32,Tabla11[[#This Row],[Cuenta]],1))</f>
        <v>1</v>
      </c>
      <c r="Q1038" t="b">
        <f>+ISNUMBER(SEARCH('F-COMPRA'!$F$33,Tabla11[[#This Row],[Cuenta]],1))</f>
        <v>1</v>
      </c>
      <c r="R1038" t="b">
        <f>+ISNUMBER(SEARCH('F-COMPRA'!$F$34,Tabla11[[#This Row],[Cuenta]],1))</f>
        <v>1</v>
      </c>
      <c r="S1038" t="b">
        <f>+ISNUMBER(SEARCH('F-COMPRA'!$F$35,Tabla11[[#This Row],[Cuenta]],1))</f>
        <v>1</v>
      </c>
      <c r="T1038" t="b">
        <f>+ISNUMBER(SEARCH('F-COMPRA'!$F$36,Tabla11[[#This Row],[Cuenta]],1))</f>
        <v>1</v>
      </c>
      <c r="U1038" t="b">
        <f>+ISNUMBER(SEARCH('F-COMPRA'!$F$37,Tabla11[[#This Row],[Cuenta]],1))</f>
        <v>1</v>
      </c>
      <c r="V1038" t="b">
        <f>+ISNUMBER(SEARCH(#REF!,Tabla11[[#This Row],[Cuenta]],1))</f>
        <v>0</v>
      </c>
      <c r="W1038" t="b">
        <f>+ISNUMBER(SEARCH('F-COMPRA'!#REF!,Tabla11[[#This Row],[Cuenta]],1))</f>
        <v>0</v>
      </c>
      <c r="X1038" t="b">
        <f>+ISNUMBER(SEARCH('F-COMPRA'!#REF!,Tabla11[[#This Row],[Cuenta]],1))</f>
        <v>0</v>
      </c>
      <c r="Y1038" t="b">
        <f>+ISNUMBER(SEARCH('F-COMPRA'!#REF!,Tabla11[[#This Row],[Cuenta]],1))</f>
        <v>0</v>
      </c>
      <c r="Z1038" t="b">
        <f>+ISNUMBER(SEARCH('F-COMPRA'!#REF!,Tabla11[[#This Row],[Cuenta]],1))</f>
        <v>0</v>
      </c>
      <c r="AA1038" t="b">
        <f>+ISNUMBER(SEARCH('F-COMPRA'!#REF!,Tabla11[[#This Row],[Cuenta]],1))</f>
        <v>0</v>
      </c>
      <c r="AB1038" t="b">
        <f>+ISNUMBER(SEARCH('F-COMPRA'!#REF!,Tabla11[[#This Row],[Cuenta]],1))</f>
        <v>0</v>
      </c>
      <c r="AC1038" t="b">
        <f>+ISNUMBER(SEARCH('F-COMPRA'!#REF!,Tabla11[[#This Row],[Cuenta]],1))</f>
        <v>0</v>
      </c>
      <c r="AD1038" t="b">
        <f>+ISNUMBER(SEARCH('F-COMPRA'!#REF!,Tabla11[[#This Row],[Cuenta]],1))</f>
        <v>0</v>
      </c>
      <c r="AE1038" t="b">
        <f>+ISNUMBER(SEARCH('F-COMPRA'!#REF!,Tabla11[[#This Row],[Cuenta]],1))</f>
        <v>0</v>
      </c>
      <c r="AF1038" t="b">
        <f>+ISNUMBER(SEARCH('F-VTA'!$G$23,Tabla11[[#This Row],[Cuenta]],1))</f>
        <v>0</v>
      </c>
      <c r="AG1038" t="b">
        <f>+ISNUMBER(SEARCH('F-VTA'!$G$24,Tabla11[[#This Row],[Cuenta]],1))</f>
        <v>0</v>
      </c>
      <c r="AH1038" t="b">
        <f>+ISNUMBER(SEARCH('F-VTA'!$G$25,Tabla11[[#This Row],[Cuenta]],1))</f>
        <v>0</v>
      </c>
      <c r="AI1038" t="b">
        <f>+ISNUMBER(SEARCH('F-VTA'!$F$28,Tabla11[[#This Row],[Cuenta]],1))</f>
        <v>1</v>
      </c>
      <c r="AJ1038" t="b">
        <f>+ISNUMBER(SEARCH('F-VTA'!$F$29,Tabla11[[#This Row],[Cuenta]],1))</f>
        <v>1</v>
      </c>
      <c r="AK1038" t="b">
        <f>+ISNUMBER(SEARCH('F-VTA'!$F$30,Tabla11[[#This Row],[Cuenta]],1))</f>
        <v>1</v>
      </c>
      <c r="AL1038" t="b">
        <f>+ISNUMBER(SEARCH('F-VTA'!$F$31,Tabla11[[#This Row],[Cuenta]],1))</f>
        <v>1</v>
      </c>
      <c r="AM1038" t="b">
        <f>+ISNUMBER(SEARCH('F-VTA'!$F$32,Tabla11[[#This Row],[Cuenta]],1))</f>
        <v>1</v>
      </c>
      <c r="AN1038" t="b">
        <f>+ISNUMBER(SEARCH('F-VTA'!$F$33,Tabla11[[#This Row],[Cuenta]],1))</f>
        <v>1</v>
      </c>
      <c r="AO1038" t="b">
        <f>+ISNUMBER(SEARCH('F-VTA'!$F$34,Tabla11[[#This Row],[Cuenta]],1))</f>
        <v>1</v>
      </c>
      <c r="AP1038" t="b">
        <f>+ISNUMBER(SEARCH('F-VTA'!$F$35,Tabla11[[#This Row],[Cuenta]],1))</f>
        <v>1</v>
      </c>
      <c r="AQ1038" t="b">
        <f>+ISNUMBER(SEARCH('F-VTA'!$F$36,Tabla11[[#This Row],[Cuenta]],1))</f>
        <v>1</v>
      </c>
      <c r="AR1038" t="b">
        <f>+ISNUMBER(SEARCH(#REF!,Tabla11[[#This Row],[Cuenta]],1))</f>
        <v>0</v>
      </c>
      <c r="AS1038" t="b">
        <f>+ISNUMBER(SEARCH(#REF!,Tabla11[[#This Row],[Cuenta]],1))</f>
        <v>0</v>
      </c>
      <c r="AT1038" t="b">
        <f>+ISNUMBER(SEARCH(#REF!,Tabla11[[#This Row],[Cuenta]],1))</f>
        <v>0</v>
      </c>
      <c r="AU1038" t="b">
        <f>+ISNUMBER(SEARCH('Conc. Ban.1'!$I$9,Tabla11[[#This Row],[Cuenta]],1))</f>
        <v>0</v>
      </c>
      <c r="AV1038" t="b">
        <f>+ISNUMBER(SEARCH(CompConta!$F$21,Tabla11[[#This Row],[Cuenta]],1))</f>
        <v>1</v>
      </c>
      <c r="AW1038" t="b">
        <f>+ISNUMBER(SEARCH(CompConta!$F$22,Tabla11[[#This Row],[Cuenta]],1))</f>
        <v>1</v>
      </c>
      <c r="AX1038" t="b">
        <f>+ISNUMBER(SEARCH(CompConta!$F$23,Tabla11[[#This Row],[Cuenta]],1))</f>
        <v>1</v>
      </c>
      <c r="AY1038" t="b">
        <f>+ISNUMBER(SEARCH(CompConta!$F$24,Tabla11[[#This Row],[Cuenta]],1))</f>
        <v>1</v>
      </c>
      <c r="AZ1038" t="b">
        <f>+ISNUMBER(SEARCH(CompConta!$F$25,Tabla11[[#This Row],[Cuenta]],1))</f>
        <v>1</v>
      </c>
      <c r="BA1038" t="b">
        <f>+ISNUMBER(SEARCH(CompConta!$F$26,Tabla11[[#This Row],[Cuenta]],1))</f>
        <v>1</v>
      </c>
      <c r="BB1038" t="b">
        <f>+ISNUMBER(SEARCH(CompConta!$F$27,Tabla11[[#This Row],[Cuenta]],1))</f>
        <v>1</v>
      </c>
      <c r="BC1038" t="b">
        <f>+ISNUMBER(SEARCH(CompConta!$F$28,Tabla11[[#This Row],[Cuenta]],1))</f>
        <v>1</v>
      </c>
      <c r="BD1038" t="b">
        <f>+ISNUMBER(SEARCH(CompConta!$F$29,Tabla11[[#This Row],[Cuenta]],1))</f>
        <v>1</v>
      </c>
      <c r="BE1038" t="b">
        <f>+ISNUMBER(SEARCH(CompConta!$F$30,Tabla11[[#This Row],[Cuenta]],1))</f>
        <v>1</v>
      </c>
      <c r="BF1038" t="b">
        <f>+ISNUMBER(SEARCH('PAGO Compras'!$E$11,Tabla11[[#This Row],[Cuenta]],1))</f>
        <v>1</v>
      </c>
      <c r="BG1038" t="b">
        <f>+ISNUMBER(SEARCH(#REF!,Tabla11[[#This Row],[Cuenta]],1))</f>
        <v>0</v>
      </c>
      <c r="BH1038" t="b">
        <f>+ISNUMBER(SEARCH(#REF!,Tabla11[[#This Row],[Cuenta]],1))</f>
        <v>0</v>
      </c>
      <c r="BI1038" t="b">
        <f>+ISNUMBER(SEARCH(#REF!,Tabla11[[#This Row],[Cuenta]],1))</f>
        <v>0</v>
      </c>
      <c r="BJ1038" t="b">
        <f>+ISNUMBER(SEARCH(#REF!,Tabla11[[#This Row],[Cuenta]],1))</f>
        <v>0</v>
      </c>
      <c r="BS1038" t="str">
        <v>524515 Maquinaria y equipo</v>
      </c>
      <c r="BT1038" t="str">
        <v>524515 Maquinaria y equipo</v>
      </c>
      <c r="BU1038" t="str">
        <v>524515 Maquinaria y equipo</v>
      </c>
      <c r="BV1038" t="str">
        <v>524515 Maquinaria y equipo</v>
      </c>
      <c r="BZ1038" t="str">
        <v>524515 Maquinaria y equipo</v>
      </c>
      <c r="CA1038" t="str">
        <v>524515 Maquinaria y equipo</v>
      </c>
      <c r="CB1038" t="str">
        <v>524515 Maquinaria y equipo</v>
      </c>
      <c r="CC1038" t="str">
        <v>524515 Maquinaria y equipo</v>
      </c>
      <c r="CD1038" t="str">
        <v>524515 Maquinaria y equipo</v>
      </c>
      <c r="CE1038" t="str">
        <v>524515 Maquinaria y equipo</v>
      </c>
      <c r="CS1038" s="141" t="str">
        <v>524515 Maquinaria y equipo</v>
      </c>
      <c r="CT1038" s="141" t="str">
        <v>524515 Maquinaria y equipo</v>
      </c>
      <c r="CU1038" s="141" t="str">
        <v>524515 Maquinaria y equipo</v>
      </c>
      <c r="CV1038" s="141" t="str">
        <v>524515 Maquinaria y equipo</v>
      </c>
      <c r="CW1038" s="141" t="str">
        <v>524515 Maquinaria y equipo</v>
      </c>
      <c r="CX1038" s="141" t="str">
        <v>524515 Maquinaria y equipo</v>
      </c>
      <c r="CY1038" s="141" t="str">
        <v>524515 Maquinaria y equipo</v>
      </c>
      <c r="CZ1038" s="141" t="str">
        <v>524515 Maquinaria y equipo</v>
      </c>
      <c r="DA1038" s="141" t="str">
        <v>524515 Maquinaria y equipo</v>
      </c>
      <c r="DF1038" t="str">
        <v>524515 Maquinaria y equipo</v>
      </c>
      <c r="DG1038" t="str">
        <v>524515 Maquinaria y equipo</v>
      </c>
      <c r="DH1038" t="str">
        <v>524515 Maquinaria y equipo</v>
      </c>
      <c r="DI1038" t="str">
        <v>524515 Maquinaria y equipo</v>
      </c>
      <c r="DJ1038" t="str">
        <v>524515 Maquinaria y equipo</v>
      </c>
      <c r="DK1038" t="str">
        <v>524515 Maquinaria y equipo</v>
      </c>
      <c r="DL1038" t="str">
        <v>524515 Maquinaria y equipo</v>
      </c>
      <c r="DM1038" t="str">
        <v>524515 Maquinaria y equipo</v>
      </c>
      <c r="DN1038" t="str">
        <v>524515 Maquinaria y equipo</v>
      </c>
      <c r="DO1038" t="str">
        <v>524515 Maquinaria y equipo</v>
      </c>
      <c r="DP1038" t="str">
        <v>524515 Maquinaria y equipo</v>
      </c>
    </row>
    <row r="1039" spans="4:120" ht="12.75">
      <c r="D1039" s="7">
        <v>524520</v>
      </c>
      <c r="E1039" s="6" t="s">
        <v>129</v>
      </c>
      <c r="F1039" s="5">
        <v>4</v>
      </c>
      <c r="G1039" s="34" t="s">
        <v>830</v>
      </c>
      <c r="H1039" s="8" t="s">
        <v>32</v>
      </c>
      <c r="I1039" t="b">
        <f>+ISNUMBER(SEARCH('F-COMPRA'!$F$28,Tabla11[[#This Row],[Cuenta]],1))</f>
        <v>1</v>
      </c>
      <c r="J1039" t="b">
        <f>+ISNUMBER(SEARCH('F-COMPRA'!$F$29,Tabla11[[#This Row],[Cuenta]],1))</f>
        <v>1</v>
      </c>
      <c r="K1039" t="b">
        <f>+ISNUMBER(SEARCH('F-COMPRA'!$F$30,Tabla11[[#This Row],[Cuenta]],1))</f>
        <v>1</v>
      </c>
      <c r="L1039" t="b">
        <f>+ISNUMBER(SEARCH('F-COMPRA'!$F$31,Tabla11[[#This Row],[Cuenta]],1))</f>
        <v>1</v>
      </c>
      <c r="M1039" t="b">
        <f>+ISNUMBER(SEARCH('F-COMPRA'!$G$25,Tabla11[[#This Row],[Cuenta]],1))</f>
        <v>0</v>
      </c>
      <c r="N1039" t="b">
        <f>+ISNUMBER(SEARCH(#REF!,Tabla11[[#This Row],[Cuenta]],1))</f>
        <v>0</v>
      </c>
      <c r="O1039" t="b">
        <f>+ISNUMBER(SEARCH(#REF!,Tabla11[[#This Row],[Cuenta]],1))</f>
        <v>0</v>
      </c>
      <c r="P1039" t="b">
        <f>+ISNUMBER(SEARCH('F-COMPRA'!$F$32,Tabla11[[#This Row],[Cuenta]],1))</f>
        <v>1</v>
      </c>
      <c r="Q1039" t="b">
        <f>+ISNUMBER(SEARCH('F-COMPRA'!$F$33,Tabla11[[#This Row],[Cuenta]],1))</f>
        <v>1</v>
      </c>
      <c r="R1039" t="b">
        <f>+ISNUMBER(SEARCH('F-COMPRA'!$F$34,Tabla11[[#This Row],[Cuenta]],1))</f>
        <v>1</v>
      </c>
      <c r="S1039" t="b">
        <f>+ISNUMBER(SEARCH('F-COMPRA'!$F$35,Tabla11[[#This Row],[Cuenta]],1))</f>
        <v>1</v>
      </c>
      <c r="T1039" t="b">
        <f>+ISNUMBER(SEARCH('F-COMPRA'!$F$36,Tabla11[[#This Row],[Cuenta]],1))</f>
        <v>1</v>
      </c>
      <c r="U1039" t="b">
        <f>+ISNUMBER(SEARCH('F-COMPRA'!$F$37,Tabla11[[#This Row],[Cuenta]],1))</f>
        <v>1</v>
      </c>
      <c r="V1039" t="b">
        <f>+ISNUMBER(SEARCH(#REF!,Tabla11[[#This Row],[Cuenta]],1))</f>
        <v>0</v>
      </c>
      <c r="W1039" t="b">
        <f>+ISNUMBER(SEARCH('F-COMPRA'!#REF!,Tabla11[[#This Row],[Cuenta]],1))</f>
        <v>0</v>
      </c>
      <c r="X1039" t="b">
        <f>+ISNUMBER(SEARCH('F-COMPRA'!#REF!,Tabla11[[#This Row],[Cuenta]],1))</f>
        <v>0</v>
      </c>
      <c r="Y1039" t="b">
        <f>+ISNUMBER(SEARCH('F-COMPRA'!#REF!,Tabla11[[#This Row],[Cuenta]],1))</f>
        <v>0</v>
      </c>
      <c r="Z1039" t="b">
        <f>+ISNUMBER(SEARCH('F-COMPRA'!#REF!,Tabla11[[#This Row],[Cuenta]],1))</f>
        <v>0</v>
      </c>
      <c r="AA1039" t="b">
        <f>+ISNUMBER(SEARCH('F-COMPRA'!#REF!,Tabla11[[#This Row],[Cuenta]],1))</f>
        <v>0</v>
      </c>
      <c r="AB1039" t="b">
        <f>+ISNUMBER(SEARCH('F-COMPRA'!#REF!,Tabla11[[#This Row],[Cuenta]],1))</f>
        <v>0</v>
      </c>
      <c r="AC1039" t="b">
        <f>+ISNUMBER(SEARCH('F-COMPRA'!#REF!,Tabla11[[#This Row],[Cuenta]],1))</f>
        <v>0</v>
      </c>
      <c r="AD1039" t="b">
        <f>+ISNUMBER(SEARCH('F-COMPRA'!#REF!,Tabla11[[#This Row],[Cuenta]],1))</f>
        <v>0</v>
      </c>
      <c r="AE1039" t="b">
        <f>+ISNUMBER(SEARCH('F-COMPRA'!#REF!,Tabla11[[#This Row],[Cuenta]],1))</f>
        <v>0</v>
      </c>
      <c r="AF1039" t="b">
        <f>+ISNUMBER(SEARCH('F-VTA'!$G$23,Tabla11[[#This Row],[Cuenta]],1))</f>
        <v>0</v>
      </c>
      <c r="AG1039" t="b">
        <f>+ISNUMBER(SEARCH('F-VTA'!$G$24,Tabla11[[#This Row],[Cuenta]],1))</f>
        <v>0</v>
      </c>
      <c r="AH1039" t="b">
        <f>+ISNUMBER(SEARCH('F-VTA'!$G$25,Tabla11[[#This Row],[Cuenta]],1))</f>
        <v>0</v>
      </c>
      <c r="AI1039" t="b">
        <f>+ISNUMBER(SEARCH('F-VTA'!$F$28,Tabla11[[#This Row],[Cuenta]],1))</f>
        <v>1</v>
      </c>
      <c r="AJ1039" t="b">
        <f>+ISNUMBER(SEARCH('F-VTA'!$F$29,Tabla11[[#This Row],[Cuenta]],1))</f>
        <v>1</v>
      </c>
      <c r="AK1039" t="b">
        <f>+ISNUMBER(SEARCH('F-VTA'!$F$30,Tabla11[[#This Row],[Cuenta]],1))</f>
        <v>1</v>
      </c>
      <c r="AL1039" t="b">
        <f>+ISNUMBER(SEARCH('F-VTA'!$F$31,Tabla11[[#This Row],[Cuenta]],1))</f>
        <v>1</v>
      </c>
      <c r="AM1039" t="b">
        <f>+ISNUMBER(SEARCH('F-VTA'!$F$32,Tabla11[[#This Row],[Cuenta]],1))</f>
        <v>1</v>
      </c>
      <c r="AN1039" t="b">
        <f>+ISNUMBER(SEARCH('F-VTA'!$F$33,Tabla11[[#This Row],[Cuenta]],1))</f>
        <v>1</v>
      </c>
      <c r="AO1039" t="b">
        <f>+ISNUMBER(SEARCH('F-VTA'!$F$34,Tabla11[[#This Row],[Cuenta]],1))</f>
        <v>1</v>
      </c>
      <c r="AP1039" t="b">
        <f>+ISNUMBER(SEARCH('F-VTA'!$F$35,Tabla11[[#This Row],[Cuenta]],1))</f>
        <v>1</v>
      </c>
      <c r="AQ1039" t="b">
        <f>+ISNUMBER(SEARCH('F-VTA'!$F$36,Tabla11[[#This Row],[Cuenta]],1))</f>
        <v>1</v>
      </c>
      <c r="AR1039" t="b">
        <f>+ISNUMBER(SEARCH(#REF!,Tabla11[[#This Row],[Cuenta]],1))</f>
        <v>0</v>
      </c>
      <c r="AS1039" t="b">
        <f>+ISNUMBER(SEARCH(#REF!,Tabla11[[#This Row],[Cuenta]],1))</f>
        <v>0</v>
      </c>
      <c r="AT1039" t="b">
        <f>+ISNUMBER(SEARCH(#REF!,Tabla11[[#This Row],[Cuenta]],1))</f>
        <v>0</v>
      </c>
      <c r="AU1039" t="b">
        <f>+ISNUMBER(SEARCH('Conc. Ban.1'!$I$9,Tabla11[[#This Row],[Cuenta]],1))</f>
        <v>0</v>
      </c>
      <c r="AV1039" t="b">
        <f>+ISNUMBER(SEARCH(CompConta!$F$21,Tabla11[[#This Row],[Cuenta]],1))</f>
        <v>1</v>
      </c>
      <c r="AW1039" t="b">
        <f>+ISNUMBER(SEARCH(CompConta!$F$22,Tabla11[[#This Row],[Cuenta]],1))</f>
        <v>1</v>
      </c>
      <c r="AX1039" t="b">
        <f>+ISNUMBER(SEARCH(CompConta!$F$23,Tabla11[[#This Row],[Cuenta]],1))</f>
        <v>1</v>
      </c>
      <c r="AY1039" t="b">
        <f>+ISNUMBER(SEARCH(CompConta!$F$24,Tabla11[[#This Row],[Cuenta]],1))</f>
        <v>1</v>
      </c>
      <c r="AZ1039" t="b">
        <f>+ISNUMBER(SEARCH(CompConta!$F$25,Tabla11[[#This Row],[Cuenta]],1))</f>
        <v>1</v>
      </c>
      <c r="BA1039" t="b">
        <f>+ISNUMBER(SEARCH(CompConta!$F$26,Tabla11[[#This Row],[Cuenta]],1))</f>
        <v>1</v>
      </c>
      <c r="BB1039" t="b">
        <f>+ISNUMBER(SEARCH(CompConta!$F$27,Tabla11[[#This Row],[Cuenta]],1))</f>
        <v>1</v>
      </c>
      <c r="BC1039" t="b">
        <f>+ISNUMBER(SEARCH(CompConta!$F$28,Tabla11[[#This Row],[Cuenta]],1))</f>
        <v>1</v>
      </c>
      <c r="BD1039" t="b">
        <f>+ISNUMBER(SEARCH(CompConta!$F$29,Tabla11[[#This Row],[Cuenta]],1))</f>
        <v>1</v>
      </c>
      <c r="BE1039" t="b">
        <f>+ISNUMBER(SEARCH(CompConta!$F$30,Tabla11[[#This Row],[Cuenta]],1))</f>
        <v>1</v>
      </c>
      <c r="BF1039" t="b">
        <f>+ISNUMBER(SEARCH('PAGO Compras'!$E$11,Tabla11[[#This Row],[Cuenta]],1))</f>
        <v>1</v>
      </c>
      <c r="BG1039" t="b">
        <f>+ISNUMBER(SEARCH(#REF!,Tabla11[[#This Row],[Cuenta]],1))</f>
        <v>0</v>
      </c>
      <c r="BH1039" t="b">
        <f>+ISNUMBER(SEARCH(#REF!,Tabla11[[#This Row],[Cuenta]],1))</f>
        <v>0</v>
      </c>
      <c r="BI1039" t="b">
        <f>+ISNUMBER(SEARCH(#REF!,Tabla11[[#This Row],[Cuenta]],1))</f>
        <v>0</v>
      </c>
      <c r="BJ1039" t="b">
        <f>+ISNUMBER(SEARCH(#REF!,Tabla11[[#This Row],[Cuenta]],1))</f>
        <v>0</v>
      </c>
      <c r="BS1039" t="str">
        <v>524520 Equipo de oficina</v>
      </c>
      <c r="BT1039" t="str">
        <v>524520 Equipo de oficina</v>
      </c>
      <c r="BU1039" t="str">
        <v>524520 Equipo de oficina</v>
      </c>
      <c r="BV1039" t="str">
        <v>524520 Equipo de oficina</v>
      </c>
      <c r="BZ1039" t="str">
        <v>524520 Equipo de oficina</v>
      </c>
      <c r="CA1039" t="str">
        <v>524520 Equipo de oficina</v>
      </c>
      <c r="CB1039" t="str">
        <v>524520 Equipo de oficina</v>
      </c>
      <c r="CC1039" t="str">
        <v>524520 Equipo de oficina</v>
      </c>
      <c r="CD1039" t="str">
        <v>524520 Equipo de oficina</v>
      </c>
      <c r="CE1039" t="str">
        <v>524520 Equipo de oficina</v>
      </c>
      <c r="CS1039" s="141" t="str">
        <v>524520 Equipo de oficina</v>
      </c>
      <c r="CT1039" s="141" t="str">
        <v>524520 Equipo de oficina</v>
      </c>
      <c r="CU1039" s="141" t="str">
        <v>524520 Equipo de oficina</v>
      </c>
      <c r="CV1039" s="141" t="str">
        <v>524520 Equipo de oficina</v>
      </c>
      <c r="CW1039" s="141" t="str">
        <v>524520 Equipo de oficina</v>
      </c>
      <c r="CX1039" s="141" t="str">
        <v>524520 Equipo de oficina</v>
      </c>
      <c r="CY1039" s="141" t="str">
        <v>524520 Equipo de oficina</v>
      </c>
      <c r="CZ1039" s="141" t="str">
        <v>524520 Equipo de oficina</v>
      </c>
      <c r="DA1039" s="141" t="str">
        <v>524520 Equipo de oficina</v>
      </c>
      <c r="DF1039" t="str">
        <v>524520 Equipo de oficina</v>
      </c>
      <c r="DG1039" t="str">
        <v>524520 Equipo de oficina</v>
      </c>
      <c r="DH1039" t="str">
        <v>524520 Equipo de oficina</v>
      </c>
      <c r="DI1039" t="str">
        <v>524520 Equipo de oficina</v>
      </c>
      <c r="DJ1039" t="str">
        <v>524520 Equipo de oficina</v>
      </c>
      <c r="DK1039" t="str">
        <v>524520 Equipo de oficina</v>
      </c>
      <c r="DL1039" t="str">
        <v>524520 Equipo de oficina</v>
      </c>
      <c r="DM1039" t="str">
        <v>524520 Equipo de oficina</v>
      </c>
      <c r="DN1039" t="str">
        <v>524520 Equipo de oficina</v>
      </c>
      <c r="DO1039" t="str">
        <v>524520 Equipo de oficina</v>
      </c>
      <c r="DP1039" t="str">
        <v>524520 Equipo de oficina</v>
      </c>
    </row>
    <row r="1040" spans="4:120" ht="12.75">
      <c r="D1040" s="7">
        <v>524525</v>
      </c>
      <c r="E1040" s="6" t="s">
        <v>130</v>
      </c>
      <c r="F1040" s="5">
        <v>4</v>
      </c>
      <c r="G1040" s="34" t="s">
        <v>830</v>
      </c>
      <c r="H1040" s="8" t="s">
        <v>32</v>
      </c>
      <c r="I1040" t="b">
        <f>+ISNUMBER(SEARCH('F-COMPRA'!$F$28,Tabla11[[#This Row],[Cuenta]],1))</f>
        <v>1</v>
      </c>
      <c r="J1040" t="b">
        <f>+ISNUMBER(SEARCH('F-COMPRA'!$F$29,Tabla11[[#This Row],[Cuenta]],1))</f>
        <v>1</v>
      </c>
      <c r="K1040" t="b">
        <f>+ISNUMBER(SEARCH('F-COMPRA'!$F$30,Tabla11[[#This Row],[Cuenta]],1))</f>
        <v>1</v>
      </c>
      <c r="L1040" t="b">
        <f>+ISNUMBER(SEARCH('F-COMPRA'!$F$31,Tabla11[[#This Row],[Cuenta]],1))</f>
        <v>1</v>
      </c>
      <c r="M1040" t="b">
        <f>+ISNUMBER(SEARCH('F-COMPRA'!$G$25,Tabla11[[#This Row],[Cuenta]],1))</f>
        <v>0</v>
      </c>
      <c r="N1040" t="b">
        <f>+ISNUMBER(SEARCH(#REF!,Tabla11[[#This Row],[Cuenta]],1))</f>
        <v>0</v>
      </c>
      <c r="O1040" t="b">
        <f>+ISNUMBER(SEARCH(#REF!,Tabla11[[#This Row],[Cuenta]],1))</f>
        <v>0</v>
      </c>
      <c r="P1040" t="b">
        <f>+ISNUMBER(SEARCH('F-COMPRA'!$F$32,Tabla11[[#This Row],[Cuenta]],1))</f>
        <v>1</v>
      </c>
      <c r="Q1040" t="b">
        <f>+ISNUMBER(SEARCH('F-COMPRA'!$F$33,Tabla11[[#This Row],[Cuenta]],1))</f>
        <v>1</v>
      </c>
      <c r="R1040" t="b">
        <f>+ISNUMBER(SEARCH('F-COMPRA'!$F$34,Tabla11[[#This Row],[Cuenta]],1))</f>
        <v>1</v>
      </c>
      <c r="S1040" t="b">
        <f>+ISNUMBER(SEARCH('F-COMPRA'!$F$35,Tabla11[[#This Row],[Cuenta]],1))</f>
        <v>1</v>
      </c>
      <c r="T1040" t="b">
        <f>+ISNUMBER(SEARCH('F-COMPRA'!$F$36,Tabla11[[#This Row],[Cuenta]],1))</f>
        <v>1</v>
      </c>
      <c r="U1040" t="b">
        <f>+ISNUMBER(SEARCH('F-COMPRA'!$F$37,Tabla11[[#This Row],[Cuenta]],1))</f>
        <v>1</v>
      </c>
      <c r="V1040" t="b">
        <f>+ISNUMBER(SEARCH(#REF!,Tabla11[[#This Row],[Cuenta]],1))</f>
        <v>0</v>
      </c>
      <c r="W1040" t="b">
        <f>+ISNUMBER(SEARCH('F-COMPRA'!#REF!,Tabla11[[#This Row],[Cuenta]],1))</f>
        <v>0</v>
      </c>
      <c r="X1040" t="b">
        <f>+ISNUMBER(SEARCH('F-COMPRA'!#REF!,Tabla11[[#This Row],[Cuenta]],1))</f>
        <v>0</v>
      </c>
      <c r="Y1040" t="b">
        <f>+ISNUMBER(SEARCH('F-COMPRA'!#REF!,Tabla11[[#This Row],[Cuenta]],1))</f>
        <v>0</v>
      </c>
      <c r="Z1040" t="b">
        <f>+ISNUMBER(SEARCH('F-COMPRA'!#REF!,Tabla11[[#This Row],[Cuenta]],1))</f>
        <v>0</v>
      </c>
      <c r="AA1040" t="b">
        <f>+ISNUMBER(SEARCH('F-COMPRA'!#REF!,Tabla11[[#This Row],[Cuenta]],1))</f>
        <v>0</v>
      </c>
      <c r="AB1040" t="b">
        <f>+ISNUMBER(SEARCH('F-COMPRA'!#REF!,Tabla11[[#This Row],[Cuenta]],1))</f>
        <v>0</v>
      </c>
      <c r="AC1040" t="b">
        <f>+ISNUMBER(SEARCH('F-COMPRA'!#REF!,Tabla11[[#This Row],[Cuenta]],1))</f>
        <v>0</v>
      </c>
      <c r="AD1040" t="b">
        <f>+ISNUMBER(SEARCH('F-COMPRA'!#REF!,Tabla11[[#This Row],[Cuenta]],1))</f>
        <v>0</v>
      </c>
      <c r="AE1040" t="b">
        <f>+ISNUMBER(SEARCH('F-COMPRA'!#REF!,Tabla11[[#This Row],[Cuenta]],1))</f>
        <v>0</v>
      </c>
      <c r="AF1040" t="b">
        <f>+ISNUMBER(SEARCH('F-VTA'!$G$23,Tabla11[[#This Row],[Cuenta]],1))</f>
        <v>0</v>
      </c>
      <c r="AG1040" t="b">
        <f>+ISNUMBER(SEARCH('F-VTA'!$G$24,Tabla11[[#This Row],[Cuenta]],1))</f>
        <v>0</v>
      </c>
      <c r="AH1040" t="b">
        <f>+ISNUMBER(SEARCH('F-VTA'!$G$25,Tabla11[[#This Row],[Cuenta]],1))</f>
        <v>0</v>
      </c>
      <c r="AI1040" t="b">
        <f>+ISNUMBER(SEARCH('F-VTA'!$F$28,Tabla11[[#This Row],[Cuenta]],1))</f>
        <v>1</v>
      </c>
      <c r="AJ1040" t="b">
        <f>+ISNUMBER(SEARCH('F-VTA'!$F$29,Tabla11[[#This Row],[Cuenta]],1))</f>
        <v>1</v>
      </c>
      <c r="AK1040" t="b">
        <f>+ISNUMBER(SEARCH('F-VTA'!$F$30,Tabla11[[#This Row],[Cuenta]],1))</f>
        <v>1</v>
      </c>
      <c r="AL1040" t="b">
        <f>+ISNUMBER(SEARCH('F-VTA'!$F$31,Tabla11[[#This Row],[Cuenta]],1))</f>
        <v>1</v>
      </c>
      <c r="AM1040" t="b">
        <f>+ISNUMBER(SEARCH('F-VTA'!$F$32,Tabla11[[#This Row],[Cuenta]],1))</f>
        <v>1</v>
      </c>
      <c r="AN1040" t="b">
        <f>+ISNUMBER(SEARCH('F-VTA'!$F$33,Tabla11[[#This Row],[Cuenta]],1))</f>
        <v>1</v>
      </c>
      <c r="AO1040" t="b">
        <f>+ISNUMBER(SEARCH('F-VTA'!$F$34,Tabla11[[#This Row],[Cuenta]],1))</f>
        <v>1</v>
      </c>
      <c r="AP1040" t="b">
        <f>+ISNUMBER(SEARCH('F-VTA'!$F$35,Tabla11[[#This Row],[Cuenta]],1))</f>
        <v>1</v>
      </c>
      <c r="AQ1040" t="b">
        <f>+ISNUMBER(SEARCH('F-VTA'!$F$36,Tabla11[[#This Row],[Cuenta]],1))</f>
        <v>1</v>
      </c>
      <c r="AR1040" t="b">
        <f>+ISNUMBER(SEARCH(#REF!,Tabla11[[#This Row],[Cuenta]],1))</f>
        <v>0</v>
      </c>
      <c r="AS1040" t="b">
        <f>+ISNUMBER(SEARCH(#REF!,Tabla11[[#This Row],[Cuenta]],1))</f>
        <v>0</v>
      </c>
      <c r="AT1040" t="b">
        <f>+ISNUMBER(SEARCH(#REF!,Tabla11[[#This Row],[Cuenta]],1))</f>
        <v>0</v>
      </c>
      <c r="AU1040" t="b">
        <f>+ISNUMBER(SEARCH('Conc. Ban.1'!$I$9,Tabla11[[#This Row],[Cuenta]],1))</f>
        <v>0</v>
      </c>
      <c r="AV1040" t="b">
        <f>+ISNUMBER(SEARCH(CompConta!$F$21,Tabla11[[#This Row],[Cuenta]],1))</f>
        <v>1</v>
      </c>
      <c r="AW1040" t="b">
        <f>+ISNUMBER(SEARCH(CompConta!$F$22,Tabla11[[#This Row],[Cuenta]],1))</f>
        <v>1</v>
      </c>
      <c r="AX1040" t="b">
        <f>+ISNUMBER(SEARCH(CompConta!$F$23,Tabla11[[#This Row],[Cuenta]],1))</f>
        <v>1</v>
      </c>
      <c r="AY1040" t="b">
        <f>+ISNUMBER(SEARCH(CompConta!$F$24,Tabla11[[#This Row],[Cuenta]],1))</f>
        <v>1</v>
      </c>
      <c r="AZ1040" t="b">
        <f>+ISNUMBER(SEARCH(CompConta!$F$25,Tabla11[[#This Row],[Cuenta]],1))</f>
        <v>1</v>
      </c>
      <c r="BA1040" t="b">
        <f>+ISNUMBER(SEARCH(CompConta!$F$26,Tabla11[[#This Row],[Cuenta]],1))</f>
        <v>1</v>
      </c>
      <c r="BB1040" t="b">
        <f>+ISNUMBER(SEARCH(CompConta!$F$27,Tabla11[[#This Row],[Cuenta]],1))</f>
        <v>1</v>
      </c>
      <c r="BC1040" t="b">
        <f>+ISNUMBER(SEARCH(CompConta!$F$28,Tabla11[[#This Row],[Cuenta]],1))</f>
        <v>1</v>
      </c>
      <c r="BD1040" t="b">
        <f>+ISNUMBER(SEARCH(CompConta!$F$29,Tabla11[[#This Row],[Cuenta]],1))</f>
        <v>1</v>
      </c>
      <c r="BE1040" t="b">
        <f>+ISNUMBER(SEARCH(CompConta!$F$30,Tabla11[[#This Row],[Cuenta]],1))</f>
        <v>1</v>
      </c>
      <c r="BF1040" t="b">
        <f>+ISNUMBER(SEARCH('PAGO Compras'!$E$11,Tabla11[[#This Row],[Cuenta]],1))</f>
        <v>1</v>
      </c>
      <c r="BG1040" t="b">
        <f>+ISNUMBER(SEARCH(#REF!,Tabla11[[#This Row],[Cuenta]],1))</f>
        <v>0</v>
      </c>
      <c r="BH1040" t="b">
        <f>+ISNUMBER(SEARCH(#REF!,Tabla11[[#This Row],[Cuenta]],1))</f>
        <v>0</v>
      </c>
      <c r="BI1040" t="b">
        <f>+ISNUMBER(SEARCH(#REF!,Tabla11[[#This Row],[Cuenta]],1))</f>
        <v>0</v>
      </c>
      <c r="BJ1040" t="b">
        <f>+ISNUMBER(SEARCH(#REF!,Tabla11[[#This Row],[Cuenta]],1))</f>
        <v>0</v>
      </c>
      <c r="BS1040" t="str">
        <v>524525 Equipo de computación y comunicación</v>
      </c>
      <c r="BT1040" t="str">
        <v>524525 Equipo de computación y comunicación</v>
      </c>
      <c r="BU1040" t="str">
        <v>524525 Equipo de computación y comunicación</v>
      </c>
      <c r="BV1040" t="str">
        <v>524525 Equipo de computación y comunicación</v>
      </c>
      <c r="BZ1040" t="str">
        <v>524525 Equipo de computación y comunicación</v>
      </c>
      <c r="CA1040" t="str">
        <v>524525 Equipo de computación y comunicación</v>
      </c>
      <c r="CB1040" t="str">
        <v>524525 Equipo de computación y comunicación</v>
      </c>
      <c r="CC1040" t="str">
        <v>524525 Equipo de computación y comunicación</v>
      </c>
      <c r="CD1040" t="str">
        <v>524525 Equipo de computación y comunicación</v>
      </c>
      <c r="CE1040" t="str">
        <v>524525 Equipo de computación y comunicación</v>
      </c>
      <c r="CS1040" s="141" t="str">
        <v>524525 Equipo de computación y comunicación</v>
      </c>
      <c r="CT1040" s="141" t="str">
        <v>524525 Equipo de computación y comunicación</v>
      </c>
      <c r="CU1040" s="141" t="str">
        <v>524525 Equipo de computación y comunicación</v>
      </c>
      <c r="CV1040" s="141" t="str">
        <v>524525 Equipo de computación y comunicación</v>
      </c>
      <c r="CW1040" s="141" t="str">
        <v>524525 Equipo de computación y comunicación</v>
      </c>
      <c r="CX1040" s="141" t="str">
        <v>524525 Equipo de computación y comunicación</v>
      </c>
      <c r="CY1040" s="141" t="str">
        <v>524525 Equipo de computación y comunicación</v>
      </c>
      <c r="CZ1040" s="141" t="str">
        <v>524525 Equipo de computación y comunicación</v>
      </c>
      <c r="DA1040" s="141" t="str">
        <v>524525 Equipo de computación y comunicación</v>
      </c>
      <c r="DF1040" t="str">
        <v>524525 Equipo de computación y comunicación</v>
      </c>
      <c r="DG1040" t="str">
        <v>524525 Equipo de computación y comunicación</v>
      </c>
      <c r="DH1040" t="str">
        <v>524525 Equipo de computación y comunicación</v>
      </c>
      <c r="DI1040" t="str">
        <v>524525 Equipo de computación y comunicación</v>
      </c>
      <c r="DJ1040" t="str">
        <v>524525 Equipo de computación y comunicación</v>
      </c>
      <c r="DK1040" t="str">
        <v>524525 Equipo de computación y comunicación</v>
      </c>
      <c r="DL1040" t="str">
        <v>524525 Equipo de computación y comunicación</v>
      </c>
      <c r="DM1040" t="str">
        <v>524525 Equipo de computación y comunicación</v>
      </c>
      <c r="DN1040" t="str">
        <v>524525 Equipo de computación y comunicación</v>
      </c>
      <c r="DO1040" t="str">
        <v>524525 Equipo de computación y comunicación</v>
      </c>
      <c r="DP1040" t="str">
        <v>524525 Equipo de computación y comunicación</v>
      </c>
    </row>
    <row r="1041" spans="4:120" ht="12.75">
      <c r="D1041" s="7">
        <v>524599</v>
      </c>
      <c r="E1041" s="6" t="s">
        <v>93</v>
      </c>
      <c r="F1041" s="5">
        <v>4</v>
      </c>
      <c r="G1041" s="34" t="s">
        <v>830</v>
      </c>
      <c r="H1041" s="8" t="s">
        <v>32</v>
      </c>
      <c r="I1041" t="b">
        <f>+ISNUMBER(SEARCH('F-COMPRA'!$F$28,Tabla11[[#This Row],[Cuenta]],1))</f>
        <v>1</v>
      </c>
      <c r="J1041" t="b">
        <f>+ISNUMBER(SEARCH('F-COMPRA'!$F$29,Tabla11[[#This Row],[Cuenta]],1))</f>
        <v>1</v>
      </c>
      <c r="K1041" t="b">
        <f>+ISNUMBER(SEARCH('F-COMPRA'!$F$30,Tabla11[[#This Row],[Cuenta]],1))</f>
        <v>1</v>
      </c>
      <c r="L1041" t="b">
        <f>+ISNUMBER(SEARCH('F-COMPRA'!$F$31,Tabla11[[#This Row],[Cuenta]],1))</f>
        <v>1</v>
      </c>
      <c r="M1041" t="b">
        <f>+ISNUMBER(SEARCH('F-COMPRA'!$G$25,Tabla11[[#This Row],[Cuenta]],1))</f>
        <v>0</v>
      </c>
      <c r="N1041" t="b">
        <f>+ISNUMBER(SEARCH(#REF!,Tabla11[[#This Row],[Cuenta]],1))</f>
        <v>0</v>
      </c>
      <c r="O1041" t="b">
        <f>+ISNUMBER(SEARCH(#REF!,Tabla11[[#This Row],[Cuenta]],1))</f>
        <v>0</v>
      </c>
      <c r="P1041" t="b">
        <f>+ISNUMBER(SEARCH('F-COMPRA'!$F$32,Tabla11[[#This Row],[Cuenta]],1))</f>
        <v>1</v>
      </c>
      <c r="Q1041" t="b">
        <f>+ISNUMBER(SEARCH('F-COMPRA'!$F$33,Tabla11[[#This Row],[Cuenta]],1))</f>
        <v>1</v>
      </c>
      <c r="R1041" t="b">
        <f>+ISNUMBER(SEARCH('F-COMPRA'!$F$34,Tabla11[[#This Row],[Cuenta]],1))</f>
        <v>1</v>
      </c>
      <c r="S1041" t="b">
        <f>+ISNUMBER(SEARCH('F-COMPRA'!$F$35,Tabla11[[#This Row],[Cuenta]],1))</f>
        <v>1</v>
      </c>
      <c r="T1041" t="b">
        <f>+ISNUMBER(SEARCH('F-COMPRA'!$F$36,Tabla11[[#This Row],[Cuenta]],1))</f>
        <v>1</v>
      </c>
      <c r="U1041" t="b">
        <f>+ISNUMBER(SEARCH('F-COMPRA'!$F$37,Tabla11[[#This Row],[Cuenta]],1))</f>
        <v>1</v>
      </c>
      <c r="V1041" t="b">
        <f>+ISNUMBER(SEARCH(#REF!,Tabla11[[#This Row],[Cuenta]],1))</f>
        <v>0</v>
      </c>
      <c r="W1041" t="b">
        <f>+ISNUMBER(SEARCH('F-COMPRA'!#REF!,Tabla11[[#This Row],[Cuenta]],1))</f>
        <v>0</v>
      </c>
      <c r="X1041" t="b">
        <f>+ISNUMBER(SEARCH('F-COMPRA'!#REF!,Tabla11[[#This Row],[Cuenta]],1))</f>
        <v>0</v>
      </c>
      <c r="Y1041" t="b">
        <f>+ISNUMBER(SEARCH('F-COMPRA'!#REF!,Tabla11[[#This Row],[Cuenta]],1))</f>
        <v>0</v>
      </c>
      <c r="Z1041" t="b">
        <f>+ISNUMBER(SEARCH('F-COMPRA'!#REF!,Tabla11[[#This Row],[Cuenta]],1))</f>
        <v>0</v>
      </c>
      <c r="AA1041" t="b">
        <f>+ISNUMBER(SEARCH('F-COMPRA'!#REF!,Tabla11[[#This Row],[Cuenta]],1))</f>
        <v>0</v>
      </c>
      <c r="AB1041" t="b">
        <f>+ISNUMBER(SEARCH('F-COMPRA'!#REF!,Tabla11[[#This Row],[Cuenta]],1))</f>
        <v>0</v>
      </c>
      <c r="AC1041" t="b">
        <f>+ISNUMBER(SEARCH('F-COMPRA'!#REF!,Tabla11[[#This Row],[Cuenta]],1))</f>
        <v>0</v>
      </c>
      <c r="AD1041" t="b">
        <f>+ISNUMBER(SEARCH('F-COMPRA'!#REF!,Tabla11[[#This Row],[Cuenta]],1))</f>
        <v>0</v>
      </c>
      <c r="AE1041" t="b">
        <f>+ISNUMBER(SEARCH('F-COMPRA'!#REF!,Tabla11[[#This Row],[Cuenta]],1))</f>
        <v>0</v>
      </c>
      <c r="AF1041" t="b">
        <f>+ISNUMBER(SEARCH('F-VTA'!$G$23,Tabla11[[#This Row],[Cuenta]],1))</f>
        <v>0</v>
      </c>
      <c r="AG1041" t="b">
        <f>+ISNUMBER(SEARCH('F-VTA'!$G$24,Tabla11[[#This Row],[Cuenta]],1))</f>
        <v>0</v>
      </c>
      <c r="AH1041" t="b">
        <f>+ISNUMBER(SEARCH('F-VTA'!$G$25,Tabla11[[#This Row],[Cuenta]],1))</f>
        <v>0</v>
      </c>
      <c r="AI1041" t="b">
        <f>+ISNUMBER(SEARCH('F-VTA'!$F$28,Tabla11[[#This Row],[Cuenta]],1))</f>
        <v>1</v>
      </c>
      <c r="AJ1041" t="b">
        <f>+ISNUMBER(SEARCH('F-VTA'!$F$29,Tabla11[[#This Row],[Cuenta]],1))</f>
        <v>1</v>
      </c>
      <c r="AK1041" t="b">
        <f>+ISNUMBER(SEARCH('F-VTA'!$F$30,Tabla11[[#This Row],[Cuenta]],1))</f>
        <v>1</v>
      </c>
      <c r="AL1041" t="b">
        <f>+ISNUMBER(SEARCH('F-VTA'!$F$31,Tabla11[[#This Row],[Cuenta]],1))</f>
        <v>1</v>
      </c>
      <c r="AM1041" t="b">
        <f>+ISNUMBER(SEARCH('F-VTA'!$F$32,Tabla11[[#This Row],[Cuenta]],1))</f>
        <v>1</v>
      </c>
      <c r="AN1041" t="b">
        <f>+ISNUMBER(SEARCH('F-VTA'!$F$33,Tabla11[[#This Row],[Cuenta]],1))</f>
        <v>1</v>
      </c>
      <c r="AO1041" t="b">
        <f>+ISNUMBER(SEARCH('F-VTA'!$F$34,Tabla11[[#This Row],[Cuenta]],1))</f>
        <v>1</v>
      </c>
      <c r="AP1041" t="b">
        <f>+ISNUMBER(SEARCH('F-VTA'!$F$35,Tabla11[[#This Row],[Cuenta]],1))</f>
        <v>1</v>
      </c>
      <c r="AQ1041" t="b">
        <f>+ISNUMBER(SEARCH('F-VTA'!$F$36,Tabla11[[#This Row],[Cuenta]],1))</f>
        <v>1</v>
      </c>
      <c r="AR1041" t="b">
        <f>+ISNUMBER(SEARCH(#REF!,Tabla11[[#This Row],[Cuenta]],1))</f>
        <v>0</v>
      </c>
      <c r="AS1041" t="b">
        <f>+ISNUMBER(SEARCH(#REF!,Tabla11[[#This Row],[Cuenta]],1))</f>
        <v>0</v>
      </c>
      <c r="AT1041" t="b">
        <f>+ISNUMBER(SEARCH(#REF!,Tabla11[[#This Row],[Cuenta]],1))</f>
        <v>0</v>
      </c>
      <c r="AU1041" t="b">
        <f>+ISNUMBER(SEARCH('Conc. Ban.1'!$I$9,Tabla11[[#This Row],[Cuenta]],1))</f>
        <v>0</v>
      </c>
      <c r="AV1041" t="b">
        <f>+ISNUMBER(SEARCH(CompConta!$F$21,Tabla11[[#This Row],[Cuenta]],1))</f>
        <v>1</v>
      </c>
      <c r="AW1041" t="b">
        <f>+ISNUMBER(SEARCH(CompConta!$F$22,Tabla11[[#This Row],[Cuenta]],1))</f>
        <v>1</v>
      </c>
      <c r="AX1041" t="b">
        <f>+ISNUMBER(SEARCH(CompConta!$F$23,Tabla11[[#This Row],[Cuenta]],1))</f>
        <v>1</v>
      </c>
      <c r="AY1041" t="b">
        <f>+ISNUMBER(SEARCH(CompConta!$F$24,Tabla11[[#This Row],[Cuenta]],1))</f>
        <v>1</v>
      </c>
      <c r="AZ1041" t="b">
        <f>+ISNUMBER(SEARCH(CompConta!$F$25,Tabla11[[#This Row],[Cuenta]],1))</f>
        <v>1</v>
      </c>
      <c r="BA1041" t="b">
        <f>+ISNUMBER(SEARCH(CompConta!$F$26,Tabla11[[#This Row],[Cuenta]],1))</f>
        <v>1</v>
      </c>
      <c r="BB1041" t="b">
        <f>+ISNUMBER(SEARCH(CompConta!$F$27,Tabla11[[#This Row],[Cuenta]],1))</f>
        <v>1</v>
      </c>
      <c r="BC1041" t="b">
        <f>+ISNUMBER(SEARCH(CompConta!$F$28,Tabla11[[#This Row],[Cuenta]],1))</f>
        <v>1</v>
      </c>
      <c r="BD1041" t="b">
        <f>+ISNUMBER(SEARCH(CompConta!$F$29,Tabla11[[#This Row],[Cuenta]],1))</f>
        <v>1</v>
      </c>
      <c r="BE1041" t="b">
        <f>+ISNUMBER(SEARCH(CompConta!$F$30,Tabla11[[#This Row],[Cuenta]],1))</f>
        <v>1</v>
      </c>
      <c r="BF1041" t="b">
        <f>+ISNUMBER(SEARCH('PAGO Compras'!$E$11,Tabla11[[#This Row],[Cuenta]],1))</f>
        <v>1</v>
      </c>
      <c r="BG1041" t="b">
        <f>+ISNUMBER(SEARCH(#REF!,Tabla11[[#This Row],[Cuenta]],1))</f>
        <v>0</v>
      </c>
      <c r="BH1041" t="b">
        <f>+ISNUMBER(SEARCH(#REF!,Tabla11[[#This Row],[Cuenta]],1))</f>
        <v>0</v>
      </c>
      <c r="BI1041" t="b">
        <f>+ISNUMBER(SEARCH(#REF!,Tabla11[[#This Row],[Cuenta]],1))</f>
        <v>0</v>
      </c>
      <c r="BJ1041" t="b">
        <f>+ISNUMBER(SEARCH(#REF!,Tabla11[[#This Row],[Cuenta]],1))</f>
        <v>0</v>
      </c>
      <c r="BS1041" t="str">
        <v>524599 *Ajustes por inflación</v>
      </c>
      <c r="BT1041" t="str">
        <v>524599 *Ajustes por inflación</v>
      </c>
      <c r="BU1041" t="str">
        <v>524599 *Ajustes por inflación</v>
      </c>
      <c r="BV1041" t="str">
        <v>524599 *Ajustes por inflación</v>
      </c>
      <c r="BZ1041" t="str">
        <v>524599 *Ajustes por inflación</v>
      </c>
      <c r="CA1041" t="str">
        <v>524599 *Ajustes por inflación</v>
      </c>
      <c r="CB1041" t="str">
        <v>524599 *Ajustes por inflación</v>
      </c>
      <c r="CC1041" t="str">
        <v>524599 *Ajustes por inflación</v>
      </c>
      <c r="CD1041" t="str">
        <v>524599 *Ajustes por inflación</v>
      </c>
      <c r="CE1041" t="str">
        <v>524599 *Ajustes por inflación</v>
      </c>
      <c r="CS1041" s="141" t="str">
        <v>524599 *Ajustes por inflación</v>
      </c>
      <c r="CT1041" s="141" t="str">
        <v>524599 *Ajustes por inflación</v>
      </c>
      <c r="CU1041" s="141" t="str">
        <v>524599 *Ajustes por inflación</v>
      </c>
      <c r="CV1041" s="141" t="str">
        <v>524599 *Ajustes por inflación</v>
      </c>
      <c r="CW1041" s="141" t="str">
        <v>524599 *Ajustes por inflación</v>
      </c>
      <c r="CX1041" s="141" t="str">
        <v>524599 *Ajustes por inflación</v>
      </c>
      <c r="CY1041" s="141" t="str">
        <v>524599 *Ajustes por inflación</v>
      </c>
      <c r="CZ1041" s="141" t="str">
        <v>524599 *Ajustes por inflación</v>
      </c>
      <c r="DA1041" s="141" t="str">
        <v>524599 *Ajustes por inflación</v>
      </c>
      <c r="DF1041" t="str">
        <v>524599 *Ajustes por inflación</v>
      </c>
      <c r="DG1041" t="str">
        <v>524599 *Ajustes por inflación</v>
      </c>
      <c r="DH1041" t="str">
        <v>524599 *Ajustes por inflación</v>
      </c>
      <c r="DI1041" t="str">
        <v>524599 *Ajustes por inflación</v>
      </c>
      <c r="DJ1041" t="str">
        <v>524599 *Ajustes por inflación</v>
      </c>
      <c r="DK1041" t="str">
        <v>524599 *Ajustes por inflación</v>
      </c>
      <c r="DL1041" t="str">
        <v>524599 *Ajustes por inflación</v>
      </c>
      <c r="DM1041" t="str">
        <v>524599 *Ajustes por inflación</v>
      </c>
      <c r="DN1041" t="str">
        <v>524599 *Ajustes por inflación</v>
      </c>
      <c r="DO1041" t="str">
        <v>524599 *Ajustes por inflación</v>
      </c>
      <c r="DP1041" t="str">
        <v>524599 *Ajustes por inflación</v>
      </c>
    </row>
    <row r="1042" spans="4:120" ht="12.75">
      <c r="D1042" s="7">
        <v>5250</v>
      </c>
      <c r="E1042" s="6" t="s">
        <v>600</v>
      </c>
      <c r="F1042" s="5">
        <v>3</v>
      </c>
      <c r="G1042" s="34" t="s">
        <v>830</v>
      </c>
      <c r="H1042" s="8" t="s">
        <v>32</v>
      </c>
      <c r="I1042" t="b">
        <f>+ISNUMBER(SEARCH('F-COMPRA'!$F$28,Tabla11[[#This Row],[Cuenta]],1))</f>
        <v>1</v>
      </c>
      <c r="J1042" t="b">
        <f>+ISNUMBER(SEARCH('F-COMPRA'!$F$29,Tabla11[[#This Row],[Cuenta]],1))</f>
        <v>1</v>
      </c>
      <c r="K1042" t="b">
        <f>+ISNUMBER(SEARCH('F-COMPRA'!$F$30,Tabla11[[#This Row],[Cuenta]],1))</f>
        <v>1</v>
      </c>
      <c r="L1042" t="b">
        <f>+ISNUMBER(SEARCH('F-COMPRA'!$F$31,Tabla11[[#This Row],[Cuenta]],1))</f>
        <v>1</v>
      </c>
      <c r="M1042" t="b">
        <f>+ISNUMBER(SEARCH('F-COMPRA'!$G$25,Tabla11[[#This Row],[Cuenta]],1))</f>
        <v>0</v>
      </c>
      <c r="N1042" t="b">
        <f>+ISNUMBER(SEARCH(#REF!,Tabla11[[#This Row],[Cuenta]],1))</f>
        <v>0</v>
      </c>
      <c r="O1042" t="b">
        <f>+ISNUMBER(SEARCH(#REF!,Tabla11[[#This Row],[Cuenta]],1))</f>
        <v>0</v>
      </c>
      <c r="P1042" t="b">
        <f>+ISNUMBER(SEARCH('F-COMPRA'!$F$32,Tabla11[[#This Row],[Cuenta]],1))</f>
        <v>1</v>
      </c>
      <c r="Q1042" t="b">
        <f>+ISNUMBER(SEARCH('F-COMPRA'!$F$33,Tabla11[[#This Row],[Cuenta]],1))</f>
        <v>1</v>
      </c>
      <c r="R1042" t="b">
        <f>+ISNUMBER(SEARCH('F-COMPRA'!$F$34,Tabla11[[#This Row],[Cuenta]],1))</f>
        <v>1</v>
      </c>
      <c r="S1042" t="b">
        <f>+ISNUMBER(SEARCH('F-COMPRA'!$F$35,Tabla11[[#This Row],[Cuenta]],1))</f>
        <v>1</v>
      </c>
      <c r="T1042" t="b">
        <f>+ISNUMBER(SEARCH('F-COMPRA'!$F$36,Tabla11[[#This Row],[Cuenta]],1))</f>
        <v>1</v>
      </c>
      <c r="U1042" t="b">
        <f>+ISNUMBER(SEARCH('F-COMPRA'!$F$37,Tabla11[[#This Row],[Cuenta]],1))</f>
        <v>1</v>
      </c>
      <c r="V1042" t="b">
        <f>+ISNUMBER(SEARCH(#REF!,Tabla11[[#This Row],[Cuenta]],1))</f>
        <v>0</v>
      </c>
      <c r="W1042" t="b">
        <f>+ISNUMBER(SEARCH('F-COMPRA'!#REF!,Tabla11[[#This Row],[Cuenta]],1))</f>
        <v>0</v>
      </c>
      <c r="X1042" t="b">
        <f>+ISNUMBER(SEARCH('F-COMPRA'!#REF!,Tabla11[[#This Row],[Cuenta]],1))</f>
        <v>0</v>
      </c>
      <c r="Y1042" t="b">
        <f>+ISNUMBER(SEARCH('F-COMPRA'!#REF!,Tabla11[[#This Row],[Cuenta]],1))</f>
        <v>0</v>
      </c>
      <c r="Z1042" t="b">
        <f>+ISNUMBER(SEARCH('F-COMPRA'!#REF!,Tabla11[[#This Row],[Cuenta]],1))</f>
        <v>0</v>
      </c>
      <c r="AA1042" t="b">
        <f>+ISNUMBER(SEARCH('F-COMPRA'!#REF!,Tabla11[[#This Row],[Cuenta]],1))</f>
        <v>0</v>
      </c>
      <c r="AB1042" t="b">
        <f>+ISNUMBER(SEARCH('F-COMPRA'!#REF!,Tabla11[[#This Row],[Cuenta]],1))</f>
        <v>0</v>
      </c>
      <c r="AC1042" t="b">
        <f>+ISNUMBER(SEARCH('F-COMPRA'!#REF!,Tabla11[[#This Row],[Cuenta]],1))</f>
        <v>0</v>
      </c>
      <c r="AD1042" t="b">
        <f>+ISNUMBER(SEARCH('F-COMPRA'!#REF!,Tabla11[[#This Row],[Cuenta]],1))</f>
        <v>0</v>
      </c>
      <c r="AE1042" t="b">
        <f>+ISNUMBER(SEARCH('F-COMPRA'!#REF!,Tabla11[[#This Row],[Cuenta]],1))</f>
        <v>0</v>
      </c>
      <c r="AF1042" t="b">
        <f>+ISNUMBER(SEARCH('F-VTA'!$G$23,Tabla11[[#This Row],[Cuenta]],1))</f>
        <v>0</v>
      </c>
      <c r="AG1042" t="b">
        <f>+ISNUMBER(SEARCH('F-VTA'!$G$24,Tabla11[[#This Row],[Cuenta]],1))</f>
        <v>0</v>
      </c>
      <c r="AH1042" t="b">
        <f>+ISNUMBER(SEARCH('F-VTA'!$G$25,Tabla11[[#This Row],[Cuenta]],1))</f>
        <v>0</v>
      </c>
      <c r="AI1042" t="b">
        <f>+ISNUMBER(SEARCH('F-VTA'!$F$28,Tabla11[[#This Row],[Cuenta]],1))</f>
        <v>1</v>
      </c>
      <c r="AJ1042" t="b">
        <f>+ISNUMBER(SEARCH('F-VTA'!$F$29,Tabla11[[#This Row],[Cuenta]],1))</f>
        <v>1</v>
      </c>
      <c r="AK1042" t="b">
        <f>+ISNUMBER(SEARCH('F-VTA'!$F$30,Tabla11[[#This Row],[Cuenta]],1))</f>
        <v>1</v>
      </c>
      <c r="AL1042" t="b">
        <f>+ISNUMBER(SEARCH('F-VTA'!$F$31,Tabla11[[#This Row],[Cuenta]],1))</f>
        <v>1</v>
      </c>
      <c r="AM1042" t="b">
        <f>+ISNUMBER(SEARCH('F-VTA'!$F$32,Tabla11[[#This Row],[Cuenta]],1))</f>
        <v>1</v>
      </c>
      <c r="AN1042" t="b">
        <f>+ISNUMBER(SEARCH('F-VTA'!$F$33,Tabla11[[#This Row],[Cuenta]],1))</f>
        <v>1</v>
      </c>
      <c r="AO1042" t="b">
        <f>+ISNUMBER(SEARCH('F-VTA'!$F$34,Tabla11[[#This Row],[Cuenta]],1))</f>
        <v>1</v>
      </c>
      <c r="AP1042" t="b">
        <f>+ISNUMBER(SEARCH('F-VTA'!$F$35,Tabla11[[#This Row],[Cuenta]],1))</f>
        <v>1</v>
      </c>
      <c r="AQ1042" t="b">
        <f>+ISNUMBER(SEARCH('F-VTA'!$F$36,Tabla11[[#This Row],[Cuenta]],1))</f>
        <v>1</v>
      </c>
      <c r="AR1042" t="b">
        <f>+ISNUMBER(SEARCH(#REF!,Tabla11[[#This Row],[Cuenta]],1))</f>
        <v>0</v>
      </c>
      <c r="AS1042" t="b">
        <f>+ISNUMBER(SEARCH(#REF!,Tabla11[[#This Row],[Cuenta]],1))</f>
        <v>0</v>
      </c>
      <c r="AT1042" t="b">
        <f>+ISNUMBER(SEARCH(#REF!,Tabla11[[#This Row],[Cuenta]],1))</f>
        <v>0</v>
      </c>
      <c r="AU1042" t="b">
        <f>+ISNUMBER(SEARCH('Conc. Ban.1'!$I$9,Tabla11[[#This Row],[Cuenta]],1))</f>
        <v>0</v>
      </c>
      <c r="AV1042" t="b">
        <f>+ISNUMBER(SEARCH(CompConta!$F$21,Tabla11[[#This Row],[Cuenta]],1))</f>
        <v>1</v>
      </c>
      <c r="AW1042" t="b">
        <f>+ISNUMBER(SEARCH(CompConta!$F$22,Tabla11[[#This Row],[Cuenta]],1))</f>
        <v>1</v>
      </c>
      <c r="AX1042" t="b">
        <f>+ISNUMBER(SEARCH(CompConta!$F$23,Tabla11[[#This Row],[Cuenta]],1))</f>
        <v>1</v>
      </c>
      <c r="AY1042" t="b">
        <f>+ISNUMBER(SEARCH(CompConta!$F$24,Tabla11[[#This Row],[Cuenta]],1))</f>
        <v>1</v>
      </c>
      <c r="AZ1042" t="b">
        <f>+ISNUMBER(SEARCH(CompConta!$F$25,Tabla11[[#This Row],[Cuenta]],1))</f>
        <v>1</v>
      </c>
      <c r="BA1042" t="b">
        <f>+ISNUMBER(SEARCH(CompConta!$F$26,Tabla11[[#This Row],[Cuenta]],1))</f>
        <v>1</v>
      </c>
      <c r="BB1042" t="b">
        <f>+ISNUMBER(SEARCH(CompConta!$F$27,Tabla11[[#This Row],[Cuenta]],1))</f>
        <v>1</v>
      </c>
      <c r="BC1042" t="b">
        <f>+ISNUMBER(SEARCH(CompConta!$F$28,Tabla11[[#This Row],[Cuenta]],1))</f>
        <v>1</v>
      </c>
      <c r="BD1042" t="b">
        <f>+ISNUMBER(SEARCH(CompConta!$F$29,Tabla11[[#This Row],[Cuenta]],1))</f>
        <v>1</v>
      </c>
      <c r="BE1042" t="b">
        <f>+ISNUMBER(SEARCH(CompConta!$F$30,Tabla11[[#This Row],[Cuenta]],1))</f>
        <v>1</v>
      </c>
      <c r="BF1042" t="b">
        <f>+ISNUMBER(SEARCH('PAGO Compras'!$E$11,Tabla11[[#This Row],[Cuenta]],1))</f>
        <v>1</v>
      </c>
      <c r="BG1042" t="b">
        <f>+ISNUMBER(SEARCH(#REF!,Tabla11[[#This Row],[Cuenta]],1))</f>
        <v>0</v>
      </c>
      <c r="BH1042" t="b">
        <f>+ISNUMBER(SEARCH(#REF!,Tabla11[[#This Row],[Cuenta]],1))</f>
        <v>0</v>
      </c>
      <c r="BI1042" t="b">
        <f>+ISNUMBER(SEARCH(#REF!,Tabla11[[#This Row],[Cuenta]],1))</f>
        <v>0</v>
      </c>
      <c r="BJ1042" t="b">
        <f>+ISNUMBER(SEARCH(#REF!,Tabla11[[#This Row],[Cuenta]],1))</f>
        <v>0</v>
      </c>
      <c r="BS1042" t="str">
        <v>5250 ADECUACIÓN E INSTALACIÓN</v>
      </c>
      <c r="BT1042" t="str">
        <v>5250 ADECUACIÓN E INSTALACIÓN</v>
      </c>
      <c r="BU1042" t="str">
        <v>5250 ADECUACIÓN E INSTALACIÓN</v>
      </c>
      <c r="BV1042" t="str">
        <v>5250 ADECUACIÓN E INSTALACIÓN</v>
      </c>
      <c r="BZ1042" t="str">
        <v>5250 ADECUACIÓN E INSTALACIÓN</v>
      </c>
      <c r="CA1042" t="str">
        <v>5250 ADECUACIÓN E INSTALACIÓN</v>
      </c>
      <c r="CB1042" t="str">
        <v>5250 ADECUACIÓN E INSTALACIÓN</v>
      </c>
      <c r="CC1042" t="str">
        <v>5250 ADECUACIÓN E INSTALACIÓN</v>
      </c>
      <c r="CD1042" t="str">
        <v>5250 ADECUACIÓN E INSTALACIÓN</v>
      </c>
      <c r="CE1042" t="str">
        <v>5250 ADECUACIÓN E INSTALACIÓN</v>
      </c>
      <c r="CS1042" s="141" t="str">
        <v>5250 ADECUACIÓN E INSTALACIÓN</v>
      </c>
      <c r="CT1042" s="141" t="str">
        <v>5250 ADECUACIÓN E INSTALACIÓN</v>
      </c>
      <c r="CU1042" s="141" t="str">
        <v>5250 ADECUACIÓN E INSTALACIÓN</v>
      </c>
      <c r="CV1042" s="141" t="str">
        <v>5250 ADECUACIÓN E INSTALACIÓN</v>
      </c>
      <c r="CW1042" s="141" t="str">
        <v>5250 ADECUACIÓN E INSTALACIÓN</v>
      </c>
      <c r="CX1042" s="141" t="str">
        <v>5250 ADECUACIÓN E INSTALACIÓN</v>
      </c>
      <c r="CY1042" s="141" t="str">
        <v>5250 ADECUACIÓN E INSTALACIÓN</v>
      </c>
      <c r="CZ1042" s="141" t="str">
        <v>5250 ADECUACIÓN E INSTALACIÓN</v>
      </c>
      <c r="DA1042" s="141" t="str">
        <v>5250 ADECUACIÓN E INSTALACIÓN</v>
      </c>
      <c r="DF1042" t="str">
        <v>5250 ADECUACIÓN E INSTALACIÓN</v>
      </c>
      <c r="DG1042" t="str">
        <v>5250 ADECUACIÓN E INSTALACIÓN</v>
      </c>
      <c r="DH1042" t="str">
        <v>5250 ADECUACIÓN E INSTALACIÓN</v>
      </c>
      <c r="DI1042" t="str">
        <v>5250 ADECUACIÓN E INSTALACIÓN</v>
      </c>
      <c r="DJ1042" t="str">
        <v>5250 ADECUACIÓN E INSTALACIÓN</v>
      </c>
      <c r="DK1042" t="str">
        <v>5250 ADECUACIÓN E INSTALACIÓN</v>
      </c>
      <c r="DL1042" t="str">
        <v>5250 ADECUACIÓN E INSTALACIÓN</v>
      </c>
      <c r="DM1042" t="str">
        <v>5250 ADECUACIÓN E INSTALACIÓN</v>
      </c>
      <c r="DN1042" t="str">
        <v>5250 ADECUACIÓN E INSTALACIÓN</v>
      </c>
      <c r="DO1042" t="str">
        <v>5250 ADECUACIÓN E INSTALACIÓN</v>
      </c>
      <c r="DP1042" t="str">
        <v>5250 ADECUACIÓN E INSTALACIÓN</v>
      </c>
    </row>
    <row r="1043" spans="4:120" ht="12.75">
      <c r="D1043" s="7">
        <v>525005</v>
      </c>
      <c r="E1043" s="6" t="s">
        <v>601</v>
      </c>
      <c r="F1043" s="5">
        <v>4</v>
      </c>
      <c r="G1043" s="34" t="s">
        <v>830</v>
      </c>
      <c r="H1043" s="8" t="s">
        <v>32</v>
      </c>
      <c r="I1043" t="b">
        <f>+ISNUMBER(SEARCH('F-COMPRA'!$F$28,Tabla11[[#This Row],[Cuenta]],1))</f>
        <v>1</v>
      </c>
      <c r="J1043" t="b">
        <f>+ISNUMBER(SEARCH('F-COMPRA'!$F$29,Tabla11[[#This Row],[Cuenta]],1))</f>
        <v>1</v>
      </c>
      <c r="K1043" t="b">
        <f>+ISNUMBER(SEARCH('F-COMPRA'!$F$30,Tabla11[[#This Row],[Cuenta]],1))</f>
        <v>1</v>
      </c>
      <c r="L1043" t="b">
        <f>+ISNUMBER(SEARCH('F-COMPRA'!$F$31,Tabla11[[#This Row],[Cuenta]],1))</f>
        <v>1</v>
      </c>
      <c r="M1043" t="b">
        <f>+ISNUMBER(SEARCH('F-COMPRA'!$G$25,Tabla11[[#This Row],[Cuenta]],1))</f>
        <v>0</v>
      </c>
      <c r="N1043" t="b">
        <f>+ISNUMBER(SEARCH(#REF!,Tabla11[[#This Row],[Cuenta]],1))</f>
        <v>0</v>
      </c>
      <c r="O1043" t="b">
        <f>+ISNUMBER(SEARCH(#REF!,Tabla11[[#This Row],[Cuenta]],1))</f>
        <v>0</v>
      </c>
      <c r="P1043" t="b">
        <f>+ISNUMBER(SEARCH('F-COMPRA'!$F$32,Tabla11[[#This Row],[Cuenta]],1))</f>
        <v>1</v>
      </c>
      <c r="Q1043" t="b">
        <f>+ISNUMBER(SEARCH('F-COMPRA'!$F$33,Tabla11[[#This Row],[Cuenta]],1))</f>
        <v>1</v>
      </c>
      <c r="R1043" t="b">
        <f>+ISNUMBER(SEARCH('F-COMPRA'!$F$34,Tabla11[[#This Row],[Cuenta]],1))</f>
        <v>1</v>
      </c>
      <c r="S1043" t="b">
        <f>+ISNUMBER(SEARCH('F-COMPRA'!$F$35,Tabla11[[#This Row],[Cuenta]],1))</f>
        <v>1</v>
      </c>
      <c r="T1043" t="b">
        <f>+ISNUMBER(SEARCH('F-COMPRA'!$F$36,Tabla11[[#This Row],[Cuenta]],1))</f>
        <v>1</v>
      </c>
      <c r="U1043" t="b">
        <f>+ISNUMBER(SEARCH('F-COMPRA'!$F$37,Tabla11[[#This Row],[Cuenta]],1))</f>
        <v>1</v>
      </c>
      <c r="V1043" t="b">
        <f>+ISNUMBER(SEARCH(#REF!,Tabla11[[#This Row],[Cuenta]],1))</f>
        <v>0</v>
      </c>
      <c r="W1043" t="b">
        <f>+ISNUMBER(SEARCH('F-COMPRA'!#REF!,Tabla11[[#This Row],[Cuenta]],1))</f>
        <v>0</v>
      </c>
      <c r="X1043" t="b">
        <f>+ISNUMBER(SEARCH('F-COMPRA'!#REF!,Tabla11[[#This Row],[Cuenta]],1))</f>
        <v>0</v>
      </c>
      <c r="Y1043" t="b">
        <f>+ISNUMBER(SEARCH('F-COMPRA'!#REF!,Tabla11[[#This Row],[Cuenta]],1))</f>
        <v>0</v>
      </c>
      <c r="Z1043" t="b">
        <f>+ISNUMBER(SEARCH('F-COMPRA'!#REF!,Tabla11[[#This Row],[Cuenta]],1))</f>
        <v>0</v>
      </c>
      <c r="AA1043" t="b">
        <f>+ISNUMBER(SEARCH('F-COMPRA'!#REF!,Tabla11[[#This Row],[Cuenta]],1))</f>
        <v>0</v>
      </c>
      <c r="AB1043" t="b">
        <f>+ISNUMBER(SEARCH('F-COMPRA'!#REF!,Tabla11[[#This Row],[Cuenta]],1))</f>
        <v>0</v>
      </c>
      <c r="AC1043" t="b">
        <f>+ISNUMBER(SEARCH('F-COMPRA'!#REF!,Tabla11[[#This Row],[Cuenta]],1))</f>
        <v>0</v>
      </c>
      <c r="AD1043" t="b">
        <f>+ISNUMBER(SEARCH('F-COMPRA'!#REF!,Tabla11[[#This Row],[Cuenta]],1))</f>
        <v>0</v>
      </c>
      <c r="AE1043" t="b">
        <f>+ISNUMBER(SEARCH('F-COMPRA'!#REF!,Tabla11[[#This Row],[Cuenta]],1))</f>
        <v>0</v>
      </c>
      <c r="AF1043" t="b">
        <f>+ISNUMBER(SEARCH('F-VTA'!$G$23,Tabla11[[#This Row],[Cuenta]],1))</f>
        <v>0</v>
      </c>
      <c r="AG1043" t="b">
        <f>+ISNUMBER(SEARCH('F-VTA'!$G$24,Tabla11[[#This Row],[Cuenta]],1))</f>
        <v>0</v>
      </c>
      <c r="AH1043" t="b">
        <f>+ISNUMBER(SEARCH('F-VTA'!$G$25,Tabla11[[#This Row],[Cuenta]],1))</f>
        <v>0</v>
      </c>
      <c r="AI1043" t="b">
        <f>+ISNUMBER(SEARCH('F-VTA'!$F$28,Tabla11[[#This Row],[Cuenta]],1))</f>
        <v>1</v>
      </c>
      <c r="AJ1043" t="b">
        <f>+ISNUMBER(SEARCH('F-VTA'!$F$29,Tabla11[[#This Row],[Cuenta]],1))</f>
        <v>1</v>
      </c>
      <c r="AK1043" t="b">
        <f>+ISNUMBER(SEARCH('F-VTA'!$F$30,Tabla11[[#This Row],[Cuenta]],1))</f>
        <v>1</v>
      </c>
      <c r="AL1043" t="b">
        <f>+ISNUMBER(SEARCH('F-VTA'!$F$31,Tabla11[[#This Row],[Cuenta]],1))</f>
        <v>1</v>
      </c>
      <c r="AM1043" t="b">
        <f>+ISNUMBER(SEARCH('F-VTA'!$F$32,Tabla11[[#This Row],[Cuenta]],1))</f>
        <v>1</v>
      </c>
      <c r="AN1043" t="b">
        <f>+ISNUMBER(SEARCH('F-VTA'!$F$33,Tabla11[[#This Row],[Cuenta]],1))</f>
        <v>1</v>
      </c>
      <c r="AO1043" t="b">
        <f>+ISNUMBER(SEARCH('F-VTA'!$F$34,Tabla11[[#This Row],[Cuenta]],1))</f>
        <v>1</v>
      </c>
      <c r="AP1043" t="b">
        <f>+ISNUMBER(SEARCH('F-VTA'!$F$35,Tabla11[[#This Row],[Cuenta]],1))</f>
        <v>1</v>
      </c>
      <c r="AQ1043" t="b">
        <f>+ISNUMBER(SEARCH('F-VTA'!$F$36,Tabla11[[#This Row],[Cuenta]],1))</f>
        <v>1</v>
      </c>
      <c r="AR1043" t="b">
        <f>+ISNUMBER(SEARCH(#REF!,Tabla11[[#This Row],[Cuenta]],1))</f>
        <v>0</v>
      </c>
      <c r="AS1043" t="b">
        <f>+ISNUMBER(SEARCH(#REF!,Tabla11[[#This Row],[Cuenta]],1))</f>
        <v>0</v>
      </c>
      <c r="AT1043" t="b">
        <f>+ISNUMBER(SEARCH(#REF!,Tabla11[[#This Row],[Cuenta]],1))</f>
        <v>0</v>
      </c>
      <c r="AU1043" t="b">
        <f>+ISNUMBER(SEARCH('Conc. Ban.1'!$I$9,Tabla11[[#This Row],[Cuenta]],1))</f>
        <v>0</v>
      </c>
      <c r="AV1043" t="b">
        <f>+ISNUMBER(SEARCH(CompConta!$F$21,Tabla11[[#This Row],[Cuenta]],1))</f>
        <v>1</v>
      </c>
      <c r="AW1043" t="b">
        <f>+ISNUMBER(SEARCH(CompConta!$F$22,Tabla11[[#This Row],[Cuenta]],1))</f>
        <v>1</v>
      </c>
      <c r="AX1043" t="b">
        <f>+ISNUMBER(SEARCH(CompConta!$F$23,Tabla11[[#This Row],[Cuenta]],1))</f>
        <v>1</v>
      </c>
      <c r="AY1043" t="b">
        <f>+ISNUMBER(SEARCH(CompConta!$F$24,Tabla11[[#This Row],[Cuenta]],1))</f>
        <v>1</v>
      </c>
      <c r="AZ1043" t="b">
        <f>+ISNUMBER(SEARCH(CompConta!$F$25,Tabla11[[#This Row],[Cuenta]],1))</f>
        <v>1</v>
      </c>
      <c r="BA1043" t="b">
        <f>+ISNUMBER(SEARCH(CompConta!$F$26,Tabla11[[#This Row],[Cuenta]],1))</f>
        <v>1</v>
      </c>
      <c r="BB1043" t="b">
        <f>+ISNUMBER(SEARCH(CompConta!$F$27,Tabla11[[#This Row],[Cuenta]],1))</f>
        <v>1</v>
      </c>
      <c r="BC1043" t="b">
        <f>+ISNUMBER(SEARCH(CompConta!$F$28,Tabla11[[#This Row],[Cuenta]],1))</f>
        <v>1</v>
      </c>
      <c r="BD1043" t="b">
        <f>+ISNUMBER(SEARCH(CompConta!$F$29,Tabla11[[#This Row],[Cuenta]],1))</f>
        <v>1</v>
      </c>
      <c r="BE1043" t="b">
        <f>+ISNUMBER(SEARCH(CompConta!$F$30,Tabla11[[#This Row],[Cuenta]],1))</f>
        <v>1</v>
      </c>
      <c r="BF1043" t="b">
        <f>+ISNUMBER(SEARCH('PAGO Compras'!$E$11,Tabla11[[#This Row],[Cuenta]],1))</f>
        <v>1</v>
      </c>
      <c r="BG1043" t="b">
        <f>+ISNUMBER(SEARCH(#REF!,Tabla11[[#This Row],[Cuenta]],1))</f>
        <v>0</v>
      </c>
      <c r="BH1043" t="b">
        <f>+ISNUMBER(SEARCH(#REF!,Tabla11[[#This Row],[Cuenta]],1))</f>
        <v>0</v>
      </c>
      <c r="BI1043" t="b">
        <f>+ISNUMBER(SEARCH(#REF!,Tabla11[[#This Row],[Cuenta]],1))</f>
        <v>0</v>
      </c>
      <c r="BJ1043" t="b">
        <f>+ISNUMBER(SEARCH(#REF!,Tabla11[[#This Row],[Cuenta]],1))</f>
        <v>0</v>
      </c>
      <c r="BS1043" t="str">
        <v>525005 Instalaciones eléctricas</v>
      </c>
      <c r="BT1043" t="str">
        <v>525005 Instalaciones eléctricas</v>
      </c>
      <c r="BU1043" t="str">
        <v>525005 Instalaciones eléctricas</v>
      </c>
      <c r="BV1043" t="str">
        <v>525005 Instalaciones eléctricas</v>
      </c>
      <c r="BZ1043" t="str">
        <v>525005 Instalaciones eléctricas</v>
      </c>
      <c r="CA1043" t="str">
        <v>525005 Instalaciones eléctricas</v>
      </c>
      <c r="CB1043" t="str">
        <v>525005 Instalaciones eléctricas</v>
      </c>
      <c r="CC1043" t="str">
        <v>525005 Instalaciones eléctricas</v>
      </c>
      <c r="CD1043" t="str">
        <v>525005 Instalaciones eléctricas</v>
      </c>
      <c r="CE1043" t="str">
        <v>525005 Instalaciones eléctricas</v>
      </c>
      <c r="CS1043" s="141" t="str">
        <v>525005 Instalaciones eléctricas</v>
      </c>
      <c r="CT1043" s="141" t="str">
        <v>525005 Instalaciones eléctricas</v>
      </c>
      <c r="CU1043" s="141" t="str">
        <v>525005 Instalaciones eléctricas</v>
      </c>
      <c r="CV1043" s="141" t="str">
        <v>525005 Instalaciones eléctricas</v>
      </c>
      <c r="CW1043" s="141" t="str">
        <v>525005 Instalaciones eléctricas</v>
      </c>
      <c r="CX1043" s="141" t="str">
        <v>525005 Instalaciones eléctricas</v>
      </c>
      <c r="CY1043" s="141" t="str">
        <v>525005 Instalaciones eléctricas</v>
      </c>
      <c r="CZ1043" s="141" t="str">
        <v>525005 Instalaciones eléctricas</v>
      </c>
      <c r="DA1043" s="141" t="str">
        <v>525005 Instalaciones eléctricas</v>
      </c>
      <c r="DF1043" t="str">
        <v>525005 Instalaciones eléctricas</v>
      </c>
      <c r="DG1043" t="str">
        <v>525005 Instalaciones eléctricas</v>
      </c>
      <c r="DH1043" t="str">
        <v>525005 Instalaciones eléctricas</v>
      </c>
      <c r="DI1043" t="str">
        <v>525005 Instalaciones eléctricas</v>
      </c>
      <c r="DJ1043" t="str">
        <v>525005 Instalaciones eléctricas</v>
      </c>
      <c r="DK1043" t="str">
        <v>525005 Instalaciones eléctricas</v>
      </c>
      <c r="DL1043" t="str">
        <v>525005 Instalaciones eléctricas</v>
      </c>
      <c r="DM1043" t="str">
        <v>525005 Instalaciones eléctricas</v>
      </c>
      <c r="DN1043" t="str">
        <v>525005 Instalaciones eléctricas</v>
      </c>
      <c r="DO1043" t="str">
        <v>525005 Instalaciones eléctricas</v>
      </c>
      <c r="DP1043" t="str">
        <v>525005 Instalaciones eléctricas</v>
      </c>
    </row>
    <row r="1044" spans="4:120" ht="12.75">
      <c r="D1044" s="7">
        <v>525010</v>
      </c>
      <c r="E1044" s="6" t="s">
        <v>602</v>
      </c>
      <c r="F1044" s="5">
        <v>4</v>
      </c>
      <c r="G1044" s="34" t="s">
        <v>830</v>
      </c>
      <c r="H1044" s="8" t="s">
        <v>32</v>
      </c>
      <c r="I1044" t="b">
        <f>+ISNUMBER(SEARCH('F-COMPRA'!$F$28,Tabla11[[#This Row],[Cuenta]],1))</f>
        <v>1</v>
      </c>
      <c r="J1044" t="b">
        <f>+ISNUMBER(SEARCH('F-COMPRA'!$F$29,Tabla11[[#This Row],[Cuenta]],1))</f>
        <v>1</v>
      </c>
      <c r="K1044" t="b">
        <f>+ISNUMBER(SEARCH('F-COMPRA'!$F$30,Tabla11[[#This Row],[Cuenta]],1))</f>
        <v>1</v>
      </c>
      <c r="L1044" t="b">
        <f>+ISNUMBER(SEARCH('F-COMPRA'!$F$31,Tabla11[[#This Row],[Cuenta]],1))</f>
        <v>1</v>
      </c>
      <c r="M1044" t="b">
        <f>+ISNUMBER(SEARCH('F-COMPRA'!$G$25,Tabla11[[#This Row],[Cuenta]],1))</f>
        <v>0</v>
      </c>
      <c r="N1044" t="b">
        <f>+ISNUMBER(SEARCH(#REF!,Tabla11[[#This Row],[Cuenta]],1))</f>
        <v>0</v>
      </c>
      <c r="O1044" t="b">
        <f>+ISNUMBER(SEARCH(#REF!,Tabla11[[#This Row],[Cuenta]],1))</f>
        <v>0</v>
      </c>
      <c r="P1044" t="b">
        <f>+ISNUMBER(SEARCH('F-COMPRA'!$F$32,Tabla11[[#This Row],[Cuenta]],1))</f>
        <v>1</v>
      </c>
      <c r="Q1044" t="b">
        <f>+ISNUMBER(SEARCH('F-COMPRA'!$F$33,Tabla11[[#This Row],[Cuenta]],1))</f>
        <v>1</v>
      </c>
      <c r="R1044" t="b">
        <f>+ISNUMBER(SEARCH('F-COMPRA'!$F$34,Tabla11[[#This Row],[Cuenta]],1))</f>
        <v>1</v>
      </c>
      <c r="S1044" t="b">
        <f>+ISNUMBER(SEARCH('F-COMPRA'!$F$35,Tabla11[[#This Row],[Cuenta]],1))</f>
        <v>1</v>
      </c>
      <c r="T1044" t="b">
        <f>+ISNUMBER(SEARCH('F-COMPRA'!$F$36,Tabla11[[#This Row],[Cuenta]],1))</f>
        <v>1</v>
      </c>
      <c r="U1044" t="b">
        <f>+ISNUMBER(SEARCH('F-COMPRA'!$F$37,Tabla11[[#This Row],[Cuenta]],1))</f>
        <v>1</v>
      </c>
      <c r="V1044" t="b">
        <f>+ISNUMBER(SEARCH(#REF!,Tabla11[[#This Row],[Cuenta]],1))</f>
        <v>0</v>
      </c>
      <c r="W1044" t="b">
        <f>+ISNUMBER(SEARCH('F-COMPRA'!#REF!,Tabla11[[#This Row],[Cuenta]],1))</f>
        <v>0</v>
      </c>
      <c r="X1044" t="b">
        <f>+ISNUMBER(SEARCH('F-COMPRA'!#REF!,Tabla11[[#This Row],[Cuenta]],1))</f>
        <v>0</v>
      </c>
      <c r="Y1044" t="b">
        <f>+ISNUMBER(SEARCH('F-COMPRA'!#REF!,Tabla11[[#This Row],[Cuenta]],1))</f>
        <v>0</v>
      </c>
      <c r="Z1044" t="b">
        <f>+ISNUMBER(SEARCH('F-COMPRA'!#REF!,Tabla11[[#This Row],[Cuenta]],1))</f>
        <v>0</v>
      </c>
      <c r="AA1044" t="b">
        <f>+ISNUMBER(SEARCH('F-COMPRA'!#REF!,Tabla11[[#This Row],[Cuenta]],1))</f>
        <v>0</v>
      </c>
      <c r="AB1044" t="b">
        <f>+ISNUMBER(SEARCH('F-COMPRA'!#REF!,Tabla11[[#This Row],[Cuenta]],1))</f>
        <v>0</v>
      </c>
      <c r="AC1044" t="b">
        <f>+ISNUMBER(SEARCH('F-COMPRA'!#REF!,Tabla11[[#This Row],[Cuenta]],1))</f>
        <v>0</v>
      </c>
      <c r="AD1044" t="b">
        <f>+ISNUMBER(SEARCH('F-COMPRA'!#REF!,Tabla11[[#This Row],[Cuenta]],1))</f>
        <v>0</v>
      </c>
      <c r="AE1044" t="b">
        <f>+ISNUMBER(SEARCH('F-COMPRA'!#REF!,Tabla11[[#This Row],[Cuenta]],1))</f>
        <v>0</v>
      </c>
      <c r="AF1044" t="b">
        <f>+ISNUMBER(SEARCH('F-VTA'!$G$23,Tabla11[[#This Row],[Cuenta]],1))</f>
        <v>0</v>
      </c>
      <c r="AG1044" t="b">
        <f>+ISNUMBER(SEARCH('F-VTA'!$G$24,Tabla11[[#This Row],[Cuenta]],1))</f>
        <v>0</v>
      </c>
      <c r="AH1044" t="b">
        <f>+ISNUMBER(SEARCH('F-VTA'!$G$25,Tabla11[[#This Row],[Cuenta]],1))</f>
        <v>0</v>
      </c>
      <c r="AI1044" t="b">
        <f>+ISNUMBER(SEARCH('F-VTA'!$F$28,Tabla11[[#This Row],[Cuenta]],1))</f>
        <v>1</v>
      </c>
      <c r="AJ1044" t="b">
        <f>+ISNUMBER(SEARCH('F-VTA'!$F$29,Tabla11[[#This Row],[Cuenta]],1))</f>
        <v>1</v>
      </c>
      <c r="AK1044" t="b">
        <f>+ISNUMBER(SEARCH('F-VTA'!$F$30,Tabla11[[#This Row],[Cuenta]],1))</f>
        <v>1</v>
      </c>
      <c r="AL1044" t="b">
        <f>+ISNUMBER(SEARCH('F-VTA'!$F$31,Tabla11[[#This Row],[Cuenta]],1))</f>
        <v>1</v>
      </c>
      <c r="AM1044" t="b">
        <f>+ISNUMBER(SEARCH('F-VTA'!$F$32,Tabla11[[#This Row],[Cuenta]],1))</f>
        <v>1</v>
      </c>
      <c r="AN1044" t="b">
        <f>+ISNUMBER(SEARCH('F-VTA'!$F$33,Tabla11[[#This Row],[Cuenta]],1))</f>
        <v>1</v>
      </c>
      <c r="AO1044" t="b">
        <f>+ISNUMBER(SEARCH('F-VTA'!$F$34,Tabla11[[#This Row],[Cuenta]],1))</f>
        <v>1</v>
      </c>
      <c r="AP1044" t="b">
        <f>+ISNUMBER(SEARCH('F-VTA'!$F$35,Tabla11[[#This Row],[Cuenta]],1))</f>
        <v>1</v>
      </c>
      <c r="AQ1044" t="b">
        <f>+ISNUMBER(SEARCH('F-VTA'!$F$36,Tabla11[[#This Row],[Cuenta]],1))</f>
        <v>1</v>
      </c>
      <c r="AR1044" t="b">
        <f>+ISNUMBER(SEARCH(#REF!,Tabla11[[#This Row],[Cuenta]],1))</f>
        <v>0</v>
      </c>
      <c r="AS1044" t="b">
        <f>+ISNUMBER(SEARCH(#REF!,Tabla11[[#This Row],[Cuenta]],1))</f>
        <v>0</v>
      </c>
      <c r="AT1044" t="b">
        <f>+ISNUMBER(SEARCH(#REF!,Tabla11[[#This Row],[Cuenta]],1))</f>
        <v>0</v>
      </c>
      <c r="AU1044" t="b">
        <f>+ISNUMBER(SEARCH('Conc. Ban.1'!$I$9,Tabla11[[#This Row],[Cuenta]],1))</f>
        <v>0</v>
      </c>
      <c r="AV1044" t="b">
        <f>+ISNUMBER(SEARCH(CompConta!$F$21,Tabla11[[#This Row],[Cuenta]],1))</f>
        <v>1</v>
      </c>
      <c r="AW1044" t="b">
        <f>+ISNUMBER(SEARCH(CompConta!$F$22,Tabla11[[#This Row],[Cuenta]],1))</f>
        <v>1</v>
      </c>
      <c r="AX1044" t="b">
        <f>+ISNUMBER(SEARCH(CompConta!$F$23,Tabla11[[#This Row],[Cuenta]],1))</f>
        <v>1</v>
      </c>
      <c r="AY1044" t="b">
        <f>+ISNUMBER(SEARCH(CompConta!$F$24,Tabla11[[#This Row],[Cuenta]],1))</f>
        <v>1</v>
      </c>
      <c r="AZ1044" t="b">
        <f>+ISNUMBER(SEARCH(CompConta!$F$25,Tabla11[[#This Row],[Cuenta]],1))</f>
        <v>1</v>
      </c>
      <c r="BA1044" t="b">
        <f>+ISNUMBER(SEARCH(CompConta!$F$26,Tabla11[[#This Row],[Cuenta]],1))</f>
        <v>1</v>
      </c>
      <c r="BB1044" t="b">
        <f>+ISNUMBER(SEARCH(CompConta!$F$27,Tabla11[[#This Row],[Cuenta]],1))</f>
        <v>1</v>
      </c>
      <c r="BC1044" t="b">
        <f>+ISNUMBER(SEARCH(CompConta!$F$28,Tabla11[[#This Row],[Cuenta]],1))</f>
        <v>1</v>
      </c>
      <c r="BD1044" t="b">
        <f>+ISNUMBER(SEARCH(CompConta!$F$29,Tabla11[[#This Row],[Cuenta]],1))</f>
        <v>1</v>
      </c>
      <c r="BE1044" t="b">
        <f>+ISNUMBER(SEARCH(CompConta!$F$30,Tabla11[[#This Row],[Cuenta]],1))</f>
        <v>1</v>
      </c>
      <c r="BF1044" t="b">
        <f>+ISNUMBER(SEARCH('PAGO Compras'!$E$11,Tabla11[[#This Row],[Cuenta]],1))</f>
        <v>1</v>
      </c>
      <c r="BG1044" t="b">
        <f>+ISNUMBER(SEARCH(#REF!,Tabla11[[#This Row],[Cuenta]],1))</f>
        <v>0</v>
      </c>
      <c r="BH1044" t="b">
        <f>+ISNUMBER(SEARCH(#REF!,Tabla11[[#This Row],[Cuenta]],1))</f>
        <v>0</v>
      </c>
      <c r="BI1044" t="b">
        <f>+ISNUMBER(SEARCH(#REF!,Tabla11[[#This Row],[Cuenta]],1))</f>
        <v>0</v>
      </c>
      <c r="BJ1044" t="b">
        <f>+ISNUMBER(SEARCH(#REF!,Tabla11[[#This Row],[Cuenta]],1))</f>
        <v>0</v>
      </c>
      <c r="BS1044" t="str">
        <v>525010 Arreglos ornamentales</v>
      </c>
      <c r="BT1044" t="str">
        <v>525010 Arreglos ornamentales</v>
      </c>
      <c r="BU1044" t="str">
        <v>525010 Arreglos ornamentales</v>
      </c>
      <c r="BV1044" t="str">
        <v>525010 Arreglos ornamentales</v>
      </c>
      <c r="BZ1044" t="str">
        <v>525010 Arreglos ornamentales</v>
      </c>
      <c r="CA1044" t="str">
        <v>525010 Arreglos ornamentales</v>
      </c>
      <c r="CB1044" t="str">
        <v>525010 Arreglos ornamentales</v>
      </c>
      <c r="CC1044" t="str">
        <v>525010 Arreglos ornamentales</v>
      </c>
      <c r="CD1044" t="str">
        <v>525010 Arreglos ornamentales</v>
      </c>
      <c r="CE1044" t="str">
        <v>525010 Arreglos ornamentales</v>
      </c>
      <c r="CS1044" s="141" t="str">
        <v>525010 Arreglos ornamentales</v>
      </c>
      <c r="CT1044" s="141" t="str">
        <v>525010 Arreglos ornamentales</v>
      </c>
      <c r="CU1044" s="141" t="str">
        <v>525010 Arreglos ornamentales</v>
      </c>
      <c r="CV1044" s="141" t="str">
        <v>525010 Arreglos ornamentales</v>
      </c>
      <c r="CW1044" s="141" t="str">
        <v>525010 Arreglos ornamentales</v>
      </c>
      <c r="CX1044" s="141" t="str">
        <v>525010 Arreglos ornamentales</v>
      </c>
      <c r="CY1044" s="141" t="str">
        <v>525010 Arreglos ornamentales</v>
      </c>
      <c r="CZ1044" s="141" t="str">
        <v>525010 Arreglos ornamentales</v>
      </c>
      <c r="DA1044" s="141" t="str">
        <v>525010 Arreglos ornamentales</v>
      </c>
      <c r="DF1044" t="str">
        <v>525010 Arreglos ornamentales</v>
      </c>
      <c r="DG1044" t="str">
        <v>525010 Arreglos ornamentales</v>
      </c>
      <c r="DH1044" t="str">
        <v>525010 Arreglos ornamentales</v>
      </c>
      <c r="DI1044" t="str">
        <v>525010 Arreglos ornamentales</v>
      </c>
      <c r="DJ1044" t="str">
        <v>525010 Arreglos ornamentales</v>
      </c>
      <c r="DK1044" t="str">
        <v>525010 Arreglos ornamentales</v>
      </c>
      <c r="DL1044" t="str">
        <v>525010 Arreglos ornamentales</v>
      </c>
      <c r="DM1044" t="str">
        <v>525010 Arreglos ornamentales</v>
      </c>
      <c r="DN1044" t="str">
        <v>525010 Arreglos ornamentales</v>
      </c>
      <c r="DO1044" t="str">
        <v>525010 Arreglos ornamentales</v>
      </c>
      <c r="DP1044" t="str">
        <v>525010 Arreglos ornamentales</v>
      </c>
    </row>
    <row r="1045" spans="4:120" ht="12.75">
      <c r="D1045" s="7">
        <v>525015</v>
      </c>
      <c r="E1045" s="6" t="s">
        <v>603</v>
      </c>
      <c r="F1045" s="5">
        <v>4</v>
      </c>
      <c r="G1045" s="34" t="s">
        <v>830</v>
      </c>
      <c r="H1045" s="8" t="s">
        <v>32</v>
      </c>
      <c r="I1045" t="b">
        <f>+ISNUMBER(SEARCH('F-COMPRA'!$F$28,Tabla11[[#This Row],[Cuenta]],1))</f>
        <v>1</v>
      </c>
      <c r="J1045" t="b">
        <f>+ISNUMBER(SEARCH('F-COMPRA'!$F$29,Tabla11[[#This Row],[Cuenta]],1))</f>
        <v>1</v>
      </c>
      <c r="K1045" t="b">
        <f>+ISNUMBER(SEARCH('F-COMPRA'!$F$30,Tabla11[[#This Row],[Cuenta]],1))</f>
        <v>1</v>
      </c>
      <c r="L1045" t="b">
        <f>+ISNUMBER(SEARCH('F-COMPRA'!$F$31,Tabla11[[#This Row],[Cuenta]],1))</f>
        <v>1</v>
      </c>
      <c r="M1045" t="b">
        <f>+ISNUMBER(SEARCH('F-COMPRA'!$G$25,Tabla11[[#This Row],[Cuenta]],1))</f>
        <v>0</v>
      </c>
      <c r="N1045" t="b">
        <f>+ISNUMBER(SEARCH(#REF!,Tabla11[[#This Row],[Cuenta]],1))</f>
        <v>0</v>
      </c>
      <c r="O1045" t="b">
        <f>+ISNUMBER(SEARCH(#REF!,Tabla11[[#This Row],[Cuenta]],1))</f>
        <v>0</v>
      </c>
      <c r="P1045" t="b">
        <f>+ISNUMBER(SEARCH('F-COMPRA'!$F$32,Tabla11[[#This Row],[Cuenta]],1))</f>
        <v>1</v>
      </c>
      <c r="Q1045" t="b">
        <f>+ISNUMBER(SEARCH('F-COMPRA'!$F$33,Tabla11[[#This Row],[Cuenta]],1))</f>
        <v>1</v>
      </c>
      <c r="R1045" t="b">
        <f>+ISNUMBER(SEARCH('F-COMPRA'!$F$34,Tabla11[[#This Row],[Cuenta]],1))</f>
        <v>1</v>
      </c>
      <c r="S1045" t="b">
        <f>+ISNUMBER(SEARCH('F-COMPRA'!$F$35,Tabla11[[#This Row],[Cuenta]],1))</f>
        <v>1</v>
      </c>
      <c r="T1045" t="b">
        <f>+ISNUMBER(SEARCH('F-COMPRA'!$F$36,Tabla11[[#This Row],[Cuenta]],1))</f>
        <v>1</v>
      </c>
      <c r="U1045" t="b">
        <f>+ISNUMBER(SEARCH('F-COMPRA'!$F$37,Tabla11[[#This Row],[Cuenta]],1))</f>
        <v>1</v>
      </c>
      <c r="V1045" t="b">
        <f>+ISNUMBER(SEARCH(#REF!,Tabla11[[#This Row],[Cuenta]],1))</f>
        <v>0</v>
      </c>
      <c r="W1045" t="b">
        <f>+ISNUMBER(SEARCH('F-COMPRA'!#REF!,Tabla11[[#This Row],[Cuenta]],1))</f>
        <v>0</v>
      </c>
      <c r="X1045" t="b">
        <f>+ISNUMBER(SEARCH('F-COMPRA'!#REF!,Tabla11[[#This Row],[Cuenta]],1))</f>
        <v>0</v>
      </c>
      <c r="Y1045" t="b">
        <f>+ISNUMBER(SEARCH('F-COMPRA'!#REF!,Tabla11[[#This Row],[Cuenta]],1))</f>
        <v>0</v>
      </c>
      <c r="Z1045" t="b">
        <f>+ISNUMBER(SEARCH('F-COMPRA'!#REF!,Tabla11[[#This Row],[Cuenta]],1))</f>
        <v>0</v>
      </c>
      <c r="AA1045" t="b">
        <f>+ISNUMBER(SEARCH('F-COMPRA'!#REF!,Tabla11[[#This Row],[Cuenta]],1))</f>
        <v>0</v>
      </c>
      <c r="AB1045" t="b">
        <f>+ISNUMBER(SEARCH('F-COMPRA'!#REF!,Tabla11[[#This Row],[Cuenta]],1))</f>
        <v>0</v>
      </c>
      <c r="AC1045" t="b">
        <f>+ISNUMBER(SEARCH('F-COMPRA'!#REF!,Tabla11[[#This Row],[Cuenta]],1))</f>
        <v>0</v>
      </c>
      <c r="AD1045" t="b">
        <f>+ISNUMBER(SEARCH('F-COMPRA'!#REF!,Tabla11[[#This Row],[Cuenta]],1))</f>
        <v>0</v>
      </c>
      <c r="AE1045" t="b">
        <f>+ISNUMBER(SEARCH('F-COMPRA'!#REF!,Tabla11[[#This Row],[Cuenta]],1))</f>
        <v>0</v>
      </c>
      <c r="AF1045" t="b">
        <f>+ISNUMBER(SEARCH('F-VTA'!$G$23,Tabla11[[#This Row],[Cuenta]],1))</f>
        <v>0</v>
      </c>
      <c r="AG1045" t="b">
        <f>+ISNUMBER(SEARCH('F-VTA'!$G$24,Tabla11[[#This Row],[Cuenta]],1))</f>
        <v>0</v>
      </c>
      <c r="AH1045" t="b">
        <f>+ISNUMBER(SEARCH('F-VTA'!$G$25,Tabla11[[#This Row],[Cuenta]],1))</f>
        <v>0</v>
      </c>
      <c r="AI1045" t="b">
        <f>+ISNUMBER(SEARCH('F-VTA'!$F$28,Tabla11[[#This Row],[Cuenta]],1))</f>
        <v>1</v>
      </c>
      <c r="AJ1045" t="b">
        <f>+ISNUMBER(SEARCH('F-VTA'!$F$29,Tabla11[[#This Row],[Cuenta]],1))</f>
        <v>1</v>
      </c>
      <c r="AK1045" t="b">
        <f>+ISNUMBER(SEARCH('F-VTA'!$F$30,Tabla11[[#This Row],[Cuenta]],1))</f>
        <v>1</v>
      </c>
      <c r="AL1045" t="b">
        <f>+ISNUMBER(SEARCH('F-VTA'!$F$31,Tabla11[[#This Row],[Cuenta]],1))</f>
        <v>1</v>
      </c>
      <c r="AM1045" t="b">
        <f>+ISNUMBER(SEARCH('F-VTA'!$F$32,Tabla11[[#This Row],[Cuenta]],1))</f>
        <v>1</v>
      </c>
      <c r="AN1045" t="b">
        <f>+ISNUMBER(SEARCH('F-VTA'!$F$33,Tabla11[[#This Row],[Cuenta]],1))</f>
        <v>1</v>
      </c>
      <c r="AO1045" t="b">
        <f>+ISNUMBER(SEARCH('F-VTA'!$F$34,Tabla11[[#This Row],[Cuenta]],1))</f>
        <v>1</v>
      </c>
      <c r="AP1045" t="b">
        <f>+ISNUMBER(SEARCH('F-VTA'!$F$35,Tabla11[[#This Row],[Cuenta]],1))</f>
        <v>1</v>
      </c>
      <c r="AQ1045" t="b">
        <f>+ISNUMBER(SEARCH('F-VTA'!$F$36,Tabla11[[#This Row],[Cuenta]],1))</f>
        <v>1</v>
      </c>
      <c r="AR1045" t="b">
        <f>+ISNUMBER(SEARCH(#REF!,Tabla11[[#This Row],[Cuenta]],1))</f>
        <v>0</v>
      </c>
      <c r="AS1045" t="b">
        <f>+ISNUMBER(SEARCH(#REF!,Tabla11[[#This Row],[Cuenta]],1))</f>
        <v>0</v>
      </c>
      <c r="AT1045" t="b">
        <f>+ISNUMBER(SEARCH(#REF!,Tabla11[[#This Row],[Cuenta]],1))</f>
        <v>0</v>
      </c>
      <c r="AU1045" t="b">
        <f>+ISNUMBER(SEARCH('Conc. Ban.1'!$I$9,Tabla11[[#This Row],[Cuenta]],1))</f>
        <v>0</v>
      </c>
      <c r="AV1045" t="b">
        <f>+ISNUMBER(SEARCH(CompConta!$F$21,Tabla11[[#This Row],[Cuenta]],1))</f>
        <v>1</v>
      </c>
      <c r="AW1045" t="b">
        <f>+ISNUMBER(SEARCH(CompConta!$F$22,Tabla11[[#This Row],[Cuenta]],1))</f>
        <v>1</v>
      </c>
      <c r="AX1045" t="b">
        <f>+ISNUMBER(SEARCH(CompConta!$F$23,Tabla11[[#This Row],[Cuenta]],1))</f>
        <v>1</v>
      </c>
      <c r="AY1045" t="b">
        <f>+ISNUMBER(SEARCH(CompConta!$F$24,Tabla11[[#This Row],[Cuenta]],1))</f>
        <v>1</v>
      </c>
      <c r="AZ1045" t="b">
        <f>+ISNUMBER(SEARCH(CompConta!$F$25,Tabla11[[#This Row],[Cuenta]],1))</f>
        <v>1</v>
      </c>
      <c r="BA1045" t="b">
        <f>+ISNUMBER(SEARCH(CompConta!$F$26,Tabla11[[#This Row],[Cuenta]],1))</f>
        <v>1</v>
      </c>
      <c r="BB1045" t="b">
        <f>+ISNUMBER(SEARCH(CompConta!$F$27,Tabla11[[#This Row],[Cuenta]],1))</f>
        <v>1</v>
      </c>
      <c r="BC1045" t="b">
        <f>+ISNUMBER(SEARCH(CompConta!$F$28,Tabla11[[#This Row],[Cuenta]],1))</f>
        <v>1</v>
      </c>
      <c r="BD1045" t="b">
        <f>+ISNUMBER(SEARCH(CompConta!$F$29,Tabla11[[#This Row],[Cuenta]],1))</f>
        <v>1</v>
      </c>
      <c r="BE1045" t="b">
        <f>+ISNUMBER(SEARCH(CompConta!$F$30,Tabla11[[#This Row],[Cuenta]],1))</f>
        <v>1</v>
      </c>
      <c r="BF1045" t="b">
        <f>+ISNUMBER(SEARCH('PAGO Compras'!$E$11,Tabla11[[#This Row],[Cuenta]],1))</f>
        <v>1</v>
      </c>
      <c r="BG1045" t="b">
        <f>+ISNUMBER(SEARCH(#REF!,Tabla11[[#This Row],[Cuenta]],1))</f>
        <v>0</v>
      </c>
      <c r="BH1045" t="b">
        <f>+ISNUMBER(SEARCH(#REF!,Tabla11[[#This Row],[Cuenta]],1))</f>
        <v>0</v>
      </c>
      <c r="BI1045" t="b">
        <f>+ISNUMBER(SEARCH(#REF!,Tabla11[[#This Row],[Cuenta]],1))</f>
        <v>0</v>
      </c>
      <c r="BJ1045" t="b">
        <f>+ISNUMBER(SEARCH(#REF!,Tabla11[[#This Row],[Cuenta]],1))</f>
        <v>0</v>
      </c>
      <c r="BS1045" t="str">
        <v>525015 Reparaciones locativas</v>
      </c>
      <c r="BT1045" t="str">
        <v>525015 Reparaciones locativas</v>
      </c>
      <c r="BU1045" t="str">
        <v>525015 Reparaciones locativas</v>
      </c>
      <c r="BV1045" t="str">
        <v>525015 Reparaciones locativas</v>
      </c>
      <c r="BZ1045" t="str">
        <v>525015 Reparaciones locativas</v>
      </c>
      <c r="CA1045" t="str">
        <v>525015 Reparaciones locativas</v>
      </c>
      <c r="CB1045" t="str">
        <v>525015 Reparaciones locativas</v>
      </c>
      <c r="CC1045" t="str">
        <v>525015 Reparaciones locativas</v>
      </c>
      <c r="CD1045" t="str">
        <v>525015 Reparaciones locativas</v>
      </c>
      <c r="CE1045" t="str">
        <v>525015 Reparaciones locativas</v>
      </c>
      <c r="CS1045" s="141" t="str">
        <v>525015 Reparaciones locativas</v>
      </c>
      <c r="CT1045" s="141" t="str">
        <v>525015 Reparaciones locativas</v>
      </c>
      <c r="CU1045" s="141" t="str">
        <v>525015 Reparaciones locativas</v>
      </c>
      <c r="CV1045" s="141" t="str">
        <v>525015 Reparaciones locativas</v>
      </c>
      <c r="CW1045" s="141" t="str">
        <v>525015 Reparaciones locativas</v>
      </c>
      <c r="CX1045" s="141" t="str">
        <v>525015 Reparaciones locativas</v>
      </c>
      <c r="CY1045" s="141" t="str">
        <v>525015 Reparaciones locativas</v>
      </c>
      <c r="CZ1045" s="141" t="str">
        <v>525015 Reparaciones locativas</v>
      </c>
      <c r="DA1045" s="141" t="str">
        <v>525015 Reparaciones locativas</v>
      </c>
      <c r="DF1045" t="str">
        <v>525015 Reparaciones locativas</v>
      </c>
      <c r="DG1045" t="str">
        <v>525015 Reparaciones locativas</v>
      </c>
      <c r="DH1045" t="str">
        <v>525015 Reparaciones locativas</v>
      </c>
      <c r="DI1045" t="str">
        <v>525015 Reparaciones locativas</v>
      </c>
      <c r="DJ1045" t="str">
        <v>525015 Reparaciones locativas</v>
      </c>
      <c r="DK1045" t="str">
        <v>525015 Reparaciones locativas</v>
      </c>
      <c r="DL1045" t="str">
        <v>525015 Reparaciones locativas</v>
      </c>
      <c r="DM1045" t="str">
        <v>525015 Reparaciones locativas</v>
      </c>
      <c r="DN1045" t="str">
        <v>525015 Reparaciones locativas</v>
      </c>
      <c r="DO1045" t="str">
        <v>525015 Reparaciones locativas</v>
      </c>
      <c r="DP1045" t="str">
        <v>525015 Reparaciones locativas</v>
      </c>
    </row>
    <row r="1046" spans="4:120" ht="12.75">
      <c r="D1046" s="7">
        <v>525095</v>
      </c>
      <c r="E1046" s="6" t="s">
        <v>45</v>
      </c>
      <c r="F1046" s="5">
        <v>4</v>
      </c>
      <c r="G1046" s="34" t="s">
        <v>830</v>
      </c>
      <c r="H1046" s="8" t="s">
        <v>32</v>
      </c>
      <c r="I1046" t="b">
        <f>+ISNUMBER(SEARCH('F-COMPRA'!$F$28,Tabla11[[#This Row],[Cuenta]],1))</f>
        <v>1</v>
      </c>
      <c r="J1046" t="b">
        <f>+ISNUMBER(SEARCH('F-COMPRA'!$F$29,Tabla11[[#This Row],[Cuenta]],1))</f>
        <v>1</v>
      </c>
      <c r="K1046" t="b">
        <f>+ISNUMBER(SEARCH('F-COMPRA'!$F$30,Tabla11[[#This Row],[Cuenta]],1))</f>
        <v>1</v>
      </c>
      <c r="L1046" t="b">
        <f>+ISNUMBER(SEARCH('F-COMPRA'!$F$31,Tabla11[[#This Row],[Cuenta]],1))</f>
        <v>1</v>
      </c>
      <c r="M1046" t="b">
        <f>+ISNUMBER(SEARCH('F-COMPRA'!$G$25,Tabla11[[#This Row],[Cuenta]],1))</f>
        <v>0</v>
      </c>
      <c r="N1046" t="b">
        <f>+ISNUMBER(SEARCH(#REF!,Tabla11[[#This Row],[Cuenta]],1))</f>
        <v>0</v>
      </c>
      <c r="O1046" t="b">
        <f>+ISNUMBER(SEARCH(#REF!,Tabla11[[#This Row],[Cuenta]],1))</f>
        <v>0</v>
      </c>
      <c r="P1046" t="b">
        <f>+ISNUMBER(SEARCH('F-COMPRA'!$F$32,Tabla11[[#This Row],[Cuenta]],1))</f>
        <v>1</v>
      </c>
      <c r="Q1046" t="b">
        <f>+ISNUMBER(SEARCH('F-COMPRA'!$F$33,Tabla11[[#This Row],[Cuenta]],1))</f>
        <v>1</v>
      </c>
      <c r="R1046" t="b">
        <f>+ISNUMBER(SEARCH('F-COMPRA'!$F$34,Tabla11[[#This Row],[Cuenta]],1))</f>
        <v>1</v>
      </c>
      <c r="S1046" t="b">
        <f>+ISNUMBER(SEARCH('F-COMPRA'!$F$35,Tabla11[[#This Row],[Cuenta]],1))</f>
        <v>1</v>
      </c>
      <c r="T1046" t="b">
        <f>+ISNUMBER(SEARCH('F-COMPRA'!$F$36,Tabla11[[#This Row],[Cuenta]],1))</f>
        <v>1</v>
      </c>
      <c r="U1046" t="b">
        <f>+ISNUMBER(SEARCH('F-COMPRA'!$F$37,Tabla11[[#This Row],[Cuenta]],1))</f>
        <v>1</v>
      </c>
      <c r="V1046" t="b">
        <f>+ISNUMBER(SEARCH(#REF!,Tabla11[[#This Row],[Cuenta]],1))</f>
        <v>0</v>
      </c>
      <c r="W1046" t="b">
        <f>+ISNUMBER(SEARCH('F-COMPRA'!#REF!,Tabla11[[#This Row],[Cuenta]],1))</f>
        <v>0</v>
      </c>
      <c r="X1046" t="b">
        <f>+ISNUMBER(SEARCH('F-COMPRA'!#REF!,Tabla11[[#This Row],[Cuenta]],1))</f>
        <v>0</v>
      </c>
      <c r="Y1046" t="b">
        <f>+ISNUMBER(SEARCH('F-COMPRA'!#REF!,Tabla11[[#This Row],[Cuenta]],1))</f>
        <v>0</v>
      </c>
      <c r="Z1046" t="b">
        <f>+ISNUMBER(SEARCH('F-COMPRA'!#REF!,Tabla11[[#This Row],[Cuenta]],1))</f>
        <v>0</v>
      </c>
      <c r="AA1046" t="b">
        <f>+ISNUMBER(SEARCH('F-COMPRA'!#REF!,Tabla11[[#This Row],[Cuenta]],1))</f>
        <v>0</v>
      </c>
      <c r="AB1046" t="b">
        <f>+ISNUMBER(SEARCH('F-COMPRA'!#REF!,Tabla11[[#This Row],[Cuenta]],1))</f>
        <v>0</v>
      </c>
      <c r="AC1046" t="b">
        <f>+ISNUMBER(SEARCH('F-COMPRA'!#REF!,Tabla11[[#This Row],[Cuenta]],1))</f>
        <v>0</v>
      </c>
      <c r="AD1046" t="b">
        <f>+ISNUMBER(SEARCH('F-COMPRA'!#REF!,Tabla11[[#This Row],[Cuenta]],1))</f>
        <v>0</v>
      </c>
      <c r="AE1046" t="b">
        <f>+ISNUMBER(SEARCH('F-COMPRA'!#REF!,Tabla11[[#This Row],[Cuenta]],1))</f>
        <v>0</v>
      </c>
      <c r="AF1046" t="b">
        <f>+ISNUMBER(SEARCH('F-VTA'!$G$23,Tabla11[[#This Row],[Cuenta]],1))</f>
        <v>0</v>
      </c>
      <c r="AG1046" t="b">
        <f>+ISNUMBER(SEARCH('F-VTA'!$G$24,Tabla11[[#This Row],[Cuenta]],1))</f>
        <v>0</v>
      </c>
      <c r="AH1046" t="b">
        <f>+ISNUMBER(SEARCH('F-VTA'!$G$25,Tabla11[[#This Row],[Cuenta]],1))</f>
        <v>0</v>
      </c>
      <c r="AI1046" t="b">
        <f>+ISNUMBER(SEARCH('F-VTA'!$F$28,Tabla11[[#This Row],[Cuenta]],1))</f>
        <v>1</v>
      </c>
      <c r="AJ1046" t="b">
        <f>+ISNUMBER(SEARCH('F-VTA'!$F$29,Tabla11[[#This Row],[Cuenta]],1))</f>
        <v>1</v>
      </c>
      <c r="AK1046" t="b">
        <f>+ISNUMBER(SEARCH('F-VTA'!$F$30,Tabla11[[#This Row],[Cuenta]],1))</f>
        <v>1</v>
      </c>
      <c r="AL1046" t="b">
        <f>+ISNUMBER(SEARCH('F-VTA'!$F$31,Tabla11[[#This Row],[Cuenta]],1))</f>
        <v>1</v>
      </c>
      <c r="AM1046" t="b">
        <f>+ISNUMBER(SEARCH('F-VTA'!$F$32,Tabla11[[#This Row],[Cuenta]],1))</f>
        <v>1</v>
      </c>
      <c r="AN1046" t="b">
        <f>+ISNUMBER(SEARCH('F-VTA'!$F$33,Tabla11[[#This Row],[Cuenta]],1))</f>
        <v>1</v>
      </c>
      <c r="AO1046" t="b">
        <f>+ISNUMBER(SEARCH('F-VTA'!$F$34,Tabla11[[#This Row],[Cuenta]],1))</f>
        <v>1</v>
      </c>
      <c r="AP1046" t="b">
        <f>+ISNUMBER(SEARCH('F-VTA'!$F$35,Tabla11[[#This Row],[Cuenta]],1))</f>
        <v>1</v>
      </c>
      <c r="AQ1046" t="b">
        <f>+ISNUMBER(SEARCH('F-VTA'!$F$36,Tabla11[[#This Row],[Cuenta]],1))</f>
        <v>1</v>
      </c>
      <c r="AR1046" t="b">
        <f>+ISNUMBER(SEARCH(#REF!,Tabla11[[#This Row],[Cuenta]],1))</f>
        <v>0</v>
      </c>
      <c r="AS1046" t="b">
        <f>+ISNUMBER(SEARCH(#REF!,Tabla11[[#This Row],[Cuenta]],1))</f>
        <v>0</v>
      </c>
      <c r="AT1046" t="b">
        <f>+ISNUMBER(SEARCH(#REF!,Tabla11[[#This Row],[Cuenta]],1))</f>
        <v>0</v>
      </c>
      <c r="AU1046" t="b">
        <f>+ISNUMBER(SEARCH('Conc. Ban.1'!$I$9,Tabla11[[#This Row],[Cuenta]],1))</f>
        <v>0</v>
      </c>
      <c r="AV1046" t="b">
        <f>+ISNUMBER(SEARCH(CompConta!$F$21,Tabla11[[#This Row],[Cuenta]],1))</f>
        <v>1</v>
      </c>
      <c r="AW1046" t="b">
        <f>+ISNUMBER(SEARCH(CompConta!$F$22,Tabla11[[#This Row],[Cuenta]],1))</f>
        <v>1</v>
      </c>
      <c r="AX1046" t="b">
        <f>+ISNUMBER(SEARCH(CompConta!$F$23,Tabla11[[#This Row],[Cuenta]],1))</f>
        <v>1</v>
      </c>
      <c r="AY1046" t="b">
        <f>+ISNUMBER(SEARCH(CompConta!$F$24,Tabla11[[#This Row],[Cuenta]],1))</f>
        <v>1</v>
      </c>
      <c r="AZ1046" t="b">
        <f>+ISNUMBER(SEARCH(CompConta!$F$25,Tabla11[[#This Row],[Cuenta]],1))</f>
        <v>1</v>
      </c>
      <c r="BA1046" t="b">
        <f>+ISNUMBER(SEARCH(CompConta!$F$26,Tabla11[[#This Row],[Cuenta]],1))</f>
        <v>1</v>
      </c>
      <c r="BB1046" t="b">
        <f>+ISNUMBER(SEARCH(CompConta!$F$27,Tabla11[[#This Row],[Cuenta]],1))</f>
        <v>1</v>
      </c>
      <c r="BC1046" t="b">
        <f>+ISNUMBER(SEARCH(CompConta!$F$28,Tabla11[[#This Row],[Cuenta]],1))</f>
        <v>1</v>
      </c>
      <c r="BD1046" t="b">
        <f>+ISNUMBER(SEARCH(CompConta!$F$29,Tabla11[[#This Row],[Cuenta]],1))</f>
        <v>1</v>
      </c>
      <c r="BE1046" t="b">
        <f>+ISNUMBER(SEARCH(CompConta!$F$30,Tabla11[[#This Row],[Cuenta]],1))</f>
        <v>1</v>
      </c>
      <c r="BF1046" t="b">
        <f>+ISNUMBER(SEARCH('PAGO Compras'!$E$11,Tabla11[[#This Row],[Cuenta]],1))</f>
        <v>1</v>
      </c>
      <c r="BG1046" t="b">
        <f>+ISNUMBER(SEARCH(#REF!,Tabla11[[#This Row],[Cuenta]],1))</f>
        <v>0</v>
      </c>
      <c r="BH1046" t="b">
        <f>+ISNUMBER(SEARCH(#REF!,Tabla11[[#This Row],[Cuenta]],1))</f>
        <v>0</v>
      </c>
      <c r="BI1046" t="b">
        <f>+ISNUMBER(SEARCH(#REF!,Tabla11[[#This Row],[Cuenta]],1))</f>
        <v>0</v>
      </c>
      <c r="BJ1046" t="b">
        <f>+ISNUMBER(SEARCH(#REF!,Tabla11[[#This Row],[Cuenta]],1))</f>
        <v>0</v>
      </c>
      <c r="BS1046" t="str">
        <v>525095 Otros</v>
      </c>
      <c r="BT1046" t="str">
        <v>525095 Otros</v>
      </c>
      <c r="BU1046" t="str">
        <v>525095 Otros</v>
      </c>
      <c r="BV1046" t="str">
        <v>525095 Otros</v>
      </c>
      <c r="BZ1046" t="str">
        <v>525095 Otros</v>
      </c>
      <c r="CA1046" t="str">
        <v>525095 Otros</v>
      </c>
      <c r="CB1046" t="str">
        <v>525095 Otros</v>
      </c>
      <c r="CC1046" t="str">
        <v>525095 Otros</v>
      </c>
      <c r="CD1046" t="str">
        <v>525095 Otros</v>
      </c>
      <c r="CE1046" t="str">
        <v>525095 Otros</v>
      </c>
      <c r="CS1046" s="141" t="str">
        <v>525095 Otros</v>
      </c>
      <c r="CT1046" s="141" t="str">
        <v>525095 Otros</v>
      </c>
      <c r="CU1046" s="141" t="str">
        <v>525095 Otros</v>
      </c>
      <c r="CV1046" s="141" t="str">
        <v>525095 Otros</v>
      </c>
      <c r="CW1046" s="141" t="str">
        <v>525095 Otros</v>
      </c>
      <c r="CX1046" s="141" t="str">
        <v>525095 Otros</v>
      </c>
      <c r="CY1046" s="141" t="str">
        <v>525095 Otros</v>
      </c>
      <c r="CZ1046" s="141" t="str">
        <v>525095 Otros</v>
      </c>
      <c r="DA1046" s="141" t="str">
        <v>525095 Otros</v>
      </c>
      <c r="DF1046" t="str">
        <v>525095 Otros</v>
      </c>
      <c r="DG1046" t="str">
        <v>525095 Otros</v>
      </c>
      <c r="DH1046" t="str">
        <v>525095 Otros</v>
      </c>
      <c r="DI1046" t="str">
        <v>525095 Otros</v>
      </c>
      <c r="DJ1046" t="str">
        <v>525095 Otros</v>
      </c>
      <c r="DK1046" t="str">
        <v>525095 Otros</v>
      </c>
      <c r="DL1046" t="str">
        <v>525095 Otros</v>
      </c>
      <c r="DM1046" t="str">
        <v>525095 Otros</v>
      </c>
      <c r="DN1046" t="str">
        <v>525095 Otros</v>
      </c>
      <c r="DO1046" t="str">
        <v>525095 Otros</v>
      </c>
      <c r="DP1046" t="str">
        <v>525095 Otros</v>
      </c>
    </row>
    <row r="1047" spans="4:120" ht="12.75">
      <c r="D1047" s="7">
        <v>525099</v>
      </c>
      <c r="E1047" s="6" t="s">
        <v>93</v>
      </c>
      <c r="F1047" s="5">
        <v>4</v>
      </c>
      <c r="G1047" s="34" t="s">
        <v>830</v>
      </c>
      <c r="H1047" s="8" t="s">
        <v>32</v>
      </c>
      <c r="I1047" t="b">
        <f>+ISNUMBER(SEARCH('F-COMPRA'!$F$28,Tabla11[[#This Row],[Cuenta]],1))</f>
        <v>1</v>
      </c>
      <c r="J1047" t="b">
        <f>+ISNUMBER(SEARCH('F-COMPRA'!$F$29,Tabla11[[#This Row],[Cuenta]],1))</f>
        <v>1</v>
      </c>
      <c r="K1047" t="b">
        <f>+ISNUMBER(SEARCH('F-COMPRA'!$F$30,Tabla11[[#This Row],[Cuenta]],1))</f>
        <v>1</v>
      </c>
      <c r="L1047" t="b">
        <f>+ISNUMBER(SEARCH('F-COMPRA'!$F$31,Tabla11[[#This Row],[Cuenta]],1))</f>
        <v>1</v>
      </c>
      <c r="M1047" t="b">
        <f>+ISNUMBER(SEARCH('F-COMPRA'!$G$25,Tabla11[[#This Row],[Cuenta]],1))</f>
        <v>0</v>
      </c>
      <c r="N1047" t="b">
        <f>+ISNUMBER(SEARCH(#REF!,Tabla11[[#This Row],[Cuenta]],1))</f>
        <v>0</v>
      </c>
      <c r="O1047" t="b">
        <f>+ISNUMBER(SEARCH(#REF!,Tabla11[[#This Row],[Cuenta]],1))</f>
        <v>0</v>
      </c>
      <c r="P1047" t="b">
        <f>+ISNUMBER(SEARCH('F-COMPRA'!$F$32,Tabla11[[#This Row],[Cuenta]],1))</f>
        <v>1</v>
      </c>
      <c r="Q1047" t="b">
        <f>+ISNUMBER(SEARCH('F-COMPRA'!$F$33,Tabla11[[#This Row],[Cuenta]],1))</f>
        <v>1</v>
      </c>
      <c r="R1047" t="b">
        <f>+ISNUMBER(SEARCH('F-COMPRA'!$F$34,Tabla11[[#This Row],[Cuenta]],1))</f>
        <v>1</v>
      </c>
      <c r="S1047" t="b">
        <f>+ISNUMBER(SEARCH('F-COMPRA'!$F$35,Tabla11[[#This Row],[Cuenta]],1))</f>
        <v>1</v>
      </c>
      <c r="T1047" t="b">
        <f>+ISNUMBER(SEARCH('F-COMPRA'!$F$36,Tabla11[[#This Row],[Cuenta]],1))</f>
        <v>1</v>
      </c>
      <c r="U1047" t="b">
        <f>+ISNUMBER(SEARCH('F-COMPRA'!$F$37,Tabla11[[#This Row],[Cuenta]],1))</f>
        <v>1</v>
      </c>
      <c r="V1047" t="b">
        <f>+ISNUMBER(SEARCH(#REF!,Tabla11[[#This Row],[Cuenta]],1))</f>
        <v>0</v>
      </c>
      <c r="W1047" t="b">
        <f>+ISNUMBER(SEARCH('F-COMPRA'!#REF!,Tabla11[[#This Row],[Cuenta]],1))</f>
        <v>0</v>
      </c>
      <c r="X1047" t="b">
        <f>+ISNUMBER(SEARCH('F-COMPRA'!#REF!,Tabla11[[#This Row],[Cuenta]],1))</f>
        <v>0</v>
      </c>
      <c r="Y1047" t="b">
        <f>+ISNUMBER(SEARCH('F-COMPRA'!#REF!,Tabla11[[#This Row],[Cuenta]],1))</f>
        <v>0</v>
      </c>
      <c r="Z1047" t="b">
        <f>+ISNUMBER(SEARCH('F-COMPRA'!#REF!,Tabla11[[#This Row],[Cuenta]],1))</f>
        <v>0</v>
      </c>
      <c r="AA1047" t="b">
        <f>+ISNUMBER(SEARCH('F-COMPRA'!#REF!,Tabla11[[#This Row],[Cuenta]],1))</f>
        <v>0</v>
      </c>
      <c r="AB1047" t="b">
        <f>+ISNUMBER(SEARCH('F-COMPRA'!#REF!,Tabla11[[#This Row],[Cuenta]],1))</f>
        <v>0</v>
      </c>
      <c r="AC1047" t="b">
        <f>+ISNUMBER(SEARCH('F-COMPRA'!#REF!,Tabla11[[#This Row],[Cuenta]],1))</f>
        <v>0</v>
      </c>
      <c r="AD1047" t="b">
        <f>+ISNUMBER(SEARCH('F-COMPRA'!#REF!,Tabla11[[#This Row],[Cuenta]],1))</f>
        <v>0</v>
      </c>
      <c r="AE1047" t="b">
        <f>+ISNUMBER(SEARCH('F-COMPRA'!#REF!,Tabla11[[#This Row],[Cuenta]],1))</f>
        <v>0</v>
      </c>
      <c r="AF1047" t="b">
        <f>+ISNUMBER(SEARCH('F-VTA'!$G$23,Tabla11[[#This Row],[Cuenta]],1))</f>
        <v>0</v>
      </c>
      <c r="AG1047" t="b">
        <f>+ISNUMBER(SEARCH('F-VTA'!$G$24,Tabla11[[#This Row],[Cuenta]],1))</f>
        <v>0</v>
      </c>
      <c r="AH1047" t="b">
        <f>+ISNUMBER(SEARCH('F-VTA'!$G$25,Tabla11[[#This Row],[Cuenta]],1))</f>
        <v>0</v>
      </c>
      <c r="AI1047" t="b">
        <f>+ISNUMBER(SEARCH('F-VTA'!$F$28,Tabla11[[#This Row],[Cuenta]],1))</f>
        <v>1</v>
      </c>
      <c r="AJ1047" t="b">
        <f>+ISNUMBER(SEARCH('F-VTA'!$F$29,Tabla11[[#This Row],[Cuenta]],1))</f>
        <v>1</v>
      </c>
      <c r="AK1047" t="b">
        <f>+ISNUMBER(SEARCH('F-VTA'!$F$30,Tabla11[[#This Row],[Cuenta]],1))</f>
        <v>1</v>
      </c>
      <c r="AL1047" t="b">
        <f>+ISNUMBER(SEARCH('F-VTA'!$F$31,Tabla11[[#This Row],[Cuenta]],1))</f>
        <v>1</v>
      </c>
      <c r="AM1047" t="b">
        <f>+ISNUMBER(SEARCH('F-VTA'!$F$32,Tabla11[[#This Row],[Cuenta]],1))</f>
        <v>1</v>
      </c>
      <c r="AN1047" t="b">
        <f>+ISNUMBER(SEARCH('F-VTA'!$F$33,Tabla11[[#This Row],[Cuenta]],1))</f>
        <v>1</v>
      </c>
      <c r="AO1047" t="b">
        <f>+ISNUMBER(SEARCH('F-VTA'!$F$34,Tabla11[[#This Row],[Cuenta]],1))</f>
        <v>1</v>
      </c>
      <c r="AP1047" t="b">
        <f>+ISNUMBER(SEARCH('F-VTA'!$F$35,Tabla11[[#This Row],[Cuenta]],1))</f>
        <v>1</v>
      </c>
      <c r="AQ1047" t="b">
        <f>+ISNUMBER(SEARCH('F-VTA'!$F$36,Tabla11[[#This Row],[Cuenta]],1))</f>
        <v>1</v>
      </c>
      <c r="AR1047" t="b">
        <f>+ISNUMBER(SEARCH(#REF!,Tabla11[[#This Row],[Cuenta]],1))</f>
        <v>0</v>
      </c>
      <c r="AS1047" t="b">
        <f>+ISNUMBER(SEARCH(#REF!,Tabla11[[#This Row],[Cuenta]],1))</f>
        <v>0</v>
      </c>
      <c r="AT1047" t="b">
        <f>+ISNUMBER(SEARCH(#REF!,Tabla11[[#This Row],[Cuenta]],1))</f>
        <v>0</v>
      </c>
      <c r="AU1047" t="b">
        <f>+ISNUMBER(SEARCH('Conc. Ban.1'!$I$9,Tabla11[[#This Row],[Cuenta]],1))</f>
        <v>0</v>
      </c>
      <c r="AV1047" t="b">
        <f>+ISNUMBER(SEARCH(CompConta!$F$21,Tabla11[[#This Row],[Cuenta]],1))</f>
        <v>1</v>
      </c>
      <c r="AW1047" t="b">
        <f>+ISNUMBER(SEARCH(CompConta!$F$22,Tabla11[[#This Row],[Cuenta]],1))</f>
        <v>1</v>
      </c>
      <c r="AX1047" t="b">
        <f>+ISNUMBER(SEARCH(CompConta!$F$23,Tabla11[[#This Row],[Cuenta]],1))</f>
        <v>1</v>
      </c>
      <c r="AY1047" t="b">
        <f>+ISNUMBER(SEARCH(CompConta!$F$24,Tabla11[[#This Row],[Cuenta]],1))</f>
        <v>1</v>
      </c>
      <c r="AZ1047" t="b">
        <f>+ISNUMBER(SEARCH(CompConta!$F$25,Tabla11[[#This Row],[Cuenta]],1))</f>
        <v>1</v>
      </c>
      <c r="BA1047" t="b">
        <f>+ISNUMBER(SEARCH(CompConta!$F$26,Tabla11[[#This Row],[Cuenta]],1))</f>
        <v>1</v>
      </c>
      <c r="BB1047" t="b">
        <f>+ISNUMBER(SEARCH(CompConta!$F$27,Tabla11[[#This Row],[Cuenta]],1))</f>
        <v>1</v>
      </c>
      <c r="BC1047" t="b">
        <f>+ISNUMBER(SEARCH(CompConta!$F$28,Tabla11[[#This Row],[Cuenta]],1))</f>
        <v>1</v>
      </c>
      <c r="BD1047" t="b">
        <f>+ISNUMBER(SEARCH(CompConta!$F$29,Tabla11[[#This Row],[Cuenta]],1))</f>
        <v>1</v>
      </c>
      <c r="BE1047" t="b">
        <f>+ISNUMBER(SEARCH(CompConta!$F$30,Tabla11[[#This Row],[Cuenta]],1))</f>
        <v>1</v>
      </c>
      <c r="BF1047" t="b">
        <f>+ISNUMBER(SEARCH('PAGO Compras'!$E$11,Tabla11[[#This Row],[Cuenta]],1))</f>
        <v>1</v>
      </c>
      <c r="BG1047" t="b">
        <f>+ISNUMBER(SEARCH(#REF!,Tabla11[[#This Row],[Cuenta]],1))</f>
        <v>0</v>
      </c>
      <c r="BH1047" t="b">
        <f>+ISNUMBER(SEARCH(#REF!,Tabla11[[#This Row],[Cuenta]],1))</f>
        <v>0</v>
      </c>
      <c r="BI1047" t="b">
        <f>+ISNUMBER(SEARCH(#REF!,Tabla11[[#This Row],[Cuenta]],1))</f>
        <v>0</v>
      </c>
      <c r="BJ1047" t="b">
        <f>+ISNUMBER(SEARCH(#REF!,Tabla11[[#This Row],[Cuenta]],1))</f>
        <v>0</v>
      </c>
      <c r="BS1047" t="str">
        <v>525099 *Ajustes por inflación</v>
      </c>
      <c r="BT1047" t="str">
        <v>525099 *Ajustes por inflación</v>
      </c>
      <c r="BU1047" t="str">
        <v>525099 *Ajustes por inflación</v>
      </c>
      <c r="BV1047" t="str">
        <v>525099 *Ajustes por inflación</v>
      </c>
      <c r="BZ1047" t="str">
        <v>525099 *Ajustes por inflación</v>
      </c>
      <c r="CA1047" t="str">
        <v>525099 *Ajustes por inflación</v>
      </c>
      <c r="CB1047" t="str">
        <v>525099 *Ajustes por inflación</v>
      </c>
      <c r="CC1047" t="str">
        <v>525099 *Ajustes por inflación</v>
      </c>
      <c r="CD1047" t="str">
        <v>525099 *Ajustes por inflación</v>
      </c>
      <c r="CE1047" t="str">
        <v>525099 *Ajustes por inflación</v>
      </c>
      <c r="CS1047" s="141" t="str">
        <v>525099 *Ajustes por inflación</v>
      </c>
      <c r="CT1047" s="141" t="str">
        <v>525099 *Ajustes por inflación</v>
      </c>
      <c r="CU1047" s="141" t="str">
        <v>525099 *Ajustes por inflación</v>
      </c>
      <c r="CV1047" s="141" t="str">
        <v>525099 *Ajustes por inflación</v>
      </c>
      <c r="CW1047" s="141" t="str">
        <v>525099 *Ajustes por inflación</v>
      </c>
      <c r="CX1047" s="141" t="str">
        <v>525099 *Ajustes por inflación</v>
      </c>
      <c r="CY1047" s="141" t="str">
        <v>525099 *Ajustes por inflación</v>
      </c>
      <c r="CZ1047" s="141" t="str">
        <v>525099 *Ajustes por inflación</v>
      </c>
      <c r="DA1047" s="141" t="str">
        <v>525099 *Ajustes por inflación</v>
      </c>
      <c r="DF1047" t="str">
        <v>525099 *Ajustes por inflación</v>
      </c>
      <c r="DG1047" t="str">
        <v>525099 *Ajustes por inflación</v>
      </c>
      <c r="DH1047" t="str">
        <v>525099 *Ajustes por inflación</v>
      </c>
      <c r="DI1047" t="str">
        <v>525099 *Ajustes por inflación</v>
      </c>
      <c r="DJ1047" t="str">
        <v>525099 *Ajustes por inflación</v>
      </c>
      <c r="DK1047" t="str">
        <v>525099 *Ajustes por inflación</v>
      </c>
      <c r="DL1047" t="str">
        <v>525099 *Ajustes por inflación</v>
      </c>
      <c r="DM1047" t="str">
        <v>525099 *Ajustes por inflación</v>
      </c>
      <c r="DN1047" t="str">
        <v>525099 *Ajustes por inflación</v>
      </c>
      <c r="DO1047" t="str">
        <v>525099 *Ajustes por inflación</v>
      </c>
      <c r="DP1047" t="str">
        <v>525099 *Ajustes por inflación</v>
      </c>
    </row>
    <row r="1048" spans="4:120" ht="12.75">
      <c r="D1048" s="7">
        <v>5255</v>
      </c>
      <c r="E1048" s="6" t="s">
        <v>604</v>
      </c>
      <c r="F1048" s="5">
        <v>3</v>
      </c>
      <c r="G1048" s="34" t="s">
        <v>830</v>
      </c>
      <c r="H1048" s="8" t="s">
        <v>32</v>
      </c>
      <c r="I1048" t="b">
        <f>+ISNUMBER(SEARCH('F-COMPRA'!$F$28,Tabla11[[#This Row],[Cuenta]],1))</f>
        <v>1</v>
      </c>
      <c r="J1048" t="b">
        <f>+ISNUMBER(SEARCH('F-COMPRA'!$F$29,Tabla11[[#This Row],[Cuenta]],1))</f>
        <v>1</v>
      </c>
      <c r="K1048" t="b">
        <f>+ISNUMBER(SEARCH('F-COMPRA'!$F$30,Tabla11[[#This Row],[Cuenta]],1))</f>
        <v>1</v>
      </c>
      <c r="L1048" t="b">
        <f>+ISNUMBER(SEARCH('F-COMPRA'!$F$31,Tabla11[[#This Row],[Cuenta]],1))</f>
        <v>1</v>
      </c>
      <c r="M1048" t="b">
        <f>+ISNUMBER(SEARCH('F-COMPRA'!$G$25,Tabla11[[#This Row],[Cuenta]],1))</f>
        <v>0</v>
      </c>
      <c r="N1048" t="b">
        <f>+ISNUMBER(SEARCH(#REF!,Tabla11[[#This Row],[Cuenta]],1))</f>
        <v>0</v>
      </c>
      <c r="O1048" t="b">
        <f>+ISNUMBER(SEARCH(#REF!,Tabla11[[#This Row],[Cuenta]],1))</f>
        <v>0</v>
      </c>
      <c r="P1048" t="b">
        <f>+ISNUMBER(SEARCH('F-COMPRA'!$F$32,Tabla11[[#This Row],[Cuenta]],1))</f>
        <v>1</v>
      </c>
      <c r="Q1048" t="b">
        <f>+ISNUMBER(SEARCH('F-COMPRA'!$F$33,Tabla11[[#This Row],[Cuenta]],1))</f>
        <v>1</v>
      </c>
      <c r="R1048" t="b">
        <f>+ISNUMBER(SEARCH('F-COMPRA'!$F$34,Tabla11[[#This Row],[Cuenta]],1))</f>
        <v>1</v>
      </c>
      <c r="S1048" t="b">
        <f>+ISNUMBER(SEARCH('F-COMPRA'!$F$35,Tabla11[[#This Row],[Cuenta]],1))</f>
        <v>1</v>
      </c>
      <c r="T1048" t="b">
        <f>+ISNUMBER(SEARCH('F-COMPRA'!$F$36,Tabla11[[#This Row],[Cuenta]],1))</f>
        <v>1</v>
      </c>
      <c r="U1048" t="b">
        <f>+ISNUMBER(SEARCH('F-COMPRA'!$F$37,Tabla11[[#This Row],[Cuenta]],1))</f>
        <v>1</v>
      </c>
      <c r="V1048" t="b">
        <f>+ISNUMBER(SEARCH(#REF!,Tabla11[[#This Row],[Cuenta]],1))</f>
        <v>0</v>
      </c>
      <c r="W1048" t="b">
        <f>+ISNUMBER(SEARCH('F-COMPRA'!#REF!,Tabla11[[#This Row],[Cuenta]],1))</f>
        <v>0</v>
      </c>
      <c r="X1048" t="b">
        <f>+ISNUMBER(SEARCH('F-COMPRA'!#REF!,Tabla11[[#This Row],[Cuenta]],1))</f>
        <v>0</v>
      </c>
      <c r="Y1048" t="b">
        <f>+ISNUMBER(SEARCH('F-COMPRA'!#REF!,Tabla11[[#This Row],[Cuenta]],1))</f>
        <v>0</v>
      </c>
      <c r="Z1048" t="b">
        <f>+ISNUMBER(SEARCH('F-COMPRA'!#REF!,Tabla11[[#This Row],[Cuenta]],1))</f>
        <v>0</v>
      </c>
      <c r="AA1048" t="b">
        <f>+ISNUMBER(SEARCH('F-COMPRA'!#REF!,Tabla11[[#This Row],[Cuenta]],1))</f>
        <v>0</v>
      </c>
      <c r="AB1048" t="b">
        <f>+ISNUMBER(SEARCH('F-COMPRA'!#REF!,Tabla11[[#This Row],[Cuenta]],1))</f>
        <v>0</v>
      </c>
      <c r="AC1048" t="b">
        <f>+ISNUMBER(SEARCH('F-COMPRA'!#REF!,Tabla11[[#This Row],[Cuenta]],1))</f>
        <v>0</v>
      </c>
      <c r="AD1048" t="b">
        <f>+ISNUMBER(SEARCH('F-COMPRA'!#REF!,Tabla11[[#This Row],[Cuenta]],1))</f>
        <v>0</v>
      </c>
      <c r="AE1048" t="b">
        <f>+ISNUMBER(SEARCH('F-COMPRA'!#REF!,Tabla11[[#This Row],[Cuenta]],1))</f>
        <v>0</v>
      </c>
      <c r="AF1048" t="b">
        <f>+ISNUMBER(SEARCH('F-VTA'!$G$23,Tabla11[[#This Row],[Cuenta]],1))</f>
        <v>0</v>
      </c>
      <c r="AG1048" t="b">
        <f>+ISNUMBER(SEARCH('F-VTA'!$G$24,Tabla11[[#This Row],[Cuenta]],1))</f>
        <v>0</v>
      </c>
      <c r="AH1048" t="b">
        <f>+ISNUMBER(SEARCH('F-VTA'!$G$25,Tabla11[[#This Row],[Cuenta]],1))</f>
        <v>0</v>
      </c>
      <c r="AI1048" t="b">
        <f>+ISNUMBER(SEARCH('F-VTA'!$F$28,Tabla11[[#This Row],[Cuenta]],1))</f>
        <v>1</v>
      </c>
      <c r="AJ1048" t="b">
        <f>+ISNUMBER(SEARCH('F-VTA'!$F$29,Tabla11[[#This Row],[Cuenta]],1))</f>
        <v>1</v>
      </c>
      <c r="AK1048" t="b">
        <f>+ISNUMBER(SEARCH('F-VTA'!$F$30,Tabla11[[#This Row],[Cuenta]],1))</f>
        <v>1</v>
      </c>
      <c r="AL1048" t="b">
        <f>+ISNUMBER(SEARCH('F-VTA'!$F$31,Tabla11[[#This Row],[Cuenta]],1))</f>
        <v>1</v>
      </c>
      <c r="AM1048" t="b">
        <f>+ISNUMBER(SEARCH('F-VTA'!$F$32,Tabla11[[#This Row],[Cuenta]],1))</f>
        <v>1</v>
      </c>
      <c r="AN1048" t="b">
        <f>+ISNUMBER(SEARCH('F-VTA'!$F$33,Tabla11[[#This Row],[Cuenta]],1))</f>
        <v>1</v>
      </c>
      <c r="AO1048" t="b">
        <f>+ISNUMBER(SEARCH('F-VTA'!$F$34,Tabla11[[#This Row],[Cuenta]],1))</f>
        <v>1</v>
      </c>
      <c r="AP1048" t="b">
        <f>+ISNUMBER(SEARCH('F-VTA'!$F$35,Tabla11[[#This Row],[Cuenta]],1))</f>
        <v>1</v>
      </c>
      <c r="AQ1048" t="b">
        <f>+ISNUMBER(SEARCH('F-VTA'!$F$36,Tabla11[[#This Row],[Cuenta]],1))</f>
        <v>1</v>
      </c>
      <c r="AR1048" t="b">
        <f>+ISNUMBER(SEARCH(#REF!,Tabla11[[#This Row],[Cuenta]],1))</f>
        <v>0</v>
      </c>
      <c r="AS1048" t="b">
        <f>+ISNUMBER(SEARCH(#REF!,Tabla11[[#This Row],[Cuenta]],1))</f>
        <v>0</v>
      </c>
      <c r="AT1048" t="b">
        <f>+ISNUMBER(SEARCH(#REF!,Tabla11[[#This Row],[Cuenta]],1))</f>
        <v>0</v>
      </c>
      <c r="AU1048" t="b">
        <f>+ISNUMBER(SEARCH('Conc. Ban.1'!$I$9,Tabla11[[#This Row],[Cuenta]],1))</f>
        <v>0</v>
      </c>
      <c r="AV1048" t="b">
        <f>+ISNUMBER(SEARCH(CompConta!$F$21,Tabla11[[#This Row],[Cuenta]],1))</f>
        <v>1</v>
      </c>
      <c r="AW1048" t="b">
        <f>+ISNUMBER(SEARCH(CompConta!$F$22,Tabla11[[#This Row],[Cuenta]],1))</f>
        <v>1</v>
      </c>
      <c r="AX1048" t="b">
        <f>+ISNUMBER(SEARCH(CompConta!$F$23,Tabla11[[#This Row],[Cuenta]],1))</f>
        <v>1</v>
      </c>
      <c r="AY1048" t="b">
        <f>+ISNUMBER(SEARCH(CompConta!$F$24,Tabla11[[#This Row],[Cuenta]],1))</f>
        <v>1</v>
      </c>
      <c r="AZ1048" t="b">
        <f>+ISNUMBER(SEARCH(CompConta!$F$25,Tabla11[[#This Row],[Cuenta]],1))</f>
        <v>1</v>
      </c>
      <c r="BA1048" t="b">
        <f>+ISNUMBER(SEARCH(CompConta!$F$26,Tabla11[[#This Row],[Cuenta]],1))</f>
        <v>1</v>
      </c>
      <c r="BB1048" t="b">
        <f>+ISNUMBER(SEARCH(CompConta!$F$27,Tabla11[[#This Row],[Cuenta]],1))</f>
        <v>1</v>
      </c>
      <c r="BC1048" t="b">
        <f>+ISNUMBER(SEARCH(CompConta!$F$28,Tabla11[[#This Row],[Cuenta]],1))</f>
        <v>1</v>
      </c>
      <c r="BD1048" t="b">
        <f>+ISNUMBER(SEARCH(CompConta!$F$29,Tabla11[[#This Row],[Cuenta]],1))</f>
        <v>1</v>
      </c>
      <c r="BE1048" t="b">
        <f>+ISNUMBER(SEARCH(CompConta!$F$30,Tabla11[[#This Row],[Cuenta]],1))</f>
        <v>1</v>
      </c>
      <c r="BF1048" t="b">
        <f>+ISNUMBER(SEARCH('PAGO Compras'!$E$11,Tabla11[[#This Row],[Cuenta]],1))</f>
        <v>1</v>
      </c>
      <c r="BG1048" t="b">
        <f>+ISNUMBER(SEARCH(#REF!,Tabla11[[#This Row],[Cuenta]],1))</f>
        <v>0</v>
      </c>
      <c r="BH1048" t="b">
        <f>+ISNUMBER(SEARCH(#REF!,Tabla11[[#This Row],[Cuenta]],1))</f>
        <v>0</v>
      </c>
      <c r="BI1048" t="b">
        <f>+ISNUMBER(SEARCH(#REF!,Tabla11[[#This Row],[Cuenta]],1))</f>
        <v>0</v>
      </c>
      <c r="BJ1048" t="b">
        <f>+ISNUMBER(SEARCH(#REF!,Tabla11[[#This Row],[Cuenta]],1))</f>
        <v>0</v>
      </c>
      <c r="BS1048" t="str">
        <v>5255 GASTOS DE VIAJE</v>
      </c>
      <c r="BT1048" t="str">
        <v>5255 GASTOS DE VIAJE</v>
      </c>
      <c r="BU1048" t="str">
        <v>5255 GASTOS DE VIAJE</v>
      </c>
      <c r="BV1048" t="str">
        <v>5255 GASTOS DE VIAJE</v>
      </c>
      <c r="BZ1048" t="str">
        <v>5255 GASTOS DE VIAJE</v>
      </c>
      <c r="CA1048" t="str">
        <v>5255 GASTOS DE VIAJE</v>
      </c>
      <c r="CB1048" t="str">
        <v>5255 GASTOS DE VIAJE</v>
      </c>
      <c r="CC1048" t="str">
        <v>5255 GASTOS DE VIAJE</v>
      </c>
      <c r="CD1048" t="str">
        <v>5255 GASTOS DE VIAJE</v>
      </c>
      <c r="CE1048" t="str">
        <v>5255 GASTOS DE VIAJE</v>
      </c>
      <c r="CS1048" s="141" t="str">
        <v>5255 GASTOS DE VIAJE</v>
      </c>
      <c r="CT1048" s="141" t="str">
        <v>5255 GASTOS DE VIAJE</v>
      </c>
      <c r="CU1048" s="141" t="str">
        <v>5255 GASTOS DE VIAJE</v>
      </c>
      <c r="CV1048" s="141" t="str">
        <v>5255 GASTOS DE VIAJE</v>
      </c>
      <c r="CW1048" s="141" t="str">
        <v>5255 GASTOS DE VIAJE</v>
      </c>
      <c r="CX1048" s="141" t="str">
        <v>5255 GASTOS DE VIAJE</v>
      </c>
      <c r="CY1048" s="141" t="str">
        <v>5255 GASTOS DE VIAJE</v>
      </c>
      <c r="CZ1048" s="141" t="str">
        <v>5255 GASTOS DE VIAJE</v>
      </c>
      <c r="DA1048" s="141" t="str">
        <v>5255 GASTOS DE VIAJE</v>
      </c>
      <c r="DF1048" t="str">
        <v>5255 GASTOS DE VIAJE</v>
      </c>
      <c r="DG1048" t="str">
        <v>5255 GASTOS DE VIAJE</v>
      </c>
      <c r="DH1048" t="str">
        <v>5255 GASTOS DE VIAJE</v>
      </c>
      <c r="DI1048" t="str">
        <v>5255 GASTOS DE VIAJE</v>
      </c>
      <c r="DJ1048" t="str">
        <v>5255 GASTOS DE VIAJE</v>
      </c>
      <c r="DK1048" t="str">
        <v>5255 GASTOS DE VIAJE</v>
      </c>
      <c r="DL1048" t="str">
        <v>5255 GASTOS DE VIAJE</v>
      </c>
      <c r="DM1048" t="str">
        <v>5255 GASTOS DE VIAJE</v>
      </c>
      <c r="DN1048" t="str">
        <v>5255 GASTOS DE VIAJE</v>
      </c>
      <c r="DO1048" t="str">
        <v>5255 GASTOS DE VIAJE</v>
      </c>
      <c r="DP1048" t="str">
        <v>5255 GASTOS DE VIAJE</v>
      </c>
    </row>
    <row r="1049" spans="4:120" ht="12.75">
      <c r="D1049" s="7">
        <v>525505</v>
      </c>
      <c r="E1049" s="6" t="s">
        <v>605</v>
      </c>
      <c r="F1049" s="5">
        <v>4</v>
      </c>
      <c r="G1049" s="34" t="s">
        <v>830</v>
      </c>
      <c r="H1049" s="8" t="s">
        <v>32</v>
      </c>
      <c r="I1049" t="b">
        <f>+ISNUMBER(SEARCH('F-COMPRA'!$F$28,Tabla11[[#This Row],[Cuenta]],1))</f>
        <v>1</v>
      </c>
      <c r="J1049" t="b">
        <f>+ISNUMBER(SEARCH('F-COMPRA'!$F$29,Tabla11[[#This Row],[Cuenta]],1))</f>
        <v>1</v>
      </c>
      <c r="K1049" t="b">
        <f>+ISNUMBER(SEARCH('F-COMPRA'!$F$30,Tabla11[[#This Row],[Cuenta]],1))</f>
        <v>1</v>
      </c>
      <c r="L1049" t="b">
        <f>+ISNUMBER(SEARCH('F-COMPRA'!$F$31,Tabla11[[#This Row],[Cuenta]],1))</f>
        <v>1</v>
      </c>
      <c r="M1049" t="b">
        <f>+ISNUMBER(SEARCH('F-COMPRA'!$G$25,Tabla11[[#This Row],[Cuenta]],1))</f>
        <v>0</v>
      </c>
      <c r="N1049" t="b">
        <f>+ISNUMBER(SEARCH(#REF!,Tabla11[[#This Row],[Cuenta]],1))</f>
        <v>0</v>
      </c>
      <c r="O1049" t="b">
        <f>+ISNUMBER(SEARCH(#REF!,Tabla11[[#This Row],[Cuenta]],1))</f>
        <v>0</v>
      </c>
      <c r="P1049" t="b">
        <f>+ISNUMBER(SEARCH('F-COMPRA'!$F$32,Tabla11[[#This Row],[Cuenta]],1))</f>
        <v>1</v>
      </c>
      <c r="Q1049" t="b">
        <f>+ISNUMBER(SEARCH('F-COMPRA'!$F$33,Tabla11[[#This Row],[Cuenta]],1))</f>
        <v>1</v>
      </c>
      <c r="R1049" t="b">
        <f>+ISNUMBER(SEARCH('F-COMPRA'!$F$34,Tabla11[[#This Row],[Cuenta]],1))</f>
        <v>1</v>
      </c>
      <c r="S1049" t="b">
        <f>+ISNUMBER(SEARCH('F-COMPRA'!$F$35,Tabla11[[#This Row],[Cuenta]],1))</f>
        <v>1</v>
      </c>
      <c r="T1049" t="b">
        <f>+ISNUMBER(SEARCH('F-COMPRA'!$F$36,Tabla11[[#This Row],[Cuenta]],1))</f>
        <v>1</v>
      </c>
      <c r="U1049" t="b">
        <f>+ISNUMBER(SEARCH('F-COMPRA'!$F$37,Tabla11[[#This Row],[Cuenta]],1))</f>
        <v>1</v>
      </c>
      <c r="V1049" t="b">
        <f>+ISNUMBER(SEARCH(#REF!,Tabla11[[#This Row],[Cuenta]],1))</f>
        <v>0</v>
      </c>
      <c r="W1049" t="b">
        <f>+ISNUMBER(SEARCH('F-COMPRA'!#REF!,Tabla11[[#This Row],[Cuenta]],1))</f>
        <v>0</v>
      </c>
      <c r="X1049" t="b">
        <f>+ISNUMBER(SEARCH('F-COMPRA'!#REF!,Tabla11[[#This Row],[Cuenta]],1))</f>
        <v>0</v>
      </c>
      <c r="Y1049" t="b">
        <f>+ISNUMBER(SEARCH('F-COMPRA'!#REF!,Tabla11[[#This Row],[Cuenta]],1))</f>
        <v>0</v>
      </c>
      <c r="Z1049" t="b">
        <f>+ISNUMBER(SEARCH('F-COMPRA'!#REF!,Tabla11[[#This Row],[Cuenta]],1))</f>
        <v>0</v>
      </c>
      <c r="AA1049" t="b">
        <f>+ISNUMBER(SEARCH('F-COMPRA'!#REF!,Tabla11[[#This Row],[Cuenta]],1))</f>
        <v>0</v>
      </c>
      <c r="AB1049" t="b">
        <f>+ISNUMBER(SEARCH('F-COMPRA'!#REF!,Tabla11[[#This Row],[Cuenta]],1))</f>
        <v>0</v>
      </c>
      <c r="AC1049" t="b">
        <f>+ISNUMBER(SEARCH('F-COMPRA'!#REF!,Tabla11[[#This Row],[Cuenta]],1))</f>
        <v>0</v>
      </c>
      <c r="AD1049" t="b">
        <f>+ISNUMBER(SEARCH('F-COMPRA'!#REF!,Tabla11[[#This Row],[Cuenta]],1))</f>
        <v>0</v>
      </c>
      <c r="AE1049" t="b">
        <f>+ISNUMBER(SEARCH('F-COMPRA'!#REF!,Tabla11[[#This Row],[Cuenta]],1))</f>
        <v>0</v>
      </c>
      <c r="AF1049" t="b">
        <f>+ISNUMBER(SEARCH('F-VTA'!$G$23,Tabla11[[#This Row],[Cuenta]],1))</f>
        <v>0</v>
      </c>
      <c r="AG1049" t="b">
        <f>+ISNUMBER(SEARCH('F-VTA'!$G$24,Tabla11[[#This Row],[Cuenta]],1))</f>
        <v>0</v>
      </c>
      <c r="AH1049" t="b">
        <f>+ISNUMBER(SEARCH('F-VTA'!$G$25,Tabla11[[#This Row],[Cuenta]],1))</f>
        <v>0</v>
      </c>
      <c r="AI1049" t="b">
        <f>+ISNUMBER(SEARCH('F-VTA'!$F$28,Tabla11[[#This Row],[Cuenta]],1))</f>
        <v>1</v>
      </c>
      <c r="AJ1049" t="b">
        <f>+ISNUMBER(SEARCH('F-VTA'!$F$29,Tabla11[[#This Row],[Cuenta]],1))</f>
        <v>1</v>
      </c>
      <c r="AK1049" t="b">
        <f>+ISNUMBER(SEARCH('F-VTA'!$F$30,Tabla11[[#This Row],[Cuenta]],1))</f>
        <v>1</v>
      </c>
      <c r="AL1049" t="b">
        <f>+ISNUMBER(SEARCH('F-VTA'!$F$31,Tabla11[[#This Row],[Cuenta]],1))</f>
        <v>1</v>
      </c>
      <c r="AM1049" t="b">
        <f>+ISNUMBER(SEARCH('F-VTA'!$F$32,Tabla11[[#This Row],[Cuenta]],1))</f>
        <v>1</v>
      </c>
      <c r="AN1049" t="b">
        <f>+ISNUMBER(SEARCH('F-VTA'!$F$33,Tabla11[[#This Row],[Cuenta]],1))</f>
        <v>1</v>
      </c>
      <c r="AO1049" t="b">
        <f>+ISNUMBER(SEARCH('F-VTA'!$F$34,Tabla11[[#This Row],[Cuenta]],1))</f>
        <v>1</v>
      </c>
      <c r="AP1049" t="b">
        <f>+ISNUMBER(SEARCH('F-VTA'!$F$35,Tabla11[[#This Row],[Cuenta]],1))</f>
        <v>1</v>
      </c>
      <c r="AQ1049" t="b">
        <f>+ISNUMBER(SEARCH('F-VTA'!$F$36,Tabla11[[#This Row],[Cuenta]],1))</f>
        <v>1</v>
      </c>
      <c r="AR1049" t="b">
        <f>+ISNUMBER(SEARCH(#REF!,Tabla11[[#This Row],[Cuenta]],1))</f>
        <v>0</v>
      </c>
      <c r="AS1049" t="b">
        <f>+ISNUMBER(SEARCH(#REF!,Tabla11[[#This Row],[Cuenta]],1))</f>
        <v>0</v>
      </c>
      <c r="AT1049" t="b">
        <f>+ISNUMBER(SEARCH(#REF!,Tabla11[[#This Row],[Cuenta]],1))</f>
        <v>0</v>
      </c>
      <c r="AU1049" t="b">
        <f>+ISNUMBER(SEARCH('Conc. Ban.1'!$I$9,Tabla11[[#This Row],[Cuenta]],1))</f>
        <v>0</v>
      </c>
      <c r="AV1049" t="b">
        <f>+ISNUMBER(SEARCH(CompConta!$F$21,Tabla11[[#This Row],[Cuenta]],1))</f>
        <v>1</v>
      </c>
      <c r="AW1049" t="b">
        <f>+ISNUMBER(SEARCH(CompConta!$F$22,Tabla11[[#This Row],[Cuenta]],1))</f>
        <v>1</v>
      </c>
      <c r="AX1049" t="b">
        <f>+ISNUMBER(SEARCH(CompConta!$F$23,Tabla11[[#This Row],[Cuenta]],1))</f>
        <v>1</v>
      </c>
      <c r="AY1049" t="b">
        <f>+ISNUMBER(SEARCH(CompConta!$F$24,Tabla11[[#This Row],[Cuenta]],1))</f>
        <v>1</v>
      </c>
      <c r="AZ1049" t="b">
        <f>+ISNUMBER(SEARCH(CompConta!$F$25,Tabla11[[#This Row],[Cuenta]],1))</f>
        <v>1</v>
      </c>
      <c r="BA1049" t="b">
        <f>+ISNUMBER(SEARCH(CompConta!$F$26,Tabla11[[#This Row],[Cuenta]],1))</f>
        <v>1</v>
      </c>
      <c r="BB1049" t="b">
        <f>+ISNUMBER(SEARCH(CompConta!$F$27,Tabla11[[#This Row],[Cuenta]],1))</f>
        <v>1</v>
      </c>
      <c r="BC1049" t="b">
        <f>+ISNUMBER(SEARCH(CompConta!$F$28,Tabla11[[#This Row],[Cuenta]],1))</f>
        <v>1</v>
      </c>
      <c r="BD1049" t="b">
        <f>+ISNUMBER(SEARCH(CompConta!$F$29,Tabla11[[#This Row],[Cuenta]],1))</f>
        <v>1</v>
      </c>
      <c r="BE1049" t="b">
        <f>+ISNUMBER(SEARCH(CompConta!$F$30,Tabla11[[#This Row],[Cuenta]],1))</f>
        <v>1</v>
      </c>
      <c r="BF1049" t="b">
        <f>+ISNUMBER(SEARCH('PAGO Compras'!$E$11,Tabla11[[#This Row],[Cuenta]],1))</f>
        <v>1</v>
      </c>
      <c r="BG1049" t="b">
        <f>+ISNUMBER(SEARCH(#REF!,Tabla11[[#This Row],[Cuenta]],1))</f>
        <v>0</v>
      </c>
      <c r="BH1049" t="b">
        <f>+ISNUMBER(SEARCH(#REF!,Tabla11[[#This Row],[Cuenta]],1))</f>
        <v>0</v>
      </c>
      <c r="BI1049" t="b">
        <f>+ISNUMBER(SEARCH(#REF!,Tabla11[[#This Row],[Cuenta]],1))</f>
        <v>0</v>
      </c>
      <c r="BJ1049" t="b">
        <f>+ISNUMBER(SEARCH(#REF!,Tabla11[[#This Row],[Cuenta]],1))</f>
        <v>0</v>
      </c>
      <c r="BS1049" t="str">
        <v>525505 Alojamiento y manutención</v>
      </c>
      <c r="BT1049" t="str">
        <v>525505 Alojamiento y manutención</v>
      </c>
      <c r="BU1049" t="str">
        <v>525505 Alojamiento y manutención</v>
      </c>
      <c r="BV1049" t="str">
        <v>525505 Alojamiento y manutención</v>
      </c>
      <c r="BZ1049" t="str">
        <v>525505 Alojamiento y manutención</v>
      </c>
      <c r="CA1049" t="str">
        <v>525505 Alojamiento y manutención</v>
      </c>
      <c r="CB1049" t="str">
        <v>525505 Alojamiento y manutención</v>
      </c>
      <c r="CC1049" t="str">
        <v>525505 Alojamiento y manutención</v>
      </c>
      <c r="CD1049" t="str">
        <v>525505 Alojamiento y manutención</v>
      </c>
      <c r="CE1049" t="str">
        <v>525505 Alojamiento y manutención</v>
      </c>
      <c r="CS1049" s="141" t="str">
        <v>525505 Alojamiento y manutención</v>
      </c>
      <c r="CT1049" s="141" t="str">
        <v>525505 Alojamiento y manutención</v>
      </c>
      <c r="CU1049" s="141" t="str">
        <v>525505 Alojamiento y manutención</v>
      </c>
      <c r="CV1049" s="141" t="str">
        <v>525505 Alojamiento y manutención</v>
      </c>
      <c r="CW1049" s="141" t="str">
        <v>525505 Alojamiento y manutención</v>
      </c>
      <c r="CX1049" s="141" t="str">
        <v>525505 Alojamiento y manutención</v>
      </c>
      <c r="CY1049" s="141" t="str">
        <v>525505 Alojamiento y manutención</v>
      </c>
      <c r="CZ1049" s="141" t="str">
        <v>525505 Alojamiento y manutención</v>
      </c>
      <c r="DA1049" s="141" t="str">
        <v>525505 Alojamiento y manutención</v>
      </c>
      <c r="DF1049" t="str">
        <v>525505 Alojamiento y manutención</v>
      </c>
      <c r="DG1049" t="str">
        <v>525505 Alojamiento y manutención</v>
      </c>
      <c r="DH1049" t="str">
        <v>525505 Alojamiento y manutención</v>
      </c>
      <c r="DI1049" t="str">
        <v>525505 Alojamiento y manutención</v>
      </c>
      <c r="DJ1049" t="str">
        <v>525505 Alojamiento y manutención</v>
      </c>
      <c r="DK1049" t="str">
        <v>525505 Alojamiento y manutención</v>
      </c>
      <c r="DL1049" t="str">
        <v>525505 Alojamiento y manutención</v>
      </c>
      <c r="DM1049" t="str">
        <v>525505 Alojamiento y manutención</v>
      </c>
      <c r="DN1049" t="str">
        <v>525505 Alojamiento y manutención</v>
      </c>
      <c r="DO1049" t="str">
        <v>525505 Alojamiento y manutención</v>
      </c>
      <c r="DP1049" t="str">
        <v>525505 Alojamiento y manutención</v>
      </c>
    </row>
    <row r="1050" spans="4:120" ht="12.75">
      <c r="D1050" s="7">
        <v>525510</v>
      </c>
      <c r="E1050" s="6" t="s">
        <v>606</v>
      </c>
      <c r="F1050" s="5">
        <v>4</v>
      </c>
      <c r="G1050" s="34" t="s">
        <v>830</v>
      </c>
      <c r="H1050" s="8" t="s">
        <v>32</v>
      </c>
      <c r="I1050" t="b">
        <f>+ISNUMBER(SEARCH('F-COMPRA'!$F$28,Tabla11[[#This Row],[Cuenta]],1))</f>
        <v>1</v>
      </c>
      <c r="J1050" t="b">
        <f>+ISNUMBER(SEARCH('F-COMPRA'!$F$29,Tabla11[[#This Row],[Cuenta]],1))</f>
        <v>1</v>
      </c>
      <c r="K1050" t="b">
        <f>+ISNUMBER(SEARCH('F-COMPRA'!$F$30,Tabla11[[#This Row],[Cuenta]],1))</f>
        <v>1</v>
      </c>
      <c r="L1050" t="b">
        <f>+ISNUMBER(SEARCH('F-COMPRA'!$F$31,Tabla11[[#This Row],[Cuenta]],1))</f>
        <v>1</v>
      </c>
      <c r="M1050" t="b">
        <f>+ISNUMBER(SEARCH('F-COMPRA'!$G$25,Tabla11[[#This Row],[Cuenta]],1))</f>
        <v>0</v>
      </c>
      <c r="N1050" t="b">
        <f>+ISNUMBER(SEARCH(#REF!,Tabla11[[#This Row],[Cuenta]],1))</f>
        <v>0</v>
      </c>
      <c r="O1050" t="b">
        <f>+ISNUMBER(SEARCH(#REF!,Tabla11[[#This Row],[Cuenta]],1))</f>
        <v>0</v>
      </c>
      <c r="P1050" t="b">
        <f>+ISNUMBER(SEARCH('F-COMPRA'!$F$32,Tabla11[[#This Row],[Cuenta]],1))</f>
        <v>1</v>
      </c>
      <c r="Q1050" t="b">
        <f>+ISNUMBER(SEARCH('F-COMPRA'!$F$33,Tabla11[[#This Row],[Cuenta]],1))</f>
        <v>1</v>
      </c>
      <c r="R1050" t="b">
        <f>+ISNUMBER(SEARCH('F-COMPRA'!$F$34,Tabla11[[#This Row],[Cuenta]],1))</f>
        <v>1</v>
      </c>
      <c r="S1050" t="b">
        <f>+ISNUMBER(SEARCH('F-COMPRA'!$F$35,Tabla11[[#This Row],[Cuenta]],1))</f>
        <v>1</v>
      </c>
      <c r="T1050" t="b">
        <f>+ISNUMBER(SEARCH('F-COMPRA'!$F$36,Tabla11[[#This Row],[Cuenta]],1))</f>
        <v>1</v>
      </c>
      <c r="U1050" t="b">
        <f>+ISNUMBER(SEARCH('F-COMPRA'!$F$37,Tabla11[[#This Row],[Cuenta]],1))</f>
        <v>1</v>
      </c>
      <c r="V1050" t="b">
        <f>+ISNUMBER(SEARCH(#REF!,Tabla11[[#This Row],[Cuenta]],1))</f>
        <v>0</v>
      </c>
      <c r="W1050" t="b">
        <f>+ISNUMBER(SEARCH('F-COMPRA'!#REF!,Tabla11[[#This Row],[Cuenta]],1))</f>
        <v>0</v>
      </c>
      <c r="X1050" t="b">
        <f>+ISNUMBER(SEARCH('F-COMPRA'!#REF!,Tabla11[[#This Row],[Cuenta]],1))</f>
        <v>0</v>
      </c>
      <c r="Y1050" t="b">
        <f>+ISNUMBER(SEARCH('F-COMPRA'!#REF!,Tabla11[[#This Row],[Cuenta]],1))</f>
        <v>0</v>
      </c>
      <c r="Z1050" t="b">
        <f>+ISNUMBER(SEARCH('F-COMPRA'!#REF!,Tabla11[[#This Row],[Cuenta]],1))</f>
        <v>0</v>
      </c>
      <c r="AA1050" t="b">
        <f>+ISNUMBER(SEARCH('F-COMPRA'!#REF!,Tabla11[[#This Row],[Cuenta]],1))</f>
        <v>0</v>
      </c>
      <c r="AB1050" t="b">
        <f>+ISNUMBER(SEARCH('F-COMPRA'!#REF!,Tabla11[[#This Row],[Cuenta]],1))</f>
        <v>0</v>
      </c>
      <c r="AC1050" t="b">
        <f>+ISNUMBER(SEARCH('F-COMPRA'!#REF!,Tabla11[[#This Row],[Cuenta]],1))</f>
        <v>0</v>
      </c>
      <c r="AD1050" t="b">
        <f>+ISNUMBER(SEARCH('F-COMPRA'!#REF!,Tabla11[[#This Row],[Cuenta]],1))</f>
        <v>0</v>
      </c>
      <c r="AE1050" t="b">
        <f>+ISNUMBER(SEARCH('F-COMPRA'!#REF!,Tabla11[[#This Row],[Cuenta]],1))</f>
        <v>0</v>
      </c>
      <c r="AF1050" t="b">
        <f>+ISNUMBER(SEARCH('F-VTA'!$G$23,Tabla11[[#This Row],[Cuenta]],1))</f>
        <v>0</v>
      </c>
      <c r="AG1050" t="b">
        <f>+ISNUMBER(SEARCH('F-VTA'!$G$24,Tabla11[[#This Row],[Cuenta]],1))</f>
        <v>0</v>
      </c>
      <c r="AH1050" t="b">
        <f>+ISNUMBER(SEARCH('F-VTA'!$G$25,Tabla11[[#This Row],[Cuenta]],1))</f>
        <v>0</v>
      </c>
      <c r="AI1050" t="b">
        <f>+ISNUMBER(SEARCH('F-VTA'!$F$28,Tabla11[[#This Row],[Cuenta]],1))</f>
        <v>1</v>
      </c>
      <c r="AJ1050" t="b">
        <f>+ISNUMBER(SEARCH('F-VTA'!$F$29,Tabla11[[#This Row],[Cuenta]],1))</f>
        <v>1</v>
      </c>
      <c r="AK1050" t="b">
        <f>+ISNUMBER(SEARCH('F-VTA'!$F$30,Tabla11[[#This Row],[Cuenta]],1))</f>
        <v>1</v>
      </c>
      <c r="AL1050" t="b">
        <f>+ISNUMBER(SEARCH('F-VTA'!$F$31,Tabla11[[#This Row],[Cuenta]],1))</f>
        <v>1</v>
      </c>
      <c r="AM1050" t="b">
        <f>+ISNUMBER(SEARCH('F-VTA'!$F$32,Tabla11[[#This Row],[Cuenta]],1))</f>
        <v>1</v>
      </c>
      <c r="AN1050" t="b">
        <f>+ISNUMBER(SEARCH('F-VTA'!$F$33,Tabla11[[#This Row],[Cuenta]],1))</f>
        <v>1</v>
      </c>
      <c r="AO1050" t="b">
        <f>+ISNUMBER(SEARCH('F-VTA'!$F$34,Tabla11[[#This Row],[Cuenta]],1))</f>
        <v>1</v>
      </c>
      <c r="AP1050" t="b">
        <f>+ISNUMBER(SEARCH('F-VTA'!$F$35,Tabla11[[#This Row],[Cuenta]],1))</f>
        <v>1</v>
      </c>
      <c r="AQ1050" t="b">
        <f>+ISNUMBER(SEARCH('F-VTA'!$F$36,Tabla11[[#This Row],[Cuenta]],1))</f>
        <v>1</v>
      </c>
      <c r="AR1050" t="b">
        <f>+ISNUMBER(SEARCH(#REF!,Tabla11[[#This Row],[Cuenta]],1))</f>
        <v>0</v>
      </c>
      <c r="AS1050" t="b">
        <f>+ISNUMBER(SEARCH(#REF!,Tabla11[[#This Row],[Cuenta]],1))</f>
        <v>0</v>
      </c>
      <c r="AT1050" t="b">
        <f>+ISNUMBER(SEARCH(#REF!,Tabla11[[#This Row],[Cuenta]],1))</f>
        <v>0</v>
      </c>
      <c r="AU1050" t="b">
        <f>+ISNUMBER(SEARCH('Conc. Ban.1'!$I$9,Tabla11[[#This Row],[Cuenta]],1))</f>
        <v>0</v>
      </c>
      <c r="AV1050" t="b">
        <f>+ISNUMBER(SEARCH(CompConta!$F$21,Tabla11[[#This Row],[Cuenta]],1))</f>
        <v>1</v>
      </c>
      <c r="AW1050" t="b">
        <f>+ISNUMBER(SEARCH(CompConta!$F$22,Tabla11[[#This Row],[Cuenta]],1))</f>
        <v>1</v>
      </c>
      <c r="AX1050" t="b">
        <f>+ISNUMBER(SEARCH(CompConta!$F$23,Tabla11[[#This Row],[Cuenta]],1))</f>
        <v>1</v>
      </c>
      <c r="AY1050" t="b">
        <f>+ISNUMBER(SEARCH(CompConta!$F$24,Tabla11[[#This Row],[Cuenta]],1))</f>
        <v>1</v>
      </c>
      <c r="AZ1050" t="b">
        <f>+ISNUMBER(SEARCH(CompConta!$F$25,Tabla11[[#This Row],[Cuenta]],1))</f>
        <v>1</v>
      </c>
      <c r="BA1050" t="b">
        <f>+ISNUMBER(SEARCH(CompConta!$F$26,Tabla11[[#This Row],[Cuenta]],1))</f>
        <v>1</v>
      </c>
      <c r="BB1050" t="b">
        <f>+ISNUMBER(SEARCH(CompConta!$F$27,Tabla11[[#This Row],[Cuenta]],1))</f>
        <v>1</v>
      </c>
      <c r="BC1050" t="b">
        <f>+ISNUMBER(SEARCH(CompConta!$F$28,Tabla11[[#This Row],[Cuenta]],1))</f>
        <v>1</v>
      </c>
      <c r="BD1050" t="b">
        <f>+ISNUMBER(SEARCH(CompConta!$F$29,Tabla11[[#This Row],[Cuenta]],1))</f>
        <v>1</v>
      </c>
      <c r="BE1050" t="b">
        <f>+ISNUMBER(SEARCH(CompConta!$F$30,Tabla11[[#This Row],[Cuenta]],1))</f>
        <v>1</v>
      </c>
      <c r="BF1050" t="b">
        <f>+ISNUMBER(SEARCH('PAGO Compras'!$E$11,Tabla11[[#This Row],[Cuenta]],1))</f>
        <v>1</v>
      </c>
      <c r="BG1050" t="b">
        <f>+ISNUMBER(SEARCH(#REF!,Tabla11[[#This Row],[Cuenta]],1))</f>
        <v>0</v>
      </c>
      <c r="BH1050" t="b">
        <f>+ISNUMBER(SEARCH(#REF!,Tabla11[[#This Row],[Cuenta]],1))</f>
        <v>0</v>
      </c>
      <c r="BI1050" t="b">
        <f>+ISNUMBER(SEARCH(#REF!,Tabla11[[#This Row],[Cuenta]],1))</f>
        <v>0</v>
      </c>
      <c r="BJ1050" t="b">
        <f>+ISNUMBER(SEARCH(#REF!,Tabla11[[#This Row],[Cuenta]],1))</f>
        <v>0</v>
      </c>
      <c r="BS1050" t="str">
        <v>525510 Pasajes fluviales y/o marítimos</v>
      </c>
      <c r="BT1050" t="str">
        <v>525510 Pasajes fluviales y/o marítimos</v>
      </c>
      <c r="BU1050" t="str">
        <v>525510 Pasajes fluviales y/o marítimos</v>
      </c>
      <c r="BV1050" t="str">
        <v>525510 Pasajes fluviales y/o marítimos</v>
      </c>
      <c r="BZ1050" t="str">
        <v>525510 Pasajes fluviales y/o marítimos</v>
      </c>
      <c r="CA1050" t="str">
        <v>525510 Pasajes fluviales y/o marítimos</v>
      </c>
      <c r="CB1050" t="str">
        <v>525510 Pasajes fluviales y/o marítimos</v>
      </c>
      <c r="CC1050" t="str">
        <v>525510 Pasajes fluviales y/o marítimos</v>
      </c>
      <c r="CD1050" t="str">
        <v>525510 Pasajes fluviales y/o marítimos</v>
      </c>
      <c r="CE1050" t="str">
        <v>525510 Pasajes fluviales y/o marítimos</v>
      </c>
      <c r="CS1050" s="141" t="str">
        <v>525510 Pasajes fluviales y/o marítimos</v>
      </c>
      <c r="CT1050" s="141" t="str">
        <v>525510 Pasajes fluviales y/o marítimos</v>
      </c>
      <c r="CU1050" s="141" t="str">
        <v>525510 Pasajes fluviales y/o marítimos</v>
      </c>
      <c r="CV1050" s="141" t="str">
        <v>525510 Pasajes fluviales y/o marítimos</v>
      </c>
      <c r="CW1050" s="141" t="str">
        <v>525510 Pasajes fluviales y/o marítimos</v>
      </c>
      <c r="CX1050" s="141" t="str">
        <v>525510 Pasajes fluviales y/o marítimos</v>
      </c>
      <c r="CY1050" s="141" t="str">
        <v>525510 Pasajes fluviales y/o marítimos</v>
      </c>
      <c r="CZ1050" s="141" t="str">
        <v>525510 Pasajes fluviales y/o marítimos</v>
      </c>
      <c r="DA1050" s="141" t="str">
        <v>525510 Pasajes fluviales y/o marítimos</v>
      </c>
      <c r="DF1050" t="str">
        <v>525510 Pasajes fluviales y/o marítimos</v>
      </c>
      <c r="DG1050" t="str">
        <v>525510 Pasajes fluviales y/o marítimos</v>
      </c>
      <c r="DH1050" t="str">
        <v>525510 Pasajes fluviales y/o marítimos</v>
      </c>
      <c r="DI1050" t="str">
        <v>525510 Pasajes fluviales y/o marítimos</v>
      </c>
      <c r="DJ1050" t="str">
        <v>525510 Pasajes fluviales y/o marítimos</v>
      </c>
      <c r="DK1050" t="str">
        <v>525510 Pasajes fluviales y/o marítimos</v>
      </c>
      <c r="DL1050" t="str">
        <v>525510 Pasajes fluviales y/o marítimos</v>
      </c>
      <c r="DM1050" t="str">
        <v>525510 Pasajes fluviales y/o marítimos</v>
      </c>
      <c r="DN1050" t="str">
        <v>525510 Pasajes fluviales y/o marítimos</v>
      </c>
      <c r="DO1050" t="str">
        <v>525510 Pasajes fluviales y/o marítimos</v>
      </c>
      <c r="DP1050" t="str">
        <v>525510 Pasajes fluviales y/o marítimos</v>
      </c>
    </row>
    <row r="1051" spans="4:120" ht="12.75">
      <c r="D1051" s="7">
        <v>525515</v>
      </c>
      <c r="E1051" s="6" t="s">
        <v>607</v>
      </c>
      <c r="F1051" s="5">
        <v>4</v>
      </c>
      <c r="G1051" s="34" t="s">
        <v>830</v>
      </c>
      <c r="H1051" s="8" t="s">
        <v>32</v>
      </c>
      <c r="I1051" t="b">
        <f>+ISNUMBER(SEARCH('F-COMPRA'!$F$28,Tabla11[[#This Row],[Cuenta]],1))</f>
        <v>1</v>
      </c>
      <c r="J1051" t="b">
        <f>+ISNUMBER(SEARCH('F-COMPRA'!$F$29,Tabla11[[#This Row],[Cuenta]],1))</f>
        <v>1</v>
      </c>
      <c r="K1051" t="b">
        <f>+ISNUMBER(SEARCH('F-COMPRA'!$F$30,Tabla11[[#This Row],[Cuenta]],1))</f>
        <v>1</v>
      </c>
      <c r="L1051" t="b">
        <f>+ISNUMBER(SEARCH('F-COMPRA'!$F$31,Tabla11[[#This Row],[Cuenta]],1))</f>
        <v>1</v>
      </c>
      <c r="M1051" t="b">
        <f>+ISNUMBER(SEARCH('F-COMPRA'!$G$25,Tabla11[[#This Row],[Cuenta]],1))</f>
        <v>0</v>
      </c>
      <c r="N1051" t="b">
        <f>+ISNUMBER(SEARCH(#REF!,Tabla11[[#This Row],[Cuenta]],1))</f>
        <v>0</v>
      </c>
      <c r="O1051" t="b">
        <f>+ISNUMBER(SEARCH(#REF!,Tabla11[[#This Row],[Cuenta]],1))</f>
        <v>0</v>
      </c>
      <c r="P1051" t="b">
        <f>+ISNUMBER(SEARCH('F-COMPRA'!$F$32,Tabla11[[#This Row],[Cuenta]],1))</f>
        <v>1</v>
      </c>
      <c r="Q1051" t="b">
        <f>+ISNUMBER(SEARCH('F-COMPRA'!$F$33,Tabla11[[#This Row],[Cuenta]],1))</f>
        <v>1</v>
      </c>
      <c r="R1051" t="b">
        <f>+ISNUMBER(SEARCH('F-COMPRA'!$F$34,Tabla11[[#This Row],[Cuenta]],1))</f>
        <v>1</v>
      </c>
      <c r="S1051" t="b">
        <f>+ISNUMBER(SEARCH('F-COMPRA'!$F$35,Tabla11[[#This Row],[Cuenta]],1))</f>
        <v>1</v>
      </c>
      <c r="T1051" t="b">
        <f>+ISNUMBER(SEARCH('F-COMPRA'!$F$36,Tabla11[[#This Row],[Cuenta]],1))</f>
        <v>1</v>
      </c>
      <c r="U1051" t="b">
        <f>+ISNUMBER(SEARCH('F-COMPRA'!$F$37,Tabla11[[#This Row],[Cuenta]],1))</f>
        <v>1</v>
      </c>
      <c r="V1051" t="b">
        <f>+ISNUMBER(SEARCH(#REF!,Tabla11[[#This Row],[Cuenta]],1))</f>
        <v>0</v>
      </c>
      <c r="W1051" t="b">
        <f>+ISNUMBER(SEARCH('F-COMPRA'!#REF!,Tabla11[[#This Row],[Cuenta]],1))</f>
        <v>0</v>
      </c>
      <c r="X1051" t="b">
        <f>+ISNUMBER(SEARCH('F-COMPRA'!#REF!,Tabla11[[#This Row],[Cuenta]],1))</f>
        <v>0</v>
      </c>
      <c r="Y1051" t="b">
        <f>+ISNUMBER(SEARCH('F-COMPRA'!#REF!,Tabla11[[#This Row],[Cuenta]],1))</f>
        <v>0</v>
      </c>
      <c r="Z1051" t="b">
        <f>+ISNUMBER(SEARCH('F-COMPRA'!#REF!,Tabla11[[#This Row],[Cuenta]],1))</f>
        <v>0</v>
      </c>
      <c r="AA1051" t="b">
        <f>+ISNUMBER(SEARCH('F-COMPRA'!#REF!,Tabla11[[#This Row],[Cuenta]],1))</f>
        <v>0</v>
      </c>
      <c r="AB1051" t="b">
        <f>+ISNUMBER(SEARCH('F-COMPRA'!#REF!,Tabla11[[#This Row],[Cuenta]],1))</f>
        <v>0</v>
      </c>
      <c r="AC1051" t="b">
        <f>+ISNUMBER(SEARCH('F-COMPRA'!#REF!,Tabla11[[#This Row],[Cuenta]],1))</f>
        <v>0</v>
      </c>
      <c r="AD1051" t="b">
        <f>+ISNUMBER(SEARCH('F-COMPRA'!#REF!,Tabla11[[#This Row],[Cuenta]],1))</f>
        <v>0</v>
      </c>
      <c r="AE1051" t="b">
        <f>+ISNUMBER(SEARCH('F-COMPRA'!#REF!,Tabla11[[#This Row],[Cuenta]],1))</f>
        <v>0</v>
      </c>
      <c r="AF1051" t="b">
        <f>+ISNUMBER(SEARCH('F-VTA'!$G$23,Tabla11[[#This Row],[Cuenta]],1))</f>
        <v>0</v>
      </c>
      <c r="AG1051" t="b">
        <f>+ISNUMBER(SEARCH('F-VTA'!$G$24,Tabla11[[#This Row],[Cuenta]],1))</f>
        <v>0</v>
      </c>
      <c r="AH1051" t="b">
        <f>+ISNUMBER(SEARCH('F-VTA'!$G$25,Tabla11[[#This Row],[Cuenta]],1))</f>
        <v>0</v>
      </c>
      <c r="AI1051" t="b">
        <f>+ISNUMBER(SEARCH('F-VTA'!$F$28,Tabla11[[#This Row],[Cuenta]],1))</f>
        <v>1</v>
      </c>
      <c r="AJ1051" t="b">
        <f>+ISNUMBER(SEARCH('F-VTA'!$F$29,Tabla11[[#This Row],[Cuenta]],1))</f>
        <v>1</v>
      </c>
      <c r="AK1051" t="b">
        <f>+ISNUMBER(SEARCH('F-VTA'!$F$30,Tabla11[[#This Row],[Cuenta]],1))</f>
        <v>1</v>
      </c>
      <c r="AL1051" t="b">
        <f>+ISNUMBER(SEARCH('F-VTA'!$F$31,Tabla11[[#This Row],[Cuenta]],1))</f>
        <v>1</v>
      </c>
      <c r="AM1051" t="b">
        <f>+ISNUMBER(SEARCH('F-VTA'!$F$32,Tabla11[[#This Row],[Cuenta]],1))</f>
        <v>1</v>
      </c>
      <c r="AN1051" t="b">
        <f>+ISNUMBER(SEARCH('F-VTA'!$F$33,Tabla11[[#This Row],[Cuenta]],1))</f>
        <v>1</v>
      </c>
      <c r="AO1051" t="b">
        <f>+ISNUMBER(SEARCH('F-VTA'!$F$34,Tabla11[[#This Row],[Cuenta]],1))</f>
        <v>1</v>
      </c>
      <c r="AP1051" t="b">
        <f>+ISNUMBER(SEARCH('F-VTA'!$F$35,Tabla11[[#This Row],[Cuenta]],1))</f>
        <v>1</v>
      </c>
      <c r="AQ1051" t="b">
        <f>+ISNUMBER(SEARCH('F-VTA'!$F$36,Tabla11[[#This Row],[Cuenta]],1))</f>
        <v>1</v>
      </c>
      <c r="AR1051" t="b">
        <f>+ISNUMBER(SEARCH(#REF!,Tabla11[[#This Row],[Cuenta]],1))</f>
        <v>0</v>
      </c>
      <c r="AS1051" t="b">
        <f>+ISNUMBER(SEARCH(#REF!,Tabla11[[#This Row],[Cuenta]],1))</f>
        <v>0</v>
      </c>
      <c r="AT1051" t="b">
        <f>+ISNUMBER(SEARCH(#REF!,Tabla11[[#This Row],[Cuenta]],1))</f>
        <v>0</v>
      </c>
      <c r="AU1051" t="b">
        <f>+ISNUMBER(SEARCH('Conc. Ban.1'!$I$9,Tabla11[[#This Row],[Cuenta]],1))</f>
        <v>0</v>
      </c>
      <c r="AV1051" t="b">
        <f>+ISNUMBER(SEARCH(CompConta!$F$21,Tabla11[[#This Row],[Cuenta]],1))</f>
        <v>1</v>
      </c>
      <c r="AW1051" t="b">
        <f>+ISNUMBER(SEARCH(CompConta!$F$22,Tabla11[[#This Row],[Cuenta]],1))</f>
        <v>1</v>
      </c>
      <c r="AX1051" t="b">
        <f>+ISNUMBER(SEARCH(CompConta!$F$23,Tabla11[[#This Row],[Cuenta]],1))</f>
        <v>1</v>
      </c>
      <c r="AY1051" t="b">
        <f>+ISNUMBER(SEARCH(CompConta!$F$24,Tabla11[[#This Row],[Cuenta]],1))</f>
        <v>1</v>
      </c>
      <c r="AZ1051" t="b">
        <f>+ISNUMBER(SEARCH(CompConta!$F$25,Tabla11[[#This Row],[Cuenta]],1))</f>
        <v>1</v>
      </c>
      <c r="BA1051" t="b">
        <f>+ISNUMBER(SEARCH(CompConta!$F$26,Tabla11[[#This Row],[Cuenta]],1))</f>
        <v>1</v>
      </c>
      <c r="BB1051" t="b">
        <f>+ISNUMBER(SEARCH(CompConta!$F$27,Tabla11[[#This Row],[Cuenta]],1))</f>
        <v>1</v>
      </c>
      <c r="BC1051" t="b">
        <f>+ISNUMBER(SEARCH(CompConta!$F$28,Tabla11[[#This Row],[Cuenta]],1))</f>
        <v>1</v>
      </c>
      <c r="BD1051" t="b">
        <f>+ISNUMBER(SEARCH(CompConta!$F$29,Tabla11[[#This Row],[Cuenta]],1))</f>
        <v>1</v>
      </c>
      <c r="BE1051" t="b">
        <f>+ISNUMBER(SEARCH(CompConta!$F$30,Tabla11[[#This Row],[Cuenta]],1))</f>
        <v>1</v>
      </c>
      <c r="BF1051" t="b">
        <f>+ISNUMBER(SEARCH('PAGO Compras'!$E$11,Tabla11[[#This Row],[Cuenta]],1))</f>
        <v>1</v>
      </c>
      <c r="BG1051" t="b">
        <f>+ISNUMBER(SEARCH(#REF!,Tabla11[[#This Row],[Cuenta]],1))</f>
        <v>0</v>
      </c>
      <c r="BH1051" t="b">
        <f>+ISNUMBER(SEARCH(#REF!,Tabla11[[#This Row],[Cuenta]],1))</f>
        <v>0</v>
      </c>
      <c r="BI1051" t="b">
        <f>+ISNUMBER(SEARCH(#REF!,Tabla11[[#This Row],[Cuenta]],1))</f>
        <v>0</v>
      </c>
      <c r="BJ1051" t="b">
        <f>+ISNUMBER(SEARCH(#REF!,Tabla11[[#This Row],[Cuenta]],1))</f>
        <v>0</v>
      </c>
      <c r="BS1051" t="str">
        <v>525515 Pasajes aéreos</v>
      </c>
      <c r="BT1051" t="str">
        <v>525515 Pasajes aéreos</v>
      </c>
      <c r="BU1051" t="str">
        <v>525515 Pasajes aéreos</v>
      </c>
      <c r="BV1051" t="str">
        <v>525515 Pasajes aéreos</v>
      </c>
      <c r="BZ1051" t="str">
        <v>525515 Pasajes aéreos</v>
      </c>
      <c r="CA1051" t="str">
        <v>525515 Pasajes aéreos</v>
      </c>
      <c r="CB1051" t="str">
        <v>525515 Pasajes aéreos</v>
      </c>
      <c r="CC1051" t="str">
        <v>525515 Pasajes aéreos</v>
      </c>
      <c r="CD1051" t="str">
        <v>525515 Pasajes aéreos</v>
      </c>
      <c r="CE1051" t="str">
        <v>525515 Pasajes aéreos</v>
      </c>
      <c r="CS1051" s="141" t="str">
        <v>525515 Pasajes aéreos</v>
      </c>
      <c r="CT1051" s="141" t="str">
        <v>525515 Pasajes aéreos</v>
      </c>
      <c r="CU1051" s="141" t="str">
        <v>525515 Pasajes aéreos</v>
      </c>
      <c r="CV1051" s="141" t="str">
        <v>525515 Pasajes aéreos</v>
      </c>
      <c r="CW1051" s="141" t="str">
        <v>525515 Pasajes aéreos</v>
      </c>
      <c r="CX1051" s="141" t="str">
        <v>525515 Pasajes aéreos</v>
      </c>
      <c r="CY1051" s="141" t="str">
        <v>525515 Pasajes aéreos</v>
      </c>
      <c r="CZ1051" s="141" t="str">
        <v>525515 Pasajes aéreos</v>
      </c>
      <c r="DA1051" s="141" t="str">
        <v>525515 Pasajes aéreos</v>
      </c>
      <c r="DF1051" t="str">
        <v>525515 Pasajes aéreos</v>
      </c>
      <c r="DG1051" t="str">
        <v>525515 Pasajes aéreos</v>
      </c>
      <c r="DH1051" t="str">
        <v>525515 Pasajes aéreos</v>
      </c>
      <c r="DI1051" t="str">
        <v>525515 Pasajes aéreos</v>
      </c>
      <c r="DJ1051" t="str">
        <v>525515 Pasajes aéreos</v>
      </c>
      <c r="DK1051" t="str">
        <v>525515 Pasajes aéreos</v>
      </c>
      <c r="DL1051" t="str">
        <v>525515 Pasajes aéreos</v>
      </c>
      <c r="DM1051" t="str">
        <v>525515 Pasajes aéreos</v>
      </c>
      <c r="DN1051" t="str">
        <v>525515 Pasajes aéreos</v>
      </c>
      <c r="DO1051" t="str">
        <v>525515 Pasajes aéreos</v>
      </c>
      <c r="DP1051" t="str">
        <v>525515 Pasajes aéreos</v>
      </c>
    </row>
    <row r="1052" spans="4:120" ht="12.75">
      <c r="D1052" s="7">
        <v>525520</v>
      </c>
      <c r="E1052" s="6" t="s">
        <v>608</v>
      </c>
      <c r="F1052" s="5">
        <v>4</v>
      </c>
      <c r="G1052" s="34" t="s">
        <v>830</v>
      </c>
      <c r="H1052" s="8" t="s">
        <v>32</v>
      </c>
      <c r="I1052" t="b">
        <f>+ISNUMBER(SEARCH('F-COMPRA'!$F$28,Tabla11[[#This Row],[Cuenta]],1))</f>
        <v>1</v>
      </c>
      <c r="J1052" t="b">
        <f>+ISNUMBER(SEARCH('F-COMPRA'!$F$29,Tabla11[[#This Row],[Cuenta]],1))</f>
        <v>1</v>
      </c>
      <c r="K1052" t="b">
        <f>+ISNUMBER(SEARCH('F-COMPRA'!$F$30,Tabla11[[#This Row],[Cuenta]],1))</f>
        <v>1</v>
      </c>
      <c r="L1052" t="b">
        <f>+ISNUMBER(SEARCH('F-COMPRA'!$F$31,Tabla11[[#This Row],[Cuenta]],1))</f>
        <v>1</v>
      </c>
      <c r="M1052" t="b">
        <f>+ISNUMBER(SEARCH('F-COMPRA'!$G$25,Tabla11[[#This Row],[Cuenta]],1))</f>
        <v>0</v>
      </c>
      <c r="N1052" t="b">
        <f>+ISNUMBER(SEARCH(#REF!,Tabla11[[#This Row],[Cuenta]],1))</f>
        <v>0</v>
      </c>
      <c r="O1052" t="b">
        <f>+ISNUMBER(SEARCH(#REF!,Tabla11[[#This Row],[Cuenta]],1))</f>
        <v>0</v>
      </c>
      <c r="P1052" t="b">
        <f>+ISNUMBER(SEARCH('F-COMPRA'!$F$32,Tabla11[[#This Row],[Cuenta]],1))</f>
        <v>1</v>
      </c>
      <c r="Q1052" t="b">
        <f>+ISNUMBER(SEARCH('F-COMPRA'!$F$33,Tabla11[[#This Row],[Cuenta]],1))</f>
        <v>1</v>
      </c>
      <c r="R1052" t="b">
        <f>+ISNUMBER(SEARCH('F-COMPRA'!$F$34,Tabla11[[#This Row],[Cuenta]],1))</f>
        <v>1</v>
      </c>
      <c r="S1052" t="b">
        <f>+ISNUMBER(SEARCH('F-COMPRA'!$F$35,Tabla11[[#This Row],[Cuenta]],1))</f>
        <v>1</v>
      </c>
      <c r="T1052" t="b">
        <f>+ISNUMBER(SEARCH('F-COMPRA'!$F$36,Tabla11[[#This Row],[Cuenta]],1))</f>
        <v>1</v>
      </c>
      <c r="U1052" t="b">
        <f>+ISNUMBER(SEARCH('F-COMPRA'!$F$37,Tabla11[[#This Row],[Cuenta]],1))</f>
        <v>1</v>
      </c>
      <c r="V1052" t="b">
        <f>+ISNUMBER(SEARCH(#REF!,Tabla11[[#This Row],[Cuenta]],1))</f>
        <v>0</v>
      </c>
      <c r="W1052" t="b">
        <f>+ISNUMBER(SEARCH('F-COMPRA'!#REF!,Tabla11[[#This Row],[Cuenta]],1))</f>
        <v>0</v>
      </c>
      <c r="X1052" t="b">
        <f>+ISNUMBER(SEARCH('F-COMPRA'!#REF!,Tabla11[[#This Row],[Cuenta]],1))</f>
        <v>0</v>
      </c>
      <c r="Y1052" t="b">
        <f>+ISNUMBER(SEARCH('F-COMPRA'!#REF!,Tabla11[[#This Row],[Cuenta]],1))</f>
        <v>0</v>
      </c>
      <c r="Z1052" t="b">
        <f>+ISNUMBER(SEARCH('F-COMPRA'!#REF!,Tabla11[[#This Row],[Cuenta]],1))</f>
        <v>0</v>
      </c>
      <c r="AA1052" t="b">
        <f>+ISNUMBER(SEARCH('F-COMPRA'!#REF!,Tabla11[[#This Row],[Cuenta]],1))</f>
        <v>0</v>
      </c>
      <c r="AB1052" t="b">
        <f>+ISNUMBER(SEARCH('F-COMPRA'!#REF!,Tabla11[[#This Row],[Cuenta]],1))</f>
        <v>0</v>
      </c>
      <c r="AC1052" t="b">
        <f>+ISNUMBER(SEARCH('F-COMPRA'!#REF!,Tabla11[[#This Row],[Cuenta]],1))</f>
        <v>0</v>
      </c>
      <c r="AD1052" t="b">
        <f>+ISNUMBER(SEARCH('F-COMPRA'!#REF!,Tabla11[[#This Row],[Cuenta]],1))</f>
        <v>0</v>
      </c>
      <c r="AE1052" t="b">
        <f>+ISNUMBER(SEARCH('F-COMPRA'!#REF!,Tabla11[[#This Row],[Cuenta]],1))</f>
        <v>0</v>
      </c>
      <c r="AF1052" t="b">
        <f>+ISNUMBER(SEARCH('F-VTA'!$G$23,Tabla11[[#This Row],[Cuenta]],1))</f>
        <v>0</v>
      </c>
      <c r="AG1052" t="b">
        <f>+ISNUMBER(SEARCH('F-VTA'!$G$24,Tabla11[[#This Row],[Cuenta]],1))</f>
        <v>0</v>
      </c>
      <c r="AH1052" t="b">
        <f>+ISNUMBER(SEARCH('F-VTA'!$G$25,Tabla11[[#This Row],[Cuenta]],1))</f>
        <v>0</v>
      </c>
      <c r="AI1052" t="b">
        <f>+ISNUMBER(SEARCH('F-VTA'!$F$28,Tabla11[[#This Row],[Cuenta]],1))</f>
        <v>1</v>
      </c>
      <c r="AJ1052" t="b">
        <f>+ISNUMBER(SEARCH('F-VTA'!$F$29,Tabla11[[#This Row],[Cuenta]],1))</f>
        <v>1</v>
      </c>
      <c r="AK1052" t="b">
        <f>+ISNUMBER(SEARCH('F-VTA'!$F$30,Tabla11[[#This Row],[Cuenta]],1))</f>
        <v>1</v>
      </c>
      <c r="AL1052" t="b">
        <f>+ISNUMBER(SEARCH('F-VTA'!$F$31,Tabla11[[#This Row],[Cuenta]],1))</f>
        <v>1</v>
      </c>
      <c r="AM1052" t="b">
        <f>+ISNUMBER(SEARCH('F-VTA'!$F$32,Tabla11[[#This Row],[Cuenta]],1))</f>
        <v>1</v>
      </c>
      <c r="AN1052" t="b">
        <f>+ISNUMBER(SEARCH('F-VTA'!$F$33,Tabla11[[#This Row],[Cuenta]],1))</f>
        <v>1</v>
      </c>
      <c r="AO1052" t="b">
        <f>+ISNUMBER(SEARCH('F-VTA'!$F$34,Tabla11[[#This Row],[Cuenta]],1))</f>
        <v>1</v>
      </c>
      <c r="AP1052" t="b">
        <f>+ISNUMBER(SEARCH('F-VTA'!$F$35,Tabla11[[#This Row],[Cuenta]],1))</f>
        <v>1</v>
      </c>
      <c r="AQ1052" t="b">
        <f>+ISNUMBER(SEARCH('F-VTA'!$F$36,Tabla11[[#This Row],[Cuenta]],1))</f>
        <v>1</v>
      </c>
      <c r="AR1052" t="b">
        <f>+ISNUMBER(SEARCH(#REF!,Tabla11[[#This Row],[Cuenta]],1))</f>
        <v>0</v>
      </c>
      <c r="AS1052" t="b">
        <f>+ISNUMBER(SEARCH(#REF!,Tabla11[[#This Row],[Cuenta]],1))</f>
        <v>0</v>
      </c>
      <c r="AT1052" t="b">
        <f>+ISNUMBER(SEARCH(#REF!,Tabla11[[#This Row],[Cuenta]],1))</f>
        <v>0</v>
      </c>
      <c r="AU1052" t="b">
        <f>+ISNUMBER(SEARCH('Conc. Ban.1'!$I$9,Tabla11[[#This Row],[Cuenta]],1))</f>
        <v>0</v>
      </c>
      <c r="AV1052" t="b">
        <f>+ISNUMBER(SEARCH(CompConta!$F$21,Tabla11[[#This Row],[Cuenta]],1))</f>
        <v>1</v>
      </c>
      <c r="AW1052" t="b">
        <f>+ISNUMBER(SEARCH(CompConta!$F$22,Tabla11[[#This Row],[Cuenta]],1))</f>
        <v>1</v>
      </c>
      <c r="AX1052" t="b">
        <f>+ISNUMBER(SEARCH(CompConta!$F$23,Tabla11[[#This Row],[Cuenta]],1))</f>
        <v>1</v>
      </c>
      <c r="AY1052" t="b">
        <f>+ISNUMBER(SEARCH(CompConta!$F$24,Tabla11[[#This Row],[Cuenta]],1))</f>
        <v>1</v>
      </c>
      <c r="AZ1052" t="b">
        <f>+ISNUMBER(SEARCH(CompConta!$F$25,Tabla11[[#This Row],[Cuenta]],1))</f>
        <v>1</v>
      </c>
      <c r="BA1052" t="b">
        <f>+ISNUMBER(SEARCH(CompConta!$F$26,Tabla11[[#This Row],[Cuenta]],1))</f>
        <v>1</v>
      </c>
      <c r="BB1052" t="b">
        <f>+ISNUMBER(SEARCH(CompConta!$F$27,Tabla11[[#This Row],[Cuenta]],1))</f>
        <v>1</v>
      </c>
      <c r="BC1052" t="b">
        <f>+ISNUMBER(SEARCH(CompConta!$F$28,Tabla11[[#This Row],[Cuenta]],1))</f>
        <v>1</v>
      </c>
      <c r="BD1052" t="b">
        <f>+ISNUMBER(SEARCH(CompConta!$F$29,Tabla11[[#This Row],[Cuenta]],1))</f>
        <v>1</v>
      </c>
      <c r="BE1052" t="b">
        <f>+ISNUMBER(SEARCH(CompConta!$F$30,Tabla11[[#This Row],[Cuenta]],1))</f>
        <v>1</v>
      </c>
      <c r="BF1052" t="b">
        <f>+ISNUMBER(SEARCH('PAGO Compras'!$E$11,Tabla11[[#This Row],[Cuenta]],1))</f>
        <v>1</v>
      </c>
      <c r="BG1052" t="b">
        <f>+ISNUMBER(SEARCH(#REF!,Tabla11[[#This Row],[Cuenta]],1))</f>
        <v>0</v>
      </c>
      <c r="BH1052" t="b">
        <f>+ISNUMBER(SEARCH(#REF!,Tabla11[[#This Row],[Cuenta]],1))</f>
        <v>0</v>
      </c>
      <c r="BI1052" t="b">
        <f>+ISNUMBER(SEARCH(#REF!,Tabla11[[#This Row],[Cuenta]],1))</f>
        <v>0</v>
      </c>
      <c r="BJ1052" t="b">
        <f>+ISNUMBER(SEARCH(#REF!,Tabla11[[#This Row],[Cuenta]],1))</f>
        <v>0</v>
      </c>
      <c r="BS1052" t="str">
        <v>525520 Pasajes terrestres</v>
      </c>
      <c r="BT1052" t="str">
        <v>525520 Pasajes terrestres</v>
      </c>
      <c r="BU1052" t="str">
        <v>525520 Pasajes terrestres</v>
      </c>
      <c r="BV1052" t="str">
        <v>525520 Pasajes terrestres</v>
      </c>
      <c r="BZ1052" t="str">
        <v>525520 Pasajes terrestres</v>
      </c>
      <c r="CA1052" t="str">
        <v>525520 Pasajes terrestres</v>
      </c>
      <c r="CB1052" t="str">
        <v>525520 Pasajes terrestres</v>
      </c>
      <c r="CC1052" t="str">
        <v>525520 Pasajes terrestres</v>
      </c>
      <c r="CD1052" t="str">
        <v>525520 Pasajes terrestres</v>
      </c>
      <c r="CE1052" t="str">
        <v>525520 Pasajes terrestres</v>
      </c>
      <c r="CS1052" s="141" t="str">
        <v>525520 Pasajes terrestres</v>
      </c>
      <c r="CT1052" s="141" t="str">
        <v>525520 Pasajes terrestres</v>
      </c>
      <c r="CU1052" s="141" t="str">
        <v>525520 Pasajes terrestres</v>
      </c>
      <c r="CV1052" s="141" t="str">
        <v>525520 Pasajes terrestres</v>
      </c>
      <c r="CW1052" s="141" t="str">
        <v>525520 Pasajes terrestres</v>
      </c>
      <c r="CX1052" s="141" t="str">
        <v>525520 Pasajes terrestres</v>
      </c>
      <c r="CY1052" s="141" t="str">
        <v>525520 Pasajes terrestres</v>
      </c>
      <c r="CZ1052" s="141" t="str">
        <v>525520 Pasajes terrestres</v>
      </c>
      <c r="DA1052" s="141" t="str">
        <v>525520 Pasajes terrestres</v>
      </c>
      <c r="DF1052" t="str">
        <v>525520 Pasajes terrestres</v>
      </c>
      <c r="DG1052" t="str">
        <v>525520 Pasajes terrestres</v>
      </c>
      <c r="DH1052" t="str">
        <v>525520 Pasajes terrestres</v>
      </c>
      <c r="DI1052" t="str">
        <v>525520 Pasajes terrestres</v>
      </c>
      <c r="DJ1052" t="str">
        <v>525520 Pasajes terrestres</v>
      </c>
      <c r="DK1052" t="str">
        <v>525520 Pasajes terrestres</v>
      </c>
      <c r="DL1052" t="str">
        <v>525520 Pasajes terrestres</v>
      </c>
      <c r="DM1052" t="str">
        <v>525520 Pasajes terrestres</v>
      </c>
      <c r="DN1052" t="str">
        <v>525520 Pasajes terrestres</v>
      </c>
      <c r="DO1052" t="str">
        <v>525520 Pasajes terrestres</v>
      </c>
      <c r="DP1052" t="str">
        <v>525520 Pasajes terrestres</v>
      </c>
    </row>
    <row r="1053" spans="4:120" ht="12.75">
      <c r="D1053" s="7">
        <v>525595</v>
      </c>
      <c r="E1053" s="6" t="s">
        <v>45</v>
      </c>
      <c r="F1053" s="5">
        <v>4</v>
      </c>
      <c r="G1053" s="34" t="s">
        <v>830</v>
      </c>
      <c r="H1053" s="8" t="s">
        <v>32</v>
      </c>
      <c r="I1053" t="b">
        <f>+ISNUMBER(SEARCH('F-COMPRA'!$F$28,Tabla11[[#This Row],[Cuenta]],1))</f>
        <v>1</v>
      </c>
      <c r="J1053" t="b">
        <f>+ISNUMBER(SEARCH('F-COMPRA'!$F$29,Tabla11[[#This Row],[Cuenta]],1))</f>
        <v>1</v>
      </c>
      <c r="K1053" t="b">
        <f>+ISNUMBER(SEARCH('F-COMPRA'!$F$30,Tabla11[[#This Row],[Cuenta]],1))</f>
        <v>1</v>
      </c>
      <c r="L1053" t="b">
        <f>+ISNUMBER(SEARCH('F-COMPRA'!$F$31,Tabla11[[#This Row],[Cuenta]],1))</f>
        <v>1</v>
      </c>
      <c r="M1053" t="b">
        <f>+ISNUMBER(SEARCH('F-COMPRA'!$G$25,Tabla11[[#This Row],[Cuenta]],1))</f>
        <v>0</v>
      </c>
      <c r="N1053" t="b">
        <f>+ISNUMBER(SEARCH(#REF!,Tabla11[[#This Row],[Cuenta]],1))</f>
        <v>0</v>
      </c>
      <c r="O1053" t="b">
        <f>+ISNUMBER(SEARCH(#REF!,Tabla11[[#This Row],[Cuenta]],1))</f>
        <v>0</v>
      </c>
      <c r="P1053" t="b">
        <f>+ISNUMBER(SEARCH('F-COMPRA'!$F$32,Tabla11[[#This Row],[Cuenta]],1))</f>
        <v>1</v>
      </c>
      <c r="Q1053" t="b">
        <f>+ISNUMBER(SEARCH('F-COMPRA'!$F$33,Tabla11[[#This Row],[Cuenta]],1))</f>
        <v>1</v>
      </c>
      <c r="R1053" t="b">
        <f>+ISNUMBER(SEARCH('F-COMPRA'!$F$34,Tabla11[[#This Row],[Cuenta]],1))</f>
        <v>1</v>
      </c>
      <c r="S1053" t="b">
        <f>+ISNUMBER(SEARCH('F-COMPRA'!$F$35,Tabla11[[#This Row],[Cuenta]],1))</f>
        <v>1</v>
      </c>
      <c r="T1053" t="b">
        <f>+ISNUMBER(SEARCH('F-COMPRA'!$F$36,Tabla11[[#This Row],[Cuenta]],1))</f>
        <v>1</v>
      </c>
      <c r="U1053" t="b">
        <f>+ISNUMBER(SEARCH('F-COMPRA'!$F$37,Tabla11[[#This Row],[Cuenta]],1))</f>
        <v>1</v>
      </c>
      <c r="V1053" t="b">
        <f>+ISNUMBER(SEARCH(#REF!,Tabla11[[#This Row],[Cuenta]],1))</f>
        <v>0</v>
      </c>
      <c r="W1053" t="b">
        <f>+ISNUMBER(SEARCH('F-COMPRA'!#REF!,Tabla11[[#This Row],[Cuenta]],1))</f>
        <v>0</v>
      </c>
      <c r="X1053" t="b">
        <f>+ISNUMBER(SEARCH('F-COMPRA'!#REF!,Tabla11[[#This Row],[Cuenta]],1))</f>
        <v>0</v>
      </c>
      <c r="Y1053" t="b">
        <f>+ISNUMBER(SEARCH('F-COMPRA'!#REF!,Tabla11[[#This Row],[Cuenta]],1))</f>
        <v>0</v>
      </c>
      <c r="Z1053" t="b">
        <f>+ISNUMBER(SEARCH('F-COMPRA'!#REF!,Tabla11[[#This Row],[Cuenta]],1))</f>
        <v>0</v>
      </c>
      <c r="AA1053" t="b">
        <f>+ISNUMBER(SEARCH('F-COMPRA'!#REF!,Tabla11[[#This Row],[Cuenta]],1))</f>
        <v>0</v>
      </c>
      <c r="AB1053" t="b">
        <f>+ISNUMBER(SEARCH('F-COMPRA'!#REF!,Tabla11[[#This Row],[Cuenta]],1))</f>
        <v>0</v>
      </c>
      <c r="AC1053" t="b">
        <f>+ISNUMBER(SEARCH('F-COMPRA'!#REF!,Tabla11[[#This Row],[Cuenta]],1))</f>
        <v>0</v>
      </c>
      <c r="AD1053" t="b">
        <f>+ISNUMBER(SEARCH('F-COMPRA'!#REF!,Tabla11[[#This Row],[Cuenta]],1))</f>
        <v>0</v>
      </c>
      <c r="AE1053" t="b">
        <f>+ISNUMBER(SEARCH('F-COMPRA'!#REF!,Tabla11[[#This Row],[Cuenta]],1))</f>
        <v>0</v>
      </c>
      <c r="AF1053" t="b">
        <f>+ISNUMBER(SEARCH('F-VTA'!$G$23,Tabla11[[#This Row],[Cuenta]],1))</f>
        <v>0</v>
      </c>
      <c r="AG1053" t="b">
        <f>+ISNUMBER(SEARCH('F-VTA'!$G$24,Tabla11[[#This Row],[Cuenta]],1))</f>
        <v>0</v>
      </c>
      <c r="AH1053" t="b">
        <f>+ISNUMBER(SEARCH('F-VTA'!$G$25,Tabla11[[#This Row],[Cuenta]],1))</f>
        <v>0</v>
      </c>
      <c r="AI1053" t="b">
        <f>+ISNUMBER(SEARCH('F-VTA'!$F$28,Tabla11[[#This Row],[Cuenta]],1))</f>
        <v>1</v>
      </c>
      <c r="AJ1053" t="b">
        <f>+ISNUMBER(SEARCH('F-VTA'!$F$29,Tabla11[[#This Row],[Cuenta]],1))</f>
        <v>1</v>
      </c>
      <c r="AK1053" t="b">
        <f>+ISNUMBER(SEARCH('F-VTA'!$F$30,Tabla11[[#This Row],[Cuenta]],1))</f>
        <v>1</v>
      </c>
      <c r="AL1053" t="b">
        <f>+ISNUMBER(SEARCH('F-VTA'!$F$31,Tabla11[[#This Row],[Cuenta]],1))</f>
        <v>1</v>
      </c>
      <c r="AM1053" t="b">
        <f>+ISNUMBER(SEARCH('F-VTA'!$F$32,Tabla11[[#This Row],[Cuenta]],1))</f>
        <v>1</v>
      </c>
      <c r="AN1053" t="b">
        <f>+ISNUMBER(SEARCH('F-VTA'!$F$33,Tabla11[[#This Row],[Cuenta]],1))</f>
        <v>1</v>
      </c>
      <c r="AO1053" t="b">
        <f>+ISNUMBER(SEARCH('F-VTA'!$F$34,Tabla11[[#This Row],[Cuenta]],1))</f>
        <v>1</v>
      </c>
      <c r="AP1053" t="b">
        <f>+ISNUMBER(SEARCH('F-VTA'!$F$35,Tabla11[[#This Row],[Cuenta]],1))</f>
        <v>1</v>
      </c>
      <c r="AQ1053" t="b">
        <f>+ISNUMBER(SEARCH('F-VTA'!$F$36,Tabla11[[#This Row],[Cuenta]],1))</f>
        <v>1</v>
      </c>
      <c r="AR1053" t="b">
        <f>+ISNUMBER(SEARCH(#REF!,Tabla11[[#This Row],[Cuenta]],1))</f>
        <v>0</v>
      </c>
      <c r="AS1053" t="b">
        <f>+ISNUMBER(SEARCH(#REF!,Tabla11[[#This Row],[Cuenta]],1))</f>
        <v>0</v>
      </c>
      <c r="AT1053" t="b">
        <f>+ISNUMBER(SEARCH(#REF!,Tabla11[[#This Row],[Cuenta]],1))</f>
        <v>0</v>
      </c>
      <c r="AU1053" t="b">
        <f>+ISNUMBER(SEARCH('Conc. Ban.1'!$I$9,Tabla11[[#This Row],[Cuenta]],1))</f>
        <v>0</v>
      </c>
      <c r="AV1053" t="b">
        <f>+ISNUMBER(SEARCH(CompConta!$F$21,Tabla11[[#This Row],[Cuenta]],1))</f>
        <v>1</v>
      </c>
      <c r="AW1053" t="b">
        <f>+ISNUMBER(SEARCH(CompConta!$F$22,Tabla11[[#This Row],[Cuenta]],1))</f>
        <v>1</v>
      </c>
      <c r="AX1053" t="b">
        <f>+ISNUMBER(SEARCH(CompConta!$F$23,Tabla11[[#This Row],[Cuenta]],1))</f>
        <v>1</v>
      </c>
      <c r="AY1053" t="b">
        <f>+ISNUMBER(SEARCH(CompConta!$F$24,Tabla11[[#This Row],[Cuenta]],1))</f>
        <v>1</v>
      </c>
      <c r="AZ1053" t="b">
        <f>+ISNUMBER(SEARCH(CompConta!$F$25,Tabla11[[#This Row],[Cuenta]],1))</f>
        <v>1</v>
      </c>
      <c r="BA1053" t="b">
        <f>+ISNUMBER(SEARCH(CompConta!$F$26,Tabla11[[#This Row],[Cuenta]],1))</f>
        <v>1</v>
      </c>
      <c r="BB1053" t="b">
        <f>+ISNUMBER(SEARCH(CompConta!$F$27,Tabla11[[#This Row],[Cuenta]],1))</f>
        <v>1</v>
      </c>
      <c r="BC1053" t="b">
        <f>+ISNUMBER(SEARCH(CompConta!$F$28,Tabla11[[#This Row],[Cuenta]],1))</f>
        <v>1</v>
      </c>
      <c r="BD1053" t="b">
        <f>+ISNUMBER(SEARCH(CompConta!$F$29,Tabla11[[#This Row],[Cuenta]],1))</f>
        <v>1</v>
      </c>
      <c r="BE1053" t="b">
        <f>+ISNUMBER(SEARCH(CompConta!$F$30,Tabla11[[#This Row],[Cuenta]],1))</f>
        <v>1</v>
      </c>
      <c r="BF1053" t="b">
        <f>+ISNUMBER(SEARCH('PAGO Compras'!$E$11,Tabla11[[#This Row],[Cuenta]],1))</f>
        <v>1</v>
      </c>
      <c r="BG1053" t="b">
        <f>+ISNUMBER(SEARCH(#REF!,Tabla11[[#This Row],[Cuenta]],1))</f>
        <v>0</v>
      </c>
      <c r="BH1053" t="b">
        <f>+ISNUMBER(SEARCH(#REF!,Tabla11[[#This Row],[Cuenta]],1))</f>
        <v>0</v>
      </c>
      <c r="BI1053" t="b">
        <f>+ISNUMBER(SEARCH(#REF!,Tabla11[[#This Row],[Cuenta]],1))</f>
        <v>0</v>
      </c>
      <c r="BJ1053" t="b">
        <f>+ISNUMBER(SEARCH(#REF!,Tabla11[[#This Row],[Cuenta]],1))</f>
        <v>0</v>
      </c>
      <c r="BS1053" t="str">
        <v>525595 Otros</v>
      </c>
      <c r="BT1053" t="str">
        <v>525595 Otros</v>
      </c>
      <c r="BU1053" t="str">
        <v>525595 Otros</v>
      </c>
      <c r="BV1053" t="str">
        <v>525595 Otros</v>
      </c>
      <c r="BZ1053" t="str">
        <v>525595 Otros</v>
      </c>
      <c r="CA1053" t="str">
        <v>525595 Otros</v>
      </c>
      <c r="CB1053" t="str">
        <v>525595 Otros</v>
      </c>
      <c r="CC1053" t="str">
        <v>525595 Otros</v>
      </c>
      <c r="CD1053" t="str">
        <v>525595 Otros</v>
      </c>
      <c r="CE1053" t="str">
        <v>525595 Otros</v>
      </c>
      <c r="CS1053" s="141" t="str">
        <v>525595 Otros</v>
      </c>
      <c r="CT1053" s="141" t="str">
        <v>525595 Otros</v>
      </c>
      <c r="CU1053" s="141" t="str">
        <v>525595 Otros</v>
      </c>
      <c r="CV1053" s="141" t="str">
        <v>525595 Otros</v>
      </c>
      <c r="CW1053" s="141" t="str">
        <v>525595 Otros</v>
      </c>
      <c r="CX1053" s="141" t="str">
        <v>525595 Otros</v>
      </c>
      <c r="CY1053" s="141" t="str">
        <v>525595 Otros</v>
      </c>
      <c r="CZ1053" s="141" t="str">
        <v>525595 Otros</v>
      </c>
      <c r="DA1053" s="141" t="str">
        <v>525595 Otros</v>
      </c>
      <c r="DF1053" t="str">
        <v>525595 Otros</v>
      </c>
      <c r="DG1053" t="str">
        <v>525595 Otros</v>
      </c>
      <c r="DH1053" t="str">
        <v>525595 Otros</v>
      </c>
      <c r="DI1053" t="str">
        <v>525595 Otros</v>
      </c>
      <c r="DJ1053" t="str">
        <v>525595 Otros</v>
      </c>
      <c r="DK1053" t="str">
        <v>525595 Otros</v>
      </c>
      <c r="DL1053" t="str">
        <v>525595 Otros</v>
      </c>
      <c r="DM1053" t="str">
        <v>525595 Otros</v>
      </c>
      <c r="DN1053" t="str">
        <v>525595 Otros</v>
      </c>
      <c r="DO1053" t="str">
        <v>525595 Otros</v>
      </c>
      <c r="DP1053" t="str">
        <v>525595 Otros</v>
      </c>
    </row>
    <row r="1054" spans="4:120" ht="12.75">
      <c r="D1054" s="7">
        <v>525599</v>
      </c>
      <c r="E1054" s="6" t="s">
        <v>93</v>
      </c>
      <c r="F1054" s="5">
        <v>4</v>
      </c>
      <c r="G1054" s="34" t="s">
        <v>830</v>
      </c>
      <c r="H1054" s="8" t="s">
        <v>32</v>
      </c>
      <c r="I1054" t="b">
        <f>+ISNUMBER(SEARCH('F-COMPRA'!$F$28,Tabla11[[#This Row],[Cuenta]],1))</f>
        <v>1</v>
      </c>
      <c r="J1054" t="b">
        <f>+ISNUMBER(SEARCH('F-COMPRA'!$F$29,Tabla11[[#This Row],[Cuenta]],1))</f>
        <v>1</v>
      </c>
      <c r="K1054" t="b">
        <f>+ISNUMBER(SEARCH('F-COMPRA'!$F$30,Tabla11[[#This Row],[Cuenta]],1))</f>
        <v>1</v>
      </c>
      <c r="L1054" t="b">
        <f>+ISNUMBER(SEARCH('F-COMPRA'!$F$31,Tabla11[[#This Row],[Cuenta]],1))</f>
        <v>1</v>
      </c>
      <c r="M1054" t="b">
        <f>+ISNUMBER(SEARCH('F-COMPRA'!$G$25,Tabla11[[#This Row],[Cuenta]],1))</f>
        <v>0</v>
      </c>
      <c r="N1054" t="b">
        <f>+ISNUMBER(SEARCH(#REF!,Tabla11[[#This Row],[Cuenta]],1))</f>
        <v>0</v>
      </c>
      <c r="O1054" t="b">
        <f>+ISNUMBER(SEARCH(#REF!,Tabla11[[#This Row],[Cuenta]],1))</f>
        <v>0</v>
      </c>
      <c r="P1054" t="b">
        <f>+ISNUMBER(SEARCH('F-COMPRA'!$F$32,Tabla11[[#This Row],[Cuenta]],1))</f>
        <v>1</v>
      </c>
      <c r="Q1054" t="b">
        <f>+ISNUMBER(SEARCH('F-COMPRA'!$F$33,Tabla11[[#This Row],[Cuenta]],1))</f>
        <v>1</v>
      </c>
      <c r="R1054" t="b">
        <f>+ISNUMBER(SEARCH('F-COMPRA'!$F$34,Tabla11[[#This Row],[Cuenta]],1))</f>
        <v>1</v>
      </c>
      <c r="S1054" t="b">
        <f>+ISNUMBER(SEARCH('F-COMPRA'!$F$35,Tabla11[[#This Row],[Cuenta]],1))</f>
        <v>1</v>
      </c>
      <c r="T1054" t="b">
        <f>+ISNUMBER(SEARCH('F-COMPRA'!$F$36,Tabla11[[#This Row],[Cuenta]],1))</f>
        <v>1</v>
      </c>
      <c r="U1054" t="b">
        <f>+ISNUMBER(SEARCH('F-COMPRA'!$F$37,Tabla11[[#This Row],[Cuenta]],1))</f>
        <v>1</v>
      </c>
      <c r="V1054" t="b">
        <f>+ISNUMBER(SEARCH(#REF!,Tabla11[[#This Row],[Cuenta]],1))</f>
        <v>0</v>
      </c>
      <c r="W1054" t="b">
        <f>+ISNUMBER(SEARCH('F-COMPRA'!#REF!,Tabla11[[#This Row],[Cuenta]],1))</f>
        <v>0</v>
      </c>
      <c r="X1054" t="b">
        <f>+ISNUMBER(SEARCH('F-COMPRA'!#REF!,Tabla11[[#This Row],[Cuenta]],1))</f>
        <v>0</v>
      </c>
      <c r="Y1054" t="b">
        <f>+ISNUMBER(SEARCH('F-COMPRA'!#REF!,Tabla11[[#This Row],[Cuenta]],1))</f>
        <v>0</v>
      </c>
      <c r="Z1054" t="b">
        <f>+ISNUMBER(SEARCH('F-COMPRA'!#REF!,Tabla11[[#This Row],[Cuenta]],1))</f>
        <v>0</v>
      </c>
      <c r="AA1054" t="b">
        <f>+ISNUMBER(SEARCH('F-COMPRA'!#REF!,Tabla11[[#This Row],[Cuenta]],1))</f>
        <v>0</v>
      </c>
      <c r="AB1054" t="b">
        <f>+ISNUMBER(SEARCH('F-COMPRA'!#REF!,Tabla11[[#This Row],[Cuenta]],1))</f>
        <v>0</v>
      </c>
      <c r="AC1054" t="b">
        <f>+ISNUMBER(SEARCH('F-COMPRA'!#REF!,Tabla11[[#This Row],[Cuenta]],1))</f>
        <v>0</v>
      </c>
      <c r="AD1054" t="b">
        <f>+ISNUMBER(SEARCH('F-COMPRA'!#REF!,Tabla11[[#This Row],[Cuenta]],1))</f>
        <v>0</v>
      </c>
      <c r="AE1054" t="b">
        <f>+ISNUMBER(SEARCH('F-COMPRA'!#REF!,Tabla11[[#This Row],[Cuenta]],1))</f>
        <v>0</v>
      </c>
      <c r="AF1054" t="b">
        <f>+ISNUMBER(SEARCH('F-VTA'!$G$23,Tabla11[[#This Row],[Cuenta]],1))</f>
        <v>0</v>
      </c>
      <c r="AG1054" t="b">
        <f>+ISNUMBER(SEARCH('F-VTA'!$G$24,Tabla11[[#This Row],[Cuenta]],1))</f>
        <v>0</v>
      </c>
      <c r="AH1054" t="b">
        <f>+ISNUMBER(SEARCH('F-VTA'!$G$25,Tabla11[[#This Row],[Cuenta]],1))</f>
        <v>0</v>
      </c>
      <c r="AI1054" t="b">
        <f>+ISNUMBER(SEARCH('F-VTA'!$F$28,Tabla11[[#This Row],[Cuenta]],1))</f>
        <v>1</v>
      </c>
      <c r="AJ1054" t="b">
        <f>+ISNUMBER(SEARCH('F-VTA'!$F$29,Tabla11[[#This Row],[Cuenta]],1))</f>
        <v>1</v>
      </c>
      <c r="AK1054" t="b">
        <f>+ISNUMBER(SEARCH('F-VTA'!$F$30,Tabla11[[#This Row],[Cuenta]],1))</f>
        <v>1</v>
      </c>
      <c r="AL1054" t="b">
        <f>+ISNUMBER(SEARCH('F-VTA'!$F$31,Tabla11[[#This Row],[Cuenta]],1))</f>
        <v>1</v>
      </c>
      <c r="AM1054" t="b">
        <f>+ISNUMBER(SEARCH('F-VTA'!$F$32,Tabla11[[#This Row],[Cuenta]],1))</f>
        <v>1</v>
      </c>
      <c r="AN1054" t="b">
        <f>+ISNUMBER(SEARCH('F-VTA'!$F$33,Tabla11[[#This Row],[Cuenta]],1))</f>
        <v>1</v>
      </c>
      <c r="AO1054" t="b">
        <f>+ISNUMBER(SEARCH('F-VTA'!$F$34,Tabla11[[#This Row],[Cuenta]],1))</f>
        <v>1</v>
      </c>
      <c r="AP1054" t="b">
        <f>+ISNUMBER(SEARCH('F-VTA'!$F$35,Tabla11[[#This Row],[Cuenta]],1))</f>
        <v>1</v>
      </c>
      <c r="AQ1054" t="b">
        <f>+ISNUMBER(SEARCH('F-VTA'!$F$36,Tabla11[[#This Row],[Cuenta]],1))</f>
        <v>1</v>
      </c>
      <c r="AR1054" t="b">
        <f>+ISNUMBER(SEARCH(#REF!,Tabla11[[#This Row],[Cuenta]],1))</f>
        <v>0</v>
      </c>
      <c r="AS1054" t="b">
        <f>+ISNUMBER(SEARCH(#REF!,Tabla11[[#This Row],[Cuenta]],1))</f>
        <v>0</v>
      </c>
      <c r="AT1054" t="b">
        <f>+ISNUMBER(SEARCH(#REF!,Tabla11[[#This Row],[Cuenta]],1))</f>
        <v>0</v>
      </c>
      <c r="AU1054" t="b">
        <f>+ISNUMBER(SEARCH('Conc. Ban.1'!$I$9,Tabla11[[#This Row],[Cuenta]],1))</f>
        <v>0</v>
      </c>
      <c r="AV1054" t="b">
        <f>+ISNUMBER(SEARCH(CompConta!$F$21,Tabla11[[#This Row],[Cuenta]],1))</f>
        <v>1</v>
      </c>
      <c r="AW1054" t="b">
        <f>+ISNUMBER(SEARCH(CompConta!$F$22,Tabla11[[#This Row],[Cuenta]],1))</f>
        <v>1</v>
      </c>
      <c r="AX1054" t="b">
        <f>+ISNUMBER(SEARCH(CompConta!$F$23,Tabla11[[#This Row],[Cuenta]],1))</f>
        <v>1</v>
      </c>
      <c r="AY1054" t="b">
        <f>+ISNUMBER(SEARCH(CompConta!$F$24,Tabla11[[#This Row],[Cuenta]],1))</f>
        <v>1</v>
      </c>
      <c r="AZ1054" t="b">
        <f>+ISNUMBER(SEARCH(CompConta!$F$25,Tabla11[[#This Row],[Cuenta]],1))</f>
        <v>1</v>
      </c>
      <c r="BA1054" t="b">
        <f>+ISNUMBER(SEARCH(CompConta!$F$26,Tabla11[[#This Row],[Cuenta]],1))</f>
        <v>1</v>
      </c>
      <c r="BB1054" t="b">
        <f>+ISNUMBER(SEARCH(CompConta!$F$27,Tabla11[[#This Row],[Cuenta]],1))</f>
        <v>1</v>
      </c>
      <c r="BC1054" t="b">
        <f>+ISNUMBER(SEARCH(CompConta!$F$28,Tabla11[[#This Row],[Cuenta]],1))</f>
        <v>1</v>
      </c>
      <c r="BD1054" t="b">
        <f>+ISNUMBER(SEARCH(CompConta!$F$29,Tabla11[[#This Row],[Cuenta]],1))</f>
        <v>1</v>
      </c>
      <c r="BE1054" t="b">
        <f>+ISNUMBER(SEARCH(CompConta!$F$30,Tabla11[[#This Row],[Cuenta]],1))</f>
        <v>1</v>
      </c>
      <c r="BF1054" t="b">
        <f>+ISNUMBER(SEARCH('PAGO Compras'!$E$11,Tabla11[[#This Row],[Cuenta]],1))</f>
        <v>1</v>
      </c>
      <c r="BG1054" t="b">
        <f>+ISNUMBER(SEARCH(#REF!,Tabla11[[#This Row],[Cuenta]],1))</f>
        <v>0</v>
      </c>
      <c r="BH1054" t="b">
        <f>+ISNUMBER(SEARCH(#REF!,Tabla11[[#This Row],[Cuenta]],1))</f>
        <v>0</v>
      </c>
      <c r="BI1054" t="b">
        <f>+ISNUMBER(SEARCH(#REF!,Tabla11[[#This Row],[Cuenta]],1))</f>
        <v>0</v>
      </c>
      <c r="BJ1054" t="b">
        <f>+ISNUMBER(SEARCH(#REF!,Tabla11[[#This Row],[Cuenta]],1))</f>
        <v>0</v>
      </c>
      <c r="BS1054" t="str">
        <v>525599 *Ajustes por inflación</v>
      </c>
      <c r="BT1054" t="str">
        <v>525599 *Ajustes por inflación</v>
      </c>
      <c r="BU1054" t="str">
        <v>525599 *Ajustes por inflación</v>
      </c>
      <c r="BV1054" t="str">
        <v>525599 *Ajustes por inflación</v>
      </c>
      <c r="BZ1054" t="str">
        <v>525599 *Ajustes por inflación</v>
      </c>
      <c r="CA1054" t="str">
        <v>525599 *Ajustes por inflación</v>
      </c>
      <c r="CB1054" t="str">
        <v>525599 *Ajustes por inflación</v>
      </c>
      <c r="CC1054" t="str">
        <v>525599 *Ajustes por inflación</v>
      </c>
      <c r="CD1054" t="str">
        <v>525599 *Ajustes por inflación</v>
      </c>
      <c r="CE1054" t="str">
        <v>525599 *Ajustes por inflación</v>
      </c>
      <c r="CS1054" s="141" t="str">
        <v>525599 *Ajustes por inflación</v>
      </c>
      <c r="CT1054" s="141" t="str">
        <v>525599 *Ajustes por inflación</v>
      </c>
      <c r="CU1054" s="141" t="str">
        <v>525599 *Ajustes por inflación</v>
      </c>
      <c r="CV1054" s="141" t="str">
        <v>525599 *Ajustes por inflación</v>
      </c>
      <c r="CW1054" s="141" t="str">
        <v>525599 *Ajustes por inflación</v>
      </c>
      <c r="CX1054" s="141" t="str">
        <v>525599 *Ajustes por inflación</v>
      </c>
      <c r="CY1054" s="141" t="str">
        <v>525599 *Ajustes por inflación</v>
      </c>
      <c r="CZ1054" s="141" t="str">
        <v>525599 *Ajustes por inflación</v>
      </c>
      <c r="DA1054" s="141" t="str">
        <v>525599 *Ajustes por inflación</v>
      </c>
      <c r="DF1054" t="str">
        <v>525599 *Ajustes por inflación</v>
      </c>
      <c r="DG1054" t="str">
        <v>525599 *Ajustes por inflación</v>
      </c>
      <c r="DH1054" t="str">
        <v>525599 *Ajustes por inflación</v>
      </c>
      <c r="DI1054" t="str">
        <v>525599 *Ajustes por inflación</v>
      </c>
      <c r="DJ1054" t="str">
        <v>525599 *Ajustes por inflación</v>
      </c>
      <c r="DK1054" t="str">
        <v>525599 *Ajustes por inflación</v>
      </c>
      <c r="DL1054" t="str">
        <v>525599 *Ajustes por inflación</v>
      </c>
      <c r="DM1054" t="str">
        <v>525599 *Ajustes por inflación</v>
      </c>
      <c r="DN1054" t="str">
        <v>525599 *Ajustes por inflación</v>
      </c>
      <c r="DO1054" t="str">
        <v>525599 *Ajustes por inflación</v>
      </c>
      <c r="DP1054" t="str">
        <v>525599 *Ajustes por inflación</v>
      </c>
    </row>
    <row r="1055" spans="4:120" ht="12.75">
      <c r="D1055" s="7">
        <v>5260</v>
      </c>
      <c r="E1055" s="6" t="s">
        <v>610</v>
      </c>
      <c r="F1055" s="5">
        <v>3</v>
      </c>
      <c r="G1055" s="34" t="s">
        <v>830</v>
      </c>
      <c r="H1055" s="8" t="s">
        <v>32</v>
      </c>
      <c r="I1055" t="b">
        <f>+ISNUMBER(SEARCH('F-COMPRA'!$F$28,Tabla11[[#This Row],[Cuenta]],1))</f>
        <v>1</v>
      </c>
      <c r="J1055" t="b">
        <f>+ISNUMBER(SEARCH('F-COMPRA'!$F$29,Tabla11[[#This Row],[Cuenta]],1))</f>
        <v>1</v>
      </c>
      <c r="K1055" t="b">
        <f>+ISNUMBER(SEARCH('F-COMPRA'!$F$30,Tabla11[[#This Row],[Cuenta]],1))</f>
        <v>1</v>
      </c>
      <c r="L1055" t="b">
        <f>+ISNUMBER(SEARCH('F-COMPRA'!$F$31,Tabla11[[#This Row],[Cuenta]],1))</f>
        <v>1</v>
      </c>
      <c r="M1055" t="b">
        <f>+ISNUMBER(SEARCH('F-COMPRA'!$G$25,Tabla11[[#This Row],[Cuenta]],1))</f>
        <v>0</v>
      </c>
      <c r="N1055" t="b">
        <f>+ISNUMBER(SEARCH(#REF!,Tabla11[[#This Row],[Cuenta]],1))</f>
        <v>0</v>
      </c>
      <c r="O1055" t="b">
        <f>+ISNUMBER(SEARCH(#REF!,Tabla11[[#This Row],[Cuenta]],1))</f>
        <v>0</v>
      </c>
      <c r="P1055" t="b">
        <f>+ISNUMBER(SEARCH('F-COMPRA'!$F$32,Tabla11[[#This Row],[Cuenta]],1))</f>
        <v>1</v>
      </c>
      <c r="Q1055" t="b">
        <f>+ISNUMBER(SEARCH('F-COMPRA'!$F$33,Tabla11[[#This Row],[Cuenta]],1))</f>
        <v>1</v>
      </c>
      <c r="R1055" t="b">
        <f>+ISNUMBER(SEARCH('F-COMPRA'!$F$34,Tabla11[[#This Row],[Cuenta]],1))</f>
        <v>1</v>
      </c>
      <c r="S1055" t="b">
        <f>+ISNUMBER(SEARCH('F-COMPRA'!$F$35,Tabla11[[#This Row],[Cuenta]],1))</f>
        <v>1</v>
      </c>
      <c r="T1055" t="b">
        <f>+ISNUMBER(SEARCH('F-COMPRA'!$F$36,Tabla11[[#This Row],[Cuenta]],1))</f>
        <v>1</v>
      </c>
      <c r="U1055" t="b">
        <f>+ISNUMBER(SEARCH('F-COMPRA'!$F$37,Tabla11[[#This Row],[Cuenta]],1))</f>
        <v>1</v>
      </c>
      <c r="V1055" t="b">
        <f>+ISNUMBER(SEARCH(#REF!,Tabla11[[#This Row],[Cuenta]],1))</f>
        <v>0</v>
      </c>
      <c r="W1055" t="b">
        <f>+ISNUMBER(SEARCH('F-COMPRA'!#REF!,Tabla11[[#This Row],[Cuenta]],1))</f>
        <v>0</v>
      </c>
      <c r="X1055" t="b">
        <f>+ISNUMBER(SEARCH('F-COMPRA'!#REF!,Tabla11[[#This Row],[Cuenta]],1))</f>
        <v>0</v>
      </c>
      <c r="Y1055" t="b">
        <f>+ISNUMBER(SEARCH('F-COMPRA'!#REF!,Tabla11[[#This Row],[Cuenta]],1))</f>
        <v>0</v>
      </c>
      <c r="Z1055" t="b">
        <f>+ISNUMBER(SEARCH('F-COMPRA'!#REF!,Tabla11[[#This Row],[Cuenta]],1))</f>
        <v>0</v>
      </c>
      <c r="AA1055" t="b">
        <f>+ISNUMBER(SEARCH('F-COMPRA'!#REF!,Tabla11[[#This Row],[Cuenta]],1))</f>
        <v>0</v>
      </c>
      <c r="AB1055" t="b">
        <f>+ISNUMBER(SEARCH('F-COMPRA'!#REF!,Tabla11[[#This Row],[Cuenta]],1))</f>
        <v>0</v>
      </c>
      <c r="AC1055" t="b">
        <f>+ISNUMBER(SEARCH('F-COMPRA'!#REF!,Tabla11[[#This Row],[Cuenta]],1))</f>
        <v>0</v>
      </c>
      <c r="AD1055" t="b">
        <f>+ISNUMBER(SEARCH('F-COMPRA'!#REF!,Tabla11[[#This Row],[Cuenta]],1))</f>
        <v>0</v>
      </c>
      <c r="AE1055" t="b">
        <f>+ISNUMBER(SEARCH('F-COMPRA'!#REF!,Tabla11[[#This Row],[Cuenta]],1))</f>
        <v>0</v>
      </c>
      <c r="AF1055" t="b">
        <f>+ISNUMBER(SEARCH('F-VTA'!$G$23,Tabla11[[#This Row],[Cuenta]],1))</f>
        <v>0</v>
      </c>
      <c r="AG1055" t="b">
        <f>+ISNUMBER(SEARCH('F-VTA'!$G$24,Tabla11[[#This Row],[Cuenta]],1))</f>
        <v>0</v>
      </c>
      <c r="AH1055" t="b">
        <f>+ISNUMBER(SEARCH('F-VTA'!$G$25,Tabla11[[#This Row],[Cuenta]],1))</f>
        <v>0</v>
      </c>
      <c r="AI1055" t="b">
        <f>+ISNUMBER(SEARCH('F-VTA'!$F$28,Tabla11[[#This Row],[Cuenta]],1))</f>
        <v>1</v>
      </c>
      <c r="AJ1055" t="b">
        <f>+ISNUMBER(SEARCH('F-VTA'!$F$29,Tabla11[[#This Row],[Cuenta]],1))</f>
        <v>1</v>
      </c>
      <c r="AK1055" t="b">
        <f>+ISNUMBER(SEARCH('F-VTA'!$F$30,Tabla11[[#This Row],[Cuenta]],1))</f>
        <v>1</v>
      </c>
      <c r="AL1055" t="b">
        <f>+ISNUMBER(SEARCH('F-VTA'!$F$31,Tabla11[[#This Row],[Cuenta]],1))</f>
        <v>1</v>
      </c>
      <c r="AM1055" t="b">
        <f>+ISNUMBER(SEARCH('F-VTA'!$F$32,Tabla11[[#This Row],[Cuenta]],1))</f>
        <v>1</v>
      </c>
      <c r="AN1055" t="b">
        <f>+ISNUMBER(SEARCH('F-VTA'!$F$33,Tabla11[[#This Row],[Cuenta]],1))</f>
        <v>1</v>
      </c>
      <c r="AO1055" t="b">
        <f>+ISNUMBER(SEARCH('F-VTA'!$F$34,Tabla11[[#This Row],[Cuenta]],1))</f>
        <v>1</v>
      </c>
      <c r="AP1055" t="b">
        <f>+ISNUMBER(SEARCH('F-VTA'!$F$35,Tabla11[[#This Row],[Cuenta]],1))</f>
        <v>1</v>
      </c>
      <c r="AQ1055" t="b">
        <f>+ISNUMBER(SEARCH('F-VTA'!$F$36,Tabla11[[#This Row],[Cuenta]],1))</f>
        <v>1</v>
      </c>
      <c r="AR1055" t="b">
        <f>+ISNUMBER(SEARCH(#REF!,Tabla11[[#This Row],[Cuenta]],1))</f>
        <v>0</v>
      </c>
      <c r="AS1055" t="b">
        <f>+ISNUMBER(SEARCH(#REF!,Tabla11[[#This Row],[Cuenta]],1))</f>
        <v>0</v>
      </c>
      <c r="AT1055" t="b">
        <f>+ISNUMBER(SEARCH(#REF!,Tabla11[[#This Row],[Cuenta]],1))</f>
        <v>0</v>
      </c>
      <c r="AU1055" t="b">
        <f>+ISNUMBER(SEARCH('Conc. Ban.1'!$I$9,Tabla11[[#This Row],[Cuenta]],1))</f>
        <v>0</v>
      </c>
      <c r="AV1055" t="b">
        <f>+ISNUMBER(SEARCH(CompConta!$F$21,Tabla11[[#This Row],[Cuenta]],1))</f>
        <v>1</v>
      </c>
      <c r="AW1055" t="b">
        <f>+ISNUMBER(SEARCH(CompConta!$F$22,Tabla11[[#This Row],[Cuenta]],1))</f>
        <v>1</v>
      </c>
      <c r="AX1055" t="b">
        <f>+ISNUMBER(SEARCH(CompConta!$F$23,Tabla11[[#This Row],[Cuenta]],1))</f>
        <v>1</v>
      </c>
      <c r="AY1055" t="b">
        <f>+ISNUMBER(SEARCH(CompConta!$F$24,Tabla11[[#This Row],[Cuenta]],1))</f>
        <v>1</v>
      </c>
      <c r="AZ1055" t="b">
        <f>+ISNUMBER(SEARCH(CompConta!$F$25,Tabla11[[#This Row],[Cuenta]],1))</f>
        <v>1</v>
      </c>
      <c r="BA1055" t="b">
        <f>+ISNUMBER(SEARCH(CompConta!$F$26,Tabla11[[#This Row],[Cuenta]],1))</f>
        <v>1</v>
      </c>
      <c r="BB1055" t="b">
        <f>+ISNUMBER(SEARCH(CompConta!$F$27,Tabla11[[#This Row],[Cuenta]],1))</f>
        <v>1</v>
      </c>
      <c r="BC1055" t="b">
        <f>+ISNUMBER(SEARCH(CompConta!$F$28,Tabla11[[#This Row],[Cuenta]],1))</f>
        <v>1</v>
      </c>
      <c r="BD1055" t="b">
        <f>+ISNUMBER(SEARCH(CompConta!$F$29,Tabla11[[#This Row],[Cuenta]],1))</f>
        <v>1</v>
      </c>
      <c r="BE1055" t="b">
        <f>+ISNUMBER(SEARCH(CompConta!$F$30,Tabla11[[#This Row],[Cuenta]],1))</f>
        <v>1</v>
      </c>
      <c r="BF1055" t="b">
        <f>+ISNUMBER(SEARCH('PAGO Compras'!$E$11,Tabla11[[#This Row],[Cuenta]],1))</f>
        <v>1</v>
      </c>
      <c r="BG1055" t="b">
        <f>+ISNUMBER(SEARCH(#REF!,Tabla11[[#This Row],[Cuenta]],1))</f>
        <v>0</v>
      </c>
      <c r="BH1055" t="b">
        <f>+ISNUMBER(SEARCH(#REF!,Tabla11[[#This Row],[Cuenta]],1))</f>
        <v>0</v>
      </c>
      <c r="BI1055" t="b">
        <f>+ISNUMBER(SEARCH(#REF!,Tabla11[[#This Row],[Cuenta]],1))</f>
        <v>0</v>
      </c>
      <c r="BJ1055" t="b">
        <f>+ISNUMBER(SEARCH(#REF!,Tabla11[[#This Row],[Cuenta]],1))</f>
        <v>0</v>
      </c>
      <c r="BS1055" t="str">
        <v>5260 DEPRECIACIONES</v>
      </c>
      <c r="BT1055" t="str">
        <v>5260 DEPRECIACIONES</v>
      </c>
      <c r="BU1055" t="str">
        <v>5260 DEPRECIACIONES</v>
      </c>
      <c r="BV1055" t="str">
        <v>5260 DEPRECIACIONES</v>
      </c>
      <c r="BZ1055" t="str">
        <v>5260 DEPRECIACIONES</v>
      </c>
      <c r="CA1055" t="str">
        <v>5260 DEPRECIACIONES</v>
      </c>
      <c r="CB1055" t="str">
        <v>5260 DEPRECIACIONES</v>
      </c>
      <c r="CC1055" t="str">
        <v>5260 DEPRECIACIONES</v>
      </c>
      <c r="CD1055" t="str">
        <v>5260 DEPRECIACIONES</v>
      </c>
      <c r="CE1055" t="str">
        <v>5260 DEPRECIACIONES</v>
      </c>
      <c r="CS1055" s="141" t="str">
        <v>5260 DEPRECIACIONES</v>
      </c>
      <c r="CT1055" s="141" t="str">
        <v>5260 DEPRECIACIONES</v>
      </c>
      <c r="CU1055" s="141" t="str">
        <v>5260 DEPRECIACIONES</v>
      </c>
      <c r="CV1055" s="141" t="str">
        <v>5260 DEPRECIACIONES</v>
      </c>
      <c r="CW1055" s="141" t="str">
        <v>5260 DEPRECIACIONES</v>
      </c>
      <c r="CX1055" s="141" t="str">
        <v>5260 DEPRECIACIONES</v>
      </c>
      <c r="CY1055" s="141" t="str">
        <v>5260 DEPRECIACIONES</v>
      </c>
      <c r="CZ1055" s="141" t="str">
        <v>5260 DEPRECIACIONES</v>
      </c>
      <c r="DA1055" s="141" t="str">
        <v>5260 DEPRECIACIONES</v>
      </c>
      <c r="DF1055" t="str">
        <v>5260 DEPRECIACIONES</v>
      </c>
      <c r="DG1055" t="str">
        <v>5260 DEPRECIACIONES</v>
      </c>
      <c r="DH1055" t="str">
        <v>5260 DEPRECIACIONES</v>
      </c>
      <c r="DI1055" t="str">
        <v>5260 DEPRECIACIONES</v>
      </c>
      <c r="DJ1055" t="str">
        <v>5260 DEPRECIACIONES</v>
      </c>
      <c r="DK1055" t="str">
        <v>5260 DEPRECIACIONES</v>
      </c>
      <c r="DL1055" t="str">
        <v>5260 DEPRECIACIONES</v>
      </c>
      <c r="DM1055" t="str">
        <v>5260 DEPRECIACIONES</v>
      </c>
      <c r="DN1055" t="str">
        <v>5260 DEPRECIACIONES</v>
      </c>
      <c r="DO1055" t="str">
        <v>5260 DEPRECIACIONES</v>
      </c>
      <c r="DP1055" t="str">
        <v>5260 DEPRECIACIONES</v>
      </c>
    </row>
    <row r="1056" spans="4:120" ht="12.75">
      <c r="D1056" s="7">
        <v>526005</v>
      </c>
      <c r="E1056" s="6" t="s">
        <v>121</v>
      </c>
      <c r="F1056" s="5">
        <v>4</v>
      </c>
      <c r="G1056" s="34" t="s">
        <v>830</v>
      </c>
      <c r="H1056" s="8" t="s">
        <v>32</v>
      </c>
      <c r="I1056" t="b">
        <f>+ISNUMBER(SEARCH('F-COMPRA'!$F$28,Tabla11[[#This Row],[Cuenta]],1))</f>
        <v>1</v>
      </c>
      <c r="J1056" t="b">
        <f>+ISNUMBER(SEARCH('F-COMPRA'!$F$29,Tabla11[[#This Row],[Cuenta]],1))</f>
        <v>1</v>
      </c>
      <c r="K1056" t="b">
        <f>+ISNUMBER(SEARCH('F-COMPRA'!$F$30,Tabla11[[#This Row],[Cuenta]],1))</f>
        <v>1</v>
      </c>
      <c r="L1056" t="b">
        <f>+ISNUMBER(SEARCH('F-COMPRA'!$F$31,Tabla11[[#This Row],[Cuenta]],1))</f>
        <v>1</v>
      </c>
      <c r="M1056" t="b">
        <f>+ISNUMBER(SEARCH('F-COMPRA'!$G$25,Tabla11[[#This Row],[Cuenta]],1))</f>
        <v>0</v>
      </c>
      <c r="N1056" t="b">
        <f>+ISNUMBER(SEARCH(#REF!,Tabla11[[#This Row],[Cuenta]],1))</f>
        <v>0</v>
      </c>
      <c r="O1056" t="b">
        <f>+ISNUMBER(SEARCH(#REF!,Tabla11[[#This Row],[Cuenta]],1))</f>
        <v>0</v>
      </c>
      <c r="P1056" t="b">
        <f>+ISNUMBER(SEARCH('F-COMPRA'!$F$32,Tabla11[[#This Row],[Cuenta]],1))</f>
        <v>1</v>
      </c>
      <c r="Q1056" t="b">
        <f>+ISNUMBER(SEARCH('F-COMPRA'!$F$33,Tabla11[[#This Row],[Cuenta]],1))</f>
        <v>1</v>
      </c>
      <c r="R1056" t="b">
        <f>+ISNUMBER(SEARCH('F-COMPRA'!$F$34,Tabla11[[#This Row],[Cuenta]],1))</f>
        <v>1</v>
      </c>
      <c r="S1056" t="b">
        <f>+ISNUMBER(SEARCH('F-COMPRA'!$F$35,Tabla11[[#This Row],[Cuenta]],1))</f>
        <v>1</v>
      </c>
      <c r="T1056" t="b">
        <f>+ISNUMBER(SEARCH('F-COMPRA'!$F$36,Tabla11[[#This Row],[Cuenta]],1))</f>
        <v>1</v>
      </c>
      <c r="U1056" t="b">
        <f>+ISNUMBER(SEARCH('F-COMPRA'!$F$37,Tabla11[[#This Row],[Cuenta]],1))</f>
        <v>1</v>
      </c>
      <c r="V1056" t="b">
        <f>+ISNUMBER(SEARCH(#REF!,Tabla11[[#This Row],[Cuenta]],1))</f>
        <v>0</v>
      </c>
      <c r="W1056" t="b">
        <f>+ISNUMBER(SEARCH('F-COMPRA'!#REF!,Tabla11[[#This Row],[Cuenta]],1))</f>
        <v>0</v>
      </c>
      <c r="X1056" t="b">
        <f>+ISNUMBER(SEARCH('F-COMPRA'!#REF!,Tabla11[[#This Row],[Cuenta]],1))</f>
        <v>0</v>
      </c>
      <c r="Y1056" t="b">
        <f>+ISNUMBER(SEARCH('F-COMPRA'!#REF!,Tabla11[[#This Row],[Cuenta]],1))</f>
        <v>0</v>
      </c>
      <c r="Z1056" t="b">
        <f>+ISNUMBER(SEARCH('F-COMPRA'!#REF!,Tabla11[[#This Row],[Cuenta]],1))</f>
        <v>0</v>
      </c>
      <c r="AA1056" t="b">
        <f>+ISNUMBER(SEARCH('F-COMPRA'!#REF!,Tabla11[[#This Row],[Cuenta]],1))</f>
        <v>0</v>
      </c>
      <c r="AB1056" t="b">
        <f>+ISNUMBER(SEARCH('F-COMPRA'!#REF!,Tabla11[[#This Row],[Cuenta]],1))</f>
        <v>0</v>
      </c>
      <c r="AC1056" t="b">
        <f>+ISNUMBER(SEARCH('F-COMPRA'!#REF!,Tabla11[[#This Row],[Cuenta]],1))</f>
        <v>0</v>
      </c>
      <c r="AD1056" t="b">
        <f>+ISNUMBER(SEARCH('F-COMPRA'!#REF!,Tabla11[[#This Row],[Cuenta]],1))</f>
        <v>0</v>
      </c>
      <c r="AE1056" t="b">
        <f>+ISNUMBER(SEARCH('F-COMPRA'!#REF!,Tabla11[[#This Row],[Cuenta]],1))</f>
        <v>0</v>
      </c>
      <c r="AF1056" t="b">
        <f>+ISNUMBER(SEARCH('F-VTA'!$G$23,Tabla11[[#This Row],[Cuenta]],1))</f>
        <v>0</v>
      </c>
      <c r="AG1056" t="b">
        <f>+ISNUMBER(SEARCH('F-VTA'!$G$24,Tabla11[[#This Row],[Cuenta]],1))</f>
        <v>0</v>
      </c>
      <c r="AH1056" t="b">
        <f>+ISNUMBER(SEARCH('F-VTA'!$G$25,Tabla11[[#This Row],[Cuenta]],1))</f>
        <v>0</v>
      </c>
      <c r="AI1056" t="b">
        <f>+ISNUMBER(SEARCH('F-VTA'!$F$28,Tabla11[[#This Row],[Cuenta]],1))</f>
        <v>1</v>
      </c>
      <c r="AJ1056" t="b">
        <f>+ISNUMBER(SEARCH('F-VTA'!$F$29,Tabla11[[#This Row],[Cuenta]],1))</f>
        <v>1</v>
      </c>
      <c r="AK1056" t="b">
        <f>+ISNUMBER(SEARCH('F-VTA'!$F$30,Tabla11[[#This Row],[Cuenta]],1))</f>
        <v>1</v>
      </c>
      <c r="AL1056" t="b">
        <f>+ISNUMBER(SEARCH('F-VTA'!$F$31,Tabla11[[#This Row],[Cuenta]],1))</f>
        <v>1</v>
      </c>
      <c r="AM1056" t="b">
        <f>+ISNUMBER(SEARCH('F-VTA'!$F$32,Tabla11[[#This Row],[Cuenta]],1))</f>
        <v>1</v>
      </c>
      <c r="AN1056" t="b">
        <f>+ISNUMBER(SEARCH('F-VTA'!$F$33,Tabla11[[#This Row],[Cuenta]],1))</f>
        <v>1</v>
      </c>
      <c r="AO1056" t="b">
        <f>+ISNUMBER(SEARCH('F-VTA'!$F$34,Tabla11[[#This Row],[Cuenta]],1))</f>
        <v>1</v>
      </c>
      <c r="AP1056" t="b">
        <f>+ISNUMBER(SEARCH('F-VTA'!$F$35,Tabla11[[#This Row],[Cuenta]],1))</f>
        <v>1</v>
      </c>
      <c r="AQ1056" t="b">
        <f>+ISNUMBER(SEARCH('F-VTA'!$F$36,Tabla11[[#This Row],[Cuenta]],1))</f>
        <v>1</v>
      </c>
      <c r="AR1056" t="b">
        <f>+ISNUMBER(SEARCH(#REF!,Tabla11[[#This Row],[Cuenta]],1))</f>
        <v>0</v>
      </c>
      <c r="AS1056" t="b">
        <f>+ISNUMBER(SEARCH(#REF!,Tabla11[[#This Row],[Cuenta]],1))</f>
        <v>0</v>
      </c>
      <c r="AT1056" t="b">
        <f>+ISNUMBER(SEARCH(#REF!,Tabla11[[#This Row],[Cuenta]],1))</f>
        <v>0</v>
      </c>
      <c r="AU1056" t="b">
        <f>+ISNUMBER(SEARCH('Conc. Ban.1'!$I$9,Tabla11[[#This Row],[Cuenta]],1))</f>
        <v>0</v>
      </c>
      <c r="AV1056" t="b">
        <f>+ISNUMBER(SEARCH(CompConta!$F$21,Tabla11[[#This Row],[Cuenta]],1))</f>
        <v>1</v>
      </c>
      <c r="AW1056" t="b">
        <f>+ISNUMBER(SEARCH(CompConta!$F$22,Tabla11[[#This Row],[Cuenta]],1))</f>
        <v>1</v>
      </c>
      <c r="AX1056" t="b">
        <f>+ISNUMBER(SEARCH(CompConta!$F$23,Tabla11[[#This Row],[Cuenta]],1))</f>
        <v>1</v>
      </c>
      <c r="AY1056" t="b">
        <f>+ISNUMBER(SEARCH(CompConta!$F$24,Tabla11[[#This Row],[Cuenta]],1))</f>
        <v>1</v>
      </c>
      <c r="AZ1056" t="b">
        <f>+ISNUMBER(SEARCH(CompConta!$F$25,Tabla11[[#This Row],[Cuenta]],1))</f>
        <v>1</v>
      </c>
      <c r="BA1056" t="b">
        <f>+ISNUMBER(SEARCH(CompConta!$F$26,Tabla11[[#This Row],[Cuenta]],1))</f>
        <v>1</v>
      </c>
      <c r="BB1056" t="b">
        <f>+ISNUMBER(SEARCH(CompConta!$F$27,Tabla11[[#This Row],[Cuenta]],1))</f>
        <v>1</v>
      </c>
      <c r="BC1056" t="b">
        <f>+ISNUMBER(SEARCH(CompConta!$F$28,Tabla11[[#This Row],[Cuenta]],1))</f>
        <v>1</v>
      </c>
      <c r="BD1056" t="b">
        <f>+ISNUMBER(SEARCH(CompConta!$F$29,Tabla11[[#This Row],[Cuenta]],1))</f>
        <v>1</v>
      </c>
      <c r="BE1056" t="b">
        <f>+ISNUMBER(SEARCH(CompConta!$F$30,Tabla11[[#This Row],[Cuenta]],1))</f>
        <v>1</v>
      </c>
      <c r="BF1056" t="b">
        <f>+ISNUMBER(SEARCH('PAGO Compras'!$E$11,Tabla11[[#This Row],[Cuenta]],1))</f>
        <v>1</v>
      </c>
      <c r="BG1056" t="b">
        <f>+ISNUMBER(SEARCH(#REF!,Tabla11[[#This Row],[Cuenta]],1))</f>
        <v>0</v>
      </c>
      <c r="BH1056" t="b">
        <f>+ISNUMBER(SEARCH(#REF!,Tabla11[[#This Row],[Cuenta]],1))</f>
        <v>0</v>
      </c>
      <c r="BI1056" t="b">
        <f>+ISNUMBER(SEARCH(#REF!,Tabla11[[#This Row],[Cuenta]],1))</f>
        <v>0</v>
      </c>
      <c r="BJ1056" t="b">
        <f>+ISNUMBER(SEARCH(#REF!,Tabla11[[#This Row],[Cuenta]],1))</f>
        <v>0</v>
      </c>
      <c r="BS1056" t="str">
        <v>526005 Construcciones y edificaciones</v>
      </c>
      <c r="BT1056" t="str">
        <v>526005 Construcciones y edificaciones</v>
      </c>
      <c r="BU1056" t="str">
        <v>526005 Construcciones y edificaciones</v>
      </c>
      <c r="BV1056" t="str">
        <v>526005 Construcciones y edificaciones</v>
      </c>
      <c r="BZ1056" t="str">
        <v>526005 Construcciones y edificaciones</v>
      </c>
      <c r="CA1056" t="str">
        <v>526005 Construcciones y edificaciones</v>
      </c>
      <c r="CB1056" t="str">
        <v>526005 Construcciones y edificaciones</v>
      </c>
      <c r="CC1056" t="str">
        <v>526005 Construcciones y edificaciones</v>
      </c>
      <c r="CD1056" t="str">
        <v>526005 Construcciones y edificaciones</v>
      </c>
      <c r="CE1056" t="str">
        <v>526005 Construcciones y edificaciones</v>
      </c>
      <c r="CS1056" s="141" t="str">
        <v>526005 Construcciones y edificaciones</v>
      </c>
      <c r="CT1056" s="141" t="str">
        <v>526005 Construcciones y edificaciones</v>
      </c>
      <c r="CU1056" s="141" t="str">
        <v>526005 Construcciones y edificaciones</v>
      </c>
      <c r="CV1056" s="141" t="str">
        <v>526005 Construcciones y edificaciones</v>
      </c>
      <c r="CW1056" s="141" t="str">
        <v>526005 Construcciones y edificaciones</v>
      </c>
      <c r="CX1056" s="141" t="str">
        <v>526005 Construcciones y edificaciones</v>
      </c>
      <c r="CY1056" s="141" t="str">
        <v>526005 Construcciones y edificaciones</v>
      </c>
      <c r="CZ1056" s="141" t="str">
        <v>526005 Construcciones y edificaciones</v>
      </c>
      <c r="DA1056" s="141" t="str">
        <v>526005 Construcciones y edificaciones</v>
      </c>
      <c r="DF1056" t="str">
        <v>526005 Construcciones y edificaciones</v>
      </c>
      <c r="DG1056" t="str">
        <v>526005 Construcciones y edificaciones</v>
      </c>
      <c r="DH1056" t="str">
        <v>526005 Construcciones y edificaciones</v>
      </c>
      <c r="DI1056" t="str">
        <v>526005 Construcciones y edificaciones</v>
      </c>
      <c r="DJ1056" t="str">
        <v>526005 Construcciones y edificaciones</v>
      </c>
      <c r="DK1056" t="str">
        <v>526005 Construcciones y edificaciones</v>
      </c>
      <c r="DL1056" t="str">
        <v>526005 Construcciones y edificaciones</v>
      </c>
      <c r="DM1056" t="str">
        <v>526005 Construcciones y edificaciones</v>
      </c>
      <c r="DN1056" t="str">
        <v>526005 Construcciones y edificaciones</v>
      </c>
      <c r="DO1056" t="str">
        <v>526005 Construcciones y edificaciones</v>
      </c>
      <c r="DP1056" t="str">
        <v>526005 Construcciones y edificaciones</v>
      </c>
    </row>
    <row r="1057" spans="4:120" ht="12.75">
      <c r="D1057" s="7">
        <v>526010</v>
      </c>
      <c r="E1057" s="6" t="s">
        <v>128</v>
      </c>
      <c r="F1057" s="5">
        <v>4</v>
      </c>
      <c r="G1057" s="34" t="s">
        <v>830</v>
      </c>
      <c r="H1057" s="8" t="s">
        <v>32</v>
      </c>
      <c r="I1057" t="b">
        <f>+ISNUMBER(SEARCH('F-COMPRA'!$F$28,Tabla11[[#This Row],[Cuenta]],1))</f>
        <v>1</v>
      </c>
      <c r="J1057" t="b">
        <f>+ISNUMBER(SEARCH('F-COMPRA'!$F$29,Tabla11[[#This Row],[Cuenta]],1))</f>
        <v>1</v>
      </c>
      <c r="K1057" t="b">
        <f>+ISNUMBER(SEARCH('F-COMPRA'!$F$30,Tabla11[[#This Row],[Cuenta]],1))</f>
        <v>1</v>
      </c>
      <c r="L1057" t="b">
        <f>+ISNUMBER(SEARCH('F-COMPRA'!$F$31,Tabla11[[#This Row],[Cuenta]],1))</f>
        <v>1</v>
      </c>
      <c r="M1057" t="b">
        <f>+ISNUMBER(SEARCH('F-COMPRA'!$G$25,Tabla11[[#This Row],[Cuenta]],1))</f>
        <v>0</v>
      </c>
      <c r="N1057" t="b">
        <f>+ISNUMBER(SEARCH(#REF!,Tabla11[[#This Row],[Cuenta]],1))</f>
        <v>0</v>
      </c>
      <c r="O1057" t="b">
        <f>+ISNUMBER(SEARCH(#REF!,Tabla11[[#This Row],[Cuenta]],1))</f>
        <v>0</v>
      </c>
      <c r="P1057" t="b">
        <f>+ISNUMBER(SEARCH('F-COMPRA'!$F$32,Tabla11[[#This Row],[Cuenta]],1))</f>
        <v>1</v>
      </c>
      <c r="Q1057" t="b">
        <f>+ISNUMBER(SEARCH('F-COMPRA'!$F$33,Tabla11[[#This Row],[Cuenta]],1))</f>
        <v>1</v>
      </c>
      <c r="R1057" t="b">
        <f>+ISNUMBER(SEARCH('F-COMPRA'!$F$34,Tabla11[[#This Row],[Cuenta]],1))</f>
        <v>1</v>
      </c>
      <c r="S1057" t="b">
        <f>+ISNUMBER(SEARCH('F-COMPRA'!$F$35,Tabla11[[#This Row],[Cuenta]],1))</f>
        <v>1</v>
      </c>
      <c r="T1057" t="b">
        <f>+ISNUMBER(SEARCH('F-COMPRA'!$F$36,Tabla11[[#This Row],[Cuenta]],1))</f>
        <v>1</v>
      </c>
      <c r="U1057" t="b">
        <f>+ISNUMBER(SEARCH('F-COMPRA'!$F$37,Tabla11[[#This Row],[Cuenta]],1))</f>
        <v>1</v>
      </c>
      <c r="V1057" t="b">
        <f>+ISNUMBER(SEARCH(#REF!,Tabla11[[#This Row],[Cuenta]],1))</f>
        <v>0</v>
      </c>
      <c r="W1057" t="b">
        <f>+ISNUMBER(SEARCH('F-COMPRA'!#REF!,Tabla11[[#This Row],[Cuenta]],1))</f>
        <v>0</v>
      </c>
      <c r="X1057" t="b">
        <f>+ISNUMBER(SEARCH('F-COMPRA'!#REF!,Tabla11[[#This Row],[Cuenta]],1))</f>
        <v>0</v>
      </c>
      <c r="Y1057" t="b">
        <f>+ISNUMBER(SEARCH('F-COMPRA'!#REF!,Tabla11[[#This Row],[Cuenta]],1))</f>
        <v>0</v>
      </c>
      <c r="Z1057" t="b">
        <f>+ISNUMBER(SEARCH('F-COMPRA'!#REF!,Tabla11[[#This Row],[Cuenta]],1))</f>
        <v>0</v>
      </c>
      <c r="AA1057" t="b">
        <f>+ISNUMBER(SEARCH('F-COMPRA'!#REF!,Tabla11[[#This Row],[Cuenta]],1))</f>
        <v>0</v>
      </c>
      <c r="AB1057" t="b">
        <f>+ISNUMBER(SEARCH('F-COMPRA'!#REF!,Tabla11[[#This Row],[Cuenta]],1))</f>
        <v>0</v>
      </c>
      <c r="AC1057" t="b">
        <f>+ISNUMBER(SEARCH('F-COMPRA'!#REF!,Tabla11[[#This Row],[Cuenta]],1))</f>
        <v>0</v>
      </c>
      <c r="AD1057" t="b">
        <f>+ISNUMBER(SEARCH('F-COMPRA'!#REF!,Tabla11[[#This Row],[Cuenta]],1))</f>
        <v>0</v>
      </c>
      <c r="AE1057" t="b">
        <f>+ISNUMBER(SEARCH('F-COMPRA'!#REF!,Tabla11[[#This Row],[Cuenta]],1))</f>
        <v>0</v>
      </c>
      <c r="AF1057" t="b">
        <f>+ISNUMBER(SEARCH('F-VTA'!$G$23,Tabla11[[#This Row],[Cuenta]],1))</f>
        <v>0</v>
      </c>
      <c r="AG1057" t="b">
        <f>+ISNUMBER(SEARCH('F-VTA'!$G$24,Tabla11[[#This Row],[Cuenta]],1))</f>
        <v>0</v>
      </c>
      <c r="AH1057" t="b">
        <f>+ISNUMBER(SEARCH('F-VTA'!$G$25,Tabla11[[#This Row],[Cuenta]],1))</f>
        <v>0</v>
      </c>
      <c r="AI1057" t="b">
        <f>+ISNUMBER(SEARCH('F-VTA'!$F$28,Tabla11[[#This Row],[Cuenta]],1))</f>
        <v>1</v>
      </c>
      <c r="AJ1057" t="b">
        <f>+ISNUMBER(SEARCH('F-VTA'!$F$29,Tabla11[[#This Row],[Cuenta]],1))</f>
        <v>1</v>
      </c>
      <c r="AK1057" t="b">
        <f>+ISNUMBER(SEARCH('F-VTA'!$F$30,Tabla11[[#This Row],[Cuenta]],1))</f>
        <v>1</v>
      </c>
      <c r="AL1057" t="b">
        <f>+ISNUMBER(SEARCH('F-VTA'!$F$31,Tabla11[[#This Row],[Cuenta]],1))</f>
        <v>1</v>
      </c>
      <c r="AM1057" t="b">
        <f>+ISNUMBER(SEARCH('F-VTA'!$F$32,Tabla11[[#This Row],[Cuenta]],1))</f>
        <v>1</v>
      </c>
      <c r="AN1057" t="b">
        <f>+ISNUMBER(SEARCH('F-VTA'!$F$33,Tabla11[[#This Row],[Cuenta]],1))</f>
        <v>1</v>
      </c>
      <c r="AO1057" t="b">
        <f>+ISNUMBER(SEARCH('F-VTA'!$F$34,Tabla11[[#This Row],[Cuenta]],1))</f>
        <v>1</v>
      </c>
      <c r="AP1057" t="b">
        <f>+ISNUMBER(SEARCH('F-VTA'!$F$35,Tabla11[[#This Row],[Cuenta]],1))</f>
        <v>1</v>
      </c>
      <c r="AQ1057" t="b">
        <f>+ISNUMBER(SEARCH('F-VTA'!$F$36,Tabla11[[#This Row],[Cuenta]],1))</f>
        <v>1</v>
      </c>
      <c r="AR1057" t="b">
        <f>+ISNUMBER(SEARCH(#REF!,Tabla11[[#This Row],[Cuenta]],1))</f>
        <v>0</v>
      </c>
      <c r="AS1057" t="b">
        <f>+ISNUMBER(SEARCH(#REF!,Tabla11[[#This Row],[Cuenta]],1))</f>
        <v>0</v>
      </c>
      <c r="AT1057" t="b">
        <f>+ISNUMBER(SEARCH(#REF!,Tabla11[[#This Row],[Cuenta]],1))</f>
        <v>0</v>
      </c>
      <c r="AU1057" t="b">
        <f>+ISNUMBER(SEARCH('Conc. Ban.1'!$I$9,Tabla11[[#This Row],[Cuenta]],1))</f>
        <v>0</v>
      </c>
      <c r="AV1057" t="b">
        <f>+ISNUMBER(SEARCH(CompConta!$F$21,Tabla11[[#This Row],[Cuenta]],1))</f>
        <v>1</v>
      </c>
      <c r="AW1057" t="b">
        <f>+ISNUMBER(SEARCH(CompConta!$F$22,Tabla11[[#This Row],[Cuenta]],1))</f>
        <v>1</v>
      </c>
      <c r="AX1057" t="b">
        <f>+ISNUMBER(SEARCH(CompConta!$F$23,Tabla11[[#This Row],[Cuenta]],1))</f>
        <v>1</v>
      </c>
      <c r="AY1057" t="b">
        <f>+ISNUMBER(SEARCH(CompConta!$F$24,Tabla11[[#This Row],[Cuenta]],1))</f>
        <v>1</v>
      </c>
      <c r="AZ1057" t="b">
        <f>+ISNUMBER(SEARCH(CompConta!$F$25,Tabla11[[#This Row],[Cuenta]],1))</f>
        <v>1</v>
      </c>
      <c r="BA1057" t="b">
        <f>+ISNUMBER(SEARCH(CompConta!$F$26,Tabla11[[#This Row],[Cuenta]],1))</f>
        <v>1</v>
      </c>
      <c r="BB1057" t="b">
        <f>+ISNUMBER(SEARCH(CompConta!$F$27,Tabla11[[#This Row],[Cuenta]],1))</f>
        <v>1</v>
      </c>
      <c r="BC1057" t="b">
        <f>+ISNUMBER(SEARCH(CompConta!$F$28,Tabla11[[#This Row],[Cuenta]],1))</f>
        <v>1</v>
      </c>
      <c r="BD1057" t="b">
        <f>+ISNUMBER(SEARCH(CompConta!$F$29,Tabla11[[#This Row],[Cuenta]],1))</f>
        <v>1</v>
      </c>
      <c r="BE1057" t="b">
        <f>+ISNUMBER(SEARCH(CompConta!$F$30,Tabla11[[#This Row],[Cuenta]],1))</f>
        <v>1</v>
      </c>
      <c r="BF1057" t="b">
        <f>+ISNUMBER(SEARCH('PAGO Compras'!$E$11,Tabla11[[#This Row],[Cuenta]],1))</f>
        <v>1</v>
      </c>
      <c r="BG1057" t="b">
        <f>+ISNUMBER(SEARCH(#REF!,Tabla11[[#This Row],[Cuenta]],1))</f>
        <v>0</v>
      </c>
      <c r="BH1057" t="b">
        <f>+ISNUMBER(SEARCH(#REF!,Tabla11[[#This Row],[Cuenta]],1))</f>
        <v>0</v>
      </c>
      <c r="BI1057" t="b">
        <f>+ISNUMBER(SEARCH(#REF!,Tabla11[[#This Row],[Cuenta]],1))</f>
        <v>0</v>
      </c>
      <c r="BJ1057" t="b">
        <f>+ISNUMBER(SEARCH(#REF!,Tabla11[[#This Row],[Cuenta]],1))</f>
        <v>0</v>
      </c>
      <c r="BS1057" t="str">
        <v>526010 Maquinaria y equipo</v>
      </c>
      <c r="BT1057" t="str">
        <v>526010 Maquinaria y equipo</v>
      </c>
      <c r="BU1057" t="str">
        <v>526010 Maquinaria y equipo</v>
      </c>
      <c r="BV1057" t="str">
        <v>526010 Maquinaria y equipo</v>
      </c>
      <c r="BZ1057" t="str">
        <v>526010 Maquinaria y equipo</v>
      </c>
      <c r="CA1057" t="str">
        <v>526010 Maquinaria y equipo</v>
      </c>
      <c r="CB1057" t="str">
        <v>526010 Maquinaria y equipo</v>
      </c>
      <c r="CC1057" t="str">
        <v>526010 Maquinaria y equipo</v>
      </c>
      <c r="CD1057" t="str">
        <v>526010 Maquinaria y equipo</v>
      </c>
      <c r="CE1057" t="str">
        <v>526010 Maquinaria y equipo</v>
      </c>
      <c r="CS1057" s="141" t="str">
        <v>526010 Maquinaria y equipo</v>
      </c>
      <c r="CT1057" s="141" t="str">
        <v>526010 Maquinaria y equipo</v>
      </c>
      <c r="CU1057" s="141" t="str">
        <v>526010 Maquinaria y equipo</v>
      </c>
      <c r="CV1057" s="141" t="str">
        <v>526010 Maquinaria y equipo</v>
      </c>
      <c r="CW1057" s="141" t="str">
        <v>526010 Maquinaria y equipo</v>
      </c>
      <c r="CX1057" s="141" t="str">
        <v>526010 Maquinaria y equipo</v>
      </c>
      <c r="CY1057" s="141" t="str">
        <v>526010 Maquinaria y equipo</v>
      </c>
      <c r="CZ1057" s="141" t="str">
        <v>526010 Maquinaria y equipo</v>
      </c>
      <c r="DA1057" s="141" t="str">
        <v>526010 Maquinaria y equipo</v>
      </c>
      <c r="DF1057" t="str">
        <v>526010 Maquinaria y equipo</v>
      </c>
      <c r="DG1057" t="str">
        <v>526010 Maquinaria y equipo</v>
      </c>
      <c r="DH1057" t="str">
        <v>526010 Maquinaria y equipo</v>
      </c>
      <c r="DI1057" t="str">
        <v>526010 Maquinaria y equipo</v>
      </c>
      <c r="DJ1057" t="str">
        <v>526010 Maquinaria y equipo</v>
      </c>
      <c r="DK1057" t="str">
        <v>526010 Maquinaria y equipo</v>
      </c>
      <c r="DL1057" t="str">
        <v>526010 Maquinaria y equipo</v>
      </c>
      <c r="DM1057" t="str">
        <v>526010 Maquinaria y equipo</v>
      </c>
      <c r="DN1057" t="str">
        <v>526010 Maquinaria y equipo</v>
      </c>
      <c r="DO1057" t="str">
        <v>526010 Maquinaria y equipo</v>
      </c>
      <c r="DP1057" t="str">
        <v>526010 Maquinaria y equipo</v>
      </c>
    </row>
    <row r="1058" spans="4:120" ht="12.75">
      <c r="D1058" s="7">
        <v>526015</v>
      </c>
      <c r="E1058" s="6" t="s">
        <v>129</v>
      </c>
      <c r="F1058" s="5">
        <v>4</v>
      </c>
      <c r="G1058" s="34" t="s">
        <v>830</v>
      </c>
      <c r="H1058" s="8" t="s">
        <v>32</v>
      </c>
      <c r="I1058" t="b">
        <f>+ISNUMBER(SEARCH('F-COMPRA'!$F$28,Tabla11[[#This Row],[Cuenta]],1))</f>
        <v>1</v>
      </c>
      <c r="J1058" t="b">
        <f>+ISNUMBER(SEARCH('F-COMPRA'!$F$29,Tabla11[[#This Row],[Cuenta]],1))</f>
        <v>1</v>
      </c>
      <c r="K1058" t="b">
        <f>+ISNUMBER(SEARCH('F-COMPRA'!$F$30,Tabla11[[#This Row],[Cuenta]],1))</f>
        <v>1</v>
      </c>
      <c r="L1058" t="b">
        <f>+ISNUMBER(SEARCH('F-COMPRA'!$F$31,Tabla11[[#This Row],[Cuenta]],1))</f>
        <v>1</v>
      </c>
      <c r="M1058" t="b">
        <f>+ISNUMBER(SEARCH('F-COMPRA'!$G$25,Tabla11[[#This Row],[Cuenta]],1))</f>
        <v>0</v>
      </c>
      <c r="N1058" t="b">
        <f>+ISNUMBER(SEARCH(#REF!,Tabla11[[#This Row],[Cuenta]],1))</f>
        <v>0</v>
      </c>
      <c r="O1058" t="b">
        <f>+ISNUMBER(SEARCH(#REF!,Tabla11[[#This Row],[Cuenta]],1))</f>
        <v>0</v>
      </c>
      <c r="P1058" t="b">
        <f>+ISNUMBER(SEARCH('F-COMPRA'!$F$32,Tabla11[[#This Row],[Cuenta]],1))</f>
        <v>1</v>
      </c>
      <c r="Q1058" t="b">
        <f>+ISNUMBER(SEARCH('F-COMPRA'!$F$33,Tabla11[[#This Row],[Cuenta]],1))</f>
        <v>1</v>
      </c>
      <c r="R1058" t="b">
        <f>+ISNUMBER(SEARCH('F-COMPRA'!$F$34,Tabla11[[#This Row],[Cuenta]],1))</f>
        <v>1</v>
      </c>
      <c r="S1058" t="b">
        <f>+ISNUMBER(SEARCH('F-COMPRA'!$F$35,Tabla11[[#This Row],[Cuenta]],1))</f>
        <v>1</v>
      </c>
      <c r="T1058" t="b">
        <f>+ISNUMBER(SEARCH('F-COMPRA'!$F$36,Tabla11[[#This Row],[Cuenta]],1))</f>
        <v>1</v>
      </c>
      <c r="U1058" t="b">
        <f>+ISNUMBER(SEARCH('F-COMPRA'!$F$37,Tabla11[[#This Row],[Cuenta]],1))</f>
        <v>1</v>
      </c>
      <c r="V1058" t="b">
        <f>+ISNUMBER(SEARCH(#REF!,Tabla11[[#This Row],[Cuenta]],1))</f>
        <v>0</v>
      </c>
      <c r="W1058" t="b">
        <f>+ISNUMBER(SEARCH('F-COMPRA'!#REF!,Tabla11[[#This Row],[Cuenta]],1))</f>
        <v>0</v>
      </c>
      <c r="X1058" t="b">
        <f>+ISNUMBER(SEARCH('F-COMPRA'!#REF!,Tabla11[[#This Row],[Cuenta]],1))</f>
        <v>0</v>
      </c>
      <c r="Y1058" t="b">
        <f>+ISNUMBER(SEARCH('F-COMPRA'!#REF!,Tabla11[[#This Row],[Cuenta]],1))</f>
        <v>0</v>
      </c>
      <c r="Z1058" t="b">
        <f>+ISNUMBER(SEARCH('F-COMPRA'!#REF!,Tabla11[[#This Row],[Cuenta]],1))</f>
        <v>0</v>
      </c>
      <c r="AA1058" t="b">
        <f>+ISNUMBER(SEARCH('F-COMPRA'!#REF!,Tabla11[[#This Row],[Cuenta]],1))</f>
        <v>0</v>
      </c>
      <c r="AB1058" t="b">
        <f>+ISNUMBER(SEARCH('F-COMPRA'!#REF!,Tabla11[[#This Row],[Cuenta]],1))</f>
        <v>0</v>
      </c>
      <c r="AC1058" t="b">
        <f>+ISNUMBER(SEARCH('F-COMPRA'!#REF!,Tabla11[[#This Row],[Cuenta]],1))</f>
        <v>0</v>
      </c>
      <c r="AD1058" t="b">
        <f>+ISNUMBER(SEARCH('F-COMPRA'!#REF!,Tabla11[[#This Row],[Cuenta]],1))</f>
        <v>0</v>
      </c>
      <c r="AE1058" t="b">
        <f>+ISNUMBER(SEARCH('F-COMPRA'!#REF!,Tabla11[[#This Row],[Cuenta]],1))</f>
        <v>0</v>
      </c>
      <c r="AF1058" t="b">
        <f>+ISNUMBER(SEARCH('F-VTA'!$G$23,Tabla11[[#This Row],[Cuenta]],1))</f>
        <v>0</v>
      </c>
      <c r="AG1058" t="b">
        <f>+ISNUMBER(SEARCH('F-VTA'!$G$24,Tabla11[[#This Row],[Cuenta]],1))</f>
        <v>0</v>
      </c>
      <c r="AH1058" t="b">
        <f>+ISNUMBER(SEARCH('F-VTA'!$G$25,Tabla11[[#This Row],[Cuenta]],1))</f>
        <v>0</v>
      </c>
      <c r="AI1058" t="b">
        <f>+ISNUMBER(SEARCH('F-VTA'!$F$28,Tabla11[[#This Row],[Cuenta]],1))</f>
        <v>1</v>
      </c>
      <c r="AJ1058" t="b">
        <f>+ISNUMBER(SEARCH('F-VTA'!$F$29,Tabla11[[#This Row],[Cuenta]],1))</f>
        <v>1</v>
      </c>
      <c r="AK1058" t="b">
        <f>+ISNUMBER(SEARCH('F-VTA'!$F$30,Tabla11[[#This Row],[Cuenta]],1))</f>
        <v>1</v>
      </c>
      <c r="AL1058" t="b">
        <f>+ISNUMBER(SEARCH('F-VTA'!$F$31,Tabla11[[#This Row],[Cuenta]],1))</f>
        <v>1</v>
      </c>
      <c r="AM1058" t="b">
        <f>+ISNUMBER(SEARCH('F-VTA'!$F$32,Tabla11[[#This Row],[Cuenta]],1))</f>
        <v>1</v>
      </c>
      <c r="AN1058" t="b">
        <f>+ISNUMBER(SEARCH('F-VTA'!$F$33,Tabla11[[#This Row],[Cuenta]],1))</f>
        <v>1</v>
      </c>
      <c r="AO1058" t="b">
        <f>+ISNUMBER(SEARCH('F-VTA'!$F$34,Tabla11[[#This Row],[Cuenta]],1))</f>
        <v>1</v>
      </c>
      <c r="AP1058" t="b">
        <f>+ISNUMBER(SEARCH('F-VTA'!$F$35,Tabla11[[#This Row],[Cuenta]],1))</f>
        <v>1</v>
      </c>
      <c r="AQ1058" t="b">
        <f>+ISNUMBER(SEARCH('F-VTA'!$F$36,Tabla11[[#This Row],[Cuenta]],1))</f>
        <v>1</v>
      </c>
      <c r="AR1058" t="b">
        <f>+ISNUMBER(SEARCH(#REF!,Tabla11[[#This Row],[Cuenta]],1))</f>
        <v>0</v>
      </c>
      <c r="AS1058" t="b">
        <f>+ISNUMBER(SEARCH(#REF!,Tabla11[[#This Row],[Cuenta]],1))</f>
        <v>0</v>
      </c>
      <c r="AT1058" t="b">
        <f>+ISNUMBER(SEARCH(#REF!,Tabla11[[#This Row],[Cuenta]],1))</f>
        <v>0</v>
      </c>
      <c r="AU1058" t="b">
        <f>+ISNUMBER(SEARCH('Conc. Ban.1'!$I$9,Tabla11[[#This Row],[Cuenta]],1))</f>
        <v>0</v>
      </c>
      <c r="AV1058" t="b">
        <f>+ISNUMBER(SEARCH(CompConta!$F$21,Tabla11[[#This Row],[Cuenta]],1))</f>
        <v>1</v>
      </c>
      <c r="AW1058" t="b">
        <f>+ISNUMBER(SEARCH(CompConta!$F$22,Tabla11[[#This Row],[Cuenta]],1))</f>
        <v>1</v>
      </c>
      <c r="AX1058" t="b">
        <f>+ISNUMBER(SEARCH(CompConta!$F$23,Tabla11[[#This Row],[Cuenta]],1))</f>
        <v>1</v>
      </c>
      <c r="AY1058" t="b">
        <f>+ISNUMBER(SEARCH(CompConta!$F$24,Tabla11[[#This Row],[Cuenta]],1))</f>
        <v>1</v>
      </c>
      <c r="AZ1058" t="b">
        <f>+ISNUMBER(SEARCH(CompConta!$F$25,Tabla11[[#This Row],[Cuenta]],1))</f>
        <v>1</v>
      </c>
      <c r="BA1058" t="b">
        <f>+ISNUMBER(SEARCH(CompConta!$F$26,Tabla11[[#This Row],[Cuenta]],1))</f>
        <v>1</v>
      </c>
      <c r="BB1058" t="b">
        <f>+ISNUMBER(SEARCH(CompConta!$F$27,Tabla11[[#This Row],[Cuenta]],1))</f>
        <v>1</v>
      </c>
      <c r="BC1058" t="b">
        <f>+ISNUMBER(SEARCH(CompConta!$F$28,Tabla11[[#This Row],[Cuenta]],1))</f>
        <v>1</v>
      </c>
      <c r="BD1058" t="b">
        <f>+ISNUMBER(SEARCH(CompConta!$F$29,Tabla11[[#This Row],[Cuenta]],1))</f>
        <v>1</v>
      </c>
      <c r="BE1058" t="b">
        <f>+ISNUMBER(SEARCH(CompConta!$F$30,Tabla11[[#This Row],[Cuenta]],1))</f>
        <v>1</v>
      </c>
      <c r="BF1058" t="b">
        <f>+ISNUMBER(SEARCH('PAGO Compras'!$E$11,Tabla11[[#This Row],[Cuenta]],1))</f>
        <v>1</v>
      </c>
      <c r="BG1058" t="b">
        <f>+ISNUMBER(SEARCH(#REF!,Tabla11[[#This Row],[Cuenta]],1))</f>
        <v>0</v>
      </c>
      <c r="BH1058" t="b">
        <f>+ISNUMBER(SEARCH(#REF!,Tabla11[[#This Row],[Cuenta]],1))</f>
        <v>0</v>
      </c>
      <c r="BI1058" t="b">
        <f>+ISNUMBER(SEARCH(#REF!,Tabla11[[#This Row],[Cuenta]],1))</f>
        <v>0</v>
      </c>
      <c r="BJ1058" t="b">
        <f>+ISNUMBER(SEARCH(#REF!,Tabla11[[#This Row],[Cuenta]],1))</f>
        <v>0</v>
      </c>
      <c r="BS1058" t="str">
        <v>526015 Equipo de oficina</v>
      </c>
      <c r="BT1058" t="str">
        <v>526015 Equipo de oficina</v>
      </c>
      <c r="BU1058" t="str">
        <v>526015 Equipo de oficina</v>
      </c>
      <c r="BV1058" t="str">
        <v>526015 Equipo de oficina</v>
      </c>
      <c r="BZ1058" t="str">
        <v>526015 Equipo de oficina</v>
      </c>
      <c r="CA1058" t="str">
        <v>526015 Equipo de oficina</v>
      </c>
      <c r="CB1058" t="str">
        <v>526015 Equipo de oficina</v>
      </c>
      <c r="CC1058" t="str">
        <v>526015 Equipo de oficina</v>
      </c>
      <c r="CD1058" t="str">
        <v>526015 Equipo de oficina</v>
      </c>
      <c r="CE1058" t="str">
        <v>526015 Equipo de oficina</v>
      </c>
      <c r="CS1058" s="141" t="str">
        <v>526015 Equipo de oficina</v>
      </c>
      <c r="CT1058" s="141" t="str">
        <v>526015 Equipo de oficina</v>
      </c>
      <c r="CU1058" s="141" t="str">
        <v>526015 Equipo de oficina</v>
      </c>
      <c r="CV1058" s="141" t="str">
        <v>526015 Equipo de oficina</v>
      </c>
      <c r="CW1058" s="141" t="str">
        <v>526015 Equipo de oficina</v>
      </c>
      <c r="CX1058" s="141" t="str">
        <v>526015 Equipo de oficina</v>
      </c>
      <c r="CY1058" s="141" t="str">
        <v>526015 Equipo de oficina</v>
      </c>
      <c r="CZ1058" s="141" t="str">
        <v>526015 Equipo de oficina</v>
      </c>
      <c r="DA1058" s="141" t="str">
        <v>526015 Equipo de oficina</v>
      </c>
      <c r="DF1058" t="str">
        <v>526015 Equipo de oficina</v>
      </c>
      <c r="DG1058" t="str">
        <v>526015 Equipo de oficina</v>
      </c>
      <c r="DH1058" t="str">
        <v>526015 Equipo de oficina</v>
      </c>
      <c r="DI1058" t="str">
        <v>526015 Equipo de oficina</v>
      </c>
      <c r="DJ1058" t="str">
        <v>526015 Equipo de oficina</v>
      </c>
      <c r="DK1058" t="str">
        <v>526015 Equipo de oficina</v>
      </c>
      <c r="DL1058" t="str">
        <v>526015 Equipo de oficina</v>
      </c>
      <c r="DM1058" t="str">
        <v>526015 Equipo de oficina</v>
      </c>
      <c r="DN1058" t="str">
        <v>526015 Equipo de oficina</v>
      </c>
      <c r="DO1058" t="str">
        <v>526015 Equipo de oficina</v>
      </c>
      <c r="DP1058" t="str">
        <v>526015 Equipo de oficina</v>
      </c>
    </row>
    <row r="1059" spans="4:120" ht="12.75">
      <c r="D1059" s="7">
        <v>526020</v>
      </c>
      <c r="E1059" s="6" t="s">
        <v>130</v>
      </c>
      <c r="F1059" s="5">
        <v>4</v>
      </c>
      <c r="G1059" s="34" t="s">
        <v>830</v>
      </c>
      <c r="H1059" s="8" t="s">
        <v>32</v>
      </c>
      <c r="I1059" t="b">
        <f>+ISNUMBER(SEARCH('F-COMPRA'!$F$28,Tabla11[[#This Row],[Cuenta]],1))</f>
        <v>1</v>
      </c>
      <c r="J1059" t="b">
        <f>+ISNUMBER(SEARCH('F-COMPRA'!$F$29,Tabla11[[#This Row],[Cuenta]],1))</f>
        <v>1</v>
      </c>
      <c r="K1059" t="b">
        <f>+ISNUMBER(SEARCH('F-COMPRA'!$F$30,Tabla11[[#This Row],[Cuenta]],1))</f>
        <v>1</v>
      </c>
      <c r="L1059" t="b">
        <f>+ISNUMBER(SEARCH('F-COMPRA'!$F$31,Tabla11[[#This Row],[Cuenta]],1))</f>
        <v>1</v>
      </c>
      <c r="M1059" t="b">
        <f>+ISNUMBER(SEARCH('F-COMPRA'!$G$25,Tabla11[[#This Row],[Cuenta]],1))</f>
        <v>0</v>
      </c>
      <c r="N1059" t="b">
        <f>+ISNUMBER(SEARCH(#REF!,Tabla11[[#This Row],[Cuenta]],1))</f>
        <v>0</v>
      </c>
      <c r="O1059" t="b">
        <f>+ISNUMBER(SEARCH(#REF!,Tabla11[[#This Row],[Cuenta]],1))</f>
        <v>0</v>
      </c>
      <c r="P1059" t="b">
        <f>+ISNUMBER(SEARCH('F-COMPRA'!$F$32,Tabla11[[#This Row],[Cuenta]],1))</f>
        <v>1</v>
      </c>
      <c r="Q1059" t="b">
        <f>+ISNUMBER(SEARCH('F-COMPRA'!$F$33,Tabla11[[#This Row],[Cuenta]],1))</f>
        <v>1</v>
      </c>
      <c r="R1059" t="b">
        <f>+ISNUMBER(SEARCH('F-COMPRA'!$F$34,Tabla11[[#This Row],[Cuenta]],1))</f>
        <v>1</v>
      </c>
      <c r="S1059" t="b">
        <f>+ISNUMBER(SEARCH('F-COMPRA'!$F$35,Tabla11[[#This Row],[Cuenta]],1))</f>
        <v>1</v>
      </c>
      <c r="T1059" t="b">
        <f>+ISNUMBER(SEARCH('F-COMPRA'!$F$36,Tabla11[[#This Row],[Cuenta]],1))</f>
        <v>1</v>
      </c>
      <c r="U1059" t="b">
        <f>+ISNUMBER(SEARCH('F-COMPRA'!$F$37,Tabla11[[#This Row],[Cuenta]],1))</f>
        <v>1</v>
      </c>
      <c r="V1059" t="b">
        <f>+ISNUMBER(SEARCH(#REF!,Tabla11[[#This Row],[Cuenta]],1))</f>
        <v>0</v>
      </c>
      <c r="W1059" t="b">
        <f>+ISNUMBER(SEARCH('F-COMPRA'!#REF!,Tabla11[[#This Row],[Cuenta]],1))</f>
        <v>0</v>
      </c>
      <c r="X1059" t="b">
        <f>+ISNUMBER(SEARCH('F-COMPRA'!#REF!,Tabla11[[#This Row],[Cuenta]],1))</f>
        <v>0</v>
      </c>
      <c r="Y1059" t="b">
        <f>+ISNUMBER(SEARCH('F-COMPRA'!#REF!,Tabla11[[#This Row],[Cuenta]],1))</f>
        <v>0</v>
      </c>
      <c r="Z1059" t="b">
        <f>+ISNUMBER(SEARCH('F-COMPRA'!#REF!,Tabla11[[#This Row],[Cuenta]],1))</f>
        <v>0</v>
      </c>
      <c r="AA1059" t="b">
        <f>+ISNUMBER(SEARCH('F-COMPRA'!#REF!,Tabla11[[#This Row],[Cuenta]],1))</f>
        <v>0</v>
      </c>
      <c r="AB1059" t="b">
        <f>+ISNUMBER(SEARCH('F-COMPRA'!#REF!,Tabla11[[#This Row],[Cuenta]],1))</f>
        <v>0</v>
      </c>
      <c r="AC1059" t="b">
        <f>+ISNUMBER(SEARCH('F-COMPRA'!#REF!,Tabla11[[#This Row],[Cuenta]],1))</f>
        <v>0</v>
      </c>
      <c r="AD1059" t="b">
        <f>+ISNUMBER(SEARCH('F-COMPRA'!#REF!,Tabla11[[#This Row],[Cuenta]],1))</f>
        <v>0</v>
      </c>
      <c r="AE1059" t="b">
        <f>+ISNUMBER(SEARCH('F-COMPRA'!#REF!,Tabla11[[#This Row],[Cuenta]],1))</f>
        <v>0</v>
      </c>
      <c r="AF1059" t="b">
        <f>+ISNUMBER(SEARCH('F-VTA'!$G$23,Tabla11[[#This Row],[Cuenta]],1))</f>
        <v>0</v>
      </c>
      <c r="AG1059" t="b">
        <f>+ISNUMBER(SEARCH('F-VTA'!$G$24,Tabla11[[#This Row],[Cuenta]],1))</f>
        <v>0</v>
      </c>
      <c r="AH1059" t="b">
        <f>+ISNUMBER(SEARCH('F-VTA'!$G$25,Tabla11[[#This Row],[Cuenta]],1))</f>
        <v>0</v>
      </c>
      <c r="AI1059" t="b">
        <f>+ISNUMBER(SEARCH('F-VTA'!$F$28,Tabla11[[#This Row],[Cuenta]],1))</f>
        <v>1</v>
      </c>
      <c r="AJ1059" t="b">
        <f>+ISNUMBER(SEARCH('F-VTA'!$F$29,Tabla11[[#This Row],[Cuenta]],1))</f>
        <v>1</v>
      </c>
      <c r="AK1059" t="b">
        <f>+ISNUMBER(SEARCH('F-VTA'!$F$30,Tabla11[[#This Row],[Cuenta]],1))</f>
        <v>1</v>
      </c>
      <c r="AL1059" t="b">
        <f>+ISNUMBER(SEARCH('F-VTA'!$F$31,Tabla11[[#This Row],[Cuenta]],1))</f>
        <v>1</v>
      </c>
      <c r="AM1059" t="b">
        <f>+ISNUMBER(SEARCH('F-VTA'!$F$32,Tabla11[[#This Row],[Cuenta]],1))</f>
        <v>1</v>
      </c>
      <c r="AN1059" t="b">
        <f>+ISNUMBER(SEARCH('F-VTA'!$F$33,Tabla11[[#This Row],[Cuenta]],1))</f>
        <v>1</v>
      </c>
      <c r="AO1059" t="b">
        <f>+ISNUMBER(SEARCH('F-VTA'!$F$34,Tabla11[[#This Row],[Cuenta]],1))</f>
        <v>1</v>
      </c>
      <c r="AP1059" t="b">
        <f>+ISNUMBER(SEARCH('F-VTA'!$F$35,Tabla11[[#This Row],[Cuenta]],1))</f>
        <v>1</v>
      </c>
      <c r="AQ1059" t="b">
        <f>+ISNUMBER(SEARCH('F-VTA'!$F$36,Tabla11[[#This Row],[Cuenta]],1))</f>
        <v>1</v>
      </c>
      <c r="AR1059" t="b">
        <f>+ISNUMBER(SEARCH(#REF!,Tabla11[[#This Row],[Cuenta]],1))</f>
        <v>0</v>
      </c>
      <c r="AS1059" t="b">
        <f>+ISNUMBER(SEARCH(#REF!,Tabla11[[#This Row],[Cuenta]],1))</f>
        <v>0</v>
      </c>
      <c r="AT1059" t="b">
        <f>+ISNUMBER(SEARCH(#REF!,Tabla11[[#This Row],[Cuenta]],1))</f>
        <v>0</v>
      </c>
      <c r="AU1059" t="b">
        <f>+ISNUMBER(SEARCH('Conc. Ban.1'!$I$9,Tabla11[[#This Row],[Cuenta]],1))</f>
        <v>0</v>
      </c>
      <c r="AV1059" t="b">
        <f>+ISNUMBER(SEARCH(CompConta!$F$21,Tabla11[[#This Row],[Cuenta]],1))</f>
        <v>1</v>
      </c>
      <c r="AW1059" t="b">
        <f>+ISNUMBER(SEARCH(CompConta!$F$22,Tabla11[[#This Row],[Cuenta]],1))</f>
        <v>1</v>
      </c>
      <c r="AX1059" t="b">
        <f>+ISNUMBER(SEARCH(CompConta!$F$23,Tabla11[[#This Row],[Cuenta]],1))</f>
        <v>1</v>
      </c>
      <c r="AY1059" t="b">
        <f>+ISNUMBER(SEARCH(CompConta!$F$24,Tabla11[[#This Row],[Cuenta]],1))</f>
        <v>1</v>
      </c>
      <c r="AZ1059" t="b">
        <f>+ISNUMBER(SEARCH(CompConta!$F$25,Tabla11[[#This Row],[Cuenta]],1))</f>
        <v>1</v>
      </c>
      <c r="BA1059" t="b">
        <f>+ISNUMBER(SEARCH(CompConta!$F$26,Tabla11[[#This Row],[Cuenta]],1))</f>
        <v>1</v>
      </c>
      <c r="BB1059" t="b">
        <f>+ISNUMBER(SEARCH(CompConta!$F$27,Tabla11[[#This Row],[Cuenta]],1))</f>
        <v>1</v>
      </c>
      <c r="BC1059" t="b">
        <f>+ISNUMBER(SEARCH(CompConta!$F$28,Tabla11[[#This Row],[Cuenta]],1))</f>
        <v>1</v>
      </c>
      <c r="BD1059" t="b">
        <f>+ISNUMBER(SEARCH(CompConta!$F$29,Tabla11[[#This Row],[Cuenta]],1))</f>
        <v>1</v>
      </c>
      <c r="BE1059" t="b">
        <f>+ISNUMBER(SEARCH(CompConta!$F$30,Tabla11[[#This Row],[Cuenta]],1))</f>
        <v>1</v>
      </c>
      <c r="BF1059" t="b">
        <f>+ISNUMBER(SEARCH('PAGO Compras'!$E$11,Tabla11[[#This Row],[Cuenta]],1))</f>
        <v>1</v>
      </c>
      <c r="BG1059" t="b">
        <f>+ISNUMBER(SEARCH(#REF!,Tabla11[[#This Row],[Cuenta]],1))</f>
        <v>0</v>
      </c>
      <c r="BH1059" t="b">
        <f>+ISNUMBER(SEARCH(#REF!,Tabla11[[#This Row],[Cuenta]],1))</f>
        <v>0</v>
      </c>
      <c r="BI1059" t="b">
        <f>+ISNUMBER(SEARCH(#REF!,Tabla11[[#This Row],[Cuenta]],1))</f>
        <v>0</v>
      </c>
      <c r="BJ1059" t="b">
        <f>+ISNUMBER(SEARCH(#REF!,Tabla11[[#This Row],[Cuenta]],1))</f>
        <v>0</v>
      </c>
      <c r="BS1059" t="str">
        <v>526020 Equipo de computación y comunicación</v>
      </c>
      <c r="BT1059" t="str">
        <v>526020 Equipo de computación y comunicación</v>
      </c>
      <c r="BU1059" t="str">
        <v>526020 Equipo de computación y comunicación</v>
      </c>
      <c r="BV1059" t="str">
        <v>526020 Equipo de computación y comunicación</v>
      </c>
      <c r="BZ1059" t="str">
        <v>526020 Equipo de computación y comunicación</v>
      </c>
      <c r="CA1059" t="str">
        <v>526020 Equipo de computación y comunicación</v>
      </c>
      <c r="CB1059" t="str">
        <v>526020 Equipo de computación y comunicación</v>
      </c>
      <c r="CC1059" t="str">
        <v>526020 Equipo de computación y comunicación</v>
      </c>
      <c r="CD1059" t="str">
        <v>526020 Equipo de computación y comunicación</v>
      </c>
      <c r="CE1059" t="str">
        <v>526020 Equipo de computación y comunicación</v>
      </c>
      <c r="CS1059" s="141" t="str">
        <v>526020 Equipo de computación y comunicación</v>
      </c>
      <c r="CT1059" s="141" t="str">
        <v>526020 Equipo de computación y comunicación</v>
      </c>
      <c r="CU1059" s="141" t="str">
        <v>526020 Equipo de computación y comunicación</v>
      </c>
      <c r="CV1059" s="141" t="str">
        <v>526020 Equipo de computación y comunicación</v>
      </c>
      <c r="CW1059" s="141" t="str">
        <v>526020 Equipo de computación y comunicación</v>
      </c>
      <c r="CX1059" s="141" t="str">
        <v>526020 Equipo de computación y comunicación</v>
      </c>
      <c r="CY1059" s="141" t="str">
        <v>526020 Equipo de computación y comunicación</v>
      </c>
      <c r="CZ1059" s="141" t="str">
        <v>526020 Equipo de computación y comunicación</v>
      </c>
      <c r="DA1059" s="141" t="str">
        <v>526020 Equipo de computación y comunicación</v>
      </c>
      <c r="DF1059" t="str">
        <v>526020 Equipo de computación y comunicación</v>
      </c>
      <c r="DG1059" t="str">
        <v>526020 Equipo de computación y comunicación</v>
      </c>
      <c r="DH1059" t="str">
        <v>526020 Equipo de computación y comunicación</v>
      </c>
      <c r="DI1059" t="str">
        <v>526020 Equipo de computación y comunicación</v>
      </c>
      <c r="DJ1059" t="str">
        <v>526020 Equipo de computación y comunicación</v>
      </c>
      <c r="DK1059" t="str">
        <v>526020 Equipo de computación y comunicación</v>
      </c>
      <c r="DL1059" t="str">
        <v>526020 Equipo de computación y comunicación</v>
      </c>
      <c r="DM1059" t="str">
        <v>526020 Equipo de computación y comunicación</v>
      </c>
      <c r="DN1059" t="str">
        <v>526020 Equipo de computación y comunicación</v>
      </c>
      <c r="DO1059" t="str">
        <v>526020 Equipo de computación y comunicación</v>
      </c>
      <c r="DP1059" t="str">
        <v>526020 Equipo de computación y comunicación</v>
      </c>
    </row>
    <row r="1060" spans="4:120" ht="12.75">
      <c r="D1060" s="7">
        <v>526025</v>
      </c>
      <c r="E1060" s="6" t="s">
        <v>131</v>
      </c>
      <c r="F1060" s="5">
        <v>4</v>
      </c>
      <c r="G1060" s="34" t="s">
        <v>830</v>
      </c>
      <c r="H1060" s="8" t="s">
        <v>32</v>
      </c>
      <c r="I1060" t="b">
        <f>+ISNUMBER(SEARCH('F-COMPRA'!$F$28,Tabla11[[#This Row],[Cuenta]],1))</f>
        <v>1</v>
      </c>
      <c r="J1060" t="b">
        <f>+ISNUMBER(SEARCH('F-COMPRA'!$F$29,Tabla11[[#This Row],[Cuenta]],1))</f>
        <v>1</v>
      </c>
      <c r="K1060" t="b">
        <f>+ISNUMBER(SEARCH('F-COMPRA'!$F$30,Tabla11[[#This Row],[Cuenta]],1))</f>
        <v>1</v>
      </c>
      <c r="L1060" t="b">
        <f>+ISNUMBER(SEARCH('F-COMPRA'!$F$31,Tabla11[[#This Row],[Cuenta]],1))</f>
        <v>1</v>
      </c>
      <c r="M1060" t="b">
        <f>+ISNUMBER(SEARCH('F-COMPRA'!$G$25,Tabla11[[#This Row],[Cuenta]],1))</f>
        <v>0</v>
      </c>
      <c r="N1060" t="b">
        <f>+ISNUMBER(SEARCH(#REF!,Tabla11[[#This Row],[Cuenta]],1))</f>
        <v>0</v>
      </c>
      <c r="O1060" t="b">
        <f>+ISNUMBER(SEARCH(#REF!,Tabla11[[#This Row],[Cuenta]],1))</f>
        <v>0</v>
      </c>
      <c r="P1060" t="b">
        <f>+ISNUMBER(SEARCH('F-COMPRA'!$F$32,Tabla11[[#This Row],[Cuenta]],1))</f>
        <v>1</v>
      </c>
      <c r="Q1060" t="b">
        <f>+ISNUMBER(SEARCH('F-COMPRA'!$F$33,Tabla11[[#This Row],[Cuenta]],1))</f>
        <v>1</v>
      </c>
      <c r="R1060" t="b">
        <f>+ISNUMBER(SEARCH('F-COMPRA'!$F$34,Tabla11[[#This Row],[Cuenta]],1))</f>
        <v>1</v>
      </c>
      <c r="S1060" t="b">
        <f>+ISNUMBER(SEARCH('F-COMPRA'!$F$35,Tabla11[[#This Row],[Cuenta]],1))</f>
        <v>1</v>
      </c>
      <c r="T1060" t="b">
        <f>+ISNUMBER(SEARCH('F-COMPRA'!$F$36,Tabla11[[#This Row],[Cuenta]],1))</f>
        <v>1</v>
      </c>
      <c r="U1060" t="b">
        <f>+ISNUMBER(SEARCH('F-COMPRA'!$F$37,Tabla11[[#This Row],[Cuenta]],1))</f>
        <v>1</v>
      </c>
      <c r="V1060" t="b">
        <f>+ISNUMBER(SEARCH(#REF!,Tabla11[[#This Row],[Cuenta]],1))</f>
        <v>0</v>
      </c>
      <c r="W1060" t="b">
        <f>+ISNUMBER(SEARCH('F-COMPRA'!#REF!,Tabla11[[#This Row],[Cuenta]],1))</f>
        <v>0</v>
      </c>
      <c r="X1060" t="b">
        <f>+ISNUMBER(SEARCH('F-COMPRA'!#REF!,Tabla11[[#This Row],[Cuenta]],1))</f>
        <v>0</v>
      </c>
      <c r="Y1060" t="b">
        <f>+ISNUMBER(SEARCH('F-COMPRA'!#REF!,Tabla11[[#This Row],[Cuenta]],1))</f>
        <v>0</v>
      </c>
      <c r="Z1060" t="b">
        <f>+ISNUMBER(SEARCH('F-COMPRA'!#REF!,Tabla11[[#This Row],[Cuenta]],1))</f>
        <v>0</v>
      </c>
      <c r="AA1060" t="b">
        <f>+ISNUMBER(SEARCH('F-COMPRA'!#REF!,Tabla11[[#This Row],[Cuenta]],1))</f>
        <v>0</v>
      </c>
      <c r="AB1060" t="b">
        <f>+ISNUMBER(SEARCH('F-COMPRA'!#REF!,Tabla11[[#This Row],[Cuenta]],1))</f>
        <v>0</v>
      </c>
      <c r="AC1060" t="b">
        <f>+ISNUMBER(SEARCH('F-COMPRA'!#REF!,Tabla11[[#This Row],[Cuenta]],1))</f>
        <v>0</v>
      </c>
      <c r="AD1060" t="b">
        <f>+ISNUMBER(SEARCH('F-COMPRA'!#REF!,Tabla11[[#This Row],[Cuenta]],1))</f>
        <v>0</v>
      </c>
      <c r="AE1060" t="b">
        <f>+ISNUMBER(SEARCH('F-COMPRA'!#REF!,Tabla11[[#This Row],[Cuenta]],1))</f>
        <v>0</v>
      </c>
      <c r="AF1060" t="b">
        <f>+ISNUMBER(SEARCH('F-VTA'!$G$23,Tabla11[[#This Row],[Cuenta]],1))</f>
        <v>0</v>
      </c>
      <c r="AG1060" t="b">
        <f>+ISNUMBER(SEARCH('F-VTA'!$G$24,Tabla11[[#This Row],[Cuenta]],1))</f>
        <v>0</v>
      </c>
      <c r="AH1060" t="b">
        <f>+ISNUMBER(SEARCH('F-VTA'!$G$25,Tabla11[[#This Row],[Cuenta]],1))</f>
        <v>0</v>
      </c>
      <c r="AI1060" t="b">
        <f>+ISNUMBER(SEARCH('F-VTA'!$F$28,Tabla11[[#This Row],[Cuenta]],1))</f>
        <v>1</v>
      </c>
      <c r="AJ1060" t="b">
        <f>+ISNUMBER(SEARCH('F-VTA'!$F$29,Tabla11[[#This Row],[Cuenta]],1))</f>
        <v>1</v>
      </c>
      <c r="AK1060" t="b">
        <f>+ISNUMBER(SEARCH('F-VTA'!$F$30,Tabla11[[#This Row],[Cuenta]],1))</f>
        <v>1</v>
      </c>
      <c r="AL1060" t="b">
        <f>+ISNUMBER(SEARCH('F-VTA'!$F$31,Tabla11[[#This Row],[Cuenta]],1))</f>
        <v>1</v>
      </c>
      <c r="AM1060" t="b">
        <f>+ISNUMBER(SEARCH('F-VTA'!$F$32,Tabla11[[#This Row],[Cuenta]],1))</f>
        <v>1</v>
      </c>
      <c r="AN1060" t="b">
        <f>+ISNUMBER(SEARCH('F-VTA'!$F$33,Tabla11[[#This Row],[Cuenta]],1))</f>
        <v>1</v>
      </c>
      <c r="AO1060" t="b">
        <f>+ISNUMBER(SEARCH('F-VTA'!$F$34,Tabla11[[#This Row],[Cuenta]],1))</f>
        <v>1</v>
      </c>
      <c r="AP1060" t="b">
        <f>+ISNUMBER(SEARCH('F-VTA'!$F$35,Tabla11[[#This Row],[Cuenta]],1))</f>
        <v>1</v>
      </c>
      <c r="AQ1060" t="b">
        <f>+ISNUMBER(SEARCH('F-VTA'!$F$36,Tabla11[[#This Row],[Cuenta]],1))</f>
        <v>1</v>
      </c>
      <c r="AR1060" t="b">
        <f>+ISNUMBER(SEARCH(#REF!,Tabla11[[#This Row],[Cuenta]],1))</f>
        <v>0</v>
      </c>
      <c r="AS1060" t="b">
        <f>+ISNUMBER(SEARCH(#REF!,Tabla11[[#This Row],[Cuenta]],1))</f>
        <v>0</v>
      </c>
      <c r="AT1060" t="b">
        <f>+ISNUMBER(SEARCH(#REF!,Tabla11[[#This Row],[Cuenta]],1))</f>
        <v>0</v>
      </c>
      <c r="AU1060" t="b">
        <f>+ISNUMBER(SEARCH('Conc. Ban.1'!$I$9,Tabla11[[#This Row],[Cuenta]],1))</f>
        <v>0</v>
      </c>
      <c r="AV1060" t="b">
        <f>+ISNUMBER(SEARCH(CompConta!$F$21,Tabla11[[#This Row],[Cuenta]],1))</f>
        <v>1</v>
      </c>
      <c r="AW1060" t="b">
        <f>+ISNUMBER(SEARCH(CompConta!$F$22,Tabla11[[#This Row],[Cuenta]],1))</f>
        <v>1</v>
      </c>
      <c r="AX1060" t="b">
        <f>+ISNUMBER(SEARCH(CompConta!$F$23,Tabla11[[#This Row],[Cuenta]],1))</f>
        <v>1</v>
      </c>
      <c r="AY1060" t="b">
        <f>+ISNUMBER(SEARCH(CompConta!$F$24,Tabla11[[#This Row],[Cuenta]],1))</f>
        <v>1</v>
      </c>
      <c r="AZ1060" t="b">
        <f>+ISNUMBER(SEARCH(CompConta!$F$25,Tabla11[[#This Row],[Cuenta]],1))</f>
        <v>1</v>
      </c>
      <c r="BA1060" t="b">
        <f>+ISNUMBER(SEARCH(CompConta!$F$26,Tabla11[[#This Row],[Cuenta]],1))</f>
        <v>1</v>
      </c>
      <c r="BB1060" t="b">
        <f>+ISNUMBER(SEARCH(CompConta!$F$27,Tabla11[[#This Row],[Cuenta]],1))</f>
        <v>1</v>
      </c>
      <c r="BC1060" t="b">
        <f>+ISNUMBER(SEARCH(CompConta!$F$28,Tabla11[[#This Row],[Cuenta]],1))</f>
        <v>1</v>
      </c>
      <c r="BD1060" t="b">
        <f>+ISNUMBER(SEARCH(CompConta!$F$29,Tabla11[[#This Row],[Cuenta]],1))</f>
        <v>1</v>
      </c>
      <c r="BE1060" t="b">
        <f>+ISNUMBER(SEARCH(CompConta!$F$30,Tabla11[[#This Row],[Cuenta]],1))</f>
        <v>1</v>
      </c>
      <c r="BF1060" t="b">
        <f>+ISNUMBER(SEARCH('PAGO Compras'!$E$11,Tabla11[[#This Row],[Cuenta]],1))</f>
        <v>1</v>
      </c>
      <c r="BG1060" t="b">
        <f>+ISNUMBER(SEARCH(#REF!,Tabla11[[#This Row],[Cuenta]],1))</f>
        <v>0</v>
      </c>
      <c r="BH1060" t="b">
        <f>+ISNUMBER(SEARCH(#REF!,Tabla11[[#This Row],[Cuenta]],1))</f>
        <v>0</v>
      </c>
      <c r="BI1060" t="b">
        <f>+ISNUMBER(SEARCH(#REF!,Tabla11[[#This Row],[Cuenta]],1))</f>
        <v>0</v>
      </c>
      <c r="BJ1060" t="b">
        <f>+ISNUMBER(SEARCH(#REF!,Tabla11[[#This Row],[Cuenta]],1))</f>
        <v>0</v>
      </c>
      <c r="BS1060" t="str">
        <v>526025 Equipo médico-científico</v>
      </c>
      <c r="BT1060" t="str">
        <v>526025 Equipo médico-científico</v>
      </c>
      <c r="BU1060" t="str">
        <v>526025 Equipo médico-científico</v>
      </c>
      <c r="BV1060" t="str">
        <v>526025 Equipo médico-científico</v>
      </c>
      <c r="BZ1060" t="str">
        <v>526025 Equipo médico-científico</v>
      </c>
      <c r="CA1060" t="str">
        <v>526025 Equipo médico-científico</v>
      </c>
      <c r="CB1060" t="str">
        <v>526025 Equipo médico-científico</v>
      </c>
      <c r="CC1060" t="str">
        <v>526025 Equipo médico-científico</v>
      </c>
      <c r="CD1060" t="str">
        <v>526025 Equipo médico-científico</v>
      </c>
      <c r="CE1060" t="str">
        <v>526025 Equipo médico-científico</v>
      </c>
      <c r="CS1060" s="141" t="str">
        <v>526025 Equipo médico-científico</v>
      </c>
      <c r="CT1060" s="141" t="str">
        <v>526025 Equipo médico-científico</v>
      </c>
      <c r="CU1060" s="141" t="str">
        <v>526025 Equipo médico-científico</v>
      </c>
      <c r="CV1060" s="141" t="str">
        <v>526025 Equipo médico-científico</v>
      </c>
      <c r="CW1060" s="141" t="str">
        <v>526025 Equipo médico-científico</v>
      </c>
      <c r="CX1060" s="141" t="str">
        <v>526025 Equipo médico-científico</v>
      </c>
      <c r="CY1060" s="141" t="str">
        <v>526025 Equipo médico-científico</v>
      </c>
      <c r="CZ1060" s="141" t="str">
        <v>526025 Equipo médico-científico</v>
      </c>
      <c r="DA1060" s="141" t="str">
        <v>526025 Equipo médico-científico</v>
      </c>
      <c r="DF1060" t="str">
        <v>526025 Equipo médico-científico</v>
      </c>
      <c r="DG1060" t="str">
        <v>526025 Equipo médico-científico</v>
      </c>
      <c r="DH1060" t="str">
        <v>526025 Equipo médico-científico</v>
      </c>
      <c r="DI1060" t="str">
        <v>526025 Equipo médico-científico</v>
      </c>
      <c r="DJ1060" t="str">
        <v>526025 Equipo médico-científico</v>
      </c>
      <c r="DK1060" t="str">
        <v>526025 Equipo médico-científico</v>
      </c>
      <c r="DL1060" t="str">
        <v>526025 Equipo médico-científico</v>
      </c>
      <c r="DM1060" t="str">
        <v>526025 Equipo médico-científico</v>
      </c>
      <c r="DN1060" t="str">
        <v>526025 Equipo médico-científico</v>
      </c>
      <c r="DO1060" t="str">
        <v>526025 Equipo médico-científico</v>
      </c>
      <c r="DP1060" t="str">
        <v>526025 Equipo médico-científico</v>
      </c>
    </row>
    <row r="1061" spans="4:120" ht="12.75">
      <c r="D1061" s="7">
        <v>526030</v>
      </c>
      <c r="E1061" s="6" t="s">
        <v>132</v>
      </c>
      <c r="F1061" s="5">
        <v>4</v>
      </c>
      <c r="G1061" s="34" t="s">
        <v>830</v>
      </c>
      <c r="H1061" s="8" t="s">
        <v>32</v>
      </c>
      <c r="I1061" t="b">
        <f>+ISNUMBER(SEARCH('F-COMPRA'!$F$28,Tabla11[[#This Row],[Cuenta]],1))</f>
        <v>1</v>
      </c>
      <c r="J1061" t="b">
        <f>+ISNUMBER(SEARCH('F-COMPRA'!$F$29,Tabla11[[#This Row],[Cuenta]],1))</f>
        <v>1</v>
      </c>
      <c r="K1061" t="b">
        <f>+ISNUMBER(SEARCH('F-COMPRA'!$F$30,Tabla11[[#This Row],[Cuenta]],1))</f>
        <v>1</v>
      </c>
      <c r="L1061" t="b">
        <f>+ISNUMBER(SEARCH('F-COMPRA'!$F$31,Tabla11[[#This Row],[Cuenta]],1))</f>
        <v>1</v>
      </c>
      <c r="M1061" t="b">
        <f>+ISNUMBER(SEARCH('F-COMPRA'!$G$25,Tabla11[[#This Row],[Cuenta]],1))</f>
        <v>0</v>
      </c>
      <c r="N1061" t="b">
        <f>+ISNUMBER(SEARCH(#REF!,Tabla11[[#This Row],[Cuenta]],1))</f>
        <v>0</v>
      </c>
      <c r="O1061" t="b">
        <f>+ISNUMBER(SEARCH(#REF!,Tabla11[[#This Row],[Cuenta]],1))</f>
        <v>0</v>
      </c>
      <c r="P1061" t="b">
        <f>+ISNUMBER(SEARCH('F-COMPRA'!$F$32,Tabla11[[#This Row],[Cuenta]],1))</f>
        <v>1</v>
      </c>
      <c r="Q1061" t="b">
        <f>+ISNUMBER(SEARCH('F-COMPRA'!$F$33,Tabla11[[#This Row],[Cuenta]],1))</f>
        <v>1</v>
      </c>
      <c r="R1061" t="b">
        <f>+ISNUMBER(SEARCH('F-COMPRA'!$F$34,Tabla11[[#This Row],[Cuenta]],1))</f>
        <v>1</v>
      </c>
      <c r="S1061" t="b">
        <f>+ISNUMBER(SEARCH('F-COMPRA'!$F$35,Tabla11[[#This Row],[Cuenta]],1))</f>
        <v>1</v>
      </c>
      <c r="T1061" t="b">
        <f>+ISNUMBER(SEARCH('F-COMPRA'!$F$36,Tabla11[[#This Row],[Cuenta]],1))</f>
        <v>1</v>
      </c>
      <c r="U1061" t="b">
        <f>+ISNUMBER(SEARCH('F-COMPRA'!$F$37,Tabla11[[#This Row],[Cuenta]],1))</f>
        <v>1</v>
      </c>
      <c r="V1061" t="b">
        <f>+ISNUMBER(SEARCH(#REF!,Tabla11[[#This Row],[Cuenta]],1))</f>
        <v>0</v>
      </c>
      <c r="W1061" t="b">
        <f>+ISNUMBER(SEARCH('F-COMPRA'!#REF!,Tabla11[[#This Row],[Cuenta]],1))</f>
        <v>0</v>
      </c>
      <c r="X1061" t="b">
        <f>+ISNUMBER(SEARCH('F-COMPRA'!#REF!,Tabla11[[#This Row],[Cuenta]],1))</f>
        <v>0</v>
      </c>
      <c r="Y1061" t="b">
        <f>+ISNUMBER(SEARCH('F-COMPRA'!#REF!,Tabla11[[#This Row],[Cuenta]],1))</f>
        <v>0</v>
      </c>
      <c r="Z1061" t="b">
        <f>+ISNUMBER(SEARCH('F-COMPRA'!#REF!,Tabla11[[#This Row],[Cuenta]],1))</f>
        <v>0</v>
      </c>
      <c r="AA1061" t="b">
        <f>+ISNUMBER(SEARCH('F-COMPRA'!#REF!,Tabla11[[#This Row],[Cuenta]],1))</f>
        <v>0</v>
      </c>
      <c r="AB1061" t="b">
        <f>+ISNUMBER(SEARCH('F-COMPRA'!#REF!,Tabla11[[#This Row],[Cuenta]],1))</f>
        <v>0</v>
      </c>
      <c r="AC1061" t="b">
        <f>+ISNUMBER(SEARCH('F-COMPRA'!#REF!,Tabla11[[#This Row],[Cuenta]],1))</f>
        <v>0</v>
      </c>
      <c r="AD1061" t="b">
        <f>+ISNUMBER(SEARCH('F-COMPRA'!#REF!,Tabla11[[#This Row],[Cuenta]],1))</f>
        <v>0</v>
      </c>
      <c r="AE1061" t="b">
        <f>+ISNUMBER(SEARCH('F-COMPRA'!#REF!,Tabla11[[#This Row],[Cuenta]],1))</f>
        <v>0</v>
      </c>
      <c r="AF1061" t="b">
        <f>+ISNUMBER(SEARCH('F-VTA'!$G$23,Tabla11[[#This Row],[Cuenta]],1))</f>
        <v>0</v>
      </c>
      <c r="AG1061" t="b">
        <f>+ISNUMBER(SEARCH('F-VTA'!$G$24,Tabla11[[#This Row],[Cuenta]],1))</f>
        <v>0</v>
      </c>
      <c r="AH1061" t="b">
        <f>+ISNUMBER(SEARCH('F-VTA'!$G$25,Tabla11[[#This Row],[Cuenta]],1))</f>
        <v>0</v>
      </c>
      <c r="AI1061" t="b">
        <f>+ISNUMBER(SEARCH('F-VTA'!$F$28,Tabla11[[#This Row],[Cuenta]],1))</f>
        <v>1</v>
      </c>
      <c r="AJ1061" t="b">
        <f>+ISNUMBER(SEARCH('F-VTA'!$F$29,Tabla11[[#This Row],[Cuenta]],1))</f>
        <v>1</v>
      </c>
      <c r="AK1061" t="b">
        <f>+ISNUMBER(SEARCH('F-VTA'!$F$30,Tabla11[[#This Row],[Cuenta]],1))</f>
        <v>1</v>
      </c>
      <c r="AL1061" t="b">
        <f>+ISNUMBER(SEARCH('F-VTA'!$F$31,Tabla11[[#This Row],[Cuenta]],1))</f>
        <v>1</v>
      </c>
      <c r="AM1061" t="b">
        <f>+ISNUMBER(SEARCH('F-VTA'!$F$32,Tabla11[[#This Row],[Cuenta]],1))</f>
        <v>1</v>
      </c>
      <c r="AN1061" t="b">
        <f>+ISNUMBER(SEARCH('F-VTA'!$F$33,Tabla11[[#This Row],[Cuenta]],1))</f>
        <v>1</v>
      </c>
      <c r="AO1061" t="b">
        <f>+ISNUMBER(SEARCH('F-VTA'!$F$34,Tabla11[[#This Row],[Cuenta]],1))</f>
        <v>1</v>
      </c>
      <c r="AP1061" t="b">
        <f>+ISNUMBER(SEARCH('F-VTA'!$F$35,Tabla11[[#This Row],[Cuenta]],1))</f>
        <v>1</v>
      </c>
      <c r="AQ1061" t="b">
        <f>+ISNUMBER(SEARCH('F-VTA'!$F$36,Tabla11[[#This Row],[Cuenta]],1))</f>
        <v>1</v>
      </c>
      <c r="AR1061" t="b">
        <f>+ISNUMBER(SEARCH(#REF!,Tabla11[[#This Row],[Cuenta]],1))</f>
        <v>0</v>
      </c>
      <c r="AS1061" t="b">
        <f>+ISNUMBER(SEARCH(#REF!,Tabla11[[#This Row],[Cuenta]],1))</f>
        <v>0</v>
      </c>
      <c r="AT1061" t="b">
        <f>+ISNUMBER(SEARCH(#REF!,Tabla11[[#This Row],[Cuenta]],1))</f>
        <v>0</v>
      </c>
      <c r="AU1061" t="b">
        <f>+ISNUMBER(SEARCH('Conc. Ban.1'!$I$9,Tabla11[[#This Row],[Cuenta]],1))</f>
        <v>0</v>
      </c>
      <c r="AV1061" t="b">
        <f>+ISNUMBER(SEARCH(CompConta!$F$21,Tabla11[[#This Row],[Cuenta]],1))</f>
        <v>1</v>
      </c>
      <c r="AW1061" t="b">
        <f>+ISNUMBER(SEARCH(CompConta!$F$22,Tabla11[[#This Row],[Cuenta]],1))</f>
        <v>1</v>
      </c>
      <c r="AX1061" t="b">
        <f>+ISNUMBER(SEARCH(CompConta!$F$23,Tabla11[[#This Row],[Cuenta]],1))</f>
        <v>1</v>
      </c>
      <c r="AY1061" t="b">
        <f>+ISNUMBER(SEARCH(CompConta!$F$24,Tabla11[[#This Row],[Cuenta]],1))</f>
        <v>1</v>
      </c>
      <c r="AZ1061" t="b">
        <f>+ISNUMBER(SEARCH(CompConta!$F$25,Tabla11[[#This Row],[Cuenta]],1))</f>
        <v>1</v>
      </c>
      <c r="BA1061" t="b">
        <f>+ISNUMBER(SEARCH(CompConta!$F$26,Tabla11[[#This Row],[Cuenta]],1))</f>
        <v>1</v>
      </c>
      <c r="BB1061" t="b">
        <f>+ISNUMBER(SEARCH(CompConta!$F$27,Tabla11[[#This Row],[Cuenta]],1))</f>
        <v>1</v>
      </c>
      <c r="BC1061" t="b">
        <f>+ISNUMBER(SEARCH(CompConta!$F$28,Tabla11[[#This Row],[Cuenta]],1))</f>
        <v>1</v>
      </c>
      <c r="BD1061" t="b">
        <f>+ISNUMBER(SEARCH(CompConta!$F$29,Tabla11[[#This Row],[Cuenta]],1))</f>
        <v>1</v>
      </c>
      <c r="BE1061" t="b">
        <f>+ISNUMBER(SEARCH(CompConta!$F$30,Tabla11[[#This Row],[Cuenta]],1))</f>
        <v>1</v>
      </c>
      <c r="BF1061" t="b">
        <f>+ISNUMBER(SEARCH('PAGO Compras'!$E$11,Tabla11[[#This Row],[Cuenta]],1))</f>
        <v>1</v>
      </c>
      <c r="BG1061" t="b">
        <f>+ISNUMBER(SEARCH(#REF!,Tabla11[[#This Row],[Cuenta]],1))</f>
        <v>0</v>
      </c>
      <c r="BH1061" t="b">
        <f>+ISNUMBER(SEARCH(#REF!,Tabla11[[#This Row],[Cuenta]],1))</f>
        <v>0</v>
      </c>
      <c r="BI1061" t="b">
        <f>+ISNUMBER(SEARCH(#REF!,Tabla11[[#This Row],[Cuenta]],1))</f>
        <v>0</v>
      </c>
      <c r="BJ1061" t="b">
        <f>+ISNUMBER(SEARCH(#REF!,Tabla11[[#This Row],[Cuenta]],1))</f>
        <v>0</v>
      </c>
      <c r="BS1061" t="str">
        <v>526030 Equipo de hoteles y restaurantes</v>
      </c>
      <c r="BT1061" t="str">
        <v>526030 Equipo de hoteles y restaurantes</v>
      </c>
      <c r="BU1061" t="str">
        <v>526030 Equipo de hoteles y restaurantes</v>
      </c>
      <c r="BV1061" t="str">
        <v>526030 Equipo de hoteles y restaurantes</v>
      </c>
      <c r="BZ1061" t="str">
        <v>526030 Equipo de hoteles y restaurantes</v>
      </c>
      <c r="CA1061" t="str">
        <v>526030 Equipo de hoteles y restaurantes</v>
      </c>
      <c r="CB1061" t="str">
        <v>526030 Equipo de hoteles y restaurantes</v>
      </c>
      <c r="CC1061" t="str">
        <v>526030 Equipo de hoteles y restaurantes</v>
      </c>
      <c r="CD1061" t="str">
        <v>526030 Equipo de hoteles y restaurantes</v>
      </c>
      <c r="CE1061" t="str">
        <v>526030 Equipo de hoteles y restaurantes</v>
      </c>
      <c r="CS1061" s="141" t="str">
        <v>526030 Equipo de hoteles y restaurantes</v>
      </c>
      <c r="CT1061" s="141" t="str">
        <v>526030 Equipo de hoteles y restaurantes</v>
      </c>
      <c r="CU1061" s="141" t="str">
        <v>526030 Equipo de hoteles y restaurantes</v>
      </c>
      <c r="CV1061" s="141" t="str">
        <v>526030 Equipo de hoteles y restaurantes</v>
      </c>
      <c r="CW1061" s="141" t="str">
        <v>526030 Equipo de hoteles y restaurantes</v>
      </c>
      <c r="CX1061" s="141" t="str">
        <v>526030 Equipo de hoteles y restaurantes</v>
      </c>
      <c r="CY1061" s="141" t="str">
        <v>526030 Equipo de hoteles y restaurantes</v>
      </c>
      <c r="CZ1061" s="141" t="str">
        <v>526030 Equipo de hoteles y restaurantes</v>
      </c>
      <c r="DA1061" s="141" t="str">
        <v>526030 Equipo de hoteles y restaurantes</v>
      </c>
      <c r="DF1061" t="str">
        <v>526030 Equipo de hoteles y restaurantes</v>
      </c>
      <c r="DG1061" t="str">
        <v>526030 Equipo de hoteles y restaurantes</v>
      </c>
      <c r="DH1061" t="str">
        <v>526030 Equipo de hoteles y restaurantes</v>
      </c>
      <c r="DI1061" t="str">
        <v>526030 Equipo de hoteles y restaurantes</v>
      </c>
      <c r="DJ1061" t="str">
        <v>526030 Equipo de hoteles y restaurantes</v>
      </c>
      <c r="DK1061" t="str">
        <v>526030 Equipo de hoteles y restaurantes</v>
      </c>
      <c r="DL1061" t="str">
        <v>526030 Equipo de hoteles y restaurantes</v>
      </c>
      <c r="DM1061" t="str">
        <v>526030 Equipo de hoteles y restaurantes</v>
      </c>
      <c r="DN1061" t="str">
        <v>526030 Equipo de hoteles y restaurantes</v>
      </c>
      <c r="DO1061" t="str">
        <v>526030 Equipo de hoteles y restaurantes</v>
      </c>
      <c r="DP1061" t="str">
        <v>526030 Equipo de hoteles y restaurantes</v>
      </c>
    </row>
    <row r="1062" spans="4:120" ht="12.75">
      <c r="D1062" s="7">
        <v>526035</v>
      </c>
      <c r="E1062" s="6" t="s">
        <v>133</v>
      </c>
      <c r="F1062" s="5">
        <v>4</v>
      </c>
      <c r="G1062" s="34" t="s">
        <v>830</v>
      </c>
      <c r="H1062" s="8" t="s">
        <v>32</v>
      </c>
      <c r="I1062" t="b">
        <f>+ISNUMBER(SEARCH('F-COMPRA'!$F$28,Tabla11[[#This Row],[Cuenta]],1))</f>
        <v>1</v>
      </c>
      <c r="J1062" t="b">
        <f>+ISNUMBER(SEARCH('F-COMPRA'!$F$29,Tabla11[[#This Row],[Cuenta]],1))</f>
        <v>1</v>
      </c>
      <c r="K1062" t="b">
        <f>+ISNUMBER(SEARCH('F-COMPRA'!$F$30,Tabla11[[#This Row],[Cuenta]],1))</f>
        <v>1</v>
      </c>
      <c r="L1062" t="b">
        <f>+ISNUMBER(SEARCH('F-COMPRA'!$F$31,Tabla11[[#This Row],[Cuenta]],1))</f>
        <v>1</v>
      </c>
      <c r="M1062" t="b">
        <f>+ISNUMBER(SEARCH('F-COMPRA'!$G$25,Tabla11[[#This Row],[Cuenta]],1))</f>
        <v>0</v>
      </c>
      <c r="N1062" t="b">
        <f>+ISNUMBER(SEARCH(#REF!,Tabla11[[#This Row],[Cuenta]],1))</f>
        <v>0</v>
      </c>
      <c r="O1062" t="b">
        <f>+ISNUMBER(SEARCH(#REF!,Tabla11[[#This Row],[Cuenta]],1))</f>
        <v>0</v>
      </c>
      <c r="P1062" t="b">
        <f>+ISNUMBER(SEARCH('F-COMPRA'!$F$32,Tabla11[[#This Row],[Cuenta]],1))</f>
        <v>1</v>
      </c>
      <c r="Q1062" t="b">
        <f>+ISNUMBER(SEARCH('F-COMPRA'!$F$33,Tabla11[[#This Row],[Cuenta]],1))</f>
        <v>1</v>
      </c>
      <c r="R1062" t="b">
        <f>+ISNUMBER(SEARCH('F-COMPRA'!$F$34,Tabla11[[#This Row],[Cuenta]],1))</f>
        <v>1</v>
      </c>
      <c r="S1062" t="b">
        <f>+ISNUMBER(SEARCH('F-COMPRA'!$F$35,Tabla11[[#This Row],[Cuenta]],1))</f>
        <v>1</v>
      </c>
      <c r="T1062" t="b">
        <f>+ISNUMBER(SEARCH('F-COMPRA'!$F$36,Tabla11[[#This Row],[Cuenta]],1))</f>
        <v>1</v>
      </c>
      <c r="U1062" t="b">
        <f>+ISNUMBER(SEARCH('F-COMPRA'!$F$37,Tabla11[[#This Row],[Cuenta]],1))</f>
        <v>1</v>
      </c>
      <c r="V1062" t="b">
        <f>+ISNUMBER(SEARCH(#REF!,Tabla11[[#This Row],[Cuenta]],1))</f>
        <v>0</v>
      </c>
      <c r="W1062" t="b">
        <f>+ISNUMBER(SEARCH('F-COMPRA'!#REF!,Tabla11[[#This Row],[Cuenta]],1))</f>
        <v>0</v>
      </c>
      <c r="X1062" t="b">
        <f>+ISNUMBER(SEARCH('F-COMPRA'!#REF!,Tabla11[[#This Row],[Cuenta]],1))</f>
        <v>0</v>
      </c>
      <c r="Y1062" t="b">
        <f>+ISNUMBER(SEARCH('F-COMPRA'!#REF!,Tabla11[[#This Row],[Cuenta]],1))</f>
        <v>0</v>
      </c>
      <c r="Z1062" t="b">
        <f>+ISNUMBER(SEARCH('F-COMPRA'!#REF!,Tabla11[[#This Row],[Cuenta]],1))</f>
        <v>0</v>
      </c>
      <c r="AA1062" t="b">
        <f>+ISNUMBER(SEARCH('F-COMPRA'!#REF!,Tabla11[[#This Row],[Cuenta]],1))</f>
        <v>0</v>
      </c>
      <c r="AB1062" t="b">
        <f>+ISNUMBER(SEARCH('F-COMPRA'!#REF!,Tabla11[[#This Row],[Cuenta]],1))</f>
        <v>0</v>
      </c>
      <c r="AC1062" t="b">
        <f>+ISNUMBER(SEARCH('F-COMPRA'!#REF!,Tabla11[[#This Row],[Cuenta]],1))</f>
        <v>0</v>
      </c>
      <c r="AD1062" t="b">
        <f>+ISNUMBER(SEARCH('F-COMPRA'!#REF!,Tabla11[[#This Row],[Cuenta]],1))</f>
        <v>0</v>
      </c>
      <c r="AE1062" t="b">
        <f>+ISNUMBER(SEARCH('F-COMPRA'!#REF!,Tabla11[[#This Row],[Cuenta]],1))</f>
        <v>0</v>
      </c>
      <c r="AF1062" t="b">
        <f>+ISNUMBER(SEARCH('F-VTA'!$G$23,Tabla11[[#This Row],[Cuenta]],1))</f>
        <v>0</v>
      </c>
      <c r="AG1062" t="b">
        <f>+ISNUMBER(SEARCH('F-VTA'!$G$24,Tabla11[[#This Row],[Cuenta]],1))</f>
        <v>0</v>
      </c>
      <c r="AH1062" t="b">
        <f>+ISNUMBER(SEARCH('F-VTA'!$G$25,Tabla11[[#This Row],[Cuenta]],1))</f>
        <v>0</v>
      </c>
      <c r="AI1062" t="b">
        <f>+ISNUMBER(SEARCH('F-VTA'!$F$28,Tabla11[[#This Row],[Cuenta]],1))</f>
        <v>1</v>
      </c>
      <c r="AJ1062" t="b">
        <f>+ISNUMBER(SEARCH('F-VTA'!$F$29,Tabla11[[#This Row],[Cuenta]],1))</f>
        <v>1</v>
      </c>
      <c r="AK1062" t="b">
        <f>+ISNUMBER(SEARCH('F-VTA'!$F$30,Tabla11[[#This Row],[Cuenta]],1))</f>
        <v>1</v>
      </c>
      <c r="AL1062" t="b">
        <f>+ISNUMBER(SEARCH('F-VTA'!$F$31,Tabla11[[#This Row],[Cuenta]],1))</f>
        <v>1</v>
      </c>
      <c r="AM1062" t="b">
        <f>+ISNUMBER(SEARCH('F-VTA'!$F$32,Tabla11[[#This Row],[Cuenta]],1))</f>
        <v>1</v>
      </c>
      <c r="AN1062" t="b">
        <f>+ISNUMBER(SEARCH('F-VTA'!$F$33,Tabla11[[#This Row],[Cuenta]],1))</f>
        <v>1</v>
      </c>
      <c r="AO1062" t="b">
        <f>+ISNUMBER(SEARCH('F-VTA'!$F$34,Tabla11[[#This Row],[Cuenta]],1))</f>
        <v>1</v>
      </c>
      <c r="AP1062" t="b">
        <f>+ISNUMBER(SEARCH('F-VTA'!$F$35,Tabla11[[#This Row],[Cuenta]],1))</f>
        <v>1</v>
      </c>
      <c r="AQ1062" t="b">
        <f>+ISNUMBER(SEARCH('F-VTA'!$F$36,Tabla11[[#This Row],[Cuenta]],1))</f>
        <v>1</v>
      </c>
      <c r="AR1062" t="b">
        <f>+ISNUMBER(SEARCH(#REF!,Tabla11[[#This Row],[Cuenta]],1))</f>
        <v>0</v>
      </c>
      <c r="AS1062" t="b">
        <f>+ISNUMBER(SEARCH(#REF!,Tabla11[[#This Row],[Cuenta]],1))</f>
        <v>0</v>
      </c>
      <c r="AT1062" t="b">
        <f>+ISNUMBER(SEARCH(#REF!,Tabla11[[#This Row],[Cuenta]],1))</f>
        <v>0</v>
      </c>
      <c r="AU1062" t="b">
        <f>+ISNUMBER(SEARCH('Conc. Ban.1'!$I$9,Tabla11[[#This Row],[Cuenta]],1))</f>
        <v>0</v>
      </c>
      <c r="AV1062" t="b">
        <f>+ISNUMBER(SEARCH(CompConta!$F$21,Tabla11[[#This Row],[Cuenta]],1))</f>
        <v>1</v>
      </c>
      <c r="AW1062" t="b">
        <f>+ISNUMBER(SEARCH(CompConta!$F$22,Tabla11[[#This Row],[Cuenta]],1))</f>
        <v>1</v>
      </c>
      <c r="AX1062" t="b">
        <f>+ISNUMBER(SEARCH(CompConta!$F$23,Tabla11[[#This Row],[Cuenta]],1))</f>
        <v>1</v>
      </c>
      <c r="AY1062" t="b">
        <f>+ISNUMBER(SEARCH(CompConta!$F$24,Tabla11[[#This Row],[Cuenta]],1))</f>
        <v>1</v>
      </c>
      <c r="AZ1062" t="b">
        <f>+ISNUMBER(SEARCH(CompConta!$F$25,Tabla11[[#This Row],[Cuenta]],1))</f>
        <v>1</v>
      </c>
      <c r="BA1062" t="b">
        <f>+ISNUMBER(SEARCH(CompConta!$F$26,Tabla11[[#This Row],[Cuenta]],1))</f>
        <v>1</v>
      </c>
      <c r="BB1062" t="b">
        <f>+ISNUMBER(SEARCH(CompConta!$F$27,Tabla11[[#This Row],[Cuenta]],1))</f>
        <v>1</v>
      </c>
      <c r="BC1062" t="b">
        <f>+ISNUMBER(SEARCH(CompConta!$F$28,Tabla11[[#This Row],[Cuenta]],1))</f>
        <v>1</v>
      </c>
      <c r="BD1062" t="b">
        <f>+ISNUMBER(SEARCH(CompConta!$F$29,Tabla11[[#This Row],[Cuenta]],1))</f>
        <v>1</v>
      </c>
      <c r="BE1062" t="b">
        <f>+ISNUMBER(SEARCH(CompConta!$F$30,Tabla11[[#This Row],[Cuenta]],1))</f>
        <v>1</v>
      </c>
      <c r="BF1062" t="b">
        <f>+ISNUMBER(SEARCH('PAGO Compras'!$E$11,Tabla11[[#This Row],[Cuenta]],1))</f>
        <v>1</v>
      </c>
      <c r="BG1062" t="b">
        <f>+ISNUMBER(SEARCH(#REF!,Tabla11[[#This Row],[Cuenta]],1))</f>
        <v>0</v>
      </c>
      <c r="BH1062" t="b">
        <f>+ISNUMBER(SEARCH(#REF!,Tabla11[[#This Row],[Cuenta]],1))</f>
        <v>0</v>
      </c>
      <c r="BI1062" t="b">
        <f>+ISNUMBER(SEARCH(#REF!,Tabla11[[#This Row],[Cuenta]],1))</f>
        <v>0</v>
      </c>
      <c r="BJ1062" t="b">
        <f>+ISNUMBER(SEARCH(#REF!,Tabla11[[#This Row],[Cuenta]],1))</f>
        <v>0</v>
      </c>
      <c r="BS1062" t="str">
        <v>526035 Flota y equipo de transporte</v>
      </c>
      <c r="BT1062" t="str">
        <v>526035 Flota y equipo de transporte</v>
      </c>
      <c r="BU1062" t="str">
        <v>526035 Flota y equipo de transporte</v>
      </c>
      <c r="BV1062" t="str">
        <v>526035 Flota y equipo de transporte</v>
      </c>
      <c r="BZ1062" t="str">
        <v>526035 Flota y equipo de transporte</v>
      </c>
      <c r="CA1062" t="str">
        <v>526035 Flota y equipo de transporte</v>
      </c>
      <c r="CB1062" t="str">
        <v>526035 Flota y equipo de transporte</v>
      </c>
      <c r="CC1062" t="str">
        <v>526035 Flota y equipo de transporte</v>
      </c>
      <c r="CD1062" t="str">
        <v>526035 Flota y equipo de transporte</v>
      </c>
      <c r="CE1062" t="str">
        <v>526035 Flota y equipo de transporte</v>
      </c>
      <c r="CS1062" s="141" t="str">
        <v>526035 Flota y equipo de transporte</v>
      </c>
      <c r="CT1062" s="141" t="str">
        <v>526035 Flota y equipo de transporte</v>
      </c>
      <c r="CU1062" s="141" t="str">
        <v>526035 Flota y equipo de transporte</v>
      </c>
      <c r="CV1062" s="141" t="str">
        <v>526035 Flota y equipo de transporte</v>
      </c>
      <c r="CW1062" s="141" t="str">
        <v>526035 Flota y equipo de transporte</v>
      </c>
      <c r="CX1062" s="141" t="str">
        <v>526035 Flota y equipo de transporte</v>
      </c>
      <c r="CY1062" s="141" t="str">
        <v>526035 Flota y equipo de transporte</v>
      </c>
      <c r="CZ1062" s="141" t="str">
        <v>526035 Flota y equipo de transporte</v>
      </c>
      <c r="DA1062" s="141" t="str">
        <v>526035 Flota y equipo de transporte</v>
      </c>
      <c r="DF1062" t="str">
        <v>526035 Flota y equipo de transporte</v>
      </c>
      <c r="DG1062" t="str">
        <v>526035 Flota y equipo de transporte</v>
      </c>
      <c r="DH1062" t="str">
        <v>526035 Flota y equipo de transporte</v>
      </c>
      <c r="DI1062" t="str">
        <v>526035 Flota y equipo de transporte</v>
      </c>
      <c r="DJ1062" t="str">
        <v>526035 Flota y equipo de transporte</v>
      </c>
      <c r="DK1062" t="str">
        <v>526035 Flota y equipo de transporte</v>
      </c>
      <c r="DL1062" t="str">
        <v>526035 Flota y equipo de transporte</v>
      </c>
      <c r="DM1062" t="str">
        <v>526035 Flota y equipo de transporte</v>
      </c>
      <c r="DN1062" t="str">
        <v>526035 Flota y equipo de transporte</v>
      </c>
      <c r="DO1062" t="str">
        <v>526035 Flota y equipo de transporte</v>
      </c>
      <c r="DP1062" t="str">
        <v>526035 Flota y equipo de transporte</v>
      </c>
    </row>
    <row r="1063" spans="4:120" ht="12.75">
      <c r="D1063" s="7">
        <v>526040</v>
      </c>
      <c r="E1063" s="6" t="s">
        <v>134</v>
      </c>
      <c r="F1063" s="5">
        <v>4</v>
      </c>
      <c r="G1063" s="34" t="s">
        <v>830</v>
      </c>
      <c r="H1063" s="8" t="s">
        <v>32</v>
      </c>
      <c r="I1063" t="b">
        <f>+ISNUMBER(SEARCH('F-COMPRA'!$F$28,Tabla11[[#This Row],[Cuenta]],1))</f>
        <v>1</v>
      </c>
      <c r="J1063" t="b">
        <f>+ISNUMBER(SEARCH('F-COMPRA'!$F$29,Tabla11[[#This Row],[Cuenta]],1))</f>
        <v>1</v>
      </c>
      <c r="K1063" t="b">
        <f>+ISNUMBER(SEARCH('F-COMPRA'!$F$30,Tabla11[[#This Row],[Cuenta]],1))</f>
        <v>1</v>
      </c>
      <c r="L1063" t="b">
        <f>+ISNUMBER(SEARCH('F-COMPRA'!$F$31,Tabla11[[#This Row],[Cuenta]],1))</f>
        <v>1</v>
      </c>
      <c r="M1063" t="b">
        <f>+ISNUMBER(SEARCH('F-COMPRA'!$G$25,Tabla11[[#This Row],[Cuenta]],1))</f>
        <v>0</v>
      </c>
      <c r="N1063" t="b">
        <f>+ISNUMBER(SEARCH(#REF!,Tabla11[[#This Row],[Cuenta]],1))</f>
        <v>0</v>
      </c>
      <c r="O1063" t="b">
        <f>+ISNUMBER(SEARCH(#REF!,Tabla11[[#This Row],[Cuenta]],1))</f>
        <v>0</v>
      </c>
      <c r="P1063" t="b">
        <f>+ISNUMBER(SEARCH('F-COMPRA'!$F$32,Tabla11[[#This Row],[Cuenta]],1))</f>
        <v>1</v>
      </c>
      <c r="Q1063" t="b">
        <f>+ISNUMBER(SEARCH('F-COMPRA'!$F$33,Tabla11[[#This Row],[Cuenta]],1))</f>
        <v>1</v>
      </c>
      <c r="R1063" t="b">
        <f>+ISNUMBER(SEARCH('F-COMPRA'!$F$34,Tabla11[[#This Row],[Cuenta]],1))</f>
        <v>1</v>
      </c>
      <c r="S1063" t="b">
        <f>+ISNUMBER(SEARCH('F-COMPRA'!$F$35,Tabla11[[#This Row],[Cuenta]],1))</f>
        <v>1</v>
      </c>
      <c r="T1063" t="b">
        <f>+ISNUMBER(SEARCH('F-COMPRA'!$F$36,Tabla11[[#This Row],[Cuenta]],1))</f>
        <v>1</v>
      </c>
      <c r="U1063" t="b">
        <f>+ISNUMBER(SEARCH('F-COMPRA'!$F$37,Tabla11[[#This Row],[Cuenta]],1))</f>
        <v>1</v>
      </c>
      <c r="V1063" t="b">
        <f>+ISNUMBER(SEARCH(#REF!,Tabla11[[#This Row],[Cuenta]],1))</f>
        <v>0</v>
      </c>
      <c r="W1063" t="b">
        <f>+ISNUMBER(SEARCH('F-COMPRA'!#REF!,Tabla11[[#This Row],[Cuenta]],1))</f>
        <v>0</v>
      </c>
      <c r="X1063" t="b">
        <f>+ISNUMBER(SEARCH('F-COMPRA'!#REF!,Tabla11[[#This Row],[Cuenta]],1))</f>
        <v>0</v>
      </c>
      <c r="Y1063" t="b">
        <f>+ISNUMBER(SEARCH('F-COMPRA'!#REF!,Tabla11[[#This Row],[Cuenta]],1))</f>
        <v>0</v>
      </c>
      <c r="Z1063" t="b">
        <f>+ISNUMBER(SEARCH('F-COMPRA'!#REF!,Tabla11[[#This Row],[Cuenta]],1))</f>
        <v>0</v>
      </c>
      <c r="AA1063" t="b">
        <f>+ISNUMBER(SEARCH('F-COMPRA'!#REF!,Tabla11[[#This Row],[Cuenta]],1))</f>
        <v>0</v>
      </c>
      <c r="AB1063" t="b">
        <f>+ISNUMBER(SEARCH('F-COMPRA'!#REF!,Tabla11[[#This Row],[Cuenta]],1))</f>
        <v>0</v>
      </c>
      <c r="AC1063" t="b">
        <f>+ISNUMBER(SEARCH('F-COMPRA'!#REF!,Tabla11[[#This Row],[Cuenta]],1))</f>
        <v>0</v>
      </c>
      <c r="AD1063" t="b">
        <f>+ISNUMBER(SEARCH('F-COMPRA'!#REF!,Tabla11[[#This Row],[Cuenta]],1))</f>
        <v>0</v>
      </c>
      <c r="AE1063" t="b">
        <f>+ISNUMBER(SEARCH('F-COMPRA'!#REF!,Tabla11[[#This Row],[Cuenta]],1))</f>
        <v>0</v>
      </c>
      <c r="AF1063" t="b">
        <f>+ISNUMBER(SEARCH('F-VTA'!$G$23,Tabla11[[#This Row],[Cuenta]],1))</f>
        <v>0</v>
      </c>
      <c r="AG1063" t="b">
        <f>+ISNUMBER(SEARCH('F-VTA'!$G$24,Tabla11[[#This Row],[Cuenta]],1))</f>
        <v>0</v>
      </c>
      <c r="AH1063" t="b">
        <f>+ISNUMBER(SEARCH('F-VTA'!$G$25,Tabla11[[#This Row],[Cuenta]],1))</f>
        <v>0</v>
      </c>
      <c r="AI1063" t="b">
        <f>+ISNUMBER(SEARCH('F-VTA'!$F$28,Tabla11[[#This Row],[Cuenta]],1))</f>
        <v>1</v>
      </c>
      <c r="AJ1063" t="b">
        <f>+ISNUMBER(SEARCH('F-VTA'!$F$29,Tabla11[[#This Row],[Cuenta]],1))</f>
        <v>1</v>
      </c>
      <c r="AK1063" t="b">
        <f>+ISNUMBER(SEARCH('F-VTA'!$F$30,Tabla11[[#This Row],[Cuenta]],1))</f>
        <v>1</v>
      </c>
      <c r="AL1063" t="b">
        <f>+ISNUMBER(SEARCH('F-VTA'!$F$31,Tabla11[[#This Row],[Cuenta]],1))</f>
        <v>1</v>
      </c>
      <c r="AM1063" t="b">
        <f>+ISNUMBER(SEARCH('F-VTA'!$F$32,Tabla11[[#This Row],[Cuenta]],1))</f>
        <v>1</v>
      </c>
      <c r="AN1063" t="b">
        <f>+ISNUMBER(SEARCH('F-VTA'!$F$33,Tabla11[[#This Row],[Cuenta]],1))</f>
        <v>1</v>
      </c>
      <c r="AO1063" t="b">
        <f>+ISNUMBER(SEARCH('F-VTA'!$F$34,Tabla11[[#This Row],[Cuenta]],1))</f>
        <v>1</v>
      </c>
      <c r="AP1063" t="b">
        <f>+ISNUMBER(SEARCH('F-VTA'!$F$35,Tabla11[[#This Row],[Cuenta]],1))</f>
        <v>1</v>
      </c>
      <c r="AQ1063" t="b">
        <f>+ISNUMBER(SEARCH('F-VTA'!$F$36,Tabla11[[#This Row],[Cuenta]],1))</f>
        <v>1</v>
      </c>
      <c r="AR1063" t="b">
        <f>+ISNUMBER(SEARCH(#REF!,Tabla11[[#This Row],[Cuenta]],1))</f>
        <v>0</v>
      </c>
      <c r="AS1063" t="b">
        <f>+ISNUMBER(SEARCH(#REF!,Tabla11[[#This Row],[Cuenta]],1))</f>
        <v>0</v>
      </c>
      <c r="AT1063" t="b">
        <f>+ISNUMBER(SEARCH(#REF!,Tabla11[[#This Row],[Cuenta]],1))</f>
        <v>0</v>
      </c>
      <c r="AU1063" t="b">
        <f>+ISNUMBER(SEARCH('Conc. Ban.1'!$I$9,Tabla11[[#This Row],[Cuenta]],1))</f>
        <v>0</v>
      </c>
      <c r="AV1063" t="b">
        <f>+ISNUMBER(SEARCH(CompConta!$F$21,Tabla11[[#This Row],[Cuenta]],1))</f>
        <v>1</v>
      </c>
      <c r="AW1063" t="b">
        <f>+ISNUMBER(SEARCH(CompConta!$F$22,Tabla11[[#This Row],[Cuenta]],1))</f>
        <v>1</v>
      </c>
      <c r="AX1063" t="b">
        <f>+ISNUMBER(SEARCH(CompConta!$F$23,Tabla11[[#This Row],[Cuenta]],1))</f>
        <v>1</v>
      </c>
      <c r="AY1063" t="b">
        <f>+ISNUMBER(SEARCH(CompConta!$F$24,Tabla11[[#This Row],[Cuenta]],1))</f>
        <v>1</v>
      </c>
      <c r="AZ1063" t="b">
        <f>+ISNUMBER(SEARCH(CompConta!$F$25,Tabla11[[#This Row],[Cuenta]],1))</f>
        <v>1</v>
      </c>
      <c r="BA1063" t="b">
        <f>+ISNUMBER(SEARCH(CompConta!$F$26,Tabla11[[#This Row],[Cuenta]],1))</f>
        <v>1</v>
      </c>
      <c r="BB1063" t="b">
        <f>+ISNUMBER(SEARCH(CompConta!$F$27,Tabla11[[#This Row],[Cuenta]],1))</f>
        <v>1</v>
      </c>
      <c r="BC1063" t="b">
        <f>+ISNUMBER(SEARCH(CompConta!$F$28,Tabla11[[#This Row],[Cuenta]],1))</f>
        <v>1</v>
      </c>
      <c r="BD1063" t="b">
        <f>+ISNUMBER(SEARCH(CompConta!$F$29,Tabla11[[#This Row],[Cuenta]],1))</f>
        <v>1</v>
      </c>
      <c r="BE1063" t="b">
        <f>+ISNUMBER(SEARCH(CompConta!$F$30,Tabla11[[#This Row],[Cuenta]],1))</f>
        <v>1</v>
      </c>
      <c r="BF1063" t="b">
        <f>+ISNUMBER(SEARCH('PAGO Compras'!$E$11,Tabla11[[#This Row],[Cuenta]],1))</f>
        <v>1</v>
      </c>
      <c r="BG1063" t="b">
        <f>+ISNUMBER(SEARCH(#REF!,Tabla11[[#This Row],[Cuenta]],1))</f>
        <v>0</v>
      </c>
      <c r="BH1063" t="b">
        <f>+ISNUMBER(SEARCH(#REF!,Tabla11[[#This Row],[Cuenta]],1))</f>
        <v>0</v>
      </c>
      <c r="BI1063" t="b">
        <f>+ISNUMBER(SEARCH(#REF!,Tabla11[[#This Row],[Cuenta]],1))</f>
        <v>0</v>
      </c>
      <c r="BJ1063" t="b">
        <f>+ISNUMBER(SEARCH(#REF!,Tabla11[[#This Row],[Cuenta]],1))</f>
        <v>0</v>
      </c>
      <c r="BS1063" t="str">
        <v>526040 Flota y equipo fluvial y/o marítimo</v>
      </c>
      <c r="BT1063" t="str">
        <v>526040 Flota y equipo fluvial y/o marítimo</v>
      </c>
      <c r="BU1063" t="str">
        <v>526040 Flota y equipo fluvial y/o marítimo</v>
      </c>
      <c r="BV1063" t="str">
        <v>526040 Flota y equipo fluvial y/o marítimo</v>
      </c>
      <c r="BZ1063" t="str">
        <v>526040 Flota y equipo fluvial y/o marítimo</v>
      </c>
      <c r="CA1063" t="str">
        <v>526040 Flota y equipo fluvial y/o marítimo</v>
      </c>
      <c r="CB1063" t="str">
        <v>526040 Flota y equipo fluvial y/o marítimo</v>
      </c>
      <c r="CC1063" t="str">
        <v>526040 Flota y equipo fluvial y/o marítimo</v>
      </c>
      <c r="CD1063" t="str">
        <v>526040 Flota y equipo fluvial y/o marítimo</v>
      </c>
      <c r="CE1063" t="str">
        <v>526040 Flota y equipo fluvial y/o marítimo</v>
      </c>
      <c r="CS1063" s="141" t="str">
        <v>526040 Flota y equipo fluvial y/o marítimo</v>
      </c>
      <c r="CT1063" s="141" t="str">
        <v>526040 Flota y equipo fluvial y/o marítimo</v>
      </c>
      <c r="CU1063" s="141" t="str">
        <v>526040 Flota y equipo fluvial y/o marítimo</v>
      </c>
      <c r="CV1063" s="141" t="str">
        <v>526040 Flota y equipo fluvial y/o marítimo</v>
      </c>
      <c r="CW1063" s="141" t="str">
        <v>526040 Flota y equipo fluvial y/o marítimo</v>
      </c>
      <c r="CX1063" s="141" t="str">
        <v>526040 Flota y equipo fluvial y/o marítimo</v>
      </c>
      <c r="CY1063" s="141" t="str">
        <v>526040 Flota y equipo fluvial y/o marítimo</v>
      </c>
      <c r="CZ1063" s="141" t="str">
        <v>526040 Flota y equipo fluvial y/o marítimo</v>
      </c>
      <c r="DA1063" s="141" t="str">
        <v>526040 Flota y equipo fluvial y/o marítimo</v>
      </c>
      <c r="DF1063" t="str">
        <v>526040 Flota y equipo fluvial y/o marítimo</v>
      </c>
      <c r="DG1063" t="str">
        <v>526040 Flota y equipo fluvial y/o marítimo</v>
      </c>
      <c r="DH1063" t="str">
        <v>526040 Flota y equipo fluvial y/o marítimo</v>
      </c>
      <c r="DI1063" t="str">
        <v>526040 Flota y equipo fluvial y/o marítimo</v>
      </c>
      <c r="DJ1063" t="str">
        <v>526040 Flota y equipo fluvial y/o marítimo</v>
      </c>
      <c r="DK1063" t="str">
        <v>526040 Flota y equipo fluvial y/o marítimo</v>
      </c>
      <c r="DL1063" t="str">
        <v>526040 Flota y equipo fluvial y/o marítimo</v>
      </c>
      <c r="DM1063" t="str">
        <v>526040 Flota y equipo fluvial y/o marítimo</v>
      </c>
      <c r="DN1063" t="str">
        <v>526040 Flota y equipo fluvial y/o marítimo</v>
      </c>
      <c r="DO1063" t="str">
        <v>526040 Flota y equipo fluvial y/o marítimo</v>
      </c>
      <c r="DP1063" t="str">
        <v>526040 Flota y equipo fluvial y/o marítimo</v>
      </c>
    </row>
    <row r="1064" spans="4:120" ht="12.75">
      <c r="D1064" s="7">
        <v>526045</v>
      </c>
      <c r="E1064" s="6" t="s">
        <v>135</v>
      </c>
      <c r="F1064" s="5">
        <v>4</v>
      </c>
      <c r="G1064" s="34" t="s">
        <v>830</v>
      </c>
      <c r="H1064" s="8" t="s">
        <v>32</v>
      </c>
      <c r="I1064" t="b">
        <f>+ISNUMBER(SEARCH('F-COMPRA'!$F$28,Tabla11[[#This Row],[Cuenta]],1))</f>
        <v>1</v>
      </c>
      <c r="J1064" t="b">
        <f>+ISNUMBER(SEARCH('F-COMPRA'!$F$29,Tabla11[[#This Row],[Cuenta]],1))</f>
        <v>1</v>
      </c>
      <c r="K1064" t="b">
        <f>+ISNUMBER(SEARCH('F-COMPRA'!$F$30,Tabla11[[#This Row],[Cuenta]],1))</f>
        <v>1</v>
      </c>
      <c r="L1064" t="b">
        <f>+ISNUMBER(SEARCH('F-COMPRA'!$F$31,Tabla11[[#This Row],[Cuenta]],1))</f>
        <v>1</v>
      </c>
      <c r="M1064" t="b">
        <f>+ISNUMBER(SEARCH('F-COMPRA'!$G$25,Tabla11[[#This Row],[Cuenta]],1))</f>
        <v>0</v>
      </c>
      <c r="N1064" t="b">
        <f>+ISNUMBER(SEARCH(#REF!,Tabla11[[#This Row],[Cuenta]],1))</f>
        <v>0</v>
      </c>
      <c r="O1064" t="b">
        <f>+ISNUMBER(SEARCH(#REF!,Tabla11[[#This Row],[Cuenta]],1))</f>
        <v>0</v>
      </c>
      <c r="P1064" t="b">
        <f>+ISNUMBER(SEARCH('F-COMPRA'!$F$32,Tabla11[[#This Row],[Cuenta]],1))</f>
        <v>1</v>
      </c>
      <c r="Q1064" t="b">
        <f>+ISNUMBER(SEARCH('F-COMPRA'!$F$33,Tabla11[[#This Row],[Cuenta]],1))</f>
        <v>1</v>
      </c>
      <c r="R1064" t="b">
        <f>+ISNUMBER(SEARCH('F-COMPRA'!$F$34,Tabla11[[#This Row],[Cuenta]],1))</f>
        <v>1</v>
      </c>
      <c r="S1064" t="b">
        <f>+ISNUMBER(SEARCH('F-COMPRA'!$F$35,Tabla11[[#This Row],[Cuenta]],1))</f>
        <v>1</v>
      </c>
      <c r="T1064" t="b">
        <f>+ISNUMBER(SEARCH('F-COMPRA'!$F$36,Tabla11[[#This Row],[Cuenta]],1))</f>
        <v>1</v>
      </c>
      <c r="U1064" t="b">
        <f>+ISNUMBER(SEARCH('F-COMPRA'!$F$37,Tabla11[[#This Row],[Cuenta]],1))</f>
        <v>1</v>
      </c>
      <c r="V1064" t="b">
        <f>+ISNUMBER(SEARCH(#REF!,Tabla11[[#This Row],[Cuenta]],1))</f>
        <v>0</v>
      </c>
      <c r="W1064" t="b">
        <f>+ISNUMBER(SEARCH('F-COMPRA'!#REF!,Tabla11[[#This Row],[Cuenta]],1))</f>
        <v>0</v>
      </c>
      <c r="X1064" t="b">
        <f>+ISNUMBER(SEARCH('F-COMPRA'!#REF!,Tabla11[[#This Row],[Cuenta]],1))</f>
        <v>0</v>
      </c>
      <c r="Y1064" t="b">
        <f>+ISNUMBER(SEARCH('F-COMPRA'!#REF!,Tabla11[[#This Row],[Cuenta]],1))</f>
        <v>0</v>
      </c>
      <c r="Z1064" t="b">
        <f>+ISNUMBER(SEARCH('F-COMPRA'!#REF!,Tabla11[[#This Row],[Cuenta]],1))</f>
        <v>0</v>
      </c>
      <c r="AA1064" t="b">
        <f>+ISNUMBER(SEARCH('F-COMPRA'!#REF!,Tabla11[[#This Row],[Cuenta]],1))</f>
        <v>0</v>
      </c>
      <c r="AB1064" t="b">
        <f>+ISNUMBER(SEARCH('F-COMPRA'!#REF!,Tabla11[[#This Row],[Cuenta]],1))</f>
        <v>0</v>
      </c>
      <c r="AC1064" t="b">
        <f>+ISNUMBER(SEARCH('F-COMPRA'!#REF!,Tabla11[[#This Row],[Cuenta]],1))</f>
        <v>0</v>
      </c>
      <c r="AD1064" t="b">
        <f>+ISNUMBER(SEARCH('F-COMPRA'!#REF!,Tabla11[[#This Row],[Cuenta]],1))</f>
        <v>0</v>
      </c>
      <c r="AE1064" t="b">
        <f>+ISNUMBER(SEARCH('F-COMPRA'!#REF!,Tabla11[[#This Row],[Cuenta]],1))</f>
        <v>0</v>
      </c>
      <c r="AF1064" t="b">
        <f>+ISNUMBER(SEARCH('F-VTA'!$G$23,Tabla11[[#This Row],[Cuenta]],1))</f>
        <v>0</v>
      </c>
      <c r="AG1064" t="b">
        <f>+ISNUMBER(SEARCH('F-VTA'!$G$24,Tabla11[[#This Row],[Cuenta]],1))</f>
        <v>0</v>
      </c>
      <c r="AH1064" t="b">
        <f>+ISNUMBER(SEARCH('F-VTA'!$G$25,Tabla11[[#This Row],[Cuenta]],1))</f>
        <v>0</v>
      </c>
      <c r="AI1064" t="b">
        <f>+ISNUMBER(SEARCH('F-VTA'!$F$28,Tabla11[[#This Row],[Cuenta]],1))</f>
        <v>1</v>
      </c>
      <c r="AJ1064" t="b">
        <f>+ISNUMBER(SEARCH('F-VTA'!$F$29,Tabla11[[#This Row],[Cuenta]],1))</f>
        <v>1</v>
      </c>
      <c r="AK1064" t="b">
        <f>+ISNUMBER(SEARCH('F-VTA'!$F$30,Tabla11[[#This Row],[Cuenta]],1))</f>
        <v>1</v>
      </c>
      <c r="AL1064" t="b">
        <f>+ISNUMBER(SEARCH('F-VTA'!$F$31,Tabla11[[#This Row],[Cuenta]],1))</f>
        <v>1</v>
      </c>
      <c r="AM1064" t="b">
        <f>+ISNUMBER(SEARCH('F-VTA'!$F$32,Tabla11[[#This Row],[Cuenta]],1))</f>
        <v>1</v>
      </c>
      <c r="AN1064" t="b">
        <f>+ISNUMBER(SEARCH('F-VTA'!$F$33,Tabla11[[#This Row],[Cuenta]],1))</f>
        <v>1</v>
      </c>
      <c r="AO1064" t="b">
        <f>+ISNUMBER(SEARCH('F-VTA'!$F$34,Tabla11[[#This Row],[Cuenta]],1))</f>
        <v>1</v>
      </c>
      <c r="AP1064" t="b">
        <f>+ISNUMBER(SEARCH('F-VTA'!$F$35,Tabla11[[#This Row],[Cuenta]],1))</f>
        <v>1</v>
      </c>
      <c r="AQ1064" t="b">
        <f>+ISNUMBER(SEARCH('F-VTA'!$F$36,Tabla11[[#This Row],[Cuenta]],1))</f>
        <v>1</v>
      </c>
      <c r="AR1064" t="b">
        <f>+ISNUMBER(SEARCH(#REF!,Tabla11[[#This Row],[Cuenta]],1))</f>
        <v>0</v>
      </c>
      <c r="AS1064" t="b">
        <f>+ISNUMBER(SEARCH(#REF!,Tabla11[[#This Row],[Cuenta]],1))</f>
        <v>0</v>
      </c>
      <c r="AT1064" t="b">
        <f>+ISNUMBER(SEARCH(#REF!,Tabla11[[#This Row],[Cuenta]],1))</f>
        <v>0</v>
      </c>
      <c r="AU1064" t="b">
        <f>+ISNUMBER(SEARCH('Conc. Ban.1'!$I$9,Tabla11[[#This Row],[Cuenta]],1))</f>
        <v>0</v>
      </c>
      <c r="AV1064" t="b">
        <f>+ISNUMBER(SEARCH(CompConta!$F$21,Tabla11[[#This Row],[Cuenta]],1))</f>
        <v>1</v>
      </c>
      <c r="AW1064" t="b">
        <f>+ISNUMBER(SEARCH(CompConta!$F$22,Tabla11[[#This Row],[Cuenta]],1))</f>
        <v>1</v>
      </c>
      <c r="AX1064" t="b">
        <f>+ISNUMBER(SEARCH(CompConta!$F$23,Tabla11[[#This Row],[Cuenta]],1))</f>
        <v>1</v>
      </c>
      <c r="AY1064" t="b">
        <f>+ISNUMBER(SEARCH(CompConta!$F$24,Tabla11[[#This Row],[Cuenta]],1))</f>
        <v>1</v>
      </c>
      <c r="AZ1064" t="b">
        <f>+ISNUMBER(SEARCH(CompConta!$F$25,Tabla11[[#This Row],[Cuenta]],1))</f>
        <v>1</v>
      </c>
      <c r="BA1064" t="b">
        <f>+ISNUMBER(SEARCH(CompConta!$F$26,Tabla11[[#This Row],[Cuenta]],1))</f>
        <v>1</v>
      </c>
      <c r="BB1064" t="b">
        <f>+ISNUMBER(SEARCH(CompConta!$F$27,Tabla11[[#This Row],[Cuenta]],1))</f>
        <v>1</v>
      </c>
      <c r="BC1064" t="b">
        <f>+ISNUMBER(SEARCH(CompConta!$F$28,Tabla11[[#This Row],[Cuenta]],1))</f>
        <v>1</v>
      </c>
      <c r="BD1064" t="b">
        <f>+ISNUMBER(SEARCH(CompConta!$F$29,Tabla11[[#This Row],[Cuenta]],1))</f>
        <v>1</v>
      </c>
      <c r="BE1064" t="b">
        <f>+ISNUMBER(SEARCH(CompConta!$F$30,Tabla11[[#This Row],[Cuenta]],1))</f>
        <v>1</v>
      </c>
      <c r="BF1064" t="b">
        <f>+ISNUMBER(SEARCH('PAGO Compras'!$E$11,Tabla11[[#This Row],[Cuenta]],1))</f>
        <v>1</v>
      </c>
      <c r="BG1064" t="b">
        <f>+ISNUMBER(SEARCH(#REF!,Tabla11[[#This Row],[Cuenta]],1))</f>
        <v>0</v>
      </c>
      <c r="BH1064" t="b">
        <f>+ISNUMBER(SEARCH(#REF!,Tabla11[[#This Row],[Cuenta]],1))</f>
        <v>0</v>
      </c>
      <c r="BI1064" t="b">
        <f>+ISNUMBER(SEARCH(#REF!,Tabla11[[#This Row],[Cuenta]],1))</f>
        <v>0</v>
      </c>
      <c r="BJ1064" t="b">
        <f>+ISNUMBER(SEARCH(#REF!,Tabla11[[#This Row],[Cuenta]],1))</f>
        <v>0</v>
      </c>
      <c r="BS1064" t="str">
        <v>526045 Flota y equipo aéreo</v>
      </c>
      <c r="BT1064" t="str">
        <v>526045 Flota y equipo aéreo</v>
      </c>
      <c r="BU1064" t="str">
        <v>526045 Flota y equipo aéreo</v>
      </c>
      <c r="BV1064" t="str">
        <v>526045 Flota y equipo aéreo</v>
      </c>
      <c r="BZ1064" t="str">
        <v>526045 Flota y equipo aéreo</v>
      </c>
      <c r="CA1064" t="str">
        <v>526045 Flota y equipo aéreo</v>
      </c>
      <c r="CB1064" t="str">
        <v>526045 Flota y equipo aéreo</v>
      </c>
      <c r="CC1064" t="str">
        <v>526045 Flota y equipo aéreo</v>
      </c>
      <c r="CD1064" t="str">
        <v>526045 Flota y equipo aéreo</v>
      </c>
      <c r="CE1064" t="str">
        <v>526045 Flota y equipo aéreo</v>
      </c>
      <c r="CS1064" s="141" t="str">
        <v>526045 Flota y equipo aéreo</v>
      </c>
      <c r="CT1064" s="141" t="str">
        <v>526045 Flota y equipo aéreo</v>
      </c>
      <c r="CU1064" s="141" t="str">
        <v>526045 Flota y equipo aéreo</v>
      </c>
      <c r="CV1064" s="141" t="str">
        <v>526045 Flota y equipo aéreo</v>
      </c>
      <c r="CW1064" s="141" t="str">
        <v>526045 Flota y equipo aéreo</v>
      </c>
      <c r="CX1064" s="141" t="str">
        <v>526045 Flota y equipo aéreo</v>
      </c>
      <c r="CY1064" s="141" t="str">
        <v>526045 Flota y equipo aéreo</v>
      </c>
      <c r="CZ1064" s="141" t="str">
        <v>526045 Flota y equipo aéreo</v>
      </c>
      <c r="DA1064" s="141" t="str">
        <v>526045 Flota y equipo aéreo</v>
      </c>
      <c r="DF1064" t="str">
        <v>526045 Flota y equipo aéreo</v>
      </c>
      <c r="DG1064" t="str">
        <v>526045 Flota y equipo aéreo</v>
      </c>
      <c r="DH1064" t="str">
        <v>526045 Flota y equipo aéreo</v>
      </c>
      <c r="DI1064" t="str">
        <v>526045 Flota y equipo aéreo</v>
      </c>
      <c r="DJ1064" t="str">
        <v>526045 Flota y equipo aéreo</v>
      </c>
      <c r="DK1064" t="str">
        <v>526045 Flota y equipo aéreo</v>
      </c>
      <c r="DL1064" t="str">
        <v>526045 Flota y equipo aéreo</v>
      </c>
      <c r="DM1064" t="str">
        <v>526045 Flota y equipo aéreo</v>
      </c>
      <c r="DN1064" t="str">
        <v>526045 Flota y equipo aéreo</v>
      </c>
      <c r="DO1064" t="str">
        <v>526045 Flota y equipo aéreo</v>
      </c>
      <c r="DP1064" t="str">
        <v>526045 Flota y equipo aéreo</v>
      </c>
    </row>
    <row r="1065" spans="4:120" ht="12.75">
      <c r="D1065" s="7">
        <v>526050</v>
      </c>
      <c r="E1065" s="6" t="s">
        <v>136</v>
      </c>
      <c r="F1065" s="5">
        <v>4</v>
      </c>
      <c r="G1065" s="34" t="s">
        <v>830</v>
      </c>
      <c r="H1065" s="8" t="s">
        <v>32</v>
      </c>
      <c r="I1065" t="b">
        <f>+ISNUMBER(SEARCH('F-COMPRA'!$F$28,Tabla11[[#This Row],[Cuenta]],1))</f>
        <v>1</v>
      </c>
      <c r="J1065" t="b">
        <f>+ISNUMBER(SEARCH('F-COMPRA'!$F$29,Tabla11[[#This Row],[Cuenta]],1))</f>
        <v>1</v>
      </c>
      <c r="K1065" t="b">
        <f>+ISNUMBER(SEARCH('F-COMPRA'!$F$30,Tabla11[[#This Row],[Cuenta]],1))</f>
        <v>1</v>
      </c>
      <c r="L1065" t="b">
        <f>+ISNUMBER(SEARCH('F-COMPRA'!$F$31,Tabla11[[#This Row],[Cuenta]],1))</f>
        <v>1</v>
      </c>
      <c r="M1065" t="b">
        <f>+ISNUMBER(SEARCH('F-COMPRA'!$G$25,Tabla11[[#This Row],[Cuenta]],1))</f>
        <v>0</v>
      </c>
      <c r="N1065" t="b">
        <f>+ISNUMBER(SEARCH(#REF!,Tabla11[[#This Row],[Cuenta]],1))</f>
        <v>0</v>
      </c>
      <c r="O1065" t="b">
        <f>+ISNUMBER(SEARCH(#REF!,Tabla11[[#This Row],[Cuenta]],1))</f>
        <v>0</v>
      </c>
      <c r="P1065" t="b">
        <f>+ISNUMBER(SEARCH('F-COMPRA'!$F$32,Tabla11[[#This Row],[Cuenta]],1))</f>
        <v>1</v>
      </c>
      <c r="Q1065" t="b">
        <f>+ISNUMBER(SEARCH('F-COMPRA'!$F$33,Tabla11[[#This Row],[Cuenta]],1))</f>
        <v>1</v>
      </c>
      <c r="R1065" t="b">
        <f>+ISNUMBER(SEARCH('F-COMPRA'!$F$34,Tabla11[[#This Row],[Cuenta]],1))</f>
        <v>1</v>
      </c>
      <c r="S1065" t="b">
        <f>+ISNUMBER(SEARCH('F-COMPRA'!$F$35,Tabla11[[#This Row],[Cuenta]],1))</f>
        <v>1</v>
      </c>
      <c r="T1065" t="b">
        <f>+ISNUMBER(SEARCH('F-COMPRA'!$F$36,Tabla11[[#This Row],[Cuenta]],1))</f>
        <v>1</v>
      </c>
      <c r="U1065" t="b">
        <f>+ISNUMBER(SEARCH('F-COMPRA'!$F$37,Tabla11[[#This Row],[Cuenta]],1))</f>
        <v>1</v>
      </c>
      <c r="V1065" t="b">
        <f>+ISNUMBER(SEARCH(#REF!,Tabla11[[#This Row],[Cuenta]],1))</f>
        <v>0</v>
      </c>
      <c r="W1065" t="b">
        <f>+ISNUMBER(SEARCH('F-COMPRA'!#REF!,Tabla11[[#This Row],[Cuenta]],1))</f>
        <v>0</v>
      </c>
      <c r="X1065" t="b">
        <f>+ISNUMBER(SEARCH('F-COMPRA'!#REF!,Tabla11[[#This Row],[Cuenta]],1))</f>
        <v>0</v>
      </c>
      <c r="Y1065" t="b">
        <f>+ISNUMBER(SEARCH('F-COMPRA'!#REF!,Tabla11[[#This Row],[Cuenta]],1))</f>
        <v>0</v>
      </c>
      <c r="Z1065" t="b">
        <f>+ISNUMBER(SEARCH('F-COMPRA'!#REF!,Tabla11[[#This Row],[Cuenta]],1))</f>
        <v>0</v>
      </c>
      <c r="AA1065" t="b">
        <f>+ISNUMBER(SEARCH('F-COMPRA'!#REF!,Tabla11[[#This Row],[Cuenta]],1))</f>
        <v>0</v>
      </c>
      <c r="AB1065" t="b">
        <f>+ISNUMBER(SEARCH('F-COMPRA'!#REF!,Tabla11[[#This Row],[Cuenta]],1))</f>
        <v>0</v>
      </c>
      <c r="AC1065" t="b">
        <f>+ISNUMBER(SEARCH('F-COMPRA'!#REF!,Tabla11[[#This Row],[Cuenta]],1))</f>
        <v>0</v>
      </c>
      <c r="AD1065" t="b">
        <f>+ISNUMBER(SEARCH('F-COMPRA'!#REF!,Tabla11[[#This Row],[Cuenta]],1))</f>
        <v>0</v>
      </c>
      <c r="AE1065" t="b">
        <f>+ISNUMBER(SEARCH('F-COMPRA'!#REF!,Tabla11[[#This Row],[Cuenta]],1))</f>
        <v>0</v>
      </c>
      <c r="AF1065" t="b">
        <f>+ISNUMBER(SEARCH('F-VTA'!$G$23,Tabla11[[#This Row],[Cuenta]],1))</f>
        <v>0</v>
      </c>
      <c r="AG1065" t="b">
        <f>+ISNUMBER(SEARCH('F-VTA'!$G$24,Tabla11[[#This Row],[Cuenta]],1))</f>
        <v>0</v>
      </c>
      <c r="AH1065" t="b">
        <f>+ISNUMBER(SEARCH('F-VTA'!$G$25,Tabla11[[#This Row],[Cuenta]],1))</f>
        <v>0</v>
      </c>
      <c r="AI1065" t="b">
        <f>+ISNUMBER(SEARCH('F-VTA'!$F$28,Tabla11[[#This Row],[Cuenta]],1))</f>
        <v>1</v>
      </c>
      <c r="AJ1065" t="b">
        <f>+ISNUMBER(SEARCH('F-VTA'!$F$29,Tabla11[[#This Row],[Cuenta]],1))</f>
        <v>1</v>
      </c>
      <c r="AK1065" t="b">
        <f>+ISNUMBER(SEARCH('F-VTA'!$F$30,Tabla11[[#This Row],[Cuenta]],1))</f>
        <v>1</v>
      </c>
      <c r="AL1065" t="b">
        <f>+ISNUMBER(SEARCH('F-VTA'!$F$31,Tabla11[[#This Row],[Cuenta]],1))</f>
        <v>1</v>
      </c>
      <c r="AM1065" t="b">
        <f>+ISNUMBER(SEARCH('F-VTA'!$F$32,Tabla11[[#This Row],[Cuenta]],1))</f>
        <v>1</v>
      </c>
      <c r="AN1065" t="b">
        <f>+ISNUMBER(SEARCH('F-VTA'!$F$33,Tabla11[[#This Row],[Cuenta]],1))</f>
        <v>1</v>
      </c>
      <c r="AO1065" t="b">
        <f>+ISNUMBER(SEARCH('F-VTA'!$F$34,Tabla11[[#This Row],[Cuenta]],1))</f>
        <v>1</v>
      </c>
      <c r="AP1065" t="b">
        <f>+ISNUMBER(SEARCH('F-VTA'!$F$35,Tabla11[[#This Row],[Cuenta]],1))</f>
        <v>1</v>
      </c>
      <c r="AQ1065" t="b">
        <f>+ISNUMBER(SEARCH('F-VTA'!$F$36,Tabla11[[#This Row],[Cuenta]],1))</f>
        <v>1</v>
      </c>
      <c r="AR1065" t="b">
        <f>+ISNUMBER(SEARCH(#REF!,Tabla11[[#This Row],[Cuenta]],1))</f>
        <v>0</v>
      </c>
      <c r="AS1065" t="b">
        <f>+ISNUMBER(SEARCH(#REF!,Tabla11[[#This Row],[Cuenta]],1))</f>
        <v>0</v>
      </c>
      <c r="AT1065" t="b">
        <f>+ISNUMBER(SEARCH(#REF!,Tabla11[[#This Row],[Cuenta]],1))</f>
        <v>0</v>
      </c>
      <c r="AU1065" t="b">
        <f>+ISNUMBER(SEARCH('Conc. Ban.1'!$I$9,Tabla11[[#This Row],[Cuenta]],1))</f>
        <v>0</v>
      </c>
      <c r="AV1065" t="b">
        <f>+ISNUMBER(SEARCH(CompConta!$F$21,Tabla11[[#This Row],[Cuenta]],1))</f>
        <v>1</v>
      </c>
      <c r="AW1065" t="b">
        <f>+ISNUMBER(SEARCH(CompConta!$F$22,Tabla11[[#This Row],[Cuenta]],1))</f>
        <v>1</v>
      </c>
      <c r="AX1065" t="b">
        <f>+ISNUMBER(SEARCH(CompConta!$F$23,Tabla11[[#This Row],[Cuenta]],1))</f>
        <v>1</v>
      </c>
      <c r="AY1065" t="b">
        <f>+ISNUMBER(SEARCH(CompConta!$F$24,Tabla11[[#This Row],[Cuenta]],1))</f>
        <v>1</v>
      </c>
      <c r="AZ1065" t="b">
        <f>+ISNUMBER(SEARCH(CompConta!$F$25,Tabla11[[#This Row],[Cuenta]],1))</f>
        <v>1</v>
      </c>
      <c r="BA1065" t="b">
        <f>+ISNUMBER(SEARCH(CompConta!$F$26,Tabla11[[#This Row],[Cuenta]],1))</f>
        <v>1</v>
      </c>
      <c r="BB1065" t="b">
        <f>+ISNUMBER(SEARCH(CompConta!$F$27,Tabla11[[#This Row],[Cuenta]],1))</f>
        <v>1</v>
      </c>
      <c r="BC1065" t="b">
        <f>+ISNUMBER(SEARCH(CompConta!$F$28,Tabla11[[#This Row],[Cuenta]],1))</f>
        <v>1</v>
      </c>
      <c r="BD1065" t="b">
        <f>+ISNUMBER(SEARCH(CompConta!$F$29,Tabla11[[#This Row],[Cuenta]],1))</f>
        <v>1</v>
      </c>
      <c r="BE1065" t="b">
        <f>+ISNUMBER(SEARCH(CompConta!$F$30,Tabla11[[#This Row],[Cuenta]],1))</f>
        <v>1</v>
      </c>
      <c r="BF1065" t="b">
        <f>+ISNUMBER(SEARCH('PAGO Compras'!$E$11,Tabla11[[#This Row],[Cuenta]],1))</f>
        <v>1</v>
      </c>
      <c r="BG1065" t="b">
        <f>+ISNUMBER(SEARCH(#REF!,Tabla11[[#This Row],[Cuenta]],1))</f>
        <v>0</v>
      </c>
      <c r="BH1065" t="b">
        <f>+ISNUMBER(SEARCH(#REF!,Tabla11[[#This Row],[Cuenta]],1))</f>
        <v>0</v>
      </c>
      <c r="BI1065" t="b">
        <f>+ISNUMBER(SEARCH(#REF!,Tabla11[[#This Row],[Cuenta]],1))</f>
        <v>0</v>
      </c>
      <c r="BJ1065" t="b">
        <f>+ISNUMBER(SEARCH(#REF!,Tabla11[[#This Row],[Cuenta]],1))</f>
        <v>0</v>
      </c>
      <c r="BS1065" t="str">
        <v>526050 Flota y equipo férreo</v>
      </c>
      <c r="BT1065" t="str">
        <v>526050 Flota y equipo férreo</v>
      </c>
      <c r="BU1065" t="str">
        <v>526050 Flota y equipo férreo</v>
      </c>
      <c r="BV1065" t="str">
        <v>526050 Flota y equipo férreo</v>
      </c>
      <c r="BZ1065" t="str">
        <v>526050 Flota y equipo férreo</v>
      </c>
      <c r="CA1065" t="str">
        <v>526050 Flota y equipo férreo</v>
      </c>
      <c r="CB1065" t="str">
        <v>526050 Flota y equipo férreo</v>
      </c>
      <c r="CC1065" t="str">
        <v>526050 Flota y equipo férreo</v>
      </c>
      <c r="CD1065" t="str">
        <v>526050 Flota y equipo férreo</v>
      </c>
      <c r="CE1065" t="str">
        <v>526050 Flota y equipo férreo</v>
      </c>
      <c r="CS1065" s="141" t="str">
        <v>526050 Flota y equipo férreo</v>
      </c>
      <c r="CT1065" s="141" t="str">
        <v>526050 Flota y equipo férreo</v>
      </c>
      <c r="CU1065" s="141" t="str">
        <v>526050 Flota y equipo férreo</v>
      </c>
      <c r="CV1065" s="141" t="str">
        <v>526050 Flota y equipo férreo</v>
      </c>
      <c r="CW1065" s="141" t="str">
        <v>526050 Flota y equipo férreo</v>
      </c>
      <c r="CX1065" s="141" t="str">
        <v>526050 Flota y equipo férreo</v>
      </c>
      <c r="CY1065" s="141" t="str">
        <v>526050 Flota y equipo férreo</v>
      </c>
      <c r="CZ1065" s="141" t="str">
        <v>526050 Flota y equipo férreo</v>
      </c>
      <c r="DA1065" s="141" t="str">
        <v>526050 Flota y equipo férreo</v>
      </c>
      <c r="DF1065" t="str">
        <v>526050 Flota y equipo férreo</v>
      </c>
      <c r="DG1065" t="str">
        <v>526050 Flota y equipo férreo</v>
      </c>
      <c r="DH1065" t="str">
        <v>526050 Flota y equipo férreo</v>
      </c>
      <c r="DI1065" t="str">
        <v>526050 Flota y equipo férreo</v>
      </c>
      <c r="DJ1065" t="str">
        <v>526050 Flota y equipo férreo</v>
      </c>
      <c r="DK1065" t="str">
        <v>526050 Flota y equipo férreo</v>
      </c>
      <c r="DL1065" t="str">
        <v>526050 Flota y equipo férreo</v>
      </c>
      <c r="DM1065" t="str">
        <v>526050 Flota y equipo férreo</v>
      </c>
      <c r="DN1065" t="str">
        <v>526050 Flota y equipo férreo</v>
      </c>
      <c r="DO1065" t="str">
        <v>526050 Flota y equipo férreo</v>
      </c>
      <c r="DP1065" t="str">
        <v>526050 Flota y equipo férreo</v>
      </c>
    </row>
    <row r="1066" spans="4:120" ht="12.75">
      <c r="D1066" s="7">
        <v>526055</v>
      </c>
      <c r="E1066" s="6" t="s">
        <v>122</v>
      </c>
      <c r="F1066" s="5">
        <v>4</v>
      </c>
      <c r="G1066" s="34" t="s">
        <v>830</v>
      </c>
      <c r="H1066" s="8" t="s">
        <v>32</v>
      </c>
      <c r="I1066" t="b">
        <f>+ISNUMBER(SEARCH('F-COMPRA'!$F$28,Tabla11[[#This Row],[Cuenta]],1))</f>
        <v>1</v>
      </c>
      <c r="J1066" t="b">
        <f>+ISNUMBER(SEARCH('F-COMPRA'!$F$29,Tabla11[[#This Row],[Cuenta]],1))</f>
        <v>1</v>
      </c>
      <c r="K1066" t="b">
        <f>+ISNUMBER(SEARCH('F-COMPRA'!$F$30,Tabla11[[#This Row],[Cuenta]],1))</f>
        <v>1</v>
      </c>
      <c r="L1066" t="b">
        <f>+ISNUMBER(SEARCH('F-COMPRA'!$F$31,Tabla11[[#This Row],[Cuenta]],1))</f>
        <v>1</v>
      </c>
      <c r="M1066" t="b">
        <f>+ISNUMBER(SEARCH('F-COMPRA'!$G$25,Tabla11[[#This Row],[Cuenta]],1))</f>
        <v>0</v>
      </c>
      <c r="N1066" t="b">
        <f>+ISNUMBER(SEARCH(#REF!,Tabla11[[#This Row],[Cuenta]],1))</f>
        <v>0</v>
      </c>
      <c r="O1066" t="b">
        <f>+ISNUMBER(SEARCH(#REF!,Tabla11[[#This Row],[Cuenta]],1))</f>
        <v>0</v>
      </c>
      <c r="P1066" t="b">
        <f>+ISNUMBER(SEARCH('F-COMPRA'!$F$32,Tabla11[[#This Row],[Cuenta]],1))</f>
        <v>1</v>
      </c>
      <c r="Q1066" t="b">
        <f>+ISNUMBER(SEARCH('F-COMPRA'!$F$33,Tabla11[[#This Row],[Cuenta]],1))</f>
        <v>1</v>
      </c>
      <c r="R1066" t="b">
        <f>+ISNUMBER(SEARCH('F-COMPRA'!$F$34,Tabla11[[#This Row],[Cuenta]],1))</f>
        <v>1</v>
      </c>
      <c r="S1066" t="b">
        <f>+ISNUMBER(SEARCH('F-COMPRA'!$F$35,Tabla11[[#This Row],[Cuenta]],1))</f>
        <v>1</v>
      </c>
      <c r="T1066" t="b">
        <f>+ISNUMBER(SEARCH('F-COMPRA'!$F$36,Tabla11[[#This Row],[Cuenta]],1))</f>
        <v>1</v>
      </c>
      <c r="U1066" t="b">
        <f>+ISNUMBER(SEARCH('F-COMPRA'!$F$37,Tabla11[[#This Row],[Cuenta]],1))</f>
        <v>1</v>
      </c>
      <c r="V1066" t="b">
        <f>+ISNUMBER(SEARCH(#REF!,Tabla11[[#This Row],[Cuenta]],1))</f>
        <v>0</v>
      </c>
      <c r="W1066" t="b">
        <f>+ISNUMBER(SEARCH('F-COMPRA'!#REF!,Tabla11[[#This Row],[Cuenta]],1))</f>
        <v>0</v>
      </c>
      <c r="X1066" t="b">
        <f>+ISNUMBER(SEARCH('F-COMPRA'!#REF!,Tabla11[[#This Row],[Cuenta]],1))</f>
        <v>0</v>
      </c>
      <c r="Y1066" t="b">
        <f>+ISNUMBER(SEARCH('F-COMPRA'!#REF!,Tabla11[[#This Row],[Cuenta]],1))</f>
        <v>0</v>
      </c>
      <c r="Z1066" t="b">
        <f>+ISNUMBER(SEARCH('F-COMPRA'!#REF!,Tabla11[[#This Row],[Cuenta]],1))</f>
        <v>0</v>
      </c>
      <c r="AA1066" t="b">
        <f>+ISNUMBER(SEARCH('F-COMPRA'!#REF!,Tabla11[[#This Row],[Cuenta]],1))</f>
        <v>0</v>
      </c>
      <c r="AB1066" t="b">
        <f>+ISNUMBER(SEARCH('F-COMPRA'!#REF!,Tabla11[[#This Row],[Cuenta]],1))</f>
        <v>0</v>
      </c>
      <c r="AC1066" t="b">
        <f>+ISNUMBER(SEARCH('F-COMPRA'!#REF!,Tabla11[[#This Row],[Cuenta]],1))</f>
        <v>0</v>
      </c>
      <c r="AD1066" t="b">
        <f>+ISNUMBER(SEARCH('F-COMPRA'!#REF!,Tabla11[[#This Row],[Cuenta]],1))</f>
        <v>0</v>
      </c>
      <c r="AE1066" t="b">
        <f>+ISNUMBER(SEARCH('F-COMPRA'!#REF!,Tabla11[[#This Row],[Cuenta]],1))</f>
        <v>0</v>
      </c>
      <c r="AF1066" t="b">
        <f>+ISNUMBER(SEARCH('F-VTA'!$G$23,Tabla11[[#This Row],[Cuenta]],1))</f>
        <v>0</v>
      </c>
      <c r="AG1066" t="b">
        <f>+ISNUMBER(SEARCH('F-VTA'!$G$24,Tabla11[[#This Row],[Cuenta]],1))</f>
        <v>0</v>
      </c>
      <c r="AH1066" t="b">
        <f>+ISNUMBER(SEARCH('F-VTA'!$G$25,Tabla11[[#This Row],[Cuenta]],1))</f>
        <v>0</v>
      </c>
      <c r="AI1066" t="b">
        <f>+ISNUMBER(SEARCH('F-VTA'!$F$28,Tabla11[[#This Row],[Cuenta]],1))</f>
        <v>1</v>
      </c>
      <c r="AJ1066" t="b">
        <f>+ISNUMBER(SEARCH('F-VTA'!$F$29,Tabla11[[#This Row],[Cuenta]],1))</f>
        <v>1</v>
      </c>
      <c r="AK1066" t="b">
        <f>+ISNUMBER(SEARCH('F-VTA'!$F$30,Tabla11[[#This Row],[Cuenta]],1))</f>
        <v>1</v>
      </c>
      <c r="AL1066" t="b">
        <f>+ISNUMBER(SEARCH('F-VTA'!$F$31,Tabla11[[#This Row],[Cuenta]],1))</f>
        <v>1</v>
      </c>
      <c r="AM1066" t="b">
        <f>+ISNUMBER(SEARCH('F-VTA'!$F$32,Tabla11[[#This Row],[Cuenta]],1))</f>
        <v>1</v>
      </c>
      <c r="AN1066" t="b">
        <f>+ISNUMBER(SEARCH('F-VTA'!$F$33,Tabla11[[#This Row],[Cuenta]],1))</f>
        <v>1</v>
      </c>
      <c r="AO1066" t="b">
        <f>+ISNUMBER(SEARCH('F-VTA'!$F$34,Tabla11[[#This Row],[Cuenta]],1))</f>
        <v>1</v>
      </c>
      <c r="AP1066" t="b">
        <f>+ISNUMBER(SEARCH('F-VTA'!$F$35,Tabla11[[#This Row],[Cuenta]],1))</f>
        <v>1</v>
      </c>
      <c r="AQ1066" t="b">
        <f>+ISNUMBER(SEARCH('F-VTA'!$F$36,Tabla11[[#This Row],[Cuenta]],1))</f>
        <v>1</v>
      </c>
      <c r="AR1066" t="b">
        <f>+ISNUMBER(SEARCH(#REF!,Tabla11[[#This Row],[Cuenta]],1))</f>
        <v>0</v>
      </c>
      <c r="AS1066" t="b">
        <f>+ISNUMBER(SEARCH(#REF!,Tabla11[[#This Row],[Cuenta]],1))</f>
        <v>0</v>
      </c>
      <c r="AT1066" t="b">
        <f>+ISNUMBER(SEARCH(#REF!,Tabla11[[#This Row],[Cuenta]],1))</f>
        <v>0</v>
      </c>
      <c r="AU1066" t="b">
        <f>+ISNUMBER(SEARCH('Conc. Ban.1'!$I$9,Tabla11[[#This Row],[Cuenta]],1))</f>
        <v>0</v>
      </c>
      <c r="AV1066" t="b">
        <f>+ISNUMBER(SEARCH(CompConta!$F$21,Tabla11[[#This Row],[Cuenta]],1))</f>
        <v>1</v>
      </c>
      <c r="AW1066" t="b">
        <f>+ISNUMBER(SEARCH(CompConta!$F$22,Tabla11[[#This Row],[Cuenta]],1))</f>
        <v>1</v>
      </c>
      <c r="AX1066" t="b">
        <f>+ISNUMBER(SEARCH(CompConta!$F$23,Tabla11[[#This Row],[Cuenta]],1))</f>
        <v>1</v>
      </c>
      <c r="AY1066" t="b">
        <f>+ISNUMBER(SEARCH(CompConta!$F$24,Tabla11[[#This Row],[Cuenta]],1))</f>
        <v>1</v>
      </c>
      <c r="AZ1066" t="b">
        <f>+ISNUMBER(SEARCH(CompConta!$F$25,Tabla11[[#This Row],[Cuenta]],1))</f>
        <v>1</v>
      </c>
      <c r="BA1066" t="b">
        <f>+ISNUMBER(SEARCH(CompConta!$F$26,Tabla11[[#This Row],[Cuenta]],1))</f>
        <v>1</v>
      </c>
      <c r="BB1066" t="b">
        <f>+ISNUMBER(SEARCH(CompConta!$F$27,Tabla11[[#This Row],[Cuenta]],1))</f>
        <v>1</v>
      </c>
      <c r="BC1066" t="b">
        <f>+ISNUMBER(SEARCH(CompConta!$F$28,Tabla11[[#This Row],[Cuenta]],1))</f>
        <v>1</v>
      </c>
      <c r="BD1066" t="b">
        <f>+ISNUMBER(SEARCH(CompConta!$F$29,Tabla11[[#This Row],[Cuenta]],1))</f>
        <v>1</v>
      </c>
      <c r="BE1066" t="b">
        <f>+ISNUMBER(SEARCH(CompConta!$F$30,Tabla11[[#This Row],[Cuenta]],1))</f>
        <v>1</v>
      </c>
      <c r="BF1066" t="b">
        <f>+ISNUMBER(SEARCH('PAGO Compras'!$E$11,Tabla11[[#This Row],[Cuenta]],1))</f>
        <v>1</v>
      </c>
      <c r="BG1066" t="b">
        <f>+ISNUMBER(SEARCH(#REF!,Tabla11[[#This Row],[Cuenta]],1))</f>
        <v>0</v>
      </c>
      <c r="BH1066" t="b">
        <f>+ISNUMBER(SEARCH(#REF!,Tabla11[[#This Row],[Cuenta]],1))</f>
        <v>0</v>
      </c>
      <c r="BI1066" t="b">
        <f>+ISNUMBER(SEARCH(#REF!,Tabla11[[#This Row],[Cuenta]],1))</f>
        <v>0</v>
      </c>
      <c r="BJ1066" t="b">
        <f>+ISNUMBER(SEARCH(#REF!,Tabla11[[#This Row],[Cuenta]],1))</f>
        <v>0</v>
      </c>
      <c r="BS1066" t="str">
        <v>526055 Acueductos, plantas y redes</v>
      </c>
      <c r="BT1066" t="str">
        <v>526055 Acueductos, plantas y redes</v>
      </c>
      <c r="BU1066" t="str">
        <v>526055 Acueductos, plantas y redes</v>
      </c>
      <c r="BV1066" t="str">
        <v>526055 Acueductos, plantas y redes</v>
      </c>
      <c r="BZ1066" t="str">
        <v>526055 Acueductos, plantas y redes</v>
      </c>
      <c r="CA1066" t="str">
        <v>526055 Acueductos, plantas y redes</v>
      </c>
      <c r="CB1066" t="str">
        <v>526055 Acueductos, plantas y redes</v>
      </c>
      <c r="CC1066" t="str">
        <v>526055 Acueductos, plantas y redes</v>
      </c>
      <c r="CD1066" t="str">
        <v>526055 Acueductos, plantas y redes</v>
      </c>
      <c r="CE1066" t="str">
        <v>526055 Acueductos, plantas y redes</v>
      </c>
      <c r="CS1066" s="141" t="str">
        <v>526055 Acueductos, plantas y redes</v>
      </c>
      <c r="CT1066" s="141" t="str">
        <v>526055 Acueductos, plantas y redes</v>
      </c>
      <c r="CU1066" s="141" t="str">
        <v>526055 Acueductos, plantas y redes</v>
      </c>
      <c r="CV1066" s="141" t="str">
        <v>526055 Acueductos, plantas y redes</v>
      </c>
      <c r="CW1066" s="141" t="str">
        <v>526055 Acueductos, plantas y redes</v>
      </c>
      <c r="CX1066" s="141" t="str">
        <v>526055 Acueductos, plantas y redes</v>
      </c>
      <c r="CY1066" s="141" t="str">
        <v>526055 Acueductos, plantas y redes</v>
      </c>
      <c r="CZ1066" s="141" t="str">
        <v>526055 Acueductos, plantas y redes</v>
      </c>
      <c r="DA1066" s="141" t="str">
        <v>526055 Acueductos, plantas y redes</v>
      </c>
      <c r="DF1066" t="str">
        <v>526055 Acueductos, plantas y redes</v>
      </c>
      <c r="DG1066" t="str">
        <v>526055 Acueductos, plantas y redes</v>
      </c>
      <c r="DH1066" t="str">
        <v>526055 Acueductos, plantas y redes</v>
      </c>
      <c r="DI1066" t="str">
        <v>526055 Acueductos, plantas y redes</v>
      </c>
      <c r="DJ1066" t="str">
        <v>526055 Acueductos, plantas y redes</v>
      </c>
      <c r="DK1066" t="str">
        <v>526055 Acueductos, plantas y redes</v>
      </c>
      <c r="DL1066" t="str">
        <v>526055 Acueductos, plantas y redes</v>
      </c>
      <c r="DM1066" t="str">
        <v>526055 Acueductos, plantas y redes</v>
      </c>
      <c r="DN1066" t="str">
        <v>526055 Acueductos, plantas y redes</v>
      </c>
      <c r="DO1066" t="str">
        <v>526055 Acueductos, plantas y redes</v>
      </c>
      <c r="DP1066" t="str">
        <v>526055 Acueductos, plantas y redes</v>
      </c>
    </row>
    <row r="1067" spans="4:120" ht="12.75">
      <c r="D1067" s="7">
        <v>526060</v>
      </c>
      <c r="E1067" s="6" t="s">
        <v>211</v>
      </c>
      <c r="F1067" s="5">
        <v>4</v>
      </c>
      <c r="G1067" s="34" t="s">
        <v>830</v>
      </c>
      <c r="H1067" s="8" t="s">
        <v>32</v>
      </c>
      <c r="I1067" t="b">
        <f>+ISNUMBER(SEARCH('F-COMPRA'!$F$28,Tabla11[[#This Row],[Cuenta]],1))</f>
        <v>1</v>
      </c>
      <c r="J1067" t="b">
        <f>+ISNUMBER(SEARCH('F-COMPRA'!$F$29,Tabla11[[#This Row],[Cuenta]],1))</f>
        <v>1</v>
      </c>
      <c r="K1067" t="b">
        <f>+ISNUMBER(SEARCH('F-COMPRA'!$F$30,Tabla11[[#This Row],[Cuenta]],1))</f>
        <v>1</v>
      </c>
      <c r="L1067" t="b">
        <f>+ISNUMBER(SEARCH('F-COMPRA'!$F$31,Tabla11[[#This Row],[Cuenta]],1))</f>
        <v>1</v>
      </c>
      <c r="M1067" t="b">
        <f>+ISNUMBER(SEARCH('F-COMPRA'!$G$25,Tabla11[[#This Row],[Cuenta]],1))</f>
        <v>0</v>
      </c>
      <c r="N1067" t="b">
        <f>+ISNUMBER(SEARCH(#REF!,Tabla11[[#This Row],[Cuenta]],1))</f>
        <v>0</v>
      </c>
      <c r="O1067" t="b">
        <f>+ISNUMBER(SEARCH(#REF!,Tabla11[[#This Row],[Cuenta]],1))</f>
        <v>0</v>
      </c>
      <c r="P1067" t="b">
        <f>+ISNUMBER(SEARCH('F-COMPRA'!$F$32,Tabla11[[#This Row],[Cuenta]],1))</f>
        <v>1</v>
      </c>
      <c r="Q1067" t="b">
        <f>+ISNUMBER(SEARCH('F-COMPRA'!$F$33,Tabla11[[#This Row],[Cuenta]],1))</f>
        <v>1</v>
      </c>
      <c r="R1067" t="b">
        <f>+ISNUMBER(SEARCH('F-COMPRA'!$F$34,Tabla11[[#This Row],[Cuenta]],1))</f>
        <v>1</v>
      </c>
      <c r="S1067" t="b">
        <f>+ISNUMBER(SEARCH('F-COMPRA'!$F$35,Tabla11[[#This Row],[Cuenta]],1))</f>
        <v>1</v>
      </c>
      <c r="T1067" t="b">
        <f>+ISNUMBER(SEARCH('F-COMPRA'!$F$36,Tabla11[[#This Row],[Cuenta]],1))</f>
        <v>1</v>
      </c>
      <c r="U1067" t="b">
        <f>+ISNUMBER(SEARCH('F-COMPRA'!$F$37,Tabla11[[#This Row],[Cuenta]],1))</f>
        <v>1</v>
      </c>
      <c r="V1067" t="b">
        <f>+ISNUMBER(SEARCH(#REF!,Tabla11[[#This Row],[Cuenta]],1))</f>
        <v>0</v>
      </c>
      <c r="W1067" t="b">
        <f>+ISNUMBER(SEARCH('F-COMPRA'!#REF!,Tabla11[[#This Row],[Cuenta]],1))</f>
        <v>0</v>
      </c>
      <c r="X1067" t="b">
        <f>+ISNUMBER(SEARCH('F-COMPRA'!#REF!,Tabla11[[#This Row],[Cuenta]],1))</f>
        <v>0</v>
      </c>
      <c r="Y1067" t="b">
        <f>+ISNUMBER(SEARCH('F-COMPRA'!#REF!,Tabla11[[#This Row],[Cuenta]],1))</f>
        <v>0</v>
      </c>
      <c r="Z1067" t="b">
        <f>+ISNUMBER(SEARCH('F-COMPRA'!#REF!,Tabla11[[#This Row],[Cuenta]],1))</f>
        <v>0</v>
      </c>
      <c r="AA1067" t="b">
        <f>+ISNUMBER(SEARCH('F-COMPRA'!#REF!,Tabla11[[#This Row],[Cuenta]],1))</f>
        <v>0</v>
      </c>
      <c r="AB1067" t="b">
        <f>+ISNUMBER(SEARCH('F-COMPRA'!#REF!,Tabla11[[#This Row],[Cuenta]],1))</f>
        <v>0</v>
      </c>
      <c r="AC1067" t="b">
        <f>+ISNUMBER(SEARCH('F-COMPRA'!#REF!,Tabla11[[#This Row],[Cuenta]],1))</f>
        <v>0</v>
      </c>
      <c r="AD1067" t="b">
        <f>+ISNUMBER(SEARCH('F-COMPRA'!#REF!,Tabla11[[#This Row],[Cuenta]],1))</f>
        <v>0</v>
      </c>
      <c r="AE1067" t="b">
        <f>+ISNUMBER(SEARCH('F-COMPRA'!#REF!,Tabla11[[#This Row],[Cuenta]],1))</f>
        <v>0</v>
      </c>
      <c r="AF1067" t="b">
        <f>+ISNUMBER(SEARCH('F-VTA'!$G$23,Tabla11[[#This Row],[Cuenta]],1))</f>
        <v>0</v>
      </c>
      <c r="AG1067" t="b">
        <f>+ISNUMBER(SEARCH('F-VTA'!$G$24,Tabla11[[#This Row],[Cuenta]],1))</f>
        <v>0</v>
      </c>
      <c r="AH1067" t="b">
        <f>+ISNUMBER(SEARCH('F-VTA'!$G$25,Tabla11[[#This Row],[Cuenta]],1))</f>
        <v>0</v>
      </c>
      <c r="AI1067" t="b">
        <f>+ISNUMBER(SEARCH('F-VTA'!$F$28,Tabla11[[#This Row],[Cuenta]],1))</f>
        <v>1</v>
      </c>
      <c r="AJ1067" t="b">
        <f>+ISNUMBER(SEARCH('F-VTA'!$F$29,Tabla11[[#This Row],[Cuenta]],1))</f>
        <v>1</v>
      </c>
      <c r="AK1067" t="b">
        <f>+ISNUMBER(SEARCH('F-VTA'!$F$30,Tabla11[[#This Row],[Cuenta]],1))</f>
        <v>1</v>
      </c>
      <c r="AL1067" t="b">
        <f>+ISNUMBER(SEARCH('F-VTA'!$F$31,Tabla11[[#This Row],[Cuenta]],1))</f>
        <v>1</v>
      </c>
      <c r="AM1067" t="b">
        <f>+ISNUMBER(SEARCH('F-VTA'!$F$32,Tabla11[[#This Row],[Cuenta]],1))</f>
        <v>1</v>
      </c>
      <c r="AN1067" t="b">
        <f>+ISNUMBER(SEARCH('F-VTA'!$F$33,Tabla11[[#This Row],[Cuenta]],1))</f>
        <v>1</v>
      </c>
      <c r="AO1067" t="b">
        <f>+ISNUMBER(SEARCH('F-VTA'!$F$34,Tabla11[[#This Row],[Cuenta]],1))</f>
        <v>1</v>
      </c>
      <c r="AP1067" t="b">
        <f>+ISNUMBER(SEARCH('F-VTA'!$F$35,Tabla11[[#This Row],[Cuenta]],1))</f>
        <v>1</v>
      </c>
      <c r="AQ1067" t="b">
        <f>+ISNUMBER(SEARCH('F-VTA'!$F$36,Tabla11[[#This Row],[Cuenta]],1))</f>
        <v>1</v>
      </c>
      <c r="AR1067" t="b">
        <f>+ISNUMBER(SEARCH(#REF!,Tabla11[[#This Row],[Cuenta]],1))</f>
        <v>0</v>
      </c>
      <c r="AS1067" t="b">
        <f>+ISNUMBER(SEARCH(#REF!,Tabla11[[#This Row],[Cuenta]],1))</f>
        <v>0</v>
      </c>
      <c r="AT1067" t="b">
        <f>+ISNUMBER(SEARCH(#REF!,Tabla11[[#This Row],[Cuenta]],1))</f>
        <v>0</v>
      </c>
      <c r="AU1067" t="b">
        <f>+ISNUMBER(SEARCH('Conc. Ban.1'!$I$9,Tabla11[[#This Row],[Cuenta]],1))</f>
        <v>0</v>
      </c>
      <c r="AV1067" t="b">
        <f>+ISNUMBER(SEARCH(CompConta!$F$21,Tabla11[[#This Row],[Cuenta]],1))</f>
        <v>1</v>
      </c>
      <c r="AW1067" t="b">
        <f>+ISNUMBER(SEARCH(CompConta!$F$22,Tabla11[[#This Row],[Cuenta]],1))</f>
        <v>1</v>
      </c>
      <c r="AX1067" t="b">
        <f>+ISNUMBER(SEARCH(CompConta!$F$23,Tabla11[[#This Row],[Cuenta]],1))</f>
        <v>1</v>
      </c>
      <c r="AY1067" t="b">
        <f>+ISNUMBER(SEARCH(CompConta!$F$24,Tabla11[[#This Row],[Cuenta]],1))</f>
        <v>1</v>
      </c>
      <c r="AZ1067" t="b">
        <f>+ISNUMBER(SEARCH(CompConta!$F$25,Tabla11[[#This Row],[Cuenta]],1))</f>
        <v>1</v>
      </c>
      <c r="BA1067" t="b">
        <f>+ISNUMBER(SEARCH(CompConta!$F$26,Tabla11[[#This Row],[Cuenta]],1))</f>
        <v>1</v>
      </c>
      <c r="BB1067" t="b">
        <f>+ISNUMBER(SEARCH(CompConta!$F$27,Tabla11[[#This Row],[Cuenta]],1))</f>
        <v>1</v>
      </c>
      <c r="BC1067" t="b">
        <f>+ISNUMBER(SEARCH(CompConta!$F$28,Tabla11[[#This Row],[Cuenta]],1))</f>
        <v>1</v>
      </c>
      <c r="BD1067" t="b">
        <f>+ISNUMBER(SEARCH(CompConta!$F$29,Tabla11[[#This Row],[Cuenta]],1))</f>
        <v>1</v>
      </c>
      <c r="BE1067" t="b">
        <f>+ISNUMBER(SEARCH(CompConta!$F$30,Tabla11[[#This Row],[Cuenta]],1))</f>
        <v>1</v>
      </c>
      <c r="BF1067" t="b">
        <f>+ISNUMBER(SEARCH('PAGO Compras'!$E$11,Tabla11[[#This Row],[Cuenta]],1))</f>
        <v>1</v>
      </c>
      <c r="BG1067" t="b">
        <f>+ISNUMBER(SEARCH(#REF!,Tabla11[[#This Row],[Cuenta]],1))</f>
        <v>0</v>
      </c>
      <c r="BH1067" t="b">
        <f>+ISNUMBER(SEARCH(#REF!,Tabla11[[#This Row],[Cuenta]],1))</f>
        <v>0</v>
      </c>
      <c r="BI1067" t="b">
        <f>+ISNUMBER(SEARCH(#REF!,Tabla11[[#This Row],[Cuenta]],1))</f>
        <v>0</v>
      </c>
      <c r="BJ1067" t="b">
        <f>+ISNUMBER(SEARCH(#REF!,Tabla11[[#This Row],[Cuenta]],1))</f>
        <v>0</v>
      </c>
      <c r="BS1067" t="str">
        <v>526060 Armamento de vigilancia</v>
      </c>
      <c r="BT1067" t="str">
        <v>526060 Armamento de vigilancia</v>
      </c>
      <c r="BU1067" t="str">
        <v>526060 Armamento de vigilancia</v>
      </c>
      <c r="BV1067" t="str">
        <v>526060 Armamento de vigilancia</v>
      </c>
      <c r="BZ1067" t="str">
        <v>526060 Armamento de vigilancia</v>
      </c>
      <c r="CA1067" t="str">
        <v>526060 Armamento de vigilancia</v>
      </c>
      <c r="CB1067" t="str">
        <v>526060 Armamento de vigilancia</v>
      </c>
      <c r="CC1067" t="str">
        <v>526060 Armamento de vigilancia</v>
      </c>
      <c r="CD1067" t="str">
        <v>526060 Armamento de vigilancia</v>
      </c>
      <c r="CE1067" t="str">
        <v>526060 Armamento de vigilancia</v>
      </c>
      <c r="CS1067" s="141" t="str">
        <v>526060 Armamento de vigilancia</v>
      </c>
      <c r="CT1067" s="141" t="str">
        <v>526060 Armamento de vigilancia</v>
      </c>
      <c r="CU1067" s="141" t="str">
        <v>526060 Armamento de vigilancia</v>
      </c>
      <c r="CV1067" s="141" t="str">
        <v>526060 Armamento de vigilancia</v>
      </c>
      <c r="CW1067" s="141" t="str">
        <v>526060 Armamento de vigilancia</v>
      </c>
      <c r="CX1067" s="141" t="str">
        <v>526060 Armamento de vigilancia</v>
      </c>
      <c r="CY1067" s="141" t="str">
        <v>526060 Armamento de vigilancia</v>
      </c>
      <c r="CZ1067" s="141" t="str">
        <v>526060 Armamento de vigilancia</v>
      </c>
      <c r="DA1067" s="141" t="str">
        <v>526060 Armamento de vigilancia</v>
      </c>
      <c r="DF1067" t="str">
        <v>526060 Armamento de vigilancia</v>
      </c>
      <c r="DG1067" t="str">
        <v>526060 Armamento de vigilancia</v>
      </c>
      <c r="DH1067" t="str">
        <v>526060 Armamento de vigilancia</v>
      </c>
      <c r="DI1067" t="str">
        <v>526060 Armamento de vigilancia</v>
      </c>
      <c r="DJ1067" t="str">
        <v>526060 Armamento de vigilancia</v>
      </c>
      <c r="DK1067" t="str">
        <v>526060 Armamento de vigilancia</v>
      </c>
      <c r="DL1067" t="str">
        <v>526060 Armamento de vigilancia</v>
      </c>
      <c r="DM1067" t="str">
        <v>526060 Armamento de vigilancia</v>
      </c>
      <c r="DN1067" t="str">
        <v>526060 Armamento de vigilancia</v>
      </c>
      <c r="DO1067" t="str">
        <v>526060 Armamento de vigilancia</v>
      </c>
      <c r="DP1067" t="str">
        <v>526060 Armamento de vigilancia</v>
      </c>
    </row>
    <row r="1068" spans="4:120" ht="12.75">
      <c r="D1068" s="7">
        <v>526065</v>
      </c>
      <c r="E1068" s="6" t="s">
        <v>213</v>
      </c>
      <c r="F1068" s="5">
        <v>4</v>
      </c>
      <c r="G1068" s="34" t="s">
        <v>830</v>
      </c>
      <c r="H1068" s="8" t="s">
        <v>32</v>
      </c>
      <c r="I1068" t="b">
        <f>+ISNUMBER(SEARCH('F-COMPRA'!$F$28,Tabla11[[#This Row],[Cuenta]],1))</f>
        <v>1</v>
      </c>
      <c r="J1068" t="b">
        <f>+ISNUMBER(SEARCH('F-COMPRA'!$F$29,Tabla11[[#This Row],[Cuenta]],1))</f>
        <v>1</v>
      </c>
      <c r="K1068" t="b">
        <f>+ISNUMBER(SEARCH('F-COMPRA'!$F$30,Tabla11[[#This Row],[Cuenta]],1))</f>
        <v>1</v>
      </c>
      <c r="L1068" t="b">
        <f>+ISNUMBER(SEARCH('F-COMPRA'!$F$31,Tabla11[[#This Row],[Cuenta]],1))</f>
        <v>1</v>
      </c>
      <c r="M1068" t="b">
        <f>+ISNUMBER(SEARCH('F-COMPRA'!$G$25,Tabla11[[#This Row],[Cuenta]],1))</f>
        <v>0</v>
      </c>
      <c r="N1068" t="b">
        <f>+ISNUMBER(SEARCH(#REF!,Tabla11[[#This Row],[Cuenta]],1))</f>
        <v>0</v>
      </c>
      <c r="O1068" t="b">
        <f>+ISNUMBER(SEARCH(#REF!,Tabla11[[#This Row],[Cuenta]],1))</f>
        <v>0</v>
      </c>
      <c r="P1068" t="b">
        <f>+ISNUMBER(SEARCH('F-COMPRA'!$F$32,Tabla11[[#This Row],[Cuenta]],1))</f>
        <v>1</v>
      </c>
      <c r="Q1068" t="b">
        <f>+ISNUMBER(SEARCH('F-COMPRA'!$F$33,Tabla11[[#This Row],[Cuenta]],1))</f>
        <v>1</v>
      </c>
      <c r="R1068" t="b">
        <f>+ISNUMBER(SEARCH('F-COMPRA'!$F$34,Tabla11[[#This Row],[Cuenta]],1))</f>
        <v>1</v>
      </c>
      <c r="S1068" t="b">
        <f>+ISNUMBER(SEARCH('F-COMPRA'!$F$35,Tabla11[[#This Row],[Cuenta]],1))</f>
        <v>1</v>
      </c>
      <c r="T1068" t="b">
        <f>+ISNUMBER(SEARCH('F-COMPRA'!$F$36,Tabla11[[#This Row],[Cuenta]],1))</f>
        <v>1</v>
      </c>
      <c r="U1068" t="b">
        <f>+ISNUMBER(SEARCH('F-COMPRA'!$F$37,Tabla11[[#This Row],[Cuenta]],1))</f>
        <v>1</v>
      </c>
      <c r="V1068" t="b">
        <f>+ISNUMBER(SEARCH(#REF!,Tabla11[[#This Row],[Cuenta]],1))</f>
        <v>0</v>
      </c>
      <c r="W1068" t="b">
        <f>+ISNUMBER(SEARCH('F-COMPRA'!#REF!,Tabla11[[#This Row],[Cuenta]],1))</f>
        <v>0</v>
      </c>
      <c r="X1068" t="b">
        <f>+ISNUMBER(SEARCH('F-COMPRA'!#REF!,Tabla11[[#This Row],[Cuenta]],1))</f>
        <v>0</v>
      </c>
      <c r="Y1068" t="b">
        <f>+ISNUMBER(SEARCH('F-COMPRA'!#REF!,Tabla11[[#This Row],[Cuenta]],1))</f>
        <v>0</v>
      </c>
      <c r="Z1068" t="b">
        <f>+ISNUMBER(SEARCH('F-COMPRA'!#REF!,Tabla11[[#This Row],[Cuenta]],1))</f>
        <v>0</v>
      </c>
      <c r="AA1068" t="b">
        <f>+ISNUMBER(SEARCH('F-COMPRA'!#REF!,Tabla11[[#This Row],[Cuenta]],1))</f>
        <v>0</v>
      </c>
      <c r="AB1068" t="b">
        <f>+ISNUMBER(SEARCH('F-COMPRA'!#REF!,Tabla11[[#This Row],[Cuenta]],1))</f>
        <v>0</v>
      </c>
      <c r="AC1068" t="b">
        <f>+ISNUMBER(SEARCH('F-COMPRA'!#REF!,Tabla11[[#This Row],[Cuenta]],1))</f>
        <v>0</v>
      </c>
      <c r="AD1068" t="b">
        <f>+ISNUMBER(SEARCH('F-COMPRA'!#REF!,Tabla11[[#This Row],[Cuenta]],1))</f>
        <v>0</v>
      </c>
      <c r="AE1068" t="b">
        <f>+ISNUMBER(SEARCH('F-COMPRA'!#REF!,Tabla11[[#This Row],[Cuenta]],1))</f>
        <v>0</v>
      </c>
      <c r="AF1068" t="b">
        <f>+ISNUMBER(SEARCH('F-VTA'!$G$23,Tabla11[[#This Row],[Cuenta]],1))</f>
        <v>0</v>
      </c>
      <c r="AG1068" t="b">
        <f>+ISNUMBER(SEARCH('F-VTA'!$G$24,Tabla11[[#This Row],[Cuenta]],1))</f>
        <v>0</v>
      </c>
      <c r="AH1068" t="b">
        <f>+ISNUMBER(SEARCH('F-VTA'!$G$25,Tabla11[[#This Row],[Cuenta]],1))</f>
        <v>0</v>
      </c>
      <c r="AI1068" t="b">
        <f>+ISNUMBER(SEARCH('F-VTA'!$F$28,Tabla11[[#This Row],[Cuenta]],1))</f>
        <v>1</v>
      </c>
      <c r="AJ1068" t="b">
        <f>+ISNUMBER(SEARCH('F-VTA'!$F$29,Tabla11[[#This Row],[Cuenta]],1))</f>
        <v>1</v>
      </c>
      <c r="AK1068" t="b">
        <f>+ISNUMBER(SEARCH('F-VTA'!$F$30,Tabla11[[#This Row],[Cuenta]],1))</f>
        <v>1</v>
      </c>
      <c r="AL1068" t="b">
        <f>+ISNUMBER(SEARCH('F-VTA'!$F$31,Tabla11[[#This Row],[Cuenta]],1))</f>
        <v>1</v>
      </c>
      <c r="AM1068" t="b">
        <f>+ISNUMBER(SEARCH('F-VTA'!$F$32,Tabla11[[#This Row],[Cuenta]],1))</f>
        <v>1</v>
      </c>
      <c r="AN1068" t="b">
        <f>+ISNUMBER(SEARCH('F-VTA'!$F$33,Tabla11[[#This Row],[Cuenta]],1))</f>
        <v>1</v>
      </c>
      <c r="AO1068" t="b">
        <f>+ISNUMBER(SEARCH('F-VTA'!$F$34,Tabla11[[#This Row],[Cuenta]],1))</f>
        <v>1</v>
      </c>
      <c r="AP1068" t="b">
        <f>+ISNUMBER(SEARCH('F-VTA'!$F$35,Tabla11[[#This Row],[Cuenta]],1))</f>
        <v>1</v>
      </c>
      <c r="AQ1068" t="b">
        <f>+ISNUMBER(SEARCH('F-VTA'!$F$36,Tabla11[[#This Row],[Cuenta]],1))</f>
        <v>1</v>
      </c>
      <c r="AR1068" t="b">
        <f>+ISNUMBER(SEARCH(#REF!,Tabla11[[#This Row],[Cuenta]],1))</f>
        <v>0</v>
      </c>
      <c r="AS1068" t="b">
        <f>+ISNUMBER(SEARCH(#REF!,Tabla11[[#This Row],[Cuenta]],1))</f>
        <v>0</v>
      </c>
      <c r="AT1068" t="b">
        <f>+ISNUMBER(SEARCH(#REF!,Tabla11[[#This Row],[Cuenta]],1))</f>
        <v>0</v>
      </c>
      <c r="AU1068" t="b">
        <f>+ISNUMBER(SEARCH('Conc. Ban.1'!$I$9,Tabla11[[#This Row],[Cuenta]],1))</f>
        <v>0</v>
      </c>
      <c r="AV1068" t="b">
        <f>+ISNUMBER(SEARCH(CompConta!$F$21,Tabla11[[#This Row],[Cuenta]],1))</f>
        <v>1</v>
      </c>
      <c r="AW1068" t="b">
        <f>+ISNUMBER(SEARCH(CompConta!$F$22,Tabla11[[#This Row],[Cuenta]],1))</f>
        <v>1</v>
      </c>
      <c r="AX1068" t="b">
        <f>+ISNUMBER(SEARCH(CompConta!$F$23,Tabla11[[#This Row],[Cuenta]],1))</f>
        <v>1</v>
      </c>
      <c r="AY1068" t="b">
        <f>+ISNUMBER(SEARCH(CompConta!$F$24,Tabla11[[#This Row],[Cuenta]],1))</f>
        <v>1</v>
      </c>
      <c r="AZ1068" t="b">
        <f>+ISNUMBER(SEARCH(CompConta!$F$25,Tabla11[[#This Row],[Cuenta]],1))</f>
        <v>1</v>
      </c>
      <c r="BA1068" t="b">
        <f>+ISNUMBER(SEARCH(CompConta!$F$26,Tabla11[[#This Row],[Cuenta]],1))</f>
        <v>1</v>
      </c>
      <c r="BB1068" t="b">
        <f>+ISNUMBER(SEARCH(CompConta!$F$27,Tabla11[[#This Row],[Cuenta]],1))</f>
        <v>1</v>
      </c>
      <c r="BC1068" t="b">
        <f>+ISNUMBER(SEARCH(CompConta!$F$28,Tabla11[[#This Row],[Cuenta]],1))</f>
        <v>1</v>
      </c>
      <c r="BD1068" t="b">
        <f>+ISNUMBER(SEARCH(CompConta!$F$29,Tabla11[[#This Row],[Cuenta]],1))</f>
        <v>1</v>
      </c>
      <c r="BE1068" t="b">
        <f>+ISNUMBER(SEARCH(CompConta!$F$30,Tabla11[[#This Row],[Cuenta]],1))</f>
        <v>1</v>
      </c>
      <c r="BF1068" t="b">
        <f>+ISNUMBER(SEARCH('PAGO Compras'!$E$11,Tabla11[[#This Row],[Cuenta]],1))</f>
        <v>1</v>
      </c>
      <c r="BG1068" t="b">
        <f>+ISNUMBER(SEARCH(#REF!,Tabla11[[#This Row],[Cuenta]],1))</f>
        <v>0</v>
      </c>
      <c r="BH1068" t="b">
        <f>+ISNUMBER(SEARCH(#REF!,Tabla11[[#This Row],[Cuenta]],1))</f>
        <v>0</v>
      </c>
      <c r="BI1068" t="b">
        <f>+ISNUMBER(SEARCH(#REF!,Tabla11[[#This Row],[Cuenta]],1))</f>
        <v>0</v>
      </c>
      <c r="BJ1068" t="b">
        <f>+ISNUMBER(SEARCH(#REF!,Tabla11[[#This Row],[Cuenta]],1))</f>
        <v>0</v>
      </c>
      <c r="BS1068" t="str">
        <v>526065 Envases y empaques</v>
      </c>
      <c r="BT1068" t="str">
        <v>526065 Envases y empaques</v>
      </c>
      <c r="BU1068" t="str">
        <v>526065 Envases y empaques</v>
      </c>
      <c r="BV1068" t="str">
        <v>526065 Envases y empaques</v>
      </c>
      <c r="BZ1068" t="str">
        <v>526065 Envases y empaques</v>
      </c>
      <c r="CA1068" t="str">
        <v>526065 Envases y empaques</v>
      </c>
      <c r="CB1068" t="str">
        <v>526065 Envases y empaques</v>
      </c>
      <c r="CC1068" t="str">
        <v>526065 Envases y empaques</v>
      </c>
      <c r="CD1068" t="str">
        <v>526065 Envases y empaques</v>
      </c>
      <c r="CE1068" t="str">
        <v>526065 Envases y empaques</v>
      </c>
      <c r="CS1068" s="141" t="str">
        <v>526065 Envases y empaques</v>
      </c>
      <c r="CT1068" s="141" t="str">
        <v>526065 Envases y empaques</v>
      </c>
      <c r="CU1068" s="141" t="str">
        <v>526065 Envases y empaques</v>
      </c>
      <c r="CV1068" s="141" t="str">
        <v>526065 Envases y empaques</v>
      </c>
      <c r="CW1068" s="141" t="str">
        <v>526065 Envases y empaques</v>
      </c>
      <c r="CX1068" s="141" t="str">
        <v>526065 Envases y empaques</v>
      </c>
      <c r="CY1068" s="141" t="str">
        <v>526065 Envases y empaques</v>
      </c>
      <c r="CZ1068" s="141" t="str">
        <v>526065 Envases y empaques</v>
      </c>
      <c r="DA1068" s="141" t="str">
        <v>526065 Envases y empaques</v>
      </c>
      <c r="DF1068" t="str">
        <v>526065 Envases y empaques</v>
      </c>
      <c r="DG1068" t="str">
        <v>526065 Envases y empaques</v>
      </c>
      <c r="DH1068" t="str">
        <v>526065 Envases y empaques</v>
      </c>
      <c r="DI1068" t="str">
        <v>526065 Envases y empaques</v>
      </c>
      <c r="DJ1068" t="str">
        <v>526065 Envases y empaques</v>
      </c>
      <c r="DK1068" t="str">
        <v>526065 Envases y empaques</v>
      </c>
      <c r="DL1068" t="str">
        <v>526065 Envases y empaques</v>
      </c>
      <c r="DM1068" t="str">
        <v>526065 Envases y empaques</v>
      </c>
      <c r="DN1068" t="str">
        <v>526065 Envases y empaques</v>
      </c>
      <c r="DO1068" t="str">
        <v>526065 Envases y empaques</v>
      </c>
      <c r="DP1068" t="str">
        <v>526065 Envases y empaques</v>
      </c>
    </row>
    <row r="1069" spans="4:120" ht="12.75">
      <c r="D1069" s="7">
        <v>526099</v>
      </c>
      <c r="E1069" s="6" t="s">
        <v>93</v>
      </c>
      <c r="F1069" s="5">
        <v>4</v>
      </c>
      <c r="G1069" s="34" t="s">
        <v>830</v>
      </c>
      <c r="H1069" s="8" t="s">
        <v>32</v>
      </c>
      <c r="I1069" t="b">
        <f>+ISNUMBER(SEARCH('F-COMPRA'!$F$28,Tabla11[[#This Row],[Cuenta]],1))</f>
        <v>1</v>
      </c>
      <c r="J1069" t="b">
        <f>+ISNUMBER(SEARCH('F-COMPRA'!$F$29,Tabla11[[#This Row],[Cuenta]],1))</f>
        <v>1</v>
      </c>
      <c r="K1069" t="b">
        <f>+ISNUMBER(SEARCH('F-COMPRA'!$F$30,Tabla11[[#This Row],[Cuenta]],1))</f>
        <v>1</v>
      </c>
      <c r="L1069" t="b">
        <f>+ISNUMBER(SEARCH('F-COMPRA'!$F$31,Tabla11[[#This Row],[Cuenta]],1))</f>
        <v>1</v>
      </c>
      <c r="M1069" t="b">
        <f>+ISNUMBER(SEARCH('F-COMPRA'!$G$25,Tabla11[[#This Row],[Cuenta]],1))</f>
        <v>0</v>
      </c>
      <c r="N1069" t="b">
        <f>+ISNUMBER(SEARCH(#REF!,Tabla11[[#This Row],[Cuenta]],1))</f>
        <v>0</v>
      </c>
      <c r="O1069" t="b">
        <f>+ISNUMBER(SEARCH(#REF!,Tabla11[[#This Row],[Cuenta]],1))</f>
        <v>0</v>
      </c>
      <c r="P1069" t="b">
        <f>+ISNUMBER(SEARCH('F-COMPRA'!$F$32,Tabla11[[#This Row],[Cuenta]],1))</f>
        <v>1</v>
      </c>
      <c r="Q1069" t="b">
        <f>+ISNUMBER(SEARCH('F-COMPRA'!$F$33,Tabla11[[#This Row],[Cuenta]],1))</f>
        <v>1</v>
      </c>
      <c r="R1069" t="b">
        <f>+ISNUMBER(SEARCH('F-COMPRA'!$F$34,Tabla11[[#This Row],[Cuenta]],1))</f>
        <v>1</v>
      </c>
      <c r="S1069" t="b">
        <f>+ISNUMBER(SEARCH('F-COMPRA'!$F$35,Tabla11[[#This Row],[Cuenta]],1))</f>
        <v>1</v>
      </c>
      <c r="T1069" t="b">
        <f>+ISNUMBER(SEARCH('F-COMPRA'!$F$36,Tabla11[[#This Row],[Cuenta]],1))</f>
        <v>1</v>
      </c>
      <c r="U1069" t="b">
        <f>+ISNUMBER(SEARCH('F-COMPRA'!$F$37,Tabla11[[#This Row],[Cuenta]],1))</f>
        <v>1</v>
      </c>
      <c r="V1069" t="b">
        <f>+ISNUMBER(SEARCH(#REF!,Tabla11[[#This Row],[Cuenta]],1))</f>
        <v>0</v>
      </c>
      <c r="W1069" t="b">
        <f>+ISNUMBER(SEARCH('F-COMPRA'!#REF!,Tabla11[[#This Row],[Cuenta]],1))</f>
        <v>0</v>
      </c>
      <c r="X1069" t="b">
        <f>+ISNUMBER(SEARCH('F-COMPRA'!#REF!,Tabla11[[#This Row],[Cuenta]],1))</f>
        <v>0</v>
      </c>
      <c r="Y1069" t="b">
        <f>+ISNUMBER(SEARCH('F-COMPRA'!#REF!,Tabla11[[#This Row],[Cuenta]],1))</f>
        <v>0</v>
      </c>
      <c r="Z1069" t="b">
        <f>+ISNUMBER(SEARCH('F-COMPRA'!#REF!,Tabla11[[#This Row],[Cuenta]],1))</f>
        <v>0</v>
      </c>
      <c r="AA1069" t="b">
        <f>+ISNUMBER(SEARCH('F-COMPRA'!#REF!,Tabla11[[#This Row],[Cuenta]],1))</f>
        <v>0</v>
      </c>
      <c r="AB1069" t="b">
        <f>+ISNUMBER(SEARCH('F-COMPRA'!#REF!,Tabla11[[#This Row],[Cuenta]],1))</f>
        <v>0</v>
      </c>
      <c r="AC1069" t="b">
        <f>+ISNUMBER(SEARCH('F-COMPRA'!#REF!,Tabla11[[#This Row],[Cuenta]],1))</f>
        <v>0</v>
      </c>
      <c r="AD1069" t="b">
        <f>+ISNUMBER(SEARCH('F-COMPRA'!#REF!,Tabla11[[#This Row],[Cuenta]],1))</f>
        <v>0</v>
      </c>
      <c r="AE1069" t="b">
        <f>+ISNUMBER(SEARCH('F-COMPRA'!#REF!,Tabla11[[#This Row],[Cuenta]],1))</f>
        <v>0</v>
      </c>
      <c r="AF1069" t="b">
        <f>+ISNUMBER(SEARCH('F-VTA'!$G$23,Tabla11[[#This Row],[Cuenta]],1))</f>
        <v>0</v>
      </c>
      <c r="AG1069" t="b">
        <f>+ISNUMBER(SEARCH('F-VTA'!$G$24,Tabla11[[#This Row],[Cuenta]],1))</f>
        <v>0</v>
      </c>
      <c r="AH1069" t="b">
        <f>+ISNUMBER(SEARCH('F-VTA'!$G$25,Tabla11[[#This Row],[Cuenta]],1))</f>
        <v>0</v>
      </c>
      <c r="AI1069" t="b">
        <f>+ISNUMBER(SEARCH('F-VTA'!$F$28,Tabla11[[#This Row],[Cuenta]],1))</f>
        <v>1</v>
      </c>
      <c r="AJ1069" t="b">
        <f>+ISNUMBER(SEARCH('F-VTA'!$F$29,Tabla11[[#This Row],[Cuenta]],1))</f>
        <v>1</v>
      </c>
      <c r="AK1069" t="b">
        <f>+ISNUMBER(SEARCH('F-VTA'!$F$30,Tabla11[[#This Row],[Cuenta]],1))</f>
        <v>1</v>
      </c>
      <c r="AL1069" t="b">
        <f>+ISNUMBER(SEARCH('F-VTA'!$F$31,Tabla11[[#This Row],[Cuenta]],1))</f>
        <v>1</v>
      </c>
      <c r="AM1069" t="b">
        <f>+ISNUMBER(SEARCH('F-VTA'!$F$32,Tabla11[[#This Row],[Cuenta]],1))</f>
        <v>1</v>
      </c>
      <c r="AN1069" t="b">
        <f>+ISNUMBER(SEARCH('F-VTA'!$F$33,Tabla11[[#This Row],[Cuenta]],1))</f>
        <v>1</v>
      </c>
      <c r="AO1069" t="b">
        <f>+ISNUMBER(SEARCH('F-VTA'!$F$34,Tabla11[[#This Row],[Cuenta]],1))</f>
        <v>1</v>
      </c>
      <c r="AP1069" t="b">
        <f>+ISNUMBER(SEARCH('F-VTA'!$F$35,Tabla11[[#This Row],[Cuenta]],1))</f>
        <v>1</v>
      </c>
      <c r="AQ1069" t="b">
        <f>+ISNUMBER(SEARCH('F-VTA'!$F$36,Tabla11[[#This Row],[Cuenta]],1))</f>
        <v>1</v>
      </c>
      <c r="AR1069" t="b">
        <f>+ISNUMBER(SEARCH(#REF!,Tabla11[[#This Row],[Cuenta]],1))</f>
        <v>0</v>
      </c>
      <c r="AS1069" t="b">
        <f>+ISNUMBER(SEARCH(#REF!,Tabla11[[#This Row],[Cuenta]],1))</f>
        <v>0</v>
      </c>
      <c r="AT1069" t="b">
        <f>+ISNUMBER(SEARCH(#REF!,Tabla11[[#This Row],[Cuenta]],1))</f>
        <v>0</v>
      </c>
      <c r="AU1069" t="b">
        <f>+ISNUMBER(SEARCH('Conc. Ban.1'!$I$9,Tabla11[[#This Row],[Cuenta]],1))</f>
        <v>0</v>
      </c>
      <c r="AV1069" t="b">
        <f>+ISNUMBER(SEARCH(CompConta!$F$21,Tabla11[[#This Row],[Cuenta]],1))</f>
        <v>1</v>
      </c>
      <c r="AW1069" t="b">
        <f>+ISNUMBER(SEARCH(CompConta!$F$22,Tabla11[[#This Row],[Cuenta]],1))</f>
        <v>1</v>
      </c>
      <c r="AX1069" t="b">
        <f>+ISNUMBER(SEARCH(CompConta!$F$23,Tabla11[[#This Row],[Cuenta]],1))</f>
        <v>1</v>
      </c>
      <c r="AY1069" t="b">
        <f>+ISNUMBER(SEARCH(CompConta!$F$24,Tabla11[[#This Row],[Cuenta]],1))</f>
        <v>1</v>
      </c>
      <c r="AZ1069" t="b">
        <f>+ISNUMBER(SEARCH(CompConta!$F$25,Tabla11[[#This Row],[Cuenta]],1))</f>
        <v>1</v>
      </c>
      <c r="BA1069" t="b">
        <f>+ISNUMBER(SEARCH(CompConta!$F$26,Tabla11[[#This Row],[Cuenta]],1))</f>
        <v>1</v>
      </c>
      <c r="BB1069" t="b">
        <f>+ISNUMBER(SEARCH(CompConta!$F$27,Tabla11[[#This Row],[Cuenta]],1))</f>
        <v>1</v>
      </c>
      <c r="BC1069" t="b">
        <f>+ISNUMBER(SEARCH(CompConta!$F$28,Tabla11[[#This Row],[Cuenta]],1))</f>
        <v>1</v>
      </c>
      <c r="BD1069" t="b">
        <f>+ISNUMBER(SEARCH(CompConta!$F$29,Tabla11[[#This Row],[Cuenta]],1))</f>
        <v>1</v>
      </c>
      <c r="BE1069" t="b">
        <f>+ISNUMBER(SEARCH(CompConta!$F$30,Tabla11[[#This Row],[Cuenta]],1))</f>
        <v>1</v>
      </c>
      <c r="BF1069" t="b">
        <f>+ISNUMBER(SEARCH('PAGO Compras'!$E$11,Tabla11[[#This Row],[Cuenta]],1))</f>
        <v>1</v>
      </c>
      <c r="BG1069" t="b">
        <f>+ISNUMBER(SEARCH(#REF!,Tabla11[[#This Row],[Cuenta]],1))</f>
        <v>0</v>
      </c>
      <c r="BH1069" t="b">
        <f>+ISNUMBER(SEARCH(#REF!,Tabla11[[#This Row],[Cuenta]],1))</f>
        <v>0</v>
      </c>
      <c r="BI1069" t="b">
        <f>+ISNUMBER(SEARCH(#REF!,Tabla11[[#This Row],[Cuenta]],1))</f>
        <v>0</v>
      </c>
      <c r="BJ1069" t="b">
        <f>+ISNUMBER(SEARCH(#REF!,Tabla11[[#This Row],[Cuenta]],1))</f>
        <v>0</v>
      </c>
      <c r="BS1069" t="str">
        <v>526099 *Ajustes por inflación</v>
      </c>
      <c r="BT1069" t="str">
        <v>526099 *Ajustes por inflación</v>
      </c>
      <c r="BU1069" t="str">
        <v>526099 *Ajustes por inflación</v>
      </c>
      <c r="BV1069" t="str">
        <v>526099 *Ajustes por inflación</v>
      </c>
      <c r="BZ1069" t="str">
        <v>526099 *Ajustes por inflación</v>
      </c>
      <c r="CA1069" t="str">
        <v>526099 *Ajustes por inflación</v>
      </c>
      <c r="CB1069" t="str">
        <v>526099 *Ajustes por inflación</v>
      </c>
      <c r="CC1069" t="str">
        <v>526099 *Ajustes por inflación</v>
      </c>
      <c r="CD1069" t="str">
        <v>526099 *Ajustes por inflación</v>
      </c>
      <c r="CE1069" t="str">
        <v>526099 *Ajustes por inflación</v>
      </c>
      <c r="CS1069" s="141" t="str">
        <v>526099 *Ajustes por inflación</v>
      </c>
      <c r="CT1069" s="141" t="str">
        <v>526099 *Ajustes por inflación</v>
      </c>
      <c r="CU1069" s="141" t="str">
        <v>526099 *Ajustes por inflación</v>
      </c>
      <c r="CV1069" s="141" t="str">
        <v>526099 *Ajustes por inflación</v>
      </c>
      <c r="CW1069" s="141" t="str">
        <v>526099 *Ajustes por inflación</v>
      </c>
      <c r="CX1069" s="141" t="str">
        <v>526099 *Ajustes por inflación</v>
      </c>
      <c r="CY1069" s="141" t="str">
        <v>526099 *Ajustes por inflación</v>
      </c>
      <c r="CZ1069" s="141" t="str">
        <v>526099 *Ajustes por inflación</v>
      </c>
      <c r="DA1069" s="141" t="str">
        <v>526099 *Ajustes por inflación</v>
      </c>
      <c r="DF1069" t="str">
        <v>526099 *Ajustes por inflación</v>
      </c>
      <c r="DG1069" t="str">
        <v>526099 *Ajustes por inflación</v>
      </c>
      <c r="DH1069" t="str">
        <v>526099 *Ajustes por inflación</v>
      </c>
      <c r="DI1069" t="str">
        <v>526099 *Ajustes por inflación</v>
      </c>
      <c r="DJ1069" t="str">
        <v>526099 *Ajustes por inflación</v>
      </c>
      <c r="DK1069" t="str">
        <v>526099 *Ajustes por inflación</v>
      </c>
      <c r="DL1069" t="str">
        <v>526099 *Ajustes por inflación</v>
      </c>
      <c r="DM1069" t="str">
        <v>526099 *Ajustes por inflación</v>
      </c>
      <c r="DN1069" t="str">
        <v>526099 *Ajustes por inflación</v>
      </c>
      <c r="DO1069" t="str">
        <v>526099 *Ajustes por inflación</v>
      </c>
      <c r="DP1069" t="str">
        <v>526099 *Ajustes por inflación</v>
      </c>
    </row>
    <row r="1070" spans="4:120" ht="12.75">
      <c r="D1070" s="7">
        <v>5265</v>
      </c>
      <c r="E1070" s="6" t="s">
        <v>611</v>
      </c>
      <c r="F1070" s="5">
        <v>3</v>
      </c>
      <c r="G1070" s="34" t="s">
        <v>830</v>
      </c>
      <c r="H1070" s="8" t="s">
        <v>32</v>
      </c>
      <c r="I1070" t="b">
        <f>+ISNUMBER(SEARCH('F-COMPRA'!$F$28,Tabla11[[#This Row],[Cuenta]],1))</f>
        <v>1</v>
      </c>
      <c r="J1070" t="b">
        <f>+ISNUMBER(SEARCH('F-COMPRA'!$F$29,Tabla11[[#This Row],[Cuenta]],1))</f>
        <v>1</v>
      </c>
      <c r="K1070" t="b">
        <f>+ISNUMBER(SEARCH('F-COMPRA'!$F$30,Tabla11[[#This Row],[Cuenta]],1))</f>
        <v>1</v>
      </c>
      <c r="L1070" t="b">
        <f>+ISNUMBER(SEARCH('F-COMPRA'!$F$31,Tabla11[[#This Row],[Cuenta]],1))</f>
        <v>1</v>
      </c>
      <c r="M1070" t="b">
        <f>+ISNUMBER(SEARCH('F-COMPRA'!$G$25,Tabla11[[#This Row],[Cuenta]],1))</f>
        <v>0</v>
      </c>
      <c r="N1070" t="b">
        <f>+ISNUMBER(SEARCH(#REF!,Tabla11[[#This Row],[Cuenta]],1))</f>
        <v>0</v>
      </c>
      <c r="O1070" t="b">
        <f>+ISNUMBER(SEARCH(#REF!,Tabla11[[#This Row],[Cuenta]],1))</f>
        <v>0</v>
      </c>
      <c r="P1070" t="b">
        <f>+ISNUMBER(SEARCH('F-COMPRA'!$F$32,Tabla11[[#This Row],[Cuenta]],1))</f>
        <v>1</v>
      </c>
      <c r="Q1070" t="b">
        <f>+ISNUMBER(SEARCH('F-COMPRA'!$F$33,Tabla11[[#This Row],[Cuenta]],1))</f>
        <v>1</v>
      </c>
      <c r="R1070" t="b">
        <f>+ISNUMBER(SEARCH('F-COMPRA'!$F$34,Tabla11[[#This Row],[Cuenta]],1))</f>
        <v>1</v>
      </c>
      <c r="S1070" t="b">
        <f>+ISNUMBER(SEARCH('F-COMPRA'!$F$35,Tabla11[[#This Row],[Cuenta]],1))</f>
        <v>1</v>
      </c>
      <c r="T1070" t="b">
        <f>+ISNUMBER(SEARCH('F-COMPRA'!$F$36,Tabla11[[#This Row],[Cuenta]],1))</f>
        <v>1</v>
      </c>
      <c r="U1070" t="b">
        <f>+ISNUMBER(SEARCH('F-COMPRA'!$F$37,Tabla11[[#This Row],[Cuenta]],1))</f>
        <v>1</v>
      </c>
      <c r="V1070" t="b">
        <f>+ISNUMBER(SEARCH(#REF!,Tabla11[[#This Row],[Cuenta]],1))</f>
        <v>0</v>
      </c>
      <c r="W1070" t="b">
        <f>+ISNUMBER(SEARCH('F-COMPRA'!#REF!,Tabla11[[#This Row],[Cuenta]],1))</f>
        <v>0</v>
      </c>
      <c r="X1070" t="b">
        <f>+ISNUMBER(SEARCH('F-COMPRA'!#REF!,Tabla11[[#This Row],[Cuenta]],1))</f>
        <v>0</v>
      </c>
      <c r="Y1070" t="b">
        <f>+ISNUMBER(SEARCH('F-COMPRA'!#REF!,Tabla11[[#This Row],[Cuenta]],1))</f>
        <v>0</v>
      </c>
      <c r="Z1070" t="b">
        <f>+ISNUMBER(SEARCH('F-COMPRA'!#REF!,Tabla11[[#This Row],[Cuenta]],1))</f>
        <v>0</v>
      </c>
      <c r="AA1070" t="b">
        <f>+ISNUMBER(SEARCH('F-COMPRA'!#REF!,Tabla11[[#This Row],[Cuenta]],1))</f>
        <v>0</v>
      </c>
      <c r="AB1070" t="b">
        <f>+ISNUMBER(SEARCH('F-COMPRA'!#REF!,Tabla11[[#This Row],[Cuenta]],1))</f>
        <v>0</v>
      </c>
      <c r="AC1070" t="b">
        <f>+ISNUMBER(SEARCH('F-COMPRA'!#REF!,Tabla11[[#This Row],[Cuenta]],1))</f>
        <v>0</v>
      </c>
      <c r="AD1070" t="b">
        <f>+ISNUMBER(SEARCH('F-COMPRA'!#REF!,Tabla11[[#This Row],[Cuenta]],1))</f>
        <v>0</v>
      </c>
      <c r="AE1070" t="b">
        <f>+ISNUMBER(SEARCH('F-COMPRA'!#REF!,Tabla11[[#This Row],[Cuenta]],1))</f>
        <v>0</v>
      </c>
      <c r="AF1070" t="b">
        <f>+ISNUMBER(SEARCH('F-VTA'!$G$23,Tabla11[[#This Row],[Cuenta]],1))</f>
        <v>0</v>
      </c>
      <c r="AG1070" t="b">
        <f>+ISNUMBER(SEARCH('F-VTA'!$G$24,Tabla11[[#This Row],[Cuenta]],1))</f>
        <v>0</v>
      </c>
      <c r="AH1070" t="b">
        <f>+ISNUMBER(SEARCH('F-VTA'!$G$25,Tabla11[[#This Row],[Cuenta]],1))</f>
        <v>0</v>
      </c>
      <c r="AI1070" t="b">
        <f>+ISNUMBER(SEARCH('F-VTA'!$F$28,Tabla11[[#This Row],[Cuenta]],1))</f>
        <v>1</v>
      </c>
      <c r="AJ1070" t="b">
        <f>+ISNUMBER(SEARCH('F-VTA'!$F$29,Tabla11[[#This Row],[Cuenta]],1))</f>
        <v>1</v>
      </c>
      <c r="AK1070" t="b">
        <f>+ISNUMBER(SEARCH('F-VTA'!$F$30,Tabla11[[#This Row],[Cuenta]],1))</f>
        <v>1</v>
      </c>
      <c r="AL1070" t="b">
        <f>+ISNUMBER(SEARCH('F-VTA'!$F$31,Tabla11[[#This Row],[Cuenta]],1))</f>
        <v>1</v>
      </c>
      <c r="AM1070" t="b">
        <f>+ISNUMBER(SEARCH('F-VTA'!$F$32,Tabla11[[#This Row],[Cuenta]],1))</f>
        <v>1</v>
      </c>
      <c r="AN1070" t="b">
        <f>+ISNUMBER(SEARCH('F-VTA'!$F$33,Tabla11[[#This Row],[Cuenta]],1))</f>
        <v>1</v>
      </c>
      <c r="AO1070" t="b">
        <f>+ISNUMBER(SEARCH('F-VTA'!$F$34,Tabla11[[#This Row],[Cuenta]],1))</f>
        <v>1</v>
      </c>
      <c r="AP1070" t="b">
        <f>+ISNUMBER(SEARCH('F-VTA'!$F$35,Tabla11[[#This Row],[Cuenta]],1))</f>
        <v>1</v>
      </c>
      <c r="AQ1070" t="b">
        <f>+ISNUMBER(SEARCH('F-VTA'!$F$36,Tabla11[[#This Row],[Cuenta]],1))</f>
        <v>1</v>
      </c>
      <c r="AR1070" t="b">
        <f>+ISNUMBER(SEARCH(#REF!,Tabla11[[#This Row],[Cuenta]],1))</f>
        <v>0</v>
      </c>
      <c r="AS1070" t="b">
        <f>+ISNUMBER(SEARCH(#REF!,Tabla11[[#This Row],[Cuenta]],1))</f>
        <v>0</v>
      </c>
      <c r="AT1070" t="b">
        <f>+ISNUMBER(SEARCH(#REF!,Tabla11[[#This Row],[Cuenta]],1))</f>
        <v>0</v>
      </c>
      <c r="AU1070" t="b">
        <f>+ISNUMBER(SEARCH('Conc. Ban.1'!$I$9,Tabla11[[#This Row],[Cuenta]],1))</f>
        <v>0</v>
      </c>
      <c r="AV1070" t="b">
        <f>+ISNUMBER(SEARCH(CompConta!$F$21,Tabla11[[#This Row],[Cuenta]],1))</f>
        <v>1</v>
      </c>
      <c r="AW1070" t="b">
        <f>+ISNUMBER(SEARCH(CompConta!$F$22,Tabla11[[#This Row],[Cuenta]],1))</f>
        <v>1</v>
      </c>
      <c r="AX1070" t="b">
        <f>+ISNUMBER(SEARCH(CompConta!$F$23,Tabla11[[#This Row],[Cuenta]],1))</f>
        <v>1</v>
      </c>
      <c r="AY1070" t="b">
        <f>+ISNUMBER(SEARCH(CompConta!$F$24,Tabla11[[#This Row],[Cuenta]],1))</f>
        <v>1</v>
      </c>
      <c r="AZ1070" t="b">
        <f>+ISNUMBER(SEARCH(CompConta!$F$25,Tabla11[[#This Row],[Cuenta]],1))</f>
        <v>1</v>
      </c>
      <c r="BA1070" t="b">
        <f>+ISNUMBER(SEARCH(CompConta!$F$26,Tabla11[[#This Row],[Cuenta]],1))</f>
        <v>1</v>
      </c>
      <c r="BB1070" t="b">
        <f>+ISNUMBER(SEARCH(CompConta!$F$27,Tabla11[[#This Row],[Cuenta]],1))</f>
        <v>1</v>
      </c>
      <c r="BC1070" t="b">
        <f>+ISNUMBER(SEARCH(CompConta!$F$28,Tabla11[[#This Row],[Cuenta]],1))</f>
        <v>1</v>
      </c>
      <c r="BD1070" t="b">
        <f>+ISNUMBER(SEARCH(CompConta!$F$29,Tabla11[[#This Row],[Cuenta]],1))</f>
        <v>1</v>
      </c>
      <c r="BE1070" t="b">
        <f>+ISNUMBER(SEARCH(CompConta!$F$30,Tabla11[[#This Row],[Cuenta]],1))</f>
        <v>1</v>
      </c>
      <c r="BF1070" t="b">
        <f>+ISNUMBER(SEARCH('PAGO Compras'!$E$11,Tabla11[[#This Row],[Cuenta]],1))</f>
        <v>1</v>
      </c>
      <c r="BG1070" t="b">
        <f>+ISNUMBER(SEARCH(#REF!,Tabla11[[#This Row],[Cuenta]],1))</f>
        <v>0</v>
      </c>
      <c r="BH1070" t="b">
        <f>+ISNUMBER(SEARCH(#REF!,Tabla11[[#This Row],[Cuenta]],1))</f>
        <v>0</v>
      </c>
      <c r="BI1070" t="b">
        <f>+ISNUMBER(SEARCH(#REF!,Tabla11[[#This Row],[Cuenta]],1))</f>
        <v>0</v>
      </c>
      <c r="BJ1070" t="b">
        <f>+ISNUMBER(SEARCH(#REF!,Tabla11[[#This Row],[Cuenta]],1))</f>
        <v>0</v>
      </c>
      <c r="BS1070" t="str">
        <v>5265 AMORTIZACIONES</v>
      </c>
      <c r="BT1070" t="str">
        <v>5265 AMORTIZACIONES</v>
      </c>
      <c r="BU1070" t="str">
        <v>5265 AMORTIZACIONES</v>
      </c>
      <c r="BV1070" t="str">
        <v>5265 AMORTIZACIONES</v>
      </c>
      <c r="BZ1070" t="str">
        <v>5265 AMORTIZACIONES</v>
      </c>
      <c r="CA1070" t="str">
        <v>5265 AMORTIZACIONES</v>
      </c>
      <c r="CB1070" t="str">
        <v>5265 AMORTIZACIONES</v>
      </c>
      <c r="CC1070" t="str">
        <v>5265 AMORTIZACIONES</v>
      </c>
      <c r="CD1070" t="str">
        <v>5265 AMORTIZACIONES</v>
      </c>
      <c r="CE1070" t="str">
        <v>5265 AMORTIZACIONES</v>
      </c>
      <c r="CS1070" s="141" t="str">
        <v>5265 AMORTIZACIONES</v>
      </c>
      <c r="CT1070" s="141" t="str">
        <v>5265 AMORTIZACIONES</v>
      </c>
      <c r="CU1070" s="141" t="str">
        <v>5265 AMORTIZACIONES</v>
      </c>
      <c r="CV1070" s="141" t="str">
        <v>5265 AMORTIZACIONES</v>
      </c>
      <c r="CW1070" s="141" t="str">
        <v>5265 AMORTIZACIONES</v>
      </c>
      <c r="CX1070" s="141" t="str">
        <v>5265 AMORTIZACIONES</v>
      </c>
      <c r="CY1070" s="141" t="str">
        <v>5265 AMORTIZACIONES</v>
      </c>
      <c r="CZ1070" s="141" t="str">
        <v>5265 AMORTIZACIONES</v>
      </c>
      <c r="DA1070" s="141" t="str">
        <v>5265 AMORTIZACIONES</v>
      </c>
      <c r="DF1070" t="str">
        <v>5265 AMORTIZACIONES</v>
      </c>
      <c r="DG1070" t="str">
        <v>5265 AMORTIZACIONES</v>
      </c>
      <c r="DH1070" t="str">
        <v>5265 AMORTIZACIONES</v>
      </c>
      <c r="DI1070" t="str">
        <v>5265 AMORTIZACIONES</v>
      </c>
      <c r="DJ1070" t="str">
        <v>5265 AMORTIZACIONES</v>
      </c>
      <c r="DK1070" t="str">
        <v>5265 AMORTIZACIONES</v>
      </c>
      <c r="DL1070" t="str">
        <v>5265 AMORTIZACIONES</v>
      </c>
      <c r="DM1070" t="str">
        <v>5265 AMORTIZACIONES</v>
      </c>
      <c r="DN1070" t="str">
        <v>5265 AMORTIZACIONES</v>
      </c>
      <c r="DO1070" t="str">
        <v>5265 AMORTIZACIONES</v>
      </c>
      <c r="DP1070" t="str">
        <v>5265 AMORTIZACIONES</v>
      </c>
    </row>
    <row r="1071" spans="4:120" ht="12.75">
      <c r="D1071" s="7">
        <v>526505</v>
      </c>
      <c r="E1071" s="6" t="s">
        <v>123</v>
      </c>
      <c r="F1071" s="5">
        <v>4</v>
      </c>
      <c r="G1071" s="34" t="s">
        <v>830</v>
      </c>
      <c r="H1071" s="8" t="s">
        <v>32</v>
      </c>
      <c r="I1071" t="b">
        <f>+ISNUMBER(SEARCH('F-COMPRA'!$F$28,Tabla11[[#This Row],[Cuenta]],1))</f>
        <v>1</v>
      </c>
      <c r="J1071" t="b">
        <f>+ISNUMBER(SEARCH('F-COMPRA'!$F$29,Tabla11[[#This Row],[Cuenta]],1))</f>
        <v>1</v>
      </c>
      <c r="K1071" t="b">
        <f>+ISNUMBER(SEARCH('F-COMPRA'!$F$30,Tabla11[[#This Row],[Cuenta]],1))</f>
        <v>1</v>
      </c>
      <c r="L1071" t="b">
        <f>+ISNUMBER(SEARCH('F-COMPRA'!$F$31,Tabla11[[#This Row],[Cuenta]],1))</f>
        <v>1</v>
      </c>
      <c r="M1071" t="b">
        <f>+ISNUMBER(SEARCH('F-COMPRA'!$G$25,Tabla11[[#This Row],[Cuenta]],1))</f>
        <v>0</v>
      </c>
      <c r="N1071" t="b">
        <f>+ISNUMBER(SEARCH(#REF!,Tabla11[[#This Row],[Cuenta]],1))</f>
        <v>0</v>
      </c>
      <c r="O1071" t="b">
        <f>+ISNUMBER(SEARCH(#REF!,Tabla11[[#This Row],[Cuenta]],1))</f>
        <v>0</v>
      </c>
      <c r="P1071" t="b">
        <f>+ISNUMBER(SEARCH('F-COMPRA'!$F$32,Tabla11[[#This Row],[Cuenta]],1))</f>
        <v>1</v>
      </c>
      <c r="Q1071" t="b">
        <f>+ISNUMBER(SEARCH('F-COMPRA'!$F$33,Tabla11[[#This Row],[Cuenta]],1))</f>
        <v>1</v>
      </c>
      <c r="R1071" t="b">
        <f>+ISNUMBER(SEARCH('F-COMPRA'!$F$34,Tabla11[[#This Row],[Cuenta]],1))</f>
        <v>1</v>
      </c>
      <c r="S1071" t="b">
        <f>+ISNUMBER(SEARCH('F-COMPRA'!$F$35,Tabla11[[#This Row],[Cuenta]],1))</f>
        <v>1</v>
      </c>
      <c r="T1071" t="b">
        <f>+ISNUMBER(SEARCH('F-COMPRA'!$F$36,Tabla11[[#This Row],[Cuenta]],1))</f>
        <v>1</v>
      </c>
      <c r="U1071" t="b">
        <f>+ISNUMBER(SEARCH('F-COMPRA'!$F$37,Tabla11[[#This Row],[Cuenta]],1))</f>
        <v>1</v>
      </c>
      <c r="V1071" t="b">
        <f>+ISNUMBER(SEARCH(#REF!,Tabla11[[#This Row],[Cuenta]],1))</f>
        <v>0</v>
      </c>
      <c r="W1071" t="b">
        <f>+ISNUMBER(SEARCH('F-COMPRA'!#REF!,Tabla11[[#This Row],[Cuenta]],1))</f>
        <v>0</v>
      </c>
      <c r="X1071" t="b">
        <f>+ISNUMBER(SEARCH('F-COMPRA'!#REF!,Tabla11[[#This Row],[Cuenta]],1))</f>
        <v>0</v>
      </c>
      <c r="Y1071" t="b">
        <f>+ISNUMBER(SEARCH('F-COMPRA'!#REF!,Tabla11[[#This Row],[Cuenta]],1))</f>
        <v>0</v>
      </c>
      <c r="Z1071" t="b">
        <f>+ISNUMBER(SEARCH('F-COMPRA'!#REF!,Tabla11[[#This Row],[Cuenta]],1))</f>
        <v>0</v>
      </c>
      <c r="AA1071" t="b">
        <f>+ISNUMBER(SEARCH('F-COMPRA'!#REF!,Tabla11[[#This Row],[Cuenta]],1))</f>
        <v>0</v>
      </c>
      <c r="AB1071" t="b">
        <f>+ISNUMBER(SEARCH('F-COMPRA'!#REF!,Tabla11[[#This Row],[Cuenta]],1))</f>
        <v>0</v>
      </c>
      <c r="AC1071" t="b">
        <f>+ISNUMBER(SEARCH('F-COMPRA'!#REF!,Tabla11[[#This Row],[Cuenta]],1))</f>
        <v>0</v>
      </c>
      <c r="AD1071" t="b">
        <f>+ISNUMBER(SEARCH('F-COMPRA'!#REF!,Tabla11[[#This Row],[Cuenta]],1))</f>
        <v>0</v>
      </c>
      <c r="AE1071" t="b">
        <f>+ISNUMBER(SEARCH('F-COMPRA'!#REF!,Tabla11[[#This Row],[Cuenta]],1))</f>
        <v>0</v>
      </c>
      <c r="AF1071" t="b">
        <f>+ISNUMBER(SEARCH('F-VTA'!$G$23,Tabla11[[#This Row],[Cuenta]],1))</f>
        <v>0</v>
      </c>
      <c r="AG1071" t="b">
        <f>+ISNUMBER(SEARCH('F-VTA'!$G$24,Tabla11[[#This Row],[Cuenta]],1))</f>
        <v>0</v>
      </c>
      <c r="AH1071" t="b">
        <f>+ISNUMBER(SEARCH('F-VTA'!$G$25,Tabla11[[#This Row],[Cuenta]],1))</f>
        <v>0</v>
      </c>
      <c r="AI1071" t="b">
        <f>+ISNUMBER(SEARCH('F-VTA'!$F$28,Tabla11[[#This Row],[Cuenta]],1))</f>
        <v>1</v>
      </c>
      <c r="AJ1071" t="b">
        <f>+ISNUMBER(SEARCH('F-VTA'!$F$29,Tabla11[[#This Row],[Cuenta]],1))</f>
        <v>1</v>
      </c>
      <c r="AK1071" t="b">
        <f>+ISNUMBER(SEARCH('F-VTA'!$F$30,Tabla11[[#This Row],[Cuenta]],1))</f>
        <v>1</v>
      </c>
      <c r="AL1071" t="b">
        <f>+ISNUMBER(SEARCH('F-VTA'!$F$31,Tabla11[[#This Row],[Cuenta]],1))</f>
        <v>1</v>
      </c>
      <c r="AM1071" t="b">
        <f>+ISNUMBER(SEARCH('F-VTA'!$F$32,Tabla11[[#This Row],[Cuenta]],1))</f>
        <v>1</v>
      </c>
      <c r="AN1071" t="b">
        <f>+ISNUMBER(SEARCH('F-VTA'!$F$33,Tabla11[[#This Row],[Cuenta]],1))</f>
        <v>1</v>
      </c>
      <c r="AO1071" t="b">
        <f>+ISNUMBER(SEARCH('F-VTA'!$F$34,Tabla11[[#This Row],[Cuenta]],1))</f>
        <v>1</v>
      </c>
      <c r="AP1071" t="b">
        <f>+ISNUMBER(SEARCH('F-VTA'!$F$35,Tabla11[[#This Row],[Cuenta]],1))</f>
        <v>1</v>
      </c>
      <c r="AQ1071" t="b">
        <f>+ISNUMBER(SEARCH('F-VTA'!$F$36,Tabla11[[#This Row],[Cuenta]],1))</f>
        <v>1</v>
      </c>
      <c r="AR1071" t="b">
        <f>+ISNUMBER(SEARCH(#REF!,Tabla11[[#This Row],[Cuenta]],1))</f>
        <v>0</v>
      </c>
      <c r="AS1071" t="b">
        <f>+ISNUMBER(SEARCH(#REF!,Tabla11[[#This Row],[Cuenta]],1))</f>
        <v>0</v>
      </c>
      <c r="AT1071" t="b">
        <f>+ISNUMBER(SEARCH(#REF!,Tabla11[[#This Row],[Cuenta]],1))</f>
        <v>0</v>
      </c>
      <c r="AU1071" t="b">
        <f>+ISNUMBER(SEARCH('Conc. Ban.1'!$I$9,Tabla11[[#This Row],[Cuenta]],1))</f>
        <v>0</v>
      </c>
      <c r="AV1071" t="b">
        <f>+ISNUMBER(SEARCH(CompConta!$F$21,Tabla11[[#This Row],[Cuenta]],1))</f>
        <v>1</v>
      </c>
      <c r="AW1071" t="b">
        <f>+ISNUMBER(SEARCH(CompConta!$F$22,Tabla11[[#This Row],[Cuenta]],1))</f>
        <v>1</v>
      </c>
      <c r="AX1071" t="b">
        <f>+ISNUMBER(SEARCH(CompConta!$F$23,Tabla11[[#This Row],[Cuenta]],1))</f>
        <v>1</v>
      </c>
      <c r="AY1071" t="b">
        <f>+ISNUMBER(SEARCH(CompConta!$F$24,Tabla11[[#This Row],[Cuenta]],1))</f>
        <v>1</v>
      </c>
      <c r="AZ1071" t="b">
        <f>+ISNUMBER(SEARCH(CompConta!$F$25,Tabla11[[#This Row],[Cuenta]],1))</f>
        <v>1</v>
      </c>
      <c r="BA1071" t="b">
        <f>+ISNUMBER(SEARCH(CompConta!$F$26,Tabla11[[#This Row],[Cuenta]],1))</f>
        <v>1</v>
      </c>
      <c r="BB1071" t="b">
        <f>+ISNUMBER(SEARCH(CompConta!$F$27,Tabla11[[#This Row],[Cuenta]],1))</f>
        <v>1</v>
      </c>
      <c r="BC1071" t="b">
        <f>+ISNUMBER(SEARCH(CompConta!$F$28,Tabla11[[#This Row],[Cuenta]],1))</f>
        <v>1</v>
      </c>
      <c r="BD1071" t="b">
        <f>+ISNUMBER(SEARCH(CompConta!$F$29,Tabla11[[#This Row],[Cuenta]],1))</f>
        <v>1</v>
      </c>
      <c r="BE1071" t="b">
        <f>+ISNUMBER(SEARCH(CompConta!$F$30,Tabla11[[#This Row],[Cuenta]],1))</f>
        <v>1</v>
      </c>
      <c r="BF1071" t="b">
        <f>+ISNUMBER(SEARCH('PAGO Compras'!$E$11,Tabla11[[#This Row],[Cuenta]],1))</f>
        <v>1</v>
      </c>
      <c r="BG1071" t="b">
        <f>+ISNUMBER(SEARCH(#REF!,Tabla11[[#This Row],[Cuenta]],1))</f>
        <v>0</v>
      </c>
      <c r="BH1071" t="b">
        <f>+ISNUMBER(SEARCH(#REF!,Tabla11[[#This Row],[Cuenta]],1))</f>
        <v>0</v>
      </c>
      <c r="BI1071" t="b">
        <f>+ISNUMBER(SEARCH(#REF!,Tabla11[[#This Row],[Cuenta]],1))</f>
        <v>0</v>
      </c>
      <c r="BJ1071" t="b">
        <f>+ISNUMBER(SEARCH(#REF!,Tabla11[[#This Row],[Cuenta]],1))</f>
        <v>0</v>
      </c>
      <c r="BS1071" t="str">
        <v>526505 Vías de comunicación</v>
      </c>
      <c r="BT1071" t="str">
        <v>526505 Vías de comunicación</v>
      </c>
      <c r="BU1071" t="str">
        <v>526505 Vías de comunicación</v>
      </c>
      <c r="BV1071" t="str">
        <v>526505 Vías de comunicación</v>
      </c>
      <c r="BZ1071" t="str">
        <v>526505 Vías de comunicación</v>
      </c>
      <c r="CA1071" t="str">
        <v>526505 Vías de comunicación</v>
      </c>
      <c r="CB1071" t="str">
        <v>526505 Vías de comunicación</v>
      </c>
      <c r="CC1071" t="str">
        <v>526505 Vías de comunicación</v>
      </c>
      <c r="CD1071" t="str">
        <v>526505 Vías de comunicación</v>
      </c>
      <c r="CE1071" t="str">
        <v>526505 Vías de comunicación</v>
      </c>
      <c r="CS1071" s="141" t="str">
        <v>526505 Vías de comunicación</v>
      </c>
      <c r="CT1071" s="141" t="str">
        <v>526505 Vías de comunicación</v>
      </c>
      <c r="CU1071" s="141" t="str">
        <v>526505 Vías de comunicación</v>
      </c>
      <c r="CV1071" s="141" t="str">
        <v>526505 Vías de comunicación</v>
      </c>
      <c r="CW1071" s="141" t="str">
        <v>526505 Vías de comunicación</v>
      </c>
      <c r="CX1071" s="141" t="str">
        <v>526505 Vías de comunicación</v>
      </c>
      <c r="CY1071" s="141" t="str">
        <v>526505 Vías de comunicación</v>
      </c>
      <c r="CZ1071" s="141" t="str">
        <v>526505 Vías de comunicación</v>
      </c>
      <c r="DA1071" s="141" t="str">
        <v>526505 Vías de comunicación</v>
      </c>
      <c r="DF1071" t="str">
        <v>526505 Vías de comunicación</v>
      </c>
      <c r="DG1071" t="str">
        <v>526505 Vías de comunicación</v>
      </c>
      <c r="DH1071" t="str">
        <v>526505 Vías de comunicación</v>
      </c>
      <c r="DI1071" t="str">
        <v>526505 Vías de comunicación</v>
      </c>
      <c r="DJ1071" t="str">
        <v>526505 Vías de comunicación</v>
      </c>
      <c r="DK1071" t="str">
        <v>526505 Vías de comunicación</v>
      </c>
      <c r="DL1071" t="str">
        <v>526505 Vías de comunicación</v>
      </c>
      <c r="DM1071" t="str">
        <v>526505 Vías de comunicación</v>
      </c>
      <c r="DN1071" t="str">
        <v>526505 Vías de comunicación</v>
      </c>
      <c r="DO1071" t="str">
        <v>526505 Vías de comunicación</v>
      </c>
      <c r="DP1071" t="str">
        <v>526505 Vías de comunicación</v>
      </c>
    </row>
    <row r="1072" spans="4:120" ht="12.75">
      <c r="D1072" s="7">
        <v>526510</v>
      </c>
      <c r="E1072" s="6" t="s">
        <v>612</v>
      </c>
      <c r="F1072" s="5">
        <v>4</v>
      </c>
      <c r="G1072" s="34" t="s">
        <v>830</v>
      </c>
      <c r="H1072" s="8" t="s">
        <v>32</v>
      </c>
      <c r="I1072" t="b">
        <f>+ISNUMBER(SEARCH('F-COMPRA'!$F$28,Tabla11[[#This Row],[Cuenta]],1))</f>
        <v>1</v>
      </c>
      <c r="J1072" t="b">
        <f>+ISNUMBER(SEARCH('F-COMPRA'!$F$29,Tabla11[[#This Row],[Cuenta]],1))</f>
        <v>1</v>
      </c>
      <c r="K1072" t="b">
        <f>+ISNUMBER(SEARCH('F-COMPRA'!$F$30,Tabla11[[#This Row],[Cuenta]],1))</f>
        <v>1</v>
      </c>
      <c r="L1072" t="b">
        <f>+ISNUMBER(SEARCH('F-COMPRA'!$F$31,Tabla11[[#This Row],[Cuenta]],1))</f>
        <v>1</v>
      </c>
      <c r="M1072" t="b">
        <f>+ISNUMBER(SEARCH('F-COMPRA'!$G$25,Tabla11[[#This Row],[Cuenta]],1))</f>
        <v>0</v>
      </c>
      <c r="N1072" t="b">
        <f>+ISNUMBER(SEARCH(#REF!,Tabla11[[#This Row],[Cuenta]],1))</f>
        <v>0</v>
      </c>
      <c r="O1072" t="b">
        <f>+ISNUMBER(SEARCH(#REF!,Tabla11[[#This Row],[Cuenta]],1))</f>
        <v>0</v>
      </c>
      <c r="P1072" t="b">
        <f>+ISNUMBER(SEARCH('F-COMPRA'!$F$32,Tabla11[[#This Row],[Cuenta]],1))</f>
        <v>1</v>
      </c>
      <c r="Q1072" t="b">
        <f>+ISNUMBER(SEARCH('F-COMPRA'!$F$33,Tabla11[[#This Row],[Cuenta]],1))</f>
        <v>1</v>
      </c>
      <c r="R1072" t="b">
        <f>+ISNUMBER(SEARCH('F-COMPRA'!$F$34,Tabla11[[#This Row],[Cuenta]],1))</f>
        <v>1</v>
      </c>
      <c r="S1072" t="b">
        <f>+ISNUMBER(SEARCH('F-COMPRA'!$F$35,Tabla11[[#This Row],[Cuenta]],1))</f>
        <v>1</v>
      </c>
      <c r="T1072" t="b">
        <f>+ISNUMBER(SEARCH('F-COMPRA'!$F$36,Tabla11[[#This Row],[Cuenta]],1))</f>
        <v>1</v>
      </c>
      <c r="U1072" t="b">
        <f>+ISNUMBER(SEARCH('F-COMPRA'!$F$37,Tabla11[[#This Row],[Cuenta]],1))</f>
        <v>1</v>
      </c>
      <c r="V1072" t="b">
        <f>+ISNUMBER(SEARCH(#REF!,Tabla11[[#This Row],[Cuenta]],1))</f>
        <v>0</v>
      </c>
      <c r="W1072" t="b">
        <f>+ISNUMBER(SEARCH('F-COMPRA'!#REF!,Tabla11[[#This Row],[Cuenta]],1))</f>
        <v>0</v>
      </c>
      <c r="X1072" t="b">
        <f>+ISNUMBER(SEARCH('F-COMPRA'!#REF!,Tabla11[[#This Row],[Cuenta]],1))</f>
        <v>0</v>
      </c>
      <c r="Y1072" t="b">
        <f>+ISNUMBER(SEARCH('F-COMPRA'!#REF!,Tabla11[[#This Row],[Cuenta]],1))</f>
        <v>0</v>
      </c>
      <c r="Z1072" t="b">
        <f>+ISNUMBER(SEARCH('F-COMPRA'!#REF!,Tabla11[[#This Row],[Cuenta]],1))</f>
        <v>0</v>
      </c>
      <c r="AA1072" t="b">
        <f>+ISNUMBER(SEARCH('F-COMPRA'!#REF!,Tabla11[[#This Row],[Cuenta]],1))</f>
        <v>0</v>
      </c>
      <c r="AB1072" t="b">
        <f>+ISNUMBER(SEARCH('F-COMPRA'!#REF!,Tabla11[[#This Row],[Cuenta]],1))</f>
        <v>0</v>
      </c>
      <c r="AC1072" t="b">
        <f>+ISNUMBER(SEARCH('F-COMPRA'!#REF!,Tabla11[[#This Row],[Cuenta]],1))</f>
        <v>0</v>
      </c>
      <c r="AD1072" t="b">
        <f>+ISNUMBER(SEARCH('F-COMPRA'!#REF!,Tabla11[[#This Row],[Cuenta]],1))</f>
        <v>0</v>
      </c>
      <c r="AE1072" t="b">
        <f>+ISNUMBER(SEARCH('F-COMPRA'!#REF!,Tabla11[[#This Row],[Cuenta]],1))</f>
        <v>0</v>
      </c>
      <c r="AF1072" t="b">
        <f>+ISNUMBER(SEARCH('F-VTA'!$G$23,Tabla11[[#This Row],[Cuenta]],1))</f>
        <v>0</v>
      </c>
      <c r="AG1072" t="b">
        <f>+ISNUMBER(SEARCH('F-VTA'!$G$24,Tabla11[[#This Row],[Cuenta]],1))</f>
        <v>0</v>
      </c>
      <c r="AH1072" t="b">
        <f>+ISNUMBER(SEARCH('F-VTA'!$G$25,Tabla11[[#This Row],[Cuenta]],1))</f>
        <v>0</v>
      </c>
      <c r="AI1072" t="b">
        <f>+ISNUMBER(SEARCH('F-VTA'!$F$28,Tabla11[[#This Row],[Cuenta]],1))</f>
        <v>1</v>
      </c>
      <c r="AJ1072" t="b">
        <f>+ISNUMBER(SEARCH('F-VTA'!$F$29,Tabla11[[#This Row],[Cuenta]],1))</f>
        <v>1</v>
      </c>
      <c r="AK1072" t="b">
        <f>+ISNUMBER(SEARCH('F-VTA'!$F$30,Tabla11[[#This Row],[Cuenta]],1))</f>
        <v>1</v>
      </c>
      <c r="AL1072" t="b">
        <f>+ISNUMBER(SEARCH('F-VTA'!$F$31,Tabla11[[#This Row],[Cuenta]],1))</f>
        <v>1</v>
      </c>
      <c r="AM1072" t="b">
        <f>+ISNUMBER(SEARCH('F-VTA'!$F$32,Tabla11[[#This Row],[Cuenta]],1))</f>
        <v>1</v>
      </c>
      <c r="AN1072" t="b">
        <f>+ISNUMBER(SEARCH('F-VTA'!$F$33,Tabla11[[#This Row],[Cuenta]],1))</f>
        <v>1</v>
      </c>
      <c r="AO1072" t="b">
        <f>+ISNUMBER(SEARCH('F-VTA'!$F$34,Tabla11[[#This Row],[Cuenta]],1))</f>
        <v>1</v>
      </c>
      <c r="AP1072" t="b">
        <f>+ISNUMBER(SEARCH('F-VTA'!$F$35,Tabla11[[#This Row],[Cuenta]],1))</f>
        <v>1</v>
      </c>
      <c r="AQ1072" t="b">
        <f>+ISNUMBER(SEARCH('F-VTA'!$F$36,Tabla11[[#This Row],[Cuenta]],1))</f>
        <v>1</v>
      </c>
      <c r="AR1072" t="b">
        <f>+ISNUMBER(SEARCH(#REF!,Tabla11[[#This Row],[Cuenta]],1))</f>
        <v>0</v>
      </c>
      <c r="AS1072" t="b">
        <f>+ISNUMBER(SEARCH(#REF!,Tabla11[[#This Row],[Cuenta]],1))</f>
        <v>0</v>
      </c>
      <c r="AT1072" t="b">
        <f>+ISNUMBER(SEARCH(#REF!,Tabla11[[#This Row],[Cuenta]],1))</f>
        <v>0</v>
      </c>
      <c r="AU1072" t="b">
        <f>+ISNUMBER(SEARCH('Conc. Ban.1'!$I$9,Tabla11[[#This Row],[Cuenta]],1))</f>
        <v>0</v>
      </c>
      <c r="AV1072" t="b">
        <f>+ISNUMBER(SEARCH(CompConta!$F$21,Tabla11[[#This Row],[Cuenta]],1))</f>
        <v>1</v>
      </c>
      <c r="AW1072" t="b">
        <f>+ISNUMBER(SEARCH(CompConta!$F$22,Tabla11[[#This Row],[Cuenta]],1))</f>
        <v>1</v>
      </c>
      <c r="AX1072" t="b">
        <f>+ISNUMBER(SEARCH(CompConta!$F$23,Tabla11[[#This Row],[Cuenta]],1))</f>
        <v>1</v>
      </c>
      <c r="AY1072" t="b">
        <f>+ISNUMBER(SEARCH(CompConta!$F$24,Tabla11[[#This Row],[Cuenta]],1))</f>
        <v>1</v>
      </c>
      <c r="AZ1072" t="b">
        <f>+ISNUMBER(SEARCH(CompConta!$F$25,Tabla11[[#This Row],[Cuenta]],1))</f>
        <v>1</v>
      </c>
      <c r="BA1072" t="b">
        <f>+ISNUMBER(SEARCH(CompConta!$F$26,Tabla11[[#This Row],[Cuenta]],1))</f>
        <v>1</v>
      </c>
      <c r="BB1072" t="b">
        <f>+ISNUMBER(SEARCH(CompConta!$F$27,Tabla11[[#This Row],[Cuenta]],1))</f>
        <v>1</v>
      </c>
      <c r="BC1072" t="b">
        <f>+ISNUMBER(SEARCH(CompConta!$F$28,Tabla11[[#This Row],[Cuenta]],1))</f>
        <v>1</v>
      </c>
      <c r="BD1072" t="b">
        <f>+ISNUMBER(SEARCH(CompConta!$F$29,Tabla11[[#This Row],[Cuenta]],1))</f>
        <v>1</v>
      </c>
      <c r="BE1072" t="b">
        <f>+ISNUMBER(SEARCH(CompConta!$F$30,Tabla11[[#This Row],[Cuenta]],1))</f>
        <v>1</v>
      </c>
      <c r="BF1072" t="b">
        <f>+ISNUMBER(SEARCH('PAGO Compras'!$E$11,Tabla11[[#This Row],[Cuenta]],1))</f>
        <v>1</v>
      </c>
      <c r="BG1072" t="b">
        <f>+ISNUMBER(SEARCH(#REF!,Tabla11[[#This Row],[Cuenta]],1))</f>
        <v>0</v>
      </c>
      <c r="BH1072" t="b">
        <f>+ISNUMBER(SEARCH(#REF!,Tabla11[[#This Row],[Cuenta]],1))</f>
        <v>0</v>
      </c>
      <c r="BI1072" t="b">
        <f>+ISNUMBER(SEARCH(#REF!,Tabla11[[#This Row],[Cuenta]],1))</f>
        <v>0</v>
      </c>
      <c r="BJ1072" t="b">
        <f>+ISNUMBER(SEARCH(#REF!,Tabla11[[#This Row],[Cuenta]],1))</f>
        <v>0</v>
      </c>
      <c r="BS1072" t="str">
        <v>526510 Intangibles</v>
      </c>
      <c r="BT1072" t="str">
        <v>526510 Intangibles</v>
      </c>
      <c r="BU1072" t="str">
        <v>526510 Intangibles</v>
      </c>
      <c r="BV1072" t="str">
        <v>526510 Intangibles</v>
      </c>
      <c r="BZ1072" t="str">
        <v>526510 Intangibles</v>
      </c>
      <c r="CA1072" t="str">
        <v>526510 Intangibles</v>
      </c>
      <c r="CB1072" t="str">
        <v>526510 Intangibles</v>
      </c>
      <c r="CC1072" t="str">
        <v>526510 Intangibles</v>
      </c>
      <c r="CD1072" t="str">
        <v>526510 Intangibles</v>
      </c>
      <c r="CE1072" t="str">
        <v>526510 Intangibles</v>
      </c>
      <c r="CS1072" s="141" t="str">
        <v>526510 Intangibles</v>
      </c>
      <c r="CT1072" s="141" t="str">
        <v>526510 Intangibles</v>
      </c>
      <c r="CU1072" s="141" t="str">
        <v>526510 Intangibles</v>
      </c>
      <c r="CV1072" s="141" t="str">
        <v>526510 Intangibles</v>
      </c>
      <c r="CW1072" s="141" t="str">
        <v>526510 Intangibles</v>
      </c>
      <c r="CX1072" s="141" t="str">
        <v>526510 Intangibles</v>
      </c>
      <c r="CY1072" s="141" t="str">
        <v>526510 Intangibles</v>
      </c>
      <c r="CZ1072" s="141" t="str">
        <v>526510 Intangibles</v>
      </c>
      <c r="DA1072" s="141" t="str">
        <v>526510 Intangibles</v>
      </c>
      <c r="DF1072" t="str">
        <v>526510 Intangibles</v>
      </c>
      <c r="DG1072" t="str">
        <v>526510 Intangibles</v>
      </c>
      <c r="DH1072" t="str">
        <v>526510 Intangibles</v>
      </c>
      <c r="DI1072" t="str">
        <v>526510 Intangibles</v>
      </c>
      <c r="DJ1072" t="str">
        <v>526510 Intangibles</v>
      </c>
      <c r="DK1072" t="str">
        <v>526510 Intangibles</v>
      </c>
      <c r="DL1072" t="str">
        <v>526510 Intangibles</v>
      </c>
      <c r="DM1072" t="str">
        <v>526510 Intangibles</v>
      </c>
      <c r="DN1072" t="str">
        <v>526510 Intangibles</v>
      </c>
      <c r="DO1072" t="str">
        <v>526510 Intangibles</v>
      </c>
      <c r="DP1072" t="str">
        <v>526510 Intangibles</v>
      </c>
    </row>
    <row r="1073" spans="4:120" ht="12.75">
      <c r="D1073" s="7">
        <v>526515</v>
      </c>
      <c r="E1073" s="6" t="s">
        <v>613</v>
      </c>
      <c r="F1073" s="5">
        <v>4</v>
      </c>
      <c r="G1073" s="34" t="s">
        <v>830</v>
      </c>
      <c r="H1073" s="8" t="s">
        <v>32</v>
      </c>
      <c r="I1073" t="b">
        <f>+ISNUMBER(SEARCH('F-COMPRA'!$F$28,Tabla11[[#This Row],[Cuenta]],1))</f>
        <v>1</v>
      </c>
      <c r="J1073" t="b">
        <f>+ISNUMBER(SEARCH('F-COMPRA'!$F$29,Tabla11[[#This Row],[Cuenta]],1))</f>
        <v>1</v>
      </c>
      <c r="K1073" t="b">
        <f>+ISNUMBER(SEARCH('F-COMPRA'!$F$30,Tabla11[[#This Row],[Cuenta]],1))</f>
        <v>1</v>
      </c>
      <c r="L1073" t="b">
        <f>+ISNUMBER(SEARCH('F-COMPRA'!$F$31,Tabla11[[#This Row],[Cuenta]],1))</f>
        <v>1</v>
      </c>
      <c r="M1073" t="b">
        <f>+ISNUMBER(SEARCH('F-COMPRA'!$G$25,Tabla11[[#This Row],[Cuenta]],1))</f>
        <v>0</v>
      </c>
      <c r="N1073" t="b">
        <f>+ISNUMBER(SEARCH(#REF!,Tabla11[[#This Row],[Cuenta]],1))</f>
        <v>0</v>
      </c>
      <c r="O1073" t="b">
        <f>+ISNUMBER(SEARCH(#REF!,Tabla11[[#This Row],[Cuenta]],1))</f>
        <v>0</v>
      </c>
      <c r="P1073" t="b">
        <f>+ISNUMBER(SEARCH('F-COMPRA'!$F$32,Tabla11[[#This Row],[Cuenta]],1))</f>
        <v>1</v>
      </c>
      <c r="Q1073" t="b">
        <f>+ISNUMBER(SEARCH('F-COMPRA'!$F$33,Tabla11[[#This Row],[Cuenta]],1))</f>
        <v>1</v>
      </c>
      <c r="R1073" t="b">
        <f>+ISNUMBER(SEARCH('F-COMPRA'!$F$34,Tabla11[[#This Row],[Cuenta]],1))</f>
        <v>1</v>
      </c>
      <c r="S1073" t="b">
        <f>+ISNUMBER(SEARCH('F-COMPRA'!$F$35,Tabla11[[#This Row],[Cuenta]],1))</f>
        <v>1</v>
      </c>
      <c r="T1073" t="b">
        <f>+ISNUMBER(SEARCH('F-COMPRA'!$F$36,Tabla11[[#This Row],[Cuenta]],1))</f>
        <v>1</v>
      </c>
      <c r="U1073" t="b">
        <f>+ISNUMBER(SEARCH('F-COMPRA'!$F$37,Tabla11[[#This Row],[Cuenta]],1))</f>
        <v>1</v>
      </c>
      <c r="V1073" t="b">
        <f>+ISNUMBER(SEARCH(#REF!,Tabla11[[#This Row],[Cuenta]],1))</f>
        <v>0</v>
      </c>
      <c r="W1073" t="b">
        <f>+ISNUMBER(SEARCH('F-COMPRA'!#REF!,Tabla11[[#This Row],[Cuenta]],1))</f>
        <v>0</v>
      </c>
      <c r="X1073" t="b">
        <f>+ISNUMBER(SEARCH('F-COMPRA'!#REF!,Tabla11[[#This Row],[Cuenta]],1))</f>
        <v>0</v>
      </c>
      <c r="Y1073" t="b">
        <f>+ISNUMBER(SEARCH('F-COMPRA'!#REF!,Tabla11[[#This Row],[Cuenta]],1))</f>
        <v>0</v>
      </c>
      <c r="Z1073" t="b">
        <f>+ISNUMBER(SEARCH('F-COMPRA'!#REF!,Tabla11[[#This Row],[Cuenta]],1))</f>
        <v>0</v>
      </c>
      <c r="AA1073" t="b">
        <f>+ISNUMBER(SEARCH('F-COMPRA'!#REF!,Tabla11[[#This Row],[Cuenta]],1))</f>
        <v>0</v>
      </c>
      <c r="AB1073" t="b">
        <f>+ISNUMBER(SEARCH('F-COMPRA'!#REF!,Tabla11[[#This Row],[Cuenta]],1))</f>
        <v>0</v>
      </c>
      <c r="AC1073" t="b">
        <f>+ISNUMBER(SEARCH('F-COMPRA'!#REF!,Tabla11[[#This Row],[Cuenta]],1))</f>
        <v>0</v>
      </c>
      <c r="AD1073" t="b">
        <f>+ISNUMBER(SEARCH('F-COMPRA'!#REF!,Tabla11[[#This Row],[Cuenta]],1))</f>
        <v>0</v>
      </c>
      <c r="AE1073" t="b">
        <f>+ISNUMBER(SEARCH('F-COMPRA'!#REF!,Tabla11[[#This Row],[Cuenta]],1))</f>
        <v>0</v>
      </c>
      <c r="AF1073" t="b">
        <f>+ISNUMBER(SEARCH('F-VTA'!$G$23,Tabla11[[#This Row],[Cuenta]],1))</f>
        <v>0</v>
      </c>
      <c r="AG1073" t="b">
        <f>+ISNUMBER(SEARCH('F-VTA'!$G$24,Tabla11[[#This Row],[Cuenta]],1))</f>
        <v>0</v>
      </c>
      <c r="AH1073" t="b">
        <f>+ISNUMBER(SEARCH('F-VTA'!$G$25,Tabla11[[#This Row],[Cuenta]],1))</f>
        <v>0</v>
      </c>
      <c r="AI1073" t="b">
        <f>+ISNUMBER(SEARCH('F-VTA'!$F$28,Tabla11[[#This Row],[Cuenta]],1))</f>
        <v>1</v>
      </c>
      <c r="AJ1073" t="b">
        <f>+ISNUMBER(SEARCH('F-VTA'!$F$29,Tabla11[[#This Row],[Cuenta]],1))</f>
        <v>1</v>
      </c>
      <c r="AK1073" t="b">
        <f>+ISNUMBER(SEARCH('F-VTA'!$F$30,Tabla11[[#This Row],[Cuenta]],1))</f>
        <v>1</v>
      </c>
      <c r="AL1073" t="b">
        <f>+ISNUMBER(SEARCH('F-VTA'!$F$31,Tabla11[[#This Row],[Cuenta]],1))</f>
        <v>1</v>
      </c>
      <c r="AM1073" t="b">
        <f>+ISNUMBER(SEARCH('F-VTA'!$F$32,Tabla11[[#This Row],[Cuenta]],1))</f>
        <v>1</v>
      </c>
      <c r="AN1073" t="b">
        <f>+ISNUMBER(SEARCH('F-VTA'!$F$33,Tabla11[[#This Row],[Cuenta]],1))</f>
        <v>1</v>
      </c>
      <c r="AO1073" t="b">
        <f>+ISNUMBER(SEARCH('F-VTA'!$F$34,Tabla11[[#This Row],[Cuenta]],1))</f>
        <v>1</v>
      </c>
      <c r="AP1073" t="b">
        <f>+ISNUMBER(SEARCH('F-VTA'!$F$35,Tabla11[[#This Row],[Cuenta]],1))</f>
        <v>1</v>
      </c>
      <c r="AQ1073" t="b">
        <f>+ISNUMBER(SEARCH('F-VTA'!$F$36,Tabla11[[#This Row],[Cuenta]],1))</f>
        <v>1</v>
      </c>
      <c r="AR1073" t="b">
        <f>+ISNUMBER(SEARCH(#REF!,Tabla11[[#This Row],[Cuenta]],1))</f>
        <v>0</v>
      </c>
      <c r="AS1073" t="b">
        <f>+ISNUMBER(SEARCH(#REF!,Tabla11[[#This Row],[Cuenta]],1))</f>
        <v>0</v>
      </c>
      <c r="AT1073" t="b">
        <f>+ISNUMBER(SEARCH(#REF!,Tabla11[[#This Row],[Cuenta]],1))</f>
        <v>0</v>
      </c>
      <c r="AU1073" t="b">
        <f>+ISNUMBER(SEARCH('Conc. Ban.1'!$I$9,Tabla11[[#This Row],[Cuenta]],1))</f>
        <v>0</v>
      </c>
      <c r="AV1073" t="b">
        <f>+ISNUMBER(SEARCH(CompConta!$F$21,Tabla11[[#This Row],[Cuenta]],1))</f>
        <v>1</v>
      </c>
      <c r="AW1073" t="b">
        <f>+ISNUMBER(SEARCH(CompConta!$F$22,Tabla11[[#This Row],[Cuenta]],1))</f>
        <v>1</v>
      </c>
      <c r="AX1073" t="b">
        <f>+ISNUMBER(SEARCH(CompConta!$F$23,Tabla11[[#This Row],[Cuenta]],1))</f>
        <v>1</v>
      </c>
      <c r="AY1073" t="b">
        <f>+ISNUMBER(SEARCH(CompConta!$F$24,Tabla11[[#This Row],[Cuenta]],1))</f>
        <v>1</v>
      </c>
      <c r="AZ1073" t="b">
        <f>+ISNUMBER(SEARCH(CompConta!$F$25,Tabla11[[#This Row],[Cuenta]],1))</f>
        <v>1</v>
      </c>
      <c r="BA1073" t="b">
        <f>+ISNUMBER(SEARCH(CompConta!$F$26,Tabla11[[#This Row],[Cuenta]],1))</f>
        <v>1</v>
      </c>
      <c r="BB1073" t="b">
        <f>+ISNUMBER(SEARCH(CompConta!$F$27,Tabla11[[#This Row],[Cuenta]],1))</f>
        <v>1</v>
      </c>
      <c r="BC1073" t="b">
        <f>+ISNUMBER(SEARCH(CompConta!$F$28,Tabla11[[#This Row],[Cuenta]],1))</f>
        <v>1</v>
      </c>
      <c r="BD1073" t="b">
        <f>+ISNUMBER(SEARCH(CompConta!$F$29,Tabla11[[#This Row],[Cuenta]],1))</f>
        <v>1</v>
      </c>
      <c r="BE1073" t="b">
        <f>+ISNUMBER(SEARCH(CompConta!$F$30,Tabla11[[#This Row],[Cuenta]],1))</f>
        <v>1</v>
      </c>
      <c r="BF1073" t="b">
        <f>+ISNUMBER(SEARCH('PAGO Compras'!$E$11,Tabla11[[#This Row],[Cuenta]],1))</f>
        <v>1</v>
      </c>
      <c r="BG1073" t="b">
        <f>+ISNUMBER(SEARCH(#REF!,Tabla11[[#This Row],[Cuenta]],1))</f>
        <v>0</v>
      </c>
      <c r="BH1073" t="b">
        <f>+ISNUMBER(SEARCH(#REF!,Tabla11[[#This Row],[Cuenta]],1))</f>
        <v>0</v>
      </c>
      <c r="BI1073" t="b">
        <f>+ISNUMBER(SEARCH(#REF!,Tabla11[[#This Row],[Cuenta]],1))</f>
        <v>0</v>
      </c>
      <c r="BJ1073" t="b">
        <f>+ISNUMBER(SEARCH(#REF!,Tabla11[[#This Row],[Cuenta]],1))</f>
        <v>0</v>
      </c>
      <c r="BS1073" t="str">
        <v>526515 Cargos diferidos</v>
      </c>
      <c r="BT1073" t="str">
        <v>526515 Cargos diferidos</v>
      </c>
      <c r="BU1073" t="str">
        <v>526515 Cargos diferidos</v>
      </c>
      <c r="BV1073" t="str">
        <v>526515 Cargos diferidos</v>
      </c>
      <c r="BZ1073" t="str">
        <v>526515 Cargos diferidos</v>
      </c>
      <c r="CA1073" t="str">
        <v>526515 Cargos diferidos</v>
      </c>
      <c r="CB1073" t="str">
        <v>526515 Cargos diferidos</v>
      </c>
      <c r="CC1073" t="str">
        <v>526515 Cargos diferidos</v>
      </c>
      <c r="CD1073" t="str">
        <v>526515 Cargos diferidos</v>
      </c>
      <c r="CE1073" t="str">
        <v>526515 Cargos diferidos</v>
      </c>
      <c r="CS1073" s="141" t="str">
        <v>526515 Cargos diferidos</v>
      </c>
      <c r="CT1073" s="141" t="str">
        <v>526515 Cargos diferidos</v>
      </c>
      <c r="CU1073" s="141" t="str">
        <v>526515 Cargos diferidos</v>
      </c>
      <c r="CV1073" s="141" t="str">
        <v>526515 Cargos diferidos</v>
      </c>
      <c r="CW1073" s="141" t="str">
        <v>526515 Cargos diferidos</v>
      </c>
      <c r="CX1073" s="141" t="str">
        <v>526515 Cargos diferidos</v>
      </c>
      <c r="CY1073" s="141" t="str">
        <v>526515 Cargos diferidos</v>
      </c>
      <c r="CZ1073" s="141" t="str">
        <v>526515 Cargos diferidos</v>
      </c>
      <c r="DA1073" s="141" t="str">
        <v>526515 Cargos diferidos</v>
      </c>
      <c r="DF1073" t="str">
        <v>526515 Cargos diferidos</v>
      </c>
      <c r="DG1073" t="str">
        <v>526515 Cargos diferidos</v>
      </c>
      <c r="DH1073" t="str">
        <v>526515 Cargos diferidos</v>
      </c>
      <c r="DI1073" t="str">
        <v>526515 Cargos diferidos</v>
      </c>
      <c r="DJ1073" t="str">
        <v>526515 Cargos diferidos</v>
      </c>
      <c r="DK1073" t="str">
        <v>526515 Cargos diferidos</v>
      </c>
      <c r="DL1073" t="str">
        <v>526515 Cargos diferidos</v>
      </c>
      <c r="DM1073" t="str">
        <v>526515 Cargos diferidos</v>
      </c>
      <c r="DN1073" t="str">
        <v>526515 Cargos diferidos</v>
      </c>
      <c r="DO1073" t="str">
        <v>526515 Cargos diferidos</v>
      </c>
      <c r="DP1073" t="str">
        <v>526515 Cargos diferidos</v>
      </c>
    </row>
    <row r="1074" spans="4:120" ht="12.75">
      <c r="D1074" s="7">
        <v>526595</v>
      </c>
      <c r="E1074" s="6" t="s">
        <v>46</v>
      </c>
      <c r="F1074" s="5">
        <v>4</v>
      </c>
      <c r="G1074" s="34" t="s">
        <v>830</v>
      </c>
      <c r="H1074" s="8" t="s">
        <v>32</v>
      </c>
      <c r="I1074" t="b">
        <f>+ISNUMBER(SEARCH('F-COMPRA'!$F$28,Tabla11[[#This Row],[Cuenta]],1))</f>
        <v>1</v>
      </c>
      <c r="J1074" t="b">
        <f>+ISNUMBER(SEARCH('F-COMPRA'!$F$29,Tabla11[[#This Row],[Cuenta]],1))</f>
        <v>1</v>
      </c>
      <c r="K1074" t="b">
        <f>+ISNUMBER(SEARCH('F-COMPRA'!$F$30,Tabla11[[#This Row],[Cuenta]],1))</f>
        <v>1</v>
      </c>
      <c r="L1074" t="b">
        <f>+ISNUMBER(SEARCH('F-COMPRA'!$F$31,Tabla11[[#This Row],[Cuenta]],1))</f>
        <v>1</v>
      </c>
      <c r="M1074" t="b">
        <f>+ISNUMBER(SEARCH('F-COMPRA'!$G$25,Tabla11[[#This Row],[Cuenta]],1))</f>
        <v>0</v>
      </c>
      <c r="N1074" t="b">
        <f>+ISNUMBER(SEARCH(#REF!,Tabla11[[#This Row],[Cuenta]],1))</f>
        <v>0</v>
      </c>
      <c r="O1074" t="b">
        <f>+ISNUMBER(SEARCH(#REF!,Tabla11[[#This Row],[Cuenta]],1))</f>
        <v>0</v>
      </c>
      <c r="P1074" t="b">
        <f>+ISNUMBER(SEARCH('F-COMPRA'!$F$32,Tabla11[[#This Row],[Cuenta]],1))</f>
        <v>1</v>
      </c>
      <c r="Q1074" t="b">
        <f>+ISNUMBER(SEARCH('F-COMPRA'!$F$33,Tabla11[[#This Row],[Cuenta]],1))</f>
        <v>1</v>
      </c>
      <c r="R1074" t="b">
        <f>+ISNUMBER(SEARCH('F-COMPRA'!$F$34,Tabla11[[#This Row],[Cuenta]],1))</f>
        <v>1</v>
      </c>
      <c r="S1074" t="b">
        <f>+ISNUMBER(SEARCH('F-COMPRA'!$F$35,Tabla11[[#This Row],[Cuenta]],1))</f>
        <v>1</v>
      </c>
      <c r="T1074" t="b">
        <f>+ISNUMBER(SEARCH('F-COMPRA'!$F$36,Tabla11[[#This Row],[Cuenta]],1))</f>
        <v>1</v>
      </c>
      <c r="U1074" t="b">
        <f>+ISNUMBER(SEARCH('F-COMPRA'!$F$37,Tabla11[[#This Row],[Cuenta]],1))</f>
        <v>1</v>
      </c>
      <c r="V1074" t="b">
        <f>+ISNUMBER(SEARCH(#REF!,Tabla11[[#This Row],[Cuenta]],1))</f>
        <v>0</v>
      </c>
      <c r="W1074" t="b">
        <f>+ISNUMBER(SEARCH('F-COMPRA'!#REF!,Tabla11[[#This Row],[Cuenta]],1))</f>
        <v>0</v>
      </c>
      <c r="X1074" t="b">
        <f>+ISNUMBER(SEARCH('F-COMPRA'!#REF!,Tabla11[[#This Row],[Cuenta]],1))</f>
        <v>0</v>
      </c>
      <c r="Y1074" t="b">
        <f>+ISNUMBER(SEARCH('F-COMPRA'!#REF!,Tabla11[[#This Row],[Cuenta]],1))</f>
        <v>0</v>
      </c>
      <c r="Z1074" t="b">
        <f>+ISNUMBER(SEARCH('F-COMPRA'!#REF!,Tabla11[[#This Row],[Cuenta]],1))</f>
        <v>0</v>
      </c>
      <c r="AA1074" t="b">
        <f>+ISNUMBER(SEARCH('F-COMPRA'!#REF!,Tabla11[[#This Row],[Cuenta]],1))</f>
        <v>0</v>
      </c>
      <c r="AB1074" t="b">
        <f>+ISNUMBER(SEARCH('F-COMPRA'!#REF!,Tabla11[[#This Row],[Cuenta]],1))</f>
        <v>0</v>
      </c>
      <c r="AC1074" t="b">
        <f>+ISNUMBER(SEARCH('F-COMPRA'!#REF!,Tabla11[[#This Row],[Cuenta]],1))</f>
        <v>0</v>
      </c>
      <c r="AD1074" t="b">
        <f>+ISNUMBER(SEARCH('F-COMPRA'!#REF!,Tabla11[[#This Row],[Cuenta]],1))</f>
        <v>0</v>
      </c>
      <c r="AE1074" t="b">
        <f>+ISNUMBER(SEARCH('F-COMPRA'!#REF!,Tabla11[[#This Row],[Cuenta]],1))</f>
        <v>0</v>
      </c>
      <c r="AF1074" t="b">
        <f>+ISNUMBER(SEARCH('F-VTA'!$G$23,Tabla11[[#This Row],[Cuenta]],1))</f>
        <v>0</v>
      </c>
      <c r="AG1074" t="b">
        <f>+ISNUMBER(SEARCH('F-VTA'!$G$24,Tabla11[[#This Row],[Cuenta]],1))</f>
        <v>0</v>
      </c>
      <c r="AH1074" t="b">
        <f>+ISNUMBER(SEARCH('F-VTA'!$G$25,Tabla11[[#This Row],[Cuenta]],1))</f>
        <v>0</v>
      </c>
      <c r="AI1074" t="b">
        <f>+ISNUMBER(SEARCH('F-VTA'!$F$28,Tabla11[[#This Row],[Cuenta]],1))</f>
        <v>1</v>
      </c>
      <c r="AJ1074" t="b">
        <f>+ISNUMBER(SEARCH('F-VTA'!$F$29,Tabla11[[#This Row],[Cuenta]],1))</f>
        <v>1</v>
      </c>
      <c r="AK1074" t="b">
        <f>+ISNUMBER(SEARCH('F-VTA'!$F$30,Tabla11[[#This Row],[Cuenta]],1))</f>
        <v>1</v>
      </c>
      <c r="AL1074" t="b">
        <f>+ISNUMBER(SEARCH('F-VTA'!$F$31,Tabla11[[#This Row],[Cuenta]],1))</f>
        <v>1</v>
      </c>
      <c r="AM1074" t="b">
        <f>+ISNUMBER(SEARCH('F-VTA'!$F$32,Tabla11[[#This Row],[Cuenta]],1))</f>
        <v>1</v>
      </c>
      <c r="AN1074" t="b">
        <f>+ISNUMBER(SEARCH('F-VTA'!$F$33,Tabla11[[#This Row],[Cuenta]],1))</f>
        <v>1</v>
      </c>
      <c r="AO1074" t="b">
        <f>+ISNUMBER(SEARCH('F-VTA'!$F$34,Tabla11[[#This Row],[Cuenta]],1))</f>
        <v>1</v>
      </c>
      <c r="AP1074" t="b">
        <f>+ISNUMBER(SEARCH('F-VTA'!$F$35,Tabla11[[#This Row],[Cuenta]],1))</f>
        <v>1</v>
      </c>
      <c r="AQ1074" t="b">
        <f>+ISNUMBER(SEARCH('F-VTA'!$F$36,Tabla11[[#This Row],[Cuenta]],1))</f>
        <v>1</v>
      </c>
      <c r="AR1074" t="b">
        <f>+ISNUMBER(SEARCH(#REF!,Tabla11[[#This Row],[Cuenta]],1))</f>
        <v>0</v>
      </c>
      <c r="AS1074" t="b">
        <f>+ISNUMBER(SEARCH(#REF!,Tabla11[[#This Row],[Cuenta]],1))</f>
        <v>0</v>
      </c>
      <c r="AT1074" t="b">
        <f>+ISNUMBER(SEARCH(#REF!,Tabla11[[#This Row],[Cuenta]],1))</f>
        <v>0</v>
      </c>
      <c r="AU1074" t="b">
        <f>+ISNUMBER(SEARCH('Conc. Ban.1'!$I$9,Tabla11[[#This Row],[Cuenta]],1))</f>
        <v>0</v>
      </c>
      <c r="AV1074" t="b">
        <f>+ISNUMBER(SEARCH(CompConta!$F$21,Tabla11[[#This Row],[Cuenta]],1))</f>
        <v>1</v>
      </c>
      <c r="AW1074" t="b">
        <f>+ISNUMBER(SEARCH(CompConta!$F$22,Tabla11[[#This Row],[Cuenta]],1))</f>
        <v>1</v>
      </c>
      <c r="AX1074" t="b">
        <f>+ISNUMBER(SEARCH(CompConta!$F$23,Tabla11[[#This Row],[Cuenta]],1))</f>
        <v>1</v>
      </c>
      <c r="AY1074" t="b">
        <f>+ISNUMBER(SEARCH(CompConta!$F$24,Tabla11[[#This Row],[Cuenta]],1))</f>
        <v>1</v>
      </c>
      <c r="AZ1074" t="b">
        <f>+ISNUMBER(SEARCH(CompConta!$F$25,Tabla11[[#This Row],[Cuenta]],1))</f>
        <v>1</v>
      </c>
      <c r="BA1074" t="b">
        <f>+ISNUMBER(SEARCH(CompConta!$F$26,Tabla11[[#This Row],[Cuenta]],1))</f>
        <v>1</v>
      </c>
      <c r="BB1074" t="b">
        <f>+ISNUMBER(SEARCH(CompConta!$F$27,Tabla11[[#This Row],[Cuenta]],1))</f>
        <v>1</v>
      </c>
      <c r="BC1074" t="b">
        <f>+ISNUMBER(SEARCH(CompConta!$F$28,Tabla11[[#This Row],[Cuenta]],1))</f>
        <v>1</v>
      </c>
      <c r="BD1074" t="b">
        <f>+ISNUMBER(SEARCH(CompConta!$F$29,Tabla11[[#This Row],[Cuenta]],1))</f>
        <v>1</v>
      </c>
      <c r="BE1074" t="b">
        <f>+ISNUMBER(SEARCH(CompConta!$F$30,Tabla11[[#This Row],[Cuenta]],1))</f>
        <v>1</v>
      </c>
      <c r="BF1074" t="b">
        <f>+ISNUMBER(SEARCH('PAGO Compras'!$E$11,Tabla11[[#This Row],[Cuenta]],1))</f>
        <v>1</v>
      </c>
      <c r="BG1074" t="b">
        <f>+ISNUMBER(SEARCH(#REF!,Tabla11[[#This Row],[Cuenta]],1))</f>
        <v>0</v>
      </c>
      <c r="BH1074" t="b">
        <f>+ISNUMBER(SEARCH(#REF!,Tabla11[[#This Row],[Cuenta]],1))</f>
        <v>0</v>
      </c>
      <c r="BI1074" t="b">
        <f>+ISNUMBER(SEARCH(#REF!,Tabla11[[#This Row],[Cuenta]],1))</f>
        <v>0</v>
      </c>
      <c r="BJ1074" t="b">
        <f>+ISNUMBER(SEARCH(#REF!,Tabla11[[#This Row],[Cuenta]],1))</f>
        <v>0</v>
      </c>
      <c r="BS1074" t="str">
        <v>526595 Otras</v>
      </c>
      <c r="BT1074" t="str">
        <v>526595 Otras</v>
      </c>
      <c r="BU1074" t="str">
        <v>526595 Otras</v>
      </c>
      <c r="BV1074" t="str">
        <v>526595 Otras</v>
      </c>
      <c r="BZ1074" t="str">
        <v>526595 Otras</v>
      </c>
      <c r="CA1074" t="str">
        <v>526595 Otras</v>
      </c>
      <c r="CB1074" t="str">
        <v>526595 Otras</v>
      </c>
      <c r="CC1074" t="str">
        <v>526595 Otras</v>
      </c>
      <c r="CD1074" t="str">
        <v>526595 Otras</v>
      </c>
      <c r="CE1074" t="str">
        <v>526595 Otras</v>
      </c>
      <c r="CS1074" s="141" t="str">
        <v>526595 Otras</v>
      </c>
      <c r="CT1074" s="141" t="str">
        <v>526595 Otras</v>
      </c>
      <c r="CU1074" s="141" t="str">
        <v>526595 Otras</v>
      </c>
      <c r="CV1074" s="141" t="str">
        <v>526595 Otras</v>
      </c>
      <c r="CW1074" s="141" t="str">
        <v>526595 Otras</v>
      </c>
      <c r="CX1074" s="141" t="str">
        <v>526595 Otras</v>
      </c>
      <c r="CY1074" s="141" t="str">
        <v>526595 Otras</v>
      </c>
      <c r="CZ1074" s="141" t="str">
        <v>526595 Otras</v>
      </c>
      <c r="DA1074" s="141" t="str">
        <v>526595 Otras</v>
      </c>
      <c r="DF1074" t="str">
        <v>526595 Otras</v>
      </c>
      <c r="DG1074" t="str">
        <v>526595 Otras</v>
      </c>
      <c r="DH1074" t="str">
        <v>526595 Otras</v>
      </c>
      <c r="DI1074" t="str">
        <v>526595 Otras</v>
      </c>
      <c r="DJ1074" t="str">
        <v>526595 Otras</v>
      </c>
      <c r="DK1074" t="str">
        <v>526595 Otras</v>
      </c>
      <c r="DL1074" t="str">
        <v>526595 Otras</v>
      </c>
      <c r="DM1074" t="str">
        <v>526595 Otras</v>
      </c>
      <c r="DN1074" t="str">
        <v>526595 Otras</v>
      </c>
      <c r="DO1074" t="str">
        <v>526595 Otras</v>
      </c>
      <c r="DP1074" t="str">
        <v>526595 Otras</v>
      </c>
    </row>
    <row r="1075" spans="4:120" ht="12.75">
      <c r="D1075" s="7">
        <v>526599</v>
      </c>
      <c r="E1075" s="6" t="s">
        <v>93</v>
      </c>
      <c r="F1075" s="5">
        <v>4</v>
      </c>
      <c r="G1075" s="34" t="s">
        <v>830</v>
      </c>
      <c r="H1075" s="8" t="s">
        <v>32</v>
      </c>
      <c r="I1075" t="b">
        <f>+ISNUMBER(SEARCH('F-COMPRA'!$F$28,Tabla11[[#This Row],[Cuenta]],1))</f>
        <v>1</v>
      </c>
      <c r="J1075" t="b">
        <f>+ISNUMBER(SEARCH('F-COMPRA'!$F$29,Tabla11[[#This Row],[Cuenta]],1))</f>
        <v>1</v>
      </c>
      <c r="K1075" t="b">
        <f>+ISNUMBER(SEARCH('F-COMPRA'!$F$30,Tabla11[[#This Row],[Cuenta]],1))</f>
        <v>1</v>
      </c>
      <c r="L1075" t="b">
        <f>+ISNUMBER(SEARCH('F-COMPRA'!$F$31,Tabla11[[#This Row],[Cuenta]],1))</f>
        <v>1</v>
      </c>
      <c r="M1075" t="b">
        <f>+ISNUMBER(SEARCH('F-COMPRA'!$G$25,Tabla11[[#This Row],[Cuenta]],1))</f>
        <v>0</v>
      </c>
      <c r="N1075" t="b">
        <f>+ISNUMBER(SEARCH(#REF!,Tabla11[[#This Row],[Cuenta]],1))</f>
        <v>0</v>
      </c>
      <c r="O1075" t="b">
        <f>+ISNUMBER(SEARCH(#REF!,Tabla11[[#This Row],[Cuenta]],1))</f>
        <v>0</v>
      </c>
      <c r="P1075" t="b">
        <f>+ISNUMBER(SEARCH('F-COMPRA'!$F$32,Tabla11[[#This Row],[Cuenta]],1))</f>
        <v>1</v>
      </c>
      <c r="Q1075" t="b">
        <f>+ISNUMBER(SEARCH('F-COMPRA'!$F$33,Tabla11[[#This Row],[Cuenta]],1))</f>
        <v>1</v>
      </c>
      <c r="R1075" t="b">
        <f>+ISNUMBER(SEARCH('F-COMPRA'!$F$34,Tabla11[[#This Row],[Cuenta]],1))</f>
        <v>1</v>
      </c>
      <c r="S1075" t="b">
        <f>+ISNUMBER(SEARCH('F-COMPRA'!$F$35,Tabla11[[#This Row],[Cuenta]],1))</f>
        <v>1</v>
      </c>
      <c r="T1075" t="b">
        <f>+ISNUMBER(SEARCH('F-COMPRA'!$F$36,Tabla11[[#This Row],[Cuenta]],1))</f>
        <v>1</v>
      </c>
      <c r="U1075" t="b">
        <f>+ISNUMBER(SEARCH('F-COMPRA'!$F$37,Tabla11[[#This Row],[Cuenta]],1))</f>
        <v>1</v>
      </c>
      <c r="V1075" t="b">
        <f>+ISNUMBER(SEARCH(#REF!,Tabla11[[#This Row],[Cuenta]],1))</f>
        <v>0</v>
      </c>
      <c r="W1075" t="b">
        <f>+ISNUMBER(SEARCH('F-COMPRA'!#REF!,Tabla11[[#This Row],[Cuenta]],1))</f>
        <v>0</v>
      </c>
      <c r="X1075" t="b">
        <f>+ISNUMBER(SEARCH('F-COMPRA'!#REF!,Tabla11[[#This Row],[Cuenta]],1))</f>
        <v>0</v>
      </c>
      <c r="Y1075" t="b">
        <f>+ISNUMBER(SEARCH('F-COMPRA'!#REF!,Tabla11[[#This Row],[Cuenta]],1))</f>
        <v>0</v>
      </c>
      <c r="Z1075" t="b">
        <f>+ISNUMBER(SEARCH('F-COMPRA'!#REF!,Tabla11[[#This Row],[Cuenta]],1))</f>
        <v>0</v>
      </c>
      <c r="AA1075" t="b">
        <f>+ISNUMBER(SEARCH('F-COMPRA'!#REF!,Tabla11[[#This Row],[Cuenta]],1))</f>
        <v>0</v>
      </c>
      <c r="AB1075" t="b">
        <f>+ISNUMBER(SEARCH('F-COMPRA'!#REF!,Tabla11[[#This Row],[Cuenta]],1))</f>
        <v>0</v>
      </c>
      <c r="AC1075" t="b">
        <f>+ISNUMBER(SEARCH('F-COMPRA'!#REF!,Tabla11[[#This Row],[Cuenta]],1))</f>
        <v>0</v>
      </c>
      <c r="AD1075" t="b">
        <f>+ISNUMBER(SEARCH('F-COMPRA'!#REF!,Tabla11[[#This Row],[Cuenta]],1))</f>
        <v>0</v>
      </c>
      <c r="AE1075" t="b">
        <f>+ISNUMBER(SEARCH('F-COMPRA'!#REF!,Tabla11[[#This Row],[Cuenta]],1))</f>
        <v>0</v>
      </c>
      <c r="AF1075" t="b">
        <f>+ISNUMBER(SEARCH('F-VTA'!$G$23,Tabla11[[#This Row],[Cuenta]],1))</f>
        <v>0</v>
      </c>
      <c r="AG1075" t="b">
        <f>+ISNUMBER(SEARCH('F-VTA'!$G$24,Tabla11[[#This Row],[Cuenta]],1))</f>
        <v>0</v>
      </c>
      <c r="AH1075" t="b">
        <f>+ISNUMBER(SEARCH('F-VTA'!$G$25,Tabla11[[#This Row],[Cuenta]],1))</f>
        <v>0</v>
      </c>
      <c r="AI1075" t="b">
        <f>+ISNUMBER(SEARCH('F-VTA'!$F$28,Tabla11[[#This Row],[Cuenta]],1))</f>
        <v>1</v>
      </c>
      <c r="AJ1075" t="b">
        <f>+ISNUMBER(SEARCH('F-VTA'!$F$29,Tabla11[[#This Row],[Cuenta]],1))</f>
        <v>1</v>
      </c>
      <c r="AK1075" t="b">
        <f>+ISNUMBER(SEARCH('F-VTA'!$F$30,Tabla11[[#This Row],[Cuenta]],1))</f>
        <v>1</v>
      </c>
      <c r="AL1075" t="b">
        <f>+ISNUMBER(SEARCH('F-VTA'!$F$31,Tabla11[[#This Row],[Cuenta]],1))</f>
        <v>1</v>
      </c>
      <c r="AM1075" t="b">
        <f>+ISNUMBER(SEARCH('F-VTA'!$F$32,Tabla11[[#This Row],[Cuenta]],1))</f>
        <v>1</v>
      </c>
      <c r="AN1075" t="b">
        <f>+ISNUMBER(SEARCH('F-VTA'!$F$33,Tabla11[[#This Row],[Cuenta]],1))</f>
        <v>1</v>
      </c>
      <c r="AO1075" t="b">
        <f>+ISNUMBER(SEARCH('F-VTA'!$F$34,Tabla11[[#This Row],[Cuenta]],1))</f>
        <v>1</v>
      </c>
      <c r="AP1075" t="b">
        <f>+ISNUMBER(SEARCH('F-VTA'!$F$35,Tabla11[[#This Row],[Cuenta]],1))</f>
        <v>1</v>
      </c>
      <c r="AQ1075" t="b">
        <f>+ISNUMBER(SEARCH('F-VTA'!$F$36,Tabla11[[#This Row],[Cuenta]],1))</f>
        <v>1</v>
      </c>
      <c r="AR1075" t="b">
        <f>+ISNUMBER(SEARCH(#REF!,Tabla11[[#This Row],[Cuenta]],1))</f>
        <v>0</v>
      </c>
      <c r="AS1075" t="b">
        <f>+ISNUMBER(SEARCH(#REF!,Tabla11[[#This Row],[Cuenta]],1))</f>
        <v>0</v>
      </c>
      <c r="AT1075" t="b">
        <f>+ISNUMBER(SEARCH(#REF!,Tabla11[[#This Row],[Cuenta]],1))</f>
        <v>0</v>
      </c>
      <c r="AU1075" t="b">
        <f>+ISNUMBER(SEARCH('Conc. Ban.1'!$I$9,Tabla11[[#This Row],[Cuenta]],1))</f>
        <v>0</v>
      </c>
      <c r="AV1075" t="b">
        <f>+ISNUMBER(SEARCH(CompConta!$F$21,Tabla11[[#This Row],[Cuenta]],1))</f>
        <v>1</v>
      </c>
      <c r="AW1075" t="b">
        <f>+ISNUMBER(SEARCH(CompConta!$F$22,Tabla11[[#This Row],[Cuenta]],1))</f>
        <v>1</v>
      </c>
      <c r="AX1075" t="b">
        <f>+ISNUMBER(SEARCH(CompConta!$F$23,Tabla11[[#This Row],[Cuenta]],1))</f>
        <v>1</v>
      </c>
      <c r="AY1075" t="b">
        <f>+ISNUMBER(SEARCH(CompConta!$F$24,Tabla11[[#This Row],[Cuenta]],1))</f>
        <v>1</v>
      </c>
      <c r="AZ1075" t="b">
        <f>+ISNUMBER(SEARCH(CompConta!$F$25,Tabla11[[#This Row],[Cuenta]],1))</f>
        <v>1</v>
      </c>
      <c r="BA1075" t="b">
        <f>+ISNUMBER(SEARCH(CompConta!$F$26,Tabla11[[#This Row],[Cuenta]],1))</f>
        <v>1</v>
      </c>
      <c r="BB1075" t="b">
        <f>+ISNUMBER(SEARCH(CompConta!$F$27,Tabla11[[#This Row],[Cuenta]],1))</f>
        <v>1</v>
      </c>
      <c r="BC1075" t="b">
        <f>+ISNUMBER(SEARCH(CompConta!$F$28,Tabla11[[#This Row],[Cuenta]],1))</f>
        <v>1</v>
      </c>
      <c r="BD1075" t="b">
        <f>+ISNUMBER(SEARCH(CompConta!$F$29,Tabla11[[#This Row],[Cuenta]],1))</f>
        <v>1</v>
      </c>
      <c r="BE1075" t="b">
        <f>+ISNUMBER(SEARCH(CompConta!$F$30,Tabla11[[#This Row],[Cuenta]],1))</f>
        <v>1</v>
      </c>
      <c r="BF1075" t="b">
        <f>+ISNUMBER(SEARCH('PAGO Compras'!$E$11,Tabla11[[#This Row],[Cuenta]],1))</f>
        <v>1</v>
      </c>
      <c r="BG1075" t="b">
        <f>+ISNUMBER(SEARCH(#REF!,Tabla11[[#This Row],[Cuenta]],1))</f>
        <v>0</v>
      </c>
      <c r="BH1075" t="b">
        <f>+ISNUMBER(SEARCH(#REF!,Tabla11[[#This Row],[Cuenta]],1))</f>
        <v>0</v>
      </c>
      <c r="BI1075" t="b">
        <f>+ISNUMBER(SEARCH(#REF!,Tabla11[[#This Row],[Cuenta]],1))</f>
        <v>0</v>
      </c>
      <c r="BJ1075" t="b">
        <f>+ISNUMBER(SEARCH(#REF!,Tabla11[[#This Row],[Cuenta]],1))</f>
        <v>0</v>
      </c>
      <c r="BS1075" t="str">
        <v>526599 *Ajustes por inflación</v>
      </c>
      <c r="BT1075" t="str">
        <v>526599 *Ajustes por inflación</v>
      </c>
      <c r="BU1075" t="str">
        <v>526599 *Ajustes por inflación</v>
      </c>
      <c r="BV1075" t="str">
        <v>526599 *Ajustes por inflación</v>
      </c>
      <c r="BZ1075" t="str">
        <v>526599 *Ajustes por inflación</v>
      </c>
      <c r="CA1075" t="str">
        <v>526599 *Ajustes por inflación</v>
      </c>
      <c r="CB1075" t="str">
        <v>526599 *Ajustes por inflación</v>
      </c>
      <c r="CC1075" t="str">
        <v>526599 *Ajustes por inflación</v>
      </c>
      <c r="CD1075" t="str">
        <v>526599 *Ajustes por inflación</v>
      </c>
      <c r="CE1075" t="str">
        <v>526599 *Ajustes por inflación</v>
      </c>
      <c r="CS1075" s="141" t="str">
        <v>526599 *Ajustes por inflación</v>
      </c>
      <c r="CT1075" s="141" t="str">
        <v>526599 *Ajustes por inflación</v>
      </c>
      <c r="CU1075" s="141" t="str">
        <v>526599 *Ajustes por inflación</v>
      </c>
      <c r="CV1075" s="141" t="str">
        <v>526599 *Ajustes por inflación</v>
      </c>
      <c r="CW1075" s="141" t="str">
        <v>526599 *Ajustes por inflación</v>
      </c>
      <c r="CX1075" s="141" t="str">
        <v>526599 *Ajustes por inflación</v>
      </c>
      <c r="CY1075" s="141" t="str">
        <v>526599 *Ajustes por inflación</v>
      </c>
      <c r="CZ1075" s="141" t="str">
        <v>526599 *Ajustes por inflación</v>
      </c>
      <c r="DA1075" s="141" t="str">
        <v>526599 *Ajustes por inflación</v>
      </c>
      <c r="DF1075" t="str">
        <v>526599 *Ajustes por inflación</v>
      </c>
      <c r="DG1075" t="str">
        <v>526599 *Ajustes por inflación</v>
      </c>
      <c r="DH1075" t="str">
        <v>526599 *Ajustes por inflación</v>
      </c>
      <c r="DI1075" t="str">
        <v>526599 *Ajustes por inflación</v>
      </c>
      <c r="DJ1075" t="str">
        <v>526599 *Ajustes por inflación</v>
      </c>
      <c r="DK1075" t="str">
        <v>526599 *Ajustes por inflación</v>
      </c>
      <c r="DL1075" t="str">
        <v>526599 *Ajustes por inflación</v>
      </c>
      <c r="DM1075" t="str">
        <v>526599 *Ajustes por inflación</v>
      </c>
      <c r="DN1075" t="str">
        <v>526599 *Ajustes por inflación</v>
      </c>
      <c r="DO1075" t="str">
        <v>526599 *Ajustes por inflación</v>
      </c>
      <c r="DP1075" t="str">
        <v>526599 *Ajustes por inflación</v>
      </c>
    </row>
    <row r="1076" spans="4:120" ht="12.75">
      <c r="D1076" s="7">
        <v>5270</v>
      </c>
      <c r="E1076" s="6" t="s">
        <v>630</v>
      </c>
      <c r="F1076" s="5">
        <v>3</v>
      </c>
      <c r="G1076" s="34" t="s">
        <v>830</v>
      </c>
      <c r="H1076" s="8" t="s">
        <v>32</v>
      </c>
      <c r="I1076" t="b">
        <f>+ISNUMBER(SEARCH('F-COMPRA'!$F$28,Tabla11[[#This Row],[Cuenta]],1))</f>
        <v>1</v>
      </c>
      <c r="J1076" t="b">
        <f>+ISNUMBER(SEARCH('F-COMPRA'!$F$29,Tabla11[[#This Row],[Cuenta]],1))</f>
        <v>1</v>
      </c>
      <c r="K1076" t="b">
        <f>+ISNUMBER(SEARCH('F-COMPRA'!$F$30,Tabla11[[#This Row],[Cuenta]],1))</f>
        <v>1</v>
      </c>
      <c r="L1076" t="b">
        <f>+ISNUMBER(SEARCH('F-COMPRA'!$F$31,Tabla11[[#This Row],[Cuenta]],1))</f>
        <v>1</v>
      </c>
      <c r="M1076" t="b">
        <f>+ISNUMBER(SEARCH('F-COMPRA'!$G$25,Tabla11[[#This Row],[Cuenta]],1))</f>
        <v>0</v>
      </c>
      <c r="N1076" t="b">
        <f>+ISNUMBER(SEARCH(#REF!,Tabla11[[#This Row],[Cuenta]],1))</f>
        <v>0</v>
      </c>
      <c r="O1076" t="b">
        <f>+ISNUMBER(SEARCH(#REF!,Tabla11[[#This Row],[Cuenta]],1))</f>
        <v>0</v>
      </c>
      <c r="P1076" t="b">
        <f>+ISNUMBER(SEARCH('F-COMPRA'!$F$32,Tabla11[[#This Row],[Cuenta]],1))</f>
        <v>1</v>
      </c>
      <c r="Q1076" t="b">
        <f>+ISNUMBER(SEARCH('F-COMPRA'!$F$33,Tabla11[[#This Row],[Cuenta]],1))</f>
        <v>1</v>
      </c>
      <c r="R1076" t="b">
        <f>+ISNUMBER(SEARCH('F-COMPRA'!$F$34,Tabla11[[#This Row],[Cuenta]],1))</f>
        <v>1</v>
      </c>
      <c r="S1076" t="b">
        <f>+ISNUMBER(SEARCH('F-COMPRA'!$F$35,Tabla11[[#This Row],[Cuenta]],1))</f>
        <v>1</v>
      </c>
      <c r="T1076" t="b">
        <f>+ISNUMBER(SEARCH('F-COMPRA'!$F$36,Tabla11[[#This Row],[Cuenta]],1))</f>
        <v>1</v>
      </c>
      <c r="U1076" t="b">
        <f>+ISNUMBER(SEARCH('F-COMPRA'!$F$37,Tabla11[[#This Row],[Cuenta]],1))</f>
        <v>1</v>
      </c>
      <c r="V1076" t="b">
        <f>+ISNUMBER(SEARCH(#REF!,Tabla11[[#This Row],[Cuenta]],1))</f>
        <v>0</v>
      </c>
      <c r="W1076" t="b">
        <f>+ISNUMBER(SEARCH('F-COMPRA'!#REF!,Tabla11[[#This Row],[Cuenta]],1))</f>
        <v>0</v>
      </c>
      <c r="X1076" t="b">
        <f>+ISNUMBER(SEARCH('F-COMPRA'!#REF!,Tabla11[[#This Row],[Cuenta]],1))</f>
        <v>0</v>
      </c>
      <c r="Y1076" t="b">
        <f>+ISNUMBER(SEARCH('F-COMPRA'!#REF!,Tabla11[[#This Row],[Cuenta]],1))</f>
        <v>0</v>
      </c>
      <c r="Z1076" t="b">
        <f>+ISNUMBER(SEARCH('F-COMPRA'!#REF!,Tabla11[[#This Row],[Cuenta]],1))</f>
        <v>0</v>
      </c>
      <c r="AA1076" t="b">
        <f>+ISNUMBER(SEARCH('F-COMPRA'!#REF!,Tabla11[[#This Row],[Cuenta]],1))</f>
        <v>0</v>
      </c>
      <c r="AB1076" t="b">
        <f>+ISNUMBER(SEARCH('F-COMPRA'!#REF!,Tabla11[[#This Row],[Cuenta]],1))</f>
        <v>0</v>
      </c>
      <c r="AC1076" t="b">
        <f>+ISNUMBER(SEARCH('F-COMPRA'!#REF!,Tabla11[[#This Row],[Cuenta]],1))</f>
        <v>0</v>
      </c>
      <c r="AD1076" t="b">
        <f>+ISNUMBER(SEARCH('F-COMPRA'!#REF!,Tabla11[[#This Row],[Cuenta]],1))</f>
        <v>0</v>
      </c>
      <c r="AE1076" t="b">
        <f>+ISNUMBER(SEARCH('F-COMPRA'!#REF!,Tabla11[[#This Row],[Cuenta]],1))</f>
        <v>0</v>
      </c>
      <c r="AF1076" t="b">
        <f>+ISNUMBER(SEARCH('F-VTA'!$G$23,Tabla11[[#This Row],[Cuenta]],1))</f>
        <v>0</v>
      </c>
      <c r="AG1076" t="b">
        <f>+ISNUMBER(SEARCH('F-VTA'!$G$24,Tabla11[[#This Row],[Cuenta]],1))</f>
        <v>0</v>
      </c>
      <c r="AH1076" t="b">
        <f>+ISNUMBER(SEARCH('F-VTA'!$G$25,Tabla11[[#This Row],[Cuenta]],1))</f>
        <v>0</v>
      </c>
      <c r="AI1076" t="b">
        <f>+ISNUMBER(SEARCH('F-VTA'!$F$28,Tabla11[[#This Row],[Cuenta]],1))</f>
        <v>1</v>
      </c>
      <c r="AJ1076" t="b">
        <f>+ISNUMBER(SEARCH('F-VTA'!$F$29,Tabla11[[#This Row],[Cuenta]],1))</f>
        <v>1</v>
      </c>
      <c r="AK1076" t="b">
        <f>+ISNUMBER(SEARCH('F-VTA'!$F$30,Tabla11[[#This Row],[Cuenta]],1))</f>
        <v>1</v>
      </c>
      <c r="AL1076" t="b">
        <f>+ISNUMBER(SEARCH('F-VTA'!$F$31,Tabla11[[#This Row],[Cuenta]],1))</f>
        <v>1</v>
      </c>
      <c r="AM1076" t="b">
        <f>+ISNUMBER(SEARCH('F-VTA'!$F$32,Tabla11[[#This Row],[Cuenta]],1))</f>
        <v>1</v>
      </c>
      <c r="AN1076" t="b">
        <f>+ISNUMBER(SEARCH('F-VTA'!$F$33,Tabla11[[#This Row],[Cuenta]],1))</f>
        <v>1</v>
      </c>
      <c r="AO1076" t="b">
        <f>+ISNUMBER(SEARCH('F-VTA'!$F$34,Tabla11[[#This Row],[Cuenta]],1))</f>
        <v>1</v>
      </c>
      <c r="AP1076" t="b">
        <f>+ISNUMBER(SEARCH('F-VTA'!$F$35,Tabla11[[#This Row],[Cuenta]],1))</f>
        <v>1</v>
      </c>
      <c r="AQ1076" t="b">
        <f>+ISNUMBER(SEARCH('F-VTA'!$F$36,Tabla11[[#This Row],[Cuenta]],1))</f>
        <v>1</v>
      </c>
      <c r="AR1076" t="b">
        <f>+ISNUMBER(SEARCH(#REF!,Tabla11[[#This Row],[Cuenta]],1))</f>
        <v>0</v>
      </c>
      <c r="AS1076" t="b">
        <f>+ISNUMBER(SEARCH(#REF!,Tabla11[[#This Row],[Cuenta]],1))</f>
        <v>0</v>
      </c>
      <c r="AT1076" t="b">
        <f>+ISNUMBER(SEARCH(#REF!,Tabla11[[#This Row],[Cuenta]],1))</f>
        <v>0</v>
      </c>
      <c r="AU1076" t="b">
        <f>+ISNUMBER(SEARCH('Conc. Ban.1'!$I$9,Tabla11[[#This Row],[Cuenta]],1))</f>
        <v>0</v>
      </c>
      <c r="AV1076" t="b">
        <f>+ISNUMBER(SEARCH(CompConta!$F$21,Tabla11[[#This Row],[Cuenta]],1))</f>
        <v>1</v>
      </c>
      <c r="AW1076" t="b">
        <f>+ISNUMBER(SEARCH(CompConta!$F$22,Tabla11[[#This Row],[Cuenta]],1))</f>
        <v>1</v>
      </c>
      <c r="AX1076" t="b">
        <f>+ISNUMBER(SEARCH(CompConta!$F$23,Tabla11[[#This Row],[Cuenta]],1))</f>
        <v>1</v>
      </c>
      <c r="AY1076" t="b">
        <f>+ISNUMBER(SEARCH(CompConta!$F$24,Tabla11[[#This Row],[Cuenta]],1))</f>
        <v>1</v>
      </c>
      <c r="AZ1076" t="b">
        <f>+ISNUMBER(SEARCH(CompConta!$F$25,Tabla11[[#This Row],[Cuenta]],1))</f>
        <v>1</v>
      </c>
      <c r="BA1076" t="b">
        <f>+ISNUMBER(SEARCH(CompConta!$F$26,Tabla11[[#This Row],[Cuenta]],1))</f>
        <v>1</v>
      </c>
      <c r="BB1076" t="b">
        <f>+ISNUMBER(SEARCH(CompConta!$F$27,Tabla11[[#This Row],[Cuenta]],1))</f>
        <v>1</v>
      </c>
      <c r="BC1076" t="b">
        <f>+ISNUMBER(SEARCH(CompConta!$F$28,Tabla11[[#This Row],[Cuenta]],1))</f>
        <v>1</v>
      </c>
      <c r="BD1076" t="b">
        <f>+ISNUMBER(SEARCH(CompConta!$F$29,Tabla11[[#This Row],[Cuenta]],1))</f>
        <v>1</v>
      </c>
      <c r="BE1076" t="b">
        <f>+ISNUMBER(SEARCH(CompConta!$F$30,Tabla11[[#This Row],[Cuenta]],1))</f>
        <v>1</v>
      </c>
      <c r="BF1076" t="b">
        <f>+ISNUMBER(SEARCH('PAGO Compras'!$E$11,Tabla11[[#This Row],[Cuenta]],1))</f>
        <v>1</v>
      </c>
      <c r="BG1076" t="b">
        <f>+ISNUMBER(SEARCH(#REF!,Tabla11[[#This Row],[Cuenta]],1))</f>
        <v>0</v>
      </c>
      <c r="BH1076" t="b">
        <f>+ISNUMBER(SEARCH(#REF!,Tabla11[[#This Row],[Cuenta]],1))</f>
        <v>0</v>
      </c>
      <c r="BI1076" t="b">
        <f>+ISNUMBER(SEARCH(#REF!,Tabla11[[#This Row],[Cuenta]],1))</f>
        <v>0</v>
      </c>
      <c r="BJ1076" t="b">
        <f>+ISNUMBER(SEARCH(#REF!,Tabla11[[#This Row],[Cuenta]],1))</f>
        <v>0</v>
      </c>
      <c r="BS1076" t="str">
        <v>5270 FINANCIEROS-REAJUSTE DEL SISTEMA</v>
      </c>
      <c r="BT1076" t="str">
        <v>5270 FINANCIEROS-REAJUSTE DEL SISTEMA</v>
      </c>
      <c r="BU1076" t="str">
        <v>5270 FINANCIEROS-REAJUSTE DEL SISTEMA</v>
      </c>
      <c r="BV1076" t="str">
        <v>5270 FINANCIEROS-REAJUSTE DEL SISTEMA</v>
      </c>
      <c r="BZ1076" t="str">
        <v>5270 FINANCIEROS-REAJUSTE DEL SISTEMA</v>
      </c>
      <c r="CA1076" t="str">
        <v>5270 FINANCIEROS-REAJUSTE DEL SISTEMA</v>
      </c>
      <c r="CB1076" t="str">
        <v>5270 FINANCIEROS-REAJUSTE DEL SISTEMA</v>
      </c>
      <c r="CC1076" t="str">
        <v>5270 FINANCIEROS-REAJUSTE DEL SISTEMA</v>
      </c>
      <c r="CD1076" t="str">
        <v>5270 FINANCIEROS-REAJUSTE DEL SISTEMA</v>
      </c>
      <c r="CE1076" t="str">
        <v>5270 FINANCIEROS-REAJUSTE DEL SISTEMA</v>
      </c>
      <c r="CS1076" s="141" t="str">
        <v>5270 FINANCIEROS-REAJUSTE DEL SISTEMA</v>
      </c>
      <c r="CT1076" s="141" t="str">
        <v>5270 FINANCIEROS-REAJUSTE DEL SISTEMA</v>
      </c>
      <c r="CU1076" s="141" t="str">
        <v>5270 FINANCIEROS-REAJUSTE DEL SISTEMA</v>
      </c>
      <c r="CV1076" s="141" t="str">
        <v>5270 FINANCIEROS-REAJUSTE DEL SISTEMA</v>
      </c>
      <c r="CW1076" s="141" t="str">
        <v>5270 FINANCIEROS-REAJUSTE DEL SISTEMA</v>
      </c>
      <c r="CX1076" s="141" t="str">
        <v>5270 FINANCIEROS-REAJUSTE DEL SISTEMA</v>
      </c>
      <c r="CY1076" s="141" t="str">
        <v>5270 FINANCIEROS-REAJUSTE DEL SISTEMA</v>
      </c>
      <c r="CZ1076" s="141" t="str">
        <v>5270 FINANCIEROS-REAJUSTE DEL SISTEMA</v>
      </c>
      <c r="DA1076" s="141" t="str">
        <v>5270 FINANCIEROS-REAJUSTE DEL SISTEMA</v>
      </c>
      <c r="DF1076" t="str">
        <v>5270 FINANCIEROS-REAJUSTE DEL SISTEMA</v>
      </c>
      <c r="DG1076" t="str">
        <v>5270 FINANCIEROS-REAJUSTE DEL SISTEMA</v>
      </c>
      <c r="DH1076" t="str">
        <v>5270 FINANCIEROS-REAJUSTE DEL SISTEMA</v>
      </c>
      <c r="DI1076" t="str">
        <v>5270 FINANCIEROS-REAJUSTE DEL SISTEMA</v>
      </c>
      <c r="DJ1076" t="str">
        <v>5270 FINANCIEROS-REAJUSTE DEL SISTEMA</v>
      </c>
      <c r="DK1076" t="str">
        <v>5270 FINANCIEROS-REAJUSTE DEL SISTEMA</v>
      </c>
      <c r="DL1076" t="str">
        <v>5270 FINANCIEROS-REAJUSTE DEL SISTEMA</v>
      </c>
      <c r="DM1076" t="str">
        <v>5270 FINANCIEROS-REAJUSTE DEL SISTEMA</v>
      </c>
      <c r="DN1076" t="str">
        <v>5270 FINANCIEROS-REAJUSTE DEL SISTEMA</v>
      </c>
      <c r="DO1076" t="str">
        <v>5270 FINANCIEROS-REAJUSTE DEL SISTEMA</v>
      </c>
      <c r="DP1076" t="str">
        <v>5270 FINANCIEROS-REAJUSTE DEL SISTEMA</v>
      </c>
    </row>
    <row r="1077" spans="4:120" ht="12.75">
      <c r="D1077" s="7">
        <v>527099</v>
      </c>
      <c r="E1077" s="6" t="s">
        <v>93</v>
      </c>
      <c r="F1077" s="5">
        <v>4</v>
      </c>
      <c r="G1077" s="34" t="s">
        <v>830</v>
      </c>
      <c r="H1077" s="8" t="s">
        <v>32</v>
      </c>
      <c r="I1077" t="b">
        <f>+ISNUMBER(SEARCH('F-COMPRA'!$F$28,Tabla11[[#This Row],[Cuenta]],1))</f>
        <v>1</v>
      </c>
      <c r="J1077" t="b">
        <f>+ISNUMBER(SEARCH('F-COMPRA'!$F$29,Tabla11[[#This Row],[Cuenta]],1))</f>
        <v>1</v>
      </c>
      <c r="K1077" t="b">
        <f>+ISNUMBER(SEARCH('F-COMPRA'!$F$30,Tabla11[[#This Row],[Cuenta]],1))</f>
        <v>1</v>
      </c>
      <c r="L1077" t="b">
        <f>+ISNUMBER(SEARCH('F-COMPRA'!$F$31,Tabla11[[#This Row],[Cuenta]],1))</f>
        <v>1</v>
      </c>
      <c r="M1077" t="b">
        <f>+ISNUMBER(SEARCH('F-COMPRA'!$G$25,Tabla11[[#This Row],[Cuenta]],1))</f>
        <v>0</v>
      </c>
      <c r="N1077" t="b">
        <f>+ISNUMBER(SEARCH(#REF!,Tabla11[[#This Row],[Cuenta]],1))</f>
        <v>0</v>
      </c>
      <c r="O1077" t="b">
        <f>+ISNUMBER(SEARCH(#REF!,Tabla11[[#This Row],[Cuenta]],1))</f>
        <v>0</v>
      </c>
      <c r="P1077" t="b">
        <f>+ISNUMBER(SEARCH('F-COMPRA'!$F$32,Tabla11[[#This Row],[Cuenta]],1))</f>
        <v>1</v>
      </c>
      <c r="Q1077" t="b">
        <f>+ISNUMBER(SEARCH('F-COMPRA'!$F$33,Tabla11[[#This Row],[Cuenta]],1))</f>
        <v>1</v>
      </c>
      <c r="R1077" t="b">
        <f>+ISNUMBER(SEARCH('F-COMPRA'!$F$34,Tabla11[[#This Row],[Cuenta]],1))</f>
        <v>1</v>
      </c>
      <c r="S1077" t="b">
        <f>+ISNUMBER(SEARCH('F-COMPRA'!$F$35,Tabla11[[#This Row],[Cuenta]],1))</f>
        <v>1</v>
      </c>
      <c r="T1077" t="b">
        <f>+ISNUMBER(SEARCH('F-COMPRA'!$F$36,Tabla11[[#This Row],[Cuenta]],1))</f>
        <v>1</v>
      </c>
      <c r="U1077" t="b">
        <f>+ISNUMBER(SEARCH('F-COMPRA'!$F$37,Tabla11[[#This Row],[Cuenta]],1))</f>
        <v>1</v>
      </c>
      <c r="V1077" t="b">
        <f>+ISNUMBER(SEARCH(#REF!,Tabla11[[#This Row],[Cuenta]],1))</f>
        <v>0</v>
      </c>
      <c r="W1077" t="b">
        <f>+ISNUMBER(SEARCH('F-COMPRA'!#REF!,Tabla11[[#This Row],[Cuenta]],1))</f>
        <v>0</v>
      </c>
      <c r="X1077" t="b">
        <f>+ISNUMBER(SEARCH('F-COMPRA'!#REF!,Tabla11[[#This Row],[Cuenta]],1))</f>
        <v>0</v>
      </c>
      <c r="Y1077" t="b">
        <f>+ISNUMBER(SEARCH('F-COMPRA'!#REF!,Tabla11[[#This Row],[Cuenta]],1))</f>
        <v>0</v>
      </c>
      <c r="Z1077" t="b">
        <f>+ISNUMBER(SEARCH('F-COMPRA'!#REF!,Tabla11[[#This Row],[Cuenta]],1))</f>
        <v>0</v>
      </c>
      <c r="AA1077" t="b">
        <f>+ISNUMBER(SEARCH('F-COMPRA'!#REF!,Tabla11[[#This Row],[Cuenta]],1))</f>
        <v>0</v>
      </c>
      <c r="AB1077" t="b">
        <f>+ISNUMBER(SEARCH('F-COMPRA'!#REF!,Tabla11[[#This Row],[Cuenta]],1))</f>
        <v>0</v>
      </c>
      <c r="AC1077" t="b">
        <f>+ISNUMBER(SEARCH('F-COMPRA'!#REF!,Tabla11[[#This Row],[Cuenta]],1))</f>
        <v>0</v>
      </c>
      <c r="AD1077" t="b">
        <f>+ISNUMBER(SEARCH('F-COMPRA'!#REF!,Tabla11[[#This Row],[Cuenta]],1))</f>
        <v>0</v>
      </c>
      <c r="AE1077" t="b">
        <f>+ISNUMBER(SEARCH('F-COMPRA'!#REF!,Tabla11[[#This Row],[Cuenta]],1))</f>
        <v>0</v>
      </c>
      <c r="AF1077" t="b">
        <f>+ISNUMBER(SEARCH('F-VTA'!$G$23,Tabla11[[#This Row],[Cuenta]],1))</f>
        <v>0</v>
      </c>
      <c r="AG1077" t="b">
        <f>+ISNUMBER(SEARCH('F-VTA'!$G$24,Tabla11[[#This Row],[Cuenta]],1))</f>
        <v>0</v>
      </c>
      <c r="AH1077" t="b">
        <f>+ISNUMBER(SEARCH('F-VTA'!$G$25,Tabla11[[#This Row],[Cuenta]],1))</f>
        <v>0</v>
      </c>
      <c r="AI1077" t="b">
        <f>+ISNUMBER(SEARCH('F-VTA'!$F$28,Tabla11[[#This Row],[Cuenta]],1))</f>
        <v>1</v>
      </c>
      <c r="AJ1077" t="b">
        <f>+ISNUMBER(SEARCH('F-VTA'!$F$29,Tabla11[[#This Row],[Cuenta]],1))</f>
        <v>1</v>
      </c>
      <c r="AK1077" t="b">
        <f>+ISNUMBER(SEARCH('F-VTA'!$F$30,Tabla11[[#This Row],[Cuenta]],1))</f>
        <v>1</v>
      </c>
      <c r="AL1077" t="b">
        <f>+ISNUMBER(SEARCH('F-VTA'!$F$31,Tabla11[[#This Row],[Cuenta]],1))</f>
        <v>1</v>
      </c>
      <c r="AM1077" t="b">
        <f>+ISNUMBER(SEARCH('F-VTA'!$F$32,Tabla11[[#This Row],[Cuenta]],1))</f>
        <v>1</v>
      </c>
      <c r="AN1077" t="b">
        <f>+ISNUMBER(SEARCH('F-VTA'!$F$33,Tabla11[[#This Row],[Cuenta]],1))</f>
        <v>1</v>
      </c>
      <c r="AO1077" t="b">
        <f>+ISNUMBER(SEARCH('F-VTA'!$F$34,Tabla11[[#This Row],[Cuenta]],1))</f>
        <v>1</v>
      </c>
      <c r="AP1077" t="b">
        <f>+ISNUMBER(SEARCH('F-VTA'!$F$35,Tabla11[[#This Row],[Cuenta]],1))</f>
        <v>1</v>
      </c>
      <c r="AQ1077" t="b">
        <f>+ISNUMBER(SEARCH('F-VTA'!$F$36,Tabla11[[#This Row],[Cuenta]],1))</f>
        <v>1</v>
      </c>
      <c r="AR1077" t="b">
        <f>+ISNUMBER(SEARCH(#REF!,Tabla11[[#This Row],[Cuenta]],1))</f>
        <v>0</v>
      </c>
      <c r="AS1077" t="b">
        <f>+ISNUMBER(SEARCH(#REF!,Tabla11[[#This Row],[Cuenta]],1))</f>
        <v>0</v>
      </c>
      <c r="AT1077" t="b">
        <f>+ISNUMBER(SEARCH(#REF!,Tabla11[[#This Row],[Cuenta]],1))</f>
        <v>0</v>
      </c>
      <c r="AU1077" t="b">
        <f>+ISNUMBER(SEARCH('Conc. Ban.1'!$I$9,Tabla11[[#This Row],[Cuenta]],1))</f>
        <v>0</v>
      </c>
      <c r="AV1077" t="b">
        <f>+ISNUMBER(SEARCH(CompConta!$F$21,Tabla11[[#This Row],[Cuenta]],1))</f>
        <v>1</v>
      </c>
      <c r="AW1077" t="b">
        <f>+ISNUMBER(SEARCH(CompConta!$F$22,Tabla11[[#This Row],[Cuenta]],1))</f>
        <v>1</v>
      </c>
      <c r="AX1077" t="b">
        <f>+ISNUMBER(SEARCH(CompConta!$F$23,Tabla11[[#This Row],[Cuenta]],1))</f>
        <v>1</v>
      </c>
      <c r="AY1077" t="b">
        <f>+ISNUMBER(SEARCH(CompConta!$F$24,Tabla11[[#This Row],[Cuenta]],1))</f>
        <v>1</v>
      </c>
      <c r="AZ1077" t="b">
        <f>+ISNUMBER(SEARCH(CompConta!$F$25,Tabla11[[#This Row],[Cuenta]],1))</f>
        <v>1</v>
      </c>
      <c r="BA1077" t="b">
        <f>+ISNUMBER(SEARCH(CompConta!$F$26,Tabla11[[#This Row],[Cuenta]],1))</f>
        <v>1</v>
      </c>
      <c r="BB1077" t="b">
        <f>+ISNUMBER(SEARCH(CompConta!$F$27,Tabla11[[#This Row],[Cuenta]],1))</f>
        <v>1</v>
      </c>
      <c r="BC1077" t="b">
        <f>+ISNUMBER(SEARCH(CompConta!$F$28,Tabla11[[#This Row],[Cuenta]],1))</f>
        <v>1</v>
      </c>
      <c r="BD1077" t="b">
        <f>+ISNUMBER(SEARCH(CompConta!$F$29,Tabla11[[#This Row],[Cuenta]],1))</f>
        <v>1</v>
      </c>
      <c r="BE1077" t="b">
        <f>+ISNUMBER(SEARCH(CompConta!$F$30,Tabla11[[#This Row],[Cuenta]],1))</f>
        <v>1</v>
      </c>
      <c r="BF1077" t="b">
        <f>+ISNUMBER(SEARCH('PAGO Compras'!$E$11,Tabla11[[#This Row],[Cuenta]],1))</f>
        <v>1</v>
      </c>
      <c r="BG1077" t="b">
        <f>+ISNUMBER(SEARCH(#REF!,Tabla11[[#This Row],[Cuenta]],1))</f>
        <v>0</v>
      </c>
      <c r="BH1077" t="b">
        <f>+ISNUMBER(SEARCH(#REF!,Tabla11[[#This Row],[Cuenta]],1))</f>
        <v>0</v>
      </c>
      <c r="BI1077" t="b">
        <f>+ISNUMBER(SEARCH(#REF!,Tabla11[[#This Row],[Cuenta]],1))</f>
        <v>0</v>
      </c>
      <c r="BJ1077" t="b">
        <f>+ISNUMBER(SEARCH(#REF!,Tabla11[[#This Row],[Cuenta]],1))</f>
        <v>0</v>
      </c>
      <c r="BS1077" t="str">
        <v>527099 *Ajustes por inflación</v>
      </c>
      <c r="BT1077" t="str">
        <v>527099 *Ajustes por inflación</v>
      </c>
      <c r="BU1077" t="str">
        <v>527099 *Ajustes por inflación</v>
      </c>
      <c r="BV1077" t="str">
        <v>527099 *Ajustes por inflación</v>
      </c>
      <c r="BZ1077" t="str">
        <v>527099 *Ajustes por inflación</v>
      </c>
      <c r="CA1077" t="str">
        <v>527099 *Ajustes por inflación</v>
      </c>
      <c r="CB1077" t="str">
        <v>527099 *Ajustes por inflación</v>
      </c>
      <c r="CC1077" t="str">
        <v>527099 *Ajustes por inflación</v>
      </c>
      <c r="CD1077" t="str">
        <v>527099 *Ajustes por inflación</v>
      </c>
      <c r="CE1077" t="str">
        <v>527099 *Ajustes por inflación</v>
      </c>
      <c r="CS1077" s="141" t="str">
        <v>527099 *Ajustes por inflación</v>
      </c>
      <c r="CT1077" s="141" t="str">
        <v>527099 *Ajustes por inflación</v>
      </c>
      <c r="CU1077" s="141" t="str">
        <v>527099 *Ajustes por inflación</v>
      </c>
      <c r="CV1077" s="141" t="str">
        <v>527099 *Ajustes por inflación</v>
      </c>
      <c r="CW1077" s="141" t="str">
        <v>527099 *Ajustes por inflación</v>
      </c>
      <c r="CX1077" s="141" t="str">
        <v>527099 *Ajustes por inflación</v>
      </c>
      <c r="CY1077" s="141" t="str">
        <v>527099 *Ajustes por inflación</v>
      </c>
      <c r="CZ1077" s="141" t="str">
        <v>527099 *Ajustes por inflación</v>
      </c>
      <c r="DA1077" s="141" t="str">
        <v>527099 *Ajustes por inflación</v>
      </c>
      <c r="DF1077" t="str">
        <v>527099 *Ajustes por inflación</v>
      </c>
      <c r="DG1077" t="str">
        <v>527099 *Ajustes por inflación</v>
      </c>
      <c r="DH1077" t="str">
        <v>527099 *Ajustes por inflación</v>
      </c>
      <c r="DI1077" t="str">
        <v>527099 *Ajustes por inflación</v>
      </c>
      <c r="DJ1077" t="str">
        <v>527099 *Ajustes por inflación</v>
      </c>
      <c r="DK1077" t="str">
        <v>527099 *Ajustes por inflación</v>
      </c>
      <c r="DL1077" t="str">
        <v>527099 *Ajustes por inflación</v>
      </c>
      <c r="DM1077" t="str">
        <v>527099 *Ajustes por inflación</v>
      </c>
      <c r="DN1077" t="str">
        <v>527099 *Ajustes por inflación</v>
      </c>
      <c r="DO1077" t="str">
        <v>527099 *Ajustes por inflación</v>
      </c>
      <c r="DP1077" t="str">
        <v>527099 *Ajustes por inflación</v>
      </c>
    </row>
    <row r="1078" spans="4:120" ht="12.75">
      <c r="D1078" s="7">
        <v>5275</v>
      </c>
      <c r="E1078" s="6" t="s">
        <v>631</v>
      </c>
      <c r="F1078" s="5">
        <v>3</v>
      </c>
      <c r="G1078" s="34" t="s">
        <v>830</v>
      </c>
      <c r="H1078" s="8" t="s">
        <v>32</v>
      </c>
      <c r="I1078" t="b">
        <f>+ISNUMBER(SEARCH('F-COMPRA'!$F$28,Tabla11[[#This Row],[Cuenta]],1))</f>
        <v>1</v>
      </c>
      <c r="J1078" t="b">
        <f>+ISNUMBER(SEARCH('F-COMPRA'!$F$29,Tabla11[[#This Row],[Cuenta]],1))</f>
        <v>1</v>
      </c>
      <c r="K1078" t="b">
        <f>+ISNUMBER(SEARCH('F-COMPRA'!$F$30,Tabla11[[#This Row],[Cuenta]],1))</f>
        <v>1</v>
      </c>
      <c r="L1078" t="b">
        <f>+ISNUMBER(SEARCH('F-COMPRA'!$F$31,Tabla11[[#This Row],[Cuenta]],1))</f>
        <v>1</v>
      </c>
      <c r="M1078" t="b">
        <f>+ISNUMBER(SEARCH('F-COMPRA'!$G$25,Tabla11[[#This Row],[Cuenta]],1))</f>
        <v>0</v>
      </c>
      <c r="N1078" t="b">
        <f>+ISNUMBER(SEARCH(#REF!,Tabla11[[#This Row],[Cuenta]],1))</f>
        <v>0</v>
      </c>
      <c r="O1078" t="b">
        <f>+ISNUMBER(SEARCH(#REF!,Tabla11[[#This Row],[Cuenta]],1))</f>
        <v>0</v>
      </c>
      <c r="P1078" t="b">
        <f>+ISNUMBER(SEARCH('F-COMPRA'!$F$32,Tabla11[[#This Row],[Cuenta]],1))</f>
        <v>1</v>
      </c>
      <c r="Q1078" t="b">
        <f>+ISNUMBER(SEARCH('F-COMPRA'!$F$33,Tabla11[[#This Row],[Cuenta]],1))</f>
        <v>1</v>
      </c>
      <c r="R1078" t="b">
        <f>+ISNUMBER(SEARCH('F-COMPRA'!$F$34,Tabla11[[#This Row],[Cuenta]],1))</f>
        <v>1</v>
      </c>
      <c r="S1078" t="b">
        <f>+ISNUMBER(SEARCH('F-COMPRA'!$F$35,Tabla11[[#This Row],[Cuenta]],1))</f>
        <v>1</v>
      </c>
      <c r="T1078" t="b">
        <f>+ISNUMBER(SEARCH('F-COMPRA'!$F$36,Tabla11[[#This Row],[Cuenta]],1))</f>
        <v>1</v>
      </c>
      <c r="U1078" t="b">
        <f>+ISNUMBER(SEARCH('F-COMPRA'!$F$37,Tabla11[[#This Row],[Cuenta]],1))</f>
        <v>1</v>
      </c>
      <c r="V1078" t="b">
        <f>+ISNUMBER(SEARCH(#REF!,Tabla11[[#This Row],[Cuenta]],1))</f>
        <v>0</v>
      </c>
      <c r="W1078" t="b">
        <f>+ISNUMBER(SEARCH('F-COMPRA'!#REF!,Tabla11[[#This Row],[Cuenta]],1))</f>
        <v>0</v>
      </c>
      <c r="X1078" t="b">
        <f>+ISNUMBER(SEARCH('F-COMPRA'!#REF!,Tabla11[[#This Row],[Cuenta]],1))</f>
        <v>0</v>
      </c>
      <c r="Y1078" t="b">
        <f>+ISNUMBER(SEARCH('F-COMPRA'!#REF!,Tabla11[[#This Row],[Cuenta]],1))</f>
        <v>0</v>
      </c>
      <c r="Z1078" t="b">
        <f>+ISNUMBER(SEARCH('F-COMPRA'!#REF!,Tabla11[[#This Row],[Cuenta]],1))</f>
        <v>0</v>
      </c>
      <c r="AA1078" t="b">
        <f>+ISNUMBER(SEARCH('F-COMPRA'!#REF!,Tabla11[[#This Row],[Cuenta]],1))</f>
        <v>0</v>
      </c>
      <c r="AB1078" t="b">
        <f>+ISNUMBER(SEARCH('F-COMPRA'!#REF!,Tabla11[[#This Row],[Cuenta]],1))</f>
        <v>0</v>
      </c>
      <c r="AC1078" t="b">
        <f>+ISNUMBER(SEARCH('F-COMPRA'!#REF!,Tabla11[[#This Row],[Cuenta]],1))</f>
        <v>0</v>
      </c>
      <c r="AD1078" t="b">
        <f>+ISNUMBER(SEARCH('F-COMPRA'!#REF!,Tabla11[[#This Row],[Cuenta]],1))</f>
        <v>0</v>
      </c>
      <c r="AE1078" t="b">
        <f>+ISNUMBER(SEARCH('F-COMPRA'!#REF!,Tabla11[[#This Row],[Cuenta]],1))</f>
        <v>0</v>
      </c>
      <c r="AF1078" t="b">
        <f>+ISNUMBER(SEARCH('F-VTA'!$G$23,Tabla11[[#This Row],[Cuenta]],1))</f>
        <v>0</v>
      </c>
      <c r="AG1078" t="b">
        <f>+ISNUMBER(SEARCH('F-VTA'!$G$24,Tabla11[[#This Row],[Cuenta]],1))</f>
        <v>0</v>
      </c>
      <c r="AH1078" t="b">
        <f>+ISNUMBER(SEARCH('F-VTA'!$G$25,Tabla11[[#This Row],[Cuenta]],1))</f>
        <v>0</v>
      </c>
      <c r="AI1078" t="b">
        <f>+ISNUMBER(SEARCH('F-VTA'!$F$28,Tabla11[[#This Row],[Cuenta]],1))</f>
        <v>1</v>
      </c>
      <c r="AJ1078" t="b">
        <f>+ISNUMBER(SEARCH('F-VTA'!$F$29,Tabla11[[#This Row],[Cuenta]],1))</f>
        <v>1</v>
      </c>
      <c r="AK1078" t="b">
        <f>+ISNUMBER(SEARCH('F-VTA'!$F$30,Tabla11[[#This Row],[Cuenta]],1))</f>
        <v>1</v>
      </c>
      <c r="AL1078" t="b">
        <f>+ISNUMBER(SEARCH('F-VTA'!$F$31,Tabla11[[#This Row],[Cuenta]],1))</f>
        <v>1</v>
      </c>
      <c r="AM1078" t="b">
        <f>+ISNUMBER(SEARCH('F-VTA'!$F$32,Tabla11[[#This Row],[Cuenta]],1))</f>
        <v>1</v>
      </c>
      <c r="AN1078" t="b">
        <f>+ISNUMBER(SEARCH('F-VTA'!$F$33,Tabla11[[#This Row],[Cuenta]],1))</f>
        <v>1</v>
      </c>
      <c r="AO1078" t="b">
        <f>+ISNUMBER(SEARCH('F-VTA'!$F$34,Tabla11[[#This Row],[Cuenta]],1))</f>
        <v>1</v>
      </c>
      <c r="AP1078" t="b">
        <f>+ISNUMBER(SEARCH('F-VTA'!$F$35,Tabla11[[#This Row],[Cuenta]],1))</f>
        <v>1</v>
      </c>
      <c r="AQ1078" t="b">
        <f>+ISNUMBER(SEARCH('F-VTA'!$F$36,Tabla11[[#This Row],[Cuenta]],1))</f>
        <v>1</v>
      </c>
      <c r="AR1078" t="b">
        <f>+ISNUMBER(SEARCH(#REF!,Tabla11[[#This Row],[Cuenta]],1))</f>
        <v>0</v>
      </c>
      <c r="AS1078" t="b">
        <f>+ISNUMBER(SEARCH(#REF!,Tabla11[[#This Row],[Cuenta]],1))</f>
        <v>0</v>
      </c>
      <c r="AT1078" t="b">
        <f>+ISNUMBER(SEARCH(#REF!,Tabla11[[#This Row],[Cuenta]],1))</f>
        <v>0</v>
      </c>
      <c r="AU1078" t="b">
        <f>+ISNUMBER(SEARCH('Conc. Ban.1'!$I$9,Tabla11[[#This Row],[Cuenta]],1))</f>
        <v>0</v>
      </c>
      <c r="AV1078" t="b">
        <f>+ISNUMBER(SEARCH(CompConta!$F$21,Tabla11[[#This Row],[Cuenta]],1))</f>
        <v>1</v>
      </c>
      <c r="AW1078" t="b">
        <f>+ISNUMBER(SEARCH(CompConta!$F$22,Tabla11[[#This Row],[Cuenta]],1))</f>
        <v>1</v>
      </c>
      <c r="AX1078" t="b">
        <f>+ISNUMBER(SEARCH(CompConta!$F$23,Tabla11[[#This Row],[Cuenta]],1))</f>
        <v>1</v>
      </c>
      <c r="AY1078" t="b">
        <f>+ISNUMBER(SEARCH(CompConta!$F$24,Tabla11[[#This Row],[Cuenta]],1))</f>
        <v>1</v>
      </c>
      <c r="AZ1078" t="b">
        <f>+ISNUMBER(SEARCH(CompConta!$F$25,Tabla11[[#This Row],[Cuenta]],1))</f>
        <v>1</v>
      </c>
      <c r="BA1078" t="b">
        <f>+ISNUMBER(SEARCH(CompConta!$F$26,Tabla11[[#This Row],[Cuenta]],1))</f>
        <v>1</v>
      </c>
      <c r="BB1078" t="b">
        <f>+ISNUMBER(SEARCH(CompConta!$F$27,Tabla11[[#This Row],[Cuenta]],1))</f>
        <v>1</v>
      </c>
      <c r="BC1078" t="b">
        <f>+ISNUMBER(SEARCH(CompConta!$F$28,Tabla11[[#This Row],[Cuenta]],1))</f>
        <v>1</v>
      </c>
      <c r="BD1078" t="b">
        <f>+ISNUMBER(SEARCH(CompConta!$F$29,Tabla11[[#This Row],[Cuenta]],1))</f>
        <v>1</v>
      </c>
      <c r="BE1078" t="b">
        <f>+ISNUMBER(SEARCH(CompConta!$F$30,Tabla11[[#This Row],[Cuenta]],1))</f>
        <v>1</v>
      </c>
      <c r="BF1078" t="b">
        <f>+ISNUMBER(SEARCH('PAGO Compras'!$E$11,Tabla11[[#This Row],[Cuenta]],1))</f>
        <v>1</v>
      </c>
      <c r="BG1078" t="b">
        <f>+ISNUMBER(SEARCH(#REF!,Tabla11[[#This Row],[Cuenta]],1))</f>
        <v>0</v>
      </c>
      <c r="BH1078" t="b">
        <f>+ISNUMBER(SEARCH(#REF!,Tabla11[[#This Row],[Cuenta]],1))</f>
        <v>0</v>
      </c>
      <c r="BI1078" t="b">
        <f>+ISNUMBER(SEARCH(#REF!,Tabla11[[#This Row],[Cuenta]],1))</f>
        <v>0</v>
      </c>
      <c r="BJ1078" t="b">
        <f>+ISNUMBER(SEARCH(#REF!,Tabla11[[#This Row],[Cuenta]],1))</f>
        <v>0</v>
      </c>
      <c r="BS1078" t="str">
        <v>5275 PÉRDIDAS MÉTODO DE PARTICIPACIÓN</v>
      </c>
      <c r="BT1078" t="str">
        <v>5275 PÉRDIDAS MÉTODO DE PARTICIPACIÓN</v>
      </c>
      <c r="BU1078" t="str">
        <v>5275 PÉRDIDAS MÉTODO DE PARTICIPACIÓN</v>
      </c>
      <c r="BV1078" t="str">
        <v>5275 PÉRDIDAS MÉTODO DE PARTICIPACIÓN</v>
      </c>
      <c r="BZ1078" t="str">
        <v>5275 PÉRDIDAS MÉTODO DE PARTICIPACIÓN</v>
      </c>
      <c r="CA1078" t="str">
        <v>5275 PÉRDIDAS MÉTODO DE PARTICIPACIÓN</v>
      </c>
      <c r="CB1078" t="str">
        <v>5275 PÉRDIDAS MÉTODO DE PARTICIPACIÓN</v>
      </c>
      <c r="CC1078" t="str">
        <v>5275 PÉRDIDAS MÉTODO DE PARTICIPACIÓN</v>
      </c>
      <c r="CD1078" t="str">
        <v>5275 PÉRDIDAS MÉTODO DE PARTICIPACIÓN</v>
      </c>
      <c r="CE1078" t="str">
        <v>5275 PÉRDIDAS MÉTODO DE PARTICIPACIÓN</v>
      </c>
      <c r="CS1078" s="141" t="str">
        <v>5275 PÉRDIDAS MÉTODO DE PARTICIPACIÓN</v>
      </c>
      <c r="CT1078" s="141" t="str">
        <v>5275 PÉRDIDAS MÉTODO DE PARTICIPACIÓN</v>
      </c>
      <c r="CU1078" s="141" t="str">
        <v>5275 PÉRDIDAS MÉTODO DE PARTICIPACIÓN</v>
      </c>
      <c r="CV1078" s="141" t="str">
        <v>5275 PÉRDIDAS MÉTODO DE PARTICIPACIÓN</v>
      </c>
      <c r="CW1078" s="141" t="str">
        <v>5275 PÉRDIDAS MÉTODO DE PARTICIPACIÓN</v>
      </c>
      <c r="CX1078" s="141" t="str">
        <v>5275 PÉRDIDAS MÉTODO DE PARTICIPACIÓN</v>
      </c>
      <c r="CY1078" s="141" t="str">
        <v>5275 PÉRDIDAS MÉTODO DE PARTICIPACIÓN</v>
      </c>
      <c r="CZ1078" s="141" t="str">
        <v>5275 PÉRDIDAS MÉTODO DE PARTICIPACIÓN</v>
      </c>
      <c r="DA1078" s="141" t="str">
        <v>5275 PÉRDIDAS MÉTODO DE PARTICIPACIÓN</v>
      </c>
      <c r="DF1078" t="str">
        <v>5275 PÉRDIDAS MÉTODO DE PARTICIPACIÓN</v>
      </c>
      <c r="DG1078" t="str">
        <v>5275 PÉRDIDAS MÉTODO DE PARTICIPACIÓN</v>
      </c>
      <c r="DH1078" t="str">
        <v>5275 PÉRDIDAS MÉTODO DE PARTICIPACIÓN</v>
      </c>
      <c r="DI1078" t="str">
        <v>5275 PÉRDIDAS MÉTODO DE PARTICIPACIÓN</v>
      </c>
      <c r="DJ1078" t="str">
        <v>5275 PÉRDIDAS MÉTODO DE PARTICIPACIÓN</v>
      </c>
      <c r="DK1078" t="str">
        <v>5275 PÉRDIDAS MÉTODO DE PARTICIPACIÓN</v>
      </c>
      <c r="DL1078" t="str">
        <v>5275 PÉRDIDAS MÉTODO DE PARTICIPACIÓN</v>
      </c>
      <c r="DM1078" t="str">
        <v>5275 PÉRDIDAS MÉTODO DE PARTICIPACIÓN</v>
      </c>
      <c r="DN1078" t="str">
        <v>5275 PÉRDIDAS MÉTODO DE PARTICIPACIÓN</v>
      </c>
      <c r="DO1078" t="str">
        <v>5275 PÉRDIDAS MÉTODO DE PARTICIPACIÓN</v>
      </c>
      <c r="DP1078" t="str">
        <v>5275 PÉRDIDAS MÉTODO DE PARTICIPACIÓN</v>
      </c>
    </row>
    <row r="1079" spans="4:120" ht="12.75">
      <c r="D1079" s="7">
        <v>527505</v>
      </c>
      <c r="E1079" s="6" t="s">
        <v>523</v>
      </c>
      <c r="F1079" s="5">
        <v>4</v>
      </c>
      <c r="G1079" s="34" t="s">
        <v>830</v>
      </c>
      <c r="H1079" s="8" t="s">
        <v>32</v>
      </c>
      <c r="I1079" t="b">
        <f>+ISNUMBER(SEARCH('F-COMPRA'!$F$28,Tabla11[[#This Row],[Cuenta]],1))</f>
        <v>1</v>
      </c>
      <c r="J1079" t="b">
        <f>+ISNUMBER(SEARCH('F-COMPRA'!$F$29,Tabla11[[#This Row],[Cuenta]],1))</f>
        <v>1</v>
      </c>
      <c r="K1079" t="b">
        <f>+ISNUMBER(SEARCH('F-COMPRA'!$F$30,Tabla11[[#This Row],[Cuenta]],1))</f>
        <v>1</v>
      </c>
      <c r="L1079" t="b">
        <f>+ISNUMBER(SEARCH('F-COMPRA'!$F$31,Tabla11[[#This Row],[Cuenta]],1))</f>
        <v>1</v>
      </c>
      <c r="M1079" t="b">
        <f>+ISNUMBER(SEARCH('F-COMPRA'!$G$25,Tabla11[[#This Row],[Cuenta]],1))</f>
        <v>0</v>
      </c>
      <c r="N1079" t="b">
        <f>+ISNUMBER(SEARCH(#REF!,Tabla11[[#This Row],[Cuenta]],1))</f>
        <v>0</v>
      </c>
      <c r="O1079" t="b">
        <f>+ISNUMBER(SEARCH(#REF!,Tabla11[[#This Row],[Cuenta]],1))</f>
        <v>0</v>
      </c>
      <c r="P1079" t="b">
        <f>+ISNUMBER(SEARCH('F-COMPRA'!$F$32,Tabla11[[#This Row],[Cuenta]],1))</f>
        <v>1</v>
      </c>
      <c r="Q1079" t="b">
        <f>+ISNUMBER(SEARCH('F-COMPRA'!$F$33,Tabla11[[#This Row],[Cuenta]],1))</f>
        <v>1</v>
      </c>
      <c r="R1079" t="b">
        <f>+ISNUMBER(SEARCH('F-COMPRA'!$F$34,Tabla11[[#This Row],[Cuenta]],1))</f>
        <v>1</v>
      </c>
      <c r="S1079" t="b">
        <f>+ISNUMBER(SEARCH('F-COMPRA'!$F$35,Tabla11[[#This Row],[Cuenta]],1))</f>
        <v>1</v>
      </c>
      <c r="T1079" t="b">
        <f>+ISNUMBER(SEARCH('F-COMPRA'!$F$36,Tabla11[[#This Row],[Cuenta]],1))</f>
        <v>1</v>
      </c>
      <c r="U1079" t="b">
        <f>+ISNUMBER(SEARCH('F-COMPRA'!$F$37,Tabla11[[#This Row],[Cuenta]],1))</f>
        <v>1</v>
      </c>
      <c r="V1079" t="b">
        <f>+ISNUMBER(SEARCH(#REF!,Tabla11[[#This Row],[Cuenta]],1))</f>
        <v>0</v>
      </c>
      <c r="W1079" t="b">
        <f>+ISNUMBER(SEARCH('F-COMPRA'!#REF!,Tabla11[[#This Row],[Cuenta]],1))</f>
        <v>0</v>
      </c>
      <c r="X1079" t="b">
        <f>+ISNUMBER(SEARCH('F-COMPRA'!#REF!,Tabla11[[#This Row],[Cuenta]],1))</f>
        <v>0</v>
      </c>
      <c r="Y1079" t="b">
        <f>+ISNUMBER(SEARCH('F-COMPRA'!#REF!,Tabla11[[#This Row],[Cuenta]],1))</f>
        <v>0</v>
      </c>
      <c r="Z1079" t="b">
        <f>+ISNUMBER(SEARCH('F-COMPRA'!#REF!,Tabla11[[#This Row],[Cuenta]],1))</f>
        <v>0</v>
      </c>
      <c r="AA1079" t="b">
        <f>+ISNUMBER(SEARCH('F-COMPRA'!#REF!,Tabla11[[#This Row],[Cuenta]],1))</f>
        <v>0</v>
      </c>
      <c r="AB1079" t="b">
        <f>+ISNUMBER(SEARCH('F-COMPRA'!#REF!,Tabla11[[#This Row],[Cuenta]],1))</f>
        <v>0</v>
      </c>
      <c r="AC1079" t="b">
        <f>+ISNUMBER(SEARCH('F-COMPRA'!#REF!,Tabla11[[#This Row],[Cuenta]],1))</f>
        <v>0</v>
      </c>
      <c r="AD1079" t="b">
        <f>+ISNUMBER(SEARCH('F-COMPRA'!#REF!,Tabla11[[#This Row],[Cuenta]],1))</f>
        <v>0</v>
      </c>
      <c r="AE1079" t="b">
        <f>+ISNUMBER(SEARCH('F-COMPRA'!#REF!,Tabla11[[#This Row],[Cuenta]],1))</f>
        <v>0</v>
      </c>
      <c r="AF1079" t="b">
        <f>+ISNUMBER(SEARCH('F-VTA'!$G$23,Tabla11[[#This Row],[Cuenta]],1))</f>
        <v>0</v>
      </c>
      <c r="AG1079" t="b">
        <f>+ISNUMBER(SEARCH('F-VTA'!$G$24,Tabla11[[#This Row],[Cuenta]],1))</f>
        <v>0</v>
      </c>
      <c r="AH1079" t="b">
        <f>+ISNUMBER(SEARCH('F-VTA'!$G$25,Tabla11[[#This Row],[Cuenta]],1))</f>
        <v>0</v>
      </c>
      <c r="AI1079" t="b">
        <f>+ISNUMBER(SEARCH('F-VTA'!$F$28,Tabla11[[#This Row],[Cuenta]],1))</f>
        <v>1</v>
      </c>
      <c r="AJ1079" t="b">
        <f>+ISNUMBER(SEARCH('F-VTA'!$F$29,Tabla11[[#This Row],[Cuenta]],1))</f>
        <v>1</v>
      </c>
      <c r="AK1079" t="b">
        <f>+ISNUMBER(SEARCH('F-VTA'!$F$30,Tabla11[[#This Row],[Cuenta]],1))</f>
        <v>1</v>
      </c>
      <c r="AL1079" t="b">
        <f>+ISNUMBER(SEARCH('F-VTA'!$F$31,Tabla11[[#This Row],[Cuenta]],1))</f>
        <v>1</v>
      </c>
      <c r="AM1079" t="b">
        <f>+ISNUMBER(SEARCH('F-VTA'!$F$32,Tabla11[[#This Row],[Cuenta]],1))</f>
        <v>1</v>
      </c>
      <c r="AN1079" t="b">
        <f>+ISNUMBER(SEARCH('F-VTA'!$F$33,Tabla11[[#This Row],[Cuenta]],1))</f>
        <v>1</v>
      </c>
      <c r="AO1079" t="b">
        <f>+ISNUMBER(SEARCH('F-VTA'!$F$34,Tabla11[[#This Row],[Cuenta]],1))</f>
        <v>1</v>
      </c>
      <c r="AP1079" t="b">
        <f>+ISNUMBER(SEARCH('F-VTA'!$F$35,Tabla11[[#This Row],[Cuenta]],1))</f>
        <v>1</v>
      </c>
      <c r="AQ1079" t="b">
        <f>+ISNUMBER(SEARCH('F-VTA'!$F$36,Tabla11[[#This Row],[Cuenta]],1))</f>
        <v>1</v>
      </c>
      <c r="AR1079" t="b">
        <f>+ISNUMBER(SEARCH(#REF!,Tabla11[[#This Row],[Cuenta]],1))</f>
        <v>0</v>
      </c>
      <c r="AS1079" t="b">
        <f>+ISNUMBER(SEARCH(#REF!,Tabla11[[#This Row],[Cuenta]],1))</f>
        <v>0</v>
      </c>
      <c r="AT1079" t="b">
        <f>+ISNUMBER(SEARCH(#REF!,Tabla11[[#This Row],[Cuenta]],1))</f>
        <v>0</v>
      </c>
      <c r="AU1079" t="b">
        <f>+ISNUMBER(SEARCH('Conc. Ban.1'!$I$9,Tabla11[[#This Row],[Cuenta]],1))</f>
        <v>0</v>
      </c>
      <c r="AV1079" t="b">
        <f>+ISNUMBER(SEARCH(CompConta!$F$21,Tabla11[[#This Row],[Cuenta]],1))</f>
        <v>1</v>
      </c>
      <c r="AW1079" t="b">
        <f>+ISNUMBER(SEARCH(CompConta!$F$22,Tabla11[[#This Row],[Cuenta]],1))</f>
        <v>1</v>
      </c>
      <c r="AX1079" t="b">
        <f>+ISNUMBER(SEARCH(CompConta!$F$23,Tabla11[[#This Row],[Cuenta]],1))</f>
        <v>1</v>
      </c>
      <c r="AY1079" t="b">
        <f>+ISNUMBER(SEARCH(CompConta!$F$24,Tabla11[[#This Row],[Cuenta]],1))</f>
        <v>1</v>
      </c>
      <c r="AZ1079" t="b">
        <f>+ISNUMBER(SEARCH(CompConta!$F$25,Tabla11[[#This Row],[Cuenta]],1))</f>
        <v>1</v>
      </c>
      <c r="BA1079" t="b">
        <f>+ISNUMBER(SEARCH(CompConta!$F$26,Tabla11[[#This Row],[Cuenta]],1))</f>
        <v>1</v>
      </c>
      <c r="BB1079" t="b">
        <f>+ISNUMBER(SEARCH(CompConta!$F$27,Tabla11[[#This Row],[Cuenta]],1))</f>
        <v>1</v>
      </c>
      <c r="BC1079" t="b">
        <f>+ISNUMBER(SEARCH(CompConta!$F$28,Tabla11[[#This Row],[Cuenta]],1))</f>
        <v>1</v>
      </c>
      <c r="BD1079" t="b">
        <f>+ISNUMBER(SEARCH(CompConta!$F$29,Tabla11[[#This Row],[Cuenta]],1))</f>
        <v>1</v>
      </c>
      <c r="BE1079" t="b">
        <f>+ISNUMBER(SEARCH(CompConta!$F$30,Tabla11[[#This Row],[Cuenta]],1))</f>
        <v>1</v>
      </c>
      <c r="BF1079" t="b">
        <f>+ISNUMBER(SEARCH('PAGO Compras'!$E$11,Tabla11[[#This Row],[Cuenta]],1))</f>
        <v>1</v>
      </c>
      <c r="BG1079" t="b">
        <f>+ISNUMBER(SEARCH(#REF!,Tabla11[[#This Row],[Cuenta]],1))</f>
        <v>0</v>
      </c>
      <c r="BH1079" t="b">
        <f>+ISNUMBER(SEARCH(#REF!,Tabla11[[#This Row],[Cuenta]],1))</f>
        <v>0</v>
      </c>
      <c r="BI1079" t="b">
        <f>+ISNUMBER(SEARCH(#REF!,Tabla11[[#This Row],[Cuenta]],1))</f>
        <v>0</v>
      </c>
      <c r="BJ1079" t="b">
        <f>+ISNUMBER(SEARCH(#REF!,Tabla11[[#This Row],[Cuenta]],1))</f>
        <v>0</v>
      </c>
      <c r="BS1079" t="str">
        <v>527505 De sociedades anónimas y/o asimiladas</v>
      </c>
      <c r="BT1079" t="str">
        <v>527505 De sociedades anónimas y/o asimiladas</v>
      </c>
      <c r="BU1079" t="str">
        <v>527505 De sociedades anónimas y/o asimiladas</v>
      </c>
      <c r="BV1079" t="str">
        <v>527505 De sociedades anónimas y/o asimiladas</v>
      </c>
      <c r="BZ1079" t="str">
        <v>527505 De sociedades anónimas y/o asimiladas</v>
      </c>
      <c r="CA1079" t="str">
        <v>527505 De sociedades anónimas y/o asimiladas</v>
      </c>
      <c r="CB1079" t="str">
        <v>527505 De sociedades anónimas y/o asimiladas</v>
      </c>
      <c r="CC1079" t="str">
        <v>527505 De sociedades anónimas y/o asimiladas</v>
      </c>
      <c r="CD1079" t="str">
        <v>527505 De sociedades anónimas y/o asimiladas</v>
      </c>
      <c r="CE1079" t="str">
        <v>527505 De sociedades anónimas y/o asimiladas</v>
      </c>
      <c r="CS1079" s="141" t="str">
        <v>527505 De sociedades anónimas y/o asimiladas</v>
      </c>
      <c r="CT1079" s="141" t="str">
        <v>527505 De sociedades anónimas y/o asimiladas</v>
      </c>
      <c r="CU1079" s="141" t="str">
        <v>527505 De sociedades anónimas y/o asimiladas</v>
      </c>
      <c r="CV1079" s="141" t="str">
        <v>527505 De sociedades anónimas y/o asimiladas</v>
      </c>
      <c r="CW1079" s="141" t="str">
        <v>527505 De sociedades anónimas y/o asimiladas</v>
      </c>
      <c r="CX1079" s="141" t="str">
        <v>527505 De sociedades anónimas y/o asimiladas</v>
      </c>
      <c r="CY1079" s="141" t="str">
        <v>527505 De sociedades anónimas y/o asimiladas</v>
      </c>
      <c r="CZ1079" s="141" t="str">
        <v>527505 De sociedades anónimas y/o asimiladas</v>
      </c>
      <c r="DA1079" s="141" t="str">
        <v>527505 De sociedades anónimas y/o asimiladas</v>
      </c>
      <c r="DF1079" t="str">
        <v>527505 De sociedades anónimas y/o asimiladas</v>
      </c>
      <c r="DG1079" t="str">
        <v>527505 De sociedades anónimas y/o asimiladas</v>
      </c>
      <c r="DH1079" t="str">
        <v>527505 De sociedades anónimas y/o asimiladas</v>
      </c>
      <c r="DI1079" t="str">
        <v>527505 De sociedades anónimas y/o asimiladas</v>
      </c>
      <c r="DJ1079" t="str">
        <v>527505 De sociedades anónimas y/o asimiladas</v>
      </c>
      <c r="DK1079" t="str">
        <v>527505 De sociedades anónimas y/o asimiladas</v>
      </c>
      <c r="DL1079" t="str">
        <v>527505 De sociedades anónimas y/o asimiladas</v>
      </c>
      <c r="DM1079" t="str">
        <v>527505 De sociedades anónimas y/o asimiladas</v>
      </c>
      <c r="DN1079" t="str">
        <v>527505 De sociedades anónimas y/o asimiladas</v>
      </c>
      <c r="DO1079" t="str">
        <v>527505 De sociedades anónimas y/o asimiladas</v>
      </c>
      <c r="DP1079" t="str">
        <v>527505 De sociedades anónimas y/o asimiladas</v>
      </c>
    </row>
    <row r="1080" spans="4:120" ht="12.75">
      <c r="D1080" s="7">
        <v>527510</v>
      </c>
      <c r="E1080" s="6" t="s">
        <v>524</v>
      </c>
      <c r="F1080" s="5">
        <v>4</v>
      </c>
      <c r="G1080" s="34" t="s">
        <v>830</v>
      </c>
      <c r="H1080" s="8" t="s">
        <v>32</v>
      </c>
      <c r="I1080" t="b">
        <f>+ISNUMBER(SEARCH('F-COMPRA'!$F$28,Tabla11[[#This Row],[Cuenta]],1))</f>
        <v>1</v>
      </c>
      <c r="J1080" t="b">
        <f>+ISNUMBER(SEARCH('F-COMPRA'!$F$29,Tabla11[[#This Row],[Cuenta]],1))</f>
        <v>1</v>
      </c>
      <c r="K1080" t="b">
        <f>+ISNUMBER(SEARCH('F-COMPRA'!$F$30,Tabla11[[#This Row],[Cuenta]],1))</f>
        <v>1</v>
      </c>
      <c r="L1080" t="b">
        <f>+ISNUMBER(SEARCH('F-COMPRA'!$F$31,Tabla11[[#This Row],[Cuenta]],1))</f>
        <v>1</v>
      </c>
      <c r="M1080" t="b">
        <f>+ISNUMBER(SEARCH('F-COMPRA'!$G$25,Tabla11[[#This Row],[Cuenta]],1))</f>
        <v>0</v>
      </c>
      <c r="N1080" t="b">
        <f>+ISNUMBER(SEARCH(#REF!,Tabla11[[#This Row],[Cuenta]],1))</f>
        <v>0</v>
      </c>
      <c r="O1080" t="b">
        <f>+ISNUMBER(SEARCH(#REF!,Tabla11[[#This Row],[Cuenta]],1))</f>
        <v>0</v>
      </c>
      <c r="P1080" t="b">
        <f>+ISNUMBER(SEARCH('F-COMPRA'!$F$32,Tabla11[[#This Row],[Cuenta]],1))</f>
        <v>1</v>
      </c>
      <c r="Q1080" t="b">
        <f>+ISNUMBER(SEARCH('F-COMPRA'!$F$33,Tabla11[[#This Row],[Cuenta]],1))</f>
        <v>1</v>
      </c>
      <c r="R1080" t="b">
        <f>+ISNUMBER(SEARCH('F-COMPRA'!$F$34,Tabla11[[#This Row],[Cuenta]],1))</f>
        <v>1</v>
      </c>
      <c r="S1080" t="b">
        <f>+ISNUMBER(SEARCH('F-COMPRA'!$F$35,Tabla11[[#This Row],[Cuenta]],1))</f>
        <v>1</v>
      </c>
      <c r="T1080" t="b">
        <f>+ISNUMBER(SEARCH('F-COMPRA'!$F$36,Tabla11[[#This Row],[Cuenta]],1))</f>
        <v>1</v>
      </c>
      <c r="U1080" t="b">
        <f>+ISNUMBER(SEARCH('F-COMPRA'!$F$37,Tabla11[[#This Row],[Cuenta]],1))</f>
        <v>1</v>
      </c>
      <c r="V1080" t="b">
        <f>+ISNUMBER(SEARCH(#REF!,Tabla11[[#This Row],[Cuenta]],1))</f>
        <v>0</v>
      </c>
      <c r="W1080" t="b">
        <f>+ISNUMBER(SEARCH('F-COMPRA'!#REF!,Tabla11[[#This Row],[Cuenta]],1))</f>
        <v>0</v>
      </c>
      <c r="X1080" t="b">
        <f>+ISNUMBER(SEARCH('F-COMPRA'!#REF!,Tabla11[[#This Row],[Cuenta]],1))</f>
        <v>0</v>
      </c>
      <c r="Y1080" t="b">
        <f>+ISNUMBER(SEARCH('F-COMPRA'!#REF!,Tabla11[[#This Row],[Cuenta]],1))</f>
        <v>0</v>
      </c>
      <c r="Z1080" t="b">
        <f>+ISNUMBER(SEARCH('F-COMPRA'!#REF!,Tabla11[[#This Row],[Cuenta]],1))</f>
        <v>0</v>
      </c>
      <c r="AA1080" t="b">
        <f>+ISNUMBER(SEARCH('F-COMPRA'!#REF!,Tabla11[[#This Row],[Cuenta]],1))</f>
        <v>0</v>
      </c>
      <c r="AB1080" t="b">
        <f>+ISNUMBER(SEARCH('F-COMPRA'!#REF!,Tabla11[[#This Row],[Cuenta]],1))</f>
        <v>0</v>
      </c>
      <c r="AC1080" t="b">
        <f>+ISNUMBER(SEARCH('F-COMPRA'!#REF!,Tabla11[[#This Row],[Cuenta]],1))</f>
        <v>0</v>
      </c>
      <c r="AD1080" t="b">
        <f>+ISNUMBER(SEARCH('F-COMPRA'!#REF!,Tabla11[[#This Row],[Cuenta]],1))</f>
        <v>0</v>
      </c>
      <c r="AE1080" t="b">
        <f>+ISNUMBER(SEARCH('F-COMPRA'!#REF!,Tabla11[[#This Row],[Cuenta]],1))</f>
        <v>0</v>
      </c>
      <c r="AF1080" t="b">
        <f>+ISNUMBER(SEARCH('F-VTA'!$G$23,Tabla11[[#This Row],[Cuenta]],1))</f>
        <v>0</v>
      </c>
      <c r="AG1080" t="b">
        <f>+ISNUMBER(SEARCH('F-VTA'!$G$24,Tabla11[[#This Row],[Cuenta]],1))</f>
        <v>0</v>
      </c>
      <c r="AH1080" t="b">
        <f>+ISNUMBER(SEARCH('F-VTA'!$G$25,Tabla11[[#This Row],[Cuenta]],1))</f>
        <v>0</v>
      </c>
      <c r="AI1080" t="b">
        <f>+ISNUMBER(SEARCH('F-VTA'!$F$28,Tabla11[[#This Row],[Cuenta]],1))</f>
        <v>1</v>
      </c>
      <c r="AJ1080" t="b">
        <f>+ISNUMBER(SEARCH('F-VTA'!$F$29,Tabla11[[#This Row],[Cuenta]],1))</f>
        <v>1</v>
      </c>
      <c r="AK1080" t="b">
        <f>+ISNUMBER(SEARCH('F-VTA'!$F$30,Tabla11[[#This Row],[Cuenta]],1))</f>
        <v>1</v>
      </c>
      <c r="AL1080" t="b">
        <f>+ISNUMBER(SEARCH('F-VTA'!$F$31,Tabla11[[#This Row],[Cuenta]],1))</f>
        <v>1</v>
      </c>
      <c r="AM1080" t="b">
        <f>+ISNUMBER(SEARCH('F-VTA'!$F$32,Tabla11[[#This Row],[Cuenta]],1))</f>
        <v>1</v>
      </c>
      <c r="AN1080" t="b">
        <f>+ISNUMBER(SEARCH('F-VTA'!$F$33,Tabla11[[#This Row],[Cuenta]],1))</f>
        <v>1</v>
      </c>
      <c r="AO1080" t="b">
        <f>+ISNUMBER(SEARCH('F-VTA'!$F$34,Tabla11[[#This Row],[Cuenta]],1))</f>
        <v>1</v>
      </c>
      <c r="AP1080" t="b">
        <f>+ISNUMBER(SEARCH('F-VTA'!$F$35,Tabla11[[#This Row],[Cuenta]],1))</f>
        <v>1</v>
      </c>
      <c r="AQ1080" t="b">
        <f>+ISNUMBER(SEARCH('F-VTA'!$F$36,Tabla11[[#This Row],[Cuenta]],1))</f>
        <v>1</v>
      </c>
      <c r="AR1080" t="b">
        <f>+ISNUMBER(SEARCH(#REF!,Tabla11[[#This Row],[Cuenta]],1))</f>
        <v>0</v>
      </c>
      <c r="AS1080" t="b">
        <f>+ISNUMBER(SEARCH(#REF!,Tabla11[[#This Row],[Cuenta]],1))</f>
        <v>0</v>
      </c>
      <c r="AT1080" t="b">
        <f>+ISNUMBER(SEARCH(#REF!,Tabla11[[#This Row],[Cuenta]],1))</f>
        <v>0</v>
      </c>
      <c r="AU1080" t="b">
        <f>+ISNUMBER(SEARCH('Conc. Ban.1'!$I$9,Tabla11[[#This Row],[Cuenta]],1))</f>
        <v>0</v>
      </c>
      <c r="AV1080" t="b">
        <f>+ISNUMBER(SEARCH(CompConta!$F$21,Tabla11[[#This Row],[Cuenta]],1))</f>
        <v>1</v>
      </c>
      <c r="AW1080" t="b">
        <f>+ISNUMBER(SEARCH(CompConta!$F$22,Tabla11[[#This Row],[Cuenta]],1))</f>
        <v>1</v>
      </c>
      <c r="AX1080" t="b">
        <f>+ISNUMBER(SEARCH(CompConta!$F$23,Tabla11[[#This Row],[Cuenta]],1))</f>
        <v>1</v>
      </c>
      <c r="AY1080" t="b">
        <f>+ISNUMBER(SEARCH(CompConta!$F$24,Tabla11[[#This Row],[Cuenta]],1))</f>
        <v>1</v>
      </c>
      <c r="AZ1080" t="b">
        <f>+ISNUMBER(SEARCH(CompConta!$F$25,Tabla11[[#This Row],[Cuenta]],1))</f>
        <v>1</v>
      </c>
      <c r="BA1080" t="b">
        <f>+ISNUMBER(SEARCH(CompConta!$F$26,Tabla11[[#This Row],[Cuenta]],1))</f>
        <v>1</v>
      </c>
      <c r="BB1080" t="b">
        <f>+ISNUMBER(SEARCH(CompConta!$F$27,Tabla11[[#This Row],[Cuenta]],1))</f>
        <v>1</v>
      </c>
      <c r="BC1080" t="b">
        <f>+ISNUMBER(SEARCH(CompConta!$F$28,Tabla11[[#This Row],[Cuenta]],1))</f>
        <v>1</v>
      </c>
      <c r="BD1080" t="b">
        <f>+ISNUMBER(SEARCH(CompConta!$F$29,Tabla11[[#This Row],[Cuenta]],1))</f>
        <v>1</v>
      </c>
      <c r="BE1080" t="b">
        <f>+ISNUMBER(SEARCH(CompConta!$F$30,Tabla11[[#This Row],[Cuenta]],1))</f>
        <v>1</v>
      </c>
      <c r="BF1080" t="b">
        <f>+ISNUMBER(SEARCH('PAGO Compras'!$E$11,Tabla11[[#This Row],[Cuenta]],1))</f>
        <v>1</v>
      </c>
      <c r="BG1080" t="b">
        <f>+ISNUMBER(SEARCH(#REF!,Tabla11[[#This Row],[Cuenta]],1))</f>
        <v>0</v>
      </c>
      <c r="BH1080" t="b">
        <f>+ISNUMBER(SEARCH(#REF!,Tabla11[[#This Row],[Cuenta]],1))</f>
        <v>0</v>
      </c>
      <c r="BI1080" t="b">
        <f>+ISNUMBER(SEARCH(#REF!,Tabla11[[#This Row],[Cuenta]],1))</f>
        <v>0</v>
      </c>
      <c r="BJ1080" t="b">
        <f>+ISNUMBER(SEARCH(#REF!,Tabla11[[#This Row],[Cuenta]],1))</f>
        <v>0</v>
      </c>
      <c r="BS1080" t="str">
        <v>527510 De sociedades limitadas y/o asimiladas</v>
      </c>
      <c r="BT1080" t="str">
        <v>527510 De sociedades limitadas y/o asimiladas</v>
      </c>
      <c r="BU1080" t="str">
        <v>527510 De sociedades limitadas y/o asimiladas</v>
      </c>
      <c r="BV1080" t="str">
        <v>527510 De sociedades limitadas y/o asimiladas</v>
      </c>
      <c r="BZ1080" t="str">
        <v>527510 De sociedades limitadas y/o asimiladas</v>
      </c>
      <c r="CA1080" t="str">
        <v>527510 De sociedades limitadas y/o asimiladas</v>
      </c>
      <c r="CB1080" t="str">
        <v>527510 De sociedades limitadas y/o asimiladas</v>
      </c>
      <c r="CC1080" t="str">
        <v>527510 De sociedades limitadas y/o asimiladas</v>
      </c>
      <c r="CD1080" t="str">
        <v>527510 De sociedades limitadas y/o asimiladas</v>
      </c>
      <c r="CE1080" t="str">
        <v>527510 De sociedades limitadas y/o asimiladas</v>
      </c>
      <c r="CS1080" s="141" t="str">
        <v>527510 De sociedades limitadas y/o asimiladas</v>
      </c>
      <c r="CT1080" s="141" t="str">
        <v>527510 De sociedades limitadas y/o asimiladas</v>
      </c>
      <c r="CU1080" s="141" t="str">
        <v>527510 De sociedades limitadas y/o asimiladas</v>
      </c>
      <c r="CV1080" s="141" t="str">
        <v>527510 De sociedades limitadas y/o asimiladas</v>
      </c>
      <c r="CW1080" s="141" t="str">
        <v>527510 De sociedades limitadas y/o asimiladas</v>
      </c>
      <c r="CX1080" s="141" t="str">
        <v>527510 De sociedades limitadas y/o asimiladas</v>
      </c>
      <c r="CY1080" s="141" t="str">
        <v>527510 De sociedades limitadas y/o asimiladas</v>
      </c>
      <c r="CZ1080" s="141" t="str">
        <v>527510 De sociedades limitadas y/o asimiladas</v>
      </c>
      <c r="DA1080" s="141" t="str">
        <v>527510 De sociedades limitadas y/o asimiladas</v>
      </c>
      <c r="DF1080" t="str">
        <v>527510 De sociedades limitadas y/o asimiladas</v>
      </c>
      <c r="DG1080" t="str">
        <v>527510 De sociedades limitadas y/o asimiladas</v>
      </c>
      <c r="DH1080" t="str">
        <v>527510 De sociedades limitadas y/o asimiladas</v>
      </c>
      <c r="DI1080" t="str">
        <v>527510 De sociedades limitadas y/o asimiladas</v>
      </c>
      <c r="DJ1080" t="str">
        <v>527510 De sociedades limitadas y/o asimiladas</v>
      </c>
      <c r="DK1080" t="str">
        <v>527510 De sociedades limitadas y/o asimiladas</v>
      </c>
      <c r="DL1080" t="str">
        <v>527510 De sociedades limitadas y/o asimiladas</v>
      </c>
      <c r="DM1080" t="str">
        <v>527510 De sociedades limitadas y/o asimiladas</v>
      </c>
      <c r="DN1080" t="str">
        <v>527510 De sociedades limitadas y/o asimiladas</v>
      </c>
      <c r="DO1080" t="str">
        <v>527510 De sociedades limitadas y/o asimiladas</v>
      </c>
      <c r="DP1080" t="str">
        <v>527510 De sociedades limitadas y/o asimiladas</v>
      </c>
    </row>
    <row r="1081" spans="4:120" ht="12.75">
      <c r="D1081" s="7">
        <v>53</v>
      </c>
      <c r="E1081" s="6" t="s">
        <v>510</v>
      </c>
      <c r="F1081" s="5">
        <v>2</v>
      </c>
      <c r="G1081" s="34" t="s">
        <v>830</v>
      </c>
      <c r="H1081" s="8" t="s">
        <v>32</v>
      </c>
      <c r="I1081" t="b">
        <f>+ISNUMBER(SEARCH('F-COMPRA'!$F$28,Tabla11[[#This Row],[Cuenta]],1))</f>
        <v>1</v>
      </c>
      <c r="J1081" t="b">
        <f>+ISNUMBER(SEARCH('F-COMPRA'!$F$29,Tabla11[[#This Row],[Cuenta]],1))</f>
        <v>1</v>
      </c>
      <c r="K1081" t="b">
        <f>+ISNUMBER(SEARCH('F-COMPRA'!$F$30,Tabla11[[#This Row],[Cuenta]],1))</f>
        <v>1</v>
      </c>
      <c r="L1081" t="b">
        <f>+ISNUMBER(SEARCH('F-COMPRA'!$F$31,Tabla11[[#This Row],[Cuenta]],1))</f>
        <v>1</v>
      </c>
      <c r="M1081" t="b">
        <f>+ISNUMBER(SEARCH('F-COMPRA'!$G$25,Tabla11[[#This Row],[Cuenta]],1))</f>
        <v>0</v>
      </c>
      <c r="N1081" t="b">
        <f>+ISNUMBER(SEARCH(#REF!,Tabla11[[#This Row],[Cuenta]],1))</f>
        <v>0</v>
      </c>
      <c r="O1081" t="b">
        <f>+ISNUMBER(SEARCH(#REF!,Tabla11[[#This Row],[Cuenta]],1))</f>
        <v>0</v>
      </c>
      <c r="P1081" t="b">
        <f>+ISNUMBER(SEARCH('F-COMPRA'!$F$32,Tabla11[[#This Row],[Cuenta]],1))</f>
        <v>1</v>
      </c>
      <c r="Q1081" t="b">
        <f>+ISNUMBER(SEARCH('F-COMPRA'!$F$33,Tabla11[[#This Row],[Cuenta]],1))</f>
        <v>1</v>
      </c>
      <c r="R1081" t="b">
        <f>+ISNUMBER(SEARCH('F-COMPRA'!$F$34,Tabla11[[#This Row],[Cuenta]],1))</f>
        <v>1</v>
      </c>
      <c r="S1081" t="b">
        <f>+ISNUMBER(SEARCH('F-COMPRA'!$F$35,Tabla11[[#This Row],[Cuenta]],1))</f>
        <v>1</v>
      </c>
      <c r="T1081" t="b">
        <f>+ISNUMBER(SEARCH('F-COMPRA'!$F$36,Tabla11[[#This Row],[Cuenta]],1))</f>
        <v>1</v>
      </c>
      <c r="U1081" t="b">
        <f>+ISNUMBER(SEARCH('F-COMPRA'!$F$37,Tabla11[[#This Row],[Cuenta]],1))</f>
        <v>1</v>
      </c>
      <c r="V1081" t="b">
        <f>+ISNUMBER(SEARCH(#REF!,Tabla11[[#This Row],[Cuenta]],1))</f>
        <v>0</v>
      </c>
      <c r="W1081" t="b">
        <f>+ISNUMBER(SEARCH('F-COMPRA'!#REF!,Tabla11[[#This Row],[Cuenta]],1))</f>
        <v>0</v>
      </c>
      <c r="X1081" t="b">
        <f>+ISNUMBER(SEARCH('F-COMPRA'!#REF!,Tabla11[[#This Row],[Cuenta]],1))</f>
        <v>0</v>
      </c>
      <c r="Y1081" t="b">
        <f>+ISNUMBER(SEARCH('F-COMPRA'!#REF!,Tabla11[[#This Row],[Cuenta]],1))</f>
        <v>0</v>
      </c>
      <c r="Z1081" t="b">
        <f>+ISNUMBER(SEARCH('F-COMPRA'!#REF!,Tabla11[[#This Row],[Cuenta]],1))</f>
        <v>0</v>
      </c>
      <c r="AA1081" t="b">
        <f>+ISNUMBER(SEARCH('F-COMPRA'!#REF!,Tabla11[[#This Row],[Cuenta]],1))</f>
        <v>0</v>
      </c>
      <c r="AB1081" t="b">
        <f>+ISNUMBER(SEARCH('F-COMPRA'!#REF!,Tabla11[[#This Row],[Cuenta]],1))</f>
        <v>0</v>
      </c>
      <c r="AC1081" t="b">
        <f>+ISNUMBER(SEARCH('F-COMPRA'!#REF!,Tabla11[[#This Row],[Cuenta]],1))</f>
        <v>0</v>
      </c>
      <c r="AD1081" t="b">
        <f>+ISNUMBER(SEARCH('F-COMPRA'!#REF!,Tabla11[[#This Row],[Cuenta]],1))</f>
        <v>0</v>
      </c>
      <c r="AE1081" t="b">
        <f>+ISNUMBER(SEARCH('F-COMPRA'!#REF!,Tabla11[[#This Row],[Cuenta]],1))</f>
        <v>0</v>
      </c>
      <c r="AF1081" t="b">
        <f>+ISNUMBER(SEARCH('F-VTA'!$G$23,Tabla11[[#This Row],[Cuenta]],1))</f>
        <v>0</v>
      </c>
      <c r="AG1081" t="b">
        <f>+ISNUMBER(SEARCH('F-VTA'!$G$24,Tabla11[[#This Row],[Cuenta]],1))</f>
        <v>0</v>
      </c>
      <c r="AH1081" t="b">
        <f>+ISNUMBER(SEARCH('F-VTA'!$G$25,Tabla11[[#This Row],[Cuenta]],1))</f>
        <v>0</v>
      </c>
      <c r="AI1081" t="b">
        <f>+ISNUMBER(SEARCH('F-VTA'!$F$28,Tabla11[[#This Row],[Cuenta]],1))</f>
        <v>1</v>
      </c>
      <c r="AJ1081" t="b">
        <f>+ISNUMBER(SEARCH('F-VTA'!$F$29,Tabla11[[#This Row],[Cuenta]],1))</f>
        <v>1</v>
      </c>
      <c r="AK1081" t="b">
        <f>+ISNUMBER(SEARCH('F-VTA'!$F$30,Tabla11[[#This Row],[Cuenta]],1))</f>
        <v>1</v>
      </c>
      <c r="AL1081" t="b">
        <f>+ISNUMBER(SEARCH('F-VTA'!$F$31,Tabla11[[#This Row],[Cuenta]],1))</f>
        <v>1</v>
      </c>
      <c r="AM1081" t="b">
        <f>+ISNUMBER(SEARCH('F-VTA'!$F$32,Tabla11[[#This Row],[Cuenta]],1))</f>
        <v>1</v>
      </c>
      <c r="AN1081" t="b">
        <f>+ISNUMBER(SEARCH('F-VTA'!$F$33,Tabla11[[#This Row],[Cuenta]],1))</f>
        <v>1</v>
      </c>
      <c r="AO1081" t="b">
        <f>+ISNUMBER(SEARCH('F-VTA'!$F$34,Tabla11[[#This Row],[Cuenta]],1))</f>
        <v>1</v>
      </c>
      <c r="AP1081" t="b">
        <f>+ISNUMBER(SEARCH('F-VTA'!$F$35,Tabla11[[#This Row],[Cuenta]],1))</f>
        <v>1</v>
      </c>
      <c r="AQ1081" t="b">
        <f>+ISNUMBER(SEARCH('F-VTA'!$F$36,Tabla11[[#This Row],[Cuenta]],1))</f>
        <v>1</v>
      </c>
      <c r="AR1081" t="b">
        <f>+ISNUMBER(SEARCH(#REF!,Tabla11[[#This Row],[Cuenta]],1))</f>
        <v>0</v>
      </c>
      <c r="AS1081" t="b">
        <f>+ISNUMBER(SEARCH(#REF!,Tabla11[[#This Row],[Cuenta]],1))</f>
        <v>0</v>
      </c>
      <c r="AT1081" t="b">
        <f>+ISNUMBER(SEARCH(#REF!,Tabla11[[#This Row],[Cuenta]],1))</f>
        <v>0</v>
      </c>
      <c r="AU1081" t="b">
        <f>+ISNUMBER(SEARCH('Conc. Ban.1'!$I$9,Tabla11[[#This Row],[Cuenta]],1))</f>
        <v>0</v>
      </c>
      <c r="AV1081" t="b">
        <f>+ISNUMBER(SEARCH(CompConta!$F$21,Tabla11[[#This Row],[Cuenta]],1))</f>
        <v>1</v>
      </c>
      <c r="AW1081" t="b">
        <f>+ISNUMBER(SEARCH(CompConta!$F$22,Tabla11[[#This Row],[Cuenta]],1))</f>
        <v>1</v>
      </c>
      <c r="AX1081" t="b">
        <f>+ISNUMBER(SEARCH(CompConta!$F$23,Tabla11[[#This Row],[Cuenta]],1))</f>
        <v>1</v>
      </c>
      <c r="AY1081" t="b">
        <f>+ISNUMBER(SEARCH(CompConta!$F$24,Tabla11[[#This Row],[Cuenta]],1))</f>
        <v>1</v>
      </c>
      <c r="AZ1081" t="b">
        <f>+ISNUMBER(SEARCH(CompConta!$F$25,Tabla11[[#This Row],[Cuenta]],1))</f>
        <v>1</v>
      </c>
      <c r="BA1081" t="b">
        <f>+ISNUMBER(SEARCH(CompConta!$F$26,Tabla11[[#This Row],[Cuenta]],1))</f>
        <v>1</v>
      </c>
      <c r="BB1081" t="b">
        <f>+ISNUMBER(SEARCH(CompConta!$F$27,Tabla11[[#This Row],[Cuenta]],1))</f>
        <v>1</v>
      </c>
      <c r="BC1081" t="b">
        <f>+ISNUMBER(SEARCH(CompConta!$F$28,Tabla11[[#This Row],[Cuenta]],1))</f>
        <v>1</v>
      </c>
      <c r="BD1081" t="b">
        <f>+ISNUMBER(SEARCH(CompConta!$F$29,Tabla11[[#This Row],[Cuenta]],1))</f>
        <v>1</v>
      </c>
      <c r="BE1081" t="b">
        <f>+ISNUMBER(SEARCH(CompConta!$F$30,Tabla11[[#This Row],[Cuenta]],1))</f>
        <v>1</v>
      </c>
      <c r="BF1081" t="b">
        <f>+ISNUMBER(SEARCH('PAGO Compras'!$E$11,Tabla11[[#This Row],[Cuenta]],1))</f>
        <v>1</v>
      </c>
      <c r="BG1081" t="b">
        <f>+ISNUMBER(SEARCH(#REF!,Tabla11[[#This Row],[Cuenta]],1))</f>
        <v>0</v>
      </c>
      <c r="BH1081" t="b">
        <f>+ISNUMBER(SEARCH(#REF!,Tabla11[[#This Row],[Cuenta]],1))</f>
        <v>0</v>
      </c>
      <c r="BI1081" t="b">
        <f>+ISNUMBER(SEARCH(#REF!,Tabla11[[#This Row],[Cuenta]],1))</f>
        <v>0</v>
      </c>
      <c r="BJ1081" t="b">
        <f>+ISNUMBER(SEARCH(#REF!,Tabla11[[#This Row],[Cuenta]],1))</f>
        <v>0</v>
      </c>
      <c r="BS1081" t="str">
        <v>53 NO OPERACIONALES</v>
      </c>
      <c r="BT1081" t="str">
        <v>53 NO OPERACIONALES</v>
      </c>
      <c r="BU1081" t="str">
        <v>53 NO OPERACIONALES</v>
      </c>
      <c r="BV1081" t="str">
        <v>53 NO OPERACIONALES</v>
      </c>
      <c r="BZ1081" t="str">
        <v>53 NO OPERACIONALES</v>
      </c>
      <c r="CA1081" t="str">
        <v>53 NO OPERACIONALES</v>
      </c>
      <c r="CB1081" t="str">
        <v>53 NO OPERACIONALES</v>
      </c>
      <c r="CC1081" t="str">
        <v>53 NO OPERACIONALES</v>
      </c>
      <c r="CD1081" t="str">
        <v>53 NO OPERACIONALES</v>
      </c>
      <c r="CE1081" t="str">
        <v>53 NO OPERACIONALES</v>
      </c>
      <c r="CS1081" s="141" t="str">
        <v>53 NO OPERACIONALES</v>
      </c>
      <c r="CT1081" s="141" t="str">
        <v>53 NO OPERACIONALES</v>
      </c>
      <c r="CU1081" s="141" t="str">
        <v>53 NO OPERACIONALES</v>
      </c>
      <c r="CV1081" s="141" t="str">
        <v>53 NO OPERACIONALES</v>
      </c>
      <c r="CW1081" s="141" t="str">
        <v>53 NO OPERACIONALES</v>
      </c>
      <c r="CX1081" s="141" t="str">
        <v>53 NO OPERACIONALES</v>
      </c>
      <c r="CY1081" s="141" t="str">
        <v>53 NO OPERACIONALES</v>
      </c>
      <c r="CZ1081" s="141" t="str">
        <v>53 NO OPERACIONALES</v>
      </c>
      <c r="DA1081" s="141" t="str">
        <v>53 NO OPERACIONALES</v>
      </c>
      <c r="DF1081" t="str">
        <v>53 NO OPERACIONALES</v>
      </c>
      <c r="DG1081" t="str">
        <v>53 NO OPERACIONALES</v>
      </c>
      <c r="DH1081" t="str">
        <v>53 NO OPERACIONALES</v>
      </c>
      <c r="DI1081" t="str">
        <v>53 NO OPERACIONALES</v>
      </c>
      <c r="DJ1081" t="str">
        <v>53 NO OPERACIONALES</v>
      </c>
      <c r="DK1081" t="str">
        <v>53 NO OPERACIONALES</v>
      </c>
      <c r="DL1081" t="str">
        <v>53 NO OPERACIONALES</v>
      </c>
      <c r="DM1081" t="str">
        <v>53 NO OPERACIONALES</v>
      </c>
      <c r="DN1081" t="str">
        <v>53 NO OPERACIONALES</v>
      </c>
      <c r="DO1081" t="str">
        <v>53 NO OPERACIONALES</v>
      </c>
      <c r="DP1081" t="str">
        <v>53 NO OPERACIONALES</v>
      </c>
    </row>
    <row r="1082" spans="4:120" ht="12.75">
      <c r="D1082" s="7">
        <v>5305</v>
      </c>
      <c r="E1082" s="6" t="s">
        <v>512</v>
      </c>
      <c r="F1082" s="5">
        <v>3</v>
      </c>
      <c r="G1082" s="34" t="s">
        <v>830</v>
      </c>
      <c r="H1082" s="8" t="s">
        <v>32</v>
      </c>
      <c r="I1082" t="b">
        <f>+ISNUMBER(SEARCH('F-COMPRA'!$F$28,Tabla11[[#This Row],[Cuenta]],1))</f>
        <v>1</v>
      </c>
      <c r="J1082" t="b">
        <f>+ISNUMBER(SEARCH('F-COMPRA'!$F$29,Tabla11[[#This Row],[Cuenta]],1))</f>
        <v>1</v>
      </c>
      <c r="K1082" t="b">
        <f>+ISNUMBER(SEARCH('F-COMPRA'!$F$30,Tabla11[[#This Row],[Cuenta]],1))</f>
        <v>1</v>
      </c>
      <c r="L1082" t="b">
        <f>+ISNUMBER(SEARCH('F-COMPRA'!$F$31,Tabla11[[#This Row],[Cuenta]],1))</f>
        <v>1</v>
      </c>
      <c r="M1082" t="b">
        <f>+ISNUMBER(SEARCH('F-COMPRA'!$G$25,Tabla11[[#This Row],[Cuenta]],1))</f>
        <v>0</v>
      </c>
      <c r="N1082" t="b">
        <f>+ISNUMBER(SEARCH(#REF!,Tabla11[[#This Row],[Cuenta]],1))</f>
        <v>0</v>
      </c>
      <c r="O1082" t="b">
        <f>+ISNUMBER(SEARCH(#REF!,Tabla11[[#This Row],[Cuenta]],1))</f>
        <v>0</v>
      </c>
      <c r="P1082" t="b">
        <f>+ISNUMBER(SEARCH('F-COMPRA'!$F$32,Tabla11[[#This Row],[Cuenta]],1))</f>
        <v>1</v>
      </c>
      <c r="Q1082" t="b">
        <f>+ISNUMBER(SEARCH('F-COMPRA'!$F$33,Tabla11[[#This Row],[Cuenta]],1))</f>
        <v>1</v>
      </c>
      <c r="R1082" t="b">
        <f>+ISNUMBER(SEARCH('F-COMPRA'!$F$34,Tabla11[[#This Row],[Cuenta]],1))</f>
        <v>1</v>
      </c>
      <c r="S1082" t="b">
        <f>+ISNUMBER(SEARCH('F-COMPRA'!$F$35,Tabla11[[#This Row],[Cuenta]],1))</f>
        <v>1</v>
      </c>
      <c r="T1082" t="b">
        <f>+ISNUMBER(SEARCH('F-COMPRA'!$F$36,Tabla11[[#This Row],[Cuenta]],1))</f>
        <v>1</v>
      </c>
      <c r="U1082" t="b">
        <f>+ISNUMBER(SEARCH('F-COMPRA'!$F$37,Tabla11[[#This Row],[Cuenta]],1))</f>
        <v>1</v>
      </c>
      <c r="V1082" t="b">
        <f>+ISNUMBER(SEARCH(#REF!,Tabla11[[#This Row],[Cuenta]],1))</f>
        <v>0</v>
      </c>
      <c r="W1082" t="b">
        <f>+ISNUMBER(SEARCH('F-COMPRA'!#REF!,Tabla11[[#This Row],[Cuenta]],1))</f>
        <v>0</v>
      </c>
      <c r="X1082" t="b">
        <f>+ISNUMBER(SEARCH('F-COMPRA'!#REF!,Tabla11[[#This Row],[Cuenta]],1))</f>
        <v>0</v>
      </c>
      <c r="Y1082" t="b">
        <f>+ISNUMBER(SEARCH('F-COMPRA'!#REF!,Tabla11[[#This Row],[Cuenta]],1))</f>
        <v>0</v>
      </c>
      <c r="Z1082" t="b">
        <f>+ISNUMBER(SEARCH('F-COMPRA'!#REF!,Tabla11[[#This Row],[Cuenta]],1))</f>
        <v>0</v>
      </c>
      <c r="AA1082" t="b">
        <f>+ISNUMBER(SEARCH('F-COMPRA'!#REF!,Tabla11[[#This Row],[Cuenta]],1))</f>
        <v>0</v>
      </c>
      <c r="AB1082" t="b">
        <f>+ISNUMBER(SEARCH('F-COMPRA'!#REF!,Tabla11[[#This Row],[Cuenta]],1))</f>
        <v>0</v>
      </c>
      <c r="AC1082" t="b">
        <f>+ISNUMBER(SEARCH('F-COMPRA'!#REF!,Tabla11[[#This Row],[Cuenta]],1))</f>
        <v>0</v>
      </c>
      <c r="AD1082" t="b">
        <f>+ISNUMBER(SEARCH('F-COMPRA'!#REF!,Tabla11[[#This Row],[Cuenta]],1))</f>
        <v>0</v>
      </c>
      <c r="AE1082" t="b">
        <f>+ISNUMBER(SEARCH('F-COMPRA'!#REF!,Tabla11[[#This Row],[Cuenta]],1))</f>
        <v>0</v>
      </c>
      <c r="AF1082" t="b">
        <f>+ISNUMBER(SEARCH('F-VTA'!$G$23,Tabla11[[#This Row],[Cuenta]],1))</f>
        <v>0</v>
      </c>
      <c r="AG1082" t="b">
        <f>+ISNUMBER(SEARCH('F-VTA'!$G$24,Tabla11[[#This Row],[Cuenta]],1))</f>
        <v>0</v>
      </c>
      <c r="AH1082" t="b">
        <f>+ISNUMBER(SEARCH('F-VTA'!$G$25,Tabla11[[#This Row],[Cuenta]],1))</f>
        <v>0</v>
      </c>
      <c r="AI1082" t="b">
        <f>+ISNUMBER(SEARCH('F-VTA'!$F$28,Tabla11[[#This Row],[Cuenta]],1))</f>
        <v>1</v>
      </c>
      <c r="AJ1082" t="b">
        <f>+ISNUMBER(SEARCH('F-VTA'!$F$29,Tabla11[[#This Row],[Cuenta]],1))</f>
        <v>1</v>
      </c>
      <c r="AK1082" t="b">
        <f>+ISNUMBER(SEARCH('F-VTA'!$F$30,Tabla11[[#This Row],[Cuenta]],1))</f>
        <v>1</v>
      </c>
      <c r="AL1082" t="b">
        <f>+ISNUMBER(SEARCH('F-VTA'!$F$31,Tabla11[[#This Row],[Cuenta]],1))</f>
        <v>1</v>
      </c>
      <c r="AM1082" t="b">
        <f>+ISNUMBER(SEARCH('F-VTA'!$F$32,Tabla11[[#This Row],[Cuenta]],1))</f>
        <v>1</v>
      </c>
      <c r="AN1082" t="b">
        <f>+ISNUMBER(SEARCH('F-VTA'!$F$33,Tabla11[[#This Row],[Cuenta]],1))</f>
        <v>1</v>
      </c>
      <c r="AO1082" t="b">
        <f>+ISNUMBER(SEARCH('F-VTA'!$F$34,Tabla11[[#This Row],[Cuenta]],1))</f>
        <v>1</v>
      </c>
      <c r="AP1082" t="b">
        <f>+ISNUMBER(SEARCH('F-VTA'!$F$35,Tabla11[[#This Row],[Cuenta]],1))</f>
        <v>1</v>
      </c>
      <c r="AQ1082" t="b">
        <f>+ISNUMBER(SEARCH('F-VTA'!$F$36,Tabla11[[#This Row],[Cuenta]],1))</f>
        <v>1</v>
      </c>
      <c r="AR1082" t="b">
        <f>+ISNUMBER(SEARCH(#REF!,Tabla11[[#This Row],[Cuenta]],1))</f>
        <v>0</v>
      </c>
      <c r="AS1082" t="b">
        <f>+ISNUMBER(SEARCH(#REF!,Tabla11[[#This Row],[Cuenta]],1))</f>
        <v>0</v>
      </c>
      <c r="AT1082" t="b">
        <f>+ISNUMBER(SEARCH(#REF!,Tabla11[[#This Row],[Cuenta]],1))</f>
        <v>0</v>
      </c>
      <c r="AU1082" t="b">
        <f>+ISNUMBER(SEARCH('Conc. Ban.1'!$I$9,Tabla11[[#This Row],[Cuenta]],1))</f>
        <v>0</v>
      </c>
      <c r="AV1082" t="b">
        <f>+ISNUMBER(SEARCH(CompConta!$F$21,Tabla11[[#This Row],[Cuenta]],1))</f>
        <v>1</v>
      </c>
      <c r="AW1082" t="b">
        <f>+ISNUMBER(SEARCH(CompConta!$F$22,Tabla11[[#This Row],[Cuenta]],1))</f>
        <v>1</v>
      </c>
      <c r="AX1082" t="b">
        <f>+ISNUMBER(SEARCH(CompConta!$F$23,Tabla11[[#This Row],[Cuenta]],1))</f>
        <v>1</v>
      </c>
      <c r="AY1082" t="b">
        <f>+ISNUMBER(SEARCH(CompConta!$F$24,Tabla11[[#This Row],[Cuenta]],1))</f>
        <v>1</v>
      </c>
      <c r="AZ1082" t="b">
        <f>+ISNUMBER(SEARCH(CompConta!$F$25,Tabla11[[#This Row],[Cuenta]],1))</f>
        <v>1</v>
      </c>
      <c r="BA1082" t="b">
        <f>+ISNUMBER(SEARCH(CompConta!$F$26,Tabla11[[#This Row],[Cuenta]],1))</f>
        <v>1</v>
      </c>
      <c r="BB1082" t="b">
        <f>+ISNUMBER(SEARCH(CompConta!$F$27,Tabla11[[#This Row],[Cuenta]],1))</f>
        <v>1</v>
      </c>
      <c r="BC1082" t="b">
        <f>+ISNUMBER(SEARCH(CompConta!$F$28,Tabla11[[#This Row],[Cuenta]],1))</f>
        <v>1</v>
      </c>
      <c r="BD1082" t="b">
        <f>+ISNUMBER(SEARCH(CompConta!$F$29,Tabla11[[#This Row],[Cuenta]],1))</f>
        <v>1</v>
      </c>
      <c r="BE1082" t="b">
        <f>+ISNUMBER(SEARCH(CompConta!$F$30,Tabla11[[#This Row],[Cuenta]],1))</f>
        <v>1</v>
      </c>
      <c r="BF1082" t="b">
        <f>+ISNUMBER(SEARCH('PAGO Compras'!$E$11,Tabla11[[#This Row],[Cuenta]],1))</f>
        <v>1</v>
      </c>
      <c r="BG1082" t="b">
        <f>+ISNUMBER(SEARCH(#REF!,Tabla11[[#This Row],[Cuenta]],1))</f>
        <v>0</v>
      </c>
      <c r="BH1082" t="b">
        <f>+ISNUMBER(SEARCH(#REF!,Tabla11[[#This Row],[Cuenta]],1))</f>
        <v>0</v>
      </c>
      <c r="BI1082" t="b">
        <f>+ISNUMBER(SEARCH(#REF!,Tabla11[[#This Row],[Cuenta]],1))</f>
        <v>0</v>
      </c>
      <c r="BJ1082" t="b">
        <f>+ISNUMBER(SEARCH(#REF!,Tabla11[[#This Row],[Cuenta]],1))</f>
        <v>0</v>
      </c>
      <c r="BS1082" t="str">
        <v>5305 FINANCIEROS</v>
      </c>
      <c r="BT1082" t="str">
        <v>5305 FINANCIEROS</v>
      </c>
      <c r="BU1082" t="str">
        <v>5305 FINANCIEROS</v>
      </c>
      <c r="BV1082" t="str">
        <v>5305 FINANCIEROS</v>
      </c>
      <c r="BZ1082" t="str">
        <v>5305 FINANCIEROS</v>
      </c>
      <c r="CA1082" t="str">
        <v>5305 FINANCIEROS</v>
      </c>
      <c r="CB1082" t="str">
        <v>5305 FINANCIEROS</v>
      </c>
      <c r="CC1082" t="str">
        <v>5305 FINANCIEROS</v>
      </c>
      <c r="CD1082" t="str">
        <v>5305 FINANCIEROS</v>
      </c>
      <c r="CE1082" t="str">
        <v>5305 FINANCIEROS</v>
      </c>
      <c r="CS1082" s="141" t="str">
        <v>5305 FINANCIEROS</v>
      </c>
      <c r="CT1082" s="141" t="str">
        <v>5305 FINANCIEROS</v>
      </c>
      <c r="CU1082" s="141" t="str">
        <v>5305 FINANCIEROS</v>
      </c>
      <c r="CV1082" s="141" t="str">
        <v>5305 FINANCIEROS</v>
      </c>
      <c r="CW1082" s="141" t="str">
        <v>5305 FINANCIEROS</v>
      </c>
      <c r="CX1082" s="141" t="str">
        <v>5305 FINANCIEROS</v>
      </c>
      <c r="CY1082" s="141" t="str">
        <v>5305 FINANCIEROS</v>
      </c>
      <c r="CZ1082" s="141" t="str">
        <v>5305 FINANCIEROS</v>
      </c>
      <c r="DA1082" s="141" t="str">
        <v>5305 FINANCIEROS</v>
      </c>
      <c r="DF1082" t="str">
        <v>5305 FINANCIEROS</v>
      </c>
      <c r="DG1082" t="str">
        <v>5305 FINANCIEROS</v>
      </c>
      <c r="DH1082" t="str">
        <v>5305 FINANCIEROS</v>
      </c>
      <c r="DI1082" t="str">
        <v>5305 FINANCIEROS</v>
      </c>
      <c r="DJ1082" t="str">
        <v>5305 FINANCIEROS</v>
      </c>
      <c r="DK1082" t="str">
        <v>5305 FINANCIEROS</v>
      </c>
      <c r="DL1082" t="str">
        <v>5305 FINANCIEROS</v>
      </c>
      <c r="DM1082" t="str">
        <v>5305 FINANCIEROS</v>
      </c>
      <c r="DN1082" t="str">
        <v>5305 FINANCIEROS</v>
      </c>
      <c r="DO1082" t="str">
        <v>5305 FINANCIEROS</v>
      </c>
      <c r="DP1082" t="str">
        <v>5305 FINANCIEROS</v>
      </c>
    </row>
    <row r="1083" spans="4:120" ht="12.75">
      <c r="D1083" s="7">
        <v>530505</v>
      </c>
      <c r="E1083" s="6" t="s">
        <v>529</v>
      </c>
      <c r="F1083" s="5">
        <v>4</v>
      </c>
      <c r="G1083" s="34" t="s">
        <v>830</v>
      </c>
      <c r="H1083" s="8" t="s">
        <v>32</v>
      </c>
      <c r="I1083" t="b">
        <f>+ISNUMBER(SEARCH('F-COMPRA'!$F$28,Tabla11[[#This Row],[Cuenta]],1))</f>
        <v>1</v>
      </c>
      <c r="J1083" t="b">
        <f>+ISNUMBER(SEARCH('F-COMPRA'!$F$29,Tabla11[[#This Row],[Cuenta]],1))</f>
        <v>1</v>
      </c>
      <c r="K1083" t="b">
        <f>+ISNUMBER(SEARCH('F-COMPRA'!$F$30,Tabla11[[#This Row],[Cuenta]],1))</f>
        <v>1</v>
      </c>
      <c r="L1083" t="b">
        <f>+ISNUMBER(SEARCH('F-COMPRA'!$F$31,Tabla11[[#This Row],[Cuenta]],1))</f>
        <v>1</v>
      </c>
      <c r="M1083" t="b">
        <f>+ISNUMBER(SEARCH('F-COMPRA'!$G$25,Tabla11[[#This Row],[Cuenta]],1))</f>
        <v>0</v>
      </c>
      <c r="N1083" t="b">
        <f>+ISNUMBER(SEARCH(#REF!,Tabla11[[#This Row],[Cuenta]],1))</f>
        <v>0</v>
      </c>
      <c r="O1083" t="b">
        <f>+ISNUMBER(SEARCH(#REF!,Tabla11[[#This Row],[Cuenta]],1))</f>
        <v>0</v>
      </c>
      <c r="P1083" t="b">
        <f>+ISNUMBER(SEARCH('F-COMPRA'!$F$32,Tabla11[[#This Row],[Cuenta]],1))</f>
        <v>1</v>
      </c>
      <c r="Q1083" t="b">
        <f>+ISNUMBER(SEARCH('F-COMPRA'!$F$33,Tabla11[[#This Row],[Cuenta]],1))</f>
        <v>1</v>
      </c>
      <c r="R1083" t="b">
        <f>+ISNUMBER(SEARCH('F-COMPRA'!$F$34,Tabla11[[#This Row],[Cuenta]],1))</f>
        <v>1</v>
      </c>
      <c r="S1083" t="b">
        <f>+ISNUMBER(SEARCH('F-COMPRA'!$F$35,Tabla11[[#This Row],[Cuenta]],1))</f>
        <v>1</v>
      </c>
      <c r="T1083" t="b">
        <f>+ISNUMBER(SEARCH('F-COMPRA'!$F$36,Tabla11[[#This Row],[Cuenta]],1))</f>
        <v>1</v>
      </c>
      <c r="U1083" t="b">
        <f>+ISNUMBER(SEARCH('F-COMPRA'!$F$37,Tabla11[[#This Row],[Cuenta]],1))</f>
        <v>1</v>
      </c>
      <c r="V1083" t="b">
        <f>+ISNUMBER(SEARCH(#REF!,Tabla11[[#This Row],[Cuenta]],1))</f>
        <v>0</v>
      </c>
      <c r="W1083" t="b">
        <f>+ISNUMBER(SEARCH('F-COMPRA'!#REF!,Tabla11[[#This Row],[Cuenta]],1))</f>
        <v>0</v>
      </c>
      <c r="X1083" t="b">
        <f>+ISNUMBER(SEARCH('F-COMPRA'!#REF!,Tabla11[[#This Row],[Cuenta]],1))</f>
        <v>0</v>
      </c>
      <c r="Y1083" t="b">
        <f>+ISNUMBER(SEARCH('F-COMPRA'!#REF!,Tabla11[[#This Row],[Cuenta]],1))</f>
        <v>0</v>
      </c>
      <c r="Z1083" t="b">
        <f>+ISNUMBER(SEARCH('F-COMPRA'!#REF!,Tabla11[[#This Row],[Cuenta]],1))</f>
        <v>0</v>
      </c>
      <c r="AA1083" t="b">
        <f>+ISNUMBER(SEARCH('F-COMPRA'!#REF!,Tabla11[[#This Row],[Cuenta]],1))</f>
        <v>0</v>
      </c>
      <c r="AB1083" t="b">
        <f>+ISNUMBER(SEARCH('F-COMPRA'!#REF!,Tabla11[[#This Row],[Cuenta]],1))</f>
        <v>0</v>
      </c>
      <c r="AC1083" t="b">
        <f>+ISNUMBER(SEARCH('F-COMPRA'!#REF!,Tabla11[[#This Row],[Cuenta]],1))</f>
        <v>0</v>
      </c>
      <c r="AD1083" t="b">
        <f>+ISNUMBER(SEARCH('F-COMPRA'!#REF!,Tabla11[[#This Row],[Cuenta]],1))</f>
        <v>0</v>
      </c>
      <c r="AE1083" t="b">
        <f>+ISNUMBER(SEARCH('F-COMPRA'!#REF!,Tabla11[[#This Row],[Cuenta]],1))</f>
        <v>0</v>
      </c>
      <c r="AF1083" t="b">
        <f>+ISNUMBER(SEARCH('F-VTA'!$G$23,Tabla11[[#This Row],[Cuenta]],1))</f>
        <v>0</v>
      </c>
      <c r="AG1083" t="b">
        <f>+ISNUMBER(SEARCH('F-VTA'!$G$24,Tabla11[[#This Row],[Cuenta]],1))</f>
        <v>0</v>
      </c>
      <c r="AH1083" t="b">
        <f>+ISNUMBER(SEARCH('F-VTA'!$G$25,Tabla11[[#This Row],[Cuenta]],1))</f>
        <v>0</v>
      </c>
      <c r="AI1083" t="b">
        <f>+ISNUMBER(SEARCH('F-VTA'!$F$28,Tabla11[[#This Row],[Cuenta]],1))</f>
        <v>1</v>
      </c>
      <c r="AJ1083" t="b">
        <f>+ISNUMBER(SEARCH('F-VTA'!$F$29,Tabla11[[#This Row],[Cuenta]],1))</f>
        <v>1</v>
      </c>
      <c r="AK1083" t="b">
        <f>+ISNUMBER(SEARCH('F-VTA'!$F$30,Tabla11[[#This Row],[Cuenta]],1))</f>
        <v>1</v>
      </c>
      <c r="AL1083" t="b">
        <f>+ISNUMBER(SEARCH('F-VTA'!$F$31,Tabla11[[#This Row],[Cuenta]],1))</f>
        <v>1</v>
      </c>
      <c r="AM1083" t="b">
        <f>+ISNUMBER(SEARCH('F-VTA'!$F$32,Tabla11[[#This Row],[Cuenta]],1))</f>
        <v>1</v>
      </c>
      <c r="AN1083" t="b">
        <f>+ISNUMBER(SEARCH('F-VTA'!$F$33,Tabla11[[#This Row],[Cuenta]],1))</f>
        <v>1</v>
      </c>
      <c r="AO1083" t="b">
        <f>+ISNUMBER(SEARCH('F-VTA'!$F$34,Tabla11[[#This Row],[Cuenta]],1))</f>
        <v>1</v>
      </c>
      <c r="AP1083" t="b">
        <f>+ISNUMBER(SEARCH('F-VTA'!$F$35,Tabla11[[#This Row],[Cuenta]],1))</f>
        <v>1</v>
      </c>
      <c r="AQ1083" t="b">
        <f>+ISNUMBER(SEARCH('F-VTA'!$F$36,Tabla11[[#This Row],[Cuenta]],1))</f>
        <v>1</v>
      </c>
      <c r="AR1083" t="b">
        <f>+ISNUMBER(SEARCH(#REF!,Tabla11[[#This Row],[Cuenta]],1))</f>
        <v>0</v>
      </c>
      <c r="AS1083" t="b">
        <f>+ISNUMBER(SEARCH(#REF!,Tabla11[[#This Row],[Cuenta]],1))</f>
        <v>0</v>
      </c>
      <c r="AT1083" t="b">
        <f>+ISNUMBER(SEARCH(#REF!,Tabla11[[#This Row],[Cuenta]],1))</f>
        <v>0</v>
      </c>
      <c r="AU1083" t="b">
        <f>+ISNUMBER(SEARCH('Conc. Ban.1'!$I$9,Tabla11[[#This Row],[Cuenta]],1))</f>
        <v>0</v>
      </c>
      <c r="AV1083" t="b">
        <f>+ISNUMBER(SEARCH(CompConta!$F$21,Tabla11[[#This Row],[Cuenta]],1))</f>
        <v>1</v>
      </c>
      <c r="AW1083" t="b">
        <f>+ISNUMBER(SEARCH(CompConta!$F$22,Tabla11[[#This Row],[Cuenta]],1))</f>
        <v>1</v>
      </c>
      <c r="AX1083" t="b">
        <f>+ISNUMBER(SEARCH(CompConta!$F$23,Tabla11[[#This Row],[Cuenta]],1))</f>
        <v>1</v>
      </c>
      <c r="AY1083" t="b">
        <f>+ISNUMBER(SEARCH(CompConta!$F$24,Tabla11[[#This Row],[Cuenta]],1))</f>
        <v>1</v>
      </c>
      <c r="AZ1083" t="b">
        <f>+ISNUMBER(SEARCH(CompConta!$F$25,Tabla11[[#This Row],[Cuenta]],1))</f>
        <v>1</v>
      </c>
      <c r="BA1083" t="b">
        <f>+ISNUMBER(SEARCH(CompConta!$F$26,Tabla11[[#This Row],[Cuenta]],1))</f>
        <v>1</v>
      </c>
      <c r="BB1083" t="b">
        <f>+ISNUMBER(SEARCH(CompConta!$F$27,Tabla11[[#This Row],[Cuenta]],1))</f>
        <v>1</v>
      </c>
      <c r="BC1083" t="b">
        <f>+ISNUMBER(SEARCH(CompConta!$F$28,Tabla11[[#This Row],[Cuenta]],1))</f>
        <v>1</v>
      </c>
      <c r="BD1083" t="b">
        <f>+ISNUMBER(SEARCH(CompConta!$F$29,Tabla11[[#This Row],[Cuenta]],1))</f>
        <v>1</v>
      </c>
      <c r="BE1083" t="b">
        <f>+ISNUMBER(SEARCH(CompConta!$F$30,Tabla11[[#This Row],[Cuenta]],1))</f>
        <v>1</v>
      </c>
      <c r="BF1083" t="b">
        <f>+ISNUMBER(SEARCH('PAGO Compras'!$E$11,Tabla11[[#This Row],[Cuenta]],1))</f>
        <v>1</v>
      </c>
      <c r="BG1083" t="b">
        <f>+ISNUMBER(SEARCH(#REF!,Tabla11[[#This Row],[Cuenta]],1))</f>
        <v>0</v>
      </c>
      <c r="BH1083" t="b">
        <f>+ISNUMBER(SEARCH(#REF!,Tabla11[[#This Row],[Cuenta]],1))</f>
        <v>0</v>
      </c>
      <c r="BI1083" t="b">
        <f>+ISNUMBER(SEARCH(#REF!,Tabla11[[#This Row],[Cuenta]],1))</f>
        <v>0</v>
      </c>
      <c r="BJ1083" t="b">
        <f>+ISNUMBER(SEARCH(#REF!,Tabla11[[#This Row],[Cuenta]],1))</f>
        <v>0</v>
      </c>
      <c r="BS1083" t="str">
        <v>530505 Gastos bancarios</v>
      </c>
      <c r="BT1083" t="str">
        <v>530505 Gastos bancarios</v>
      </c>
      <c r="BU1083" t="str">
        <v>530505 Gastos bancarios</v>
      </c>
      <c r="BV1083" t="str">
        <v>530505 Gastos bancarios</v>
      </c>
      <c r="BZ1083" t="str">
        <v>530505 Gastos bancarios</v>
      </c>
      <c r="CA1083" t="str">
        <v>530505 Gastos bancarios</v>
      </c>
      <c r="CB1083" t="str">
        <v>530505 Gastos bancarios</v>
      </c>
      <c r="CC1083" t="str">
        <v>530505 Gastos bancarios</v>
      </c>
      <c r="CD1083" t="str">
        <v>530505 Gastos bancarios</v>
      </c>
      <c r="CE1083" t="str">
        <v>530505 Gastos bancarios</v>
      </c>
      <c r="CS1083" s="141" t="str">
        <v>530505 Gastos bancarios</v>
      </c>
      <c r="CT1083" s="141" t="str">
        <v>530505 Gastos bancarios</v>
      </c>
      <c r="CU1083" s="141" t="str">
        <v>530505 Gastos bancarios</v>
      </c>
      <c r="CV1083" s="141" t="str">
        <v>530505 Gastos bancarios</v>
      </c>
      <c r="CW1083" s="141" t="str">
        <v>530505 Gastos bancarios</v>
      </c>
      <c r="CX1083" s="141" t="str">
        <v>530505 Gastos bancarios</v>
      </c>
      <c r="CY1083" s="141" t="str">
        <v>530505 Gastos bancarios</v>
      </c>
      <c r="CZ1083" s="141" t="str">
        <v>530505 Gastos bancarios</v>
      </c>
      <c r="DA1083" s="141" t="str">
        <v>530505 Gastos bancarios</v>
      </c>
      <c r="DF1083" t="str">
        <v>530505 Gastos bancarios</v>
      </c>
      <c r="DG1083" t="str">
        <v>530505 Gastos bancarios</v>
      </c>
      <c r="DH1083" t="str">
        <v>530505 Gastos bancarios</v>
      </c>
      <c r="DI1083" t="str">
        <v>530505 Gastos bancarios</v>
      </c>
      <c r="DJ1083" t="str">
        <v>530505 Gastos bancarios</v>
      </c>
      <c r="DK1083" t="str">
        <v>530505 Gastos bancarios</v>
      </c>
      <c r="DL1083" t="str">
        <v>530505 Gastos bancarios</v>
      </c>
      <c r="DM1083" t="str">
        <v>530505 Gastos bancarios</v>
      </c>
      <c r="DN1083" t="str">
        <v>530505 Gastos bancarios</v>
      </c>
      <c r="DO1083" t="str">
        <v>530505 Gastos bancarios</v>
      </c>
      <c r="DP1083" t="str">
        <v>530505 Gastos bancarios</v>
      </c>
    </row>
    <row r="1084" spans="4:120" ht="12.75">
      <c r="D1084" s="7">
        <v>530510</v>
      </c>
      <c r="E1084" s="6" t="s">
        <v>509</v>
      </c>
      <c r="F1084" s="5">
        <v>4</v>
      </c>
      <c r="G1084" s="34" t="s">
        <v>830</v>
      </c>
      <c r="H1084" s="8" t="s">
        <v>32</v>
      </c>
      <c r="I1084" t="b">
        <f>+ISNUMBER(SEARCH('F-COMPRA'!$F$28,Tabla11[[#This Row],[Cuenta]],1))</f>
        <v>1</v>
      </c>
      <c r="J1084" t="b">
        <f>+ISNUMBER(SEARCH('F-COMPRA'!$F$29,Tabla11[[#This Row],[Cuenta]],1))</f>
        <v>1</v>
      </c>
      <c r="K1084" t="b">
        <f>+ISNUMBER(SEARCH('F-COMPRA'!$F$30,Tabla11[[#This Row],[Cuenta]],1))</f>
        <v>1</v>
      </c>
      <c r="L1084" t="b">
        <f>+ISNUMBER(SEARCH('F-COMPRA'!$F$31,Tabla11[[#This Row],[Cuenta]],1))</f>
        <v>1</v>
      </c>
      <c r="M1084" t="b">
        <f>+ISNUMBER(SEARCH('F-COMPRA'!$G$25,Tabla11[[#This Row],[Cuenta]],1))</f>
        <v>0</v>
      </c>
      <c r="N1084" t="b">
        <f>+ISNUMBER(SEARCH(#REF!,Tabla11[[#This Row],[Cuenta]],1))</f>
        <v>0</v>
      </c>
      <c r="O1084" t="b">
        <f>+ISNUMBER(SEARCH(#REF!,Tabla11[[#This Row],[Cuenta]],1))</f>
        <v>0</v>
      </c>
      <c r="P1084" t="b">
        <f>+ISNUMBER(SEARCH('F-COMPRA'!$F$32,Tabla11[[#This Row],[Cuenta]],1))</f>
        <v>1</v>
      </c>
      <c r="Q1084" t="b">
        <f>+ISNUMBER(SEARCH('F-COMPRA'!$F$33,Tabla11[[#This Row],[Cuenta]],1))</f>
        <v>1</v>
      </c>
      <c r="R1084" t="b">
        <f>+ISNUMBER(SEARCH('F-COMPRA'!$F$34,Tabla11[[#This Row],[Cuenta]],1))</f>
        <v>1</v>
      </c>
      <c r="S1084" t="b">
        <f>+ISNUMBER(SEARCH('F-COMPRA'!$F$35,Tabla11[[#This Row],[Cuenta]],1))</f>
        <v>1</v>
      </c>
      <c r="T1084" t="b">
        <f>+ISNUMBER(SEARCH('F-COMPRA'!$F$36,Tabla11[[#This Row],[Cuenta]],1))</f>
        <v>1</v>
      </c>
      <c r="U1084" t="b">
        <f>+ISNUMBER(SEARCH('F-COMPRA'!$F$37,Tabla11[[#This Row],[Cuenta]],1))</f>
        <v>1</v>
      </c>
      <c r="V1084" t="b">
        <f>+ISNUMBER(SEARCH(#REF!,Tabla11[[#This Row],[Cuenta]],1))</f>
        <v>0</v>
      </c>
      <c r="W1084" t="b">
        <f>+ISNUMBER(SEARCH('F-COMPRA'!#REF!,Tabla11[[#This Row],[Cuenta]],1))</f>
        <v>0</v>
      </c>
      <c r="X1084" t="b">
        <f>+ISNUMBER(SEARCH('F-COMPRA'!#REF!,Tabla11[[#This Row],[Cuenta]],1))</f>
        <v>0</v>
      </c>
      <c r="Y1084" t="b">
        <f>+ISNUMBER(SEARCH('F-COMPRA'!#REF!,Tabla11[[#This Row],[Cuenta]],1))</f>
        <v>0</v>
      </c>
      <c r="Z1084" t="b">
        <f>+ISNUMBER(SEARCH('F-COMPRA'!#REF!,Tabla11[[#This Row],[Cuenta]],1))</f>
        <v>0</v>
      </c>
      <c r="AA1084" t="b">
        <f>+ISNUMBER(SEARCH('F-COMPRA'!#REF!,Tabla11[[#This Row],[Cuenta]],1))</f>
        <v>0</v>
      </c>
      <c r="AB1084" t="b">
        <f>+ISNUMBER(SEARCH('F-COMPRA'!#REF!,Tabla11[[#This Row],[Cuenta]],1))</f>
        <v>0</v>
      </c>
      <c r="AC1084" t="b">
        <f>+ISNUMBER(SEARCH('F-COMPRA'!#REF!,Tabla11[[#This Row],[Cuenta]],1))</f>
        <v>0</v>
      </c>
      <c r="AD1084" t="b">
        <f>+ISNUMBER(SEARCH('F-COMPRA'!#REF!,Tabla11[[#This Row],[Cuenta]],1))</f>
        <v>0</v>
      </c>
      <c r="AE1084" t="b">
        <f>+ISNUMBER(SEARCH('F-COMPRA'!#REF!,Tabla11[[#This Row],[Cuenta]],1))</f>
        <v>0</v>
      </c>
      <c r="AF1084" t="b">
        <f>+ISNUMBER(SEARCH('F-VTA'!$G$23,Tabla11[[#This Row],[Cuenta]],1))</f>
        <v>0</v>
      </c>
      <c r="AG1084" t="b">
        <f>+ISNUMBER(SEARCH('F-VTA'!$G$24,Tabla11[[#This Row],[Cuenta]],1))</f>
        <v>0</v>
      </c>
      <c r="AH1084" t="b">
        <f>+ISNUMBER(SEARCH('F-VTA'!$G$25,Tabla11[[#This Row],[Cuenta]],1))</f>
        <v>0</v>
      </c>
      <c r="AI1084" t="b">
        <f>+ISNUMBER(SEARCH('F-VTA'!$F$28,Tabla11[[#This Row],[Cuenta]],1))</f>
        <v>1</v>
      </c>
      <c r="AJ1084" t="b">
        <f>+ISNUMBER(SEARCH('F-VTA'!$F$29,Tabla11[[#This Row],[Cuenta]],1))</f>
        <v>1</v>
      </c>
      <c r="AK1084" t="b">
        <f>+ISNUMBER(SEARCH('F-VTA'!$F$30,Tabla11[[#This Row],[Cuenta]],1))</f>
        <v>1</v>
      </c>
      <c r="AL1084" t="b">
        <f>+ISNUMBER(SEARCH('F-VTA'!$F$31,Tabla11[[#This Row],[Cuenta]],1))</f>
        <v>1</v>
      </c>
      <c r="AM1084" t="b">
        <f>+ISNUMBER(SEARCH('F-VTA'!$F$32,Tabla11[[#This Row],[Cuenta]],1))</f>
        <v>1</v>
      </c>
      <c r="AN1084" t="b">
        <f>+ISNUMBER(SEARCH('F-VTA'!$F$33,Tabla11[[#This Row],[Cuenta]],1))</f>
        <v>1</v>
      </c>
      <c r="AO1084" t="b">
        <f>+ISNUMBER(SEARCH('F-VTA'!$F$34,Tabla11[[#This Row],[Cuenta]],1))</f>
        <v>1</v>
      </c>
      <c r="AP1084" t="b">
        <f>+ISNUMBER(SEARCH('F-VTA'!$F$35,Tabla11[[#This Row],[Cuenta]],1))</f>
        <v>1</v>
      </c>
      <c r="AQ1084" t="b">
        <f>+ISNUMBER(SEARCH('F-VTA'!$F$36,Tabla11[[#This Row],[Cuenta]],1))</f>
        <v>1</v>
      </c>
      <c r="AR1084" t="b">
        <f>+ISNUMBER(SEARCH(#REF!,Tabla11[[#This Row],[Cuenta]],1))</f>
        <v>0</v>
      </c>
      <c r="AS1084" t="b">
        <f>+ISNUMBER(SEARCH(#REF!,Tabla11[[#This Row],[Cuenta]],1))</f>
        <v>0</v>
      </c>
      <c r="AT1084" t="b">
        <f>+ISNUMBER(SEARCH(#REF!,Tabla11[[#This Row],[Cuenta]],1))</f>
        <v>0</v>
      </c>
      <c r="AU1084" t="b">
        <f>+ISNUMBER(SEARCH('Conc. Ban.1'!$I$9,Tabla11[[#This Row],[Cuenta]],1))</f>
        <v>0</v>
      </c>
      <c r="AV1084" t="b">
        <f>+ISNUMBER(SEARCH(CompConta!$F$21,Tabla11[[#This Row],[Cuenta]],1))</f>
        <v>1</v>
      </c>
      <c r="AW1084" t="b">
        <f>+ISNUMBER(SEARCH(CompConta!$F$22,Tabla11[[#This Row],[Cuenta]],1))</f>
        <v>1</v>
      </c>
      <c r="AX1084" t="b">
        <f>+ISNUMBER(SEARCH(CompConta!$F$23,Tabla11[[#This Row],[Cuenta]],1))</f>
        <v>1</v>
      </c>
      <c r="AY1084" t="b">
        <f>+ISNUMBER(SEARCH(CompConta!$F$24,Tabla11[[#This Row],[Cuenta]],1))</f>
        <v>1</v>
      </c>
      <c r="AZ1084" t="b">
        <f>+ISNUMBER(SEARCH(CompConta!$F$25,Tabla11[[#This Row],[Cuenta]],1))</f>
        <v>1</v>
      </c>
      <c r="BA1084" t="b">
        <f>+ISNUMBER(SEARCH(CompConta!$F$26,Tabla11[[#This Row],[Cuenta]],1))</f>
        <v>1</v>
      </c>
      <c r="BB1084" t="b">
        <f>+ISNUMBER(SEARCH(CompConta!$F$27,Tabla11[[#This Row],[Cuenta]],1))</f>
        <v>1</v>
      </c>
      <c r="BC1084" t="b">
        <f>+ISNUMBER(SEARCH(CompConta!$F$28,Tabla11[[#This Row],[Cuenta]],1))</f>
        <v>1</v>
      </c>
      <c r="BD1084" t="b">
        <f>+ISNUMBER(SEARCH(CompConta!$F$29,Tabla11[[#This Row],[Cuenta]],1))</f>
        <v>1</v>
      </c>
      <c r="BE1084" t="b">
        <f>+ISNUMBER(SEARCH(CompConta!$F$30,Tabla11[[#This Row],[Cuenta]],1))</f>
        <v>1</v>
      </c>
      <c r="BF1084" t="b">
        <f>+ISNUMBER(SEARCH('PAGO Compras'!$E$11,Tabla11[[#This Row],[Cuenta]],1))</f>
        <v>1</v>
      </c>
      <c r="BG1084" t="b">
        <f>+ISNUMBER(SEARCH(#REF!,Tabla11[[#This Row],[Cuenta]],1))</f>
        <v>0</v>
      </c>
      <c r="BH1084" t="b">
        <f>+ISNUMBER(SEARCH(#REF!,Tabla11[[#This Row],[Cuenta]],1))</f>
        <v>0</v>
      </c>
      <c r="BI1084" t="b">
        <f>+ISNUMBER(SEARCH(#REF!,Tabla11[[#This Row],[Cuenta]],1))</f>
        <v>0</v>
      </c>
      <c r="BJ1084" t="b">
        <f>+ISNUMBER(SEARCH(#REF!,Tabla11[[#This Row],[Cuenta]],1))</f>
        <v>0</v>
      </c>
      <c r="BS1084" t="str">
        <v>530510 Reajuste monetario-UPAC</v>
      </c>
      <c r="BT1084" t="str">
        <v>530510 Reajuste monetario-UPAC</v>
      </c>
      <c r="BU1084" t="str">
        <v>530510 Reajuste monetario-UPAC</v>
      </c>
      <c r="BV1084" t="str">
        <v>530510 Reajuste monetario-UPAC</v>
      </c>
      <c r="BZ1084" t="str">
        <v>530510 Reajuste monetario-UPAC</v>
      </c>
      <c r="CA1084" t="str">
        <v>530510 Reajuste monetario-UPAC</v>
      </c>
      <c r="CB1084" t="str">
        <v>530510 Reajuste monetario-UPAC</v>
      </c>
      <c r="CC1084" t="str">
        <v>530510 Reajuste monetario-UPAC</v>
      </c>
      <c r="CD1084" t="str">
        <v>530510 Reajuste monetario-UPAC</v>
      </c>
      <c r="CE1084" t="str">
        <v>530510 Reajuste monetario-UPAC</v>
      </c>
      <c r="CS1084" s="141" t="str">
        <v>530510 Reajuste monetario-UPAC</v>
      </c>
      <c r="CT1084" s="141" t="str">
        <v>530510 Reajuste monetario-UPAC</v>
      </c>
      <c r="CU1084" s="141" t="str">
        <v>530510 Reajuste monetario-UPAC</v>
      </c>
      <c r="CV1084" s="141" t="str">
        <v>530510 Reajuste monetario-UPAC</v>
      </c>
      <c r="CW1084" s="141" t="str">
        <v>530510 Reajuste monetario-UPAC</v>
      </c>
      <c r="CX1084" s="141" t="str">
        <v>530510 Reajuste monetario-UPAC</v>
      </c>
      <c r="CY1084" s="141" t="str">
        <v>530510 Reajuste monetario-UPAC</v>
      </c>
      <c r="CZ1084" s="141" t="str">
        <v>530510 Reajuste monetario-UPAC</v>
      </c>
      <c r="DA1084" s="141" t="str">
        <v>530510 Reajuste monetario-UPAC</v>
      </c>
      <c r="DF1084" t="str">
        <v>530510 Reajuste monetario-UPAC</v>
      </c>
      <c r="DG1084" t="str">
        <v>530510 Reajuste monetario-UPAC</v>
      </c>
      <c r="DH1084" t="str">
        <v>530510 Reajuste monetario-UPAC</v>
      </c>
      <c r="DI1084" t="str">
        <v>530510 Reajuste monetario-UPAC</v>
      </c>
      <c r="DJ1084" t="str">
        <v>530510 Reajuste monetario-UPAC</v>
      </c>
      <c r="DK1084" t="str">
        <v>530510 Reajuste monetario-UPAC</v>
      </c>
      <c r="DL1084" t="str">
        <v>530510 Reajuste monetario-UPAC</v>
      </c>
      <c r="DM1084" t="str">
        <v>530510 Reajuste monetario-UPAC</v>
      </c>
      <c r="DN1084" t="str">
        <v>530510 Reajuste monetario-UPAC</v>
      </c>
      <c r="DO1084" t="str">
        <v>530510 Reajuste monetario-UPAC</v>
      </c>
      <c r="DP1084" t="str">
        <v>530510 Reajuste monetario-UPAC</v>
      </c>
    </row>
    <row r="1085" spans="4:120" ht="12.75">
      <c r="D1085" s="7">
        <v>530515</v>
      </c>
      <c r="E1085" s="6" t="s">
        <v>74</v>
      </c>
      <c r="F1085" s="5">
        <v>4</v>
      </c>
      <c r="G1085" s="34" t="s">
        <v>830</v>
      </c>
      <c r="H1085" s="8" t="s">
        <v>32</v>
      </c>
      <c r="I1085" t="b">
        <f>+ISNUMBER(SEARCH('F-COMPRA'!$F$28,Tabla11[[#This Row],[Cuenta]],1))</f>
        <v>1</v>
      </c>
      <c r="J1085" t="b">
        <f>+ISNUMBER(SEARCH('F-COMPRA'!$F$29,Tabla11[[#This Row],[Cuenta]],1))</f>
        <v>1</v>
      </c>
      <c r="K1085" t="b">
        <f>+ISNUMBER(SEARCH('F-COMPRA'!$F$30,Tabla11[[#This Row],[Cuenta]],1))</f>
        <v>1</v>
      </c>
      <c r="L1085" t="b">
        <f>+ISNUMBER(SEARCH('F-COMPRA'!$F$31,Tabla11[[#This Row],[Cuenta]],1))</f>
        <v>1</v>
      </c>
      <c r="M1085" t="b">
        <f>+ISNUMBER(SEARCH('F-COMPRA'!$G$25,Tabla11[[#This Row],[Cuenta]],1))</f>
        <v>0</v>
      </c>
      <c r="N1085" t="b">
        <f>+ISNUMBER(SEARCH(#REF!,Tabla11[[#This Row],[Cuenta]],1))</f>
        <v>0</v>
      </c>
      <c r="O1085" t="b">
        <f>+ISNUMBER(SEARCH(#REF!,Tabla11[[#This Row],[Cuenta]],1))</f>
        <v>0</v>
      </c>
      <c r="P1085" t="b">
        <f>+ISNUMBER(SEARCH('F-COMPRA'!$F$32,Tabla11[[#This Row],[Cuenta]],1))</f>
        <v>1</v>
      </c>
      <c r="Q1085" t="b">
        <f>+ISNUMBER(SEARCH('F-COMPRA'!$F$33,Tabla11[[#This Row],[Cuenta]],1))</f>
        <v>1</v>
      </c>
      <c r="R1085" t="b">
        <f>+ISNUMBER(SEARCH('F-COMPRA'!$F$34,Tabla11[[#This Row],[Cuenta]],1))</f>
        <v>1</v>
      </c>
      <c r="S1085" t="b">
        <f>+ISNUMBER(SEARCH('F-COMPRA'!$F$35,Tabla11[[#This Row],[Cuenta]],1))</f>
        <v>1</v>
      </c>
      <c r="T1085" t="b">
        <f>+ISNUMBER(SEARCH('F-COMPRA'!$F$36,Tabla11[[#This Row],[Cuenta]],1))</f>
        <v>1</v>
      </c>
      <c r="U1085" t="b">
        <f>+ISNUMBER(SEARCH('F-COMPRA'!$F$37,Tabla11[[#This Row],[Cuenta]],1))</f>
        <v>1</v>
      </c>
      <c r="V1085" t="b">
        <f>+ISNUMBER(SEARCH(#REF!,Tabla11[[#This Row],[Cuenta]],1))</f>
        <v>0</v>
      </c>
      <c r="W1085" t="b">
        <f>+ISNUMBER(SEARCH('F-COMPRA'!#REF!,Tabla11[[#This Row],[Cuenta]],1))</f>
        <v>0</v>
      </c>
      <c r="X1085" t="b">
        <f>+ISNUMBER(SEARCH('F-COMPRA'!#REF!,Tabla11[[#This Row],[Cuenta]],1))</f>
        <v>0</v>
      </c>
      <c r="Y1085" t="b">
        <f>+ISNUMBER(SEARCH('F-COMPRA'!#REF!,Tabla11[[#This Row],[Cuenta]],1))</f>
        <v>0</v>
      </c>
      <c r="Z1085" t="b">
        <f>+ISNUMBER(SEARCH('F-COMPRA'!#REF!,Tabla11[[#This Row],[Cuenta]],1))</f>
        <v>0</v>
      </c>
      <c r="AA1085" t="b">
        <f>+ISNUMBER(SEARCH('F-COMPRA'!#REF!,Tabla11[[#This Row],[Cuenta]],1))</f>
        <v>0</v>
      </c>
      <c r="AB1085" t="b">
        <f>+ISNUMBER(SEARCH('F-COMPRA'!#REF!,Tabla11[[#This Row],[Cuenta]],1))</f>
        <v>0</v>
      </c>
      <c r="AC1085" t="b">
        <f>+ISNUMBER(SEARCH('F-COMPRA'!#REF!,Tabla11[[#This Row],[Cuenta]],1))</f>
        <v>0</v>
      </c>
      <c r="AD1085" t="b">
        <f>+ISNUMBER(SEARCH('F-COMPRA'!#REF!,Tabla11[[#This Row],[Cuenta]],1))</f>
        <v>0</v>
      </c>
      <c r="AE1085" t="b">
        <f>+ISNUMBER(SEARCH('F-COMPRA'!#REF!,Tabla11[[#This Row],[Cuenta]],1))</f>
        <v>0</v>
      </c>
      <c r="AF1085" t="b">
        <f>+ISNUMBER(SEARCH('F-VTA'!$G$23,Tabla11[[#This Row],[Cuenta]],1))</f>
        <v>0</v>
      </c>
      <c r="AG1085" t="b">
        <f>+ISNUMBER(SEARCH('F-VTA'!$G$24,Tabla11[[#This Row],[Cuenta]],1))</f>
        <v>0</v>
      </c>
      <c r="AH1085" t="b">
        <f>+ISNUMBER(SEARCH('F-VTA'!$G$25,Tabla11[[#This Row],[Cuenta]],1))</f>
        <v>0</v>
      </c>
      <c r="AI1085" t="b">
        <f>+ISNUMBER(SEARCH('F-VTA'!$F$28,Tabla11[[#This Row],[Cuenta]],1))</f>
        <v>1</v>
      </c>
      <c r="AJ1085" t="b">
        <f>+ISNUMBER(SEARCH('F-VTA'!$F$29,Tabla11[[#This Row],[Cuenta]],1))</f>
        <v>1</v>
      </c>
      <c r="AK1085" t="b">
        <f>+ISNUMBER(SEARCH('F-VTA'!$F$30,Tabla11[[#This Row],[Cuenta]],1))</f>
        <v>1</v>
      </c>
      <c r="AL1085" t="b">
        <f>+ISNUMBER(SEARCH('F-VTA'!$F$31,Tabla11[[#This Row],[Cuenta]],1))</f>
        <v>1</v>
      </c>
      <c r="AM1085" t="b">
        <f>+ISNUMBER(SEARCH('F-VTA'!$F$32,Tabla11[[#This Row],[Cuenta]],1))</f>
        <v>1</v>
      </c>
      <c r="AN1085" t="b">
        <f>+ISNUMBER(SEARCH('F-VTA'!$F$33,Tabla11[[#This Row],[Cuenta]],1))</f>
        <v>1</v>
      </c>
      <c r="AO1085" t="b">
        <f>+ISNUMBER(SEARCH('F-VTA'!$F$34,Tabla11[[#This Row],[Cuenta]],1))</f>
        <v>1</v>
      </c>
      <c r="AP1085" t="b">
        <f>+ISNUMBER(SEARCH('F-VTA'!$F$35,Tabla11[[#This Row],[Cuenta]],1))</f>
        <v>1</v>
      </c>
      <c r="AQ1085" t="b">
        <f>+ISNUMBER(SEARCH('F-VTA'!$F$36,Tabla11[[#This Row],[Cuenta]],1))</f>
        <v>1</v>
      </c>
      <c r="AR1085" t="b">
        <f>+ISNUMBER(SEARCH(#REF!,Tabla11[[#This Row],[Cuenta]],1))</f>
        <v>0</v>
      </c>
      <c r="AS1085" t="b">
        <f>+ISNUMBER(SEARCH(#REF!,Tabla11[[#This Row],[Cuenta]],1))</f>
        <v>0</v>
      </c>
      <c r="AT1085" t="b">
        <f>+ISNUMBER(SEARCH(#REF!,Tabla11[[#This Row],[Cuenta]],1))</f>
        <v>0</v>
      </c>
      <c r="AU1085" t="b">
        <f>+ISNUMBER(SEARCH('Conc. Ban.1'!$I$9,Tabla11[[#This Row],[Cuenta]],1))</f>
        <v>0</v>
      </c>
      <c r="AV1085" t="b">
        <f>+ISNUMBER(SEARCH(CompConta!$F$21,Tabla11[[#This Row],[Cuenta]],1))</f>
        <v>1</v>
      </c>
      <c r="AW1085" t="b">
        <f>+ISNUMBER(SEARCH(CompConta!$F$22,Tabla11[[#This Row],[Cuenta]],1))</f>
        <v>1</v>
      </c>
      <c r="AX1085" t="b">
        <f>+ISNUMBER(SEARCH(CompConta!$F$23,Tabla11[[#This Row],[Cuenta]],1))</f>
        <v>1</v>
      </c>
      <c r="AY1085" t="b">
        <f>+ISNUMBER(SEARCH(CompConta!$F$24,Tabla11[[#This Row],[Cuenta]],1))</f>
        <v>1</v>
      </c>
      <c r="AZ1085" t="b">
        <f>+ISNUMBER(SEARCH(CompConta!$F$25,Tabla11[[#This Row],[Cuenta]],1))</f>
        <v>1</v>
      </c>
      <c r="BA1085" t="b">
        <f>+ISNUMBER(SEARCH(CompConta!$F$26,Tabla11[[#This Row],[Cuenta]],1))</f>
        <v>1</v>
      </c>
      <c r="BB1085" t="b">
        <f>+ISNUMBER(SEARCH(CompConta!$F$27,Tabla11[[#This Row],[Cuenta]],1))</f>
        <v>1</v>
      </c>
      <c r="BC1085" t="b">
        <f>+ISNUMBER(SEARCH(CompConta!$F$28,Tabla11[[#This Row],[Cuenta]],1))</f>
        <v>1</v>
      </c>
      <c r="BD1085" t="b">
        <f>+ISNUMBER(SEARCH(CompConta!$F$29,Tabla11[[#This Row],[Cuenta]],1))</f>
        <v>1</v>
      </c>
      <c r="BE1085" t="b">
        <f>+ISNUMBER(SEARCH(CompConta!$F$30,Tabla11[[#This Row],[Cuenta]],1))</f>
        <v>1</v>
      </c>
      <c r="BF1085" t="b">
        <f>+ISNUMBER(SEARCH('PAGO Compras'!$E$11,Tabla11[[#This Row],[Cuenta]],1))</f>
        <v>1</v>
      </c>
      <c r="BG1085" t="b">
        <f>+ISNUMBER(SEARCH(#REF!,Tabla11[[#This Row],[Cuenta]],1))</f>
        <v>0</v>
      </c>
      <c r="BH1085" t="b">
        <f>+ISNUMBER(SEARCH(#REF!,Tabla11[[#This Row],[Cuenta]],1))</f>
        <v>0</v>
      </c>
      <c r="BI1085" t="b">
        <f>+ISNUMBER(SEARCH(#REF!,Tabla11[[#This Row],[Cuenta]],1))</f>
        <v>0</v>
      </c>
      <c r="BJ1085" t="b">
        <f>+ISNUMBER(SEARCH(#REF!,Tabla11[[#This Row],[Cuenta]],1))</f>
        <v>0</v>
      </c>
      <c r="BS1085" t="str">
        <v>530515 Comisiones</v>
      </c>
      <c r="BT1085" t="str">
        <v>530515 Comisiones</v>
      </c>
      <c r="BU1085" t="str">
        <v>530515 Comisiones</v>
      </c>
      <c r="BV1085" t="str">
        <v>530515 Comisiones</v>
      </c>
      <c r="BZ1085" t="str">
        <v>530515 Comisiones</v>
      </c>
      <c r="CA1085" t="str">
        <v>530515 Comisiones</v>
      </c>
      <c r="CB1085" t="str">
        <v>530515 Comisiones</v>
      </c>
      <c r="CC1085" t="str">
        <v>530515 Comisiones</v>
      </c>
      <c r="CD1085" t="str">
        <v>530515 Comisiones</v>
      </c>
      <c r="CE1085" t="str">
        <v>530515 Comisiones</v>
      </c>
      <c r="CS1085" s="141" t="str">
        <v>530515 Comisiones</v>
      </c>
      <c r="CT1085" s="141" t="str">
        <v>530515 Comisiones</v>
      </c>
      <c r="CU1085" s="141" t="str">
        <v>530515 Comisiones</v>
      </c>
      <c r="CV1085" s="141" t="str">
        <v>530515 Comisiones</v>
      </c>
      <c r="CW1085" s="141" t="str">
        <v>530515 Comisiones</v>
      </c>
      <c r="CX1085" s="141" t="str">
        <v>530515 Comisiones</v>
      </c>
      <c r="CY1085" s="141" t="str">
        <v>530515 Comisiones</v>
      </c>
      <c r="CZ1085" s="141" t="str">
        <v>530515 Comisiones</v>
      </c>
      <c r="DA1085" s="141" t="str">
        <v>530515 Comisiones</v>
      </c>
      <c r="DF1085" t="str">
        <v>530515 Comisiones</v>
      </c>
      <c r="DG1085" t="str">
        <v>530515 Comisiones</v>
      </c>
      <c r="DH1085" t="str">
        <v>530515 Comisiones</v>
      </c>
      <c r="DI1085" t="str">
        <v>530515 Comisiones</v>
      </c>
      <c r="DJ1085" t="str">
        <v>530515 Comisiones</v>
      </c>
      <c r="DK1085" t="str">
        <v>530515 Comisiones</v>
      </c>
      <c r="DL1085" t="str">
        <v>530515 Comisiones</v>
      </c>
      <c r="DM1085" t="str">
        <v>530515 Comisiones</v>
      </c>
      <c r="DN1085" t="str">
        <v>530515 Comisiones</v>
      </c>
      <c r="DO1085" t="str">
        <v>530515 Comisiones</v>
      </c>
      <c r="DP1085" t="str">
        <v>530515 Comisiones</v>
      </c>
    </row>
    <row r="1086" spans="4:120" ht="12.75">
      <c r="D1086" s="7">
        <v>530520</v>
      </c>
      <c r="E1086" s="6" t="s">
        <v>73</v>
      </c>
      <c r="F1086" s="5">
        <v>4</v>
      </c>
      <c r="G1086" s="34" t="s">
        <v>830</v>
      </c>
      <c r="H1086" s="8" t="s">
        <v>32</v>
      </c>
      <c r="I1086" t="b">
        <f>+ISNUMBER(SEARCH('F-COMPRA'!$F$28,Tabla11[[#This Row],[Cuenta]],1))</f>
        <v>1</v>
      </c>
      <c r="J1086" t="b">
        <f>+ISNUMBER(SEARCH('F-COMPRA'!$F$29,Tabla11[[#This Row],[Cuenta]],1))</f>
        <v>1</v>
      </c>
      <c r="K1086" t="b">
        <f>+ISNUMBER(SEARCH('F-COMPRA'!$F$30,Tabla11[[#This Row],[Cuenta]],1))</f>
        <v>1</v>
      </c>
      <c r="L1086" t="b">
        <f>+ISNUMBER(SEARCH('F-COMPRA'!$F$31,Tabla11[[#This Row],[Cuenta]],1))</f>
        <v>1</v>
      </c>
      <c r="M1086" t="b">
        <f>+ISNUMBER(SEARCH('F-COMPRA'!$G$25,Tabla11[[#This Row],[Cuenta]],1))</f>
        <v>0</v>
      </c>
      <c r="N1086" t="b">
        <f>+ISNUMBER(SEARCH(#REF!,Tabla11[[#This Row],[Cuenta]],1))</f>
        <v>0</v>
      </c>
      <c r="O1086" t="b">
        <f>+ISNUMBER(SEARCH(#REF!,Tabla11[[#This Row],[Cuenta]],1))</f>
        <v>0</v>
      </c>
      <c r="P1086" t="b">
        <f>+ISNUMBER(SEARCH('F-COMPRA'!$F$32,Tabla11[[#This Row],[Cuenta]],1))</f>
        <v>1</v>
      </c>
      <c r="Q1086" t="b">
        <f>+ISNUMBER(SEARCH('F-COMPRA'!$F$33,Tabla11[[#This Row],[Cuenta]],1))</f>
        <v>1</v>
      </c>
      <c r="R1086" t="b">
        <f>+ISNUMBER(SEARCH('F-COMPRA'!$F$34,Tabla11[[#This Row],[Cuenta]],1))</f>
        <v>1</v>
      </c>
      <c r="S1086" t="b">
        <f>+ISNUMBER(SEARCH('F-COMPRA'!$F$35,Tabla11[[#This Row],[Cuenta]],1))</f>
        <v>1</v>
      </c>
      <c r="T1086" t="b">
        <f>+ISNUMBER(SEARCH('F-COMPRA'!$F$36,Tabla11[[#This Row],[Cuenta]],1))</f>
        <v>1</v>
      </c>
      <c r="U1086" t="b">
        <f>+ISNUMBER(SEARCH('F-COMPRA'!$F$37,Tabla11[[#This Row],[Cuenta]],1))</f>
        <v>1</v>
      </c>
      <c r="V1086" t="b">
        <f>+ISNUMBER(SEARCH(#REF!,Tabla11[[#This Row],[Cuenta]],1))</f>
        <v>0</v>
      </c>
      <c r="W1086" t="b">
        <f>+ISNUMBER(SEARCH('F-COMPRA'!#REF!,Tabla11[[#This Row],[Cuenta]],1))</f>
        <v>0</v>
      </c>
      <c r="X1086" t="b">
        <f>+ISNUMBER(SEARCH('F-COMPRA'!#REF!,Tabla11[[#This Row],[Cuenta]],1))</f>
        <v>0</v>
      </c>
      <c r="Y1086" t="b">
        <f>+ISNUMBER(SEARCH('F-COMPRA'!#REF!,Tabla11[[#This Row],[Cuenta]],1))</f>
        <v>0</v>
      </c>
      <c r="Z1086" t="b">
        <f>+ISNUMBER(SEARCH('F-COMPRA'!#REF!,Tabla11[[#This Row],[Cuenta]],1))</f>
        <v>0</v>
      </c>
      <c r="AA1086" t="b">
        <f>+ISNUMBER(SEARCH('F-COMPRA'!#REF!,Tabla11[[#This Row],[Cuenta]],1))</f>
        <v>0</v>
      </c>
      <c r="AB1086" t="b">
        <f>+ISNUMBER(SEARCH('F-COMPRA'!#REF!,Tabla11[[#This Row],[Cuenta]],1))</f>
        <v>0</v>
      </c>
      <c r="AC1086" t="b">
        <f>+ISNUMBER(SEARCH('F-COMPRA'!#REF!,Tabla11[[#This Row],[Cuenta]],1))</f>
        <v>0</v>
      </c>
      <c r="AD1086" t="b">
        <f>+ISNUMBER(SEARCH('F-COMPRA'!#REF!,Tabla11[[#This Row],[Cuenta]],1))</f>
        <v>0</v>
      </c>
      <c r="AE1086" t="b">
        <f>+ISNUMBER(SEARCH('F-COMPRA'!#REF!,Tabla11[[#This Row],[Cuenta]],1))</f>
        <v>0</v>
      </c>
      <c r="AF1086" t="b">
        <f>+ISNUMBER(SEARCH('F-VTA'!$G$23,Tabla11[[#This Row],[Cuenta]],1))</f>
        <v>0</v>
      </c>
      <c r="AG1086" t="b">
        <f>+ISNUMBER(SEARCH('F-VTA'!$G$24,Tabla11[[#This Row],[Cuenta]],1))</f>
        <v>0</v>
      </c>
      <c r="AH1086" t="b">
        <f>+ISNUMBER(SEARCH('F-VTA'!$G$25,Tabla11[[#This Row],[Cuenta]],1))</f>
        <v>0</v>
      </c>
      <c r="AI1086" t="b">
        <f>+ISNUMBER(SEARCH('F-VTA'!$F$28,Tabla11[[#This Row],[Cuenta]],1))</f>
        <v>1</v>
      </c>
      <c r="AJ1086" t="b">
        <f>+ISNUMBER(SEARCH('F-VTA'!$F$29,Tabla11[[#This Row],[Cuenta]],1))</f>
        <v>1</v>
      </c>
      <c r="AK1086" t="b">
        <f>+ISNUMBER(SEARCH('F-VTA'!$F$30,Tabla11[[#This Row],[Cuenta]],1))</f>
        <v>1</v>
      </c>
      <c r="AL1086" t="b">
        <f>+ISNUMBER(SEARCH('F-VTA'!$F$31,Tabla11[[#This Row],[Cuenta]],1))</f>
        <v>1</v>
      </c>
      <c r="AM1086" t="b">
        <f>+ISNUMBER(SEARCH('F-VTA'!$F$32,Tabla11[[#This Row],[Cuenta]],1))</f>
        <v>1</v>
      </c>
      <c r="AN1086" t="b">
        <f>+ISNUMBER(SEARCH('F-VTA'!$F$33,Tabla11[[#This Row],[Cuenta]],1))</f>
        <v>1</v>
      </c>
      <c r="AO1086" t="b">
        <f>+ISNUMBER(SEARCH('F-VTA'!$F$34,Tabla11[[#This Row],[Cuenta]],1))</f>
        <v>1</v>
      </c>
      <c r="AP1086" t="b">
        <f>+ISNUMBER(SEARCH('F-VTA'!$F$35,Tabla11[[#This Row],[Cuenta]],1))</f>
        <v>1</v>
      </c>
      <c r="AQ1086" t="b">
        <f>+ISNUMBER(SEARCH('F-VTA'!$F$36,Tabla11[[#This Row],[Cuenta]],1))</f>
        <v>1</v>
      </c>
      <c r="AR1086" t="b">
        <f>+ISNUMBER(SEARCH(#REF!,Tabla11[[#This Row],[Cuenta]],1))</f>
        <v>0</v>
      </c>
      <c r="AS1086" t="b">
        <f>+ISNUMBER(SEARCH(#REF!,Tabla11[[#This Row],[Cuenta]],1))</f>
        <v>0</v>
      </c>
      <c r="AT1086" t="b">
        <f>+ISNUMBER(SEARCH(#REF!,Tabla11[[#This Row],[Cuenta]],1))</f>
        <v>0</v>
      </c>
      <c r="AU1086" t="b">
        <f>+ISNUMBER(SEARCH('Conc. Ban.1'!$I$9,Tabla11[[#This Row],[Cuenta]],1))</f>
        <v>0</v>
      </c>
      <c r="AV1086" t="b">
        <f>+ISNUMBER(SEARCH(CompConta!$F$21,Tabla11[[#This Row],[Cuenta]],1))</f>
        <v>1</v>
      </c>
      <c r="AW1086" t="b">
        <f>+ISNUMBER(SEARCH(CompConta!$F$22,Tabla11[[#This Row],[Cuenta]],1))</f>
        <v>1</v>
      </c>
      <c r="AX1086" t="b">
        <f>+ISNUMBER(SEARCH(CompConta!$F$23,Tabla11[[#This Row],[Cuenta]],1))</f>
        <v>1</v>
      </c>
      <c r="AY1086" t="b">
        <f>+ISNUMBER(SEARCH(CompConta!$F$24,Tabla11[[#This Row],[Cuenta]],1))</f>
        <v>1</v>
      </c>
      <c r="AZ1086" t="b">
        <f>+ISNUMBER(SEARCH(CompConta!$F$25,Tabla11[[#This Row],[Cuenta]],1))</f>
        <v>1</v>
      </c>
      <c r="BA1086" t="b">
        <f>+ISNUMBER(SEARCH(CompConta!$F$26,Tabla11[[#This Row],[Cuenta]],1))</f>
        <v>1</v>
      </c>
      <c r="BB1086" t="b">
        <f>+ISNUMBER(SEARCH(CompConta!$F$27,Tabla11[[#This Row],[Cuenta]],1))</f>
        <v>1</v>
      </c>
      <c r="BC1086" t="b">
        <f>+ISNUMBER(SEARCH(CompConta!$F$28,Tabla11[[#This Row],[Cuenta]],1))</f>
        <v>1</v>
      </c>
      <c r="BD1086" t="b">
        <f>+ISNUMBER(SEARCH(CompConta!$F$29,Tabla11[[#This Row],[Cuenta]],1))</f>
        <v>1</v>
      </c>
      <c r="BE1086" t="b">
        <f>+ISNUMBER(SEARCH(CompConta!$F$30,Tabla11[[#This Row],[Cuenta]],1))</f>
        <v>1</v>
      </c>
      <c r="BF1086" t="b">
        <f>+ISNUMBER(SEARCH('PAGO Compras'!$E$11,Tabla11[[#This Row],[Cuenta]],1))</f>
        <v>1</v>
      </c>
      <c r="BG1086" t="b">
        <f>+ISNUMBER(SEARCH(#REF!,Tabla11[[#This Row],[Cuenta]],1))</f>
        <v>0</v>
      </c>
      <c r="BH1086" t="b">
        <f>+ISNUMBER(SEARCH(#REF!,Tabla11[[#This Row],[Cuenta]],1))</f>
        <v>0</v>
      </c>
      <c r="BI1086" t="b">
        <f>+ISNUMBER(SEARCH(#REF!,Tabla11[[#This Row],[Cuenta]],1))</f>
        <v>0</v>
      </c>
      <c r="BJ1086" t="b">
        <f>+ISNUMBER(SEARCH(#REF!,Tabla11[[#This Row],[Cuenta]],1))</f>
        <v>0</v>
      </c>
      <c r="BS1086" t="str">
        <v>530520 Intereses</v>
      </c>
      <c r="BT1086" t="str">
        <v>530520 Intereses</v>
      </c>
      <c r="BU1086" t="str">
        <v>530520 Intereses</v>
      </c>
      <c r="BV1086" t="str">
        <v>530520 Intereses</v>
      </c>
      <c r="BZ1086" t="str">
        <v>530520 Intereses</v>
      </c>
      <c r="CA1086" t="str">
        <v>530520 Intereses</v>
      </c>
      <c r="CB1086" t="str">
        <v>530520 Intereses</v>
      </c>
      <c r="CC1086" t="str">
        <v>530520 Intereses</v>
      </c>
      <c r="CD1086" t="str">
        <v>530520 Intereses</v>
      </c>
      <c r="CE1086" t="str">
        <v>530520 Intereses</v>
      </c>
      <c r="CS1086" s="141" t="str">
        <v>530520 Intereses</v>
      </c>
      <c r="CT1086" s="141" t="str">
        <v>530520 Intereses</v>
      </c>
      <c r="CU1086" s="141" t="str">
        <v>530520 Intereses</v>
      </c>
      <c r="CV1086" s="141" t="str">
        <v>530520 Intereses</v>
      </c>
      <c r="CW1086" s="141" t="str">
        <v>530520 Intereses</v>
      </c>
      <c r="CX1086" s="141" t="str">
        <v>530520 Intereses</v>
      </c>
      <c r="CY1086" s="141" t="str">
        <v>530520 Intereses</v>
      </c>
      <c r="CZ1086" s="141" t="str">
        <v>530520 Intereses</v>
      </c>
      <c r="DA1086" s="141" t="str">
        <v>530520 Intereses</v>
      </c>
      <c r="DF1086" t="str">
        <v>530520 Intereses</v>
      </c>
      <c r="DG1086" t="str">
        <v>530520 Intereses</v>
      </c>
      <c r="DH1086" t="str">
        <v>530520 Intereses</v>
      </c>
      <c r="DI1086" t="str">
        <v>530520 Intereses</v>
      </c>
      <c r="DJ1086" t="str">
        <v>530520 Intereses</v>
      </c>
      <c r="DK1086" t="str">
        <v>530520 Intereses</v>
      </c>
      <c r="DL1086" t="str">
        <v>530520 Intereses</v>
      </c>
      <c r="DM1086" t="str">
        <v>530520 Intereses</v>
      </c>
      <c r="DN1086" t="str">
        <v>530520 Intereses</v>
      </c>
      <c r="DO1086" t="str">
        <v>530520 Intereses</v>
      </c>
      <c r="DP1086" t="str">
        <v>530520 Intereses</v>
      </c>
    </row>
    <row r="1087" spans="4:120" ht="12.75">
      <c r="D1087" s="7">
        <v>530525</v>
      </c>
      <c r="E1087" s="6" t="s">
        <v>514</v>
      </c>
      <c r="F1087" s="5">
        <v>4</v>
      </c>
      <c r="G1087" s="34" t="s">
        <v>830</v>
      </c>
      <c r="H1087" s="8" t="s">
        <v>32</v>
      </c>
      <c r="I1087" t="b">
        <f>+ISNUMBER(SEARCH('F-COMPRA'!$F$28,Tabla11[[#This Row],[Cuenta]],1))</f>
        <v>1</v>
      </c>
      <c r="J1087" t="b">
        <f>+ISNUMBER(SEARCH('F-COMPRA'!$F$29,Tabla11[[#This Row],[Cuenta]],1))</f>
        <v>1</v>
      </c>
      <c r="K1087" t="b">
        <f>+ISNUMBER(SEARCH('F-COMPRA'!$F$30,Tabla11[[#This Row],[Cuenta]],1))</f>
        <v>1</v>
      </c>
      <c r="L1087" t="b">
        <f>+ISNUMBER(SEARCH('F-COMPRA'!$F$31,Tabla11[[#This Row],[Cuenta]],1))</f>
        <v>1</v>
      </c>
      <c r="M1087" t="b">
        <f>+ISNUMBER(SEARCH('F-COMPRA'!$G$25,Tabla11[[#This Row],[Cuenta]],1))</f>
        <v>0</v>
      </c>
      <c r="N1087" t="b">
        <f>+ISNUMBER(SEARCH(#REF!,Tabla11[[#This Row],[Cuenta]],1))</f>
        <v>0</v>
      </c>
      <c r="O1087" t="b">
        <f>+ISNUMBER(SEARCH(#REF!,Tabla11[[#This Row],[Cuenta]],1))</f>
        <v>0</v>
      </c>
      <c r="P1087" t="b">
        <f>+ISNUMBER(SEARCH('F-COMPRA'!$F$32,Tabla11[[#This Row],[Cuenta]],1))</f>
        <v>1</v>
      </c>
      <c r="Q1087" t="b">
        <f>+ISNUMBER(SEARCH('F-COMPRA'!$F$33,Tabla11[[#This Row],[Cuenta]],1))</f>
        <v>1</v>
      </c>
      <c r="R1087" t="b">
        <f>+ISNUMBER(SEARCH('F-COMPRA'!$F$34,Tabla11[[#This Row],[Cuenta]],1))</f>
        <v>1</v>
      </c>
      <c r="S1087" t="b">
        <f>+ISNUMBER(SEARCH('F-COMPRA'!$F$35,Tabla11[[#This Row],[Cuenta]],1))</f>
        <v>1</v>
      </c>
      <c r="T1087" t="b">
        <f>+ISNUMBER(SEARCH('F-COMPRA'!$F$36,Tabla11[[#This Row],[Cuenta]],1))</f>
        <v>1</v>
      </c>
      <c r="U1087" t="b">
        <f>+ISNUMBER(SEARCH('F-COMPRA'!$F$37,Tabla11[[#This Row],[Cuenta]],1))</f>
        <v>1</v>
      </c>
      <c r="V1087" t="b">
        <f>+ISNUMBER(SEARCH(#REF!,Tabla11[[#This Row],[Cuenta]],1))</f>
        <v>0</v>
      </c>
      <c r="W1087" t="b">
        <f>+ISNUMBER(SEARCH('F-COMPRA'!#REF!,Tabla11[[#This Row],[Cuenta]],1))</f>
        <v>0</v>
      </c>
      <c r="X1087" t="b">
        <f>+ISNUMBER(SEARCH('F-COMPRA'!#REF!,Tabla11[[#This Row],[Cuenta]],1))</f>
        <v>0</v>
      </c>
      <c r="Y1087" t="b">
        <f>+ISNUMBER(SEARCH('F-COMPRA'!#REF!,Tabla11[[#This Row],[Cuenta]],1))</f>
        <v>0</v>
      </c>
      <c r="Z1087" t="b">
        <f>+ISNUMBER(SEARCH('F-COMPRA'!#REF!,Tabla11[[#This Row],[Cuenta]],1))</f>
        <v>0</v>
      </c>
      <c r="AA1087" t="b">
        <f>+ISNUMBER(SEARCH('F-COMPRA'!#REF!,Tabla11[[#This Row],[Cuenta]],1))</f>
        <v>0</v>
      </c>
      <c r="AB1087" t="b">
        <f>+ISNUMBER(SEARCH('F-COMPRA'!#REF!,Tabla11[[#This Row],[Cuenta]],1))</f>
        <v>0</v>
      </c>
      <c r="AC1087" t="b">
        <f>+ISNUMBER(SEARCH('F-COMPRA'!#REF!,Tabla11[[#This Row],[Cuenta]],1))</f>
        <v>0</v>
      </c>
      <c r="AD1087" t="b">
        <f>+ISNUMBER(SEARCH('F-COMPRA'!#REF!,Tabla11[[#This Row],[Cuenta]],1))</f>
        <v>0</v>
      </c>
      <c r="AE1087" t="b">
        <f>+ISNUMBER(SEARCH('F-COMPRA'!#REF!,Tabla11[[#This Row],[Cuenta]],1))</f>
        <v>0</v>
      </c>
      <c r="AF1087" t="b">
        <f>+ISNUMBER(SEARCH('F-VTA'!$G$23,Tabla11[[#This Row],[Cuenta]],1))</f>
        <v>0</v>
      </c>
      <c r="AG1087" t="b">
        <f>+ISNUMBER(SEARCH('F-VTA'!$G$24,Tabla11[[#This Row],[Cuenta]],1))</f>
        <v>0</v>
      </c>
      <c r="AH1087" t="b">
        <f>+ISNUMBER(SEARCH('F-VTA'!$G$25,Tabla11[[#This Row],[Cuenta]],1))</f>
        <v>0</v>
      </c>
      <c r="AI1087" t="b">
        <f>+ISNUMBER(SEARCH('F-VTA'!$F$28,Tabla11[[#This Row],[Cuenta]],1))</f>
        <v>1</v>
      </c>
      <c r="AJ1087" t="b">
        <f>+ISNUMBER(SEARCH('F-VTA'!$F$29,Tabla11[[#This Row],[Cuenta]],1))</f>
        <v>1</v>
      </c>
      <c r="AK1087" t="b">
        <f>+ISNUMBER(SEARCH('F-VTA'!$F$30,Tabla11[[#This Row],[Cuenta]],1))</f>
        <v>1</v>
      </c>
      <c r="AL1087" t="b">
        <f>+ISNUMBER(SEARCH('F-VTA'!$F$31,Tabla11[[#This Row],[Cuenta]],1))</f>
        <v>1</v>
      </c>
      <c r="AM1087" t="b">
        <f>+ISNUMBER(SEARCH('F-VTA'!$F$32,Tabla11[[#This Row],[Cuenta]],1))</f>
        <v>1</v>
      </c>
      <c r="AN1087" t="b">
        <f>+ISNUMBER(SEARCH('F-VTA'!$F$33,Tabla11[[#This Row],[Cuenta]],1))</f>
        <v>1</v>
      </c>
      <c r="AO1087" t="b">
        <f>+ISNUMBER(SEARCH('F-VTA'!$F$34,Tabla11[[#This Row],[Cuenta]],1))</f>
        <v>1</v>
      </c>
      <c r="AP1087" t="b">
        <f>+ISNUMBER(SEARCH('F-VTA'!$F$35,Tabla11[[#This Row],[Cuenta]],1))</f>
        <v>1</v>
      </c>
      <c r="AQ1087" t="b">
        <f>+ISNUMBER(SEARCH('F-VTA'!$F$36,Tabla11[[#This Row],[Cuenta]],1))</f>
        <v>1</v>
      </c>
      <c r="AR1087" t="b">
        <f>+ISNUMBER(SEARCH(#REF!,Tabla11[[#This Row],[Cuenta]],1))</f>
        <v>0</v>
      </c>
      <c r="AS1087" t="b">
        <f>+ISNUMBER(SEARCH(#REF!,Tabla11[[#This Row],[Cuenta]],1))</f>
        <v>0</v>
      </c>
      <c r="AT1087" t="b">
        <f>+ISNUMBER(SEARCH(#REF!,Tabla11[[#This Row],[Cuenta]],1))</f>
        <v>0</v>
      </c>
      <c r="AU1087" t="b">
        <f>+ISNUMBER(SEARCH('Conc. Ban.1'!$I$9,Tabla11[[#This Row],[Cuenta]],1))</f>
        <v>0</v>
      </c>
      <c r="AV1087" t="b">
        <f>+ISNUMBER(SEARCH(CompConta!$F$21,Tabla11[[#This Row],[Cuenta]],1))</f>
        <v>1</v>
      </c>
      <c r="AW1087" t="b">
        <f>+ISNUMBER(SEARCH(CompConta!$F$22,Tabla11[[#This Row],[Cuenta]],1))</f>
        <v>1</v>
      </c>
      <c r="AX1087" t="b">
        <f>+ISNUMBER(SEARCH(CompConta!$F$23,Tabla11[[#This Row],[Cuenta]],1))</f>
        <v>1</v>
      </c>
      <c r="AY1087" t="b">
        <f>+ISNUMBER(SEARCH(CompConta!$F$24,Tabla11[[#This Row],[Cuenta]],1))</f>
        <v>1</v>
      </c>
      <c r="AZ1087" t="b">
        <f>+ISNUMBER(SEARCH(CompConta!$F$25,Tabla11[[#This Row],[Cuenta]],1))</f>
        <v>1</v>
      </c>
      <c r="BA1087" t="b">
        <f>+ISNUMBER(SEARCH(CompConta!$F$26,Tabla11[[#This Row],[Cuenta]],1))</f>
        <v>1</v>
      </c>
      <c r="BB1087" t="b">
        <f>+ISNUMBER(SEARCH(CompConta!$F$27,Tabla11[[#This Row],[Cuenta]],1))</f>
        <v>1</v>
      </c>
      <c r="BC1087" t="b">
        <f>+ISNUMBER(SEARCH(CompConta!$F$28,Tabla11[[#This Row],[Cuenta]],1))</f>
        <v>1</v>
      </c>
      <c r="BD1087" t="b">
        <f>+ISNUMBER(SEARCH(CompConta!$F$29,Tabla11[[#This Row],[Cuenta]],1))</f>
        <v>1</v>
      </c>
      <c r="BE1087" t="b">
        <f>+ISNUMBER(SEARCH(CompConta!$F$30,Tabla11[[#This Row],[Cuenta]],1))</f>
        <v>1</v>
      </c>
      <c r="BF1087" t="b">
        <f>+ISNUMBER(SEARCH('PAGO Compras'!$E$11,Tabla11[[#This Row],[Cuenta]],1))</f>
        <v>1</v>
      </c>
      <c r="BG1087" t="b">
        <f>+ISNUMBER(SEARCH(#REF!,Tabla11[[#This Row],[Cuenta]],1))</f>
        <v>0</v>
      </c>
      <c r="BH1087" t="b">
        <f>+ISNUMBER(SEARCH(#REF!,Tabla11[[#This Row],[Cuenta]],1))</f>
        <v>0</v>
      </c>
      <c r="BI1087" t="b">
        <f>+ISNUMBER(SEARCH(#REF!,Tabla11[[#This Row],[Cuenta]],1))</f>
        <v>0</v>
      </c>
      <c r="BJ1087" t="b">
        <f>+ISNUMBER(SEARCH(#REF!,Tabla11[[#This Row],[Cuenta]],1))</f>
        <v>0</v>
      </c>
      <c r="BS1087" t="str">
        <v>530525 Diferencia en cambio</v>
      </c>
      <c r="BT1087" t="str">
        <v>530525 Diferencia en cambio</v>
      </c>
      <c r="BU1087" t="str">
        <v>530525 Diferencia en cambio</v>
      </c>
      <c r="BV1087" t="str">
        <v>530525 Diferencia en cambio</v>
      </c>
      <c r="BZ1087" t="str">
        <v>530525 Diferencia en cambio</v>
      </c>
      <c r="CA1087" t="str">
        <v>530525 Diferencia en cambio</v>
      </c>
      <c r="CB1087" t="str">
        <v>530525 Diferencia en cambio</v>
      </c>
      <c r="CC1087" t="str">
        <v>530525 Diferencia en cambio</v>
      </c>
      <c r="CD1087" t="str">
        <v>530525 Diferencia en cambio</v>
      </c>
      <c r="CE1087" t="str">
        <v>530525 Diferencia en cambio</v>
      </c>
      <c r="CS1087" s="141" t="str">
        <v>530525 Diferencia en cambio</v>
      </c>
      <c r="CT1087" s="141" t="str">
        <v>530525 Diferencia en cambio</v>
      </c>
      <c r="CU1087" s="141" t="str">
        <v>530525 Diferencia en cambio</v>
      </c>
      <c r="CV1087" s="141" t="str">
        <v>530525 Diferencia en cambio</v>
      </c>
      <c r="CW1087" s="141" t="str">
        <v>530525 Diferencia en cambio</v>
      </c>
      <c r="CX1087" s="141" t="str">
        <v>530525 Diferencia en cambio</v>
      </c>
      <c r="CY1087" s="141" t="str">
        <v>530525 Diferencia en cambio</v>
      </c>
      <c r="CZ1087" s="141" t="str">
        <v>530525 Diferencia en cambio</v>
      </c>
      <c r="DA1087" s="141" t="str">
        <v>530525 Diferencia en cambio</v>
      </c>
      <c r="DF1087" t="str">
        <v>530525 Diferencia en cambio</v>
      </c>
      <c r="DG1087" t="str">
        <v>530525 Diferencia en cambio</v>
      </c>
      <c r="DH1087" t="str">
        <v>530525 Diferencia en cambio</v>
      </c>
      <c r="DI1087" t="str">
        <v>530525 Diferencia en cambio</v>
      </c>
      <c r="DJ1087" t="str">
        <v>530525 Diferencia en cambio</v>
      </c>
      <c r="DK1087" t="str">
        <v>530525 Diferencia en cambio</v>
      </c>
      <c r="DL1087" t="str">
        <v>530525 Diferencia en cambio</v>
      </c>
      <c r="DM1087" t="str">
        <v>530525 Diferencia en cambio</v>
      </c>
      <c r="DN1087" t="str">
        <v>530525 Diferencia en cambio</v>
      </c>
      <c r="DO1087" t="str">
        <v>530525 Diferencia en cambio</v>
      </c>
      <c r="DP1087" t="str">
        <v>530525 Diferencia en cambio</v>
      </c>
    </row>
    <row r="1088" spans="4:120" ht="12.75">
      <c r="D1088" s="7">
        <v>530530</v>
      </c>
      <c r="E1088" s="6" t="s">
        <v>632</v>
      </c>
      <c r="F1088" s="5">
        <v>4</v>
      </c>
      <c r="G1088" s="34" t="s">
        <v>830</v>
      </c>
      <c r="H1088" s="8" t="s">
        <v>32</v>
      </c>
      <c r="I1088" t="b">
        <f>+ISNUMBER(SEARCH('F-COMPRA'!$F$28,Tabla11[[#This Row],[Cuenta]],1))</f>
        <v>1</v>
      </c>
      <c r="J1088" t="b">
        <f>+ISNUMBER(SEARCH('F-COMPRA'!$F$29,Tabla11[[#This Row],[Cuenta]],1))</f>
        <v>1</v>
      </c>
      <c r="K1088" t="b">
        <f>+ISNUMBER(SEARCH('F-COMPRA'!$F$30,Tabla11[[#This Row],[Cuenta]],1))</f>
        <v>1</v>
      </c>
      <c r="L1088" t="b">
        <f>+ISNUMBER(SEARCH('F-COMPRA'!$F$31,Tabla11[[#This Row],[Cuenta]],1))</f>
        <v>1</v>
      </c>
      <c r="M1088" t="b">
        <f>+ISNUMBER(SEARCH('F-COMPRA'!$G$25,Tabla11[[#This Row],[Cuenta]],1))</f>
        <v>0</v>
      </c>
      <c r="N1088" t="b">
        <f>+ISNUMBER(SEARCH(#REF!,Tabla11[[#This Row],[Cuenta]],1))</f>
        <v>0</v>
      </c>
      <c r="O1088" t="b">
        <f>+ISNUMBER(SEARCH(#REF!,Tabla11[[#This Row],[Cuenta]],1))</f>
        <v>0</v>
      </c>
      <c r="P1088" t="b">
        <f>+ISNUMBER(SEARCH('F-COMPRA'!$F$32,Tabla11[[#This Row],[Cuenta]],1))</f>
        <v>1</v>
      </c>
      <c r="Q1088" t="b">
        <f>+ISNUMBER(SEARCH('F-COMPRA'!$F$33,Tabla11[[#This Row],[Cuenta]],1))</f>
        <v>1</v>
      </c>
      <c r="R1088" t="b">
        <f>+ISNUMBER(SEARCH('F-COMPRA'!$F$34,Tabla11[[#This Row],[Cuenta]],1))</f>
        <v>1</v>
      </c>
      <c r="S1088" t="b">
        <f>+ISNUMBER(SEARCH('F-COMPRA'!$F$35,Tabla11[[#This Row],[Cuenta]],1))</f>
        <v>1</v>
      </c>
      <c r="T1088" t="b">
        <f>+ISNUMBER(SEARCH('F-COMPRA'!$F$36,Tabla11[[#This Row],[Cuenta]],1))</f>
        <v>1</v>
      </c>
      <c r="U1088" t="b">
        <f>+ISNUMBER(SEARCH('F-COMPRA'!$F$37,Tabla11[[#This Row],[Cuenta]],1))</f>
        <v>1</v>
      </c>
      <c r="V1088" t="b">
        <f>+ISNUMBER(SEARCH(#REF!,Tabla11[[#This Row],[Cuenta]],1))</f>
        <v>0</v>
      </c>
      <c r="W1088" t="b">
        <f>+ISNUMBER(SEARCH('F-COMPRA'!#REF!,Tabla11[[#This Row],[Cuenta]],1))</f>
        <v>0</v>
      </c>
      <c r="X1088" t="b">
        <f>+ISNUMBER(SEARCH('F-COMPRA'!#REF!,Tabla11[[#This Row],[Cuenta]],1))</f>
        <v>0</v>
      </c>
      <c r="Y1088" t="b">
        <f>+ISNUMBER(SEARCH('F-COMPRA'!#REF!,Tabla11[[#This Row],[Cuenta]],1))</f>
        <v>0</v>
      </c>
      <c r="Z1088" t="b">
        <f>+ISNUMBER(SEARCH('F-COMPRA'!#REF!,Tabla11[[#This Row],[Cuenta]],1))</f>
        <v>0</v>
      </c>
      <c r="AA1088" t="b">
        <f>+ISNUMBER(SEARCH('F-COMPRA'!#REF!,Tabla11[[#This Row],[Cuenta]],1))</f>
        <v>0</v>
      </c>
      <c r="AB1088" t="b">
        <f>+ISNUMBER(SEARCH('F-COMPRA'!#REF!,Tabla11[[#This Row],[Cuenta]],1))</f>
        <v>0</v>
      </c>
      <c r="AC1088" t="b">
        <f>+ISNUMBER(SEARCH('F-COMPRA'!#REF!,Tabla11[[#This Row],[Cuenta]],1))</f>
        <v>0</v>
      </c>
      <c r="AD1088" t="b">
        <f>+ISNUMBER(SEARCH('F-COMPRA'!#REF!,Tabla11[[#This Row],[Cuenta]],1))</f>
        <v>0</v>
      </c>
      <c r="AE1088" t="b">
        <f>+ISNUMBER(SEARCH('F-COMPRA'!#REF!,Tabla11[[#This Row],[Cuenta]],1))</f>
        <v>0</v>
      </c>
      <c r="AF1088" t="b">
        <f>+ISNUMBER(SEARCH('F-VTA'!$G$23,Tabla11[[#This Row],[Cuenta]],1))</f>
        <v>0</v>
      </c>
      <c r="AG1088" t="b">
        <f>+ISNUMBER(SEARCH('F-VTA'!$G$24,Tabla11[[#This Row],[Cuenta]],1))</f>
        <v>0</v>
      </c>
      <c r="AH1088" t="b">
        <f>+ISNUMBER(SEARCH('F-VTA'!$G$25,Tabla11[[#This Row],[Cuenta]],1))</f>
        <v>0</v>
      </c>
      <c r="AI1088" t="b">
        <f>+ISNUMBER(SEARCH('F-VTA'!$F$28,Tabla11[[#This Row],[Cuenta]],1))</f>
        <v>1</v>
      </c>
      <c r="AJ1088" t="b">
        <f>+ISNUMBER(SEARCH('F-VTA'!$F$29,Tabla11[[#This Row],[Cuenta]],1))</f>
        <v>1</v>
      </c>
      <c r="AK1088" t="b">
        <f>+ISNUMBER(SEARCH('F-VTA'!$F$30,Tabla11[[#This Row],[Cuenta]],1))</f>
        <v>1</v>
      </c>
      <c r="AL1088" t="b">
        <f>+ISNUMBER(SEARCH('F-VTA'!$F$31,Tabla11[[#This Row],[Cuenta]],1))</f>
        <v>1</v>
      </c>
      <c r="AM1088" t="b">
        <f>+ISNUMBER(SEARCH('F-VTA'!$F$32,Tabla11[[#This Row],[Cuenta]],1))</f>
        <v>1</v>
      </c>
      <c r="AN1088" t="b">
        <f>+ISNUMBER(SEARCH('F-VTA'!$F$33,Tabla11[[#This Row],[Cuenta]],1))</f>
        <v>1</v>
      </c>
      <c r="AO1088" t="b">
        <f>+ISNUMBER(SEARCH('F-VTA'!$F$34,Tabla11[[#This Row],[Cuenta]],1))</f>
        <v>1</v>
      </c>
      <c r="AP1088" t="b">
        <f>+ISNUMBER(SEARCH('F-VTA'!$F$35,Tabla11[[#This Row],[Cuenta]],1))</f>
        <v>1</v>
      </c>
      <c r="AQ1088" t="b">
        <f>+ISNUMBER(SEARCH('F-VTA'!$F$36,Tabla11[[#This Row],[Cuenta]],1))</f>
        <v>1</v>
      </c>
      <c r="AR1088" t="b">
        <f>+ISNUMBER(SEARCH(#REF!,Tabla11[[#This Row],[Cuenta]],1))</f>
        <v>0</v>
      </c>
      <c r="AS1088" t="b">
        <f>+ISNUMBER(SEARCH(#REF!,Tabla11[[#This Row],[Cuenta]],1))</f>
        <v>0</v>
      </c>
      <c r="AT1088" t="b">
        <f>+ISNUMBER(SEARCH(#REF!,Tabla11[[#This Row],[Cuenta]],1))</f>
        <v>0</v>
      </c>
      <c r="AU1088" t="b">
        <f>+ISNUMBER(SEARCH('Conc. Ban.1'!$I$9,Tabla11[[#This Row],[Cuenta]],1))</f>
        <v>0</v>
      </c>
      <c r="AV1088" t="b">
        <f>+ISNUMBER(SEARCH(CompConta!$F$21,Tabla11[[#This Row],[Cuenta]],1))</f>
        <v>1</v>
      </c>
      <c r="AW1088" t="b">
        <f>+ISNUMBER(SEARCH(CompConta!$F$22,Tabla11[[#This Row],[Cuenta]],1))</f>
        <v>1</v>
      </c>
      <c r="AX1088" t="b">
        <f>+ISNUMBER(SEARCH(CompConta!$F$23,Tabla11[[#This Row],[Cuenta]],1))</f>
        <v>1</v>
      </c>
      <c r="AY1088" t="b">
        <f>+ISNUMBER(SEARCH(CompConta!$F$24,Tabla11[[#This Row],[Cuenta]],1))</f>
        <v>1</v>
      </c>
      <c r="AZ1088" t="b">
        <f>+ISNUMBER(SEARCH(CompConta!$F$25,Tabla11[[#This Row],[Cuenta]],1))</f>
        <v>1</v>
      </c>
      <c r="BA1088" t="b">
        <f>+ISNUMBER(SEARCH(CompConta!$F$26,Tabla11[[#This Row],[Cuenta]],1))</f>
        <v>1</v>
      </c>
      <c r="BB1088" t="b">
        <f>+ISNUMBER(SEARCH(CompConta!$F$27,Tabla11[[#This Row],[Cuenta]],1))</f>
        <v>1</v>
      </c>
      <c r="BC1088" t="b">
        <f>+ISNUMBER(SEARCH(CompConta!$F$28,Tabla11[[#This Row],[Cuenta]],1))</f>
        <v>1</v>
      </c>
      <c r="BD1088" t="b">
        <f>+ISNUMBER(SEARCH(CompConta!$F$29,Tabla11[[#This Row],[Cuenta]],1))</f>
        <v>1</v>
      </c>
      <c r="BE1088" t="b">
        <f>+ISNUMBER(SEARCH(CompConta!$F$30,Tabla11[[#This Row],[Cuenta]],1))</f>
        <v>1</v>
      </c>
      <c r="BF1088" t="b">
        <f>+ISNUMBER(SEARCH('PAGO Compras'!$E$11,Tabla11[[#This Row],[Cuenta]],1))</f>
        <v>1</v>
      </c>
      <c r="BG1088" t="b">
        <f>+ISNUMBER(SEARCH(#REF!,Tabla11[[#This Row],[Cuenta]],1))</f>
        <v>0</v>
      </c>
      <c r="BH1088" t="b">
        <f>+ISNUMBER(SEARCH(#REF!,Tabla11[[#This Row],[Cuenta]],1))</f>
        <v>0</v>
      </c>
      <c r="BI1088" t="b">
        <f>+ISNUMBER(SEARCH(#REF!,Tabla11[[#This Row],[Cuenta]],1))</f>
        <v>0</v>
      </c>
      <c r="BJ1088" t="b">
        <f>+ISNUMBER(SEARCH(#REF!,Tabla11[[#This Row],[Cuenta]],1))</f>
        <v>0</v>
      </c>
      <c r="BS1088" t="str">
        <v>530530 Gastos en negociac/n certificados de cambio</v>
      </c>
      <c r="BT1088" t="str">
        <v>530530 Gastos en negociac/n certificados de cambio</v>
      </c>
      <c r="BU1088" t="str">
        <v>530530 Gastos en negociac/n certificados de cambio</v>
      </c>
      <c r="BV1088" t="str">
        <v>530530 Gastos en negociac/n certificados de cambio</v>
      </c>
      <c r="BZ1088" t="str">
        <v>530530 Gastos en negociac/n certificados de cambio</v>
      </c>
      <c r="CA1088" t="str">
        <v>530530 Gastos en negociac/n certificados de cambio</v>
      </c>
      <c r="CB1088" t="str">
        <v>530530 Gastos en negociac/n certificados de cambio</v>
      </c>
      <c r="CC1088" t="str">
        <v>530530 Gastos en negociac/n certificados de cambio</v>
      </c>
      <c r="CD1088" t="str">
        <v>530530 Gastos en negociac/n certificados de cambio</v>
      </c>
      <c r="CE1088" t="str">
        <v>530530 Gastos en negociac/n certificados de cambio</v>
      </c>
      <c r="CS1088" s="141" t="str">
        <v>530530 Gastos en negociac/n certificados de cambio</v>
      </c>
      <c r="CT1088" s="141" t="str">
        <v>530530 Gastos en negociac/n certificados de cambio</v>
      </c>
      <c r="CU1088" s="141" t="str">
        <v>530530 Gastos en negociac/n certificados de cambio</v>
      </c>
      <c r="CV1088" s="141" t="str">
        <v>530530 Gastos en negociac/n certificados de cambio</v>
      </c>
      <c r="CW1088" s="141" t="str">
        <v>530530 Gastos en negociac/n certificados de cambio</v>
      </c>
      <c r="CX1088" s="141" t="str">
        <v>530530 Gastos en negociac/n certificados de cambio</v>
      </c>
      <c r="CY1088" s="141" t="str">
        <v>530530 Gastos en negociac/n certificados de cambio</v>
      </c>
      <c r="CZ1088" s="141" t="str">
        <v>530530 Gastos en negociac/n certificados de cambio</v>
      </c>
      <c r="DA1088" s="141" t="str">
        <v>530530 Gastos en negociac/n certificados de cambio</v>
      </c>
      <c r="DF1088" t="str">
        <v>530530 Gastos en negociac/n certificados de cambio</v>
      </c>
      <c r="DG1088" t="str">
        <v>530530 Gastos en negociac/n certificados de cambio</v>
      </c>
      <c r="DH1088" t="str">
        <v>530530 Gastos en negociac/n certificados de cambio</v>
      </c>
      <c r="DI1088" t="str">
        <v>530530 Gastos en negociac/n certificados de cambio</v>
      </c>
      <c r="DJ1088" t="str">
        <v>530530 Gastos en negociac/n certificados de cambio</v>
      </c>
      <c r="DK1088" t="str">
        <v>530530 Gastos en negociac/n certificados de cambio</v>
      </c>
      <c r="DL1088" t="str">
        <v>530530 Gastos en negociac/n certificados de cambio</v>
      </c>
      <c r="DM1088" t="str">
        <v>530530 Gastos en negociac/n certificados de cambio</v>
      </c>
      <c r="DN1088" t="str">
        <v>530530 Gastos en negociac/n certificados de cambio</v>
      </c>
      <c r="DO1088" t="str">
        <v>530530 Gastos en negociac/n certificados de cambio</v>
      </c>
      <c r="DP1088" t="str">
        <v>530530 Gastos en negociac/n certificados de cambio</v>
      </c>
    </row>
    <row r="1089" spans="4:120" ht="12.75">
      <c r="D1089" s="7">
        <v>530535</v>
      </c>
      <c r="E1089" s="6" t="s">
        <v>517</v>
      </c>
      <c r="F1089" s="5">
        <v>4</v>
      </c>
      <c r="G1089" s="34" t="s">
        <v>830</v>
      </c>
      <c r="H1089" s="8" t="s">
        <v>32</v>
      </c>
      <c r="I1089" t="b">
        <f>+ISNUMBER(SEARCH('F-COMPRA'!$F$28,Tabla11[[#This Row],[Cuenta]],1))</f>
        <v>1</v>
      </c>
      <c r="J1089" t="b">
        <f>+ISNUMBER(SEARCH('F-COMPRA'!$F$29,Tabla11[[#This Row],[Cuenta]],1))</f>
        <v>1</v>
      </c>
      <c r="K1089" t="b">
        <f>+ISNUMBER(SEARCH('F-COMPRA'!$F$30,Tabla11[[#This Row],[Cuenta]],1))</f>
        <v>1</v>
      </c>
      <c r="L1089" t="b">
        <f>+ISNUMBER(SEARCH('F-COMPRA'!$F$31,Tabla11[[#This Row],[Cuenta]],1))</f>
        <v>1</v>
      </c>
      <c r="M1089" t="b">
        <f>+ISNUMBER(SEARCH('F-COMPRA'!$G$25,Tabla11[[#This Row],[Cuenta]],1))</f>
        <v>0</v>
      </c>
      <c r="N1089" t="b">
        <f>+ISNUMBER(SEARCH(#REF!,Tabla11[[#This Row],[Cuenta]],1))</f>
        <v>0</v>
      </c>
      <c r="O1089" t="b">
        <f>+ISNUMBER(SEARCH(#REF!,Tabla11[[#This Row],[Cuenta]],1))</f>
        <v>0</v>
      </c>
      <c r="P1089" t="b">
        <f>+ISNUMBER(SEARCH('F-COMPRA'!$F$32,Tabla11[[#This Row],[Cuenta]],1))</f>
        <v>1</v>
      </c>
      <c r="Q1089" t="b">
        <f>+ISNUMBER(SEARCH('F-COMPRA'!$F$33,Tabla11[[#This Row],[Cuenta]],1))</f>
        <v>1</v>
      </c>
      <c r="R1089" t="b">
        <f>+ISNUMBER(SEARCH('F-COMPRA'!$F$34,Tabla11[[#This Row],[Cuenta]],1))</f>
        <v>1</v>
      </c>
      <c r="S1089" t="b">
        <f>+ISNUMBER(SEARCH('F-COMPRA'!$F$35,Tabla11[[#This Row],[Cuenta]],1))</f>
        <v>1</v>
      </c>
      <c r="T1089" t="b">
        <f>+ISNUMBER(SEARCH('F-COMPRA'!$F$36,Tabla11[[#This Row],[Cuenta]],1))</f>
        <v>1</v>
      </c>
      <c r="U1089" t="b">
        <f>+ISNUMBER(SEARCH('F-COMPRA'!$F$37,Tabla11[[#This Row],[Cuenta]],1))</f>
        <v>1</v>
      </c>
      <c r="V1089" t="b">
        <f>+ISNUMBER(SEARCH(#REF!,Tabla11[[#This Row],[Cuenta]],1))</f>
        <v>0</v>
      </c>
      <c r="W1089" t="b">
        <f>+ISNUMBER(SEARCH('F-COMPRA'!#REF!,Tabla11[[#This Row],[Cuenta]],1))</f>
        <v>0</v>
      </c>
      <c r="X1089" t="b">
        <f>+ISNUMBER(SEARCH('F-COMPRA'!#REF!,Tabla11[[#This Row],[Cuenta]],1))</f>
        <v>0</v>
      </c>
      <c r="Y1089" t="b">
        <f>+ISNUMBER(SEARCH('F-COMPRA'!#REF!,Tabla11[[#This Row],[Cuenta]],1))</f>
        <v>0</v>
      </c>
      <c r="Z1089" t="b">
        <f>+ISNUMBER(SEARCH('F-COMPRA'!#REF!,Tabla11[[#This Row],[Cuenta]],1))</f>
        <v>0</v>
      </c>
      <c r="AA1089" t="b">
        <f>+ISNUMBER(SEARCH('F-COMPRA'!#REF!,Tabla11[[#This Row],[Cuenta]],1))</f>
        <v>0</v>
      </c>
      <c r="AB1089" t="b">
        <f>+ISNUMBER(SEARCH('F-COMPRA'!#REF!,Tabla11[[#This Row],[Cuenta]],1))</f>
        <v>0</v>
      </c>
      <c r="AC1089" t="b">
        <f>+ISNUMBER(SEARCH('F-COMPRA'!#REF!,Tabla11[[#This Row],[Cuenta]],1))</f>
        <v>0</v>
      </c>
      <c r="AD1089" t="b">
        <f>+ISNUMBER(SEARCH('F-COMPRA'!#REF!,Tabla11[[#This Row],[Cuenta]],1))</f>
        <v>0</v>
      </c>
      <c r="AE1089" t="b">
        <f>+ISNUMBER(SEARCH('F-COMPRA'!#REF!,Tabla11[[#This Row],[Cuenta]],1))</f>
        <v>0</v>
      </c>
      <c r="AF1089" t="b">
        <f>+ISNUMBER(SEARCH('F-VTA'!$G$23,Tabla11[[#This Row],[Cuenta]],1))</f>
        <v>0</v>
      </c>
      <c r="AG1089" t="b">
        <f>+ISNUMBER(SEARCH('F-VTA'!$G$24,Tabla11[[#This Row],[Cuenta]],1))</f>
        <v>0</v>
      </c>
      <c r="AH1089" t="b">
        <f>+ISNUMBER(SEARCH('F-VTA'!$G$25,Tabla11[[#This Row],[Cuenta]],1))</f>
        <v>0</v>
      </c>
      <c r="AI1089" t="b">
        <f>+ISNUMBER(SEARCH('F-VTA'!$F$28,Tabla11[[#This Row],[Cuenta]],1))</f>
        <v>1</v>
      </c>
      <c r="AJ1089" t="b">
        <f>+ISNUMBER(SEARCH('F-VTA'!$F$29,Tabla11[[#This Row],[Cuenta]],1))</f>
        <v>1</v>
      </c>
      <c r="AK1089" t="b">
        <f>+ISNUMBER(SEARCH('F-VTA'!$F$30,Tabla11[[#This Row],[Cuenta]],1))</f>
        <v>1</v>
      </c>
      <c r="AL1089" t="b">
        <f>+ISNUMBER(SEARCH('F-VTA'!$F$31,Tabla11[[#This Row],[Cuenta]],1))</f>
        <v>1</v>
      </c>
      <c r="AM1089" t="b">
        <f>+ISNUMBER(SEARCH('F-VTA'!$F$32,Tabla11[[#This Row],[Cuenta]],1))</f>
        <v>1</v>
      </c>
      <c r="AN1089" t="b">
        <f>+ISNUMBER(SEARCH('F-VTA'!$F$33,Tabla11[[#This Row],[Cuenta]],1))</f>
        <v>1</v>
      </c>
      <c r="AO1089" t="b">
        <f>+ISNUMBER(SEARCH('F-VTA'!$F$34,Tabla11[[#This Row],[Cuenta]],1))</f>
        <v>1</v>
      </c>
      <c r="AP1089" t="b">
        <f>+ISNUMBER(SEARCH('F-VTA'!$F$35,Tabla11[[#This Row],[Cuenta]],1))</f>
        <v>1</v>
      </c>
      <c r="AQ1089" t="b">
        <f>+ISNUMBER(SEARCH('F-VTA'!$F$36,Tabla11[[#This Row],[Cuenta]],1))</f>
        <v>1</v>
      </c>
      <c r="AR1089" t="b">
        <f>+ISNUMBER(SEARCH(#REF!,Tabla11[[#This Row],[Cuenta]],1))</f>
        <v>0</v>
      </c>
      <c r="AS1089" t="b">
        <f>+ISNUMBER(SEARCH(#REF!,Tabla11[[#This Row],[Cuenta]],1))</f>
        <v>0</v>
      </c>
      <c r="AT1089" t="b">
        <f>+ISNUMBER(SEARCH(#REF!,Tabla11[[#This Row],[Cuenta]],1))</f>
        <v>0</v>
      </c>
      <c r="AU1089" t="b">
        <f>+ISNUMBER(SEARCH('Conc. Ban.1'!$I$9,Tabla11[[#This Row],[Cuenta]],1))</f>
        <v>0</v>
      </c>
      <c r="AV1089" t="b">
        <f>+ISNUMBER(SEARCH(CompConta!$F$21,Tabla11[[#This Row],[Cuenta]],1))</f>
        <v>1</v>
      </c>
      <c r="AW1089" t="b">
        <f>+ISNUMBER(SEARCH(CompConta!$F$22,Tabla11[[#This Row],[Cuenta]],1))</f>
        <v>1</v>
      </c>
      <c r="AX1089" t="b">
        <f>+ISNUMBER(SEARCH(CompConta!$F$23,Tabla11[[#This Row],[Cuenta]],1))</f>
        <v>1</v>
      </c>
      <c r="AY1089" t="b">
        <f>+ISNUMBER(SEARCH(CompConta!$F$24,Tabla11[[#This Row],[Cuenta]],1))</f>
        <v>1</v>
      </c>
      <c r="AZ1089" t="b">
        <f>+ISNUMBER(SEARCH(CompConta!$F$25,Tabla11[[#This Row],[Cuenta]],1))</f>
        <v>1</v>
      </c>
      <c r="BA1089" t="b">
        <f>+ISNUMBER(SEARCH(CompConta!$F$26,Tabla11[[#This Row],[Cuenta]],1))</f>
        <v>1</v>
      </c>
      <c r="BB1089" t="b">
        <f>+ISNUMBER(SEARCH(CompConta!$F$27,Tabla11[[#This Row],[Cuenta]],1))</f>
        <v>1</v>
      </c>
      <c r="BC1089" t="b">
        <f>+ISNUMBER(SEARCH(CompConta!$F$28,Tabla11[[#This Row],[Cuenta]],1))</f>
        <v>1</v>
      </c>
      <c r="BD1089" t="b">
        <f>+ISNUMBER(SEARCH(CompConta!$F$29,Tabla11[[#This Row],[Cuenta]],1))</f>
        <v>1</v>
      </c>
      <c r="BE1089" t="b">
        <f>+ISNUMBER(SEARCH(CompConta!$F$30,Tabla11[[#This Row],[Cuenta]],1))</f>
        <v>1</v>
      </c>
      <c r="BF1089" t="b">
        <f>+ISNUMBER(SEARCH('PAGO Compras'!$E$11,Tabla11[[#This Row],[Cuenta]],1))</f>
        <v>1</v>
      </c>
      <c r="BG1089" t="b">
        <f>+ISNUMBER(SEARCH(#REF!,Tabla11[[#This Row],[Cuenta]],1))</f>
        <v>0</v>
      </c>
      <c r="BH1089" t="b">
        <f>+ISNUMBER(SEARCH(#REF!,Tabla11[[#This Row],[Cuenta]],1))</f>
        <v>0</v>
      </c>
      <c r="BI1089" t="b">
        <f>+ISNUMBER(SEARCH(#REF!,Tabla11[[#This Row],[Cuenta]],1))</f>
        <v>0</v>
      </c>
      <c r="BJ1089" t="b">
        <f>+ISNUMBER(SEARCH(#REF!,Tabla11[[#This Row],[Cuenta]],1))</f>
        <v>0</v>
      </c>
      <c r="BS1089" t="str">
        <v>530535 Descuentos comerciales condicionados</v>
      </c>
      <c r="BT1089" t="str">
        <v>530535 Descuentos comerciales condicionados</v>
      </c>
      <c r="BU1089" t="str">
        <v>530535 Descuentos comerciales condicionados</v>
      </c>
      <c r="BV1089" t="str">
        <v>530535 Descuentos comerciales condicionados</v>
      </c>
      <c r="BZ1089" t="str">
        <v>530535 Descuentos comerciales condicionados</v>
      </c>
      <c r="CA1089" t="str">
        <v>530535 Descuentos comerciales condicionados</v>
      </c>
      <c r="CB1089" t="str">
        <v>530535 Descuentos comerciales condicionados</v>
      </c>
      <c r="CC1089" t="str">
        <v>530535 Descuentos comerciales condicionados</v>
      </c>
      <c r="CD1089" t="str">
        <v>530535 Descuentos comerciales condicionados</v>
      </c>
      <c r="CE1089" t="str">
        <v>530535 Descuentos comerciales condicionados</v>
      </c>
      <c r="CS1089" s="141" t="str">
        <v>530535 Descuentos comerciales condicionados</v>
      </c>
      <c r="CT1089" s="141" t="str">
        <v>530535 Descuentos comerciales condicionados</v>
      </c>
      <c r="CU1089" s="141" t="str">
        <v>530535 Descuentos comerciales condicionados</v>
      </c>
      <c r="CV1089" s="141" t="str">
        <v>530535 Descuentos comerciales condicionados</v>
      </c>
      <c r="CW1089" s="141" t="str">
        <v>530535 Descuentos comerciales condicionados</v>
      </c>
      <c r="CX1089" s="141" t="str">
        <v>530535 Descuentos comerciales condicionados</v>
      </c>
      <c r="CY1089" s="141" t="str">
        <v>530535 Descuentos comerciales condicionados</v>
      </c>
      <c r="CZ1089" s="141" t="str">
        <v>530535 Descuentos comerciales condicionados</v>
      </c>
      <c r="DA1089" s="141" t="str">
        <v>530535 Descuentos comerciales condicionados</v>
      </c>
      <c r="DF1089" t="str">
        <v>530535 Descuentos comerciales condicionados</v>
      </c>
      <c r="DG1089" t="str">
        <v>530535 Descuentos comerciales condicionados</v>
      </c>
      <c r="DH1089" t="str">
        <v>530535 Descuentos comerciales condicionados</v>
      </c>
      <c r="DI1089" t="str">
        <v>530535 Descuentos comerciales condicionados</v>
      </c>
      <c r="DJ1089" t="str">
        <v>530535 Descuentos comerciales condicionados</v>
      </c>
      <c r="DK1089" t="str">
        <v>530535 Descuentos comerciales condicionados</v>
      </c>
      <c r="DL1089" t="str">
        <v>530535 Descuentos comerciales condicionados</v>
      </c>
      <c r="DM1089" t="str">
        <v>530535 Descuentos comerciales condicionados</v>
      </c>
      <c r="DN1089" t="str">
        <v>530535 Descuentos comerciales condicionados</v>
      </c>
      <c r="DO1089" t="str">
        <v>530535 Descuentos comerciales condicionados</v>
      </c>
      <c r="DP1089" t="str">
        <v>530535 Descuentos comerciales condicionados</v>
      </c>
    </row>
    <row r="1090" spans="4:120" ht="12.75">
      <c r="D1090" s="7">
        <v>530540</v>
      </c>
      <c r="E1090" s="6" t="s">
        <v>633</v>
      </c>
      <c r="F1090" s="5">
        <v>4</v>
      </c>
      <c r="G1090" s="34" t="s">
        <v>830</v>
      </c>
      <c r="H1090" s="8" t="s">
        <v>32</v>
      </c>
      <c r="I1090" t="b">
        <f>+ISNUMBER(SEARCH('F-COMPRA'!$F$28,Tabla11[[#This Row],[Cuenta]],1))</f>
        <v>1</v>
      </c>
      <c r="J1090" t="b">
        <f>+ISNUMBER(SEARCH('F-COMPRA'!$F$29,Tabla11[[#This Row],[Cuenta]],1))</f>
        <v>1</v>
      </c>
      <c r="K1090" t="b">
        <f>+ISNUMBER(SEARCH('F-COMPRA'!$F$30,Tabla11[[#This Row],[Cuenta]],1))</f>
        <v>1</v>
      </c>
      <c r="L1090" t="b">
        <f>+ISNUMBER(SEARCH('F-COMPRA'!$F$31,Tabla11[[#This Row],[Cuenta]],1))</f>
        <v>1</v>
      </c>
      <c r="M1090" t="b">
        <f>+ISNUMBER(SEARCH('F-COMPRA'!$G$25,Tabla11[[#This Row],[Cuenta]],1))</f>
        <v>0</v>
      </c>
      <c r="N1090" t="b">
        <f>+ISNUMBER(SEARCH(#REF!,Tabla11[[#This Row],[Cuenta]],1))</f>
        <v>0</v>
      </c>
      <c r="O1090" t="b">
        <f>+ISNUMBER(SEARCH(#REF!,Tabla11[[#This Row],[Cuenta]],1))</f>
        <v>0</v>
      </c>
      <c r="P1090" t="b">
        <f>+ISNUMBER(SEARCH('F-COMPRA'!$F$32,Tabla11[[#This Row],[Cuenta]],1))</f>
        <v>1</v>
      </c>
      <c r="Q1090" t="b">
        <f>+ISNUMBER(SEARCH('F-COMPRA'!$F$33,Tabla11[[#This Row],[Cuenta]],1))</f>
        <v>1</v>
      </c>
      <c r="R1090" t="b">
        <f>+ISNUMBER(SEARCH('F-COMPRA'!$F$34,Tabla11[[#This Row],[Cuenta]],1))</f>
        <v>1</v>
      </c>
      <c r="S1090" t="b">
        <f>+ISNUMBER(SEARCH('F-COMPRA'!$F$35,Tabla11[[#This Row],[Cuenta]],1))</f>
        <v>1</v>
      </c>
      <c r="T1090" t="b">
        <f>+ISNUMBER(SEARCH('F-COMPRA'!$F$36,Tabla11[[#This Row],[Cuenta]],1))</f>
        <v>1</v>
      </c>
      <c r="U1090" t="b">
        <f>+ISNUMBER(SEARCH('F-COMPRA'!$F$37,Tabla11[[#This Row],[Cuenta]],1))</f>
        <v>1</v>
      </c>
      <c r="V1090" t="b">
        <f>+ISNUMBER(SEARCH(#REF!,Tabla11[[#This Row],[Cuenta]],1))</f>
        <v>0</v>
      </c>
      <c r="W1090" t="b">
        <f>+ISNUMBER(SEARCH('F-COMPRA'!#REF!,Tabla11[[#This Row],[Cuenta]],1))</f>
        <v>0</v>
      </c>
      <c r="X1090" t="b">
        <f>+ISNUMBER(SEARCH('F-COMPRA'!#REF!,Tabla11[[#This Row],[Cuenta]],1))</f>
        <v>0</v>
      </c>
      <c r="Y1090" t="b">
        <f>+ISNUMBER(SEARCH('F-COMPRA'!#REF!,Tabla11[[#This Row],[Cuenta]],1))</f>
        <v>0</v>
      </c>
      <c r="Z1090" t="b">
        <f>+ISNUMBER(SEARCH('F-COMPRA'!#REF!,Tabla11[[#This Row],[Cuenta]],1))</f>
        <v>0</v>
      </c>
      <c r="AA1090" t="b">
        <f>+ISNUMBER(SEARCH('F-COMPRA'!#REF!,Tabla11[[#This Row],[Cuenta]],1))</f>
        <v>0</v>
      </c>
      <c r="AB1090" t="b">
        <f>+ISNUMBER(SEARCH('F-COMPRA'!#REF!,Tabla11[[#This Row],[Cuenta]],1))</f>
        <v>0</v>
      </c>
      <c r="AC1090" t="b">
        <f>+ISNUMBER(SEARCH('F-COMPRA'!#REF!,Tabla11[[#This Row],[Cuenta]],1))</f>
        <v>0</v>
      </c>
      <c r="AD1090" t="b">
        <f>+ISNUMBER(SEARCH('F-COMPRA'!#REF!,Tabla11[[#This Row],[Cuenta]],1))</f>
        <v>0</v>
      </c>
      <c r="AE1090" t="b">
        <f>+ISNUMBER(SEARCH('F-COMPRA'!#REF!,Tabla11[[#This Row],[Cuenta]],1))</f>
        <v>0</v>
      </c>
      <c r="AF1090" t="b">
        <f>+ISNUMBER(SEARCH('F-VTA'!$G$23,Tabla11[[#This Row],[Cuenta]],1))</f>
        <v>0</v>
      </c>
      <c r="AG1090" t="b">
        <f>+ISNUMBER(SEARCH('F-VTA'!$G$24,Tabla11[[#This Row],[Cuenta]],1))</f>
        <v>0</v>
      </c>
      <c r="AH1090" t="b">
        <f>+ISNUMBER(SEARCH('F-VTA'!$G$25,Tabla11[[#This Row],[Cuenta]],1))</f>
        <v>0</v>
      </c>
      <c r="AI1090" t="b">
        <f>+ISNUMBER(SEARCH('F-VTA'!$F$28,Tabla11[[#This Row],[Cuenta]],1))</f>
        <v>1</v>
      </c>
      <c r="AJ1090" t="b">
        <f>+ISNUMBER(SEARCH('F-VTA'!$F$29,Tabla11[[#This Row],[Cuenta]],1))</f>
        <v>1</v>
      </c>
      <c r="AK1090" t="b">
        <f>+ISNUMBER(SEARCH('F-VTA'!$F$30,Tabla11[[#This Row],[Cuenta]],1))</f>
        <v>1</v>
      </c>
      <c r="AL1090" t="b">
        <f>+ISNUMBER(SEARCH('F-VTA'!$F$31,Tabla11[[#This Row],[Cuenta]],1))</f>
        <v>1</v>
      </c>
      <c r="AM1090" t="b">
        <f>+ISNUMBER(SEARCH('F-VTA'!$F$32,Tabla11[[#This Row],[Cuenta]],1))</f>
        <v>1</v>
      </c>
      <c r="AN1090" t="b">
        <f>+ISNUMBER(SEARCH('F-VTA'!$F$33,Tabla11[[#This Row],[Cuenta]],1))</f>
        <v>1</v>
      </c>
      <c r="AO1090" t="b">
        <f>+ISNUMBER(SEARCH('F-VTA'!$F$34,Tabla11[[#This Row],[Cuenta]],1))</f>
        <v>1</v>
      </c>
      <c r="AP1090" t="b">
        <f>+ISNUMBER(SEARCH('F-VTA'!$F$35,Tabla11[[#This Row],[Cuenta]],1))</f>
        <v>1</v>
      </c>
      <c r="AQ1090" t="b">
        <f>+ISNUMBER(SEARCH('F-VTA'!$F$36,Tabla11[[#This Row],[Cuenta]],1))</f>
        <v>1</v>
      </c>
      <c r="AR1090" t="b">
        <f>+ISNUMBER(SEARCH(#REF!,Tabla11[[#This Row],[Cuenta]],1))</f>
        <v>0</v>
      </c>
      <c r="AS1090" t="b">
        <f>+ISNUMBER(SEARCH(#REF!,Tabla11[[#This Row],[Cuenta]],1))</f>
        <v>0</v>
      </c>
      <c r="AT1090" t="b">
        <f>+ISNUMBER(SEARCH(#REF!,Tabla11[[#This Row],[Cuenta]],1))</f>
        <v>0</v>
      </c>
      <c r="AU1090" t="b">
        <f>+ISNUMBER(SEARCH('Conc. Ban.1'!$I$9,Tabla11[[#This Row],[Cuenta]],1))</f>
        <v>0</v>
      </c>
      <c r="AV1090" t="b">
        <f>+ISNUMBER(SEARCH(CompConta!$F$21,Tabla11[[#This Row],[Cuenta]],1))</f>
        <v>1</v>
      </c>
      <c r="AW1090" t="b">
        <f>+ISNUMBER(SEARCH(CompConta!$F$22,Tabla11[[#This Row],[Cuenta]],1))</f>
        <v>1</v>
      </c>
      <c r="AX1090" t="b">
        <f>+ISNUMBER(SEARCH(CompConta!$F$23,Tabla11[[#This Row],[Cuenta]],1))</f>
        <v>1</v>
      </c>
      <c r="AY1090" t="b">
        <f>+ISNUMBER(SEARCH(CompConta!$F$24,Tabla11[[#This Row],[Cuenta]],1))</f>
        <v>1</v>
      </c>
      <c r="AZ1090" t="b">
        <f>+ISNUMBER(SEARCH(CompConta!$F$25,Tabla11[[#This Row],[Cuenta]],1))</f>
        <v>1</v>
      </c>
      <c r="BA1090" t="b">
        <f>+ISNUMBER(SEARCH(CompConta!$F$26,Tabla11[[#This Row],[Cuenta]],1))</f>
        <v>1</v>
      </c>
      <c r="BB1090" t="b">
        <f>+ISNUMBER(SEARCH(CompConta!$F$27,Tabla11[[#This Row],[Cuenta]],1))</f>
        <v>1</v>
      </c>
      <c r="BC1090" t="b">
        <f>+ISNUMBER(SEARCH(CompConta!$F$28,Tabla11[[#This Row],[Cuenta]],1))</f>
        <v>1</v>
      </c>
      <c r="BD1090" t="b">
        <f>+ISNUMBER(SEARCH(CompConta!$F$29,Tabla11[[#This Row],[Cuenta]],1))</f>
        <v>1</v>
      </c>
      <c r="BE1090" t="b">
        <f>+ISNUMBER(SEARCH(CompConta!$F$30,Tabla11[[#This Row],[Cuenta]],1))</f>
        <v>1</v>
      </c>
      <c r="BF1090" t="b">
        <f>+ISNUMBER(SEARCH('PAGO Compras'!$E$11,Tabla11[[#This Row],[Cuenta]],1))</f>
        <v>1</v>
      </c>
      <c r="BG1090" t="b">
        <f>+ISNUMBER(SEARCH(#REF!,Tabla11[[#This Row],[Cuenta]],1))</f>
        <v>0</v>
      </c>
      <c r="BH1090" t="b">
        <f>+ISNUMBER(SEARCH(#REF!,Tabla11[[#This Row],[Cuenta]],1))</f>
        <v>0</v>
      </c>
      <c r="BI1090" t="b">
        <f>+ISNUMBER(SEARCH(#REF!,Tabla11[[#This Row],[Cuenta]],1))</f>
        <v>0</v>
      </c>
      <c r="BJ1090" t="b">
        <f>+ISNUMBER(SEARCH(#REF!,Tabla11[[#This Row],[Cuenta]],1))</f>
        <v>0</v>
      </c>
      <c r="BS1090" t="str">
        <v>530540 Gastos manejo y emisión de bonos</v>
      </c>
      <c r="BT1090" t="str">
        <v>530540 Gastos manejo y emisión de bonos</v>
      </c>
      <c r="BU1090" t="str">
        <v>530540 Gastos manejo y emisión de bonos</v>
      </c>
      <c r="BV1090" t="str">
        <v>530540 Gastos manejo y emisión de bonos</v>
      </c>
      <c r="BZ1090" t="str">
        <v>530540 Gastos manejo y emisión de bonos</v>
      </c>
      <c r="CA1090" t="str">
        <v>530540 Gastos manejo y emisión de bonos</v>
      </c>
      <c r="CB1090" t="str">
        <v>530540 Gastos manejo y emisión de bonos</v>
      </c>
      <c r="CC1090" t="str">
        <v>530540 Gastos manejo y emisión de bonos</v>
      </c>
      <c r="CD1090" t="str">
        <v>530540 Gastos manejo y emisión de bonos</v>
      </c>
      <c r="CE1090" t="str">
        <v>530540 Gastos manejo y emisión de bonos</v>
      </c>
      <c r="CS1090" s="141" t="str">
        <v>530540 Gastos manejo y emisión de bonos</v>
      </c>
      <c r="CT1090" s="141" t="str">
        <v>530540 Gastos manejo y emisión de bonos</v>
      </c>
      <c r="CU1090" s="141" t="str">
        <v>530540 Gastos manejo y emisión de bonos</v>
      </c>
      <c r="CV1090" s="141" t="str">
        <v>530540 Gastos manejo y emisión de bonos</v>
      </c>
      <c r="CW1090" s="141" t="str">
        <v>530540 Gastos manejo y emisión de bonos</v>
      </c>
      <c r="CX1090" s="141" t="str">
        <v>530540 Gastos manejo y emisión de bonos</v>
      </c>
      <c r="CY1090" s="141" t="str">
        <v>530540 Gastos manejo y emisión de bonos</v>
      </c>
      <c r="CZ1090" s="141" t="str">
        <v>530540 Gastos manejo y emisión de bonos</v>
      </c>
      <c r="DA1090" s="141" t="str">
        <v>530540 Gastos manejo y emisión de bonos</v>
      </c>
      <c r="DF1090" t="str">
        <v>530540 Gastos manejo y emisión de bonos</v>
      </c>
      <c r="DG1090" t="str">
        <v>530540 Gastos manejo y emisión de bonos</v>
      </c>
      <c r="DH1090" t="str">
        <v>530540 Gastos manejo y emisión de bonos</v>
      </c>
      <c r="DI1090" t="str">
        <v>530540 Gastos manejo y emisión de bonos</v>
      </c>
      <c r="DJ1090" t="str">
        <v>530540 Gastos manejo y emisión de bonos</v>
      </c>
      <c r="DK1090" t="str">
        <v>530540 Gastos manejo y emisión de bonos</v>
      </c>
      <c r="DL1090" t="str">
        <v>530540 Gastos manejo y emisión de bonos</v>
      </c>
      <c r="DM1090" t="str">
        <v>530540 Gastos manejo y emisión de bonos</v>
      </c>
      <c r="DN1090" t="str">
        <v>530540 Gastos manejo y emisión de bonos</v>
      </c>
      <c r="DO1090" t="str">
        <v>530540 Gastos manejo y emisión de bonos</v>
      </c>
      <c r="DP1090" t="str">
        <v>530540 Gastos manejo y emisión de bonos</v>
      </c>
    </row>
    <row r="1091" spans="4:120" ht="12.75">
      <c r="D1091" s="7">
        <v>530545</v>
      </c>
      <c r="E1091" s="6" t="s">
        <v>634</v>
      </c>
      <c r="F1091" s="5">
        <v>4</v>
      </c>
      <c r="G1091" s="34" t="s">
        <v>830</v>
      </c>
      <c r="H1091" s="8" t="s">
        <v>32</v>
      </c>
      <c r="I1091" t="b">
        <f>+ISNUMBER(SEARCH('F-COMPRA'!$F$28,Tabla11[[#This Row],[Cuenta]],1))</f>
        <v>1</v>
      </c>
      <c r="J1091" t="b">
        <f>+ISNUMBER(SEARCH('F-COMPRA'!$F$29,Tabla11[[#This Row],[Cuenta]],1))</f>
        <v>1</v>
      </c>
      <c r="K1091" t="b">
        <f>+ISNUMBER(SEARCH('F-COMPRA'!$F$30,Tabla11[[#This Row],[Cuenta]],1))</f>
        <v>1</v>
      </c>
      <c r="L1091" t="b">
        <f>+ISNUMBER(SEARCH('F-COMPRA'!$F$31,Tabla11[[#This Row],[Cuenta]],1))</f>
        <v>1</v>
      </c>
      <c r="M1091" t="b">
        <f>+ISNUMBER(SEARCH('F-COMPRA'!$G$25,Tabla11[[#This Row],[Cuenta]],1))</f>
        <v>0</v>
      </c>
      <c r="N1091" t="b">
        <f>+ISNUMBER(SEARCH(#REF!,Tabla11[[#This Row],[Cuenta]],1))</f>
        <v>0</v>
      </c>
      <c r="O1091" t="b">
        <f>+ISNUMBER(SEARCH(#REF!,Tabla11[[#This Row],[Cuenta]],1))</f>
        <v>0</v>
      </c>
      <c r="P1091" t="b">
        <f>+ISNUMBER(SEARCH('F-COMPRA'!$F$32,Tabla11[[#This Row],[Cuenta]],1))</f>
        <v>1</v>
      </c>
      <c r="Q1091" t="b">
        <f>+ISNUMBER(SEARCH('F-COMPRA'!$F$33,Tabla11[[#This Row],[Cuenta]],1))</f>
        <v>1</v>
      </c>
      <c r="R1091" t="b">
        <f>+ISNUMBER(SEARCH('F-COMPRA'!$F$34,Tabla11[[#This Row],[Cuenta]],1))</f>
        <v>1</v>
      </c>
      <c r="S1091" t="b">
        <f>+ISNUMBER(SEARCH('F-COMPRA'!$F$35,Tabla11[[#This Row],[Cuenta]],1))</f>
        <v>1</v>
      </c>
      <c r="T1091" t="b">
        <f>+ISNUMBER(SEARCH('F-COMPRA'!$F$36,Tabla11[[#This Row],[Cuenta]],1))</f>
        <v>1</v>
      </c>
      <c r="U1091" t="b">
        <f>+ISNUMBER(SEARCH('F-COMPRA'!$F$37,Tabla11[[#This Row],[Cuenta]],1))</f>
        <v>1</v>
      </c>
      <c r="V1091" t="b">
        <f>+ISNUMBER(SEARCH(#REF!,Tabla11[[#This Row],[Cuenta]],1))</f>
        <v>0</v>
      </c>
      <c r="W1091" t="b">
        <f>+ISNUMBER(SEARCH('F-COMPRA'!#REF!,Tabla11[[#This Row],[Cuenta]],1))</f>
        <v>0</v>
      </c>
      <c r="X1091" t="b">
        <f>+ISNUMBER(SEARCH('F-COMPRA'!#REF!,Tabla11[[#This Row],[Cuenta]],1))</f>
        <v>0</v>
      </c>
      <c r="Y1091" t="b">
        <f>+ISNUMBER(SEARCH('F-COMPRA'!#REF!,Tabla11[[#This Row],[Cuenta]],1))</f>
        <v>0</v>
      </c>
      <c r="Z1091" t="b">
        <f>+ISNUMBER(SEARCH('F-COMPRA'!#REF!,Tabla11[[#This Row],[Cuenta]],1))</f>
        <v>0</v>
      </c>
      <c r="AA1091" t="b">
        <f>+ISNUMBER(SEARCH('F-COMPRA'!#REF!,Tabla11[[#This Row],[Cuenta]],1))</f>
        <v>0</v>
      </c>
      <c r="AB1091" t="b">
        <f>+ISNUMBER(SEARCH('F-COMPRA'!#REF!,Tabla11[[#This Row],[Cuenta]],1))</f>
        <v>0</v>
      </c>
      <c r="AC1091" t="b">
        <f>+ISNUMBER(SEARCH('F-COMPRA'!#REF!,Tabla11[[#This Row],[Cuenta]],1))</f>
        <v>0</v>
      </c>
      <c r="AD1091" t="b">
        <f>+ISNUMBER(SEARCH('F-COMPRA'!#REF!,Tabla11[[#This Row],[Cuenta]],1))</f>
        <v>0</v>
      </c>
      <c r="AE1091" t="b">
        <f>+ISNUMBER(SEARCH('F-COMPRA'!#REF!,Tabla11[[#This Row],[Cuenta]],1))</f>
        <v>0</v>
      </c>
      <c r="AF1091" t="b">
        <f>+ISNUMBER(SEARCH('F-VTA'!$G$23,Tabla11[[#This Row],[Cuenta]],1))</f>
        <v>0</v>
      </c>
      <c r="AG1091" t="b">
        <f>+ISNUMBER(SEARCH('F-VTA'!$G$24,Tabla11[[#This Row],[Cuenta]],1))</f>
        <v>0</v>
      </c>
      <c r="AH1091" t="b">
        <f>+ISNUMBER(SEARCH('F-VTA'!$G$25,Tabla11[[#This Row],[Cuenta]],1))</f>
        <v>0</v>
      </c>
      <c r="AI1091" t="b">
        <f>+ISNUMBER(SEARCH('F-VTA'!$F$28,Tabla11[[#This Row],[Cuenta]],1))</f>
        <v>1</v>
      </c>
      <c r="AJ1091" t="b">
        <f>+ISNUMBER(SEARCH('F-VTA'!$F$29,Tabla11[[#This Row],[Cuenta]],1))</f>
        <v>1</v>
      </c>
      <c r="AK1091" t="b">
        <f>+ISNUMBER(SEARCH('F-VTA'!$F$30,Tabla11[[#This Row],[Cuenta]],1))</f>
        <v>1</v>
      </c>
      <c r="AL1091" t="b">
        <f>+ISNUMBER(SEARCH('F-VTA'!$F$31,Tabla11[[#This Row],[Cuenta]],1))</f>
        <v>1</v>
      </c>
      <c r="AM1091" t="b">
        <f>+ISNUMBER(SEARCH('F-VTA'!$F$32,Tabla11[[#This Row],[Cuenta]],1))</f>
        <v>1</v>
      </c>
      <c r="AN1091" t="b">
        <f>+ISNUMBER(SEARCH('F-VTA'!$F$33,Tabla11[[#This Row],[Cuenta]],1))</f>
        <v>1</v>
      </c>
      <c r="AO1091" t="b">
        <f>+ISNUMBER(SEARCH('F-VTA'!$F$34,Tabla11[[#This Row],[Cuenta]],1))</f>
        <v>1</v>
      </c>
      <c r="AP1091" t="b">
        <f>+ISNUMBER(SEARCH('F-VTA'!$F$35,Tabla11[[#This Row],[Cuenta]],1))</f>
        <v>1</v>
      </c>
      <c r="AQ1091" t="b">
        <f>+ISNUMBER(SEARCH('F-VTA'!$F$36,Tabla11[[#This Row],[Cuenta]],1))</f>
        <v>1</v>
      </c>
      <c r="AR1091" t="b">
        <f>+ISNUMBER(SEARCH(#REF!,Tabla11[[#This Row],[Cuenta]],1))</f>
        <v>0</v>
      </c>
      <c r="AS1091" t="b">
        <f>+ISNUMBER(SEARCH(#REF!,Tabla11[[#This Row],[Cuenta]],1))</f>
        <v>0</v>
      </c>
      <c r="AT1091" t="b">
        <f>+ISNUMBER(SEARCH(#REF!,Tabla11[[#This Row],[Cuenta]],1))</f>
        <v>0</v>
      </c>
      <c r="AU1091" t="b">
        <f>+ISNUMBER(SEARCH('Conc. Ban.1'!$I$9,Tabla11[[#This Row],[Cuenta]],1))</f>
        <v>0</v>
      </c>
      <c r="AV1091" t="b">
        <f>+ISNUMBER(SEARCH(CompConta!$F$21,Tabla11[[#This Row],[Cuenta]],1))</f>
        <v>1</v>
      </c>
      <c r="AW1091" t="b">
        <f>+ISNUMBER(SEARCH(CompConta!$F$22,Tabla11[[#This Row],[Cuenta]],1))</f>
        <v>1</v>
      </c>
      <c r="AX1091" t="b">
        <f>+ISNUMBER(SEARCH(CompConta!$F$23,Tabla11[[#This Row],[Cuenta]],1))</f>
        <v>1</v>
      </c>
      <c r="AY1091" t="b">
        <f>+ISNUMBER(SEARCH(CompConta!$F$24,Tabla11[[#This Row],[Cuenta]],1))</f>
        <v>1</v>
      </c>
      <c r="AZ1091" t="b">
        <f>+ISNUMBER(SEARCH(CompConta!$F$25,Tabla11[[#This Row],[Cuenta]],1))</f>
        <v>1</v>
      </c>
      <c r="BA1091" t="b">
        <f>+ISNUMBER(SEARCH(CompConta!$F$26,Tabla11[[#This Row],[Cuenta]],1))</f>
        <v>1</v>
      </c>
      <c r="BB1091" t="b">
        <f>+ISNUMBER(SEARCH(CompConta!$F$27,Tabla11[[#This Row],[Cuenta]],1))</f>
        <v>1</v>
      </c>
      <c r="BC1091" t="b">
        <f>+ISNUMBER(SEARCH(CompConta!$F$28,Tabla11[[#This Row],[Cuenta]],1))</f>
        <v>1</v>
      </c>
      <c r="BD1091" t="b">
        <f>+ISNUMBER(SEARCH(CompConta!$F$29,Tabla11[[#This Row],[Cuenta]],1))</f>
        <v>1</v>
      </c>
      <c r="BE1091" t="b">
        <f>+ISNUMBER(SEARCH(CompConta!$F$30,Tabla11[[#This Row],[Cuenta]],1))</f>
        <v>1</v>
      </c>
      <c r="BF1091" t="b">
        <f>+ISNUMBER(SEARCH('PAGO Compras'!$E$11,Tabla11[[#This Row],[Cuenta]],1))</f>
        <v>1</v>
      </c>
      <c r="BG1091" t="b">
        <f>+ISNUMBER(SEARCH(#REF!,Tabla11[[#This Row],[Cuenta]],1))</f>
        <v>0</v>
      </c>
      <c r="BH1091" t="b">
        <f>+ISNUMBER(SEARCH(#REF!,Tabla11[[#This Row],[Cuenta]],1))</f>
        <v>0</v>
      </c>
      <c r="BI1091" t="b">
        <f>+ISNUMBER(SEARCH(#REF!,Tabla11[[#This Row],[Cuenta]],1))</f>
        <v>0</v>
      </c>
      <c r="BJ1091" t="b">
        <f>+ISNUMBER(SEARCH(#REF!,Tabla11[[#This Row],[Cuenta]],1))</f>
        <v>0</v>
      </c>
      <c r="BS1091" t="str">
        <v>530545 Prima amortizada</v>
      </c>
      <c r="BT1091" t="str">
        <v>530545 Prima amortizada</v>
      </c>
      <c r="BU1091" t="str">
        <v>530545 Prima amortizada</v>
      </c>
      <c r="BV1091" t="str">
        <v>530545 Prima amortizada</v>
      </c>
      <c r="BZ1091" t="str">
        <v>530545 Prima amortizada</v>
      </c>
      <c r="CA1091" t="str">
        <v>530545 Prima amortizada</v>
      </c>
      <c r="CB1091" t="str">
        <v>530545 Prima amortizada</v>
      </c>
      <c r="CC1091" t="str">
        <v>530545 Prima amortizada</v>
      </c>
      <c r="CD1091" t="str">
        <v>530545 Prima amortizada</v>
      </c>
      <c r="CE1091" t="str">
        <v>530545 Prima amortizada</v>
      </c>
      <c r="CS1091" s="141" t="str">
        <v>530545 Prima amortizada</v>
      </c>
      <c r="CT1091" s="141" t="str">
        <v>530545 Prima amortizada</v>
      </c>
      <c r="CU1091" s="141" t="str">
        <v>530545 Prima amortizada</v>
      </c>
      <c r="CV1091" s="141" t="str">
        <v>530545 Prima amortizada</v>
      </c>
      <c r="CW1091" s="141" t="str">
        <v>530545 Prima amortizada</v>
      </c>
      <c r="CX1091" s="141" t="str">
        <v>530545 Prima amortizada</v>
      </c>
      <c r="CY1091" s="141" t="str">
        <v>530545 Prima amortizada</v>
      </c>
      <c r="CZ1091" s="141" t="str">
        <v>530545 Prima amortizada</v>
      </c>
      <c r="DA1091" s="141" t="str">
        <v>530545 Prima amortizada</v>
      </c>
      <c r="DF1091" t="str">
        <v>530545 Prima amortizada</v>
      </c>
      <c r="DG1091" t="str">
        <v>530545 Prima amortizada</v>
      </c>
      <c r="DH1091" t="str">
        <v>530545 Prima amortizada</v>
      </c>
      <c r="DI1091" t="str">
        <v>530545 Prima amortizada</v>
      </c>
      <c r="DJ1091" t="str">
        <v>530545 Prima amortizada</v>
      </c>
      <c r="DK1091" t="str">
        <v>530545 Prima amortizada</v>
      </c>
      <c r="DL1091" t="str">
        <v>530545 Prima amortizada</v>
      </c>
      <c r="DM1091" t="str">
        <v>530545 Prima amortizada</v>
      </c>
      <c r="DN1091" t="str">
        <v>530545 Prima amortizada</v>
      </c>
      <c r="DO1091" t="str">
        <v>530545 Prima amortizada</v>
      </c>
      <c r="DP1091" t="str">
        <v>530545 Prima amortizada</v>
      </c>
    </row>
    <row r="1092" spans="4:120" ht="12.75">
      <c r="D1092" s="7">
        <v>530595</v>
      </c>
      <c r="E1092" s="6" t="s">
        <v>45</v>
      </c>
      <c r="F1092" s="5">
        <v>4</v>
      </c>
      <c r="G1092" s="34" t="s">
        <v>830</v>
      </c>
      <c r="H1092" s="8" t="s">
        <v>32</v>
      </c>
      <c r="I1092" t="b">
        <f>+ISNUMBER(SEARCH('F-COMPRA'!$F$28,Tabla11[[#This Row],[Cuenta]],1))</f>
        <v>1</v>
      </c>
      <c r="J1092" t="b">
        <f>+ISNUMBER(SEARCH('F-COMPRA'!$F$29,Tabla11[[#This Row],[Cuenta]],1))</f>
        <v>1</v>
      </c>
      <c r="K1092" t="b">
        <f>+ISNUMBER(SEARCH('F-COMPRA'!$F$30,Tabla11[[#This Row],[Cuenta]],1))</f>
        <v>1</v>
      </c>
      <c r="L1092" t="b">
        <f>+ISNUMBER(SEARCH('F-COMPRA'!$F$31,Tabla11[[#This Row],[Cuenta]],1))</f>
        <v>1</v>
      </c>
      <c r="M1092" t="b">
        <f>+ISNUMBER(SEARCH('F-COMPRA'!$G$25,Tabla11[[#This Row],[Cuenta]],1))</f>
        <v>0</v>
      </c>
      <c r="N1092" t="b">
        <f>+ISNUMBER(SEARCH(#REF!,Tabla11[[#This Row],[Cuenta]],1))</f>
        <v>0</v>
      </c>
      <c r="O1092" t="b">
        <f>+ISNUMBER(SEARCH(#REF!,Tabla11[[#This Row],[Cuenta]],1))</f>
        <v>0</v>
      </c>
      <c r="P1092" t="b">
        <f>+ISNUMBER(SEARCH('F-COMPRA'!$F$32,Tabla11[[#This Row],[Cuenta]],1))</f>
        <v>1</v>
      </c>
      <c r="Q1092" t="b">
        <f>+ISNUMBER(SEARCH('F-COMPRA'!$F$33,Tabla11[[#This Row],[Cuenta]],1))</f>
        <v>1</v>
      </c>
      <c r="R1092" t="b">
        <f>+ISNUMBER(SEARCH('F-COMPRA'!$F$34,Tabla11[[#This Row],[Cuenta]],1))</f>
        <v>1</v>
      </c>
      <c r="S1092" t="b">
        <f>+ISNUMBER(SEARCH('F-COMPRA'!$F$35,Tabla11[[#This Row],[Cuenta]],1))</f>
        <v>1</v>
      </c>
      <c r="T1092" t="b">
        <f>+ISNUMBER(SEARCH('F-COMPRA'!$F$36,Tabla11[[#This Row],[Cuenta]],1))</f>
        <v>1</v>
      </c>
      <c r="U1092" t="b">
        <f>+ISNUMBER(SEARCH('F-COMPRA'!$F$37,Tabla11[[#This Row],[Cuenta]],1))</f>
        <v>1</v>
      </c>
      <c r="V1092" t="b">
        <f>+ISNUMBER(SEARCH(#REF!,Tabla11[[#This Row],[Cuenta]],1))</f>
        <v>0</v>
      </c>
      <c r="W1092" t="b">
        <f>+ISNUMBER(SEARCH('F-COMPRA'!#REF!,Tabla11[[#This Row],[Cuenta]],1))</f>
        <v>0</v>
      </c>
      <c r="X1092" t="b">
        <f>+ISNUMBER(SEARCH('F-COMPRA'!#REF!,Tabla11[[#This Row],[Cuenta]],1))</f>
        <v>0</v>
      </c>
      <c r="Y1092" t="b">
        <f>+ISNUMBER(SEARCH('F-COMPRA'!#REF!,Tabla11[[#This Row],[Cuenta]],1))</f>
        <v>0</v>
      </c>
      <c r="Z1092" t="b">
        <f>+ISNUMBER(SEARCH('F-COMPRA'!#REF!,Tabla11[[#This Row],[Cuenta]],1))</f>
        <v>0</v>
      </c>
      <c r="AA1092" t="b">
        <f>+ISNUMBER(SEARCH('F-COMPRA'!#REF!,Tabla11[[#This Row],[Cuenta]],1))</f>
        <v>0</v>
      </c>
      <c r="AB1092" t="b">
        <f>+ISNUMBER(SEARCH('F-COMPRA'!#REF!,Tabla11[[#This Row],[Cuenta]],1))</f>
        <v>0</v>
      </c>
      <c r="AC1092" t="b">
        <f>+ISNUMBER(SEARCH('F-COMPRA'!#REF!,Tabla11[[#This Row],[Cuenta]],1))</f>
        <v>0</v>
      </c>
      <c r="AD1092" t="b">
        <f>+ISNUMBER(SEARCH('F-COMPRA'!#REF!,Tabla11[[#This Row],[Cuenta]],1))</f>
        <v>0</v>
      </c>
      <c r="AE1092" t="b">
        <f>+ISNUMBER(SEARCH('F-COMPRA'!#REF!,Tabla11[[#This Row],[Cuenta]],1))</f>
        <v>0</v>
      </c>
      <c r="AF1092" t="b">
        <f>+ISNUMBER(SEARCH('F-VTA'!$G$23,Tabla11[[#This Row],[Cuenta]],1))</f>
        <v>0</v>
      </c>
      <c r="AG1092" t="b">
        <f>+ISNUMBER(SEARCH('F-VTA'!$G$24,Tabla11[[#This Row],[Cuenta]],1))</f>
        <v>0</v>
      </c>
      <c r="AH1092" t="b">
        <f>+ISNUMBER(SEARCH('F-VTA'!$G$25,Tabla11[[#This Row],[Cuenta]],1))</f>
        <v>0</v>
      </c>
      <c r="AI1092" t="b">
        <f>+ISNUMBER(SEARCH('F-VTA'!$F$28,Tabla11[[#This Row],[Cuenta]],1))</f>
        <v>1</v>
      </c>
      <c r="AJ1092" t="b">
        <f>+ISNUMBER(SEARCH('F-VTA'!$F$29,Tabla11[[#This Row],[Cuenta]],1))</f>
        <v>1</v>
      </c>
      <c r="AK1092" t="b">
        <f>+ISNUMBER(SEARCH('F-VTA'!$F$30,Tabla11[[#This Row],[Cuenta]],1))</f>
        <v>1</v>
      </c>
      <c r="AL1092" t="b">
        <f>+ISNUMBER(SEARCH('F-VTA'!$F$31,Tabla11[[#This Row],[Cuenta]],1))</f>
        <v>1</v>
      </c>
      <c r="AM1092" t="b">
        <f>+ISNUMBER(SEARCH('F-VTA'!$F$32,Tabla11[[#This Row],[Cuenta]],1))</f>
        <v>1</v>
      </c>
      <c r="AN1092" t="b">
        <f>+ISNUMBER(SEARCH('F-VTA'!$F$33,Tabla11[[#This Row],[Cuenta]],1))</f>
        <v>1</v>
      </c>
      <c r="AO1092" t="b">
        <f>+ISNUMBER(SEARCH('F-VTA'!$F$34,Tabla11[[#This Row],[Cuenta]],1))</f>
        <v>1</v>
      </c>
      <c r="AP1092" t="b">
        <f>+ISNUMBER(SEARCH('F-VTA'!$F$35,Tabla11[[#This Row],[Cuenta]],1))</f>
        <v>1</v>
      </c>
      <c r="AQ1092" t="b">
        <f>+ISNUMBER(SEARCH('F-VTA'!$F$36,Tabla11[[#This Row],[Cuenta]],1))</f>
        <v>1</v>
      </c>
      <c r="AR1092" t="b">
        <f>+ISNUMBER(SEARCH(#REF!,Tabla11[[#This Row],[Cuenta]],1))</f>
        <v>0</v>
      </c>
      <c r="AS1092" t="b">
        <f>+ISNUMBER(SEARCH(#REF!,Tabla11[[#This Row],[Cuenta]],1))</f>
        <v>0</v>
      </c>
      <c r="AT1092" t="b">
        <f>+ISNUMBER(SEARCH(#REF!,Tabla11[[#This Row],[Cuenta]],1))</f>
        <v>0</v>
      </c>
      <c r="AU1092" t="b">
        <f>+ISNUMBER(SEARCH('Conc. Ban.1'!$I$9,Tabla11[[#This Row],[Cuenta]],1))</f>
        <v>0</v>
      </c>
      <c r="AV1092" t="b">
        <f>+ISNUMBER(SEARCH(CompConta!$F$21,Tabla11[[#This Row],[Cuenta]],1))</f>
        <v>1</v>
      </c>
      <c r="AW1092" t="b">
        <f>+ISNUMBER(SEARCH(CompConta!$F$22,Tabla11[[#This Row],[Cuenta]],1))</f>
        <v>1</v>
      </c>
      <c r="AX1092" t="b">
        <f>+ISNUMBER(SEARCH(CompConta!$F$23,Tabla11[[#This Row],[Cuenta]],1))</f>
        <v>1</v>
      </c>
      <c r="AY1092" t="b">
        <f>+ISNUMBER(SEARCH(CompConta!$F$24,Tabla11[[#This Row],[Cuenta]],1))</f>
        <v>1</v>
      </c>
      <c r="AZ1092" t="b">
        <f>+ISNUMBER(SEARCH(CompConta!$F$25,Tabla11[[#This Row],[Cuenta]],1))</f>
        <v>1</v>
      </c>
      <c r="BA1092" t="b">
        <f>+ISNUMBER(SEARCH(CompConta!$F$26,Tabla11[[#This Row],[Cuenta]],1))</f>
        <v>1</v>
      </c>
      <c r="BB1092" t="b">
        <f>+ISNUMBER(SEARCH(CompConta!$F$27,Tabla11[[#This Row],[Cuenta]],1))</f>
        <v>1</v>
      </c>
      <c r="BC1092" t="b">
        <f>+ISNUMBER(SEARCH(CompConta!$F$28,Tabla11[[#This Row],[Cuenta]],1))</f>
        <v>1</v>
      </c>
      <c r="BD1092" t="b">
        <f>+ISNUMBER(SEARCH(CompConta!$F$29,Tabla11[[#This Row],[Cuenta]],1))</f>
        <v>1</v>
      </c>
      <c r="BE1092" t="b">
        <f>+ISNUMBER(SEARCH(CompConta!$F$30,Tabla11[[#This Row],[Cuenta]],1))</f>
        <v>1</v>
      </c>
      <c r="BF1092" t="b">
        <f>+ISNUMBER(SEARCH('PAGO Compras'!$E$11,Tabla11[[#This Row],[Cuenta]],1))</f>
        <v>1</v>
      </c>
      <c r="BG1092" t="b">
        <f>+ISNUMBER(SEARCH(#REF!,Tabla11[[#This Row],[Cuenta]],1))</f>
        <v>0</v>
      </c>
      <c r="BH1092" t="b">
        <f>+ISNUMBER(SEARCH(#REF!,Tabla11[[#This Row],[Cuenta]],1))</f>
        <v>0</v>
      </c>
      <c r="BI1092" t="b">
        <f>+ISNUMBER(SEARCH(#REF!,Tabla11[[#This Row],[Cuenta]],1))</f>
        <v>0</v>
      </c>
      <c r="BJ1092" t="b">
        <f>+ISNUMBER(SEARCH(#REF!,Tabla11[[#This Row],[Cuenta]],1))</f>
        <v>0</v>
      </c>
      <c r="BS1092" t="str">
        <v>530595 Otros</v>
      </c>
      <c r="BT1092" t="str">
        <v>530595 Otros</v>
      </c>
      <c r="BU1092" t="str">
        <v>530595 Otros</v>
      </c>
      <c r="BV1092" t="str">
        <v>530595 Otros</v>
      </c>
      <c r="BZ1092" t="str">
        <v>530595 Otros</v>
      </c>
      <c r="CA1092" t="str">
        <v>530595 Otros</v>
      </c>
      <c r="CB1092" t="str">
        <v>530595 Otros</v>
      </c>
      <c r="CC1092" t="str">
        <v>530595 Otros</v>
      </c>
      <c r="CD1092" t="str">
        <v>530595 Otros</v>
      </c>
      <c r="CE1092" t="str">
        <v>530595 Otros</v>
      </c>
      <c r="CS1092" s="141" t="str">
        <v>530595 Otros</v>
      </c>
      <c r="CT1092" s="141" t="str">
        <v>530595 Otros</v>
      </c>
      <c r="CU1092" s="141" t="str">
        <v>530595 Otros</v>
      </c>
      <c r="CV1092" s="141" t="str">
        <v>530595 Otros</v>
      </c>
      <c r="CW1092" s="141" t="str">
        <v>530595 Otros</v>
      </c>
      <c r="CX1092" s="141" t="str">
        <v>530595 Otros</v>
      </c>
      <c r="CY1092" s="141" t="str">
        <v>530595 Otros</v>
      </c>
      <c r="CZ1092" s="141" t="str">
        <v>530595 Otros</v>
      </c>
      <c r="DA1092" s="141" t="str">
        <v>530595 Otros</v>
      </c>
      <c r="DF1092" t="str">
        <v>530595 Otros</v>
      </c>
      <c r="DG1092" t="str">
        <v>530595 Otros</v>
      </c>
      <c r="DH1092" t="str">
        <v>530595 Otros</v>
      </c>
      <c r="DI1092" t="str">
        <v>530595 Otros</v>
      </c>
      <c r="DJ1092" t="str">
        <v>530595 Otros</v>
      </c>
      <c r="DK1092" t="str">
        <v>530595 Otros</v>
      </c>
      <c r="DL1092" t="str">
        <v>530595 Otros</v>
      </c>
      <c r="DM1092" t="str">
        <v>530595 Otros</v>
      </c>
      <c r="DN1092" t="str">
        <v>530595 Otros</v>
      </c>
      <c r="DO1092" t="str">
        <v>530595 Otros</v>
      </c>
      <c r="DP1092" t="str">
        <v>530595 Otros</v>
      </c>
    </row>
    <row r="1093" spans="4:120" ht="12.75">
      <c r="D1093" s="7">
        <v>530599</v>
      </c>
      <c r="E1093" s="6" t="s">
        <v>93</v>
      </c>
      <c r="F1093" s="5">
        <v>4</v>
      </c>
      <c r="G1093" s="34" t="s">
        <v>830</v>
      </c>
      <c r="H1093" s="8" t="s">
        <v>32</v>
      </c>
      <c r="I1093" t="b">
        <f>+ISNUMBER(SEARCH('F-COMPRA'!$F$28,Tabla11[[#This Row],[Cuenta]],1))</f>
        <v>1</v>
      </c>
      <c r="J1093" t="b">
        <f>+ISNUMBER(SEARCH('F-COMPRA'!$F$29,Tabla11[[#This Row],[Cuenta]],1))</f>
        <v>1</v>
      </c>
      <c r="K1093" t="b">
        <f>+ISNUMBER(SEARCH('F-COMPRA'!$F$30,Tabla11[[#This Row],[Cuenta]],1))</f>
        <v>1</v>
      </c>
      <c r="L1093" t="b">
        <f>+ISNUMBER(SEARCH('F-COMPRA'!$F$31,Tabla11[[#This Row],[Cuenta]],1))</f>
        <v>1</v>
      </c>
      <c r="M1093" t="b">
        <f>+ISNUMBER(SEARCH('F-COMPRA'!$G$25,Tabla11[[#This Row],[Cuenta]],1))</f>
        <v>0</v>
      </c>
      <c r="N1093" t="b">
        <f>+ISNUMBER(SEARCH(#REF!,Tabla11[[#This Row],[Cuenta]],1))</f>
        <v>0</v>
      </c>
      <c r="O1093" t="b">
        <f>+ISNUMBER(SEARCH(#REF!,Tabla11[[#This Row],[Cuenta]],1))</f>
        <v>0</v>
      </c>
      <c r="P1093" t="b">
        <f>+ISNUMBER(SEARCH('F-COMPRA'!$F$32,Tabla11[[#This Row],[Cuenta]],1))</f>
        <v>1</v>
      </c>
      <c r="Q1093" t="b">
        <f>+ISNUMBER(SEARCH('F-COMPRA'!$F$33,Tabla11[[#This Row],[Cuenta]],1))</f>
        <v>1</v>
      </c>
      <c r="R1093" t="b">
        <f>+ISNUMBER(SEARCH('F-COMPRA'!$F$34,Tabla11[[#This Row],[Cuenta]],1))</f>
        <v>1</v>
      </c>
      <c r="S1093" t="b">
        <f>+ISNUMBER(SEARCH('F-COMPRA'!$F$35,Tabla11[[#This Row],[Cuenta]],1))</f>
        <v>1</v>
      </c>
      <c r="T1093" t="b">
        <f>+ISNUMBER(SEARCH('F-COMPRA'!$F$36,Tabla11[[#This Row],[Cuenta]],1))</f>
        <v>1</v>
      </c>
      <c r="U1093" t="b">
        <f>+ISNUMBER(SEARCH('F-COMPRA'!$F$37,Tabla11[[#This Row],[Cuenta]],1))</f>
        <v>1</v>
      </c>
      <c r="V1093" t="b">
        <f>+ISNUMBER(SEARCH(#REF!,Tabla11[[#This Row],[Cuenta]],1))</f>
        <v>0</v>
      </c>
      <c r="W1093" t="b">
        <f>+ISNUMBER(SEARCH('F-COMPRA'!#REF!,Tabla11[[#This Row],[Cuenta]],1))</f>
        <v>0</v>
      </c>
      <c r="X1093" t="b">
        <f>+ISNUMBER(SEARCH('F-COMPRA'!#REF!,Tabla11[[#This Row],[Cuenta]],1))</f>
        <v>0</v>
      </c>
      <c r="Y1093" t="b">
        <f>+ISNUMBER(SEARCH('F-COMPRA'!#REF!,Tabla11[[#This Row],[Cuenta]],1))</f>
        <v>0</v>
      </c>
      <c r="Z1093" t="b">
        <f>+ISNUMBER(SEARCH('F-COMPRA'!#REF!,Tabla11[[#This Row],[Cuenta]],1))</f>
        <v>0</v>
      </c>
      <c r="AA1093" t="b">
        <f>+ISNUMBER(SEARCH('F-COMPRA'!#REF!,Tabla11[[#This Row],[Cuenta]],1))</f>
        <v>0</v>
      </c>
      <c r="AB1093" t="b">
        <f>+ISNUMBER(SEARCH('F-COMPRA'!#REF!,Tabla11[[#This Row],[Cuenta]],1))</f>
        <v>0</v>
      </c>
      <c r="AC1093" t="b">
        <f>+ISNUMBER(SEARCH('F-COMPRA'!#REF!,Tabla11[[#This Row],[Cuenta]],1))</f>
        <v>0</v>
      </c>
      <c r="AD1093" t="b">
        <f>+ISNUMBER(SEARCH('F-COMPRA'!#REF!,Tabla11[[#This Row],[Cuenta]],1))</f>
        <v>0</v>
      </c>
      <c r="AE1093" t="b">
        <f>+ISNUMBER(SEARCH('F-COMPRA'!#REF!,Tabla11[[#This Row],[Cuenta]],1))</f>
        <v>0</v>
      </c>
      <c r="AF1093" t="b">
        <f>+ISNUMBER(SEARCH('F-VTA'!$G$23,Tabla11[[#This Row],[Cuenta]],1))</f>
        <v>0</v>
      </c>
      <c r="AG1093" t="b">
        <f>+ISNUMBER(SEARCH('F-VTA'!$G$24,Tabla11[[#This Row],[Cuenta]],1))</f>
        <v>0</v>
      </c>
      <c r="AH1093" t="b">
        <f>+ISNUMBER(SEARCH('F-VTA'!$G$25,Tabla11[[#This Row],[Cuenta]],1))</f>
        <v>0</v>
      </c>
      <c r="AI1093" t="b">
        <f>+ISNUMBER(SEARCH('F-VTA'!$F$28,Tabla11[[#This Row],[Cuenta]],1))</f>
        <v>1</v>
      </c>
      <c r="AJ1093" t="b">
        <f>+ISNUMBER(SEARCH('F-VTA'!$F$29,Tabla11[[#This Row],[Cuenta]],1))</f>
        <v>1</v>
      </c>
      <c r="AK1093" t="b">
        <f>+ISNUMBER(SEARCH('F-VTA'!$F$30,Tabla11[[#This Row],[Cuenta]],1))</f>
        <v>1</v>
      </c>
      <c r="AL1093" t="b">
        <f>+ISNUMBER(SEARCH('F-VTA'!$F$31,Tabla11[[#This Row],[Cuenta]],1))</f>
        <v>1</v>
      </c>
      <c r="AM1093" t="b">
        <f>+ISNUMBER(SEARCH('F-VTA'!$F$32,Tabla11[[#This Row],[Cuenta]],1))</f>
        <v>1</v>
      </c>
      <c r="AN1093" t="b">
        <f>+ISNUMBER(SEARCH('F-VTA'!$F$33,Tabla11[[#This Row],[Cuenta]],1))</f>
        <v>1</v>
      </c>
      <c r="AO1093" t="b">
        <f>+ISNUMBER(SEARCH('F-VTA'!$F$34,Tabla11[[#This Row],[Cuenta]],1))</f>
        <v>1</v>
      </c>
      <c r="AP1093" t="b">
        <f>+ISNUMBER(SEARCH('F-VTA'!$F$35,Tabla11[[#This Row],[Cuenta]],1))</f>
        <v>1</v>
      </c>
      <c r="AQ1093" t="b">
        <f>+ISNUMBER(SEARCH('F-VTA'!$F$36,Tabla11[[#This Row],[Cuenta]],1))</f>
        <v>1</v>
      </c>
      <c r="AR1093" t="b">
        <f>+ISNUMBER(SEARCH(#REF!,Tabla11[[#This Row],[Cuenta]],1))</f>
        <v>0</v>
      </c>
      <c r="AS1093" t="b">
        <f>+ISNUMBER(SEARCH(#REF!,Tabla11[[#This Row],[Cuenta]],1))</f>
        <v>0</v>
      </c>
      <c r="AT1093" t="b">
        <f>+ISNUMBER(SEARCH(#REF!,Tabla11[[#This Row],[Cuenta]],1))</f>
        <v>0</v>
      </c>
      <c r="AU1093" t="b">
        <f>+ISNUMBER(SEARCH('Conc. Ban.1'!$I$9,Tabla11[[#This Row],[Cuenta]],1))</f>
        <v>0</v>
      </c>
      <c r="AV1093" t="b">
        <f>+ISNUMBER(SEARCH(CompConta!$F$21,Tabla11[[#This Row],[Cuenta]],1))</f>
        <v>1</v>
      </c>
      <c r="AW1093" t="b">
        <f>+ISNUMBER(SEARCH(CompConta!$F$22,Tabla11[[#This Row],[Cuenta]],1))</f>
        <v>1</v>
      </c>
      <c r="AX1093" t="b">
        <f>+ISNUMBER(SEARCH(CompConta!$F$23,Tabla11[[#This Row],[Cuenta]],1))</f>
        <v>1</v>
      </c>
      <c r="AY1093" t="b">
        <f>+ISNUMBER(SEARCH(CompConta!$F$24,Tabla11[[#This Row],[Cuenta]],1))</f>
        <v>1</v>
      </c>
      <c r="AZ1093" t="b">
        <f>+ISNUMBER(SEARCH(CompConta!$F$25,Tabla11[[#This Row],[Cuenta]],1))</f>
        <v>1</v>
      </c>
      <c r="BA1093" t="b">
        <f>+ISNUMBER(SEARCH(CompConta!$F$26,Tabla11[[#This Row],[Cuenta]],1))</f>
        <v>1</v>
      </c>
      <c r="BB1093" t="b">
        <f>+ISNUMBER(SEARCH(CompConta!$F$27,Tabla11[[#This Row],[Cuenta]],1))</f>
        <v>1</v>
      </c>
      <c r="BC1093" t="b">
        <f>+ISNUMBER(SEARCH(CompConta!$F$28,Tabla11[[#This Row],[Cuenta]],1))</f>
        <v>1</v>
      </c>
      <c r="BD1093" t="b">
        <f>+ISNUMBER(SEARCH(CompConta!$F$29,Tabla11[[#This Row],[Cuenta]],1))</f>
        <v>1</v>
      </c>
      <c r="BE1093" t="b">
        <f>+ISNUMBER(SEARCH(CompConta!$F$30,Tabla11[[#This Row],[Cuenta]],1))</f>
        <v>1</v>
      </c>
      <c r="BF1093" t="b">
        <f>+ISNUMBER(SEARCH('PAGO Compras'!$E$11,Tabla11[[#This Row],[Cuenta]],1))</f>
        <v>1</v>
      </c>
      <c r="BG1093" t="b">
        <f>+ISNUMBER(SEARCH(#REF!,Tabla11[[#This Row],[Cuenta]],1))</f>
        <v>0</v>
      </c>
      <c r="BH1093" t="b">
        <f>+ISNUMBER(SEARCH(#REF!,Tabla11[[#This Row],[Cuenta]],1))</f>
        <v>0</v>
      </c>
      <c r="BI1093" t="b">
        <f>+ISNUMBER(SEARCH(#REF!,Tabla11[[#This Row],[Cuenta]],1))</f>
        <v>0</v>
      </c>
      <c r="BJ1093" t="b">
        <f>+ISNUMBER(SEARCH(#REF!,Tabla11[[#This Row],[Cuenta]],1))</f>
        <v>0</v>
      </c>
      <c r="BS1093" t="str">
        <v>530599 *Ajustes por inflación</v>
      </c>
      <c r="BT1093" t="str">
        <v>530599 *Ajustes por inflación</v>
      </c>
      <c r="BU1093" t="str">
        <v>530599 *Ajustes por inflación</v>
      </c>
      <c r="BV1093" t="str">
        <v>530599 *Ajustes por inflación</v>
      </c>
      <c r="BZ1093" t="str">
        <v>530599 *Ajustes por inflación</v>
      </c>
      <c r="CA1093" t="str">
        <v>530599 *Ajustes por inflación</v>
      </c>
      <c r="CB1093" t="str">
        <v>530599 *Ajustes por inflación</v>
      </c>
      <c r="CC1093" t="str">
        <v>530599 *Ajustes por inflación</v>
      </c>
      <c r="CD1093" t="str">
        <v>530599 *Ajustes por inflación</v>
      </c>
      <c r="CE1093" t="str">
        <v>530599 *Ajustes por inflación</v>
      </c>
      <c r="CS1093" s="141" t="str">
        <v>530599 *Ajustes por inflación</v>
      </c>
      <c r="CT1093" s="141" t="str">
        <v>530599 *Ajustes por inflación</v>
      </c>
      <c r="CU1093" s="141" t="str">
        <v>530599 *Ajustes por inflación</v>
      </c>
      <c r="CV1093" s="141" t="str">
        <v>530599 *Ajustes por inflación</v>
      </c>
      <c r="CW1093" s="141" t="str">
        <v>530599 *Ajustes por inflación</v>
      </c>
      <c r="CX1093" s="141" t="str">
        <v>530599 *Ajustes por inflación</v>
      </c>
      <c r="CY1093" s="141" t="str">
        <v>530599 *Ajustes por inflación</v>
      </c>
      <c r="CZ1093" s="141" t="str">
        <v>530599 *Ajustes por inflación</v>
      </c>
      <c r="DA1093" s="141" t="str">
        <v>530599 *Ajustes por inflación</v>
      </c>
      <c r="DF1093" t="str">
        <v>530599 *Ajustes por inflación</v>
      </c>
      <c r="DG1093" t="str">
        <v>530599 *Ajustes por inflación</v>
      </c>
      <c r="DH1093" t="str">
        <v>530599 *Ajustes por inflación</v>
      </c>
      <c r="DI1093" t="str">
        <v>530599 *Ajustes por inflación</v>
      </c>
      <c r="DJ1093" t="str">
        <v>530599 *Ajustes por inflación</v>
      </c>
      <c r="DK1093" t="str">
        <v>530599 *Ajustes por inflación</v>
      </c>
      <c r="DL1093" t="str">
        <v>530599 *Ajustes por inflación</v>
      </c>
      <c r="DM1093" t="str">
        <v>530599 *Ajustes por inflación</v>
      </c>
      <c r="DN1093" t="str">
        <v>530599 *Ajustes por inflación</v>
      </c>
      <c r="DO1093" t="str">
        <v>530599 *Ajustes por inflación</v>
      </c>
      <c r="DP1093" t="str">
        <v>530599 *Ajustes por inflación</v>
      </c>
    </row>
    <row r="1094" spans="4:120" ht="12.75">
      <c r="D1094" s="7">
        <v>5310</v>
      </c>
      <c r="E1094" s="6" t="s">
        <v>635</v>
      </c>
      <c r="F1094" s="5">
        <v>3</v>
      </c>
      <c r="G1094" s="34" t="s">
        <v>830</v>
      </c>
      <c r="H1094" s="8" t="s">
        <v>32</v>
      </c>
      <c r="I1094" t="b">
        <f>+ISNUMBER(SEARCH('F-COMPRA'!$F$28,Tabla11[[#This Row],[Cuenta]],1))</f>
        <v>1</v>
      </c>
      <c r="J1094" t="b">
        <f>+ISNUMBER(SEARCH('F-COMPRA'!$F$29,Tabla11[[#This Row],[Cuenta]],1))</f>
        <v>1</v>
      </c>
      <c r="K1094" t="b">
        <f>+ISNUMBER(SEARCH('F-COMPRA'!$F$30,Tabla11[[#This Row],[Cuenta]],1))</f>
        <v>1</v>
      </c>
      <c r="L1094" t="b">
        <f>+ISNUMBER(SEARCH('F-COMPRA'!$F$31,Tabla11[[#This Row],[Cuenta]],1))</f>
        <v>1</v>
      </c>
      <c r="M1094" t="b">
        <f>+ISNUMBER(SEARCH('F-COMPRA'!$G$25,Tabla11[[#This Row],[Cuenta]],1))</f>
        <v>0</v>
      </c>
      <c r="N1094" t="b">
        <f>+ISNUMBER(SEARCH(#REF!,Tabla11[[#This Row],[Cuenta]],1))</f>
        <v>0</v>
      </c>
      <c r="O1094" t="b">
        <f>+ISNUMBER(SEARCH(#REF!,Tabla11[[#This Row],[Cuenta]],1))</f>
        <v>0</v>
      </c>
      <c r="P1094" t="b">
        <f>+ISNUMBER(SEARCH('F-COMPRA'!$F$32,Tabla11[[#This Row],[Cuenta]],1))</f>
        <v>1</v>
      </c>
      <c r="Q1094" t="b">
        <f>+ISNUMBER(SEARCH('F-COMPRA'!$F$33,Tabla11[[#This Row],[Cuenta]],1))</f>
        <v>1</v>
      </c>
      <c r="R1094" t="b">
        <f>+ISNUMBER(SEARCH('F-COMPRA'!$F$34,Tabla11[[#This Row],[Cuenta]],1))</f>
        <v>1</v>
      </c>
      <c r="S1094" t="b">
        <f>+ISNUMBER(SEARCH('F-COMPRA'!$F$35,Tabla11[[#This Row],[Cuenta]],1))</f>
        <v>1</v>
      </c>
      <c r="T1094" t="b">
        <f>+ISNUMBER(SEARCH('F-COMPRA'!$F$36,Tabla11[[#This Row],[Cuenta]],1))</f>
        <v>1</v>
      </c>
      <c r="U1094" t="b">
        <f>+ISNUMBER(SEARCH('F-COMPRA'!$F$37,Tabla11[[#This Row],[Cuenta]],1))</f>
        <v>1</v>
      </c>
      <c r="V1094" t="b">
        <f>+ISNUMBER(SEARCH(#REF!,Tabla11[[#This Row],[Cuenta]],1))</f>
        <v>0</v>
      </c>
      <c r="W1094" t="b">
        <f>+ISNUMBER(SEARCH('F-COMPRA'!#REF!,Tabla11[[#This Row],[Cuenta]],1))</f>
        <v>0</v>
      </c>
      <c r="X1094" t="b">
        <f>+ISNUMBER(SEARCH('F-COMPRA'!#REF!,Tabla11[[#This Row],[Cuenta]],1))</f>
        <v>0</v>
      </c>
      <c r="Y1094" t="b">
        <f>+ISNUMBER(SEARCH('F-COMPRA'!#REF!,Tabla11[[#This Row],[Cuenta]],1))</f>
        <v>0</v>
      </c>
      <c r="Z1094" t="b">
        <f>+ISNUMBER(SEARCH('F-COMPRA'!#REF!,Tabla11[[#This Row],[Cuenta]],1))</f>
        <v>0</v>
      </c>
      <c r="AA1094" t="b">
        <f>+ISNUMBER(SEARCH('F-COMPRA'!#REF!,Tabla11[[#This Row],[Cuenta]],1))</f>
        <v>0</v>
      </c>
      <c r="AB1094" t="b">
        <f>+ISNUMBER(SEARCH('F-COMPRA'!#REF!,Tabla11[[#This Row],[Cuenta]],1))</f>
        <v>0</v>
      </c>
      <c r="AC1094" t="b">
        <f>+ISNUMBER(SEARCH('F-COMPRA'!#REF!,Tabla11[[#This Row],[Cuenta]],1))</f>
        <v>0</v>
      </c>
      <c r="AD1094" t="b">
        <f>+ISNUMBER(SEARCH('F-COMPRA'!#REF!,Tabla11[[#This Row],[Cuenta]],1))</f>
        <v>0</v>
      </c>
      <c r="AE1094" t="b">
        <f>+ISNUMBER(SEARCH('F-COMPRA'!#REF!,Tabla11[[#This Row],[Cuenta]],1))</f>
        <v>0</v>
      </c>
      <c r="AF1094" t="b">
        <f>+ISNUMBER(SEARCH('F-VTA'!$G$23,Tabla11[[#This Row],[Cuenta]],1))</f>
        <v>0</v>
      </c>
      <c r="AG1094" t="b">
        <f>+ISNUMBER(SEARCH('F-VTA'!$G$24,Tabla11[[#This Row],[Cuenta]],1))</f>
        <v>0</v>
      </c>
      <c r="AH1094" t="b">
        <f>+ISNUMBER(SEARCH('F-VTA'!$G$25,Tabla11[[#This Row],[Cuenta]],1))</f>
        <v>0</v>
      </c>
      <c r="AI1094" t="b">
        <f>+ISNUMBER(SEARCH('F-VTA'!$F$28,Tabla11[[#This Row],[Cuenta]],1))</f>
        <v>1</v>
      </c>
      <c r="AJ1094" t="b">
        <f>+ISNUMBER(SEARCH('F-VTA'!$F$29,Tabla11[[#This Row],[Cuenta]],1))</f>
        <v>1</v>
      </c>
      <c r="AK1094" t="b">
        <f>+ISNUMBER(SEARCH('F-VTA'!$F$30,Tabla11[[#This Row],[Cuenta]],1))</f>
        <v>1</v>
      </c>
      <c r="AL1094" t="b">
        <f>+ISNUMBER(SEARCH('F-VTA'!$F$31,Tabla11[[#This Row],[Cuenta]],1))</f>
        <v>1</v>
      </c>
      <c r="AM1094" t="b">
        <f>+ISNUMBER(SEARCH('F-VTA'!$F$32,Tabla11[[#This Row],[Cuenta]],1))</f>
        <v>1</v>
      </c>
      <c r="AN1094" t="b">
        <f>+ISNUMBER(SEARCH('F-VTA'!$F$33,Tabla11[[#This Row],[Cuenta]],1))</f>
        <v>1</v>
      </c>
      <c r="AO1094" t="b">
        <f>+ISNUMBER(SEARCH('F-VTA'!$F$34,Tabla11[[#This Row],[Cuenta]],1))</f>
        <v>1</v>
      </c>
      <c r="AP1094" t="b">
        <f>+ISNUMBER(SEARCH('F-VTA'!$F$35,Tabla11[[#This Row],[Cuenta]],1))</f>
        <v>1</v>
      </c>
      <c r="AQ1094" t="b">
        <f>+ISNUMBER(SEARCH('F-VTA'!$F$36,Tabla11[[#This Row],[Cuenta]],1))</f>
        <v>1</v>
      </c>
      <c r="AR1094" t="b">
        <f>+ISNUMBER(SEARCH(#REF!,Tabla11[[#This Row],[Cuenta]],1))</f>
        <v>0</v>
      </c>
      <c r="AS1094" t="b">
        <f>+ISNUMBER(SEARCH(#REF!,Tabla11[[#This Row],[Cuenta]],1))</f>
        <v>0</v>
      </c>
      <c r="AT1094" t="b">
        <f>+ISNUMBER(SEARCH(#REF!,Tabla11[[#This Row],[Cuenta]],1))</f>
        <v>0</v>
      </c>
      <c r="AU1094" t="b">
        <f>+ISNUMBER(SEARCH('Conc. Ban.1'!$I$9,Tabla11[[#This Row],[Cuenta]],1))</f>
        <v>0</v>
      </c>
      <c r="AV1094" t="b">
        <f>+ISNUMBER(SEARCH(CompConta!$F$21,Tabla11[[#This Row],[Cuenta]],1))</f>
        <v>1</v>
      </c>
      <c r="AW1094" t="b">
        <f>+ISNUMBER(SEARCH(CompConta!$F$22,Tabla11[[#This Row],[Cuenta]],1))</f>
        <v>1</v>
      </c>
      <c r="AX1094" t="b">
        <f>+ISNUMBER(SEARCH(CompConta!$F$23,Tabla11[[#This Row],[Cuenta]],1))</f>
        <v>1</v>
      </c>
      <c r="AY1094" t="b">
        <f>+ISNUMBER(SEARCH(CompConta!$F$24,Tabla11[[#This Row],[Cuenta]],1))</f>
        <v>1</v>
      </c>
      <c r="AZ1094" t="b">
        <f>+ISNUMBER(SEARCH(CompConta!$F$25,Tabla11[[#This Row],[Cuenta]],1))</f>
        <v>1</v>
      </c>
      <c r="BA1094" t="b">
        <f>+ISNUMBER(SEARCH(CompConta!$F$26,Tabla11[[#This Row],[Cuenta]],1))</f>
        <v>1</v>
      </c>
      <c r="BB1094" t="b">
        <f>+ISNUMBER(SEARCH(CompConta!$F$27,Tabla11[[#This Row],[Cuenta]],1))</f>
        <v>1</v>
      </c>
      <c r="BC1094" t="b">
        <f>+ISNUMBER(SEARCH(CompConta!$F$28,Tabla11[[#This Row],[Cuenta]],1))</f>
        <v>1</v>
      </c>
      <c r="BD1094" t="b">
        <f>+ISNUMBER(SEARCH(CompConta!$F$29,Tabla11[[#This Row],[Cuenta]],1))</f>
        <v>1</v>
      </c>
      <c r="BE1094" t="b">
        <f>+ISNUMBER(SEARCH(CompConta!$F$30,Tabla11[[#This Row],[Cuenta]],1))</f>
        <v>1</v>
      </c>
      <c r="BF1094" t="b">
        <f>+ISNUMBER(SEARCH('PAGO Compras'!$E$11,Tabla11[[#This Row],[Cuenta]],1))</f>
        <v>1</v>
      </c>
      <c r="BG1094" t="b">
        <f>+ISNUMBER(SEARCH(#REF!,Tabla11[[#This Row],[Cuenta]],1))</f>
        <v>0</v>
      </c>
      <c r="BH1094" t="b">
        <f>+ISNUMBER(SEARCH(#REF!,Tabla11[[#This Row],[Cuenta]],1))</f>
        <v>0</v>
      </c>
      <c r="BI1094" t="b">
        <f>+ISNUMBER(SEARCH(#REF!,Tabla11[[#This Row],[Cuenta]],1))</f>
        <v>0</v>
      </c>
      <c r="BJ1094" t="b">
        <f>+ISNUMBER(SEARCH(#REF!,Tabla11[[#This Row],[Cuenta]],1))</f>
        <v>0</v>
      </c>
      <c r="BS1094" t="str">
        <v>5310 PÉRDIDA EN VENTA Y RETIRO DE BIENES</v>
      </c>
      <c r="BT1094" t="str">
        <v>5310 PÉRDIDA EN VENTA Y RETIRO DE BIENES</v>
      </c>
      <c r="BU1094" t="str">
        <v>5310 PÉRDIDA EN VENTA Y RETIRO DE BIENES</v>
      </c>
      <c r="BV1094" t="str">
        <v>5310 PÉRDIDA EN VENTA Y RETIRO DE BIENES</v>
      </c>
      <c r="BZ1094" t="str">
        <v>5310 PÉRDIDA EN VENTA Y RETIRO DE BIENES</v>
      </c>
      <c r="CA1094" t="str">
        <v>5310 PÉRDIDA EN VENTA Y RETIRO DE BIENES</v>
      </c>
      <c r="CB1094" t="str">
        <v>5310 PÉRDIDA EN VENTA Y RETIRO DE BIENES</v>
      </c>
      <c r="CC1094" t="str">
        <v>5310 PÉRDIDA EN VENTA Y RETIRO DE BIENES</v>
      </c>
      <c r="CD1094" t="str">
        <v>5310 PÉRDIDA EN VENTA Y RETIRO DE BIENES</v>
      </c>
      <c r="CE1094" t="str">
        <v>5310 PÉRDIDA EN VENTA Y RETIRO DE BIENES</v>
      </c>
      <c r="CS1094" s="141" t="str">
        <v>5310 PÉRDIDA EN VENTA Y RETIRO DE BIENES</v>
      </c>
      <c r="CT1094" s="141" t="str">
        <v>5310 PÉRDIDA EN VENTA Y RETIRO DE BIENES</v>
      </c>
      <c r="CU1094" s="141" t="str">
        <v>5310 PÉRDIDA EN VENTA Y RETIRO DE BIENES</v>
      </c>
      <c r="CV1094" s="141" t="str">
        <v>5310 PÉRDIDA EN VENTA Y RETIRO DE BIENES</v>
      </c>
      <c r="CW1094" s="141" t="str">
        <v>5310 PÉRDIDA EN VENTA Y RETIRO DE BIENES</v>
      </c>
      <c r="CX1094" s="141" t="str">
        <v>5310 PÉRDIDA EN VENTA Y RETIRO DE BIENES</v>
      </c>
      <c r="CY1094" s="141" t="str">
        <v>5310 PÉRDIDA EN VENTA Y RETIRO DE BIENES</v>
      </c>
      <c r="CZ1094" s="141" t="str">
        <v>5310 PÉRDIDA EN VENTA Y RETIRO DE BIENES</v>
      </c>
      <c r="DA1094" s="141" t="str">
        <v>5310 PÉRDIDA EN VENTA Y RETIRO DE BIENES</v>
      </c>
      <c r="DF1094" t="str">
        <v>5310 PÉRDIDA EN VENTA Y RETIRO DE BIENES</v>
      </c>
      <c r="DG1094" t="str">
        <v>5310 PÉRDIDA EN VENTA Y RETIRO DE BIENES</v>
      </c>
      <c r="DH1094" t="str">
        <v>5310 PÉRDIDA EN VENTA Y RETIRO DE BIENES</v>
      </c>
      <c r="DI1094" t="str">
        <v>5310 PÉRDIDA EN VENTA Y RETIRO DE BIENES</v>
      </c>
      <c r="DJ1094" t="str">
        <v>5310 PÉRDIDA EN VENTA Y RETIRO DE BIENES</v>
      </c>
      <c r="DK1094" t="str">
        <v>5310 PÉRDIDA EN VENTA Y RETIRO DE BIENES</v>
      </c>
      <c r="DL1094" t="str">
        <v>5310 PÉRDIDA EN VENTA Y RETIRO DE BIENES</v>
      </c>
      <c r="DM1094" t="str">
        <v>5310 PÉRDIDA EN VENTA Y RETIRO DE BIENES</v>
      </c>
      <c r="DN1094" t="str">
        <v>5310 PÉRDIDA EN VENTA Y RETIRO DE BIENES</v>
      </c>
      <c r="DO1094" t="str">
        <v>5310 PÉRDIDA EN VENTA Y RETIRO DE BIENES</v>
      </c>
      <c r="DP1094" t="str">
        <v>5310 PÉRDIDA EN VENTA Y RETIRO DE BIENES</v>
      </c>
    </row>
    <row r="1095" spans="4:120" ht="12.75">
      <c r="D1095" s="7">
        <v>531005</v>
      </c>
      <c r="E1095" s="6" t="s">
        <v>508</v>
      </c>
      <c r="F1095" s="5">
        <v>4</v>
      </c>
      <c r="G1095" s="34" t="s">
        <v>830</v>
      </c>
      <c r="H1095" s="8" t="s">
        <v>32</v>
      </c>
      <c r="I1095" t="b">
        <f>+ISNUMBER(SEARCH('F-COMPRA'!$F$28,Tabla11[[#This Row],[Cuenta]],1))</f>
        <v>1</v>
      </c>
      <c r="J1095" t="b">
        <f>+ISNUMBER(SEARCH('F-COMPRA'!$F$29,Tabla11[[#This Row],[Cuenta]],1))</f>
        <v>1</v>
      </c>
      <c r="K1095" t="b">
        <f>+ISNUMBER(SEARCH('F-COMPRA'!$F$30,Tabla11[[#This Row],[Cuenta]],1))</f>
        <v>1</v>
      </c>
      <c r="L1095" t="b">
        <f>+ISNUMBER(SEARCH('F-COMPRA'!$F$31,Tabla11[[#This Row],[Cuenta]],1))</f>
        <v>1</v>
      </c>
      <c r="M1095" t="b">
        <f>+ISNUMBER(SEARCH('F-COMPRA'!$G$25,Tabla11[[#This Row],[Cuenta]],1))</f>
        <v>0</v>
      </c>
      <c r="N1095" t="b">
        <f>+ISNUMBER(SEARCH(#REF!,Tabla11[[#This Row],[Cuenta]],1))</f>
        <v>0</v>
      </c>
      <c r="O1095" t="b">
        <f>+ISNUMBER(SEARCH(#REF!,Tabla11[[#This Row],[Cuenta]],1))</f>
        <v>0</v>
      </c>
      <c r="P1095" t="b">
        <f>+ISNUMBER(SEARCH('F-COMPRA'!$F$32,Tabla11[[#This Row],[Cuenta]],1))</f>
        <v>1</v>
      </c>
      <c r="Q1095" t="b">
        <f>+ISNUMBER(SEARCH('F-COMPRA'!$F$33,Tabla11[[#This Row],[Cuenta]],1))</f>
        <v>1</v>
      </c>
      <c r="R1095" t="b">
        <f>+ISNUMBER(SEARCH('F-COMPRA'!$F$34,Tabla11[[#This Row],[Cuenta]],1))</f>
        <v>1</v>
      </c>
      <c r="S1095" t="b">
        <f>+ISNUMBER(SEARCH('F-COMPRA'!$F$35,Tabla11[[#This Row],[Cuenta]],1))</f>
        <v>1</v>
      </c>
      <c r="T1095" t="b">
        <f>+ISNUMBER(SEARCH('F-COMPRA'!$F$36,Tabla11[[#This Row],[Cuenta]],1))</f>
        <v>1</v>
      </c>
      <c r="U1095" t="b">
        <f>+ISNUMBER(SEARCH('F-COMPRA'!$F$37,Tabla11[[#This Row],[Cuenta]],1))</f>
        <v>1</v>
      </c>
      <c r="V1095" t="b">
        <f>+ISNUMBER(SEARCH(#REF!,Tabla11[[#This Row],[Cuenta]],1))</f>
        <v>0</v>
      </c>
      <c r="W1095" t="b">
        <f>+ISNUMBER(SEARCH('F-COMPRA'!#REF!,Tabla11[[#This Row],[Cuenta]],1))</f>
        <v>0</v>
      </c>
      <c r="X1095" t="b">
        <f>+ISNUMBER(SEARCH('F-COMPRA'!#REF!,Tabla11[[#This Row],[Cuenta]],1))</f>
        <v>0</v>
      </c>
      <c r="Y1095" t="b">
        <f>+ISNUMBER(SEARCH('F-COMPRA'!#REF!,Tabla11[[#This Row],[Cuenta]],1))</f>
        <v>0</v>
      </c>
      <c r="Z1095" t="b">
        <f>+ISNUMBER(SEARCH('F-COMPRA'!#REF!,Tabla11[[#This Row],[Cuenta]],1))</f>
        <v>0</v>
      </c>
      <c r="AA1095" t="b">
        <f>+ISNUMBER(SEARCH('F-COMPRA'!#REF!,Tabla11[[#This Row],[Cuenta]],1))</f>
        <v>0</v>
      </c>
      <c r="AB1095" t="b">
        <f>+ISNUMBER(SEARCH('F-COMPRA'!#REF!,Tabla11[[#This Row],[Cuenta]],1))</f>
        <v>0</v>
      </c>
      <c r="AC1095" t="b">
        <f>+ISNUMBER(SEARCH('F-COMPRA'!#REF!,Tabla11[[#This Row],[Cuenta]],1))</f>
        <v>0</v>
      </c>
      <c r="AD1095" t="b">
        <f>+ISNUMBER(SEARCH('F-COMPRA'!#REF!,Tabla11[[#This Row],[Cuenta]],1))</f>
        <v>0</v>
      </c>
      <c r="AE1095" t="b">
        <f>+ISNUMBER(SEARCH('F-COMPRA'!#REF!,Tabla11[[#This Row],[Cuenta]],1))</f>
        <v>0</v>
      </c>
      <c r="AF1095" t="b">
        <f>+ISNUMBER(SEARCH('F-VTA'!$G$23,Tabla11[[#This Row],[Cuenta]],1))</f>
        <v>0</v>
      </c>
      <c r="AG1095" t="b">
        <f>+ISNUMBER(SEARCH('F-VTA'!$G$24,Tabla11[[#This Row],[Cuenta]],1))</f>
        <v>0</v>
      </c>
      <c r="AH1095" t="b">
        <f>+ISNUMBER(SEARCH('F-VTA'!$G$25,Tabla11[[#This Row],[Cuenta]],1))</f>
        <v>0</v>
      </c>
      <c r="AI1095" t="b">
        <f>+ISNUMBER(SEARCH('F-VTA'!$F$28,Tabla11[[#This Row],[Cuenta]],1))</f>
        <v>1</v>
      </c>
      <c r="AJ1095" t="b">
        <f>+ISNUMBER(SEARCH('F-VTA'!$F$29,Tabla11[[#This Row],[Cuenta]],1))</f>
        <v>1</v>
      </c>
      <c r="AK1095" t="b">
        <f>+ISNUMBER(SEARCH('F-VTA'!$F$30,Tabla11[[#This Row],[Cuenta]],1))</f>
        <v>1</v>
      </c>
      <c r="AL1095" t="b">
        <f>+ISNUMBER(SEARCH('F-VTA'!$F$31,Tabla11[[#This Row],[Cuenta]],1))</f>
        <v>1</v>
      </c>
      <c r="AM1095" t="b">
        <f>+ISNUMBER(SEARCH('F-VTA'!$F$32,Tabla11[[#This Row],[Cuenta]],1))</f>
        <v>1</v>
      </c>
      <c r="AN1095" t="b">
        <f>+ISNUMBER(SEARCH('F-VTA'!$F$33,Tabla11[[#This Row],[Cuenta]],1))</f>
        <v>1</v>
      </c>
      <c r="AO1095" t="b">
        <f>+ISNUMBER(SEARCH('F-VTA'!$F$34,Tabla11[[#This Row],[Cuenta]],1))</f>
        <v>1</v>
      </c>
      <c r="AP1095" t="b">
        <f>+ISNUMBER(SEARCH('F-VTA'!$F$35,Tabla11[[#This Row],[Cuenta]],1))</f>
        <v>1</v>
      </c>
      <c r="AQ1095" t="b">
        <f>+ISNUMBER(SEARCH('F-VTA'!$F$36,Tabla11[[#This Row],[Cuenta]],1))</f>
        <v>1</v>
      </c>
      <c r="AR1095" t="b">
        <f>+ISNUMBER(SEARCH(#REF!,Tabla11[[#This Row],[Cuenta]],1))</f>
        <v>0</v>
      </c>
      <c r="AS1095" t="b">
        <f>+ISNUMBER(SEARCH(#REF!,Tabla11[[#This Row],[Cuenta]],1))</f>
        <v>0</v>
      </c>
      <c r="AT1095" t="b">
        <f>+ISNUMBER(SEARCH(#REF!,Tabla11[[#This Row],[Cuenta]],1))</f>
        <v>0</v>
      </c>
      <c r="AU1095" t="b">
        <f>+ISNUMBER(SEARCH('Conc. Ban.1'!$I$9,Tabla11[[#This Row],[Cuenta]],1))</f>
        <v>0</v>
      </c>
      <c r="AV1095" t="b">
        <f>+ISNUMBER(SEARCH(CompConta!$F$21,Tabla11[[#This Row],[Cuenta]],1))</f>
        <v>1</v>
      </c>
      <c r="AW1095" t="b">
        <f>+ISNUMBER(SEARCH(CompConta!$F$22,Tabla11[[#This Row],[Cuenta]],1))</f>
        <v>1</v>
      </c>
      <c r="AX1095" t="b">
        <f>+ISNUMBER(SEARCH(CompConta!$F$23,Tabla11[[#This Row],[Cuenta]],1))</f>
        <v>1</v>
      </c>
      <c r="AY1095" t="b">
        <f>+ISNUMBER(SEARCH(CompConta!$F$24,Tabla11[[#This Row],[Cuenta]],1))</f>
        <v>1</v>
      </c>
      <c r="AZ1095" t="b">
        <f>+ISNUMBER(SEARCH(CompConta!$F$25,Tabla11[[#This Row],[Cuenta]],1))</f>
        <v>1</v>
      </c>
      <c r="BA1095" t="b">
        <f>+ISNUMBER(SEARCH(CompConta!$F$26,Tabla11[[#This Row],[Cuenta]],1))</f>
        <v>1</v>
      </c>
      <c r="BB1095" t="b">
        <f>+ISNUMBER(SEARCH(CompConta!$F$27,Tabla11[[#This Row],[Cuenta]],1))</f>
        <v>1</v>
      </c>
      <c r="BC1095" t="b">
        <f>+ISNUMBER(SEARCH(CompConta!$F$28,Tabla11[[#This Row],[Cuenta]],1))</f>
        <v>1</v>
      </c>
      <c r="BD1095" t="b">
        <f>+ISNUMBER(SEARCH(CompConta!$F$29,Tabla11[[#This Row],[Cuenta]],1))</f>
        <v>1</v>
      </c>
      <c r="BE1095" t="b">
        <f>+ISNUMBER(SEARCH(CompConta!$F$30,Tabla11[[#This Row],[Cuenta]],1))</f>
        <v>1</v>
      </c>
      <c r="BF1095" t="b">
        <f>+ISNUMBER(SEARCH('PAGO Compras'!$E$11,Tabla11[[#This Row],[Cuenta]],1))</f>
        <v>1</v>
      </c>
      <c r="BG1095" t="b">
        <f>+ISNUMBER(SEARCH(#REF!,Tabla11[[#This Row],[Cuenta]],1))</f>
        <v>0</v>
      </c>
      <c r="BH1095" t="b">
        <f>+ISNUMBER(SEARCH(#REF!,Tabla11[[#This Row],[Cuenta]],1))</f>
        <v>0</v>
      </c>
      <c r="BI1095" t="b">
        <f>+ISNUMBER(SEARCH(#REF!,Tabla11[[#This Row],[Cuenta]],1))</f>
        <v>0</v>
      </c>
      <c r="BJ1095" t="b">
        <f>+ISNUMBER(SEARCH(#REF!,Tabla11[[#This Row],[Cuenta]],1))</f>
        <v>0</v>
      </c>
      <c r="BS1095" t="str">
        <v>531005 Venta de inversiones</v>
      </c>
      <c r="BT1095" t="str">
        <v>531005 Venta de inversiones</v>
      </c>
      <c r="BU1095" t="str">
        <v>531005 Venta de inversiones</v>
      </c>
      <c r="BV1095" t="str">
        <v>531005 Venta de inversiones</v>
      </c>
      <c r="BZ1095" t="str">
        <v>531005 Venta de inversiones</v>
      </c>
      <c r="CA1095" t="str">
        <v>531005 Venta de inversiones</v>
      </c>
      <c r="CB1095" t="str">
        <v>531005 Venta de inversiones</v>
      </c>
      <c r="CC1095" t="str">
        <v>531005 Venta de inversiones</v>
      </c>
      <c r="CD1095" t="str">
        <v>531005 Venta de inversiones</v>
      </c>
      <c r="CE1095" t="str">
        <v>531005 Venta de inversiones</v>
      </c>
      <c r="CS1095" s="141" t="str">
        <v>531005 Venta de inversiones</v>
      </c>
      <c r="CT1095" s="141" t="str">
        <v>531005 Venta de inversiones</v>
      </c>
      <c r="CU1095" s="141" t="str">
        <v>531005 Venta de inversiones</v>
      </c>
      <c r="CV1095" s="141" t="str">
        <v>531005 Venta de inversiones</v>
      </c>
      <c r="CW1095" s="141" t="str">
        <v>531005 Venta de inversiones</v>
      </c>
      <c r="CX1095" s="141" t="str">
        <v>531005 Venta de inversiones</v>
      </c>
      <c r="CY1095" s="141" t="str">
        <v>531005 Venta de inversiones</v>
      </c>
      <c r="CZ1095" s="141" t="str">
        <v>531005 Venta de inversiones</v>
      </c>
      <c r="DA1095" s="141" t="str">
        <v>531005 Venta de inversiones</v>
      </c>
      <c r="DF1095" t="str">
        <v>531005 Venta de inversiones</v>
      </c>
      <c r="DG1095" t="str">
        <v>531005 Venta de inversiones</v>
      </c>
      <c r="DH1095" t="str">
        <v>531005 Venta de inversiones</v>
      </c>
      <c r="DI1095" t="str">
        <v>531005 Venta de inversiones</v>
      </c>
      <c r="DJ1095" t="str">
        <v>531005 Venta de inversiones</v>
      </c>
      <c r="DK1095" t="str">
        <v>531005 Venta de inversiones</v>
      </c>
      <c r="DL1095" t="str">
        <v>531005 Venta de inversiones</v>
      </c>
      <c r="DM1095" t="str">
        <v>531005 Venta de inversiones</v>
      </c>
      <c r="DN1095" t="str">
        <v>531005 Venta de inversiones</v>
      </c>
      <c r="DO1095" t="str">
        <v>531005 Venta de inversiones</v>
      </c>
      <c r="DP1095" t="str">
        <v>531005 Venta de inversiones</v>
      </c>
    </row>
    <row r="1096" spans="4:120" ht="12.75">
      <c r="D1096" s="7">
        <v>531010</v>
      </c>
      <c r="E1096" s="6" t="s">
        <v>636</v>
      </c>
      <c r="F1096" s="5">
        <v>4</v>
      </c>
      <c r="G1096" s="34" t="s">
        <v>830</v>
      </c>
      <c r="H1096" s="8" t="s">
        <v>32</v>
      </c>
      <c r="I1096" t="b">
        <f>+ISNUMBER(SEARCH('F-COMPRA'!$F$28,Tabla11[[#This Row],[Cuenta]],1))</f>
        <v>1</v>
      </c>
      <c r="J1096" t="b">
        <f>+ISNUMBER(SEARCH('F-COMPRA'!$F$29,Tabla11[[#This Row],[Cuenta]],1))</f>
        <v>1</v>
      </c>
      <c r="K1096" t="b">
        <f>+ISNUMBER(SEARCH('F-COMPRA'!$F$30,Tabla11[[#This Row],[Cuenta]],1))</f>
        <v>1</v>
      </c>
      <c r="L1096" t="b">
        <f>+ISNUMBER(SEARCH('F-COMPRA'!$F$31,Tabla11[[#This Row],[Cuenta]],1))</f>
        <v>1</v>
      </c>
      <c r="M1096" t="b">
        <f>+ISNUMBER(SEARCH('F-COMPRA'!$G$25,Tabla11[[#This Row],[Cuenta]],1))</f>
        <v>0</v>
      </c>
      <c r="N1096" t="b">
        <f>+ISNUMBER(SEARCH(#REF!,Tabla11[[#This Row],[Cuenta]],1))</f>
        <v>0</v>
      </c>
      <c r="O1096" t="b">
        <f>+ISNUMBER(SEARCH(#REF!,Tabla11[[#This Row],[Cuenta]],1))</f>
        <v>0</v>
      </c>
      <c r="P1096" t="b">
        <f>+ISNUMBER(SEARCH('F-COMPRA'!$F$32,Tabla11[[#This Row],[Cuenta]],1))</f>
        <v>1</v>
      </c>
      <c r="Q1096" t="b">
        <f>+ISNUMBER(SEARCH('F-COMPRA'!$F$33,Tabla11[[#This Row],[Cuenta]],1))</f>
        <v>1</v>
      </c>
      <c r="R1096" t="b">
        <f>+ISNUMBER(SEARCH('F-COMPRA'!$F$34,Tabla11[[#This Row],[Cuenta]],1))</f>
        <v>1</v>
      </c>
      <c r="S1096" t="b">
        <f>+ISNUMBER(SEARCH('F-COMPRA'!$F$35,Tabla11[[#This Row],[Cuenta]],1))</f>
        <v>1</v>
      </c>
      <c r="T1096" t="b">
        <f>+ISNUMBER(SEARCH('F-COMPRA'!$F$36,Tabla11[[#This Row],[Cuenta]],1))</f>
        <v>1</v>
      </c>
      <c r="U1096" t="b">
        <f>+ISNUMBER(SEARCH('F-COMPRA'!$F$37,Tabla11[[#This Row],[Cuenta]],1))</f>
        <v>1</v>
      </c>
      <c r="V1096" t="b">
        <f>+ISNUMBER(SEARCH(#REF!,Tabla11[[#This Row],[Cuenta]],1))</f>
        <v>0</v>
      </c>
      <c r="W1096" t="b">
        <f>+ISNUMBER(SEARCH('F-COMPRA'!#REF!,Tabla11[[#This Row],[Cuenta]],1))</f>
        <v>0</v>
      </c>
      <c r="X1096" t="b">
        <f>+ISNUMBER(SEARCH('F-COMPRA'!#REF!,Tabla11[[#This Row],[Cuenta]],1))</f>
        <v>0</v>
      </c>
      <c r="Y1096" t="b">
        <f>+ISNUMBER(SEARCH('F-COMPRA'!#REF!,Tabla11[[#This Row],[Cuenta]],1))</f>
        <v>0</v>
      </c>
      <c r="Z1096" t="b">
        <f>+ISNUMBER(SEARCH('F-COMPRA'!#REF!,Tabla11[[#This Row],[Cuenta]],1))</f>
        <v>0</v>
      </c>
      <c r="AA1096" t="b">
        <f>+ISNUMBER(SEARCH('F-COMPRA'!#REF!,Tabla11[[#This Row],[Cuenta]],1))</f>
        <v>0</v>
      </c>
      <c r="AB1096" t="b">
        <f>+ISNUMBER(SEARCH('F-COMPRA'!#REF!,Tabla11[[#This Row],[Cuenta]],1))</f>
        <v>0</v>
      </c>
      <c r="AC1096" t="b">
        <f>+ISNUMBER(SEARCH('F-COMPRA'!#REF!,Tabla11[[#This Row],[Cuenta]],1))</f>
        <v>0</v>
      </c>
      <c r="AD1096" t="b">
        <f>+ISNUMBER(SEARCH('F-COMPRA'!#REF!,Tabla11[[#This Row],[Cuenta]],1))</f>
        <v>0</v>
      </c>
      <c r="AE1096" t="b">
        <f>+ISNUMBER(SEARCH('F-COMPRA'!#REF!,Tabla11[[#This Row],[Cuenta]],1))</f>
        <v>0</v>
      </c>
      <c r="AF1096" t="b">
        <f>+ISNUMBER(SEARCH('F-VTA'!$G$23,Tabla11[[#This Row],[Cuenta]],1))</f>
        <v>0</v>
      </c>
      <c r="AG1096" t="b">
        <f>+ISNUMBER(SEARCH('F-VTA'!$G$24,Tabla11[[#This Row],[Cuenta]],1))</f>
        <v>0</v>
      </c>
      <c r="AH1096" t="b">
        <f>+ISNUMBER(SEARCH('F-VTA'!$G$25,Tabla11[[#This Row],[Cuenta]],1))</f>
        <v>0</v>
      </c>
      <c r="AI1096" t="b">
        <f>+ISNUMBER(SEARCH('F-VTA'!$F$28,Tabla11[[#This Row],[Cuenta]],1))</f>
        <v>1</v>
      </c>
      <c r="AJ1096" t="b">
        <f>+ISNUMBER(SEARCH('F-VTA'!$F$29,Tabla11[[#This Row],[Cuenta]],1))</f>
        <v>1</v>
      </c>
      <c r="AK1096" t="b">
        <f>+ISNUMBER(SEARCH('F-VTA'!$F$30,Tabla11[[#This Row],[Cuenta]],1))</f>
        <v>1</v>
      </c>
      <c r="AL1096" t="b">
        <f>+ISNUMBER(SEARCH('F-VTA'!$F$31,Tabla11[[#This Row],[Cuenta]],1))</f>
        <v>1</v>
      </c>
      <c r="AM1096" t="b">
        <f>+ISNUMBER(SEARCH('F-VTA'!$F$32,Tabla11[[#This Row],[Cuenta]],1))</f>
        <v>1</v>
      </c>
      <c r="AN1096" t="b">
        <f>+ISNUMBER(SEARCH('F-VTA'!$F$33,Tabla11[[#This Row],[Cuenta]],1))</f>
        <v>1</v>
      </c>
      <c r="AO1096" t="b">
        <f>+ISNUMBER(SEARCH('F-VTA'!$F$34,Tabla11[[#This Row],[Cuenta]],1))</f>
        <v>1</v>
      </c>
      <c r="AP1096" t="b">
        <f>+ISNUMBER(SEARCH('F-VTA'!$F$35,Tabla11[[#This Row],[Cuenta]],1))</f>
        <v>1</v>
      </c>
      <c r="AQ1096" t="b">
        <f>+ISNUMBER(SEARCH('F-VTA'!$F$36,Tabla11[[#This Row],[Cuenta]],1))</f>
        <v>1</v>
      </c>
      <c r="AR1096" t="b">
        <f>+ISNUMBER(SEARCH(#REF!,Tabla11[[#This Row],[Cuenta]],1))</f>
        <v>0</v>
      </c>
      <c r="AS1096" t="b">
        <f>+ISNUMBER(SEARCH(#REF!,Tabla11[[#This Row],[Cuenta]],1))</f>
        <v>0</v>
      </c>
      <c r="AT1096" t="b">
        <f>+ISNUMBER(SEARCH(#REF!,Tabla11[[#This Row],[Cuenta]],1))</f>
        <v>0</v>
      </c>
      <c r="AU1096" t="b">
        <f>+ISNUMBER(SEARCH('Conc. Ban.1'!$I$9,Tabla11[[#This Row],[Cuenta]],1))</f>
        <v>0</v>
      </c>
      <c r="AV1096" t="b">
        <f>+ISNUMBER(SEARCH(CompConta!$F$21,Tabla11[[#This Row],[Cuenta]],1))</f>
        <v>1</v>
      </c>
      <c r="AW1096" t="b">
        <f>+ISNUMBER(SEARCH(CompConta!$F$22,Tabla11[[#This Row],[Cuenta]],1))</f>
        <v>1</v>
      </c>
      <c r="AX1096" t="b">
        <f>+ISNUMBER(SEARCH(CompConta!$F$23,Tabla11[[#This Row],[Cuenta]],1))</f>
        <v>1</v>
      </c>
      <c r="AY1096" t="b">
        <f>+ISNUMBER(SEARCH(CompConta!$F$24,Tabla11[[#This Row],[Cuenta]],1))</f>
        <v>1</v>
      </c>
      <c r="AZ1096" t="b">
        <f>+ISNUMBER(SEARCH(CompConta!$F$25,Tabla11[[#This Row],[Cuenta]],1))</f>
        <v>1</v>
      </c>
      <c r="BA1096" t="b">
        <f>+ISNUMBER(SEARCH(CompConta!$F$26,Tabla11[[#This Row],[Cuenta]],1))</f>
        <v>1</v>
      </c>
      <c r="BB1096" t="b">
        <f>+ISNUMBER(SEARCH(CompConta!$F$27,Tabla11[[#This Row],[Cuenta]],1))</f>
        <v>1</v>
      </c>
      <c r="BC1096" t="b">
        <f>+ISNUMBER(SEARCH(CompConta!$F$28,Tabla11[[#This Row],[Cuenta]],1))</f>
        <v>1</v>
      </c>
      <c r="BD1096" t="b">
        <f>+ISNUMBER(SEARCH(CompConta!$F$29,Tabla11[[#This Row],[Cuenta]],1))</f>
        <v>1</v>
      </c>
      <c r="BE1096" t="b">
        <f>+ISNUMBER(SEARCH(CompConta!$F$30,Tabla11[[#This Row],[Cuenta]],1))</f>
        <v>1</v>
      </c>
      <c r="BF1096" t="b">
        <f>+ISNUMBER(SEARCH('PAGO Compras'!$E$11,Tabla11[[#This Row],[Cuenta]],1))</f>
        <v>1</v>
      </c>
      <c r="BG1096" t="b">
        <f>+ISNUMBER(SEARCH(#REF!,Tabla11[[#This Row],[Cuenta]],1))</f>
        <v>0</v>
      </c>
      <c r="BH1096" t="b">
        <f>+ISNUMBER(SEARCH(#REF!,Tabla11[[#This Row],[Cuenta]],1))</f>
        <v>0</v>
      </c>
      <c r="BI1096" t="b">
        <f>+ISNUMBER(SEARCH(#REF!,Tabla11[[#This Row],[Cuenta]],1))</f>
        <v>0</v>
      </c>
      <c r="BJ1096" t="b">
        <f>+ISNUMBER(SEARCH(#REF!,Tabla11[[#This Row],[Cuenta]],1))</f>
        <v>0</v>
      </c>
      <c r="BS1096" t="str">
        <v>531010 Venta de cartera</v>
      </c>
      <c r="BT1096" t="str">
        <v>531010 Venta de cartera</v>
      </c>
      <c r="BU1096" t="str">
        <v>531010 Venta de cartera</v>
      </c>
      <c r="BV1096" t="str">
        <v>531010 Venta de cartera</v>
      </c>
      <c r="BZ1096" t="str">
        <v>531010 Venta de cartera</v>
      </c>
      <c r="CA1096" t="str">
        <v>531010 Venta de cartera</v>
      </c>
      <c r="CB1096" t="str">
        <v>531010 Venta de cartera</v>
      </c>
      <c r="CC1096" t="str">
        <v>531010 Venta de cartera</v>
      </c>
      <c r="CD1096" t="str">
        <v>531010 Venta de cartera</v>
      </c>
      <c r="CE1096" t="str">
        <v>531010 Venta de cartera</v>
      </c>
      <c r="CS1096" s="141" t="str">
        <v>531010 Venta de cartera</v>
      </c>
      <c r="CT1096" s="141" t="str">
        <v>531010 Venta de cartera</v>
      </c>
      <c r="CU1096" s="141" t="str">
        <v>531010 Venta de cartera</v>
      </c>
      <c r="CV1096" s="141" t="str">
        <v>531010 Venta de cartera</v>
      </c>
      <c r="CW1096" s="141" t="str">
        <v>531010 Venta de cartera</v>
      </c>
      <c r="CX1096" s="141" t="str">
        <v>531010 Venta de cartera</v>
      </c>
      <c r="CY1096" s="141" t="str">
        <v>531010 Venta de cartera</v>
      </c>
      <c r="CZ1096" s="141" t="str">
        <v>531010 Venta de cartera</v>
      </c>
      <c r="DA1096" s="141" t="str">
        <v>531010 Venta de cartera</v>
      </c>
      <c r="DF1096" t="str">
        <v>531010 Venta de cartera</v>
      </c>
      <c r="DG1096" t="str">
        <v>531010 Venta de cartera</v>
      </c>
      <c r="DH1096" t="str">
        <v>531010 Venta de cartera</v>
      </c>
      <c r="DI1096" t="str">
        <v>531010 Venta de cartera</v>
      </c>
      <c r="DJ1096" t="str">
        <v>531010 Venta de cartera</v>
      </c>
      <c r="DK1096" t="str">
        <v>531010 Venta de cartera</v>
      </c>
      <c r="DL1096" t="str">
        <v>531010 Venta de cartera</v>
      </c>
      <c r="DM1096" t="str">
        <v>531010 Venta de cartera</v>
      </c>
      <c r="DN1096" t="str">
        <v>531010 Venta de cartera</v>
      </c>
      <c r="DO1096" t="str">
        <v>531010 Venta de cartera</v>
      </c>
      <c r="DP1096" t="str">
        <v>531010 Venta de cartera</v>
      </c>
    </row>
    <row r="1097" spans="4:120" ht="12.75">
      <c r="D1097" s="7">
        <v>531015</v>
      </c>
      <c r="E1097" s="6" t="s">
        <v>637</v>
      </c>
      <c r="F1097" s="5">
        <v>4</v>
      </c>
      <c r="G1097" s="34" t="s">
        <v>830</v>
      </c>
      <c r="H1097" s="8" t="s">
        <v>32</v>
      </c>
      <c r="I1097" t="b">
        <f>+ISNUMBER(SEARCH('F-COMPRA'!$F$28,Tabla11[[#This Row],[Cuenta]],1))</f>
        <v>1</v>
      </c>
      <c r="J1097" t="b">
        <f>+ISNUMBER(SEARCH('F-COMPRA'!$F$29,Tabla11[[#This Row],[Cuenta]],1))</f>
        <v>1</v>
      </c>
      <c r="K1097" t="b">
        <f>+ISNUMBER(SEARCH('F-COMPRA'!$F$30,Tabla11[[#This Row],[Cuenta]],1))</f>
        <v>1</v>
      </c>
      <c r="L1097" t="b">
        <f>+ISNUMBER(SEARCH('F-COMPRA'!$F$31,Tabla11[[#This Row],[Cuenta]],1))</f>
        <v>1</v>
      </c>
      <c r="M1097" t="b">
        <f>+ISNUMBER(SEARCH('F-COMPRA'!$G$25,Tabla11[[#This Row],[Cuenta]],1))</f>
        <v>0</v>
      </c>
      <c r="N1097" t="b">
        <f>+ISNUMBER(SEARCH(#REF!,Tabla11[[#This Row],[Cuenta]],1))</f>
        <v>0</v>
      </c>
      <c r="O1097" t="b">
        <f>+ISNUMBER(SEARCH(#REF!,Tabla11[[#This Row],[Cuenta]],1))</f>
        <v>0</v>
      </c>
      <c r="P1097" t="b">
        <f>+ISNUMBER(SEARCH('F-COMPRA'!$F$32,Tabla11[[#This Row],[Cuenta]],1))</f>
        <v>1</v>
      </c>
      <c r="Q1097" t="b">
        <f>+ISNUMBER(SEARCH('F-COMPRA'!$F$33,Tabla11[[#This Row],[Cuenta]],1))</f>
        <v>1</v>
      </c>
      <c r="R1097" t="b">
        <f>+ISNUMBER(SEARCH('F-COMPRA'!$F$34,Tabla11[[#This Row],[Cuenta]],1))</f>
        <v>1</v>
      </c>
      <c r="S1097" t="b">
        <f>+ISNUMBER(SEARCH('F-COMPRA'!$F$35,Tabla11[[#This Row],[Cuenta]],1))</f>
        <v>1</v>
      </c>
      <c r="T1097" t="b">
        <f>+ISNUMBER(SEARCH('F-COMPRA'!$F$36,Tabla11[[#This Row],[Cuenta]],1))</f>
        <v>1</v>
      </c>
      <c r="U1097" t="b">
        <f>+ISNUMBER(SEARCH('F-COMPRA'!$F$37,Tabla11[[#This Row],[Cuenta]],1))</f>
        <v>1</v>
      </c>
      <c r="V1097" t="b">
        <f>+ISNUMBER(SEARCH(#REF!,Tabla11[[#This Row],[Cuenta]],1))</f>
        <v>0</v>
      </c>
      <c r="W1097" t="b">
        <f>+ISNUMBER(SEARCH('F-COMPRA'!#REF!,Tabla11[[#This Row],[Cuenta]],1))</f>
        <v>0</v>
      </c>
      <c r="X1097" t="b">
        <f>+ISNUMBER(SEARCH('F-COMPRA'!#REF!,Tabla11[[#This Row],[Cuenta]],1))</f>
        <v>0</v>
      </c>
      <c r="Y1097" t="b">
        <f>+ISNUMBER(SEARCH('F-COMPRA'!#REF!,Tabla11[[#This Row],[Cuenta]],1))</f>
        <v>0</v>
      </c>
      <c r="Z1097" t="b">
        <f>+ISNUMBER(SEARCH('F-COMPRA'!#REF!,Tabla11[[#This Row],[Cuenta]],1))</f>
        <v>0</v>
      </c>
      <c r="AA1097" t="b">
        <f>+ISNUMBER(SEARCH('F-COMPRA'!#REF!,Tabla11[[#This Row],[Cuenta]],1))</f>
        <v>0</v>
      </c>
      <c r="AB1097" t="b">
        <f>+ISNUMBER(SEARCH('F-COMPRA'!#REF!,Tabla11[[#This Row],[Cuenta]],1))</f>
        <v>0</v>
      </c>
      <c r="AC1097" t="b">
        <f>+ISNUMBER(SEARCH('F-COMPRA'!#REF!,Tabla11[[#This Row],[Cuenta]],1))</f>
        <v>0</v>
      </c>
      <c r="AD1097" t="b">
        <f>+ISNUMBER(SEARCH('F-COMPRA'!#REF!,Tabla11[[#This Row],[Cuenta]],1))</f>
        <v>0</v>
      </c>
      <c r="AE1097" t="b">
        <f>+ISNUMBER(SEARCH('F-COMPRA'!#REF!,Tabla11[[#This Row],[Cuenta]],1))</f>
        <v>0</v>
      </c>
      <c r="AF1097" t="b">
        <f>+ISNUMBER(SEARCH('F-VTA'!$G$23,Tabla11[[#This Row],[Cuenta]],1))</f>
        <v>0</v>
      </c>
      <c r="AG1097" t="b">
        <f>+ISNUMBER(SEARCH('F-VTA'!$G$24,Tabla11[[#This Row],[Cuenta]],1))</f>
        <v>0</v>
      </c>
      <c r="AH1097" t="b">
        <f>+ISNUMBER(SEARCH('F-VTA'!$G$25,Tabla11[[#This Row],[Cuenta]],1))</f>
        <v>0</v>
      </c>
      <c r="AI1097" t="b">
        <f>+ISNUMBER(SEARCH('F-VTA'!$F$28,Tabla11[[#This Row],[Cuenta]],1))</f>
        <v>1</v>
      </c>
      <c r="AJ1097" t="b">
        <f>+ISNUMBER(SEARCH('F-VTA'!$F$29,Tabla11[[#This Row],[Cuenta]],1))</f>
        <v>1</v>
      </c>
      <c r="AK1097" t="b">
        <f>+ISNUMBER(SEARCH('F-VTA'!$F$30,Tabla11[[#This Row],[Cuenta]],1))</f>
        <v>1</v>
      </c>
      <c r="AL1097" t="b">
        <f>+ISNUMBER(SEARCH('F-VTA'!$F$31,Tabla11[[#This Row],[Cuenta]],1))</f>
        <v>1</v>
      </c>
      <c r="AM1097" t="b">
        <f>+ISNUMBER(SEARCH('F-VTA'!$F$32,Tabla11[[#This Row],[Cuenta]],1))</f>
        <v>1</v>
      </c>
      <c r="AN1097" t="b">
        <f>+ISNUMBER(SEARCH('F-VTA'!$F$33,Tabla11[[#This Row],[Cuenta]],1))</f>
        <v>1</v>
      </c>
      <c r="AO1097" t="b">
        <f>+ISNUMBER(SEARCH('F-VTA'!$F$34,Tabla11[[#This Row],[Cuenta]],1))</f>
        <v>1</v>
      </c>
      <c r="AP1097" t="b">
        <f>+ISNUMBER(SEARCH('F-VTA'!$F$35,Tabla11[[#This Row],[Cuenta]],1))</f>
        <v>1</v>
      </c>
      <c r="AQ1097" t="b">
        <f>+ISNUMBER(SEARCH('F-VTA'!$F$36,Tabla11[[#This Row],[Cuenta]],1))</f>
        <v>1</v>
      </c>
      <c r="AR1097" t="b">
        <f>+ISNUMBER(SEARCH(#REF!,Tabla11[[#This Row],[Cuenta]],1))</f>
        <v>0</v>
      </c>
      <c r="AS1097" t="b">
        <f>+ISNUMBER(SEARCH(#REF!,Tabla11[[#This Row],[Cuenta]],1))</f>
        <v>0</v>
      </c>
      <c r="AT1097" t="b">
        <f>+ISNUMBER(SEARCH(#REF!,Tabla11[[#This Row],[Cuenta]],1))</f>
        <v>0</v>
      </c>
      <c r="AU1097" t="b">
        <f>+ISNUMBER(SEARCH('Conc. Ban.1'!$I$9,Tabla11[[#This Row],[Cuenta]],1))</f>
        <v>0</v>
      </c>
      <c r="AV1097" t="b">
        <f>+ISNUMBER(SEARCH(CompConta!$F$21,Tabla11[[#This Row],[Cuenta]],1))</f>
        <v>1</v>
      </c>
      <c r="AW1097" t="b">
        <f>+ISNUMBER(SEARCH(CompConta!$F$22,Tabla11[[#This Row],[Cuenta]],1))</f>
        <v>1</v>
      </c>
      <c r="AX1097" t="b">
        <f>+ISNUMBER(SEARCH(CompConta!$F$23,Tabla11[[#This Row],[Cuenta]],1))</f>
        <v>1</v>
      </c>
      <c r="AY1097" t="b">
        <f>+ISNUMBER(SEARCH(CompConta!$F$24,Tabla11[[#This Row],[Cuenta]],1))</f>
        <v>1</v>
      </c>
      <c r="AZ1097" t="b">
        <f>+ISNUMBER(SEARCH(CompConta!$F$25,Tabla11[[#This Row],[Cuenta]],1))</f>
        <v>1</v>
      </c>
      <c r="BA1097" t="b">
        <f>+ISNUMBER(SEARCH(CompConta!$F$26,Tabla11[[#This Row],[Cuenta]],1))</f>
        <v>1</v>
      </c>
      <c r="BB1097" t="b">
        <f>+ISNUMBER(SEARCH(CompConta!$F$27,Tabla11[[#This Row],[Cuenta]],1))</f>
        <v>1</v>
      </c>
      <c r="BC1097" t="b">
        <f>+ISNUMBER(SEARCH(CompConta!$F$28,Tabla11[[#This Row],[Cuenta]],1))</f>
        <v>1</v>
      </c>
      <c r="BD1097" t="b">
        <f>+ISNUMBER(SEARCH(CompConta!$F$29,Tabla11[[#This Row],[Cuenta]],1))</f>
        <v>1</v>
      </c>
      <c r="BE1097" t="b">
        <f>+ISNUMBER(SEARCH(CompConta!$F$30,Tabla11[[#This Row],[Cuenta]],1))</f>
        <v>1</v>
      </c>
      <c r="BF1097" t="b">
        <f>+ISNUMBER(SEARCH('PAGO Compras'!$E$11,Tabla11[[#This Row],[Cuenta]],1))</f>
        <v>1</v>
      </c>
      <c r="BG1097" t="b">
        <f>+ISNUMBER(SEARCH(#REF!,Tabla11[[#This Row],[Cuenta]],1))</f>
        <v>0</v>
      </c>
      <c r="BH1097" t="b">
        <f>+ISNUMBER(SEARCH(#REF!,Tabla11[[#This Row],[Cuenta]],1))</f>
        <v>0</v>
      </c>
      <c r="BI1097" t="b">
        <f>+ISNUMBER(SEARCH(#REF!,Tabla11[[#This Row],[Cuenta]],1))</f>
        <v>0</v>
      </c>
      <c r="BJ1097" t="b">
        <f>+ISNUMBER(SEARCH(#REF!,Tabla11[[#This Row],[Cuenta]],1))</f>
        <v>0</v>
      </c>
      <c r="BS1097" t="str">
        <v>531015 Venta de propiedades, planta y equipo</v>
      </c>
      <c r="BT1097" t="str">
        <v>531015 Venta de propiedades, planta y equipo</v>
      </c>
      <c r="BU1097" t="str">
        <v>531015 Venta de propiedades, planta y equipo</v>
      </c>
      <c r="BV1097" t="str">
        <v>531015 Venta de propiedades, planta y equipo</v>
      </c>
      <c r="BZ1097" t="str">
        <v>531015 Venta de propiedades, planta y equipo</v>
      </c>
      <c r="CA1097" t="str">
        <v>531015 Venta de propiedades, planta y equipo</v>
      </c>
      <c r="CB1097" t="str">
        <v>531015 Venta de propiedades, planta y equipo</v>
      </c>
      <c r="CC1097" t="str">
        <v>531015 Venta de propiedades, planta y equipo</v>
      </c>
      <c r="CD1097" t="str">
        <v>531015 Venta de propiedades, planta y equipo</v>
      </c>
      <c r="CE1097" t="str">
        <v>531015 Venta de propiedades, planta y equipo</v>
      </c>
      <c r="CS1097" s="141" t="str">
        <v>531015 Venta de propiedades, planta y equipo</v>
      </c>
      <c r="CT1097" s="141" t="str">
        <v>531015 Venta de propiedades, planta y equipo</v>
      </c>
      <c r="CU1097" s="141" t="str">
        <v>531015 Venta de propiedades, planta y equipo</v>
      </c>
      <c r="CV1097" s="141" t="str">
        <v>531015 Venta de propiedades, planta y equipo</v>
      </c>
      <c r="CW1097" s="141" t="str">
        <v>531015 Venta de propiedades, planta y equipo</v>
      </c>
      <c r="CX1097" s="141" t="str">
        <v>531015 Venta de propiedades, planta y equipo</v>
      </c>
      <c r="CY1097" s="141" t="str">
        <v>531015 Venta de propiedades, planta y equipo</v>
      </c>
      <c r="CZ1097" s="141" t="str">
        <v>531015 Venta de propiedades, planta y equipo</v>
      </c>
      <c r="DA1097" s="141" t="str">
        <v>531015 Venta de propiedades, planta y equipo</v>
      </c>
      <c r="DF1097" t="str">
        <v>531015 Venta de propiedades, planta y equipo</v>
      </c>
      <c r="DG1097" t="str">
        <v>531015 Venta de propiedades, planta y equipo</v>
      </c>
      <c r="DH1097" t="str">
        <v>531015 Venta de propiedades, planta y equipo</v>
      </c>
      <c r="DI1097" t="str">
        <v>531015 Venta de propiedades, planta y equipo</v>
      </c>
      <c r="DJ1097" t="str">
        <v>531015 Venta de propiedades, planta y equipo</v>
      </c>
      <c r="DK1097" t="str">
        <v>531015 Venta de propiedades, planta y equipo</v>
      </c>
      <c r="DL1097" t="str">
        <v>531015 Venta de propiedades, planta y equipo</v>
      </c>
      <c r="DM1097" t="str">
        <v>531015 Venta de propiedades, planta y equipo</v>
      </c>
      <c r="DN1097" t="str">
        <v>531015 Venta de propiedades, planta y equipo</v>
      </c>
      <c r="DO1097" t="str">
        <v>531015 Venta de propiedades, planta y equipo</v>
      </c>
      <c r="DP1097" t="str">
        <v>531015 Venta de propiedades, planta y equipo</v>
      </c>
    </row>
    <row r="1098" spans="4:120" ht="12.75">
      <c r="D1098" s="7">
        <v>531020</v>
      </c>
      <c r="E1098" s="6" t="s">
        <v>638</v>
      </c>
      <c r="F1098" s="5">
        <v>4</v>
      </c>
      <c r="G1098" s="34" t="s">
        <v>830</v>
      </c>
      <c r="H1098" s="8" t="s">
        <v>32</v>
      </c>
      <c r="I1098" t="b">
        <f>+ISNUMBER(SEARCH('F-COMPRA'!$F$28,Tabla11[[#This Row],[Cuenta]],1))</f>
        <v>1</v>
      </c>
      <c r="J1098" t="b">
        <f>+ISNUMBER(SEARCH('F-COMPRA'!$F$29,Tabla11[[#This Row],[Cuenta]],1))</f>
        <v>1</v>
      </c>
      <c r="K1098" t="b">
        <f>+ISNUMBER(SEARCH('F-COMPRA'!$F$30,Tabla11[[#This Row],[Cuenta]],1))</f>
        <v>1</v>
      </c>
      <c r="L1098" t="b">
        <f>+ISNUMBER(SEARCH('F-COMPRA'!$F$31,Tabla11[[#This Row],[Cuenta]],1))</f>
        <v>1</v>
      </c>
      <c r="M1098" t="b">
        <f>+ISNUMBER(SEARCH('F-COMPRA'!$G$25,Tabla11[[#This Row],[Cuenta]],1))</f>
        <v>0</v>
      </c>
      <c r="N1098" t="b">
        <f>+ISNUMBER(SEARCH(#REF!,Tabla11[[#This Row],[Cuenta]],1))</f>
        <v>0</v>
      </c>
      <c r="O1098" t="b">
        <f>+ISNUMBER(SEARCH(#REF!,Tabla11[[#This Row],[Cuenta]],1))</f>
        <v>0</v>
      </c>
      <c r="P1098" t="b">
        <f>+ISNUMBER(SEARCH('F-COMPRA'!$F$32,Tabla11[[#This Row],[Cuenta]],1))</f>
        <v>1</v>
      </c>
      <c r="Q1098" t="b">
        <f>+ISNUMBER(SEARCH('F-COMPRA'!$F$33,Tabla11[[#This Row],[Cuenta]],1))</f>
        <v>1</v>
      </c>
      <c r="R1098" t="b">
        <f>+ISNUMBER(SEARCH('F-COMPRA'!$F$34,Tabla11[[#This Row],[Cuenta]],1))</f>
        <v>1</v>
      </c>
      <c r="S1098" t="b">
        <f>+ISNUMBER(SEARCH('F-COMPRA'!$F$35,Tabla11[[#This Row],[Cuenta]],1))</f>
        <v>1</v>
      </c>
      <c r="T1098" t="b">
        <f>+ISNUMBER(SEARCH('F-COMPRA'!$F$36,Tabla11[[#This Row],[Cuenta]],1))</f>
        <v>1</v>
      </c>
      <c r="U1098" t="b">
        <f>+ISNUMBER(SEARCH('F-COMPRA'!$F$37,Tabla11[[#This Row],[Cuenta]],1))</f>
        <v>1</v>
      </c>
      <c r="V1098" t="b">
        <f>+ISNUMBER(SEARCH(#REF!,Tabla11[[#This Row],[Cuenta]],1))</f>
        <v>0</v>
      </c>
      <c r="W1098" t="b">
        <f>+ISNUMBER(SEARCH('F-COMPRA'!#REF!,Tabla11[[#This Row],[Cuenta]],1))</f>
        <v>0</v>
      </c>
      <c r="X1098" t="b">
        <f>+ISNUMBER(SEARCH('F-COMPRA'!#REF!,Tabla11[[#This Row],[Cuenta]],1))</f>
        <v>0</v>
      </c>
      <c r="Y1098" t="b">
        <f>+ISNUMBER(SEARCH('F-COMPRA'!#REF!,Tabla11[[#This Row],[Cuenta]],1))</f>
        <v>0</v>
      </c>
      <c r="Z1098" t="b">
        <f>+ISNUMBER(SEARCH('F-COMPRA'!#REF!,Tabla11[[#This Row],[Cuenta]],1))</f>
        <v>0</v>
      </c>
      <c r="AA1098" t="b">
        <f>+ISNUMBER(SEARCH('F-COMPRA'!#REF!,Tabla11[[#This Row],[Cuenta]],1))</f>
        <v>0</v>
      </c>
      <c r="AB1098" t="b">
        <f>+ISNUMBER(SEARCH('F-COMPRA'!#REF!,Tabla11[[#This Row],[Cuenta]],1))</f>
        <v>0</v>
      </c>
      <c r="AC1098" t="b">
        <f>+ISNUMBER(SEARCH('F-COMPRA'!#REF!,Tabla11[[#This Row],[Cuenta]],1))</f>
        <v>0</v>
      </c>
      <c r="AD1098" t="b">
        <f>+ISNUMBER(SEARCH('F-COMPRA'!#REF!,Tabla11[[#This Row],[Cuenta]],1))</f>
        <v>0</v>
      </c>
      <c r="AE1098" t="b">
        <f>+ISNUMBER(SEARCH('F-COMPRA'!#REF!,Tabla11[[#This Row],[Cuenta]],1))</f>
        <v>0</v>
      </c>
      <c r="AF1098" t="b">
        <f>+ISNUMBER(SEARCH('F-VTA'!$G$23,Tabla11[[#This Row],[Cuenta]],1))</f>
        <v>0</v>
      </c>
      <c r="AG1098" t="b">
        <f>+ISNUMBER(SEARCH('F-VTA'!$G$24,Tabla11[[#This Row],[Cuenta]],1))</f>
        <v>0</v>
      </c>
      <c r="AH1098" t="b">
        <f>+ISNUMBER(SEARCH('F-VTA'!$G$25,Tabla11[[#This Row],[Cuenta]],1))</f>
        <v>0</v>
      </c>
      <c r="AI1098" t="b">
        <f>+ISNUMBER(SEARCH('F-VTA'!$F$28,Tabla11[[#This Row],[Cuenta]],1))</f>
        <v>1</v>
      </c>
      <c r="AJ1098" t="b">
        <f>+ISNUMBER(SEARCH('F-VTA'!$F$29,Tabla11[[#This Row],[Cuenta]],1))</f>
        <v>1</v>
      </c>
      <c r="AK1098" t="b">
        <f>+ISNUMBER(SEARCH('F-VTA'!$F$30,Tabla11[[#This Row],[Cuenta]],1))</f>
        <v>1</v>
      </c>
      <c r="AL1098" t="b">
        <f>+ISNUMBER(SEARCH('F-VTA'!$F$31,Tabla11[[#This Row],[Cuenta]],1))</f>
        <v>1</v>
      </c>
      <c r="AM1098" t="b">
        <f>+ISNUMBER(SEARCH('F-VTA'!$F$32,Tabla11[[#This Row],[Cuenta]],1))</f>
        <v>1</v>
      </c>
      <c r="AN1098" t="b">
        <f>+ISNUMBER(SEARCH('F-VTA'!$F$33,Tabla11[[#This Row],[Cuenta]],1))</f>
        <v>1</v>
      </c>
      <c r="AO1098" t="b">
        <f>+ISNUMBER(SEARCH('F-VTA'!$F$34,Tabla11[[#This Row],[Cuenta]],1))</f>
        <v>1</v>
      </c>
      <c r="AP1098" t="b">
        <f>+ISNUMBER(SEARCH('F-VTA'!$F$35,Tabla11[[#This Row],[Cuenta]],1))</f>
        <v>1</v>
      </c>
      <c r="AQ1098" t="b">
        <f>+ISNUMBER(SEARCH('F-VTA'!$F$36,Tabla11[[#This Row],[Cuenta]],1))</f>
        <v>1</v>
      </c>
      <c r="AR1098" t="b">
        <f>+ISNUMBER(SEARCH(#REF!,Tabla11[[#This Row],[Cuenta]],1))</f>
        <v>0</v>
      </c>
      <c r="AS1098" t="b">
        <f>+ISNUMBER(SEARCH(#REF!,Tabla11[[#This Row],[Cuenta]],1))</f>
        <v>0</v>
      </c>
      <c r="AT1098" t="b">
        <f>+ISNUMBER(SEARCH(#REF!,Tabla11[[#This Row],[Cuenta]],1))</f>
        <v>0</v>
      </c>
      <c r="AU1098" t="b">
        <f>+ISNUMBER(SEARCH('Conc. Ban.1'!$I$9,Tabla11[[#This Row],[Cuenta]],1))</f>
        <v>0</v>
      </c>
      <c r="AV1098" t="b">
        <f>+ISNUMBER(SEARCH(CompConta!$F$21,Tabla11[[#This Row],[Cuenta]],1))</f>
        <v>1</v>
      </c>
      <c r="AW1098" t="b">
        <f>+ISNUMBER(SEARCH(CompConta!$F$22,Tabla11[[#This Row],[Cuenta]],1))</f>
        <v>1</v>
      </c>
      <c r="AX1098" t="b">
        <f>+ISNUMBER(SEARCH(CompConta!$F$23,Tabla11[[#This Row],[Cuenta]],1))</f>
        <v>1</v>
      </c>
      <c r="AY1098" t="b">
        <f>+ISNUMBER(SEARCH(CompConta!$F$24,Tabla11[[#This Row],[Cuenta]],1))</f>
        <v>1</v>
      </c>
      <c r="AZ1098" t="b">
        <f>+ISNUMBER(SEARCH(CompConta!$F$25,Tabla11[[#This Row],[Cuenta]],1))</f>
        <v>1</v>
      </c>
      <c r="BA1098" t="b">
        <f>+ISNUMBER(SEARCH(CompConta!$F$26,Tabla11[[#This Row],[Cuenta]],1))</f>
        <v>1</v>
      </c>
      <c r="BB1098" t="b">
        <f>+ISNUMBER(SEARCH(CompConta!$F$27,Tabla11[[#This Row],[Cuenta]],1))</f>
        <v>1</v>
      </c>
      <c r="BC1098" t="b">
        <f>+ISNUMBER(SEARCH(CompConta!$F$28,Tabla11[[#This Row],[Cuenta]],1))</f>
        <v>1</v>
      </c>
      <c r="BD1098" t="b">
        <f>+ISNUMBER(SEARCH(CompConta!$F$29,Tabla11[[#This Row],[Cuenta]],1))</f>
        <v>1</v>
      </c>
      <c r="BE1098" t="b">
        <f>+ISNUMBER(SEARCH(CompConta!$F$30,Tabla11[[#This Row],[Cuenta]],1))</f>
        <v>1</v>
      </c>
      <c r="BF1098" t="b">
        <f>+ISNUMBER(SEARCH('PAGO Compras'!$E$11,Tabla11[[#This Row],[Cuenta]],1))</f>
        <v>1</v>
      </c>
      <c r="BG1098" t="b">
        <f>+ISNUMBER(SEARCH(#REF!,Tabla11[[#This Row],[Cuenta]],1))</f>
        <v>0</v>
      </c>
      <c r="BH1098" t="b">
        <f>+ISNUMBER(SEARCH(#REF!,Tabla11[[#This Row],[Cuenta]],1))</f>
        <v>0</v>
      </c>
      <c r="BI1098" t="b">
        <f>+ISNUMBER(SEARCH(#REF!,Tabla11[[#This Row],[Cuenta]],1))</f>
        <v>0</v>
      </c>
      <c r="BJ1098" t="b">
        <f>+ISNUMBER(SEARCH(#REF!,Tabla11[[#This Row],[Cuenta]],1))</f>
        <v>0</v>
      </c>
      <c r="BS1098" t="str">
        <v>531020 Venta de intangibles</v>
      </c>
      <c r="BT1098" t="str">
        <v>531020 Venta de intangibles</v>
      </c>
      <c r="BU1098" t="str">
        <v>531020 Venta de intangibles</v>
      </c>
      <c r="BV1098" t="str">
        <v>531020 Venta de intangibles</v>
      </c>
      <c r="BZ1098" t="str">
        <v>531020 Venta de intangibles</v>
      </c>
      <c r="CA1098" t="str">
        <v>531020 Venta de intangibles</v>
      </c>
      <c r="CB1098" t="str">
        <v>531020 Venta de intangibles</v>
      </c>
      <c r="CC1098" t="str">
        <v>531020 Venta de intangibles</v>
      </c>
      <c r="CD1098" t="str">
        <v>531020 Venta de intangibles</v>
      </c>
      <c r="CE1098" t="str">
        <v>531020 Venta de intangibles</v>
      </c>
      <c r="CS1098" s="141" t="str">
        <v>531020 Venta de intangibles</v>
      </c>
      <c r="CT1098" s="141" t="str">
        <v>531020 Venta de intangibles</v>
      </c>
      <c r="CU1098" s="141" t="str">
        <v>531020 Venta de intangibles</v>
      </c>
      <c r="CV1098" s="141" t="str">
        <v>531020 Venta de intangibles</v>
      </c>
      <c r="CW1098" s="141" t="str">
        <v>531020 Venta de intangibles</v>
      </c>
      <c r="CX1098" s="141" t="str">
        <v>531020 Venta de intangibles</v>
      </c>
      <c r="CY1098" s="141" t="str">
        <v>531020 Venta de intangibles</v>
      </c>
      <c r="CZ1098" s="141" t="str">
        <v>531020 Venta de intangibles</v>
      </c>
      <c r="DA1098" s="141" t="str">
        <v>531020 Venta de intangibles</v>
      </c>
      <c r="DF1098" t="str">
        <v>531020 Venta de intangibles</v>
      </c>
      <c r="DG1098" t="str">
        <v>531020 Venta de intangibles</v>
      </c>
      <c r="DH1098" t="str">
        <v>531020 Venta de intangibles</v>
      </c>
      <c r="DI1098" t="str">
        <v>531020 Venta de intangibles</v>
      </c>
      <c r="DJ1098" t="str">
        <v>531020 Venta de intangibles</v>
      </c>
      <c r="DK1098" t="str">
        <v>531020 Venta de intangibles</v>
      </c>
      <c r="DL1098" t="str">
        <v>531020 Venta de intangibles</v>
      </c>
      <c r="DM1098" t="str">
        <v>531020 Venta de intangibles</v>
      </c>
      <c r="DN1098" t="str">
        <v>531020 Venta de intangibles</v>
      </c>
      <c r="DO1098" t="str">
        <v>531020 Venta de intangibles</v>
      </c>
      <c r="DP1098" t="str">
        <v>531020 Venta de intangibles</v>
      </c>
    </row>
    <row r="1099" spans="4:120" ht="12.75">
      <c r="D1099" s="7">
        <v>531025</v>
      </c>
      <c r="E1099" s="6" t="s">
        <v>639</v>
      </c>
      <c r="F1099" s="5">
        <v>4</v>
      </c>
      <c r="G1099" s="34" t="s">
        <v>830</v>
      </c>
      <c r="H1099" s="8" t="s">
        <v>32</v>
      </c>
      <c r="I1099" t="b">
        <f>+ISNUMBER(SEARCH('F-COMPRA'!$F$28,Tabla11[[#This Row],[Cuenta]],1))</f>
        <v>1</v>
      </c>
      <c r="J1099" t="b">
        <f>+ISNUMBER(SEARCH('F-COMPRA'!$F$29,Tabla11[[#This Row],[Cuenta]],1))</f>
        <v>1</v>
      </c>
      <c r="K1099" t="b">
        <f>+ISNUMBER(SEARCH('F-COMPRA'!$F$30,Tabla11[[#This Row],[Cuenta]],1))</f>
        <v>1</v>
      </c>
      <c r="L1099" t="b">
        <f>+ISNUMBER(SEARCH('F-COMPRA'!$F$31,Tabla11[[#This Row],[Cuenta]],1))</f>
        <v>1</v>
      </c>
      <c r="M1099" t="b">
        <f>+ISNUMBER(SEARCH('F-COMPRA'!$G$25,Tabla11[[#This Row],[Cuenta]],1))</f>
        <v>0</v>
      </c>
      <c r="N1099" t="b">
        <f>+ISNUMBER(SEARCH(#REF!,Tabla11[[#This Row],[Cuenta]],1))</f>
        <v>0</v>
      </c>
      <c r="O1099" t="b">
        <f>+ISNUMBER(SEARCH(#REF!,Tabla11[[#This Row],[Cuenta]],1))</f>
        <v>0</v>
      </c>
      <c r="P1099" t="b">
        <f>+ISNUMBER(SEARCH('F-COMPRA'!$F$32,Tabla11[[#This Row],[Cuenta]],1))</f>
        <v>1</v>
      </c>
      <c r="Q1099" t="b">
        <f>+ISNUMBER(SEARCH('F-COMPRA'!$F$33,Tabla11[[#This Row],[Cuenta]],1))</f>
        <v>1</v>
      </c>
      <c r="R1099" t="b">
        <f>+ISNUMBER(SEARCH('F-COMPRA'!$F$34,Tabla11[[#This Row],[Cuenta]],1))</f>
        <v>1</v>
      </c>
      <c r="S1099" t="b">
        <f>+ISNUMBER(SEARCH('F-COMPRA'!$F$35,Tabla11[[#This Row],[Cuenta]],1))</f>
        <v>1</v>
      </c>
      <c r="T1099" t="b">
        <f>+ISNUMBER(SEARCH('F-COMPRA'!$F$36,Tabla11[[#This Row],[Cuenta]],1))</f>
        <v>1</v>
      </c>
      <c r="U1099" t="b">
        <f>+ISNUMBER(SEARCH('F-COMPRA'!$F$37,Tabla11[[#This Row],[Cuenta]],1))</f>
        <v>1</v>
      </c>
      <c r="V1099" t="b">
        <f>+ISNUMBER(SEARCH(#REF!,Tabla11[[#This Row],[Cuenta]],1))</f>
        <v>0</v>
      </c>
      <c r="W1099" t="b">
        <f>+ISNUMBER(SEARCH('F-COMPRA'!#REF!,Tabla11[[#This Row],[Cuenta]],1))</f>
        <v>0</v>
      </c>
      <c r="X1099" t="b">
        <f>+ISNUMBER(SEARCH('F-COMPRA'!#REF!,Tabla11[[#This Row],[Cuenta]],1))</f>
        <v>0</v>
      </c>
      <c r="Y1099" t="b">
        <f>+ISNUMBER(SEARCH('F-COMPRA'!#REF!,Tabla11[[#This Row],[Cuenta]],1))</f>
        <v>0</v>
      </c>
      <c r="Z1099" t="b">
        <f>+ISNUMBER(SEARCH('F-COMPRA'!#REF!,Tabla11[[#This Row],[Cuenta]],1))</f>
        <v>0</v>
      </c>
      <c r="AA1099" t="b">
        <f>+ISNUMBER(SEARCH('F-COMPRA'!#REF!,Tabla11[[#This Row],[Cuenta]],1))</f>
        <v>0</v>
      </c>
      <c r="AB1099" t="b">
        <f>+ISNUMBER(SEARCH('F-COMPRA'!#REF!,Tabla11[[#This Row],[Cuenta]],1))</f>
        <v>0</v>
      </c>
      <c r="AC1099" t="b">
        <f>+ISNUMBER(SEARCH('F-COMPRA'!#REF!,Tabla11[[#This Row],[Cuenta]],1))</f>
        <v>0</v>
      </c>
      <c r="AD1099" t="b">
        <f>+ISNUMBER(SEARCH('F-COMPRA'!#REF!,Tabla11[[#This Row],[Cuenta]],1))</f>
        <v>0</v>
      </c>
      <c r="AE1099" t="b">
        <f>+ISNUMBER(SEARCH('F-COMPRA'!#REF!,Tabla11[[#This Row],[Cuenta]],1))</f>
        <v>0</v>
      </c>
      <c r="AF1099" t="b">
        <f>+ISNUMBER(SEARCH('F-VTA'!$G$23,Tabla11[[#This Row],[Cuenta]],1))</f>
        <v>0</v>
      </c>
      <c r="AG1099" t="b">
        <f>+ISNUMBER(SEARCH('F-VTA'!$G$24,Tabla11[[#This Row],[Cuenta]],1))</f>
        <v>0</v>
      </c>
      <c r="AH1099" t="b">
        <f>+ISNUMBER(SEARCH('F-VTA'!$G$25,Tabla11[[#This Row],[Cuenta]],1))</f>
        <v>0</v>
      </c>
      <c r="AI1099" t="b">
        <f>+ISNUMBER(SEARCH('F-VTA'!$F$28,Tabla11[[#This Row],[Cuenta]],1))</f>
        <v>1</v>
      </c>
      <c r="AJ1099" t="b">
        <f>+ISNUMBER(SEARCH('F-VTA'!$F$29,Tabla11[[#This Row],[Cuenta]],1))</f>
        <v>1</v>
      </c>
      <c r="AK1099" t="b">
        <f>+ISNUMBER(SEARCH('F-VTA'!$F$30,Tabla11[[#This Row],[Cuenta]],1))</f>
        <v>1</v>
      </c>
      <c r="AL1099" t="b">
        <f>+ISNUMBER(SEARCH('F-VTA'!$F$31,Tabla11[[#This Row],[Cuenta]],1))</f>
        <v>1</v>
      </c>
      <c r="AM1099" t="b">
        <f>+ISNUMBER(SEARCH('F-VTA'!$F$32,Tabla11[[#This Row],[Cuenta]],1))</f>
        <v>1</v>
      </c>
      <c r="AN1099" t="b">
        <f>+ISNUMBER(SEARCH('F-VTA'!$F$33,Tabla11[[#This Row],[Cuenta]],1))</f>
        <v>1</v>
      </c>
      <c r="AO1099" t="b">
        <f>+ISNUMBER(SEARCH('F-VTA'!$F$34,Tabla11[[#This Row],[Cuenta]],1))</f>
        <v>1</v>
      </c>
      <c r="AP1099" t="b">
        <f>+ISNUMBER(SEARCH('F-VTA'!$F$35,Tabla11[[#This Row],[Cuenta]],1))</f>
        <v>1</v>
      </c>
      <c r="AQ1099" t="b">
        <f>+ISNUMBER(SEARCH('F-VTA'!$F$36,Tabla11[[#This Row],[Cuenta]],1))</f>
        <v>1</v>
      </c>
      <c r="AR1099" t="b">
        <f>+ISNUMBER(SEARCH(#REF!,Tabla11[[#This Row],[Cuenta]],1))</f>
        <v>0</v>
      </c>
      <c r="AS1099" t="b">
        <f>+ISNUMBER(SEARCH(#REF!,Tabla11[[#This Row],[Cuenta]],1))</f>
        <v>0</v>
      </c>
      <c r="AT1099" t="b">
        <f>+ISNUMBER(SEARCH(#REF!,Tabla11[[#This Row],[Cuenta]],1))</f>
        <v>0</v>
      </c>
      <c r="AU1099" t="b">
        <f>+ISNUMBER(SEARCH('Conc. Ban.1'!$I$9,Tabla11[[#This Row],[Cuenta]],1))</f>
        <v>0</v>
      </c>
      <c r="AV1099" t="b">
        <f>+ISNUMBER(SEARCH(CompConta!$F$21,Tabla11[[#This Row],[Cuenta]],1))</f>
        <v>1</v>
      </c>
      <c r="AW1099" t="b">
        <f>+ISNUMBER(SEARCH(CompConta!$F$22,Tabla11[[#This Row],[Cuenta]],1))</f>
        <v>1</v>
      </c>
      <c r="AX1099" t="b">
        <f>+ISNUMBER(SEARCH(CompConta!$F$23,Tabla11[[#This Row],[Cuenta]],1))</f>
        <v>1</v>
      </c>
      <c r="AY1099" t="b">
        <f>+ISNUMBER(SEARCH(CompConta!$F$24,Tabla11[[#This Row],[Cuenta]],1))</f>
        <v>1</v>
      </c>
      <c r="AZ1099" t="b">
        <f>+ISNUMBER(SEARCH(CompConta!$F$25,Tabla11[[#This Row],[Cuenta]],1))</f>
        <v>1</v>
      </c>
      <c r="BA1099" t="b">
        <f>+ISNUMBER(SEARCH(CompConta!$F$26,Tabla11[[#This Row],[Cuenta]],1))</f>
        <v>1</v>
      </c>
      <c r="BB1099" t="b">
        <f>+ISNUMBER(SEARCH(CompConta!$F$27,Tabla11[[#This Row],[Cuenta]],1))</f>
        <v>1</v>
      </c>
      <c r="BC1099" t="b">
        <f>+ISNUMBER(SEARCH(CompConta!$F$28,Tabla11[[#This Row],[Cuenta]],1))</f>
        <v>1</v>
      </c>
      <c r="BD1099" t="b">
        <f>+ISNUMBER(SEARCH(CompConta!$F$29,Tabla11[[#This Row],[Cuenta]],1))</f>
        <v>1</v>
      </c>
      <c r="BE1099" t="b">
        <f>+ISNUMBER(SEARCH(CompConta!$F$30,Tabla11[[#This Row],[Cuenta]],1))</f>
        <v>1</v>
      </c>
      <c r="BF1099" t="b">
        <f>+ISNUMBER(SEARCH('PAGO Compras'!$E$11,Tabla11[[#This Row],[Cuenta]],1))</f>
        <v>1</v>
      </c>
      <c r="BG1099" t="b">
        <f>+ISNUMBER(SEARCH(#REF!,Tabla11[[#This Row],[Cuenta]],1))</f>
        <v>0</v>
      </c>
      <c r="BH1099" t="b">
        <f>+ISNUMBER(SEARCH(#REF!,Tabla11[[#This Row],[Cuenta]],1))</f>
        <v>0</v>
      </c>
      <c r="BI1099" t="b">
        <f>+ISNUMBER(SEARCH(#REF!,Tabla11[[#This Row],[Cuenta]],1))</f>
        <v>0</v>
      </c>
      <c r="BJ1099" t="b">
        <f>+ISNUMBER(SEARCH(#REF!,Tabla11[[#This Row],[Cuenta]],1))</f>
        <v>0</v>
      </c>
      <c r="BS1099" t="str">
        <v>531025 Venta de otros activos</v>
      </c>
      <c r="BT1099" t="str">
        <v>531025 Venta de otros activos</v>
      </c>
      <c r="BU1099" t="str">
        <v>531025 Venta de otros activos</v>
      </c>
      <c r="BV1099" t="str">
        <v>531025 Venta de otros activos</v>
      </c>
      <c r="BZ1099" t="str">
        <v>531025 Venta de otros activos</v>
      </c>
      <c r="CA1099" t="str">
        <v>531025 Venta de otros activos</v>
      </c>
      <c r="CB1099" t="str">
        <v>531025 Venta de otros activos</v>
      </c>
      <c r="CC1099" t="str">
        <v>531025 Venta de otros activos</v>
      </c>
      <c r="CD1099" t="str">
        <v>531025 Venta de otros activos</v>
      </c>
      <c r="CE1099" t="str">
        <v>531025 Venta de otros activos</v>
      </c>
      <c r="CS1099" s="141" t="str">
        <v>531025 Venta de otros activos</v>
      </c>
      <c r="CT1099" s="141" t="str">
        <v>531025 Venta de otros activos</v>
      </c>
      <c r="CU1099" s="141" t="str">
        <v>531025 Venta de otros activos</v>
      </c>
      <c r="CV1099" s="141" t="str">
        <v>531025 Venta de otros activos</v>
      </c>
      <c r="CW1099" s="141" t="str">
        <v>531025 Venta de otros activos</v>
      </c>
      <c r="CX1099" s="141" t="str">
        <v>531025 Venta de otros activos</v>
      </c>
      <c r="CY1099" s="141" t="str">
        <v>531025 Venta de otros activos</v>
      </c>
      <c r="CZ1099" s="141" t="str">
        <v>531025 Venta de otros activos</v>
      </c>
      <c r="DA1099" s="141" t="str">
        <v>531025 Venta de otros activos</v>
      </c>
      <c r="DF1099" t="str">
        <v>531025 Venta de otros activos</v>
      </c>
      <c r="DG1099" t="str">
        <v>531025 Venta de otros activos</v>
      </c>
      <c r="DH1099" t="str">
        <v>531025 Venta de otros activos</v>
      </c>
      <c r="DI1099" t="str">
        <v>531025 Venta de otros activos</v>
      </c>
      <c r="DJ1099" t="str">
        <v>531025 Venta de otros activos</v>
      </c>
      <c r="DK1099" t="str">
        <v>531025 Venta de otros activos</v>
      </c>
      <c r="DL1099" t="str">
        <v>531025 Venta de otros activos</v>
      </c>
      <c r="DM1099" t="str">
        <v>531025 Venta de otros activos</v>
      </c>
      <c r="DN1099" t="str">
        <v>531025 Venta de otros activos</v>
      </c>
      <c r="DO1099" t="str">
        <v>531025 Venta de otros activos</v>
      </c>
      <c r="DP1099" t="str">
        <v>531025 Venta de otros activos</v>
      </c>
    </row>
    <row r="1100" spans="4:120" ht="12.75">
      <c r="D1100" s="7">
        <v>531030</v>
      </c>
      <c r="E1100" s="6" t="s">
        <v>640</v>
      </c>
      <c r="F1100" s="5">
        <v>4</v>
      </c>
      <c r="G1100" s="34" t="s">
        <v>830</v>
      </c>
      <c r="H1100" s="8" t="s">
        <v>32</v>
      </c>
      <c r="I1100" t="b">
        <f>+ISNUMBER(SEARCH('F-COMPRA'!$F$28,Tabla11[[#This Row],[Cuenta]],1))</f>
        <v>1</v>
      </c>
      <c r="J1100" t="b">
        <f>+ISNUMBER(SEARCH('F-COMPRA'!$F$29,Tabla11[[#This Row],[Cuenta]],1))</f>
        <v>1</v>
      </c>
      <c r="K1100" t="b">
        <f>+ISNUMBER(SEARCH('F-COMPRA'!$F$30,Tabla11[[#This Row],[Cuenta]],1))</f>
        <v>1</v>
      </c>
      <c r="L1100" t="b">
        <f>+ISNUMBER(SEARCH('F-COMPRA'!$F$31,Tabla11[[#This Row],[Cuenta]],1))</f>
        <v>1</v>
      </c>
      <c r="M1100" t="b">
        <f>+ISNUMBER(SEARCH('F-COMPRA'!$G$25,Tabla11[[#This Row],[Cuenta]],1))</f>
        <v>0</v>
      </c>
      <c r="N1100" t="b">
        <f>+ISNUMBER(SEARCH(#REF!,Tabla11[[#This Row],[Cuenta]],1))</f>
        <v>0</v>
      </c>
      <c r="O1100" t="b">
        <f>+ISNUMBER(SEARCH(#REF!,Tabla11[[#This Row],[Cuenta]],1))</f>
        <v>0</v>
      </c>
      <c r="P1100" t="b">
        <f>+ISNUMBER(SEARCH('F-COMPRA'!$F$32,Tabla11[[#This Row],[Cuenta]],1))</f>
        <v>1</v>
      </c>
      <c r="Q1100" t="b">
        <f>+ISNUMBER(SEARCH('F-COMPRA'!$F$33,Tabla11[[#This Row],[Cuenta]],1))</f>
        <v>1</v>
      </c>
      <c r="R1100" t="b">
        <f>+ISNUMBER(SEARCH('F-COMPRA'!$F$34,Tabla11[[#This Row],[Cuenta]],1))</f>
        <v>1</v>
      </c>
      <c r="S1100" t="b">
        <f>+ISNUMBER(SEARCH('F-COMPRA'!$F$35,Tabla11[[#This Row],[Cuenta]],1))</f>
        <v>1</v>
      </c>
      <c r="T1100" t="b">
        <f>+ISNUMBER(SEARCH('F-COMPRA'!$F$36,Tabla11[[#This Row],[Cuenta]],1))</f>
        <v>1</v>
      </c>
      <c r="U1100" t="b">
        <f>+ISNUMBER(SEARCH('F-COMPRA'!$F$37,Tabla11[[#This Row],[Cuenta]],1))</f>
        <v>1</v>
      </c>
      <c r="V1100" t="b">
        <f>+ISNUMBER(SEARCH(#REF!,Tabla11[[#This Row],[Cuenta]],1))</f>
        <v>0</v>
      </c>
      <c r="W1100" t="b">
        <f>+ISNUMBER(SEARCH('F-COMPRA'!#REF!,Tabla11[[#This Row],[Cuenta]],1))</f>
        <v>0</v>
      </c>
      <c r="X1100" t="b">
        <f>+ISNUMBER(SEARCH('F-COMPRA'!#REF!,Tabla11[[#This Row],[Cuenta]],1))</f>
        <v>0</v>
      </c>
      <c r="Y1100" t="b">
        <f>+ISNUMBER(SEARCH('F-COMPRA'!#REF!,Tabla11[[#This Row],[Cuenta]],1))</f>
        <v>0</v>
      </c>
      <c r="Z1100" t="b">
        <f>+ISNUMBER(SEARCH('F-COMPRA'!#REF!,Tabla11[[#This Row],[Cuenta]],1))</f>
        <v>0</v>
      </c>
      <c r="AA1100" t="b">
        <f>+ISNUMBER(SEARCH('F-COMPRA'!#REF!,Tabla11[[#This Row],[Cuenta]],1))</f>
        <v>0</v>
      </c>
      <c r="AB1100" t="b">
        <f>+ISNUMBER(SEARCH('F-COMPRA'!#REF!,Tabla11[[#This Row],[Cuenta]],1))</f>
        <v>0</v>
      </c>
      <c r="AC1100" t="b">
        <f>+ISNUMBER(SEARCH('F-COMPRA'!#REF!,Tabla11[[#This Row],[Cuenta]],1))</f>
        <v>0</v>
      </c>
      <c r="AD1100" t="b">
        <f>+ISNUMBER(SEARCH('F-COMPRA'!#REF!,Tabla11[[#This Row],[Cuenta]],1))</f>
        <v>0</v>
      </c>
      <c r="AE1100" t="b">
        <f>+ISNUMBER(SEARCH('F-COMPRA'!#REF!,Tabla11[[#This Row],[Cuenta]],1))</f>
        <v>0</v>
      </c>
      <c r="AF1100" t="b">
        <f>+ISNUMBER(SEARCH('F-VTA'!$G$23,Tabla11[[#This Row],[Cuenta]],1))</f>
        <v>0</v>
      </c>
      <c r="AG1100" t="b">
        <f>+ISNUMBER(SEARCH('F-VTA'!$G$24,Tabla11[[#This Row],[Cuenta]],1))</f>
        <v>0</v>
      </c>
      <c r="AH1100" t="b">
        <f>+ISNUMBER(SEARCH('F-VTA'!$G$25,Tabla11[[#This Row],[Cuenta]],1))</f>
        <v>0</v>
      </c>
      <c r="AI1100" t="b">
        <f>+ISNUMBER(SEARCH('F-VTA'!$F$28,Tabla11[[#This Row],[Cuenta]],1))</f>
        <v>1</v>
      </c>
      <c r="AJ1100" t="b">
        <f>+ISNUMBER(SEARCH('F-VTA'!$F$29,Tabla11[[#This Row],[Cuenta]],1))</f>
        <v>1</v>
      </c>
      <c r="AK1100" t="b">
        <f>+ISNUMBER(SEARCH('F-VTA'!$F$30,Tabla11[[#This Row],[Cuenta]],1))</f>
        <v>1</v>
      </c>
      <c r="AL1100" t="b">
        <f>+ISNUMBER(SEARCH('F-VTA'!$F$31,Tabla11[[#This Row],[Cuenta]],1))</f>
        <v>1</v>
      </c>
      <c r="AM1100" t="b">
        <f>+ISNUMBER(SEARCH('F-VTA'!$F$32,Tabla11[[#This Row],[Cuenta]],1))</f>
        <v>1</v>
      </c>
      <c r="AN1100" t="b">
        <f>+ISNUMBER(SEARCH('F-VTA'!$F$33,Tabla11[[#This Row],[Cuenta]],1))</f>
        <v>1</v>
      </c>
      <c r="AO1100" t="b">
        <f>+ISNUMBER(SEARCH('F-VTA'!$F$34,Tabla11[[#This Row],[Cuenta]],1))</f>
        <v>1</v>
      </c>
      <c r="AP1100" t="b">
        <f>+ISNUMBER(SEARCH('F-VTA'!$F$35,Tabla11[[#This Row],[Cuenta]],1))</f>
        <v>1</v>
      </c>
      <c r="AQ1100" t="b">
        <f>+ISNUMBER(SEARCH('F-VTA'!$F$36,Tabla11[[#This Row],[Cuenta]],1))</f>
        <v>1</v>
      </c>
      <c r="AR1100" t="b">
        <f>+ISNUMBER(SEARCH(#REF!,Tabla11[[#This Row],[Cuenta]],1))</f>
        <v>0</v>
      </c>
      <c r="AS1100" t="b">
        <f>+ISNUMBER(SEARCH(#REF!,Tabla11[[#This Row],[Cuenta]],1))</f>
        <v>0</v>
      </c>
      <c r="AT1100" t="b">
        <f>+ISNUMBER(SEARCH(#REF!,Tabla11[[#This Row],[Cuenta]],1))</f>
        <v>0</v>
      </c>
      <c r="AU1100" t="b">
        <f>+ISNUMBER(SEARCH('Conc. Ban.1'!$I$9,Tabla11[[#This Row],[Cuenta]],1))</f>
        <v>0</v>
      </c>
      <c r="AV1100" t="b">
        <f>+ISNUMBER(SEARCH(CompConta!$F$21,Tabla11[[#This Row],[Cuenta]],1))</f>
        <v>1</v>
      </c>
      <c r="AW1100" t="b">
        <f>+ISNUMBER(SEARCH(CompConta!$F$22,Tabla11[[#This Row],[Cuenta]],1))</f>
        <v>1</v>
      </c>
      <c r="AX1100" t="b">
        <f>+ISNUMBER(SEARCH(CompConta!$F$23,Tabla11[[#This Row],[Cuenta]],1))</f>
        <v>1</v>
      </c>
      <c r="AY1100" t="b">
        <f>+ISNUMBER(SEARCH(CompConta!$F$24,Tabla11[[#This Row],[Cuenta]],1))</f>
        <v>1</v>
      </c>
      <c r="AZ1100" t="b">
        <f>+ISNUMBER(SEARCH(CompConta!$F$25,Tabla11[[#This Row],[Cuenta]],1))</f>
        <v>1</v>
      </c>
      <c r="BA1100" t="b">
        <f>+ISNUMBER(SEARCH(CompConta!$F$26,Tabla11[[#This Row],[Cuenta]],1))</f>
        <v>1</v>
      </c>
      <c r="BB1100" t="b">
        <f>+ISNUMBER(SEARCH(CompConta!$F$27,Tabla11[[#This Row],[Cuenta]],1))</f>
        <v>1</v>
      </c>
      <c r="BC1100" t="b">
        <f>+ISNUMBER(SEARCH(CompConta!$F$28,Tabla11[[#This Row],[Cuenta]],1))</f>
        <v>1</v>
      </c>
      <c r="BD1100" t="b">
        <f>+ISNUMBER(SEARCH(CompConta!$F$29,Tabla11[[#This Row],[Cuenta]],1))</f>
        <v>1</v>
      </c>
      <c r="BE1100" t="b">
        <f>+ISNUMBER(SEARCH(CompConta!$F$30,Tabla11[[#This Row],[Cuenta]],1))</f>
        <v>1</v>
      </c>
      <c r="BF1100" t="b">
        <f>+ISNUMBER(SEARCH('PAGO Compras'!$E$11,Tabla11[[#This Row],[Cuenta]],1))</f>
        <v>1</v>
      </c>
      <c r="BG1100" t="b">
        <f>+ISNUMBER(SEARCH(#REF!,Tabla11[[#This Row],[Cuenta]],1))</f>
        <v>0</v>
      </c>
      <c r="BH1100" t="b">
        <f>+ISNUMBER(SEARCH(#REF!,Tabla11[[#This Row],[Cuenta]],1))</f>
        <v>0</v>
      </c>
      <c r="BI1100" t="b">
        <f>+ISNUMBER(SEARCH(#REF!,Tabla11[[#This Row],[Cuenta]],1))</f>
        <v>0</v>
      </c>
      <c r="BJ1100" t="b">
        <f>+ISNUMBER(SEARCH(#REF!,Tabla11[[#This Row],[Cuenta]],1))</f>
        <v>0</v>
      </c>
      <c r="BS1100" t="str">
        <v>531030 Retiro de propiedes, planta y equipo</v>
      </c>
      <c r="BT1100" t="str">
        <v>531030 Retiro de propiedes, planta y equipo</v>
      </c>
      <c r="BU1100" t="str">
        <v>531030 Retiro de propiedes, planta y equipo</v>
      </c>
      <c r="BV1100" t="str">
        <v>531030 Retiro de propiedes, planta y equipo</v>
      </c>
      <c r="BZ1100" t="str">
        <v>531030 Retiro de propiedes, planta y equipo</v>
      </c>
      <c r="CA1100" t="str">
        <v>531030 Retiro de propiedes, planta y equipo</v>
      </c>
      <c r="CB1100" t="str">
        <v>531030 Retiro de propiedes, planta y equipo</v>
      </c>
      <c r="CC1100" t="str">
        <v>531030 Retiro de propiedes, planta y equipo</v>
      </c>
      <c r="CD1100" t="str">
        <v>531030 Retiro de propiedes, planta y equipo</v>
      </c>
      <c r="CE1100" t="str">
        <v>531030 Retiro de propiedes, planta y equipo</v>
      </c>
      <c r="CS1100" s="141" t="str">
        <v>531030 Retiro de propiedes, planta y equipo</v>
      </c>
      <c r="CT1100" s="141" t="str">
        <v>531030 Retiro de propiedes, planta y equipo</v>
      </c>
      <c r="CU1100" s="141" t="str">
        <v>531030 Retiro de propiedes, planta y equipo</v>
      </c>
      <c r="CV1100" s="141" t="str">
        <v>531030 Retiro de propiedes, planta y equipo</v>
      </c>
      <c r="CW1100" s="141" t="str">
        <v>531030 Retiro de propiedes, planta y equipo</v>
      </c>
      <c r="CX1100" s="141" t="str">
        <v>531030 Retiro de propiedes, planta y equipo</v>
      </c>
      <c r="CY1100" s="141" t="str">
        <v>531030 Retiro de propiedes, planta y equipo</v>
      </c>
      <c r="CZ1100" s="141" t="str">
        <v>531030 Retiro de propiedes, planta y equipo</v>
      </c>
      <c r="DA1100" s="141" t="str">
        <v>531030 Retiro de propiedes, planta y equipo</v>
      </c>
      <c r="DF1100" t="str">
        <v>531030 Retiro de propiedes, planta y equipo</v>
      </c>
      <c r="DG1100" t="str">
        <v>531030 Retiro de propiedes, planta y equipo</v>
      </c>
      <c r="DH1100" t="str">
        <v>531030 Retiro de propiedes, planta y equipo</v>
      </c>
      <c r="DI1100" t="str">
        <v>531030 Retiro de propiedes, planta y equipo</v>
      </c>
      <c r="DJ1100" t="str">
        <v>531030 Retiro de propiedes, planta y equipo</v>
      </c>
      <c r="DK1100" t="str">
        <v>531030 Retiro de propiedes, planta y equipo</v>
      </c>
      <c r="DL1100" t="str">
        <v>531030 Retiro de propiedes, planta y equipo</v>
      </c>
      <c r="DM1100" t="str">
        <v>531030 Retiro de propiedes, planta y equipo</v>
      </c>
      <c r="DN1100" t="str">
        <v>531030 Retiro de propiedes, planta y equipo</v>
      </c>
      <c r="DO1100" t="str">
        <v>531030 Retiro de propiedes, planta y equipo</v>
      </c>
      <c r="DP1100" t="str">
        <v>531030 Retiro de propiedes, planta y equipo</v>
      </c>
    </row>
    <row r="1101" spans="4:120" ht="12.75">
      <c r="D1101" s="7">
        <v>531035</v>
      </c>
      <c r="E1101" s="6" t="s">
        <v>641</v>
      </c>
      <c r="F1101" s="5">
        <v>4</v>
      </c>
      <c r="G1101" s="34" t="s">
        <v>830</v>
      </c>
      <c r="H1101" s="8" t="s">
        <v>32</v>
      </c>
      <c r="I1101" t="b">
        <f>+ISNUMBER(SEARCH('F-COMPRA'!$F$28,Tabla11[[#This Row],[Cuenta]],1))</f>
        <v>1</v>
      </c>
      <c r="J1101" t="b">
        <f>+ISNUMBER(SEARCH('F-COMPRA'!$F$29,Tabla11[[#This Row],[Cuenta]],1))</f>
        <v>1</v>
      </c>
      <c r="K1101" t="b">
        <f>+ISNUMBER(SEARCH('F-COMPRA'!$F$30,Tabla11[[#This Row],[Cuenta]],1))</f>
        <v>1</v>
      </c>
      <c r="L1101" t="b">
        <f>+ISNUMBER(SEARCH('F-COMPRA'!$F$31,Tabla11[[#This Row],[Cuenta]],1))</f>
        <v>1</v>
      </c>
      <c r="M1101" t="b">
        <f>+ISNUMBER(SEARCH('F-COMPRA'!$G$25,Tabla11[[#This Row],[Cuenta]],1))</f>
        <v>0</v>
      </c>
      <c r="N1101" t="b">
        <f>+ISNUMBER(SEARCH(#REF!,Tabla11[[#This Row],[Cuenta]],1))</f>
        <v>0</v>
      </c>
      <c r="O1101" t="b">
        <f>+ISNUMBER(SEARCH(#REF!,Tabla11[[#This Row],[Cuenta]],1))</f>
        <v>0</v>
      </c>
      <c r="P1101" t="b">
        <f>+ISNUMBER(SEARCH('F-COMPRA'!$F$32,Tabla11[[#This Row],[Cuenta]],1))</f>
        <v>1</v>
      </c>
      <c r="Q1101" t="b">
        <f>+ISNUMBER(SEARCH('F-COMPRA'!$F$33,Tabla11[[#This Row],[Cuenta]],1))</f>
        <v>1</v>
      </c>
      <c r="R1101" t="b">
        <f>+ISNUMBER(SEARCH('F-COMPRA'!$F$34,Tabla11[[#This Row],[Cuenta]],1))</f>
        <v>1</v>
      </c>
      <c r="S1101" t="b">
        <f>+ISNUMBER(SEARCH('F-COMPRA'!$F$35,Tabla11[[#This Row],[Cuenta]],1))</f>
        <v>1</v>
      </c>
      <c r="T1101" t="b">
        <f>+ISNUMBER(SEARCH('F-COMPRA'!$F$36,Tabla11[[#This Row],[Cuenta]],1))</f>
        <v>1</v>
      </c>
      <c r="U1101" t="b">
        <f>+ISNUMBER(SEARCH('F-COMPRA'!$F$37,Tabla11[[#This Row],[Cuenta]],1))</f>
        <v>1</v>
      </c>
      <c r="V1101" t="b">
        <f>+ISNUMBER(SEARCH(#REF!,Tabla11[[#This Row],[Cuenta]],1))</f>
        <v>0</v>
      </c>
      <c r="W1101" t="b">
        <f>+ISNUMBER(SEARCH('F-COMPRA'!#REF!,Tabla11[[#This Row],[Cuenta]],1))</f>
        <v>0</v>
      </c>
      <c r="X1101" t="b">
        <f>+ISNUMBER(SEARCH('F-COMPRA'!#REF!,Tabla11[[#This Row],[Cuenta]],1))</f>
        <v>0</v>
      </c>
      <c r="Y1101" t="b">
        <f>+ISNUMBER(SEARCH('F-COMPRA'!#REF!,Tabla11[[#This Row],[Cuenta]],1))</f>
        <v>0</v>
      </c>
      <c r="Z1101" t="b">
        <f>+ISNUMBER(SEARCH('F-COMPRA'!#REF!,Tabla11[[#This Row],[Cuenta]],1))</f>
        <v>0</v>
      </c>
      <c r="AA1101" t="b">
        <f>+ISNUMBER(SEARCH('F-COMPRA'!#REF!,Tabla11[[#This Row],[Cuenta]],1))</f>
        <v>0</v>
      </c>
      <c r="AB1101" t="b">
        <f>+ISNUMBER(SEARCH('F-COMPRA'!#REF!,Tabla11[[#This Row],[Cuenta]],1))</f>
        <v>0</v>
      </c>
      <c r="AC1101" t="b">
        <f>+ISNUMBER(SEARCH('F-COMPRA'!#REF!,Tabla11[[#This Row],[Cuenta]],1))</f>
        <v>0</v>
      </c>
      <c r="AD1101" t="b">
        <f>+ISNUMBER(SEARCH('F-COMPRA'!#REF!,Tabla11[[#This Row],[Cuenta]],1))</f>
        <v>0</v>
      </c>
      <c r="AE1101" t="b">
        <f>+ISNUMBER(SEARCH('F-COMPRA'!#REF!,Tabla11[[#This Row],[Cuenta]],1))</f>
        <v>0</v>
      </c>
      <c r="AF1101" t="b">
        <f>+ISNUMBER(SEARCH('F-VTA'!$G$23,Tabla11[[#This Row],[Cuenta]],1))</f>
        <v>0</v>
      </c>
      <c r="AG1101" t="b">
        <f>+ISNUMBER(SEARCH('F-VTA'!$G$24,Tabla11[[#This Row],[Cuenta]],1))</f>
        <v>0</v>
      </c>
      <c r="AH1101" t="b">
        <f>+ISNUMBER(SEARCH('F-VTA'!$G$25,Tabla11[[#This Row],[Cuenta]],1))</f>
        <v>0</v>
      </c>
      <c r="AI1101" t="b">
        <f>+ISNUMBER(SEARCH('F-VTA'!$F$28,Tabla11[[#This Row],[Cuenta]],1))</f>
        <v>1</v>
      </c>
      <c r="AJ1101" t="b">
        <f>+ISNUMBER(SEARCH('F-VTA'!$F$29,Tabla11[[#This Row],[Cuenta]],1))</f>
        <v>1</v>
      </c>
      <c r="AK1101" t="b">
        <f>+ISNUMBER(SEARCH('F-VTA'!$F$30,Tabla11[[#This Row],[Cuenta]],1))</f>
        <v>1</v>
      </c>
      <c r="AL1101" t="b">
        <f>+ISNUMBER(SEARCH('F-VTA'!$F$31,Tabla11[[#This Row],[Cuenta]],1))</f>
        <v>1</v>
      </c>
      <c r="AM1101" t="b">
        <f>+ISNUMBER(SEARCH('F-VTA'!$F$32,Tabla11[[#This Row],[Cuenta]],1))</f>
        <v>1</v>
      </c>
      <c r="AN1101" t="b">
        <f>+ISNUMBER(SEARCH('F-VTA'!$F$33,Tabla11[[#This Row],[Cuenta]],1))</f>
        <v>1</v>
      </c>
      <c r="AO1101" t="b">
        <f>+ISNUMBER(SEARCH('F-VTA'!$F$34,Tabla11[[#This Row],[Cuenta]],1))</f>
        <v>1</v>
      </c>
      <c r="AP1101" t="b">
        <f>+ISNUMBER(SEARCH('F-VTA'!$F$35,Tabla11[[#This Row],[Cuenta]],1))</f>
        <v>1</v>
      </c>
      <c r="AQ1101" t="b">
        <f>+ISNUMBER(SEARCH('F-VTA'!$F$36,Tabla11[[#This Row],[Cuenta]],1))</f>
        <v>1</v>
      </c>
      <c r="AR1101" t="b">
        <f>+ISNUMBER(SEARCH(#REF!,Tabla11[[#This Row],[Cuenta]],1))</f>
        <v>0</v>
      </c>
      <c r="AS1101" t="b">
        <f>+ISNUMBER(SEARCH(#REF!,Tabla11[[#This Row],[Cuenta]],1))</f>
        <v>0</v>
      </c>
      <c r="AT1101" t="b">
        <f>+ISNUMBER(SEARCH(#REF!,Tabla11[[#This Row],[Cuenta]],1))</f>
        <v>0</v>
      </c>
      <c r="AU1101" t="b">
        <f>+ISNUMBER(SEARCH('Conc. Ban.1'!$I$9,Tabla11[[#This Row],[Cuenta]],1))</f>
        <v>0</v>
      </c>
      <c r="AV1101" t="b">
        <f>+ISNUMBER(SEARCH(CompConta!$F$21,Tabla11[[#This Row],[Cuenta]],1))</f>
        <v>1</v>
      </c>
      <c r="AW1101" t="b">
        <f>+ISNUMBER(SEARCH(CompConta!$F$22,Tabla11[[#This Row],[Cuenta]],1))</f>
        <v>1</v>
      </c>
      <c r="AX1101" t="b">
        <f>+ISNUMBER(SEARCH(CompConta!$F$23,Tabla11[[#This Row],[Cuenta]],1))</f>
        <v>1</v>
      </c>
      <c r="AY1101" t="b">
        <f>+ISNUMBER(SEARCH(CompConta!$F$24,Tabla11[[#This Row],[Cuenta]],1))</f>
        <v>1</v>
      </c>
      <c r="AZ1101" t="b">
        <f>+ISNUMBER(SEARCH(CompConta!$F$25,Tabla11[[#This Row],[Cuenta]],1))</f>
        <v>1</v>
      </c>
      <c r="BA1101" t="b">
        <f>+ISNUMBER(SEARCH(CompConta!$F$26,Tabla11[[#This Row],[Cuenta]],1))</f>
        <v>1</v>
      </c>
      <c r="BB1101" t="b">
        <f>+ISNUMBER(SEARCH(CompConta!$F$27,Tabla11[[#This Row],[Cuenta]],1))</f>
        <v>1</v>
      </c>
      <c r="BC1101" t="b">
        <f>+ISNUMBER(SEARCH(CompConta!$F$28,Tabla11[[#This Row],[Cuenta]],1))</f>
        <v>1</v>
      </c>
      <c r="BD1101" t="b">
        <f>+ISNUMBER(SEARCH(CompConta!$F$29,Tabla11[[#This Row],[Cuenta]],1))</f>
        <v>1</v>
      </c>
      <c r="BE1101" t="b">
        <f>+ISNUMBER(SEARCH(CompConta!$F$30,Tabla11[[#This Row],[Cuenta]],1))</f>
        <v>1</v>
      </c>
      <c r="BF1101" t="b">
        <f>+ISNUMBER(SEARCH('PAGO Compras'!$E$11,Tabla11[[#This Row],[Cuenta]],1))</f>
        <v>1</v>
      </c>
      <c r="BG1101" t="b">
        <f>+ISNUMBER(SEARCH(#REF!,Tabla11[[#This Row],[Cuenta]],1))</f>
        <v>0</v>
      </c>
      <c r="BH1101" t="b">
        <f>+ISNUMBER(SEARCH(#REF!,Tabla11[[#This Row],[Cuenta]],1))</f>
        <v>0</v>
      </c>
      <c r="BI1101" t="b">
        <f>+ISNUMBER(SEARCH(#REF!,Tabla11[[#This Row],[Cuenta]],1))</f>
        <v>0</v>
      </c>
      <c r="BJ1101" t="b">
        <f>+ISNUMBER(SEARCH(#REF!,Tabla11[[#This Row],[Cuenta]],1))</f>
        <v>0</v>
      </c>
      <c r="BS1101" t="str">
        <v>531035 Retiro de otros activos</v>
      </c>
      <c r="BT1101" t="str">
        <v>531035 Retiro de otros activos</v>
      </c>
      <c r="BU1101" t="str">
        <v>531035 Retiro de otros activos</v>
      </c>
      <c r="BV1101" t="str">
        <v>531035 Retiro de otros activos</v>
      </c>
      <c r="BZ1101" t="str">
        <v>531035 Retiro de otros activos</v>
      </c>
      <c r="CA1101" t="str">
        <v>531035 Retiro de otros activos</v>
      </c>
      <c r="CB1101" t="str">
        <v>531035 Retiro de otros activos</v>
      </c>
      <c r="CC1101" t="str">
        <v>531035 Retiro de otros activos</v>
      </c>
      <c r="CD1101" t="str">
        <v>531035 Retiro de otros activos</v>
      </c>
      <c r="CE1101" t="str">
        <v>531035 Retiro de otros activos</v>
      </c>
      <c r="CS1101" s="141" t="str">
        <v>531035 Retiro de otros activos</v>
      </c>
      <c r="CT1101" s="141" t="str">
        <v>531035 Retiro de otros activos</v>
      </c>
      <c r="CU1101" s="141" t="str">
        <v>531035 Retiro de otros activos</v>
      </c>
      <c r="CV1101" s="141" t="str">
        <v>531035 Retiro de otros activos</v>
      </c>
      <c r="CW1101" s="141" t="str">
        <v>531035 Retiro de otros activos</v>
      </c>
      <c r="CX1101" s="141" t="str">
        <v>531035 Retiro de otros activos</v>
      </c>
      <c r="CY1101" s="141" t="str">
        <v>531035 Retiro de otros activos</v>
      </c>
      <c r="CZ1101" s="141" t="str">
        <v>531035 Retiro de otros activos</v>
      </c>
      <c r="DA1101" s="141" t="str">
        <v>531035 Retiro de otros activos</v>
      </c>
      <c r="DF1101" t="str">
        <v>531035 Retiro de otros activos</v>
      </c>
      <c r="DG1101" t="str">
        <v>531035 Retiro de otros activos</v>
      </c>
      <c r="DH1101" t="str">
        <v>531035 Retiro de otros activos</v>
      </c>
      <c r="DI1101" t="str">
        <v>531035 Retiro de otros activos</v>
      </c>
      <c r="DJ1101" t="str">
        <v>531035 Retiro de otros activos</v>
      </c>
      <c r="DK1101" t="str">
        <v>531035 Retiro de otros activos</v>
      </c>
      <c r="DL1101" t="str">
        <v>531035 Retiro de otros activos</v>
      </c>
      <c r="DM1101" t="str">
        <v>531035 Retiro de otros activos</v>
      </c>
      <c r="DN1101" t="str">
        <v>531035 Retiro de otros activos</v>
      </c>
      <c r="DO1101" t="str">
        <v>531035 Retiro de otros activos</v>
      </c>
      <c r="DP1101" t="str">
        <v>531035 Retiro de otros activos</v>
      </c>
    </row>
    <row r="1102" spans="4:120" ht="12.75">
      <c r="D1102" s="7">
        <v>531040</v>
      </c>
      <c r="E1102" s="6" t="s">
        <v>642</v>
      </c>
      <c r="F1102" s="5">
        <v>4</v>
      </c>
      <c r="G1102" s="34" t="s">
        <v>830</v>
      </c>
      <c r="H1102" s="8" t="s">
        <v>32</v>
      </c>
      <c r="I1102" t="b">
        <f>+ISNUMBER(SEARCH('F-COMPRA'!$F$28,Tabla11[[#This Row],[Cuenta]],1))</f>
        <v>1</v>
      </c>
      <c r="J1102" t="b">
        <f>+ISNUMBER(SEARCH('F-COMPRA'!$F$29,Tabla11[[#This Row],[Cuenta]],1))</f>
        <v>1</v>
      </c>
      <c r="K1102" t="b">
        <f>+ISNUMBER(SEARCH('F-COMPRA'!$F$30,Tabla11[[#This Row],[Cuenta]],1))</f>
        <v>1</v>
      </c>
      <c r="L1102" t="b">
        <f>+ISNUMBER(SEARCH('F-COMPRA'!$F$31,Tabla11[[#This Row],[Cuenta]],1))</f>
        <v>1</v>
      </c>
      <c r="M1102" t="b">
        <f>+ISNUMBER(SEARCH('F-COMPRA'!$G$25,Tabla11[[#This Row],[Cuenta]],1))</f>
        <v>0</v>
      </c>
      <c r="N1102" t="b">
        <f>+ISNUMBER(SEARCH(#REF!,Tabla11[[#This Row],[Cuenta]],1))</f>
        <v>0</v>
      </c>
      <c r="O1102" t="b">
        <f>+ISNUMBER(SEARCH(#REF!,Tabla11[[#This Row],[Cuenta]],1))</f>
        <v>0</v>
      </c>
      <c r="P1102" t="b">
        <f>+ISNUMBER(SEARCH('F-COMPRA'!$F$32,Tabla11[[#This Row],[Cuenta]],1))</f>
        <v>1</v>
      </c>
      <c r="Q1102" t="b">
        <f>+ISNUMBER(SEARCH('F-COMPRA'!$F$33,Tabla11[[#This Row],[Cuenta]],1))</f>
        <v>1</v>
      </c>
      <c r="R1102" t="b">
        <f>+ISNUMBER(SEARCH('F-COMPRA'!$F$34,Tabla11[[#This Row],[Cuenta]],1))</f>
        <v>1</v>
      </c>
      <c r="S1102" t="b">
        <f>+ISNUMBER(SEARCH('F-COMPRA'!$F$35,Tabla11[[#This Row],[Cuenta]],1))</f>
        <v>1</v>
      </c>
      <c r="T1102" t="b">
        <f>+ISNUMBER(SEARCH('F-COMPRA'!$F$36,Tabla11[[#This Row],[Cuenta]],1))</f>
        <v>1</v>
      </c>
      <c r="U1102" t="b">
        <f>+ISNUMBER(SEARCH('F-COMPRA'!$F$37,Tabla11[[#This Row],[Cuenta]],1))</f>
        <v>1</v>
      </c>
      <c r="V1102" t="b">
        <f>+ISNUMBER(SEARCH(#REF!,Tabla11[[#This Row],[Cuenta]],1))</f>
        <v>0</v>
      </c>
      <c r="W1102" t="b">
        <f>+ISNUMBER(SEARCH('F-COMPRA'!#REF!,Tabla11[[#This Row],[Cuenta]],1))</f>
        <v>0</v>
      </c>
      <c r="X1102" t="b">
        <f>+ISNUMBER(SEARCH('F-COMPRA'!#REF!,Tabla11[[#This Row],[Cuenta]],1))</f>
        <v>0</v>
      </c>
      <c r="Y1102" t="b">
        <f>+ISNUMBER(SEARCH('F-COMPRA'!#REF!,Tabla11[[#This Row],[Cuenta]],1))</f>
        <v>0</v>
      </c>
      <c r="Z1102" t="b">
        <f>+ISNUMBER(SEARCH('F-COMPRA'!#REF!,Tabla11[[#This Row],[Cuenta]],1))</f>
        <v>0</v>
      </c>
      <c r="AA1102" t="b">
        <f>+ISNUMBER(SEARCH('F-COMPRA'!#REF!,Tabla11[[#This Row],[Cuenta]],1))</f>
        <v>0</v>
      </c>
      <c r="AB1102" t="b">
        <f>+ISNUMBER(SEARCH('F-COMPRA'!#REF!,Tabla11[[#This Row],[Cuenta]],1))</f>
        <v>0</v>
      </c>
      <c r="AC1102" t="b">
        <f>+ISNUMBER(SEARCH('F-COMPRA'!#REF!,Tabla11[[#This Row],[Cuenta]],1))</f>
        <v>0</v>
      </c>
      <c r="AD1102" t="b">
        <f>+ISNUMBER(SEARCH('F-COMPRA'!#REF!,Tabla11[[#This Row],[Cuenta]],1))</f>
        <v>0</v>
      </c>
      <c r="AE1102" t="b">
        <f>+ISNUMBER(SEARCH('F-COMPRA'!#REF!,Tabla11[[#This Row],[Cuenta]],1))</f>
        <v>0</v>
      </c>
      <c r="AF1102" t="b">
        <f>+ISNUMBER(SEARCH('F-VTA'!$G$23,Tabla11[[#This Row],[Cuenta]],1))</f>
        <v>0</v>
      </c>
      <c r="AG1102" t="b">
        <f>+ISNUMBER(SEARCH('F-VTA'!$G$24,Tabla11[[#This Row],[Cuenta]],1))</f>
        <v>0</v>
      </c>
      <c r="AH1102" t="b">
        <f>+ISNUMBER(SEARCH('F-VTA'!$G$25,Tabla11[[#This Row],[Cuenta]],1))</f>
        <v>0</v>
      </c>
      <c r="AI1102" t="b">
        <f>+ISNUMBER(SEARCH('F-VTA'!$F$28,Tabla11[[#This Row],[Cuenta]],1))</f>
        <v>1</v>
      </c>
      <c r="AJ1102" t="b">
        <f>+ISNUMBER(SEARCH('F-VTA'!$F$29,Tabla11[[#This Row],[Cuenta]],1))</f>
        <v>1</v>
      </c>
      <c r="AK1102" t="b">
        <f>+ISNUMBER(SEARCH('F-VTA'!$F$30,Tabla11[[#This Row],[Cuenta]],1))</f>
        <v>1</v>
      </c>
      <c r="AL1102" t="b">
        <f>+ISNUMBER(SEARCH('F-VTA'!$F$31,Tabla11[[#This Row],[Cuenta]],1))</f>
        <v>1</v>
      </c>
      <c r="AM1102" t="b">
        <f>+ISNUMBER(SEARCH('F-VTA'!$F$32,Tabla11[[#This Row],[Cuenta]],1))</f>
        <v>1</v>
      </c>
      <c r="AN1102" t="b">
        <f>+ISNUMBER(SEARCH('F-VTA'!$F$33,Tabla11[[#This Row],[Cuenta]],1))</f>
        <v>1</v>
      </c>
      <c r="AO1102" t="b">
        <f>+ISNUMBER(SEARCH('F-VTA'!$F$34,Tabla11[[#This Row],[Cuenta]],1))</f>
        <v>1</v>
      </c>
      <c r="AP1102" t="b">
        <f>+ISNUMBER(SEARCH('F-VTA'!$F$35,Tabla11[[#This Row],[Cuenta]],1))</f>
        <v>1</v>
      </c>
      <c r="AQ1102" t="b">
        <f>+ISNUMBER(SEARCH('F-VTA'!$F$36,Tabla11[[#This Row],[Cuenta]],1))</f>
        <v>1</v>
      </c>
      <c r="AR1102" t="b">
        <f>+ISNUMBER(SEARCH(#REF!,Tabla11[[#This Row],[Cuenta]],1))</f>
        <v>0</v>
      </c>
      <c r="AS1102" t="b">
        <f>+ISNUMBER(SEARCH(#REF!,Tabla11[[#This Row],[Cuenta]],1))</f>
        <v>0</v>
      </c>
      <c r="AT1102" t="b">
        <f>+ISNUMBER(SEARCH(#REF!,Tabla11[[#This Row],[Cuenta]],1))</f>
        <v>0</v>
      </c>
      <c r="AU1102" t="b">
        <f>+ISNUMBER(SEARCH('Conc. Ban.1'!$I$9,Tabla11[[#This Row],[Cuenta]],1))</f>
        <v>0</v>
      </c>
      <c r="AV1102" t="b">
        <f>+ISNUMBER(SEARCH(CompConta!$F$21,Tabla11[[#This Row],[Cuenta]],1))</f>
        <v>1</v>
      </c>
      <c r="AW1102" t="b">
        <f>+ISNUMBER(SEARCH(CompConta!$F$22,Tabla11[[#This Row],[Cuenta]],1))</f>
        <v>1</v>
      </c>
      <c r="AX1102" t="b">
        <f>+ISNUMBER(SEARCH(CompConta!$F$23,Tabla11[[#This Row],[Cuenta]],1))</f>
        <v>1</v>
      </c>
      <c r="AY1102" t="b">
        <f>+ISNUMBER(SEARCH(CompConta!$F$24,Tabla11[[#This Row],[Cuenta]],1))</f>
        <v>1</v>
      </c>
      <c r="AZ1102" t="b">
        <f>+ISNUMBER(SEARCH(CompConta!$F$25,Tabla11[[#This Row],[Cuenta]],1))</f>
        <v>1</v>
      </c>
      <c r="BA1102" t="b">
        <f>+ISNUMBER(SEARCH(CompConta!$F$26,Tabla11[[#This Row],[Cuenta]],1))</f>
        <v>1</v>
      </c>
      <c r="BB1102" t="b">
        <f>+ISNUMBER(SEARCH(CompConta!$F$27,Tabla11[[#This Row],[Cuenta]],1))</f>
        <v>1</v>
      </c>
      <c r="BC1102" t="b">
        <f>+ISNUMBER(SEARCH(CompConta!$F$28,Tabla11[[#This Row],[Cuenta]],1))</f>
        <v>1</v>
      </c>
      <c r="BD1102" t="b">
        <f>+ISNUMBER(SEARCH(CompConta!$F$29,Tabla11[[#This Row],[Cuenta]],1))</f>
        <v>1</v>
      </c>
      <c r="BE1102" t="b">
        <f>+ISNUMBER(SEARCH(CompConta!$F$30,Tabla11[[#This Row],[Cuenta]],1))</f>
        <v>1</v>
      </c>
      <c r="BF1102" t="b">
        <f>+ISNUMBER(SEARCH('PAGO Compras'!$E$11,Tabla11[[#This Row],[Cuenta]],1))</f>
        <v>1</v>
      </c>
      <c r="BG1102" t="b">
        <f>+ISNUMBER(SEARCH(#REF!,Tabla11[[#This Row],[Cuenta]],1))</f>
        <v>0</v>
      </c>
      <c r="BH1102" t="b">
        <f>+ISNUMBER(SEARCH(#REF!,Tabla11[[#This Row],[Cuenta]],1))</f>
        <v>0</v>
      </c>
      <c r="BI1102" t="b">
        <f>+ISNUMBER(SEARCH(#REF!,Tabla11[[#This Row],[Cuenta]],1))</f>
        <v>0</v>
      </c>
      <c r="BJ1102" t="b">
        <f>+ISNUMBER(SEARCH(#REF!,Tabla11[[#This Row],[Cuenta]],1))</f>
        <v>0</v>
      </c>
      <c r="BS1102" t="str">
        <v>531040 Pérdidas por siniestros</v>
      </c>
      <c r="BT1102" t="str">
        <v>531040 Pérdidas por siniestros</v>
      </c>
      <c r="BU1102" t="str">
        <v>531040 Pérdidas por siniestros</v>
      </c>
      <c r="BV1102" t="str">
        <v>531040 Pérdidas por siniestros</v>
      </c>
      <c r="BZ1102" t="str">
        <v>531040 Pérdidas por siniestros</v>
      </c>
      <c r="CA1102" t="str">
        <v>531040 Pérdidas por siniestros</v>
      </c>
      <c r="CB1102" t="str">
        <v>531040 Pérdidas por siniestros</v>
      </c>
      <c r="CC1102" t="str">
        <v>531040 Pérdidas por siniestros</v>
      </c>
      <c r="CD1102" t="str">
        <v>531040 Pérdidas por siniestros</v>
      </c>
      <c r="CE1102" t="str">
        <v>531040 Pérdidas por siniestros</v>
      </c>
      <c r="CS1102" s="141" t="str">
        <v>531040 Pérdidas por siniestros</v>
      </c>
      <c r="CT1102" s="141" t="str">
        <v>531040 Pérdidas por siniestros</v>
      </c>
      <c r="CU1102" s="141" t="str">
        <v>531040 Pérdidas por siniestros</v>
      </c>
      <c r="CV1102" s="141" t="str">
        <v>531040 Pérdidas por siniestros</v>
      </c>
      <c r="CW1102" s="141" t="str">
        <v>531040 Pérdidas por siniestros</v>
      </c>
      <c r="CX1102" s="141" t="str">
        <v>531040 Pérdidas por siniestros</v>
      </c>
      <c r="CY1102" s="141" t="str">
        <v>531040 Pérdidas por siniestros</v>
      </c>
      <c r="CZ1102" s="141" t="str">
        <v>531040 Pérdidas por siniestros</v>
      </c>
      <c r="DA1102" s="141" t="str">
        <v>531040 Pérdidas por siniestros</v>
      </c>
      <c r="DF1102" t="str">
        <v>531040 Pérdidas por siniestros</v>
      </c>
      <c r="DG1102" t="str">
        <v>531040 Pérdidas por siniestros</v>
      </c>
      <c r="DH1102" t="str">
        <v>531040 Pérdidas por siniestros</v>
      </c>
      <c r="DI1102" t="str">
        <v>531040 Pérdidas por siniestros</v>
      </c>
      <c r="DJ1102" t="str">
        <v>531040 Pérdidas por siniestros</v>
      </c>
      <c r="DK1102" t="str">
        <v>531040 Pérdidas por siniestros</v>
      </c>
      <c r="DL1102" t="str">
        <v>531040 Pérdidas por siniestros</v>
      </c>
      <c r="DM1102" t="str">
        <v>531040 Pérdidas por siniestros</v>
      </c>
      <c r="DN1102" t="str">
        <v>531040 Pérdidas por siniestros</v>
      </c>
      <c r="DO1102" t="str">
        <v>531040 Pérdidas por siniestros</v>
      </c>
      <c r="DP1102" t="str">
        <v>531040 Pérdidas por siniestros</v>
      </c>
    </row>
    <row r="1103" spans="4:120" ht="12.75">
      <c r="D1103" s="7">
        <v>531095</v>
      </c>
      <c r="E1103" s="6" t="s">
        <v>45</v>
      </c>
      <c r="F1103" s="5">
        <v>4</v>
      </c>
      <c r="G1103" s="34" t="s">
        <v>830</v>
      </c>
      <c r="H1103" s="8" t="s">
        <v>32</v>
      </c>
      <c r="I1103" t="b">
        <f>+ISNUMBER(SEARCH('F-COMPRA'!$F$28,Tabla11[[#This Row],[Cuenta]],1))</f>
        <v>1</v>
      </c>
      <c r="J1103" t="b">
        <f>+ISNUMBER(SEARCH('F-COMPRA'!$F$29,Tabla11[[#This Row],[Cuenta]],1))</f>
        <v>1</v>
      </c>
      <c r="K1103" t="b">
        <f>+ISNUMBER(SEARCH('F-COMPRA'!$F$30,Tabla11[[#This Row],[Cuenta]],1))</f>
        <v>1</v>
      </c>
      <c r="L1103" t="b">
        <f>+ISNUMBER(SEARCH('F-COMPRA'!$F$31,Tabla11[[#This Row],[Cuenta]],1))</f>
        <v>1</v>
      </c>
      <c r="M1103" t="b">
        <f>+ISNUMBER(SEARCH('F-COMPRA'!$G$25,Tabla11[[#This Row],[Cuenta]],1))</f>
        <v>0</v>
      </c>
      <c r="N1103" t="b">
        <f>+ISNUMBER(SEARCH(#REF!,Tabla11[[#This Row],[Cuenta]],1))</f>
        <v>0</v>
      </c>
      <c r="O1103" t="b">
        <f>+ISNUMBER(SEARCH(#REF!,Tabla11[[#This Row],[Cuenta]],1))</f>
        <v>0</v>
      </c>
      <c r="P1103" t="b">
        <f>+ISNUMBER(SEARCH('F-COMPRA'!$F$32,Tabla11[[#This Row],[Cuenta]],1))</f>
        <v>1</v>
      </c>
      <c r="Q1103" t="b">
        <f>+ISNUMBER(SEARCH('F-COMPRA'!$F$33,Tabla11[[#This Row],[Cuenta]],1))</f>
        <v>1</v>
      </c>
      <c r="R1103" t="b">
        <f>+ISNUMBER(SEARCH('F-COMPRA'!$F$34,Tabla11[[#This Row],[Cuenta]],1))</f>
        <v>1</v>
      </c>
      <c r="S1103" t="b">
        <f>+ISNUMBER(SEARCH('F-COMPRA'!$F$35,Tabla11[[#This Row],[Cuenta]],1))</f>
        <v>1</v>
      </c>
      <c r="T1103" t="b">
        <f>+ISNUMBER(SEARCH('F-COMPRA'!$F$36,Tabla11[[#This Row],[Cuenta]],1))</f>
        <v>1</v>
      </c>
      <c r="U1103" t="b">
        <f>+ISNUMBER(SEARCH('F-COMPRA'!$F$37,Tabla11[[#This Row],[Cuenta]],1))</f>
        <v>1</v>
      </c>
      <c r="V1103" t="b">
        <f>+ISNUMBER(SEARCH(#REF!,Tabla11[[#This Row],[Cuenta]],1))</f>
        <v>0</v>
      </c>
      <c r="W1103" t="b">
        <f>+ISNUMBER(SEARCH('F-COMPRA'!#REF!,Tabla11[[#This Row],[Cuenta]],1))</f>
        <v>0</v>
      </c>
      <c r="X1103" t="b">
        <f>+ISNUMBER(SEARCH('F-COMPRA'!#REF!,Tabla11[[#This Row],[Cuenta]],1))</f>
        <v>0</v>
      </c>
      <c r="Y1103" t="b">
        <f>+ISNUMBER(SEARCH('F-COMPRA'!#REF!,Tabla11[[#This Row],[Cuenta]],1))</f>
        <v>0</v>
      </c>
      <c r="Z1103" t="b">
        <f>+ISNUMBER(SEARCH('F-COMPRA'!#REF!,Tabla11[[#This Row],[Cuenta]],1))</f>
        <v>0</v>
      </c>
      <c r="AA1103" t="b">
        <f>+ISNUMBER(SEARCH('F-COMPRA'!#REF!,Tabla11[[#This Row],[Cuenta]],1))</f>
        <v>0</v>
      </c>
      <c r="AB1103" t="b">
        <f>+ISNUMBER(SEARCH('F-COMPRA'!#REF!,Tabla11[[#This Row],[Cuenta]],1))</f>
        <v>0</v>
      </c>
      <c r="AC1103" t="b">
        <f>+ISNUMBER(SEARCH('F-COMPRA'!#REF!,Tabla11[[#This Row],[Cuenta]],1))</f>
        <v>0</v>
      </c>
      <c r="AD1103" t="b">
        <f>+ISNUMBER(SEARCH('F-COMPRA'!#REF!,Tabla11[[#This Row],[Cuenta]],1))</f>
        <v>0</v>
      </c>
      <c r="AE1103" t="b">
        <f>+ISNUMBER(SEARCH('F-COMPRA'!#REF!,Tabla11[[#This Row],[Cuenta]],1))</f>
        <v>0</v>
      </c>
      <c r="AF1103" t="b">
        <f>+ISNUMBER(SEARCH('F-VTA'!$G$23,Tabla11[[#This Row],[Cuenta]],1))</f>
        <v>0</v>
      </c>
      <c r="AG1103" t="b">
        <f>+ISNUMBER(SEARCH('F-VTA'!$G$24,Tabla11[[#This Row],[Cuenta]],1))</f>
        <v>0</v>
      </c>
      <c r="AH1103" t="b">
        <f>+ISNUMBER(SEARCH('F-VTA'!$G$25,Tabla11[[#This Row],[Cuenta]],1))</f>
        <v>0</v>
      </c>
      <c r="AI1103" t="b">
        <f>+ISNUMBER(SEARCH('F-VTA'!$F$28,Tabla11[[#This Row],[Cuenta]],1))</f>
        <v>1</v>
      </c>
      <c r="AJ1103" t="b">
        <f>+ISNUMBER(SEARCH('F-VTA'!$F$29,Tabla11[[#This Row],[Cuenta]],1))</f>
        <v>1</v>
      </c>
      <c r="AK1103" t="b">
        <f>+ISNUMBER(SEARCH('F-VTA'!$F$30,Tabla11[[#This Row],[Cuenta]],1))</f>
        <v>1</v>
      </c>
      <c r="AL1103" t="b">
        <f>+ISNUMBER(SEARCH('F-VTA'!$F$31,Tabla11[[#This Row],[Cuenta]],1))</f>
        <v>1</v>
      </c>
      <c r="AM1103" t="b">
        <f>+ISNUMBER(SEARCH('F-VTA'!$F$32,Tabla11[[#This Row],[Cuenta]],1))</f>
        <v>1</v>
      </c>
      <c r="AN1103" t="b">
        <f>+ISNUMBER(SEARCH('F-VTA'!$F$33,Tabla11[[#This Row],[Cuenta]],1))</f>
        <v>1</v>
      </c>
      <c r="AO1103" t="b">
        <f>+ISNUMBER(SEARCH('F-VTA'!$F$34,Tabla11[[#This Row],[Cuenta]],1))</f>
        <v>1</v>
      </c>
      <c r="AP1103" t="b">
        <f>+ISNUMBER(SEARCH('F-VTA'!$F$35,Tabla11[[#This Row],[Cuenta]],1))</f>
        <v>1</v>
      </c>
      <c r="AQ1103" t="b">
        <f>+ISNUMBER(SEARCH('F-VTA'!$F$36,Tabla11[[#This Row],[Cuenta]],1))</f>
        <v>1</v>
      </c>
      <c r="AR1103" t="b">
        <f>+ISNUMBER(SEARCH(#REF!,Tabla11[[#This Row],[Cuenta]],1))</f>
        <v>0</v>
      </c>
      <c r="AS1103" t="b">
        <f>+ISNUMBER(SEARCH(#REF!,Tabla11[[#This Row],[Cuenta]],1))</f>
        <v>0</v>
      </c>
      <c r="AT1103" t="b">
        <f>+ISNUMBER(SEARCH(#REF!,Tabla11[[#This Row],[Cuenta]],1))</f>
        <v>0</v>
      </c>
      <c r="AU1103" t="b">
        <f>+ISNUMBER(SEARCH('Conc. Ban.1'!$I$9,Tabla11[[#This Row],[Cuenta]],1))</f>
        <v>0</v>
      </c>
      <c r="AV1103" t="b">
        <f>+ISNUMBER(SEARCH(CompConta!$F$21,Tabla11[[#This Row],[Cuenta]],1))</f>
        <v>1</v>
      </c>
      <c r="AW1103" t="b">
        <f>+ISNUMBER(SEARCH(CompConta!$F$22,Tabla11[[#This Row],[Cuenta]],1))</f>
        <v>1</v>
      </c>
      <c r="AX1103" t="b">
        <f>+ISNUMBER(SEARCH(CompConta!$F$23,Tabla11[[#This Row],[Cuenta]],1))</f>
        <v>1</v>
      </c>
      <c r="AY1103" t="b">
        <f>+ISNUMBER(SEARCH(CompConta!$F$24,Tabla11[[#This Row],[Cuenta]],1))</f>
        <v>1</v>
      </c>
      <c r="AZ1103" t="b">
        <f>+ISNUMBER(SEARCH(CompConta!$F$25,Tabla11[[#This Row],[Cuenta]],1))</f>
        <v>1</v>
      </c>
      <c r="BA1103" t="b">
        <f>+ISNUMBER(SEARCH(CompConta!$F$26,Tabla11[[#This Row],[Cuenta]],1))</f>
        <v>1</v>
      </c>
      <c r="BB1103" t="b">
        <f>+ISNUMBER(SEARCH(CompConta!$F$27,Tabla11[[#This Row],[Cuenta]],1))</f>
        <v>1</v>
      </c>
      <c r="BC1103" t="b">
        <f>+ISNUMBER(SEARCH(CompConta!$F$28,Tabla11[[#This Row],[Cuenta]],1))</f>
        <v>1</v>
      </c>
      <c r="BD1103" t="b">
        <f>+ISNUMBER(SEARCH(CompConta!$F$29,Tabla11[[#This Row],[Cuenta]],1))</f>
        <v>1</v>
      </c>
      <c r="BE1103" t="b">
        <f>+ISNUMBER(SEARCH(CompConta!$F$30,Tabla11[[#This Row],[Cuenta]],1))</f>
        <v>1</v>
      </c>
      <c r="BF1103" t="b">
        <f>+ISNUMBER(SEARCH('PAGO Compras'!$E$11,Tabla11[[#This Row],[Cuenta]],1))</f>
        <v>1</v>
      </c>
      <c r="BG1103" t="b">
        <f>+ISNUMBER(SEARCH(#REF!,Tabla11[[#This Row],[Cuenta]],1))</f>
        <v>0</v>
      </c>
      <c r="BH1103" t="b">
        <f>+ISNUMBER(SEARCH(#REF!,Tabla11[[#This Row],[Cuenta]],1))</f>
        <v>0</v>
      </c>
      <c r="BI1103" t="b">
        <f>+ISNUMBER(SEARCH(#REF!,Tabla11[[#This Row],[Cuenta]],1))</f>
        <v>0</v>
      </c>
      <c r="BJ1103" t="b">
        <f>+ISNUMBER(SEARCH(#REF!,Tabla11[[#This Row],[Cuenta]],1))</f>
        <v>0</v>
      </c>
      <c r="BS1103" t="str">
        <v>531095 Otros</v>
      </c>
      <c r="BT1103" t="str">
        <v>531095 Otros</v>
      </c>
      <c r="BU1103" t="str">
        <v>531095 Otros</v>
      </c>
      <c r="BV1103" t="str">
        <v>531095 Otros</v>
      </c>
      <c r="BZ1103" t="str">
        <v>531095 Otros</v>
      </c>
      <c r="CA1103" t="str">
        <v>531095 Otros</v>
      </c>
      <c r="CB1103" t="str">
        <v>531095 Otros</v>
      </c>
      <c r="CC1103" t="str">
        <v>531095 Otros</v>
      </c>
      <c r="CD1103" t="str">
        <v>531095 Otros</v>
      </c>
      <c r="CE1103" t="str">
        <v>531095 Otros</v>
      </c>
      <c r="CS1103" s="141" t="str">
        <v>531095 Otros</v>
      </c>
      <c r="CT1103" s="141" t="str">
        <v>531095 Otros</v>
      </c>
      <c r="CU1103" s="141" t="str">
        <v>531095 Otros</v>
      </c>
      <c r="CV1103" s="141" t="str">
        <v>531095 Otros</v>
      </c>
      <c r="CW1103" s="141" t="str">
        <v>531095 Otros</v>
      </c>
      <c r="CX1103" s="141" t="str">
        <v>531095 Otros</v>
      </c>
      <c r="CY1103" s="141" t="str">
        <v>531095 Otros</v>
      </c>
      <c r="CZ1103" s="141" t="str">
        <v>531095 Otros</v>
      </c>
      <c r="DA1103" s="141" t="str">
        <v>531095 Otros</v>
      </c>
      <c r="DF1103" t="str">
        <v>531095 Otros</v>
      </c>
      <c r="DG1103" t="str">
        <v>531095 Otros</v>
      </c>
      <c r="DH1103" t="str">
        <v>531095 Otros</v>
      </c>
      <c r="DI1103" t="str">
        <v>531095 Otros</v>
      </c>
      <c r="DJ1103" t="str">
        <v>531095 Otros</v>
      </c>
      <c r="DK1103" t="str">
        <v>531095 Otros</v>
      </c>
      <c r="DL1103" t="str">
        <v>531095 Otros</v>
      </c>
      <c r="DM1103" t="str">
        <v>531095 Otros</v>
      </c>
      <c r="DN1103" t="str">
        <v>531095 Otros</v>
      </c>
      <c r="DO1103" t="str">
        <v>531095 Otros</v>
      </c>
      <c r="DP1103" t="str">
        <v>531095 Otros</v>
      </c>
    </row>
    <row r="1104" spans="4:120" ht="12.75">
      <c r="D1104" s="7">
        <v>531099</v>
      </c>
      <c r="E1104" s="6" t="s">
        <v>93</v>
      </c>
      <c r="F1104" s="5">
        <v>4</v>
      </c>
      <c r="G1104" s="34" t="s">
        <v>830</v>
      </c>
      <c r="H1104" s="8" t="s">
        <v>32</v>
      </c>
      <c r="I1104" t="b">
        <f>+ISNUMBER(SEARCH('F-COMPRA'!$F$28,Tabla11[[#This Row],[Cuenta]],1))</f>
        <v>1</v>
      </c>
      <c r="J1104" t="b">
        <f>+ISNUMBER(SEARCH('F-COMPRA'!$F$29,Tabla11[[#This Row],[Cuenta]],1))</f>
        <v>1</v>
      </c>
      <c r="K1104" t="b">
        <f>+ISNUMBER(SEARCH('F-COMPRA'!$F$30,Tabla11[[#This Row],[Cuenta]],1))</f>
        <v>1</v>
      </c>
      <c r="L1104" t="b">
        <f>+ISNUMBER(SEARCH('F-COMPRA'!$F$31,Tabla11[[#This Row],[Cuenta]],1))</f>
        <v>1</v>
      </c>
      <c r="M1104" t="b">
        <f>+ISNUMBER(SEARCH('F-COMPRA'!$G$25,Tabla11[[#This Row],[Cuenta]],1))</f>
        <v>0</v>
      </c>
      <c r="N1104" t="b">
        <f>+ISNUMBER(SEARCH(#REF!,Tabla11[[#This Row],[Cuenta]],1))</f>
        <v>0</v>
      </c>
      <c r="O1104" t="b">
        <f>+ISNUMBER(SEARCH(#REF!,Tabla11[[#This Row],[Cuenta]],1))</f>
        <v>0</v>
      </c>
      <c r="P1104" t="b">
        <f>+ISNUMBER(SEARCH('F-COMPRA'!$F$32,Tabla11[[#This Row],[Cuenta]],1))</f>
        <v>1</v>
      </c>
      <c r="Q1104" t="b">
        <f>+ISNUMBER(SEARCH('F-COMPRA'!$F$33,Tabla11[[#This Row],[Cuenta]],1))</f>
        <v>1</v>
      </c>
      <c r="R1104" t="b">
        <f>+ISNUMBER(SEARCH('F-COMPRA'!$F$34,Tabla11[[#This Row],[Cuenta]],1))</f>
        <v>1</v>
      </c>
      <c r="S1104" t="b">
        <f>+ISNUMBER(SEARCH('F-COMPRA'!$F$35,Tabla11[[#This Row],[Cuenta]],1))</f>
        <v>1</v>
      </c>
      <c r="T1104" t="b">
        <f>+ISNUMBER(SEARCH('F-COMPRA'!$F$36,Tabla11[[#This Row],[Cuenta]],1))</f>
        <v>1</v>
      </c>
      <c r="U1104" t="b">
        <f>+ISNUMBER(SEARCH('F-COMPRA'!$F$37,Tabla11[[#This Row],[Cuenta]],1))</f>
        <v>1</v>
      </c>
      <c r="V1104" t="b">
        <f>+ISNUMBER(SEARCH(#REF!,Tabla11[[#This Row],[Cuenta]],1))</f>
        <v>0</v>
      </c>
      <c r="W1104" t="b">
        <f>+ISNUMBER(SEARCH('F-COMPRA'!#REF!,Tabla11[[#This Row],[Cuenta]],1))</f>
        <v>0</v>
      </c>
      <c r="X1104" t="b">
        <f>+ISNUMBER(SEARCH('F-COMPRA'!#REF!,Tabla11[[#This Row],[Cuenta]],1))</f>
        <v>0</v>
      </c>
      <c r="Y1104" t="b">
        <f>+ISNUMBER(SEARCH('F-COMPRA'!#REF!,Tabla11[[#This Row],[Cuenta]],1))</f>
        <v>0</v>
      </c>
      <c r="Z1104" t="b">
        <f>+ISNUMBER(SEARCH('F-COMPRA'!#REF!,Tabla11[[#This Row],[Cuenta]],1))</f>
        <v>0</v>
      </c>
      <c r="AA1104" t="b">
        <f>+ISNUMBER(SEARCH('F-COMPRA'!#REF!,Tabla11[[#This Row],[Cuenta]],1))</f>
        <v>0</v>
      </c>
      <c r="AB1104" t="b">
        <f>+ISNUMBER(SEARCH('F-COMPRA'!#REF!,Tabla11[[#This Row],[Cuenta]],1))</f>
        <v>0</v>
      </c>
      <c r="AC1104" t="b">
        <f>+ISNUMBER(SEARCH('F-COMPRA'!#REF!,Tabla11[[#This Row],[Cuenta]],1))</f>
        <v>0</v>
      </c>
      <c r="AD1104" t="b">
        <f>+ISNUMBER(SEARCH('F-COMPRA'!#REF!,Tabla11[[#This Row],[Cuenta]],1))</f>
        <v>0</v>
      </c>
      <c r="AE1104" t="b">
        <f>+ISNUMBER(SEARCH('F-COMPRA'!#REF!,Tabla11[[#This Row],[Cuenta]],1))</f>
        <v>0</v>
      </c>
      <c r="AF1104" t="b">
        <f>+ISNUMBER(SEARCH('F-VTA'!$G$23,Tabla11[[#This Row],[Cuenta]],1))</f>
        <v>0</v>
      </c>
      <c r="AG1104" t="b">
        <f>+ISNUMBER(SEARCH('F-VTA'!$G$24,Tabla11[[#This Row],[Cuenta]],1))</f>
        <v>0</v>
      </c>
      <c r="AH1104" t="b">
        <f>+ISNUMBER(SEARCH('F-VTA'!$G$25,Tabla11[[#This Row],[Cuenta]],1))</f>
        <v>0</v>
      </c>
      <c r="AI1104" t="b">
        <f>+ISNUMBER(SEARCH('F-VTA'!$F$28,Tabla11[[#This Row],[Cuenta]],1))</f>
        <v>1</v>
      </c>
      <c r="AJ1104" t="b">
        <f>+ISNUMBER(SEARCH('F-VTA'!$F$29,Tabla11[[#This Row],[Cuenta]],1))</f>
        <v>1</v>
      </c>
      <c r="AK1104" t="b">
        <f>+ISNUMBER(SEARCH('F-VTA'!$F$30,Tabla11[[#This Row],[Cuenta]],1))</f>
        <v>1</v>
      </c>
      <c r="AL1104" t="b">
        <f>+ISNUMBER(SEARCH('F-VTA'!$F$31,Tabla11[[#This Row],[Cuenta]],1))</f>
        <v>1</v>
      </c>
      <c r="AM1104" t="b">
        <f>+ISNUMBER(SEARCH('F-VTA'!$F$32,Tabla11[[#This Row],[Cuenta]],1))</f>
        <v>1</v>
      </c>
      <c r="AN1104" t="b">
        <f>+ISNUMBER(SEARCH('F-VTA'!$F$33,Tabla11[[#This Row],[Cuenta]],1))</f>
        <v>1</v>
      </c>
      <c r="AO1104" t="b">
        <f>+ISNUMBER(SEARCH('F-VTA'!$F$34,Tabla11[[#This Row],[Cuenta]],1))</f>
        <v>1</v>
      </c>
      <c r="AP1104" t="b">
        <f>+ISNUMBER(SEARCH('F-VTA'!$F$35,Tabla11[[#This Row],[Cuenta]],1))</f>
        <v>1</v>
      </c>
      <c r="AQ1104" t="b">
        <f>+ISNUMBER(SEARCH('F-VTA'!$F$36,Tabla11[[#This Row],[Cuenta]],1))</f>
        <v>1</v>
      </c>
      <c r="AR1104" t="b">
        <f>+ISNUMBER(SEARCH(#REF!,Tabla11[[#This Row],[Cuenta]],1))</f>
        <v>0</v>
      </c>
      <c r="AS1104" t="b">
        <f>+ISNUMBER(SEARCH(#REF!,Tabla11[[#This Row],[Cuenta]],1))</f>
        <v>0</v>
      </c>
      <c r="AT1104" t="b">
        <f>+ISNUMBER(SEARCH(#REF!,Tabla11[[#This Row],[Cuenta]],1))</f>
        <v>0</v>
      </c>
      <c r="AU1104" t="b">
        <f>+ISNUMBER(SEARCH('Conc. Ban.1'!$I$9,Tabla11[[#This Row],[Cuenta]],1))</f>
        <v>0</v>
      </c>
      <c r="AV1104" t="b">
        <f>+ISNUMBER(SEARCH(CompConta!$F$21,Tabla11[[#This Row],[Cuenta]],1))</f>
        <v>1</v>
      </c>
      <c r="AW1104" t="b">
        <f>+ISNUMBER(SEARCH(CompConta!$F$22,Tabla11[[#This Row],[Cuenta]],1))</f>
        <v>1</v>
      </c>
      <c r="AX1104" t="b">
        <f>+ISNUMBER(SEARCH(CompConta!$F$23,Tabla11[[#This Row],[Cuenta]],1))</f>
        <v>1</v>
      </c>
      <c r="AY1104" t="b">
        <f>+ISNUMBER(SEARCH(CompConta!$F$24,Tabla11[[#This Row],[Cuenta]],1))</f>
        <v>1</v>
      </c>
      <c r="AZ1104" t="b">
        <f>+ISNUMBER(SEARCH(CompConta!$F$25,Tabla11[[#This Row],[Cuenta]],1))</f>
        <v>1</v>
      </c>
      <c r="BA1104" t="b">
        <f>+ISNUMBER(SEARCH(CompConta!$F$26,Tabla11[[#This Row],[Cuenta]],1))</f>
        <v>1</v>
      </c>
      <c r="BB1104" t="b">
        <f>+ISNUMBER(SEARCH(CompConta!$F$27,Tabla11[[#This Row],[Cuenta]],1))</f>
        <v>1</v>
      </c>
      <c r="BC1104" t="b">
        <f>+ISNUMBER(SEARCH(CompConta!$F$28,Tabla11[[#This Row],[Cuenta]],1))</f>
        <v>1</v>
      </c>
      <c r="BD1104" t="b">
        <f>+ISNUMBER(SEARCH(CompConta!$F$29,Tabla11[[#This Row],[Cuenta]],1))</f>
        <v>1</v>
      </c>
      <c r="BE1104" t="b">
        <f>+ISNUMBER(SEARCH(CompConta!$F$30,Tabla11[[#This Row],[Cuenta]],1))</f>
        <v>1</v>
      </c>
      <c r="BF1104" t="b">
        <f>+ISNUMBER(SEARCH('PAGO Compras'!$E$11,Tabla11[[#This Row],[Cuenta]],1))</f>
        <v>1</v>
      </c>
      <c r="BG1104" t="b">
        <f>+ISNUMBER(SEARCH(#REF!,Tabla11[[#This Row],[Cuenta]],1))</f>
        <v>0</v>
      </c>
      <c r="BH1104" t="b">
        <f>+ISNUMBER(SEARCH(#REF!,Tabla11[[#This Row],[Cuenta]],1))</f>
        <v>0</v>
      </c>
      <c r="BI1104" t="b">
        <f>+ISNUMBER(SEARCH(#REF!,Tabla11[[#This Row],[Cuenta]],1))</f>
        <v>0</v>
      </c>
      <c r="BJ1104" t="b">
        <f>+ISNUMBER(SEARCH(#REF!,Tabla11[[#This Row],[Cuenta]],1))</f>
        <v>0</v>
      </c>
      <c r="BS1104" t="str">
        <v>531099 *Ajustes por inflación</v>
      </c>
      <c r="BT1104" t="str">
        <v>531099 *Ajustes por inflación</v>
      </c>
      <c r="BU1104" t="str">
        <v>531099 *Ajustes por inflación</v>
      </c>
      <c r="BV1104" t="str">
        <v>531099 *Ajustes por inflación</v>
      </c>
      <c r="BZ1104" t="str">
        <v>531099 *Ajustes por inflación</v>
      </c>
      <c r="CA1104" t="str">
        <v>531099 *Ajustes por inflación</v>
      </c>
      <c r="CB1104" t="str">
        <v>531099 *Ajustes por inflación</v>
      </c>
      <c r="CC1104" t="str">
        <v>531099 *Ajustes por inflación</v>
      </c>
      <c r="CD1104" t="str">
        <v>531099 *Ajustes por inflación</v>
      </c>
      <c r="CE1104" t="str">
        <v>531099 *Ajustes por inflación</v>
      </c>
      <c r="CS1104" s="141" t="str">
        <v>531099 *Ajustes por inflación</v>
      </c>
      <c r="CT1104" s="141" t="str">
        <v>531099 *Ajustes por inflación</v>
      </c>
      <c r="CU1104" s="141" t="str">
        <v>531099 *Ajustes por inflación</v>
      </c>
      <c r="CV1104" s="141" t="str">
        <v>531099 *Ajustes por inflación</v>
      </c>
      <c r="CW1104" s="141" t="str">
        <v>531099 *Ajustes por inflación</v>
      </c>
      <c r="CX1104" s="141" t="str">
        <v>531099 *Ajustes por inflación</v>
      </c>
      <c r="CY1104" s="141" t="str">
        <v>531099 *Ajustes por inflación</v>
      </c>
      <c r="CZ1104" s="141" t="str">
        <v>531099 *Ajustes por inflación</v>
      </c>
      <c r="DA1104" s="141" t="str">
        <v>531099 *Ajustes por inflación</v>
      </c>
      <c r="DF1104" t="str">
        <v>531099 *Ajustes por inflación</v>
      </c>
      <c r="DG1104" t="str">
        <v>531099 *Ajustes por inflación</v>
      </c>
      <c r="DH1104" t="str">
        <v>531099 *Ajustes por inflación</v>
      </c>
      <c r="DI1104" t="str">
        <v>531099 *Ajustes por inflación</v>
      </c>
      <c r="DJ1104" t="str">
        <v>531099 *Ajustes por inflación</v>
      </c>
      <c r="DK1104" t="str">
        <v>531099 *Ajustes por inflación</v>
      </c>
      <c r="DL1104" t="str">
        <v>531099 *Ajustes por inflación</v>
      </c>
      <c r="DM1104" t="str">
        <v>531099 *Ajustes por inflación</v>
      </c>
      <c r="DN1104" t="str">
        <v>531099 *Ajustes por inflación</v>
      </c>
      <c r="DO1104" t="str">
        <v>531099 *Ajustes por inflación</v>
      </c>
      <c r="DP1104" t="str">
        <v>531099 *Ajustes por inflación</v>
      </c>
    </row>
    <row r="1105" spans="4:120" ht="12.75">
      <c r="D1105" s="7">
        <v>5313</v>
      </c>
      <c r="E1105" s="6" t="s">
        <v>631</v>
      </c>
      <c r="F1105" s="5">
        <v>3</v>
      </c>
      <c r="G1105" s="34" t="s">
        <v>830</v>
      </c>
      <c r="H1105" s="8" t="s">
        <v>32</v>
      </c>
      <c r="I1105" t="b">
        <f>+ISNUMBER(SEARCH('F-COMPRA'!$F$28,Tabla11[[#This Row],[Cuenta]],1))</f>
        <v>1</v>
      </c>
      <c r="J1105" t="b">
        <f>+ISNUMBER(SEARCH('F-COMPRA'!$F$29,Tabla11[[#This Row],[Cuenta]],1))</f>
        <v>1</v>
      </c>
      <c r="K1105" t="b">
        <f>+ISNUMBER(SEARCH('F-COMPRA'!$F$30,Tabla11[[#This Row],[Cuenta]],1))</f>
        <v>1</v>
      </c>
      <c r="L1105" t="b">
        <f>+ISNUMBER(SEARCH('F-COMPRA'!$F$31,Tabla11[[#This Row],[Cuenta]],1))</f>
        <v>1</v>
      </c>
      <c r="M1105" t="b">
        <f>+ISNUMBER(SEARCH('F-COMPRA'!$G$25,Tabla11[[#This Row],[Cuenta]],1))</f>
        <v>0</v>
      </c>
      <c r="N1105" t="b">
        <f>+ISNUMBER(SEARCH(#REF!,Tabla11[[#This Row],[Cuenta]],1))</f>
        <v>0</v>
      </c>
      <c r="O1105" t="b">
        <f>+ISNUMBER(SEARCH(#REF!,Tabla11[[#This Row],[Cuenta]],1))</f>
        <v>0</v>
      </c>
      <c r="P1105" t="b">
        <f>+ISNUMBER(SEARCH('F-COMPRA'!$F$32,Tabla11[[#This Row],[Cuenta]],1))</f>
        <v>1</v>
      </c>
      <c r="Q1105" t="b">
        <f>+ISNUMBER(SEARCH('F-COMPRA'!$F$33,Tabla11[[#This Row],[Cuenta]],1))</f>
        <v>1</v>
      </c>
      <c r="R1105" t="b">
        <f>+ISNUMBER(SEARCH('F-COMPRA'!$F$34,Tabla11[[#This Row],[Cuenta]],1))</f>
        <v>1</v>
      </c>
      <c r="S1105" t="b">
        <f>+ISNUMBER(SEARCH('F-COMPRA'!$F$35,Tabla11[[#This Row],[Cuenta]],1))</f>
        <v>1</v>
      </c>
      <c r="T1105" t="b">
        <f>+ISNUMBER(SEARCH('F-COMPRA'!$F$36,Tabla11[[#This Row],[Cuenta]],1))</f>
        <v>1</v>
      </c>
      <c r="U1105" t="b">
        <f>+ISNUMBER(SEARCH('F-COMPRA'!$F$37,Tabla11[[#This Row],[Cuenta]],1))</f>
        <v>1</v>
      </c>
      <c r="V1105" t="b">
        <f>+ISNUMBER(SEARCH(#REF!,Tabla11[[#This Row],[Cuenta]],1))</f>
        <v>0</v>
      </c>
      <c r="W1105" t="b">
        <f>+ISNUMBER(SEARCH('F-COMPRA'!#REF!,Tabla11[[#This Row],[Cuenta]],1))</f>
        <v>0</v>
      </c>
      <c r="X1105" t="b">
        <f>+ISNUMBER(SEARCH('F-COMPRA'!#REF!,Tabla11[[#This Row],[Cuenta]],1))</f>
        <v>0</v>
      </c>
      <c r="Y1105" t="b">
        <f>+ISNUMBER(SEARCH('F-COMPRA'!#REF!,Tabla11[[#This Row],[Cuenta]],1))</f>
        <v>0</v>
      </c>
      <c r="Z1105" t="b">
        <f>+ISNUMBER(SEARCH('F-COMPRA'!#REF!,Tabla11[[#This Row],[Cuenta]],1))</f>
        <v>0</v>
      </c>
      <c r="AA1105" t="b">
        <f>+ISNUMBER(SEARCH('F-COMPRA'!#REF!,Tabla11[[#This Row],[Cuenta]],1))</f>
        <v>0</v>
      </c>
      <c r="AB1105" t="b">
        <f>+ISNUMBER(SEARCH('F-COMPRA'!#REF!,Tabla11[[#This Row],[Cuenta]],1))</f>
        <v>0</v>
      </c>
      <c r="AC1105" t="b">
        <f>+ISNUMBER(SEARCH('F-COMPRA'!#REF!,Tabla11[[#This Row],[Cuenta]],1))</f>
        <v>0</v>
      </c>
      <c r="AD1105" t="b">
        <f>+ISNUMBER(SEARCH('F-COMPRA'!#REF!,Tabla11[[#This Row],[Cuenta]],1))</f>
        <v>0</v>
      </c>
      <c r="AE1105" t="b">
        <f>+ISNUMBER(SEARCH('F-COMPRA'!#REF!,Tabla11[[#This Row],[Cuenta]],1))</f>
        <v>0</v>
      </c>
      <c r="AF1105" t="b">
        <f>+ISNUMBER(SEARCH('F-VTA'!$G$23,Tabla11[[#This Row],[Cuenta]],1))</f>
        <v>0</v>
      </c>
      <c r="AG1105" t="b">
        <f>+ISNUMBER(SEARCH('F-VTA'!$G$24,Tabla11[[#This Row],[Cuenta]],1))</f>
        <v>0</v>
      </c>
      <c r="AH1105" t="b">
        <f>+ISNUMBER(SEARCH('F-VTA'!$G$25,Tabla11[[#This Row],[Cuenta]],1))</f>
        <v>0</v>
      </c>
      <c r="AI1105" t="b">
        <f>+ISNUMBER(SEARCH('F-VTA'!$F$28,Tabla11[[#This Row],[Cuenta]],1))</f>
        <v>1</v>
      </c>
      <c r="AJ1105" t="b">
        <f>+ISNUMBER(SEARCH('F-VTA'!$F$29,Tabla11[[#This Row],[Cuenta]],1))</f>
        <v>1</v>
      </c>
      <c r="AK1105" t="b">
        <f>+ISNUMBER(SEARCH('F-VTA'!$F$30,Tabla11[[#This Row],[Cuenta]],1))</f>
        <v>1</v>
      </c>
      <c r="AL1105" t="b">
        <f>+ISNUMBER(SEARCH('F-VTA'!$F$31,Tabla11[[#This Row],[Cuenta]],1))</f>
        <v>1</v>
      </c>
      <c r="AM1105" t="b">
        <f>+ISNUMBER(SEARCH('F-VTA'!$F$32,Tabla11[[#This Row],[Cuenta]],1))</f>
        <v>1</v>
      </c>
      <c r="AN1105" t="b">
        <f>+ISNUMBER(SEARCH('F-VTA'!$F$33,Tabla11[[#This Row],[Cuenta]],1))</f>
        <v>1</v>
      </c>
      <c r="AO1105" t="b">
        <f>+ISNUMBER(SEARCH('F-VTA'!$F$34,Tabla11[[#This Row],[Cuenta]],1))</f>
        <v>1</v>
      </c>
      <c r="AP1105" t="b">
        <f>+ISNUMBER(SEARCH('F-VTA'!$F$35,Tabla11[[#This Row],[Cuenta]],1))</f>
        <v>1</v>
      </c>
      <c r="AQ1105" t="b">
        <f>+ISNUMBER(SEARCH('F-VTA'!$F$36,Tabla11[[#This Row],[Cuenta]],1))</f>
        <v>1</v>
      </c>
      <c r="AR1105" t="b">
        <f>+ISNUMBER(SEARCH(#REF!,Tabla11[[#This Row],[Cuenta]],1))</f>
        <v>0</v>
      </c>
      <c r="AS1105" t="b">
        <f>+ISNUMBER(SEARCH(#REF!,Tabla11[[#This Row],[Cuenta]],1))</f>
        <v>0</v>
      </c>
      <c r="AT1105" t="b">
        <f>+ISNUMBER(SEARCH(#REF!,Tabla11[[#This Row],[Cuenta]],1))</f>
        <v>0</v>
      </c>
      <c r="AU1105" t="b">
        <f>+ISNUMBER(SEARCH('Conc. Ban.1'!$I$9,Tabla11[[#This Row],[Cuenta]],1))</f>
        <v>0</v>
      </c>
      <c r="AV1105" t="b">
        <f>+ISNUMBER(SEARCH(CompConta!$F$21,Tabla11[[#This Row],[Cuenta]],1))</f>
        <v>1</v>
      </c>
      <c r="AW1105" t="b">
        <f>+ISNUMBER(SEARCH(CompConta!$F$22,Tabla11[[#This Row],[Cuenta]],1))</f>
        <v>1</v>
      </c>
      <c r="AX1105" t="b">
        <f>+ISNUMBER(SEARCH(CompConta!$F$23,Tabla11[[#This Row],[Cuenta]],1))</f>
        <v>1</v>
      </c>
      <c r="AY1105" t="b">
        <f>+ISNUMBER(SEARCH(CompConta!$F$24,Tabla11[[#This Row],[Cuenta]],1))</f>
        <v>1</v>
      </c>
      <c r="AZ1105" t="b">
        <f>+ISNUMBER(SEARCH(CompConta!$F$25,Tabla11[[#This Row],[Cuenta]],1))</f>
        <v>1</v>
      </c>
      <c r="BA1105" t="b">
        <f>+ISNUMBER(SEARCH(CompConta!$F$26,Tabla11[[#This Row],[Cuenta]],1))</f>
        <v>1</v>
      </c>
      <c r="BB1105" t="b">
        <f>+ISNUMBER(SEARCH(CompConta!$F$27,Tabla11[[#This Row],[Cuenta]],1))</f>
        <v>1</v>
      </c>
      <c r="BC1105" t="b">
        <f>+ISNUMBER(SEARCH(CompConta!$F$28,Tabla11[[#This Row],[Cuenta]],1))</f>
        <v>1</v>
      </c>
      <c r="BD1105" t="b">
        <f>+ISNUMBER(SEARCH(CompConta!$F$29,Tabla11[[#This Row],[Cuenta]],1))</f>
        <v>1</v>
      </c>
      <c r="BE1105" t="b">
        <f>+ISNUMBER(SEARCH(CompConta!$F$30,Tabla11[[#This Row],[Cuenta]],1))</f>
        <v>1</v>
      </c>
      <c r="BF1105" t="b">
        <f>+ISNUMBER(SEARCH('PAGO Compras'!$E$11,Tabla11[[#This Row],[Cuenta]],1))</f>
        <v>1</v>
      </c>
      <c r="BG1105" t="b">
        <f>+ISNUMBER(SEARCH(#REF!,Tabla11[[#This Row],[Cuenta]],1))</f>
        <v>0</v>
      </c>
      <c r="BH1105" t="b">
        <f>+ISNUMBER(SEARCH(#REF!,Tabla11[[#This Row],[Cuenta]],1))</f>
        <v>0</v>
      </c>
      <c r="BI1105" t="b">
        <f>+ISNUMBER(SEARCH(#REF!,Tabla11[[#This Row],[Cuenta]],1))</f>
        <v>0</v>
      </c>
      <c r="BJ1105" t="b">
        <f>+ISNUMBER(SEARCH(#REF!,Tabla11[[#This Row],[Cuenta]],1))</f>
        <v>0</v>
      </c>
      <c r="BS1105" t="str">
        <v>5313 PÉRDIDAS MÉTODO DE PARTICIPACIÓN</v>
      </c>
      <c r="BT1105" t="str">
        <v>5313 PÉRDIDAS MÉTODO DE PARTICIPACIÓN</v>
      </c>
      <c r="BU1105" t="str">
        <v>5313 PÉRDIDAS MÉTODO DE PARTICIPACIÓN</v>
      </c>
      <c r="BV1105" t="str">
        <v>5313 PÉRDIDAS MÉTODO DE PARTICIPACIÓN</v>
      </c>
      <c r="BZ1105" t="str">
        <v>5313 PÉRDIDAS MÉTODO DE PARTICIPACIÓN</v>
      </c>
      <c r="CA1105" t="str">
        <v>5313 PÉRDIDAS MÉTODO DE PARTICIPACIÓN</v>
      </c>
      <c r="CB1105" t="str">
        <v>5313 PÉRDIDAS MÉTODO DE PARTICIPACIÓN</v>
      </c>
      <c r="CC1105" t="str">
        <v>5313 PÉRDIDAS MÉTODO DE PARTICIPACIÓN</v>
      </c>
      <c r="CD1105" t="str">
        <v>5313 PÉRDIDAS MÉTODO DE PARTICIPACIÓN</v>
      </c>
      <c r="CE1105" t="str">
        <v>5313 PÉRDIDAS MÉTODO DE PARTICIPACIÓN</v>
      </c>
      <c r="CS1105" s="141" t="str">
        <v>5313 PÉRDIDAS MÉTODO DE PARTICIPACIÓN</v>
      </c>
      <c r="CT1105" s="141" t="str">
        <v>5313 PÉRDIDAS MÉTODO DE PARTICIPACIÓN</v>
      </c>
      <c r="CU1105" s="141" t="str">
        <v>5313 PÉRDIDAS MÉTODO DE PARTICIPACIÓN</v>
      </c>
      <c r="CV1105" s="141" t="str">
        <v>5313 PÉRDIDAS MÉTODO DE PARTICIPACIÓN</v>
      </c>
      <c r="CW1105" s="141" t="str">
        <v>5313 PÉRDIDAS MÉTODO DE PARTICIPACIÓN</v>
      </c>
      <c r="CX1105" s="141" t="str">
        <v>5313 PÉRDIDAS MÉTODO DE PARTICIPACIÓN</v>
      </c>
      <c r="CY1105" s="141" t="str">
        <v>5313 PÉRDIDAS MÉTODO DE PARTICIPACIÓN</v>
      </c>
      <c r="CZ1105" s="141" t="str">
        <v>5313 PÉRDIDAS MÉTODO DE PARTICIPACIÓN</v>
      </c>
      <c r="DA1105" s="141" t="str">
        <v>5313 PÉRDIDAS MÉTODO DE PARTICIPACIÓN</v>
      </c>
      <c r="DF1105" t="str">
        <v>5313 PÉRDIDAS MÉTODO DE PARTICIPACIÓN</v>
      </c>
      <c r="DG1105" t="str">
        <v>5313 PÉRDIDAS MÉTODO DE PARTICIPACIÓN</v>
      </c>
      <c r="DH1105" t="str">
        <v>5313 PÉRDIDAS MÉTODO DE PARTICIPACIÓN</v>
      </c>
      <c r="DI1105" t="str">
        <v>5313 PÉRDIDAS MÉTODO DE PARTICIPACIÓN</v>
      </c>
      <c r="DJ1105" t="str">
        <v>5313 PÉRDIDAS MÉTODO DE PARTICIPACIÓN</v>
      </c>
      <c r="DK1105" t="str">
        <v>5313 PÉRDIDAS MÉTODO DE PARTICIPACIÓN</v>
      </c>
      <c r="DL1105" t="str">
        <v>5313 PÉRDIDAS MÉTODO DE PARTICIPACIÓN</v>
      </c>
      <c r="DM1105" t="str">
        <v>5313 PÉRDIDAS MÉTODO DE PARTICIPACIÓN</v>
      </c>
      <c r="DN1105" t="str">
        <v>5313 PÉRDIDAS MÉTODO DE PARTICIPACIÓN</v>
      </c>
      <c r="DO1105" t="str">
        <v>5313 PÉRDIDAS MÉTODO DE PARTICIPACIÓN</v>
      </c>
      <c r="DP1105" t="str">
        <v>5313 PÉRDIDAS MÉTODO DE PARTICIPACIÓN</v>
      </c>
    </row>
    <row r="1106" spans="4:120" ht="12.75">
      <c r="D1106" s="7">
        <v>531305</v>
      </c>
      <c r="E1106" s="6" t="s">
        <v>523</v>
      </c>
      <c r="F1106" s="5">
        <v>4</v>
      </c>
      <c r="G1106" s="34" t="s">
        <v>830</v>
      </c>
      <c r="H1106" s="8" t="s">
        <v>32</v>
      </c>
      <c r="I1106" t="b">
        <f>+ISNUMBER(SEARCH('F-COMPRA'!$F$28,Tabla11[[#This Row],[Cuenta]],1))</f>
        <v>1</v>
      </c>
      <c r="J1106" t="b">
        <f>+ISNUMBER(SEARCH('F-COMPRA'!$F$29,Tabla11[[#This Row],[Cuenta]],1))</f>
        <v>1</v>
      </c>
      <c r="K1106" t="b">
        <f>+ISNUMBER(SEARCH('F-COMPRA'!$F$30,Tabla11[[#This Row],[Cuenta]],1))</f>
        <v>1</v>
      </c>
      <c r="L1106" t="b">
        <f>+ISNUMBER(SEARCH('F-COMPRA'!$F$31,Tabla11[[#This Row],[Cuenta]],1))</f>
        <v>1</v>
      </c>
      <c r="M1106" t="b">
        <f>+ISNUMBER(SEARCH('F-COMPRA'!$G$25,Tabla11[[#This Row],[Cuenta]],1))</f>
        <v>0</v>
      </c>
      <c r="N1106" t="b">
        <f>+ISNUMBER(SEARCH(#REF!,Tabla11[[#This Row],[Cuenta]],1))</f>
        <v>0</v>
      </c>
      <c r="O1106" t="b">
        <f>+ISNUMBER(SEARCH(#REF!,Tabla11[[#This Row],[Cuenta]],1))</f>
        <v>0</v>
      </c>
      <c r="P1106" t="b">
        <f>+ISNUMBER(SEARCH('F-COMPRA'!$F$32,Tabla11[[#This Row],[Cuenta]],1))</f>
        <v>1</v>
      </c>
      <c r="Q1106" t="b">
        <f>+ISNUMBER(SEARCH('F-COMPRA'!$F$33,Tabla11[[#This Row],[Cuenta]],1))</f>
        <v>1</v>
      </c>
      <c r="R1106" t="b">
        <f>+ISNUMBER(SEARCH('F-COMPRA'!$F$34,Tabla11[[#This Row],[Cuenta]],1))</f>
        <v>1</v>
      </c>
      <c r="S1106" t="b">
        <f>+ISNUMBER(SEARCH('F-COMPRA'!$F$35,Tabla11[[#This Row],[Cuenta]],1))</f>
        <v>1</v>
      </c>
      <c r="T1106" t="b">
        <f>+ISNUMBER(SEARCH('F-COMPRA'!$F$36,Tabla11[[#This Row],[Cuenta]],1))</f>
        <v>1</v>
      </c>
      <c r="U1106" t="b">
        <f>+ISNUMBER(SEARCH('F-COMPRA'!$F$37,Tabla11[[#This Row],[Cuenta]],1))</f>
        <v>1</v>
      </c>
      <c r="V1106" t="b">
        <f>+ISNUMBER(SEARCH(#REF!,Tabla11[[#This Row],[Cuenta]],1))</f>
        <v>0</v>
      </c>
      <c r="W1106" t="b">
        <f>+ISNUMBER(SEARCH('F-COMPRA'!#REF!,Tabla11[[#This Row],[Cuenta]],1))</f>
        <v>0</v>
      </c>
      <c r="X1106" t="b">
        <f>+ISNUMBER(SEARCH('F-COMPRA'!#REF!,Tabla11[[#This Row],[Cuenta]],1))</f>
        <v>0</v>
      </c>
      <c r="Y1106" t="b">
        <f>+ISNUMBER(SEARCH('F-COMPRA'!#REF!,Tabla11[[#This Row],[Cuenta]],1))</f>
        <v>0</v>
      </c>
      <c r="Z1106" t="b">
        <f>+ISNUMBER(SEARCH('F-COMPRA'!#REF!,Tabla11[[#This Row],[Cuenta]],1))</f>
        <v>0</v>
      </c>
      <c r="AA1106" t="b">
        <f>+ISNUMBER(SEARCH('F-COMPRA'!#REF!,Tabla11[[#This Row],[Cuenta]],1))</f>
        <v>0</v>
      </c>
      <c r="AB1106" t="b">
        <f>+ISNUMBER(SEARCH('F-COMPRA'!#REF!,Tabla11[[#This Row],[Cuenta]],1))</f>
        <v>0</v>
      </c>
      <c r="AC1106" t="b">
        <f>+ISNUMBER(SEARCH('F-COMPRA'!#REF!,Tabla11[[#This Row],[Cuenta]],1))</f>
        <v>0</v>
      </c>
      <c r="AD1106" t="b">
        <f>+ISNUMBER(SEARCH('F-COMPRA'!#REF!,Tabla11[[#This Row],[Cuenta]],1))</f>
        <v>0</v>
      </c>
      <c r="AE1106" t="b">
        <f>+ISNUMBER(SEARCH('F-COMPRA'!#REF!,Tabla11[[#This Row],[Cuenta]],1))</f>
        <v>0</v>
      </c>
      <c r="AF1106" t="b">
        <f>+ISNUMBER(SEARCH('F-VTA'!$G$23,Tabla11[[#This Row],[Cuenta]],1))</f>
        <v>0</v>
      </c>
      <c r="AG1106" t="b">
        <f>+ISNUMBER(SEARCH('F-VTA'!$G$24,Tabla11[[#This Row],[Cuenta]],1))</f>
        <v>0</v>
      </c>
      <c r="AH1106" t="b">
        <f>+ISNUMBER(SEARCH('F-VTA'!$G$25,Tabla11[[#This Row],[Cuenta]],1))</f>
        <v>0</v>
      </c>
      <c r="AI1106" t="b">
        <f>+ISNUMBER(SEARCH('F-VTA'!$F$28,Tabla11[[#This Row],[Cuenta]],1))</f>
        <v>1</v>
      </c>
      <c r="AJ1106" t="b">
        <f>+ISNUMBER(SEARCH('F-VTA'!$F$29,Tabla11[[#This Row],[Cuenta]],1))</f>
        <v>1</v>
      </c>
      <c r="AK1106" t="b">
        <f>+ISNUMBER(SEARCH('F-VTA'!$F$30,Tabla11[[#This Row],[Cuenta]],1))</f>
        <v>1</v>
      </c>
      <c r="AL1106" t="b">
        <f>+ISNUMBER(SEARCH('F-VTA'!$F$31,Tabla11[[#This Row],[Cuenta]],1))</f>
        <v>1</v>
      </c>
      <c r="AM1106" t="b">
        <f>+ISNUMBER(SEARCH('F-VTA'!$F$32,Tabla11[[#This Row],[Cuenta]],1))</f>
        <v>1</v>
      </c>
      <c r="AN1106" t="b">
        <f>+ISNUMBER(SEARCH('F-VTA'!$F$33,Tabla11[[#This Row],[Cuenta]],1))</f>
        <v>1</v>
      </c>
      <c r="AO1106" t="b">
        <f>+ISNUMBER(SEARCH('F-VTA'!$F$34,Tabla11[[#This Row],[Cuenta]],1))</f>
        <v>1</v>
      </c>
      <c r="AP1106" t="b">
        <f>+ISNUMBER(SEARCH('F-VTA'!$F$35,Tabla11[[#This Row],[Cuenta]],1))</f>
        <v>1</v>
      </c>
      <c r="AQ1106" t="b">
        <f>+ISNUMBER(SEARCH('F-VTA'!$F$36,Tabla11[[#This Row],[Cuenta]],1))</f>
        <v>1</v>
      </c>
      <c r="AR1106" t="b">
        <f>+ISNUMBER(SEARCH(#REF!,Tabla11[[#This Row],[Cuenta]],1))</f>
        <v>0</v>
      </c>
      <c r="AS1106" t="b">
        <f>+ISNUMBER(SEARCH(#REF!,Tabla11[[#This Row],[Cuenta]],1))</f>
        <v>0</v>
      </c>
      <c r="AT1106" t="b">
        <f>+ISNUMBER(SEARCH(#REF!,Tabla11[[#This Row],[Cuenta]],1))</f>
        <v>0</v>
      </c>
      <c r="AU1106" t="b">
        <f>+ISNUMBER(SEARCH('Conc. Ban.1'!$I$9,Tabla11[[#This Row],[Cuenta]],1))</f>
        <v>0</v>
      </c>
      <c r="AV1106" t="b">
        <f>+ISNUMBER(SEARCH(CompConta!$F$21,Tabla11[[#This Row],[Cuenta]],1))</f>
        <v>1</v>
      </c>
      <c r="AW1106" t="b">
        <f>+ISNUMBER(SEARCH(CompConta!$F$22,Tabla11[[#This Row],[Cuenta]],1))</f>
        <v>1</v>
      </c>
      <c r="AX1106" t="b">
        <f>+ISNUMBER(SEARCH(CompConta!$F$23,Tabla11[[#This Row],[Cuenta]],1))</f>
        <v>1</v>
      </c>
      <c r="AY1106" t="b">
        <f>+ISNUMBER(SEARCH(CompConta!$F$24,Tabla11[[#This Row],[Cuenta]],1))</f>
        <v>1</v>
      </c>
      <c r="AZ1106" t="b">
        <f>+ISNUMBER(SEARCH(CompConta!$F$25,Tabla11[[#This Row],[Cuenta]],1))</f>
        <v>1</v>
      </c>
      <c r="BA1106" t="b">
        <f>+ISNUMBER(SEARCH(CompConta!$F$26,Tabla11[[#This Row],[Cuenta]],1))</f>
        <v>1</v>
      </c>
      <c r="BB1106" t="b">
        <f>+ISNUMBER(SEARCH(CompConta!$F$27,Tabla11[[#This Row],[Cuenta]],1))</f>
        <v>1</v>
      </c>
      <c r="BC1106" t="b">
        <f>+ISNUMBER(SEARCH(CompConta!$F$28,Tabla11[[#This Row],[Cuenta]],1))</f>
        <v>1</v>
      </c>
      <c r="BD1106" t="b">
        <f>+ISNUMBER(SEARCH(CompConta!$F$29,Tabla11[[#This Row],[Cuenta]],1))</f>
        <v>1</v>
      </c>
      <c r="BE1106" t="b">
        <f>+ISNUMBER(SEARCH(CompConta!$F$30,Tabla11[[#This Row],[Cuenta]],1))</f>
        <v>1</v>
      </c>
      <c r="BF1106" t="b">
        <f>+ISNUMBER(SEARCH('PAGO Compras'!$E$11,Tabla11[[#This Row],[Cuenta]],1))</f>
        <v>1</v>
      </c>
      <c r="BG1106" t="b">
        <f>+ISNUMBER(SEARCH(#REF!,Tabla11[[#This Row],[Cuenta]],1))</f>
        <v>0</v>
      </c>
      <c r="BH1106" t="b">
        <f>+ISNUMBER(SEARCH(#REF!,Tabla11[[#This Row],[Cuenta]],1))</f>
        <v>0</v>
      </c>
      <c r="BI1106" t="b">
        <f>+ISNUMBER(SEARCH(#REF!,Tabla11[[#This Row],[Cuenta]],1))</f>
        <v>0</v>
      </c>
      <c r="BJ1106" t="b">
        <f>+ISNUMBER(SEARCH(#REF!,Tabla11[[#This Row],[Cuenta]],1))</f>
        <v>0</v>
      </c>
      <c r="BS1106" t="str">
        <v>531305 De sociedades anónimas y/o asimiladas</v>
      </c>
      <c r="BT1106" t="str">
        <v>531305 De sociedades anónimas y/o asimiladas</v>
      </c>
      <c r="BU1106" t="str">
        <v>531305 De sociedades anónimas y/o asimiladas</v>
      </c>
      <c r="BV1106" t="str">
        <v>531305 De sociedades anónimas y/o asimiladas</v>
      </c>
      <c r="BZ1106" t="str">
        <v>531305 De sociedades anónimas y/o asimiladas</v>
      </c>
      <c r="CA1106" t="str">
        <v>531305 De sociedades anónimas y/o asimiladas</v>
      </c>
      <c r="CB1106" t="str">
        <v>531305 De sociedades anónimas y/o asimiladas</v>
      </c>
      <c r="CC1106" t="str">
        <v>531305 De sociedades anónimas y/o asimiladas</v>
      </c>
      <c r="CD1106" t="str">
        <v>531305 De sociedades anónimas y/o asimiladas</v>
      </c>
      <c r="CE1106" t="str">
        <v>531305 De sociedades anónimas y/o asimiladas</v>
      </c>
      <c r="CS1106" s="141" t="str">
        <v>531305 De sociedades anónimas y/o asimiladas</v>
      </c>
      <c r="CT1106" s="141" t="str">
        <v>531305 De sociedades anónimas y/o asimiladas</v>
      </c>
      <c r="CU1106" s="141" t="str">
        <v>531305 De sociedades anónimas y/o asimiladas</v>
      </c>
      <c r="CV1106" s="141" t="str">
        <v>531305 De sociedades anónimas y/o asimiladas</v>
      </c>
      <c r="CW1106" s="141" t="str">
        <v>531305 De sociedades anónimas y/o asimiladas</v>
      </c>
      <c r="CX1106" s="141" t="str">
        <v>531305 De sociedades anónimas y/o asimiladas</v>
      </c>
      <c r="CY1106" s="141" t="str">
        <v>531305 De sociedades anónimas y/o asimiladas</v>
      </c>
      <c r="CZ1106" s="141" t="str">
        <v>531305 De sociedades anónimas y/o asimiladas</v>
      </c>
      <c r="DA1106" s="141" t="str">
        <v>531305 De sociedades anónimas y/o asimiladas</v>
      </c>
      <c r="DF1106" t="str">
        <v>531305 De sociedades anónimas y/o asimiladas</v>
      </c>
      <c r="DG1106" t="str">
        <v>531305 De sociedades anónimas y/o asimiladas</v>
      </c>
      <c r="DH1106" t="str">
        <v>531305 De sociedades anónimas y/o asimiladas</v>
      </c>
      <c r="DI1106" t="str">
        <v>531305 De sociedades anónimas y/o asimiladas</v>
      </c>
      <c r="DJ1106" t="str">
        <v>531305 De sociedades anónimas y/o asimiladas</v>
      </c>
      <c r="DK1106" t="str">
        <v>531305 De sociedades anónimas y/o asimiladas</v>
      </c>
      <c r="DL1106" t="str">
        <v>531305 De sociedades anónimas y/o asimiladas</v>
      </c>
      <c r="DM1106" t="str">
        <v>531305 De sociedades anónimas y/o asimiladas</v>
      </c>
      <c r="DN1106" t="str">
        <v>531305 De sociedades anónimas y/o asimiladas</v>
      </c>
      <c r="DO1106" t="str">
        <v>531305 De sociedades anónimas y/o asimiladas</v>
      </c>
      <c r="DP1106" t="str">
        <v>531305 De sociedades anónimas y/o asimiladas</v>
      </c>
    </row>
    <row r="1107" spans="4:120" ht="12.75">
      <c r="D1107" s="7">
        <v>531310</v>
      </c>
      <c r="E1107" s="6" t="s">
        <v>524</v>
      </c>
      <c r="F1107" s="5">
        <v>4</v>
      </c>
      <c r="G1107" s="34" t="s">
        <v>830</v>
      </c>
      <c r="H1107" s="8" t="s">
        <v>32</v>
      </c>
      <c r="I1107" t="b">
        <f>+ISNUMBER(SEARCH('F-COMPRA'!$F$28,Tabla11[[#This Row],[Cuenta]],1))</f>
        <v>1</v>
      </c>
      <c r="J1107" t="b">
        <f>+ISNUMBER(SEARCH('F-COMPRA'!$F$29,Tabla11[[#This Row],[Cuenta]],1))</f>
        <v>1</v>
      </c>
      <c r="K1107" t="b">
        <f>+ISNUMBER(SEARCH('F-COMPRA'!$F$30,Tabla11[[#This Row],[Cuenta]],1))</f>
        <v>1</v>
      </c>
      <c r="L1107" t="b">
        <f>+ISNUMBER(SEARCH('F-COMPRA'!$F$31,Tabla11[[#This Row],[Cuenta]],1))</f>
        <v>1</v>
      </c>
      <c r="M1107" t="b">
        <f>+ISNUMBER(SEARCH('F-COMPRA'!$G$25,Tabla11[[#This Row],[Cuenta]],1))</f>
        <v>0</v>
      </c>
      <c r="N1107" t="b">
        <f>+ISNUMBER(SEARCH(#REF!,Tabla11[[#This Row],[Cuenta]],1))</f>
        <v>0</v>
      </c>
      <c r="O1107" t="b">
        <f>+ISNUMBER(SEARCH(#REF!,Tabla11[[#This Row],[Cuenta]],1))</f>
        <v>0</v>
      </c>
      <c r="P1107" t="b">
        <f>+ISNUMBER(SEARCH('F-COMPRA'!$F$32,Tabla11[[#This Row],[Cuenta]],1))</f>
        <v>1</v>
      </c>
      <c r="Q1107" t="b">
        <f>+ISNUMBER(SEARCH('F-COMPRA'!$F$33,Tabla11[[#This Row],[Cuenta]],1))</f>
        <v>1</v>
      </c>
      <c r="R1107" t="b">
        <f>+ISNUMBER(SEARCH('F-COMPRA'!$F$34,Tabla11[[#This Row],[Cuenta]],1))</f>
        <v>1</v>
      </c>
      <c r="S1107" t="b">
        <f>+ISNUMBER(SEARCH('F-COMPRA'!$F$35,Tabla11[[#This Row],[Cuenta]],1))</f>
        <v>1</v>
      </c>
      <c r="T1107" t="b">
        <f>+ISNUMBER(SEARCH('F-COMPRA'!$F$36,Tabla11[[#This Row],[Cuenta]],1))</f>
        <v>1</v>
      </c>
      <c r="U1107" t="b">
        <f>+ISNUMBER(SEARCH('F-COMPRA'!$F$37,Tabla11[[#This Row],[Cuenta]],1))</f>
        <v>1</v>
      </c>
      <c r="V1107" t="b">
        <f>+ISNUMBER(SEARCH(#REF!,Tabla11[[#This Row],[Cuenta]],1))</f>
        <v>0</v>
      </c>
      <c r="W1107" t="b">
        <f>+ISNUMBER(SEARCH('F-COMPRA'!#REF!,Tabla11[[#This Row],[Cuenta]],1))</f>
        <v>0</v>
      </c>
      <c r="X1107" t="b">
        <f>+ISNUMBER(SEARCH('F-COMPRA'!#REF!,Tabla11[[#This Row],[Cuenta]],1))</f>
        <v>0</v>
      </c>
      <c r="Y1107" t="b">
        <f>+ISNUMBER(SEARCH('F-COMPRA'!#REF!,Tabla11[[#This Row],[Cuenta]],1))</f>
        <v>0</v>
      </c>
      <c r="Z1107" t="b">
        <f>+ISNUMBER(SEARCH('F-COMPRA'!#REF!,Tabla11[[#This Row],[Cuenta]],1))</f>
        <v>0</v>
      </c>
      <c r="AA1107" t="b">
        <f>+ISNUMBER(SEARCH('F-COMPRA'!#REF!,Tabla11[[#This Row],[Cuenta]],1))</f>
        <v>0</v>
      </c>
      <c r="AB1107" t="b">
        <f>+ISNUMBER(SEARCH('F-COMPRA'!#REF!,Tabla11[[#This Row],[Cuenta]],1))</f>
        <v>0</v>
      </c>
      <c r="AC1107" t="b">
        <f>+ISNUMBER(SEARCH('F-COMPRA'!#REF!,Tabla11[[#This Row],[Cuenta]],1))</f>
        <v>0</v>
      </c>
      <c r="AD1107" t="b">
        <f>+ISNUMBER(SEARCH('F-COMPRA'!#REF!,Tabla11[[#This Row],[Cuenta]],1))</f>
        <v>0</v>
      </c>
      <c r="AE1107" t="b">
        <f>+ISNUMBER(SEARCH('F-COMPRA'!#REF!,Tabla11[[#This Row],[Cuenta]],1))</f>
        <v>0</v>
      </c>
      <c r="AF1107" t="b">
        <f>+ISNUMBER(SEARCH('F-VTA'!$G$23,Tabla11[[#This Row],[Cuenta]],1))</f>
        <v>0</v>
      </c>
      <c r="AG1107" t="b">
        <f>+ISNUMBER(SEARCH('F-VTA'!$G$24,Tabla11[[#This Row],[Cuenta]],1))</f>
        <v>0</v>
      </c>
      <c r="AH1107" t="b">
        <f>+ISNUMBER(SEARCH('F-VTA'!$G$25,Tabla11[[#This Row],[Cuenta]],1))</f>
        <v>0</v>
      </c>
      <c r="AI1107" t="b">
        <f>+ISNUMBER(SEARCH('F-VTA'!$F$28,Tabla11[[#This Row],[Cuenta]],1))</f>
        <v>1</v>
      </c>
      <c r="AJ1107" t="b">
        <f>+ISNUMBER(SEARCH('F-VTA'!$F$29,Tabla11[[#This Row],[Cuenta]],1))</f>
        <v>1</v>
      </c>
      <c r="AK1107" t="b">
        <f>+ISNUMBER(SEARCH('F-VTA'!$F$30,Tabla11[[#This Row],[Cuenta]],1))</f>
        <v>1</v>
      </c>
      <c r="AL1107" t="b">
        <f>+ISNUMBER(SEARCH('F-VTA'!$F$31,Tabla11[[#This Row],[Cuenta]],1))</f>
        <v>1</v>
      </c>
      <c r="AM1107" t="b">
        <f>+ISNUMBER(SEARCH('F-VTA'!$F$32,Tabla11[[#This Row],[Cuenta]],1))</f>
        <v>1</v>
      </c>
      <c r="AN1107" t="b">
        <f>+ISNUMBER(SEARCH('F-VTA'!$F$33,Tabla11[[#This Row],[Cuenta]],1))</f>
        <v>1</v>
      </c>
      <c r="AO1107" t="b">
        <f>+ISNUMBER(SEARCH('F-VTA'!$F$34,Tabla11[[#This Row],[Cuenta]],1))</f>
        <v>1</v>
      </c>
      <c r="AP1107" t="b">
        <f>+ISNUMBER(SEARCH('F-VTA'!$F$35,Tabla11[[#This Row],[Cuenta]],1))</f>
        <v>1</v>
      </c>
      <c r="AQ1107" t="b">
        <f>+ISNUMBER(SEARCH('F-VTA'!$F$36,Tabla11[[#This Row],[Cuenta]],1))</f>
        <v>1</v>
      </c>
      <c r="AR1107" t="b">
        <f>+ISNUMBER(SEARCH(#REF!,Tabla11[[#This Row],[Cuenta]],1))</f>
        <v>0</v>
      </c>
      <c r="AS1107" t="b">
        <f>+ISNUMBER(SEARCH(#REF!,Tabla11[[#This Row],[Cuenta]],1))</f>
        <v>0</v>
      </c>
      <c r="AT1107" t="b">
        <f>+ISNUMBER(SEARCH(#REF!,Tabla11[[#This Row],[Cuenta]],1))</f>
        <v>0</v>
      </c>
      <c r="AU1107" t="b">
        <f>+ISNUMBER(SEARCH('Conc. Ban.1'!$I$9,Tabla11[[#This Row],[Cuenta]],1))</f>
        <v>0</v>
      </c>
      <c r="AV1107" t="b">
        <f>+ISNUMBER(SEARCH(CompConta!$F$21,Tabla11[[#This Row],[Cuenta]],1))</f>
        <v>1</v>
      </c>
      <c r="AW1107" t="b">
        <f>+ISNUMBER(SEARCH(CompConta!$F$22,Tabla11[[#This Row],[Cuenta]],1))</f>
        <v>1</v>
      </c>
      <c r="AX1107" t="b">
        <f>+ISNUMBER(SEARCH(CompConta!$F$23,Tabla11[[#This Row],[Cuenta]],1))</f>
        <v>1</v>
      </c>
      <c r="AY1107" t="b">
        <f>+ISNUMBER(SEARCH(CompConta!$F$24,Tabla11[[#This Row],[Cuenta]],1))</f>
        <v>1</v>
      </c>
      <c r="AZ1107" t="b">
        <f>+ISNUMBER(SEARCH(CompConta!$F$25,Tabla11[[#This Row],[Cuenta]],1))</f>
        <v>1</v>
      </c>
      <c r="BA1107" t="b">
        <f>+ISNUMBER(SEARCH(CompConta!$F$26,Tabla11[[#This Row],[Cuenta]],1))</f>
        <v>1</v>
      </c>
      <c r="BB1107" t="b">
        <f>+ISNUMBER(SEARCH(CompConta!$F$27,Tabla11[[#This Row],[Cuenta]],1))</f>
        <v>1</v>
      </c>
      <c r="BC1107" t="b">
        <f>+ISNUMBER(SEARCH(CompConta!$F$28,Tabla11[[#This Row],[Cuenta]],1))</f>
        <v>1</v>
      </c>
      <c r="BD1107" t="b">
        <f>+ISNUMBER(SEARCH(CompConta!$F$29,Tabla11[[#This Row],[Cuenta]],1))</f>
        <v>1</v>
      </c>
      <c r="BE1107" t="b">
        <f>+ISNUMBER(SEARCH(CompConta!$F$30,Tabla11[[#This Row],[Cuenta]],1))</f>
        <v>1</v>
      </c>
      <c r="BF1107" t="b">
        <f>+ISNUMBER(SEARCH('PAGO Compras'!$E$11,Tabla11[[#This Row],[Cuenta]],1))</f>
        <v>1</v>
      </c>
      <c r="BG1107" t="b">
        <f>+ISNUMBER(SEARCH(#REF!,Tabla11[[#This Row],[Cuenta]],1))</f>
        <v>0</v>
      </c>
      <c r="BH1107" t="b">
        <f>+ISNUMBER(SEARCH(#REF!,Tabla11[[#This Row],[Cuenta]],1))</f>
        <v>0</v>
      </c>
      <c r="BI1107" t="b">
        <f>+ISNUMBER(SEARCH(#REF!,Tabla11[[#This Row],[Cuenta]],1))</f>
        <v>0</v>
      </c>
      <c r="BJ1107" t="b">
        <f>+ISNUMBER(SEARCH(#REF!,Tabla11[[#This Row],[Cuenta]],1))</f>
        <v>0</v>
      </c>
      <c r="BS1107" t="str">
        <v>531310 De sociedades limitadas y/o asimiladas</v>
      </c>
      <c r="BT1107" t="str">
        <v>531310 De sociedades limitadas y/o asimiladas</v>
      </c>
      <c r="BU1107" t="str">
        <v>531310 De sociedades limitadas y/o asimiladas</v>
      </c>
      <c r="BV1107" t="str">
        <v>531310 De sociedades limitadas y/o asimiladas</v>
      </c>
      <c r="BZ1107" t="str">
        <v>531310 De sociedades limitadas y/o asimiladas</v>
      </c>
      <c r="CA1107" t="str">
        <v>531310 De sociedades limitadas y/o asimiladas</v>
      </c>
      <c r="CB1107" t="str">
        <v>531310 De sociedades limitadas y/o asimiladas</v>
      </c>
      <c r="CC1107" t="str">
        <v>531310 De sociedades limitadas y/o asimiladas</v>
      </c>
      <c r="CD1107" t="str">
        <v>531310 De sociedades limitadas y/o asimiladas</v>
      </c>
      <c r="CE1107" t="str">
        <v>531310 De sociedades limitadas y/o asimiladas</v>
      </c>
      <c r="CS1107" s="141" t="str">
        <v>531310 De sociedades limitadas y/o asimiladas</v>
      </c>
      <c r="CT1107" s="141" t="str">
        <v>531310 De sociedades limitadas y/o asimiladas</v>
      </c>
      <c r="CU1107" s="141" t="str">
        <v>531310 De sociedades limitadas y/o asimiladas</v>
      </c>
      <c r="CV1107" s="141" t="str">
        <v>531310 De sociedades limitadas y/o asimiladas</v>
      </c>
      <c r="CW1107" s="141" t="str">
        <v>531310 De sociedades limitadas y/o asimiladas</v>
      </c>
      <c r="CX1107" s="141" t="str">
        <v>531310 De sociedades limitadas y/o asimiladas</v>
      </c>
      <c r="CY1107" s="141" t="str">
        <v>531310 De sociedades limitadas y/o asimiladas</v>
      </c>
      <c r="CZ1107" s="141" t="str">
        <v>531310 De sociedades limitadas y/o asimiladas</v>
      </c>
      <c r="DA1107" s="141" t="str">
        <v>531310 De sociedades limitadas y/o asimiladas</v>
      </c>
      <c r="DF1107" t="str">
        <v>531310 De sociedades limitadas y/o asimiladas</v>
      </c>
      <c r="DG1107" t="str">
        <v>531310 De sociedades limitadas y/o asimiladas</v>
      </c>
      <c r="DH1107" t="str">
        <v>531310 De sociedades limitadas y/o asimiladas</v>
      </c>
      <c r="DI1107" t="str">
        <v>531310 De sociedades limitadas y/o asimiladas</v>
      </c>
      <c r="DJ1107" t="str">
        <v>531310 De sociedades limitadas y/o asimiladas</v>
      </c>
      <c r="DK1107" t="str">
        <v>531310 De sociedades limitadas y/o asimiladas</v>
      </c>
      <c r="DL1107" t="str">
        <v>531310 De sociedades limitadas y/o asimiladas</v>
      </c>
      <c r="DM1107" t="str">
        <v>531310 De sociedades limitadas y/o asimiladas</v>
      </c>
      <c r="DN1107" t="str">
        <v>531310 De sociedades limitadas y/o asimiladas</v>
      </c>
      <c r="DO1107" t="str">
        <v>531310 De sociedades limitadas y/o asimiladas</v>
      </c>
      <c r="DP1107" t="str">
        <v>531310 De sociedades limitadas y/o asimiladas</v>
      </c>
    </row>
    <row r="1108" spans="4:120" ht="12.75">
      <c r="D1108" s="7">
        <v>5315</v>
      </c>
      <c r="E1108" s="6" t="s">
        <v>643</v>
      </c>
      <c r="F1108" s="5">
        <v>3</v>
      </c>
      <c r="G1108" s="34" t="s">
        <v>830</v>
      </c>
      <c r="H1108" s="8" t="s">
        <v>32</v>
      </c>
      <c r="I1108" t="b">
        <f>+ISNUMBER(SEARCH('F-COMPRA'!$F$28,Tabla11[[#This Row],[Cuenta]],1))</f>
        <v>1</v>
      </c>
      <c r="J1108" t="b">
        <f>+ISNUMBER(SEARCH('F-COMPRA'!$F$29,Tabla11[[#This Row],[Cuenta]],1))</f>
        <v>1</v>
      </c>
      <c r="K1108" t="b">
        <f>+ISNUMBER(SEARCH('F-COMPRA'!$F$30,Tabla11[[#This Row],[Cuenta]],1))</f>
        <v>1</v>
      </c>
      <c r="L1108" t="b">
        <f>+ISNUMBER(SEARCH('F-COMPRA'!$F$31,Tabla11[[#This Row],[Cuenta]],1))</f>
        <v>1</v>
      </c>
      <c r="M1108" t="b">
        <f>+ISNUMBER(SEARCH('F-COMPRA'!$G$25,Tabla11[[#This Row],[Cuenta]],1))</f>
        <v>0</v>
      </c>
      <c r="N1108" t="b">
        <f>+ISNUMBER(SEARCH(#REF!,Tabla11[[#This Row],[Cuenta]],1))</f>
        <v>0</v>
      </c>
      <c r="O1108" t="b">
        <f>+ISNUMBER(SEARCH(#REF!,Tabla11[[#This Row],[Cuenta]],1))</f>
        <v>0</v>
      </c>
      <c r="P1108" t="b">
        <f>+ISNUMBER(SEARCH('F-COMPRA'!$F$32,Tabla11[[#This Row],[Cuenta]],1))</f>
        <v>1</v>
      </c>
      <c r="Q1108" t="b">
        <f>+ISNUMBER(SEARCH('F-COMPRA'!$F$33,Tabla11[[#This Row],[Cuenta]],1))</f>
        <v>1</v>
      </c>
      <c r="R1108" t="b">
        <f>+ISNUMBER(SEARCH('F-COMPRA'!$F$34,Tabla11[[#This Row],[Cuenta]],1))</f>
        <v>1</v>
      </c>
      <c r="S1108" t="b">
        <f>+ISNUMBER(SEARCH('F-COMPRA'!$F$35,Tabla11[[#This Row],[Cuenta]],1))</f>
        <v>1</v>
      </c>
      <c r="T1108" t="b">
        <f>+ISNUMBER(SEARCH('F-COMPRA'!$F$36,Tabla11[[#This Row],[Cuenta]],1))</f>
        <v>1</v>
      </c>
      <c r="U1108" t="b">
        <f>+ISNUMBER(SEARCH('F-COMPRA'!$F$37,Tabla11[[#This Row],[Cuenta]],1))</f>
        <v>1</v>
      </c>
      <c r="V1108" t="b">
        <f>+ISNUMBER(SEARCH(#REF!,Tabla11[[#This Row],[Cuenta]],1))</f>
        <v>0</v>
      </c>
      <c r="W1108" t="b">
        <f>+ISNUMBER(SEARCH('F-COMPRA'!#REF!,Tabla11[[#This Row],[Cuenta]],1))</f>
        <v>0</v>
      </c>
      <c r="X1108" t="b">
        <f>+ISNUMBER(SEARCH('F-COMPRA'!#REF!,Tabla11[[#This Row],[Cuenta]],1))</f>
        <v>0</v>
      </c>
      <c r="Y1108" t="b">
        <f>+ISNUMBER(SEARCH('F-COMPRA'!#REF!,Tabla11[[#This Row],[Cuenta]],1))</f>
        <v>0</v>
      </c>
      <c r="Z1108" t="b">
        <f>+ISNUMBER(SEARCH('F-COMPRA'!#REF!,Tabla11[[#This Row],[Cuenta]],1))</f>
        <v>0</v>
      </c>
      <c r="AA1108" t="b">
        <f>+ISNUMBER(SEARCH('F-COMPRA'!#REF!,Tabla11[[#This Row],[Cuenta]],1))</f>
        <v>0</v>
      </c>
      <c r="AB1108" t="b">
        <f>+ISNUMBER(SEARCH('F-COMPRA'!#REF!,Tabla11[[#This Row],[Cuenta]],1))</f>
        <v>0</v>
      </c>
      <c r="AC1108" t="b">
        <f>+ISNUMBER(SEARCH('F-COMPRA'!#REF!,Tabla11[[#This Row],[Cuenta]],1))</f>
        <v>0</v>
      </c>
      <c r="AD1108" t="b">
        <f>+ISNUMBER(SEARCH('F-COMPRA'!#REF!,Tabla11[[#This Row],[Cuenta]],1))</f>
        <v>0</v>
      </c>
      <c r="AE1108" t="b">
        <f>+ISNUMBER(SEARCH('F-COMPRA'!#REF!,Tabla11[[#This Row],[Cuenta]],1))</f>
        <v>0</v>
      </c>
      <c r="AF1108" t="b">
        <f>+ISNUMBER(SEARCH('F-VTA'!$G$23,Tabla11[[#This Row],[Cuenta]],1))</f>
        <v>0</v>
      </c>
      <c r="AG1108" t="b">
        <f>+ISNUMBER(SEARCH('F-VTA'!$G$24,Tabla11[[#This Row],[Cuenta]],1))</f>
        <v>0</v>
      </c>
      <c r="AH1108" t="b">
        <f>+ISNUMBER(SEARCH('F-VTA'!$G$25,Tabla11[[#This Row],[Cuenta]],1))</f>
        <v>0</v>
      </c>
      <c r="AI1108" t="b">
        <f>+ISNUMBER(SEARCH('F-VTA'!$F$28,Tabla11[[#This Row],[Cuenta]],1))</f>
        <v>1</v>
      </c>
      <c r="AJ1108" t="b">
        <f>+ISNUMBER(SEARCH('F-VTA'!$F$29,Tabla11[[#This Row],[Cuenta]],1))</f>
        <v>1</v>
      </c>
      <c r="AK1108" t="b">
        <f>+ISNUMBER(SEARCH('F-VTA'!$F$30,Tabla11[[#This Row],[Cuenta]],1))</f>
        <v>1</v>
      </c>
      <c r="AL1108" t="b">
        <f>+ISNUMBER(SEARCH('F-VTA'!$F$31,Tabla11[[#This Row],[Cuenta]],1))</f>
        <v>1</v>
      </c>
      <c r="AM1108" t="b">
        <f>+ISNUMBER(SEARCH('F-VTA'!$F$32,Tabla11[[#This Row],[Cuenta]],1))</f>
        <v>1</v>
      </c>
      <c r="AN1108" t="b">
        <f>+ISNUMBER(SEARCH('F-VTA'!$F$33,Tabla11[[#This Row],[Cuenta]],1))</f>
        <v>1</v>
      </c>
      <c r="AO1108" t="b">
        <f>+ISNUMBER(SEARCH('F-VTA'!$F$34,Tabla11[[#This Row],[Cuenta]],1))</f>
        <v>1</v>
      </c>
      <c r="AP1108" t="b">
        <f>+ISNUMBER(SEARCH('F-VTA'!$F$35,Tabla11[[#This Row],[Cuenta]],1))</f>
        <v>1</v>
      </c>
      <c r="AQ1108" t="b">
        <f>+ISNUMBER(SEARCH('F-VTA'!$F$36,Tabla11[[#This Row],[Cuenta]],1))</f>
        <v>1</v>
      </c>
      <c r="AR1108" t="b">
        <f>+ISNUMBER(SEARCH(#REF!,Tabla11[[#This Row],[Cuenta]],1))</f>
        <v>0</v>
      </c>
      <c r="AS1108" t="b">
        <f>+ISNUMBER(SEARCH(#REF!,Tabla11[[#This Row],[Cuenta]],1))</f>
        <v>0</v>
      </c>
      <c r="AT1108" t="b">
        <f>+ISNUMBER(SEARCH(#REF!,Tabla11[[#This Row],[Cuenta]],1))</f>
        <v>0</v>
      </c>
      <c r="AU1108" t="b">
        <f>+ISNUMBER(SEARCH('Conc. Ban.1'!$I$9,Tabla11[[#This Row],[Cuenta]],1))</f>
        <v>0</v>
      </c>
      <c r="AV1108" t="b">
        <f>+ISNUMBER(SEARCH(CompConta!$F$21,Tabla11[[#This Row],[Cuenta]],1))</f>
        <v>1</v>
      </c>
      <c r="AW1108" t="b">
        <f>+ISNUMBER(SEARCH(CompConta!$F$22,Tabla11[[#This Row],[Cuenta]],1))</f>
        <v>1</v>
      </c>
      <c r="AX1108" t="b">
        <f>+ISNUMBER(SEARCH(CompConta!$F$23,Tabla11[[#This Row],[Cuenta]],1))</f>
        <v>1</v>
      </c>
      <c r="AY1108" t="b">
        <f>+ISNUMBER(SEARCH(CompConta!$F$24,Tabla11[[#This Row],[Cuenta]],1))</f>
        <v>1</v>
      </c>
      <c r="AZ1108" t="b">
        <f>+ISNUMBER(SEARCH(CompConta!$F$25,Tabla11[[#This Row],[Cuenta]],1))</f>
        <v>1</v>
      </c>
      <c r="BA1108" t="b">
        <f>+ISNUMBER(SEARCH(CompConta!$F$26,Tabla11[[#This Row],[Cuenta]],1))</f>
        <v>1</v>
      </c>
      <c r="BB1108" t="b">
        <f>+ISNUMBER(SEARCH(CompConta!$F$27,Tabla11[[#This Row],[Cuenta]],1))</f>
        <v>1</v>
      </c>
      <c r="BC1108" t="b">
        <f>+ISNUMBER(SEARCH(CompConta!$F$28,Tabla11[[#This Row],[Cuenta]],1))</f>
        <v>1</v>
      </c>
      <c r="BD1108" t="b">
        <f>+ISNUMBER(SEARCH(CompConta!$F$29,Tabla11[[#This Row],[Cuenta]],1))</f>
        <v>1</v>
      </c>
      <c r="BE1108" t="b">
        <f>+ISNUMBER(SEARCH(CompConta!$F$30,Tabla11[[#This Row],[Cuenta]],1))</f>
        <v>1</v>
      </c>
      <c r="BF1108" t="b">
        <f>+ISNUMBER(SEARCH('PAGO Compras'!$E$11,Tabla11[[#This Row],[Cuenta]],1))</f>
        <v>1</v>
      </c>
      <c r="BG1108" t="b">
        <f>+ISNUMBER(SEARCH(#REF!,Tabla11[[#This Row],[Cuenta]],1))</f>
        <v>0</v>
      </c>
      <c r="BH1108" t="b">
        <f>+ISNUMBER(SEARCH(#REF!,Tabla11[[#This Row],[Cuenta]],1))</f>
        <v>0</v>
      </c>
      <c r="BI1108" t="b">
        <f>+ISNUMBER(SEARCH(#REF!,Tabla11[[#This Row],[Cuenta]],1))</f>
        <v>0</v>
      </c>
      <c r="BJ1108" t="b">
        <f>+ISNUMBER(SEARCH(#REF!,Tabla11[[#This Row],[Cuenta]],1))</f>
        <v>0</v>
      </c>
      <c r="BS1108" t="str">
        <v>5315 GASTOS EXTRAORDINARIOS</v>
      </c>
      <c r="BT1108" t="str">
        <v>5315 GASTOS EXTRAORDINARIOS</v>
      </c>
      <c r="BU1108" t="str">
        <v>5315 GASTOS EXTRAORDINARIOS</v>
      </c>
      <c r="BV1108" t="str">
        <v>5315 GASTOS EXTRAORDINARIOS</v>
      </c>
      <c r="BZ1108" t="str">
        <v>5315 GASTOS EXTRAORDINARIOS</v>
      </c>
      <c r="CA1108" t="str">
        <v>5315 GASTOS EXTRAORDINARIOS</v>
      </c>
      <c r="CB1108" t="str">
        <v>5315 GASTOS EXTRAORDINARIOS</v>
      </c>
      <c r="CC1108" t="str">
        <v>5315 GASTOS EXTRAORDINARIOS</v>
      </c>
      <c r="CD1108" t="str">
        <v>5315 GASTOS EXTRAORDINARIOS</v>
      </c>
      <c r="CE1108" t="str">
        <v>5315 GASTOS EXTRAORDINARIOS</v>
      </c>
      <c r="CS1108" s="141" t="str">
        <v>5315 GASTOS EXTRAORDINARIOS</v>
      </c>
      <c r="CT1108" s="141" t="str">
        <v>5315 GASTOS EXTRAORDINARIOS</v>
      </c>
      <c r="CU1108" s="141" t="str">
        <v>5315 GASTOS EXTRAORDINARIOS</v>
      </c>
      <c r="CV1108" s="141" t="str">
        <v>5315 GASTOS EXTRAORDINARIOS</v>
      </c>
      <c r="CW1108" s="141" t="str">
        <v>5315 GASTOS EXTRAORDINARIOS</v>
      </c>
      <c r="CX1108" s="141" t="str">
        <v>5315 GASTOS EXTRAORDINARIOS</v>
      </c>
      <c r="CY1108" s="141" t="str">
        <v>5315 GASTOS EXTRAORDINARIOS</v>
      </c>
      <c r="CZ1108" s="141" t="str">
        <v>5315 GASTOS EXTRAORDINARIOS</v>
      </c>
      <c r="DA1108" s="141" t="str">
        <v>5315 GASTOS EXTRAORDINARIOS</v>
      </c>
      <c r="DF1108" t="str">
        <v>5315 GASTOS EXTRAORDINARIOS</v>
      </c>
      <c r="DG1108" t="str">
        <v>5315 GASTOS EXTRAORDINARIOS</v>
      </c>
      <c r="DH1108" t="str">
        <v>5315 GASTOS EXTRAORDINARIOS</v>
      </c>
      <c r="DI1108" t="str">
        <v>5315 GASTOS EXTRAORDINARIOS</v>
      </c>
      <c r="DJ1108" t="str">
        <v>5315 GASTOS EXTRAORDINARIOS</v>
      </c>
      <c r="DK1108" t="str">
        <v>5315 GASTOS EXTRAORDINARIOS</v>
      </c>
      <c r="DL1108" t="str">
        <v>5315 GASTOS EXTRAORDINARIOS</v>
      </c>
      <c r="DM1108" t="str">
        <v>5315 GASTOS EXTRAORDINARIOS</v>
      </c>
      <c r="DN1108" t="str">
        <v>5315 GASTOS EXTRAORDINARIOS</v>
      </c>
      <c r="DO1108" t="str">
        <v>5315 GASTOS EXTRAORDINARIOS</v>
      </c>
      <c r="DP1108" t="str">
        <v>5315 GASTOS EXTRAORDINARIOS</v>
      </c>
    </row>
    <row r="1109" spans="4:120" ht="12.75">
      <c r="D1109" s="7">
        <v>531505</v>
      </c>
      <c r="E1109" s="6" t="s">
        <v>644</v>
      </c>
      <c r="F1109" s="5">
        <v>4</v>
      </c>
      <c r="G1109" s="34" t="s">
        <v>830</v>
      </c>
      <c r="H1109" s="8" t="s">
        <v>32</v>
      </c>
      <c r="I1109" t="b">
        <f>+ISNUMBER(SEARCH('F-COMPRA'!$F$28,Tabla11[[#This Row],[Cuenta]],1))</f>
        <v>1</v>
      </c>
      <c r="J1109" t="b">
        <f>+ISNUMBER(SEARCH('F-COMPRA'!$F$29,Tabla11[[#This Row],[Cuenta]],1))</f>
        <v>1</v>
      </c>
      <c r="K1109" t="b">
        <f>+ISNUMBER(SEARCH('F-COMPRA'!$F$30,Tabla11[[#This Row],[Cuenta]],1))</f>
        <v>1</v>
      </c>
      <c r="L1109" t="b">
        <f>+ISNUMBER(SEARCH('F-COMPRA'!$F$31,Tabla11[[#This Row],[Cuenta]],1))</f>
        <v>1</v>
      </c>
      <c r="M1109" t="b">
        <f>+ISNUMBER(SEARCH('F-COMPRA'!$G$25,Tabla11[[#This Row],[Cuenta]],1))</f>
        <v>0</v>
      </c>
      <c r="N1109" t="b">
        <f>+ISNUMBER(SEARCH(#REF!,Tabla11[[#This Row],[Cuenta]],1))</f>
        <v>0</v>
      </c>
      <c r="O1109" t="b">
        <f>+ISNUMBER(SEARCH(#REF!,Tabla11[[#This Row],[Cuenta]],1))</f>
        <v>0</v>
      </c>
      <c r="P1109" t="b">
        <f>+ISNUMBER(SEARCH('F-COMPRA'!$F$32,Tabla11[[#This Row],[Cuenta]],1))</f>
        <v>1</v>
      </c>
      <c r="Q1109" t="b">
        <f>+ISNUMBER(SEARCH('F-COMPRA'!$F$33,Tabla11[[#This Row],[Cuenta]],1))</f>
        <v>1</v>
      </c>
      <c r="R1109" t="b">
        <f>+ISNUMBER(SEARCH('F-COMPRA'!$F$34,Tabla11[[#This Row],[Cuenta]],1))</f>
        <v>1</v>
      </c>
      <c r="S1109" t="b">
        <f>+ISNUMBER(SEARCH('F-COMPRA'!$F$35,Tabla11[[#This Row],[Cuenta]],1))</f>
        <v>1</v>
      </c>
      <c r="T1109" t="b">
        <f>+ISNUMBER(SEARCH('F-COMPRA'!$F$36,Tabla11[[#This Row],[Cuenta]],1))</f>
        <v>1</v>
      </c>
      <c r="U1109" t="b">
        <f>+ISNUMBER(SEARCH('F-COMPRA'!$F$37,Tabla11[[#This Row],[Cuenta]],1))</f>
        <v>1</v>
      </c>
      <c r="V1109" t="b">
        <f>+ISNUMBER(SEARCH(#REF!,Tabla11[[#This Row],[Cuenta]],1))</f>
        <v>0</v>
      </c>
      <c r="W1109" t="b">
        <f>+ISNUMBER(SEARCH('F-COMPRA'!#REF!,Tabla11[[#This Row],[Cuenta]],1))</f>
        <v>0</v>
      </c>
      <c r="X1109" t="b">
        <f>+ISNUMBER(SEARCH('F-COMPRA'!#REF!,Tabla11[[#This Row],[Cuenta]],1))</f>
        <v>0</v>
      </c>
      <c r="Y1109" t="b">
        <f>+ISNUMBER(SEARCH('F-COMPRA'!#REF!,Tabla11[[#This Row],[Cuenta]],1))</f>
        <v>0</v>
      </c>
      <c r="Z1109" t="b">
        <f>+ISNUMBER(SEARCH('F-COMPRA'!#REF!,Tabla11[[#This Row],[Cuenta]],1))</f>
        <v>0</v>
      </c>
      <c r="AA1109" t="b">
        <f>+ISNUMBER(SEARCH('F-COMPRA'!#REF!,Tabla11[[#This Row],[Cuenta]],1))</f>
        <v>0</v>
      </c>
      <c r="AB1109" t="b">
        <f>+ISNUMBER(SEARCH('F-COMPRA'!#REF!,Tabla11[[#This Row],[Cuenta]],1))</f>
        <v>0</v>
      </c>
      <c r="AC1109" t="b">
        <f>+ISNUMBER(SEARCH('F-COMPRA'!#REF!,Tabla11[[#This Row],[Cuenta]],1))</f>
        <v>0</v>
      </c>
      <c r="AD1109" t="b">
        <f>+ISNUMBER(SEARCH('F-COMPRA'!#REF!,Tabla11[[#This Row],[Cuenta]],1))</f>
        <v>0</v>
      </c>
      <c r="AE1109" t="b">
        <f>+ISNUMBER(SEARCH('F-COMPRA'!#REF!,Tabla11[[#This Row],[Cuenta]],1))</f>
        <v>0</v>
      </c>
      <c r="AF1109" t="b">
        <f>+ISNUMBER(SEARCH('F-VTA'!$G$23,Tabla11[[#This Row],[Cuenta]],1))</f>
        <v>0</v>
      </c>
      <c r="AG1109" t="b">
        <f>+ISNUMBER(SEARCH('F-VTA'!$G$24,Tabla11[[#This Row],[Cuenta]],1))</f>
        <v>0</v>
      </c>
      <c r="AH1109" t="b">
        <f>+ISNUMBER(SEARCH('F-VTA'!$G$25,Tabla11[[#This Row],[Cuenta]],1))</f>
        <v>0</v>
      </c>
      <c r="AI1109" t="b">
        <f>+ISNUMBER(SEARCH('F-VTA'!$F$28,Tabla11[[#This Row],[Cuenta]],1))</f>
        <v>1</v>
      </c>
      <c r="AJ1109" t="b">
        <f>+ISNUMBER(SEARCH('F-VTA'!$F$29,Tabla11[[#This Row],[Cuenta]],1))</f>
        <v>1</v>
      </c>
      <c r="AK1109" t="b">
        <f>+ISNUMBER(SEARCH('F-VTA'!$F$30,Tabla11[[#This Row],[Cuenta]],1))</f>
        <v>1</v>
      </c>
      <c r="AL1109" t="b">
        <f>+ISNUMBER(SEARCH('F-VTA'!$F$31,Tabla11[[#This Row],[Cuenta]],1))</f>
        <v>1</v>
      </c>
      <c r="AM1109" t="b">
        <f>+ISNUMBER(SEARCH('F-VTA'!$F$32,Tabla11[[#This Row],[Cuenta]],1))</f>
        <v>1</v>
      </c>
      <c r="AN1109" t="b">
        <f>+ISNUMBER(SEARCH('F-VTA'!$F$33,Tabla11[[#This Row],[Cuenta]],1))</f>
        <v>1</v>
      </c>
      <c r="AO1109" t="b">
        <f>+ISNUMBER(SEARCH('F-VTA'!$F$34,Tabla11[[#This Row],[Cuenta]],1))</f>
        <v>1</v>
      </c>
      <c r="AP1109" t="b">
        <f>+ISNUMBER(SEARCH('F-VTA'!$F$35,Tabla11[[#This Row],[Cuenta]],1))</f>
        <v>1</v>
      </c>
      <c r="AQ1109" t="b">
        <f>+ISNUMBER(SEARCH('F-VTA'!$F$36,Tabla11[[#This Row],[Cuenta]],1))</f>
        <v>1</v>
      </c>
      <c r="AR1109" t="b">
        <f>+ISNUMBER(SEARCH(#REF!,Tabla11[[#This Row],[Cuenta]],1))</f>
        <v>0</v>
      </c>
      <c r="AS1109" t="b">
        <f>+ISNUMBER(SEARCH(#REF!,Tabla11[[#This Row],[Cuenta]],1))</f>
        <v>0</v>
      </c>
      <c r="AT1109" t="b">
        <f>+ISNUMBER(SEARCH(#REF!,Tabla11[[#This Row],[Cuenta]],1))</f>
        <v>0</v>
      </c>
      <c r="AU1109" t="b">
        <f>+ISNUMBER(SEARCH('Conc. Ban.1'!$I$9,Tabla11[[#This Row],[Cuenta]],1))</f>
        <v>0</v>
      </c>
      <c r="AV1109" t="b">
        <f>+ISNUMBER(SEARCH(CompConta!$F$21,Tabla11[[#This Row],[Cuenta]],1))</f>
        <v>1</v>
      </c>
      <c r="AW1109" t="b">
        <f>+ISNUMBER(SEARCH(CompConta!$F$22,Tabla11[[#This Row],[Cuenta]],1))</f>
        <v>1</v>
      </c>
      <c r="AX1109" t="b">
        <f>+ISNUMBER(SEARCH(CompConta!$F$23,Tabla11[[#This Row],[Cuenta]],1))</f>
        <v>1</v>
      </c>
      <c r="AY1109" t="b">
        <f>+ISNUMBER(SEARCH(CompConta!$F$24,Tabla11[[#This Row],[Cuenta]],1))</f>
        <v>1</v>
      </c>
      <c r="AZ1109" t="b">
        <f>+ISNUMBER(SEARCH(CompConta!$F$25,Tabla11[[#This Row],[Cuenta]],1))</f>
        <v>1</v>
      </c>
      <c r="BA1109" t="b">
        <f>+ISNUMBER(SEARCH(CompConta!$F$26,Tabla11[[#This Row],[Cuenta]],1))</f>
        <v>1</v>
      </c>
      <c r="BB1109" t="b">
        <f>+ISNUMBER(SEARCH(CompConta!$F$27,Tabla11[[#This Row],[Cuenta]],1))</f>
        <v>1</v>
      </c>
      <c r="BC1109" t="b">
        <f>+ISNUMBER(SEARCH(CompConta!$F$28,Tabla11[[#This Row],[Cuenta]],1))</f>
        <v>1</v>
      </c>
      <c r="BD1109" t="b">
        <f>+ISNUMBER(SEARCH(CompConta!$F$29,Tabla11[[#This Row],[Cuenta]],1))</f>
        <v>1</v>
      </c>
      <c r="BE1109" t="b">
        <f>+ISNUMBER(SEARCH(CompConta!$F$30,Tabla11[[#This Row],[Cuenta]],1))</f>
        <v>1</v>
      </c>
      <c r="BF1109" t="b">
        <f>+ISNUMBER(SEARCH('PAGO Compras'!$E$11,Tabla11[[#This Row],[Cuenta]],1))</f>
        <v>1</v>
      </c>
      <c r="BG1109" t="b">
        <f>+ISNUMBER(SEARCH(#REF!,Tabla11[[#This Row],[Cuenta]],1))</f>
        <v>0</v>
      </c>
      <c r="BH1109" t="b">
        <f>+ISNUMBER(SEARCH(#REF!,Tabla11[[#This Row],[Cuenta]],1))</f>
        <v>0</v>
      </c>
      <c r="BI1109" t="b">
        <f>+ISNUMBER(SEARCH(#REF!,Tabla11[[#This Row],[Cuenta]],1))</f>
        <v>0</v>
      </c>
      <c r="BJ1109" t="b">
        <f>+ISNUMBER(SEARCH(#REF!,Tabla11[[#This Row],[Cuenta]],1))</f>
        <v>0</v>
      </c>
      <c r="BS1109" t="str">
        <v>531505 Costas y procesos judiciales</v>
      </c>
      <c r="BT1109" t="str">
        <v>531505 Costas y procesos judiciales</v>
      </c>
      <c r="BU1109" t="str">
        <v>531505 Costas y procesos judiciales</v>
      </c>
      <c r="BV1109" t="str">
        <v>531505 Costas y procesos judiciales</v>
      </c>
      <c r="BZ1109" t="str">
        <v>531505 Costas y procesos judiciales</v>
      </c>
      <c r="CA1109" t="str">
        <v>531505 Costas y procesos judiciales</v>
      </c>
      <c r="CB1109" t="str">
        <v>531505 Costas y procesos judiciales</v>
      </c>
      <c r="CC1109" t="str">
        <v>531505 Costas y procesos judiciales</v>
      </c>
      <c r="CD1109" t="str">
        <v>531505 Costas y procesos judiciales</v>
      </c>
      <c r="CE1109" t="str">
        <v>531505 Costas y procesos judiciales</v>
      </c>
      <c r="CS1109" s="141" t="str">
        <v>531505 Costas y procesos judiciales</v>
      </c>
      <c r="CT1109" s="141" t="str">
        <v>531505 Costas y procesos judiciales</v>
      </c>
      <c r="CU1109" s="141" t="str">
        <v>531505 Costas y procesos judiciales</v>
      </c>
      <c r="CV1109" s="141" t="str">
        <v>531505 Costas y procesos judiciales</v>
      </c>
      <c r="CW1109" s="141" t="str">
        <v>531505 Costas y procesos judiciales</v>
      </c>
      <c r="CX1109" s="141" t="str">
        <v>531505 Costas y procesos judiciales</v>
      </c>
      <c r="CY1109" s="141" t="str">
        <v>531505 Costas y procesos judiciales</v>
      </c>
      <c r="CZ1109" s="141" t="str">
        <v>531505 Costas y procesos judiciales</v>
      </c>
      <c r="DA1109" s="141" t="str">
        <v>531505 Costas y procesos judiciales</v>
      </c>
      <c r="DF1109" t="str">
        <v>531505 Costas y procesos judiciales</v>
      </c>
      <c r="DG1109" t="str">
        <v>531505 Costas y procesos judiciales</v>
      </c>
      <c r="DH1109" t="str">
        <v>531505 Costas y procesos judiciales</v>
      </c>
      <c r="DI1109" t="str">
        <v>531505 Costas y procesos judiciales</v>
      </c>
      <c r="DJ1109" t="str">
        <v>531505 Costas y procesos judiciales</v>
      </c>
      <c r="DK1109" t="str">
        <v>531505 Costas y procesos judiciales</v>
      </c>
      <c r="DL1109" t="str">
        <v>531505 Costas y procesos judiciales</v>
      </c>
      <c r="DM1109" t="str">
        <v>531505 Costas y procesos judiciales</v>
      </c>
      <c r="DN1109" t="str">
        <v>531505 Costas y procesos judiciales</v>
      </c>
      <c r="DO1109" t="str">
        <v>531505 Costas y procesos judiciales</v>
      </c>
      <c r="DP1109" t="str">
        <v>531505 Costas y procesos judiciales</v>
      </c>
    </row>
    <row r="1110" spans="4:120" ht="12.75">
      <c r="D1110" s="7">
        <v>531510</v>
      </c>
      <c r="E1110" s="6" t="s">
        <v>645</v>
      </c>
      <c r="F1110" s="5">
        <v>4</v>
      </c>
      <c r="G1110" s="34" t="s">
        <v>830</v>
      </c>
      <c r="H1110" s="8" t="s">
        <v>32</v>
      </c>
      <c r="I1110" t="b">
        <f>+ISNUMBER(SEARCH('F-COMPRA'!$F$28,Tabla11[[#This Row],[Cuenta]],1))</f>
        <v>1</v>
      </c>
      <c r="J1110" t="b">
        <f>+ISNUMBER(SEARCH('F-COMPRA'!$F$29,Tabla11[[#This Row],[Cuenta]],1))</f>
        <v>1</v>
      </c>
      <c r="K1110" t="b">
        <f>+ISNUMBER(SEARCH('F-COMPRA'!$F$30,Tabla11[[#This Row],[Cuenta]],1))</f>
        <v>1</v>
      </c>
      <c r="L1110" t="b">
        <f>+ISNUMBER(SEARCH('F-COMPRA'!$F$31,Tabla11[[#This Row],[Cuenta]],1))</f>
        <v>1</v>
      </c>
      <c r="M1110" t="b">
        <f>+ISNUMBER(SEARCH('F-COMPRA'!$G$25,Tabla11[[#This Row],[Cuenta]],1))</f>
        <v>0</v>
      </c>
      <c r="N1110" t="b">
        <f>+ISNUMBER(SEARCH(#REF!,Tabla11[[#This Row],[Cuenta]],1))</f>
        <v>0</v>
      </c>
      <c r="O1110" t="b">
        <f>+ISNUMBER(SEARCH(#REF!,Tabla11[[#This Row],[Cuenta]],1))</f>
        <v>0</v>
      </c>
      <c r="P1110" t="b">
        <f>+ISNUMBER(SEARCH('F-COMPRA'!$F$32,Tabla11[[#This Row],[Cuenta]],1))</f>
        <v>1</v>
      </c>
      <c r="Q1110" t="b">
        <f>+ISNUMBER(SEARCH('F-COMPRA'!$F$33,Tabla11[[#This Row],[Cuenta]],1))</f>
        <v>1</v>
      </c>
      <c r="R1110" t="b">
        <f>+ISNUMBER(SEARCH('F-COMPRA'!$F$34,Tabla11[[#This Row],[Cuenta]],1))</f>
        <v>1</v>
      </c>
      <c r="S1110" t="b">
        <f>+ISNUMBER(SEARCH('F-COMPRA'!$F$35,Tabla11[[#This Row],[Cuenta]],1))</f>
        <v>1</v>
      </c>
      <c r="T1110" t="b">
        <f>+ISNUMBER(SEARCH('F-COMPRA'!$F$36,Tabla11[[#This Row],[Cuenta]],1))</f>
        <v>1</v>
      </c>
      <c r="U1110" t="b">
        <f>+ISNUMBER(SEARCH('F-COMPRA'!$F$37,Tabla11[[#This Row],[Cuenta]],1))</f>
        <v>1</v>
      </c>
      <c r="V1110" t="b">
        <f>+ISNUMBER(SEARCH(#REF!,Tabla11[[#This Row],[Cuenta]],1))</f>
        <v>0</v>
      </c>
      <c r="W1110" t="b">
        <f>+ISNUMBER(SEARCH('F-COMPRA'!#REF!,Tabla11[[#This Row],[Cuenta]],1))</f>
        <v>0</v>
      </c>
      <c r="X1110" t="b">
        <f>+ISNUMBER(SEARCH('F-COMPRA'!#REF!,Tabla11[[#This Row],[Cuenta]],1))</f>
        <v>0</v>
      </c>
      <c r="Y1110" t="b">
        <f>+ISNUMBER(SEARCH('F-COMPRA'!#REF!,Tabla11[[#This Row],[Cuenta]],1))</f>
        <v>0</v>
      </c>
      <c r="Z1110" t="b">
        <f>+ISNUMBER(SEARCH('F-COMPRA'!#REF!,Tabla11[[#This Row],[Cuenta]],1))</f>
        <v>0</v>
      </c>
      <c r="AA1110" t="b">
        <f>+ISNUMBER(SEARCH('F-COMPRA'!#REF!,Tabla11[[#This Row],[Cuenta]],1))</f>
        <v>0</v>
      </c>
      <c r="AB1110" t="b">
        <f>+ISNUMBER(SEARCH('F-COMPRA'!#REF!,Tabla11[[#This Row],[Cuenta]],1))</f>
        <v>0</v>
      </c>
      <c r="AC1110" t="b">
        <f>+ISNUMBER(SEARCH('F-COMPRA'!#REF!,Tabla11[[#This Row],[Cuenta]],1))</f>
        <v>0</v>
      </c>
      <c r="AD1110" t="b">
        <f>+ISNUMBER(SEARCH('F-COMPRA'!#REF!,Tabla11[[#This Row],[Cuenta]],1))</f>
        <v>0</v>
      </c>
      <c r="AE1110" t="b">
        <f>+ISNUMBER(SEARCH('F-COMPRA'!#REF!,Tabla11[[#This Row],[Cuenta]],1))</f>
        <v>0</v>
      </c>
      <c r="AF1110" t="b">
        <f>+ISNUMBER(SEARCH('F-VTA'!$G$23,Tabla11[[#This Row],[Cuenta]],1))</f>
        <v>0</v>
      </c>
      <c r="AG1110" t="b">
        <f>+ISNUMBER(SEARCH('F-VTA'!$G$24,Tabla11[[#This Row],[Cuenta]],1))</f>
        <v>0</v>
      </c>
      <c r="AH1110" t="b">
        <f>+ISNUMBER(SEARCH('F-VTA'!$G$25,Tabla11[[#This Row],[Cuenta]],1))</f>
        <v>0</v>
      </c>
      <c r="AI1110" t="b">
        <f>+ISNUMBER(SEARCH('F-VTA'!$F$28,Tabla11[[#This Row],[Cuenta]],1))</f>
        <v>1</v>
      </c>
      <c r="AJ1110" t="b">
        <f>+ISNUMBER(SEARCH('F-VTA'!$F$29,Tabla11[[#This Row],[Cuenta]],1))</f>
        <v>1</v>
      </c>
      <c r="AK1110" t="b">
        <f>+ISNUMBER(SEARCH('F-VTA'!$F$30,Tabla11[[#This Row],[Cuenta]],1))</f>
        <v>1</v>
      </c>
      <c r="AL1110" t="b">
        <f>+ISNUMBER(SEARCH('F-VTA'!$F$31,Tabla11[[#This Row],[Cuenta]],1))</f>
        <v>1</v>
      </c>
      <c r="AM1110" t="b">
        <f>+ISNUMBER(SEARCH('F-VTA'!$F$32,Tabla11[[#This Row],[Cuenta]],1))</f>
        <v>1</v>
      </c>
      <c r="AN1110" t="b">
        <f>+ISNUMBER(SEARCH('F-VTA'!$F$33,Tabla11[[#This Row],[Cuenta]],1))</f>
        <v>1</v>
      </c>
      <c r="AO1110" t="b">
        <f>+ISNUMBER(SEARCH('F-VTA'!$F$34,Tabla11[[#This Row],[Cuenta]],1))</f>
        <v>1</v>
      </c>
      <c r="AP1110" t="b">
        <f>+ISNUMBER(SEARCH('F-VTA'!$F$35,Tabla11[[#This Row],[Cuenta]],1))</f>
        <v>1</v>
      </c>
      <c r="AQ1110" t="b">
        <f>+ISNUMBER(SEARCH('F-VTA'!$F$36,Tabla11[[#This Row],[Cuenta]],1))</f>
        <v>1</v>
      </c>
      <c r="AR1110" t="b">
        <f>+ISNUMBER(SEARCH(#REF!,Tabla11[[#This Row],[Cuenta]],1))</f>
        <v>0</v>
      </c>
      <c r="AS1110" t="b">
        <f>+ISNUMBER(SEARCH(#REF!,Tabla11[[#This Row],[Cuenta]],1))</f>
        <v>0</v>
      </c>
      <c r="AT1110" t="b">
        <f>+ISNUMBER(SEARCH(#REF!,Tabla11[[#This Row],[Cuenta]],1))</f>
        <v>0</v>
      </c>
      <c r="AU1110" t="b">
        <f>+ISNUMBER(SEARCH('Conc. Ban.1'!$I$9,Tabla11[[#This Row],[Cuenta]],1))</f>
        <v>0</v>
      </c>
      <c r="AV1110" t="b">
        <f>+ISNUMBER(SEARCH(CompConta!$F$21,Tabla11[[#This Row],[Cuenta]],1))</f>
        <v>1</v>
      </c>
      <c r="AW1110" t="b">
        <f>+ISNUMBER(SEARCH(CompConta!$F$22,Tabla11[[#This Row],[Cuenta]],1))</f>
        <v>1</v>
      </c>
      <c r="AX1110" t="b">
        <f>+ISNUMBER(SEARCH(CompConta!$F$23,Tabla11[[#This Row],[Cuenta]],1))</f>
        <v>1</v>
      </c>
      <c r="AY1110" t="b">
        <f>+ISNUMBER(SEARCH(CompConta!$F$24,Tabla11[[#This Row],[Cuenta]],1))</f>
        <v>1</v>
      </c>
      <c r="AZ1110" t="b">
        <f>+ISNUMBER(SEARCH(CompConta!$F$25,Tabla11[[#This Row],[Cuenta]],1))</f>
        <v>1</v>
      </c>
      <c r="BA1110" t="b">
        <f>+ISNUMBER(SEARCH(CompConta!$F$26,Tabla11[[#This Row],[Cuenta]],1))</f>
        <v>1</v>
      </c>
      <c r="BB1110" t="b">
        <f>+ISNUMBER(SEARCH(CompConta!$F$27,Tabla11[[#This Row],[Cuenta]],1))</f>
        <v>1</v>
      </c>
      <c r="BC1110" t="b">
        <f>+ISNUMBER(SEARCH(CompConta!$F$28,Tabla11[[#This Row],[Cuenta]],1))</f>
        <v>1</v>
      </c>
      <c r="BD1110" t="b">
        <f>+ISNUMBER(SEARCH(CompConta!$F$29,Tabla11[[#This Row],[Cuenta]],1))</f>
        <v>1</v>
      </c>
      <c r="BE1110" t="b">
        <f>+ISNUMBER(SEARCH(CompConta!$F$30,Tabla11[[#This Row],[Cuenta]],1))</f>
        <v>1</v>
      </c>
      <c r="BF1110" t="b">
        <f>+ISNUMBER(SEARCH('PAGO Compras'!$E$11,Tabla11[[#This Row],[Cuenta]],1))</f>
        <v>1</v>
      </c>
      <c r="BG1110" t="b">
        <f>+ISNUMBER(SEARCH(#REF!,Tabla11[[#This Row],[Cuenta]],1))</f>
        <v>0</v>
      </c>
      <c r="BH1110" t="b">
        <f>+ISNUMBER(SEARCH(#REF!,Tabla11[[#This Row],[Cuenta]],1))</f>
        <v>0</v>
      </c>
      <c r="BI1110" t="b">
        <f>+ISNUMBER(SEARCH(#REF!,Tabla11[[#This Row],[Cuenta]],1))</f>
        <v>0</v>
      </c>
      <c r="BJ1110" t="b">
        <f>+ISNUMBER(SEARCH(#REF!,Tabla11[[#This Row],[Cuenta]],1))</f>
        <v>0</v>
      </c>
      <c r="BS1110" t="str">
        <v>531510 Actividades culturales y cívicas</v>
      </c>
      <c r="BT1110" t="str">
        <v>531510 Actividades culturales y cívicas</v>
      </c>
      <c r="BU1110" t="str">
        <v>531510 Actividades culturales y cívicas</v>
      </c>
      <c r="BV1110" t="str">
        <v>531510 Actividades culturales y cívicas</v>
      </c>
      <c r="BZ1110" t="str">
        <v>531510 Actividades culturales y cívicas</v>
      </c>
      <c r="CA1110" t="str">
        <v>531510 Actividades culturales y cívicas</v>
      </c>
      <c r="CB1110" t="str">
        <v>531510 Actividades culturales y cívicas</v>
      </c>
      <c r="CC1110" t="str">
        <v>531510 Actividades culturales y cívicas</v>
      </c>
      <c r="CD1110" t="str">
        <v>531510 Actividades culturales y cívicas</v>
      </c>
      <c r="CE1110" t="str">
        <v>531510 Actividades culturales y cívicas</v>
      </c>
      <c r="CS1110" s="141" t="str">
        <v>531510 Actividades culturales y cívicas</v>
      </c>
      <c r="CT1110" s="141" t="str">
        <v>531510 Actividades culturales y cívicas</v>
      </c>
      <c r="CU1110" s="141" t="str">
        <v>531510 Actividades culturales y cívicas</v>
      </c>
      <c r="CV1110" s="141" t="str">
        <v>531510 Actividades culturales y cívicas</v>
      </c>
      <c r="CW1110" s="141" t="str">
        <v>531510 Actividades culturales y cívicas</v>
      </c>
      <c r="CX1110" s="141" t="str">
        <v>531510 Actividades culturales y cívicas</v>
      </c>
      <c r="CY1110" s="141" t="str">
        <v>531510 Actividades culturales y cívicas</v>
      </c>
      <c r="CZ1110" s="141" t="str">
        <v>531510 Actividades culturales y cívicas</v>
      </c>
      <c r="DA1110" s="141" t="str">
        <v>531510 Actividades culturales y cívicas</v>
      </c>
      <c r="DF1110" t="str">
        <v>531510 Actividades culturales y cívicas</v>
      </c>
      <c r="DG1110" t="str">
        <v>531510 Actividades culturales y cívicas</v>
      </c>
      <c r="DH1110" t="str">
        <v>531510 Actividades culturales y cívicas</v>
      </c>
      <c r="DI1110" t="str">
        <v>531510 Actividades culturales y cívicas</v>
      </c>
      <c r="DJ1110" t="str">
        <v>531510 Actividades culturales y cívicas</v>
      </c>
      <c r="DK1110" t="str">
        <v>531510 Actividades culturales y cívicas</v>
      </c>
      <c r="DL1110" t="str">
        <v>531510 Actividades culturales y cívicas</v>
      </c>
      <c r="DM1110" t="str">
        <v>531510 Actividades culturales y cívicas</v>
      </c>
      <c r="DN1110" t="str">
        <v>531510 Actividades culturales y cívicas</v>
      </c>
      <c r="DO1110" t="str">
        <v>531510 Actividades culturales y cívicas</v>
      </c>
      <c r="DP1110" t="str">
        <v>531510 Actividades culturales y cívicas</v>
      </c>
    </row>
    <row r="1111" spans="4:120" ht="12.75">
      <c r="D1111" s="7">
        <v>531515</v>
      </c>
      <c r="E1111" s="6" t="s">
        <v>646</v>
      </c>
      <c r="F1111" s="5">
        <v>4</v>
      </c>
      <c r="G1111" s="34" t="s">
        <v>830</v>
      </c>
      <c r="H1111" s="8" t="s">
        <v>32</v>
      </c>
      <c r="I1111" t="b">
        <f>+ISNUMBER(SEARCH('F-COMPRA'!$F$28,Tabla11[[#This Row],[Cuenta]],1))</f>
        <v>1</v>
      </c>
      <c r="J1111" t="b">
        <f>+ISNUMBER(SEARCH('F-COMPRA'!$F$29,Tabla11[[#This Row],[Cuenta]],1))</f>
        <v>1</v>
      </c>
      <c r="K1111" t="b">
        <f>+ISNUMBER(SEARCH('F-COMPRA'!$F$30,Tabla11[[#This Row],[Cuenta]],1))</f>
        <v>1</v>
      </c>
      <c r="L1111" t="b">
        <f>+ISNUMBER(SEARCH('F-COMPRA'!$F$31,Tabla11[[#This Row],[Cuenta]],1))</f>
        <v>1</v>
      </c>
      <c r="M1111" t="b">
        <f>+ISNUMBER(SEARCH('F-COMPRA'!$G$25,Tabla11[[#This Row],[Cuenta]],1))</f>
        <v>0</v>
      </c>
      <c r="N1111" t="b">
        <f>+ISNUMBER(SEARCH(#REF!,Tabla11[[#This Row],[Cuenta]],1))</f>
        <v>0</v>
      </c>
      <c r="O1111" t="b">
        <f>+ISNUMBER(SEARCH(#REF!,Tabla11[[#This Row],[Cuenta]],1))</f>
        <v>0</v>
      </c>
      <c r="P1111" t="b">
        <f>+ISNUMBER(SEARCH('F-COMPRA'!$F$32,Tabla11[[#This Row],[Cuenta]],1))</f>
        <v>1</v>
      </c>
      <c r="Q1111" t="b">
        <f>+ISNUMBER(SEARCH('F-COMPRA'!$F$33,Tabla11[[#This Row],[Cuenta]],1))</f>
        <v>1</v>
      </c>
      <c r="R1111" t="b">
        <f>+ISNUMBER(SEARCH('F-COMPRA'!$F$34,Tabla11[[#This Row],[Cuenta]],1))</f>
        <v>1</v>
      </c>
      <c r="S1111" t="b">
        <f>+ISNUMBER(SEARCH('F-COMPRA'!$F$35,Tabla11[[#This Row],[Cuenta]],1))</f>
        <v>1</v>
      </c>
      <c r="T1111" t="b">
        <f>+ISNUMBER(SEARCH('F-COMPRA'!$F$36,Tabla11[[#This Row],[Cuenta]],1))</f>
        <v>1</v>
      </c>
      <c r="U1111" t="b">
        <f>+ISNUMBER(SEARCH('F-COMPRA'!$F$37,Tabla11[[#This Row],[Cuenta]],1))</f>
        <v>1</v>
      </c>
      <c r="V1111" t="b">
        <f>+ISNUMBER(SEARCH(#REF!,Tabla11[[#This Row],[Cuenta]],1))</f>
        <v>0</v>
      </c>
      <c r="W1111" t="b">
        <f>+ISNUMBER(SEARCH('F-COMPRA'!#REF!,Tabla11[[#This Row],[Cuenta]],1))</f>
        <v>0</v>
      </c>
      <c r="X1111" t="b">
        <f>+ISNUMBER(SEARCH('F-COMPRA'!#REF!,Tabla11[[#This Row],[Cuenta]],1))</f>
        <v>0</v>
      </c>
      <c r="Y1111" t="b">
        <f>+ISNUMBER(SEARCH('F-COMPRA'!#REF!,Tabla11[[#This Row],[Cuenta]],1))</f>
        <v>0</v>
      </c>
      <c r="Z1111" t="b">
        <f>+ISNUMBER(SEARCH('F-COMPRA'!#REF!,Tabla11[[#This Row],[Cuenta]],1))</f>
        <v>0</v>
      </c>
      <c r="AA1111" t="b">
        <f>+ISNUMBER(SEARCH('F-COMPRA'!#REF!,Tabla11[[#This Row],[Cuenta]],1))</f>
        <v>0</v>
      </c>
      <c r="AB1111" t="b">
        <f>+ISNUMBER(SEARCH('F-COMPRA'!#REF!,Tabla11[[#This Row],[Cuenta]],1))</f>
        <v>0</v>
      </c>
      <c r="AC1111" t="b">
        <f>+ISNUMBER(SEARCH('F-COMPRA'!#REF!,Tabla11[[#This Row],[Cuenta]],1))</f>
        <v>0</v>
      </c>
      <c r="AD1111" t="b">
        <f>+ISNUMBER(SEARCH('F-COMPRA'!#REF!,Tabla11[[#This Row],[Cuenta]],1))</f>
        <v>0</v>
      </c>
      <c r="AE1111" t="b">
        <f>+ISNUMBER(SEARCH('F-COMPRA'!#REF!,Tabla11[[#This Row],[Cuenta]],1))</f>
        <v>0</v>
      </c>
      <c r="AF1111" t="b">
        <f>+ISNUMBER(SEARCH('F-VTA'!$G$23,Tabla11[[#This Row],[Cuenta]],1))</f>
        <v>0</v>
      </c>
      <c r="AG1111" t="b">
        <f>+ISNUMBER(SEARCH('F-VTA'!$G$24,Tabla11[[#This Row],[Cuenta]],1))</f>
        <v>0</v>
      </c>
      <c r="AH1111" t="b">
        <f>+ISNUMBER(SEARCH('F-VTA'!$G$25,Tabla11[[#This Row],[Cuenta]],1))</f>
        <v>0</v>
      </c>
      <c r="AI1111" t="b">
        <f>+ISNUMBER(SEARCH('F-VTA'!$F$28,Tabla11[[#This Row],[Cuenta]],1))</f>
        <v>1</v>
      </c>
      <c r="AJ1111" t="b">
        <f>+ISNUMBER(SEARCH('F-VTA'!$F$29,Tabla11[[#This Row],[Cuenta]],1))</f>
        <v>1</v>
      </c>
      <c r="AK1111" t="b">
        <f>+ISNUMBER(SEARCH('F-VTA'!$F$30,Tabla11[[#This Row],[Cuenta]],1))</f>
        <v>1</v>
      </c>
      <c r="AL1111" t="b">
        <f>+ISNUMBER(SEARCH('F-VTA'!$F$31,Tabla11[[#This Row],[Cuenta]],1))</f>
        <v>1</v>
      </c>
      <c r="AM1111" t="b">
        <f>+ISNUMBER(SEARCH('F-VTA'!$F$32,Tabla11[[#This Row],[Cuenta]],1))</f>
        <v>1</v>
      </c>
      <c r="AN1111" t="b">
        <f>+ISNUMBER(SEARCH('F-VTA'!$F$33,Tabla11[[#This Row],[Cuenta]],1))</f>
        <v>1</v>
      </c>
      <c r="AO1111" t="b">
        <f>+ISNUMBER(SEARCH('F-VTA'!$F$34,Tabla11[[#This Row],[Cuenta]],1))</f>
        <v>1</v>
      </c>
      <c r="AP1111" t="b">
        <f>+ISNUMBER(SEARCH('F-VTA'!$F$35,Tabla11[[#This Row],[Cuenta]],1))</f>
        <v>1</v>
      </c>
      <c r="AQ1111" t="b">
        <f>+ISNUMBER(SEARCH('F-VTA'!$F$36,Tabla11[[#This Row],[Cuenta]],1))</f>
        <v>1</v>
      </c>
      <c r="AR1111" t="b">
        <f>+ISNUMBER(SEARCH(#REF!,Tabla11[[#This Row],[Cuenta]],1))</f>
        <v>0</v>
      </c>
      <c r="AS1111" t="b">
        <f>+ISNUMBER(SEARCH(#REF!,Tabla11[[#This Row],[Cuenta]],1))</f>
        <v>0</v>
      </c>
      <c r="AT1111" t="b">
        <f>+ISNUMBER(SEARCH(#REF!,Tabla11[[#This Row],[Cuenta]],1))</f>
        <v>0</v>
      </c>
      <c r="AU1111" t="b">
        <f>+ISNUMBER(SEARCH('Conc. Ban.1'!$I$9,Tabla11[[#This Row],[Cuenta]],1))</f>
        <v>0</v>
      </c>
      <c r="AV1111" t="b">
        <f>+ISNUMBER(SEARCH(CompConta!$F$21,Tabla11[[#This Row],[Cuenta]],1))</f>
        <v>1</v>
      </c>
      <c r="AW1111" t="b">
        <f>+ISNUMBER(SEARCH(CompConta!$F$22,Tabla11[[#This Row],[Cuenta]],1))</f>
        <v>1</v>
      </c>
      <c r="AX1111" t="b">
        <f>+ISNUMBER(SEARCH(CompConta!$F$23,Tabla11[[#This Row],[Cuenta]],1))</f>
        <v>1</v>
      </c>
      <c r="AY1111" t="b">
        <f>+ISNUMBER(SEARCH(CompConta!$F$24,Tabla11[[#This Row],[Cuenta]],1))</f>
        <v>1</v>
      </c>
      <c r="AZ1111" t="b">
        <f>+ISNUMBER(SEARCH(CompConta!$F$25,Tabla11[[#This Row],[Cuenta]],1))</f>
        <v>1</v>
      </c>
      <c r="BA1111" t="b">
        <f>+ISNUMBER(SEARCH(CompConta!$F$26,Tabla11[[#This Row],[Cuenta]],1))</f>
        <v>1</v>
      </c>
      <c r="BB1111" t="b">
        <f>+ISNUMBER(SEARCH(CompConta!$F$27,Tabla11[[#This Row],[Cuenta]],1))</f>
        <v>1</v>
      </c>
      <c r="BC1111" t="b">
        <f>+ISNUMBER(SEARCH(CompConta!$F$28,Tabla11[[#This Row],[Cuenta]],1))</f>
        <v>1</v>
      </c>
      <c r="BD1111" t="b">
        <f>+ISNUMBER(SEARCH(CompConta!$F$29,Tabla11[[#This Row],[Cuenta]],1))</f>
        <v>1</v>
      </c>
      <c r="BE1111" t="b">
        <f>+ISNUMBER(SEARCH(CompConta!$F$30,Tabla11[[#This Row],[Cuenta]],1))</f>
        <v>1</v>
      </c>
      <c r="BF1111" t="b">
        <f>+ISNUMBER(SEARCH('PAGO Compras'!$E$11,Tabla11[[#This Row],[Cuenta]],1))</f>
        <v>1</v>
      </c>
      <c r="BG1111" t="b">
        <f>+ISNUMBER(SEARCH(#REF!,Tabla11[[#This Row],[Cuenta]],1))</f>
        <v>0</v>
      </c>
      <c r="BH1111" t="b">
        <f>+ISNUMBER(SEARCH(#REF!,Tabla11[[#This Row],[Cuenta]],1))</f>
        <v>0</v>
      </c>
      <c r="BI1111" t="b">
        <f>+ISNUMBER(SEARCH(#REF!,Tabla11[[#This Row],[Cuenta]],1))</f>
        <v>0</v>
      </c>
      <c r="BJ1111" t="b">
        <f>+ISNUMBER(SEARCH(#REF!,Tabla11[[#This Row],[Cuenta]],1))</f>
        <v>0</v>
      </c>
      <c r="BS1111" t="str">
        <v>531515 Costos y gastos de ejercicios anteriores</v>
      </c>
      <c r="BT1111" t="str">
        <v>531515 Costos y gastos de ejercicios anteriores</v>
      </c>
      <c r="BU1111" t="str">
        <v>531515 Costos y gastos de ejercicios anteriores</v>
      </c>
      <c r="BV1111" t="str">
        <v>531515 Costos y gastos de ejercicios anteriores</v>
      </c>
      <c r="BZ1111" t="str">
        <v>531515 Costos y gastos de ejercicios anteriores</v>
      </c>
      <c r="CA1111" t="str">
        <v>531515 Costos y gastos de ejercicios anteriores</v>
      </c>
      <c r="CB1111" t="str">
        <v>531515 Costos y gastos de ejercicios anteriores</v>
      </c>
      <c r="CC1111" t="str">
        <v>531515 Costos y gastos de ejercicios anteriores</v>
      </c>
      <c r="CD1111" t="str">
        <v>531515 Costos y gastos de ejercicios anteriores</v>
      </c>
      <c r="CE1111" t="str">
        <v>531515 Costos y gastos de ejercicios anteriores</v>
      </c>
      <c r="CS1111" s="141" t="str">
        <v>531515 Costos y gastos de ejercicios anteriores</v>
      </c>
      <c r="CT1111" s="141" t="str">
        <v>531515 Costos y gastos de ejercicios anteriores</v>
      </c>
      <c r="CU1111" s="141" t="str">
        <v>531515 Costos y gastos de ejercicios anteriores</v>
      </c>
      <c r="CV1111" s="141" t="str">
        <v>531515 Costos y gastos de ejercicios anteriores</v>
      </c>
      <c r="CW1111" s="141" t="str">
        <v>531515 Costos y gastos de ejercicios anteriores</v>
      </c>
      <c r="CX1111" s="141" t="str">
        <v>531515 Costos y gastos de ejercicios anteriores</v>
      </c>
      <c r="CY1111" s="141" t="str">
        <v>531515 Costos y gastos de ejercicios anteriores</v>
      </c>
      <c r="CZ1111" s="141" t="str">
        <v>531515 Costos y gastos de ejercicios anteriores</v>
      </c>
      <c r="DA1111" s="141" t="str">
        <v>531515 Costos y gastos de ejercicios anteriores</v>
      </c>
      <c r="DF1111" t="str">
        <v>531515 Costos y gastos de ejercicios anteriores</v>
      </c>
      <c r="DG1111" t="str">
        <v>531515 Costos y gastos de ejercicios anteriores</v>
      </c>
      <c r="DH1111" t="str">
        <v>531515 Costos y gastos de ejercicios anteriores</v>
      </c>
      <c r="DI1111" t="str">
        <v>531515 Costos y gastos de ejercicios anteriores</v>
      </c>
      <c r="DJ1111" t="str">
        <v>531515 Costos y gastos de ejercicios anteriores</v>
      </c>
      <c r="DK1111" t="str">
        <v>531515 Costos y gastos de ejercicios anteriores</v>
      </c>
      <c r="DL1111" t="str">
        <v>531515 Costos y gastos de ejercicios anteriores</v>
      </c>
      <c r="DM1111" t="str">
        <v>531515 Costos y gastos de ejercicios anteriores</v>
      </c>
      <c r="DN1111" t="str">
        <v>531515 Costos y gastos de ejercicios anteriores</v>
      </c>
      <c r="DO1111" t="str">
        <v>531515 Costos y gastos de ejercicios anteriores</v>
      </c>
      <c r="DP1111" t="str">
        <v>531515 Costos y gastos de ejercicios anteriores</v>
      </c>
    </row>
    <row r="1112" spans="4:120" ht="12.75">
      <c r="D1112" s="7">
        <v>531520</v>
      </c>
      <c r="E1112" s="6" t="s">
        <v>647</v>
      </c>
      <c r="F1112" s="5">
        <v>4</v>
      </c>
      <c r="G1112" s="34" t="s">
        <v>830</v>
      </c>
      <c r="H1112" s="8" t="s">
        <v>32</v>
      </c>
      <c r="I1112" t="b">
        <f>+ISNUMBER(SEARCH('F-COMPRA'!$F$28,Tabla11[[#This Row],[Cuenta]],1))</f>
        <v>1</v>
      </c>
      <c r="J1112" t="b">
        <f>+ISNUMBER(SEARCH('F-COMPRA'!$F$29,Tabla11[[#This Row],[Cuenta]],1))</f>
        <v>1</v>
      </c>
      <c r="K1112" t="b">
        <f>+ISNUMBER(SEARCH('F-COMPRA'!$F$30,Tabla11[[#This Row],[Cuenta]],1))</f>
        <v>1</v>
      </c>
      <c r="L1112" t="b">
        <f>+ISNUMBER(SEARCH('F-COMPRA'!$F$31,Tabla11[[#This Row],[Cuenta]],1))</f>
        <v>1</v>
      </c>
      <c r="M1112" t="b">
        <f>+ISNUMBER(SEARCH('F-COMPRA'!$G$25,Tabla11[[#This Row],[Cuenta]],1))</f>
        <v>0</v>
      </c>
      <c r="N1112" t="b">
        <f>+ISNUMBER(SEARCH(#REF!,Tabla11[[#This Row],[Cuenta]],1))</f>
        <v>0</v>
      </c>
      <c r="O1112" t="b">
        <f>+ISNUMBER(SEARCH(#REF!,Tabla11[[#This Row],[Cuenta]],1))</f>
        <v>0</v>
      </c>
      <c r="P1112" t="b">
        <f>+ISNUMBER(SEARCH('F-COMPRA'!$F$32,Tabla11[[#This Row],[Cuenta]],1))</f>
        <v>1</v>
      </c>
      <c r="Q1112" t="b">
        <f>+ISNUMBER(SEARCH('F-COMPRA'!$F$33,Tabla11[[#This Row],[Cuenta]],1))</f>
        <v>1</v>
      </c>
      <c r="R1112" t="b">
        <f>+ISNUMBER(SEARCH('F-COMPRA'!$F$34,Tabla11[[#This Row],[Cuenta]],1))</f>
        <v>1</v>
      </c>
      <c r="S1112" t="b">
        <f>+ISNUMBER(SEARCH('F-COMPRA'!$F$35,Tabla11[[#This Row],[Cuenta]],1))</f>
        <v>1</v>
      </c>
      <c r="T1112" t="b">
        <f>+ISNUMBER(SEARCH('F-COMPRA'!$F$36,Tabla11[[#This Row],[Cuenta]],1))</f>
        <v>1</v>
      </c>
      <c r="U1112" t="b">
        <f>+ISNUMBER(SEARCH('F-COMPRA'!$F$37,Tabla11[[#This Row],[Cuenta]],1))</f>
        <v>1</v>
      </c>
      <c r="V1112" t="b">
        <f>+ISNUMBER(SEARCH(#REF!,Tabla11[[#This Row],[Cuenta]],1))</f>
        <v>0</v>
      </c>
      <c r="W1112" t="b">
        <f>+ISNUMBER(SEARCH('F-COMPRA'!#REF!,Tabla11[[#This Row],[Cuenta]],1))</f>
        <v>0</v>
      </c>
      <c r="X1112" t="b">
        <f>+ISNUMBER(SEARCH('F-COMPRA'!#REF!,Tabla11[[#This Row],[Cuenta]],1))</f>
        <v>0</v>
      </c>
      <c r="Y1112" t="b">
        <f>+ISNUMBER(SEARCH('F-COMPRA'!#REF!,Tabla11[[#This Row],[Cuenta]],1))</f>
        <v>0</v>
      </c>
      <c r="Z1112" t="b">
        <f>+ISNUMBER(SEARCH('F-COMPRA'!#REF!,Tabla11[[#This Row],[Cuenta]],1))</f>
        <v>0</v>
      </c>
      <c r="AA1112" t="b">
        <f>+ISNUMBER(SEARCH('F-COMPRA'!#REF!,Tabla11[[#This Row],[Cuenta]],1))</f>
        <v>0</v>
      </c>
      <c r="AB1112" t="b">
        <f>+ISNUMBER(SEARCH('F-COMPRA'!#REF!,Tabla11[[#This Row],[Cuenta]],1))</f>
        <v>0</v>
      </c>
      <c r="AC1112" t="b">
        <f>+ISNUMBER(SEARCH('F-COMPRA'!#REF!,Tabla11[[#This Row],[Cuenta]],1))</f>
        <v>0</v>
      </c>
      <c r="AD1112" t="b">
        <f>+ISNUMBER(SEARCH('F-COMPRA'!#REF!,Tabla11[[#This Row],[Cuenta]],1))</f>
        <v>0</v>
      </c>
      <c r="AE1112" t="b">
        <f>+ISNUMBER(SEARCH('F-COMPRA'!#REF!,Tabla11[[#This Row],[Cuenta]],1))</f>
        <v>0</v>
      </c>
      <c r="AF1112" t="b">
        <f>+ISNUMBER(SEARCH('F-VTA'!$G$23,Tabla11[[#This Row],[Cuenta]],1))</f>
        <v>0</v>
      </c>
      <c r="AG1112" t="b">
        <f>+ISNUMBER(SEARCH('F-VTA'!$G$24,Tabla11[[#This Row],[Cuenta]],1))</f>
        <v>0</v>
      </c>
      <c r="AH1112" t="b">
        <f>+ISNUMBER(SEARCH('F-VTA'!$G$25,Tabla11[[#This Row],[Cuenta]],1))</f>
        <v>0</v>
      </c>
      <c r="AI1112" t="b">
        <f>+ISNUMBER(SEARCH('F-VTA'!$F$28,Tabla11[[#This Row],[Cuenta]],1))</f>
        <v>1</v>
      </c>
      <c r="AJ1112" t="b">
        <f>+ISNUMBER(SEARCH('F-VTA'!$F$29,Tabla11[[#This Row],[Cuenta]],1))</f>
        <v>1</v>
      </c>
      <c r="AK1112" t="b">
        <f>+ISNUMBER(SEARCH('F-VTA'!$F$30,Tabla11[[#This Row],[Cuenta]],1))</f>
        <v>1</v>
      </c>
      <c r="AL1112" t="b">
        <f>+ISNUMBER(SEARCH('F-VTA'!$F$31,Tabla11[[#This Row],[Cuenta]],1))</f>
        <v>1</v>
      </c>
      <c r="AM1112" t="b">
        <f>+ISNUMBER(SEARCH('F-VTA'!$F$32,Tabla11[[#This Row],[Cuenta]],1))</f>
        <v>1</v>
      </c>
      <c r="AN1112" t="b">
        <f>+ISNUMBER(SEARCH('F-VTA'!$F$33,Tabla11[[#This Row],[Cuenta]],1))</f>
        <v>1</v>
      </c>
      <c r="AO1112" t="b">
        <f>+ISNUMBER(SEARCH('F-VTA'!$F$34,Tabla11[[#This Row],[Cuenta]],1))</f>
        <v>1</v>
      </c>
      <c r="AP1112" t="b">
        <f>+ISNUMBER(SEARCH('F-VTA'!$F$35,Tabla11[[#This Row],[Cuenta]],1))</f>
        <v>1</v>
      </c>
      <c r="AQ1112" t="b">
        <f>+ISNUMBER(SEARCH('F-VTA'!$F$36,Tabla11[[#This Row],[Cuenta]],1))</f>
        <v>1</v>
      </c>
      <c r="AR1112" t="b">
        <f>+ISNUMBER(SEARCH(#REF!,Tabla11[[#This Row],[Cuenta]],1))</f>
        <v>0</v>
      </c>
      <c r="AS1112" t="b">
        <f>+ISNUMBER(SEARCH(#REF!,Tabla11[[#This Row],[Cuenta]],1))</f>
        <v>0</v>
      </c>
      <c r="AT1112" t="b">
        <f>+ISNUMBER(SEARCH(#REF!,Tabla11[[#This Row],[Cuenta]],1))</f>
        <v>0</v>
      </c>
      <c r="AU1112" t="b">
        <f>+ISNUMBER(SEARCH('Conc. Ban.1'!$I$9,Tabla11[[#This Row],[Cuenta]],1))</f>
        <v>0</v>
      </c>
      <c r="AV1112" t="b">
        <f>+ISNUMBER(SEARCH(CompConta!$F$21,Tabla11[[#This Row],[Cuenta]],1))</f>
        <v>1</v>
      </c>
      <c r="AW1112" t="b">
        <f>+ISNUMBER(SEARCH(CompConta!$F$22,Tabla11[[#This Row],[Cuenta]],1))</f>
        <v>1</v>
      </c>
      <c r="AX1112" t="b">
        <f>+ISNUMBER(SEARCH(CompConta!$F$23,Tabla11[[#This Row],[Cuenta]],1))</f>
        <v>1</v>
      </c>
      <c r="AY1112" t="b">
        <f>+ISNUMBER(SEARCH(CompConta!$F$24,Tabla11[[#This Row],[Cuenta]],1))</f>
        <v>1</v>
      </c>
      <c r="AZ1112" t="b">
        <f>+ISNUMBER(SEARCH(CompConta!$F$25,Tabla11[[#This Row],[Cuenta]],1))</f>
        <v>1</v>
      </c>
      <c r="BA1112" t="b">
        <f>+ISNUMBER(SEARCH(CompConta!$F$26,Tabla11[[#This Row],[Cuenta]],1))</f>
        <v>1</v>
      </c>
      <c r="BB1112" t="b">
        <f>+ISNUMBER(SEARCH(CompConta!$F$27,Tabla11[[#This Row],[Cuenta]],1))</f>
        <v>1</v>
      </c>
      <c r="BC1112" t="b">
        <f>+ISNUMBER(SEARCH(CompConta!$F$28,Tabla11[[#This Row],[Cuenta]],1))</f>
        <v>1</v>
      </c>
      <c r="BD1112" t="b">
        <f>+ISNUMBER(SEARCH(CompConta!$F$29,Tabla11[[#This Row],[Cuenta]],1))</f>
        <v>1</v>
      </c>
      <c r="BE1112" t="b">
        <f>+ISNUMBER(SEARCH(CompConta!$F$30,Tabla11[[#This Row],[Cuenta]],1))</f>
        <v>1</v>
      </c>
      <c r="BF1112" t="b">
        <f>+ISNUMBER(SEARCH('PAGO Compras'!$E$11,Tabla11[[#This Row],[Cuenta]],1))</f>
        <v>1</v>
      </c>
      <c r="BG1112" t="b">
        <f>+ISNUMBER(SEARCH(#REF!,Tabla11[[#This Row],[Cuenta]],1))</f>
        <v>0</v>
      </c>
      <c r="BH1112" t="b">
        <f>+ISNUMBER(SEARCH(#REF!,Tabla11[[#This Row],[Cuenta]],1))</f>
        <v>0</v>
      </c>
      <c r="BI1112" t="b">
        <f>+ISNUMBER(SEARCH(#REF!,Tabla11[[#This Row],[Cuenta]],1))</f>
        <v>0</v>
      </c>
      <c r="BJ1112" t="b">
        <f>+ISNUMBER(SEARCH(#REF!,Tabla11[[#This Row],[Cuenta]],1))</f>
        <v>0</v>
      </c>
      <c r="BS1112" t="str">
        <v>531520 Impuestos asumidos</v>
      </c>
      <c r="BT1112" t="str">
        <v>531520 Impuestos asumidos</v>
      </c>
      <c r="BU1112" t="str">
        <v>531520 Impuestos asumidos</v>
      </c>
      <c r="BV1112" t="str">
        <v>531520 Impuestos asumidos</v>
      </c>
      <c r="BZ1112" t="str">
        <v>531520 Impuestos asumidos</v>
      </c>
      <c r="CA1112" t="str">
        <v>531520 Impuestos asumidos</v>
      </c>
      <c r="CB1112" t="str">
        <v>531520 Impuestos asumidos</v>
      </c>
      <c r="CC1112" t="str">
        <v>531520 Impuestos asumidos</v>
      </c>
      <c r="CD1112" t="str">
        <v>531520 Impuestos asumidos</v>
      </c>
      <c r="CE1112" t="str">
        <v>531520 Impuestos asumidos</v>
      </c>
      <c r="CS1112" s="141" t="str">
        <v>531520 Impuestos asumidos</v>
      </c>
      <c r="CT1112" s="141" t="str">
        <v>531520 Impuestos asumidos</v>
      </c>
      <c r="CU1112" s="141" t="str">
        <v>531520 Impuestos asumidos</v>
      </c>
      <c r="CV1112" s="141" t="str">
        <v>531520 Impuestos asumidos</v>
      </c>
      <c r="CW1112" s="141" t="str">
        <v>531520 Impuestos asumidos</v>
      </c>
      <c r="CX1112" s="141" t="str">
        <v>531520 Impuestos asumidos</v>
      </c>
      <c r="CY1112" s="141" t="str">
        <v>531520 Impuestos asumidos</v>
      </c>
      <c r="CZ1112" s="141" t="str">
        <v>531520 Impuestos asumidos</v>
      </c>
      <c r="DA1112" s="141" t="str">
        <v>531520 Impuestos asumidos</v>
      </c>
      <c r="DF1112" t="str">
        <v>531520 Impuestos asumidos</v>
      </c>
      <c r="DG1112" t="str">
        <v>531520 Impuestos asumidos</v>
      </c>
      <c r="DH1112" t="str">
        <v>531520 Impuestos asumidos</v>
      </c>
      <c r="DI1112" t="str">
        <v>531520 Impuestos asumidos</v>
      </c>
      <c r="DJ1112" t="str">
        <v>531520 Impuestos asumidos</v>
      </c>
      <c r="DK1112" t="str">
        <v>531520 Impuestos asumidos</v>
      </c>
      <c r="DL1112" t="str">
        <v>531520 Impuestos asumidos</v>
      </c>
      <c r="DM1112" t="str">
        <v>531520 Impuestos asumidos</v>
      </c>
      <c r="DN1112" t="str">
        <v>531520 Impuestos asumidos</v>
      </c>
      <c r="DO1112" t="str">
        <v>531520 Impuestos asumidos</v>
      </c>
      <c r="DP1112" t="str">
        <v>531520 Impuestos asumidos</v>
      </c>
    </row>
    <row r="1113" spans="4:120" ht="12.75">
      <c r="D1113" s="7">
        <v>531595</v>
      </c>
      <c r="E1113" s="6" t="s">
        <v>45</v>
      </c>
      <c r="F1113" s="5">
        <v>4</v>
      </c>
      <c r="G1113" s="34" t="s">
        <v>830</v>
      </c>
      <c r="H1113" s="8" t="s">
        <v>32</v>
      </c>
      <c r="I1113" t="b">
        <f>+ISNUMBER(SEARCH('F-COMPRA'!$F$28,Tabla11[[#This Row],[Cuenta]],1))</f>
        <v>1</v>
      </c>
      <c r="J1113" t="b">
        <f>+ISNUMBER(SEARCH('F-COMPRA'!$F$29,Tabla11[[#This Row],[Cuenta]],1))</f>
        <v>1</v>
      </c>
      <c r="K1113" t="b">
        <f>+ISNUMBER(SEARCH('F-COMPRA'!$F$30,Tabla11[[#This Row],[Cuenta]],1))</f>
        <v>1</v>
      </c>
      <c r="L1113" t="b">
        <f>+ISNUMBER(SEARCH('F-COMPRA'!$F$31,Tabla11[[#This Row],[Cuenta]],1))</f>
        <v>1</v>
      </c>
      <c r="M1113" t="b">
        <f>+ISNUMBER(SEARCH('F-COMPRA'!$G$25,Tabla11[[#This Row],[Cuenta]],1))</f>
        <v>0</v>
      </c>
      <c r="N1113" t="b">
        <f>+ISNUMBER(SEARCH(#REF!,Tabla11[[#This Row],[Cuenta]],1))</f>
        <v>0</v>
      </c>
      <c r="O1113" t="b">
        <f>+ISNUMBER(SEARCH(#REF!,Tabla11[[#This Row],[Cuenta]],1))</f>
        <v>0</v>
      </c>
      <c r="P1113" t="b">
        <f>+ISNUMBER(SEARCH('F-COMPRA'!$F$32,Tabla11[[#This Row],[Cuenta]],1))</f>
        <v>1</v>
      </c>
      <c r="Q1113" t="b">
        <f>+ISNUMBER(SEARCH('F-COMPRA'!$F$33,Tabla11[[#This Row],[Cuenta]],1))</f>
        <v>1</v>
      </c>
      <c r="R1113" t="b">
        <f>+ISNUMBER(SEARCH('F-COMPRA'!$F$34,Tabla11[[#This Row],[Cuenta]],1))</f>
        <v>1</v>
      </c>
      <c r="S1113" t="b">
        <f>+ISNUMBER(SEARCH('F-COMPRA'!$F$35,Tabla11[[#This Row],[Cuenta]],1))</f>
        <v>1</v>
      </c>
      <c r="T1113" t="b">
        <f>+ISNUMBER(SEARCH('F-COMPRA'!$F$36,Tabla11[[#This Row],[Cuenta]],1))</f>
        <v>1</v>
      </c>
      <c r="U1113" t="b">
        <f>+ISNUMBER(SEARCH('F-COMPRA'!$F$37,Tabla11[[#This Row],[Cuenta]],1))</f>
        <v>1</v>
      </c>
      <c r="V1113" t="b">
        <f>+ISNUMBER(SEARCH(#REF!,Tabla11[[#This Row],[Cuenta]],1))</f>
        <v>0</v>
      </c>
      <c r="W1113" t="b">
        <f>+ISNUMBER(SEARCH('F-COMPRA'!#REF!,Tabla11[[#This Row],[Cuenta]],1))</f>
        <v>0</v>
      </c>
      <c r="X1113" t="b">
        <f>+ISNUMBER(SEARCH('F-COMPRA'!#REF!,Tabla11[[#This Row],[Cuenta]],1))</f>
        <v>0</v>
      </c>
      <c r="Y1113" t="b">
        <f>+ISNUMBER(SEARCH('F-COMPRA'!#REF!,Tabla11[[#This Row],[Cuenta]],1))</f>
        <v>0</v>
      </c>
      <c r="Z1113" t="b">
        <f>+ISNUMBER(SEARCH('F-COMPRA'!#REF!,Tabla11[[#This Row],[Cuenta]],1))</f>
        <v>0</v>
      </c>
      <c r="AA1113" t="b">
        <f>+ISNUMBER(SEARCH('F-COMPRA'!#REF!,Tabla11[[#This Row],[Cuenta]],1))</f>
        <v>0</v>
      </c>
      <c r="AB1113" t="b">
        <f>+ISNUMBER(SEARCH('F-COMPRA'!#REF!,Tabla11[[#This Row],[Cuenta]],1))</f>
        <v>0</v>
      </c>
      <c r="AC1113" t="b">
        <f>+ISNUMBER(SEARCH('F-COMPRA'!#REF!,Tabla11[[#This Row],[Cuenta]],1))</f>
        <v>0</v>
      </c>
      <c r="AD1113" t="b">
        <f>+ISNUMBER(SEARCH('F-COMPRA'!#REF!,Tabla11[[#This Row],[Cuenta]],1))</f>
        <v>0</v>
      </c>
      <c r="AE1113" t="b">
        <f>+ISNUMBER(SEARCH('F-COMPRA'!#REF!,Tabla11[[#This Row],[Cuenta]],1))</f>
        <v>0</v>
      </c>
      <c r="AF1113" t="b">
        <f>+ISNUMBER(SEARCH('F-VTA'!$G$23,Tabla11[[#This Row],[Cuenta]],1))</f>
        <v>0</v>
      </c>
      <c r="AG1113" t="b">
        <f>+ISNUMBER(SEARCH('F-VTA'!$G$24,Tabla11[[#This Row],[Cuenta]],1))</f>
        <v>0</v>
      </c>
      <c r="AH1113" t="b">
        <f>+ISNUMBER(SEARCH('F-VTA'!$G$25,Tabla11[[#This Row],[Cuenta]],1))</f>
        <v>0</v>
      </c>
      <c r="AI1113" t="b">
        <f>+ISNUMBER(SEARCH('F-VTA'!$F$28,Tabla11[[#This Row],[Cuenta]],1))</f>
        <v>1</v>
      </c>
      <c r="AJ1113" t="b">
        <f>+ISNUMBER(SEARCH('F-VTA'!$F$29,Tabla11[[#This Row],[Cuenta]],1))</f>
        <v>1</v>
      </c>
      <c r="AK1113" t="b">
        <f>+ISNUMBER(SEARCH('F-VTA'!$F$30,Tabla11[[#This Row],[Cuenta]],1))</f>
        <v>1</v>
      </c>
      <c r="AL1113" t="b">
        <f>+ISNUMBER(SEARCH('F-VTA'!$F$31,Tabla11[[#This Row],[Cuenta]],1))</f>
        <v>1</v>
      </c>
      <c r="AM1113" t="b">
        <f>+ISNUMBER(SEARCH('F-VTA'!$F$32,Tabla11[[#This Row],[Cuenta]],1))</f>
        <v>1</v>
      </c>
      <c r="AN1113" t="b">
        <f>+ISNUMBER(SEARCH('F-VTA'!$F$33,Tabla11[[#This Row],[Cuenta]],1))</f>
        <v>1</v>
      </c>
      <c r="AO1113" t="b">
        <f>+ISNUMBER(SEARCH('F-VTA'!$F$34,Tabla11[[#This Row],[Cuenta]],1))</f>
        <v>1</v>
      </c>
      <c r="AP1113" t="b">
        <f>+ISNUMBER(SEARCH('F-VTA'!$F$35,Tabla11[[#This Row],[Cuenta]],1))</f>
        <v>1</v>
      </c>
      <c r="AQ1113" t="b">
        <f>+ISNUMBER(SEARCH('F-VTA'!$F$36,Tabla11[[#This Row],[Cuenta]],1))</f>
        <v>1</v>
      </c>
      <c r="AR1113" t="b">
        <f>+ISNUMBER(SEARCH(#REF!,Tabla11[[#This Row],[Cuenta]],1))</f>
        <v>0</v>
      </c>
      <c r="AS1113" t="b">
        <f>+ISNUMBER(SEARCH(#REF!,Tabla11[[#This Row],[Cuenta]],1))</f>
        <v>0</v>
      </c>
      <c r="AT1113" t="b">
        <f>+ISNUMBER(SEARCH(#REF!,Tabla11[[#This Row],[Cuenta]],1))</f>
        <v>0</v>
      </c>
      <c r="AU1113" t="b">
        <f>+ISNUMBER(SEARCH('Conc. Ban.1'!$I$9,Tabla11[[#This Row],[Cuenta]],1))</f>
        <v>0</v>
      </c>
      <c r="AV1113" t="b">
        <f>+ISNUMBER(SEARCH(CompConta!$F$21,Tabla11[[#This Row],[Cuenta]],1))</f>
        <v>1</v>
      </c>
      <c r="AW1113" t="b">
        <f>+ISNUMBER(SEARCH(CompConta!$F$22,Tabla11[[#This Row],[Cuenta]],1))</f>
        <v>1</v>
      </c>
      <c r="AX1113" t="b">
        <f>+ISNUMBER(SEARCH(CompConta!$F$23,Tabla11[[#This Row],[Cuenta]],1))</f>
        <v>1</v>
      </c>
      <c r="AY1113" t="b">
        <f>+ISNUMBER(SEARCH(CompConta!$F$24,Tabla11[[#This Row],[Cuenta]],1))</f>
        <v>1</v>
      </c>
      <c r="AZ1113" t="b">
        <f>+ISNUMBER(SEARCH(CompConta!$F$25,Tabla11[[#This Row],[Cuenta]],1))</f>
        <v>1</v>
      </c>
      <c r="BA1113" t="b">
        <f>+ISNUMBER(SEARCH(CompConta!$F$26,Tabla11[[#This Row],[Cuenta]],1))</f>
        <v>1</v>
      </c>
      <c r="BB1113" t="b">
        <f>+ISNUMBER(SEARCH(CompConta!$F$27,Tabla11[[#This Row],[Cuenta]],1))</f>
        <v>1</v>
      </c>
      <c r="BC1113" t="b">
        <f>+ISNUMBER(SEARCH(CompConta!$F$28,Tabla11[[#This Row],[Cuenta]],1))</f>
        <v>1</v>
      </c>
      <c r="BD1113" t="b">
        <f>+ISNUMBER(SEARCH(CompConta!$F$29,Tabla11[[#This Row],[Cuenta]],1))</f>
        <v>1</v>
      </c>
      <c r="BE1113" t="b">
        <f>+ISNUMBER(SEARCH(CompConta!$F$30,Tabla11[[#This Row],[Cuenta]],1))</f>
        <v>1</v>
      </c>
      <c r="BF1113" t="b">
        <f>+ISNUMBER(SEARCH('PAGO Compras'!$E$11,Tabla11[[#This Row],[Cuenta]],1))</f>
        <v>1</v>
      </c>
      <c r="BG1113" t="b">
        <f>+ISNUMBER(SEARCH(#REF!,Tabla11[[#This Row],[Cuenta]],1))</f>
        <v>0</v>
      </c>
      <c r="BH1113" t="b">
        <f>+ISNUMBER(SEARCH(#REF!,Tabla11[[#This Row],[Cuenta]],1))</f>
        <v>0</v>
      </c>
      <c r="BI1113" t="b">
        <f>+ISNUMBER(SEARCH(#REF!,Tabla11[[#This Row],[Cuenta]],1))</f>
        <v>0</v>
      </c>
      <c r="BJ1113" t="b">
        <f>+ISNUMBER(SEARCH(#REF!,Tabla11[[#This Row],[Cuenta]],1))</f>
        <v>0</v>
      </c>
      <c r="BS1113" t="str">
        <v>531595 Otros</v>
      </c>
      <c r="BT1113" t="str">
        <v>531595 Otros</v>
      </c>
      <c r="BU1113" t="str">
        <v>531595 Otros</v>
      </c>
      <c r="BV1113" t="str">
        <v>531595 Otros</v>
      </c>
      <c r="BZ1113" t="str">
        <v>531595 Otros</v>
      </c>
      <c r="CA1113" t="str">
        <v>531595 Otros</v>
      </c>
      <c r="CB1113" t="str">
        <v>531595 Otros</v>
      </c>
      <c r="CC1113" t="str">
        <v>531595 Otros</v>
      </c>
      <c r="CD1113" t="str">
        <v>531595 Otros</v>
      </c>
      <c r="CE1113" t="str">
        <v>531595 Otros</v>
      </c>
      <c r="CS1113" s="141" t="str">
        <v>531595 Otros</v>
      </c>
      <c r="CT1113" s="141" t="str">
        <v>531595 Otros</v>
      </c>
      <c r="CU1113" s="141" t="str">
        <v>531595 Otros</v>
      </c>
      <c r="CV1113" s="141" t="str">
        <v>531595 Otros</v>
      </c>
      <c r="CW1113" s="141" t="str">
        <v>531595 Otros</v>
      </c>
      <c r="CX1113" s="141" t="str">
        <v>531595 Otros</v>
      </c>
      <c r="CY1113" s="141" t="str">
        <v>531595 Otros</v>
      </c>
      <c r="CZ1113" s="141" t="str">
        <v>531595 Otros</v>
      </c>
      <c r="DA1113" s="141" t="str">
        <v>531595 Otros</v>
      </c>
      <c r="DF1113" t="str">
        <v>531595 Otros</v>
      </c>
      <c r="DG1113" t="str">
        <v>531595 Otros</v>
      </c>
      <c r="DH1113" t="str">
        <v>531595 Otros</v>
      </c>
      <c r="DI1113" t="str">
        <v>531595 Otros</v>
      </c>
      <c r="DJ1113" t="str">
        <v>531595 Otros</v>
      </c>
      <c r="DK1113" t="str">
        <v>531595 Otros</v>
      </c>
      <c r="DL1113" t="str">
        <v>531595 Otros</v>
      </c>
      <c r="DM1113" t="str">
        <v>531595 Otros</v>
      </c>
      <c r="DN1113" t="str">
        <v>531595 Otros</v>
      </c>
      <c r="DO1113" t="str">
        <v>531595 Otros</v>
      </c>
      <c r="DP1113" t="str">
        <v>531595 Otros</v>
      </c>
    </row>
    <row r="1114" spans="4:120" ht="12.75">
      <c r="D1114" s="7">
        <v>531599</v>
      </c>
      <c r="E1114" s="6" t="s">
        <v>93</v>
      </c>
      <c r="F1114" s="5">
        <v>4</v>
      </c>
      <c r="G1114" s="34" t="s">
        <v>830</v>
      </c>
      <c r="H1114" s="8" t="s">
        <v>32</v>
      </c>
      <c r="I1114" t="b">
        <f>+ISNUMBER(SEARCH('F-COMPRA'!$F$28,Tabla11[[#This Row],[Cuenta]],1))</f>
        <v>1</v>
      </c>
      <c r="J1114" t="b">
        <f>+ISNUMBER(SEARCH('F-COMPRA'!$F$29,Tabla11[[#This Row],[Cuenta]],1))</f>
        <v>1</v>
      </c>
      <c r="K1114" t="b">
        <f>+ISNUMBER(SEARCH('F-COMPRA'!$F$30,Tabla11[[#This Row],[Cuenta]],1))</f>
        <v>1</v>
      </c>
      <c r="L1114" t="b">
        <f>+ISNUMBER(SEARCH('F-COMPRA'!$F$31,Tabla11[[#This Row],[Cuenta]],1))</f>
        <v>1</v>
      </c>
      <c r="M1114" t="b">
        <f>+ISNUMBER(SEARCH('F-COMPRA'!$G$25,Tabla11[[#This Row],[Cuenta]],1))</f>
        <v>0</v>
      </c>
      <c r="N1114" t="b">
        <f>+ISNUMBER(SEARCH(#REF!,Tabla11[[#This Row],[Cuenta]],1))</f>
        <v>0</v>
      </c>
      <c r="O1114" t="b">
        <f>+ISNUMBER(SEARCH(#REF!,Tabla11[[#This Row],[Cuenta]],1))</f>
        <v>0</v>
      </c>
      <c r="P1114" t="b">
        <f>+ISNUMBER(SEARCH('F-COMPRA'!$F$32,Tabla11[[#This Row],[Cuenta]],1))</f>
        <v>1</v>
      </c>
      <c r="Q1114" t="b">
        <f>+ISNUMBER(SEARCH('F-COMPRA'!$F$33,Tabla11[[#This Row],[Cuenta]],1))</f>
        <v>1</v>
      </c>
      <c r="R1114" t="b">
        <f>+ISNUMBER(SEARCH('F-COMPRA'!$F$34,Tabla11[[#This Row],[Cuenta]],1))</f>
        <v>1</v>
      </c>
      <c r="S1114" t="b">
        <f>+ISNUMBER(SEARCH('F-COMPRA'!$F$35,Tabla11[[#This Row],[Cuenta]],1))</f>
        <v>1</v>
      </c>
      <c r="T1114" t="b">
        <f>+ISNUMBER(SEARCH('F-COMPRA'!$F$36,Tabla11[[#This Row],[Cuenta]],1))</f>
        <v>1</v>
      </c>
      <c r="U1114" t="b">
        <f>+ISNUMBER(SEARCH('F-COMPRA'!$F$37,Tabla11[[#This Row],[Cuenta]],1))</f>
        <v>1</v>
      </c>
      <c r="V1114" t="b">
        <f>+ISNUMBER(SEARCH(#REF!,Tabla11[[#This Row],[Cuenta]],1))</f>
        <v>0</v>
      </c>
      <c r="W1114" t="b">
        <f>+ISNUMBER(SEARCH('F-COMPRA'!#REF!,Tabla11[[#This Row],[Cuenta]],1))</f>
        <v>0</v>
      </c>
      <c r="X1114" t="b">
        <f>+ISNUMBER(SEARCH('F-COMPRA'!#REF!,Tabla11[[#This Row],[Cuenta]],1))</f>
        <v>0</v>
      </c>
      <c r="Y1114" t="b">
        <f>+ISNUMBER(SEARCH('F-COMPRA'!#REF!,Tabla11[[#This Row],[Cuenta]],1))</f>
        <v>0</v>
      </c>
      <c r="Z1114" t="b">
        <f>+ISNUMBER(SEARCH('F-COMPRA'!#REF!,Tabla11[[#This Row],[Cuenta]],1))</f>
        <v>0</v>
      </c>
      <c r="AA1114" t="b">
        <f>+ISNUMBER(SEARCH('F-COMPRA'!#REF!,Tabla11[[#This Row],[Cuenta]],1))</f>
        <v>0</v>
      </c>
      <c r="AB1114" t="b">
        <f>+ISNUMBER(SEARCH('F-COMPRA'!#REF!,Tabla11[[#This Row],[Cuenta]],1))</f>
        <v>0</v>
      </c>
      <c r="AC1114" t="b">
        <f>+ISNUMBER(SEARCH('F-COMPRA'!#REF!,Tabla11[[#This Row],[Cuenta]],1))</f>
        <v>0</v>
      </c>
      <c r="AD1114" t="b">
        <f>+ISNUMBER(SEARCH('F-COMPRA'!#REF!,Tabla11[[#This Row],[Cuenta]],1))</f>
        <v>0</v>
      </c>
      <c r="AE1114" t="b">
        <f>+ISNUMBER(SEARCH('F-COMPRA'!#REF!,Tabla11[[#This Row],[Cuenta]],1))</f>
        <v>0</v>
      </c>
      <c r="AF1114" t="b">
        <f>+ISNUMBER(SEARCH('F-VTA'!$G$23,Tabla11[[#This Row],[Cuenta]],1))</f>
        <v>0</v>
      </c>
      <c r="AG1114" t="b">
        <f>+ISNUMBER(SEARCH('F-VTA'!$G$24,Tabla11[[#This Row],[Cuenta]],1))</f>
        <v>0</v>
      </c>
      <c r="AH1114" t="b">
        <f>+ISNUMBER(SEARCH('F-VTA'!$G$25,Tabla11[[#This Row],[Cuenta]],1))</f>
        <v>0</v>
      </c>
      <c r="AI1114" t="b">
        <f>+ISNUMBER(SEARCH('F-VTA'!$F$28,Tabla11[[#This Row],[Cuenta]],1))</f>
        <v>1</v>
      </c>
      <c r="AJ1114" t="b">
        <f>+ISNUMBER(SEARCH('F-VTA'!$F$29,Tabla11[[#This Row],[Cuenta]],1))</f>
        <v>1</v>
      </c>
      <c r="AK1114" t="b">
        <f>+ISNUMBER(SEARCH('F-VTA'!$F$30,Tabla11[[#This Row],[Cuenta]],1))</f>
        <v>1</v>
      </c>
      <c r="AL1114" t="b">
        <f>+ISNUMBER(SEARCH('F-VTA'!$F$31,Tabla11[[#This Row],[Cuenta]],1))</f>
        <v>1</v>
      </c>
      <c r="AM1114" t="b">
        <f>+ISNUMBER(SEARCH('F-VTA'!$F$32,Tabla11[[#This Row],[Cuenta]],1))</f>
        <v>1</v>
      </c>
      <c r="AN1114" t="b">
        <f>+ISNUMBER(SEARCH('F-VTA'!$F$33,Tabla11[[#This Row],[Cuenta]],1))</f>
        <v>1</v>
      </c>
      <c r="AO1114" t="b">
        <f>+ISNUMBER(SEARCH('F-VTA'!$F$34,Tabla11[[#This Row],[Cuenta]],1))</f>
        <v>1</v>
      </c>
      <c r="AP1114" t="b">
        <f>+ISNUMBER(SEARCH('F-VTA'!$F$35,Tabla11[[#This Row],[Cuenta]],1))</f>
        <v>1</v>
      </c>
      <c r="AQ1114" t="b">
        <f>+ISNUMBER(SEARCH('F-VTA'!$F$36,Tabla11[[#This Row],[Cuenta]],1))</f>
        <v>1</v>
      </c>
      <c r="AR1114" t="b">
        <f>+ISNUMBER(SEARCH(#REF!,Tabla11[[#This Row],[Cuenta]],1))</f>
        <v>0</v>
      </c>
      <c r="AS1114" t="b">
        <f>+ISNUMBER(SEARCH(#REF!,Tabla11[[#This Row],[Cuenta]],1))</f>
        <v>0</v>
      </c>
      <c r="AT1114" t="b">
        <f>+ISNUMBER(SEARCH(#REF!,Tabla11[[#This Row],[Cuenta]],1))</f>
        <v>0</v>
      </c>
      <c r="AU1114" t="b">
        <f>+ISNUMBER(SEARCH('Conc. Ban.1'!$I$9,Tabla11[[#This Row],[Cuenta]],1))</f>
        <v>0</v>
      </c>
      <c r="AV1114" t="b">
        <f>+ISNUMBER(SEARCH(CompConta!$F$21,Tabla11[[#This Row],[Cuenta]],1))</f>
        <v>1</v>
      </c>
      <c r="AW1114" t="b">
        <f>+ISNUMBER(SEARCH(CompConta!$F$22,Tabla11[[#This Row],[Cuenta]],1))</f>
        <v>1</v>
      </c>
      <c r="AX1114" t="b">
        <f>+ISNUMBER(SEARCH(CompConta!$F$23,Tabla11[[#This Row],[Cuenta]],1))</f>
        <v>1</v>
      </c>
      <c r="AY1114" t="b">
        <f>+ISNUMBER(SEARCH(CompConta!$F$24,Tabla11[[#This Row],[Cuenta]],1))</f>
        <v>1</v>
      </c>
      <c r="AZ1114" t="b">
        <f>+ISNUMBER(SEARCH(CompConta!$F$25,Tabla11[[#This Row],[Cuenta]],1))</f>
        <v>1</v>
      </c>
      <c r="BA1114" t="b">
        <f>+ISNUMBER(SEARCH(CompConta!$F$26,Tabla11[[#This Row],[Cuenta]],1))</f>
        <v>1</v>
      </c>
      <c r="BB1114" t="b">
        <f>+ISNUMBER(SEARCH(CompConta!$F$27,Tabla11[[#This Row],[Cuenta]],1))</f>
        <v>1</v>
      </c>
      <c r="BC1114" t="b">
        <f>+ISNUMBER(SEARCH(CompConta!$F$28,Tabla11[[#This Row],[Cuenta]],1))</f>
        <v>1</v>
      </c>
      <c r="BD1114" t="b">
        <f>+ISNUMBER(SEARCH(CompConta!$F$29,Tabla11[[#This Row],[Cuenta]],1))</f>
        <v>1</v>
      </c>
      <c r="BE1114" t="b">
        <f>+ISNUMBER(SEARCH(CompConta!$F$30,Tabla11[[#This Row],[Cuenta]],1))</f>
        <v>1</v>
      </c>
      <c r="BF1114" t="b">
        <f>+ISNUMBER(SEARCH('PAGO Compras'!$E$11,Tabla11[[#This Row],[Cuenta]],1))</f>
        <v>1</v>
      </c>
      <c r="BG1114" t="b">
        <f>+ISNUMBER(SEARCH(#REF!,Tabla11[[#This Row],[Cuenta]],1))</f>
        <v>0</v>
      </c>
      <c r="BH1114" t="b">
        <f>+ISNUMBER(SEARCH(#REF!,Tabla11[[#This Row],[Cuenta]],1))</f>
        <v>0</v>
      </c>
      <c r="BI1114" t="b">
        <f>+ISNUMBER(SEARCH(#REF!,Tabla11[[#This Row],[Cuenta]],1))</f>
        <v>0</v>
      </c>
      <c r="BJ1114" t="b">
        <f>+ISNUMBER(SEARCH(#REF!,Tabla11[[#This Row],[Cuenta]],1))</f>
        <v>0</v>
      </c>
      <c r="BS1114" t="str">
        <v>531599 *Ajustes por inflación</v>
      </c>
      <c r="BT1114" t="str">
        <v>531599 *Ajustes por inflación</v>
      </c>
      <c r="BU1114" t="str">
        <v>531599 *Ajustes por inflación</v>
      </c>
      <c r="BV1114" t="str">
        <v>531599 *Ajustes por inflación</v>
      </c>
      <c r="BZ1114" t="str">
        <v>531599 *Ajustes por inflación</v>
      </c>
      <c r="CA1114" t="str">
        <v>531599 *Ajustes por inflación</v>
      </c>
      <c r="CB1114" t="str">
        <v>531599 *Ajustes por inflación</v>
      </c>
      <c r="CC1114" t="str">
        <v>531599 *Ajustes por inflación</v>
      </c>
      <c r="CD1114" t="str">
        <v>531599 *Ajustes por inflación</v>
      </c>
      <c r="CE1114" t="str">
        <v>531599 *Ajustes por inflación</v>
      </c>
      <c r="CS1114" s="141" t="str">
        <v>531599 *Ajustes por inflación</v>
      </c>
      <c r="CT1114" s="141" t="str">
        <v>531599 *Ajustes por inflación</v>
      </c>
      <c r="CU1114" s="141" t="str">
        <v>531599 *Ajustes por inflación</v>
      </c>
      <c r="CV1114" s="141" t="str">
        <v>531599 *Ajustes por inflación</v>
      </c>
      <c r="CW1114" s="141" t="str">
        <v>531599 *Ajustes por inflación</v>
      </c>
      <c r="CX1114" s="141" t="str">
        <v>531599 *Ajustes por inflación</v>
      </c>
      <c r="CY1114" s="141" t="str">
        <v>531599 *Ajustes por inflación</v>
      </c>
      <c r="CZ1114" s="141" t="str">
        <v>531599 *Ajustes por inflación</v>
      </c>
      <c r="DA1114" s="141" t="str">
        <v>531599 *Ajustes por inflación</v>
      </c>
      <c r="DF1114" t="str">
        <v>531599 *Ajustes por inflación</v>
      </c>
      <c r="DG1114" t="str">
        <v>531599 *Ajustes por inflación</v>
      </c>
      <c r="DH1114" t="str">
        <v>531599 *Ajustes por inflación</v>
      </c>
      <c r="DI1114" t="str">
        <v>531599 *Ajustes por inflación</v>
      </c>
      <c r="DJ1114" t="str">
        <v>531599 *Ajustes por inflación</v>
      </c>
      <c r="DK1114" t="str">
        <v>531599 *Ajustes por inflación</v>
      </c>
      <c r="DL1114" t="str">
        <v>531599 *Ajustes por inflación</v>
      </c>
      <c r="DM1114" t="str">
        <v>531599 *Ajustes por inflación</v>
      </c>
      <c r="DN1114" t="str">
        <v>531599 *Ajustes por inflación</v>
      </c>
      <c r="DO1114" t="str">
        <v>531599 *Ajustes por inflación</v>
      </c>
      <c r="DP1114" t="str">
        <v>531599 *Ajustes por inflación</v>
      </c>
    </row>
    <row r="1115" spans="4:120" ht="12.75">
      <c r="D1115" s="7">
        <v>5395</v>
      </c>
      <c r="E1115" s="6" t="s">
        <v>648</v>
      </c>
      <c r="F1115" s="5">
        <v>3</v>
      </c>
      <c r="G1115" s="34" t="s">
        <v>830</v>
      </c>
      <c r="H1115" s="8" t="s">
        <v>32</v>
      </c>
      <c r="I1115" t="b">
        <f>+ISNUMBER(SEARCH('F-COMPRA'!$F$28,Tabla11[[#This Row],[Cuenta]],1))</f>
        <v>1</v>
      </c>
      <c r="J1115" t="b">
        <f>+ISNUMBER(SEARCH('F-COMPRA'!$F$29,Tabla11[[#This Row],[Cuenta]],1))</f>
        <v>1</v>
      </c>
      <c r="K1115" t="b">
        <f>+ISNUMBER(SEARCH('F-COMPRA'!$F$30,Tabla11[[#This Row],[Cuenta]],1))</f>
        <v>1</v>
      </c>
      <c r="L1115" t="b">
        <f>+ISNUMBER(SEARCH('F-COMPRA'!$F$31,Tabla11[[#This Row],[Cuenta]],1))</f>
        <v>1</v>
      </c>
      <c r="M1115" t="b">
        <f>+ISNUMBER(SEARCH('F-COMPRA'!$G$25,Tabla11[[#This Row],[Cuenta]],1))</f>
        <v>0</v>
      </c>
      <c r="N1115" t="b">
        <f>+ISNUMBER(SEARCH(#REF!,Tabla11[[#This Row],[Cuenta]],1))</f>
        <v>0</v>
      </c>
      <c r="O1115" t="b">
        <f>+ISNUMBER(SEARCH(#REF!,Tabla11[[#This Row],[Cuenta]],1))</f>
        <v>0</v>
      </c>
      <c r="P1115" t="b">
        <f>+ISNUMBER(SEARCH('F-COMPRA'!$F$32,Tabla11[[#This Row],[Cuenta]],1))</f>
        <v>1</v>
      </c>
      <c r="Q1115" t="b">
        <f>+ISNUMBER(SEARCH('F-COMPRA'!$F$33,Tabla11[[#This Row],[Cuenta]],1))</f>
        <v>1</v>
      </c>
      <c r="R1115" t="b">
        <f>+ISNUMBER(SEARCH('F-COMPRA'!$F$34,Tabla11[[#This Row],[Cuenta]],1))</f>
        <v>1</v>
      </c>
      <c r="S1115" t="b">
        <f>+ISNUMBER(SEARCH('F-COMPRA'!$F$35,Tabla11[[#This Row],[Cuenta]],1))</f>
        <v>1</v>
      </c>
      <c r="T1115" t="b">
        <f>+ISNUMBER(SEARCH('F-COMPRA'!$F$36,Tabla11[[#This Row],[Cuenta]],1))</f>
        <v>1</v>
      </c>
      <c r="U1115" t="b">
        <f>+ISNUMBER(SEARCH('F-COMPRA'!$F$37,Tabla11[[#This Row],[Cuenta]],1))</f>
        <v>1</v>
      </c>
      <c r="V1115" t="b">
        <f>+ISNUMBER(SEARCH(#REF!,Tabla11[[#This Row],[Cuenta]],1))</f>
        <v>0</v>
      </c>
      <c r="W1115" t="b">
        <f>+ISNUMBER(SEARCH('F-COMPRA'!#REF!,Tabla11[[#This Row],[Cuenta]],1))</f>
        <v>0</v>
      </c>
      <c r="X1115" t="b">
        <f>+ISNUMBER(SEARCH('F-COMPRA'!#REF!,Tabla11[[#This Row],[Cuenta]],1))</f>
        <v>0</v>
      </c>
      <c r="Y1115" t="b">
        <f>+ISNUMBER(SEARCH('F-COMPRA'!#REF!,Tabla11[[#This Row],[Cuenta]],1))</f>
        <v>0</v>
      </c>
      <c r="Z1115" t="b">
        <f>+ISNUMBER(SEARCH('F-COMPRA'!#REF!,Tabla11[[#This Row],[Cuenta]],1))</f>
        <v>0</v>
      </c>
      <c r="AA1115" t="b">
        <f>+ISNUMBER(SEARCH('F-COMPRA'!#REF!,Tabla11[[#This Row],[Cuenta]],1))</f>
        <v>0</v>
      </c>
      <c r="AB1115" t="b">
        <f>+ISNUMBER(SEARCH('F-COMPRA'!#REF!,Tabla11[[#This Row],[Cuenta]],1))</f>
        <v>0</v>
      </c>
      <c r="AC1115" t="b">
        <f>+ISNUMBER(SEARCH('F-COMPRA'!#REF!,Tabla11[[#This Row],[Cuenta]],1))</f>
        <v>0</v>
      </c>
      <c r="AD1115" t="b">
        <f>+ISNUMBER(SEARCH('F-COMPRA'!#REF!,Tabla11[[#This Row],[Cuenta]],1))</f>
        <v>0</v>
      </c>
      <c r="AE1115" t="b">
        <f>+ISNUMBER(SEARCH('F-COMPRA'!#REF!,Tabla11[[#This Row],[Cuenta]],1))</f>
        <v>0</v>
      </c>
      <c r="AF1115" t="b">
        <f>+ISNUMBER(SEARCH('F-VTA'!$G$23,Tabla11[[#This Row],[Cuenta]],1))</f>
        <v>0</v>
      </c>
      <c r="AG1115" t="b">
        <f>+ISNUMBER(SEARCH('F-VTA'!$G$24,Tabla11[[#This Row],[Cuenta]],1))</f>
        <v>0</v>
      </c>
      <c r="AH1115" t="b">
        <f>+ISNUMBER(SEARCH('F-VTA'!$G$25,Tabla11[[#This Row],[Cuenta]],1))</f>
        <v>0</v>
      </c>
      <c r="AI1115" t="b">
        <f>+ISNUMBER(SEARCH('F-VTA'!$F$28,Tabla11[[#This Row],[Cuenta]],1))</f>
        <v>1</v>
      </c>
      <c r="AJ1115" t="b">
        <f>+ISNUMBER(SEARCH('F-VTA'!$F$29,Tabla11[[#This Row],[Cuenta]],1))</f>
        <v>1</v>
      </c>
      <c r="AK1115" t="b">
        <f>+ISNUMBER(SEARCH('F-VTA'!$F$30,Tabla11[[#This Row],[Cuenta]],1))</f>
        <v>1</v>
      </c>
      <c r="AL1115" t="b">
        <f>+ISNUMBER(SEARCH('F-VTA'!$F$31,Tabla11[[#This Row],[Cuenta]],1))</f>
        <v>1</v>
      </c>
      <c r="AM1115" t="b">
        <f>+ISNUMBER(SEARCH('F-VTA'!$F$32,Tabla11[[#This Row],[Cuenta]],1))</f>
        <v>1</v>
      </c>
      <c r="AN1115" t="b">
        <f>+ISNUMBER(SEARCH('F-VTA'!$F$33,Tabla11[[#This Row],[Cuenta]],1))</f>
        <v>1</v>
      </c>
      <c r="AO1115" t="b">
        <f>+ISNUMBER(SEARCH('F-VTA'!$F$34,Tabla11[[#This Row],[Cuenta]],1))</f>
        <v>1</v>
      </c>
      <c r="AP1115" t="b">
        <f>+ISNUMBER(SEARCH('F-VTA'!$F$35,Tabla11[[#This Row],[Cuenta]],1))</f>
        <v>1</v>
      </c>
      <c r="AQ1115" t="b">
        <f>+ISNUMBER(SEARCH('F-VTA'!$F$36,Tabla11[[#This Row],[Cuenta]],1))</f>
        <v>1</v>
      </c>
      <c r="AR1115" t="b">
        <f>+ISNUMBER(SEARCH(#REF!,Tabla11[[#This Row],[Cuenta]],1))</f>
        <v>0</v>
      </c>
      <c r="AS1115" t="b">
        <f>+ISNUMBER(SEARCH(#REF!,Tabla11[[#This Row],[Cuenta]],1))</f>
        <v>0</v>
      </c>
      <c r="AT1115" t="b">
        <f>+ISNUMBER(SEARCH(#REF!,Tabla11[[#This Row],[Cuenta]],1))</f>
        <v>0</v>
      </c>
      <c r="AU1115" t="b">
        <f>+ISNUMBER(SEARCH('Conc. Ban.1'!$I$9,Tabla11[[#This Row],[Cuenta]],1))</f>
        <v>0</v>
      </c>
      <c r="AV1115" t="b">
        <f>+ISNUMBER(SEARCH(CompConta!$F$21,Tabla11[[#This Row],[Cuenta]],1))</f>
        <v>1</v>
      </c>
      <c r="AW1115" t="b">
        <f>+ISNUMBER(SEARCH(CompConta!$F$22,Tabla11[[#This Row],[Cuenta]],1))</f>
        <v>1</v>
      </c>
      <c r="AX1115" t="b">
        <f>+ISNUMBER(SEARCH(CompConta!$F$23,Tabla11[[#This Row],[Cuenta]],1))</f>
        <v>1</v>
      </c>
      <c r="AY1115" t="b">
        <f>+ISNUMBER(SEARCH(CompConta!$F$24,Tabla11[[#This Row],[Cuenta]],1))</f>
        <v>1</v>
      </c>
      <c r="AZ1115" t="b">
        <f>+ISNUMBER(SEARCH(CompConta!$F$25,Tabla11[[#This Row],[Cuenta]],1))</f>
        <v>1</v>
      </c>
      <c r="BA1115" t="b">
        <f>+ISNUMBER(SEARCH(CompConta!$F$26,Tabla11[[#This Row],[Cuenta]],1))</f>
        <v>1</v>
      </c>
      <c r="BB1115" t="b">
        <f>+ISNUMBER(SEARCH(CompConta!$F$27,Tabla11[[#This Row],[Cuenta]],1))</f>
        <v>1</v>
      </c>
      <c r="BC1115" t="b">
        <f>+ISNUMBER(SEARCH(CompConta!$F$28,Tabla11[[#This Row],[Cuenta]],1))</f>
        <v>1</v>
      </c>
      <c r="BD1115" t="b">
        <f>+ISNUMBER(SEARCH(CompConta!$F$29,Tabla11[[#This Row],[Cuenta]],1))</f>
        <v>1</v>
      </c>
      <c r="BE1115" t="b">
        <f>+ISNUMBER(SEARCH(CompConta!$F$30,Tabla11[[#This Row],[Cuenta]],1))</f>
        <v>1</v>
      </c>
      <c r="BF1115" t="b">
        <f>+ISNUMBER(SEARCH('PAGO Compras'!$E$11,Tabla11[[#This Row],[Cuenta]],1))</f>
        <v>1</v>
      </c>
      <c r="BG1115" t="b">
        <f>+ISNUMBER(SEARCH(#REF!,Tabla11[[#This Row],[Cuenta]],1))</f>
        <v>0</v>
      </c>
      <c r="BH1115" t="b">
        <f>+ISNUMBER(SEARCH(#REF!,Tabla11[[#This Row],[Cuenta]],1))</f>
        <v>0</v>
      </c>
      <c r="BI1115" t="b">
        <f>+ISNUMBER(SEARCH(#REF!,Tabla11[[#This Row],[Cuenta]],1))</f>
        <v>0</v>
      </c>
      <c r="BJ1115" t="b">
        <f>+ISNUMBER(SEARCH(#REF!,Tabla11[[#This Row],[Cuenta]],1))</f>
        <v>0</v>
      </c>
      <c r="BS1115" t="str">
        <v>5395 GASTOS DIVERSOS</v>
      </c>
      <c r="BT1115" t="str">
        <v>5395 GASTOS DIVERSOS</v>
      </c>
      <c r="BU1115" t="str">
        <v>5395 GASTOS DIVERSOS</v>
      </c>
      <c r="BV1115" t="str">
        <v>5395 GASTOS DIVERSOS</v>
      </c>
      <c r="BZ1115" t="str">
        <v>5395 GASTOS DIVERSOS</v>
      </c>
      <c r="CA1115" t="str">
        <v>5395 GASTOS DIVERSOS</v>
      </c>
      <c r="CB1115" t="str">
        <v>5395 GASTOS DIVERSOS</v>
      </c>
      <c r="CC1115" t="str">
        <v>5395 GASTOS DIVERSOS</v>
      </c>
      <c r="CD1115" t="str">
        <v>5395 GASTOS DIVERSOS</v>
      </c>
      <c r="CE1115" t="str">
        <v>5395 GASTOS DIVERSOS</v>
      </c>
      <c r="CS1115" s="141" t="str">
        <v>5395 GASTOS DIVERSOS</v>
      </c>
      <c r="CT1115" s="141" t="str">
        <v>5395 GASTOS DIVERSOS</v>
      </c>
      <c r="CU1115" s="141" t="str">
        <v>5395 GASTOS DIVERSOS</v>
      </c>
      <c r="CV1115" s="141" t="str">
        <v>5395 GASTOS DIVERSOS</v>
      </c>
      <c r="CW1115" s="141" t="str">
        <v>5395 GASTOS DIVERSOS</v>
      </c>
      <c r="CX1115" s="141" t="str">
        <v>5395 GASTOS DIVERSOS</v>
      </c>
      <c r="CY1115" s="141" t="str">
        <v>5395 GASTOS DIVERSOS</v>
      </c>
      <c r="CZ1115" s="141" t="str">
        <v>5395 GASTOS DIVERSOS</v>
      </c>
      <c r="DA1115" s="141" t="str">
        <v>5395 GASTOS DIVERSOS</v>
      </c>
      <c r="DF1115" t="str">
        <v>5395 GASTOS DIVERSOS</v>
      </c>
      <c r="DG1115" t="str">
        <v>5395 GASTOS DIVERSOS</v>
      </c>
      <c r="DH1115" t="str">
        <v>5395 GASTOS DIVERSOS</v>
      </c>
      <c r="DI1115" t="str">
        <v>5395 GASTOS DIVERSOS</v>
      </c>
      <c r="DJ1115" t="str">
        <v>5395 GASTOS DIVERSOS</v>
      </c>
      <c r="DK1115" t="str">
        <v>5395 GASTOS DIVERSOS</v>
      </c>
      <c r="DL1115" t="str">
        <v>5395 GASTOS DIVERSOS</v>
      </c>
      <c r="DM1115" t="str">
        <v>5395 GASTOS DIVERSOS</v>
      </c>
      <c r="DN1115" t="str">
        <v>5395 GASTOS DIVERSOS</v>
      </c>
      <c r="DO1115" t="str">
        <v>5395 GASTOS DIVERSOS</v>
      </c>
      <c r="DP1115" t="str">
        <v>5395 GASTOS DIVERSOS</v>
      </c>
    </row>
    <row r="1116" spans="4:120" ht="12.75">
      <c r="D1116" s="7">
        <v>539505</v>
      </c>
      <c r="E1116" s="6" t="s">
        <v>649</v>
      </c>
      <c r="F1116" s="5">
        <v>4</v>
      </c>
      <c r="G1116" s="34" t="s">
        <v>830</v>
      </c>
      <c r="H1116" s="8" t="s">
        <v>32</v>
      </c>
      <c r="I1116" t="b">
        <f>+ISNUMBER(SEARCH('F-COMPRA'!$F$28,Tabla11[[#This Row],[Cuenta]],1))</f>
        <v>1</v>
      </c>
      <c r="J1116" t="b">
        <f>+ISNUMBER(SEARCH('F-COMPRA'!$F$29,Tabla11[[#This Row],[Cuenta]],1))</f>
        <v>1</v>
      </c>
      <c r="K1116" t="b">
        <f>+ISNUMBER(SEARCH('F-COMPRA'!$F$30,Tabla11[[#This Row],[Cuenta]],1))</f>
        <v>1</v>
      </c>
      <c r="L1116" t="b">
        <f>+ISNUMBER(SEARCH('F-COMPRA'!$F$31,Tabla11[[#This Row],[Cuenta]],1))</f>
        <v>1</v>
      </c>
      <c r="M1116" t="b">
        <f>+ISNUMBER(SEARCH('F-COMPRA'!$G$25,Tabla11[[#This Row],[Cuenta]],1))</f>
        <v>0</v>
      </c>
      <c r="N1116" t="b">
        <f>+ISNUMBER(SEARCH(#REF!,Tabla11[[#This Row],[Cuenta]],1))</f>
        <v>0</v>
      </c>
      <c r="O1116" t="b">
        <f>+ISNUMBER(SEARCH(#REF!,Tabla11[[#This Row],[Cuenta]],1))</f>
        <v>0</v>
      </c>
      <c r="P1116" t="b">
        <f>+ISNUMBER(SEARCH('F-COMPRA'!$F$32,Tabla11[[#This Row],[Cuenta]],1))</f>
        <v>1</v>
      </c>
      <c r="Q1116" t="b">
        <f>+ISNUMBER(SEARCH('F-COMPRA'!$F$33,Tabla11[[#This Row],[Cuenta]],1))</f>
        <v>1</v>
      </c>
      <c r="R1116" t="b">
        <f>+ISNUMBER(SEARCH('F-COMPRA'!$F$34,Tabla11[[#This Row],[Cuenta]],1))</f>
        <v>1</v>
      </c>
      <c r="S1116" t="b">
        <f>+ISNUMBER(SEARCH('F-COMPRA'!$F$35,Tabla11[[#This Row],[Cuenta]],1))</f>
        <v>1</v>
      </c>
      <c r="T1116" t="b">
        <f>+ISNUMBER(SEARCH('F-COMPRA'!$F$36,Tabla11[[#This Row],[Cuenta]],1))</f>
        <v>1</v>
      </c>
      <c r="U1116" t="b">
        <f>+ISNUMBER(SEARCH('F-COMPRA'!$F$37,Tabla11[[#This Row],[Cuenta]],1))</f>
        <v>1</v>
      </c>
      <c r="V1116" t="b">
        <f>+ISNUMBER(SEARCH(#REF!,Tabla11[[#This Row],[Cuenta]],1))</f>
        <v>0</v>
      </c>
      <c r="W1116" t="b">
        <f>+ISNUMBER(SEARCH('F-COMPRA'!#REF!,Tabla11[[#This Row],[Cuenta]],1))</f>
        <v>0</v>
      </c>
      <c r="X1116" t="b">
        <f>+ISNUMBER(SEARCH('F-COMPRA'!#REF!,Tabla11[[#This Row],[Cuenta]],1))</f>
        <v>0</v>
      </c>
      <c r="Y1116" t="b">
        <f>+ISNUMBER(SEARCH('F-COMPRA'!#REF!,Tabla11[[#This Row],[Cuenta]],1))</f>
        <v>0</v>
      </c>
      <c r="Z1116" t="b">
        <f>+ISNUMBER(SEARCH('F-COMPRA'!#REF!,Tabla11[[#This Row],[Cuenta]],1))</f>
        <v>0</v>
      </c>
      <c r="AA1116" t="b">
        <f>+ISNUMBER(SEARCH('F-COMPRA'!#REF!,Tabla11[[#This Row],[Cuenta]],1))</f>
        <v>0</v>
      </c>
      <c r="AB1116" t="b">
        <f>+ISNUMBER(SEARCH('F-COMPRA'!#REF!,Tabla11[[#This Row],[Cuenta]],1))</f>
        <v>0</v>
      </c>
      <c r="AC1116" t="b">
        <f>+ISNUMBER(SEARCH('F-COMPRA'!#REF!,Tabla11[[#This Row],[Cuenta]],1))</f>
        <v>0</v>
      </c>
      <c r="AD1116" t="b">
        <f>+ISNUMBER(SEARCH('F-COMPRA'!#REF!,Tabla11[[#This Row],[Cuenta]],1))</f>
        <v>0</v>
      </c>
      <c r="AE1116" t="b">
        <f>+ISNUMBER(SEARCH('F-COMPRA'!#REF!,Tabla11[[#This Row],[Cuenta]],1))</f>
        <v>0</v>
      </c>
      <c r="AF1116" t="b">
        <f>+ISNUMBER(SEARCH('F-VTA'!$G$23,Tabla11[[#This Row],[Cuenta]],1))</f>
        <v>0</v>
      </c>
      <c r="AG1116" t="b">
        <f>+ISNUMBER(SEARCH('F-VTA'!$G$24,Tabla11[[#This Row],[Cuenta]],1))</f>
        <v>0</v>
      </c>
      <c r="AH1116" t="b">
        <f>+ISNUMBER(SEARCH('F-VTA'!$G$25,Tabla11[[#This Row],[Cuenta]],1))</f>
        <v>0</v>
      </c>
      <c r="AI1116" t="b">
        <f>+ISNUMBER(SEARCH('F-VTA'!$F$28,Tabla11[[#This Row],[Cuenta]],1))</f>
        <v>1</v>
      </c>
      <c r="AJ1116" t="b">
        <f>+ISNUMBER(SEARCH('F-VTA'!$F$29,Tabla11[[#This Row],[Cuenta]],1))</f>
        <v>1</v>
      </c>
      <c r="AK1116" t="b">
        <f>+ISNUMBER(SEARCH('F-VTA'!$F$30,Tabla11[[#This Row],[Cuenta]],1))</f>
        <v>1</v>
      </c>
      <c r="AL1116" t="b">
        <f>+ISNUMBER(SEARCH('F-VTA'!$F$31,Tabla11[[#This Row],[Cuenta]],1))</f>
        <v>1</v>
      </c>
      <c r="AM1116" t="b">
        <f>+ISNUMBER(SEARCH('F-VTA'!$F$32,Tabla11[[#This Row],[Cuenta]],1))</f>
        <v>1</v>
      </c>
      <c r="AN1116" t="b">
        <f>+ISNUMBER(SEARCH('F-VTA'!$F$33,Tabla11[[#This Row],[Cuenta]],1))</f>
        <v>1</v>
      </c>
      <c r="AO1116" t="b">
        <f>+ISNUMBER(SEARCH('F-VTA'!$F$34,Tabla11[[#This Row],[Cuenta]],1))</f>
        <v>1</v>
      </c>
      <c r="AP1116" t="b">
        <f>+ISNUMBER(SEARCH('F-VTA'!$F$35,Tabla11[[#This Row],[Cuenta]],1))</f>
        <v>1</v>
      </c>
      <c r="AQ1116" t="b">
        <f>+ISNUMBER(SEARCH('F-VTA'!$F$36,Tabla11[[#This Row],[Cuenta]],1))</f>
        <v>1</v>
      </c>
      <c r="AR1116" t="b">
        <f>+ISNUMBER(SEARCH(#REF!,Tabla11[[#This Row],[Cuenta]],1))</f>
        <v>0</v>
      </c>
      <c r="AS1116" t="b">
        <f>+ISNUMBER(SEARCH(#REF!,Tabla11[[#This Row],[Cuenta]],1))</f>
        <v>0</v>
      </c>
      <c r="AT1116" t="b">
        <f>+ISNUMBER(SEARCH(#REF!,Tabla11[[#This Row],[Cuenta]],1))</f>
        <v>0</v>
      </c>
      <c r="AU1116" t="b">
        <f>+ISNUMBER(SEARCH('Conc. Ban.1'!$I$9,Tabla11[[#This Row],[Cuenta]],1))</f>
        <v>0</v>
      </c>
      <c r="AV1116" t="b">
        <f>+ISNUMBER(SEARCH(CompConta!$F$21,Tabla11[[#This Row],[Cuenta]],1))</f>
        <v>1</v>
      </c>
      <c r="AW1116" t="b">
        <f>+ISNUMBER(SEARCH(CompConta!$F$22,Tabla11[[#This Row],[Cuenta]],1))</f>
        <v>1</v>
      </c>
      <c r="AX1116" t="b">
        <f>+ISNUMBER(SEARCH(CompConta!$F$23,Tabla11[[#This Row],[Cuenta]],1))</f>
        <v>1</v>
      </c>
      <c r="AY1116" t="b">
        <f>+ISNUMBER(SEARCH(CompConta!$F$24,Tabla11[[#This Row],[Cuenta]],1))</f>
        <v>1</v>
      </c>
      <c r="AZ1116" t="b">
        <f>+ISNUMBER(SEARCH(CompConta!$F$25,Tabla11[[#This Row],[Cuenta]],1))</f>
        <v>1</v>
      </c>
      <c r="BA1116" t="b">
        <f>+ISNUMBER(SEARCH(CompConta!$F$26,Tabla11[[#This Row],[Cuenta]],1))</f>
        <v>1</v>
      </c>
      <c r="BB1116" t="b">
        <f>+ISNUMBER(SEARCH(CompConta!$F$27,Tabla11[[#This Row],[Cuenta]],1))</f>
        <v>1</v>
      </c>
      <c r="BC1116" t="b">
        <f>+ISNUMBER(SEARCH(CompConta!$F$28,Tabla11[[#This Row],[Cuenta]],1))</f>
        <v>1</v>
      </c>
      <c r="BD1116" t="b">
        <f>+ISNUMBER(SEARCH(CompConta!$F$29,Tabla11[[#This Row],[Cuenta]],1))</f>
        <v>1</v>
      </c>
      <c r="BE1116" t="b">
        <f>+ISNUMBER(SEARCH(CompConta!$F$30,Tabla11[[#This Row],[Cuenta]],1))</f>
        <v>1</v>
      </c>
      <c r="BF1116" t="b">
        <f>+ISNUMBER(SEARCH('PAGO Compras'!$E$11,Tabla11[[#This Row],[Cuenta]],1))</f>
        <v>1</v>
      </c>
      <c r="BG1116" t="b">
        <f>+ISNUMBER(SEARCH(#REF!,Tabla11[[#This Row],[Cuenta]],1))</f>
        <v>0</v>
      </c>
      <c r="BH1116" t="b">
        <f>+ISNUMBER(SEARCH(#REF!,Tabla11[[#This Row],[Cuenta]],1))</f>
        <v>0</v>
      </c>
      <c r="BI1116" t="b">
        <f>+ISNUMBER(SEARCH(#REF!,Tabla11[[#This Row],[Cuenta]],1))</f>
        <v>0</v>
      </c>
      <c r="BJ1116" t="b">
        <f>+ISNUMBER(SEARCH(#REF!,Tabla11[[#This Row],[Cuenta]],1))</f>
        <v>0</v>
      </c>
      <c r="BS1116" t="str">
        <v>539505 Demandas laborales</v>
      </c>
      <c r="BT1116" t="str">
        <v>539505 Demandas laborales</v>
      </c>
      <c r="BU1116" t="str">
        <v>539505 Demandas laborales</v>
      </c>
      <c r="BV1116" t="str">
        <v>539505 Demandas laborales</v>
      </c>
      <c r="BZ1116" t="str">
        <v>539505 Demandas laborales</v>
      </c>
      <c r="CA1116" t="str">
        <v>539505 Demandas laborales</v>
      </c>
      <c r="CB1116" t="str">
        <v>539505 Demandas laborales</v>
      </c>
      <c r="CC1116" t="str">
        <v>539505 Demandas laborales</v>
      </c>
      <c r="CD1116" t="str">
        <v>539505 Demandas laborales</v>
      </c>
      <c r="CE1116" t="str">
        <v>539505 Demandas laborales</v>
      </c>
      <c r="CS1116" s="141" t="str">
        <v>539505 Demandas laborales</v>
      </c>
      <c r="CT1116" s="141" t="str">
        <v>539505 Demandas laborales</v>
      </c>
      <c r="CU1116" s="141" t="str">
        <v>539505 Demandas laborales</v>
      </c>
      <c r="CV1116" s="141" t="str">
        <v>539505 Demandas laborales</v>
      </c>
      <c r="CW1116" s="141" t="str">
        <v>539505 Demandas laborales</v>
      </c>
      <c r="CX1116" s="141" t="str">
        <v>539505 Demandas laborales</v>
      </c>
      <c r="CY1116" s="141" t="str">
        <v>539505 Demandas laborales</v>
      </c>
      <c r="CZ1116" s="141" t="str">
        <v>539505 Demandas laborales</v>
      </c>
      <c r="DA1116" s="141" t="str">
        <v>539505 Demandas laborales</v>
      </c>
      <c r="DF1116" t="str">
        <v>539505 Demandas laborales</v>
      </c>
      <c r="DG1116" t="str">
        <v>539505 Demandas laborales</v>
      </c>
      <c r="DH1116" t="str">
        <v>539505 Demandas laborales</v>
      </c>
      <c r="DI1116" t="str">
        <v>539505 Demandas laborales</v>
      </c>
      <c r="DJ1116" t="str">
        <v>539505 Demandas laborales</v>
      </c>
      <c r="DK1116" t="str">
        <v>539505 Demandas laborales</v>
      </c>
      <c r="DL1116" t="str">
        <v>539505 Demandas laborales</v>
      </c>
      <c r="DM1116" t="str">
        <v>539505 Demandas laborales</v>
      </c>
      <c r="DN1116" t="str">
        <v>539505 Demandas laborales</v>
      </c>
      <c r="DO1116" t="str">
        <v>539505 Demandas laborales</v>
      </c>
      <c r="DP1116" t="str">
        <v>539505 Demandas laborales</v>
      </c>
    </row>
    <row r="1117" spans="4:120" ht="12.75">
      <c r="D1117" s="7">
        <v>539510</v>
      </c>
      <c r="E1117" s="6" t="s">
        <v>650</v>
      </c>
      <c r="F1117" s="5">
        <v>4</v>
      </c>
      <c r="G1117" s="34" t="s">
        <v>830</v>
      </c>
      <c r="H1117" s="8" t="s">
        <v>32</v>
      </c>
      <c r="I1117" t="b">
        <f>+ISNUMBER(SEARCH('F-COMPRA'!$F$28,Tabla11[[#This Row],[Cuenta]],1))</f>
        <v>1</v>
      </c>
      <c r="J1117" t="b">
        <f>+ISNUMBER(SEARCH('F-COMPRA'!$F$29,Tabla11[[#This Row],[Cuenta]],1))</f>
        <v>1</v>
      </c>
      <c r="K1117" t="b">
        <f>+ISNUMBER(SEARCH('F-COMPRA'!$F$30,Tabla11[[#This Row],[Cuenta]],1))</f>
        <v>1</v>
      </c>
      <c r="L1117" t="b">
        <f>+ISNUMBER(SEARCH('F-COMPRA'!$F$31,Tabla11[[#This Row],[Cuenta]],1))</f>
        <v>1</v>
      </c>
      <c r="M1117" t="b">
        <f>+ISNUMBER(SEARCH('F-COMPRA'!$G$25,Tabla11[[#This Row],[Cuenta]],1))</f>
        <v>0</v>
      </c>
      <c r="N1117" t="b">
        <f>+ISNUMBER(SEARCH(#REF!,Tabla11[[#This Row],[Cuenta]],1))</f>
        <v>0</v>
      </c>
      <c r="O1117" t="b">
        <f>+ISNUMBER(SEARCH(#REF!,Tabla11[[#This Row],[Cuenta]],1))</f>
        <v>0</v>
      </c>
      <c r="P1117" t="b">
        <f>+ISNUMBER(SEARCH('F-COMPRA'!$F$32,Tabla11[[#This Row],[Cuenta]],1))</f>
        <v>1</v>
      </c>
      <c r="Q1117" t="b">
        <f>+ISNUMBER(SEARCH('F-COMPRA'!$F$33,Tabla11[[#This Row],[Cuenta]],1))</f>
        <v>1</v>
      </c>
      <c r="R1117" t="b">
        <f>+ISNUMBER(SEARCH('F-COMPRA'!$F$34,Tabla11[[#This Row],[Cuenta]],1))</f>
        <v>1</v>
      </c>
      <c r="S1117" t="b">
        <f>+ISNUMBER(SEARCH('F-COMPRA'!$F$35,Tabla11[[#This Row],[Cuenta]],1))</f>
        <v>1</v>
      </c>
      <c r="T1117" t="b">
        <f>+ISNUMBER(SEARCH('F-COMPRA'!$F$36,Tabla11[[#This Row],[Cuenta]],1))</f>
        <v>1</v>
      </c>
      <c r="U1117" t="b">
        <f>+ISNUMBER(SEARCH('F-COMPRA'!$F$37,Tabla11[[#This Row],[Cuenta]],1))</f>
        <v>1</v>
      </c>
      <c r="V1117" t="b">
        <f>+ISNUMBER(SEARCH(#REF!,Tabla11[[#This Row],[Cuenta]],1))</f>
        <v>0</v>
      </c>
      <c r="W1117" t="b">
        <f>+ISNUMBER(SEARCH('F-COMPRA'!#REF!,Tabla11[[#This Row],[Cuenta]],1))</f>
        <v>0</v>
      </c>
      <c r="X1117" t="b">
        <f>+ISNUMBER(SEARCH('F-COMPRA'!#REF!,Tabla11[[#This Row],[Cuenta]],1))</f>
        <v>0</v>
      </c>
      <c r="Y1117" t="b">
        <f>+ISNUMBER(SEARCH('F-COMPRA'!#REF!,Tabla11[[#This Row],[Cuenta]],1))</f>
        <v>0</v>
      </c>
      <c r="Z1117" t="b">
        <f>+ISNUMBER(SEARCH('F-COMPRA'!#REF!,Tabla11[[#This Row],[Cuenta]],1))</f>
        <v>0</v>
      </c>
      <c r="AA1117" t="b">
        <f>+ISNUMBER(SEARCH('F-COMPRA'!#REF!,Tabla11[[#This Row],[Cuenta]],1))</f>
        <v>0</v>
      </c>
      <c r="AB1117" t="b">
        <f>+ISNUMBER(SEARCH('F-COMPRA'!#REF!,Tabla11[[#This Row],[Cuenta]],1))</f>
        <v>0</v>
      </c>
      <c r="AC1117" t="b">
        <f>+ISNUMBER(SEARCH('F-COMPRA'!#REF!,Tabla11[[#This Row],[Cuenta]],1))</f>
        <v>0</v>
      </c>
      <c r="AD1117" t="b">
        <f>+ISNUMBER(SEARCH('F-COMPRA'!#REF!,Tabla11[[#This Row],[Cuenta]],1))</f>
        <v>0</v>
      </c>
      <c r="AE1117" t="b">
        <f>+ISNUMBER(SEARCH('F-COMPRA'!#REF!,Tabla11[[#This Row],[Cuenta]],1))</f>
        <v>0</v>
      </c>
      <c r="AF1117" t="b">
        <f>+ISNUMBER(SEARCH('F-VTA'!$G$23,Tabla11[[#This Row],[Cuenta]],1))</f>
        <v>0</v>
      </c>
      <c r="AG1117" t="b">
        <f>+ISNUMBER(SEARCH('F-VTA'!$G$24,Tabla11[[#This Row],[Cuenta]],1))</f>
        <v>0</v>
      </c>
      <c r="AH1117" t="b">
        <f>+ISNUMBER(SEARCH('F-VTA'!$G$25,Tabla11[[#This Row],[Cuenta]],1))</f>
        <v>0</v>
      </c>
      <c r="AI1117" t="b">
        <f>+ISNUMBER(SEARCH('F-VTA'!$F$28,Tabla11[[#This Row],[Cuenta]],1))</f>
        <v>1</v>
      </c>
      <c r="AJ1117" t="b">
        <f>+ISNUMBER(SEARCH('F-VTA'!$F$29,Tabla11[[#This Row],[Cuenta]],1))</f>
        <v>1</v>
      </c>
      <c r="AK1117" t="b">
        <f>+ISNUMBER(SEARCH('F-VTA'!$F$30,Tabla11[[#This Row],[Cuenta]],1))</f>
        <v>1</v>
      </c>
      <c r="AL1117" t="b">
        <f>+ISNUMBER(SEARCH('F-VTA'!$F$31,Tabla11[[#This Row],[Cuenta]],1))</f>
        <v>1</v>
      </c>
      <c r="AM1117" t="b">
        <f>+ISNUMBER(SEARCH('F-VTA'!$F$32,Tabla11[[#This Row],[Cuenta]],1))</f>
        <v>1</v>
      </c>
      <c r="AN1117" t="b">
        <f>+ISNUMBER(SEARCH('F-VTA'!$F$33,Tabla11[[#This Row],[Cuenta]],1))</f>
        <v>1</v>
      </c>
      <c r="AO1117" t="b">
        <f>+ISNUMBER(SEARCH('F-VTA'!$F$34,Tabla11[[#This Row],[Cuenta]],1))</f>
        <v>1</v>
      </c>
      <c r="AP1117" t="b">
        <f>+ISNUMBER(SEARCH('F-VTA'!$F$35,Tabla11[[#This Row],[Cuenta]],1))</f>
        <v>1</v>
      </c>
      <c r="AQ1117" t="b">
        <f>+ISNUMBER(SEARCH('F-VTA'!$F$36,Tabla11[[#This Row],[Cuenta]],1))</f>
        <v>1</v>
      </c>
      <c r="AR1117" t="b">
        <f>+ISNUMBER(SEARCH(#REF!,Tabla11[[#This Row],[Cuenta]],1))</f>
        <v>0</v>
      </c>
      <c r="AS1117" t="b">
        <f>+ISNUMBER(SEARCH(#REF!,Tabla11[[#This Row],[Cuenta]],1))</f>
        <v>0</v>
      </c>
      <c r="AT1117" t="b">
        <f>+ISNUMBER(SEARCH(#REF!,Tabla11[[#This Row],[Cuenta]],1))</f>
        <v>0</v>
      </c>
      <c r="AU1117" t="b">
        <f>+ISNUMBER(SEARCH('Conc. Ban.1'!$I$9,Tabla11[[#This Row],[Cuenta]],1))</f>
        <v>0</v>
      </c>
      <c r="AV1117" t="b">
        <f>+ISNUMBER(SEARCH(CompConta!$F$21,Tabla11[[#This Row],[Cuenta]],1))</f>
        <v>1</v>
      </c>
      <c r="AW1117" t="b">
        <f>+ISNUMBER(SEARCH(CompConta!$F$22,Tabla11[[#This Row],[Cuenta]],1))</f>
        <v>1</v>
      </c>
      <c r="AX1117" t="b">
        <f>+ISNUMBER(SEARCH(CompConta!$F$23,Tabla11[[#This Row],[Cuenta]],1))</f>
        <v>1</v>
      </c>
      <c r="AY1117" t="b">
        <f>+ISNUMBER(SEARCH(CompConta!$F$24,Tabla11[[#This Row],[Cuenta]],1))</f>
        <v>1</v>
      </c>
      <c r="AZ1117" t="b">
        <f>+ISNUMBER(SEARCH(CompConta!$F$25,Tabla11[[#This Row],[Cuenta]],1))</f>
        <v>1</v>
      </c>
      <c r="BA1117" t="b">
        <f>+ISNUMBER(SEARCH(CompConta!$F$26,Tabla11[[#This Row],[Cuenta]],1))</f>
        <v>1</v>
      </c>
      <c r="BB1117" t="b">
        <f>+ISNUMBER(SEARCH(CompConta!$F$27,Tabla11[[#This Row],[Cuenta]],1))</f>
        <v>1</v>
      </c>
      <c r="BC1117" t="b">
        <f>+ISNUMBER(SEARCH(CompConta!$F$28,Tabla11[[#This Row],[Cuenta]],1))</f>
        <v>1</v>
      </c>
      <c r="BD1117" t="b">
        <f>+ISNUMBER(SEARCH(CompConta!$F$29,Tabla11[[#This Row],[Cuenta]],1))</f>
        <v>1</v>
      </c>
      <c r="BE1117" t="b">
        <f>+ISNUMBER(SEARCH(CompConta!$F$30,Tabla11[[#This Row],[Cuenta]],1))</f>
        <v>1</v>
      </c>
      <c r="BF1117" t="b">
        <f>+ISNUMBER(SEARCH('PAGO Compras'!$E$11,Tabla11[[#This Row],[Cuenta]],1))</f>
        <v>1</v>
      </c>
      <c r="BG1117" t="b">
        <f>+ISNUMBER(SEARCH(#REF!,Tabla11[[#This Row],[Cuenta]],1))</f>
        <v>0</v>
      </c>
      <c r="BH1117" t="b">
        <f>+ISNUMBER(SEARCH(#REF!,Tabla11[[#This Row],[Cuenta]],1))</f>
        <v>0</v>
      </c>
      <c r="BI1117" t="b">
        <f>+ISNUMBER(SEARCH(#REF!,Tabla11[[#This Row],[Cuenta]],1))</f>
        <v>0</v>
      </c>
      <c r="BJ1117" t="b">
        <f>+ISNUMBER(SEARCH(#REF!,Tabla11[[#This Row],[Cuenta]],1))</f>
        <v>0</v>
      </c>
      <c r="BS1117" t="str">
        <v>539510 Demandas por incumplimiento de contratos</v>
      </c>
      <c r="BT1117" t="str">
        <v>539510 Demandas por incumplimiento de contratos</v>
      </c>
      <c r="BU1117" t="str">
        <v>539510 Demandas por incumplimiento de contratos</v>
      </c>
      <c r="BV1117" t="str">
        <v>539510 Demandas por incumplimiento de contratos</v>
      </c>
      <c r="BZ1117" t="str">
        <v>539510 Demandas por incumplimiento de contratos</v>
      </c>
      <c r="CA1117" t="str">
        <v>539510 Demandas por incumplimiento de contratos</v>
      </c>
      <c r="CB1117" t="str">
        <v>539510 Demandas por incumplimiento de contratos</v>
      </c>
      <c r="CC1117" t="str">
        <v>539510 Demandas por incumplimiento de contratos</v>
      </c>
      <c r="CD1117" t="str">
        <v>539510 Demandas por incumplimiento de contratos</v>
      </c>
      <c r="CE1117" t="str">
        <v>539510 Demandas por incumplimiento de contratos</v>
      </c>
      <c r="CS1117" s="141" t="str">
        <v>539510 Demandas por incumplimiento de contratos</v>
      </c>
      <c r="CT1117" s="141" t="str">
        <v>539510 Demandas por incumplimiento de contratos</v>
      </c>
      <c r="CU1117" s="141" t="str">
        <v>539510 Demandas por incumplimiento de contratos</v>
      </c>
      <c r="CV1117" s="141" t="str">
        <v>539510 Demandas por incumplimiento de contratos</v>
      </c>
      <c r="CW1117" s="141" t="str">
        <v>539510 Demandas por incumplimiento de contratos</v>
      </c>
      <c r="CX1117" s="141" t="str">
        <v>539510 Demandas por incumplimiento de contratos</v>
      </c>
      <c r="CY1117" s="141" t="str">
        <v>539510 Demandas por incumplimiento de contratos</v>
      </c>
      <c r="CZ1117" s="141" t="str">
        <v>539510 Demandas por incumplimiento de contratos</v>
      </c>
      <c r="DA1117" s="141" t="str">
        <v>539510 Demandas por incumplimiento de contratos</v>
      </c>
      <c r="DF1117" t="str">
        <v>539510 Demandas por incumplimiento de contratos</v>
      </c>
      <c r="DG1117" t="str">
        <v>539510 Demandas por incumplimiento de contratos</v>
      </c>
      <c r="DH1117" t="str">
        <v>539510 Demandas por incumplimiento de contratos</v>
      </c>
      <c r="DI1117" t="str">
        <v>539510 Demandas por incumplimiento de contratos</v>
      </c>
      <c r="DJ1117" t="str">
        <v>539510 Demandas por incumplimiento de contratos</v>
      </c>
      <c r="DK1117" t="str">
        <v>539510 Demandas por incumplimiento de contratos</v>
      </c>
      <c r="DL1117" t="str">
        <v>539510 Demandas por incumplimiento de contratos</v>
      </c>
      <c r="DM1117" t="str">
        <v>539510 Demandas por incumplimiento de contratos</v>
      </c>
      <c r="DN1117" t="str">
        <v>539510 Demandas por incumplimiento de contratos</v>
      </c>
      <c r="DO1117" t="str">
        <v>539510 Demandas por incumplimiento de contratos</v>
      </c>
      <c r="DP1117" t="str">
        <v>539510 Demandas por incumplimiento de contratos</v>
      </c>
    </row>
    <row r="1118" spans="4:120" ht="12.75">
      <c r="D1118" s="7">
        <v>539515</v>
      </c>
      <c r="E1118" s="6" t="s">
        <v>458</v>
      </c>
      <c r="F1118" s="5">
        <v>4</v>
      </c>
      <c r="G1118" s="34" t="s">
        <v>830</v>
      </c>
      <c r="H1118" s="8" t="s">
        <v>32</v>
      </c>
      <c r="I1118" t="b">
        <f>+ISNUMBER(SEARCH('F-COMPRA'!$F$28,Tabla11[[#This Row],[Cuenta]],1))</f>
        <v>1</v>
      </c>
      <c r="J1118" t="b">
        <f>+ISNUMBER(SEARCH('F-COMPRA'!$F$29,Tabla11[[#This Row],[Cuenta]],1))</f>
        <v>1</v>
      </c>
      <c r="K1118" t="b">
        <f>+ISNUMBER(SEARCH('F-COMPRA'!$F$30,Tabla11[[#This Row],[Cuenta]],1))</f>
        <v>1</v>
      </c>
      <c r="L1118" t="b">
        <f>+ISNUMBER(SEARCH('F-COMPRA'!$F$31,Tabla11[[#This Row],[Cuenta]],1))</f>
        <v>1</v>
      </c>
      <c r="M1118" t="b">
        <f>+ISNUMBER(SEARCH('F-COMPRA'!$G$25,Tabla11[[#This Row],[Cuenta]],1))</f>
        <v>0</v>
      </c>
      <c r="N1118" t="b">
        <f>+ISNUMBER(SEARCH(#REF!,Tabla11[[#This Row],[Cuenta]],1))</f>
        <v>0</v>
      </c>
      <c r="O1118" t="b">
        <f>+ISNUMBER(SEARCH(#REF!,Tabla11[[#This Row],[Cuenta]],1))</f>
        <v>0</v>
      </c>
      <c r="P1118" t="b">
        <f>+ISNUMBER(SEARCH('F-COMPRA'!$F$32,Tabla11[[#This Row],[Cuenta]],1))</f>
        <v>1</v>
      </c>
      <c r="Q1118" t="b">
        <f>+ISNUMBER(SEARCH('F-COMPRA'!$F$33,Tabla11[[#This Row],[Cuenta]],1))</f>
        <v>1</v>
      </c>
      <c r="R1118" t="b">
        <f>+ISNUMBER(SEARCH('F-COMPRA'!$F$34,Tabla11[[#This Row],[Cuenta]],1))</f>
        <v>1</v>
      </c>
      <c r="S1118" t="b">
        <f>+ISNUMBER(SEARCH('F-COMPRA'!$F$35,Tabla11[[#This Row],[Cuenta]],1))</f>
        <v>1</v>
      </c>
      <c r="T1118" t="b">
        <f>+ISNUMBER(SEARCH('F-COMPRA'!$F$36,Tabla11[[#This Row],[Cuenta]],1))</f>
        <v>1</v>
      </c>
      <c r="U1118" t="b">
        <f>+ISNUMBER(SEARCH('F-COMPRA'!$F$37,Tabla11[[#This Row],[Cuenta]],1))</f>
        <v>1</v>
      </c>
      <c r="V1118" t="b">
        <f>+ISNUMBER(SEARCH(#REF!,Tabla11[[#This Row],[Cuenta]],1))</f>
        <v>0</v>
      </c>
      <c r="W1118" t="b">
        <f>+ISNUMBER(SEARCH('F-COMPRA'!#REF!,Tabla11[[#This Row],[Cuenta]],1))</f>
        <v>0</v>
      </c>
      <c r="X1118" t="b">
        <f>+ISNUMBER(SEARCH('F-COMPRA'!#REF!,Tabla11[[#This Row],[Cuenta]],1))</f>
        <v>0</v>
      </c>
      <c r="Y1118" t="b">
        <f>+ISNUMBER(SEARCH('F-COMPRA'!#REF!,Tabla11[[#This Row],[Cuenta]],1))</f>
        <v>0</v>
      </c>
      <c r="Z1118" t="b">
        <f>+ISNUMBER(SEARCH('F-COMPRA'!#REF!,Tabla11[[#This Row],[Cuenta]],1))</f>
        <v>0</v>
      </c>
      <c r="AA1118" t="b">
        <f>+ISNUMBER(SEARCH('F-COMPRA'!#REF!,Tabla11[[#This Row],[Cuenta]],1))</f>
        <v>0</v>
      </c>
      <c r="AB1118" t="b">
        <f>+ISNUMBER(SEARCH('F-COMPRA'!#REF!,Tabla11[[#This Row],[Cuenta]],1))</f>
        <v>0</v>
      </c>
      <c r="AC1118" t="b">
        <f>+ISNUMBER(SEARCH('F-COMPRA'!#REF!,Tabla11[[#This Row],[Cuenta]],1))</f>
        <v>0</v>
      </c>
      <c r="AD1118" t="b">
        <f>+ISNUMBER(SEARCH('F-COMPRA'!#REF!,Tabla11[[#This Row],[Cuenta]],1))</f>
        <v>0</v>
      </c>
      <c r="AE1118" t="b">
        <f>+ISNUMBER(SEARCH('F-COMPRA'!#REF!,Tabla11[[#This Row],[Cuenta]],1))</f>
        <v>0</v>
      </c>
      <c r="AF1118" t="b">
        <f>+ISNUMBER(SEARCH('F-VTA'!$G$23,Tabla11[[#This Row],[Cuenta]],1))</f>
        <v>0</v>
      </c>
      <c r="AG1118" t="b">
        <f>+ISNUMBER(SEARCH('F-VTA'!$G$24,Tabla11[[#This Row],[Cuenta]],1))</f>
        <v>0</v>
      </c>
      <c r="AH1118" t="b">
        <f>+ISNUMBER(SEARCH('F-VTA'!$G$25,Tabla11[[#This Row],[Cuenta]],1))</f>
        <v>0</v>
      </c>
      <c r="AI1118" t="b">
        <f>+ISNUMBER(SEARCH('F-VTA'!$F$28,Tabla11[[#This Row],[Cuenta]],1))</f>
        <v>1</v>
      </c>
      <c r="AJ1118" t="b">
        <f>+ISNUMBER(SEARCH('F-VTA'!$F$29,Tabla11[[#This Row],[Cuenta]],1))</f>
        <v>1</v>
      </c>
      <c r="AK1118" t="b">
        <f>+ISNUMBER(SEARCH('F-VTA'!$F$30,Tabla11[[#This Row],[Cuenta]],1))</f>
        <v>1</v>
      </c>
      <c r="AL1118" t="b">
        <f>+ISNUMBER(SEARCH('F-VTA'!$F$31,Tabla11[[#This Row],[Cuenta]],1))</f>
        <v>1</v>
      </c>
      <c r="AM1118" t="b">
        <f>+ISNUMBER(SEARCH('F-VTA'!$F$32,Tabla11[[#This Row],[Cuenta]],1))</f>
        <v>1</v>
      </c>
      <c r="AN1118" t="b">
        <f>+ISNUMBER(SEARCH('F-VTA'!$F$33,Tabla11[[#This Row],[Cuenta]],1))</f>
        <v>1</v>
      </c>
      <c r="AO1118" t="b">
        <f>+ISNUMBER(SEARCH('F-VTA'!$F$34,Tabla11[[#This Row],[Cuenta]],1))</f>
        <v>1</v>
      </c>
      <c r="AP1118" t="b">
        <f>+ISNUMBER(SEARCH('F-VTA'!$F$35,Tabla11[[#This Row],[Cuenta]],1))</f>
        <v>1</v>
      </c>
      <c r="AQ1118" t="b">
        <f>+ISNUMBER(SEARCH('F-VTA'!$F$36,Tabla11[[#This Row],[Cuenta]],1))</f>
        <v>1</v>
      </c>
      <c r="AR1118" t="b">
        <f>+ISNUMBER(SEARCH(#REF!,Tabla11[[#This Row],[Cuenta]],1))</f>
        <v>0</v>
      </c>
      <c r="AS1118" t="b">
        <f>+ISNUMBER(SEARCH(#REF!,Tabla11[[#This Row],[Cuenta]],1))</f>
        <v>0</v>
      </c>
      <c r="AT1118" t="b">
        <f>+ISNUMBER(SEARCH(#REF!,Tabla11[[#This Row],[Cuenta]],1))</f>
        <v>0</v>
      </c>
      <c r="AU1118" t="b">
        <f>+ISNUMBER(SEARCH('Conc. Ban.1'!$I$9,Tabla11[[#This Row],[Cuenta]],1))</f>
        <v>0</v>
      </c>
      <c r="AV1118" t="b">
        <f>+ISNUMBER(SEARCH(CompConta!$F$21,Tabla11[[#This Row],[Cuenta]],1))</f>
        <v>1</v>
      </c>
      <c r="AW1118" t="b">
        <f>+ISNUMBER(SEARCH(CompConta!$F$22,Tabla11[[#This Row],[Cuenta]],1))</f>
        <v>1</v>
      </c>
      <c r="AX1118" t="b">
        <f>+ISNUMBER(SEARCH(CompConta!$F$23,Tabla11[[#This Row],[Cuenta]],1))</f>
        <v>1</v>
      </c>
      <c r="AY1118" t="b">
        <f>+ISNUMBER(SEARCH(CompConta!$F$24,Tabla11[[#This Row],[Cuenta]],1))</f>
        <v>1</v>
      </c>
      <c r="AZ1118" t="b">
        <f>+ISNUMBER(SEARCH(CompConta!$F$25,Tabla11[[#This Row],[Cuenta]],1))</f>
        <v>1</v>
      </c>
      <c r="BA1118" t="b">
        <f>+ISNUMBER(SEARCH(CompConta!$F$26,Tabla11[[#This Row],[Cuenta]],1))</f>
        <v>1</v>
      </c>
      <c r="BB1118" t="b">
        <f>+ISNUMBER(SEARCH(CompConta!$F$27,Tabla11[[#This Row],[Cuenta]],1))</f>
        <v>1</v>
      </c>
      <c r="BC1118" t="b">
        <f>+ISNUMBER(SEARCH(CompConta!$F$28,Tabla11[[#This Row],[Cuenta]],1))</f>
        <v>1</v>
      </c>
      <c r="BD1118" t="b">
        <f>+ISNUMBER(SEARCH(CompConta!$F$29,Tabla11[[#This Row],[Cuenta]],1))</f>
        <v>1</v>
      </c>
      <c r="BE1118" t="b">
        <f>+ISNUMBER(SEARCH(CompConta!$F$30,Tabla11[[#This Row],[Cuenta]],1))</f>
        <v>1</v>
      </c>
      <c r="BF1118" t="b">
        <f>+ISNUMBER(SEARCH('PAGO Compras'!$E$11,Tabla11[[#This Row],[Cuenta]],1))</f>
        <v>1</v>
      </c>
      <c r="BG1118" t="b">
        <f>+ISNUMBER(SEARCH(#REF!,Tabla11[[#This Row],[Cuenta]],1))</f>
        <v>0</v>
      </c>
      <c r="BH1118" t="b">
        <f>+ISNUMBER(SEARCH(#REF!,Tabla11[[#This Row],[Cuenta]],1))</f>
        <v>0</v>
      </c>
      <c r="BI1118" t="b">
        <f>+ISNUMBER(SEARCH(#REF!,Tabla11[[#This Row],[Cuenta]],1))</f>
        <v>0</v>
      </c>
      <c r="BJ1118" t="b">
        <f>+ISNUMBER(SEARCH(#REF!,Tabla11[[#This Row],[Cuenta]],1))</f>
        <v>0</v>
      </c>
      <c r="BS1118" t="str">
        <v>539515 Indemnizaciones</v>
      </c>
      <c r="BT1118" t="str">
        <v>539515 Indemnizaciones</v>
      </c>
      <c r="BU1118" t="str">
        <v>539515 Indemnizaciones</v>
      </c>
      <c r="BV1118" t="str">
        <v>539515 Indemnizaciones</v>
      </c>
      <c r="BZ1118" t="str">
        <v>539515 Indemnizaciones</v>
      </c>
      <c r="CA1118" t="str">
        <v>539515 Indemnizaciones</v>
      </c>
      <c r="CB1118" t="str">
        <v>539515 Indemnizaciones</v>
      </c>
      <c r="CC1118" t="str">
        <v>539515 Indemnizaciones</v>
      </c>
      <c r="CD1118" t="str">
        <v>539515 Indemnizaciones</v>
      </c>
      <c r="CE1118" t="str">
        <v>539515 Indemnizaciones</v>
      </c>
      <c r="CS1118" s="141" t="str">
        <v>539515 Indemnizaciones</v>
      </c>
      <c r="CT1118" s="141" t="str">
        <v>539515 Indemnizaciones</v>
      </c>
      <c r="CU1118" s="141" t="str">
        <v>539515 Indemnizaciones</v>
      </c>
      <c r="CV1118" s="141" t="str">
        <v>539515 Indemnizaciones</v>
      </c>
      <c r="CW1118" s="141" t="str">
        <v>539515 Indemnizaciones</v>
      </c>
      <c r="CX1118" s="141" t="str">
        <v>539515 Indemnizaciones</v>
      </c>
      <c r="CY1118" s="141" t="str">
        <v>539515 Indemnizaciones</v>
      </c>
      <c r="CZ1118" s="141" t="str">
        <v>539515 Indemnizaciones</v>
      </c>
      <c r="DA1118" s="141" t="str">
        <v>539515 Indemnizaciones</v>
      </c>
      <c r="DF1118" t="str">
        <v>539515 Indemnizaciones</v>
      </c>
      <c r="DG1118" t="str">
        <v>539515 Indemnizaciones</v>
      </c>
      <c r="DH1118" t="str">
        <v>539515 Indemnizaciones</v>
      </c>
      <c r="DI1118" t="str">
        <v>539515 Indemnizaciones</v>
      </c>
      <c r="DJ1118" t="str">
        <v>539515 Indemnizaciones</v>
      </c>
      <c r="DK1118" t="str">
        <v>539515 Indemnizaciones</v>
      </c>
      <c r="DL1118" t="str">
        <v>539515 Indemnizaciones</v>
      </c>
      <c r="DM1118" t="str">
        <v>539515 Indemnizaciones</v>
      </c>
      <c r="DN1118" t="str">
        <v>539515 Indemnizaciones</v>
      </c>
      <c r="DO1118" t="str">
        <v>539515 Indemnizaciones</v>
      </c>
      <c r="DP1118" t="str">
        <v>539515 Indemnizaciones</v>
      </c>
    </row>
    <row r="1119" spans="4:120" ht="12.75">
      <c r="D1119" s="7">
        <v>539520</v>
      </c>
      <c r="E1119" s="6" t="s">
        <v>651</v>
      </c>
      <c r="F1119" s="5">
        <v>4</v>
      </c>
      <c r="G1119" s="34" t="s">
        <v>830</v>
      </c>
      <c r="H1119" s="8" t="s">
        <v>32</v>
      </c>
      <c r="I1119" t="b">
        <f>+ISNUMBER(SEARCH('F-COMPRA'!$F$28,Tabla11[[#This Row],[Cuenta]],1))</f>
        <v>1</v>
      </c>
      <c r="J1119" t="b">
        <f>+ISNUMBER(SEARCH('F-COMPRA'!$F$29,Tabla11[[#This Row],[Cuenta]],1))</f>
        <v>1</v>
      </c>
      <c r="K1119" t="b">
        <f>+ISNUMBER(SEARCH('F-COMPRA'!$F$30,Tabla11[[#This Row],[Cuenta]],1))</f>
        <v>1</v>
      </c>
      <c r="L1119" t="b">
        <f>+ISNUMBER(SEARCH('F-COMPRA'!$F$31,Tabla11[[#This Row],[Cuenta]],1))</f>
        <v>1</v>
      </c>
      <c r="M1119" t="b">
        <f>+ISNUMBER(SEARCH('F-COMPRA'!$G$25,Tabla11[[#This Row],[Cuenta]],1))</f>
        <v>0</v>
      </c>
      <c r="N1119" t="b">
        <f>+ISNUMBER(SEARCH(#REF!,Tabla11[[#This Row],[Cuenta]],1))</f>
        <v>0</v>
      </c>
      <c r="O1119" t="b">
        <f>+ISNUMBER(SEARCH(#REF!,Tabla11[[#This Row],[Cuenta]],1))</f>
        <v>0</v>
      </c>
      <c r="P1119" t="b">
        <f>+ISNUMBER(SEARCH('F-COMPRA'!$F$32,Tabla11[[#This Row],[Cuenta]],1))</f>
        <v>1</v>
      </c>
      <c r="Q1119" t="b">
        <f>+ISNUMBER(SEARCH('F-COMPRA'!$F$33,Tabla11[[#This Row],[Cuenta]],1))</f>
        <v>1</v>
      </c>
      <c r="R1119" t="b">
        <f>+ISNUMBER(SEARCH('F-COMPRA'!$F$34,Tabla11[[#This Row],[Cuenta]],1))</f>
        <v>1</v>
      </c>
      <c r="S1119" t="b">
        <f>+ISNUMBER(SEARCH('F-COMPRA'!$F$35,Tabla11[[#This Row],[Cuenta]],1))</f>
        <v>1</v>
      </c>
      <c r="T1119" t="b">
        <f>+ISNUMBER(SEARCH('F-COMPRA'!$F$36,Tabla11[[#This Row],[Cuenta]],1))</f>
        <v>1</v>
      </c>
      <c r="U1119" t="b">
        <f>+ISNUMBER(SEARCH('F-COMPRA'!$F$37,Tabla11[[#This Row],[Cuenta]],1))</f>
        <v>1</v>
      </c>
      <c r="V1119" t="b">
        <f>+ISNUMBER(SEARCH(#REF!,Tabla11[[#This Row],[Cuenta]],1))</f>
        <v>0</v>
      </c>
      <c r="W1119" t="b">
        <f>+ISNUMBER(SEARCH('F-COMPRA'!#REF!,Tabla11[[#This Row],[Cuenta]],1))</f>
        <v>0</v>
      </c>
      <c r="X1119" t="b">
        <f>+ISNUMBER(SEARCH('F-COMPRA'!#REF!,Tabla11[[#This Row],[Cuenta]],1))</f>
        <v>0</v>
      </c>
      <c r="Y1119" t="b">
        <f>+ISNUMBER(SEARCH('F-COMPRA'!#REF!,Tabla11[[#This Row],[Cuenta]],1))</f>
        <v>0</v>
      </c>
      <c r="Z1119" t="b">
        <f>+ISNUMBER(SEARCH('F-COMPRA'!#REF!,Tabla11[[#This Row],[Cuenta]],1))</f>
        <v>0</v>
      </c>
      <c r="AA1119" t="b">
        <f>+ISNUMBER(SEARCH('F-COMPRA'!#REF!,Tabla11[[#This Row],[Cuenta]],1))</f>
        <v>0</v>
      </c>
      <c r="AB1119" t="b">
        <f>+ISNUMBER(SEARCH('F-COMPRA'!#REF!,Tabla11[[#This Row],[Cuenta]],1))</f>
        <v>0</v>
      </c>
      <c r="AC1119" t="b">
        <f>+ISNUMBER(SEARCH('F-COMPRA'!#REF!,Tabla11[[#This Row],[Cuenta]],1))</f>
        <v>0</v>
      </c>
      <c r="AD1119" t="b">
        <f>+ISNUMBER(SEARCH('F-COMPRA'!#REF!,Tabla11[[#This Row],[Cuenta]],1))</f>
        <v>0</v>
      </c>
      <c r="AE1119" t="b">
        <f>+ISNUMBER(SEARCH('F-COMPRA'!#REF!,Tabla11[[#This Row],[Cuenta]],1))</f>
        <v>0</v>
      </c>
      <c r="AF1119" t="b">
        <f>+ISNUMBER(SEARCH('F-VTA'!$G$23,Tabla11[[#This Row],[Cuenta]],1))</f>
        <v>0</v>
      </c>
      <c r="AG1119" t="b">
        <f>+ISNUMBER(SEARCH('F-VTA'!$G$24,Tabla11[[#This Row],[Cuenta]],1))</f>
        <v>0</v>
      </c>
      <c r="AH1119" t="b">
        <f>+ISNUMBER(SEARCH('F-VTA'!$G$25,Tabla11[[#This Row],[Cuenta]],1))</f>
        <v>0</v>
      </c>
      <c r="AI1119" t="b">
        <f>+ISNUMBER(SEARCH('F-VTA'!$F$28,Tabla11[[#This Row],[Cuenta]],1))</f>
        <v>1</v>
      </c>
      <c r="AJ1119" t="b">
        <f>+ISNUMBER(SEARCH('F-VTA'!$F$29,Tabla11[[#This Row],[Cuenta]],1))</f>
        <v>1</v>
      </c>
      <c r="AK1119" t="b">
        <f>+ISNUMBER(SEARCH('F-VTA'!$F$30,Tabla11[[#This Row],[Cuenta]],1))</f>
        <v>1</v>
      </c>
      <c r="AL1119" t="b">
        <f>+ISNUMBER(SEARCH('F-VTA'!$F$31,Tabla11[[#This Row],[Cuenta]],1))</f>
        <v>1</v>
      </c>
      <c r="AM1119" t="b">
        <f>+ISNUMBER(SEARCH('F-VTA'!$F$32,Tabla11[[#This Row],[Cuenta]],1))</f>
        <v>1</v>
      </c>
      <c r="AN1119" t="b">
        <f>+ISNUMBER(SEARCH('F-VTA'!$F$33,Tabla11[[#This Row],[Cuenta]],1))</f>
        <v>1</v>
      </c>
      <c r="AO1119" t="b">
        <f>+ISNUMBER(SEARCH('F-VTA'!$F$34,Tabla11[[#This Row],[Cuenta]],1))</f>
        <v>1</v>
      </c>
      <c r="AP1119" t="b">
        <f>+ISNUMBER(SEARCH('F-VTA'!$F$35,Tabla11[[#This Row],[Cuenta]],1))</f>
        <v>1</v>
      </c>
      <c r="AQ1119" t="b">
        <f>+ISNUMBER(SEARCH('F-VTA'!$F$36,Tabla11[[#This Row],[Cuenta]],1))</f>
        <v>1</v>
      </c>
      <c r="AR1119" t="b">
        <f>+ISNUMBER(SEARCH(#REF!,Tabla11[[#This Row],[Cuenta]],1))</f>
        <v>0</v>
      </c>
      <c r="AS1119" t="b">
        <f>+ISNUMBER(SEARCH(#REF!,Tabla11[[#This Row],[Cuenta]],1))</f>
        <v>0</v>
      </c>
      <c r="AT1119" t="b">
        <f>+ISNUMBER(SEARCH(#REF!,Tabla11[[#This Row],[Cuenta]],1))</f>
        <v>0</v>
      </c>
      <c r="AU1119" t="b">
        <f>+ISNUMBER(SEARCH('Conc. Ban.1'!$I$9,Tabla11[[#This Row],[Cuenta]],1))</f>
        <v>0</v>
      </c>
      <c r="AV1119" t="b">
        <f>+ISNUMBER(SEARCH(CompConta!$F$21,Tabla11[[#This Row],[Cuenta]],1))</f>
        <v>1</v>
      </c>
      <c r="AW1119" t="b">
        <f>+ISNUMBER(SEARCH(CompConta!$F$22,Tabla11[[#This Row],[Cuenta]],1))</f>
        <v>1</v>
      </c>
      <c r="AX1119" t="b">
        <f>+ISNUMBER(SEARCH(CompConta!$F$23,Tabla11[[#This Row],[Cuenta]],1))</f>
        <v>1</v>
      </c>
      <c r="AY1119" t="b">
        <f>+ISNUMBER(SEARCH(CompConta!$F$24,Tabla11[[#This Row],[Cuenta]],1))</f>
        <v>1</v>
      </c>
      <c r="AZ1119" t="b">
        <f>+ISNUMBER(SEARCH(CompConta!$F$25,Tabla11[[#This Row],[Cuenta]],1))</f>
        <v>1</v>
      </c>
      <c r="BA1119" t="b">
        <f>+ISNUMBER(SEARCH(CompConta!$F$26,Tabla11[[#This Row],[Cuenta]],1))</f>
        <v>1</v>
      </c>
      <c r="BB1119" t="b">
        <f>+ISNUMBER(SEARCH(CompConta!$F$27,Tabla11[[#This Row],[Cuenta]],1))</f>
        <v>1</v>
      </c>
      <c r="BC1119" t="b">
        <f>+ISNUMBER(SEARCH(CompConta!$F$28,Tabla11[[#This Row],[Cuenta]],1))</f>
        <v>1</v>
      </c>
      <c r="BD1119" t="b">
        <f>+ISNUMBER(SEARCH(CompConta!$F$29,Tabla11[[#This Row],[Cuenta]],1))</f>
        <v>1</v>
      </c>
      <c r="BE1119" t="b">
        <f>+ISNUMBER(SEARCH(CompConta!$F$30,Tabla11[[#This Row],[Cuenta]],1))</f>
        <v>1</v>
      </c>
      <c r="BF1119" t="b">
        <f>+ISNUMBER(SEARCH('PAGO Compras'!$E$11,Tabla11[[#This Row],[Cuenta]],1))</f>
        <v>1</v>
      </c>
      <c r="BG1119" t="b">
        <f>+ISNUMBER(SEARCH(#REF!,Tabla11[[#This Row],[Cuenta]],1))</f>
        <v>0</v>
      </c>
      <c r="BH1119" t="b">
        <f>+ISNUMBER(SEARCH(#REF!,Tabla11[[#This Row],[Cuenta]],1))</f>
        <v>0</v>
      </c>
      <c r="BI1119" t="b">
        <f>+ISNUMBER(SEARCH(#REF!,Tabla11[[#This Row],[Cuenta]],1))</f>
        <v>0</v>
      </c>
      <c r="BJ1119" t="b">
        <f>+ISNUMBER(SEARCH(#REF!,Tabla11[[#This Row],[Cuenta]],1))</f>
        <v>0</v>
      </c>
      <c r="BS1119" t="str">
        <v>539520 Multas, sanciones y litigios</v>
      </c>
      <c r="BT1119" t="str">
        <v>539520 Multas, sanciones y litigios</v>
      </c>
      <c r="BU1119" t="str">
        <v>539520 Multas, sanciones y litigios</v>
      </c>
      <c r="BV1119" t="str">
        <v>539520 Multas, sanciones y litigios</v>
      </c>
      <c r="BZ1119" t="str">
        <v>539520 Multas, sanciones y litigios</v>
      </c>
      <c r="CA1119" t="str">
        <v>539520 Multas, sanciones y litigios</v>
      </c>
      <c r="CB1119" t="str">
        <v>539520 Multas, sanciones y litigios</v>
      </c>
      <c r="CC1119" t="str">
        <v>539520 Multas, sanciones y litigios</v>
      </c>
      <c r="CD1119" t="str">
        <v>539520 Multas, sanciones y litigios</v>
      </c>
      <c r="CE1119" t="str">
        <v>539520 Multas, sanciones y litigios</v>
      </c>
      <c r="CS1119" s="141" t="str">
        <v>539520 Multas, sanciones y litigios</v>
      </c>
      <c r="CT1119" s="141" t="str">
        <v>539520 Multas, sanciones y litigios</v>
      </c>
      <c r="CU1119" s="141" t="str">
        <v>539520 Multas, sanciones y litigios</v>
      </c>
      <c r="CV1119" s="141" t="str">
        <v>539520 Multas, sanciones y litigios</v>
      </c>
      <c r="CW1119" s="141" t="str">
        <v>539520 Multas, sanciones y litigios</v>
      </c>
      <c r="CX1119" s="141" t="str">
        <v>539520 Multas, sanciones y litigios</v>
      </c>
      <c r="CY1119" s="141" t="str">
        <v>539520 Multas, sanciones y litigios</v>
      </c>
      <c r="CZ1119" s="141" t="str">
        <v>539520 Multas, sanciones y litigios</v>
      </c>
      <c r="DA1119" s="141" t="str">
        <v>539520 Multas, sanciones y litigios</v>
      </c>
      <c r="DF1119" t="str">
        <v>539520 Multas, sanciones y litigios</v>
      </c>
      <c r="DG1119" t="str">
        <v>539520 Multas, sanciones y litigios</v>
      </c>
      <c r="DH1119" t="str">
        <v>539520 Multas, sanciones y litigios</v>
      </c>
      <c r="DI1119" t="str">
        <v>539520 Multas, sanciones y litigios</v>
      </c>
      <c r="DJ1119" t="str">
        <v>539520 Multas, sanciones y litigios</v>
      </c>
      <c r="DK1119" t="str">
        <v>539520 Multas, sanciones y litigios</v>
      </c>
      <c r="DL1119" t="str">
        <v>539520 Multas, sanciones y litigios</v>
      </c>
      <c r="DM1119" t="str">
        <v>539520 Multas, sanciones y litigios</v>
      </c>
      <c r="DN1119" t="str">
        <v>539520 Multas, sanciones y litigios</v>
      </c>
      <c r="DO1119" t="str">
        <v>539520 Multas, sanciones y litigios</v>
      </c>
      <c r="DP1119" t="str">
        <v>539520 Multas, sanciones y litigios</v>
      </c>
    </row>
    <row r="1120" spans="4:120" ht="12.75">
      <c r="D1120" s="7">
        <v>539525</v>
      </c>
      <c r="E1120" s="6" t="s">
        <v>652</v>
      </c>
      <c r="F1120" s="5">
        <v>4</v>
      </c>
      <c r="G1120" s="34" t="s">
        <v>830</v>
      </c>
      <c r="H1120" s="8" t="s">
        <v>32</v>
      </c>
      <c r="I1120" t="b">
        <f>+ISNUMBER(SEARCH('F-COMPRA'!$F$28,Tabla11[[#This Row],[Cuenta]],1))</f>
        <v>1</v>
      </c>
      <c r="J1120" t="b">
        <f>+ISNUMBER(SEARCH('F-COMPRA'!$F$29,Tabla11[[#This Row],[Cuenta]],1))</f>
        <v>1</v>
      </c>
      <c r="K1120" t="b">
        <f>+ISNUMBER(SEARCH('F-COMPRA'!$F$30,Tabla11[[#This Row],[Cuenta]],1))</f>
        <v>1</v>
      </c>
      <c r="L1120" t="b">
        <f>+ISNUMBER(SEARCH('F-COMPRA'!$F$31,Tabla11[[#This Row],[Cuenta]],1))</f>
        <v>1</v>
      </c>
      <c r="M1120" t="b">
        <f>+ISNUMBER(SEARCH('F-COMPRA'!$G$25,Tabla11[[#This Row],[Cuenta]],1))</f>
        <v>0</v>
      </c>
      <c r="N1120" t="b">
        <f>+ISNUMBER(SEARCH(#REF!,Tabla11[[#This Row],[Cuenta]],1))</f>
        <v>0</v>
      </c>
      <c r="O1120" t="b">
        <f>+ISNUMBER(SEARCH(#REF!,Tabla11[[#This Row],[Cuenta]],1))</f>
        <v>0</v>
      </c>
      <c r="P1120" t="b">
        <f>+ISNUMBER(SEARCH('F-COMPRA'!$F$32,Tabla11[[#This Row],[Cuenta]],1))</f>
        <v>1</v>
      </c>
      <c r="Q1120" t="b">
        <f>+ISNUMBER(SEARCH('F-COMPRA'!$F$33,Tabla11[[#This Row],[Cuenta]],1))</f>
        <v>1</v>
      </c>
      <c r="R1120" t="b">
        <f>+ISNUMBER(SEARCH('F-COMPRA'!$F$34,Tabla11[[#This Row],[Cuenta]],1))</f>
        <v>1</v>
      </c>
      <c r="S1120" t="b">
        <f>+ISNUMBER(SEARCH('F-COMPRA'!$F$35,Tabla11[[#This Row],[Cuenta]],1))</f>
        <v>1</v>
      </c>
      <c r="T1120" t="b">
        <f>+ISNUMBER(SEARCH('F-COMPRA'!$F$36,Tabla11[[#This Row],[Cuenta]],1))</f>
        <v>1</v>
      </c>
      <c r="U1120" t="b">
        <f>+ISNUMBER(SEARCH('F-COMPRA'!$F$37,Tabla11[[#This Row],[Cuenta]],1))</f>
        <v>1</v>
      </c>
      <c r="V1120" t="b">
        <f>+ISNUMBER(SEARCH(#REF!,Tabla11[[#This Row],[Cuenta]],1))</f>
        <v>0</v>
      </c>
      <c r="W1120" t="b">
        <f>+ISNUMBER(SEARCH('F-COMPRA'!#REF!,Tabla11[[#This Row],[Cuenta]],1))</f>
        <v>0</v>
      </c>
      <c r="X1120" t="b">
        <f>+ISNUMBER(SEARCH('F-COMPRA'!#REF!,Tabla11[[#This Row],[Cuenta]],1))</f>
        <v>0</v>
      </c>
      <c r="Y1120" t="b">
        <f>+ISNUMBER(SEARCH('F-COMPRA'!#REF!,Tabla11[[#This Row],[Cuenta]],1))</f>
        <v>0</v>
      </c>
      <c r="Z1120" t="b">
        <f>+ISNUMBER(SEARCH('F-COMPRA'!#REF!,Tabla11[[#This Row],[Cuenta]],1))</f>
        <v>0</v>
      </c>
      <c r="AA1120" t="b">
        <f>+ISNUMBER(SEARCH('F-COMPRA'!#REF!,Tabla11[[#This Row],[Cuenta]],1))</f>
        <v>0</v>
      </c>
      <c r="AB1120" t="b">
        <f>+ISNUMBER(SEARCH('F-COMPRA'!#REF!,Tabla11[[#This Row],[Cuenta]],1))</f>
        <v>0</v>
      </c>
      <c r="AC1120" t="b">
        <f>+ISNUMBER(SEARCH('F-COMPRA'!#REF!,Tabla11[[#This Row],[Cuenta]],1))</f>
        <v>0</v>
      </c>
      <c r="AD1120" t="b">
        <f>+ISNUMBER(SEARCH('F-COMPRA'!#REF!,Tabla11[[#This Row],[Cuenta]],1))</f>
        <v>0</v>
      </c>
      <c r="AE1120" t="b">
        <f>+ISNUMBER(SEARCH('F-COMPRA'!#REF!,Tabla11[[#This Row],[Cuenta]],1))</f>
        <v>0</v>
      </c>
      <c r="AF1120" t="b">
        <f>+ISNUMBER(SEARCH('F-VTA'!$G$23,Tabla11[[#This Row],[Cuenta]],1))</f>
        <v>0</v>
      </c>
      <c r="AG1120" t="b">
        <f>+ISNUMBER(SEARCH('F-VTA'!$G$24,Tabla11[[#This Row],[Cuenta]],1))</f>
        <v>0</v>
      </c>
      <c r="AH1120" t="b">
        <f>+ISNUMBER(SEARCH('F-VTA'!$G$25,Tabla11[[#This Row],[Cuenta]],1))</f>
        <v>0</v>
      </c>
      <c r="AI1120" t="b">
        <f>+ISNUMBER(SEARCH('F-VTA'!$F$28,Tabla11[[#This Row],[Cuenta]],1))</f>
        <v>1</v>
      </c>
      <c r="AJ1120" t="b">
        <f>+ISNUMBER(SEARCH('F-VTA'!$F$29,Tabla11[[#This Row],[Cuenta]],1))</f>
        <v>1</v>
      </c>
      <c r="AK1120" t="b">
        <f>+ISNUMBER(SEARCH('F-VTA'!$F$30,Tabla11[[#This Row],[Cuenta]],1))</f>
        <v>1</v>
      </c>
      <c r="AL1120" t="b">
        <f>+ISNUMBER(SEARCH('F-VTA'!$F$31,Tabla11[[#This Row],[Cuenta]],1))</f>
        <v>1</v>
      </c>
      <c r="AM1120" t="b">
        <f>+ISNUMBER(SEARCH('F-VTA'!$F$32,Tabla11[[#This Row],[Cuenta]],1))</f>
        <v>1</v>
      </c>
      <c r="AN1120" t="b">
        <f>+ISNUMBER(SEARCH('F-VTA'!$F$33,Tabla11[[#This Row],[Cuenta]],1))</f>
        <v>1</v>
      </c>
      <c r="AO1120" t="b">
        <f>+ISNUMBER(SEARCH('F-VTA'!$F$34,Tabla11[[#This Row],[Cuenta]],1))</f>
        <v>1</v>
      </c>
      <c r="AP1120" t="b">
        <f>+ISNUMBER(SEARCH('F-VTA'!$F$35,Tabla11[[#This Row],[Cuenta]],1))</f>
        <v>1</v>
      </c>
      <c r="AQ1120" t="b">
        <f>+ISNUMBER(SEARCH('F-VTA'!$F$36,Tabla11[[#This Row],[Cuenta]],1))</f>
        <v>1</v>
      </c>
      <c r="AR1120" t="b">
        <f>+ISNUMBER(SEARCH(#REF!,Tabla11[[#This Row],[Cuenta]],1))</f>
        <v>0</v>
      </c>
      <c r="AS1120" t="b">
        <f>+ISNUMBER(SEARCH(#REF!,Tabla11[[#This Row],[Cuenta]],1))</f>
        <v>0</v>
      </c>
      <c r="AT1120" t="b">
        <f>+ISNUMBER(SEARCH(#REF!,Tabla11[[#This Row],[Cuenta]],1))</f>
        <v>0</v>
      </c>
      <c r="AU1120" t="b">
        <f>+ISNUMBER(SEARCH('Conc. Ban.1'!$I$9,Tabla11[[#This Row],[Cuenta]],1))</f>
        <v>0</v>
      </c>
      <c r="AV1120" t="b">
        <f>+ISNUMBER(SEARCH(CompConta!$F$21,Tabla11[[#This Row],[Cuenta]],1))</f>
        <v>1</v>
      </c>
      <c r="AW1120" t="b">
        <f>+ISNUMBER(SEARCH(CompConta!$F$22,Tabla11[[#This Row],[Cuenta]],1))</f>
        <v>1</v>
      </c>
      <c r="AX1120" t="b">
        <f>+ISNUMBER(SEARCH(CompConta!$F$23,Tabla11[[#This Row],[Cuenta]],1))</f>
        <v>1</v>
      </c>
      <c r="AY1120" t="b">
        <f>+ISNUMBER(SEARCH(CompConta!$F$24,Tabla11[[#This Row],[Cuenta]],1))</f>
        <v>1</v>
      </c>
      <c r="AZ1120" t="b">
        <f>+ISNUMBER(SEARCH(CompConta!$F$25,Tabla11[[#This Row],[Cuenta]],1))</f>
        <v>1</v>
      </c>
      <c r="BA1120" t="b">
        <f>+ISNUMBER(SEARCH(CompConta!$F$26,Tabla11[[#This Row],[Cuenta]],1))</f>
        <v>1</v>
      </c>
      <c r="BB1120" t="b">
        <f>+ISNUMBER(SEARCH(CompConta!$F$27,Tabla11[[#This Row],[Cuenta]],1))</f>
        <v>1</v>
      </c>
      <c r="BC1120" t="b">
        <f>+ISNUMBER(SEARCH(CompConta!$F$28,Tabla11[[#This Row],[Cuenta]],1))</f>
        <v>1</v>
      </c>
      <c r="BD1120" t="b">
        <f>+ISNUMBER(SEARCH(CompConta!$F$29,Tabla11[[#This Row],[Cuenta]],1))</f>
        <v>1</v>
      </c>
      <c r="BE1120" t="b">
        <f>+ISNUMBER(SEARCH(CompConta!$F$30,Tabla11[[#This Row],[Cuenta]],1))</f>
        <v>1</v>
      </c>
      <c r="BF1120" t="b">
        <f>+ISNUMBER(SEARCH('PAGO Compras'!$E$11,Tabla11[[#This Row],[Cuenta]],1))</f>
        <v>1</v>
      </c>
      <c r="BG1120" t="b">
        <f>+ISNUMBER(SEARCH(#REF!,Tabla11[[#This Row],[Cuenta]],1))</f>
        <v>0</v>
      </c>
      <c r="BH1120" t="b">
        <f>+ISNUMBER(SEARCH(#REF!,Tabla11[[#This Row],[Cuenta]],1))</f>
        <v>0</v>
      </c>
      <c r="BI1120" t="b">
        <f>+ISNUMBER(SEARCH(#REF!,Tabla11[[#This Row],[Cuenta]],1))</f>
        <v>0</v>
      </c>
      <c r="BJ1120" t="b">
        <f>+ISNUMBER(SEARCH(#REF!,Tabla11[[#This Row],[Cuenta]],1))</f>
        <v>0</v>
      </c>
      <c r="BS1120" t="str">
        <v>539525 Donaciones</v>
      </c>
      <c r="BT1120" t="str">
        <v>539525 Donaciones</v>
      </c>
      <c r="BU1120" t="str">
        <v>539525 Donaciones</v>
      </c>
      <c r="BV1120" t="str">
        <v>539525 Donaciones</v>
      </c>
      <c r="BZ1120" t="str">
        <v>539525 Donaciones</v>
      </c>
      <c r="CA1120" t="str">
        <v>539525 Donaciones</v>
      </c>
      <c r="CB1120" t="str">
        <v>539525 Donaciones</v>
      </c>
      <c r="CC1120" t="str">
        <v>539525 Donaciones</v>
      </c>
      <c r="CD1120" t="str">
        <v>539525 Donaciones</v>
      </c>
      <c r="CE1120" t="str">
        <v>539525 Donaciones</v>
      </c>
      <c r="CS1120" s="141" t="str">
        <v>539525 Donaciones</v>
      </c>
      <c r="CT1120" s="141" t="str">
        <v>539525 Donaciones</v>
      </c>
      <c r="CU1120" s="141" t="str">
        <v>539525 Donaciones</v>
      </c>
      <c r="CV1120" s="141" t="str">
        <v>539525 Donaciones</v>
      </c>
      <c r="CW1120" s="141" t="str">
        <v>539525 Donaciones</v>
      </c>
      <c r="CX1120" s="141" t="str">
        <v>539525 Donaciones</v>
      </c>
      <c r="CY1120" s="141" t="str">
        <v>539525 Donaciones</v>
      </c>
      <c r="CZ1120" s="141" t="str">
        <v>539525 Donaciones</v>
      </c>
      <c r="DA1120" s="141" t="str">
        <v>539525 Donaciones</v>
      </c>
      <c r="DF1120" t="str">
        <v>539525 Donaciones</v>
      </c>
      <c r="DG1120" t="str">
        <v>539525 Donaciones</v>
      </c>
      <c r="DH1120" t="str">
        <v>539525 Donaciones</v>
      </c>
      <c r="DI1120" t="str">
        <v>539525 Donaciones</v>
      </c>
      <c r="DJ1120" t="str">
        <v>539525 Donaciones</v>
      </c>
      <c r="DK1120" t="str">
        <v>539525 Donaciones</v>
      </c>
      <c r="DL1120" t="str">
        <v>539525 Donaciones</v>
      </c>
      <c r="DM1120" t="str">
        <v>539525 Donaciones</v>
      </c>
      <c r="DN1120" t="str">
        <v>539525 Donaciones</v>
      </c>
      <c r="DO1120" t="str">
        <v>539525 Donaciones</v>
      </c>
      <c r="DP1120" t="str">
        <v>539525 Donaciones</v>
      </c>
    </row>
    <row r="1121" spans="4:120" ht="12.75">
      <c r="D1121" s="7">
        <v>539530</v>
      </c>
      <c r="E1121" s="6" t="s">
        <v>653</v>
      </c>
      <c r="F1121" s="5">
        <v>4</v>
      </c>
      <c r="G1121" s="34" t="s">
        <v>830</v>
      </c>
      <c r="H1121" s="8" t="s">
        <v>32</v>
      </c>
      <c r="I1121" t="b">
        <f>+ISNUMBER(SEARCH('F-COMPRA'!$F$28,Tabla11[[#This Row],[Cuenta]],1))</f>
        <v>1</v>
      </c>
      <c r="J1121" t="b">
        <f>+ISNUMBER(SEARCH('F-COMPRA'!$F$29,Tabla11[[#This Row],[Cuenta]],1))</f>
        <v>1</v>
      </c>
      <c r="K1121" t="b">
        <f>+ISNUMBER(SEARCH('F-COMPRA'!$F$30,Tabla11[[#This Row],[Cuenta]],1))</f>
        <v>1</v>
      </c>
      <c r="L1121" t="b">
        <f>+ISNUMBER(SEARCH('F-COMPRA'!$F$31,Tabla11[[#This Row],[Cuenta]],1))</f>
        <v>1</v>
      </c>
      <c r="M1121" t="b">
        <f>+ISNUMBER(SEARCH('F-COMPRA'!$G$25,Tabla11[[#This Row],[Cuenta]],1))</f>
        <v>0</v>
      </c>
      <c r="N1121" t="b">
        <f>+ISNUMBER(SEARCH(#REF!,Tabla11[[#This Row],[Cuenta]],1))</f>
        <v>0</v>
      </c>
      <c r="O1121" t="b">
        <f>+ISNUMBER(SEARCH(#REF!,Tabla11[[#This Row],[Cuenta]],1))</f>
        <v>0</v>
      </c>
      <c r="P1121" t="b">
        <f>+ISNUMBER(SEARCH('F-COMPRA'!$F$32,Tabla11[[#This Row],[Cuenta]],1))</f>
        <v>1</v>
      </c>
      <c r="Q1121" t="b">
        <f>+ISNUMBER(SEARCH('F-COMPRA'!$F$33,Tabla11[[#This Row],[Cuenta]],1))</f>
        <v>1</v>
      </c>
      <c r="R1121" t="b">
        <f>+ISNUMBER(SEARCH('F-COMPRA'!$F$34,Tabla11[[#This Row],[Cuenta]],1))</f>
        <v>1</v>
      </c>
      <c r="S1121" t="b">
        <f>+ISNUMBER(SEARCH('F-COMPRA'!$F$35,Tabla11[[#This Row],[Cuenta]],1))</f>
        <v>1</v>
      </c>
      <c r="T1121" t="b">
        <f>+ISNUMBER(SEARCH('F-COMPRA'!$F$36,Tabla11[[#This Row],[Cuenta]],1))</f>
        <v>1</v>
      </c>
      <c r="U1121" t="b">
        <f>+ISNUMBER(SEARCH('F-COMPRA'!$F$37,Tabla11[[#This Row],[Cuenta]],1))</f>
        <v>1</v>
      </c>
      <c r="V1121" t="b">
        <f>+ISNUMBER(SEARCH(#REF!,Tabla11[[#This Row],[Cuenta]],1))</f>
        <v>0</v>
      </c>
      <c r="W1121" t="b">
        <f>+ISNUMBER(SEARCH('F-COMPRA'!#REF!,Tabla11[[#This Row],[Cuenta]],1))</f>
        <v>0</v>
      </c>
      <c r="X1121" t="b">
        <f>+ISNUMBER(SEARCH('F-COMPRA'!#REF!,Tabla11[[#This Row],[Cuenta]],1))</f>
        <v>0</v>
      </c>
      <c r="Y1121" t="b">
        <f>+ISNUMBER(SEARCH('F-COMPRA'!#REF!,Tabla11[[#This Row],[Cuenta]],1))</f>
        <v>0</v>
      </c>
      <c r="Z1121" t="b">
        <f>+ISNUMBER(SEARCH('F-COMPRA'!#REF!,Tabla11[[#This Row],[Cuenta]],1))</f>
        <v>0</v>
      </c>
      <c r="AA1121" t="b">
        <f>+ISNUMBER(SEARCH('F-COMPRA'!#REF!,Tabla11[[#This Row],[Cuenta]],1))</f>
        <v>0</v>
      </c>
      <c r="AB1121" t="b">
        <f>+ISNUMBER(SEARCH('F-COMPRA'!#REF!,Tabla11[[#This Row],[Cuenta]],1))</f>
        <v>0</v>
      </c>
      <c r="AC1121" t="b">
        <f>+ISNUMBER(SEARCH('F-COMPRA'!#REF!,Tabla11[[#This Row],[Cuenta]],1))</f>
        <v>0</v>
      </c>
      <c r="AD1121" t="b">
        <f>+ISNUMBER(SEARCH('F-COMPRA'!#REF!,Tabla11[[#This Row],[Cuenta]],1))</f>
        <v>0</v>
      </c>
      <c r="AE1121" t="b">
        <f>+ISNUMBER(SEARCH('F-COMPRA'!#REF!,Tabla11[[#This Row],[Cuenta]],1))</f>
        <v>0</v>
      </c>
      <c r="AF1121" t="b">
        <f>+ISNUMBER(SEARCH('F-VTA'!$G$23,Tabla11[[#This Row],[Cuenta]],1))</f>
        <v>0</v>
      </c>
      <c r="AG1121" t="b">
        <f>+ISNUMBER(SEARCH('F-VTA'!$G$24,Tabla11[[#This Row],[Cuenta]],1))</f>
        <v>0</v>
      </c>
      <c r="AH1121" t="b">
        <f>+ISNUMBER(SEARCH('F-VTA'!$G$25,Tabla11[[#This Row],[Cuenta]],1))</f>
        <v>0</v>
      </c>
      <c r="AI1121" t="b">
        <f>+ISNUMBER(SEARCH('F-VTA'!$F$28,Tabla11[[#This Row],[Cuenta]],1))</f>
        <v>1</v>
      </c>
      <c r="AJ1121" t="b">
        <f>+ISNUMBER(SEARCH('F-VTA'!$F$29,Tabla11[[#This Row],[Cuenta]],1))</f>
        <v>1</v>
      </c>
      <c r="AK1121" t="b">
        <f>+ISNUMBER(SEARCH('F-VTA'!$F$30,Tabla11[[#This Row],[Cuenta]],1))</f>
        <v>1</v>
      </c>
      <c r="AL1121" t="b">
        <f>+ISNUMBER(SEARCH('F-VTA'!$F$31,Tabla11[[#This Row],[Cuenta]],1))</f>
        <v>1</v>
      </c>
      <c r="AM1121" t="b">
        <f>+ISNUMBER(SEARCH('F-VTA'!$F$32,Tabla11[[#This Row],[Cuenta]],1))</f>
        <v>1</v>
      </c>
      <c r="AN1121" t="b">
        <f>+ISNUMBER(SEARCH('F-VTA'!$F$33,Tabla11[[#This Row],[Cuenta]],1))</f>
        <v>1</v>
      </c>
      <c r="AO1121" t="b">
        <f>+ISNUMBER(SEARCH('F-VTA'!$F$34,Tabla11[[#This Row],[Cuenta]],1))</f>
        <v>1</v>
      </c>
      <c r="AP1121" t="b">
        <f>+ISNUMBER(SEARCH('F-VTA'!$F$35,Tabla11[[#This Row],[Cuenta]],1))</f>
        <v>1</v>
      </c>
      <c r="AQ1121" t="b">
        <f>+ISNUMBER(SEARCH('F-VTA'!$F$36,Tabla11[[#This Row],[Cuenta]],1))</f>
        <v>1</v>
      </c>
      <c r="AR1121" t="b">
        <f>+ISNUMBER(SEARCH(#REF!,Tabla11[[#This Row],[Cuenta]],1))</f>
        <v>0</v>
      </c>
      <c r="AS1121" t="b">
        <f>+ISNUMBER(SEARCH(#REF!,Tabla11[[#This Row],[Cuenta]],1))</f>
        <v>0</v>
      </c>
      <c r="AT1121" t="b">
        <f>+ISNUMBER(SEARCH(#REF!,Tabla11[[#This Row],[Cuenta]],1))</f>
        <v>0</v>
      </c>
      <c r="AU1121" t="b">
        <f>+ISNUMBER(SEARCH('Conc. Ban.1'!$I$9,Tabla11[[#This Row],[Cuenta]],1))</f>
        <v>0</v>
      </c>
      <c r="AV1121" t="b">
        <f>+ISNUMBER(SEARCH(CompConta!$F$21,Tabla11[[#This Row],[Cuenta]],1))</f>
        <v>1</v>
      </c>
      <c r="AW1121" t="b">
        <f>+ISNUMBER(SEARCH(CompConta!$F$22,Tabla11[[#This Row],[Cuenta]],1))</f>
        <v>1</v>
      </c>
      <c r="AX1121" t="b">
        <f>+ISNUMBER(SEARCH(CompConta!$F$23,Tabla11[[#This Row],[Cuenta]],1))</f>
        <v>1</v>
      </c>
      <c r="AY1121" t="b">
        <f>+ISNUMBER(SEARCH(CompConta!$F$24,Tabla11[[#This Row],[Cuenta]],1))</f>
        <v>1</v>
      </c>
      <c r="AZ1121" t="b">
        <f>+ISNUMBER(SEARCH(CompConta!$F$25,Tabla11[[#This Row],[Cuenta]],1))</f>
        <v>1</v>
      </c>
      <c r="BA1121" t="b">
        <f>+ISNUMBER(SEARCH(CompConta!$F$26,Tabla11[[#This Row],[Cuenta]],1))</f>
        <v>1</v>
      </c>
      <c r="BB1121" t="b">
        <f>+ISNUMBER(SEARCH(CompConta!$F$27,Tabla11[[#This Row],[Cuenta]],1))</f>
        <v>1</v>
      </c>
      <c r="BC1121" t="b">
        <f>+ISNUMBER(SEARCH(CompConta!$F$28,Tabla11[[#This Row],[Cuenta]],1))</f>
        <v>1</v>
      </c>
      <c r="BD1121" t="b">
        <f>+ISNUMBER(SEARCH(CompConta!$F$29,Tabla11[[#This Row],[Cuenta]],1))</f>
        <v>1</v>
      </c>
      <c r="BE1121" t="b">
        <f>+ISNUMBER(SEARCH(CompConta!$F$30,Tabla11[[#This Row],[Cuenta]],1))</f>
        <v>1</v>
      </c>
      <c r="BF1121" t="b">
        <f>+ISNUMBER(SEARCH('PAGO Compras'!$E$11,Tabla11[[#This Row],[Cuenta]],1))</f>
        <v>1</v>
      </c>
      <c r="BG1121" t="b">
        <f>+ISNUMBER(SEARCH(#REF!,Tabla11[[#This Row],[Cuenta]],1))</f>
        <v>0</v>
      </c>
      <c r="BH1121" t="b">
        <f>+ISNUMBER(SEARCH(#REF!,Tabla11[[#This Row],[Cuenta]],1))</f>
        <v>0</v>
      </c>
      <c r="BI1121" t="b">
        <f>+ISNUMBER(SEARCH(#REF!,Tabla11[[#This Row],[Cuenta]],1))</f>
        <v>0</v>
      </c>
      <c r="BJ1121" t="b">
        <f>+ISNUMBER(SEARCH(#REF!,Tabla11[[#This Row],[Cuenta]],1))</f>
        <v>0</v>
      </c>
      <c r="BS1121" t="str">
        <v>539530 Constitución de garantías</v>
      </c>
      <c r="BT1121" t="str">
        <v>539530 Constitución de garantías</v>
      </c>
      <c r="BU1121" t="str">
        <v>539530 Constitución de garantías</v>
      </c>
      <c r="BV1121" t="str">
        <v>539530 Constitución de garantías</v>
      </c>
      <c r="BZ1121" t="str">
        <v>539530 Constitución de garantías</v>
      </c>
      <c r="CA1121" t="str">
        <v>539530 Constitución de garantías</v>
      </c>
      <c r="CB1121" t="str">
        <v>539530 Constitución de garantías</v>
      </c>
      <c r="CC1121" t="str">
        <v>539530 Constitución de garantías</v>
      </c>
      <c r="CD1121" t="str">
        <v>539530 Constitución de garantías</v>
      </c>
      <c r="CE1121" t="str">
        <v>539530 Constitución de garantías</v>
      </c>
      <c r="CS1121" s="141" t="str">
        <v>539530 Constitución de garantías</v>
      </c>
      <c r="CT1121" s="141" t="str">
        <v>539530 Constitución de garantías</v>
      </c>
      <c r="CU1121" s="141" t="str">
        <v>539530 Constitución de garantías</v>
      </c>
      <c r="CV1121" s="141" t="str">
        <v>539530 Constitución de garantías</v>
      </c>
      <c r="CW1121" s="141" t="str">
        <v>539530 Constitución de garantías</v>
      </c>
      <c r="CX1121" s="141" t="str">
        <v>539530 Constitución de garantías</v>
      </c>
      <c r="CY1121" s="141" t="str">
        <v>539530 Constitución de garantías</v>
      </c>
      <c r="CZ1121" s="141" t="str">
        <v>539530 Constitución de garantías</v>
      </c>
      <c r="DA1121" s="141" t="str">
        <v>539530 Constitución de garantías</v>
      </c>
      <c r="DF1121" t="str">
        <v>539530 Constitución de garantías</v>
      </c>
      <c r="DG1121" t="str">
        <v>539530 Constitución de garantías</v>
      </c>
      <c r="DH1121" t="str">
        <v>539530 Constitución de garantías</v>
      </c>
      <c r="DI1121" t="str">
        <v>539530 Constitución de garantías</v>
      </c>
      <c r="DJ1121" t="str">
        <v>539530 Constitución de garantías</v>
      </c>
      <c r="DK1121" t="str">
        <v>539530 Constitución de garantías</v>
      </c>
      <c r="DL1121" t="str">
        <v>539530 Constitución de garantías</v>
      </c>
      <c r="DM1121" t="str">
        <v>539530 Constitución de garantías</v>
      </c>
      <c r="DN1121" t="str">
        <v>539530 Constitución de garantías</v>
      </c>
      <c r="DO1121" t="str">
        <v>539530 Constitución de garantías</v>
      </c>
      <c r="DP1121" t="str">
        <v>539530 Constitución de garantías</v>
      </c>
    </row>
    <row r="1122" spans="4:120" ht="12.75">
      <c r="D1122" s="7">
        <v>539535</v>
      </c>
      <c r="E1122" s="6" t="s">
        <v>654</v>
      </c>
      <c r="F1122" s="5">
        <v>4</v>
      </c>
      <c r="G1122" s="34" t="s">
        <v>830</v>
      </c>
      <c r="H1122" s="8" t="s">
        <v>32</v>
      </c>
      <c r="I1122" t="b">
        <f>+ISNUMBER(SEARCH('F-COMPRA'!$F$28,Tabla11[[#This Row],[Cuenta]],1))</f>
        <v>1</v>
      </c>
      <c r="J1122" t="b">
        <f>+ISNUMBER(SEARCH('F-COMPRA'!$F$29,Tabla11[[#This Row],[Cuenta]],1))</f>
        <v>1</v>
      </c>
      <c r="K1122" t="b">
        <f>+ISNUMBER(SEARCH('F-COMPRA'!$F$30,Tabla11[[#This Row],[Cuenta]],1))</f>
        <v>1</v>
      </c>
      <c r="L1122" t="b">
        <f>+ISNUMBER(SEARCH('F-COMPRA'!$F$31,Tabla11[[#This Row],[Cuenta]],1))</f>
        <v>1</v>
      </c>
      <c r="M1122" t="b">
        <f>+ISNUMBER(SEARCH('F-COMPRA'!$G$25,Tabla11[[#This Row],[Cuenta]],1))</f>
        <v>0</v>
      </c>
      <c r="N1122" t="b">
        <f>+ISNUMBER(SEARCH(#REF!,Tabla11[[#This Row],[Cuenta]],1))</f>
        <v>0</v>
      </c>
      <c r="O1122" t="b">
        <f>+ISNUMBER(SEARCH(#REF!,Tabla11[[#This Row],[Cuenta]],1))</f>
        <v>0</v>
      </c>
      <c r="P1122" t="b">
        <f>+ISNUMBER(SEARCH('F-COMPRA'!$F$32,Tabla11[[#This Row],[Cuenta]],1))</f>
        <v>1</v>
      </c>
      <c r="Q1122" t="b">
        <f>+ISNUMBER(SEARCH('F-COMPRA'!$F$33,Tabla11[[#This Row],[Cuenta]],1))</f>
        <v>1</v>
      </c>
      <c r="R1122" t="b">
        <f>+ISNUMBER(SEARCH('F-COMPRA'!$F$34,Tabla11[[#This Row],[Cuenta]],1))</f>
        <v>1</v>
      </c>
      <c r="S1122" t="b">
        <f>+ISNUMBER(SEARCH('F-COMPRA'!$F$35,Tabla11[[#This Row],[Cuenta]],1))</f>
        <v>1</v>
      </c>
      <c r="T1122" t="b">
        <f>+ISNUMBER(SEARCH('F-COMPRA'!$F$36,Tabla11[[#This Row],[Cuenta]],1))</f>
        <v>1</v>
      </c>
      <c r="U1122" t="b">
        <f>+ISNUMBER(SEARCH('F-COMPRA'!$F$37,Tabla11[[#This Row],[Cuenta]],1))</f>
        <v>1</v>
      </c>
      <c r="V1122" t="b">
        <f>+ISNUMBER(SEARCH(#REF!,Tabla11[[#This Row],[Cuenta]],1))</f>
        <v>0</v>
      </c>
      <c r="W1122" t="b">
        <f>+ISNUMBER(SEARCH('F-COMPRA'!#REF!,Tabla11[[#This Row],[Cuenta]],1))</f>
        <v>0</v>
      </c>
      <c r="X1122" t="b">
        <f>+ISNUMBER(SEARCH('F-COMPRA'!#REF!,Tabla11[[#This Row],[Cuenta]],1))</f>
        <v>0</v>
      </c>
      <c r="Y1122" t="b">
        <f>+ISNUMBER(SEARCH('F-COMPRA'!#REF!,Tabla11[[#This Row],[Cuenta]],1))</f>
        <v>0</v>
      </c>
      <c r="Z1122" t="b">
        <f>+ISNUMBER(SEARCH('F-COMPRA'!#REF!,Tabla11[[#This Row],[Cuenta]],1))</f>
        <v>0</v>
      </c>
      <c r="AA1122" t="b">
        <f>+ISNUMBER(SEARCH('F-COMPRA'!#REF!,Tabla11[[#This Row],[Cuenta]],1))</f>
        <v>0</v>
      </c>
      <c r="AB1122" t="b">
        <f>+ISNUMBER(SEARCH('F-COMPRA'!#REF!,Tabla11[[#This Row],[Cuenta]],1))</f>
        <v>0</v>
      </c>
      <c r="AC1122" t="b">
        <f>+ISNUMBER(SEARCH('F-COMPRA'!#REF!,Tabla11[[#This Row],[Cuenta]],1))</f>
        <v>0</v>
      </c>
      <c r="AD1122" t="b">
        <f>+ISNUMBER(SEARCH('F-COMPRA'!#REF!,Tabla11[[#This Row],[Cuenta]],1))</f>
        <v>0</v>
      </c>
      <c r="AE1122" t="b">
        <f>+ISNUMBER(SEARCH('F-COMPRA'!#REF!,Tabla11[[#This Row],[Cuenta]],1))</f>
        <v>0</v>
      </c>
      <c r="AF1122" t="b">
        <f>+ISNUMBER(SEARCH('F-VTA'!$G$23,Tabla11[[#This Row],[Cuenta]],1))</f>
        <v>0</v>
      </c>
      <c r="AG1122" t="b">
        <f>+ISNUMBER(SEARCH('F-VTA'!$G$24,Tabla11[[#This Row],[Cuenta]],1))</f>
        <v>0</v>
      </c>
      <c r="AH1122" t="b">
        <f>+ISNUMBER(SEARCH('F-VTA'!$G$25,Tabla11[[#This Row],[Cuenta]],1))</f>
        <v>0</v>
      </c>
      <c r="AI1122" t="b">
        <f>+ISNUMBER(SEARCH('F-VTA'!$F$28,Tabla11[[#This Row],[Cuenta]],1))</f>
        <v>1</v>
      </c>
      <c r="AJ1122" t="b">
        <f>+ISNUMBER(SEARCH('F-VTA'!$F$29,Tabla11[[#This Row],[Cuenta]],1))</f>
        <v>1</v>
      </c>
      <c r="AK1122" t="b">
        <f>+ISNUMBER(SEARCH('F-VTA'!$F$30,Tabla11[[#This Row],[Cuenta]],1))</f>
        <v>1</v>
      </c>
      <c r="AL1122" t="b">
        <f>+ISNUMBER(SEARCH('F-VTA'!$F$31,Tabla11[[#This Row],[Cuenta]],1))</f>
        <v>1</v>
      </c>
      <c r="AM1122" t="b">
        <f>+ISNUMBER(SEARCH('F-VTA'!$F$32,Tabla11[[#This Row],[Cuenta]],1))</f>
        <v>1</v>
      </c>
      <c r="AN1122" t="b">
        <f>+ISNUMBER(SEARCH('F-VTA'!$F$33,Tabla11[[#This Row],[Cuenta]],1))</f>
        <v>1</v>
      </c>
      <c r="AO1122" t="b">
        <f>+ISNUMBER(SEARCH('F-VTA'!$F$34,Tabla11[[#This Row],[Cuenta]],1))</f>
        <v>1</v>
      </c>
      <c r="AP1122" t="b">
        <f>+ISNUMBER(SEARCH('F-VTA'!$F$35,Tabla11[[#This Row],[Cuenta]],1))</f>
        <v>1</v>
      </c>
      <c r="AQ1122" t="b">
        <f>+ISNUMBER(SEARCH('F-VTA'!$F$36,Tabla11[[#This Row],[Cuenta]],1))</f>
        <v>1</v>
      </c>
      <c r="AR1122" t="b">
        <f>+ISNUMBER(SEARCH(#REF!,Tabla11[[#This Row],[Cuenta]],1))</f>
        <v>0</v>
      </c>
      <c r="AS1122" t="b">
        <f>+ISNUMBER(SEARCH(#REF!,Tabla11[[#This Row],[Cuenta]],1))</f>
        <v>0</v>
      </c>
      <c r="AT1122" t="b">
        <f>+ISNUMBER(SEARCH(#REF!,Tabla11[[#This Row],[Cuenta]],1))</f>
        <v>0</v>
      </c>
      <c r="AU1122" t="b">
        <f>+ISNUMBER(SEARCH('Conc. Ban.1'!$I$9,Tabla11[[#This Row],[Cuenta]],1))</f>
        <v>0</v>
      </c>
      <c r="AV1122" t="b">
        <f>+ISNUMBER(SEARCH(CompConta!$F$21,Tabla11[[#This Row],[Cuenta]],1))</f>
        <v>1</v>
      </c>
      <c r="AW1122" t="b">
        <f>+ISNUMBER(SEARCH(CompConta!$F$22,Tabla11[[#This Row],[Cuenta]],1))</f>
        <v>1</v>
      </c>
      <c r="AX1122" t="b">
        <f>+ISNUMBER(SEARCH(CompConta!$F$23,Tabla11[[#This Row],[Cuenta]],1))</f>
        <v>1</v>
      </c>
      <c r="AY1122" t="b">
        <f>+ISNUMBER(SEARCH(CompConta!$F$24,Tabla11[[#This Row],[Cuenta]],1))</f>
        <v>1</v>
      </c>
      <c r="AZ1122" t="b">
        <f>+ISNUMBER(SEARCH(CompConta!$F$25,Tabla11[[#This Row],[Cuenta]],1))</f>
        <v>1</v>
      </c>
      <c r="BA1122" t="b">
        <f>+ISNUMBER(SEARCH(CompConta!$F$26,Tabla11[[#This Row],[Cuenta]],1))</f>
        <v>1</v>
      </c>
      <c r="BB1122" t="b">
        <f>+ISNUMBER(SEARCH(CompConta!$F$27,Tabla11[[#This Row],[Cuenta]],1))</f>
        <v>1</v>
      </c>
      <c r="BC1122" t="b">
        <f>+ISNUMBER(SEARCH(CompConta!$F$28,Tabla11[[#This Row],[Cuenta]],1))</f>
        <v>1</v>
      </c>
      <c r="BD1122" t="b">
        <f>+ISNUMBER(SEARCH(CompConta!$F$29,Tabla11[[#This Row],[Cuenta]],1))</f>
        <v>1</v>
      </c>
      <c r="BE1122" t="b">
        <f>+ISNUMBER(SEARCH(CompConta!$F$30,Tabla11[[#This Row],[Cuenta]],1))</f>
        <v>1</v>
      </c>
      <c r="BF1122" t="b">
        <f>+ISNUMBER(SEARCH('PAGO Compras'!$E$11,Tabla11[[#This Row],[Cuenta]],1))</f>
        <v>1</v>
      </c>
      <c r="BG1122" t="b">
        <f>+ISNUMBER(SEARCH(#REF!,Tabla11[[#This Row],[Cuenta]],1))</f>
        <v>0</v>
      </c>
      <c r="BH1122" t="b">
        <f>+ISNUMBER(SEARCH(#REF!,Tabla11[[#This Row],[Cuenta]],1))</f>
        <v>0</v>
      </c>
      <c r="BI1122" t="b">
        <f>+ISNUMBER(SEARCH(#REF!,Tabla11[[#This Row],[Cuenta]],1))</f>
        <v>0</v>
      </c>
      <c r="BJ1122" t="b">
        <f>+ISNUMBER(SEARCH(#REF!,Tabla11[[#This Row],[Cuenta]],1))</f>
        <v>0</v>
      </c>
      <c r="BS1122" t="str">
        <v>539535 Amortiz de bienes entregados en comodato</v>
      </c>
      <c r="BT1122" t="str">
        <v>539535 Amortiz de bienes entregados en comodato</v>
      </c>
      <c r="BU1122" t="str">
        <v>539535 Amortiz de bienes entregados en comodato</v>
      </c>
      <c r="BV1122" t="str">
        <v>539535 Amortiz de bienes entregados en comodato</v>
      </c>
      <c r="BZ1122" t="str">
        <v>539535 Amortiz de bienes entregados en comodato</v>
      </c>
      <c r="CA1122" t="str">
        <v>539535 Amortiz de bienes entregados en comodato</v>
      </c>
      <c r="CB1122" t="str">
        <v>539535 Amortiz de bienes entregados en comodato</v>
      </c>
      <c r="CC1122" t="str">
        <v>539535 Amortiz de bienes entregados en comodato</v>
      </c>
      <c r="CD1122" t="str">
        <v>539535 Amortiz de bienes entregados en comodato</v>
      </c>
      <c r="CE1122" t="str">
        <v>539535 Amortiz de bienes entregados en comodato</v>
      </c>
      <c r="CS1122" s="141" t="str">
        <v>539535 Amortiz de bienes entregados en comodato</v>
      </c>
      <c r="CT1122" s="141" t="str">
        <v>539535 Amortiz de bienes entregados en comodato</v>
      </c>
      <c r="CU1122" s="141" t="str">
        <v>539535 Amortiz de bienes entregados en comodato</v>
      </c>
      <c r="CV1122" s="141" t="str">
        <v>539535 Amortiz de bienes entregados en comodato</v>
      </c>
      <c r="CW1122" s="141" t="str">
        <v>539535 Amortiz de bienes entregados en comodato</v>
      </c>
      <c r="CX1122" s="141" t="str">
        <v>539535 Amortiz de bienes entregados en comodato</v>
      </c>
      <c r="CY1122" s="141" t="str">
        <v>539535 Amortiz de bienes entregados en comodato</v>
      </c>
      <c r="CZ1122" s="141" t="str">
        <v>539535 Amortiz de bienes entregados en comodato</v>
      </c>
      <c r="DA1122" s="141" t="str">
        <v>539535 Amortiz de bienes entregados en comodato</v>
      </c>
      <c r="DF1122" t="str">
        <v>539535 Amortiz de bienes entregados en comodato</v>
      </c>
      <c r="DG1122" t="str">
        <v>539535 Amortiz de bienes entregados en comodato</v>
      </c>
      <c r="DH1122" t="str">
        <v>539535 Amortiz de bienes entregados en comodato</v>
      </c>
      <c r="DI1122" t="str">
        <v>539535 Amortiz de bienes entregados en comodato</v>
      </c>
      <c r="DJ1122" t="str">
        <v>539535 Amortiz de bienes entregados en comodato</v>
      </c>
      <c r="DK1122" t="str">
        <v>539535 Amortiz de bienes entregados en comodato</v>
      </c>
      <c r="DL1122" t="str">
        <v>539535 Amortiz de bienes entregados en comodato</v>
      </c>
      <c r="DM1122" t="str">
        <v>539535 Amortiz de bienes entregados en comodato</v>
      </c>
      <c r="DN1122" t="str">
        <v>539535 Amortiz de bienes entregados en comodato</v>
      </c>
      <c r="DO1122" t="str">
        <v>539535 Amortiz de bienes entregados en comodato</v>
      </c>
      <c r="DP1122" t="str">
        <v>539535 Amortiz de bienes entregados en comodato</v>
      </c>
    </row>
    <row r="1123" spans="4:120" ht="12.75">
      <c r="D1123" s="7">
        <v>539595</v>
      </c>
      <c r="E1123" s="6" t="s">
        <v>45</v>
      </c>
      <c r="F1123" s="5">
        <v>4</v>
      </c>
      <c r="G1123" s="34" t="s">
        <v>830</v>
      </c>
      <c r="H1123" s="8" t="s">
        <v>32</v>
      </c>
      <c r="I1123" t="b">
        <f>+ISNUMBER(SEARCH('F-COMPRA'!$F$28,Tabla11[[#This Row],[Cuenta]],1))</f>
        <v>1</v>
      </c>
      <c r="J1123" t="b">
        <f>+ISNUMBER(SEARCH('F-COMPRA'!$F$29,Tabla11[[#This Row],[Cuenta]],1))</f>
        <v>1</v>
      </c>
      <c r="K1123" t="b">
        <f>+ISNUMBER(SEARCH('F-COMPRA'!$F$30,Tabla11[[#This Row],[Cuenta]],1))</f>
        <v>1</v>
      </c>
      <c r="L1123" t="b">
        <f>+ISNUMBER(SEARCH('F-COMPRA'!$F$31,Tabla11[[#This Row],[Cuenta]],1))</f>
        <v>1</v>
      </c>
      <c r="M1123" t="b">
        <f>+ISNUMBER(SEARCH('F-COMPRA'!$G$25,Tabla11[[#This Row],[Cuenta]],1))</f>
        <v>0</v>
      </c>
      <c r="N1123" t="b">
        <f>+ISNUMBER(SEARCH(#REF!,Tabla11[[#This Row],[Cuenta]],1))</f>
        <v>0</v>
      </c>
      <c r="O1123" t="b">
        <f>+ISNUMBER(SEARCH(#REF!,Tabla11[[#This Row],[Cuenta]],1))</f>
        <v>0</v>
      </c>
      <c r="P1123" t="b">
        <f>+ISNUMBER(SEARCH('F-COMPRA'!$F$32,Tabla11[[#This Row],[Cuenta]],1))</f>
        <v>1</v>
      </c>
      <c r="Q1123" t="b">
        <f>+ISNUMBER(SEARCH('F-COMPRA'!$F$33,Tabla11[[#This Row],[Cuenta]],1))</f>
        <v>1</v>
      </c>
      <c r="R1123" t="b">
        <f>+ISNUMBER(SEARCH('F-COMPRA'!$F$34,Tabla11[[#This Row],[Cuenta]],1))</f>
        <v>1</v>
      </c>
      <c r="S1123" t="b">
        <f>+ISNUMBER(SEARCH('F-COMPRA'!$F$35,Tabla11[[#This Row],[Cuenta]],1))</f>
        <v>1</v>
      </c>
      <c r="T1123" t="b">
        <f>+ISNUMBER(SEARCH('F-COMPRA'!$F$36,Tabla11[[#This Row],[Cuenta]],1))</f>
        <v>1</v>
      </c>
      <c r="U1123" t="b">
        <f>+ISNUMBER(SEARCH('F-COMPRA'!$F$37,Tabla11[[#This Row],[Cuenta]],1))</f>
        <v>1</v>
      </c>
      <c r="V1123" t="b">
        <f>+ISNUMBER(SEARCH(#REF!,Tabla11[[#This Row],[Cuenta]],1))</f>
        <v>0</v>
      </c>
      <c r="W1123" t="b">
        <f>+ISNUMBER(SEARCH('F-COMPRA'!#REF!,Tabla11[[#This Row],[Cuenta]],1))</f>
        <v>0</v>
      </c>
      <c r="X1123" t="b">
        <f>+ISNUMBER(SEARCH('F-COMPRA'!#REF!,Tabla11[[#This Row],[Cuenta]],1))</f>
        <v>0</v>
      </c>
      <c r="Y1123" t="b">
        <f>+ISNUMBER(SEARCH('F-COMPRA'!#REF!,Tabla11[[#This Row],[Cuenta]],1))</f>
        <v>0</v>
      </c>
      <c r="Z1123" t="b">
        <f>+ISNUMBER(SEARCH('F-COMPRA'!#REF!,Tabla11[[#This Row],[Cuenta]],1))</f>
        <v>0</v>
      </c>
      <c r="AA1123" t="b">
        <f>+ISNUMBER(SEARCH('F-COMPRA'!#REF!,Tabla11[[#This Row],[Cuenta]],1))</f>
        <v>0</v>
      </c>
      <c r="AB1123" t="b">
        <f>+ISNUMBER(SEARCH('F-COMPRA'!#REF!,Tabla11[[#This Row],[Cuenta]],1))</f>
        <v>0</v>
      </c>
      <c r="AC1123" t="b">
        <f>+ISNUMBER(SEARCH('F-COMPRA'!#REF!,Tabla11[[#This Row],[Cuenta]],1))</f>
        <v>0</v>
      </c>
      <c r="AD1123" t="b">
        <f>+ISNUMBER(SEARCH('F-COMPRA'!#REF!,Tabla11[[#This Row],[Cuenta]],1))</f>
        <v>0</v>
      </c>
      <c r="AE1123" t="b">
        <f>+ISNUMBER(SEARCH('F-COMPRA'!#REF!,Tabla11[[#This Row],[Cuenta]],1))</f>
        <v>0</v>
      </c>
      <c r="AF1123" t="b">
        <f>+ISNUMBER(SEARCH('F-VTA'!$G$23,Tabla11[[#This Row],[Cuenta]],1))</f>
        <v>0</v>
      </c>
      <c r="AG1123" t="b">
        <f>+ISNUMBER(SEARCH('F-VTA'!$G$24,Tabla11[[#This Row],[Cuenta]],1))</f>
        <v>0</v>
      </c>
      <c r="AH1123" t="b">
        <f>+ISNUMBER(SEARCH('F-VTA'!$G$25,Tabla11[[#This Row],[Cuenta]],1))</f>
        <v>0</v>
      </c>
      <c r="AI1123" t="b">
        <f>+ISNUMBER(SEARCH('F-VTA'!$F$28,Tabla11[[#This Row],[Cuenta]],1))</f>
        <v>1</v>
      </c>
      <c r="AJ1123" t="b">
        <f>+ISNUMBER(SEARCH('F-VTA'!$F$29,Tabla11[[#This Row],[Cuenta]],1))</f>
        <v>1</v>
      </c>
      <c r="AK1123" t="b">
        <f>+ISNUMBER(SEARCH('F-VTA'!$F$30,Tabla11[[#This Row],[Cuenta]],1))</f>
        <v>1</v>
      </c>
      <c r="AL1123" t="b">
        <f>+ISNUMBER(SEARCH('F-VTA'!$F$31,Tabla11[[#This Row],[Cuenta]],1))</f>
        <v>1</v>
      </c>
      <c r="AM1123" t="b">
        <f>+ISNUMBER(SEARCH('F-VTA'!$F$32,Tabla11[[#This Row],[Cuenta]],1))</f>
        <v>1</v>
      </c>
      <c r="AN1123" t="b">
        <f>+ISNUMBER(SEARCH('F-VTA'!$F$33,Tabla11[[#This Row],[Cuenta]],1))</f>
        <v>1</v>
      </c>
      <c r="AO1123" t="b">
        <f>+ISNUMBER(SEARCH('F-VTA'!$F$34,Tabla11[[#This Row],[Cuenta]],1))</f>
        <v>1</v>
      </c>
      <c r="AP1123" t="b">
        <f>+ISNUMBER(SEARCH('F-VTA'!$F$35,Tabla11[[#This Row],[Cuenta]],1))</f>
        <v>1</v>
      </c>
      <c r="AQ1123" t="b">
        <f>+ISNUMBER(SEARCH('F-VTA'!$F$36,Tabla11[[#This Row],[Cuenta]],1))</f>
        <v>1</v>
      </c>
      <c r="AR1123" t="b">
        <f>+ISNUMBER(SEARCH(#REF!,Tabla11[[#This Row],[Cuenta]],1))</f>
        <v>0</v>
      </c>
      <c r="AS1123" t="b">
        <f>+ISNUMBER(SEARCH(#REF!,Tabla11[[#This Row],[Cuenta]],1))</f>
        <v>0</v>
      </c>
      <c r="AT1123" t="b">
        <f>+ISNUMBER(SEARCH(#REF!,Tabla11[[#This Row],[Cuenta]],1))</f>
        <v>0</v>
      </c>
      <c r="AU1123" t="b">
        <f>+ISNUMBER(SEARCH('Conc. Ban.1'!$I$9,Tabla11[[#This Row],[Cuenta]],1))</f>
        <v>0</v>
      </c>
      <c r="AV1123" t="b">
        <f>+ISNUMBER(SEARCH(CompConta!$F$21,Tabla11[[#This Row],[Cuenta]],1))</f>
        <v>1</v>
      </c>
      <c r="AW1123" t="b">
        <f>+ISNUMBER(SEARCH(CompConta!$F$22,Tabla11[[#This Row],[Cuenta]],1))</f>
        <v>1</v>
      </c>
      <c r="AX1123" t="b">
        <f>+ISNUMBER(SEARCH(CompConta!$F$23,Tabla11[[#This Row],[Cuenta]],1))</f>
        <v>1</v>
      </c>
      <c r="AY1123" t="b">
        <f>+ISNUMBER(SEARCH(CompConta!$F$24,Tabla11[[#This Row],[Cuenta]],1))</f>
        <v>1</v>
      </c>
      <c r="AZ1123" t="b">
        <f>+ISNUMBER(SEARCH(CompConta!$F$25,Tabla11[[#This Row],[Cuenta]],1))</f>
        <v>1</v>
      </c>
      <c r="BA1123" t="b">
        <f>+ISNUMBER(SEARCH(CompConta!$F$26,Tabla11[[#This Row],[Cuenta]],1))</f>
        <v>1</v>
      </c>
      <c r="BB1123" t="b">
        <f>+ISNUMBER(SEARCH(CompConta!$F$27,Tabla11[[#This Row],[Cuenta]],1))</f>
        <v>1</v>
      </c>
      <c r="BC1123" t="b">
        <f>+ISNUMBER(SEARCH(CompConta!$F$28,Tabla11[[#This Row],[Cuenta]],1))</f>
        <v>1</v>
      </c>
      <c r="BD1123" t="b">
        <f>+ISNUMBER(SEARCH(CompConta!$F$29,Tabla11[[#This Row],[Cuenta]],1))</f>
        <v>1</v>
      </c>
      <c r="BE1123" t="b">
        <f>+ISNUMBER(SEARCH(CompConta!$F$30,Tabla11[[#This Row],[Cuenta]],1))</f>
        <v>1</v>
      </c>
      <c r="BF1123" t="b">
        <f>+ISNUMBER(SEARCH('PAGO Compras'!$E$11,Tabla11[[#This Row],[Cuenta]],1))</f>
        <v>1</v>
      </c>
      <c r="BG1123" t="b">
        <f>+ISNUMBER(SEARCH(#REF!,Tabla11[[#This Row],[Cuenta]],1))</f>
        <v>0</v>
      </c>
      <c r="BH1123" t="b">
        <f>+ISNUMBER(SEARCH(#REF!,Tabla11[[#This Row],[Cuenta]],1))</f>
        <v>0</v>
      </c>
      <c r="BI1123" t="b">
        <f>+ISNUMBER(SEARCH(#REF!,Tabla11[[#This Row],[Cuenta]],1))</f>
        <v>0</v>
      </c>
      <c r="BJ1123" t="b">
        <f>+ISNUMBER(SEARCH(#REF!,Tabla11[[#This Row],[Cuenta]],1))</f>
        <v>0</v>
      </c>
      <c r="BS1123" t="str">
        <v>539595 Otros</v>
      </c>
      <c r="BT1123" t="str">
        <v>539595 Otros</v>
      </c>
      <c r="BU1123" t="str">
        <v>539595 Otros</v>
      </c>
      <c r="BV1123" t="str">
        <v>539595 Otros</v>
      </c>
      <c r="BZ1123" t="str">
        <v>539595 Otros</v>
      </c>
      <c r="CA1123" t="str">
        <v>539595 Otros</v>
      </c>
      <c r="CB1123" t="str">
        <v>539595 Otros</v>
      </c>
      <c r="CC1123" t="str">
        <v>539595 Otros</v>
      </c>
      <c r="CD1123" t="str">
        <v>539595 Otros</v>
      </c>
      <c r="CE1123" t="str">
        <v>539595 Otros</v>
      </c>
      <c r="CS1123" s="141" t="str">
        <v>539595 Otros</v>
      </c>
      <c r="CT1123" s="141" t="str">
        <v>539595 Otros</v>
      </c>
      <c r="CU1123" s="141" t="str">
        <v>539595 Otros</v>
      </c>
      <c r="CV1123" s="141" t="str">
        <v>539595 Otros</v>
      </c>
      <c r="CW1123" s="141" t="str">
        <v>539595 Otros</v>
      </c>
      <c r="CX1123" s="141" t="str">
        <v>539595 Otros</v>
      </c>
      <c r="CY1123" s="141" t="str">
        <v>539595 Otros</v>
      </c>
      <c r="CZ1123" s="141" t="str">
        <v>539595 Otros</v>
      </c>
      <c r="DA1123" s="141" t="str">
        <v>539595 Otros</v>
      </c>
      <c r="DF1123" t="str">
        <v>539595 Otros</v>
      </c>
      <c r="DG1123" t="str">
        <v>539595 Otros</v>
      </c>
      <c r="DH1123" t="str">
        <v>539595 Otros</v>
      </c>
      <c r="DI1123" t="str">
        <v>539595 Otros</v>
      </c>
      <c r="DJ1123" t="str">
        <v>539595 Otros</v>
      </c>
      <c r="DK1123" t="str">
        <v>539595 Otros</v>
      </c>
      <c r="DL1123" t="str">
        <v>539595 Otros</v>
      </c>
      <c r="DM1123" t="str">
        <v>539595 Otros</v>
      </c>
      <c r="DN1123" t="str">
        <v>539595 Otros</v>
      </c>
      <c r="DO1123" t="str">
        <v>539595 Otros</v>
      </c>
      <c r="DP1123" t="str">
        <v>539595 Otros</v>
      </c>
    </row>
    <row r="1124" spans="4:120" ht="12.75">
      <c r="D1124" s="7">
        <v>539599</v>
      </c>
      <c r="E1124" s="6" t="s">
        <v>93</v>
      </c>
      <c r="F1124" s="5">
        <v>4</v>
      </c>
      <c r="G1124" s="34" t="s">
        <v>830</v>
      </c>
      <c r="H1124" s="8" t="s">
        <v>32</v>
      </c>
      <c r="I1124" t="b">
        <f>+ISNUMBER(SEARCH('F-COMPRA'!$F$28,Tabla11[[#This Row],[Cuenta]],1))</f>
        <v>1</v>
      </c>
      <c r="J1124" t="b">
        <f>+ISNUMBER(SEARCH('F-COMPRA'!$F$29,Tabla11[[#This Row],[Cuenta]],1))</f>
        <v>1</v>
      </c>
      <c r="K1124" t="b">
        <f>+ISNUMBER(SEARCH('F-COMPRA'!$F$30,Tabla11[[#This Row],[Cuenta]],1))</f>
        <v>1</v>
      </c>
      <c r="L1124" t="b">
        <f>+ISNUMBER(SEARCH('F-COMPRA'!$F$31,Tabla11[[#This Row],[Cuenta]],1))</f>
        <v>1</v>
      </c>
      <c r="M1124" t="b">
        <f>+ISNUMBER(SEARCH('F-COMPRA'!$G$25,Tabla11[[#This Row],[Cuenta]],1))</f>
        <v>0</v>
      </c>
      <c r="N1124" t="b">
        <f>+ISNUMBER(SEARCH(#REF!,Tabla11[[#This Row],[Cuenta]],1))</f>
        <v>0</v>
      </c>
      <c r="O1124" t="b">
        <f>+ISNUMBER(SEARCH(#REF!,Tabla11[[#This Row],[Cuenta]],1))</f>
        <v>0</v>
      </c>
      <c r="P1124" t="b">
        <f>+ISNUMBER(SEARCH('F-COMPRA'!$F$32,Tabla11[[#This Row],[Cuenta]],1))</f>
        <v>1</v>
      </c>
      <c r="Q1124" t="b">
        <f>+ISNUMBER(SEARCH('F-COMPRA'!$F$33,Tabla11[[#This Row],[Cuenta]],1))</f>
        <v>1</v>
      </c>
      <c r="R1124" t="b">
        <f>+ISNUMBER(SEARCH('F-COMPRA'!$F$34,Tabla11[[#This Row],[Cuenta]],1))</f>
        <v>1</v>
      </c>
      <c r="S1124" t="b">
        <f>+ISNUMBER(SEARCH('F-COMPRA'!$F$35,Tabla11[[#This Row],[Cuenta]],1))</f>
        <v>1</v>
      </c>
      <c r="T1124" t="b">
        <f>+ISNUMBER(SEARCH('F-COMPRA'!$F$36,Tabla11[[#This Row],[Cuenta]],1))</f>
        <v>1</v>
      </c>
      <c r="U1124" t="b">
        <f>+ISNUMBER(SEARCH('F-COMPRA'!$F$37,Tabla11[[#This Row],[Cuenta]],1))</f>
        <v>1</v>
      </c>
      <c r="V1124" t="b">
        <f>+ISNUMBER(SEARCH(#REF!,Tabla11[[#This Row],[Cuenta]],1))</f>
        <v>0</v>
      </c>
      <c r="W1124" t="b">
        <f>+ISNUMBER(SEARCH('F-COMPRA'!#REF!,Tabla11[[#This Row],[Cuenta]],1))</f>
        <v>0</v>
      </c>
      <c r="X1124" t="b">
        <f>+ISNUMBER(SEARCH('F-COMPRA'!#REF!,Tabla11[[#This Row],[Cuenta]],1))</f>
        <v>0</v>
      </c>
      <c r="Y1124" t="b">
        <f>+ISNUMBER(SEARCH('F-COMPRA'!#REF!,Tabla11[[#This Row],[Cuenta]],1))</f>
        <v>0</v>
      </c>
      <c r="Z1124" t="b">
        <f>+ISNUMBER(SEARCH('F-COMPRA'!#REF!,Tabla11[[#This Row],[Cuenta]],1))</f>
        <v>0</v>
      </c>
      <c r="AA1124" t="b">
        <f>+ISNUMBER(SEARCH('F-COMPRA'!#REF!,Tabla11[[#This Row],[Cuenta]],1))</f>
        <v>0</v>
      </c>
      <c r="AB1124" t="b">
        <f>+ISNUMBER(SEARCH('F-COMPRA'!#REF!,Tabla11[[#This Row],[Cuenta]],1))</f>
        <v>0</v>
      </c>
      <c r="AC1124" t="b">
        <f>+ISNUMBER(SEARCH('F-COMPRA'!#REF!,Tabla11[[#This Row],[Cuenta]],1))</f>
        <v>0</v>
      </c>
      <c r="AD1124" t="b">
        <f>+ISNUMBER(SEARCH('F-COMPRA'!#REF!,Tabla11[[#This Row],[Cuenta]],1))</f>
        <v>0</v>
      </c>
      <c r="AE1124" t="b">
        <f>+ISNUMBER(SEARCH('F-COMPRA'!#REF!,Tabla11[[#This Row],[Cuenta]],1))</f>
        <v>0</v>
      </c>
      <c r="AF1124" t="b">
        <f>+ISNUMBER(SEARCH('F-VTA'!$G$23,Tabla11[[#This Row],[Cuenta]],1))</f>
        <v>0</v>
      </c>
      <c r="AG1124" t="b">
        <f>+ISNUMBER(SEARCH('F-VTA'!$G$24,Tabla11[[#This Row],[Cuenta]],1))</f>
        <v>0</v>
      </c>
      <c r="AH1124" t="b">
        <f>+ISNUMBER(SEARCH('F-VTA'!$G$25,Tabla11[[#This Row],[Cuenta]],1))</f>
        <v>0</v>
      </c>
      <c r="AI1124" t="b">
        <f>+ISNUMBER(SEARCH('F-VTA'!$F$28,Tabla11[[#This Row],[Cuenta]],1))</f>
        <v>1</v>
      </c>
      <c r="AJ1124" t="b">
        <f>+ISNUMBER(SEARCH('F-VTA'!$F$29,Tabla11[[#This Row],[Cuenta]],1))</f>
        <v>1</v>
      </c>
      <c r="AK1124" t="b">
        <f>+ISNUMBER(SEARCH('F-VTA'!$F$30,Tabla11[[#This Row],[Cuenta]],1))</f>
        <v>1</v>
      </c>
      <c r="AL1124" t="b">
        <f>+ISNUMBER(SEARCH('F-VTA'!$F$31,Tabla11[[#This Row],[Cuenta]],1))</f>
        <v>1</v>
      </c>
      <c r="AM1124" t="b">
        <f>+ISNUMBER(SEARCH('F-VTA'!$F$32,Tabla11[[#This Row],[Cuenta]],1))</f>
        <v>1</v>
      </c>
      <c r="AN1124" t="b">
        <f>+ISNUMBER(SEARCH('F-VTA'!$F$33,Tabla11[[#This Row],[Cuenta]],1))</f>
        <v>1</v>
      </c>
      <c r="AO1124" t="b">
        <f>+ISNUMBER(SEARCH('F-VTA'!$F$34,Tabla11[[#This Row],[Cuenta]],1))</f>
        <v>1</v>
      </c>
      <c r="AP1124" t="b">
        <f>+ISNUMBER(SEARCH('F-VTA'!$F$35,Tabla11[[#This Row],[Cuenta]],1))</f>
        <v>1</v>
      </c>
      <c r="AQ1124" t="b">
        <f>+ISNUMBER(SEARCH('F-VTA'!$F$36,Tabla11[[#This Row],[Cuenta]],1))</f>
        <v>1</v>
      </c>
      <c r="AR1124" t="b">
        <f>+ISNUMBER(SEARCH(#REF!,Tabla11[[#This Row],[Cuenta]],1))</f>
        <v>0</v>
      </c>
      <c r="AS1124" t="b">
        <f>+ISNUMBER(SEARCH(#REF!,Tabla11[[#This Row],[Cuenta]],1))</f>
        <v>0</v>
      </c>
      <c r="AT1124" t="b">
        <f>+ISNUMBER(SEARCH(#REF!,Tabla11[[#This Row],[Cuenta]],1))</f>
        <v>0</v>
      </c>
      <c r="AU1124" t="b">
        <f>+ISNUMBER(SEARCH('Conc. Ban.1'!$I$9,Tabla11[[#This Row],[Cuenta]],1))</f>
        <v>0</v>
      </c>
      <c r="AV1124" t="b">
        <f>+ISNUMBER(SEARCH(CompConta!$F$21,Tabla11[[#This Row],[Cuenta]],1))</f>
        <v>1</v>
      </c>
      <c r="AW1124" t="b">
        <f>+ISNUMBER(SEARCH(CompConta!$F$22,Tabla11[[#This Row],[Cuenta]],1))</f>
        <v>1</v>
      </c>
      <c r="AX1124" t="b">
        <f>+ISNUMBER(SEARCH(CompConta!$F$23,Tabla11[[#This Row],[Cuenta]],1))</f>
        <v>1</v>
      </c>
      <c r="AY1124" t="b">
        <f>+ISNUMBER(SEARCH(CompConta!$F$24,Tabla11[[#This Row],[Cuenta]],1))</f>
        <v>1</v>
      </c>
      <c r="AZ1124" t="b">
        <f>+ISNUMBER(SEARCH(CompConta!$F$25,Tabla11[[#This Row],[Cuenta]],1))</f>
        <v>1</v>
      </c>
      <c r="BA1124" t="b">
        <f>+ISNUMBER(SEARCH(CompConta!$F$26,Tabla11[[#This Row],[Cuenta]],1))</f>
        <v>1</v>
      </c>
      <c r="BB1124" t="b">
        <f>+ISNUMBER(SEARCH(CompConta!$F$27,Tabla11[[#This Row],[Cuenta]],1))</f>
        <v>1</v>
      </c>
      <c r="BC1124" t="b">
        <f>+ISNUMBER(SEARCH(CompConta!$F$28,Tabla11[[#This Row],[Cuenta]],1))</f>
        <v>1</v>
      </c>
      <c r="BD1124" t="b">
        <f>+ISNUMBER(SEARCH(CompConta!$F$29,Tabla11[[#This Row],[Cuenta]],1))</f>
        <v>1</v>
      </c>
      <c r="BE1124" t="b">
        <f>+ISNUMBER(SEARCH(CompConta!$F$30,Tabla11[[#This Row],[Cuenta]],1))</f>
        <v>1</v>
      </c>
      <c r="BF1124" t="b">
        <f>+ISNUMBER(SEARCH('PAGO Compras'!$E$11,Tabla11[[#This Row],[Cuenta]],1))</f>
        <v>1</v>
      </c>
      <c r="BG1124" t="b">
        <f>+ISNUMBER(SEARCH(#REF!,Tabla11[[#This Row],[Cuenta]],1))</f>
        <v>0</v>
      </c>
      <c r="BH1124" t="b">
        <f>+ISNUMBER(SEARCH(#REF!,Tabla11[[#This Row],[Cuenta]],1))</f>
        <v>0</v>
      </c>
      <c r="BI1124" t="b">
        <f>+ISNUMBER(SEARCH(#REF!,Tabla11[[#This Row],[Cuenta]],1))</f>
        <v>0</v>
      </c>
      <c r="BJ1124" t="b">
        <f>+ISNUMBER(SEARCH(#REF!,Tabla11[[#This Row],[Cuenta]],1))</f>
        <v>0</v>
      </c>
      <c r="BS1124" t="str">
        <v>539599 *Ajustes por inflación</v>
      </c>
      <c r="BT1124" t="str">
        <v>539599 *Ajustes por inflación</v>
      </c>
      <c r="BU1124" t="str">
        <v>539599 *Ajustes por inflación</v>
      </c>
      <c r="BV1124" t="str">
        <v>539599 *Ajustes por inflación</v>
      </c>
      <c r="BZ1124" t="str">
        <v>539599 *Ajustes por inflación</v>
      </c>
      <c r="CA1124" t="str">
        <v>539599 *Ajustes por inflación</v>
      </c>
      <c r="CB1124" t="str">
        <v>539599 *Ajustes por inflación</v>
      </c>
      <c r="CC1124" t="str">
        <v>539599 *Ajustes por inflación</v>
      </c>
      <c r="CD1124" t="str">
        <v>539599 *Ajustes por inflación</v>
      </c>
      <c r="CE1124" t="str">
        <v>539599 *Ajustes por inflación</v>
      </c>
      <c r="CS1124" s="141" t="str">
        <v>539599 *Ajustes por inflación</v>
      </c>
      <c r="CT1124" s="141" t="str">
        <v>539599 *Ajustes por inflación</v>
      </c>
      <c r="CU1124" s="141" t="str">
        <v>539599 *Ajustes por inflación</v>
      </c>
      <c r="CV1124" s="141" t="str">
        <v>539599 *Ajustes por inflación</v>
      </c>
      <c r="CW1124" s="141" t="str">
        <v>539599 *Ajustes por inflación</v>
      </c>
      <c r="CX1124" s="141" t="str">
        <v>539599 *Ajustes por inflación</v>
      </c>
      <c r="CY1124" s="141" t="str">
        <v>539599 *Ajustes por inflación</v>
      </c>
      <c r="CZ1124" s="141" t="str">
        <v>539599 *Ajustes por inflación</v>
      </c>
      <c r="DA1124" s="141" t="str">
        <v>539599 *Ajustes por inflación</v>
      </c>
      <c r="DF1124" t="str">
        <v>539599 *Ajustes por inflación</v>
      </c>
      <c r="DG1124" t="str">
        <v>539599 *Ajustes por inflación</v>
      </c>
      <c r="DH1124" t="str">
        <v>539599 *Ajustes por inflación</v>
      </c>
      <c r="DI1124" t="str">
        <v>539599 *Ajustes por inflación</v>
      </c>
      <c r="DJ1124" t="str">
        <v>539599 *Ajustes por inflación</v>
      </c>
      <c r="DK1124" t="str">
        <v>539599 *Ajustes por inflación</v>
      </c>
      <c r="DL1124" t="str">
        <v>539599 *Ajustes por inflación</v>
      </c>
      <c r="DM1124" t="str">
        <v>539599 *Ajustes por inflación</v>
      </c>
      <c r="DN1124" t="str">
        <v>539599 *Ajustes por inflación</v>
      </c>
      <c r="DO1124" t="str">
        <v>539599 *Ajustes por inflación</v>
      </c>
      <c r="DP1124" t="str">
        <v>539599 *Ajustes por inflación</v>
      </c>
    </row>
    <row r="1125" spans="4:120" ht="12.75">
      <c r="D1125" s="7">
        <v>54</v>
      </c>
      <c r="E1125" s="6" t="s">
        <v>655</v>
      </c>
      <c r="F1125" s="5">
        <v>2</v>
      </c>
      <c r="G1125" s="34" t="s">
        <v>830</v>
      </c>
      <c r="H1125" s="8" t="s">
        <v>32</v>
      </c>
      <c r="I1125" t="b">
        <f>+ISNUMBER(SEARCH('F-COMPRA'!$F$28,Tabla11[[#This Row],[Cuenta]],1))</f>
        <v>1</v>
      </c>
      <c r="J1125" t="b">
        <f>+ISNUMBER(SEARCH('F-COMPRA'!$F$29,Tabla11[[#This Row],[Cuenta]],1))</f>
        <v>1</v>
      </c>
      <c r="K1125" t="b">
        <f>+ISNUMBER(SEARCH('F-COMPRA'!$F$30,Tabla11[[#This Row],[Cuenta]],1))</f>
        <v>1</v>
      </c>
      <c r="L1125" t="b">
        <f>+ISNUMBER(SEARCH('F-COMPRA'!$F$31,Tabla11[[#This Row],[Cuenta]],1))</f>
        <v>1</v>
      </c>
      <c r="M1125" t="b">
        <f>+ISNUMBER(SEARCH('F-COMPRA'!$G$25,Tabla11[[#This Row],[Cuenta]],1))</f>
        <v>0</v>
      </c>
      <c r="N1125" t="b">
        <f>+ISNUMBER(SEARCH(#REF!,Tabla11[[#This Row],[Cuenta]],1))</f>
        <v>0</v>
      </c>
      <c r="O1125" t="b">
        <f>+ISNUMBER(SEARCH(#REF!,Tabla11[[#This Row],[Cuenta]],1))</f>
        <v>0</v>
      </c>
      <c r="P1125" t="b">
        <f>+ISNUMBER(SEARCH('F-COMPRA'!$F$32,Tabla11[[#This Row],[Cuenta]],1))</f>
        <v>1</v>
      </c>
      <c r="Q1125" t="b">
        <f>+ISNUMBER(SEARCH('F-COMPRA'!$F$33,Tabla11[[#This Row],[Cuenta]],1))</f>
        <v>1</v>
      </c>
      <c r="R1125" t="b">
        <f>+ISNUMBER(SEARCH('F-COMPRA'!$F$34,Tabla11[[#This Row],[Cuenta]],1))</f>
        <v>1</v>
      </c>
      <c r="S1125" t="b">
        <f>+ISNUMBER(SEARCH('F-COMPRA'!$F$35,Tabla11[[#This Row],[Cuenta]],1))</f>
        <v>1</v>
      </c>
      <c r="T1125" t="b">
        <f>+ISNUMBER(SEARCH('F-COMPRA'!$F$36,Tabla11[[#This Row],[Cuenta]],1))</f>
        <v>1</v>
      </c>
      <c r="U1125" t="b">
        <f>+ISNUMBER(SEARCH('F-COMPRA'!$F$37,Tabla11[[#This Row],[Cuenta]],1))</f>
        <v>1</v>
      </c>
      <c r="V1125" t="b">
        <f>+ISNUMBER(SEARCH(#REF!,Tabla11[[#This Row],[Cuenta]],1))</f>
        <v>0</v>
      </c>
      <c r="W1125" t="b">
        <f>+ISNUMBER(SEARCH('F-COMPRA'!#REF!,Tabla11[[#This Row],[Cuenta]],1))</f>
        <v>0</v>
      </c>
      <c r="X1125" t="b">
        <f>+ISNUMBER(SEARCH('F-COMPRA'!#REF!,Tabla11[[#This Row],[Cuenta]],1))</f>
        <v>0</v>
      </c>
      <c r="Y1125" t="b">
        <f>+ISNUMBER(SEARCH('F-COMPRA'!#REF!,Tabla11[[#This Row],[Cuenta]],1))</f>
        <v>0</v>
      </c>
      <c r="Z1125" t="b">
        <f>+ISNUMBER(SEARCH('F-COMPRA'!#REF!,Tabla11[[#This Row],[Cuenta]],1))</f>
        <v>0</v>
      </c>
      <c r="AA1125" t="b">
        <f>+ISNUMBER(SEARCH('F-COMPRA'!#REF!,Tabla11[[#This Row],[Cuenta]],1))</f>
        <v>0</v>
      </c>
      <c r="AB1125" t="b">
        <f>+ISNUMBER(SEARCH('F-COMPRA'!#REF!,Tabla11[[#This Row],[Cuenta]],1))</f>
        <v>0</v>
      </c>
      <c r="AC1125" t="b">
        <f>+ISNUMBER(SEARCH('F-COMPRA'!#REF!,Tabla11[[#This Row],[Cuenta]],1))</f>
        <v>0</v>
      </c>
      <c r="AD1125" t="b">
        <f>+ISNUMBER(SEARCH('F-COMPRA'!#REF!,Tabla11[[#This Row],[Cuenta]],1))</f>
        <v>0</v>
      </c>
      <c r="AE1125" t="b">
        <f>+ISNUMBER(SEARCH('F-COMPRA'!#REF!,Tabla11[[#This Row],[Cuenta]],1))</f>
        <v>0</v>
      </c>
      <c r="AF1125" t="b">
        <f>+ISNUMBER(SEARCH('F-VTA'!$G$23,Tabla11[[#This Row],[Cuenta]],1))</f>
        <v>0</v>
      </c>
      <c r="AG1125" t="b">
        <f>+ISNUMBER(SEARCH('F-VTA'!$G$24,Tabla11[[#This Row],[Cuenta]],1))</f>
        <v>0</v>
      </c>
      <c r="AH1125" t="b">
        <f>+ISNUMBER(SEARCH('F-VTA'!$G$25,Tabla11[[#This Row],[Cuenta]],1))</f>
        <v>0</v>
      </c>
      <c r="AI1125" t="b">
        <f>+ISNUMBER(SEARCH('F-VTA'!$F$28,Tabla11[[#This Row],[Cuenta]],1))</f>
        <v>1</v>
      </c>
      <c r="AJ1125" t="b">
        <f>+ISNUMBER(SEARCH('F-VTA'!$F$29,Tabla11[[#This Row],[Cuenta]],1))</f>
        <v>1</v>
      </c>
      <c r="AK1125" t="b">
        <f>+ISNUMBER(SEARCH('F-VTA'!$F$30,Tabla11[[#This Row],[Cuenta]],1))</f>
        <v>1</v>
      </c>
      <c r="AL1125" t="b">
        <f>+ISNUMBER(SEARCH('F-VTA'!$F$31,Tabla11[[#This Row],[Cuenta]],1))</f>
        <v>1</v>
      </c>
      <c r="AM1125" t="b">
        <f>+ISNUMBER(SEARCH('F-VTA'!$F$32,Tabla11[[#This Row],[Cuenta]],1))</f>
        <v>1</v>
      </c>
      <c r="AN1125" t="b">
        <f>+ISNUMBER(SEARCH('F-VTA'!$F$33,Tabla11[[#This Row],[Cuenta]],1))</f>
        <v>1</v>
      </c>
      <c r="AO1125" t="b">
        <f>+ISNUMBER(SEARCH('F-VTA'!$F$34,Tabla11[[#This Row],[Cuenta]],1))</f>
        <v>1</v>
      </c>
      <c r="AP1125" t="b">
        <f>+ISNUMBER(SEARCH('F-VTA'!$F$35,Tabla11[[#This Row],[Cuenta]],1))</f>
        <v>1</v>
      </c>
      <c r="AQ1125" t="b">
        <f>+ISNUMBER(SEARCH('F-VTA'!$F$36,Tabla11[[#This Row],[Cuenta]],1))</f>
        <v>1</v>
      </c>
      <c r="AR1125" t="b">
        <f>+ISNUMBER(SEARCH(#REF!,Tabla11[[#This Row],[Cuenta]],1))</f>
        <v>0</v>
      </c>
      <c r="AS1125" t="b">
        <f>+ISNUMBER(SEARCH(#REF!,Tabla11[[#This Row],[Cuenta]],1))</f>
        <v>0</v>
      </c>
      <c r="AT1125" t="b">
        <f>+ISNUMBER(SEARCH(#REF!,Tabla11[[#This Row],[Cuenta]],1))</f>
        <v>0</v>
      </c>
      <c r="AU1125" t="b">
        <f>+ISNUMBER(SEARCH('Conc. Ban.1'!$I$9,Tabla11[[#This Row],[Cuenta]],1))</f>
        <v>0</v>
      </c>
      <c r="AV1125" t="b">
        <f>+ISNUMBER(SEARCH(CompConta!$F$21,Tabla11[[#This Row],[Cuenta]],1))</f>
        <v>1</v>
      </c>
      <c r="AW1125" t="b">
        <f>+ISNUMBER(SEARCH(CompConta!$F$22,Tabla11[[#This Row],[Cuenta]],1))</f>
        <v>1</v>
      </c>
      <c r="AX1125" t="b">
        <f>+ISNUMBER(SEARCH(CompConta!$F$23,Tabla11[[#This Row],[Cuenta]],1))</f>
        <v>1</v>
      </c>
      <c r="AY1125" t="b">
        <f>+ISNUMBER(SEARCH(CompConta!$F$24,Tabla11[[#This Row],[Cuenta]],1))</f>
        <v>1</v>
      </c>
      <c r="AZ1125" t="b">
        <f>+ISNUMBER(SEARCH(CompConta!$F$25,Tabla11[[#This Row],[Cuenta]],1))</f>
        <v>1</v>
      </c>
      <c r="BA1125" t="b">
        <f>+ISNUMBER(SEARCH(CompConta!$F$26,Tabla11[[#This Row],[Cuenta]],1))</f>
        <v>1</v>
      </c>
      <c r="BB1125" t="b">
        <f>+ISNUMBER(SEARCH(CompConta!$F$27,Tabla11[[#This Row],[Cuenta]],1))</f>
        <v>1</v>
      </c>
      <c r="BC1125" t="b">
        <f>+ISNUMBER(SEARCH(CompConta!$F$28,Tabla11[[#This Row],[Cuenta]],1))</f>
        <v>1</v>
      </c>
      <c r="BD1125" t="b">
        <f>+ISNUMBER(SEARCH(CompConta!$F$29,Tabla11[[#This Row],[Cuenta]],1))</f>
        <v>1</v>
      </c>
      <c r="BE1125" t="b">
        <f>+ISNUMBER(SEARCH(CompConta!$F$30,Tabla11[[#This Row],[Cuenta]],1))</f>
        <v>1</v>
      </c>
      <c r="BF1125" t="b">
        <f>+ISNUMBER(SEARCH('PAGO Compras'!$E$11,Tabla11[[#This Row],[Cuenta]],1))</f>
        <v>1</v>
      </c>
      <c r="BG1125" t="b">
        <f>+ISNUMBER(SEARCH(#REF!,Tabla11[[#This Row],[Cuenta]],1))</f>
        <v>0</v>
      </c>
      <c r="BH1125" t="b">
        <f>+ISNUMBER(SEARCH(#REF!,Tabla11[[#This Row],[Cuenta]],1))</f>
        <v>0</v>
      </c>
      <c r="BI1125" t="b">
        <f>+ISNUMBER(SEARCH(#REF!,Tabla11[[#This Row],[Cuenta]],1))</f>
        <v>0</v>
      </c>
      <c r="BJ1125" t="b">
        <f>+ISNUMBER(SEARCH(#REF!,Tabla11[[#This Row],[Cuenta]],1))</f>
        <v>0</v>
      </c>
      <c r="BS1125" t="str">
        <v>54 IMPUESTO DE RENTA Y COMPLEMENTARIOS</v>
      </c>
      <c r="BT1125" t="str">
        <v>54 IMPUESTO DE RENTA Y COMPLEMENTARIOS</v>
      </c>
      <c r="BU1125" t="str">
        <v>54 IMPUESTO DE RENTA Y COMPLEMENTARIOS</v>
      </c>
      <c r="BV1125" t="str">
        <v>54 IMPUESTO DE RENTA Y COMPLEMENTARIOS</v>
      </c>
      <c r="BZ1125" t="str">
        <v>54 IMPUESTO DE RENTA Y COMPLEMENTARIOS</v>
      </c>
      <c r="CA1125" t="str">
        <v>54 IMPUESTO DE RENTA Y COMPLEMENTARIOS</v>
      </c>
      <c r="CB1125" t="str">
        <v>54 IMPUESTO DE RENTA Y COMPLEMENTARIOS</v>
      </c>
      <c r="CC1125" t="str">
        <v>54 IMPUESTO DE RENTA Y COMPLEMENTARIOS</v>
      </c>
      <c r="CD1125" t="str">
        <v>54 IMPUESTO DE RENTA Y COMPLEMENTARIOS</v>
      </c>
      <c r="CE1125" t="str">
        <v>54 IMPUESTO DE RENTA Y COMPLEMENTARIOS</v>
      </c>
      <c r="CS1125" s="141" t="str">
        <v>54 IMPUESTO DE RENTA Y COMPLEMENTARIOS</v>
      </c>
      <c r="CT1125" s="141" t="str">
        <v>54 IMPUESTO DE RENTA Y COMPLEMENTARIOS</v>
      </c>
      <c r="CU1125" s="141" t="str">
        <v>54 IMPUESTO DE RENTA Y COMPLEMENTARIOS</v>
      </c>
      <c r="CV1125" s="141" t="str">
        <v>54 IMPUESTO DE RENTA Y COMPLEMENTARIOS</v>
      </c>
      <c r="CW1125" s="141" t="str">
        <v>54 IMPUESTO DE RENTA Y COMPLEMENTARIOS</v>
      </c>
      <c r="CX1125" s="141" t="str">
        <v>54 IMPUESTO DE RENTA Y COMPLEMENTARIOS</v>
      </c>
      <c r="CY1125" s="141" t="str">
        <v>54 IMPUESTO DE RENTA Y COMPLEMENTARIOS</v>
      </c>
      <c r="CZ1125" s="141" t="str">
        <v>54 IMPUESTO DE RENTA Y COMPLEMENTARIOS</v>
      </c>
      <c r="DA1125" s="141" t="str">
        <v>54 IMPUESTO DE RENTA Y COMPLEMENTARIOS</v>
      </c>
      <c r="DF1125" t="str">
        <v>54 IMPUESTO DE RENTA Y COMPLEMENTARIOS</v>
      </c>
      <c r="DG1125" t="str">
        <v>54 IMPUESTO DE RENTA Y COMPLEMENTARIOS</v>
      </c>
      <c r="DH1125" t="str">
        <v>54 IMPUESTO DE RENTA Y COMPLEMENTARIOS</v>
      </c>
      <c r="DI1125" t="str">
        <v>54 IMPUESTO DE RENTA Y COMPLEMENTARIOS</v>
      </c>
      <c r="DJ1125" t="str">
        <v>54 IMPUESTO DE RENTA Y COMPLEMENTARIOS</v>
      </c>
      <c r="DK1125" t="str">
        <v>54 IMPUESTO DE RENTA Y COMPLEMENTARIOS</v>
      </c>
      <c r="DL1125" t="str">
        <v>54 IMPUESTO DE RENTA Y COMPLEMENTARIOS</v>
      </c>
      <c r="DM1125" t="str">
        <v>54 IMPUESTO DE RENTA Y COMPLEMENTARIOS</v>
      </c>
      <c r="DN1125" t="str">
        <v>54 IMPUESTO DE RENTA Y COMPLEMENTARIOS</v>
      </c>
      <c r="DO1125" t="str">
        <v>54 IMPUESTO DE RENTA Y COMPLEMENTARIOS</v>
      </c>
      <c r="DP1125" t="str">
        <v>54 IMPUESTO DE RENTA Y COMPLEMENTARIOS</v>
      </c>
    </row>
    <row r="1126" spans="4:120" ht="12.75">
      <c r="D1126" s="7">
        <v>5405</v>
      </c>
      <c r="E1126" s="6" t="s">
        <v>655</v>
      </c>
      <c r="F1126" s="5">
        <v>3</v>
      </c>
      <c r="G1126" s="34" t="s">
        <v>830</v>
      </c>
      <c r="H1126" s="8" t="s">
        <v>32</v>
      </c>
      <c r="I1126" t="b">
        <f>+ISNUMBER(SEARCH('F-COMPRA'!$F$28,Tabla11[[#This Row],[Cuenta]],1))</f>
        <v>1</v>
      </c>
      <c r="J1126" t="b">
        <f>+ISNUMBER(SEARCH('F-COMPRA'!$F$29,Tabla11[[#This Row],[Cuenta]],1))</f>
        <v>1</v>
      </c>
      <c r="K1126" t="b">
        <f>+ISNUMBER(SEARCH('F-COMPRA'!$F$30,Tabla11[[#This Row],[Cuenta]],1))</f>
        <v>1</v>
      </c>
      <c r="L1126" t="b">
        <f>+ISNUMBER(SEARCH('F-COMPRA'!$F$31,Tabla11[[#This Row],[Cuenta]],1))</f>
        <v>1</v>
      </c>
      <c r="M1126" t="b">
        <f>+ISNUMBER(SEARCH('F-COMPRA'!$G$25,Tabla11[[#This Row],[Cuenta]],1))</f>
        <v>0</v>
      </c>
      <c r="N1126" t="b">
        <f>+ISNUMBER(SEARCH(#REF!,Tabla11[[#This Row],[Cuenta]],1))</f>
        <v>0</v>
      </c>
      <c r="O1126" t="b">
        <f>+ISNUMBER(SEARCH(#REF!,Tabla11[[#This Row],[Cuenta]],1))</f>
        <v>0</v>
      </c>
      <c r="P1126" t="b">
        <f>+ISNUMBER(SEARCH('F-COMPRA'!$F$32,Tabla11[[#This Row],[Cuenta]],1))</f>
        <v>1</v>
      </c>
      <c r="Q1126" t="b">
        <f>+ISNUMBER(SEARCH('F-COMPRA'!$F$33,Tabla11[[#This Row],[Cuenta]],1))</f>
        <v>1</v>
      </c>
      <c r="R1126" t="b">
        <f>+ISNUMBER(SEARCH('F-COMPRA'!$F$34,Tabla11[[#This Row],[Cuenta]],1))</f>
        <v>1</v>
      </c>
      <c r="S1126" t="b">
        <f>+ISNUMBER(SEARCH('F-COMPRA'!$F$35,Tabla11[[#This Row],[Cuenta]],1))</f>
        <v>1</v>
      </c>
      <c r="T1126" t="b">
        <f>+ISNUMBER(SEARCH('F-COMPRA'!$F$36,Tabla11[[#This Row],[Cuenta]],1))</f>
        <v>1</v>
      </c>
      <c r="U1126" t="b">
        <f>+ISNUMBER(SEARCH('F-COMPRA'!$F$37,Tabla11[[#This Row],[Cuenta]],1))</f>
        <v>1</v>
      </c>
      <c r="V1126" t="b">
        <f>+ISNUMBER(SEARCH(#REF!,Tabla11[[#This Row],[Cuenta]],1))</f>
        <v>0</v>
      </c>
      <c r="W1126" t="b">
        <f>+ISNUMBER(SEARCH('F-COMPRA'!#REF!,Tabla11[[#This Row],[Cuenta]],1))</f>
        <v>0</v>
      </c>
      <c r="X1126" t="b">
        <f>+ISNUMBER(SEARCH('F-COMPRA'!#REF!,Tabla11[[#This Row],[Cuenta]],1))</f>
        <v>0</v>
      </c>
      <c r="Y1126" t="b">
        <f>+ISNUMBER(SEARCH('F-COMPRA'!#REF!,Tabla11[[#This Row],[Cuenta]],1))</f>
        <v>0</v>
      </c>
      <c r="Z1126" t="b">
        <f>+ISNUMBER(SEARCH('F-COMPRA'!#REF!,Tabla11[[#This Row],[Cuenta]],1))</f>
        <v>0</v>
      </c>
      <c r="AA1126" t="b">
        <f>+ISNUMBER(SEARCH('F-COMPRA'!#REF!,Tabla11[[#This Row],[Cuenta]],1))</f>
        <v>0</v>
      </c>
      <c r="AB1126" t="b">
        <f>+ISNUMBER(SEARCH('F-COMPRA'!#REF!,Tabla11[[#This Row],[Cuenta]],1))</f>
        <v>0</v>
      </c>
      <c r="AC1126" t="b">
        <f>+ISNUMBER(SEARCH('F-COMPRA'!#REF!,Tabla11[[#This Row],[Cuenta]],1))</f>
        <v>0</v>
      </c>
      <c r="AD1126" t="b">
        <f>+ISNUMBER(SEARCH('F-COMPRA'!#REF!,Tabla11[[#This Row],[Cuenta]],1))</f>
        <v>0</v>
      </c>
      <c r="AE1126" t="b">
        <f>+ISNUMBER(SEARCH('F-COMPRA'!#REF!,Tabla11[[#This Row],[Cuenta]],1))</f>
        <v>0</v>
      </c>
      <c r="AF1126" t="b">
        <f>+ISNUMBER(SEARCH('F-VTA'!$G$23,Tabla11[[#This Row],[Cuenta]],1))</f>
        <v>0</v>
      </c>
      <c r="AG1126" t="b">
        <f>+ISNUMBER(SEARCH('F-VTA'!$G$24,Tabla11[[#This Row],[Cuenta]],1))</f>
        <v>0</v>
      </c>
      <c r="AH1126" t="b">
        <f>+ISNUMBER(SEARCH('F-VTA'!$G$25,Tabla11[[#This Row],[Cuenta]],1))</f>
        <v>0</v>
      </c>
      <c r="AI1126" t="b">
        <f>+ISNUMBER(SEARCH('F-VTA'!$F$28,Tabla11[[#This Row],[Cuenta]],1))</f>
        <v>1</v>
      </c>
      <c r="AJ1126" t="b">
        <f>+ISNUMBER(SEARCH('F-VTA'!$F$29,Tabla11[[#This Row],[Cuenta]],1))</f>
        <v>1</v>
      </c>
      <c r="AK1126" t="b">
        <f>+ISNUMBER(SEARCH('F-VTA'!$F$30,Tabla11[[#This Row],[Cuenta]],1))</f>
        <v>1</v>
      </c>
      <c r="AL1126" t="b">
        <f>+ISNUMBER(SEARCH('F-VTA'!$F$31,Tabla11[[#This Row],[Cuenta]],1))</f>
        <v>1</v>
      </c>
      <c r="AM1126" t="b">
        <f>+ISNUMBER(SEARCH('F-VTA'!$F$32,Tabla11[[#This Row],[Cuenta]],1))</f>
        <v>1</v>
      </c>
      <c r="AN1126" t="b">
        <f>+ISNUMBER(SEARCH('F-VTA'!$F$33,Tabla11[[#This Row],[Cuenta]],1))</f>
        <v>1</v>
      </c>
      <c r="AO1126" t="b">
        <f>+ISNUMBER(SEARCH('F-VTA'!$F$34,Tabla11[[#This Row],[Cuenta]],1))</f>
        <v>1</v>
      </c>
      <c r="AP1126" t="b">
        <f>+ISNUMBER(SEARCH('F-VTA'!$F$35,Tabla11[[#This Row],[Cuenta]],1))</f>
        <v>1</v>
      </c>
      <c r="AQ1126" t="b">
        <f>+ISNUMBER(SEARCH('F-VTA'!$F$36,Tabla11[[#This Row],[Cuenta]],1))</f>
        <v>1</v>
      </c>
      <c r="AR1126" t="b">
        <f>+ISNUMBER(SEARCH(#REF!,Tabla11[[#This Row],[Cuenta]],1))</f>
        <v>0</v>
      </c>
      <c r="AS1126" t="b">
        <f>+ISNUMBER(SEARCH(#REF!,Tabla11[[#This Row],[Cuenta]],1))</f>
        <v>0</v>
      </c>
      <c r="AT1126" t="b">
        <f>+ISNUMBER(SEARCH(#REF!,Tabla11[[#This Row],[Cuenta]],1))</f>
        <v>0</v>
      </c>
      <c r="AU1126" t="b">
        <f>+ISNUMBER(SEARCH('Conc. Ban.1'!$I$9,Tabla11[[#This Row],[Cuenta]],1))</f>
        <v>0</v>
      </c>
      <c r="AV1126" t="b">
        <f>+ISNUMBER(SEARCH(CompConta!$F$21,Tabla11[[#This Row],[Cuenta]],1))</f>
        <v>1</v>
      </c>
      <c r="AW1126" t="b">
        <f>+ISNUMBER(SEARCH(CompConta!$F$22,Tabla11[[#This Row],[Cuenta]],1))</f>
        <v>1</v>
      </c>
      <c r="AX1126" t="b">
        <f>+ISNUMBER(SEARCH(CompConta!$F$23,Tabla11[[#This Row],[Cuenta]],1))</f>
        <v>1</v>
      </c>
      <c r="AY1126" t="b">
        <f>+ISNUMBER(SEARCH(CompConta!$F$24,Tabla11[[#This Row],[Cuenta]],1))</f>
        <v>1</v>
      </c>
      <c r="AZ1126" t="b">
        <f>+ISNUMBER(SEARCH(CompConta!$F$25,Tabla11[[#This Row],[Cuenta]],1))</f>
        <v>1</v>
      </c>
      <c r="BA1126" t="b">
        <f>+ISNUMBER(SEARCH(CompConta!$F$26,Tabla11[[#This Row],[Cuenta]],1))</f>
        <v>1</v>
      </c>
      <c r="BB1126" t="b">
        <f>+ISNUMBER(SEARCH(CompConta!$F$27,Tabla11[[#This Row],[Cuenta]],1))</f>
        <v>1</v>
      </c>
      <c r="BC1126" t="b">
        <f>+ISNUMBER(SEARCH(CompConta!$F$28,Tabla11[[#This Row],[Cuenta]],1))</f>
        <v>1</v>
      </c>
      <c r="BD1126" t="b">
        <f>+ISNUMBER(SEARCH(CompConta!$F$29,Tabla11[[#This Row],[Cuenta]],1))</f>
        <v>1</v>
      </c>
      <c r="BE1126" t="b">
        <f>+ISNUMBER(SEARCH(CompConta!$F$30,Tabla11[[#This Row],[Cuenta]],1))</f>
        <v>1</v>
      </c>
      <c r="BF1126" t="b">
        <f>+ISNUMBER(SEARCH('PAGO Compras'!$E$11,Tabla11[[#This Row],[Cuenta]],1))</f>
        <v>1</v>
      </c>
      <c r="BG1126" t="b">
        <f>+ISNUMBER(SEARCH(#REF!,Tabla11[[#This Row],[Cuenta]],1))</f>
        <v>0</v>
      </c>
      <c r="BH1126" t="b">
        <f>+ISNUMBER(SEARCH(#REF!,Tabla11[[#This Row],[Cuenta]],1))</f>
        <v>0</v>
      </c>
      <c r="BI1126" t="b">
        <f>+ISNUMBER(SEARCH(#REF!,Tabla11[[#This Row],[Cuenta]],1))</f>
        <v>0</v>
      </c>
      <c r="BJ1126" t="b">
        <f>+ISNUMBER(SEARCH(#REF!,Tabla11[[#This Row],[Cuenta]],1))</f>
        <v>0</v>
      </c>
      <c r="BS1126" t="str">
        <v>5405 IMPUESTO DE RENTA Y COMPLEMENTARIOS</v>
      </c>
      <c r="BT1126" t="str">
        <v>5405 IMPUESTO DE RENTA Y COMPLEMENTARIOS</v>
      </c>
      <c r="BU1126" t="str">
        <v>5405 IMPUESTO DE RENTA Y COMPLEMENTARIOS</v>
      </c>
      <c r="BV1126" t="str">
        <v>5405 IMPUESTO DE RENTA Y COMPLEMENTARIOS</v>
      </c>
      <c r="BZ1126" t="str">
        <v>5405 IMPUESTO DE RENTA Y COMPLEMENTARIOS</v>
      </c>
      <c r="CA1126" t="str">
        <v>5405 IMPUESTO DE RENTA Y COMPLEMENTARIOS</v>
      </c>
      <c r="CB1126" t="str">
        <v>5405 IMPUESTO DE RENTA Y COMPLEMENTARIOS</v>
      </c>
      <c r="CC1126" t="str">
        <v>5405 IMPUESTO DE RENTA Y COMPLEMENTARIOS</v>
      </c>
      <c r="CD1126" t="str">
        <v>5405 IMPUESTO DE RENTA Y COMPLEMENTARIOS</v>
      </c>
      <c r="CE1126" t="str">
        <v>5405 IMPUESTO DE RENTA Y COMPLEMENTARIOS</v>
      </c>
      <c r="CS1126" s="141" t="str">
        <v>5405 IMPUESTO DE RENTA Y COMPLEMENTARIOS</v>
      </c>
      <c r="CT1126" s="141" t="str">
        <v>5405 IMPUESTO DE RENTA Y COMPLEMENTARIOS</v>
      </c>
      <c r="CU1126" s="141" t="str">
        <v>5405 IMPUESTO DE RENTA Y COMPLEMENTARIOS</v>
      </c>
      <c r="CV1126" s="141" t="str">
        <v>5405 IMPUESTO DE RENTA Y COMPLEMENTARIOS</v>
      </c>
      <c r="CW1126" s="141" t="str">
        <v>5405 IMPUESTO DE RENTA Y COMPLEMENTARIOS</v>
      </c>
      <c r="CX1126" s="141" t="str">
        <v>5405 IMPUESTO DE RENTA Y COMPLEMENTARIOS</v>
      </c>
      <c r="CY1126" s="141" t="str">
        <v>5405 IMPUESTO DE RENTA Y COMPLEMENTARIOS</v>
      </c>
      <c r="CZ1126" s="141" t="str">
        <v>5405 IMPUESTO DE RENTA Y COMPLEMENTARIOS</v>
      </c>
      <c r="DA1126" s="141" t="str">
        <v>5405 IMPUESTO DE RENTA Y COMPLEMENTARIOS</v>
      </c>
      <c r="DF1126" t="str">
        <v>5405 IMPUESTO DE RENTA Y COMPLEMENTARIOS</v>
      </c>
      <c r="DG1126" t="str">
        <v>5405 IMPUESTO DE RENTA Y COMPLEMENTARIOS</v>
      </c>
      <c r="DH1126" t="str">
        <v>5405 IMPUESTO DE RENTA Y COMPLEMENTARIOS</v>
      </c>
      <c r="DI1126" t="str">
        <v>5405 IMPUESTO DE RENTA Y COMPLEMENTARIOS</v>
      </c>
      <c r="DJ1126" t="str">
        <v>5405 IMPUESTO DE RENTA Y COMPLEMENTARIOS</v>
      </c>
      <c r="DK1126" t="str">
        <v>5405 IMPUESTO DE RENTA Y COMPLEMENTARIOS</v>
      </c>
      <c r="DL1126" t="str">
        <v>5405 IMPUESTO DE RENTA Y COMPLEMENTARIOS</v>
      </c>
      <c r="DM1126" t="str">
        <v>5405 IMPUESTO DE RENTA Y COMPLEMENTARIOS</v>
      </c>
      <c r="DN1126" t="str">
        <v>5405 IMPUESTO DE RENTA Y COMPLEMENTARIOS</v>
      </c>
      <c r="DO1126" t="str">
        <v>5405 IMPUESTO DE RENTA Y COMPLEMENTARIOS</v>
      </c>
      <c r="DP1126" t="str">
        <v>5405 IMPUESTO DE RENTA Y COMPLEMENTARIOS</v>
      </c>
    </row>
    <row r="1127" spans="4:120" ht="12.75">
      <c r="D1127" s="7">
        <v>540505</v>
      </c>
      <c r="E1127" s="6" t="s">
        <v>656</v>
      </c>
      <c r="F1127" s="5">
        <v>4</v>
      </c>
      <c r="G1127" s="34" t="s">
        <v>830</v>
      </c>
      <c r="H1127" s="8" t="s">
        <v>32</v>
      </c>
      <c r="I1127" t="b">
        <f>+ISNUMBER(SEARCH('F-COMPRA'!$F$28,Tabla11[[#This Row],[Cuenta]],1))</f>
        <v>1</v>
      </c>
      <c r="J1127" t="b">
        <f>+ISNUMBER(SEARCH('F-COMPRA'!$F$29,Tabla11[[#This Row],[Cuenta]],1))</f>
        <v>1</v>
      </c>
      <c r="K1127" t="b">
        <f>+ISNUMBER(SEARCH('F-COMPRA'!$F$30,Tabla11[[#This Row],[Cuenta]],1))</f>
        <v>1</v>
      </c>
      <c r="L1127" t="b">
        <f>+ISNUMBER(SEARCH('F-COMPRA'!$F$31,Tabla11[[#This Row],[Cuenta]],1))</f>
        <v>1</v>
      </c>
      <c r="M1127" t="b">
        <f>+ISNUMBER(SEARCH('F-COMPRA'!$G$25,Tabla11[[#This Row],[Cuenta]],1))</f>
        <v>0</v>
      </c>
      <c r="N1127" t="b">
        <f>+ISNUMBER(SEARCH(#REF!,Tabla11[[#This Row],[Cuenta]],1))</f>
        <v>0</v>
      </c>
      <c r="O1127" t="b">
        <f>+ISNUMBER(SEARCH(#REF!,Tabla11[[#This Row],[Cuenta]],1))</f>
        <v>0</v>
      </c>
      <c r="P1127" t="b">
        <f>+ISNUMBER(SEARCH('F-COMPRA'!$F$32,Tabla11[[#This Row],[Cuenta]],1))</f>
        <v>1</v>
      </c>
      <c r="Q1127" t="b">
        <f>+ISNUMBER(SEARCH('F-COMPRA'!$F$33,Tabla11[[#This Row],[Cuenta]],1))</f>
        <v>1</v>
      </c>
      <c r="R1127" t="b">
        <f>+ISNUMBER(SEARCH('F-COMPRA'!$F$34,Tabla11[[#This Row],[Cuenta]],1))</f>
        <v>1</v>
      </c>
      <c r="S1127" t="b">
        <f>+ISNUMBER(SEARCH('F-COMPRA'!$F$35,Tabla11[[#This Row],[Cuenta]],1))</f>
        <v>1</v>
      </c>
      <c r="T1127" t="b">
        <f>+ISNUMBER(SEARCH('F-COMPRA'!$F$36,Tabla11[[#This Row],[Cuenta]],1))</f>
        <v>1</v>
      </c>
      <c r="U1127" t="b">
        <f>+ISNUMBER(SEARCH('F-COMPRA'!$F$37,Tabla11[[#This Row],[Cuenta]],1))</f>
        <v>1</v>
      </c>
      <c r="V1127" t="b">
        <f>+ISNUMBER(SEARCH(#REF!,Tabla11[[#This Row],[Cuenta]],1))</f>
        <v>0</v>
      </c>
      <c r="W1127" t="b">
        <f>+ISNUMBER(SEARCH('F-COMPRA'!#REF!,Tabla11[[#This Row],[Cuenta]],1))</f>
        <v>0</v>
      </c>
      <c r="X1127" t="b">
        <f>+ISNUMBER(SEARCH('F-COMPRA'!#REF!,Tabla11[[#This Row],[Cuenta]],1))</f>
        <v>0</v>
      </c>
      <c r="Y1127" t="b">
        <f>+ISNUMBER(SEARCH('F-COMPRA'!#REF!,Tabla11[[#This Row],[Cuenta]],1))</f>
        <v>0</v>
      </c>
      <c r="Z1127" t="b">
        <f>+ISNUMBER(SEARCH('F-COMPRA'!#REF!,Tabla11[[#This Row],[Cuenta]],1))</f>
        <v>0</v>
      </c>
      <c r="AA1127" t="b">
        <f>+ISNUMBER(SEARCH('F-COMPRA'!#REF!,Tabla11[[#This Row],[Cuenta]],1))</f>
        <v>0</v>
      </c>
      <c r="AB1127" t="b">
        <f>+ISNUMBER(SEARCH('F-COMPRA'!#REF!,Tabla11[[#This Row],[Cuenta]],1))</f>
        <v>0</v>
      </c>
      <c r="AC1127" t="b">
        <f>+ISNUMBER(SEARCH('F-COMPRA'!#REF!,Tabla11[[#This Row],[Cuenta]],1))</f>
        <v>0</v>
      </c>
      <c r="AD1127" t="b">
        <f>+ISNUMBER(SEARCH('F-COMPRA'!#REF!,Tabla11[[#This Row],[Cuenta]],1))</f>
        <v>0</v>
      </c>
      <c r="AE1127" t="b">
        <f>+ISNUMBER(SEARCH('F-COMPRA'!#REF!,Tabla11[[#This Row],[Cuenta]],1))</f>
        <v>0</v>
      </c>
      <c r="AF1127" t="b">
        <f>+ISNUMBER(SEARCH('F-VTA'!$G$23,Tabla11[[#This Row],[Cuenta]],1))</f>
        <v>0</v>
      </c>
      <c r="AG1127" t="b">
        <f>+ISNUMBER(SEARCH('F-VTA'!$G$24,Tabla11[[#This Row],[Cuenta]],1))</f>
        <v>0</v>
      </c>
      <c r="AH1127" t="b">
        <f>+ISNUMBER(SEARCH('F-VTA'!$G$25,Tabla11[[#This Row],[Cuenta]],1))</f>
        <v>0</v>
      </c>
      <c r="AI1127" t="b">
        <f>+ISNUMBER(SEARCH('F-VTA'!$F$28,Tabla11[[#This Row],[Cuenta]],1))</f>
        <v>1</v>
      </c>
      <c r="AJ1127" t="b">
        <f>+ISNUMBER(SEARCH('F-VTA'!$F$29,Tabla11[[#This Row],[Cuenta]],1))</f>
        <v>1</v>
      </c>
      <c r="AK1127" t="b">
        <f>+ISNUMBER(SEARCH('F-VTA'!$F$30,Tabla11[[#This Row],[Cuenta]],1))</f>
        <v>1</v>
      </c>
      <c r="AL1127" t="b">
        <f>+ISNUMBER(SEARCH('F-VTA'!$F$31,Tabla11[[#This Row],[Cuenta]],1))</f>
        <v>1</v>
      </c>
      <c r="AM1127" t="b">
        <f>+ISNUMBER(SEARCH('F-VTA'!$F$32,Tabla11[[#This Row],[Cuenta]],1))</f>
        <v>1</v>
      </c>
      <c r="AN1127" t="b">
        <f>+ISNUMBER(SEARCH('F-VTA'!$F$33,Tabla11[[#This Row],[Cuenta]],1))</f>
        <v>1</v>
      </c>
      <c r="AO1127" t="b">
        <f>+ISNUMBER(SEARCH('F-VTA'!$F$34,Tabla11[[#This Row],[Cuenta]],1))</f>
        <v>1</v>
      </c>
      <c r="AP1127" t="b">
        <f>+ISNUMBER(SEARCH('F-VTA'!$F$35,Tabla11[[#This Row],[Cuenta]],1))</f>
        <v>1</v>
      </c>
      <c r="AQ1127" t="b">
        <f>+ISNUMBER(SEARCH('F-VTA'!$F$36,Tabla11[[#This Row],[Cuenta]],1))</f>
        <v>1</v>
      </c>
      <c r="AR1127" t="b">
        <f>+ISNUMBER(SEARCH(#REF!,Tabla11[[#This Row],[Cuenta]],1))</f>
        <v>0</v>
      </c>
      <c r="AS1127" t="b">
        <f>+ISNUMBER(SEARCH(#REF!,Tabla11[[#This Row],[Cuenta]],1))</f>
        <v>0</v>
      </c>
      <c r="AT1127" t="b">
        <f>+ISNUMBER(SEARCH(#REF!,Tabla11[[#This Row],[Cuenta]],1))</f>
        <v>0</v>
      </c>
      <c r="AU1127" t="b">
        <f>+ISNUMBER(SEARCH('Conc. Ban.1'!$I$9,Tabla11[[#This Row],[Cuenta]],1))</f>
        <v>0</v>
      </c>
      <c r="AV1127" t="b">
        <f>+ISNUMBER(SEARCH(CompConta!$F$21,Tabla11[[#This Row],[Cuenta]],1))</f>
        <v>1</v>
      </c>
      <c r="AW1127" t="b">
        <f>+ISNUMBER(SEARCH(CompConta!$F$22,Tabla11[[#This Row],[Cuenta]],1))</f>
        <v>1</v>
      </c>
      <c r="AX1127" t="b">
        <f>+ISNUMBER(SEARCH(CompConta!$F$23,Tabla11[[#This Row],[Cuenta]],1))</f>
        <v>1</v>
      </c>
      <c r="AY1127" t="b">
        <f>+ISNUMBER(SEARCH(CompConta!$F$24,Tabla11[[#This Row],[Cuenta]],1))</f>
        <v>1</v>
      </c>
      <c r="AZ1127" t="b">
        <f>+ISNUMBER(SEARCH(CompConta!$F$25,Tabla11[[#This Row],[Cuenta]],1))</f>
        <v>1</v>
      </c>
      <c r="BA1127" t="b">
        <f>+ISNUMBER(SEARCH(CompConta!$F$26,Tabla11[[#This Row],[Cuenta]],1))</f>
        <v>1</v>
      </c>
      <c r="BB1127" t="b">
        <f>+ISNUMBER(SEARCH(CompConta!$F$27,Tabla11[[#This Row],[Cuenta]],1))</f>
        <v>1</v>
      </c>
      <c r="BC1127" t="b">
        <f>+ISNUMBER(SEARCH(CompConta!$F$28,Tabla11[[#This Row],[Cuenta]],1))</f>
        <v>1</v>
      </c>
      <c r="BD1127" t="b">
        <f>+ISNUMBER(SEARCH(CompConta!$F$29,Tabla11[[#This Row],[Cuenta]],1))</f>
        <v>1</v>
      </c>
      <c r="BE1127" t="b">
        <f>+ISNUMBER(SEARCH(CompConta!$F$30,Tabla11[[#This Row],[Cuenta]],1))</f>
        <v>1</v>
      </c>
      <c r="BF1127" t="b">
        <f>+ISNUMBER(SEARCH('PAGO Compras'!$E$11,Tabla11[[#This Row],[Cuenta]],1))</f>
        <v>1</v>
      </c>
      <c r="BG1127" t="b">
        <f>+ISNUMBER(SEARCH(#REF!,Tabla11[[#This Row],[Cuenta]],1))</f>
        <v>0</v>
      </c>
      <c r="BH1127" t="b">
        <f>+ISNUMBER(SEARCH(#REF!,Tabla11[[#This Row],[Cuenta]],1))</f>
        <v>0</v>
      </c>
      <c r="BI1127" t="b">
        <f>+ISNUMBER(SEARCH(#REF!,Tabla11[[#This Row],[Cuenta]],1))</f>
        <v>0</v>
      </c>
      <c r="BJ1127" t="b">
        <f>+ISNUMBER(SEARCH(#REF!,Tabla11[[#This Row],[Cuenta]],1))</f>
        <v>0</v>
      </c>
      <c r="BS1127" t="str">
        <v>540505 Impuesto de renta y complementarios</v>
      </c>
      <c r="BT1127" t="str">
        <v>540505 Impuesto de renta y complementarios</v>
      </c>
      <c r="BU1127" t="str">
        <v>540505 Impuesto de renta y complementarios</v>
      </c>
      <c r="BV1127" t="str">
        <v>540505 Impuesto de renta y complementarios</v>
      </c>
      <c r="BZ1127" t="str">
        <v>540505 Impuesto de renta y complementarios</v>
      </c>
      <c r="CA1127" t="str">
        <v>540505 Impuesto de renta y complementarios</v>
      </c>
      <c r="CB1127" t="str">
        <v>540505 Impuesto de renta y complementarios</v>
      </c>
      <c r="CC1127" t="str">
        <v>540505 Impuesto de renta y complementarios</v>
      </c>
      <c r="CD1127" t="str">
        <v>540505 Impuesto de renta y complementarios</v>
      </c>
      <c r="CE1127" t="str">
        <v>540505 Impuesto de renta y complementarios</v>
      </c>
      <c r="CS1127" s="141" t="str">
        <v>540505 Impuesto de renta y complementarios</v>
      </c>
      <c r="CT1127" s="141" t="str">
        <v>540505 Impuesto de renta y complementarios</v>
      </c>
      <c r="CU1127" s="141" t="str">
        <v>540505 Impuesto de renta y complementarios</v>
      </c>
      <c r="CV1127" s="141" t="str">
        <v>540505 Impuesto de renta y complementarios</v>
      </c>
      <c r="CW1127" s="141" t="str">
        <v>540505 Impuesto de renta y complementarios</v>
      </c>
      <c r="CX1127" s="141" t="str">
        <v>540505 Impuesto de renta y complementarios</v>
      </c>
      <c r="CY1127" s="141" t="str">
        <v>540505 Impuesto de renta y complementarios</v>
      </c>
      <c r="CZ1127" s="141" t="str">
        <v>540505 Impuesto de renta y complementarios</v>
      </c>
      <c r="DA1127" s="141" t="str">
        <v>540505 Impuesto de renta y complementarios</v>
      </c>
      <c r="DF1127" t="str">
        <v>540505 Impuesto de renta y complementarios</v>
      </c>
      <c r="DG1127" t="str">
        <v>540505 Impuesto de renta y complementarios</v>
      </c>
      <c r="DH1127" t="str">
        <v>540505 Impuesto de renta y complementarios</v>
      </c>
      <c r="DI1127" t="str">
        <v>540505 Impuesto de renta y complementarios</v>
      </c>
      <c r="DJ1127" t="str">
        <v>540505 Impuesto de renta y complementarios</v>
      </c>
      <c r="DK1127" t="str">
        <v>540505 Impuesto de renta y complementarios</v>
      </c>
      <c r="DL1127" t="str">
        <v>540505 Impuesto de renta y complementarios</v>
      </c>
      <c r="DM1127" t="str">
        <v>540505 Impuesto de renta y complementarios</v>
      </c>
      <c r="DN1127" t="str">
        <v>540505 Impuesto de renta y complementarios</v>
      </c>
      <c r="DO1127" t="str">
        <v>540505 Impuesto de renta y complementarios</v>
      </c>
      <c r="DP1127" t="str">
        <v>540505 Impuesto de renta y complementarios</v>
      </c>
    </row>
    <row r="1128" spans="4:120" ht="12.75">
      <c r="D1128" s="7">
        <v>59</v>
      </c>
      <c r="E1128" s="6" t="s">
        <v>657</v>
      </c>
      <c r="F1128" s="5">
        <v>2</v>
      </c>
      <c r="G1128" s="34" t="s">
        <v>830</v>
      </c>
      <c r="H1128" s="8" t="s">
        <v>32</v>
      </c>
      <c r="I1128" t="b">
        <f>+ISNUMBER(SEARCH('F-COMPRA'!$F$28,Tabla11[[#This Row],[Cuenta]],1))</f>
        <v>1</v>
      </c>
      <c r="J1128" t="b">
        <f>+ISNUMBER(SEARCH('F-COMPRA'!$F$29,Tabla11[[#This Row],[Cuenta]],1))</f>
        <v>1</v>
      </c>
      <c r="K1128" t="b">
        <f>+ISNUMBER(SEARCH('F-COMPRA'!$F$30,Tabla11[[#This Row],[Cuenta]],1))</f>
        <v>1</v>
      </c>
      <c r="L1128" t="b">
        <f>+ISNUMBER(SEARCH('F-COMPRA'!$F$31,Tabla11[[#This Row],[Cuenta]],1))</f>
        <v>1</v>
      </c>
      <c r="M1128" t="b">
        <f>+ISNUMBER(SEARCH('F-COMPRA'!$G$25,Tabla11[[#This Row],[Cuenta]],1))</f>
        <v>0</v>
      </c>
      <c r="N1128" t="b">
        <f>+ISNUMBER(SEARCH(#REF!,Tabla11[[#This Row],[Cuenta]],1))</f>
        <v>0</v>
      </c>
      <c r="O1128" t="b">
        <f>+ISNUMBER(SEARCH(#REF!,Tabla11[[#This Row],[Cuenta]],1))</f>
        <v>0</v>
      </c>
      <c r="P1128" t="b">
        <f>+ISNUMBER(SEARCH('F-COMPRA'!$F$32,Tabla11[[#This Row],[Cuenta]],1))</f>
        <v>1</v>
      </c>
      <c r="Q1128" t="b">
        <f>+ISNUMBER(SEARCH('F-COMPRA'!$F$33,Tabla11[[#This Row],[Cuenta]],1))</f>
        <v>1</v>
      </c>
      <c r="R1128" t="b">
        <f>+ISNUMBER(SEARCH('F-COMPRA'!$F$34,Tabla11[[#This Row],[Cuenta]],1))</f>
        <v>1</v>
      </c>
      <c r="S1128" t="b">
        <f>+ISNUMBER(SEARCH('F-COMPRA'!$F$35,Tabla11[[#This Row],[Cuenta]],1))</f>
        <v>1</v>
      </c>
      <c r="T1128" t="b">
        <f>+ISNUMBER(SEARCH('F-COMPRA'!$F$36,Tabla11[[#This Row],[Cuenta]],1))</f>
        <v>1</v>
      </c>
      <c r="U1128" t="b">
        <f>+ISNUMBER(SEARCH('F-COMPRA'!$F$37,Tabla11[[#This Row],[Cuenta]],1))</f>
        <v>1</v>
      </c>
      <c r="V1128" t="b">
        <f>+ISNUMBER(SEARCH(#REF!,Tabla11[[#This Row],[Cuenta]],1))</f>
        <v>0</v>
      </c>
      <c r="W1128" t="b">
        <f>+ISNUMBER(SEARCH('F-COMPRA'!#REF!,Tabla11[[#This Row],[Cuenta]],1))</f>
        <v>0</v>
      </c>
      <c r="X1128" t="b">
        <f>+ISNUMBER(SEARCH('F-COMPRA'!#REF!,Tabla11[[#This Row],[Cuenta]],1))</f>
        <v>0</v>
      </c>
      <c r="Y1128" t="b">
        <f>+ISNUMBER(SEARCH('F-COMPRA'!#REF!,Tabla11[[#This Row],[Cuenta]],1))</f>
        <v>0</v>
      </c>
      <c r="Z1128" t="b">
        <f>+ISNUMBER(SEARCH('F-COMPRA'!#REF!,Tabla11[[#This Row],[Cuenta]],1))</f>
        <v>0</v>
      </c>
      <c r="AA1128" t="b">
        <f>+ISNUMBER(SEARCH('F-COMPRA'!#REF!,Tabla11[[#This Row],[Cuenta]],1))</f>
        <v>0</v>
      </c>
      <c r="AB1128" t="b">
        <f>+ISNUMBER(SEARCH('F-COMPRA'!#REF!,Tabla11[[#This Row],[Cuenta]],1))</f>
        <v>0</v>
      </c>
      <c r="AC1128" t="b">
        <f>+ISNUMBER(SEARCH('F-COMPRA'!#REF!,Tabla11[[#This Row],[Cuenta]],1))</f>
        <v>0</v>
      </c>
      <c r="AD1128" t="b">
        <f>+ISNUMBER(SEARCH('F-COMPRA'!#REF!,Tabla11[[#This Row],[Cuenta]],1))</f>
        <v>0</v>
      </c>
      <c r="AE1128" t="b">
        <f>+ISNUMBER(SEARCH('F-COMPRA'!#REF!,Tabla11[[#This Row],[Cuenta]],1))</f>
        <v>0</v>
      </c>
      <c r="AF1128" t="b">
        <f>+ISNUMBER(SEARCH('F-VTA'!$G$23,Tabla11[[#This Row],[Cuenta]],1))</f>
        <v>0</v>
      </c>
      <c r="AG1128" t="b">
        <f>+ISNUMBER(SEARCH('F-VTA'!$G$24,Tabla11[[#This Row],[Cuenta]],1))</f>
        <v>0</v>
      </c>
      <c r="AH1128" t="b">
        <f>+ISNUMBER(SEARCH('F-VTA'!$G$25,Tabla11[[#This Row],[Cuenta]],1))</f>
        <v>0</v>
      </c>
      <c r="AI1128" t="b">
        <f>+ISNUMBER(SEARCH('F-VTA'!$F$28,Tabla11[[#This Row],[Cuenta]],1))</f>
        <v>1</v>
      </c>
      <c r="AJ1128" t="b">
        <f>+ISNUMBER(SEARCH('F-VTA'!$F$29,Tabla11[[#This Row],[Cuenta]],1))</f>
        <v>1</v>
      </c>
      <c r="AK1128" t="b">
        <f>+ISNUMBER(SEARCH('F-VTA'!$F$30,Tabla11[[#This Row],[Cuenta]],1))</f>
        <v>1</v>
      </c>
      <c r="AL1128" t="b">
        <f>+ISNUMBER(SEARCH('F-VTA'!$F$31,Tabla11[[#This Row],[Cuenta]],1))</f>
        <v>1</v>
      </c>
      <c r="AM1128" t="b">
        <f>+ISNUMBER(SEARCH('F-VTA'!$F$32,Tabla11[[#This Row],[Cuenta]],1))</f>
        <v>1</v>
      </c>
      <c r="AN1128" t="b">
        <f>+ISNUMBER(SEARCH('F-VTA'!$F$33,Tabla11[[#This Row],[Cuenta]],1))</f>
        <v>1</v>
      </c>
      <c r="AO1128" t="b">
        <f>+ISNUMBER(SEARCH('F-VTA'!$F$34,Tabla11[[#This Row],[Cuenta]],1))</f>
        <v>1</v>
      </c>
      <c r="AP1128" t="b">
        <f>+ISNUMBER(SEARCH('F-VTA'!$F$35,Tabla11[[#This Row],[Cuenta]],1))</f>
        <v>1</v>
      </c>
      <c r="AQ1128" t="b">
        <f>+ISNUMBER(SEARCH('F-VTA'!$F$36,Tabla11[[#This Row],[Cuenta]],1))</f>
        <v>1</v>
      </c>
      <c r="AR1128" t="b">
        <f>+ISNUMBER(SEARCH(#REF!,Tabla11[[#This Row],[Cuenta]],1))</f>
        <v>0</v>
      </c>
      <c r="AS1128" t="b">
        <f>+ISNUMBER(SEARCH(#REF!,Tabla11[[#This Row],[Cuenta]],1))</f>
        <v>0</v>
      </c>
      <c r="AT1128" t="b">
        <f>+ISNUMBER(SEARCH(#REF!,Tabla11[[#This Row],[Cuenta]],1))</f>
        <v>0</v>
      </c>
      <c r="AU1128" t="b">
        <f>+ISNUMBER(SEARCH('Conc. Ban.1'!$I$9,Tabla11[[#This Row],[Cuenta]],1))</f>
        <v>0</v>
      </c>
      <c r="AV1128" t="b">
        <f>+ISNUMBER(SEARCH(CompConta!$F$21,Tabla11[[#This Row],[Cuenta]],1))</f>
        <v>1</v>
      </c>
      <c r="AW1128" t="b">
        <f>+ISNUMBER(SEARCH(CompConta!$F$22,Tabla11[[#This Row],[Cuenta]],1))</f>
        <v>1</v>
      </c>
      <c r="AX1128" t="b">
        <f>+ISNUMBER(SEARCH(CompConta!$F$23,Tabla11[[#This Row],[Cuenta]],1))</f>
        <v>1</v>
      </c>
      <c r="AY1128" t="b">
        <f>+ISNUMBER(SEARCH(CompConta!$F$24,Tabla11[[#This Row],[Cuenta]],1))</f>
        <v>1</v>
      </c>
      <c r="AZ1128" t="b">
        <f>+ISNUMBER(SEARCH(CompConta!$F$25,Tabla11[[#This Row],[Cuenta]],1))</f>
        <v>1</v>
      </c>
      <c r="BA1128" t="b">
        <f>+ISNUMBER(SEARCH(CompConta!$F$26,Tabla11[[#This Row],[Cuenta]],1))</f>
        <v>1</v>
      </c>
      <c r="BB1128" t="b">
        <f>+ISNUMBER(SEARCH(CompConta!$F$27,Tabla11[[#This Row],[Cuenta]],1))</f>
        <v>1</v>
      </c>
      <c r="BC1128" t="b">
        <f>+ISNUMBER(SEARCH(CompConta!$F$28,Tabla11[[#This Row],[Cuenta]],1))</f>
        <v>1</v>
      </c>
      <c r="BD1128" t="b">
        <f>+ISNUMBER(SEARCH(CompConta!$F$29,Tabla11[[#This Row],[Cuenta]],1))</f>
        <v>1</v>
      </c>
      <c r="BE1128" t="b">
        <f>+ISNUMBER(SEARCH(CompConta!$F$30,Tabla11[[#This Row],[Cuenta]],1))</f>
        <v>1</v>
      </c>
      <c r="BF1128" t="b">
        <f>+ISNUMBER(SEARCH('PAGO Compras'!$E$11,Tabla11[[#This Row],[Cuenta]],1))</f>
        <v>1</v>
      </c>
      <c r="BG1128" t="b">
        <f>+ISNUMBER(SEARCH(#REF!,Tabla11[[#This Row],[Cuenta]],1))</f>
        <v>0</v>
      </c>
      <c r="BH1128" t="b">
        <f>+ISNUMBER(SEARCH(#REF!,Tabla11[[#This Row],[Cuenta]],1))</f>
        <v>0</v>
      </c>
      <c r="BI1128" t="b">
        <f>+ISNUMBER(SEARCH(#REF!,Tabla11[[#This Row],[Cuenta]],1))</f>
        <v>0</v>
      </c>
      <c r="BJ1128" t="b">
        <f>+ISNUMBER(SEARCH(#REF!,Tabla11[[#This Row],[Cuenta]],1))</f>
        <v>0</v>
      </c>
      <c r="BS1128" t="str">
        <v>59 GANANCIAS Y PÉRDIDAS</v>
      </c>
      <c r="BT1128" t="str">
        <v>59 GANANCIAS Y PÉRDIDAS</v>
      </c>
      <c r="BU1128" t="str">
        <v>59 GANANCIAS Y PÉRDIDAS</v>
      </c>
      <c r="BV1128" t="str">
        <v>59 GANANCIAS Y PÉRDIDAS</v>
      </c>
      <c r="BZ1128" t="str">
        <v>59 GANANCIAS Y PÉRDIDAS</v>
      </c>
      <c r="CA1128" t="str">
        <v>59 GANANCIAS Y PÉRDIDAS</v>
      </c>
      <c r="CB1128" t="str">
        <v>59 GANANCIAS Y PÉRDIDAS</v>
      </c>
      <c r="CC1128" t="str">
        <v>59 GANANCIAS Y PÉRDIDAS</v>
      </c>
      <c r="CD1128" t="str">
        <v>59 GANANCIAS Y PÉRDIDAS</v>
      </c>
      <c r="CE1128" t="str">
        <v>59 GANANCIAS Y PÉRDIDAS</v>
      </c>
      <c r="CS1128" s="141" t="str">
        <v>59 GANANCIAS Y PÉRDIDAS</v>
      </c>
      <c r="CT1128" s="141" t="str">
        <v>59 GANANCIAS Y PÉRDIDAS</v>
      </c>
      <c r="CU1128" s="141" t="str">
        <v>59 GANANCIAS Y PÉRDIDAS</v>
      </c>
      <c r="CV1128" s="141" t="str">
        <v>59 GANANCIAS Y PÉRDIDAS</v>
      </c>
      <c r="CW1128" s="141" t="str">
        <v>59 GANANCIAS Y PÉRDIDAS</v>
      </c>
      <c r="CX1128" s="141" t="str">
        <v>59 GANANCIAS Y PÉRDIDAS</v>
      </c>
      <c r="CY1128" s="141" t="str">
        <v>59 GANANCIAS Y PÉRDIDAS</v>
      </c>
      <c r="CZ1128" s="141" t="str">
        <v>59 GANANCIAS Y PÉRDIDAS</v>
      </c>
      <c r="DA1128" s="141" t="str">
        <v>59 GANANCIAS Y PÉRDIDAS</v>
      </c>
      <c r="DF1128" t="str">
        <v>59 GANANCIAS Y PÉRDIDAS</v>
      </c>
      <c r="DG1128" t="str">
        <v>59 GANANCIAS Y PÉRDIDAS</v>
      </c>
      <c r="DH1128" t="str">
        <v>59 GANANCIAS Y PÉRDIDAS</v>
      </c>
      <c r="DI1128" t="str">
        <v>59 GANANCIAS Y PÉRDIDAS</v>
      </c>
      <c r="DJ1128" t="str">
        <v>59 GANANCIAS Y PÉRDIDAS</v>
      </c>
      <c r="DK1128" t="str">
        <v>59 GANANCIAS Y PÉRDIDAS</v>
      </c>
      <c r="DL1128" t="str">
        <v>59 GANANCIAS Y PÉRDIDAS</v>
      </c>
      <c r="DM1128" t="str">
        <v>59 GANANCIAS Y PÉRDIDAS</v>
      </c>
      <c r="DN1128" t="str">
        <v>59 GANANCIAS Y PÉRDIDAS</v>
      </c>
      <c r="DO1128" t="str">
        <v>59 GANANCIAS Y PÉRDIDAS</v>
      </c>
      <c r="DP1128" t="str">
        <v>59 GANANCIAS Y PÉRDIDAS</v>
      </c>
    </row>
    <row r="1129" spans="4:120" ht="12.75">
      <c r="D1129" s="7">
        <v>5905</v>
      </c>
      <c r="E1129" s="6" t="s">
        <v>657</v>
      </c>
      <c r="F1129" s="5">
        <v>3</v>
      </c>
      <c r="G1129" s="34" t="s">
        <v>830</v>
      </c>
      <c r="H1129" s="8" t="s">
        <v>32</v>
      </c>
      <c r="I1129" t="b">
        <f>+ISNUMBER(SEARCH('F-COMPRA'!$F$28,Tabla11[[#This Row],[Cuenta]],1))</f>
        <v>1</v>
      </c>
      <c r="J1129" t="b">
        <f>+ISNUMBER(SEARCH('F-COMPRA'!$F$29,Tabla11[[#This Row],[Cuenta]],1))</f>
        <v>1</v>
      </c>
      <c r="K1129" t="b">
        <f>+ISNUMBER(SEARCH('F-COMPRA'!$F$30,Tabla11[[#This Row],[Cuenta]],1))</f>
        <v>1</v>
      </c>
      <c r="L1129" t="b">
        <f>+ISNUMBER(SEARCH('F-COMPRA'!$F$31,Tabla11[[#This Row],[Cuenta]],1))</f>
        <v>1</v>
      </c>
      <c r="M1129" t="b">
        <f>+ISNUMBER(SEARCH('F-COMPRA'!$G$25,Tabla11[[#This Row],[Cuenta]],1))</f>
        <v>0</v>
      </c>
      <c r="N1129" t="b">
        <f>+ISNUMBER(SEARCH(#REF!,Tabla11[[#This Row],[Cuenta]],1))</f>
        <v>0</v>
      </c>
      <c r="O1129" t="b">
        <f>+ISNUMBER(SEARCH(#REF!,Tabla11[[#This Row],[Cuenta]],1))</f>
        <v>0</v>
      </c>
      <c r="P1129" t="b">
        <f>+ISNUMBER(SEARCH('F-COMPRA'!$F$32,Tabla11[[#This Row],[Cuenta]],1))</f>
        <v>1</v>
      </c>
      <c r="Q1129" t="b">
        <f>+ISNUMBER(SEARCH('F-COMPRA'!$F$33,Tabla11[[#This Row],[Cuenta]],1))</f>
        <v>1</v>
      </c>
      <c r="R1129" t="b">
        <f>+ISNUMBER(SEARCH('F-COMPRA'!$F$34,Tabla11[[#This Row],[Cuenta]],1))</f>
        <v>1</v>
      </c>
      <c r="S1129" t="b">
        <f>+ISNUMBER(SEARCH('F-COMPRA'!$F$35,Tabla11[[#This Row],[Cuenta]],1))</f>
        <v>1</v>
      </c>
      <c r="T1129" t="b">
        <f>+ISNUMBER(SEARCH('F-COMPRA'!$F$36,Tabla11[[#This Row],[Cuenta]],1))</f>
        <v>1</v>
      </c>
      <c r="U1129" t="b">
        <f>+ISNUMBER(SEARCH('F-COMPRA'!$F$37,Tabla11[[#This Row],[Cuenta]],1))</f>
        <v>1</v>
      </c>
      <c r="V1129" t="b">
        <f>+ISNUMBER(SEARCH(#REF!,Tabla11[[#This Row],[Cuenta]],1))</f>
        <v>0</v>
      </c>
      <c r="W1129" t="b">
        <f>+ISNUMBER(SEARCH('F-COMPRA'!#REF!,Tabla11[[#This Row],[Cuenta]],1))</f>
        <v>0</v>
      </c>
      <c r="X1129" t="b">
        <f>+ISNUMBER(SEARCH('F-COMPRA'!#REF!,Tabla11[[#This Row],[Cuenta]],1))</f>
        <v>0</v>
      </c>
      <c r="Y1129" t="b">
        <f>+ISNUMBER(SEARCH('F-COMPRA'!#REF!,Tabla11[[#This Row],[Cuenta]],1))</f>
        <v>0</v>
      </c>
      <c r="Z1129" t="b">
        <f>+ISNUMBER(SEARCH('F-COMPRA'!#REF!,Tabla11[[#This Row],[Cuenta]],1))</f>
        <v>0</v>
      </c>
      <c r="AA1129" t="b">
        <f>+ISNUMBER(SEARCH('F-COMPRA'!#REF!,Tabla11[[#This Row],[Cuenta]],1))</f>
        <v>0</v>
      </c>
      <c r="AB1129" t="b">
        <f>+ISNUMBER(SEARCH('F-COMPRA'!#REF!,Tabla11[[#This Row],[Cuenta]],1))</f>
        <v>0</v>
      </c>
      <c r="AC1129" t="b">
        <f>+ISNUMBER(SEARCH('F-COMPRA'!#REF!,Tabla11[[#This Row],[Cuenta]],1))</f>
        <v>0</v>
      </c>
      <c r="AD1129" t="b">
        <f>+ISNUMBER(SEARCH('F-COMPRA'!#REF!,Tabla11[[#This Row],[Cuenta]],1))</f>
        <v>0</v>
      </c>
      <c r="AE1129" t="b">
        <f>+ISNUMBER(SEARCH('F-COMPRA'!#REF!,Tabla11[[#This Row],[Cuenta]],1))</f>
        <v>0</v>
      </c>
      <c r="AF1129" t="b">
        <f>+ISNUMBER(SEARCH('F-VTA'!$G$23,Tabla11[[#This Row],[Cuenta]],1))</f>
        <v>0</v>
      </c>
      <c r="AG1129" t="b">
        <f>+ISNUMBER(SEARCH('F-VTA'!$G$24,Tabla11[[#This Row],[Cuenta]],1))</f>
        <v>0</v>
      </c>
      <c r="AH1129" t="b">
        <f>+ISNUMBER(SEARCH('F-VTA'!$G$25,Tabla11[[#This Row],[Cuenta]],1))</f>
        <v>0</v>
      </c>
      <c r="AI1129" t="b">
        <f>+ISNUMBER(SEARCH('F-VTA'!$F$28,Tabla11[[#This Row],[Cuenta]],1))</f>
        <v>1</v>
      </c>
      <c r="AJ1129" t="b">
        <f>+ISNUMBER(SEARCH('F-VTA'!$F$29,Tabla11[[#This Row],[Cuenta]],1))</f>
        <v>1</v>
      </c>
      <c r="AK1129" t="b">
        <f>+ISNUMBER(SEARCH('F-VTA'!$F$30,Tabla11[[#This Row],[Cuenta]],1))</f>
        <v>1</v>
      </c>
      <c r="AL1129" t="b">
        <f>+ISNUMBER(SEARCH('F-VTA'!$F$31,Tabla11[[#This Row],[Cuenta]],1))</f>
        <v>1</v>
      </c>
      <c r="AM1129" t="b">
        <f>+ISNUMBER(SEARCH('F-VTA'!$F$32,Tabla11[[#This Row],[Cuenta]],1))</f>
        <v>1</v>
      </c>
      <c r="AN1129" t="b">
        <f>+ISNUMBER(SEARCH('F-VTA'!$F$33,Tabla11[[#This Row],[Cuenta]],1))</f>
        <v>1</v>
      </c>
      <c r="AO1129" t="b">
        <f>+ISNUMBER(SEARCH('F-VTA'!$F$34,Tabla11[[#This Row],[Cuenta]],1))</f>
        <v>1</v>
      </c>
      <c r="AP1129" t="b">
        <f>+ISNUMBER(SEARCH('F-VTA'!$F$35,Tabla11[[#This Row],[Cuenta]],1))</f>
        <v>1</v>
      </c>
      <c r="AQ1129" t="b">
        <f>+ISNUMBER(SEARCH('F-VTA'!$F$36,Tabla11[[#This Row],[Cuenta]],1))</f>
        <v>1</v>
      </c>
      <c r="AR1129" t="b">
        <f>+ISNUMBER(SEARCH(#REF!,Tabla11[[#This Row],[Cuenta]],1))</f>
        <v>0</v>
      </c>
      <c r="AS1129" t="b">
        <f>+ISNUMBER(SEARCH(#REF!,Tabla11[[#This Row],[Cuenta]],1))</f>
        <v>0</v>
      </c>
      <c r="AT1129" t="b">
        <f>+ISNUMBER(SEARCH(#REF!,Tabla11[[#This Row],[Cuenta]],1))</f>
        <v>0</v>
      </c>
      <c r="AU1129" t="b">
        <f>+ISNUMBER(SEARCH('Conc. Ban.1'!$I$9,Tabla11[[#This Row],[Cuenta]],1))</f>
        <v>0</v>
      </c>
      <c r="AV1129" t="b">
        <f>+ISNUMBER(SEARCH(CompConta!$F$21,Tabla11[[#This Row],[Cuenta]],1))</f>
        <v>1</v>
      </c>
      <c r="AW1129" t="b">
        <f>+ISNUMBER(SEARCH(CompConta!$F$22,Tabla11[[#This Row],[Cuenta]],1))</f>
        <v>1</v>
      </c>
      <c r="AX1129" t="b">
        <f>+ISNUMBER(SEARCH(CompConta!$F$23,Tabla11[[#This Row],[Cuenta]],1))</f>
        <v>1</v>
      </c>
      <c r="AY1129" t="b">
        <f>+ISNUMBER(SEARCH(CompConta!$F$24,Tabla11[[#This Row],[Cuenta]],1))</f>
        <v>1</v>
      </c>
      <c r="AZ1129" t="b">
        <f>+ISNUMBER(SEARCH(CompConta!$F$25,Tabla11[[#This Row],[Cuenta]],1))</f>
        <v>1</v>
      </c>
      <c r="BA1129" t="b">
        <f>+ISNUMBER(SEARCH(CompConta!$F$26,Tabla11[[#This Row],[Cuenta]],1))</f>
        <v>1</v>
      </c>
      <c r="BB1129" t="b">
        <f>+ISNUMBER(SEARCH(CompConta!$F$27,Tabla11[[#This Row],[Cuenta]],1))</f>
        <v>1</v>
      </c>
      <c r="BC1129" t="b">
        <f>+ISNUMBER(SEARCH(CompConta!$F$28,Tabla11[[#This Row],[Cuenta]],1))</f>
        <v>1</v>
      </c>
      <c r="BD1129" t="b">
        <f>+ISNUMBER(SEARCH(CompConta!$F$29,Tabla11[[#This Row],[Cuenta]],1))</f>
        <v>1</v>
      </c>
      <c r="BE1129" t="b">
        <f>+ISNUMBER(SEARCH(CompConta!$F$30,Tabla11[[#This Row],[Cuenta]],1))</f>
        <v>1</v>
      </c>
      <c r="BF1129" t="b">
        <f>+ISNUMBER(SEARCH('PAGO Compras'!$E$11,Tabla11[[#This Row],[Cuenta]],1))</f>
        <v>1</v>
      </c>
      <c r="BG1129" t="b">
        <f>+ISNUMBER(SEARCH(#REF!,Tabla11[[#This Row],[Cuenta]],1))</f>
        <v>0</v>
      </c>
      <c r="BH1129" t="b">
        <f>+ISNUMBER(SEARCH(#REF!,Tabla11[[#This Row],[Cuenta]],1))</f>
        <v>0</v>
      </c>
      <c r="BI1129" t="b">
        <f>+ISNUMBER(SEARCH(#REF!,Tabla11[[#This Row],[Cuenta]],1))</f>
        <v>0</v>
      </c>
      <c r="BJ1129" t="b">
        <f>+ISNUMBER(SEARCH(#REF!,Tabla11[[#This Row],[Cuenta]],1))</f>
        <v>0</v>
      </c>
      <c r="BS1129" t="str">
        <v>5905 GANANCIAS Y PÉRDIDAS</v>
      </c>
      <c r="BT1129" t="str">
        <v>5905 GANANCIAS Y PÉRDIDAS</v>
      </c>
      <c r="BU1129" t="str">
        <v>5905 GANANCIAS Y PÉRDIDAS</v>
      </c>
      <c r="BV1129" t="str">
        <v>5905 GANANCIAS Y PÉRDIDAS</v>
      </c>
      <c r="BZ1129" t="str">
        <v>5905 GANANCIAS Y PÉRDIDAS</v>
      </c>
      <c r="CA1129" t="str">
        <v>5905 GANANCIAS Y PÉRDIDAS</v>
      </c>
      <c r="CB1129" t="str">
        <v>5905 GANANCIAS Y PÉRDIDAS</v>
      </c>
      <c r="CC1129" t="str">
        <v>5905 GANANCIAS Y PÉRDIDAS</v>
      </c>
      <c r="CD1129" t="str">
        <v>5905 GANANCIAS Y PÉRDIDAS</v>
      </c>
      <c r="CE1129" t="str">
        <v>5905 GANANCIAS Y PÉRDIDAS</v>
      </c>
      <c r="CS1129" s="141" t="str">
        <v>5905 GANANCIAS Y PÉRDIDAS</v>
      </c>
      <c r="CT1129" s="141" t="str">
        <v>5905 GANANCIAS Y PÉRDIDAS</v>
      </c>
      <c r="CU1129" s="141" t="str">
        <v>5905 GANANCIAS Y PÉRDIDAS</v>
      </c>
      <c r="CV1129" s="141" t="str">
        <v>5905 GANANCIAS Y PÉRDIDAS</v>
      </c>
      <c r="CW1129" s="141" t="str">
        <v>5905 GANANCIAS Y PÉRDIDAS</v>
      </c>
      <c r="CX1129" s="141" t="str">
        <v>5905 GANANCIAS Y PÉRDIDAS</v>
      </c>
      <c r="CY1129" s="141" t="str">
        <v>5905 GANANCIAS Y PÉRDIDAS</v>
      </c>
      <c r="CZ1129" s="141" t="str">
        <v>5905 GANANCIAS Y PÉRDIDAS</v>
      </c>
      <c r="DA1129" s="141" t="str">
        <v>5905 GANANCIAS Y PÉRDIDAS</v>
      </c>
      <c r="DF1129" t="str">
        <v>5905 GANANCIAS Y PÉRDIDAS</v>
      </c>
      <c r="DG1129" t="str">
        <v>5905 GANANCIAS Y PÉRDIDAS</v>
      </c>
      <c r="DH1129" t="str">
        <v>5905 GANANCIAS Y PÉRDIDAS</v>
      </c>
      <c r="DI1129" t="str">
        <v>5905 GANANCIAS Y PÉRDIDAS</v>
      </c>
      <c r="DJ1129" t="str">
        <v>5905 GANANCIAS Y PÉRDIDAS</v>
      </c>
      <c r="DK1129" t="str">
        <v>5905 GANANCIAS Y PÉRDIDAS</v>
      </c>
      <c r="DL1129" t="str">
        <v>5905 GANANCIAS Y PÉRDIDAS</v>
      </c>
      <c r="DM1129" t="str">
        <v>5905 GANANCIAS Y PÉRDIDAS</v>
      </c>
      <c r="DN1129" t="str">
        <v>5905 GANANCIAS Y PÉRDIDAS</v>
      </c>
      <c r="DO1129" t="str">
        <v>5905 GANANCIAS Y PÉRDIDAS</v>
      </c>
      <c r="DP1129" t="str">
        <v>5905 GANANCIAS Y PÉRDIDAS</v>
      </c>
    </row>
    <row r="1130" spans="4:120" ht="12.75">
      <c r="D1130" s="7">
        <v>590505</v>
      </c>
      <c r="E1130" s="6" t="s">
        <v>658</v>
      </c>
      <c r="F1130" s="5">
        <v>4</v>
      </c>
      <c r="G1130" s="34" t="s">
        <v>830</v>
      </c>
      <c r="H1130" s="8" t="s">
        <v>32</v>
      </c>
      <c r="I1130" t="b">
        <f>+ISNUMBER(SEARCH('F-COMPRA'!$F$28,Tabla11[[#This Row],[Cuenta]],1))</f>
        <v>1</v>
      </c>
      <c r="J1130" t="b">
        <f>+ISNUMBER(SEARCH('F-COMPRA'!$F$29,Tabla11[[#This Row],[Cuenta]],1))</f>
        <v>1</v>
      </c>
      <c r="K1130" t="b">
        <f>+ISNUMBER(SEARCH('F-COMPRA'!$F$30,Tabla11[[#This Row],[Cuenta]],1))</f>
        <v>1</v>
      </c>
      <c r="L1130" t="b">
        <f>+ISNUMBER(SEARCH('F-COMPRA'!$F$31,Tabla11[[#This Row],[Cuenta]],1))</f>
        <v>1</v>
      </c>
      <c r="M1130" t="b">
        <f>+ISNUMBER(SEARCH('F-COMPRA'!$G$25,Tabla11[[#This Row],[Cuenta]],1))</f>
        <v>0</v>
      </c>
      <c r="N1130" t="b">
        <f>+ISNUMBER(SEARCH(#REF!,Tabla11[[#This Row],[Cuenta]],1))</f>
        <v>0</v>
      </c>
      <c r="O1130" t="b">
        <f>+ISNUMBER(SEARCH(#REF!,Tabla11[[#This Row],[Cuenta]],1))</f>
        <v>0</v>
      </c>
      <c r="P1130" t="b">
        <f>+ISNUMBER(SEARCH('F-COMPRA'!$F$32,Tabla11[[#This Row],[Cuenta]],1))</f>
        <v>1</v>
      </c>
      <c r="Q1130" t="b">
        <f>+ISNUMBER(SEARCH('F-COMPRA'!$F$33,Tabla11[[#This Row],[Cuenta]],1))</f>
        <v>1</v>
      </c>
      <c r="R1130" t="b">
        <f>+ISNUMBER(SEARCH('F-COMPRA'!$F$34,Tabla11[[#This Row],[Cuenta]],1))</f>
        <v>1</v>
      </c>
      <c r="S1130" t="b">
        <f>+ISNUMBER(SEARCH('F-COMPRA'!$F$35,Tabla11[[#This Row],[Cuenta]],1))</f>
        <v>1</v>
      </c>
      <c r="T1130" t="b">
        <f>+ISNUMBER(SEARCH('F-COMPRA'!$F$36,Tabla11[[#This Row],[Cuenta]],1))</f>
        <v>1</v>
      </c>
      <c r="U1130" t="b">
        <f>+ISNUMBER(SEARCH('F-COMPRA'!$F$37,Tabla11[[#This Row],[Cuenta]],1))</f>
        <v>1</v>
      </c>
      <c r="V1130" t="b">
        <f>+ISNUMBER(SEARCH(#REF!,Tabla11[[#This Row],[Cuenta]],1))</f>
        <v>0</v>
      </c>
      <c r="W1130" t="b">
        <f>+ISNUMBER(SEARCH('F-COMPRA'!#REF!,Tabla11[[#This Row],[Cuenta]],1))</f>
        <v>0</v>
      </c>
      <c r="X1130" t="b">
        <f>+ISNUMBER(SEARCH('F-COMPRA'!#REF!,Tabla11[[#This Row],[Cuenta]],1))</f>
        <v>0</v>
      </c>
      <c r="Y1130" t="b">
        <f>+ISNUMBER(SEARCH('F-COMPRA'!#REF!,Tabla11[[#This Row],[Cuenta]],1))</f>
        <v>0</v>
      </c>
      <c r="Z1130" t="b">
        <f>+ISNUMBER(SEARCH('F-COMPRA'!#REF!,Tabla11[[#This Row],[Cuenta]],1))</f>
        <v>0</v>
      </c>
      <c r="AA1130" t="b">
        <f>+ISNUMBER(SEARCH('F-COMPRA'!#REF!,Tabla11[[#This Row],[Cuenta]],1))</f>
        <v>0</v>
      </c>
      <c r="AB1130" t="b">
        <f>+ISNUMBER(SEARCH('F-COMPRA'!#REF!,Tabla11[[#This Row],[Cuenta]],1))</f>
        <v>0</v>
      </c>
      <c r="AC1130" t="b">
        <f>+ISNUMBER(SEARCH('F-COMPRA'!#REF!,Tabla11[[#This Row],[Cuenta]],1))</f>
        <v>0</v>
      </c>
      <c r="AD1130" t="b">
        <f>+ISNUMBER(SEARCH('F-COMPRA'!#REF!,Tabla11[[#This Row],[Cuenta]],1))</f>
        <v>0</v>
      </c>
      <c r="AE1130" t="b">
        <f>+ISNUMBER(SEARCH('F-COMPRA'!#REF!,Tabla11[[#This Row],[Cuenta]],1))</f>
        <v>0</v>
      </c>
      <c r="AF1130" t="b">
        <f>+ISNUMBER(SEARCH('F-VTA'!$G$23,Tabla11[[#This Row],[Cuenta]],1))</f>
        <v>0</v>
      </c>
      <c r="AG1130" t="b">
        <f>+ISNUMBER(SEARCH('F-VTA'!$G$24,Tabla11[[#This Row],[Cuenta]],1))</f>
        <v>0</v>
      </c>
      <c r="AH1130" t="b">
        <f>+ISNUMBER(SEARCH('F-VTA'!$G$25,Tabla11[[#This Row],[Cuenta]],1))</f>
        <v>0</v>
      </c>
      <c r="AI1130" t="b">
        <f>+ISNUMBER(SEARCH('F-VTA'!$F$28,Tabla11[[#This Row],[Cuenta]],1))</f>
        <v>1</v>
      </c>
      <c r="AJ1130" t="b">
        <f>+ISNUMBER(SEARCH('F-VTA'!$F$29,Tabla11[[#This Row],[Cuenta]],1))</f>
        <v>1</v>
      </c>
      <c r="AK1130" t="b">
        <f>+ISNUMBER(SEARCH('F-VTA'!$F$30,Tabla11[[#This Row],[Cuenta]],1))</f>
        <v>1</v>
      </c>
      <c r="AL1130" t="b">
        <f>+ISNUMBER(SEARCH('F-VTA'!$F$31,Tabla11[[#This Row],[Cuenta]],1))</f>
        <v>1</v>
      </c>
      <c r="AM1130" t="b">
        <f>+ISNUMBER(SEARCH('F-VTA'!$F$32,Tabla11[[#This Row],[Cuenta]],1))</f>
        <v>1</v>
      </c>
      <c r="AN1130" t="b">
        <f>+ISNUMBER(SEARCH('F-VTA'!$F$33,Tabla11[[#This Row],[Cuenta]],1))</f>
        <v>1</v>
      </c>
      <c r="AO1130" t="b">
        <f>+ISNUMBER(SEARCH('F-VTA'!$F$34,Tabla11[[#This Row],[Cuenta]],1))</f>
        <v>1</v>
      </c>
      <c r="AP1130" t="b">
        <f>+ISNUMBER(SEARCH('F-VTA'!$F$35,Tabla11[[#This Row],[Cuenta]],1))</f>
        <v>1</v>
      </c>
      <c r="AQ1130" t="b">
        <f>+ISNUMBER(SEARCH('F-VTA'!$F$36,Tabla11[[#This Row],[Cuenta]],1))</f>
        <v>1</v>
      </c>
      <c r="AR1130" t="b">
        <f>+ISNUMBER(SEARCH(#REF!,Tabla11[[#This Row],[Cuenta]],1))</f>
        <v>0</v>
      </c>
      <c r="AS1130" t="b">
        <f>+ISNUMBER(SEARCH(#REF!,Tabla11[[#This Row],[Cuenta]],1))</f>
        <v>0</v>
      </c>
      <c r="AT1130" t="b">
        <f>+ISNUMBER(SEARCH(#REF!,Tabla11[[#This Row],[Cuenta]],1))</f>
        <v>0</v>
      </c>
      <c r="AU1130" t="b">
        <f>+ISNUMBER(SEARCH('Conc. Ban.1'!$I$9,Tabla11[[#This Row],[Cuenta]],1))</f>
        <v>0</v>
      </c>
      <c r="AV1130" t="b">
        <f>+ISNUMBER(SEARCH(CompConta!$F$21,Tabla11[[#This Row],[Cuenta]],1))</f>
        <v>1</v>
      </c>
      <c r="AW1130" t="b">
        <f>+ISNUMBER(SEARCH(CompConta!$F$22,Tabla11[[#This Row],[Cuenta]],1))</f>
        <v>1</v>
      </c>
      <c r="AX1130" t="b">
        <f>+ISNUMBER(SEARCH(CompConta!$F$23,Tabla11[[#This Row],[Cuenta]],1))</f>
        <v>1</v>
      </c>
      <c r="AY1130" t="b">
        <f>+ISNUMBER(SEARCH(CompConta!$F$24,Tabla11[[#This Row],[Cuenta]],1))</f>
        <v>1</v>
      </c>
      <c r="AZ1130" t="b">
        <f>+ISNUMBER(SEARCH(CompConta!$F$25,Tabla11[[#This Row],[Cuenta]],1))</f>
        <v>1</v>
      </c>
      <c r="BA1130" t="b">
        <f>+ISNUMBER(SEARCH(CompConta!$F$26,Tabla11[[#This Row],[Cuenta]],1))</f>
        <v>1</v>
      </c>
      <c r="BB1130" t="b">
        <f>+ISNUMBER(SEARCH(CompConta!$F$27,Tabla11[[#This Row],[Cuenta]],1))</f>
        <v>1</v>
      </c>
      <c r="BC1130" t="b">
        <f>+ISNUMBER(SEARCH(CompConta!$F$28,Tabla11[[#This Row],[Cuenta]],1))</f>
        <v>1</v>
      </c>
      <c r="BD1130" t="b">
        <f>+ISNUMBER(SEARCH(CompConta!$F$29,Tabla11[[#This Row],[Cuenta]],1))</f>
        <v>1</v>
      </c>
      <c r="BE1130" t="b">
        <f>+ISNUMBER(SEARCH(CompConta!$F$30,Tabla11[[#This Row],[Cuenta]],1))</f>
        <v>1</v>
      </c>
      <c r="BF1130" t="b">
        <f>+ISNUMBER(SEARCH('PAGO Compras'!$E$11,Tabla11[[#This Row],[Cuenta]],1))</f>
        <v>1</v>
      </c>
      <c r="BG1130" t="b">
        <f>+ISNUMBER(SEARCH(#REF!,Tabla11[[#This Row],[Cuenta]],1))</f>
        <v>0</v>
      </c>
      <c r="BH1130" t="b">
        <f>+ISNUMBER(SEARCH(#REF!,Tabla11[[#This Row],[Cuenta]],1))</f>
        <v>0</v>
      </c>
      <c r="BI1130" t="b">
        <f>+ISNUMBER(SEARCH(#REF!,Tabla11[[#This Row],[Cuenta]],1))</f>
        <v>0</v>
      </c>
      <c r="BJ1130" t="b">
        <f>+ISNUMBER(SEARCH(#REF!,Tabla11[[#This Row],[Cuenta]],1))</f>
        <v>0</v>
      </c>
      <c r="BS1130" t="str">
        <v>590505 Ganancias y pérdidas</v>
      </c>
      <c r="BT1130" t="str">
        <v>590505 Ganancias y pérdidas</v>
      </c>
      <c r="BU1130" t="str">
        <v>590505 Ganancias y pérdidas</v>
      </c>
      <c r="BV1130" t="str">
        <v>590505 Ganancias y pérdidas</v>
      </c>
      <c r="BZ1130" t="str">
        <v>590505 Ganancias y pérdidas</v>
      </c>
      <c r="CA1130" t="str">
        <v>590505 Ganancias y pérdidas</v>
      </c>
      <c r="CB1130" t="str">
        <v>590505 Ganancias y pérdidas</v>
      </c>
      <c r="CC1130" t="str">
        <v>590505 Ganancias y pérdidas</v>
      </c>
      <c r="CD1130" t="str">
        <v>590505 Ganancias y pérdidas</v>
      </c>
      <c r="CE1130" t="str">
        <v>590505 Ganancias y pérdidas</v>
      </c>
      <c r="CS1130" s="141" t="str">
        <v>590505 Ganancias y pérdidas</v>
      </c>
      <c r="CT1130" s="141" t="str">
        <v>590505 Ganancias y pérdidas</v>
      </c>
      <c r="CU1130" s="141" t="str">
        <v>590505 Ganancias y pérdidas</v>
      </c>
      <c r="CV1130" s="141" t="str">
        <v>590505 Ganancias y pérdidas</v>
      </c>
      <c r="CW1130" s="141" t="str">
        <v>590505 Ganancias y pérdidas</v>
      </c>
      <c r="CX1130" s="141" t="str">
        <v>590505 Ganancias y pérdidas</v>
      </c>
      <c r="CY1130" s="141" t="str">
        <v>590505 Ganancias y pérdidas</v>
      </c>
      <c r="CZ1130" s="141" t="str">
        <v>590505 Ganancias y pérdidas</v>
      </c>
      <c r="DA1130" s="141" t="str">
        <v>590505 Ganancias y pérdidas</v>
      </c>
      <c r="DF1130" t="str">
        <v>590505 Ganancias y pérdidas</v>
      </c>
      <c r="DG1130" t="str">
        <v>590505 Ganancias y pérdidas</v>
      </c>
      <c r="DH1130" t="str">
        <v>590505 Ganancias y pérdidas</v>
      </c>
      <c r="DI1130" t="str">
        <v>590505 Ganancias y pérdidas</v>
      </c>
      <c r="DJ1130" t="str">
        <v>590505 Ganancias y pérdidas</v>
      </c>
      <c r="DK1130" t="str">
        <v>590505 Ganancias y pérdidas</v>
      </c>
      <c r="DL1130" t="str">
        <v>590505 Ganancias y pérdidas</v>
      </c>
      <c r="DM1130" t="str">
        <v>590505 Ganancias y pérdidas</v>
      </c>
      <c r="DN1130" t="str">
        <v>590505 Ganancias y pérdidas</v>
      </c>
      <c r="DO1130" t="str">
        <v>590505 Ganancias y pérdidas</v>
      </c>
      <c r="DP1130" t="str">
        <v>590505 Ganancias y pérdidas</v>
      </c>
    </row>
    <row r="1131" spans="4:120" ht="12.75">
      <c r="D1131" s="7">
        <v>59050501</v>
      </c>
      <c r="E1131" s="6" t="s">
        <v>658</v>
      </c>
      <c r="F1131" s="5">
        <v>5</v>
      </c>
      <c r="G1131" s="34" t="s">
        <v>830</v>
      </c>
      <c r="H1131" s="8" t="s">
        <v>32</v>
      </c>
      <c r="I1131" t="b">
        <f>+ISNUMBER(SEARCH('F-COMPRA'!$F$28,Tabla11[[#This Row],[Cuenta]],1))</f>
        <v>1</v>
      </c>
      <c r="J1131" t="b">
        <f>+ISNUMBER(SEARCH('F-COMPRA'!$F$29,Tabla11[[#This Row],[Cuenta]],1))</f>
        <v>1</v>
      </c>
      <c r="K1131" t="b">
        <f>+ISNUMBER(SEARCH('F-COMPRA'!$F$30,Tabla11[[#This Row],[Cuenta]],1))</f>
        <v>1</v>
      </c>
      <c r="L1131" t="b">
        <f>+ISNUMBER(SEARCH('F-COMPRA'!$F$31,Tabla11[[#This Row],[Cuenta]],1))</f>
        <v>1</v>
      </c>
      <c r="M1131" t="b">
        <f>+ISNUMBER(SEARCH('F-COMPRA'!$G$25,Tabla11[[#This Row],[Cuenta]],1))</f>
        <v>0</v>
      </c>
      <c r="N1131" t="b">
        <f>+ISNUMBER(SEARCH(#REF!,Tabla11[[#This Row],[Cuenta]],1))</f>
        <v>0</v>
      </c>
      <c r="O1131" t="b">
        <f>+ISNUMBER(SEARCH(#REF!,Tabla11[[#This Row],[Cuenta]],1))</f>
        <v>0</v>
      </c>
      <c r="P1131" t="b">
        <f>+ISNUMBER(SEARCH('F-COMPRA'!$F$32,Tabla11[[#This Row],[Cuenta]],1))</f>
        <v>1</v>
      </c>
      <c r="Q1131" t="b">
        <f>+ISNUMBER(SEARCH('F-COMPRA'!$F$33,Tabla11[[#This Row],[Cuenta]],1))</f>
        <v>1</v>
      </c>
      <c r="R1131" t="b">
        <f>+ISNUMBER(SEARCH('F-COMPRA'!$F$34,Tabla11[[#This Row],[Cuenta]],1))</f>
        <v>1</v>
      </c>
      <c r="S1131" t="b">
        <f>+ISNUMBER(SEARCH('F-COMPRA'!$F$35,Tabla11[[#This Row],[Cuenta]],1))</f>
        <v>1</v>
      </c>
      <c r="T1131" t="b">
        <f>+ISNUMBER(SEARCH('F-COMPRA'!$F$36,Tabla11[[#This Row],[Cuenta]],1))</f>
        <v>1</v>
      </c>
      <c r="U1131" t="b">
        <f>+ISNUMBER(SEARCH('F-COMPRA'!$F$37,Tabla11[[#This Row],[Cuenta]],1))</f>
        <v>1</v>
      </c>
      <c r="V1131" t="b">
        <f>+ISNUMBER(SEARCH(#REF!,Tabla11[[#This Row],[Cuenta]],1))</f>
        <v>0</v>
      </c>
      <c r="W1131" t="b">
        <f>+ISNUMBER(SEARCH('F-COMPRA'!#REF!,Tabla11[[#This Row],[Cuenta]],1))</f>
        <v>0</v>
      </c>
      <c r="X1131" t="b">
        <f>+ISNUMBER(SEARCH('F-COMPRA'!#REF!,Tabla11[[#This Row],[Cuenta]],1))</f>
        <v>0</v>
      </c>
      <c r="Y1131" t="b">
        <f>+ISNUMBER(SEARCH('F-COMPRA'!#REF!,Tabla11[[#This Row],[Cuenta]],1))</f>
        <v>0</v>
      </c>
      <c r="Z1131" t="b">
        <f>+ISNUMBER(SEARCH('F-COMPRA'!#REF!,Tabla11[[#This Row],[Cuenta]],1))</f>
        <v>0</v>
      </c>
      <c r="AA1131" t="b">
        <f>+ISNUMBER(SEARCH('F-COMPRA'!#REF!,Tabla11[[#This Row],[Cuenta]],1))</f>
        <v>0</v>
      </c>
      <c r="AB1131" t="b">
        <f>+ISNUMBER(SEARCH('F-COMPRA'!#REF!,Tabla11[[#This Row],[Cuenta]],1))</f>
        <v>0</v>
      </c>
      <c r="AC1131" t="b">
        <f>+ISNUMBER(SEARCH('F-COMPRA'!#REF!,Tabla11[[#This Row],[Cuenta]],1))</f>
        <v>0</v>
      </c>
      <c r="AD1131" t="b">
        <f>+ISNUMBER(SEARCH('F-COMPRA'!#REF!,Tabla11[[#This Row],[Cuenta]],1))</f>
        <v>0</v>
      </c>
      <c r="AE1131" t="b">
        <f>+ISNUMBER(SEARCH('F-COMPRA'!#REF!,Tabla11[[#This Row],[Cuenta]],1))</f>
        <v>0</v>
      </c>
      <c r="AF1131" t="b">
        <f>+ISNUMBER(SEARCH('F-VTA'!$G$23,Tabla11[[#This Row],[Cuenta]],1))</f>
        <v>0</v>
      </c>
      <c r="AG1131" t="b">
        <f>+ISNUMBER(SEARCH('F-VTA'!$G$24,Tabla11[[#This Row],[Cuenta]],1))</f>
        <v>0</v>
      </c>
      <c r="AH1131" t="b">
        <f>+ISNUMBER(SEARCH('F-VTA'!$G$25,Tabla11[[#This Row],[Cuenta]],1))</f>
        <v>0</v>
      </c>
      <c r="AI1131" t="b">
        <f>+ISNUMBER(SEARCH('F-VTA'!$F$28,Tabla11[[#This Row],[Cuenta]],1))</f>
        <v>1</v>
      </c>
      <c r="AJ1131" t="b">
        <f>+ISNUMBER(SEARCH('F-VTA'!$F$29,Tabla11[[#This Row],[Cuenta]],1))</f>
        <v>1</v>
      </c>
      <c r="AK1131" t="b">
        <f>+ISNUMBER(SEARCH('F-VTA'!$F$30,Tabla11[[#This Row],[Cuenta]],1))</f>
        <v>1</v>
      </c>
      <c r="AL1131" t="b">
        <f>+ISNUMBER(SEARCH('F-VTA'!$F$31,Tabla11[[#This Row],[Cuenta]],1))</f>
        <v>1</v>
      </c>
      <c r="AM1131" t="b">
        <f>+ISNUMBER(SEARCH('F-VTA'!$F$32,Tabla11[[#This Row],[Cuenta]],1))</f>
        <v>1</v>
      </c>
      <c r="AN1131" t="b">
        <f>+ISNUMBER(SEARCH('F-VTA'!$F$33,Tabla11[[#This Row],[Cuenta]],1))</f>
        <v>1</v>
      </c>
      <c r="AO1131" t="b">
        <f>+ISNUMBER(SEARCH('F-VTA'!$F$34,Tabla11[[#This Row],[Cuenta]],1))</f>
        <v>1</v>
      </c>
      <c r="AP1131" t="b">
        <f>+ISNUMBER(SEARCH('F-VTA'!$F$35,Tabla11[[#This Row],[Cuenta]],1))</f>
        <v>1</v>
      </c>
      <c r="AQ1131" t="b">
        <f>+ISNUMBER(SEARCH('F-VTA'!$F$36,Tabla11[[#This Row],[Cuenta]],1))</f>
        <v>1</v>
      </c>
      <c r="AR1131" t="b">
        <f>+ISNUMBER(SEARCH(#REF!,Tabla11[[#This Row],[Cuenta]],1))</f>
        <v>0</v>
      </c>
      <c r="AS1131" t="b">
        <f>+ISNUMBER(SEARCH(#REF!,Tabla11[[#This Row],[Cuenta]],1))</f>
        <v>0</v>
      </c>
      <c r="AT1131" t="b">
        <f>+ISNUMBER(SEARCH(#REF!,Tabla11[[#This Row],[Cuenta]],1))</f>
        <v>0</v>
      </c>
      <c r="AU1131" t="b">
        <f>+ISNUMBER(SEARCH('Conc. Ban.1'!$I$9,Tabla11[[#This Row],[Cuenta]],1))</f>
        <v>0</v>
      </c>
      <c r="AV1131" t="b">
        <f>+ISNUMBER(SEARCH(CompConta!$F$21,Tabla11[[#This Row],[Cuenta]],1))</f>
        <v>1</v>
      </c>
      <c r="AW1131" t="b">
        <f>+ISNUMBER(SEARCH(CompConta!$F$22,Tabla11[[#This Row],[Cuenta]],1))</f>
        <v>1</v>
      </c>
      <c r="AX1131" t="b">
        <f>+ISNUMBER(SEARCH(CompConta!$F$23,Tabla11[[#This Row],[Cuenta]],1))</f>
        <v>1</v>
      </c>
      <c r="AY1131" t="b">
        <f>+ISNUMBER(SEARCH(CompConta!$F$24,Tabla11[[#This Row],[Cuenta]],1))</f>
        <v>1</v>
      </c>
      <c r="AZ1131" t="b">
        <f>+ISNUMBER(SEARCH(CompConta!$F$25,Tabla11[[#This Row],[Cuenta]],1))</f>
        <v>1</v>
      </c>
      <c r="BA1131" t="b">
        <f>+ISNUMBER(SEARCH(CompConta!$F$26,Tabla11[[#This Row],[Cuenta]],1))</f>
        <v>1</v>
      </c>
      <c r="BB1131" t="b">
        <f>+ISNUMBER(SEARCH(CompConta!$F$27,Tabla11[[#This Row],[Cuenta]],1))</f>
        <v>1</v>
      </c>
      <c r="BC1131" t="b">
        <f>+ISNUMBER(SEARCH(CompConta!$F$28,Tabla11[[#This Row],[Cuenta]],1))</f>
        <v>1</v>
      </c>
      <c r="BD1131" t="b">
        <f>+ISNUMBER(SEARCH(CompConta!$F$29,Tabla11[[#This Row],[Cuenta]],1))</f>
        <v>1</v>
      </c>
      <c r="BE1131" t="b">
        <f>+ISNUMBER(SEARCH(CompConta!$F$30,Tabla11[[#This Row],[Cuenta]],1))</f>
        <v>1</v>
      </c>
      <c r="BF1131" t="b">
        <f>+ISNUMBER(SEARCH('PAGO Compras'!$E$11,Tabla11[[#This Row],[Cuenta]],1))</f>
        <v>1</v>
      </c>
      <c r="BG1131" t="b">
        <f>+ISNUMBER(SEARCH(#REF!,Tabla11[[#This Row],[Cuenta]],1))</f>
        <v>0</v>
      </c>
      <c r="BH1131" t="b">
        <f>+ISNUMBER(SEARCH(#REF!,Tabla11[[#This Row],[Cuenta]],1))</f>
        <v>0</v>
      </c>
      <c r="BI1131" t="b">
        <f>+ISNUMBER(SEARCH(#REF!,Tabla11[[#This Row],[Cuenta]],1))</f>
        <v>0</v>
      </c>
      <c r="BJ1131" t="b">
        <f>+ISNUMBER(SEARCH(#REF!,Tabla11[[#This Row],[Cuenta]],1))</f>
        <v>0</v>
      </c>
      <c r="BS1131" t="str">
        <v>59050501 Ganancias y pérdidas</v>
      </c>
      <c r="BT1131" t="str">
        <v>59050501 Ganancias y pérdidas</v>
      </c>
      <c r="BU1131" t="str">
        <v>59050501 Ganancias y pérdidas</v>
      </c>
      <c r="BV1131" t="str">
        <v>59050501 Ganancias y pérdidas</v>
      </c>
      <c r="BZ1131" t="str">
        <v>59050501 Ganancias y pérdidas</v>
      </c>
      <c r="CA1131" t="str">
        <v>59050501 Ganancias y pérdidas</v>
      </c>
      <c r="CB1131" t="str">
        <v>59050501 Ganancias y pérdidas</v>
      </c>
      <c r="CC1131" t="str">
        <v>59050501 Ganancias y pérdidas</v>
      </c>
      <c r="CD1131" t="str">
        <v>59050501 Ganancias y pérdidas</v>
      </c>
      <c r="CE1131" t="str">
        <v>59050501 Ganancias y pérdidas</v>
      </c>
      <c r="CS1131" s="141" t="str">
        <v>59050501 Ganancias y pérdidas</v>
      </c>
      <c r="CT1131" s="141" t="str">
        <v>59050501 Ganancias y pérdidas</v>
      </c>
      <c r="CU1131" s="141" t="str">
        <v>59050501 Ganancias y pérdidas</v>
      </c>
      <c r="CV1131" s="141" t="str">
        <v>59050501 Ganancias y pérdidas</v>
      </c>
      <c r="CW1131" s="141" t="str">
        <v>59050501 Ganancias y pérdidas</v>
      </c>
      <c r="CX1131" s="141" t="str">
        <v>59050501 Ganancias y pérdidas</v>
      </c>
      <c r="CY1131" s="141" t="str">
        <v>59050501 Ganancias y pérdidas</v>
      </c>
      <c r="CZ1131" s="141" t="str">
        <v>59050501 Ganancias y pérdidas</v>
      </c>
      <c r="DA1131" s="141" t="str">
        <v>59050501 Ganancias y pérdidas</v>
      </c>
      <c r="DF1131" t="str">
        <v>59050501 Ganancias y pérdidas</v>
      </c>
      <c r="DG1131" t="str">
        <v>59050501 Ganancias y pérdidas</v>
      </c>
      <c r="DH1131" t="str">
        <v>59050501 Ganancias y pérdidas</v>
      </c>
      <c r="DI1131" t="str">
        <v>59050501 Ganancias y pérdidas</v>
      </c>
      <c r="DJ1131" t="str">
        <v>59050501 Ganancias y pérdidas</v>
      </c>
      <c r="DK1131" t="str">
        <v>59050501 Ganancias y pérdidas</v>
      </c>
      <c r="DL1131" t="str">
        <v>59050501 Ganancias y pérdidas</v>
      </c>
      <c r="DM1131" t="str">
        <v>59050501 Ganancias y pérdidas</v>
      </c>
      <c r="DN1131" t="str">
        <v>59050501 Ganancias y pérdidas</v>
      </c>
      <c r="DO1131" t="str">
        <v>59050501 Ganancias y pérdidas</v>
      </c>
      <c r="DP1131" t="str">
        <v>59050501 Ganancias y pérdidas</v>
      </c>
    </row>
    <row r="1132" spans="4:120" ht="12.75">
      <c r="D1132" s="7">
        <v>6</v>
      </c>
      <c r="E1132" s="6" t="s">
        <v>659</v>
      </c>
      <c r="F1132" s="5">
        <v>1</v>
      </c>
      <c r="G1132" s="34"/>
      <c r="H1132" s="8" t="s">
        <v>32</v>
      </c>
      <c r="I1132" t="b">
        <f>+ISNUMBER(SEARCH('F-COMPRA'!$F$28,Tabla11[[#This Row],[Cuenta]],1))</f>
        <v>1</v>
      </c>
      <c r="J1132" t="b">
        <f>+ISNUMBER(SEARCH('F-COMPRA'!$F$29,Tabla11[[#This Row],[Cuenta]],1))</f>
        <v>1</v>
      </c>
      <c r="K1132" t="b">
        <f>+ISNUMBER(SEARCH('F-COMPRA'!$F$30,Tabla11[[#This Row],[Cuenta]],1))</f>
        <v>1</v>
      </c>
      <c r="L1132" t="b">
        <f>+ISNUMBER(SEARCH('F-COMPRA'!$F$31,Tabla11[[#This Row],[Cuenta]],1))</f>
        <v>1</v>
      </c>
      <c r="M1132" t="b">
        <f>+ISNUMBER(SEARCH('F-COMPRA'!$G$25,Tabla11[[#This Row],[Cuenta]],1))</f>
        <v>0</v>
      </c>
      <c r="N1132" t="b">
        <f>+ISNUMBER(SEARCH(#REF!,Tabla11[[#This Row],[Cuenta]],1))</f>
        <v>0</v>
      </c>
      <c r="O1132" t="b">
        <f>+ISNUMBER(SEARCH(#REF!,Tabla11[[#This Row],[Cuenta]],1))</f>
        <v>0</v>
      </c>
      <c r="P1132" t="b">
        <f>+ISNUMBER(SEARCH('F-COMPRA'!$F$32,Tabla11[[#This Row],[Cuenta]],1))</f>
        <v>1</v>
      </c>
      <c r="Q1132" t="b">
        <f>+ISNUMBER(SEARCH('F-COMPRA'!$F$33,Tabla11[[#This Row],[Cuenta]],1))</f>
        <v>1</v>
      </c>
      <c r="R1132" t="b">
        <f>+ISNUMBER(SEARCH('F-COMPRA'!$F$34,Tabla11[[#This Row],[Cuenta]],1))</f>
        <v>1</v>
      </c>
      <c r="S1132" t="b">
        <f>+ISNUMBER(SEARCH('F-COMPRA'!$F$35,Tabla11[[#This Row],[Cuenta]],1))</f>
        <v>1</v>
      </c>
      <c r="T1132" t="b">
        <f>+ISNUMBER(SEARCH('F-COMPRA'!$F$36,Tabla11[[#This Row],[Cuenta]],1))</f>
        <v>1</v>
      </c>
      <c r="U1132" t="b">
        <f>+ISNUMBER(SEARCH('F-COMPRA'!$F$37,Tabla11[[#This Row],[Cuenta]],1))</f>
        <v>1</v>
      </c>
      <c r="V1132" t="b">
        <f>+ISNUMBER(SEARCH(#REF!,Tabla11[[#This Row],[Cuenta]],1))</f>
        <v>0</v>
      </c>
      <c r="W1132" t="b">
        <f>+ISNUMBER(SEARCH('F-COMPRA'!#REF!,Tabla11[[#This Row],[Cuenta]],1))</f>
        <v>0</v>
      </c>
      <c r="X1132" t="b">
        <f>+ISNUMBER(SEARCH('F-COMPRA'!#REF!,Tabla11[[#This Row],[Cuenta]],1))</f>
        <v>0</v>
      </c>
      <c r="Y1132" t="b">
        <f>+ISNUMBER(SEARCH('F-COMPRA'!#REF!,Tabla11[[#This Row],[Cuenta]],1))</f>
        <v>0</v>
      </c>
      <c r="Z1132" t="b">
        <f>+ISNUMBER(SEARCH('F-COMPRA'!#REF!,Tabla11[[#This Row],[Cuenta]],1))</f>
        <v>0</v>
      </c>
      <c r="AA1132" t="b">
        <f>+ISNUMBER(SEARCH('F-COMPRA'!#REF!,Tabla11[[#This Row],[Cuenta]],1))</f>
        <v>0</v>
      </c>
      <c r="AB1132" t="b">
        <f>+ISNUMBER(SEARCH('F-COMPRA'!#REF!,Tabla11[[#This Row],[Cuenta]],1))</f>
        <v>0</v>
      </c>
      <c r="AC1132" t="b">
        <f>+ISNUMBER(SEARCH('F-COMPRA'!#REF!,Tabla11[[#This Row],[Cuenta]],1))</f>
        <v>0</v>
      </c>
      <c r="AD1132" t="b">
        <f>+ISNUMBER(SEARCH('F-COMPRA'!#REF!,Tabla11[[#This Row],[Cuenta]],1))</f>
        <v>0</v>
      </c>
      <c r="AE1132" t="b">
        <f>+ISNUMBER(SEARCH('F-COMPRA'!#REF!,Tabla11[[#This Row],[Cuenta]],1))</f>
        <v>0</v>
      </c>
      <c r="AF1132" t="b">
        <f>+ISNUMBER(SEARCH('F-VTA'!$G$23,Tabla11[[#This Row],[Cuenta]],1))</f>
        <v>0</v>
      </c>
      <c r="AG1132" t="b">
        <f>+ISNUMBER(SEARCH('F-VTA'!$G$24,Tabla11[[#This Row],[Cuenta]],1))</f>
        <v>0</v>
      </c>
      <c r="AH1132" t="b">
        <f>+ISNUMBER(SEARCH('F-VTA'!$G$25,Tabla11[[#This Row],[Cuenta]],1))</f>
        <v>0</v>
      </c>
      <c r="AI1132" t="b">
        <f>+ISNUMBER(SEARCH('F-VTA'!$F$28,Tabla11[[#This Row],[Cuenta]],1))</f>
        <v>1</v>
      </c>
      <c r="AJ1132" t="b">
        <f>+ISNUMBER(SEARCH('F-VTA'!$F$29,Tabla11[[#This Row],[Cuenta]],1))</f>
        <v>1</v>
      </c>
      <c r="AK1132" t="b">
        <f>+ISNUMBER(SEARCH('F-VTA'!$F$30,Tabla11[[#This Row],[Cuenta]],1))</f>
        <v>1</v>
      </c>
      <c r="AL1132" t="b">
        <f>+ISNUMBER(SEARCH('F-VTA'!$F$31,Tabla11[[#This Row],[Cuenta]],1))</f>
        <v>1</v>
      </c>
      <c r="AM1132" t="b">
        <f>+ISNUMBER(SEARCH('F-VTA'!$F$32,Tabla11[[#This Row],[Cuenta]],1))</f>
        <v>1</v>
      </c>
      <c r="AN1132" t="b">
        <f>+ISNUMBER(SEARCH('F-VTA'!$F$33,Tabla11[[#This Row],[Cuenta]],1))</f>
        <v>1</v>
      </c>
      <c r="AO1132" t="b">
        <f>+ISNUMBER(SEARCH('F-VTA'!$F$34,Tabla11[[#This Row],[Cuenta]],1))</f>
        <v>1</v>
      </c>
      <c r="AP1132" t="b">
        <f>+ISNUMBER(SEARCH('F-VTA'!$F$35,Tabla11[[#This Row],[Cuenta]],1))</f>
        <v>1</v>
      </c>
      <c r="AQ1132" t="b">
        <f>+ISNUMBER(SEARCH('F-VTA'!$F$36,Tabla11[[#This Row],[Cuenta]],1))</f>
        <v>1</v>
      </c>
      <c r="AR1132" t="b">
        <f>+ISNUMBER(SEARCH(#REF!,Tabla11[[#This Row],[Cuenta]],1))</f>
        <v>0</v>
      </c>
      <c r="AS1132" t="b">
        <f>+ISNUMBER(SEARCH(#REF!,Tabla11[[#This Row],[Cuenta]],1))</f>
        <v>0</v>
      </c>
      <c r="AT1132" t="b">
        <f>+ISNUMBER(SEARCH(#REF!,Tabla11[[#This Row],[Cuenta]],1))</f>
        <v>0</v>
      </c>
      <c r="AU1132" t="b">
        <f>+ISNUMBER(SEARCH('Conc. Ban.1'!$I$9,Tabla11[[#This Row],[Cuenta]],1))</f>
        <v>0</v>
      </c>
      <c r="AV1132" t="b">
        <f>+ISNUMBER(SEARCH(CompConta!$F$21,Tabla11[[#This Row],[Cuenta]],1))</f>
        <v>1</v>
      </c>
      <c r="AW1132" t="b">
        <f>+ISNUMBER(SEARCH(CompConta!$F$22,Tabla11[[#This Row],[Cuenta]],1))</f>
        <v>1</v>
      </c>
      <c r="AX1132" t="b">
        <f>+ISNUMBER(SEARCH(CompConta!$F$23,Tabla11[[#This Row],[Cuenta]],1))</f>
        <v>1</v>
      </c>
      <c r="AY1132" t="b">
        <f>+ISNUMBER(SEARCH(CompConta!$F$24,Tabla11[[#This Row],[Cuenta]],1))</f>
        <v>1</v>
      </c>
      <c r="AZ1132" t="b">
        <f>+ISNUMBER(SEARCH(CompConta!$F$25,Tabla11[[#This Row],[Cuenta]],1))</f>
        <v>1</v>
      </c>
      <c r="BA1132" t="b">
        <f>+ISNUMBER(SEARCH(CompConta!$F$26,Tabla11[[#This Row],[Cuenta]],1))</f>
        <v>1</v>
      </c>
      <c r="BB1132" t="b">
        <f>+ISNUMBER(SEARCH(CompConta!$F$27,Tabla11[[#This Row],[Cuenta]],1))</f>
        <v>1</v>
      </c>
      <c r="BC1132" t="b">
        <f>+ISNUMBER(SEARCH(CompConta!$F$28,Tabla11[[#This Row],[Cuenta]],1))</f>
        <v>1</v>
      </c>
      <c r="BD1132" t="b">
        <f>+ISNUMBER(SEARCH(CompConta!$F$29,Tabla11[[#This Row],[Cuenta]],1))</f>
        <v>1</v>
      </c>
      <c r="BE1132" t="b">
        <f>+ISNUMBER(SEARCH(CompConta!$F$30,Tabla11[[#This Row],[Cuenta]],1))</f>
        <v>1</v>
      </c>
      <c r="BF1132" t="b">
        <f>+ISNUMBER(SEARCH('PAGO Compras'!$E$11,Tabla11[[#This Row],[Cuenta]],1))</f>
        <v>1</v>
      </c>
      <c r="BG1132" t="b">
        <f>+ISNUMBER(SEARCH(#REF!,Tabla11[[#This Row],[Cuenta]],1))</f>
        <v>0</v>
      </c>
      <c r="BH1132" t="b">
        <f>+ISNUMBER(SEARCH(#REF!,Tabla11[[#This Row],[Cuenta]],1))</f>
        <v>0</v>
      </c>
      <c r="BI1132" t="b">
        <f>+ISNUMBER(SEARCH(#REF!,Tabla11[[#This Row],[Cuenta]],1))</f>
        <v>0</v>
      </c>
      <c r="BJ1132" t="b">
        <f>+ISNUMBER(SEARCH(#REF!,Tabla11[[#This Row],[Cuenta]],1))</f>
        <v>0</v>
      </c>
      <c r="BS1132" t="str">
        <v>6 COSTOS DE VENTAS</v>
      </c>
      <c r="BT1132" t="str">
        <v>6 COSTOS DE VENTAS</v>
      </c>
      <c r="BU1132" t="str">
        <v>6 COSTOS DE VENTAS</v>
      </c>
      <c r="BV1132" t="str">
        <v>6 COSTOS DE VENTAS</v>
      </c>
      <c r="BZ1132" t="str">
        <v>6 COSTOS DE VENTAS</v>
      </c>
      <c r="CA1132" t="str">
        <v>6 COSTOS DE VENTAS</v>
      </c>
      <c r="CB1132" t="str">
        <v>6 COSTOS DE VENTAS</v>
      </c>
      <c r="CC1132" t="str">
        <v>6 COSTOS DE VENTAS</v>
      </c>
      <c r="CD1132" t="str">
        <v>6 COSTOS DE VENTAS</v>
      </c>
      <c r="CE1132" t="str">
        <v>6 COSTOS DE VENTAS</v>
      </c>
      <c r="CS1132" s="141" t="str">
        <v>6 COSTOS DE VENTAS</v>
      </c>
      <c r="CT1132" s="141" t="str">
        <v>6 COSTOS DE VENTAS</v>
      </c>
      <c r="CU1132" s="141" t="str">
        <v>6 COSTOS DE VENTAS</v>
      </c>
      <c r="CV1132" s="141" t="str">
        <v>6 COSTOS DE VENTAS</v>
      </c>
      <c r="CW1132" s="141" t="str">
        <v>6 COSTOS DE VENTAS</v>
      </c>
      <c r="CX1132" s="141" t="str">
        <v>6 COSTOS DE VENTAS</v>
      </c>
      <c r="CY1132" s="141" t="str">
        <v>6 COSTOS DE VENTAS</v>
      </c>
      <c r="CZ1132" s="141" t="str">
        <v>6 COSTOS DE VENTAS</v>
      </c>
      <c r="DA1132" s="141" t="str">
        <v>6 COSTOS DE VENTAS</v>
      </c>
      <c r="DF1132" t="str">
        <v>6 COSTOS DE VENTAS</v>
      </c>
      <c r="DG1132" t="str">
        <v>6 COSTOS DE VENTAS</v>
      </c>
      <c r="DH1132" t="str">
        <v>6 COSTOS DE VENTAS</v>
      </c>
      <c r="DI1132" t="str">
        <v>6 COSTOS DE VENTAS</v>
      </c>
      <c r="DJ1132" t="str">
        <v>6 COSTOS DE VENTAS</v>
      </c>
      <c r="DK1132" t="str">
        <v>6 COSTOS DE VENTAS</v>
      </c>
      <c r="DL1132" t="str">
        <v>6 COSTOS DE VENTAS</v>
      </c>
      <c r="DM1132" t="str">
        <v>6 COSTOS DE VENTAS</v>
      </c>
      <c r="DN1132" t="str">
        <v>6 COSTOS DE VENTAS</v>
      </c>
      <c r="DO1132" t="str">
        <v>6 COSTOS DE VENTAS</v>
      </c>
      <c r="DP1132" t="str">
        <v>6 COSTOS DE VENTAS</v>
      </c>
    </row>
    <row r="1133" spans="4:120" ht="12.75">
      <c r="D1133" s="7">
        <v>61</v>
      </c>
      <c r="E1133" s="6" t="s">
        <v>660</v>
      </c>
      <c r="F1133" s="5">
        <v>2</v>
      </c>
      <c r="G1133" s="34" t="s">
        <v>831</v>
      </c>
      <c r="H1133" s="8" t="s">
        <v>32</v>
      </c>
      <c r="I1133" t="b">
        <f>+ISNUMBER(SEARCH('F-COMPRA'!$F$28,Tabla11[[#This Row],[Cuenta]],1))</f>
        <v>1</v>
      </c>
      <c r="J1133" t="b">
        <f>+ISNUMBER(SEARCH('F-COMPRA'!$F$29,Tabla11[[#This Row],[Cuenta]],1))</f>
        <v>1</v>
      </c>
      <c r="K1133" t="b">
        <f>+ISNUMBER(SEARCH('F-COMPRA'!$F$30,Tabla11[[#This Row],[Cuenta]],1))</f>
        <v>1</v>
      </c>
      <c r="L1133" t="b">
        <f>+ISNUMBER(SEARCH('F-COMPRA'!$F$31,Tabla11[[#This Row],[Cuenta]],1))</f>
        <v>1</v>
      </c>
      <c r="M1133" t="b">
        <f>+ISNUMBER(SEARCH('F-COMPRA'!$G$25,Tabla11[[#This Row],[Cuenta]],1))</f>
        <v>0</v>
      </c>
      <c r="N1133" t="b">
        <f>+ISNUMBER(SEARCH(#REF!,Tabla11[[#This Row],[Cuenta]],1))</f>
        <v>0</v>
      </c>
      <c r="O1133" t="b">
        <f>+ISNUMBER(SEARCH(#REF!,Tabla11[[#This Row],[Cuenta]],1))</f>
        <v>0</v>
      </c>
      <c r="P1133" t="b">
        <f>+ISNUMBER(SEARCH('F-COMPRA'!$F$32,Tabla11[[#This Row],[Cuenta]],1))</f>
        <v>1</v>
      </c>
      <c r="Q1133" t="b">
        <f>+ISNUMBER(SEARCH('F-COMPRA'!$F$33,Tabla11[[#This Row],[Cuenta]],1))</f>
        <v>1</v>
      </c>
      <c r="R1133" t="b">
        <f>+ISNUMBER(SEARCH('F-COMPRA'!$F$34,Tabla11[[#This Row],[Cuenta]],1))</f>
        <v>1</v>
      </c>
      <c r="S1133" t="b">
        <f>+ISNUMBER(SEARCH('F-COMPRA'!$F$35,Tabla11[[#This Row],[Cuenta]],1))</f>
        <v>1</v>
      </c>
      <c r="T1133" t="b">
        <f>+ISNUMBER(SEARCH('F-COMPRA'!$F$36,Tabla11[[#This Row],[Cuenta]],1))</f>
        <v>1</v>
      </c>
      <c r="U1133" t="b">
        <f>+ISNUMBER(SEARCH('F-COMPRA'!$F$37,Tabla11[[#This Row],[Cuenta]],1))</f>
        <v>1</v>
      </c>
      <c r="V1133" t="b">
        <f>+ISNUMBER(SEARCH(#REF!,Tabla11[[#This Row],[Cuenta]],1))</f>
        <v>0</v>
      </c>
      <c r="W1133" t="b">
        <f>+ISNUMBER(SEARCH('F-COMPRA'!#REF!,Tabla11[[#This Row],[Cuenta]],1))</f>
        <v>0</v>
      </c>
      <c r="X1133" t="b">
        <f>+ISNUMBER(SEARCH('F-COMPRA'!#REF!,Tabla11[[#This Row],[Cuenta]],1))</f>
        <v>0</v>
      </c>
      <c r="Y1133" t="b">
        <f>+ISNUMBER(SEARCH('F-COMPRA'!#REF!,Tabla11[[#This Row],[Cuenta]],1))</f>
        <v>0</v>
      </c>
      <c r="Z1133" t="b">
        <f>+ISNUMBER(SEARCH('F-COMPRA'!#REF!,Tabla11[[#This Row],[Cuenta]],1))</f>
        <v>0</v>
      </c>
      <c r="AA1133" t="b">
        <f>+ISNUMBER(SEARCH('F-COMPRA'!#REF!,Tabla11[[#This Row],[Cuenta]],1))</f>
        <v>0</v>
      </c>
      <c r="AB1133" t="b">
        <f>+ISNUMBER(SEARCH('F-COMPRA'!#REF!,Tabla11[[#This Row],[Cuenta]],1))</f>
        <v>0</v>
      </c>
      <c r="AC1133" t="b">
        <f>+ISNUMBER(SEARCH('F-COMPRA'!#REF!,Tabla11[[#This Row],[Cuenta]],1))</f>
        <v>0</v>
      </c>
      <c r="AD1133" t="b">
        <f>+ISNUMBER(SEARCH('F-COMPRA'!#REF!,Tabla11[[#This Row],[Cuenta]],1))</f>
        <v>0</v>
      </c>
      <c r="AE1133" t="b">
        <f>+ISNUMBER(SEARCH('F-COMPRA'!#REF!,Tabla11[[#This Row],[Cuenta]],1))</f>
        <v>0</v>
      </c>
      <c r="AF1133" t="b">
        <f>+ISNUMBER(SEARCH('F-VTA'!$G$23,Tabla11[[#This Row],[Cuenta]],1))</f>
        <v>0</v>
      </c>
      <c r="AG1133" t="b">
        <f>+ISNUMBER(SEARCH('F-VTA'!$G$24,Tabla11[[#This Row],[Cuenta]],1))</f>
        <v>0</v>
      </c>
      <c r="AH1133" t="b">
        <f>+ISNUMBER(SEARCH('F-VTA'!$G$25,Tabla11[[#This Row],[Cuenta]],1))</f>
        <v>0</v>
      </c>
      <c r="AI1133" t="b">
        <f>+ISNUMBER(SEARCH('F-VTA'!$F$28,Tabla11[[#This Row],[Cuenta]],1))</f>
        <v>1</v>
      </c>
      <c r="AJ1133" t="b">
        <f>+ISNUMBER(SEARCH('F-VTA'!$F$29,Tabla11[[#This Row],[Cuenta]],1))</f>
        <v>1</v>
      </c>
      <c r="AK1133" t="b">
        <f>+ISNUMBER(SEARCH('F-VTA'!$F$30,Tabla11[[#This Row],[Cuenta]],1))</f>
        <v>1</v>
      </c>
      <c r="AL1133" t="b">
        <f>+ISNUMBER(SEARCH('F-VTA'!$F$31,Tabla11[[#This Row],[Cuenta]],1))</f>
        <v>1</v>
      </c>
      <c r="AM1133" t="b">
        <f>+ISNUMBER(SEARCH('F-VTA'!$F$32,Tabla11[[#This Row],[Cuenta]],1))</f>
        <v>1</v>
      </c>
      <c r="AN1133" t="b">
        <f>+ISNUMBER(SEARCH('F-VTA'!$F$33,Tabla11[[#This Row],[Cuenta]],1))</f>
        <v>1</v>
      </c>
      <c r="AO1133" t="b">
        <f>+ISNUMBER(SEARCH('F-VTA'!$F$34,Tabla11[[#This Row],[Cuenta]],1))</f>
        <v>1</v>
      </c>
      <c r="AP1133" t="b">
        <f>+ISNUMBER(SEARCH('F-VTA'!$F$35,Tabla11[[#This Row],[Cuenta]],1))</f>
        <v>1</v>
      </c>
      <c r="AQ1133" t="b">
        <f>+ISNUMBER(SEARCH('F-VTA'!$F$36,Tabla11[[#This Row],[Cuenta]],1))</f>
        <v>1</v>
      </c>
      <c r="AR1133" t="b">
        <f>+ISNUMBER(SEARCH(#REF!,Tabla11[[#This Row],[Cuenta]],1))</f>
        <v>0</v>
      </c>
      <c r="AS1133" t="b">
        <f>+ISNUMBER(SEARCH(#REF!,Tabla11[[#This Row],[Cuenta]],1))</f>
        <v>0</v>
      </c>
      <c r="AT1133" t="b">
        <f>+ISNUMBER(SEARCH(#REF!,Tabla11[[#This Row],[Cuenta]],1))</f>
        <v>0</v>
      </c>
      <c r="AU1133" t="b">
        <f>+ISNUMBER(SEARCH('Conc. Ban.1'!$I$9,Tabla11[[#This Row],[Cuenta]],1))</f>
        <v>0</v>
      </c>
      <c r="AV1133" t="b">
        <f>+ISNUMBER(SEARCH(CompConta!$F$21,Tabla11[[#This Row],[Cuenta]],1))</f>
        <v>1</v>
      </c>
      <c r="AW1133" t="b">
        <f>+ISNUMBER(SEARCH(CompConta!$F$22,Tabla11[[#This Row],[Cuenta]],1))</f>
        <v>1</v>
      </c>
      <c r="AX1133" t="b">
        <f>+ISNUMBER(SEARCH(CompConta!$F$23,Tabla11[[#This Row],[Cuenta]],1))</f>
        <v>1</v>
      </c>
      <c r="AY1133" t="b">
        <f>+ISNUMBER(SEARCH(CompConta!$F$24,Tabla11[[#This Row],[Cuenta]],1))</f>
        <v>1</v>
      </c>
      <c r="AZ1133" t="b">
        <f>+ISNUMBER(SEARCH(CompConta!$F$25,Tabla11[[#This Row],[Cuenta]],1))</f>
        <v>1</v>
      </c>
      <c r="BA1133" t="b">
        <f>+ISNUMBER(SEARCH(CompConta!$F$26,Tabla11[[#This Row],[Cuenta]],1))</f>
        <v>1</v>
      </c>
      <c r="BB1133" t="b">
        <f>+ISNUMBER(SEARCH(CompConta!$F$27,Tabla11[[#This Row],[Cuenta]],1))</f>
        <v>1</v>
      </c>
      <c r="BC1133" t="b">
        <f>+ISNUMBER(SEARCH(CompConta!$F$28,Tabla11[[#This Row],[Cuenta]],1))</f>
        <v>1</v>
      </c>
      <c r="BD1133" t="b">
        <f>+ISNUMBER(SEARCH(CompConta!$F$29,Tabla11[[#This Row],[Cuenta]],1))</f>
        <v>1</v>
      </c>
      <c r="BE1133" t="b">
        <f>+ISNUMBER(SEARCH(CompConta!$F$30,Tabla11[[#This Row],[Cuenta]],1))</f>
        <v>1</v>
      </c>
      <c r="BF1133" t="b">
        <f>+ISNUMBER(SEARCH('PAGO Compras'!$E$11,Tabla11[[#This Row],[Cuenta]],1))</f>
        <v>1</v>
      </c>
      <c r="BG1133" t="b">
        <f>+ISNUMBER(SEARCH(#REF!,Tabla11[[#This Row],[Cuenta]],1))</f>
        <v>0</v>
      </c>
      <c r="BH1133" t="b">
        <f>+ISNUMBER(SEARCH(#REF!,Tabla11[[#This Row],[Cuenta]],1))</f>
        <v>0</v>
      </c>
      <c r="BI1133" t="b">
        <f>+ISNUMBER(SEARCH(#REF!,Tabla11[[#This Row],[Cuenta]],1))</f>
        <v>0</v>
      </c>
      <c r="BJ1133" t="b">
        <f>+ISNUMBER(SEARCH(#REF!,Tabla11[[#This Row],[Cuenta]],1))</f>
        <v>0</v>
      </c>
      <c r="BS1133" t="str">
        <v>61 COSTO DE VENTAS Y DE PRESTACIÓN DE SERVI</v>
      </c>
      <c r="BT1133" t="str">
        <v>61 COSTO DE VENTAS Y DE PRESTACIÓN DE SERVI</v>
      </c>
      <c r="BU1133" t="str">
        <v>61 COSTO DE VENTAS Y DE PRESTACIÓN DE SERVI</v>
      </c>
      <c r="BV1133" t="str">
        <v>61 COSTO DE VENTAS Y DE PRESTACIÓN DE SERVI</v>
      </c>
      <c r="BZ1133" t="str">
        <v>61 COSTO DE VENTAS Y DE PRESTACIÓN DE SERVI</v>
      </c>
      <c r="CA1133" t="str">
        <v>61 COSTO DE VENTAS Y DE PRESTACIÓN DE SERVI</v>
      </c>
      <c r="CB1133" t="str">
        <v>61 COSTO DE VENTAS Y DE PRESTACIÓN DE SERVI</v>
      </c>
      <c r="CC1133" t="str">
        <v>61 COSTO DE VENTAS Y DE PRESTACIÓN DE SERVI</v>
      </c>
      <c r="CD1133" t="str">
        <v>61 COSTO DE VENTAS Y DE PRESTACIÓN DE SERVI</v>
      </c>
      <c r="CE1133" t="str">
        <v>61 COSTO DE VENTAS Y DE PRESTACIÓN DE SERVI</v>
      </c>
      <c r="CS1133" s="141" t="str">
        <v>61 COSTO DE VENTAS Y DE PRESTACIÓN DE SERVI</v>
      </c>
      <c r="CT1133" s="141" t="str">
        <v>61 COSTO DE VENTAS Y DE PRESTACIÓN DE SERVI</v>
      </c>
      <c r="CU1133" s="141" t="str">
        <v>61 COSTO DE VENTAS Y DE PRESTACIÓN DE SERVI</v>
      </c>
      <c r="CV1133" s="141" t="str">
        <v>61 COSTO DE VENTAS Y DE PRESTACIÓN DE SERVI</v>
      </c>
      <c r="CW1133" s="141" t="str">
        <v>61 COSTO DE VENTAS Y DE PRESTACIÓN DE SERVI</v>
      </c>
      <c r="CX1133" s="141" t="str">
        <v>61 COSTO DE VENTAS Y DE PRESTACIÓN DE SERVI</v>
      </c>
      <c r="CY1133" s="141" t="str">
        <v>61 COSTO DE VENTAS Y DE PRESTACIÓN DE SERVI</v>
      </c>
      <c r="CZ1133" s="141" t="str">
        <v>61 COSTO DE VENTAS Y DE PRESTACIÓN DE SERVI</v>
      </c>
      <c r="DA1133" s="141" t="str">
        <v>61 COSTO DE VENTAS Y DE PRESTACIÓN DE SERVI</v>
      </c>
      <c r="DF1133" t="str">
        <v>61 COSTO DE VENTAS Y DE PRESTACIÓN DE SERVI</v>
      </c>
      <c r="DG1133" t="str">
        <v>61 COSTO DE VENTAS Y DE PRESTACIÓN DE SERVI</v>
      </c>
      <c r="DH1133" t="str">
        <v>61 COSTO DE VENTAS Y DE PRESTACIÓN DE SERVI</v>
      </c>
      <c r="DI1133" t="str">
        <v>61 COSTO DE VENTAS Y DE PRESTACIÓN DE SERVI</v>
      </c>
      <c r="DJ1133" t="str">
        <v>61 COSTO DE VENTAS Y DE PRESTACIÓN DE SERVI</v>
      </c>
      <c r="DK1133" t="str">
        <v>61 COSTO DE VENTAS Y DE PRESTACIÓN DE SERVI</v>
      </c>
      <c r="DL1133" t="str">
        <v>61 COSTO DE VENTAS Y DE PRESTACIÓN DE SERVI</v>
      </c>
      <c r="DM1133" t="str">
        <v>61 COSTO DE VENTAS Y DE PRESTACIÓN DE SERVI</v>
      </c>
      <c r="DN1133" t="str">
        <v>61 COSTO DE VENTAS Y DE PRESTACIÓN DE SERVI</v>
      </c>
      <c r="DO1133" t="str">
        <v>61 COSTO DE VENTAS Y DE PRESTACIÓN DE SERVI</v>
      </c>
      <c r="DP1133" t="str">
        <v>61 COSTO DE VENTAS Y DE PRESTACIÓN DE SERVI</v>
      </c>
    </row>
    <row r="1134" spans="4:120" ht="12.75">
      <c r="D1134" s="7">
        <v>6105</v>
      </c>
      <c r="E1134" s="6" t="s">
        <v>1404</v>
      </c>
      <c r="F1134" s="5">
        <v>3</v>
      </c>
      <c r="G1134" s="34" t="s">
        <v>831</v>
      </c>
      <c r="H1134" s="8"/>
      <c r="I1134" t="b">
        <f>+ISNUMBER(SEARCH('F-COMPRA'!$F$28,Tabla11[[#This Row],[Cuenta]],1))</f>
        <v>1</v>
      </c>
      <c r="J1134" t="b">
        <f>+ISNUMBER(SEARCH('F-COMPRA'!$F$29,Tabla11[[#This Row],[Cuenta]],1))</f>
        <v>1</v>
      </c>
      <c r="K1134" t="b">
        <f>+ISNUMBER(SEARCH('F-COMPRA'!$F$30,Tabla11[[#This Row],[Cuenta]],1))</f>
        <v>1</v>
      </c>
      <c r="L1134" t="b">
        <f>+ISNUMBER(SEARCH('F-COMPRA'!$F$31,Tabla11[[#This Row],[Cuenta]],1))</f>
        <v>1</v>
      </c>
      <c r="M1134" t="b">
        <f>+ISNUMBER(SEARCH('F-COMPRA'!$G$25,Tabla11[[#This Row],[Cuenta]],1))</f>
        <v>0</v>
      </c>
      <c r="N1134" t="b">
        <f>+ISNUMBER(SEARCH(#REF!,Tabla11[[#This Row],[Cuenta]],1))</f>
        <v>0</v>
      </c>
      <c r="O1134" t="b">
        <f>+ISNUMBER(SEARCH(#REF!,Tabla11[[#This Row],[Cuenta]],1))</f>
        <v>0</v>
      </c>
      <c r="P1134" t="b">
        <f>+ISNUMBER(SEARCH('F-COMPRA'!$F$32,Tabla11[[#This Row],[Cuenta]],1))</f>
        <v>1</v>
      </c>
      <c r="Q1134" t="b">
        <f>+ISNUMBER(SEARCH('F-COMPRA'!$F$33,Tabla11[[#This Row],[Cuenta]],1))</f>
        <v>1</v>
      </c>
      <c r="R1134" t="b">
        <f>+ISNUMBER(SEARCH('F-COMPRA'!$F$34,Tabla11[[#This Row],[Cuenta]],1))</f>
        <v>1</v>
      </c>
      <c r="S1134" t="b">
        <f>+ISNUMBER(SEARCH('F-COMPRA'!$F$35,Tabla11[[#This Row],[Cuenta]],1))</f>
        <v>1</v>
      </c>
      <c r="T1134" t="b">
        <f>+ISNUMBER(SEARCH('F-COMPRA'!$F$36,Tabla11[[#This Row],[Cuenta]],1))</f>
        <v>1</v>
      </c>
      <c r="U1134" t="b">
        <f>+ISNUMBER(SEARCH('F-COMPRA'!$F$37,Tabla11[[#This Row],[Cuenta]],1))</f>
        <v>1</v>
      </c>
      <c r="V1134" t="b">
        <f>+ISNUMBER(SEARCH(#REF!,Tabla11[[#This Row],[Cuenta]],1))</f>
        <v>0</v>
      </c>
      <c r="W1134" t="b">
        <f>+ISNUMBER(SEARCH('F-COMPRA'!#REF!,Tabla11[[#This Row],[Cuenta]],1))</f>
        <v>0</v>
      </c>
      <c r="X1134" t="b">
        <f>+ISNUMBER(SEARCH('F-COMPRA'!#REF!,Tabla11[[#This Row],[Cuenta]],1))</f>
        <v>0</v>
      </c>
      <c r="Y1134" t="b">
        <f>+ISNUMBER(SEARCH('F-COMPRA'!#REF!,Tabla11[[#This Row],[Cuenta]],1))</f>
        <v>0</v>
      </c>
      <c r="Z1134" t="b">
        <f>+ISNUMBER(SEARCH('F-COMPRA'!#REF!,Tabla11[[#This Row],[Cuenta]],1))</f>
        <v>0</v>
      </c>
      <c r="AA1134" t="b">
        <f>+ISNUMBER(SEARCH('F-COMPRA'!#REF!,Tabla11[[#This Row],[Cuenta]],1))</f>
        <v>0</v>
      </c>
      <c r="AB1134" t="b">
        <f>+ISNUMBER(SEARCH('F-COMPRA'!#REF!,Tabla11[[#This Row],[Cuenta]],1))</f>
        <v>0</v>
      </c>
      <c r="AC1134" t="b">
        <f>+ISNUMBER(SEARCH('F-COMPRA'!#REF!,Tabla11[[#This Row],[Cuenta]],1))</f>
        <v>0</v>
      </c>
      <c r="AD1134" t="b">
        <f>+ISNUMBER(SEARCH('F-COMPRA'!#REF!,Tabla11[[#This Row],[Cuenta]],1))</f>
        <v>0</v>
      </c>
      <c r="AE1134" t="b">
        <f>+ISNUMBER(SEARCH('F-COMPRA'!#REF!,Tabla11[[#This Row],[Cuenta]],1))</f>
        <v>0</v>
      </c>
      <c r="AF1134" t="b">
        <f>+ISNUMBER(SEARCH('F-VTA'!$G$23,Tabla11[[#This Row],[Cuenta]],1))</f>
        <v>0</v>
      </c>
      <c r="AG1134" t="b">
        <f>+ISNUMBER(SEARCH('F-VTA'!$G$24,Tabla11[[#This Row],[Cuenta]],1))</f>
        <v>0</v>
      </c>
      <c r="AH1134" t="b">
        <f>+ISNUMBER(SEARCH('F-VTA'!$G$25,Tabla11[[#This Row],[Cuenta]],1))</f>
        <v>0</v>
      </c>
      <c r="AI1134" t="b">
        <f>+ISNUMBER(SEARCH('F-VTA'!$F$28,Tabla11[[#This Row],[Cuenta]],1))</f>
        <v>1</v>
      </c>
      <c r="AJ1134" t="b">
        <f>+ISNUMBER(SEARCH('F-VTA'!$F$29,Tabla11[[#This Row],[Cuenta]],1))</f>
        <v>1</v>
      </c>
      <c r="AK1134" t="b">
        <f>+ISNUMBER(SEARCH('F-VTA'!$F$30,Tabla11[[#This Row],[Cuenta]],1))</f>
        <v>1</v>
      </c>
      <c r="AL1134" t="b">
        <f>+ISNUMBER(SEARCH('F-VTA'!$F$31,Tabla11[[#This Row],[Cuenta]],1))</f>
        <v>1</v>
      </c>
      <c r="AM1134" t="b">
        <f>+ISNUMBER(SEARCH('F-VTA'!$F$32,Tabla11[[#This Row],[Cuenta]],1))</f>
        <v>1</v>
      </c>
      <c r="AN1134" t="b">
        <f>+ISNUMBER(SEARCH('F-VTA'!$F$33,Tabla11[[#This Row],[Cuenta]],1))</f>
        <v>1</v>
      </c>
      <c r="AO1134" t="b">
        <f>+ISNUMBER(SEARCH('F-VTA'!$F$34,Tabla11[[#This Row],[Cuenta]],1))</f>
        <v>1</v>
      </c>
      <c r="AP1134" t="b">
        <f>+ISNUMBER(SEARCH('F-VTA'!$F$35,Tabla11[[#This Row],[Cuenta]],1))</f>
        <v>1</v>
      </c>
      <c r="AQ1134" t="b">
        <f>+ISNUMBER(SEARCH('F-VTA'!$F$36,Tabla11[[#This Row],[Cuenta]],1))</f>
        <v>1</v>
      </c>
      <c r="AR1134" t="b">
        <f>+ISNUMBER(SEARCH(#REF!,Tabla11[[#This Row],[Cuenta]],1))</f>
        <v>0</v>
      </c>
      <c r="AS1134" t="b">
        <f>+ISNUMBER(SEARCH(#REF!,Tabla11[[#This Row],[Cuenta]],1))</f>
        <v>0</v>
      </c>
      <c r="AT1134" t="b">
        <f>+ISNUMBER(SEARCH(#REF!,Tabla11[[#This Row],[Cuenta]],1))</f>
        <v>0</v>
      </c>
      <c r="AU1134" t="b">
        <f>+ISNUMBER(SEARCH('Conc. Ban.1'!$I$9,Tabla11[[#This Row],[Cuenta]],1))</f>
        <v>0</v>
      </c>
      <c r="AV1134" t="b">
        <f>+ISNUMBER(SEARCH(CompConta!$F$21,Tabla11[[#This Row],[Cuenta]],1))</f>
        <v>1</v>
      </c>
      <c r="AW1134" t="b">
        <f>+ISNUMBER(SEARCH(CompConta!$F$22,Tabla11[[#This Row],[Cuenta]],1))</f>
        <v>1</v>
      </c>
      <c r="AX1134" t="b">
        <f>+ISNUMBER(SEARCH(CompConta!$F$23,Tabla11[[#This Row],[Cuenta]],1))</f>
        <v>1</v>
      </c>
      <c r="AY1134" t="b">
        <f>+ISNUMBER(SEARCH(CompConta!$F$24,Tabla11[[#This Row],[Cuenta]],1))</f>
        <v>1</v>
      </c>
      <c r="AZ1134" t="b">
        <f>+ISNUMBER(SEARCH(CompConta!$F$25,Tabla11[[#This Row],[Cuenta]],1))</f>
        <v>1</v>
      </c>
      <c r="BA1134" t="b">
        <f>+ISNUMBER(SEARCH(CompConta!$F$26,Tabla11[[#This Row],[Cuenta]],1))</f>
        <v>1</v>
      </c>
      <c r="BB1134" t="b">
        <f>+ISNUMBER(SEARCH(CompConta!$F$27,Tabla11[[#This Row],[Cuenta]],1))</f>
        <v>1</v>
      </c>
      <c r="BC1134" t="b">
        <f>+ISNUMBER(SEARCH(CompConta!$F$28,Tabla11[[#This Row],[Cuenta]],1))</f>
        <v>1</v>
      </c>
      <c r="BD1134" t="b">
        <f>+ISNUMBER(SEARCH(CompConta!$F$29,Tabla11[[#This Row],[Cuenta]],1))</f>
        <v>1</v>
      </c>
      <c r="BE1134" t="b">
        <f>+ISNUMBER(SEARCH(CompConta!$F$30,Tabla11[[#This Row],[Cuenta]],1))</f>
        <v>1</v>
      </c>
      <c r="BF1134" t="b">
        <f>+ISNUMBER(SEARCH('PAGO Compras'!$E$11,Tabla11[[#This Row],[Cuenta]],1))</f>
        <v>1</v>
      </c>
      <c r="BG1134" t="b">
        <f>+ISNUMBER(SEARCH(#REF!,Tabla11[[#This Row],[Cuenta]],1))</f>
        <v>0</v>
      </c>
      <c r="BH1134" t="b">
        <f>+ISNUMBER(SEARCH(#REF!,Tabla11[[#This Row],[Cuenta]],1))</f>
        <v>0</v>
      </c>
      <c r="BI1134" t="b">
        <f>+ISNUMBER(SEARCH(#REF!,Tabla11[[#This Row],[Cuenta]],1))</f>
        <v>0</v>
      </c>
      <c r="BJ1134" t="b">
        <f>+ISNUMBER(SEARCH(#REF!,Tabla11[[#This Row],[Cuenta]],1))</f>
        <v>0</v>
      </c>
      <c r="BS1134" t="str">
        <v>6105 Costos de Ventas</v>
      </c>
      <c r="BT1134" t="str">
        <v>6105 Costos de Ventas</v>
      </c>
      <c r="BU1134" t="str">
        <v>6105 Costos de Ventas</v>
      </c>
      <c r="BV1134" t="str">
        <v>6105 Costos de Ventas</v>
      </c>
      <c r="BZ1134" t="str">
        <v>6105 Costos de Ventas</v>
      </c>
      <c r="CA1134" t="str">
        <v>6105 Costos de Ventas</v>
      </c>
      <c r="CB1134" t="str">
        <v>6105 Costos de Ventas</v>
      </c>
      <c r="CC1134" t="str">
        <v>6105 Costos de Ventas</v>
      </c>
      <c r="CD1134" t="str">
        <v>6105 Costos de Ventas</v>
      </c>
      <c r="CE1134" t="str">
        <v>6105 Costos de Ventas</v>
      </c>
      <c r="CS1134" s="141" t="str">
        <v>6105 Costos de Ventas</v>
      </c>
      <c r="CT1134" s="141" t="str">
        <v>6105 Costos de Ventas</v>
      </c>
      <c r="CU1134" s="141" t="str">
        <v>6105 Costos de Ventas</v>
      </c>
      <c r="CV1134" s="141" t="str">
        <v>6105 Costos de Ventas</v>
      </c>
      <c r="CW1134" s="141" t="str">
        <v>6105 Costos de Ventas</v>
      </c>
      <c r="CX1134" s="141" t="str">
        <v>6105 Costos de Ventas</v>
      </c>
      <c r="CY1134" s="141" t="str">
        <v>6105 Costos de Ventas</v>
      </c>
      <c r="CZ1134" s="141" t="str">
        <v>6105 Costos de Ventas</v>
      </c>
      <c r="DA1134" s="141" t="str">
        <v>6105 Costos de Ventas</v>
      </c>
      <c r="DF1134" t="str">
        <v>6105 Costos de Ventas</v>
      </c>
      <c r="DG1134" t="str">
        <v>6105 Costos de Ventas</v>
      </c>
      <c r="DH1134" t="str">
        <v>6105 Costos de Ventas</v>
      </c>
      <c r="DI1134" t="str">
        <v>6105 Costos de Ventas</v>
      </c>
      <c r="DJ1134" t="str">
        <v>6105 Costos de Ventas</v>
      </c>
      <c r="DK1134" t="str">
        <v>6105 Costos de Ventas</v>
      </c>
      <c r="DL1134" t="str">
        <v>6105 Costos de Ventas</v>
      </c>
      <c r="DM1134" t="str">
        <v>6105 Costos de Ventas</v>
      </c>
      <c r="DN1134" t="str">
        <v>6105 Costos de Ventas</v>
      </c>
      <c r="DO1134" t="str">
        <v>6105 Costos de Ventas</v>
      </c>
      <c r="DP1134" t="str">
        <v>6105 Costos de Ventas</v>
      </c>
    </row>
    <row r="1135" spans="4:120" ht="12.75">
      <c r="D1135" s="7">
        <v>610505</v>
      </c>
      <c r="E1135" s="6" t="s">
        <v>1404</v>
      </c>
      <c r="F1135" s="5">
        <v>4</v>
      </c>
      <c r="G1135" s="34" t="s">
        <v>831</v>
      </c>
      <c r="H1135" s="8"/>
      <c r="I1135" t="b">
        <f>+ISNUMBER(SEARCH('F-COMPRA'!$F$28,Tabla11[[#This Row],[Cuenta]],1))</f>
        <v>1</v>
      </c>
      <c r="J1135" t="b">
        <f>+ISNUMBER(SEARCH('F-COMPRA'!$F$29,Tabla11[[#This Row],[Cuenta]],1))</f>
        <v>1</v>
      </c>
      <c r="K1135" t="b">
        <f>+ISNUMBER(SEARCH('F-COMPRA'!$F$30,Tabla11[[#This Row],[Cuenta]],1))</f>
        <v>1</v>
      </c>
      <c r="L1135" t="b">
        <f>+ISNUMBER(SEARCH('F-COMPRA'!$F$31,Tabla11[[#This Row],[Cuenta]],1))</f>
        <v>1</v>
      </c>
      <c r="M1135" t="b">
        <f>+ISNUMBER(SEARCH('F-COMPRA'!$G$25,Tabla11[[#This Row],[Cuenta]],1))</f>
        <v>0</v>
      </c>
      <c r="N1135" t="b">
        <f>+ISNUMBER(SEARCH(#REF!,Tabla11[[#This Row],[Cuenta]],1))</f>
        <v>0</v>
      </c>
      <c r="O1135" t="b">
        <f>+ISNUMBER(SEARCH(#REF!,Tabla11[[#This Row],[Cuenta]],1))</f>
        <v>0</v>
      </c>
      <c r="P1135" t="b">
        <f>+ISNUMBER(SEARCH('F-COMPRA'!$F$32,Tabla11[[#This Row],[Cuenta]],1))</f>
        <v>1</v>
      </c>
      <c r="Q1135" t="b">
        <f>+ISNUMBER(SEARCH('F-COMPRA'!$F$33,Tabla11[[#This Row],[Cuenta]],1))</f>
        <v>1</v>
      </c>
      <c r="R1135" t="b">
        <f>+ISNUMBER(SEARCH('F-COMPRA'!$F$34,Tabla11[[#This Row],[Cuenta]],1))</f>
        <v>1</v>
      </c>
      <c r="S1135" t="b">
        <f>+ISNUMBER(SEARCH('F-COMPRA'!$F$35,Tabla11[[#This Row],[Cuenta]],1))</f>
        <v>1</v>
      </c>
      <c r="T1135" t="b">
        <f>+ISNUMBER(SEARCH('F-COMPRA'!$F$36,Tabla11[[#This Row],[Cuenta]],1))</f>
        <v>1</v>
      </c>
      <c r="U1135" t="b">
        <f>+ISNUMBER(SEARCH('F-COMPRA'!$F$37,Tabla11[[#This Row],[Cuenta]],1))</f>
        <v>1</v>
      </c>
      <c r="V1135" t="b">
        <f>+ISNUMBER(SEARCH(#REF!,Tabla11[[#This Row],[Cuenta]],1))</f>
        <v>0</v>
      </c>
      <c r="W1135" t="b">
        <f>+ISNUMBER(SEARCH('F-COMPRA'!#REF!,Tabla11[[#This Row],[Cuenta]],1))</f>
        <v>0</v>
      </c>
      <c r="X1135" t="b">
        <f>+ISNUMBER(SEARCH('F-COMPRA'!#REF!,Tabla11[[#This Row],[Cuenta]],1))</f>
        <v>0</v>
      </c>
      <c r="Y1135" t="b">
        <f>+ISNUMBER(SEARCH('F-COMPRA'!#REF!,Tabla11[[#This Row],[Cuenta]],1))</f>
        <v>0</v>
      </c>
      <c r="Z1135" t="b">
        <f>+ISNUMBER(SEARCH('F-COMPRA'!#REF!,Tabla11[[#This Row],[Cuenta]],1))</f>
        <v>0</v>
      </c>
      <c r="AA1135" t="b">
        <f>+ISNUMBER(SEARCH('F-COMPRA'!#REF!,Tabla11[[#This Row],[Cuenta]],1))</f>
        <v>0</v>
      </c>
      <c r="AB1135" t="b">
        <f>+ISNUMBER(SEARCH('F-COMPRA'!#REF!,Tabla11[[#This Row],[Cuenta]],1))</f>
        <v>0</v>
      </c>
      <c r="AC1135" t="b">
        <f>+ISNUMBER(SEARCH('F-COMPRA'!#REF!,Tabla11[[#This Row],[Cuenta]],1))</f>
        <v>0</v>
      </c>
      <c r="AD1135" t="b">
        <f>+ISNUMBER(SEARCH('F-COMPRA'!#REF!,Tabla11[[#This Row],[Cuenta]],1))</f>
        <v>0</v>
      </c>
      <c r="AE1135" t="b">
        <f>+ISNUMBER(SEARCH('F-COMPRA'!#REF!,Tabla11[[#This Row],[Cuenta]],1))</f>
        <v>0</v>
      </c>
      <c r="AF1135" t="b">
        <f>+ISNUMBER(SEARCH('F-VTA'!$G$23,Tabla11[[#This Row],[Cuenta]],1))</f>
        <v>0</v>
      </c>
      <c r="AG1135" t="b">
        <f>+ISNUMBER(SEARCH('F-VTA'!$G$24,Tabla11[[#This Row],[Cuenta]],1))</f>
        <v>0</v>
      </c>
      <c r="AH1135" t="b">
        <f>+ISNUMBER(SEARCH('F-VTA'!$G$25,Tabla11[[#This Row],[Cuenta]],1))</f>
        <v>0</v>
      </c>
      <c r="AI1135" t="b">
        <f>+ISNUMBER(SEARCH('F-VTA'!$F$28,Tabla11[[#This Row],[Cuenta]],1))</f>
        <v>1</v>
      </c>
      <c r="AJ1135" t="b">
        <f>+ISNUMBER(SEARCH('F-VTA'!$F$29,Tabla11[[#This Row],[Cuenta]],1))</f>
        <v>1</v>
      </c>
      <c r="AK1135" t="b">
        <f>+ISNUMBER(SEARCH('F-VTA'!$F$30,Tabla11[[#This Row],[Cuenta]],1))</f>
        <v>1</v>
      </c>
      <c r="AL1135" t="b">
        <f>+ISNUMBER(SEARCH('F-VTA'!$F$31,Tabla11[[#This Row],[Cuenta]],1))</f>
        <v>1</v>
      </c>
      <c r="AM1135" t="b">
        <f>+ISNUMBER(SEARCH('F-VTA'!$F$32,Tabla11[[#This Row],[Cuenta]],1))</f>
        <v>1</v>
      </c>
      <c r="AN1135" t="b">
        <f>+ISNUMBER(SEARCH('F-VTA'!$F$33,Tabla11[[#This Row],[Cuenta]],1))</f>
        <v>1</v>
      </c>
      <c r="AO1135" t="b">
        <f>+ISNUMBER(SEARCH('F-VTA'!$F$34,Tabla11[[#This Row],[Cuenta]],1))</f>
        <v>1</v>
      </c>
      <c r="AP1135" t="b">
        <f>+ISNUMBER(SEARCH('F-VTA'!$F$35,Tabla11[[#This Row],[Cuenta]],1))</f>
        <v>1</v>
      </c>
      <c r="AQ1135" t="b">
        <f>+ISNUMBER(SEARCH('F-VTA'!$F$36,Tabla11[[#This Row],[Cuenta]],1))</f>
        <v>1</v>
      </c>
      <c r="AR1135" t="b">
        <f>+ISNUMBER(SEARCH(#REF!,Tabla11[[#This Row],[Cuenta]],1))</f>
        <v>0</v>
      </c>
      <c r="AS1135" t="b">
        <f>+ISNUMBER(SEARCH(#REF!,Tabla11[[#This Row],[Cuenta]],1))</f>
        <v>0</v>
      </c>
      <c r="AT1135" t="b">
        <f>+ISNUMBER(SEARCH(#REF!,Tabla11[[#This Row],[Cuenta]],1))</f>
        <v>0</v>
      </c>
      <c r="AU1135" t="b">
        <f>+ISNUMBER(SEARCH('Conc. Ban.1'!$I$9,Tabla11[[#This Row],[Cuenta]],1))</f>
        <v>0</v>
      </c>
      <c r="AV1135" t="b">
        <f>+ISNUMBER(SEARCH(CompConta!$F$21,Tabla11[[#This Row],[Cuenta]],1))</f>
        <v>1</v>
      </c>
      <c r="AW1135" t="b">
        <f>+ISNUMBER(SEARCH(CompConta!$F$22,Tabla11[[#This Row],[Cuenta]],1))</f>
        <v>1</v>
      </c>
      <c r="AX1135" t="b">
        <f>+ISNUMBER(SEARCH(CompConta!$F$23,Tabla11[[#This Row],[Cuenta]],1))</f>
        <v>1</v>
      </c>
      <c r="AY1135" t="b">
        <f>+ISNUMBER(SEARCH(CompConta!$F$24,Tabla11[[#This Row],[Cuenta]],1))</f>
        <v>1</v>
      </c>
      <c r="AZ1135" t="b">
        <f>+ISNUMBER(SEARCH(CompConta!$F$25,Tabla11[[#This Row],[Cuenta]],1))</f>
        <v>1</v>
      </c>
      <c r="BA1135" t="b">
        <f>+ISNUMBER(SEARCH(CompConta!$F$26,Tabla11[[#This Row],[Cuenta]],1))</f>
        <v>1</v>
      </c>
      <c r="BB1135" t="b">
        <f>+ISNUMBER(SEARCH(CompConta!$F$27,Tabla11[[#This Row],[Cuenta]],1))</f>
        <v>1</v>
      </c>
      <c r="BC1135" t="b">
        <f>+ISNUMBER(SEARCH(CompConta!$F$28,Tabla11[[#This Row],[Cuenta]],1))</f>
        <v>1</v>
      </c>
      <c r="BD1135" t="b">
        <f>+ISNUMBER(SEARCH(CompConta!$F$29,Tabla11[[#This Row],[Cuenta]],1))</f>
        <v>1</v>
      </c>
      <c r="BE1135" t="b">
        <f>+ISNUMBER(SEARCH(CompConta!$F$30,Tabla11[[#This Row],[Cuenta]],1))</f>
        <v>1</v>
      </c>
      <c r="BF1135" t="b">
        <f>+ISNUMBER(SEARCH('PAGO Compras'!$E$11,Tabla11[[#This Row],[Cuenta]],1))</f>
        <v>1</v>
      </c>
      <c r="BG1135" t="b">
        <f>+ISNUMBER(SEARCH(#REF!,Tabla11[[#This Row],[Cuenta]],1))</f>
        <v>0</v>
      </c>
      <c r="BH1135" t="b">
        <f>+ISNUMBER(SEARCH(#REF!,Tabla11[[#This Row],[Cuenta]],1))</f>
        <v>0</v>
      </c>
      <c r="BI1135" t="b">
        <f>+ISNUMBER(SEARCH(#REF!,Tabla11[[#This Row],[Cuenta]],1))</f>
        <v>0</v>
      </c>
      <c r="BJ1135" t="b">
        <f>+ISNUMBER(SEARCH(#REF!,Tabla11[[#This Row],[Cuenta]],1))</f>
        <v>0</v>
      </c>
      <c r="BS1135" t="str">
        <v>610505 Costos de Ventas</v>
      </c>
      <c r="BT1135" t="str">
        <v>610505 Costos de Ventas</v>
      </c>
      <c r="BU1135" t="str">
        <v>610505 Costos de Ventas</v>
      </c>
      <c r="BV1135" t="str">
        <v>610505 Costos de Ventas</v>
      </c>
      <c r="BZ1135" t="str">
        <v>610505 Costos de Ventas</v>
      </c>
      <c r="CA1135" t="str">
        <v>610505 Costos de Ventas</v>
      </c>
      <c r="CB1135" t="str">
        <v>610505 Costos de Ventas</v>
      </c>
      <c r="CC1135" t="str">
        <v>610505 Costos de Ventas</v>
      </c>
      <c r="CD1135" t="str">
        <v>610505 Costos de Ventas</v>
      </c>
      <c r="CE1135" t="str">
        <v>610505 Costos de Ventas</v>
      </c>
      <c r="CS1135" s="141" t="str">
        <v>610505 Costos de Ventas</v>
      </c>
      <c r="CT1135" s="141" t="str">
        <v>610505 Costos de Ventas</v>
      </c>
      <c r="CU1135" s="141" t="str">
        <v>610505 Costos de Ventas</v>
      </c>
      <c r="CV1135" s="141" t="str">
        <v>610505 Costos de Ventas</v>
      </c>
      <c r="CW1135" s="141" t="str">
        <v>610505 Costos de Ventas</v>
      </c>
      <c r="CX1135" s="141" t="str">
        <v>610505 Costos de Ventas</v>
      </c>
      <c r="CY1135" s="141" t="str">
        <v>610505 Costos de Ventas</v>
      </c>
      <c r="CZ1135" s="141" t="str">
        <v>610505 Costos de Ventas</v>
      </c>
      <c r="DA1135" s="141" t="str">
        <v>610505 Costos de Ventas</v>
      </c>
      <c r="DF1135" t="str">
        <v>610505 Costos de Ventas</v>
      </c>
      <c r="DG1135" t="str">
        <v>610505 Costos de Ventas</v>
      </c>
      <c r="DH1135" t="str">
        <v>610505 Costos de Ventas</v>
      </c>
      <c r="DI1135" t="str">
        <v>610505 Costos de Ventas</v>
      </c>
      <c r="DJ1135" t="str">
        <v>610505 Costos de Ventas</v>
      </c>
      <c r="DK1135" t="str">
        <v>610505 Costos de Ventas</v>
      </c>
      <c r="DL1135" t="str">
        <v>610505 Costos de Ventas</v>
      </c>
      <c r="DM1135" t="str">
        <v>610505 Costos de Ventas</v>
      </c>
      <c r="DN1135" t="str">
        <v>610505 Costos de Ventas</v>
      </c>
      <c r="DO1135" t="str">
        <v>610505 Costos de Ventas</v>
      </c>
      <c r="DP1135" t="str">
        <v>610505 Costos de Ventas</v>
      </c>
    </row>
    <row r="1136" spans="4:120" ht="12.75">
      <c r="D1136" s="7">
        <v>6120</v>
      </c>
      <c r="E1136" s="6" t="s">
        <v>506</v>
      </c>
      <c r="F1136" s="5">
        <v>3</v>
      </c>
      <c r="G1136" s="34" t="s">
        <v>831</v>
      </c>
      <c r="H1136" s="8" t="s">
        <v>32</v>
      </c>
      <c r="I1136" t="b">
        <f>+ISNUMBER(SEARCH('F-COMPRA'!$F$28,Tabla11[[#This Row],[Cuenta]],1))</f>
        <v>1</v>
      </c>
      <c r="J1136" t="b">
        <f>+ISNUMBER(SEARCH('F-COMPRA'!$F$29,Tabla11[[#This Row],[Cuenta]],1))</f>
        <v>1</v>
      </c>
      <c r="K1136" t="b">
        <f>+ISNUMBER(SEARCH('F-COMPRA'!$F$30,Tabla11[[#This Row],[Cuenta]],1))</f>
        <v>1</v>
      </c>
      <c r="L1136" t="b">
        <f>+ISNUMBER(SEARCH('F-COMPRA'!$F$31,Tabla11[[#This Row],[Cuenta]],1))</f>
        <v>1</v>
      </c>
      <c r="M1136" t="b">
        <f>+ISNUMBER(SEARCH('F-COMPRA'!$G$25,Tabla11[[#This Row],[Cuenta]],1))</f>
        <v>0</v>
      </c>
      <c r="N1136" t="b">
        <f>+ISNUMBER(SEARCH(#REF!,Tabla11[[#This Row],[Cuenta]],1))</f>
        <v>0</v>
      </c>
      <c r="O1136" t="b">
        <f>+ISNUMBER(SEARCH(#REF!,Tabla11[[#This Row],[Cuenta]],1))</f>
        <v>0</v>
      </c>
      <c r="P1136" t="b">
        <f>+ISNUMBER(SEARCH('F-COMPRA'!$F$32,Tabla11[[#This Row],[Cuenta]],1))</f>
        <v>1</v>
      </c>
      <c r="Q1136" t="b">
        <f>+ISNUMBER(SEARCH('F-COMPRA'!$F$33,Tabla11[[#This Row],[Cuenta]],1))</f>
        <v>1</v>
      </c>
      <c r="R1136" t="b">
        <f>+ISNUMBER(SEARCH('F-COMPRA'!$F$34,Tabla11[[#This Row],[Cuenta]],1))</f>
        <v>1</v>
      </c>
      <c r="S1136" t="b">
        <f>+ISNUMBER(SEARCH('F-COMPRA'!$F$35,Tabla11[[#This Row],[Cuenta]],1))</f>
        <v>1</v>
      </c>
      <c r="T1136" t="b">
        <f>+ISNUMBER(SEARCH('F-COMPRA'!$F$36,Tabla11[[#This Row],[Cuenta]],1))</f>
        <v>1</v>
      </c>
      <c r="U1136" t="b">
        <f>+ISNUMBER(SEARCH('F-COMPRA'!$F$37,Tabla11[[#This Row],[Cuenta]],1))</f>
        <v>1</v>
      </c>
      <c r="V1136" t="b">
        <f>+ISNUMBER(SEARCH(#REF!,Tabla11[[#This Row],[Cuenta]],1))</f>
        <v>0</v>
      </c>
      <c r="W1136" t="b">
        <f>+ISNUMBER(SEARCH('F-COMPRA'!#REF!,Tabla11[[#This Row],[Cuenta]],1))</f>
        <v>0</v>
      </c>
      <c r="X1136" t="b">
        <f>+ISNUMBER(SEARCH('F-COMPRA'!#REF!,Tabla11[[#This Row],[Cuenta]],1))</f>
        <v>0</v>
      </c>
      <c r="Y1136" t="b">
        <f>+ISNUMBER(SEARCH('F-COMPRA'!#REF!,Tabla11[[#This Row],[Cuenta]],1))</f>
        <v>0</v>
      </c>
      <c r="Z1136" t="b">
        <f>+ISNUMBER(SEARCH('F-COMPRA'!#REF!,Tabla11[[#This Row],[Cuenta]],1))</f>
        <v>0</v>
      </c>
      <c r="AA1136" t="b">
        <f>+ISNUMBER(SEARCH('F-COMPRA'!#REF!,Tabla11[[#This Row],[Cuenta]],1))</f>
        <v>0</v>
      </c>
      <c r="AB1136" t="b">
        <f>+ISNUMBER(SEARCH('F-COMPRA'!#REF!,Tabla11[[#This Row],[Cuenta]],1))</f>
        <v>0</v>
      </c>
      <c r="AC1136" t="b">
        <f>+ISNUMBER(SEARCH('F-COMPRA'!#REF!,Tabla11[[#This Row],[Cuenta]],1))</f>
        <v>0</v>
      </c>
      <c r="AD1136" t="b">
        <f>+ISNUMBER(SEARCH('F-COMPRA'!#REF!,Tabla11[[#This Row],[Cuenta]],1))</f>
        <v>0</v>
      </c>
      <c r="AE1136" t="b">
        <f>+ISNUMBER(SEARCH('F-COMPRA'!#REF!,Tabla11[[#This Row],[Cuenta]],1))</f>
        <v>0</v>
      </c>
      <c r="AF1136" t="b">
        <f>+ISNUMBER(SEARCH('F-VTA'!$G$23,Tabla11[[#This Row],[Cuenta]],1))</f>
        <v>0</v>
      </c>
      <c r="AG1136" t="b">
        <f>+ISNUMBER(SEARCH('F-VTA'!$G$24,Tabla11[[#This Row],[Cuenta]],1))</f>
        <v>0</v>
      </c>
      <c r="AH1136" t="b">
        <f>+ISNUMBER(SEARCH('F-VTA'!$G$25,Tabla11[[#This Row],[Cuenta]],1))</f>
        <v>0</v>
      </c>
      <c r="AI1136" t="b">
        <f>+ISNUMBER(SEARCH('F-VTA'!$F$28,Tabla11[[#This Row],[Cuenta]],1))</f>
        <v>1</v>
      </c>
      <c r="AJ1136" t="b">
        <f>+ISNUMBER(SEARCH('F-VTA'!$F$29,Tabla11[[#This Row],[Cuenta]],1))</f>
        <v>1</v>
      </c>
      <c r="AK1136" t="b">
        <f>+ISNUMBER(SEARCH('F-VTA'!$F$30,Tabla11[[#This Row],[Cuenta]],1))</f>
        <v>1</v>
      </c>
      <c r="AL1136" t="b">
        <f>+ISNUMBER(SEARCH('F-VTA'!$F$31,Tabla11[[#This Row],[Cuenta]],1))</f>
        <v>1</v>
      </c>
      <c r="AM1136" t="b">
        <f>+ISNUMBER(SEARCH('F-VTA'!$F$32,Tabla11[[#This Row],[Cuenta]],1))</f>
        <v>1</v>
      </c>
      <c r="AN1136" t="b">
        <f>+ISNUMBER(SEARCH('F-VTA'!$F$33,Tabla11[[#This Row],[Cuenta]],1))</f>
        <v>1</v>
      </c>
      <c r="AO1136" t="b">
        <f>+ISNUMBER(SEARCH('F-VTA'!$F$34,Tabla11[[#This Row],[Cuenta]],1))</f>
        <v>1</v>
      </c>
      <c r="AP1136" t="b">
        <f>+ISNUMBER(SEARCH('F-VTA'!$F$35,Tabla11[[#This Row],[Cuenta]],1))</f>
        <v>1</v>
      </c>
      <c r="AQ1136" t="b">
        <f>+ISNUMBER(SEARCH('F-VTA'!$F$36,Tabla11[[#This Row],[Cuenta]],1))</f>
        <v>1</v>
      </c>
      <c r="AR1136" t="b">
        <f>+ISNUMBER(SEARCH(#REF!,Tabla11[[#This Row],[Cuenta]],1))</f>
        <v>0</v>
      </c>
      <c r="AS1136" t="b">
        <f>+ISNUMBER(SEARCH(#REF!,Tabla11[[#This Row],[Cuenta]],1))</f>
        <v>0</v>
      </c>
      <c r="AT1136" t="b">
        <f>+ISNUMBER(SEARCH(#REF!,Tabla11[[#This Row],[Cuenta]],1))</f>
        <v>0</v>
      </c>
      <c r="AU1136" t="b">
        <f>+ISNUMBER(SEARCH('Conc. Ban.1'!$I$9,Tabla11[[#This Row],[Cuenta]],1))</f>
        <v>0</v>
      </c>
      <c r="AV1136" t="b">
        <f>+ISNUMBER(SEARCH(CompConta!$F$21,Tabla11[[#This Row],[Cuenta]],1))</f>
        <v>1</v>
      </c>
      <c r="AW1136" t="b">
        <f>+ISNUMBER(SEARCH(CompConta!$F$22,Tabla11[[#This Row],[Cuenta]],1))</f>
        <v>1</v>
      </c>
      <c r="AX1136" t="b">
        <f>+ISNUMBER(SEARCH(CompConta!$F$23,Tabla11[[#This Row],[Cuenta]],1))</f>
        <v>1</v>
      </c>
      <c r="AY1136" t="b">
        <f>+ISNUMBER(SEARCH(CompConta!$F$24,Tabla11[[#This Row],[Cuenta]],1))</f>
        <v>1</v>
      </c>
      <c r="AZ1136" t="b">
        <f>+ISNUMBER(SEARCH(CompConta!$F$25,Tabla11[[#This Row],[Cuenta]],1))</f>
        <v>1</v>
      </c>
      <c r="BA1136" t="b">
        <f>+ISNUMBER(SEARCH(CompConta!$F$26,Tabla11[[#This Row],[Cuenta]],1))</f>
        <v>1</v>
      </c>
      <c r="BB1136" t="b">
        <f>+ISNUMBER(SEARCH(CompConta!$F$27,Tabla11[[#This Row],[Cuenta]],1))</f>
        <v>1</v>
      </c>
      <c r="BC1136" t="b">
        <f>+ISNUMBER(SEARCH(CompConta!$F$28,Tabla11[[#This Row],[Cuenta]],1))</f>
        <v>1</v>
      </c>
      <c r="BD1136" t="b">
        <f>+ISNUMBER(SEARCH(CompConta!$F$29,Tabla11[[#This Row],[Cuenta]],1))</f>
        <v>1</v>
      </c>
      <c r="BE1136" t="b">
        <f>+ISNUMBER(SEARCH(CompConta!$F$30,Tabla11[[#This Row],[Cuenta]],1))</f>
        <v>1</v>
      </c>
      <c r="BF1136" t="b">
        <f>+ISNUMBER(SEARCH('PAGO Compras'!$E$11,Tabla11[[#This Row],[Cuenta]],1))</f>
        <v>1</v>
      </c>
      <c r="BG1136" t="b">
        <f>+ISNUMBER(SEARCH(#REF!,Tabla11[[#This Row],[Cuenta]],1))</f>
        <v>0</v>
      </c>
      <c r="BH1136" t="b">
        <f>+ISNUMBER(SEARCH(#REF!,Tabla11[[#This Row],[Cuenta]],1))</f>
        <v>0</v>
      </c>
      <c r="BI1136" t="b">
        <f>+ISNUMBER(SEARCH(#REF!,Tabla11[[#This Row],[Cuenta]],1))</f>
        <v>0</v>
      </c>
      <c r="BJ1136" t="b">
        <f>+ISNUMBER(SEARCH(#REF!,Tabla11[[#This Row],[Cuenta]],1))</f>
        <v>0</v>
      </c>
      <c r="BS1136" t="str">
        <v>6120 INDUSTRIAS MANUFACTURERAS</v>
      </c>
      <c r="BT1136" t="str">
        <v>6120 INDUSTRIAS MANUFACTURERAS</v>
      </c>
      <c r="BU1136" t="str">
        <v>6120 INDUSTRIAS MANUFACTURERAS</v>
      </c>
      <c r="BV1136" t="str">
        <v>6120 INDUSTRIAS MANUFACTURERAS</v>
      </c>
      <c r="BZ1136" t="str">
        <v>6120 INDUSTRIAS MANUFACTURERAS</v>
      </c>
      <c r="CA1136" t="str">
        <v>6120 INDUSTRIAS MANUFACTURERAS</v>
      </c>
      <c r="CB1136" t="str">
        <v>6120 INDUSTRIAS MANUFACTURERAS</v>
      </c>
      <c r="CC1136" t="str">
        <v>6120 INDUSTRIAS MANUFACTURERAS</v>
      </c>
      <c r="CD1136" t="str">
        <v>6120 INDUSTRIAS MANUFACTURERAS</v>
      </c>
      <c r="CE1136" t="str">
        <v>6120 INDUSTRIAS MANUFACTURERAS</v>
      </c>
      <c r="CS1136" s="141" t="str">
        <v>6120 INDUSTRIAS MANUFACTURERAS</v>
      </c>
      <c r="CT1136" s="141" t="str">
        <v>6120 INDUSTRIAS MANUFACTURERAS</v>
      </c>
      <c r="CU1136" s="141" t="str">
        <v>6120 INDUSTRIAS MANUFACTURERAS</v>
      </c>
      <c r="CV1136" s="141" t="str">
        <v>6120 INDUSTRIAS MANUFACTURERAS</v>
      </c>
      <c r="CW1136" s="141" t="str">
        <v>6120 INDUSTRIAS MANUFACTURERAS</v>
      </c>
      <c r="CX1136" s="141" t="str">
        <v>6120 INDUSTRIAS MANUFACTURERAS</v>
      </c>
      <c r="CY1136" s="141" t="str">
        <v>6120 INDUSTRIAS MANUFACTURERAS</v>
      </c>
      <c r="CZ1136" s="141" t="str">
        <v>6120 INDUSTRIAS MANUFACTURERAS</v>
      </c>
      <c r="DA1136" s="141" t="str">
        <v>6120 INDUSTRIAS MANUFACTURERAS</v>
      </c>
      <c r="DF1136" t="str">
        <v>6120 INDUSTRIAS MANUFACTURERAS</v>
      </c>
      <c r="DG1136" t="str">
        <v>6120 INDUSTRIAS MANUFACTURERAS</v>
      </c>
      <c r="DH1136" t="str">
        <v>6120 INDUSTRIAS MANUFACTURERAS</v>
      </c>
      <c r="DI1136" t="str">
        <v>6120 INDUSTRIAS MANUFACTURERAS</v>
      </c>
      <c r="DJ1136" t="str">
        <v>6120 INDUSTRIAS MANUFACTURERAS</v>
      </c>
      <c r="DK1136" t="str">
        <v>6120 INDUSTRIAS MANUFACTURERAS</v>
      </c>
      <c r="DL1136" t="str">
        <v>6120 INDUSTRIAS MANUFACTURERAS</v>
      </c>
      <c r="DM1136" t="str">
        <v>6120 INDUSTRIAS MANUFACTURERAS</v>
      </c>
      <c r="DN1136" t="str">
        <v>6120 INDUSTRIAS MANUFACTURERAS</v>
      </c>
      <c r="DO1136" t="str">
        <v>6120 INDUSTRIAS MANUFACTURERAS</v>
      </c>
      <c r="DP1136" t="str">
        <v>6120 INDUSTRIAS MANUFACTURERAS</v>
      </c>
    </row>
    <row r="1137" spans="4:120" ht="12.75">
      <c r="D1137" s="7">
        <v>612005</v>
      </c>
      <c r="E1137" s="6" t="s">
        <v>507</v>
      </c>
      <c r="F1137" s="5">
        <v>4</v>
      </c>
      <c r="G1137" s="34" t="s">
        <v>831</v>
      </c>
      <c r="H1137" s="8" t="s">
        <v>32</v>
      </c>
      <c r="I1137" t="b">
        <f>+ISNUMBER(SEARCH('F-COMPRA'!$F$28,Tabla11[[#This Row],[Cuenta]],1))</f>
        <v>1</v>
      </c>
      <c r="J1137" t="b">
        <f>+ISNUMBER(SEARCH('F-COMPRA'!$F$29,Tabla11[[#This Row],[Cuenta]],1))</f>
        <v>1</v>
      </c>
      <c r="K1137" t="b">
        <f>+ISNUMBER(SEARCH('F-COMPRA'!$F$30,Tabla11[[#This Row],[Cuenta]],1))</f>
        <v>1</v>
      </c>
      <c r="L1137" t="b">
        <f>+ISNUMBER(SEARCH('F-COMPRA'!$F$31,Tabla11[[#This Row],[Cuenta]],1))</f>
        <v>1</v>
      </c>
      <c r="M1137" t="b">
        <f>+ISNUMBER(SEARCH('F-COMPRA'!$G$25,Tabla11[[#This Row],[Cuenta]],1))</f>
        <v>0</v>
      </c>
      <c r="N1137" t="b">
        <f>+ISNUMBER(SEARCH(#REF!,Tabla11[[#This Row],[Cuenta]],1))</f>
        <v>0</v>
      </c>
      <c r="O1137" t="b">
        <f>+ISNUMBER(SEARCH(#REF!,Tabla11[[#This Row],[Cuenta]],1))</f>
        <v>0</v>
      </c>
      <c r="P1137" t="b">
        <f>+ISNUMBER(SEARCH('F-COMPRA'!$F$32,Tabla11[[#This Row],[Cuenta]],1))</f>
        <v>1</v>
      </c>
      <c r="Q1137" t="b">
        <f>+ISNUMBER(SEARCH('F-COMPRA'!$F$33,Tabla11[[#This Row],[Cuenta]],1))</f>
        <v>1</v>
      </c>
      <c r="R1137" t="b">
        <f>+ISNUMBER(SEARCH('F-COMPRA'!$F$34,Tabla11[[#This Row],[Cuenta]],1))</f>
        <v>1</v>
      </c>
      <c r="S1137" t="b">
        <f>+ISNUMBER(SEARCH('F-COMPRA'!$F$35,Tabla11[[#This Row],[Cuenta]],1))</f>
        <v>1</v>
      </c>
      <c r="T1137" t="b">
        <f>+ISNUMBER(SEARCH('F-COMPRA'!$F$36,Tabla11[[#This Row],[Cuenta]],1))</f>
        <v>1</v>
      </c>
      <c r="U1137" t="b">
        <f>+ISNUMBER(SEARCH('F-COMPRA'!$F$37,Tabla11[[#This Row],[Cuenta]],1))</f>
        <v>1</v>
      </c>
      <c r="V1137" t="b">
        <f>+ISNUMBER(SEARCH(#REF!,Tabla11[[#This Row],[Cuenta]],1))</f>
        <v>0</v>
      </c>
      <c r="W1137" t="b">
        <f>+ISNUMBER(SEARCH('F-COMPRA'!#REF!,Tabla11[[#This Row],[Cuenta]],1))</f>
        <v>0</v>
      </c>
      <c r="X1137" t="b">
        <f>+ISNUMBER(SEARCH('F-COMPRA'!#REF!,Tabla11[[#This Row],[Cuenta]],1))</f>
        <v>0</v>
      </c>
      <c r="Y1137" t="b">
        <f>+ISNUMBER(SEARCH('F-COMPRA'!#REF!,Tabla11[[#This Row],[Cuenta]],1))</f>
        <v>0</v>
      </c>
      <c r="Z1137" t="b">
        <f>+ISNUMBER(SEARCH('F-COMPRA'!#REF!,Tabla11[[#This Row],[Cuenta]],1))</f>
        <v>0</v>
      </c>
      <c r="AA1137" t="b">
        <f>+ISNUMBER(SEARCH('F-COMPRA'!#REF!,Tabla11[[#This Row],[Cuenta]],1))</f>
        <v>0</v>
      </c>
      <c r="AB1137" t="b">
        <f>+ISNUMBER(SEARCH('F-COMPRA'!#REF!,Tabla11[[#This Row],[Cuenta]],1))</f>
        <v>0</v>
      </c>
      <c r="AC1137" t="b">
        <f>+ISNUMBER(SEARCH('F-COMPRA'!#REF!,Tabla11[[#This Row],[Cuenta]],1))</f>
        <v>0</v>
      </c>
      <c r="AD1137" t="b">
        <f>+ISNUMBER(SEARCH('F-COMPRA'!#REF!,Tabla11[[#This Row],[Cuenta]],1))</f>
        <v>0</v>
      </c>
      <c r="AE1137" t="b">
        <f>+ISNUMBER(SEARCH('F-COMPRA'!#REF!,Tabla11[[#This Row],[Cuenta]],1))</f>
        <v>0</v>
      </c>
      <c r="AF1137" t="b">
        <f>+ISNUMBER(SEARCH('F-VTA'!$G$23,Tabla11[[#This Row],[Cuenta]],1))</f>
        <v>0</v>
      </c>
      <c r="AG1137" t="b">
        <f>+ISNUMBER(SEARCH('F-VTA'!$G$24,Tabla11[[#This Row],[Cuenta]],1))</f>
        <v>0</v>
      </c>
      <c r="AH1137" t="b">
        <f>+ISNUMBER(SEARCH('F-VTA'!$G$25,Tabla11[[#This Row],[Cuenta]],1))</f>
        <v>0</v>
      </c>
      <c r="AI1137" t="b">
        <f>+ISNUMBER(SEARCH('F-VTA'!$F$28,Tabla11[[#This Row],[Cuenta]],1))</f>
        <v>1</v>
      </c>
      <c r="AJ1137" t="b">
        <f>+ISNUMBER(SEARCH('F-VTA'!$F$29,Tabla11[[#This Row],[Cuenta]],1))</f>
        <v>1</v>
      </c>
      <c r="AK1137" t="b">
        <f>+ISNUMBER(SEARCH('F-VTA'!$F$30,Tabla11[[#This Row],[Cuenta]],1))</f>
        <v>1</v>
      </c>
      <c r="AL1137" t="b">
        <f>+ISNUMBER(SEARCH('F-VTA'!$F$31,Tabla11[[#This Row],[Cuenta]],1))</f>
        <v>1</v>
      </c>
      <c r="AM1137" t="b">
        <f>+ISNUMBER(SEARCH('F-VTA'!$F$32,Tabla11[[#This Row],[Cuenta]],1))</f>
        <v>1</v>
      </c>
      <c r="AN1137" t="b">
        <f>+ISNUMBER(SEARCH('F-VTA'!$F$33,Tabla11[[#This Row],[Cuenta]],1))</f>
        <v>1</v>
      </c>
      <c r="AO1137" t="b">
        <f>+ISNUMBER(SEARCH('F-VTA'!$F$34,Tabla11[[#This Row],[Cuenta]],1))</f>
        <v>1</v>
      </c>
      <c r="AP1137" t="b">
        <f>+ISNUMBER(SEARCH('F-VTA'!$F$35,Tabla11[[#This Row],[Cuenta]],1))</f>
        <v>1</v>
      </c>
      <c r="AQ1137" t="b">
        <f>+ISNUMBER(SEARCH('F-VTA'!$F$36,Tabla11[[#This Row],[Cuenta]],1))</f>
        <v>1</v>
      </c>
      <c r="AR1137" t="b">
        <f>+ISNUMBER(SEARCH(#REF!,Tabla11[[#This Row],[Cuenta]],1))</f>
        <v>0</v>
      </c>
      <c r="AS1137" t="b">
        <f>+ISNUMBER(SEARCH(#REF!,Tabla11[[#This Row],[Cuenta]],1))</f>
        <v>0</v>
      </c>
      <c r="AT1137" t="b">
        <f>+ISNUMBER(SEARCH(#REF!,Tabla11[[#This Row],[Cuenta]],1))</f>
        <v>0</v>
      </c>
      <c r="AU1137" t="b">
        <f>+ISNUMBER(SEARCH('Conc. Ban.1'!$I$9,Tabla11[[#This Row],[Cuenta]],1))</f>
        <v>0</v>
      </c>
      <c r="AV1137" t="b">
        <f>+ISNUMBER(SEARCH(CompConta!$F$21,Tabla11[[#This Row],[Cuenta]],1))</f>
        <v>1</v>
      </c>
      <c r="AW1137" t="b">
        <f>+ISNUMBER(SEARCH(CompConta!$F$22,Tabla11[[#This Row],[Cuenta]],1))</f>
        <v>1</v>
      </c>
      <c r="AX1137" t="b">
        <f>+ISNUMBER(SEARCH(CompConta!$F$23,Tabla11[[#This Row],[Cuenta]],1))</f>
        <v>1</v>
      </c>
      <c r="AY1137" t="b">
        <f>+ISNUMBER(SEARCH(CompConta!$F$24,Tabla11[[#This Row],[Cuenta]],1))</f>
        <v>1</v>
      </c>
      <c r="AZ1137" t="b">
        <f>+ISNUMBER(SEARCH(CompConta!$F$25,Tabla11[[#This Row],[Cuenta]],1))</f>
        <v>1</v>
      </c>
      <c r="BA1137" t="b">
        <f>+ISNUMBER(SEARCH(CompConta!$F$26,Tabla11[[#This Row],[Cuenta]],1))</f>
        <v>1</v>
      </c>
      <c r="BB1137" t="b">
        <f>+ISNUMBER(SEARCH(CompConta!$F$27,Tabla11[[#This Row],[Cuenta]],1))</f>
        <v>1</v>
      </c>
      <c r="BC1137" t="b">
        <f>+ISNUMBER(SEARCH(CompConta!$F$28,Tabla11[[#This Row],[Cuenta]],1))</f>
        <v>1</v>
      </c>
      <c r="BD1137" t="b">
        <f>+ISNUMBER(SEARCH(CompConta!$F$29,Tabla11[[#This Row],[Cuenta]],1))</f>
        <v>1</v>
      </c>
      <c r="BE1137" t="b">
        <f>+ISNUMBER(SEARCH(CompConta!$F$30,Tabla11[[#This Row],[Cuenta]],1))</f>
        <v>1</v>
      </c>
      <c r="BF1137" t="b">
        <f>+ISNUMBER(SEARCH('PAGO Compras'!$E$11,Tabla11[[#This Row],[Cuenta]],1))</f>
        <v>1</v>
      </c>
      <c r="BG1137" t="b">
        <f>+ISNUMBER(SEARCH(#REF!,Tabla11[[#This Row],[Cuenta]],1))</f>
        <v>0</v>
      </c>
      <c r="BH1137" t="b">
        <f>+ISNUMBER(SEARCH(#REF!,Tabla11[[#This Row],[Cuenta]],1))</f>
        <v>0</v>
      </c>
      <c r="BI1137" t="b">
        <f>+ISNUMBER(SEARCH(#REF!,Tabla11[[#This Row],[Cuenta]],1))</f>
        <v>0</v>
      </c>
      <c r="BJ1137" t="b">
        <f>+ISNUMBER(SEARCH(#REF!,Tabla11[[#This Row],[Cuenta]],1))</f>
        <v>0</v>
      </c>
      <c r="BS1137" t="str">
        <v>612005 Elaboración de productos lácteos</v>
      </c>
      <c r="BT1137" t="str">
        <v>612005 Elaboración de productos lácteos</v>
      </c>
      <c r="BU1137" t="str">
        <v>612005 Elaboración de productos lácteos</v>
      </c>
      <c r="BV1137" t="str">
        <v>612005 Elaboración de productos lácteos</v>
      </c>
      <c r="BZ1137" t="str">
        <v>612005 Elaboración de productos lácteos</v>
      </c>
      <c r="CA1137" t="str">
        <v>612005 Elaboración de productos lácteos</v>
      </c>
      <c r="CB1137" t="str">
        <v>612005 Elaboración de productos lácteos</v>
      </c>
      <c r="CC1137" t="str">
        <v>612005 Elaboración de productos lácteos</v>
      </c>
      <c r="CD1137" t="str">
        <v>612005 Elaboración de productos lácteos</v>
      </c>
      <c r="CE1137" t="str">
        <v>612005 Elaboración de productos lácteos</v>
      </c>
      <c r="CS1137" s="141" t="str">
        <v>612005 Elaboración de productos lácteos</v>
      </c>
      <c r="CT1137" s="141" t="str">
        <v>612005 Elaboración de productos lácteos</v>
      </c>
      <c r="CU1137" s="141" t="str">
        <v>612005 Elaboración de productos lácteos</v>
      </c>
      <c r="CV1137" s="141" t="str">
        <v>612005 Elaboración de productos lácteos</v>
      </c>
      <c r="CW1137" s="141" t="str">
        <v>612005 Elaboración de productos lácteos</v>
      </c>
      <c r="CX1137" s="141" t="str">
        <v>612005 Elaboración de productos lácteos</v>
      </c>
      <c r="CY1137" s="141" t="str">
        <v>612005 Elaboración de productos lácteos</v>
      </c>
      <c r="CZ1137" s="141" t="str">
        <v>612005 Elaboración de productos lácteos</v>
      </c>
      <c r="DA1137" s="141" t="str">
        <v>612005 Elaboración de productos lácteos</v>
      </c>
      <c r="DF1137" t="str">
        <v>612005 Elaboración de productos lácteos</v>
      </c>
      <c r="DG1137" t="str">
        <v>612005 Elaboración de productos lácteos</v>
      </c>
      <c r="DH1137" t="str">
        <v>612005 Elaboración de productos lácteos</v>
      </c>
      <c r="DI1137" t="str">
        <v>612005 Elaboración de productos lácteos</v>
      </c>
      <c r="DJ1137" t="str">
        <v>612005 Elaboración de productos lácteos</v>
      </c>
      <c r="DK1137" t="str">
        <v>612005 Elaboración de productos lácteos</v>
      </c>
      <c r="DL1137" t="str">
        <v>612005 Elaboración de productos lácteos</v>
      </c>
      <c r="DM1137" t="str">
        <v>612005 Elaboración de productos lácteos</v>
      </c>
      <c r="DN1137" t="str">
        <v>612005 Elaboración de productos lácteos</v>
      </c>
      <c r="DO1137" t="str">
        <v>612005 Elaboración de productos lácteos</v>
      </c>
      <c r="DP1137" t="str">
        <v>612005 Elaboración de productos lácteos</v>
      </c>
    </row>
    <row r="1138" spans="4:120" ht="12.75">
      <c r="D1138" s="7">
        <v>6135</v>
      </c>
      <c r="E1138" s="6" t="s">
        <v>1236</v>
      </c>
      <c r="F1138" s="5">
        <v>3</v>
      </c>
      <c r="G1138" s="34" t="s">
        <v>831</v>
      </c>
      <c r="H1138" s="8" t="s">
        <v>32</v>
      </c>
      <c r="I1138" t="b">
        <f>+ISNUMBER(SEARCH('F-COMPRA'!$F$28,Tabla11[[#This Row],[Cuenta]],1))</f>
        <v>1</v>
      </c>
      <c r="J1138" t="b">
        <f>+ISNUMBER(SEARCH('F-COMPRA'!$F$29,Tabla11[[#This Row],[Cuenta]],1))</f>
        <v>1</v>
      </c>
      <c r="K1138" t="b">
        <f>+ISNUMBER(SEARCH('F-COMPRA'!$F$30,Tabla11[[#This Row],[Cuenta]],1))</f>
        <v>1</v>
      </c>
      <c r="L1138" t="b">
        <f>+ISNUMBER(SEARCH('F-COMPRA'!$F$31,Tabla11[[#This Row],[Cuenta]],1))</f>
        <v>1</v>
      </c>
      <c r="M1138" t="b">
        <f>+ISNUMBER(SEARCH('F-COMPRA'!$G$25,Tabla11[[#This Row],[Cuenta]],1))</f>
        <v>0</v>
      </c>
      <c r="N1138" t="b">
        <f>+ISNUMBER(SEARCH(#REF!,Tabla11[[#This Row],[Cuenta]],1))</f>
        <v>0</v>
      </c>
      <c r="O1138" t="b">
        <f>+ISNUMBER(SEARCH(#REF!,Tabla11[[#This Row],[Cuenta]],1))</f>
        <v>0</v>
      </c>
      <c r="P1138" t="b">
        <f>+ISNUMBER(SEARCH('F-COMPRA'!$F$32,Tabla11[[#This Row],[Cuenta]],1))</f>
        <v>1</v>
      </c>
      <c r="Q1138" t="b">
        <f>+ISNUMBER(SEARCH('F-COMPRA'!$F$33,Tabla11[[#This Row],[Cuenta]],1))</f>
        <v>1</v>
      </c>
      <c r="R1138" t="b">
        <f>+ISNUMBER(SEARCH('F-COMPRA'!$F$34,Tabla11[[#This Row],[Cuenta]],1))</f>
        <v>1</v>
      </c>
      <c r="S1138" t="b">
        <f>+ISNUMBER(SEARCH('F-COMPRA'!$F$35,Tabla11[[#This Row],[Cuenta]],1))</f>
        <v>1</v>
      </c>
      <c r="T1138" t="b">
        <f>+ISNUMBER(SEARCH('F-COMPRA'!$F$36,Tabla11[[#This Row],[Cuenta]],1))</f>
        <v>1</v>
      </c>
      <c r="U1138" t="b">
        <f>+ISNUMBER(SEARCH('F-COMPRA'!$F$37,Tabla11[[#This Row],[Cuenta]],1))</f>
        <v>1</v>
      </c>
      <c r="V1138" t="b">
        <f>+ISNUMBER(SEARCH(#REF!,Tabla11[[#This Row],[Cuenta]],1))</f>
        <v>0</v>
      </c>
      <c r="W1138" t="b">
        <f>+ISNUMBER(SEARCH('F-COMPRA'!#REF!,Tabla11[[#This Row],[Cuenta]],1))</f>
        <v>0</v>
      </c>
      <c r="X1138" t="b">
        <f>+ISNUMBER(SEARCH('F-COMPRA'!#REF!,Tabla11[[#This Row],[Cuenta]],1))</f>
        <v>0</v>
      </c>
      <c r="Y1138" t="b">
        <f>+ISNUMBER(SEARCH('F-COMPRA'!#REF!,Tabla11[[#This Row],[Cuenta]],1))</f>
        <v>0</v>
      </c>
      <c r="Z1138" t="b">
        <f>+ISNUMBER(SEARCH('F-COMPRA'!#REF!,Tabla11[[#This Row],[Cuenta]],1))</f>
        <v>0</v>
      </c>
      <c r="AA1138" t="b">
        <f>+ISNUMBER(SEARCH('F-COMPRA'!#REF!,Tabla11[[#This Row],[Cuenta]],1))</f>
        <v>0</v>
      </c>
      <c r="AB1138" t="b">
        <f>+ISNUMBER(SEARCH('F-COMPRA'!#REF!,Tabla11[[#This Row],[Cuenta]],1))</f>
        <v>0</v>
      </c>
      <c r="AC1138" t="b">
        <f>+ISNUMBER(SEARCH('F-COMPRA'!#REF!,Tabla11[[#This Row],[Cuenta]],1))</f>
        <v>0</v>
      </c>
      <c r="AD1138" t="b">
        <f>+ISNUMBER(SEARCH('F-COMPRA'!#REF!,Tabla11[[#This Row],[Cuenta]],1))</f>
        <v>0</v>
      </c>
      <c r="AE1138" t="b">
        <f>+ISNUMBER(SEARCH('F-COMPRA'!#REF!,Tabla11[[#This Row],[Cuenta]],1))</f>
        <v>0</v>
      </c>
      <c r="AF1138" t="b">
        <f>+ISNUMBER(SEARCH('F-VTA'!$G$23,Tabla11[[#This Row],[Cuenta]],1))</f>
        <v>0</v>
      </c>
      <c r="AG1138" t="b">
        <f>+ISNUMBER(SEARCH('F-VTA'!$G$24,Tabla11[[#This Row],[Cuenta]],1))</f>
        <v>0</v>
      </c>
      <c r="AH1138" t="b">
        <f>+ISNUMBER(SEARCH('F-VTA'!$G$25,Tabla11[[#This Row],[Cuenta]],1))</f>
        <v>0</v>
      </c>
      <c r="AI1138" t="b">
        <f>+ISNUMBER(SEARCH('F-VTA'!$F$28,Tabla11[[#This Row],[Cuenta]],1))</f>
        <v>1</v>
      </c>
      <c r="AJ1138" t="b">
        <f>+ISNUMBER(SEARCH('F-VTA'!$F$29,Tabla11[[#This Row],[Cuenta]],1))</f>
        <v>1</v>
      </c>
      <c r="AK1138" t="b">
        <f>+ISNUMBER(SEARCH('F-VTA'!$F$30,Tabla11[[#This Row],[Cuenta]],1))</f>
        <v>1</v>
      </c>
      <c r="AL1138" t="b">
        <f>+ISNUMBER(SEARCH('F-VTA'!$F$31,Tabla11[[#This Row],[Cuenta]],1))</f>
        <v>1</v>
      </c>
      <c r="AM1138" t="b">
        <f>+ISNUMBER(SEARCH('F-VTA'!$F$32,Tabla11[[#This Row],[Cuenta]],1))</f>
        <v>1</v>
      </c>
      <c r="AN1138" t="b">
        <f>+ISNUMBER(SEARCH('F-VTA'!$F$33,Tabla11[[#This Row],[Cuenta]],1))</f>
        <v>1</v>
      </c>
      <c r="AO1138" t="b">
        <f>+ISNUMBER(SEARCH('F-VTA'!$F$34,Tabla11[[#This Row],[Cuenta]],1))</f>
        <v>1</v>
      </c>
      <c r="AP1138" t="b">
        <f>+ISNUMBER(SEARCH('F-VTA'!$F$35,Tabla11[[#This Row],[Cuenta]],1))</f>
        <v>1</v>
      </c>
      <c r="AQ1138" t="b">
        <f>+ISNUMBER(SEARCH('F-VTA'!$F$36,Tabla11[[#This Row],[Cuenta]],1))</f>
        <v>1</v>
      </c>
      <c r="AR1138" t="b">
        <f>+ISNUMBER(SEARCH(#REF!,Tabla11[[#This Row],[Cuenta]],1))</f>
        <v>0</v>
      </c>
      <c r="AS1138" t="b">
        <f>+ISNUMBER(SEARCH(#REF!,Tabla11[[#This Row],[Cuenta]],1))</f>
        <v>0</v>
      </c>
      <c r="AT1138" t="b">
        <f>+ISNUMBER(SEARCH(#REF!,Tabla11[[#This Row],[Cuenta]],1))</f>
        <v>0</v>
      </c>
      <c r="AU1138" t="b">
        <f>+ISNUMBER(SEARCH('Conc. Ban.1'!$I$9,Tabla11[[#This Row],[Cuenta]],1))</f>
        <v>0</v>
      </c>
      <c r="AV1138" t="b">
        <f>+ISNUMBER(SEARCH(CompConta!$F$21,Tabla11[[#This Row],[Cuenta]],1))</f>
        <v>1</v>
      </c>
      <c r="AW1138" t="b">
        <f>+ISNUMBER(SEARCH(CompConta!$F$22,Tabla11[[#This Row],[Cuenta]],1))</f>
        <v>1</v>
      </c>
      <c r="AX1138" t="b">
        <f>+ISNUMBER(SEARCH(CompConta!$F$23,Tabla11[[#This Row],[Cuenta]],1))</f>
        <v>1</v>
      </c>
      <c r="AY1138" t="b">
        <f>+ISNUMBER(SEARCH(CompConta!$F$24,Tabla11[[#This Row],[Cuenta]],1))</f>
        <v>1</v>
      </c>
      <c r="AZ1138" t="b">
        <f>+ISNUMBER(SEARCH(CompConta!$F$25,Tabla11[[#This Row],[Cuenta]],1))</f>
        <v>1</v>
      </c>
      <c r="BA1138" t="b">
        <f>+ISNUMBER(SEARCH(CompConta!$F$26,Tabla11[[#This Row],[Cuenta]],1))</f>
        <v>1</v>
      </c>
      <c r="BB1138" t="b">
        <f>+ISNUMBER(SEARCH(CompConta!$F$27,Tabla11[[#This Row],[Cuenta]],1))</f>
        <v>1</v>
      </c>
      <c r="BC1138" t="b">
        <f>+ISNUMBER(SEARCH(CompConta!$F$28,Tabla11[[#This Row],[Cuenta]],1))</f>
        <v>1</v>
      </c>
      <c r="BD1138" t="b">
        <f>+ISNUMBER(SEARCH(CompConta!$F$29,Tabla11[[#This Row],[Cuenta]],1))</f>
        <v>1</v>
      </c>
      <c r="BE1138" t="b">
        <f>+ISNUMBER(SEARCH(CompConta!$F$30,Tabla11[[#This Row],[Cuenta]],1))</f>
        <v>1</v>
      </c>
      <c r="BF1138" t="b">
        <f>+ISNUMBER(SEARCH('PAGO Compras'!$E$11,Tabla11[[#This Row],[Cuenta]],1))</f>
        <v>1</v>
      </c>
      <c r="BG1138" t="b">
        <f>+ISNUMBER(SEARCH(#REF!,Tabla11[[#This Row],[Cuenta]],1))</f>
        <v>0</v>
      </c>
      <c r="BH1138" t="b">
        <f>+ISNUMBER(SEARCH(#REF!,Tabla11[[#This Row],[Cuenta]],1))</f>
        <v>0</v>
      </c>
      <c r="BI1138" t="b">
        <f>+ISNUMBER(SEARCH(#REF!,Tabla11[[#This Row],[Cuenta]],1))</f>
        <v>0</v>
      </c>
      <c r="BJ1138" t="b">
        <f>+ISNUMBER(SEARCH(#REF!,Tabla11[[#This Row],[Cuenta]],1))</f>
        <v>0</v>
      </c>
      <c r="BS1138" t="str">
        <v>6135 COSTOS DE LAS VENTAS</v>
      </c>
      <c r="BT1138" t="str">
        <v>6135 COSTOS DE LAS VENTAS</v>
      </c>
      <c r="BU1138" t="str">
        <v>6135 COSTOS DE LAS VENTAS</v>
      </c>
      <c r="BV1138" t="str">
        <v>6135 COSTOS DE LAS VENTAS</v>
      </c>
      <c r="BZ1138" t="str">
        <v>6135 COSTOS DE LAS VENTAS</v>
      </c>
      <c r="CA1138" t="str">
        <v>6135 COSTOS DE LAS VENTAS</v>
      </c>
      <c r="CB1138" t="str">
        <v>6135 COSTOS DE LAS VENTAS</v>
      </c>
      <c r="CC1138" t="str">
        <v>6135 COSTOS DE LAS VENTAS</v>
      </c>
      <c r="CD1138" t="str">
        <v>6135 COSTOS DE LAS VENTAS</v>
      </c>
      <c r="CE1138" t="str">
        <v>6135 COSTOS DE LAS VENTAS</v>
      </c>
      <c r="CS1138" s="141" t="str">
        <v>6135 COSTOS DE LAS VENTAS</v>
      </c>
      <c r="CT1138" s="141" t="str">
        <v>6135 COSTOS DE LAS VENTAS</v>
      </c>
      <c r="CU1138" s="141" t="str">
        <v>6135 COSTOS DE LAS VENTAS</v>
      </c>
      <c r="CV1138" s="141" t="str">
        <v>6135 COSTOS DE LAS VENTAS</v>
      </c>
      <c r="CW1138" s="141" t="str">
        <v>6135 COSTOS DE LAS VENTAS</v>
      </c>
      <c r="CX1138" s="141" t="str">
        <v>6135 COSTOS DE LAS VENTAS</v>
      </c>
      <c r="CY1138" s="141" t="str">
        <v>6135 COSTOS DE LAS VENTAS</v>
      </c>
      <c r="CZ1138" s="141" t="str">
        <v>6135 COSTOS DE LAS VENTAS</v>
      </c>
      <c r="DA1138" s="141" t="str">
        <v>6135 COSTOS DE LAS VENTAS</v>
      </c>
      <c r="DF1138" t="str">
        <v>6135 COSTOS DE LAS VENTAS</v>
      </c>
      <c r="DG1138" t="str">
        <v>6135 COSTOS DE LAS VENTAS</v>
      </c>
      <c r="DH1138" t="str">
        <v>6135 COSTOS DE LAS VENTAS</v>
      </c>
      <c r="DI1138" t="str">
        <v>6135 COSTOS DE LAS VENTAS</v>
      </c>
      <c r="DJ1138" t="str">
        <v>6135 COSTOS DE LAS VENTAS</v>
      </c>
      <c r="DK1138" t="str">
        <v>6135 COSTOS DE LAS VENTAS</v>
      </c>
      <c r="DL1138" t="str">
        <v>6135 COSTOS DE LAS VENTAS</v>
      </c>
      <c r="DM1138" t="str">
        <v>6135 COSTOS DE LAS VENTAS</v>
      </c>
      <c r="DN1138" t="str">
        <v>6135 COSTOS DE LAS VENTAS</v>
      </c>
      <c r="DO1138" t="str">
        <v>6135 COSTOS DE LAS VENTAS</v>
      </c>
      <c r="DP1138" t="str">
        <v>6135 COSTOS DE LAS VENTAS</v>
      </c>
    </row>
    <row r="1139" spans="4:120" ht="12.75">
      <c r="D1139" s="7">
        <v>613505</v>
      </c>
      <c r="E1139" s="6" t="s">
        <v>1237</v>
      </c>
      <c r="F1139" s="5">
        <v>4</v>
      </c>
      <c r="G1139" s="34" t="s">
        <v>831</v>
      </c>
      <c r="H1139" s="8" t="s">
        <v>32</v>
      </c>
      <c r="I1139" t="b">
        <f>+ISNUMBER(SEARCH('F-COMPRA'!$F$28,Tabla11[[#This Row],[Cuenta]],1))</f>
        <v>1</v>
      </c>
      <c r="J1139" t="b">
        <f>+ISNUMBER(SEARCH('F-COMPRA'!$F$29,Tabla11[[#This Row],[Cuenta]],1))</f>
        <v>1</v>
      </c>
      <c r="K1139" t="b">
        <f>+ISNUMBER(SEARCH('F-COMPRA'!$F$30,Tabla11[[#This Row],[Cuenta]],1))</f>
        <v>1</v>
      </c>
      <c r="L1139" t="b">
        <f>+ISNUMBER(SEARCH('F-COMPRA'!$F$31,Tabla11[[#This Row],[Cuenta]],1))</f>
        <v>1</v>
      </c>
      <c r="M1139" t="b">
        <f>+ISNUMBER(SEARCH('F-COMPRA'!$G$25,Tabla11[[#This Row],[Cuenta]],1))</f>
        <v>0</v>
      </c>
      <c r="N1139" t="b">
        <f>+ISNUMBER(SEARCH(#REF!,Tabla11[[#This Row],[Cuenta]],1))</f>
        <v>0</v>
      </c>
      <c r="O1139" t="b">
        <f>+ISNUMBER(SEARCH(#REF!,Tabla11[[#This Row],[Cuenta]],1))</f>
        <v>0</v>
      </c>
      <c r="P1139" t="b">
        <f>+ISNUMBER(SEARCH('F-COMPRA'!$F$32,Tabla11[[#This Row],[Cuenta]],1))</f>
        <v>1</v>
      </c>
      <c r="Q1139" t="b">
        <f>+ISNUMBER(SEARCH('F-COMPRA'!$F$33,Tabla11[[#This Row],[Cuenta]],1))</f>
        <v>1</v>
      </c>
      <c r="R1139" t="b">
        <f>+ISNUMBER(SEARCH('F-COMPRA'!$F$34,Tabla11[[#This Row],[Cuenta]],1))</f>
        <v>1</v>
      </c>
      <c r="S1139" t="b">
        <f>+ISNUMBER(SEARCH('F-COMPRA'!$F$35,Tabla11[[#This Row],[Cuenta]],1))</f>
        <v>1</v>
      </c>
      <c r="T1139" t="b">
        <f>+ISNUMBER(SEARCH('F-COMPRA'!$F$36,Tabla11[[#This Row],[Cuenta]],1))</f>
        <v>1</v>
      </c>
      <c r="U1139" t="b">
        <f>+ISNUMBER(SEARCH('F-COMPRA'!$F$37,Tabla11[[#This Row],[Cuenta]],1))</f>
        <v>1</v>
      </c>
      <c r="V1139" t="b">
        <f>+ISNUMBER(SEARCH(#REF!,Tabla11[[#This Row],[Cuenta]],1))</f>
        <v>0</v>
      </c>
      <c r="W1139" t="b">
        <f>+ISNUMBER(SEARCH('F-COMPRA'!#REF!,Tabla11[[#This Row],[Cuenta]],1))</f>
        <v>0</v>
      </c>
      <c r="X1139" t="b">
        <f>+ISNUMBER(SEARCH('F-COMPRA'!#REF!,Tabla11[[#This Row],[Cuenta]],1))</f>
        <v>0</v>
      </c>
      <c r="Y1139" t="b">
        <f>+ISNUMBER(SEARCH('F-COMPRA'!#REF!,Tabla11[[#This Row],[Cuenta]],1))</f>
        <v>0</v>
      </c>
      <c r="Z1139" t="b">
        <f>+ISNUMBER(SEARCH('F-COMPRA'!#REF!,Tabla11[[#This Row],[Cuenta]],1))</f>
        <v>0</v>
      </c>
      <c r="AA1139" t="b">
        <f>+ISNUMBER(SEARCH('F-COMPRA'!#REF!,Tabla11[[#This Row],[Cuenta]],1))</f>
        <v>0</v>
      </c>
      <c r="AB1139" t="b">
        <f>+ISNUMBER(SEARCH('F-COMPRA'!#REF!,Tabla11[[#This Row],[Cuenta]],1))</f>
        <v>0</v>
      </c>
      <c r="AC1139" t="b">
        <f>+ISNUMBER(SEARCH('F-COMPRA'!#REF!,Tabla11[[#This Row],[Cuenta]],1))</f>
        <v>0</v>
      </c>
      <c r="AD1139" t="b">
        <f>+ISNUMBER(SEARCH('F-COMPRA'!#REF!,Tabla11[[#This Row],[Cuenta]],1))</f>
        <v>0</v>
      </c>
      <c r="AE1139" t="b">
        <f>+ISNUMBER(SEARCH('F-COMPRA'!#REF!,Tabla11[[#This Row],[Cuenta]],1))</f>
        <v>0</v>
      </c>
      <c r="AF1139" t="b">
        <f>+ISNUMBER(SEARCH('F-VTA'!$G$23,Tabla11[[#This Row],[Cuenta]],1))</f>
        <v>0</v>
      </c>
      <c r="AG1139" t="b">
        <f>+ISNUMBER(SEARCH('F-VTA'!$G$24,Tabla11[[#This Row],[Cuenta]],1))</f>
        <v>0</v>
      </c>
      <c r="AH1139" t="b">
        <f>+ISNUMBER(SEARCH('F-VTA'!$G$25,Tabla11[[#This Row],[Cuenta]],1))</f>
        <v>0</v>
      </c>
      <c r="AI1139" t="b">
        <f>+ISNUMBER(SEARCH('F-VTA'!$F$28,Tabla11[[#This Row],[Cuenta]],1))</f>
        <v>1</v>
      </c>
      <c r="AJ1139" t="b">
        <f>+ISNUMBER(SEARCH('F-VTA'!$F$29,Tabla11[[#This Row],[Cuenta]],1))</f>
        <v>1</v>
      </c>
      <c r="AK1139" t="b">
        <f>+ISNUMBER(SEARCH('F-VTA'!$F$30,Tabla11[[#This Row],[Cuenta]],1))</f>
        <v>1</v>
      </c>
      <c r="AL1139" t="b">
        <f>+ISNUMBER(SEARCH('F-VTA'!$F$31,Tabla11[[#This Row],[Cuenta]],1))</f>
        <v>1</v>
      </c>
      <c r="AM1139" t="b">
        <f>+ISNUMBER(SEARCH('F-VTA'!$F$32,Tabla11[[#This Row],[Cuenta]],1))</f>
        <v>1</v>
      </c>
      <c r="AN1139" t="b">
        <f>+ISNUMBER(SEARCH('F-VTA'!$F$33,Tabla11[[#This Row],[Cuenta]],1))</f>
        <v>1</v>
      </c>
      <c r="AO1139" t="b">
        <f>+ISNUMBER(SEARCH('F-VTA'!$F$34,Tabla11[[#This Row],[Cuenta]],1))</f>
        <v>1</v>
      </c>
      <c r="AP1139" t="b">
        <f>+ISNUMBER(SEARCH('F-VTA'!$F$35,Tabla11[[#This Row],[Cuenta]],1))</f>
        <v>1</v>
      </c>
      <c r="AQ1139" t="b">
        <f>+ISNUMBER(SEARCH('F-VTA'!$F$36,Tabla11[[#This Row],[Cuenta]],1))</f>
        <v>1</v>
      </c>
      <c r="AR1139" t="b">
        <f>+ISNUMBER(SEARCH(#REF!,Tabla11[[#This Row],[Cuenta]],1))</f>
        <v>0</v>
      </c>
      <c r="AS1139" t="b">
        <f>+ISNUMBER(SEARCH(#REF!,Tabla11[[#This Row],[Cuenta]],1))</f>
        <v>0</v>
      </c>
      <c r="AT1139" t="b">
        <f>+ISNUMBER(SEARCH(#REF!,Tabla11[[#This Row],[Cuenta]],1))</f>
        <v>0</v>
      </c>
      <c r="AU1139" t="b">
        <f>+ISNUMBER(SEARCH('Conc. Ban.1'!$I$9,Tabla11[[#This Row],[Cuenta]],1))</f>
        <v>0</v>
      </c>
      <c r="AV1139" t="b">
        <f>+ISNUMBER(SEARCH(CompConta!$F$21,Tabla11[[#This Row],[Cuenta]],1))</f>
        <v>1</v>
      </c>
      <c r="AW1139" t="b">
        <f>+ISNUMBER(SEARCH(CompConta!$F$22,Tabla11[[#This Row],[Cuenta]],1))</f>
        <v>1</v>
      </c>
      <c r="AX1139" t="b">
        <f>+ISNUMBER(SEARCH(CompConta!$F$23,Tabla11[[#This Row],[Cuenta]],1))</f>
        <v>1</v>
      </c>
      <c r="AY1139" t="b">
        <f>+ISNUMBER(SEARCH(CompConta!$F$24,Tabla11[[#This Row],[Cuenta]],1))</f>
        <v>1</v>
      </c>
      <c r="AZ1139" t="b">
        <f>+ISNUMBER(SEARCH(CompConta!$F$25,Tabla11[[#This Row],[Cuenta]],1))</f>
        <v>1</v>
      </c>
      <c r="BA1139" t="b">
        <f>+ISNUMBER(SEARCH(CompConta!$F$26,Tabla11[[#This Row],[Cuenta]],1))</f>
        <v>1</v>
      </c>
      <c r="BB1139" t="b">
        <f>+ISNUMBER(SEARCH(CompConta!$F$27,Tabla11[[#This Row],[Cuenta]],1))</f>
        <v>1</v>
      </c>
      <c r="BC1139" t="b">
        <f>+ISNUMBER(SEARCH(CompConta!$F$28,Tabla11[[#This Row],[Cuenta]],1))</f>
        <v>1</v>
      </c>
      <c r="BD1139" t="b">
        <f>+ISNUMBER(SEARCH(CompConta!$F$29,Tabla11[[#This Row],[Cuenta]],1))</f>
        <v>1</v>
      </c>
      <c r="BE1139" t="b">
        <f>+ISNUMBER(SEARCH(CompConta!$F$30,Tabla11[[#This Row],[Cuenta]],1))</f>
        <v>1</v>
      </c>
      <c r="BF1139" t="b">
        <f>+ISNUMBER(SEARCH('PAGO Compras'!$E$11,Tabla11[[#This Row],[Cuenta]],1))</f>
        <v>1</v>
      </c>
      <c r="BG1139" t="b">
        <f>+ISNUMBER(SEARCH(#REF!,Tabla11[[#This Row],[Cuenta]],1))</f>
        <v>0</v>
      </c>
      <c r="BH1139" t="b">
        <f>+ISNUMBER(SEARCH(#REF!,Tabla11[[#This Row],[Cuenta]],1))</f>
        <v>0</v>
      </c>
      <c r="BI1139" t="b">
        <f>+ISNUMBER(SEARCH(#REF!,Tabla11[[#This Row],[Cuenta]],1))</f>
        <v>0</v>
      </c>
      <c r="BJ1139" t="b">
        <f>+ISNUMBER(SEARCH(#REF!,Tabla11[[#This Row],[Cuenta]],1))</f>
        <v>0</v>
      </c>
      <c r="BS1139" t="str">
        <v>613505 Costos de las ventas</v>
      </c>
      <c r="BT1139" t="str">
        <v>613505 Costos de las ventas</v>
      </c>
      <c r="BU1139" t="str">
        <v>613505 Costos de las ventas</v>
      </c>
      <c r="BV1139" t="str">
        <v>613505 Costos de las ventas</v>
      </c>
      <c r="BZ1139" t="str">
        <v>613505 Costos de las ventas</v>
      </c>
      <c r="CA1139" t="str">
        <v>613505 Costos de las ventas</v>
      </c>
      <c r="CB1139" t="str">
        <v>613505 Costos de las ventas</v>
      </c>
      <c r="CC1139" t="str">
        <v>613505 Costos de las ventas</v>
      </c>
      <c r="CD1139" t="str">
        <v>613505 Costos de las ventas</v>
      </c>
      <c r="CE1139" t="str">
        <v>613505 Costos de las ventas</v>
      </c>
      <c r="CS1139" s="141" t="str">
        <v>613505 Costos de las ventas</v>
      </c>
      <c r="CT1139" s="141" t="str">
        <v>613505 Costos de las ventas</v>
      </c>
      <c r="CU1139" s="141" t="str">
        <v>613505 Costos de las ventas</v>
      </c>
      <c r="CV1139" s="141" t="str">
        <v>613505 Costos de las ventas</v>
      </c>
      <c r="CW1139" s="141" t="str">
        <v>613505 Costos de las ventas</v>
      </c>
      <c r="CX1139" s="141" t="str">
        <v>613505 Costos de las ventas</v>
      </c>
      <c r="CY1139" s="141" t="str">
        <v>613505 Costos de las ventas</v>
      </c>
      <c r="CZ1139" s="141" t="str">
        <v>613505 Costos de las ventas</v>
      </c>
      <c r="DA1139" s="141" t="str">
        <v>613505 Costos de las ventas</v>
      </c>
      <c r="DF1139" t="str">
        <v>613505 Costos de las ventas</v>
      </c>
      <c r="DG1139" t="str">
        <v>613505 Costos de las ventas</v>
      </c>
      <c r="DH1139" t="str">
        <v>613505 Costos de las ventas</v>
      </c>
      <c r="DI1139" t="str">
        <v>613505 Costos de las ventas</v>
      </c>
      <c r="DJ1139" t="str">
        <v>613505 Costos de las ventas</v>
      </c>
      <c r="DK1139" t="str">
        <v>613505 Costos de las ventas</v>
      </c>
      <c r="DL1139" t="str">
        <v>613505 Costos de las ventas</v>
      </c>
      <c r="DM1139" t="str">
        <v>613505 Costos de las ventas</v>
      </c>
      <c r="DN1139" t="str">
        <v>613505 Costos de las ventas</v>
      </c>
      <c r="DO1139" t="str">
        <v>613505 Costos de las ventas</v>
      </c>
      <c r="DP1139" t="str">
        <v>613505 Costos de las ventas</v>
      </c>
    </row>
    <row r="1140" spans="4:120" ht="12.75">
      <c r="D1140" s="7">
        <v>62</v>
      </c>
      <c r="E1140" s="6" t="s">
        <v>661</v>
      </c>
      <c r="F1140" s="5">
        <v>2</v>
      </c>
      <c r="G1140" s="34" t="s">
        <v>831</v>
      </c>
      <c r="H1140" s="8" t="s">
        <v>32</v>
      </c>
      <c r="I1140" t="b">
        <f>+ISNUMBER(SEARCH('F-COMPRA'!$F$28,Tabla11[[#This Row],[Cuenta]],1))</f>
        <v>1</v>
      </c>
      <c r="J1140" t="b">
        <f>+ISNUMBER(SEARCH('F-COMPRA'!$F$29,Tabla11[[#This Row],[Cuenta]],1))</f>
        <v>1</v>
      </c>
      <c r="K1140" t="b">
        <f>+ISNUMBER(SEARCH('F-COMPRA'!$F$30,Tabla11[[#This Row],[Cuenta]],1))</f>
        <v>1</v>
      </c>
      <c r="L1140" t="b">
        <f>+ISNUMBER(SEARCH('F-COMPRA'!$F$31,Tabla11[[#This Row],[Cuenta]],1))</f>
        <v>1</v>
      </c>
      <c r="M1140" t="b">
        <f>+ISNUMBER(SEARCH('F-COMPRA'!$G$25,Tabla11[[#This Row],[Cuenta]],1))</f>
        <v>0</v>
      </c>
      <c r="N1140" t="b">
        <f>+ISNUMBER(SEARCH(#REF!,Tabla11[[#This Row],[Cuenta]],1))</f>
        <v>0</v>
      </c>
      <c r="O1140" t="b">
        <f>+ISNUMBER(SEARCH(#REF!,Tabla11[[#This Row],[Cuenta]],1))</f>
        <v>0</v>
      </c>
      <c r="P1140" t="b">
        <f>+ISNUMBER(SEARCH('F-COMPRA'!$F$32,Tabla11[[#This Row],[Cuenta]],1))</f>
        <v>1</v>
      </c>
      <c r="Q1140" t="b">
        <f>+ISNUMBER(SEARCH('F-COMPRA'!$F$33,Tabla11[[#This Row],[Cuenta]],1))</f>
        <v>1</v>
      </c>
      <c r="R1140" t="b">
        <f>+ISNUMBER(SEARCH('F-COMPRA'!$F$34,Tabla11[[#This Row],[Cuenta]],1))</f>
        <v>1</v>
      </c>
      <c r="S1140" t="b">
        <f>+ISNUMBER(SEARCH('F-COMPRA'!$F$35,Tabla11[[#This Row],[Cuenta]],1))</f>
        <v>1</v>
      </c>
      <c r="T1140" t="b">
        <f>+ISNUMBER(SEARCH('F-COMPRA'!$F$36,Tabla11[[#This Row],[Cuenta]],1))</f>
        <v>1</v>
      </c>
      <c r="U1140" t="b">
        <f>+ISNUMBER(SEARCH('F-COMPRA'!$F$37,Tabla11[[#This Row],[Cuenta]],1))</f>
        <v>1</v>
      </c>
      <c r="V1140" t="b">
        <f>+ISNUMBER(SEARCH(#REF!,Tabla11[[#This Row],[Cuenta]],1))</f>
        <v>0</v>
      </c>
      <c r="W1140" t="b">
        <f>+ISNUMBER(SEARCH('F-COMPRA'!#REF!,Tabla11[[#This Row],[Cuenta]],1))</f>
        <v>0</v>
      </c>
      <c r="X1140" t="b">
        <f>+ISNUMBER(SEARCH('F-COMPRA'!#REF!,Tabla11[[#This Row],[Cuenta]],1))</f>
        <v>0</v>
      </c>
      <c r="Y1140" t="b">
        <f>+ISNUMBER(SEARCH('F-COMPRA'!#REF!,Tabla11[[#This Row],[Cuenta]],1))</f>
        <v>0</v>
      </c>
      <c r="Z1140" t="b">
        <f>+ISNUMBER(SEARCH('F-COMPRA'!#REF!,Tabla11[[#This Row],[Cuenta]],1))</f>
        <v>0</v>
      </c>
      <c r="AA1140" t="b">
        <f>+ISNUMBER(SEARCH('F-COMPRA'!#REF!,Tabla11[[#This Row],[Cuenta]],1))</f>
        <v>0</v>
      </c>
      <c r="AB1140" t="b">
        <f>+ISNUMBER(SEARCH('F-COMPRA'!#REF!,Tabla11[[#This Row],[Cuenta]],1))</f>
        <v>0</v>
      </c>
      <c r="AC1140" t="b">
        <f>+ISNUMBER(SEARCH('F-COMPRA'!#REF!,Tabla11[[#This Row],[Cuenta]],1))</f>
        <v>0</v>
      </c>
      <c r="AD1140" t="b">
        <f>+ISNUMBER(SEARCH('F-COMPRA'!#REF!,Tabla11[[#This Row],[Cuenta]],1))</f>
        <v>0</v>
      </c>
      <c r="AE1140" t="b">
        <f>+ISNUMBER(SEARCH('F-COMPRA'!#REF!,Tabla11[[#This Row],[Cuenta]],1))</f>
        <v>0</v>
      </c>
      <c r="AF1140" t="b">
        <f>+ISNUMBER(SEARCH('F-VTA'!$G$23,Tabla11[[#This Row],[Cuenta]],1))</f>
        <v>0</v>
      </c>
      <c r="AG1140" t="b">
        <f>+ISNUMBER(SEARCH('F-VTA'!$G$24,Tabla11[[#This Row],[Cuenta]],1))</f>
        <v>0</v>
      </c>
      <c r="AH1140" t="b">
        <f>+ISNUMBER(SEARCH('F-VTA'!$G$25,Tabla11[[#This Row],[Cuenta]],1))</f>
        <v>0</v>
      </c>
      <c r="AI1140" t="b">
        <f>+ISNUMBER(SEARCH('F-VTA'!$F$28,Tabla11[[#This Row],[Cuenta]],1))</f>
        <v>1</v>
      </c>
      <c r="AJ1140" t="b">
        <f>+ISNUMBER(SEARCH('F-VTA'!$F$29,Tabla11[[#This Row],[Cuenta]],1))</f>
        <v>1</v>
      </c>
      <c r="AK1140" t="b">
        <f>+ISNUMBER(SEARCH('F-VTA'!$F$30,Tabla11[[#This Row],[Cuenta]],1))</f>
        <v>1</v>
      </c>
      <c r="AL1140" t="b">
        <f>+ISNUMBER(SEARCH('F-VTA'!$F$31,Tabla11[[#This Row],[Cuenta]],1))</f>
        <v>1</v>
      </c>
      <c r="AM1140" t="b">
        <f>+ISNUMBER(SEARCH('F-VTA'!$F$32,Tabla11[[#This Row],[Cuenta]],1))</f>
        <v>1</v>
      </c>
      <c r="AN1140" t="b">
        <f>+ISNUMBER(SEARCH('F-VTA'!$F$33,Tabla11[[#This Row],[Cuenta]],1))</f>
        <v>1</v>
      </c>
      <c r="AO1140" t="b">
        <f>+ISNUMBER(SEARCH('F-VTA'!$F$34,Tabla11[[#This Row],[Cuenta]],1))</f>
        <v>1</v>
      </c>
      <c r="AP1140" t="b">
        <f>+ISNUMBER(SEARCH('F-VTA'!$F$35,Tabla11[[#This Row],[Cuenta]],1))</f>
        <v>1</v>
      </c>
      <c r="AQ1140" t="b">
        <f>+ISNUMBER(SEARCH('F-VTA'!$F$36,Tabla11[[#This Row],[Cuenta]],1))</f>
        <v>1</v>
      </c>
      <c r="AR1140" t="b">
        <f>+ISNUMBER(SEARCH(#REF!,Tabla11[[#This Row],[Cuenta]],1))</f>
        <v>0</v>
      </c>
      <c r="AS1140" t="b">
        <f>+ISNUMBER(SEARCH(#REF!,Tabla11[[#This Row],[Cuenta]],1))</f>
        <v>0</v>
      </c>
      <c r="AT1140" t="b">
        <f>+ISNUMBER(SEARCH(#REF!,Tabla11[[#This Row],[Cuenta]],1))</f>
        <v>0</v>
      </c>
      <c r="AU1140" t="b">
        <f>+ISNUMBER(SEARCH('Conc. Ban.1'!$I$9,Tabla11[[#This Row],[Cuenta]],1))</f>
        <v>0</v>
      </c>
      <c r="AV1140" t="b">
        <f>+ISNUMBER(SEARCH(CompConta!$F$21,Tabla11[[#This Row],[Cuenta]],1))</f>
        <v>1</v>
      </c>
      <c r="AW1140" t="b">
        <f>+ISNUMBER(SEARCH(CompConta!$F$22,Tabla11[[#This Row],[Cuenta]],1))</f>
        <v>1</v>
      </c>
      <c r="AX1140" t="b">
        <f>+ISNUMBER(SEARCH(CompConta!$F$23,Tabla11[[#This Row],[Cuenta]],1))</f>
        <v>1</v>
      </c>
      <c r="AY1140" t="b">
        <f>+ISNUMBER(SEARCH(CompConta!$F$24,Tabla11[[#This Row],[Cuenta]],1))</f>
        <v>1</v>
      </c>
      <c r="AZ1140" t="b">
        <f>+ISNUMBER(SEARCH(CompConta!$F$25,Tabla11[[#This Row],[Cuenta]],1))</f>
        <v>1</v>
      </c>
      <c r="BA1140" t="b">
        <f>+ISNUMBER(SEARCH(CompConta!$F$26,Tabla11[[#This Row],[Cuenta]],1))</f>
        <v>1</v>
      </c>
      <c r="BB1140" t="b">
        <f>+ISNUMBER(SEARCH(CompConta!$F$27,Tabla11[[#This Row],[Cuenta]],1))</f>
        <v>1</v>
      </c>
      <c r="BC1140" t="b">
        <f>+ISNUMBER(SEARCH(CompConta!$F$28,Tabla11[[#This Row],[Cuenta]],1))</f>
        <v>1</v>
      </c>
      <c r="BD1140" t="b">
        <f>+ISNUMBER(SEARCH(CompConta!$F$29,Tabla11[[#This Row],[Cuenta]],1))</f>
        <v>1</v>
      </c>
      <c r="BE1140" t="b">
        <f>+ISNUMBER(SEARCH(CompConta!$F$30,Tabla11[[#This Row],[Cuenta]],1))</f>
        <v>1</v>
      </c>
      <c r="BF1140" t="b">
        <f>+ISNUMBER(SEARCH('PAGO Compras'!$E$11,Tabla11[[#This Row],[Cuenta]],1))</f>
        <v>1</v>
      </c>
      <c r="BG1140" t="b">
        <f>+ISNUMBER(SEARCH(#REF!,Tabla11[[#This Row],[Cuenta]],1))</f>
        <v>0</v>
      </c>
      <c r="BH1140" t="b">
        <f>+ISNUMBER(SEARCH(#REF!,Tabla11[[#This Row],[Cuenta]],1))</f>
        <v>0</v>
      </c>
      <c r="BI1140" t="b">
        <f>+ISNUMBER(SEARCH(#REF!,Tabla11[[#This Row],[Cuenta]],1))</f>
        <v>0</v>
      </c>
      <c r="BJ1140" t="b">
        <f>+ISNUMBER(SEARCH(#REF!,Tabla11[[#This Row],[Cuenta]],1))</f>
        <v>0</v>
      </c>
      <c r="BS1140" t="str">
        <v>62 COMPRAS</v>
      </c>
      <c r="BT1140" t="str">
        <v>62 COMPRAS</v>
      </c>
      <c r="BU1140" t="str">
        <v>62 COMPRAS</v>
      </c>
      <c r="BV1140" t="str">
        <v>62 COMPRAS</v>
      </c>
      <c r="BZ1140" t="str">
        <v>62 COMPRAS</v>
      </c>
      <c r="CA1140" t="str">
        <v>62 COMPRAS</v>
      </c>
      <c r="CB1140" t="str">
        <v>62 COMPRAS</v>
      </c>
      <c r="CC1140" t="str">
        <v>62 COMPRAS</v>
      </c>
      <c r="CD1140" t="str">
        <v>62 COMPRAS</v>
      </c>
      <c r="CE1140" t="str">
        <v>62 COMPRAS</v>
      </c>
      <c r="CS1140" s="141" t="str">
        <v>62 COMPRAS</v>
      </c>
      <c r="CT1140" s="141" t="str">
        <v>62 COMPRAS</v>
      </c>
      <c r="CU1140" s="141" t="str">
        <v>62 COMPRAS</v>
      </c>
      <c r="CV1140" s="141" t="str">
        <v>62 COMPRAS</v>
      </c>
      <c r="CW1140" s="141" t="str">
        <v>62 COMPRAS</v>
      </c>
      <c r="CX1140" s="141" t="str">
        <v>62 COMPRAS</v>
      </c>
      <c r="CY1140" s="141" t="str">
        <v>62 COMPRAS</v>
      </c>
      <c r="CZ1140" s="141" t="str">
        <v>62 COMPRAS</v>
      </c>
      <c r="DA1140" s="141" t="str">
        <v>62 COMPRAS</v>
      </c>
      <c r="DF1140" t="str">
        <v>62 COMPRAS</v>
      </c>
      <c r="DG1140" t="str">
        <v>62 COMPRAS</v>
      </c>
      <c r="DH1140" t="str">
        <v>62 COMPRAS</v>
      </c>
      <c r="DI1140" t="str">
        <v>62 COMPRAS</v>
      </c>
      <c r="DJ1140" t="str">
        <v>62 COMPRAS</v>
      </c>
      <c r="DK1140" t="str">
        <v>62 COMPRAS</v>
      </c>
      <c r="DL1140" t="str">
        <v>62 COMPRAS</v>
      </c>
      <c r="DM1140" t="str">
        <v>62 COMPRAS</v>
      </c>
      <c r="DN1140" t="str">
        <v>62 COMPRAS</v>
      </c>
      <c r="DO1140" t="str">
        <v>62 COMPRAS</v>
      </c>
      <c r="DP1140" t="str">
        <v>62 COMPRAS</v>
      </c>
    </row>
    <row r="1141" spans="4:120" ht="12.75">
      <c r="D1141" s="7">
        <v>6205</v>
      </c>
      <c r="E1141" s="6" t="s">
        <v>662</v>
      </c>
      <c r="F1141" s="5">
        <v>3</v>
      </c>
      <c r="G1141" s="34" t="s">
        <v>831</v>
      </c>
      <c r="H1141" s="8" t="s">
        <v>32</v>
      </c>
      <c r="I1141" t="b">
        <f>+ISNUMBER(SEARCH('F-COMPRA'!$F$28,Tabla11[[#This Row],[Cuenta]],1))</f>
        <v>1</v>
      </c>
      <c r="J1141" t="b">
        <f>+ISNUMBER(SEARCH('F-COMPRA'!$F$29,Tabla11[[#This Row],[Cuenta]],1))</f>
        <v>1</v>
      </c>
      <c r="K1141" t="b">
        <f>+ISNUMBER(SEARCH('F-COMPRA'!$F$30,Tabla11[[#This Row],[Cuenta]],1))</f>
        <v>1</v>
      </c>
      <c r="L1141" t="b">
        <f>+ISNUMBER(SEARCH('F-COMPRA'!$F$31,Tabla11[[#This Row],[Cuenta]],1))</f>
        <v>1</v>
      </c>
      <c r="M1141" t="b">
        <f>+ISNUMBER(SEARCH('F-COMPRA'!$G$25,Tabla11[[#This Row],[Cuenta]],1))</f>
        <v>0</v>
      </c>
      <c r="N1141" t="b">
        <f>+ISNUMBER(SEARCH(#REF!,Tabla11[[#This Row],[Cuenta]],1))</f>
        <v>0</v>
      </c>
      <c r="O1141" t="b">
        <f>+ISNUMBER(SEARCH(#REF!,Tabla11[[#This Row],[Cuenta]],1))</f>
        <v>0</v>
      </c>
      <c r="P1141" t="b">
        <f>+ISNUMBER(SEARCH('F-COMPRA'!$F$32,Tabla11[[#This Row],[Cuenta]],1))</f>
        <v>1</v>
      </c>
      <c r="Q1141" t="b">
        <f>+ISNUMBER(SEARCH('F-COMPRA'!$F$33,Tabla11[[#This Row],[Cuenta]],1))</f>
        <v>1</v>
      </c>
      <c r="R1141" t="b">
        <f>+ISNUMBER(SEARCH('F-COMPRA'!$F$34,Tabla11[[#This Row],[Cuenta]],1))</f>
        <v>1</v>
      </c>
      <c r="S1141" t="b">
        <f>+ISNUMBER(SEARCH('F-COMPRA'!$F$35,Tabla11[[#This Row],[Cuenta]],1))</f>
        <v>1</v>
      </c>
      <c r="T1141" t="b">
        <f>+ISNUMBER(SEARCH('F-COMPRA'!$F$36,Tabla11[[#This Row],[Cuenta]],1))</f>
        <v>1</v>
      </c>
      <c r="U1141" t="b">
        <f>+ISNUMBER(SEARCH('F-COMPRA'!$F$37,Tabla11[[#This Row],[Cuenta]],1))</f>
        <v>1</v>
      </c>
      <c r="V1141" t="b">
        <f>+ISNUMBER(SEARCH(#REF!,Tabla11[[#This Row],[Cuenta]],1))</f>
        <v>0</v>
      </c>
      <c r="W1141" t="b">
        <f>+ISNUMBER(SEARCH('F-COMPRA'!#REF!,Tabla11[[#This Row],[Cuenta]],1))</f>
        <v>0</v>
      </c>
      <c r="X1141" t="b">
        <f>+ISNUMBER(SEARCH('F-COMPRA'!#REF!,Tabla11[[#This Row],[Cuenta]],1))</f>
        <v>0</v>
      </c>
      <c r="Y1141" t="b">
        <f>+ISNUMBER(SEARCH('F-COMPRA'!#REF!,Tabla11[[#This Row],[Cuenta]],1))</f>
        <v>0</v>
      </c>
      <c r="Z1141" t="b">
        <f>+ISNUMBER(SEARCH('F-COMPRA'!#REF!,Tabla11[[#This Row],[Cuenta]],1))</f>
        <v>0</v>
      </c>
      <c r="AA1141" t="b">
        <f>+ISNUMBER(SEARCH('F-COMPRA'!#REF!,Tabla11[[#This Row],[Cuenta]],1))</f>
        <v>0</v>
      </c>
      <c r="AB1141" t="b">
        <f>+ISNUMBER(SEARCH('F-COMPRA'!#REF!,Tabla11[[#This Row],[Cuenta]],1))</f>
        <v>0</v>
      </c>
      <c r="AC1141" t="b">
        <f>+ISNUMBER(SEARCH('F-COMPRA'!#REF!,Tabla11[[#This Row],[Cuenta]],1))</f>
        <v>0</v>
      </c>
      <c r="AD1141" t="b">
        <f>+ISNUMBER(SEARCH('F-COMPRA'!#REF!,Tabla11[[#This Row],[Cuenta]],1))</f>
        <v>0</v>
      </c>
      <c r="AE1141" t="b">
        <f>+ISNUMBER(SEARCH('F-COMPRA'!#REF!,Tabla11[[#This Row],[Cuenta]],1))</f>
        <v>0</v>
      </c>
      <c r="AF1141" t="b">
        <f>+ISNUMBER(SEARCH('F-VTA'!$G$23,Tabla11[[#This Row],[Cuenta]],1))</f>
        <v>0</v>
      </c>
      <c r="AG1141" t="b">
        <f>+ISNUMBER(SEARCH('F-VTA'!$G$24,Tabla11[[#This Row],[Cuenta]],1))</f>
        <v>0</v>
      </c>
      <c r="AH1141" t="b">
        <f>+ISNUMBER(SEARCH('F-VTA'!$G$25,Tabla11[[#This Row],[Cuenta]],1))</f>
        <v>0</v>
      </c>
      <c r="AI1141" t="b">
        <f>+ISNUMBER(SEARCH('F-VTA'!$F$28,Tabla11[[#This Row],[Cuenta]],1))</f>
        <v>1</v>
      </c>
      <c r="AJ1141" t="b">
        <f>+ISNUMBER(SEARCH('F-VTA'!$F$29,Tabla11[[#This Row],[Cuenta]],1))</f>
        <v>1</v>
      </c>
      <c r="AK1141" t="b">
        <f>+ISNUMBER(SEARCH('F-VTA'!$F$30,Tabla11[[#This Row],[Cuenta]],1))</f>
        <v>1</v>
      </c>
      <c r="AL1141" t="b">
        <f>+ISNUMBER(SEARCH('F-VTA'!$F$31,Tabla11[[#This Row],[Cuenta]],1))</f>
        <v>1</v>
      </c>
      <c r="AM1141" t="b">
        <f>+ISNUMBER(SEARCH('F-VTA'!$F$32,Tabla11[[#This Row],[Cuenta]],1))</f>
        <v>1</v>
      </c>
      <c r="AN1141" t="b">
        <f>+ISNUMBER(SEARCH('F-VTA'!$F$33,Tabla11[[#This Row],[Cuenta]],1))</f>
        <v>1</v>
      </c>
      <c r="AO1141" t="b">
        <f>+ISNUMBER(SEARCH('F-VTA'!$F$34,Tabla11[[#This Row],[Cuenta]],1))</f>
        <v>1</v>
      </c>
      <c r="AP1141" t="b">
        <f>+ISNUMBER(SEARCH('F-VTA'!$F$35,Tabla11[[#This Row],[Cuenta]],1))</f>
        <v>1</v>
      </c>
      <c r="AQ1141" t="b">
        <f>+ISNUMBER(SEARCH('F-VTA'!$F$36,Tabla11[[#This Row],[Cuenta]],1))</f>
        <v>1</v>
      </c>
      <c r="AR1141" t="b">
        <f>+ISNUMBER(SEARCH(#REF!,Tabla11[[#This Row],[Cuenta]],1))</f>
        <v>0</v>
      </c>
      <c r="AS1141" t="b">
        <f>+ISNUMBER(SEARCH(#REF!,Tabla11[[#This Row],[Cuenta]],1))</f>
        <v>0</v>
      </c>
      <c r="AT1141" t="b">
        <f>+ISNUMBER(SEARCH(#REF!,Tabla11[[#This Row],[Cuenta]],1))</f>
        <v>0</v>
      </c>
      <c r="AU1141" t="b">
        <f>+ISNUMBER(SEARCH('Conc. Ban.1'!$I$9,Tabla11[[#This Row],[Cuenta]],1))</f>
        <v>0</v>
      </c>
      <c r="AV1141" t="b">
        <f>+ISNUMBER(SEARCH(CompConta!$F$21,Tabla11[[#This Row],[Cuenta]],1))</f>
        <v>1</v>
      </c>
      <c r="AW1141" t="b">
        <f>+ISNUMBER(SEARCH(CompConta!$F$22,Tabla11[[#This Row],[Cuenta]],1))</f>
        <v>1</v>
      </c>
      <c r="AX1141" t="b">
        <f>+ISNUMBER(SEARCH(CompConta!$F$23,Tabla11[[#This Row],[Cuenta]],1))</f>
        <v>1</v>
      </c>
      <c r="AY1141" t="b">
        <f>+ISNUMBER(SEARCH(CompConta!$F$24,Tabla11[[#This Row],[Cuenta]],1))</f>
        <v>1</v>
      </c>
      <c r="AZ1141" t="b">
        <f>+ISNUMBER(SEARCH(CompConta!$F$25,Tabla11[[#This Row],[Cuenta]],1))</f>
        <v>1</v>
      </c>
      <c r="BA1141" t="b">
        <f>+ISNUMBER(SEARCH(CompConta!$F$26,Tabla11[[#This Row],[Cuenta]],1))</f>
        <v>1</v>
      </c>
      <c r="BB1141" t="b">
        <f>+ISNUMBER(SEARCH(CompConta!$F$27,Tabla11[[#This Row],[Cuenta]],1))</f>
        <v>1</v>
      </c>
      <c r="BC1141" t="b">
        <f>+ISNUMBER(SEARCH(CompConta!$F$28,Tabla11[[#This Row],[Cuenta]],1))</f>
        <v>1</v>
      </c>
      <c r="BD1141" t="b">
        <f>+ISNUMBER(SEARCH(CompConta!$F$29,Tabla11[[#This Row],[Cuenta]],1))</f>
        <v>1</v>
      </c>
      <c r="BE1141" t="b">
        <f>+ISNUMBER(SEARCH(CompConta!$F$30,Tabla11[[#This Row],[Cuenta]],1))</f>
        <v>1</v>
      </c>
      <c r="BF1141" t="b">
        <f>+ISNUMBER(SEARCH('PAGO Compras'!$E$11,Tabla11[[#This Row],[Cuenta]],1))</f>
        <v>1</v>
      </c>
      <c r="BG1141" t="b">
        <f>+ISNUMBER(SEARCH(#REF!,Tabla11[[#This Row],[Cuenta]],1))</f>
        <v>0</v>
      </c>
      <c r="BH1141" t="b">
        <f>+ISNUMBER(SEARCH(#REF!,Tabla11[[#This Row],[Cuenta]],1))</f>
        <v>0</v>
      </c>
      <c r="BI1141" t="b">
        <f>+ISNUMBER(SEARCH(#REF!,Tabla11[[#This Row],[Cuenta]],1))</f>
        <v>0</v>
      </c>
      <c r="BJ1141" t="b">
        <f>+ISNUMBER(SEARCH(#REF!,Tabla11[[#This Row],[Cuenta]],1))</f>
        <v>0</v>
      </c>
      <c r="BS1141" t="str">
        <v>6205 DE MERCANCÍAS</v>
      </c>
      <c r="BT1141" t="str">
        <v>6205 DE MERCANCÍAS</v>
      </c>
      <c r="BU1141" t="str">
        <v>6205 DE MERCANCÍAS</v>
      </c>
      <c r="BV1141" t="str">
        <v>6205 DE MERCANCÍAS</v>
      </c>
      <c r="BZ1141" t="str">
        <v>6205 DE MERCANCÍAS</v>
      </c>
      <c r="CA1141" t="str">
        <v>6205 DE MERCANCÍAS</v>
      </c>
      <c r="CB1141" t="str">
        <v>6205 DE MERCANCÍAS</v>
      </c>
      <c r="CC1141" t="str">
        <v>6205 DE MERCANCÍAS</v>
      </c>
      <c r="CD1141" t="str">
        <v>6205 DE MERCANCÍAS</v>
      </c>
      <c r="CE1141" t="str">
        <v>6205 DE MERCANCÍAS</v>
      </c>
      <c r="CS1141" s="141" t="str">
        <v>6205 DE MERCANCÍAS</v>
      </c>
      <c r="CT1141" s="141" t="str">
        <v>6205 DE MERCANCÍAS</v>
      </c>
      <c r="CU1141" s="141" t="str">
        <v>6205 DE MERCANCÍAS</v>
      </c>
      <c r="CV1141" s="141" t="str">
        <v>6205 DE MERCANCÍAS</v>
      </c>
      <c r="CW1141" s="141" t="str">
        <v>6205 DE MERCANCÍAS</v>
      </c>
      <c r="CX1141" s="141" t="str">
        <v>6205 DE MERCANCÍAS</v>
      </c>
      <c r="CY1141" s="141" t="str">
        <v>6205 DE MERCANCÍAS</v>
      </c>
      <c r="CZ1141" s="141" t="str">
        <v>6205 DE MERCANCÍAS</v>
      </c>
      <c r="DA1141" s="141" t="str">
        <v>6205 DE MERCANCÍAS</v>
      </c>
      <c r="DF1141" t="str">
        <v>6205 DE MERCANCÍAS</v>
      </c>
      <c r="DG1141" t="str">
        <v>6205 DE MERCANCÍAS</v>
      </c>
      <c r="DH1141" t="str">
        <v>6205 DE MERCANCÍAS</v>
      </c>
      <c r="DI1141" t="str">
        <v>6205 DE MERCANCÍAS</v>
      </c>
      <c r="DJ1141" t="str">
        <v>6205 DE MERCANCÍAS</v>
      </c>
      <c r="DK1141" t="str">
        <v>6205 DE MERCANCÍAS</v>
      </c>
      <c r="DL1141" t="str">
        <v>6205 DE MERCANCÍAS</v>
      </c>
      <c r="DM1141" t="str">
        <v>6205 DE MERCANCÍAS</v>
      </c>
      <c r="DN1141" t="str">
        <v>6205 DE MERCANCÍAS</v>
      </c>
      <c r="DO1141" t="str">
        <v>6205 DE MERCANCÍAS</v>
      </c>
      <c r="DP1141" t="str">
        <v>6205 DE MERCANCÍAS</v>
      </c>
    </row>
    <row r="1142" spans="4:120" ht="12.75">
      <c r="D1142" s="7">
        <v>620599</v>
      </c>
      <c r="E1142" s="6" t="s">
        <v>93</v>
      </c>
      <c r="F1142" s="5">
        <v>4</v>
      </c>
      <c r="G1142" s="34" t="s">
        <v>831</v>
      </c>
      <c r="H1142" s="8" t="s">
        <v>32</v>
      </c>
      <c r="I1142" t="b">
        <f>+ISNUMBER(SEARCH('F-COMPRA'!$F$28,Tabla11[[#This Row],[Cuenta]],1))</f>
        <v>1</v>
      </c>
      <c r="J1142" t="b">
        <f>+ISNUMBER(SEARCH('F-COMPRA'!$F$29,Tabla11[[#This Row],[Cuenta]],1))</f>
        <v>1</v>
      </c>
      <c r="K1142" t="b">
        <f>+ISNUMBER(SEARCH('F-COMPRA'!$F$30,Tabla11[[#This Row],[Cuenta]],1))</f>
        <v>1</v>
      </c>
      <c r="L1142" t="b">
        <f>+ISNUMBER(SEARCH('F-COMPRA'!$F$31,Tabla11[[#This Row],[Cuenta]],1))</f>
        <v>1</v>
      </c>
      <c r="M1142" t="b">
        <f>+ISNUMBER(SEARCH('F-COMPRA'!$G$25,Tabla11[[#This Row],[Cuenta]],1))</f>
        <v>0</v>
      </c>
      <c r="N1142" t="b">
        <f>+ISNUMBER(SEARCH(#REF!,Tabla11[[#This Row],[Cuenta]],1))</f>
        <v>0</v>
      </c>
      <c r="O1142" t="b">
        <f>+ISNUMBER(SEARCH(#REF!,Tabla11[[#This Row],[Cuenta]],1))</f>
        <v>0</v>
      </c>
      <c r="P1142" t="b">
        <f>+ISNUMBER(SEARCH('F-COMPRA'!$F$32,Tabla11[[#This Row],[Cuenta]],1))</f>
        <v>1</v>
      </c>
      <c r="Q1142" t="b">
        <f>+ISNUMBER(SEARCH('F-COMPRA'!$F$33,Tabla11[[#This Row],[Cuenta]],1))</f>
        <v>1</v>
      </c>
      <c r="R1142" t="b">
        <f>+ISNUMBER(SEARCH('F-COMPRA'!$F$34,Tabla11[[#This Row],[Cuenta]],1))</f>
        <v>1</v>
      </c>
      <c r="S1142" t="b">
        <f>+ISNUMBER(SEARCH('F-COMPRA'!$F$35,Tabla11[[#This Row],[Cuenta]],1))</f>
        <v>1</v>
      </c>
      <c r="T1142" t="b">
        <f>+ISNUMBER(SEARCH('F-COMPRA'!$F$36,Tabla11[[#This Row],[Cuenta]],1))</f>
        <v>1</v>
      </c>
      <c r="U1142" t="b">
        <f>+ISNUMBER(SEARCH('F-COMPRA'!$F$37,Tabla11[[#This Row],[Cuenta]],1))</f>
        <v>1</v>
      </c>
      <c r="V1142" t="b">
        <f>+ISNUMBER(SEARCH(#REF!,Tabla11[[#This Row],[Cuenta]],1))</f>
        <v>0</v>
      </c>
      <c r="W1142" t="b">
        <f>+ISNUMBER(SEARCH('F-COMPRA'!#REF!,Tabla11[[#This Row],[Cuenta]],1))</f>
        <v>0</v>
      </c>
      <c r="X1142" t="b">
        <f>+ISNUMBER(SEARCH('F-COMPRA'!#REF!,Tabla11[[#This Row],[Cuenta]],1))</f>
        <v>0</v>
      </c>
      <c r="Y1142" t="b">
        <f>+ISNUMBER(SEARCH('F-COMPRA'!#REF!,Tabla11[[#This Row],[Cuenta]],1))</f>
        <v>0</v>
      </c>
      <c r="Z1142" t="b">
        <f>+ISNUMBER(SEARCH('F-COMPRA'!#REF!,Tabla11[[#This Row],[Cuenta]],1))</f>
        <v>0</v>
      </c>
      <c r="AA1142" t="b">
        <f>+ISNUMBER(SEARCH('F-COMPRA'!#REF!,Tabla11[[#This Row],[Cuenta]],1))</f>
        <v>0</v>
      </c>
      <c r="AB1142" t="b">
        <f>+ISNUMBER(SEARCH('F-COMPRA'!#REF!,Tabla11[[#This Row],[Cuenta]],1))</f>
        <v>0</v>
      </c>
      <c r="AC1142" t="b">
        <f>+ISNUMBER(SEARCH('F-COMPRA'!#REF!,Tabla11[[#This Row],[Cuenta]],1))</f>
        <v>0</v>
      </c>
      <c r="AD1142" t="b">
        <f>+ISNUMBER(SEARCH('F-COMPRA'!#REF!,Tabla11[[#This Row],[Cuenta]],1))</f>
        <v>0</v>
      </c>
      <c r="AE1142" t="b">
        <f>+ISNUMBER(SEARCH('F-COMPRA'!#REF!,Tabla11[[#This Row],[Cuenta]],1))</f>
        <v>0</v>
      </c>
      <c r="AF1142" t="b">
        <f>+ISNUMBER(SEARCH('F-VTA'!$G$23,Tabla11[[#This Row],[Cuenta]],1))</f>
        <v>0</v>
      </c>
      <c r="AG1142" t="b">
        <f>+ISNUMBER(SEARCH('F-VTA'!$G$24,Tabla11[[#This Row],[Cuenta]],1))</f>
        <v>0</v>
      </c>
      <c r="AH1142" t="b">
        <f>+ISNUMBER(SEARCH('F-VTA'!$G$25,Tabla11[[#This Row],[Cuenta]],1))</f>
        <v>0</v>
      </c>
      <c r="AI1142" t="b">
        <f>+ISNUMBER(SEARCH('F-VTA'!$F$28,Tabla11[[#This Row],[Cuenta]],1))</f>
        <v>1</v>
      </c>
      <c r="AJ1142" t="b">
        <f>+ISNUMBER(SEARCH('F-VTA'!$F$29,Tabla11[[#This Row],[Cuenta]],1))</f>
        <v>1</v>
      </c>
      <c r="AK1142" t="b">
        <f>+ISNUMBER(SEARCH('F-VTA'!$F$30,Tabla11[[#This Row],[Cuenta]],1))</f>
        <v>1</v>
      </c>
      <c r="AL1142" t="b">
        <f>+ISNUMBER(SEARCH('F-VTA'!$F$31,Tabla11[[#This Row],[Cuenta]],1))</f>
        <v>1</v>
      </c>
      <c r="AM1142" t="b">
        <f>+ISNUMBER(SEARCH('F-VTA'!$F$32,Tabla11[[#This Row],[Cuenta]],1))</f>
        <v>1</v>
      </c>
      <c r="AN1142" t="b">
        <f>+ISNUMBER(SEARCH('F-VTA'!$F$33,Tabla11[[#This Row],[Cuenta]],1))</f>
        <v>1</v>
      </c>
      <c r="AO1142" t="b">
        <f>+ISNUMBER(SEARCH('F-VTA'!$F$34,Tabla11[[#This Row],[Cuenta]],1))</f>
        <v>1</v>
      </c>
      <c r="AP1142" t="b">
        <f>+ISNUMBER(SEARCH('F-VTA'!$F$35,Tabla11[[#This Row],[Cuenta]],1))</f>
        <v>1</v>
      </c>
      <c r="AQ1142" t="b">
        <f>+ISNUMBER(SEARCH('F-VTA'!$F$36,Tabla11[[#This Row],[Cuenta]],1))</f>
        <v>1</v>
      </c>
      <c r="AR1142" t="b">
        <f>+ISNUMBER(SEARCH(#REF!,Tabla11[[#This Row],[Cuenta]],1))</f>
        <v>0</v>
      </c>
      <c r="AS1142" t="b">
        <f>+ISNUMBER(SEARCH(#REF!,Tabla11[[#This Row],[Cuenta]],1))</f>
        <v>0</v>
      </c>
      <c r="AT1142" t="b">
        <f>+ISNUMBER(SEARCH(#REF!,Tabla11[[#This Row],[Cuenta]],1))</f>
        <v>0</v>
      </c>
      <c r="AU1142" t="b">
        <f>+ISNUMBER(SEARCH('Conc. Ban.1'!$I$9,Tabla11[[#This Row],[Cuenta]],1))</f>
        <v>0</v>
      </c>
      <c r="AV1142" t="b">
        <f>+ISNUMBER(SEARCH(CompConta!$F$21,Tabla11[[#This Row],[Cuenta]],1))</f>
        <v>1</v>
      </c>
      <c r="AW1142" t="b">
        <f>+ISNUMBER(SEARCH(CompConta!$F$22,Tabla11[[#This Row],[Cuenta]],1))</f>
        <v>1</v>
      </c>
      <c r="AX1142" t="b">
        <f>+ISNUMBER(SEARCH(CompConta!$F$23,Tabla11[[#This Row],[Cuenta]],1))</f>
        <v>1</v>
      </c>
      <c r="AY1142" t="b">
        <f>+ISNUMBER(SEARCH(CompConta!$F$24,Tabla11[[#This Row],[Cuenta]],1))</f>
        <v>1</v>
      </c>
      <c r="AZ1142" t="b">
        <f>+ISNUMBER(SEARCH(CompConta!$F$25,Tabla11[[#This Row],[Cuenta]],1))</f>
        <v>1</v>
      </c>
      <c r="BA1142" t="b">
        <f>+ISNUMBER(SEARCH(CompConta!$F$26,Tabla11[[#This Row],[Cuenta]],1))</f>
        <v>1</v>
      </c>
      <c r="BB1142" t="b">
        <f>+ISNUMBER(SEARCH(CompConta!$F$27,Tabla11[[#This Row],[Cuenta]],1))</f>
        <v>1</v>
      </c>
      <c r="BC1142" t="b">
        <f>+ISNUMBER(SEARCH(CompConta!$F$28,Tabla11[[#This Row],[Cuenta]],1))</f>
        <v>1</v>
      </c>
      <c r="BD1142" t="b">
        <f>+ISNUMBER(SEARCH(CompConta!$F$29,Tabla11[[#This Row],[Cuenta]],1))</f>
        <v>1</v>
      </c>
      <c r="BE1142" t="b">
        <f>+ISNUMBER(SEARCH(CompConta!$F$30,Tabla11[[#This Row],[Cuenta]],1))</f>
        <v>1</v>
      </c>
      <c r="BF1142" t="b">
        <f>+ISNUMBER(SEARCH('PAGO Compras'!$E$11,Tabla11[[#This Row],[Cuenta]],1))</f>
        <v>1</v>
      </c>
      <c r="BG1142" t="b">
        <f>+ISNUMBER(SEARCH(#REF!,Tabla11[[#This Row],[Cuenta]],1))</f>
        <v>0</v>
      </c>
      <c r="BH1142" t="b">
        <f>+ISNUMBER(SEARCH(#REF!,Tabla11[[#This Row],[Cuenta]],1))</f>
        <v>0</v>
      </c>
      <c r="BI1142" t="b">
        <f>+ISNUMBER(SEARCH(#REF!,Tabla11[[#This Row],[Cuenta]],1))</f>
        <v>0</v>
      </c>
      <c r="BJ1142" t="b">
        <f>+ISNUMBER(SEARCH(#REF!,Tabla11[[#This Row],[Cuenta]],1))</f>
        <v>0</v>
      </c>
      <c r="BS1142" t="str">
        <v>620599 *Ajustes por inflación</v>
      </c>
      <c r="BT1142" t="str">
        <v>620599 *Ajustes por inflación</v>
      </c>
      <c r="BU1142" t="str">
        <v>620599 *Ajustes por inflación</v>
      </c>
      <c r="BV1142" t="str">
        <v>620599 *Ajustes por inflación</v>
      </c>
      <c r="BZ1142" t="str">
        <v>620599 *Ajustes por inflación</v>
      </c>
      <c r="CA1142" t="str">
        <v>620599 *Ajustes por inflación</v>
      </c>
      <c r="CB1142" t="str">
        <v>620599 *Ajustes por inflación</v>
      </c>
      <c r="CC1142" t="str">
        <v>620599 *Ajustes por inflación</v>
      </c>
      <c r="CD1142" t="str">
        <v>620599 *Ajustes por inflación</v>
      </c>
      <c r="CE1142" t="str">
        <v>620599 *Ajustes por inflación</v>
      </c>
      <c r="CS1142" s="141" t="str">
        <v>620599 *Ajustes por inflación</v>
      </c>
      <c r="CT1142" s="141" t="str">
        <v>620599 *Ajustes por inflación</v>
      </c>
      <c r="CU1142" s="141" t="str">
        <v>620599 *Ajustes por inflación</v>
      </c>
      <c r="CV1142" s="141" t="str">
        <v>620599 *Ajustes por inflación</v>
      </c>
      <c r="CW1142" s="141" t="str">
        <v>620599 *Ajustes por inflación</v>
      </c>
      <c r="CX1142" s="141" t="str">
        <v>620599 *Ajustes por inflación</v>
      </c>
      <c r="CY1142" s="141" t="str">
        <v>620599 *Ajustes por inflación</v>
      </c>
      <c r="CZ1142" s="141" t="str">
        <v>620599 *Ajustes por inflación</v>
      </c>
      <c r="DA1142" s="141" t="str">
        <v>620599 *Ajustes por inflación</v>
      </c>
      <c r="DF1142" t="str">
        <v>620599 *Ajustes por inflación</v>
      </c>
      <c r="DG1142" t="str">
        <v>620599 *Ajustes por inflación</v>
      </c>
      <c r="DH1142" t="str">
        <v>620599 *Ajustes por inflación</v>
      </c>
      <c r="DI1142" t="str">
        <v>620599 *Ajustes por inflación</v>
      </c>
      <c r="DJ1142" t="str">
        <v>620599 *Ajustes por inflación</v>
      </c>
      <c r="DK1142" t="str">
        <v>620599 *Ajustes por inflación</v>
      </c>
      <c r="DL1142" t="str">
        <v>620599 *Ajustes por inflación</v>
      </c>
      <c r="DM1142" t="str">
        <v>620599 *Ajustes por inflación</v>
      </c>
      <c r="DN1142" t="str">
        <v>620599 *Ajustes por inflación</v>
      </c>
      <c r="DO1142" t="str">
        <v>620599 *Ajustes por inflación</v>
      </c>
      <c r="DP1142" t="str">
        <v>620599 *Ajustes por inflación</v>
      </c>
    </row>
    <row r="1143" spans="4:120" ht="12.75">
      <c r="D1143" s="7">
        <v>6210</v>
      </c>
      <c r="E1143" s="6" t="s">
        <v>663</v>
      </c>
      <c r="F1143" s="5">
        <v>3</v>
      </c>
      <c r="G1143" s="34" t="s">
        <v>831</v>
      </c>
      <c r="H1143" s="8" t="s">
        <v>32</v>
      </c>
      <c r="I1143" t="b">
        <f>+ISNUMBER(SEARCH('F-COMPRA'!$F$28,Tabla11[[#This Row],[Cuenta]],1))</f>
        <v>1</v>
      </c>
      <c r="J1143" t="b">
        <f>+ISNUMBER(SEARCH('F-COMPRA'!$F$29,Tabla11[[#This Row],[Cuenta]],1))</f>
        <v>1</v>
      </c>
      <c r="K1143" t="b">
        <f>+ISNUMBER(SEARCH('F-COMPRA'!$F$30,Tabla11[[#This Row],[Cuenta]],1))</f>
        <v>1</v>
      </c>
      <c r="L1143" t="b">
        <f>+ISNUMBER(SEARCH('F-COMPRA'!$F$31,Tabla11[[#This Row],[Cuenta]],1))</f>
        <v>1</v>
      </c>
      <c r="M1143" t="b">
        <f>+ISNUMBER(SEARCH('F-COMPRA'!$G$25,Tabla11[[#This Row],[Cuenta]],1))</f>
        <v>0</v>
      </c>
      <c r="N1143" t="b">
        <f>+ISNUMBER(SEARCH(#REF!,Tabla11[[#This Row],[Cuenta]],1))</f>
        <v>0</v>
      </c>
      <c r="O1143" t="b">
        <f>+ISNUMBER(SEARCH(#REF!,Tabla11[[#This Row],[Cuenta]],1))</f>
        <v>0</v>
      </c>
      <c r="P1143" t="b">
        <f>+ISNUMBER(SEARCH('F-COMPRA'!$F$32,Tabla11[[#This Row],[Cuenta]],1))</f>
        <v>1</v>
      </c>
      <c r="Q1143" t="b">
        <f>+ISNUMBER(SEARCH('F-COMPRA'!$F$33,Tabla11[[#This Row],[Cuenta]],1))</f>
        <v>1</v>
      </c>
      <c r="R1143" t="b">
        <f>+ISNUMBER(SEARCH('F-COMPRA'!$F$34,Tabla11[[#This Row],[Cuenta]],1))</f>
        <v>1</v>
      </c>
      <c r="S1143" t="b">
        <f>+ISNUMBER(SEARCH('F-COMPRA'!$F$35,Tabla11[[#This Row],[Cuenta]],1))</f>
        <v>1</v>
      </c>
      <c r="T1143" t="b">
        <f>+ISNUMBER(SEARCH('F-COMPRA'!$F$36,Tabla11[[#This Row],[Cuenta]],1))</f>
        <v>1</v>
      </c>
      <c r="U1143" t="b">
        <f>+ISNUMBER(SEARCH('F-COMPRA'!$F$37,Tabla11[[#This Row],[Cuenta]],1))</f>
        <v>1</v>
      </c>
      <c r="V1143" t="b">
        <f>+ISNUMBER(SEARCH(#REF!,Tabla11[[#This Row],[Cuenta]],1))</f>
        <v>0</v>
      </c>
      <c r="W1143" t="b">
        <f>+ISNUMBER(SEARCH('F-COMPRA'!#REF!,Tabla11[[#This Row],[Cuenta]],1))</f>
        <v>0</v>
      </c>
      <c r="X1143" t="b">
        <f>+ISNUMBER(SEARCH('F-COMPRA'!#REF!,Tabla11[[#This Row],[Cuenta]],1))</f>
        <v>0</v>
      </c>
      <c r="Y1143" t="b">
        <f>+ISNUMBER(SEARCH('F-COMPRA'!#REF!,Tabla11[[#This Row],[Cuenta]],1))</f>
        <v>0</v>
      </c>
      <c r="Z1143" t="b">
        <f>+ISNUMBER(SEARCH('F-COMPRA'!#REF!,Tabla11[[#This Row],[Cuenta]],1))</f>
        <v>0</v>
      </c>
      <c r="AA1143" t="b">
        <f>+ISNUMBER(SEARCH('F-COMPRA'!#REF!,Tabla11[[#This Row],[Cuenta]],1))</f>
        <v>0</v>
      </c>
      <c r="AB1143" t="b">
        <f>+ISNUMBER(SEARCH('F-COMPRA'!#REF!,Tabla11[[#This Row],[Cuenta]],1))</f>
        <v>0</v>
      </c>
      <c r="AC1143" t="b">
        <f>+ISNUMBER(SEARCH('F-COMPRA'!#REF!,Tabla11[[#This Row],[Cuenta]],1))</f>
        <v>0</v>
      </c>
      <c r="AD1143" t="b">
        <f>+ISNUMBER(SEARCH('F-COMPRA'!#REF!,Tabla11[[#This Row],[Cuenta]],1))</f>
        <v>0</v>
      </c>
      <c r="AE1143" t="b">
        <f>+ISNUMBER(SEARCH('F-COMPRA'!#REF!,Tabla11[[#This Row],[Cuenta]],1))</f>
        <v>0</v>
      </c>
      <c r="AF1143" t="b">
        <f>+ISNUMBER(SEARCH('F-VTA'!$G$23,Tabla11[[#This Row],[Cuenta]],1))</f>
        <v>0</v>
      </c>
      <c r="AG1143" t="b">
        <f>+ISNUMBER(SEARCH('F-VTA'!$G$24,Tabla11[[#This Row],[Cuenta]],1))</f>
        <v>0</v>
      </c>
      <c r="AH1143" t="b">
        <f>+ISNUMBER(SEARCH('F-VTA'!$G$25,Tabla11[[#This Row],[Cuenta]],1))</f>
        <v>0</v>
      </c>
      <c r="AI1143" t="b">
        <f>+ISNUMBER(SEARCH('F-VTA'!$F$28,Tabla11[[#This Row],[Cuenta]],1))</f>
        <v>1</v>
      </c>
      <c r="AJ1143" t="b">
        <f>+ISNUMBER(SEARCH('F-VTA'!$F$29,Tabla11[[#This Row],[Cuenta]],1))</f>
        <v>1</v>
      </c>
      <c r="AK1143" t="b">
        <f>+ISNUMBER(SEARCH('F-VTA'!$F$30,Tabla11[[#This Row],[Cuenta]],1))</f>
        <v>1</v>
      </c>
      <c r="AL1143" t="b">
        <f>+ISNUMBER(SEARCH('F-VTA'!$F$31,Tabla11[[#This Row],[Cuenta]],1))</f>
        <v>1</v>
      </c>
      <c r="AM1143" t="b">
        <f>+ISNUMBER(SEARCH('F-VTA'!$F$32,Tabla11[[#This Row],[Cuenta]],1))</f>
        <v>1</v>
      </c>
      <c r="AN1143" t="b">
        <f>+ISNUMBER(SEARCH('F-VTA'!$F$33,Tabla11[[#This Row],[Cuenta]],1))</f>
        <v>1</v>
      </c>
      <c r="AO1143" t="b">
        <f>+ISNUMBER(SEARCH('F-VTA'!$F$34,Tabla11[[#This Row],[Cuenta]],1))</f>
        <v>1</v>
      </c>
      <c r="AP1143" t="b">
        <f>+ISNUMBER(SEARCH('F-VTA'!$F$35,Tabla11[[#This Row],[Cuenta]],1))</f>
        <v>1</v>
      </c>
      <c r="AQ1143" t="b">
        <f>+ISNUMBER(SEARCH('F-VTA'!$F$36,Tabla11[[#This Row],[Cuenta]],1))</f>
        <v>1</v>
      </c>
      <c r="AR1143" t="b">
        <f>+ISNUMBER(SEARCH(#REF!,Tabla11[[#This Row],[Cuenta]],1))</f>
        <v>0</v>
      </c>
      <c r="AS1143" t="b">
        <f>+ISNUMBER(SEARCH(#REF!,Tabla11[[#This Row],[Cuenta]],1))</f>
        <v>0</v>
      </c>
      <c r="AT1143" t="b">
        <f>+ISNUMBER(SEARCH(#REF!,Tabla11[[#This Row],[Cuenta]],1))</f>
        <v>0</v>
      </c>
      <c r="AU1143" t="b">
        <f>+ISNUMBER(SEARCH('Conc. Ban.1'!$I$9,Tabla11[[#This Row],[Cuenta]],1))</f>
        <v>0</v>
      </c>
      <c r="AV1143" t="b">
        <f>+ISNUMBER(SEARCH(CompConta!$F$21,Tabla11[[#This Row],[Cuenta]],1))</f>
        <v>1</v>
      </c>
      <c r="AW1143" t="b">
        <f>+ISNUMBER(SEARCH(CompConta!$F$22,Tabla11[[#This Row],[Cuenta]],1))</f>
        <v>1</v>
      </c>
      <c r="AX1143" t="b">
        <f>+ISNUMBER(SEARCH(CompConta!$F$23,Tabla11[[#This Row],[Cuenta]],1))</f>
        <v>1</v>
      </c>
      <c r="AY1143" t="b">
        <f>+ISNUMBER(SEARCH(CompConta!$F$24,Tabla11[[#This Row],[Cuenta]],1))</f>
        <v>1</v>
      </c>
      <c r="AZ1143" t="b">
        <f>+ISNUMBER(SEARCH(CompConta!$F$25,Tabla11[[#This Row],[Cuenta]],1))</f>
        <v>1</v>
      </c>
      <c r="BA1143" t="b">
        <f>+ISNUMBER(SEARCH(CompConta!$F$26,Tabla11[[#This Row],[Cuenta]],1))</f>
        <v>1</v>
      </c>
      <c r="BB1143" t="b">
        <f>+ISNUMBER(SEARCH(CompConta!$F$27,Tabla11[[#This Row],[Cuenta]],1))</f>
        <v>1</v>
      </c>
      <c r="BC1143" t="b">
        <f>+ISNUMBER(SEARCH(CompConta!$F$28,Tabla11[[#This Row],[Cuenta]],1))</f>
        <v>1</v>
      </c>
      <c r="BD1143" t="b">
        <f>+ISNUMBER(SEARCH(CompConta!$F$29,Tabla11[[#This Row],[Cuenta]],1))</f>
        <v>1</v>
      </c>
      <c r="BE1143" t="b">
        <f>+ISNUMBER(SEARCH(CompConta!$F$30,Tabla11[[#This Row],[Cuenta]],1))</f>
        <v>1</v>
      </c>
      <c r="BF1143" t="b">
        <f>+ISNUMBER(SEARCH('PAGO Compras'!$E$11,Tabla11[[#This Row],[Cuenta]],1))</f>
        <v>1</v>
      </c>
      <c r="BG1143" t="b">
        <f>+ISNUMBER(SEARCH(#REF!,Tabla11[[#This Row],[Cuenta]],1))</f>
        <v>0</v>
      </c>
      <c r="BH1143" t="b">
        <f>+ISNUMBER(SEARCH(#REF!,Tabla11[[#This Row],[Cuenta]],1))</f>
        <v>0</v>
      </c>
      <c r="BI1143" t="b">
        <f>+ISNUMBER(SEARCH(#REF!,Tabla11[[#This Row],[Cuenta]],1))</f>
        <v>0</v>
      </c>
      <c r="BJ1143" t="b">
        <f>+ISNUMBER(SEARCH(#REF!,Tabla11[[#This Row],[Cuenta]],1))</f>
        <v>0</v>
      </c>
      <c r="BS1143" t="str">
        <v>6210 DE MATERIAS PRIMAS</v>
      </c>
      <c r="BT1143" t="str">
        <v>6210 DE MATERIAS PRIMAS</v>
      </c>
      <c r="BU1143" t="str">
        <v>6210 DE MATERIAS PRIMAS</v>
      </c>
      <c r="BV1143" t="str">
        <v>6210 DE MATERIAS PRIMAS</v>
      </c>
      <c r="BZ1143" t="str">
        <v>6210 DE MATERIAS PRIMAS</v>
      </c>
      <c r="CA1143" t="str">
        <v>6210 DE MATERIAS PRIMAS</v>
      </c>
      <c r="CB1143" t="str">
        <v>6210 DE MATERIAS PRIMAS</v>
      </c>
      <c r="CC1143" t="str">
        <v>6210 DE MATERIAS PRIMAS</v>
      </c>
      <c r="CD1143" t="str">
        <v>6210 DE MATERIAS PRIMAS</v>
      </c>
      <c r="CE1143" t="str">
        <v>6210 DE MATERIAS PRIMAS</v>
      </c>
      <c r="CS1143" s="141" t="str">
        <v>6210 DE MATERIAS PRIMAS</v>
      </c>
      <c r="CT1143" s="141" t="str">
        <v>6210 DE MATERIAS PRIMAS</v>
      </c>
      <c r="CU1143" s="141" t="str">
        <v>6210 DE MATERIAS PRIMAS</v>
      </c>
      <c r="CV1143" s="141" t="str">
        <v>6210 DE MATERIAS PRIMAS</v>
      </c>
      <c r="CW1143" s="141" t="str">
        <v>6210 DE MATERIAS PRIMAS</v>
      </c>
      <c r="CX1143" s="141" t="str">
        <v>6210 DE MATERIAS PRIMAS</v>
      </c>
      <c r="CY1143" s="141" t="str">
        <v>6210 DE MATERIAS PRIMAS</v>
      </c>
      <c r="CZ1143" s="141" t="str">
        <v>6210 DE MATERIAS PRIMAS</v>
      </c>
      <c r="DA1143" s="141" t="str">
        <v>6210 DE MATERIAS PRIMAS</v>
      </c>
      <c r="DF1143" t="str">
        <v>6210 DE MATERIAS PRIMAS</v>
      </c>
      <c r="DG1143" t="str">
        <v>6210 DE MATERIAS PRIMAS</v>
      </c>
      <c r="DH1143" t="str">
        <v>6210 DE MATERIAS PRIMAS</v>
      </c>
      <c r="DI1143" t="str">
        <v>6210 DE MATERIAS PRIMAS</v>
      </c>
      <c r="DJ1143" t="str">
        <v>6210 DE MATERIAS PRIMAS</v>
      </c>
      <c r="DK1143" t="str">
        <v>6210 DE MATERIAS PRIMAS</v>
      </c>
      <c r="DL1143" t="str">
        <v>6210 DE MATERIAS PRIMAS</v>
      </c>
      <c r="DM1143" t="str">
        <v>6210 DE MATERIAS PRIMAS</v>
      </c>
      <c r="DN1143" t="str">
        <v>6210 DE MATERIAS PRIMAS</v>
      </c>
      <c r="DO1143" t="str">
        <v>6210 DE MATERIAS PRIMAS</v>
      </c>
      <c r="DP1143" t="str">
        <v>6210 DE MATERIAS PRIMAS</v>
      </c>
    </row>
    <row r="1144" spans="4:120" ht="12.75">
      <c r="D1144" s="7">
        <v>621099</v>
      </c>
      <c r="E1144" s="6" t="s">
        <v>93</v>
      </c>
      <c r="F1144" s="5">
        <v>4</v>
      </c>
      <c r="G1144" s="34" t="s">
        <v>831</v>
      </c>
      <c r="H1144" s="8" t="s">
        <v>32</v>
      </c>
      <c r="I1144" t="b">
        <f>+ISNUMBER(SEARCH('F-COMPRA'!$F$28,Tabla11[[#This Row],[Cuenta]],1))</f>
        <v>1</v>
      </c>
      <c r="J1144" t="b">
        <f>+ISNUMBER(SEARCH('F-COMPRA'!$F$29,Tabla11[[#This Row],[Cuenta]],1))</f>
        <v>1</v>
      </c>
      <c r="K1144" t="b">
        <f>+ISNUMBER(SEARCH('F-COMPRA'!$F$30,Tabla11[[#This Row],[Cuenta]],1))</f>
        <v>1</v>
      </c>
      <c r="L1144" t="b">
        <f>+ISNUMBER(SEARCH('F-COMPRA'!$F$31,Tabla11[[#This Row],[Cuenta]],1))</f>
        <v>1</v>
      </c>
      <c r="M1144" t="b">
        <f>+ISNUMBER(SEARCH('F-COMPRA'!$G$25,Tabla11[[#This Row],[Cuenta]],1))</f>
        <v>0</v>
      </c>
      <c r="N1144" t="b">
        <f>+ISNUMBER(SEARCH(#REF!,Tabla11[[#This Row],[Cuenta]],1))</f>
        <v>0</v>
      </c>
      <c r="O1144" t="b">
        <f>+ISNUMBER(SEARCH(#REF!,Tabla11[[#This Row],[Cuenta]],1))</f>
        <v>0</v>
      </c>
      <c r="P1144" t="b">
        <f>+ISNUMBER(SEARCH('F-COMPRA'!$F$32,Tabla11[[#This Row],[Cuenta]],1))</f>
        <v>1</v>
      </c>
      <c r="Q1144" t="b">
        <f>+ISNUMBER(SEARCH('F-COMPRA'!$F$33,Tabla11[[#This Row],[Cuenta]],1))</f>
        <v>1</v>
      </c>
      <c r="R1144" t="b">
        <f>+ISNUMBER(SEARCH('F-COMPRA'!$F$34,Tabla11[[#This Row],[Cuenta]],1))</f>
        <v>1</v>
      </c>
      <c r="S1144" t="b">
        <f>+ISNUMBER(SEARCH('F-COMPRA'!$F$35,Tabla11[[#This Row],[Cuenta]],1))</f>
        <v>1</v>
      </c>
      <c r="T1144" t="b">
        <f>+ISNUMBER(SEARCH('F-COMPRA'!$F$36,Tabla11[[#This Row],[Cuenta]],1))</f>
        <v>1</v>
      </c>
      <c r="U1144" t="b">
        <f>+ISNUMBER(SEARCH('F-COMPRA'!$F$37,Tabla11[[#This Row],[Cuenta]],1))</f>
        <v>1</v>
      </c>
      <c r="V1144" t="b">
        <f>+ISNUMBER(SEARCH(#REF!,Tabla11[[#This Row],[Cuenta]],1))</f>
        <v>0</v>
      </c>
      <c r="W1144" t="b">
        <f>+ISNUMBER(SEARCH('F-COMPRA'!#REF!,Tabla11[[#This Row],[Cuenta]],1))</f>
        <v>0</v>
      </c>
      <c r="X1144" t="b">
        <f>+ISNUMBER(SEARCH('F-COMPRA'!#REF!,Tabla11[[#This Row],[Cuenta]],1))</f>
        <v>0</v>
      </c>
      <c r="Y1144" t="b">
        <f>+ISNUMBER(SEARCH('F-COMPRA'!#REF!,Tabla11[[#This Row],[Cuenta]],1))</f>
        <v>0</v>
      </c>
      <c r="Z1144" t="b">
        <f>+ISNUMBER(SEARCH('F-COMPRA'!#REF!,Tabla11[[#This Row],[Cuenta]],1))</f>
        <v>0</v>
      </c>
      <c r="AA1144" t="b">
        <f>+ISNUMBER(SEARCH('F-COMPRA'!#REF!,Tabla11[[#This Row],[Cuenta]],1))</f>
        <v>0</v>
      </c>
      <c r="AB1144" t="b">
        <f>+ISNUMBER(SEARCH('F-COMPRA'!#REF!,Tabla11[[#This Row],[Cuenta]],1))</f>
        <v>0</v>
      </c>
      <c r="AC1144" t="b">
        <f>+ISNUMBER(SEARCH('F-COMPRA'!#REF!,Tabla11[[#This Row],[Cuenta]],1))</f>
        <v>0</v>
      </c>
      <c r="AD1144" t="b">
        <f>+ISNUMBER(SEARCH('F-COMPRA'!#REF!,Tabla11[[#This Row],[Cuenta]],1))</f>
        <v>0</v>
      </c>
      <c r="AE1144" t="b">
        <f>+ISNUMBER(SEARCH('F-COMPRA'!#REF!,Tabla11[[#This Row],[Cuenta]],1))</f>
        <v>0</v>
      </c>
      <c r="AF1144" t="b">
        <f>+ISNUMBER(SEARCH('F-VTA'!$G$23,Tabla11[[#This Row],[Cuenta]],1))</f>
        <v>0</v>
      </c>
      <c r="AG1144" t="b">
        <f>+ISNUMBER(SEARCH('F-VTA'!$G$24,Tabla11[[#This Row],[Cuenta]],1))</f>
        <v>0</v>
      </c>
      <c r="AH1144" t="b">
        <f>+ISNUMBER(SEARCH('F-VTA'!$G$25,Tabla11[[#This Row],[Cuenta]],1))</f>
        <v>0</v>
      </c>
      <c r="AI1144" t="b">
        <f>+ISNUMBER(SEARCH('F-VTA'!$F$28,Tabla11[[#This Row],[Cuenta]],1))</f>
        <v>1</v>
      </c>
      <c r="AJ1144" t="b">
        <f>+ISNUMBER(SEARCH('F-VTA'!$F$29,Tabla11[[#This Row],[Cuenta]],1))</f>
        <v>1</v>
      </c>
      <c r="AK1144" t="b">
        <f>+ISNUMBER(SEARCH('F-VTA'!$F$30,Tabla11[[#This Row],[Cuenta]],1))</f>
        <v>1</v>
      </c>
      <c r="AL1144" t="b">
        <f>+ISNUMBER(SEARCH('F-VTA'!$F$31,Tabla11[[#This Row],[Cuenta]],1))</f>
        <v>1</v>
      </c>
      <c r="AM1144" t="b">
        <f>+ISNUMBER(SEARCH('F-VTA'!$F$32,Tabla11[[#This Row],[Cuenta]],1))</f>
        <v>1</v>
      </c>
      <c r="AN1144" t="b">
        <f>+ISNUMBER(SEARCH('F-VTA'!$F$33,Tabla11[[#This Row],[Cuenta]],1))</f>
        <v>1</v>
      </c>
      <c r="AO1144" t="b">
        <f>+ISNUMBER(SEARCH('F-VTA'!$F$34,Tabla11[[#This Row],[Cuenta]],1))</f>
        <v>1</v>
      </c>
      <c r="AP1144" t="b">
        <f>+ISNUMBER(SEARCH('F-VTA'!$F$35,Tabla11[[#This Row],[Cuenta]],1))</f>
        <v>1</v>
      </c>
      <c r="AQ1144" t="b">
        <f>+ISNUMBER(SEARCH('F-VTA'!$F$36,Tabla11[[#This Row],[Cuenta]],1))</f>
        <v>1</v>
      </c>
      <c r="AR1144" t="b">
        <f>+ISNUMBER(SEARCH(#REF!,Tabla11[[#This Row],[Cuenta]],1))</f>
        <v>0</v>
      </c>
      <c r="AS1144" t="b">
        <f>+ISNUMBER(SEARCH(#REF!,Tabla11[[#This Row],[Cuenta]],1))</f>
        <v>0</v>
      </c>
      <c r="AT1144" t="b">
        <f>+ISNUMBER(SEARCH(#REF!,Tabla11[[#This Row],[Cuenta]],1))</f>
        <v>0</v>
      </c>
      <c r="AU1144" t="b">
        <f>+ISNUMBER(SEARCH('Conc. Ban.1'!$I$9,Tabla11[[#This Row],[Cuenta]],1))</f>
        <v>0</v>
      </c>
      <c r="AV1144" t="b">
        <f>+ISNUMBER(SEARCH(CompConta!$F$21,Tabla11[[#This Row],[Cuenta]],1))</f>
        <v>1</v>
      </c>
      <c r="AW1144" t="b">
        <f>+ISNUMBER(SEARCH(CompConta!$F$22,Tabla11[[#This Row],[Cuenta]],1))</f>
        <v>1</v>
      </c>
      <c r="AX1144" t="b">
        <f>+ISNUMBER(SEARCH(CompConta!$F$23,Tabla11[[#This Row],[Cuenta]],1))</f>
        <v>1</v>
      </c>
      <c r="AY1144" t="b">
        <f>+ISNUMBER(SEARCH(CompConta!$F$24,Tabla11[[#This Row],[Cuenta]],1))</f>
        <v>1</v>
      </c>
      <c r="AZ1144" t="b">
        <f>+ISNUMBER(SEARCH(CompConta!$F$25,Tabla11[[#This Row],[Cuenta]],1))</f>
        <v>1</v>
      </c>
      <c r="BA1144" t="b">
        <f>+ISNUMBER(SEARCH(CompConta!$F$26,Tabla11[[#This Row],[Cuenta]],1))</f>
        <v>1</v>
      </c>
      <c r="BB1144" t="b">
        <f>+ISNUMBER(SEARCH(CompConta!$F$27,Tabla11[[#This Row],[Cuenta]],1))</f>
        <v>1</v>
      </c>
      <c r="BC1144" t="b">
        <f>+ISNUMBER(SEARCH(CompConta!$F$28,Tabla11[[#This Row],[Cuenta]],1))</f>
        <v>1</v>
      </c>
      <c r="BD1144" t="b">
        <f>+ISNUMBER(SEARCH(CompConta!$F$29,Tabla11[[#This Row],[Cuenta]],1))</f>
        <v>1</v>
      </c>
      <c r="BE1144" t="b">
        <f>+ISNUMBER(SEARCH(CompConta!$F$30,Tabla11[[#This Row],[Cuenta]],1))</f>
        <v>1</v>
      </c>
      <c r="BF1144" t="b">
        <f>+ISNUMBER(SEARCH('PAGO Compras'!$E$11,Tabla11[[#This Row],[Cuenta]],1))</f>
        <v>1</v>
      </c>
      <c r="BG1144" t="b">
        <f>+ISNUMBER(SEARCH(#REF!,Tabla11[[#This Row],[Cuenta]],1))</f>
        <v>0</v>
      </c>
      <c r="BH1144" t="b">
        <f>+ISNUMBER(SEARCH(#REF!,Tabla11[[#This Row],[Cuenta]],1))</f>
        <v>0</v>
      </c>
      <c r="BI1144" t="b">
        <f>+ISNUMBER(SEARCH(#REF!,Tabla11[[#This Row],[Cuenta]],1))</f>
        <v>0</v>
      </c>
      <c r="BJ1144" t="b">
        <f>+ISNUMBER(SEARCH(#REF!,Tabla11[[#This Row],[Cuenta]],1))</f>
        <v>0</v>
      </c>
      <c r="BS1144" t="str">
        <v>621099 *Ajustes por inflación</v>
      </c>
      <c r="BT1144" t="str">
        <v>621099 *Ajustes por inflación</v>
      </c>
      <c r="BU1144" t="str">
        <v>621099 *Ajustes por inflación</v>
      </c>
      <c r="BV1144" t="str">
        <v>621099 *Ajustes por inflación</v>
      </c>
      <c r="BZ1144" t="str">
        <v>621099 *Ajustes por inflación</v>
      </c>
      <c r="CA1144" t="str">
        <v>621099 *Ajustes por inflación</v>
      </c>
      <c r="CB1144" t="str">
        <v>621099 *Ajustes por inflación</v>
      </c>
      <c r="CC1144" t="str">
        <v>621099 *Ajustes por inflación</v>
      </c>
      <c r="CD1144" t="str">
        <v>621099 *Ajustes por inflación</v>
      </c>
      <c r="CE1144" t="str">
        <v>621099 *Ajustes por inflación</v>
      </c>
      <c r="CS1144" s="141" t="str">
        <v>621099 *Ajustes por inflación</v>
      </c>
      <c r="CT1144" s="141" t="str">
        <v>621099 *Ajustes por inflación</v>
      </c>
      <c r="CU1144" s="141" t="str">
        <v>621099 *Ajustes por inflación</v>
      </c>
      <c r="CV1144" s="141" t="str">
        <v>621099 *Ajustes por inflación</v>
      </c>
      <c r="CW1144" s="141" t="str">
        <v>621099 *Ajustes por inflación</v>
      </c>
      <c r="CX1144" s="141" t="str">
        <v>621099 *Ajustes por inflación</v>
      </c>
      <c r="CY1144" s="141" t="str">
        <v>621099 *Ajustes por inflación</v>
      </c>
      <c r="CZ1144" s="141" t="str">
        <v>621099 *Ajustes por inflación</v>
      </c>
      <c r="DA1144" s="141" t="str">
        <v>621099 *Ajustes por inflación</v>
      </c>
      <c r="DF1144" t="str">
        <v>621099 *Ajustes por inflación</v>
      </c>
      <c r="DG1144" t="str">
        <v>621099 *Ajustes por inflación</v>
      </c>
      <c r="DH1144" t="str">
        <v>621099 *Ajustes por inflación</v>
      </c>
      <c r="DI1144" t="str">
        <v>621099 *Ajustes por inflación</v>
      </c>
      <c r="DJ1144" t="str">
        <v>621099 *Ajustes por inflación</v>
      </c>
      <c r="DK1144" t="str">
        <v>621099 *Ajustes por inflación</v>
      </c>
      <c r="DL1144" t="str">
        <v>621099 *Ajustes por inflación</v>
      </c>
      <c r="DM1144" t="str">
        <v>621099 *Ajustes por inflación</v>
      </c>
      <c r="DN1144" t="str">
        <v>621099 *Ajustes por inflación</v>
      </c>
      <c r="DO1144" t="str">
        <v>621099 *Ajustes por inflación</v>
      </c>
      <c r="DP1144" t="str">
        <v>621099 *Ajustes por inflación</v>
      </c>
    </row>
    <row r="1145" spans="4:120" ht="12.75">
      <c r="D1145" s="7">
        <v>6215</v>
      </c>
      <c r="E1145" s="6" t="s">
        <v>664</v>
      </c>
      <c r="F1145" s="5">
        <v>3</v>
      </c>
      <c r="G1145" s="34" t="s">
        <v>831</v>
      </c>
      <c r="H1145" s="8" t="s">
        <v>32</v>
      </c>
      <c r="I1145" t="b">
        <f>+ISNUMBER(SEARCH('F-COMPRA'!$F$28,Tabla11[[#This Row],[Cuenta]],1))</f>
        <v>1</v>
      </c>
      <c r="J1145" t="b">
        <f>+ISNUMBER(SEARCH('F-COMPRA'!$F$29,Tabla11[[#This Row],[Cuenta]],1))</f>
        <v>1</v>
      </c>
      <c r="K1145" t="b">
        <f>+ISNUMBER(SEARCH('F-COMPRA'!$F$30,Tabla11[[#This Row],[Cuenta]],1))</f>
        <v>1</v>
      </c>
      <c r="L1145" t="b">
        <f>+ISNUMBER(SEARCH('F-COMPRA'!$F$31,Tabla11[[#This Row],[Cuenta]],1))</f>
        <v>1</v>
      </c>
      <c r="M1145" t="b">
        <f>+ISNUMBER(SEARCH('F-COMPRA'!$G$25,Tabla11[[#This Row],[Cuenta]],1))</f>
        <v>0</v>
      </c>
      <c r="N1145" t="b">
        <f>+ISNUMBER(SEARCH(#REF!,Tabla11[[#This Row],[Cuenta]],1))</f>
        <v>0</v>
      </c>
      <c r="O1145" t="b">
        <f>+ISNUMBER(SEARCH(#REF!,Tabla11[[#This Row],[Cuenta]],1))</f>
        <v>0</v>
      </c>
      <c r="P1145" t="b">
        <f>+ISNUMBER(SEARCH('F-COMPRA'!$F$32,Tabla11[[#This Row],[Cuenta]],1))</f>
        <v>1</v>
      </c>
      <c r="Q1145" t="b">
        <f>+ISNUMBER(SEARCH('F-COMPRA'!$F$33,Tabla11[[#This Row],[Cuenta]],1))</f>
        <v>1</v>
      </c>
      <c r="R1145" t="b">
        <f>+ISNUMBER(SEARCH('F-COMPRA'!$F$34,Tabla11[[#This Row],[Cuenta]],1))</f>
        <v>1</v>
      </c>
      <c r="S1145" t="b">
        <f>+ISNUMBER(SEARCH('F-COMPRA'!$F$35,Tabla11[[#This Row],[Cuenta]],1))</f>
        <v>1</v>
      </c>
      <c r="T1145" t="b">
        <f>+ISNUMBER(SEARCH('F-COMPRA'!$F$36,Tabla11[[#This Row],[Cuenta]],1))</f>
        <v>1</v>
      </c>
      <c r="U1145" t="b">
        <f>+ISNUMBER(SEARCH('F-COMPRA'!$F$37,Tabla11[[#This Row],[Cuenta]],1))</f>
        <v>1</v>
      </c>
      <c r="V1145" t="b">
        <f>+ISNUMBER(SEARCH(#REF!,Tabla11[[#This Row],[Cuenta]],1))</f>
        <v>0</v>
      </c>
      <c r="W1145" t="b">
        <f>+ISNUMBER(SEARCH('F-COMPRA'!#REF!,Tabla11[[#This Row],[Cuenta]],1))</f>
        <v>0</v>
      </c>
      <c r="X1145" t="b">
        <f>+ISNUMBER(SEARCH('F-COMPRA'!#REF!,Tabla11[[#This Row],[Cuenta]],1))</f>
        <v>0</v>
      </c>
      <c r="Y1145" t="b">
        <f>+ISNUMBER(SEARCH('F-COMPRA'!#REF!,Tabla11[[#This Row],[Cuenta]],1))</f>
        <v>0</v>
      </c>
      <c r="Z1145" t="b">
        <f>+ISNUMBER(SEARCH('F-COMPRA'!#REF!,Tabla11[[#This Row],[Cuenta]],1))</f>
        <v>0</v>
      </c>
      <c r="AA1145" t="b">
        <f>+ISNUMBER(SEARCH('F-COMPRA'!#REF!,Tabla11[[#This Row],[Cuenta]],1))</f>
        <v>0</v>
      </c>
      <c r="AB1145" t="b">
        <f>+ISNUMBER(SEARCH('F-COMPRA'!#REF!,Tabla11[[#This Row],[Cuenta]],1))</f>
        <v>0</v>
      </c>
      <c r="AC1145" t="b">
        <f>+ISNUMBER(SEARCH('F-COMPRA'!#REF!,Tabla11[[#This Row],[Cuenta]],1))</f>
        <v>0</v>
      </c>
      <c r="AD1145" t="b">
        <f>+ISNUMBER(SEARCH('F-COMPRA'!#REF!,Tabla11[[#This Row],[Cuenta]],1))</f>
        <v>0</v>
      </c>
      <c r="AE1145" t="b">
        <f>+ISNUMBER(SEARCH('F-COMPRA'!#REF!,Tabla11[[#This Row],[Cuenta]],1))</f>
        <v>0</v>
      </c>
      <c r="AF1145" t="b">
        <f>+ISNUMBER(SEARCH('F-VTA'!$G$23,Tabla11[[#This Row],[Cuenta]],1))</f>
        <v>0</v>
      </c>
      <c r="AG1145" t="b">
        <f>+ISNUMBER(SEARCH('F-VTA'!$G$24,Tabla11[[#This Row],[Cuenta]],1))</f>
        <v>0</v>
      </c>
      <c r="AH1145" t="b">
        <f>+ISNUMBER(SEARCH('F-VTA'!$G$25,Tabla11[[#This Row],[Cuenta]],1))</f>
        <v>0</v>
      </c>
      <c r="AI1145" t="b">
        <f>+ISNUMBER(SEARCH('F-VTA'!$F$28,Tabla11[[#This Row],[Cuenta]],1))</f>
        <v>1</v>
      </c>
      <c r="AJ1145" t="b">
        <f>+ISNUMBER(SEARCH('F-VTA'!$F$29,Tabla11[[#This Row],[Cuenta]],1))</f>
        <v>1</v>
      </c>
      <c r="AK1145" t="b">
        <f>+ISNUMBER(SEARCH('F-VTA'!$F$30,Tabla11[[#This Row],[Cuenta]],1))</f>
        <v>1</v>
      </c>
      <c r="AL1145" t="b">
        <f>+ISNUMBER(SEARCH('F-VTA'!$F$31,Tabla11[[#This Row],[Cuenta]],1))</f>
        <v>1</v>
      </c>
      <c r="AM1145" t="b">
        <f>+ISNUMBER(SEARCH('F-VTA'!$F$32,Tabla11[[#This Row],[Cuenta]],1))</f>
        <v>1</v>
      </c>
      <c r="AN1145" t="b">
        <f>+ISNUMBER(SEARCH('F-VTA'!$F$33,Tabla11[[#This Row],[Cuenta]],1))</f>
        <v>1</v>
      </c>
      <c r="AO1145" t="b">
        <f>+ISNUMBER(SEARCH('F-VTA'!$F$34,Tabla11[[#This Row],[Cuenta]],1))</f>
        <v>1</v>
      </c>
      <c r="AP1145" t="b">
        <f>+ISNUMBER(SEARCH('F-VTA'!$F$35,Tabla11[[#This Row],[Cuenta]],1))</f>
        <v>1</v>
      </c>
      <c r="AQ1145" t="b">
        <f>+ISNUMBER(SEARCH('F-VTA'!$F$36,Tabla11[[#This Row],[Cuenta]],1))</f>
        <v>1</v>
      </c>
      <c r="AR1145" t="b">
        <f>+ISNUMBER(SEARCH(#REF!,Tabla11[[#This Row],[Cuenta]],1))</f>
        <v>0</v>
      </c>
      <c r="AS1145" t="b">
        <f>+ISNUMBER(SEARCH(#REF!,Tabla11[[#This Row],[Cuenta]],1))</f>
        <v>0</v>
      </c>
      <c r="AT1145" t="b">
        <f>+ISNUMBER(SEARCH(#REF!,Tabla11[[#This Row],[Cuenta]],1))</f>
        <v>0</v>
      </c>
      <c r="AU1145" t="b">
        <f>+ISNUMBER(SEARCH('Conc. Ban.1'!$I$9,Tabla11[[#This Row],[Cuenta]],1))</f>
        <v>0</v>
      </c>
      <c r="AV1145" t="b">
        <f>+ISNUMBER(SEARCH(CompConta!$F$21,Tabla11[[#This Row],[Cuenta]],1))</f>
        <v>1</v>
      </c>
      <c r="AW1145" t="b">
        <f>+ISNUMBER(SEARCH(CompConta!$F$22,Tabla11[[#This Row],[Cuenta]],1))</f>
        <v>1</v>
      </c>
      <c r="AX1145" t="b">
        <f>+ISNUMBER(SEARCH(CompConta!$F$23,Tabla11[[#This Row],[Cuenta]],1))</f>
        <v>1</v>
      </c>
      <c r="AY1145" t="b">
        <f>+ISNUMBER(SEARCH(CompConta!$F$24,Tabla11[[#This Row],[Cuenta]],1))</f>
        <v>1</v>
      </c>
      <c r="AZ1145" t="b">
        <f>+ISNUMBER(SEARCH(CompConta!$F$25,Tabla11[[#This Row],[Cuenta]],1))</f>
        <v>1</v>
      </c>
      <c r="BA1145" t="b">
        <f>+ISNUMBER(SEARCH(CompConta!$F$26,Tabla11[[#This Row],[Cuenta]],1))</f>
        <v>1</v>
      </c>
      <c r="BB1145" t="b">
        <f>+ISNUMBER(SEARCH(CompConta!$F$27,Tabla11[[#This Row],[Cuenta]],1))</f>
        <v>1</v>
      </c>
      <c r="BC1145" t="b">
        <f>+ISNUMBER(SEARCH(CompConta!$F$28,Tabla11[[#This Row],[Cuenta]],1))</f>
        <v>1</v>
      </c>
      <c r="BD1145" t="b">
        <f>+ISNUMBER(SEARCH(CompConta!$F$29,Tabla11[[#This Row],[Cuenta]],1))</f>
        <v>1</v>
      </c>
      <c r="BE1145" t="b">
        <f>+ISNUMBER(SEARCH(CompConta!$F$30,Tabla11[[#This Row],[Cuenta]],1))</f>
        <v>1</v>
      </c>
      <c r="BF1145" t="b">
        <f>+ISNUMBER(SEARCH('PAGO Compras'!$E$11,Tabla11[[#This Row],[Cuenta]],1))</f>
        <v>1</v>
      </c>
      <c r="BG1145" t="b">
        <f>+ISNUMBER(SEARCH(#REF!,Tabla11[[#This Row],[Cuenta]],1))</f>
        <v>0</v>
      </c>
      <c r="BH1145" t="b">
        <f>+ISNUMBER(SEARCH(#REF!,Tabla11[[#This Row],[Cuenta]],1))</f>
        <v>0</v>
      </c>
      <c r="BI1145" t="b">
        <f>+ISNUMBER(SEARCH(#REF!,Tabla11[[#This Row],[Cuenta]],1))</f>
        <v>0</v>
      </c>
      <c r="BJ1145" t="b">
        <f>+ISNUMBER(SEARCH(#REF!,Tabla11[[#This Row],[Cuenta]],1))</f>
        <v>0</v>
      </c>
      <c r="BS1145" t="str">
        <v>6215 DE MATERIALES INDIRECTOS</v>
      </c>
      <c r="BT1145" t="str">
        <v>6215 DE MATERIALES INDIRECTOS</v>
      </c>
      <c r="BU1145" t="str">
        <v>6215 DE MATERIALES INDIRECTOS</v>
      </c>
      <c r="BV1145" t="str">
        <v>6215 DE MATERIALES INDIRECTOS</v>
      </c>
      <c r="BZ1145" t="str">
        <v>6215 DE MATERIALES INDIRECTOS</v>
      </c>
      <c r="CA1145" t="str">
        <v>6215 DE MATERIALES INDIRECTOS</v>
      </c>
      <c r="CB1145" t="str">
        <v>6215 DE MATERIALES INDIRECTOS</v>
      </c>
      <c r="CC1145" t="str">
        <v>6215 DE MATERIALES INDIRECTOS</v>
      </c>
      <c r="CD1145" t="str">
        <v>6215 DE MATERIALES INDIRECTOS</v>
      </c>
      <c r="CE1145" t="str">
        <v>6215 DE MATERIALES INDIRECTOS</v>
      </c>
      <c r="CS1145" s="141" t="str">
        <v>6215 DE MATERIALES INDIRECTOS</v>
      </c>
      <c r="CT1145" s="141" t="str">
        <v>6215 DE MATERIALES INDIRECTOS</v>
      </c>
      <c r="CU1145" s="141" t="str">
        <v>6215 DE MATERIALES INDIRECTOS</v>
      </c>
      <c r="CV1145" s="141" t="str">
        <v>6215 DE MATERIALES INDIRECTOS</v>
      </c>
      <c r="CW1145" s="141" t="str">
        <v>6215 DE MATERIALES INDIRECTOS</v>
      </c>
      <c r="CX1145" s="141" t="str">
        <v>6215 DE MATERIALES INDIRECTOS</v>
      </c>
      <c r="CY1145" s="141" t="str">
        <v>6215 DE MATERIALES INDIRECTOS</v>
      </c>
      <c r="CZ1145" s="141" t="str">
        <v>6215 DE MATERIALES INDIRECTOS</v>
      </c>
      <c r="DA1145" s="141" t="str">
        <v>6215 DE MATERIALES INDIRECTOS</v>
      </c>
      <c r="DF1145" t="str">
        <v>6215 DE MATERIALES INDIRECTOS</v>
      </c>
      <c r="DG1145" t="str">
        <v>6215 DE MATERIALES INDIRECTOS</v>
      </c>
      <c r="DH1145" t="str">
        <v>6215 DE MATERIALES INDIRECTOS</v>
      </c>
      <c r="DI1145" t="str">
        <v>6215 DE MATERIALES INDIRECTOS</v>
      </c>
      <c r="DJ1145" t="str">
        <v>6215 DE MATERIALES INDIRECTOS</v>
      </c>
      <c r="DK1145" t="str">
        <v>6215 DE MATERIALES INDIRECTOS</v>
      </c>
      <c r="DL1145" t="str">
        <v>6215 DE MATERIALES INDIRECTOS</v>
      </c>
      <c r="DM1145" t="str">
        <v>6215 DE MATERIALES INDIRECTOS</v>
      </c>
      <c r="DN1145" t="str">
        <v>6215 DE MATERIALES INDIRECTOS</v>
      </c>
      <c r="DO1145" t="str">
        <v>6215 DE MATERIALES INDIRECTOS</v>
      </c>
      <c r="DP1145" t="str">
        <v>6215 DE MATERIALES INDIRECTOS</v>
      </c>
    </row>
    <row r="1146" spans="4:120" ht="12.75">
      <c r="D1146" s="7">
        <v>621599</v>
      </c>
      <c r="E1146" s="6" t="s">
        <v>93</v>
      </c>
      <c r="F1146" s="5">
        <v>4</v>
      </c>
      <c r="G1146" s="34" t="s">
        <v>831</v>
      </c>
      <c r="H1146" s="8" t="s">
        <v>32</v>
      </c>
      <c r="I1146" t="b">
        <f>+ISNUMBER(SEARCH('F-COMPRA'!$F$28,Tabla11[[#This Row],[Cuenta]],1))</f>
        <v>1</v>
      </c>
      <c r="J1146" t="b">
        <f>+ISNUMBER(SEARCH('F-COMPRA'!$F$29,Tabla11[[#This Row],[Cuenta]],1))</f>
        <v>1</v>
      </c>
      <c r="K1146" t="b">
        <f>+ISNUMBER(SEARCH('F-COMPRA'!$F$30,Tabla11[[#This Row],[Cuenta]],1))</f>
        <v>1</v>
      </c>
      <c r="L1146" t="b">
        <f>+ISNUMBER(SEARCH('F-COMPRA'!$F$31,Tabla11[[#This Row],[Cuenta]],1))</f>
        <v>1</v>
      </c>
      <c r="M1146" t="b">
        <f>+ISNUMBER(SEARCH('F-COMPRA'!$G$25,Tabla11[[#This Row],[Cuenta]],1))</f>
        <v>0</v>
      </c>
      <c r="N1146" t="b">
        <f>+ISNUMBER(SEARCH(#REF!,Tabla11[[#This Row],[Cuenta]],1))</f>
        <v>0</v>
      </c>
      <c r="O1146" t="b">
        <f>+ISNUMBER(SEARCH(#REF!,Tabla11[[#This Row],[Cuenta]],1))</f>
        <v>0</v>
      </c>
      <c r="P1146" t="b">
        <f>+ISNUMBER(SEARCH('F-COMPRA'!$F$32,Tabla11[[#This Row],[Cuenta]],1))</f>
        <v>1</v>
      </c>
      <c r="Q1146" t="b">
        <f>+ISNUMBER(SEARCH('F-COMPRA'!$F$33,Tabla11[[#This Row],[Cuenta]],1))</f>
        <v>1</v>
      </c>
      <c r="R1146" t="b">
        <f>+ISNUMBER(SEARCH('F-COMPRA'!$F$34,Tabla11[[#This Row],[Cuenta]],1))</f>
        <v>1</v>
      </c>
      <c r="S1146" t="b">
        <f>+ISNUMBER(SEARCH('F-COMPRA'!$F$35,Tabla11[[#This Row],[Cuenta]],1))</f>
        <v>1</v>
      </c>
      <c r="T1146" t="b">
        <f>+ISNUMBER(SEARCH('F-COMPRA'!$F$36,Tabla11[[#This Row],[Cuenta]],1))</f>
        <v>1</v>
      </c>
      <c r="U1146" t="b">
        <f>+ISNUMBER(SEARCH('F-COMPRA'!$F$37,Tabla11[[#This Row],[Cuenta]],1))</f>
        <v>1</v>
      </c>
      <c r="V1146" t="b">
        <f>+ISNUMBER(SEARCH(#REF!,Tabla11[[#This Row],[Cuenta]],1))</f>
        <v>0</v>
      </c>
      <c r="W1146" t="b">
        <f>+ISNUMBER(SEARCH('F-COMPRA'!#REF!,Tabla11[[#This Row],[Cuenta]],1))</f>
        <v>0</v>
      </c>
      <c r="X1146" t="b">
        <f>+ISNUMBER(SEARCH('F-COMPRA'!#REF!,Tabla11[[#This Row],[Cuenta]],1))</f>
        <v>0</v>
      </c>
      <c r="Y1146" t="b">
        <f>+ISNUMBER(SEARCH('F-COMPRA'!#REF!,Tabla11[[#This Row],[Cuenta]],1))</f>
        <v>0</v>
      </c>
      <c r="Z1146" t="b">
        <f>+ISNUMBER(SEARCH('F-COMPRA'!#REF!,Tabla11[[#This Row],[Cuenta]],1))</f>
        <v>0</v>
      </c>
      <c r="AA1146" t="b">
        <f>+ISNUMBER(SEARCH('F-COMPRA'!#REF!,Tabla11[[#This Row],[Cuenta]],1))</f>
        <v>0</v>
      </c>
      <c r="AB1146" t="b">
        <f>+ISNUMBER(SEARCH('F-COMPRA'!#REF!,Tabla11[[#This Row],[Cuenta]],1))</f>
        <v>0</v>
      </c>
      <c r="AC1146" t="b">
        <f>+ISNUMBER(SEARCH('F-COMPRA'!#REF!,Tabla11[[#This Row],[Cuenta]],1))</f>
        <v>0</v>
      </c>
      <c r="AD1146" t="b">
        <f>+ISNUMBER(SEARCH('F-COMPRA'!#REF!,Tabla11[[#This Row],[Cuenta]],1))</f>
        <v>0</v>
      </c>
      <c r="AE1146" t="b">
        <f>+ISNUMBER(SEARCH('F-COMPRA'!#REF!,Tabla11[[#This Row],[Cuenta]],1))</f>
        <v>0</v>
      </c>
      <c r="AF1146" t="b">
        <f>+ISNUMBER(SEARCH('F-VTA'!$G$23,Tabla11[[#This Row],[Cuenta]],1))</f>
        <v>0</v>
      </c>
      <c r="AG1146" t="b">
        <f>+ISNUMBER(SEARCH('F-VTA'!$G$24,Tabla11[[#This Row],[Cuenta]],1))</f>
        <v>0</v>
      </c>
      <c r="AH1146" t="b">
        <f>+ISNUMBER(SEARCH('F-VTA'!$G$25,Tabla11[[#This Row],[Cuenta]],1))</f>
        <v>0</v>
      </c>
      <c r="AI1146" t="b">
        <f>+ISNUMBER(SEARCH('F-VTA'!$F$28,Tabla11[[#This Row],[Cuenta]],1))</f>
        <v>1</v>
      </c>
      <c r="AJ1146" t="b">
        <f>+ISNUMBER(SEARCH('F-VTA'!$F$29,Tabla11[[#This Row],[Cuenta]],1))</f>
        <v>1</v>
      </c>
      <c r="AK1146" t="b">
        <f>+ISNUMBER(SEARCH('F-VTA'!$F$30,Tabla11[[#This Row],[Cuenta]],1))</f>
        <v>1</v>
      </c>
      <c r="AL1146" t="b">
        <f>+ISNUMBER(SEARCH('F-VTA'!$F$31,Tabla11[[#This Row],[Cuenta]],1))</f>
        <v>1</v>
      </c>
      <c r="AM1146" t="b">
        <f>+ISNUMBER(SEARCH('F-VTA'!$F$32,Tabla11[[#This Row],[Cuenta]],1))</f>
        <v>1</v>
      </c>
      <c r="AN1146" t="b">
        <f>+ISNUMBER(SEARCH('F-VTA'!$F$33,Tabla11[[#This Row],[Cuenta]],1))</f>
        <v>1</v>
      </c>
      <c r="AO1146" t="b">
        <f>+ISNUMBER(SEARCH('F-VTA'!$F$34,Tabla11[[#This Row],[Cuenta]],1))</f>
        <v>1</v>
      </c>
      <c r="AP1146" t="b">
        <f>+ISNUMBER(SEARCH('F-VTA'!$F$35,Tabla11[[#This Row],[Cuenta]],1))</f>
        <v>1</v>
      </c>
      <c r="AQ1146" t="b">
        <f>+ISNUMBER(SEARCH('F-VTA'!$F$36,Tabla11[[#This Row],[Cuenta]],1))</f>
        <v>1</v>
      </c>
      <c r="AR1146" t="b">
        <f>+ISNUMBER(SEARCH(#REF!,Tabla11[[#This Row],[Cuenta]],1))</f>
        <v>0</v>
      </c>
      <c r="AS1146" t="b">
        <f>+ISNUMBER(SEARCH(#REF!,Tabla11[[#This Row],[Cuenta]],1))</f>
        <v>0</v>
      </c>
      <c r="AT1146" t="b">
        <f>+ISNUMBER(SEARCH(#REF!,Tabla11[[#This Row],[Cuenta]],1))</f>
        <v>0</v>
      </c>
      <c r="AU1146" t="b">
        <f>+ISNUMBER(SEARCH('Conc. Ban.1'!$I$9,Tabla11[[#This Row],[Cuenta]],1))</f>
        <v>0</v>
      </c>
      <c r="AV1146" t="b">
        <f>+ISNUMBER(SEARCH(CompConta!$F$21,Tabla11[[#This Row],[Cuenta]],1))</f>
        <v>1</v>
      </c>
      <c r="AW1146" t="b">
        <f>+ISNUMBER(SEARCH(CompConta!$F$22,Tabla11[[#This Row],[Cuenta]],1))</f>
        <v>1</v>
      </c>
      <c r="AX1146" t="b">
        <f>+ISNUMBER(SEARCH(CompConta!$F$23,Tabla11[[#This Row],[Cuenta]],1))</f>
        <v>1</v>
      </c>
      <c r="AY1146" t="b">
        <f>+ISNUMBER(SEARCH(CompConta!$F$24,Tabla11[[#This Row],[Cuenta]],1))</f>
        <v>1</v>
      </c>
      <c r="AZ1146" t="b">
        <f>+ISNUMBER(SEARCH(CompConta!$F$25,Tabla11[[#This Row],[Cuenta]],1))</f>
        <v>1</v>
      </c>
      <c r="BA1146" t="b">
        <f>+ISNUMBER(SEARCH(CompConta!$F$26,Tabla11[[#This Row],[Cuenta]],1))</f>
        <v>1</v>
      </c>
      <c r="BB1146" t="b">
        <f>+ISNUMBER(SEARCH(CompConta!$F$27,Tabla11[[#This Row],[Cuenta]],1))</f>
        <v>1</v>
      </c>
      <c r="BC1146" t="b">
        <f>+ISNUMBER(SEARCH(CompConta!$F$28,Tabla11[[#This Row],[Cuenta]],1))</f>
        <v>1</v>
      </c>
      <c r="BD1146" t="b">
        <f>+ISNUMBER(SEARCH(CompConta!$F$29,Tabla11[[#This Row],[Cuenta]],1))</f>
        <v>1</v>
      </c>
      <c r="BE1146" t="b">
        <f>+ISNUMBER(SEARCH(CompConta!$F$30,Tabla11[[#This Row],[Cuenta]],1))</f>
        <v>1</v>
      </c>
      <c r="BF1146" t="b">
        <f>+ISNUMBER(SEARCH('PAGO Compras'!$E$11,Tabla11[[#This Row],[Cuenta]],1))</f>
        <v>1</v>
      </c>
      <c r="BG1146" t="b">
        <f>+ISNUMBER(SEARCH(#REF!,Tabla11[[#This Row],[Cuenta]],1))</f>
        <v>0</v>
      </c>
      <c r="BH1146" t="b">
        <f>+ISNUMBER(SEARCH(#REF!,Tabla11[[#This Row],[Cuenta]],1))</f>
        <v>0</v>
      </c>
      <c r="BI1146" t="b">
        <f>+ISNUMBER(SEARCH(#REF!,Tabla11[[#This Row],[Cuenta]],1))</f>
        <v>0</v>
      </c>
      <c r="BJ1146" t="b">
        <f>+ISNUMBER(SEARCH(#REF!,Tabla11[[#This Row],[Cuenta]],1))</f>
        <v>0</v>
      </c>
      <c r="BS1146" t="str">
        <v>621599 *Ajustes por inflación</v>
      </c>
      <c r="BT1146" t="str">
        <v>621599 *Ajustes por inflación</v>
      </c>
      <c r="BU1146" t="str">
        <v>621599 *Ajustes por inflación</v>
      </c>
      <c r="BV1146" t="str">
        <v>621599 *Ajustes por inflación</v>
      </c>
      <c r="BZ1146" t="str">
        <v>621599 *Ajustes por inflación</v>
      </c>
      <c r="CA1146" t="str">
        <v>621599 *Ajustes por inflación</v>
      </c>
      <c r="CB1146" t="str">
        <v>621599 *Ajustes por inflación</v>
      </c>
      <c r="CC1146" t="str">
        <v>621599 *Ajustes por inflación</v>
      </c>
      <c r="CD1146" t="str">
        <v>621599 *Ajustes por inflación</v>
      </c>
      <c r="CE1146" t="str">
        <v>621599 *Ajustes por inflación</v>
      </c>
      <c r="CS1146" s="141" t="str">
        <v>621599 *Ajustes por inflación</v>
      </c>
      <c r="CT1146" s="141" t="str">
        <v>621599 *Ajustes por inflación</v>
      </c>
      <c r="CU1146" s="141" t="str">
        <v>621599 *Ajustes por inflación</v>
      </c>
      <c r="CV1146" s="141" t="str">
        <v>621599 *Ajustes por inflación</v>
      </c>
      <c r="CW1146" s="141" t="str">
        <v>621599 *Ajustes por inflación</v>
      </c>
      <c r="CX1146" s="141" t="str">
        <v>621599 *Ajustes por inflación</v>
      </c>
      <c r="CY1146" s="141" t="str">
        <v>621599 *Ajustes por inflación</v>
      </c>
      <c r="CZ1146" s="141" t="str">
        <v>621599 *Ajustes por inflación</v>
      </c>
      <c r="DA1146" s="141" t="str">
        <v>621599 *Ajustes por inflación</v>
      </c>
      <c r="DF1146" t="str">
        <v>621599 *Ajustes por inflación</v>
      </c>
      <c r="DG1146" t="str">
        <v>621599 *Ajustes por inflación</v>
      </c>
      <c r="DH1146" t="str">
        <v>621599 *Ajustes por inflación</v>
      </c>
      <c r="DI1146" t="str">
        <v>621599 *Ajustes por inflación</v>
      </c>
      <c r="DJ1146" t="str">
        <v>621599 *Ajustes por inflación</v>
      </c>
      <c r="DK1146" t="str">
        <v>621599 *Ajustes por inflación</v>
      </c>
      <c r="DL1146" t="str">
        <v>621599 *Ajustes por inflación</v>
      </c>
      <c r="DM1146" t="str">
        <v>621599 *Ajustes por inflación</v>
      </c>
      <c r="DN1146" t="str">
        <v>621599 *Ajustes por inflación</v>
      </c>
      <c r="DO1146" t="str">
        <v>621599 *Ajustes por inflación</v>
      </c>
      <c r="DP1146" t="str">
        <v>621599 *Ajustes por inflación</v>
      </c>
    </row>
    <row r="1147" spans="4:120" ht="12.75">
      <c r="D1147" s="7">
        <v>6220</v>
      </c>
      <c r="E1147" s="6" t="s">
        <v>665</v>
      </c>
      <c r="F1147" s="5">
        <v>3</v>
      </c>
      <c r="G1147" s="34" t="s">
        <v>831</v>
      </c>
      <c r="H1147" s="8" t="s">
        <v>32</v>
      </c>
      <c r="I1147" t="b">
        <f>+ISNUMBER(SEARCH('F-COMPRA'!$F$28,Tabla11[[#This Row],[Cuenta]],1))</f>
        <v>1</v>
      </c>
      <c r="J1147" t="b">
        <f>+ISNUMBER(SEARCH('F-COMPRA'!$F$29,Tabla11[[#This Row],[Cuenta]],1))</f>
        <v>1</v>
      </c>
      <c r="K1147" t="b">
        <f>+ISNUMBER(SEARCH('F-COMPRA'!$F$30,Tabla11[[#This Row],[Cuenta]],1))</f>
        <v>1</v>
      </c>
      <c r="L1147" t="b">
        <f>+ISNUMBER(SEARCH('F-COMPRA'!$F$31,Tabla11[[#This Row],[Cuenta]],1))</f>
        <v>1</v>
      </c>
      <c r="M1147" t="b">
        <f>+ISNUMBER(SEARCH('F-COMPRA'!$G$25,Tabla11[[#This Row],[Cuenta]],1))</f>
        <v>0</v>
      </c>
      <c r="N1147" t="b">
        <f>+ISNUMBER(SEARCH(#REF!,Tabla11[[#This Row],[Cuenta]],1))</f>
        <v>0</v>
      </c>
      <c r="O1147" t="b">
        <f>+ISNUMBER(SEARCH(#REF!,Tabla11[[#This Row],[Cuenta]],1))</f>
        <v>0</v>
      </c>
      <c r="P1147" t="b">
        <f>+ISNUMBER(SEARCH('F-COMPRA'!$F$32,Tabla11[[#This Row],[Cuenta]],1))</f>
        <v>1</v>
      </c>
      <c r="Q1147" t="b">
        <f>+ISNUMBER(SEARCH('F-COMPRA'!$F$33,Tabla11[[#This Row],[Cuenta]],1))</f>
        <v>1</v>
      </c>
      <c r="R1147" t="b">
        <f>+ISNUMBER(SEARCH('F-COMPRA'!$F$34,Tabla11[[#This Row],[Cuenta]],1))</f>
        <v>1</v>
      </c>
      <c r="S1147" t="b">
        <f>+ISNUMBER(SEARCH('F-COMPRA'!$F$35,Tabla11[[#This Row],[Cuenta]],1))</f>
        <v>1</v>
      </c>
      <c r="T1147" t="b">
        <f>+ISNUMBER(SEARCH('F-COMPRA'!$F$36,Tabla11[[#This Row],[Cuenta]],1))</f>
        <v>1</v>
      </c>
      <c r="U1147" t="b">
        <f>+ISNUMBER(SEARCH('F-COMPRA'!$F$37,Tabla11[[#This Row],[Cuenta]],1))</f>
        <v>1</v>
      </c>
      <c r="V1147" t="b">
        <f>+ISNUMBER(SEARCH(#REF!,Tabla11[[#This Row],[Cuenta]],1))</f>
        <v>0</v>
      </c>
      <c r="W1147" t="b">
        <f>+ISNUMBER(SEARCH('F-COMPRA'!#REF!,Tabla11[[#This Row],[Cuenta]],1))</f>
        <v>0</v>
      </c>
      <c r="X1147" t="b">
        <f>+ISNUMBER(SEARCH('F-COMPRA'!#REF!,Tabla11[[#This Row],[Cuenta]],1))</f>
        <v>0</v>
      </c>
      <c r="Y1147" t="b">
        <f>+ISNUMBER(SEARCH('F-COMPRA'!#REF!,Tabla11[[#This Row],[Cuenta]],1))</f>
        <v>0</v>
      </c>
      <c r="Z1147" t="b">
        <f>+ISNUMBER(SEARCH('F-COMPRA'!#REF!,Tabla11[[#This Row],[Cuenta]],1))</f>
        <v>0</v>
      </c>
      <c r="AA1147" t="b">
        <f>+ISNUMBER(SEARCH('F-COMPRA'!#REF!,Tabla11[[#This Row],[Cuenta]],1))</f>
        <v>0</v>
      </c>
      <c r="AB1147" t="b">
        <f>+ISNUMBER(SEARCH('F-COMPRA'!#REF!,Tabla11[[#This Row],[Cuenta]],1))</f>
        <v>0</v>
      </c>
      <c r="AC1147" t="b">
        <f>+ISNUMBER(SEARCH('F-COMPRA'!#REF!,Tabla11[[#This Row],[Cuenta]],1))</f>
        <v>0</v>
      </c>
      <c r="AD1147" t="b">
        <f>+ISNUMBER(SEARCH('F-COMPRA'!#REF!,Tabla11[[#This Row],[Cuenta]],1))</f>
        <v>0</v>
      </c>
      <c r="AE1147" t="b">
        <f>+ISNUMBER(SEARCH('F-COMPRA'!#REF!,Tabla11[[#This Row],[Cuenta]],1))</f>
        <v>0</v>
      </c>
      <c r="AF1147" t="b">
        <f>+ISNUMBER(SEARCH('F-VTA'!$G$23,Tabla11[[#This Row],[Cuenta]],1))</f>
        <v>0</v>
      </c>
      <c r="AG1147" t="b">
        <f>+ISNUMBER(SEARCH('F-VTA'!$G$24,Tabla11[[#This Row],[Cuenta]],1))</f>
        <v>0</v>
      </c>
      <c r="AH1147" t="b">
        <f>+ISNUMBER(SEARCH('F-VTA'!$G$25,Tabla11[[#This Row],[Cuenta]],1))</f>
        <v>0</v>
      </c>
      <c r="AI1147" t="b">
        <f>+ISNUMBER(SEARCH('F-VTA'!$F$28,Tabla11[[#This Row],[Cuenta]],1))</f>
        <v>1</v>
      </c>
      <c r="AJ1147" t="b">
        <f>+ISNUMBER(SEARCH('F-VTA'!$F$29,Tabla11[[#This Row],[Cuenta]],1))</f>
        <v>1</v>
      </c>
      <c r="AK1147" t="b">
        <f>+ISNUMBER(SEARCH('F-VTA'!$F$30,Tabla11[[#This Row],[Cuenta]],1))</f>
        <v>1</v>
      </c>
      <c r="AL1147" t="b">
        <f>+ISNUMBER(SEARCH('F-VTA'!$F$31,Tabla11[[#This Row],[Cuenta]],1))</f>
        <v>1</v>
      </c>
      <c r="AM1147" t="b">
        <f>+ISNUMBER(SEARCH('F-VTA'!$F$32,Tabla11[[#This Row],[Cuenta]],1))</f>
        <v>1</v>
      </c>
      <c r="AN1147" t="b">
        <f>+ISNUMBER(SEARCH('F-VTA'!$F$33,Tabla11[[#This Row],[Cuenta]],1))</f>
        <v>1</v>
      </c>
      <c r="AO1147" t="b">
        <f>+ISNUMBER(SEARCH('F-VTA'!$F$34,Tabla11[[#This Row],[Cuenta]],1))</f>
        <v>1</v>
      </c>
      <c r="AP1147" t="b">
        <f>+ISNUMBER(SEARCH('F-VTA'!$F$35,Tabla11[[#This Row],[Cuenta]],1))</f>
        <v>1</v>
      </c>
      <c r="AQ1147" t="b">
        <f>+ISNUMBER(SEARCH('F-VTA'!$F$36,Tabla11[[#This Row],[Cuenta]],1))</f>
        <v>1</v>
      </c>
      <c r="AR1147" t="b">
        <f>+ISNUMBER(SEARCH(#REF!,Tabla11[[#This Row],[Cuenta]],1))</f>
        <v>0</v>
      </c>
      <c r="AS1147" t="b">
        <f>+ISNUMBER(SEARCH(#REF!,Tabla11[[#This Row],[Cuenta]],1))</f>
        <v>0</v>
      </c>
      <c r="AT1147" t="b">
        <f>+ISNUMBER(SEARCH(#REF!,Tabla11[[#This Row],[Cuenta]],1))</f>
        <v>0</v>
      </c>
      <c r="AU1147" t="b">
        <f>+ISNUMBER(SEARCH('Conc. Ban.1'!$I$9,Tabla11[[#This Row],[Cuenta]],1))</f>
        <v>0</v>
      </c>
      <c r="AV1147" t="b">
        <f>+ISNUMBER(SEARCH(CompConta!$F$21,Tabla11[[#This Row],[Cuenta]],1))</f>
        <v>1</v>
      </c>
      <c r="AW1147" t="b">
        <f>+ISNUMBER(SEARCH(CompConta!$F$22,Tabla11[[#This Row],[Cuenta]],1))</f>
        <v>1</v>
      </c>
      <c r="AX1147" t="b">
        <f>+ISNUMBER(SEARCH(CompConta!$F$23,Tabla11[[#This Row],[Cuenta]],1))</f>
        <v>1</v>
      </c>
      <c r="AY1147" t="b">
        <f>+ISNUMBER(SEARCH(CompConta!$F$24,Tabla11[[#This Row],[Cuenta]],1))</f>
        <v>1</v>
      </c>
      <c r="AZ1147" t="b">
        <f>+ISNUMBER(SEARCH(CompConta!$F$25,Tabla11[[#This Row],[Cuenta]],1))</f>
        <v>1</v>
      </c>
      <c r="BA1147" t="b">
        <f>+ISNUMBER(SEARCH(CompConta!$F$26,Tabla11[[#This Row],[Cuenta]],1))</f>
        <v>1</v>
      </c>
      <c r="BB1147" t="b">
        <f>+ISNUMBER(SEARCH(CompConta!$F$27,Tabla11[[#This Row],[Cuenta]],1))</f>
        <v>1</v>
      </c>
      <c r="BC1147" t="b">
        <f>+ISNUMBER(SEARCH(CompConta!$F$28,Tabla11[[#This Row],[Cuenta]],1))</f>
        <v>1</v>
      </c>
      <c r="BD1147" t="b">
        <f>+ISNUMBER(SEARCH(CompConta!$F$29,Tabla11[[#This Row],[Cuenta]],1))</f>
        <v>1</v>
      </c>
      <c r="BE1147" t="b">
        <f>+ISNUMBER(SEARCH(CompConta!$F$30,Tabla11[[#This Row],[Cuenta]],1))</f>
        <v>1</v>
      </c>
      <c r="BF1147" t="b">
        <f>+ISNUMBER(SEARCH('PAGO Compras'!$E$11,Tabla11[[#This Row],[Cuenta]],1))</f>
        <v>1</v>
      </c>
      <c r="BG1147" t="b">
        <f>+ISNUMBER(SEARCH(#REF!,Tabla11[[#This Row],[Cuenta]],1))</f>
        <v>0</v>
      </c>
      <c r="BH1147" t="b">
        <f>+ISNUMBER(SEARCH(#REF!,Tabla11[[#This Row],[Cuenta]],1))</f>
        <v>0</v>
      </c>
      <c r="BI1147" t="b">
        <f>+ISNUMBER(SEARCH(#REF!,Tabla11[[#This Row],[Cuenta]],1))</f>
        <v>0</v>
      </c>
      <c r="BJ1147" t="b">
        <f>+ISNUMBER(SEARCH(#REF!,Tabla11[[#This Row],[Cuenta]],1))</f>
        <v>0</v>
      </c>
      <c r="BS1147" t="str">
        <v>6220 COMPRA DE ENERGÍA</v>
      </c>
      <c r="BT1147" t="str">
        <v>6220 COMPRA DE ENERGÍA</v>
      </c>
      <c r="BU1147" t="str">
        <v>6220 COMPRA DE ENERGÍA</v>
      </c>
      <c r="BV1147" t="str">
        <v>6220 COMPRA DE ENERGÍA</v>
      </c>
      <c r="BZ1147" t="str">
        <v>6220 COMPRA DE ENERGÍA</v>
      </c>
      <c r="CA1147" t="str">
        <v>6220 COMPRA DE ENERGÍA</v>
      </c>
      <c r="CB1147" t="str">
        <v>6220 COMPRA DE ENERGÍA</v>
      </c>
      <c r="CC1147" t="str">
        <v>6220 COMPRA DE ENERGÍA</v>
      </c>
      <c r="CD1147" t="str">
        <v>6220 COMPRA DE ENERGÍA</v>
      </c>
      <c r="CE1147" t="str">
        <v>6220 COMPRA DE ENERGÍA</v>
      </c>
      <c r="CS1147" s="141" t="str">
        <v>6220 COMPRA DE ENERGÍA</v>
      </c>
      <c r="CT1147" s="141" t="str">
        <v>6220 COMPRA DE ENERGÍA</v>
      </c>
      <c r="CU1147" s="141" t="str">
        <v>6220 COMPRA DE ENERGÍA</v>
      </c>
      <c r="CV1147" s="141" t="str">
        <v>6220 COMPRA DE ENERGÍA</v>
      </c>
      <c r="CW1147" s="141" t="str">
        <v>6220 COMPRA DE ENERGÍA</v>
      </c>
      <c r="CX1147" s="141" t="str">
        <v>6220 COMPRA DE ENERGÍA</v>
      </c>
      <c r="CY1147" s="141" t="str">
        <v>6220 COMPRA DE ENERGÍA</v>
      </c>
      <c r="CZ1147" s="141" t="str">
        <v>6220 COMPRA DE ENERGÍA</v>
      </c>
      <c r="DA1147" s="141" t="str">
        <v>6220 COMPRA DE ENERGÍA</v>
      </c>
      <c r="DF1147" t="str">
        <v>6220 COMPRA DE ENERGÍA</v>
      </c>
      <c r="DG1147" t="str">
        <v>6220 COMPRA DE ENERGÍA</v>
      </c>
      <c r="DH1147" t="str">
        <v>6220 COMPRA DE ENERGÍA</v>
      </c>
      <c r="DI1147" t="str">
        <v>6220 COMPRA DE ENERGÍA</v>
      </c>
      <c r="DJ1147" t="str">
        <v>6220 COMPRA DE ENERGÍA</v>
      </c>
      <c r="DK1147" t="str">
        <v>6220 COMPRA DE ENERGÍA</v>
      </c>
      <c r="DL1147" t="str">
        <v>6220 COMPRA DE ENERGÍA</v>
      </c>
      <c r="DM1147" t="str">
        <v>6220 COMPRA DE ENERGÍA</v>
      </c>
      <c r="DN1147" t="str">
        <v>6220 COMPRA DE ENERGÍA</v>
      </c>
      <c r="DO1147" t="str">
        <v>6220 COMPRA DE ENERGÍA</v>
      </c>
      <c r="DP1147" t="str">
        <v>6220 COMPRA DE ENERGÍA</v>
      </c>
    </row>
    <row r="1148" spans="4:120" ht="12.75">
      <c r="D1148" s="7">
        <v>622099</v>
      </c>
      <c r="E1148" s="6" t="s">
        <v>93</v>
      </c>
      <c r="F1148" s="5">
        <v>4</v>
      </c>
      <c r="G1148" s="34" t="s">
        <v>831</v>
      </c>
      <c r="H1148" s="8" t="s">
        <v>32</v>
      </c>
      <c r="I1148" t="b">
        <f>+ISNUMBER(SEARCH('F-COMPRA'!$F$28,Tabla11[[#This Row],[Cuenta]],1))</f>
        <v>1</v>
      </c>
      <c r="J1148" t="b">
        <f>+ISNUMBER(SEARCH('F-COMPRA'!$F$29,Tabla11[[#This Row],[Cuenta]],1))</f>
        <v>1</v>
      </c>
      <c r="K1148" t="b">
        <f>+ISNUMBER(SEARCH('F-COMPRA'!$F$30,Tabla11[[#This Row],[Cuenta]],1))</f>
        <v>1</v>
      </c>
      <c r="L1148" t="b">
        <f>+ISNUMBER(SEARCH('F-COMPRA'!$F$31,Tabla11[[#This Row],[Cuenta]],1))</f>
        <v>1</v>
      </c>
      <c r="M1148" t="b">
        <f>+ISNUMBER(SEARCH('F-COMPRA'!$G$25,Tabla11[[#This Row],[Cuenta]],1))</f>
        <v>0</v>
      </c>
      <c r="N1148" t="b">
        <f>+ISNUMBER(SEARCH(#REF!,Tabla11[[#This Row],[Cuenta]],1))</f>
        <v>0</v>
      </c>
      <c r="O1148" t="b">
        <f>+ISNUMBER(SEARCH(#REF!,Tabla11[[#This Row],[Cuenta]],1))</f>
        <v>0</v>
      </c>
      <c r="P1148" t="b">
        <f>+ISNUMBER(SEARCH('F-COMPRA'!$F$32,Tabla11[[#This Row],[Cuenta]],1))</f>
        <v>1</v>
      </c>
      <c r="Q1148" t="b">
        <f>+ISNUMBER(SEARCH('F-COMPRA'!$F$33,Tabla11[[#This Row],[Cuenta]],1))</f>
        <v>1</v>
      </c>
      <c r="R1148" t="b">
        <f>+ISNUMBER(SEARCH('F-COMPRA'!$F$34,Tabla11[[#This Row],[Cuenta]],1))</f>
        <v>1</v>
      </c>
      <c r="S1148" t="b">
        <f>+ISNUMBER(SEARCH('F-COMPRA'!$F$35,Tabla11[[#This Row],[Cuenta]],1))</f>
        <v>1</v>
      </c>
      <c r="T1148" t="b">
        <f>+ISNUMBER(SEARCH('F-COMPRA'!$F$36,Tabla11[[#This Row],[Cuenta]],1))</f>
        <v>1</v>
      </c>
      <c r="U1148" t="b">
        <f>+ISNUMBER(SEARCH('F-COMPRA'!$F$37,Tabla11[[#This Row],[Cuenta]],1))</f>
        <v>1</v>
      </c>
      <c r="V1148" t="b">
        <f>+ISNUMBER(SEARCH(#REF!,Tabla11[[#This Row],[Cuenta]],1))</f>
        <v>0</v>
      </c>
      <c r="W1148" t="b">
        <f>+ISNUMBER(SEARCH('F-COMPRA'!#REF!,Tabla11[[#This Row],[Cuenta]],1))</f>
        <v>0</v>
      </c>
      <c r="X1148" t="b">
        <f>+ISNUMBER(SEARCH('F-COMPRA'!#REF!,Tabla11[[#This Row],[Cuenta]],1))</f>
        <v>0</v>
      </c>
      <c r="Y1148" t="b">
        <f>+ISNUMBER(SEARCH('F-COMPRA'!#REF!,Tabla11[[#This Row],[Cuenta]],1))</f>
        <v>0</v>
      </c>
      <c r="Z1148" t="b">
        <f>+ISNUMBER(SEARCH('F-COMPRA'!#REF!,Tabla11[[#This Row],[Cuenta]],1))</f>
        <v>0</v>
      </c>
      <c r="AA1148" t="b">
        <f>+ISNUMBER(SEARCH('F-COMPRA'!#REF!,Tabla11[[#This Row],[Cuenta]],1))</f>
        <v>0</v>
      </c>
      <c r="AB1148" t="b">
        <f>+ISNUMBER(SEARCH('F-COMPRA'!#REF!,Tabla11[[#This Row],[Cuenta]],1))</f>
        <v>0</v>
      </c>
      <c r="AC1148" t="b">
        <f>+ISNUMBER(SEARCH('F-COMPRA'!#REF!,Tabla11[[#This Row],[Cuenta]],1))</f>
        <v>0</v>
      </c>
      <c r="AD1148" t="b">
        <f>+ISNUMBER(SEARCH('F-COMPRA'!#REF!,Tabla11[[#This Row],[Cuenta]],1))</f>
        <v>0</v>
      </c>
      <c r="AE1148" t="b">
        <f>+ISNUMBER(SEARCH('F-COMPRA'!#REF!,Tabla11[[#This Row],[Cuenta]],1))</f>
        <v>0</v>
      </c>
      <c r="AF1148" t="b">
        <f>+ISNUMBER(SEARCH('F-VTA'!$G$23,Tabla11[[#This Row],[Cuenta]],1))</f>
        <v>0</v>
      </c>
      <c r="AG1148" t="b">
        <f>+ISNUMBER(SEARCH('F-VTA'!$G$24,Tabla11[[#This Row],[Cuenta]],1))</f>
        <v>0</v>
      </c>
      <c r="AH1148" t="b">
        <f>+ISNUMBER(SEARCH('F-VTA'!$G$25,Tabla11[[#This Row],[Cuenta]],1))</f>
        <v>0</v>
      </c>
      <c r="AI1148" t="b">
        <f>+ISNUMBER(SEARCH('F-VTA'!$F$28,Tabla11[[#This Row],[Cuenta]],1))</f>
        <v>1</v>
      </c>
      <c r="AJ1148" t="b">
        <f>+ISNUMBER(SEARCH('F-VTA'!$F$29,Tabla11[[#This Row],[Cuenta]],1))</f>
        <v>1</v>
      </c>
      <c r="AK1148" t="b">
        <f>+ISNUMBER(SEARCH('F-VTA'!$F$30,Tabla11[[#This Row],[Cuenta]],1))</f>
        <v>1</v>
      </c>
      <c r="AL1148" t="b">
        <f>+ISNUMBER(SEARCH('F-VTA'!$F$31,Tabla11[[#This Row],[Cuenta]],1))</f>
        <v>1</v>
      </c>
      <c r="AM1148" t="b">
        <f>+ISNUMBER(SEARCH('F-VTA'!$F$32,Tabla11[[#This Row],[Cuenta]],1))</f>
        <v>1</v>
      </c>
      <c r="AN1148" t="b">
        <f>+ISNUMBER(SEARCH('F-VTA'!$F$33,Tabla11[[#This Row],[Cuenta]],1))</f>
        <v>1</v>
      </c>
      <c r="AO1148" t="b">
        <f>+ISNUMBER(SEARCH('F-VTA'!$F$34,Tabla11[[#This Row],[Cuenta]],1))</f>
        <v>1</v>
      </c>
      <c r="AP1148" t="b">
        <f>+ISNUMBER(SEARCH('F-VTA'!$F$35,Tabla11[[#This Row],[Cuenta]],1))</f>
        <v>1</v>
      </c>
      <c r="AQ1148" t="b">
        <f>+ISNUMBER(SEARCH('F-VTA'!$F$36,Tabla11[[#This Row],[Cuenta]],1))</f>
        <v>1</v>
      </c>
      <c r="AR1148" t="b">
        <f>+ISNUMBER(SEARCH(#REF!,Tabla11[[#This Row],[Cuenta]],1))</f>
        <v>0</v>
      </c>
      <c r="AS1148" t="b">
        <f>+ISNUMBER(SEARCH(#REF!,Tabla11[[#This Row],[Cuenta]],1))</f>
        <v>0</v>
      </c>
      <c r="AT1148" t="b">
        <f>+ISNUMBER(SEARCH(#REF!,Tabla11[[#This Row],[Cuenta]],1))</f>
        <v>0</v>
      </c>
      <c r="AU1148" t="b">
        <f>+ISNUMBER(SEARCH('Conc. Ban.1'!$I$9,Tabla11[[#This Row],[Cuenta]],1))</f>
        <v>0</v>
      </c>
      <c r="AV1148" t="b">
        <f>+ISNUMBER(SEARCH(CompConta!$F$21,Tabla11[[#This Row],[Cuenta]],1))</f>
        <v>1</v>
      </c>
      <c r="AW1148" t="b">
        <f>+ISNUMBER(SEARCH(CompConta!$F$22,Tabla11[[#This Row],[Cuenta]],1))</f>
        <v>1</v>
      </c>
      <c r="AX1148" t="b">
        <f>+ISNUMBER(SEARCH(CompConta!$F$23,Tabla11[[#This Row],[Cuenta]],1))</f>
        <v>1</v>
      </c>
      <c r="AY1148" t="b">
        <f>+ISNUMBER(SEARCH(CompConta!$F$24,Tabla11[[#This Row],[Cuenta]],1))</f>
        <v>1</v>
      </c>
      <c r="AZ1148" t="b">
        <f>+ISNUMBER(SEARCH(CompConta!$F$25,Tabla11[[#This Row],[Cuenta]],1))</f>
        <v>1</v>
      </c>
      <c r="BA1148" t="b">
        <f>+ISNUMBER(SEARCH(CompConta!$F$26,Tabla11[[#This Row],[Cuenta]],1))</f>
        <v>1</v>
      </c>
      <c r="BB1148" t="b">
        <f>+ISNUMBER(SEARCH(CompConta!$F$27,Tabla11[[#This Row],[Cuenta]],1))</f>
        <v>1</v>
      </c>
      <c r="BC1148" t="b">
        <f>+ISNUMBER(SEARCH(CompConta!$F$28,Tabla11[[#This Row],[Cuenta]],1))</f>
        <v>1</v>
      </c>
      <c r="BD1148" t="b">
        <f>+ISNUMBER(SEARCH(CompConta!$F$29,Tabla11[[#This Row],[Cuenta]],1))</f>
        <v>1</v>
      </c>
      <c r="BE1148" t="b">
        <f>+ISNUMBER(SEARCH(CompConta!$F$30,Tabla11[[#This Row],[Cuenta]],1))</f>
        <v>1</v>
      </c>
      <c r="BF1148" t="b">
        <f>+ISNUMBER(SEARCH('PAGO Compras'!$E$11,Tabla11[[#This Row],[Cuenta]],1))</f>
        <v>1</v>
      </c>
      <c r="BG1148" t="b">
        <f>+ISNUMBER(SEARCH(#REF!,Tabla11[[#This Row],[Cuenta]],1))</f>
        <v>0</v>
      </c>
      <c r="BH1148" t="b">
        <f>+ISNUMBER(SEARCH(#REF!,Tabla11[[#This Row],[Cuenta]],1))</f>
        <v>0</v>
      </c>
      <c r="BI1148" t="b">
        <f>+ISNUMBER(SEARCH(#REF!,Tabla11[[#This Row],[Cuenta]],1))</f>
        <v>0</v>
      </c>
      <c r="BJ1148" t="b">
        <f>+ISNUMBER(SEARCH(#REF!,Tabla11[[#This Row],[Cuenta]],1))</f>
        <v>0</v>
      </c>
      <c r="BS1148" t="str">
        <v>622099 *Ajustes por inflación</v>
      </c>
      <c r="BT1148" t="str">
        <v>622099 *Ajustes por inflación</v>
      </c>
      <c r="BU1148" t="str">
        <v>622099 *Ajustes por inflación</v>
      </c>
      <c r="BV1148" t="str">
        <v>622099 *Ajustes por inflación</v>
      </c>
      <c r="BZ1148" t="str">
        <v>622099 *Ajustes por inflación</v>
      </c>
      <c r="CA1148" t="str">
        <v>622099 *Ajustes por inflación</v>
      </c>
      <c r="CB1148" t="str">
        <v>622099 *Ajustes por inflación</v>
      </c>
      <c r="CC1148" t="str">
        <v>622099 *Ajustes por inflación</v>
      </c>
      <c r="CD1148" t="str">
        <v>622099 *Ajustes por inflación</v>
      </c>
      <c r="CE1148" t="str">
        <v>622099 *Ajustes por inflación</v>
      </c>
      <c r="CS1148" s="141" t="str">
        <v>622099 *Ajustes por inflación</v>
      </c>
      <c r="CT1148" s="141" t="str">
        <v>622099 *Ajustes por inflación</v>
      </c>
      <c r="CU1148" s="141" t="str">
        <v>622099 *Ajustes por inflación</v>
      </c>
      <c r="CV1148" s="141" t="str">
        <v>622099 *Ajustes por inflación</v>
      </c>
      <c r="CW1148" s="141" t="str">
        <v>622099 *Ajustes por inflación</v>
      </c>
      <c r="CX1148" s="141" t="str">
        <v>622099 *Ajustes por inflación</v>
      </c>
      <c r="CY1148" s="141" t="str">
        <v>622099 *Ajustes por inflación</v>
      </c>
      <c r="CZ1148" s="141" t="str">
        <v>622099 *Ajustes por inflación</v>
      </c>
      <c r="DA1148" s="141" t="str">
        <v>622099 *Ajustes por inflación</v>
      </c>
      <c r="DF1148" t="str">
        <v>622099 *Ajustes por inflación</v>
      </c>
      <c r="DG1148" t="str">
        <v>622099 *Ajustes por inflación</v>
      </c>
      <c r="DH1148" t="str">
        <v>622099 *Ajustes por inflación</v>
      </c>
      <c r="DI1148" t="str">
        <v>622099 *Ajustes por inflación</v>
      </c>
      <c r="DJ1148" t="str">
        <v>622099 *Ajustes por inflación</v>
      </c>
      <c r="DK1148" t="str">
        <v>622099 *Ajustes por inflación</v>
      </c>
      <c r="DL1148" t="str">
        <v>622099 *Ajustes por inflación</v>
      </c>
      <c r="DM1148" t="str">
        <v>622099 *Ajustes por inflación</v>
      </c>
      <c r="DN1148" t="str">
        <v>622099 *Ajustes por inflación</v>
      </c>
      <c r="DO1148" t="str">
        <v>622099 *Ajustes por inflación</v>
      </c>
      <c r="DP1148" t="str">
        <v>622099 *Ajustes por inflación</v>
      </c>
    </row>
    <row r="1149" spans="4:120" ht="12.75">
      <c r="D1149" s="7">
        <v>6225</v>
      </c>
      <c r="E1149" s="6" t="s">
        <v>666</v>
      </c>
      <c r="F1149" s="5">
        <v>3</v>
      </c>
      <c r="G1149" s="34" t="s">
        <v>831</v>
      </c>
      <c r="H1149" s="8" t="s">
        <v>56</v>
      </c>
      <c r="I1149" t="b">
        <f>+ISNUMBER(SEARCH('F-COMPRA'!$F$28,Tabla11[[#This Row],[Cuenta]],1))</f>
        <v>1</v>
      </c>
      <c r="J1149" t="b">
        <f>+ISNUMBER(SEARCH('F-COMPRA'!$F$29,Tabla11[[#This Row],[Cuenta]],1))</f>
        <v>1</v>
      </c>
      <c r="K1149" t="b">
        <f>+ISNUMBER(SEARCH('F-COMPRA'!$F$30,Tabla11[[#This Row],[Cuenta]],1))</f>
        <v>1</v>
      </c>
      <c r="L1149" t="b">
        <f>+ISNUMBER(SEARCH('F-COMPRA'!$F$31,Tabla11[[#This Row],[Cuenta]],1))</f>
        <v>1</v>
      </c>
      <c r="M1149" t="b">
        <f>+ISNUMBER(SEARCH('F-COMPRA'!$G$25,Tabla11[[#This Row],[Cuenta]],1))</f>
        <v>0</v>
      </c>
      <c r="N1149" t="b">
        <f>+ISNUMBER(SEARCH(#REF!,Tabla11[[#This Row],[Cuenta]],1))</f>
        <v>0</v>
      </c>
      <c r="O1149" t="b">
        <f>+ISNUMBER(SEARCH(#REF!,Tabla11[[#This Row],[Cuenta]],1))</f>
        <v>0</v>
      </c>
      <c r="P1149" t="b">
        <f>+ISNUMBER(SEARCH('F-COMPRA'!$F$32,Tabla11[[#This Row],[Cuenta]],1))</f>
        <v>1</v>
      </c>
      <c r="Q1149" t="b">
        <f>+ISNUMBER(SEARCH('F-COMPRA'!$F$33,Tabla11[[#This Row],[Cuenta]],1))</f>
        <v>1</v>
      </c>
      <c r="R1149" t="b">
        <f>+ISNUMBER(SEARCH('F-COMPRA'!$F$34,Tabla11[[#This Row],[Cuenta]],1))</f>
        <v>1</v>
      </c>
      <c r="S1149" t="b">
        <f>+ISNUMBER(SEARCH('F-COMPRA'!$F$35,Tabla11[[#This Row],[Cuenta]],1))</f>
        <v>1</v>
      </c>
      <c r="T1149" t="b">
        <f>+ISNUMBER(SEARCH('F-COMPRA'!$F$36,Tabla11[[#This Row],[Cuenta]],1))</f>
        <v>1</v>
      </c>
      <c r="U1149" t="b">
        <f>+ISNUMBER(SEARCH('F-COMPRA'!$F$37,Tabla11[[#This Row],[Cuenta]],1))</f>
        <v>1</v>
      </c>
      <c r="V1149" t="b">
        <f>+ISNUMBER(SEARCH(#REF!,Tabla11[[#This Row],[Cuenta]],1))</f>
        <v>0</v>
      </c>
      <c r="W1149" t="b">
        <f>+ISNUMBER(SEARCH('F-COMPRA'!#REF!,Tabla11[[#This Row],[Cuenta]],1))</f>
        <v>0</v>
      </c>
      <c r="X1149" t="b">
        <f>+ISNUMBER(SEARCH('F-COMPRA'!#REF!,Tabla11[[#This Row],[Cuenta]],1))</f>
        <v>0</v>
      </c>
      <c r="Y1149" t="b">
        <f>+ISNUMBER(SEARCH('F-COMPRA'!#REF!,Tabla11[[#This Row],[Cuenta]],1))</f>
        <v>0</v>
      </c>
      <c r="Z1149" t="b">
        <f>+ISNUMBER(SEARCH('F-COMPRA'!#REF!,Tabla11[[#This Row],[Cuenta]],1))</f>
        <v>0</v>
      </c>
      <c r="AA1149" t="b">
        <f>+ISNUMBER(SEARCH('F-COMPRA'!#REF!,Tabla11[[#This Row],[Cuenta]],1))</f>
        <v>0</v>
      </c>
      <c r="AB1149" t="b">
        <f>+ISNUMBER(SEARCH('F-COMPRA'!#REF!,Tabla11[[#This Row],[Cuenta]],1))</f>
        <v>0</v>
      </c>
      <c r="AC1149" t="b">
        <f>+ISNUMBER(SEARCH('F-COMPRA'!#REF!,Tabla11[[#This Row],[Cuenta]],1))</f>
        <v>0</v>
      </c>
      <c r="AD1149" t="b">
        <f>+ISNUMBER(SEARCH('F-COMPRA'!#REF!,Tabla11[[#This Row],[Cuenta]],1))</f>
        <v>0</v>
      </c>
      <c r="AE1149" t="b">
        <f>+ISNUMBER(SEARCH('F-COMPRA'!#REF!,Tabla11[[#This Row],[Cuenta]],1))</f>
        <v>0</v>
      </c>
      <c r="AF1149" t="b">
        <f>+ISNUMBER(SEARCH('F-VTA'!$G$23,Tabla11[[#This Row],[Cuenta]],1))</f>
        <v>0</v>
      </c>
      <c r="AG1149" t="b">
        <f>+ISNUMBER(SEARCH('F-VTA'!$G$24,Tabla11[[#This Row],[Cuenta]],1))</f>
        <v>0</v>
      </c>
      <c r="AH1149" t="b">
        <f>+ISNUMBER(SEARCH('F-VTA'!$G$25,Tabla11[[#This Row],[Cuenta]],1))</f>
        <v>0</v>
      </c>
      <c r="AI1149" t="b">
        <f>+ISNUMBER(SEARCH('F-VTA'!$F$28,Tabla11[[#This Row],[Cuenta]],1))</f>
        <v>1</v>
      </c>
      <c r="AJ1149" t="b">
        <f>+ISNUMBER(SEARCH('F-VTA'!$F$29,Tabla11[[#This Row],[Cuenta]],1))</f>
        <v>1</v>
      </c>
      <c r="AK1149" t="b">
        <f>+ISNUMBER(SEARCH('F-VTA'!$F$30,Tabla11[[#This Row],[Cuenta]],1))</f>
        <v>1</v>
      </c>
      <c r="AL1149" t="b">
        <f>+ISNUMBER(SEARCH('F-VTA'!$F$31,Tabla11[[#This Row],[Cuenta]],1))</f>
        <v>1</v>
      </c>
      <c r="AM1149" t="b">
        <f>+ISNUMBER(SEARCH('F-VTA'!$F$32,Tabla11[[#This Row],[Cuenta]],1))</f>
        <v>1</v>
      </c>
      <c r="AN1149" t="b">
        <f>+ISNUMBER(SEARCH('F-VTA'!$F$33,Tabla11[[#This Row],[Cuenta]],1))</f>
        <v>1</v>
      </c>
      <c r="AO1149" t="b">
        <f>+ISNUMBER(SEARCH('F-VTA'!$F$34,Tabla11[[#This Row],[Cuenta]],1))</f>
        <v>1</v>
      </c>
      <c r="AP1149" t="b">
        <f>+ISNUMBER(SEARCH('F-VTA'!$F$35,Tabla11[[#This Row],[Cuenta]],1))</f>
        <v>1</v>
      </c>
      <c r="AQ1149" t="b">
        <f>+ISNUMBER(SEARCH('F-VTA'!$F$36,Tabla11[[#This Row],[Cuenta]],1))</f>
        <v>1</v>
      </c>
      <c r="AR1149" t="b">
        <f>+ISNUMBER(SEARCH(#REF!,Tabla11[[#This Row],[Cuenta]],1))</f>
        <v>0</v>
      </c>
      <c r="AS1149" t="b">
        <f>+ISNUMBER(SEARCH(#REF!,Tabla11[[#This Row],[Cuenta]],1))</f>
        <v>0</v>
      </c>
      <c r="AT1149" t="b">
        <f>+ISNUMBER(SEARCH(#REF!,Tabla11[[#This Row],[Cuenta]],1))</f>
        <v>0</v>
      </c>
      <c r="AU1149" t="b">
        <f>+ISNUMBER(SEARCH('Conc. Ban.1'!$I$9,Tabla11[[#This Row],[Cuenta]],1))</f>
        <v>0</v>
      </c>
      <c r="AV1149" t="b">
        <f>+ISNUMBER(SEARCH(CompConta!$F$21,Tabla11[[#This Row],[Cuenta]],1))</f>
        <v>1</v>
      </c>
      <c r="AW1149" t="b">
        <f>+ISNUMBER(SEARCH(CompConta!$F$22,Tabla11[[#This Row],[Cuenta]],1))</f>
        <v>1</v>
      </c>
      <c r="AX1149" t="b">
        <f>+ISNUMBER(SEARCH(CompConta!$F$23,Tabla11[[#This Row],[Cuenta]],1))</f>
        <v>1</v>
      </c>
      <c r="AY1149" t="b">
        <f>+ISNUMBER(SEARCH(CompConta!$F$24,Tabla11[[#This Row],[Cuenta]],1))</f>
        <v>1</v>
      </c>
      <c r="AZ1149" t="b">
        <f>+ISNUMBER(SEARCH(CompConta!$F$25,Tabla11[[#This Row],[Cuenta]],1))</f>
        <v>1</v>
      </c>
      <c r="BA1149" t="b">
        <f>+ISNUMBER(SEARCH(CompConta!$F$26,Tabla11[[#This Row],[Cuenta]],1))</f>
        <v>1</v>
      </c>
      <c r="BB1149" t="b">
        <f>+ISNUMBER(SEARCH(CompConta!$F$27,Tabla11[[#This Row],[Cuenta]],1))</f>
        <v>1</v>
      </c>
      <c r="BC1149" t="b">
        <f>+ISNUMBER(SEARCH(CompConta!$F$28,Tabla11[[#This Row],[Cuenta]],1))</f>
        <v>1</v>
      </c>
      <c r="BD1149" t="b">
        <f>+ISNUMBER(SEARCH(CompConta!$F$29,Tabla11[[#This Row],[Cuenta]],1))</f>
        <v>1</v>
      </c>
      <c r="BE1149" t="b">
        <f>+ISNUMBER(SEARCH(CompConta!$F$30,Tabla11[[#This Row],[Cuenta]],1))</f>
        <v>1</v>
      </c>
      <c r="BF1149" t="b">
        <f>+ISNUMBER(SEARCH('PAGO Compras'!$E$11,Tabla11[[#This Row],[Cuenta]],1))</f>
        <v>1</v>
      </c>
      <c r="BG1149" t="b">
        <f>+ISNUMBER(SEARCH(#REF!,Tabla11[[#This Row],[Cuenta]],1))</f>
        <v>0</v>
      </c>
      <c r="BH1149" t="b">
        <f>+ISNUMBER(SEARCH(#REF!,Tabla11[[#This Row],[Cuenta]],1))</f>
        <v>0</v>
      </c>
      <c r="BI1149" t="b">
        <f>+ISNUMBER(SEARCH(#REF!,Tabla11[[#This Row],[Cuenta]],1))</f>
        <v>0</v>
      </c>
      <c r="BJ1149" t="b">
        <f>+ISNUMBER(SEARCH(#REF!,Tabla11[[#This Row],[Cuenta]],1))</f>
        <v>0</v>
      </c>
      <c r="BS1149" t="str">
        <v>6225 DEVOLUCIONES EN COMPRAS (CR)</v>
      </c>
      <c r="BT1149" t="str">
        <v>6225 DEVOLUCIONES EN COMPRAS (CR)</v>
      </c>
      <c r="BU1149" t="str">
        <v>6225 DEVOLUCIONES EN COMPRAS (CR)</v>
      </c>
      <c r="BV1149" t="str">
        <v>6225 DEVOLUCIONES EN COMPRAS (CR)</v>
      </c>
      <c r="BZ1149" t="str">
        <v>6225 DEVOLUCIONES EN COMPRAS (CR)</v>
      </c>
      <c r="CA1149" t="str">
        <v>6225 DEVOLUCIONES EN COMPRAS (CR)</v>
      </c>
      <c r="CB1149" t="str">
        <v>6225 DEVOLUCIONES EN COMPRAS (CR)</v>
      </c>
      <c r="CC1149" t="str">
        <v>6225 DEVOLUCIONES EN COMPRAS (CR)</v>
      </c>
      <c r="CD1149" t="str">
        <v>6225 DEVOLUCIONES EN COMPRAS (CR)</v>
      </c>
      <c r="CE1149" t="str">
        <v>6225 DEVOLUCIONES EN COMPRAS (CR)</v>
      </c>
      <c r="CS1149" s="141" t="str">
        <v>6225 DEVOLUCIONES EN COMPRAS (CR)</v>
      </c>
      <c r="CT1149" s="141" t="str">
        <v>6225 DEVOLUCIONES EN COMPRAS (CR)</v>
      </c>
      <c r="CU1149" s="141" t="str">
        <v>6225 DEVOLUCIONES EN COMPRAS (CR)</v>
      </c>
      <c r="CV1149" s="141" t="str">
        <v>6225 DEVOLUCIONES EN COMPRAS (CR)</v>
      </c>
      <c r="CW1149" s="141" t="str">
        <v>6225 DEVOLUCIONES EN COMPRAS (CR)</v>
      </c>
      <c r="CX1149" s="141" t="str">
        <v>6225 DEVOLUCIONES EN COMPRAS (CR)</v>
      </c>
      <c r="CY1149" s="141" t="str">
        <v>6225 DEVOLUCIONES EN COMPRAS (CR)</v>
      </c>
      <c r="CZ1149" s="141" t="str">
        <v>6225 DEVOLUCIONES EN COMPRAS (CR)</v>
      </c>
      <c r="DA1149" s="141" t="str">
        <v>6225 DEVOLUCIONES EN COMPRAS (CR)</v>
      </c>
      <c r="DF1149" t="str">
        <v>6225 DEVOLUCIONES EN COMPRAS (CR)</v>
      </c>
      <c r="DG1149" t="str">
        <v>6225 DEVOLUCIONES EN COMPRAS (CR)</v>
      </c>
      <c r="DH1149" t="str">
        <v>6225 DEVOLUCIONES EN COMPRAS (CR)</v>
      </c>
      <c r="DI1149" t="str">
        <v>6225 DEVOLUCIONES EN COMPRAS (CR)</v>
      </c>
      <c r="DJ1149" t="str">
        <v>6225 DEVOLUCIONES EN COMPRAS (CR)</v>
      </c>
      <c r="DK1149" t="str">
        <v>6225 DEVOLUCIONES EN COMPRAS (CR)</v>
      </c>
      <c r="DL1149" t="str">
        <v>6225 DEVOLUCIONES EN COMPRAS (CR)</v>
      </c>
      <c r="DM1149" t="str">
        <v>6225 DEVOLUCIONES EN COMPRAS (CR)</v>
      </c>
      <c r="DN1149" t="str">
        <v>6225 DEVOLUCIONES EN COMPRAS (CR)</v>
      </c>
      <c r="DO1149" t="str">
        <v>6225 DEVOLUCIONES EN COMPRAS (CR)</v>
      </c>
      <c r="DP1149" t="str">
        <v>6225 DEVOLUCIONES EN COMPRAS (CR)</v>
      </c>
    </row>
    <row r="1150" spans="4:120" ht="12.75">
      <c r="D1150" s="7">
        <v>622599</v>
      </c>
      <c r="E1150" s="6" t="s">
        <v>93</v>
      </c>
      <c r="F1150" s="5">
        <v>4</v>
      </c>
      <c r="G1150" s="34" t="s">
        <v>831</v>
      </c>
      <c r="H1150" s="8" t="s">
        <v>56</v>
      </c>
      <c r="I1150" t="b">
        <f>+ISNUMBER(SEARCH('F-COMPRA'!$F$28,Tabla11[[#This Row],[Cuenta]],1))</f>
        <v>1</v>
      </c>
      <c r="J1150" t="b">
        <f>+ISNUMBER(SEARCH('F-COMPRA'!$F$29,Tabla11[[#This Row],[Cuenta]],1))</f>
        <v>1</v>
      </c>
      <c r="K1150" t="b">
        <f>+ISNUMBER(SEARCH('F-COMPRA'!$F$30,Tabla11[[#This Row],[Cuenta]],1))</f>
        <v>1</v>
      </c>
      <c r="L1150" t="b">
        <f>+ISNUMBER(SEARCH('F-COMPRA'!$F$31,Tabla11[[#This Row],[Cuenta]],1))</f>
        <v>1</v>
      </c>
      <c r="M1150" t="b">
        <f>+ISNUMBER(SEARCH('F-COMPRA'!$G$25,Tabla11[[#This Row],[Cuenta]],1))</f>
        <v>0</v>
      </c>
      <c r="N1150" t="b">
        <f>+ISNUMBER(SEARCH(#REF!,Tabla11[[#This Row],[Cuenta]],1))</f>
        <v>0</v>
      </c>
      <c r="O1150" t="b">
        <f>+ISNUMBER(SEARCH(#REF!,Tabla11[[#This Row],[Cuenta]],1))</f>
        <v>0</v>
      </c>
      <c r="P1150" t="b">
        <f>+ISNUMBER(SEARCH('F-COMPRA'!$F$32,Tabla11[[#This Row],[Cuenta]],1))</f>
        <v>1</v>
      </c>
      <c r="Q1150" t="b">
        <f>+ISNUMBER(SEARCH('F-COMPRA'!$F$33,Tabla11[[#This Row],[Cuenta]],1))</f>
        <v>1</v>
      </c>
      <c r="R1150" t="b">
        <f>+ISNUMBER(SEARCH('F-COMPRA'!$F$34,Tabla11[[#This Row],[Cuenta]],1))</f>
        <v>1</v>
      </c>
      <c r="S1150" t="b">
        <f>+ISNUMBER(SEARCH('F-COMPRA'!$F$35,Tabla11[[#This Row],[Cuenta]],1))</f>
        <v>1</v>
      </c>
      <c r="T1150" t="b">
        <f>+ISNUMBER(SEARCH('F-COMPRA'!$F$36,Tabla11[[#This Row],[Cuenta]],1))</f>
        <v>1</v>
      </c>
      <c r="U1150" t="b">
        <f>+ISNUMBER(SEARCH('F-COMPRA'!$F$37,Tabla11[[#This Row],[Cuenta]],1))</f>
        <v>1</v>
      </c>
      <c r="V1150" t="b">
        <f>+ISNUMBER(SEARCH(#REF!,Tabla11[[#This Row],[Cuenta]],1))</f>
        <v>0</v>
      </c>
      <c r="W1150" t="b">
        <f>+ISNUMBER(SEARCH('F-COMPRA'!#REF!,Tabla11[[#This Row],[Cuenta]],1))</f>
        <v>0</v>
      </c>
      <c r="X1150" t="b">
        <f>+ISNUMBER(SEARCH('F-COMPRA'!#REF!,Tabla11[[#This Row],[Cuenta]],1))</f>
        <v>0</v>
      </c>
      <c r="Y1150" t="b">
        <f>+ISNUMBER(SEARCH('F-COMPRA'!#REF!,Tabla11[[#This Row],[Cuenta]],1))</f>
        <v>0</v>
      </c>
      <c r="Z1150" t="b">
        <f>+ISNUMBER(SEARCH('F-COMPRA'!#REF!,Tabla11[[#This Row],[Cuenta]],1))</f>
        <v>0</v>
      </c>
      <c r="AA1150" t="b">
        <f>+ISNUMBER(SEARCH('F-COMPRA'!#REF!,Tabla11[[#This Row],[Cuenta]],1))</f>
        <v>0</v>
      </c>
      <c r="AB1150" t="b">
        <f>+ISNUMBER(SEARCH('F-COMPRA'!#REF!,Tabla11[[#This Row],[Cuenta]],1))</f>
        <v>0</v>
      </c>
      <c r="AC1150" t="b">
        <f>+ISNUMBER(SEARCH('F-COMPRA'!#REF!,Tabla11[[#This Row],[Cuenta]],1))</f>
        <v>0</v>
      </c>
      <c r="AD1150" t="b">
        <f>+ISNUMBER(SEARCH('F-COMPRA'!#REF!,Tabla11[[#This Row],[Cuenta]],1))</f>
        <v>0</v>
      </c>
      <c r="AE1150" t="b">
        <f>+ISNUMBER(SEARCH('F-COMPRA'!#REF!,Tabla11[[#This Row],[Cuenta]],1))</f>
        <v>0</v>
      </c>
      <c r="AF1150" t="b">
        <f>+ISNUMBER(SEARCH('F-VTA'!$G$23,Tabla11[[#This Row],[Cuenta]],1))</f>
        <v>0</v>
      </c>
      <c r="AG1150" t="b">
        <f>+ISNUMBER(SEARCH('F-VTA'!$G$24,Tabla11[[#This Row],[Cuenta]],1))</f>
        <v>0</v>
      </c>
      <c r="AH1150" t="b">
        <f>+ISNUMBER(SEARCH('F-VTA'!$G$25,Tabla11[[#This Row],[Cuenta]],1))</f>
        <v>0</v>
      </c>
      <c r="AI1150" t="b">
        <f>+ISNUMBER(SEARCH('F-VTA'!$F$28,Tabla11[[#This Row],[Cuenta]],1))</f>
        <v>1</v>
      </c>
      <c r="AJ1150" t="b">
        <f>+ISNUMBER(SEARCH('F-VTA'!$F$29,Tabla11[[#This Row],[Cuenta]],1))</f>
        <v>1</v>
      </c>
      <c r="AK1150" t="b">
        <f>+ISNUMBER(SEARCH('F-VTA'!$F$30,Tabla11[[#This Row],[Cuenta]],1))</f>
        <v>1</v>
      </c>
      <c r="AL1150" t="b">
        <f>+ISNUMBER(SEARCH('F-VTA'!$F$31,Tabla11[[#This Row],[Cuenta]],1))</f>
        <v>1</v>
      </c>
      <c r="AM1150" t="b">
        <f>+ISNUMBER(SEARCH('F-VTA'!$F$32,Tabla11[[#This Row],[Cuenta]],1))</f>
        <v>1</v>
      </c>
      <c r="AN1150" t="b">
        <f>+ISNUMBER(SEARCH('F-VTA'!$F$33,Tabla11[[#This Row],[Cuenta]],1))</f>
        <v>1</v>
      </c>
      <c r="AO1150" t="b">
        <f>+ISNUMBER(SEARCH('F-VTA'!$F$34,Tabla11[[#This Row],[Cuenta]],1))</f>
        <v>1</v>
      </c>
      <c r="AP1150" t="b">
        <f>+ISNUMBER(SEARCH('F-VTA'!$F$35,Tabla11[[#This Row],[Cuenta]],1))</f>
        <v>1</v>
      </c>
      <c r="AQ1150" t="b">
        <f>+ISNUMBER(SEARCH('F-VTA'!$F$36,Tabla11[[#This Row],[Cuenta]],1))</f>
        <v>1</v>
      </c>
      <c r="AR1150" t="b">
        <f>+ISNUMBER(SEARCH(#REF!,Tabla11[[#This Row],[Cuenta]],1))</f>
        <v>0</v>
      </c>
      <c r="AS1150" t="b">
        <f>+ISNUMBER(SEARCH(#REF!,Tabla11[[#This Row],[Cuenta]],1))</f>
        <v>0</v>
      </c>
      <c r="AT1150" t="b">
        <f>+ISNUMBER(SEARCH(#REF!,Tabla11[[#This Row],[Cuenta]],1))</f>
        <v>0</v>
      </c>
      <c r="AU1150" t="b">
        <f>+ISNUMBER(SEARCH('Conc. Ban.1'!$I$9,Tabla11[[#This Row],[Cuenta]],1))</f>
        <v>0</v>
      </c>
      <c r="AV1150" t="b">
        <f>+ISNUMBER(SEARCH(CompConta!$F$21,Tabla11[[#This Row],[Cuenta]],1))</f>
        <v>1</v>
      </c>
      <c r="AW1150" t="b">
        <f>+ISNUMBER(SEARCH(CompConta!$F$22,Tabla11[[#This Row],[Cuenta]],1))</f>
        <v>1</v>
      </c>
      <c r="AX1150" t="b">
        <f>+ISNUMBER(SEARCH(CompConta!$F$23,Tabla11[[#This Row],[Cuenta]],1))</f>
        <v>1</v>
      </c>
      <c r="AY1150" t="b">
        <f>+ISNUMBER(SEARCH(CompConta!$F$24,Tabla11[[#This Row],[Cuenta]],1))</f>
        <v>1</v>
      </c>
      <c r="AZ1150" t="b">
        <f>+ISNUMBER(SEARCH(CompConta!$F$25,Tabla11[[#This Row],[Cuenta]],1))</f>
        <v>1</v>
      </c>
      <c r="BA1150" t="b">
        <f>+ISNUMBER(SEARCH(CompConta!$F$26,Tabla11[[#This Row],[Cuenta]],1))</f>
        <v>1</v>
      </c>
      <c r="BB1150" t="b">
        <f>+ISNUMBER(SEARCH(CompConta!$F$27,Tabla11[[#This Row],[Cuenta]],1))</f>
        <v>1</v>
      </c>
      <c r="BC1150" t="b">
        <f>+ISNUMBER(SEARCH(CompConta!$F$28,Tabla11[[#This Row],[Cuenta]],1))</f>
        <v>1</v>
      </c>
      <c r="BD1150" t="b">
        <f>+ISNUMBER(SEARCH(CompConta!$F$29,Tabla11[[#This Row],[Cuenta]],1))</f>
        <v>1</v>
      </c>
      <c r="BE1150" t="b">
        <f>+ISNUMBER(SEARCH(CompConta!$F$30,Tabla11[[#This Row],[Cuenta]],1))</f>
        <v>1</v>
      </c>
      <c r="BF1150" t="b">
        <f>+ISNUMBER(SEARCH('PAGO Compras'!$E$11,Tabla11[[#This Row],[Cuenta]],1))</f>
        <v>1</v>
      </c>
      <c r="BG1150" t="b">
        <f>+ISNUMBER(SEARCH(#REF!,Tabla11[[#This Row],[Cuenta]],1))</f>
        <v>0</v>
      </c>
      <c r="BH1150" t="b">
        <f>+ISNUMBER(SEARCH(#REF!,Tabla11[[#This Row],[Cuenta]],1))</f>
        <v>0</v>
      </c>
      <c r="BI1150" t="b">
        <f>+ISNUMBER(SEARCH(#REF!,Tabla11[[#This Row],[Cuenta]],1))</f>
        <v>0</v>
      </c>
      <c r="BJ1150" t="b">
        <f>+ISNUMBER(SEARCH(#REF!,Tabla11[[#This Row],[Cuenta]],1))</f>
        <v>0</v>
      </c>
      <c r="BS1150" t="str">
        <v>622599 *Ajustes por inflación</v>
      </c>
      <c r="BT1150" t="str">
        <v>622599 *Ajustes por inflación</v>
      </c>
      <c r="BU1150" t="str">
        <v>622599 *Ajustes por inflación</v>
      </c>
      <c r="BV1150" t="str">
        <v>622599 *Ajustes por inflación</v>
      </c>
      <c r="BZ1150" t="str">
        <v>622599 *Ajustes por inflación</v>
      </c>
      <c r="CA1150" t="str">
        <v>622599 *Ajustes por inflación</v>
      </c>
      <c r="CB1150" t="str">
        <v>622599 *Ajustes por inflación</v>
      </c>
      <c r="CC1150" t="str">
        <v>622599 *Ajustes por inflación</v>
      </c>
      <c r="CD1150" t="str">
        <v>622599 *Ajustes por inflación</v>
      </c>
      <c r="CE1150" t="str">
        <v>622599 *Ajustes por inflación</v>
      </c>
      <c r="CS1150" s="141" t="str">
        <v>622599 *Ajustes por inflación</v>
      </c>
      <c r="CT1150" s="141" t="str">
        <v>622599 *Ajustes por inflación</v>
      </c>
      <c r="CU1150" s="141" t="str">
        <v>622599 *Ajustes por inflación</v>
      </c>
      <c r="CV1150" s="141" t="str">
        <v>622599 *Ajustes por inflación</v>
      </c>
      <c r="CW1150" s="141" t="str">
        <v>622599 *Ajustes por inflación</v>
      </c>
      <c r="CX1150" s="141" t="str">
        <v>622599 *Ajustes por inflación</v>
      </c>
      <c r="CY1150" s="141" t="str">
        <v>622599 *Ajustes por inflación</v>
      </c>
      <c r="CZ1150" s="141" t="str">
        <v>622599 *Ajustes por inflación</v>
      </c>
      <c r="DA1150" s="141" t="str">
        <v>622599 *Ajustes por inflación</v>
      </c>
      <c r="DF1150" t="str">
        <v>622599 *Ajustes por inflación</v>
      </c>
      <c r="DG1150" t="str">
        <v>622599 *Ajustes por inflación</v>
      </c>
      <c r="DH1150" t="str">
        <v>622599 *Ajustes por inflación</v>
      </c>
      <c r="DI1150" t="str">
        <v>622599 *Ajustes por inflación</v>
      </c>
      <c r="DJ1150" t="str">
        <v>622599 *Ajustes por inflación</v>
      </c>
      <c r="DK1150" t="str">
        <v>622599 *Ajustes por inflación</v>
      </c>
      <c r="DL1150" t="str">
        <v>622599 *Ajustes por inflación</v>
      </c>
      <c r="DM1150" t="str">
        <v>622599 *Ajustes por inflación</v>
      </c>
      <c r="DN1150" t="str">
        <v>622599 *Ajustes por inflación</v>
      </c>
      <c r="DO1150" t="str">
        <v>622599 *Ajustes por inflación</v>
      </c>
      <c r="DP1150" t="str">
        <v>622599 *Ajustes por inflación</v>
      </c>
    </row>
    <row r="1151" spans="4:120" ht="12.75">
      <c r="D1151" s="7">
        <v>7</v>
      </c>
      <c r="E1151" s="6" t="s">
        <v>667</v>
      </c>
      <c r="F1151" s="5">
        <v>1</v>
      </c>
      <c r="G1151" s="34"/>
      <c r="H1151" s="8" t="s">
        <v>32</v>
      </c>
      <c r="I1151" t="b">
        <f>+ISNUMBER(SEARCH('F-COMPRA'!$F$28,Tabla11[[#This Row],[Cuenta]],1))</f>
        <v>1</v>
      </c>
      <c r="J1151" t="b">
        <f>+ISNUMBER(SEARCH('F-COMPRA'!$F$29,Tabla11[[#This Row],[Cuenta]],1))</f>
        <v>1</v>
      </c>
      <c r="K1151" t="b">
        <f>+ISNUMBER(SEARCH('F-COMPRA'!$F$30,Tabla11[[#This Row],[Cuenta]],1))</f>
        <v>1</v>
      </c>
      <c r="L1151" t="b">
        <f>+ISNUMBER(SEARCH('F-COMPRA'!$F$31,Tabla11[[#This Row],[Cuenta]],1))</f>
        <v>1</v>
      </c>
      <c r="M1151" t="b">
        <f>+ISNUMBER(SEARCH('F-COMPRA'!$G$25,Tabla11[[#This Row],[Cuenta]],1))</f>
        <v>0</v>
      </c>
      <c r="N1151" t="b">
        <f>+ISNUMBER(SEARCH(#REF!,Tabla11[[#This Row],[Cuenta]],1))</f>
        <v>0</v>
      </c>
      <c r="O1151" t="b">
        <f>+ISNUMBER(SEARCH(#REF!,Tabla11[[#This Row],[Cuenta]],1))</f>
        <v>0</v>
      </c>
      <c r="P1151" t="b">
        <f>+ISNUMBER(SEARCH('F-COMPRA'!$F$32,Tabla11[[#This Row],[Cuenta]],1))</f>
        <v>1</v>
      </c>
      <c r="Q1151" t="b">
        <f>+ISNUMBER(SEARCH('F-COMPRA'!$F$33,Tabla11[[#This Row],[Cuenta]],1))</f>
        <v>1</v>
      </c>
      <c r="R1151" t="b">
        <f>+ISNUMBER(SEARCH('F-COMPRA'!$F$34,Tabla11[[#This Row],[Cuenta]],1))</f>
        <v>1</v>
      </c>
      <c r="S1151" t="b">
        <f>+ISNUMBER(SEARCH('F-COMPRA'!$F$35,Tabla11[[#This Row],[Cuenta]],1))</f>
        <v>1</v>
      </c>
      <c r="T1151" t="b">
        <f>+ISNUMBER(SEARCH('F-COMPRA'!$F$36,Tabla11[[#This Row],[Cuenta]],1))</f>
        <v>1</v>
      </c>
      <c r="U1151" t="b">
        <f>+ISNUMBER(SEARCH('F-COMPRA'!$F$37,Tabla11[[#This Row],[Cuenta]],1))</f>
        <v>1</v>
      </c>
      <c r="V1151" t="b">
        <f>+ISNUMBER(SEARCH(#REF!,Tabla11[[#This Row],[Cuenta]],1))</f>
        <v>0</v>
      </c>
      <c r="W1151" t="b">
        <f>+ISNUMBER(SEARCH('F-COMPRA'!#REF!,Tabla11[[#This Row],[Cuenta]],1))</f>
        <v>0</v>
      </c>
      <c r="X1151" t="b">
        <f>+ISNUMBER(SEARCH('F-COMPRA'!#REF!,Tabla11[[#This Row],[Cuenta]],1))</f>
        <v>0</v>
      </c>
      <c r="Y1151" t="b">
        <f>+ISNUMBER(SEARCH('F-COMPRA'!#REF!,Tabla11[[#This Row],[Cuenta]],1))</f>
        <v>0</v>
      </c>
      <c r="Z1151" t="b">
        <f>+ISNUMBER(SEARCH('F-COMPRA'!#REF!,Tabla11[[#This Row],[Cuenta]],1))</f>
        <v>0</v>
      </c>
      <c r="AA1151" t="b">
        <f>+ISNUMBER(SEARCH('F-COMPRA'!#REF!,Tabla11[[#This Row],[Cuenta]],1))</f>
        <v>0</v>
      </c>
      <c r="AB1151" t="b">
        <f>+ISNUMBER(SEARCH('F-COMPRA'!#REF!,Tabla11[[#This Row],[Cuenta]],1))</f>
        <v>0</v>
      </c>
      <c r="AC1151" t="b">
        <f>+ISNUMBER(SEARCH('F-COMPRA'!#REF!,Tabla11[[#This Row],[Cuenta]],1))</f>
        <v>0</v>
      </c>
      <c r="AD1151" t="b">
        <f>+ISNUMBER(SEARCH('F-COMPRA'!#REF!,Tabla11[[#This Row],[Cuenta]],1))</f>
        <v>0</v>
      </c>
      <c r="AE1151" t="b">
        <f>+ISNUMBER(SEARCH('F-COMPRA'!#REF!,Tabla11[[#This Row],[Cuenta]],1))</f>
        <v>0</v>
      </c>
      <c r="AF1151" t="b">
        <f>+ISNUMBER(SEARCH('F-VTA'!$G$23,Tabla11[[#This Row],[Cuenta]],1))</f>
        <v>0</v>
      </c>
      <c r="AG1151" t="b">
        <f>+ISNUMBER(SEARCH('F-VTA'!$G$24,Tabla11[[#This Row],[Cuenta]],1))</f>
        <v>0</v>
      </c>
      <c r="AH1151" t="b">
        <f>+ISNUMBER(SEARCH('F-VTA'!$G$25,Tabla11[[#This Row],[Cuenta]],1))</f>
        <v>0</v>
      </c>
      <c r="AI1151" t="b">
        <f>+ISNUMBER(SEARCH('F-VTA'!$F$28,Tabla11[[#This Row],[Cuenta]],1))</f>
        <v>1</v>
      </c>
      <c r="AJ1151" t="b">
        <f>+ISNUMBER(SEARCH('F-VTA'!$F$29,Tabla11[[#This Row],[Cuenta]],1))</f>
        <v>1</v>
      </c>
      <c r="AK1151" t="b">
        <f>+ISNUMBER(SEARCH('F-VTA'!$F$30,Tabla11[[#This Row],[Cuenta]],1))</f>
        <v>1</v>
      </c>
      <c r="AL1151" t="b">
        <f>+ISNUMBER(SEARCH('F-VTA'!$F$31,Tabla11[[#This Row],[Cuenta]],1))</f>
        <v>1</v>
      </c>
      <c r="AM1151" t="b">
        <f>+ISNUMBER(SEARCH('F-VTA'!$F$32,Tabla11[[#This Row],[Cuenta]],1))</f>
        <v>1</v>
      </c>
      <c r="AN1151" t="b">
        <f>+ISNUMBER(SEARCH('F-VTA'!$F$33,Tabla11[[#This Row],[Cuenta]],1))</f>
        <v>1</v>
      </c>
      <c r="AO1151" t="b">
        <f>+ISNUMBER(SEARCH('F-VTA'!$F$34,Tabla11[[#This Row],[Cuenta]],1))</f>
        <v>1</v>
      </c>
      <c r="AP1151" t="b">
        <f>+ISNUMBER(SEARCH('F-VTA'!$F$35,Tabla11[[#This Row],[Cuenta]],1))</f>
        <v>1</v>
      </c>
      <c r="AQ1151" t="b">
        <f>+ISNUMBER(SEARCH('F-VTA'!$F$36,Tabla11[[#This Row],[Cuenta]],1))</f>
        <v>1</v>
      </c>
      <c r="AR1151" t="b">
        <f>+ISNUMBER(SEARCH(#REF!,Tabla11[[#This Row],[Cuenta]],1))</f>
        <v>0</v>
      </c>
      <c r="AS1151" t="b">
        <f>+ISNUMBER(SEARCH(#REF!,Tabla11[[#This Row],[Cuenta]],1))</f>
        <v>0</v>
      </c>
      <c r="AT1151" t="b">
        <f>+ISNUMBER(SEARCH(#REF!,Tabla11[[#This Row],[Cuenta]],1))</f>
        <v>0</v>
      </c>
      <c r="AU1151" t="b">
        <f>+ISNUMBER(SEARCH('Conc. Ban.1'!$I$9,Tabla11[[#This Row],[Cuenta]],1))</f>
        <v>0</v>
      </c>
      <c r="AV1151" t="b">
        <f>+ISNUMBER(SEARCH(CompConta!$F$21,Tabla11[[#This Row],[Cuenta]],1))</f>
        <v>1</v>
      </c>
      <c r="AW1151" t="b">
        <f>+ISNUMBER(SEARCH(CompConta!$F$22,Tabla11[[#This Row],[Cuenta]],1))</f>
        <v>1</v>
      </c>
      <c r="AX1151" t="b">
        <f>+ISNUMBER(SEARCH(CompConta!$F$23,Tabla11[[#This Row],[Cuenta]],1))</f>
        <v>1</v>
      </c>
      <c r="AY1151" t="b">
        <f>+ISNUMBER(SEARCH(CompConta!$F$24,Tabla11[[#This Row],[Cuenta]],1))</f>
        <v>1</v>
      </c>
      <c r="AZ1151" t="b">
        <f>+ISNUMBER(SEARCH(CompConta!$F$25,Tabla11[[#This Row],[Cuenta]],1))</f>
        <v>1</v>
      </c>
      <c r="BA1151" t="b">
        <f>+ISNUMBER(SEARCH(CompConta!$F$26,Tabla11[[#This Row],[Cuenta]],1))</f>
        <v>1</v>
      </c>
      <c r="BB1151" t="b">
        <f>+ISNUMBER(SEARCH(CompConta!$F$27,Tabla11[[#This Row],[Cuenta]],1))</f>
        <v>1</v>
      </c>
      <c r="BC1151" t="b">
        <f>+ISNUMBER(SEARCH(CompConta!$F$28,Tabla11[[#This Row],[Cuenta]],1))</f>
        <v>1</v>
      </c>
      <c r="BD1151" t="b">
        <f>+ISNUMBER(SEARCH(CompConta!$F$29,Tabla11[[#This Row],[Cuenta]],1))</f>
        <v>1</v>
      </c>
      <c r="BE1151" t="b">
        <f>+ISNUMBER(SEARCH(CompConta!$F$30,Tabla11[[#This Row],[Cuenta]],1))</f>
        <v>1</v>
      </c>
      <c r="BF1151" t="b">
        <f>+ISNUMBER(SEARCH('PAGO Compras'!$E$11,Tabla11[[#This Row],[Cuenta]],1))</f>
        <v>1</v>
      </c>
      <c r="BG1151" t="b">
        <f>+ISNUMBER(SEARCH(#REF!,Tabla11[[#This Row],[Cuenta]],1))</f>
        <v>0</v>
      </c>
      <c r="BH1151" t="b">
        <f>+ISNUMBER(SEARCH(#REF!,Tabla11[[#This Row],[Cuenta]],1))</f>
        <v>0</v>
      </c>
      <c r="BI1151" t="b">
        <f>+ISNUMBER(SEARCH(#REF!,Tabla11[[#This Row],[Cuenta]],1))</f>
        <v>0</v>
      </c>
      <c r="BJ1151" t="b">
        <f>+ISNUMBER(SEARCH(#REF!,Tabla11[[#This Row],[Cuenta]],1))</f>
        <v>0</v>
      </c>
      <c r="BS1151" t="str">
        <v>7 COSTOS DE PRODUCCIÓN O DE OPERACIÓN</v>
      </c>
      <c r="BT1151" t="str">
        <v>7 COSTOS DE PRODUCCIÓN O DE OPERACIÓN</v>
      </c>
      <c r="BU1151" t="str">
        <v>7 COSTOS DE PRODUCCIÓN O DE OPERACIÓN</v>
      </c>
      <c r="BV1151" t="str">
        <v>7 COSTOS DE PRODUCCIÓN O DE OPERACIÓN</v>
      </c>
      <c r="BZ1151" t="str">
        <v>7 COSTOS DE PRODUCCIÓN O DE OPERACIÓN</v>
      </c>
      <c r="CA1151" t="str">
        <v>7 COSTOS DE PRODUCCIÓN O DE OPERACIÓN</v>
      </c>
      <c r="CB1151" t="str">
        <v>7 COSTOS DE PRODUCCIÓN O DE OPERACIÓN</v>
      </c>
      <c r="CC1151" t="str">
        <v>7 COSTOS DE PRODUCCIÓN O DE OPERACIÓN</v>
      </c>
      <c r="CD1151" t="str">
        <v>7 COSTOS DE PRODUCCIÓN O DE OPERACIÓN</v>
      </c>
      <c r="CE1151" t="str">
        <v>7 COSTOS DE PRODUCCIÓN O DE OPERACIÓN</v>
      </c>
      <c r="CS1151" s="141" t="str">
        <v>7 COSTOS DE PRODUCCIÓN O DE OPERACIÓN</v>
      </c>
      <c r="CT1151" s="141" t="str">
        <v>7 COSTOS DE PRODUCCIÓN O DE OPERACIÓN</v>
      </c>
      <c r="CU1151" s="141" t="str">
        <v>7 COSTOS DE PRODUCCIÓN O DE OPERACIÓN</v>
      </c>
      <c r="CV1151" s="141" t="str">
        <v>7 COSTOS DE PRODUCCIÓN O DE OPERACIÓN</v>
      </c>
      <c r="CW1151" s="141" t="str">
        <v>7 COSTOS DE PRODUCCIÓN O DE OPERACIÓN</v>
      </c>
      <c r="CX1151" s="141" t="str">
        <v>7 COSTOS DE PRODUCCIÓN O DE OPERACIÓN</v>
      </c>
      <c r="CY1151" s="141" t="str">
        <v>7 COSTOS DE PRODUCCIÓN O DE OPERACIÓN</v>
      </c>
      <c r="CZ1151" s="141" t="str">
        <v>7 COSTOS DE PRODUCCIÓN O DE OPERACIÓN</v>
      </c>
      <c r="DA1151" s="141" t="str">
        <v>7 COSTOS DE PRODUCCIÓN O DE OPERACIÓN</v>
      </c>
      <c r="DF1151" t="str">
        <v>7 COSTOS DE PRODUCCIÓN O DE OPERACIÓN</v>
      </c>
      <c r="DG1151" t="str">
        <v>7 COSTOS DE PRODUCCIÓN O DE OPERACIÓN</v>
      </c>
      <c r="DH1151" t="str">
        <v>7 COSTOS DE PRODUCCIÓN O DE OPERACIÓN</v>
      </c>
      <c r="DI1151" t="str">
        <v>7 COSTOS DE PRODUCCIÓN O DE OPERACIÓN</v>
      </c>
      <c r="DJ1151" t="str">
        <v>7 COSTOS DE PRODUCCIÓN O DE OPERACIÓN</v>
      </c>
      <c r="DK1151" t="str">
        <v>7 COSTOS DE PRODUCCIÓN O DE OPERACIÓN</v>
      </c>
      <c r="DL1151" t="str">
        <v>7 COSTOS DE PRODUCCIÓN O DE OPERACIÓN</v>
      </c>
      <c r="DM1151" t="str">
        <v>7 COSTOS DE PRODUCCIÓN O DE OPERACIÓN</v>
      </c>
      <c r="DN1151" t="str">
        <v>7 COSTOS DE PRODUCCIÓN O DE OPERACIÓN</v>
      </c>
      <c r="DO1151" t="str">
        <v>7 COSTOS DE PRODUCCIÓN O DE OPERACIÓN</v>
      </c>
      <c r="DP1151" t="str">
        <v>7 COSTOS DE PRODUCCIÓN O DE OPERACIÓN</v>
      </c>
    </row>
    <row r="1152" spans="4:120" ht="12.75">
      <c r="D1152" s="7">
        <v>71</v>
      </c>
      <c r="E1152" s="6" t="s">
        <v>668</v>
      </c>
      <c r="F1152" s="5">
        <v>2</v>
      </c>
      <c r="G1152" s="34"/>
      <c r="H1152" s="8" t="s">
        <v>32</v>
      </c>
      <c r="I1152" t="b">
        <f>+ISNUMBER(SEARCH('F-COMPRA'!$F$28,Tabla11[[#This Row],[Cuenta]],1))</f>
        <v>1</v>
      </c>
      <c r="J1152" t="b">
        <f>+ISNUMBER(SEARCH('F-COMPRA'!$F$29,Tabla11[[#This Row],[Cuenta]],1))</f>
        <v>1</v>
      </c>
      <c r="K1152" t="b">
        <f>+ISNUMBER(SEARCH('F-COMPRA'!$F$30,Tabla11[[#This Row],[Cuenta]],1))</f>
        <v>1</v>
      </c>
      <c r="L1152" t="b">
        <f>+ISNUMBER(SEARCH('F-COMPRA'!$F$31,Tabla11[[#This Row],[Cuenta]],1))</f>
        <v>1</v>
      </c>
      <c r="M1152" t="b">
        <f>+ISNUMBER(SEARCH('F-COMPRA'!$G$25,Tabla11[[#This Row],[Cuenta]],1))</f>
        <v>0</v>
      </c>
      <c r="N1152" t="b">
        <f>+ISNUMBER(SEARCH(#REF!,Tabla11[[#This Row],[Cuenta]],1))</f>
        <v>0</v>
      </c>
      <c r="O1152" t="b">
        <f>+ISNUMBER(SEARCH(#REF!,Tabla11[[#This Row],[Cuenta]],1))</f>
        <v>0</v>
      </c>
      <c r="P1152" t="b">
        <f>+ISNUMBER(SEARCH('F-COMPRA'!$F$32,Tabla11[[#This Row],[Cuenta]],1))</f>
        <v>1</v>
      </c>
      <c r="Q1152" t="b">
        <f>+ISNUMBER(SEARCH('F-COMPRA'!$F$33,Tabla11[[#This Row],[Cuenta]],1))</f>
        <v>1</v>
      </c>
      <c r="R1152" t="b">
        <f>+ISNUMBER(SEARCH('F-COMPRA'!$F$34,Tabla11[[#This Row],[Cuenta]],1))</f>
        <v>1</v>
      </c>
      <c r="S1152" t="b">
        <f>+ISNUMBER(SEARCH('F-COMPRA'!$F$35,Tabla11[[#This Row],[Cuenta]],1))</f>
        <v>1</v>
      </c>
      <c r="T1152" t="b">
        <f>+ISNUMBER(SEARCH('F-COMPRA'!$F$36,Tabla11[[#This Row],[Cuenta]],1))</f>
        <v>1</v>
      </c>
      <c r="U1152" t="b">
        <f>+ISNUMBER(SEARCH('F-COMPRA'!$F$37,Tabla11[[#This Row],[Cuenta]],1))</f>
        <v>1</v>
      </c>
      <c r="V1152" t="b">
        <f>+ISNUMBER(SEARCH(#REF!,Tabla11[[#This Row],[Cuenta]],1))</f>
        <v>0</v>
      </c>
      <c r="W1152" t="b">
        <f>+ISNUMBER(SEARCH('F-COMPRA'!#REF!,Tabla11[[#This Row],[Cuenta]],1))</f>
        <v>0</v>
      </c>
      <c r="X1152" t="b">
        <f>+ISNUMBER(SEARCH('F-COMPRA'!#REF!,Tabla11[[#This Row],[Cuenta]],1))</f>
        <v>0</v>
      </c>
      <c r="Y1152" t="b">
        <f>+ISNUMBER(SEARCH('F-COMPRA'!#REF!,Tabla11[[#This Row],[Cuenta]],1))</f>
        <v>0</v>
      </c>
      <c r="Z1152" t="b">
        <f>+ISNUMBER(SEARCH('F-COMPRA'!#REF!,Tabla11[[#This Row],[Cuenta]],1))</f>
        <v>0</v>
      </c>
      <c r="AA1152" t="b">
        <f>+ISNUMBER(SEARCH('F-COMPRA'!#REF!,Tabla11[[#This Row],[Cuenta]],1))</f>
        <v>0</v>
      </c>
      <c r="AB1152" t="b">
        <f>+ISNUMBER(SEARCH('F-COMPRA'!#REF!,Tabla11[[#This Row],[Cuenta]],1))</f>
        <v>0</v>
      </c>
      <c r="AC1152" t="b">
        <f>+ISNUMBER(SEARCH('F-COMPRA'!#REF!,Tabla11[[#This Row],[Cuenta]],1))</f>
        <v>0</v>
      </c>
      <c r="AD1152" t="b">
        <f>+ISNUMBER(SEARCH('F-COMPRA'!#REF!,Tabla11[[#This Row],[Cuenta]],1))</f>
        <v>0</v>
      </c>
      <c r="AE1152" t="b">
        <f>+ISNUMBER(SEARCH('F-COMPRA'!#REF!,Tabla11[[#This Row],[Cuenta]],1))</f>
        <v>0</v>
      </c>
      <c r="AF1152" t="b">
        <f>+ISNUMBER(SEARCH('F-VTA'!$G$23,Tabla11[[#This Row],[Cuenta]],1))</f>
        <v>0</v>
      </c>
      <c r="AG1152" t="b">
        <f>+ISNUMBER(SEARCH('F-VTA'!$G$24,Tabla11[[#This Row],[Cuenta]],1))</f>
        <v>0</v>
      </c>
      <c r="AH1152" t="b">
        <f>+ISNUMBER(SEARCH('F-VTA'!$G$25,Tabla11[[#This Row],[Cuenta]],1))</f>
        <v>0</v>
      </c>
      <c r="AI1152" t="b">
        <f>+ISNUMBER(SEARCH('F-VTA'!$F$28,Tabla11[[#This Row],[Cuenta]],1))</f>
        <v>1</v>
      </c>
      <c r="AJ1152" t="b">
        <f>+ISNUMBER(SEARCH('F-VTA'!$F$29,Tabla11[[#This Row],[Cuenta]],1))</f>
        <v>1</v>
      </c>
      <c r="AK1152" t="b">
        <f>+ISNUMBER(SEARCH('F-VTA'!$F$30,Tabla11[[#This Row],[Cuenta]],1))</f>
        <v>1</v>
      </c>
      <c r="AL1152" t="b">
        <f>+ISNUMBER(SEARCH('F-VTA'!$F$31,Tabla11[[#This Row],[Cuenta]],1))</f>
        <v>1</v>
      </c>
      <c r="AM1152" t="b">
        <f>+ISNUMBER(SEARCH('F-VTA'!$F$32,Tabla11[[#This Row],[Cuenta]],1))</f>
        <v>1</v>
      </c>
      <c r="AN1152" t="b">
        <f>+ISNUMBER(SEARCH('F-VTA'!$F$33,Tabla11[[#This Row],[Cuenta]],1))</f>
        <v>1</v>
      </c>
      <c r="AO1152" t="b">
        <f>+ISNUMBER(SEARCH('F-VTA'!$F$34,Tabla11[[#This Row],[Cuenta]],1))</f>
        <v>1</v>
      </c>
      <c r="AP1152" t="b">
        <f>+ISNUMBER(SEARCH('F-VTA'!$F$35,Tabla11[[#This Row],[Cuenta]],1))</f>
        <v>1</v>
      </c>
      <c r="AQ1152" t="b">
        <f>+ISNUMBER(SEARCH('F-VTA'!$F$36,Tabla11[[#This Row],[Cuenta]],1))</f>
        <v>1</v>
      </c>
      <c r="AR1152" t="b">
        <f>+ISNUMBER(SEARCH(#REF!,Tabla11[[#This Row],[Cuenta]],1))</f>
        <v>0</v>
      </c>
      <c r="AS1152" t="b">
        <f>+ISNUMBER(SEARCH(#REF!,Tabla11[[#This Row],[Cuenta]],1))</f>
        <v>0</v>
      </c>
      <c r="AT1152" t="b">
        <f>+ISNUMBER(SEARCH(#REF!,Tabla11[[#This Row],[Cuenta]],1))</f>
        <v>0</v>
      </c>
      <c r="AU1152" t="b">
        <f>+ISNUMBER(SEARCH('Conc. Ban.1'!$I$9,Tabla11[[#This Row],[Cuenta]],1))</f>
        <v>0</v>
      </c>
      <c r="AV1152" t="b">
        <f>+ISNUMBER(SEARCH(CompConta!$F$21,Tabla11[[#This Row],[Cuenta]],1))</f>
        <v>1</v>
      </c>
      <c r="AW1152" t="b">
        <f>+ISNUMBER(SEARCH(CompConta!$F$22,Tabla11[[#This Row],[Cuenta]],1))</f>
        <v>1</v>
      </c>
      <c r="AX1152" t="b">
        <f>+ISNUMBER(SEARCH(CompConta!$F$23,Tabla11[[#This Row],[Cuenta]],1))</f>
        <v>1</v>
      </c>
      <c r="AY1152" t="b">
        <f>+ISNUMBER(SEARCH(CompConta!$F$24,Tabla11[[#This Row],[Cuenta]],1))</f>
        <v>1</v>
      </c>
      <c r="AZ1152" t="b">
        <f>+ISNUMBER(SEARCH(CompConta!$F$25,Tabla11[[#This Row],[Cuenta]],1))</f>
        <v>1</v>
      </c>
      <c r="BA1152" t="b">
        <f>+ISNUMBER(SEARCH(CompConta!$F$26,Tabla11[[#This Row],[Cuenta]],1))</f>
        <v>1</v>
      </c>
      <c r="BB1152" t="b">
        <f>+ISNUMBER(SEARCH(CompConta!$F$27,Tabla11[[#This Row],[Cuenta]],1))</f>
        <v>1</v>
      </c>
      <c r="BC1152" t="b">
        <f>+ISNUMBER(SEARCH(CompConta!$F$28,Tabla11[[#This Row],[Cuenta]],1))</f>
        <v>1</v>
      </c>
      <c r="BD1152" t="b">
        <f>+ISNUMBER(SEARCH(CompConta!$F$29,Tabla11[[#This Row],[Cuenta]],1))</f>
        <v>1</v>
      </c>
      <c r="BE1152" t="b">
        <f>+ISNUMBER(SEARCH(CompConta!$F$30,Tabla11[[#This Row],[Cuenta]],1))</f>
        <v>1</v>
      </c>
      <c r="BF1152" t="b">
        <f>+ISNUMBER(SEARCH('PAGO Compras'!$E$11,Tabla11[[#This Row],[Cuenta]],1))</f>
        <v>1</v>
      </c>
      <c r="BG1152" t="b">
        <f>+ISNUMBER(SEARCH(#REF!,Tabla11[[#This Row],[Cuenta]],1))</f>
        <v>0</v>
      </c>
      <c r="BH1152" t="b">
        <f>+ISNUMBER(SEARCH(#REF!,Tabla11[[#This Row],[Cuenta]],1))</f>
        <v>0</v>
      </c>
      <c r="BI1152" t="b">
        <f>+ISNUMBER(SEARCH(#REF!,Tabla11[[#This Row],[Cuenta]],1))</f>
        <v>0</v>
      </c>
      <c r="BJ1152" t="b">
        <f>+ISNUMBER(SEARCH(#REF!,Tabla11[[#This Row],[Cuenta]],1))</f>
        <v>0</v>
      </c>
      <c r="BS1152" t="str">
        <v>71 MATERIA PRIMA</v>
      </c>
      <c r="BT1152" t="str">
        <v>71 MATERIA PRIMA</v>
      </c>
      <c r="BU1152" t="str">
        <v>71 MATERIA PRIMA</v>
      </c>
      <c r="BV1152" t="str">
        <v>71 MATERIA PRIMA</v>
      </c>
      <c r="BZ1152" t="str">
        <v>71 MATERIA PRIMA</v>
      </c>
      <c r="CA1152" t="str">
        <v>71 MATERIA PRIMA</v>
      </c>
      <c r="CB1152" t="str">
        <v>71 MATERIA PRIMA</v>
      </c>
      <c r="CC1152" t="str">
        <v>71 MATERIA PRIMA</v>
      </c>
      <c r="CD1152" t="str">
        <v>71 MATERIA PRIMA</v>
      </c>
      <c r="CE1152" t="str">
        <v>71 MATERIA PRIMA</v>
      </c>
      <c r="CS1152" s="141" t="str">
        <v>71 MATERIA PRIMA</v>
      </c>
      <c r="CT1152" s="141" t="str">
        <v>71 MATERIA PRIMA</v>
      </c>
      <c r="CU1152" s="141" t="str">
        <v>71 MATERIA PRIMA</v>
      </c>
      <c r="CV1152" s="141" t="str">
        <v>71 MATERIA PRIMA</v>
      </c>
      <c r="CW1152" s="141" t="str">
        <v>71 MATERIA PRIMA</v>
      </c>
      <c r="CX1152" s="141" t="str">
        <v>71 MATERIA PRIMA</v>
      </c>
      <c r="CY1152" s="141" t="str">
        <v>71 MATERIA PRIMA</v>
      </c>
      <c r="CZ1152" s="141" t="str">
        <v>71 MATERIA PRIMA</v>
      </c>
      <c r="DA1152" s="141" t="str">
        <v>71 MATERIA PRIMA</v>
      </c>
      <c r="DF1152" t="str">
        <v>71 MATERIA PRIMA</v>
      </c>
      <c r="DG1152" t="str">
        <v>71 MATERIA PRIMA</v>
      </c>
      <c r="DH1152" t="str">
        <v>71 MATERIA PRIMA</v>
      </c>
      <c r="DI1152" t="str">
        <v>71 MATERIA PRIMA</v>
      </c>
      <c r="DJ1152" t="str">
        <v>71 MATERIA PRIMA</v>
      </c>
      <c r="DK1152" t="str">
        <v>71 MATERIA PRIMA</v>
      </c>
      <c r="DL1152" t="str">
        <v>71 MATERIA PRIMA</v>
      </c>
      <c r="DM1152" t="str">
        <v>71 MATERIA PRIMA</v>
      </c>
      <c r="DN1152" t="str">
        <v>71 MATERIA PRIMA</v>
      </c>
      <c r="DO1152" t="str">
        <v>71 MATERIA PRIMA</v>
      </c>
      <c r="DP1152" t="str">
        <v>71 MATERIA PRIMA</v>
      </c>
    </row>
    <row r="1153" spans="4:120" ht="12.75">
      <c r="D1153" s="7">
        <v>72</v>
      </c>
      <c r="E1153" s="6" t="s">
        <v>669</v>
      </c>
      <c r="F1153" s="5">
        <v>2</v>
      </c>
      <c r="G1153" s="34"/>
      <c r="H1153" s="8" t="s">
        <v>32</v>
      </c>
      <c r="I1153" t="b">
        <f>+ISNUMBER(SEARCH('F-COMPRA'!$F$28,Tabla11[[#This Row],[Cuenta]],1))</f>
        <v>1</v>
      </c>
      <c r="J1153" t="b">
        <f>+ISNUMBER(SEARCH('F-COMPRA'!$F$29,Tabla11[[#This Row],[Cuenta]],1))</f>
        <v>1</v>
      </c>
      <c r="K1153" t="b">
        <f>+ISNUMBER(SEARCH('F-COMPRA'!$F$30,Tabla11[[#This Row],[Cuenta]],1))</f>
        <v>1</v>
      </c>
      <c r="L1153" t="b">
        <f>+ISNUMBER(SEARCH('F-COMPRA'!$F$31,Tabla11[[#This Row],[Cuenta]],1))</f>
        <v>1</v>
      </c>
      <c r="M1153" t="b">
        <f>+ISNUMBER(SEARCH('F-COMPRA'!$G$25,Tabla11[[#This Row],[Cuenta]],1))</f>
        <v>0</v>
      </c>
      <c r="N1153" t="b">
        <f>+ISNUMBER(SEARCH(#REF!,Tabla11[[#This Row],[Cuenta]],1))</f>
        <v>0</v>
      </c>
      <c r="O1153" t="b">
        <f>+ISNUMBER(SEARCH(#REF!,Tabla11[[#This Row],[Cuenta]],1))</f>
        <v>0</v>
      </c>
      <c r="P1153" t="b">
        <f>+ISNUMBER(SEARCH('F-COMPRA'!$F$32,Tabla11[[#This Row],[Cuenta]],1))</f>
        <v>1</v>
      </c>
      <c r="Q1153" t="b">
        <f>+ISNUMBER(SEARCH('F-COMPRA'!$F$33,Tabla11[[#This Row],[Cuenta]],1))</f>
        <v>1</v>
      </c>
      <c r="R1153" t="b">
        <f>+ISNUMBER(SEARCH('F-COMPRA'!$F$34,Tabla11[[#This Row],[Cuenta]],1))</f>
        <v>1</v>
      </c>
      <c r="S1153" t="b">
        <f>+ISNUMBER(SEARCH('F-COMPRA'!$F$35,Tabla11[[#This Row],[Cuenta]],1))</f>
        <v>1</v>
      </c>
      <c r="T1153" t="b">
        <f>+ISNUMBER(SEARCH('F-COMPRA'!$F$36,Tabla11[[#This Row],[Cuenta]],1))</f>
        <v>1</v>
      </c>
      <c r="U1153" t="b">
        <f>+ISNUMBER(SEARCH('F-COMPRA'!$F$37,Tabla11[[#This Row],[Cuenta]],1))</f>
        <v>1</v>
      </c>
      <c r="V1153" t="b">
        <f>+ISNUMBER(SEARCH(#REF!,Tabla11[[#This Row],[Cuenta]],1))</f>
        <v>0</v>
      </c>
      <c r="W1153" t="b">
        <f>+ISNUMBER(SEARCH('F-COMPRA'!#REF!,Tabla11[[#This Row],[Cuenta]],1))</f>
        <v>0</v>
      </c>
      <c r="X1153" t="b">
        <f>+ISNUMBER(SEARCH('F-COMPRA'!#REF!,Tabla11[[#This Row],[Cuenta]],1))</f>
        <v>0</v>
      </c>
      <c r="Y1153" t="b">
        <f>+ISNUMBER(SEARCH('F-COMPRA'!#REF!,Tabla11[[#This Row],[Cuenta]],1))</f>
        <v>0</v>
      </c>
      <c r="Z1153" t="b">
        <f>+ISNUMBER(SEARCH('F-COMPRA'!#REF!,Tabla11[[#This Row],[Cuenta]],1))</f>
        <v>0</v>
      </c>
      <c r="AA1153" t="b">
        <f>+ISNUMBER(SEARCH('F-COMPRA'!#REF!,Tabla11[[#This Row],[Cuenta]],1))</f>
        <v>0</v>
      </c>
      <c r="AB1153" t="b">
        <f>+ISNUMBER(SEARCH('F-COMPRA'!#REF!,Tabla11[[#This Row],[Cuenta]],1))</f>
        <v>0</v>
      </c>
      <c r="AC1153" t="b">
        <f>+ISNUMBER(SEARCH('F-COMPRA'!#REF!,Tabla11[[#This Row],[Cuenta]],1))</f>
        <v>0</v>
      </c>
      <c r="AD1153" t="b">
        <f>+ISNUMBER(SEARCH('F-COMPRA'!#REF!,Tabla11[[#This Row],[Cuenta]],1))</f>
        <v>0</v>
      </c>
      <c r="AE1153" t="b">
        <f>+ISNUMBER(SEARCH('F-COMPRA'!#REF!,Tabla11[[#This Row],[Cuenta]],1))</f>
        <v>0</v>
      </c>
      <c r="AF1153" t="b">
        <f>+ISNUMBER(SEARCH('F-VTA'!$G$23,Tabla11[[#This Row],[Cuenta]],1))</f>
        <v>0</v>
      </c>
      <c r="AG1153" t="b">
        <f>+ISNUMBER(SEARCH('F-VTA'!$G$24,Tabla11[[#This Row],[Cuenta]],1))</f>
        <v>0</v>
      </c>
      <c r="AH1153" t="b">
        <f>+ISNUMBER(SEARCH('F-VTA'!$G$25,Tabla11[[#This Row],[Cuenta]],1))</f>
        <v>0</v>
      </c>
      <c r="AI1153" t="b">
        <f>+ISNUMBER(SEARCH('F-VTA'!$F$28,Tabla11[[#This Row],[Cuenta]],1))</f>
        <v>1</v>
      </c>
      <c r="AJ1153" t="b">
        <f>+ISNUMBER(SEARCH('F-VTA'!$F$29,Tabla11[[#This Row],[Cuenta]],1))</f>
        <v>1</v>
      </c>
      <c r="AK1153" t="b">
        <f>+ISNUMBER(SEARCH('F-VTA'!$F$30,Tabla11[[#This Row],[Cuenta]],1))</f>
        <v>1</v>
      </c>
      <c r="AL1153" t="b">
        <f>+ISNUMBER(SEARCH('F-VTA'!$F$31,Tabla11[[#This Row],[Cuenta]],1))</f>
        <v>1</v>
      </c>
      <c r="AM1153" t="b">
        <f>+ISNUMBER(SEARCH('F-VTA'!$F$32,Tabla11[[#This Row],[Cuenta]],1))</f>
        <v>1</v>
      </c>
      <c r="AN1153" t="b">
        <f>+ISNUMBER(SEARCH('F-VTA'!$F$33,Tabla11[[#This Row],[Cuenta]],1))</f>
        <v>1</v>
      </c>
      <c r="AO1153" t="b">
        <f>+ISNUMBER(SEARCH('F-VTA'!$F$34,Tabla11[[#This Row],[Cuenta]],1))</f>
        <v>1</v>
      </c>
      <c r="AP1153" t="b">
        <f>+ISNUMBER(SEARCH('F-VTA'!$F$35,Tabla11[[#This Row],[Cuenta]],1))</f>
        <v>1</v>
      </c>
      <c r="AQ1153" t="b">
        <f>+ISNUMBER(SEARCH('F-VTA'!$F$36,Tabla11[[#This Row],[Cuenta]],1))</f>
        <v>1</v>
      </c>
      <c r="AR1153" t="b">
        <f>+ISNUMBER(SEARCH(#REF!,Tabla11[[#This Row],[Cuenta]],1))</f>
        <v>0</v>
      </c>
      <c r="AS1153" t="b">
        <f>+ISNUMBER(SEARCH(#REF!,Tabla11[[#This Row],[Cuenta]],1))</f>
        <v>0</v>
      </c>
      <c r="AT1153" t="b">
        <f>+ISNUMBER(SEARCH(#REF!,Tabla11[[#This Row],[Cuenta]],1))</f>
        <v>0</v>
      </c>
      <c r="AU1153" t="b">
        <f>+ISNUMBER(SEARCH('Conc. Ban.1'!$I$9,Tabla11[[#This Row],[Cuenta]],1))</f>
        <v>0</v>
      </c>
      <c r="AV1153" t="b">
        <f>+ISNUMBER(SEARCH(CompConta!$F$21,Tabla11[[#This Row],[Cuenta]],1))</f>
        <v>1</v>
      </c>
      <c r="AW1153" t="b">
        <f>+ISNUMBER(SEARCH(CompConta!$F$22,Tabla11[[#This Row],[Cuenta]],1))</f>
        <v>1</v>
      </c>
      <c r="AX1153" t="b">
        <f>+ISNUMBER(SEARCH(CompConta!$F$23,Tabla11[[#This Row],[Cuenta]],1))</f>
        <v>1</v>
      </c>
      <c r="AY1153" t="b">
        <f>+ISNUMBER(SEARCH(CompConta!$F$24,Tabla11[[#This Row],[Cuenta]],1))</f>
        <v>1</v>
      </c>
      <c r="AZ1153" t="b">
        <f>+ISNUMBER(SEARCH(CompConta!$F$25,Tabla11[[#This Row],[Cuenta]],1))</f>
        <v>1</v>
      </c>
      <c r="BA1153" t="b">
        <f>+ISNUMBER(SEARCH(CompConta!$F$26,Tabla11[[#This Row],[Cuenta]],1))</f>
        <v>1</v>
      </c>
      <c r="BB1153" t="b">
        <f>+ISNUMBER(SEARCH(CompConta!$F$27,Tabla11[[#This Row],[Cuenta]],1))</f>
        <v>1</v>
      </c>
      <c r="BC1153" t="b">
        <f>+ISNUMBER(SEARCH(CompConta!$F$28,Tabla11[[#This Row],[Cuenta]],1))</f>
        <v>1</v>
      </c>
      <c r="BD1153" t="b">
        <f>+ISNUMBER(SEARCH(CompConta!$F$29,Tabla11[[#This Row],[Cuenta]],1))</f>
        <v>1</v>
      </c>
      <c r="BE1153" t="b">
        <f>+ISNUMBER(SEARCH(CompConta!$F$30,Tabla11[[#This Row],[Cuenta]],1))</f>
        <v>1</v>
      </c>
      <c r="BF1153" t="b">
        <f>+ISNUMBER(SEARCH('PAGO Compras'!$E$11,Tabla11[[#This Row],[Cuenta]],1))</f>
        <v>1</v>
      </c>
      <c r="BG1153" t="b">
        <f>+ISNUMBER(SEARCH(#REF!,Tabla11[[#This Row],[Cuenta]],1))</f>
        <v>0</v>
      </c>
      <c r="BH1153" t="b">
        <f>+ISNUMBER(SEARCH(#REF!,Tabla11[[#This Row],[Cuenta]],1))</f>
        <v>0</v>
      </c>
      <c r="BI1153" t="b">
        <f>+ISNUMBER(SEARCH(#REF!,Tabla11[[#This Row],[Cuenta]],1))</f>
        <v>0</v>
      </c>
      <c r="BJ1153" t="b">
        <f>+ISNUMBER(SEARCH(#REF!,Tabla11[[#This Row],[Cuenta]],1))</f>
        <v>0</v>
      </c>
      <c r="BS1153" t="str">
        <v>72 MANO DE OBRA DIRECTA</v>
      </c>
      <c r="BT1153" t="str">
        <v>72 MANO DE OBRA DIRECTA</v>
      </c>
      <c r="BU1153" t="str">
        <v>72 MANO DE OBRA DIRECTA</v>
      </c>
      <c r="BV1153" t="str">
        <v>72 MANO DE OBRA DIRECTA</v>
      </c>
      <c r="BZ1153" t="str">
        <v>72 MANO DE OBRA DIRECTA</v>
      </c>
      <c r="CA1153" t="str">
        <v>72 MANO DE OBRA DIRECTA</v>
      </c>
      <c r="CB1153" t="str">
        <v>72 MANO DE OBRA DIRECTA</v>
      </c>
      <c r="CC1153" t="str">
        <v>72 MANO DE OBRA DIRECTA</v>
      </c>
      <c r="CD1153" t="str">
        <v>72 MANO DE OBRA DIRECTA</v>
      </c>
      <c r="CE1153" t="str">
        <v>72 MANO DE OBRA DIRECTA</v>
      </c>
      <c r="CS1153" s="141" t="str">
        <v>72 MANO DE OBRA DIRECTA</v>
      </c>
      <c r="CT1153" s="141" t="str">
        <v>72 MANO DE OBRA DIRECTA</v>
      </c>
      <c r="CU1153" s="141" t="str">
        <v>72 MANO DE OBRA DIRECTA</v>
      </c>
      <c r="CV1153" s="141" t="str">
        <v>72 MANO DE OBRA DIRECTA</v>
      </c>
      <c r="CW1153" s="141" t="str">
        <v>72 MANO DE OBRA DIRECTA</v>
      </c>
      <c r="CX1153" s="141" t="str">
        <v>72 MANO DE OBRA DIRECTA</v>
      </c>
      <c r="CY1153" s="141" t="str">
        <v>72 MANO DE OBRA DIRECTA</v>
      </c>
      <c r="CZ1153" s="141" t="str">
        <v>72 MANO DE OBRA DIRECTA</v>
      </c>
      <c r="DA1153" s="141" t="str">
        <v>72 MANO DE OBRA DIRECTA</v>
      </c>
      <c r="DF1153" t="str">
        <v>72 MANO DE OBRA DIRECTA</v>
      </c>
      <c r="DG1153" t="str">
        <v>72 MANO DE OBRA DIRECTA</v>
      </c>
      <c r="DH1153" t="str">
        <v>72 MANO DE OBRA DIRECTA</v>
      </c>
      <c r="DI1153" t="str">
        <v>72 MANO DE OBRA DIRECTA</v>
      </c>
      <c r="DJ1153" t="str">
        <v>72 MANO DE OBRA DIRECTA</v>
      </c>
      <c r="DK1153" t="str">
        <v>72 MANO DE OBRA DIRECTA</v>
      </c>
      <c r="DL1153" t="str">
        <v>72 MANO DE OBRA DIRECTA</v>
      </c>
      <c r="DM1153" t="str">
        <v>72 MANO DE OBRA DIRECTA</v>
      </c>
      <c r="DN1153" t="str">
        <v>72 MANO DE OBRA DIRECTA</v>
      </c>
      <c r="DO1153" t="str">
        <v>72 MANO DE OBRA DIRECTA</v>
      </c>
      <c r="DP1153" t="str">
        <v>72 MANO DE OBRA DIRECTA</v>
      </c>
    </row>
    <row r="1154" spans="4:120" ht="12.75">
      <c r="D1154" s="7">
        <v>73</v>
      </c>
      <c r="E1154" s="6" t="s">
        <v>670</v>
      </c>
      <c r="F1154" s="5">
        <v>2</v>
      </c>
      <c r="G1154" s="34"/>
      <c r="H1154" s="8" t="s">
        <v>32</v>
      </c>
      <c r="I1154" t="b">
        <f>+ISNUMBER(SEARCH('F-COMPRA'!$F$28,Tabla11[[#This Row],[Cuenta]],1))</f>
        <v>1</v>
      </c>
      <c r="J1154" t="b">
        <f>+ISNUMBER(SEARCH('F-COMPRA'!$F$29,Tabla11[[#This Row],[Cuenta]],1))</f>
        <v>1</v>
      </c>
      <c r="K1154" t="b">
        <f>+ISNUMBER(SEARCH('F-COMPRA'!$F$30,Tabla11[[#This Row],[Cuenta]],1))</f>
        <v>1</v>
      </c>
      <c r="L1154" t="b">
        <f>+ISNUMBER(SEARCH('F-COMPRA'!$F$31,Tabla11[[#This Row],[Cuenta]],1))</f>
        <v>1</v>
      </c>
      <c r="M1154" t="b">
        <f>+ISNUMBER(SEARCH('F-COMPRA'!$G$25,Tabla11[[#This Row],[Cuenta]],1))</f>
        <v>0</v>
      </c>
      <c r="N1154" t="b">
        <f>+ISNUMBER(SEARCH(#REF!,Tabla11[[#This Row],[Cuenta]],1))</f>
        <v>0</v>
      </c>
      <c r="O1154" t="b">
        <f>+ISNUMBER(SEARCH(#REF!,Tabla11[[#This Row],[Cuenta]],1))</f>
        <v>0</v>
      </c>
      <c r="P1154" t="b">
        <f>+ISNUMBER(SEARCH('F-COMPRA'!$F$32,Tabla11[[#This Row],[Cuenta]],1))</f>
        <v>1</v>
      </c>
      <c r="Q1154" t="b">
        <f>+ISNUMBER(SEARCH('F-COMPRA'!$F$33,Tabla11[[#This Row],[Cuenta]],1))</f>
        <v>1</v>
      </c>
      <c r="R1154" t="b">
        <f>+ISNUMBER(SEARCH('F-COMPRA'!$F$34,Tabla11[[#This Row],[Cuenta]],1))</f>
        <v>1</v>
      </c>
      <c r="S1154" t="b">
        <f>+ISNUMBER(SEARCH('F-COMPRA'!$F$35,Tabla11[[#This Row],[Cuenta]],1))</f>
        <v>1</v>
      </c>
      <c r="T1154" t="b">
        <f>+ISNUMBER(SEARCH('F-COMPRA'!$F$36,Tabla11[[#This Row],[Cuenta]],1))</f>
        <v>1</v>
      </c>
      <c r="U1154" t="b">
        <f>+ISNUMBER(SEARCH('F-COMPRA'!$F$37,Tabla11[[#This Row],[Cuenta]],1))</f>
        <v>1</v>
      </c>
      <c r="V1154" t="b">
        <f>+ISNUMBER(SEARCH(#REF!,Tabla11[[#This Row],[Cuenta]],1))</f>
        <v>0</v>
      </c>
      <c r="W1154" t="b">
        <f>+ISNUMBER(SEARCH('F-COMPRA'!#REF!,Tabla11[[#This Row],[Cuenta]],1))</f>
        <v>0</v>
      </c>
      <c r="X1154" t="b">
        <f>+ISNUMBER(SEARCH('F-COMPRA'!#REF!,Tabla11[[#This Row],[Cuenta]],1))</f>
        <v>0</v>
      </c>
      <c r="Y1154" t="b">
        <f>+ISNUMBER(SEARCH('F-COMPRA'!#REF!,Tabla11[[#This Row],[Cuenta]],1))</f>
        <v>0</v>
      </c>
      <c r="Z1154" t="b">
        <f>+ISNUMBER(SEARCH('F-COMPRA'!#REF!,Tabla11[[#This Row],[Cuenta]],1))</f>
        <v>0</v>
      </c>
      <c r="AA1154" t="b">
        <f>+ISNUMBER(SEARCH('F-COMPRA'!#REF!,Tabla11[[#This Row],[Cuenta]],1))</f>
        <v>0</v>
      </c>
      <c r="AB1154" t="b">
        <f>+ISNUMBER(SEARCH('F-COMPRA'!#REF!,Tabla11[[#This Row],[Cuenta]],1))</f>
        <v>0</v>
      </c>
      <c r="AC1154" t="b">
        <f>+ISNUMBER(SEARCH('F-COMPRA'!#REF!,Tabla11[[#This Row],[Cuenta]],1))</f>
        <v>0</v>
      </c>
      <c r="AD1154" t="b">
        <f>+ISNUMBER(SEARCH('F-COMPRA'!#REF!,Tabla11[[#This Row],[Cuenta]],1))</f>
        <v>0</v>
      </c>
      <c r="AE1154" t="b">
        <f>+ISNUMBER(SEARCH('F-COMPRA'!#REF!,Tabla11[[#This Row],[Cuenta]],1))</f>
        <v>0</v>
      </c>
      <c r="AF1154" t="b">
        <f>+ISNUMBER(SEARCH('F-VTA'!$G$23,Tabla11[[#This Row],[Cuenta]],1))</f>
        <v>0</v>
      </c>
      <c r="AG1154" t="b">
        <f>+ISNUMBER(SEARCH('F-VTA'!$G$24,Tabla11[[#This Row],[Cuenta]],1))</f>
        <v>0</v>
      </c>
      <c r="AH1154" t="b">
        <f>+ISNUMBER(SEARCH('F-VTA'!$G$25,Tabla11[[#This Row],[Cuenta]],1))</f>
        <v>0</v>
      </c>
      <c r="AI1154" t="b">
        <f>+ISNUMBER(SEARCH('F-VTA'!$F$28,Tabla11[[#This Row],[Cuenta]],1))</f>
        <v>1</v>
      </c>
      <c r="AJ1154" t="b">
        <f>+ISNUMBER(SEARCH('F-VTA'!$F$29,Tabla11[[#This Row],[Cuenta]],1))</f>
        <v>1</v>
      </c>
      <c r="AK1154" t="b">
        <f>+ISNUMBER(SEARCH('F-VTA'!$F$30,Tabla11[[#This Row],[Cuenta]],1))</f>
        <v>1</v>
      </c>
      <c r="AL1154" t="b">
        <f>+ISNUMBER(SEARCH('F-VTA'!$F$31,Tabla11[[#This Row],[Cuenta]],1))</f>
        <v>1</v>
      </c>
      <c r="AM1154" t="b">
        <f>+ISNUMBER(SEARCH('F-VTA'!$F$32,Tabla11[[#This Row],[Cuenta]],1))</f>
        <v>1</v>
      </c>
      <c r="AN1154" t="b">
        <f>+ISNUMBER(SEARCH('F-VTA'!$F$33,Tabla11[[#This Row],[Cuenta]],1))</f>
        <v>1</v>
      </c>
      <c r="AO1154" t="b">
        <f>+ISNUMBER(SEARCH('F-VTA'!$F$34,Tabla11[[#This Row],[Cuenta]],1))</f>
        <v>1</v>
      </c>
      <c r="AP1154" t="b">
        <f>+ISNUMBER(SEARCH('F-VTA'!$F$35,Tabla11[[#This Row],[Cuenta]],1))</f>
        <v>1</v>
      </c>
      <c r="AQ1154" t="b">
        <f>+ISNUMBER(SEARCH('F-VTA'!$F$36,Tabla11[[#This Row],[Cuenta]],1))</f>
        <v>1</v>
      </c>
      <c r="AR1154" t="b">
        <f>+ISNUMBER(SEARCH(#REF!,Tabla11[[#This Row],[Cuenta]],1))</f>
        <v>0</v>
      </c>
      <c r="AS1154" t="b">
        <f>+ISNUMBER(SEARCH(#REF!,Tabla11[[#This Row],[Cuenta]],1))</f>
        <v>0</v>
      </c>
      <c r="AT1154" t="b">
        <f>+ISNUMBER(SEARCH(#REF!,Tabla11[[#This Row],[Cuenta]],1))</f>
        <v>0</v>
      </c>
      <c r="AU1154" t="b">
        <f>+ISNUMBER(SEARCH('Conc. Ban.1'!$I$9,Tabla11[[#This Row],[Cuenta]],1))</f>
        <v>0</v>
      </c>
      <c r="AV1154" t="b">
        <f>+ISNUMBER(SEARCH(CompConta!$F$21,Tabla11[[#This Row],[Cuenta]],1))</f>
        <v>1</v>
      </c>
      <c r="AW1154" t="b">
        <f>+ISNUMBER(SEARCH(CompConta!$F$22,Tabla11[[#This Row],[Cuenta]],1))</f>
        <v>1</v>
      </c>
      <c r="AX1154" t="b">
        <f>+ISNUMBER(SEARCH(CompConta!$F$23,Tabla11[[#This Row],[Cuenta]],1))</f>
        <v>1</v>
      </c>
      <c r="AY1154" t="b">
        <f>+ISNUMBER(SEARCH(CompConta!$F$24,Tabla11[[#This Row],[Cuenta]],1))</f>
        <v>1</v>
      </c>
      <c r="AZ1154" t="b">
        <f>+ISNUMBER(SEARCH(CompConta!$F$25,Tabla11[[#This Row],[Cuenta]],1))</f>
        <v>1</v>
      </c>
      <c r="BA1154" t="b">
        <f>+ISNUMBER(SEARCH(CompConta!$F$26,Tabla11[[#This Row],[Cuenta]],1))</f>
        <v>1</v>
      </c>
      <c r="BB1154" t="b">
        <f>+ISNUMBER(SEARCH(CompConta!$F$27,Tabla11[[#This Row],[Cuenta]],1))</f>
        <v>1</v>
      </c>
      <c r="BC1154" t="b">
        <f>+ISNUMBER(SEARCH(CompConta!$F$28,Tabla11[[#This Row],[Cuenta]],1))</f>
        <v>1</v>
      </c>
      <c r="BD1154" t="b">
        <f>+ISNUMBER(SEARCH(CompConta!$F$29,Tabla11[[#This Row],[Cuenta]],1))</f>
        <v>1</v>
      </c>
      <c r="BE1154" t="b">
        <f>+ISNUMBER(SEARCH(CompConta!$F$30,Tabla11[[#This Row],[Cuenta]],1))</f>
        <v>1</v>
      </c>
      <c r="BF1154" t="b">
        <f>+ISNUMBER(SEARCH('PAGO Compras'!$E$11,Tabla11[[#This Row],[Cuenta]],1))</f>
        <v>1</v>
      </c>
      <c r="BG1154" t="b">
        <f>+ISNUMBER(SEARCH(#REF!,Tabla11[[#This Row],[Cuenta]],1))</f>
        <v>0</v>
      </c>
      <c r="BH1154" t="b">
        <f>+ISNUMBER(SEARCH(#REF!,Tabla11[[#This Row],[Cuenta]],1))</f>
        <v>0</v>
      </c>
      <c r="BI1154" t="b">
        <f>+ISNUMBER(SEARCH(#REF!,Tabla11[[#This Row],[Cuenta]],1))</f>
        <v>0</v>
      </c>
      <c r="BJ1154" t="b">
        <f>+ISNUMBER(SEARCH(#REF!,Tabla11[[#This Row],[Cuenta]],1))</f>
        <v>0</v>
      </c>
      <c r="BS1154" t="str">
        <v>73 COSTOS INDIRECTOS</v>
      </c>
      <c r="BT1154" t="str">
        <v>73 COSTOS INDIRECTOS</v>
      </c>
      <c r="BU1154" t="str">
        <v>73 COSTOS INDIRECTOS</v>
      </c>
      <c r="BV1154" t="str">
        <v>73 COSTOS INDIRECTOS</v>
      </c>
      <c r="BZ1154" t="str">
        <v>73 COSTOS INDIRECTOS</v>
      </c>
      <c r="CA1154" t="str">
        <v>73 COSTOS INDIRECTOS</v>
      </c>
      <c r="CB1154" t="str">
        <v>73 COSTOS INDIRECTOS</v>
      </c>
      <c r="CC1154" t="str">
        <v>73 COSTOS INDIRECTOS</v>
      </c>
      <c r="CD1154" t="str">
        <v>73 COSTOS INDIRECTOS</v>
      </c>
      <c r="CE1154" t="str">
        <v>73 COSTOS INDIRECTOS</v>
      </c>
      <c r="CS1154" s="141" t="str">
        <v>73 COSTOS INDIRECTOS</v>
      </c>
      <c r="CT1154" s="141" t="str">
        <v>73 COSTOS INDIRECTOS</v>
      </c>
      <c r="CU1154" s="141" t="str">
        <v>73 COSTOS INDIRECTOS</v>
      </c>
      <c r="CV1154" s="141" t="str">
        <v>73 COSTOS INDIRECTOS</v>
      </c>
      <c r="CW1154" s="141" t="str">
        <v>73 COSTOS INDIRECTOS</v>
      </c>
      <c r="CX1154" s="141" t="str">
        <v>73 COSTOS INDIRECTOS</v>
      </c>
      <c r="CY1154" s="141" t="str">
        <v>73 COSTOS INDIRECTOS</v>
      </c>
      <c r="CZ1154" s="141" t="str">
        <v>73 COSTOS INDIRECTOS</v>
      </c>
      <c r="DA1154" s="141" t="str">
        <v>73 COSTOS INDIRECTOS</v>
      </c>
      <c r="DF1154" t="str">
        <v>73 COSTOS INDIRECTOS</v>
      </c>
      <c r="DG1154" t="str">
        <v>73 COSTOS INDIRECTOS</v>
      </c>
      <c r="DH1154" t="str">
        <v>73 COSTOS INDIRECTOS</v>
      </c>
      <c r="DI1154" t="str">
        <v>73 COSTOS INDIRECTOS</v>
      </c>
      <c r="DJ1154" t="str">
        <v>73 COSTOS INDIRECTOS</v>
      </c>
      <c r="DK1154" t="str">
        <v>73 COSTOS INDIRECTOS</v>
      </c>
      <c r="DL1154" t="str">
        <v>73 COSTOS INDIRECTOS</v>
      </c>
      <c r="DM1154" t="str">
        <v>73 COSTOS INDIRECTOS</v>
      </c>
      <c r="DN1154" t="str">
        <v>73 COSTOS INDIRECTOS</v>
      </c>
      <c r="DO1154" t="str">
        <v>73 COSTOS INDIRECTOS</v>
      </c>
      <c r="DP1154" t="str">
        <v>73 COSTOS INDIRECTOS</v>
      </c>
    </row>
    <row r="1155" spans="4:120" ht="12.75">
      <c r="D1155" s="9">
        <v>74</v>
      </c>
      <c r="E1155" s="10" t="s">
        <v>671</v>
      </c>
      <c r="F1155" s="11">
        <v>2</v>
      </c>
      <c r="G1155" s="35"/>
      <c r="H1155" s="12" t="s">
        <v>32</v>
      </c>
      <c r="I1155" t="b">
        <f>+ISNUMBER(SEARCH('F-COMPRA'!$F$28,Tabla11[[#This Row],[Cuenta]],1))</f>
        <v>1</v>
      </c>
      <c r="J1155" t="b">
        <f>+ISNUMBER(SEARCH('F-COMPRA'!$F$29,Tabla11[[#This Row],[Cuenta]],1))</f>
        <v>1</v>
      </c>
      <c r="K1155" t="b">
        <f>+ISNUMBER(SEARCH('F-COMPRA'!$F$30,Tabla11[[#This Row],[Cuenta]],1))</f>
        <v>1</v>
      </c>
      <c r="L1155" t="b">
        <f>+ISNUMBER(SEARCH('F-COMPRA'!$F$31,Tabla11[[#This Row],[Cuenta]],1))</f>
        <v>1</v>
      </c>
      <c r="M1155" t="b">
        <f>+ISNUMBER(SEARCH('F-COMPRA'!$G$25,Tabla11[[#This Row],[Cuenta]],1))</f>
        <v>0</v>
      </c>
      <c r="N1155" t="b">
        <f>+ISNUMBER(SEARCH(#REF!,Tabla11[[#This Row],[Cuenta]],1))</f>
        <v>0</v>
      </c>
      <c r="O1155" t="b">
        <f>+ISNUMBER(SEARCH(#REF!,Tabla11[[#This Row],[Cuenta]],1))</f>
        <v>0</v>
      </c>
      <c r="P1155" t="b">
        <f>+ISNUMBER(SEARCH('F-COMPRA'!$F$32,Tabla11[[#This Row],[Cuenta]],1))</f>
        <v>1</v>
      </c>
      <c r="Q1155" t="b">
        <f>+ISNUMBER(SEARCH('F-COMPRA'!$F$33,Tabla11[[#This Row],[Cuenta]],1))</f>
        <v>1</v>
      </c>
      <c r="R1155" t="b">
        <f>+ISNUMBER(SEARCH('F-COMPRA'!$F$34,Tabla11[[#This Row],[Cuenta]],1))</f>
        <v>1</v>
      </c>
      <c r="S1155" t="b">
        <f>+ISNUMBER(SEARCH('F-COMPRA'!$F$35,Tabla11[[#This Row],[Cuenta]],1))</f>
        <v>1</v>
      </c>
      <c r="T1155" t="b">
        <f>+ISNUMBER(SEARCH('F-COMPRA'!$F$36,Tabla11[[#This Row],[Cuenta]],1))</f>
        <v>1</v>
      </c>
      <c r="U1155" t="b">
        <f>+ISNUMBER(SEARCH('F-COMPRA'!$F$37,Tabla11[[#This Row],[Cuenta]],1))</f>
        <v>1</v>
      </c>
      <c r="V1155" t="b">
        <f>+ISNUMBER(SEARCH(#REF!,Tabla11[[#This Row],[Cuenta]],1))</f>
        <v>0</v>
      </c>
      <c r="W1155" t="b">
        <f>+ISNUMBER(SEARCH('F-COMPRA'!#REF!,Tabla11[[#This Row],[Cuenta]],1))</f>
        <v>0</v>
      </c>
      <c r="X1155" t="b">
        <f>+ISNUMBER(SEARCH('F-COMPRA'!#REF!,Tabla11[[#This Row],[Cuenta]],1))</f>
        <v>0</v>
      </c>
      <c r="Y1155" t="b">
        <f>+ISNUMBER(SEARCH('F-COMPRA'!#REF!,Tabla11[[#This Row],[Cuenta]],1))</f>
        <v>0</v>
      </c>
      <c r="Z1155" t="b">
        <f>+ISNUMBER(SEARCH('F-COMPRA'!#REF!,Tabla11[[#This Row],[Cuenta]],1))</f>
        <v>0</v>
      </c>
      <c r="AA1155" t="b">
        <f>+ISNUMBER(SEARCH('F-COMPRA'!#REF!,Tabla11[[#This Row],[Cuenta]],1))</f>
        <v>0</v>
      </c>
      <c r="AB1155" t="b">
        <f>+ISNUMBER(SEARCH('F-COMPRA'!#REF!,Tabla11[[#This Row],[Cuenta]],1))</f>
        <v>0</v>
      </c>
      <c r="AC1155" t="b">
        <f>+ISNUMBER(SEARCH('F-COMPRA'!#REF!,Tabla11[[#This Row],[Cuenta]],1))</f>
        <v>0</v>
      </c>
      <c r="AD1155" t="b">
        <f>+ISNUMBER(SEARCH('F-COMPRA'!#REF!,Tabla11[[#This Row],[Cuenta]],1))</f>
        <v>0</v>
      </c>
      <c r="AE1155" t="b">
        <f>+ISNUMBER(SEARCH('F-COMPRA'!#REF!,Tabla11[[#This Row],[Cuenta]],1))</f>
        <v>0</v>
      </c>
      <c r="AF1155" t="b">
        <f>+ISNUMBER(SEARCH('F-VTA'!$G$23,Tabla11[[#This Row],[Cuenta]],1))</f>
        <v>0</v>
      </c>
      <c r="AG1155" t="b">
        <f>+ISNUMBER(SEARCH('F-VTA'!$G$24,Tabla11[[#This Row],[Cuenta]],1))</f>
        <v>0</v>
      </c>
      <c r="AH1155" t="b">
        <f>+ISNUMBER(SEARCH('F-VTA'!$G$25,Tabla11[[#This Row],[Cuenta]],1))</f>
        <v>0</v>
      </c>
      <c r="AI1155" t="b">
        <f>+ISNUMBER(SEARCH('F-VTA'!$F$28,Tabla11[[#This Row],[Cuenta]],1))</f>
        <v>1</v>
      </c>
      <c r="AJ1155" t="b">
        <f>+ISNUMBER(SEARCH('F-VTA'!$F$29,Tabla11[[#This Row],[Cuenta]],1))</f>
        <v>1</v>
      </c>
      <c r="AK1155" t="b">
        <f>+ISNUMBER(SEARCH('F-VTA'!$F$30,Tabla11[[#This Row],[Cuenta]],1))</f>
        <v>1</v>
      </c>
      <c r="AL1155" t="b">
        <f>+ISNUMBER(SEARCH('F-VTA'!$F$31,Tabla11[[#This Row],[Cuenta]],1))</f>
        <v>1</v>
      </c>
      <c r="AM1155" t="b">
        <f>+ISNUMBER(SEARCH('F-VTA'!$F$32,Tabla11[[#This Row],[Cuenta]],1))</f>
        <v>1</v>
      </c>
      <c r="AN1155" t="b">
        <f>+ISNUMBER(SEARCH('F-VTA'!$F$33,Tabla11[[#This Row],[Cuenta]],1))</f>
        <v>1</v>
      </c>
      <c r="AO1155" t="b">
        <f>+ISNUMBER(SEARCH('F-VTA'!$F$34,Tabla11[[#This Row],[Cuenta]],1))</f>
        <v>1</v>
      </c>
      <c r="AP1155" t="b">
        <f>+ISNUMBER(SEARCH('F-VTA'!$F$35,Tabla11[[#This Row],[Cuenta]],1))</f>
        <v>1</v>
      </c>
      <c r="AQ1155" t="b">
        <f>+ISNUMBER(SEARCH('F-VTA'!$F$36,Tabla11[[#This Row],[Cuenta]],1))</f>
        <v>1</v>
      </c>
      <c r="AR1155" t="b">
        <f>+ISNUMBER(SEARCH(#REF!,Tabla11[[#This Row],[Cuenta]],1))</f>
        <v>0</v>
      </c>
      <c r="AS1155" t="b">
        <f>+ISNUMBER(SEARCH(#REF!,Tabla11[[#This Row],[Cuenta]],1))</f>
        <v>0</v>
      </c>
      <c r="AT1155" t="b">
        <f>+ISNUMBER(SEARCH(#REF!,Tabla11[[#This Row],[Cuenta]],1))</f>
        <v>0</v>
      </c>
      <c r="AU1155" t="b">
        <f>+ISNUMBER(SEARCH('Conc. Ban.1'!$I$9,Tabla11[[#This Row],[Cuenta]],1))</f>
        <v>0</v>
      </c>
      <c r="AV1155" t="b">
        <f>+ISNUMBER(SEARCH(CompConta!$F$21,Tabla11[[#This Row],[Cuenta]],1))</f>
        <v>1</v>
      </c>
      <c r="AW1155" t="b">
        <f>+ISNUMBER(SEARCH(CompConta!$F$22,Tabla11[[#This Row],[Cuenta]],1))</f>
        <v>1</v>
      </c>
      <c r="AX1155" t="b">
        <f>+ISNUMBER(SEARCH(CompConta!$F$23,Tabla11[[#This Row],[Cuenta]],1))</f>
        <v>1</v>
      </c>
      <c r="AY1155" t="b">
        <f>+ISNUMBER(SEARCH(CompConta!$F$24,Tabla11[[#This Row],[Cuenta]],1))</f>
        <v>1</v>
      </c>
      <c r="AZ1155" t="b">
        <f>+ISNUMBER(SEARCH(CompConta!$F$25,Tabla11[[#This Row],[Cuenta]],1))</f>
        <v>1</v>
      </c>
      <c r="BA1155" t="b">
        <f>+ISNUMBER(SEARCH(CompConta!$F$26,Tabla11[[#This Row],[Cuenta]],1))</f>
        <v>1</v>
      </c>
      <c r="BB1155" t="b">
        <f>+ISNUMBER(SEARCH(CompConta!$F$27,Tabla11[[#This Row],[Cuenta]],1))</f>
        <v>1</v>
      </c>
      <c r="BC1155" t="b">
        <f>+ISNUMBER(SEARCH(CompConta!$F$28,Tabla11[[#This Row],[Cuenta]],1))</f>
        <v>1</v>
      </c>
      <c r="BD1155" t="b">
        <f>+ISNUMBER(SEARCH(CompConta!$F$29,Tabla11[[#This Row],[Cuenta]],1))</f>
        <v>1</v>
      </c>
      <c r="BE1155" t="b">
        <f>+ISNUMBER(SEARCH(CompConta!$F$30,Tabla11[[#This Row],[Cuenta]],1))</f>
        <v>1</v>
      </c>
      <c r="BF1155" t="b">
        <f>+ISNUMBER(SEARCH('PAGO Compras'!$E$11,Tabla11[[#This Row],[Cuenta]],1))</f>
        <v>1</v>
      </c>
      <c r="BG1155" t="b">
        <f>+ISNUMBER(SEARCH(#REF!,Tabla11[[#This Row],[Cuenta]],1))</f>
        <v>0</v>
      </c>
      <c r="BH1155" t="b">
        <f>+ISNUMBER(SEARCH(#REF!,Tabla11[[#This Row],[Cuenta]],1))</f>
        <v>0</v>
      </c>
      <c r="BI1155" t="b">
        <f>+ISNUMBER(SEARCH(#REF!,Tabla11[[#This Row],[Cuenta]],1))</f>
        <v>0</v>
      </c>
      <c r="BJ1155" t="b">
        <f>+ISNUMBER(SEARCH(#REF!,Tabla11[[#This Row],[Cuenta]],1))</f>
        <v>0</v>
      </c>
      <c r="BS1155" t="str">
        <v>74 CONTRATOS DE SERVICIOS</v>
      </c>
      <c r="BT1155" t="str">
        <v>74 CONTRATOS DE SERVICIOS</v>
      </c>
      <c r="BU1155" t="str">
        <v>74 CONTRATOS DE SERVICIOS</v>
      </c>
      <c r="BV1155" t="str">
        <v>74 CONTRATOS DE SERVICIOS</v>
      </c>
      <c r="BZ1155" t="str">
        <v>74 CONTRATOS DE SERVICIOS</v>
      </c>
      <c r="CA1155" t="str">
        <v>74 CONTRATOS DE SERVICIOS</v>
      </c>
      <c r="CB1155" t="str">
        <v>74 CONTRATOS DE SERVICIOS</v>
      </c>
      <c r="CC1155" t="str">
        <v>74 CONTRATOS DE SERVICIOS</v>
      </c>
      <c r="CD1155" t="str">
        <v>74 CONTRATOS DE SERVICIOS</v>
      </c>
      <c r="CE1155" t="str">
        <v>74 CONTRATOS DE SERVICIOS</v>
      </c>
      <c r="CS1155" s="141" t="str">
        <v>74 CONTRATOS DE SERVICIOS</v>
      </c>
      <c r="CT1155" s="141" t="str">
        <v>74 CONTRATOS DE SERVICIOS</v>
      </c>
      <c r="CU1155" s="141" t="str">
        <v>74 CONTRATOS DE SERVICIOS</v>
      </c>
      <c r="CV1155" s="141" t="str">
        <v>74 CONTRATOS DE SERVICIOS</v>
      </c>
      <c r="CW1155" s="141" t="str">
        <v>74 CONTRATOS DE SERVICIOS</v>
      </c>
      <c r="CX1155" s="141" t="str">
        <v>74 CONTRATOS DE SERVICIOS</v>
      </c>
      <c r="CY1155" s="141" t="str">
        <v>74 CONTRATOS DE SERVICIOS</v>
      </c>
      <c r="CZ1155" s="141" t="str">
        <v>74 CONTRATOS DE SERVICIOS</v>
      </c>
      <c r="DA1155" s="141" t="str">
        <v>74 CONTRATOS DE SERVICIOS</v>
      </c>
      <c r="DF1155" t="str">
        <v>74 CONTRATOS DE SERVICIOS</v>
      </c>
      <c r="DG1155" t="str">
        <v>74 CONTRATOS DE SERVICIOS</v>
      </c>
      <c r="DH1155" t="str">
        <v>74 CONTRATOS DE SERVICIOS</v>
      </c>
      <c r="DI1155" t="str">
        <v>74 CONTRATOS DE SERVICIOS</v>
      </c>
      <c r="DJ1155" t="str">
        <v>74 CONTRATOS DE SERVICIOS</v>
      </c>
      <c r="DK1155" t="str">
        <v>74 CONTRATOS DE SERVICIOS</v>
      </c>
      <c r="DL1155" t="str">
        <v>74 CONTRATOS DE SERVICIOS</v>
      </c>
      <c r="DM1155" t="str">
        <v>74 CONTRATOS DE SERVICIOS</v>
      </c>
      <c r="DN1155" t="str">
        <v>74 CONTRATOS DE SERVICIOS</v>
      </c>
      <c r="DO1155" t="str">
        <v>74 CONTRATOS DE SERVICIOS</v>
      </c>
      <c r="DP1155" t="str">
        <v>74 CONTRATOS DE SERVICIOS</v>
      </c>
    </row>
    <row r="1156" spans="4:120" ht="12.75">
      <c r="D1156" s="9">
        <v>9</v>
      </c>
      <c r="E1156" s="6" t="s">
        <v>810</v>
      </c>
      <c r="F1156" s="11">
        <v>1</v>
      </c>
      <c r="G1156" s="35"/>
      <c r="H1156" s="12" t="s">
        <v>812</v>
      </c>
      <c r="I1156" t="b">
        <f>+ISNUMBER(SEARCH('F-COMPRA'!$F$28,Tabla11[[#This Row],[Cuenta]],1))</f>
        <v>1</v>
      </c>
      <c r="J1156" t="b">
        <f>+ISNUMBER(SEARCH('F-COMPRA'!$F$29,Tabla11[[#This Row],[Cuenta]],1))</f>
        <v>1</v>
      </c>
      <c r="K1156" t="b">
        <f>+ISNUMBER(SEARCH('F-COMPRA'!$F$30,Tabla11[[#This Row],[Cuenta]],1))</f>
        <v>1</v>
      </c>
      <c r="L1156" t="b">
        <f>+ISNUMBER(SEARCH('F-COMPRA'!$F$31,Tabla11[[#This Row],[Cuenta]],1))</f>
        <v>1</v>
      </c>
      <c r="M1156" t="b">
        <f>+ISNUMBER(SEARCH('F-COMPRA'!$G$25,Tabla11[[#This Row],[Cuenta]],1))</f>
        <v>0</v>
      </c>
      <c r="N1156" t="b">
        <f>+ISNUMBER(SEARCH(#REF!,Tabla11[[#This Row],[Cuenta]],1))</f>
        <v>0</v>
      </c>
      <c r="O1156" t="b">
        <f>+ISNUMBER(SEARCH(#REF!,Tabla11[[#This Row],[Cuenta]],1))</f>
        <v>0</v>
      </c>
      <c r="P1156" t="b">
        <f>+ISNUMBER(SEARCH('F-COMPRA'!$F$32,Tabla11[[#This Row],[Cuenta]],1))</f>
        <v>1</v>
      </c>
      <c r="Q1156" t="b">
        <f>+ISNUMBER(SEARCH('F-COMPRA'!$F$33,Tabla11[[#This Row],[Cuenta]],1))</f>
        <v>1</v>
      </c>
      <c r="R1156" t="b">
        <f>+ISNUMBER(SEARCH('F-COMPRA'!$F$34,Tabla11[[#This Row],[Cuenta]],1))</f>
        <v>1</v>
      </c>
      <c r="S1156" t="b">
        <f>+ISNUMBER(SEARCH('F-COMPRA'!$F$35,Tabla11[[#This Row],[Cuenta]],1))</f>
        <v>1</v>
      </c>
      <c r="T1156" t="b">
        <f>+ISNUMBER(SEARCH('F-COMPRA'!$F$36,Tabla11[[#This Row],[Cuenta]],1))</f>
        <v>1</v>
      </c>
      <c r="U1156" t="b">
        <f>+ISNUMBER(SEARCH('F-COMPRA'!$F$37,Tabla11[[#This Row],[Cuenta]],1))</f>
        <v>1</v>
      </c>
      <c r="V1156" t="b">
        <f>+ISNUMBER(SEARCH(#REF!,Tabla11[[#This Row],[Cuenta]],1))</f>
        <v>0</v>
      </c>
      <c r="W1156" t="b">
        <f>+ISNUMBER(SEARCH('F-COMPRA'!#REF!,Tabla11[[#This Row],[Cuenta]],1))</f>
        <v>0</v>
      </c>
      <c r="X1156" t="b">
        <f>+ISNUMBER(SEARCH('F-COMPRA'!#REF!,Tabla11[[#This Row],[Cuenta]],1))</f>
        <v>0</v>
      </c>
      <c r="Y1156" t="b">
        <f>+ISNUMBER(SEARCH('F-COMPRA'!#REF!,Tabla11[[#This Row],[Cuenta]],1))</f>
        <v>0</v>
      </c>
      <c r="Z1156" t="b">
        <f>+ISNUMBER(SEARCH('F-COMPRA'!#REF!,Tabla11[[#This Row],[Cuenta]],1))</f>
        <v>0</v>
      </c>
      <c r="AA1156" t="b">
        <f>+ISNUMBER(SEARCH('F-COMPRA'!#REF!,Tabla11[[#This Row],[Cuenta]],1))</f>
        <v>0</v>
      </c>
      <c r="AB1156" t="b">
        <f>+ISNUMBER(SEARCH('F-COMPRA'!#REF!,Tabla11[[#This Row],[Cuenta]],1))</f>
        <v>0</v>
      </c>
      <c r="AC1156" t="b">
        <f>+ISNUMBER(SEARCH('F-COMPRA'!#REF!,Tabla11[[#This Row],[Cuenta]],1))</f>
        <v>0</v>
      </c>
      <c r="AD1156" t="b">
        <f>+ISNUMBER(SEARCH('F-COMPRA'!#REF!,Tabla11[[#This Row],[Cuenta]],1))</f>
        <v>0</v>
      </c>
      <c r="AE1156" t="b">
        <f>+ISNUMBER(SEARCH('F-COMPRA'!#REF!,Tabla11[[#This Row],[Cuenta]],1))</f>
        <v>0</v>
      </c>
      <c r="AF1156" t="b">
        <f>+ISNUMBER(SEARCH('F-VTA'!$G$23,Tabla11[[#This Row],[Cuenta]],1))</f>
        <v>0</v>
      </c>
      <c r="AG1156" t="b">
        <f>+ISNUMBER(SEARCH('F-VTA'!$G$24,Tabla11[[#This Row],[Cuenta]],1))</f>
        <v>0</v>
      </c>
      <c r="AH1156" t="b">
        <f>+ISNUMBER(SEARCH('F-VTA'!$G$25,Tabla11[[#This Row],[Cuenta]],1))</f>
        <v>0</v>
      </c>
      <c r="AI1156" t="b">
        <f>+ISNUMBER(SEARCH('F-VTA'!$F$28,Tabla11[[#This Row],[Cuenta]],1))</f>
        <v>1</v>
      </c>
      <c r="AJ1156" t="b">
        <f>+ISNUMBER(SEARCH('F-VTA'!$F$29,Tabla11[[#This Row],[Cuenta]],1))</f>
        <v>1</v>
      </c>
      <c r="AK1156" t="b">
        <f>+ISNUMBER(SEARCH('F-VTA'!$F$30,Tabla11[[#This Row],[Cuenta]],1))</f>
        <v>1</v>
      </c>
      <c r="AL1156" t="b">
        <f>+ISNUMBER(SEARCH('F-VTA'!$F$31,Tabla11[[#This Row],[Cuenta]],1))</f>
        <v>1</v>
      </c>
      <c r="AM1156" t="b">
        <f>+ISNUMBER(SEARCH('F-VTA'!$F$32,Tabla11[[#This Row],[Cuenta]],1))</f>
        <v>1</v>
      </c>
      <c r="AN1156" t="b">
        <f>+ISNUMBER(SEARCH('F-VTA'!$F$33,Tabla11[[#This Row],[Cuenta]],1))</f>
        <v>1</v>
      </c>
      <c r="AO1156" t="b">
        <f>+ISNUMBER(SEARCH('F-VTA'!$F$34,Tabla11[[#This Row],[Cuenta]],1))</f>
        <v>1</v>
      </c>
      <c r="AP1156" t="b">
        <f>+ISNUMBER(SEARCH('F-VTA'!$F$35,Tabla11[[#This Row],[Cuenta]],1))</f>
        <v>1</v>
      </c>
      <c r="AQ1156" t="b">
        <f>+ISNUMBER(SEARCH('F-VTA'!$F$36,Tabla11[[#This Row],[Cuenta]],1))</f>
        <v>1</v>
      </c>
      <c r="AR1156" t="b">
        <f>+ISNUMBER(SEARCH(#REF!,Tabla11[[#This Row],[Cuenta]],1))</f>
        <v>0</v>
      </c>
      <c r="AS1156" t="b">
        <f>+ISNUMBER(SEARCH(#REF!,Tabla11[[#This Row],[Cuenta]],1))</f>
        <v>0</v>
      </c>
      <c r="AT1156" t="b">
        <f>+ISNUMBER(SEARCH(#REF!,Tabla11[[#This Row],[Cuenta]],1))</f>
        <v>0</v>
      </c>
      <c r="AU1156" t="b">
        <f>+ISNUMBER(SEARCH('Conc. Ban.1'!$I$9,Tabla11[[#This Row],[Cuenta]],1))</f>
        <v>0</v>
      </c>
      <c r="AV1156" t="b">
        <f>+ISNUMBER(SEARCH(CompConta!$F$21,Tabla11[[#This Row],[Cuenta]],1))</f>
        <v>1</v>
      </c>
      <c r="AW1156" t="b">
        <f>+ISNUMBER(SEARCH(CompConta!$F$22,Tabla11[[#This Row],[Cuenta]],1))</f>
        <v>1</v>
      </c>
      <c r="AX1156" t="b">
        <f>+ISNUMBER(SEARCH(CompConta!$F$23,Tabla11[[#This Row],[Cuenta]],1))</f>
        <v>1</v>
      </c>
      <c r="AY1156" t="b">
        <f>+ISNUMBER(SEARCH(CompConta!$F$24,Tabla11[[#This Row],[Cuenta]],1))</f>
        <v>1</v>
      </c>
      <c r="AZ1156" t="b">
        <f>+ISNUMBER(SEARCH(CompConta!$F$25,Tabla11[[#This Row],[Cuenta]],1))</f>
        <v>1</v>
      </c>
      <c r="BA1156" t="b">
        <f>+ISNUMBER(SEARCH(CompConta!$F$26,Tabla11[[#This Row],[Cuenta]],1))</f>
        <v>1</v>
      </c>
      <c r="BB1156" t="b">
        <f>+ISNUMBER(SEARCH(CompConta!$F$27,Tabla11[[#This Row],[Cuenta]],1))</f>
        <v>1</v>
      </c>
      <c r="BC1156" t="b">
        <f>+ISNUMBER(SEARCH(CompConta!$F$28,Tabla11[[#This Row],[Cuenta]],1))</f>
        <v>1</v>
      </c>
      <c r="BD1156" t="b">
        <f>+ISNUMBER(SEARCH(CompConta!$F$29,Tabla11[[#This Row],[Cuenta]],1))</f>
        <v>1</v>
      </c>
      <c r="BE1156" t="b">
        <f>+ISNUMBER(SEARCH(CompConta!$F$30,Tabla11[[#This Row],[Cuenta]],1))</f>
        <v>1</v>
      </c>
      <c r="BF1156" t="b">
        <f>+ISNUMBER(SEARCH('PAGO Compras'!$E$11,Tabla11[[#This Row],[Cuenta]],1))</f>
        <v>1</v>
      </c>
      <c r="BG1156" t="b">
        <f>+ISNUMBER(SEARCH(#REF!,Tabla11[[#This Row],[Cuenta]],1))</f>
        <v>0</v>
      </c>
      <c r="BH1156" t="b">
        <f>+ISNUMBER(SEARCH(#REF!,Tabla11[[#This Row],[Cuenta]],1))</f>
        <v>0</v>
      </c>
      <c r="BI1156" t="b">
        <f>+ISNUMBER(SEARCH(#REF!,Tabla11[[#This Row],[Cuenta]],1))</f>
        <v>0</v>
      </c>
      <c r="BJ1156" t="b">
        <f>+ISNUMBER(SEARCH(#REF!,Tabla11[[#This Row],[Cuenta]],1))</f>
        <v>0</v>
      </c>
      <c r="BS1156" t="str">
        <v>9 CUENTA PUENTE</v>
      </c>
      <c r="BT1156" t="str">
        <v>9 CUENTA PUENTE</v>
      </c>
      <c r="BU1156" t="str">
        <v>9 CUENTA PUENTE</v>
      </c>
      <c r="BV1156" t="str">
        <v>9 CUENTA PUENTE</v>
      </c>
      <c r="BZ1156" t="str">
        <v>9 CUENTA PUENTE</v>
      </c>
      <c r="CA1156" t="str">
        <v>9 CUENTA PUENTE</v>
      </c>
      <c r="CB1156" t="str">
        <v>9 CUENTA PUENTE</v>
      </c>
      <c r="CC1156" t="str">
        <v>9 CUENTA PUENTE</v>
      </c>
      <c r="CD1156" t="str">
        <v>9 CUENTA PUENTE</v>
      </c>
      <c r="CE1156" t="str">
        <v>9 CUENTA PUENTE</v>
      </c>
      <c r="CL1156" s="141"/>
      <c r="CM1156" s="141"/>
      <c r="CN1156" s="141"/>
      <c r="CO1156" s="141"/>
      <c r="CS1156" s="141" t="str">
        <v>9 CUENTA PUENTE</v>
      </c>
      <c r="CT1156" s="141" t="str">
        <v>9 CUENTA PUENTE</v>
      </c>
      <c r="CU1156" s="141" t="str">
        <v>9 CUENTA PUENTE</v>
      </c>
      <c r="CV1156" s="141" t="str">
        <v>9 CUENTA PUENTE</v>
      </c>
      <c r="CW1156" s="141" t="str">
        <v>9 CUENTA PUENTE</v>
      </c>
      <c r="CX1156" s="141" t="str">
        <v>9 CUENTA PUENTE</v>
      </c>
      <c r="CY1156" s="141" t="str">
        <v>9 CUENTA PUENTE</v>
      </c>
      <c r="CZ1156" s="141" t="str">
        <v>9 CUENTA PUENTE</v>
      </c>
      <c r="DA1156" s="141" t="str">
        <v>9 CUENTA PUENTE</v>
      </c>
      <c r="DB1156"/>
      <c r="DC1156"/>
      <c r="DD1156"/>
      <c r="DE1156"/>
      <c r="DF1156" t="str">
        <v>9 CUENTA PUENTE</v>
      </c>
      <c r="DG1156" t="str">
        <v>9 CUENTA PUENTE</v>
      </c>
      <c r="DH1156" t="str">
        <v>9 CUENTA PUENTE</v>
      </c>
      <c r="DI1156" t="str">
        <v>9 CUENTA PUENTE</v>
      </c>
      <c r="DJ1156" t="str">
        <v>9 CUENTA PUENTE</v>
      </c>
      <c r="DK1156" t="str">
        <v>9 CUENTA PUENTE</v>
      </c>
      <c r="DL1156" t="str">
        <v>9 CUENTA PUENTE</v>
      </c>
      <c r="DM1156" t="str">
        <v>9 CUENTA PUENTE</v>
      </c>
      <c r="DN1156" t="str">
        <v>9 CUENTA PUENTE</v>
      </c>
      <c r="DO1156" t="str">
        <v>9 CUENTA PUENTE</v>
      </c>
      <c r="DP1156" t="str">
        <v>9 CUENTA PUENTE</v>
      </c>
    </row>
    <row r="1157" spans="4:120" ht="12.75">
      <c r="D1157" s="7">
        <v>99</v>
      </c>
      <c r="E1157" s="6" t="s">
        <v>810</v>
      </c>
      <c r="F1157" s="5">
        <v>2</v>
      </c>
      <c r="G1157" s="35"/>
      <c r="H1157" s="12" t="s">
        <v>812</v>
      </c>
      <c r="I1157" t="b">
        <f>+ISNUMBER(SEARCH('F-COMPRA'!$F$28,Tabla11[[#This Row],[Cuenta]],1))</f>
        <v>1</v>
      </c>
      <c r="J1157" t="b">
        <f>+ISNUMBER(SEARCH('F-COMPRA'!$F$29,Tabla11[[#This Row],[Cuenta]],1))</f>
        <v>1</v>
      </c>
      <c r="K1157" t="b">
        <f>+ISNUMBER(SEARCH('F-COMPRA'!$F$30,Tabla11[[#This Row],[Cuenta]],1))</f>
        <v>1</v>
      </c>
      <c r="L1157" t="b">
        <f>+ISNUMBER(SEARCH('F-COMPRA'!$F$31,Tabla11[[#This Row],[Cuenta]],1))</f>
        <v>1</v>
      </c>
      <c r="M1157" t="b">
        <f>+ISNUMBER(SEARCH('F-COMPRA'!$G$25,Tabla11[[#This Row],[Cuenta]],1))</f>
        <v>0</v>
      </c>
      <c r="N1157" t="b">
        <f>+ISNUMBER(SEARCH(#REF!,Tabla11[[#This Row],[Cuenta]],1))</f>
        <v>0</v>
      </c>
      <c r="O1157" t="b">
        <f>+ISNUMBER(SEARCH(#REF!,Tabla11[[#This Row],[Cuenta]],1))</f>
        <v>0</v>
      </c>
      <c r="P1157" t="b">
        <f>+ISNUMBER(SEARCH('F-COMPRA'!$F$32,Tabla11[[#This Row],[Cuenta]],1))</f>
        <v>1</v>
      </c>
      <c r="Q1157" t="b">
        <f>+ISNUMBER(SEARCH('F-COMPRA'!$F$33,Tabla11[[#This Row],[Cuenta]],1))</f>
        <v>1</v>
      </c>
      <c r="R1157" t="b">
        <f>+ISNUMBER(SEARCH('F-COMPRA'!$F$34,Tabla11[[#This Row],[Cuenta]],1))</f>
        <v>1</v>
      </c>
      <c r="S1157" t="b">
        <f>+ISNUMBER(SEARCH('F-COMPRA'!$F$35,Tabla11[[#This Row],[Cuenta]],1))</f>
        <v>1</v>
      </c>
      <c r="T1157" t="b">
        <f>+ISNUMBER(SEARCH('F-COMPRA'!$F$36,Tabla11[[#This Row],[Cuenta]],1))</f>
        <v>1</v>
      </c>
      <c r="U1157" t="b">
        <f>+ISNUMBER(SEARCH('F-COMPRA'!$F$37,Tabla11[[#This Row],[Cuenta]],1))</f>
        <v>1</v>
      </c>
      <c r="V1157" t="b">
        <f>+ISNUMBER(SEARCH(#REF!,Tabla11[[#This Row],[Cuenta]],1))</f>
        <v>0</v>
      </c>
      <c r="W1157" t="b">
        <f>+ISNUMBER(SEARCH('F-COMPRA'!#REF!,Tabla11[[#This Row],[Cuenta]],1))</f>
        <v>0</v>
      </c>
      <c r="X1157" t="b">
        <f>+ISNUMBER(SEARCH('F-COMPRA'!#REF!,Tabla11[[#This Row],[Cuenta]],1))</f>
        <v>0</v>
      </c>
      <c r="Y1157" t="b">
        <f>+ISNUMBER(SEARCH('F-COMPRA'!#REF!,Tabla11[[#This Row],[Cuenta]],1))</f>
        <v>0</v>
      </c>
      <c r="Z1157" t="b">
        <f>+ISNUMBER(SEARCH('F-COMPRA'!#REF!,Tabla11[[#This Row],[Cuenta]],1))</f>
        <v>0</v>
      </c>
      <c r="AA1157" t="b">
        <f>+ISNUMBER(SEARCH('F-COMPRA'!#REF!,Tabla11[[#This Row],[Cuenta]],1))</f>
        <v>0</v>
      </c>
      <c r="AB1157" t="b">
        <f>+ISNUMBER(SEARCH('F-COMPRA'!#REF!,Tabla11[[#This Row],[Cuenta]],1))</f>
        <v>0</v>
      </c>
      <c r="AC1157" t="b">
        <f>+ISNUMBER(SEARCH('F-COMPRA'!#REF!,Tabla11[[#This Row],[Cuenta]],1))</f>
        <v>0</v>
      </c>
      <c r="AD1157" t="b">
        <f>+ISNUMBER(SEARCH('F-COMPRA'!#REF!,Tabla11[[#This Row],[Cuenta]],1))</f>
        <v>0</v>
      </c>
      <c r="AE1157" t="b">
        <f>+ISNUMBER(SEARCH('F-COMPRA'!#REF!,Tabla11[[#This Row],[Cuenta]],1))</f>
        <v>0</v>
      </c>
      <c r="AF1157" t="b">
        <f>+ISNUMBER(SEARCH('F-VTA'!$G$23,Tabla11[[#This Row],[Cuenta]],1))</f>
        <v>0</v>
      </c>
      <c r="AG1157" t="b">
        <f>+ISNUMBER(SEARCH('F-VTA'!$G$24,Tabla11[[#This Row],[Cuenta]],1))</f>
        <v>0</v>
      </c>
      <c r="AH1157" t="b">
        <f>+ISNUMBER(SEARCH('F-VTA'!$G$25,Tabla11[[#This Row],[Cuenta]],1))</f>
        <v>0</v>
      </c>
      <c r="AI1157" t="b">
        <f>+ISNUMBER(SEARCH('F-VTA'!$F$28,Tabla11[[#This Row],[Cuenta]],1))</f>
        <v>1</v>
      </c>
      <c r="AJ1157" t="b">
        <f>+ISNUMBER(SEARCH('F-VTA'!$F$29,Tabla11[[#This Row],[Cuenta]],1))</f>
        <v>1</v>
      </c>
      <c r="AK1157" t="b">
        <f>+ISNUMBER(SEARCH('F-VTA'!$F$30,Tabla11[[#This Row],[Cuenta]],1))</f>
        <v>1</v>
      </c>
      <c r="AL1157" t="b">
        <f>+ISNUMBER(SEARCH('F-VTA'!$F$31,Tabla11[[#This Row],[Cuenta]],1))</f>
        <v>1</v>
      </c>
      <c r="AM1157" t="b">
        <f>+ISNUMBER(SEARCH('F-VTA'!$F$32,Tabla11[[#This Row],[Cuenta]],1))</f>
        <v>1</v>
      </c>
      <c r="AN1157" t="b">
        <f>+ISNUMBER(SEARCH('F-VTA'!$F$33,Tabla11[[#This Row],[Cuenta]],1))</f>
        <v>1</v>
      </c>
      <c r="AO1157" t="b">
        <f>+ISNUMBER(SEARCH('F-VTA'!$F$34,Tabla11[[#This Row],[Cuenta]],1))</f>
        <v>1</v>
      </c>
      <c r="AP1157" t="b">
        <f>+ISNUMBER(SEARCH('F-VTA'!$F$35,Tabla11[[#This Row],[Cuenta]],1))</f>
        <v>1</v>
      </c>
      <c r="AQ1157" t="b">
        <f>+ISNUMBER(SEARCH('F-VTA'!$F$36,Tabla11[[#This Row],[Cuenta]],1))</f>
        <v>1</v>
      </c>
      <c r="AR1157" t="b">
        <f>+ISNUMBER(SEARCH(#REF!,Tabla11[[#This Row],[Cuenta]],1))</f>
        <v>0</v>
      </c>
      <c r="AS1157" t="b">
        <f>+ISNUMBER(SEARCH(#REF!,Tabla11[[#This Row],[Cuenta]],1))</f>
        <v>0</v>
      </c>
      <c r="AT1157" t="b">
        <f>+ISNUMBER(SEARCH(#REF!,Tabla11[[#This Row],[Cuenta]],1))</f>
        <v>0</v>
      </c>
      <c r="AU1157" t="b">
        <f>+ISNUMBER(SEARCH('Conc. Ban.1'!$I$9,Tabla11[[#This Row],[Cuenta]],1))</f>
        <v>0</v>
      </c>
      <c r="AV1157" t="b">
        <f>+ISNUMBER(SEARCH(CompConta!$F$21,Tabla11[[#This Row],[Cuenta]],1))</f>
        <v>1</v>
      </c>
      <c r="AW1157" t="b">
        <f>+ISNUMBER(SEARCH(CompConta!$F$22,Tabla11[[#This Row],[Cuenta]],1))</f>
        <v>1</v>
      </c>
      <c r="AX1157" t="b">
        <f>+ISNUMBER(SEARCH(CompConta!$F$23,Tabla11[[#This Row],[Cuenta]],1))</f>
        <v>1</v>
      </c>
      <c r="AY1157" t="b">
        <f>+ISNUMBER(SEARCH(CompConta!$F$24,Tabla11[[#This Row],[Cuenta]],1))</f>
        <v>1</v>
      </c>
      <c r="AZ1157" t="b">
        <f>+ISNUMBER(SEARCH(CompConta!$F$25,Tabla11[[#This Row],[Cuenta]],1))</f>
        <v>1</v>
      </c>
      <c r="BA1157" t="b">
        <f>+ISNUMBER(SEARCH(CompConta!$F$26,Tabla11[[#This Row],[Cuenta]],1))</f>
        <v>1</v>
      </c>
      <c r="BB1157" t="b">
        <f>+ISNUMBER(SEARCH(CompConta!$F$27,Tabla11[[#This Row],[Cuenta]],1))</f>
        <v>1</v>
      </c>
      <c r="BC1157" t="b">
        <f>+ISNUMBER(SEARCH(CompConta!$F$28,Tabla11[[#This Row],[Cuenta]],1))</f>
        <v>1</v>
      </c>
      <c r="BD1157" t="b">
        <f>+ISNUMBER(SEARCH(CompConta!$F$29,Tabla11[[#This Row],[Cuenta]],1))</f>
        <v>1</v>
      </c>
      <c r="BE1157" t="b">
        <f>+ISNUMBER(SEARCH(CompConta!$F$30,Tabla11[[#This Row],[Cuenta]],1))</f>
        <v>1</v>
      </c>
      <c r="BF1157" t="b">
        <f>+ISNUMBER(SEARCH('PAGO Compras'!$E$11,Tabla11[[#This Row],[Cuenta]],1))</f>
        <v>1</v>
      </c>
      <c r="BG1157" t="b">
        <f>+ISNUMBER(SEARCH(#REF!,Tabla11[[#This Row],[Cuenta]],1))</f>
        <v>0</v>
      </c>
      <c r="BH1157" t="b">
        <f>+ISNUMBER(SEARCH(#REF!,Tabla11[[#This Row],[Cuenta]],1))</f>
        <v>0</v>
      </c>
      <c r="BI1157" t="b">
        <f>+ISNUMBER(SEARCH(#REF!,Tabla11[[#This Row],[Cuenta]],1))</f>
        <v>0</v>
      </c>
      <c r="BJ1157" t="b">
        <f>+ISNUMBER(SEARCH(#REF!,Tabla11[[#This Row],[Cuenta]],1))</f>
        <v>0</v>
      </c>
      <c r="BS1157" t="str">
        <v>99 CUENTA PUENTE</v>
      </c>
      <c r="BT1157" t="str">
        <v>99 CUENTA PUENTE</v>
      </c>
      <c r="BU1157" t="str">
        <v>99 CUENTA PUENTE</v>
      </c>
      <c r="BV1157" t="str">
        <v>99 CUENTA PUENTE</v>
      </c>
      <c r="BZ1157" t="str">
        <v>99 CUENTA PUENTE</v>
      </c>
      <c r="CA1157" t="str">
        <v>99 CUENTA PUENTE</v>
      </c>
      <c r="CB1157" t="str">
        <v>99 CUENTA PUENTE</v>
      </c>
      <c r="CC1157" t="str">
        <v>99 CUENTA PUENTE</v>
      </c>
      <c r="CD1157" t="str">
        <v>99 CUENTA PUENTE</v>
      </c>
      <c r="CE1157" t="str">
        <v>99 CUENTA PUENTE</v>
      </c>
      <c r="CL1157" s="141"/>
      <c r="CM1157" s="141"/>
      <c r="CN1157" s="141"/>
      <c r="CO1157" s="141"/>
      <c r="CS1157" s="141" t="str">
        <v>99 CUENTA PUENTE</v>
      </c>
      <c r="CT1157" s="141" t="str">
        <v>99 CUENTA PUENTE</v>
      </c>
      <c r="CU1157" s="141" t="str">
        <v>99 CUENTA PUENTE</v>
      </c>
      <c r="CV1157" s="141" t="str">
        <v>99 CUENTA PUENTE</v>
      </c>
      <c r="CW1157" s="141" t="str">
        <v>99 CUENTA PUENTE</v>
      </c>
      <c r="CX1157" s="141" t="str">
        <v>99 CUENTA PUENTE</v>
      </c>
      <c r="CY1157" s="141" t="str">
        <v>99 CUENTA PUENTE</v>
      </c>
      <c r="CZ1157" s="141" t="str">
        <v>99 CUENTA PUENTE</v>
      </c>
      <c r="DA1157" s="141" t="str">
        <v>99 CUENTA PUENTE</v>
      </c>
      <c r="DB1157"/>
      <c r="DC1157"/>
      <c r="DD1157"/>
      <c r="DE1157"/>
      <c r="DF1157" t="str">
        <v>99 CUENTA PUENTE</v>
      </c>
      <c r="DG1157" t="str">
        <v>99 CUENTA PUENTE</v>
      </c>
      <c r="DH1157" t="str">
        <v>99 CUENTA PUENTE</v>
      </c>
      <c r="DI1157" t="str">
        <v>99 CUENTA PUENTE</v>
      </c>
      <c r="DJ1157" t="str">
        <v>99 CUENTA PUENTE</v>
      </c>
      <c r="DK1157" t="str">
        <v>99 CUENTA PUENTE</v>
      </c>
      <c r="DL1157" t="str">
        <v>99 CUENTA PUENTE</v>
      </c>
      <c r="DM1157" t="str">
        <v>99 CUENTA PUENTE</v>
      </c>
      <c r="DN1157" t="str">
        <v>99 CUENTA PUENTE</v>
      </c>
      <c r="DO1157" t="str">
        <v>99 CUENTA PUENTE</v>
      </c>
      <c r="DP1157" t="str">
        <v>99 CUENTA PUENTE</v>
      </c>
    </row>
    <row r="1158" spans="4:120" ht="12.75">
      <c r="D1158" s="7">
        <v>9999</v>
      </c>
      <c r="E1158" s="6" t="s">
        <v>811</v>
      </c>
      <c r="F1158" s="5">
        <v>3</v>
      </c>
      <c r="G1158" s="35"/>
      <c r="H1158" s="12" t="s">
        <v>812</v>
      </c>
      <c r="I1158" t="b">
        <f>+ISNUMBER(SEARCH('F-COMPRA'!$F$28,Tabla11[[#This Row],[Cuenta]],1))</f>
        <v>1</v>
      </c>
      <c r="J1158" t="b">
        <f>+ISNUMBER(SEARCH('F-COMPRA'!$F$29,Tabla11[[#This Row],[Cuenta]],1))</f>
        <v>1</v>
      </c>
      <c r="K1158" t="b">
        <f>+ISNUMBER(SEARCH('F-COMPRA'!$F$30,Tabla11[[#This Row],[Cuenta]],1))</f>
        <v>1</v>
      </c>
      <c r="L1158" t="b">
        <f>+ISNUMBER(SEARCH('F-COMPRA'!$F$31,Tabla11[[#This Row],[Cuenta]],1))</f>
        <v>1</v>
      </c>
      <c r="M1158" t="b">
        <f>+ISNUMBER(SEARCH('F-COMPRA'!$G$25,Tabla11[[#This Row],[Cuenta]],1))</f>
        <v>0</v>
      </c>
      <c r="N1158" t="b">
        <f>+ISNUMBER(SEARCH(#REF!,Tabla11[[#This Row],[Cuenta]],1))</f>
        <v>0</v>
      </c>
      <c r="O1158" t="b">
        <f>+ISNUMBER(SEARCH(#REF!,Tabla11[[#This Row],[Cuenta]],1))</f>
        <v>0</v>
      </c>
      <c r="P1158" t="b">
        <f>+ISNUMBER(SEARCH('F-COMPRA'!$F$32,Tabla11[[#This Row],[Cuenta]],1))</f>
        <v>1</v>
      </c>
      <c r="Q1158" t="b">
        <f>+ISNUMBER(SEARCH('F-COMPRA'!$F$33,Tabla11[[#This Row],[Cuenta]],1))</f>
        <v>1</v>
      </c>
      <c r="R1158" t="b">
        <f>+ISNUMBER(SEARCH('F-COMPRA'!$F$34,Tabla11[[#This Row],[Cuenta]],1))</f>
        <v>1</v>
      </c>
      <c r="S1158" t="b">
        <f>+ISNUMBER(SEARCH('F-COMPRA'!$F$35,Tabla11[[#This Row],[Cuenta]],1))</f>
        <v>1</v>
      </c>
      <c r="T1158" t="b">
        <f>+ISNUMBER(SEARCH('F-COMPRA'!$F$36,Tabla11[[#This Row],[Cuenta]],1))</f>
        <v>1</v>
      </c>
      <c r="U1158" t="b">
        <f>+ISNUMBER(SEARCH('F-COMPRA'!$F$37,Tabla11[[#This Row],[Cuenta]],1))</f>
        <v>1</v>
      </c>
      <c r="V1158" t="b">
        <f>+ISNUMBER(SEARCH(#REF!,Tabla11[[#This Row],[Cuenta]],1))</f>
        <v>0</v>
      </c>
      <c r="W1158" t="b">
        <f>+ISNUMBER(SEARCH('F-COMPRA'!#REF!,Tabla11[[#This Row],[Cuenta]],1))</f>
        <v>0</v>
      </c>
      <c r="X1158" t="b">
        <f>+ISNUMBER(SEARCH('F-COMPRA'!#REF!,Tabla11[[#This Row],[Cuenta]],1))</f>
        <v>0</v>
      </c>
      <c r="Y1158" t="b">
        <f>+ISNUMBER(SEARCH('F-COMPRA'!#REF!,Tabla11[[#This Row],[Cuenta]],1))</f>
        <v>0</v>
      </c>
      <c r="Z1158" t="b">
        <f>+ISNUMBER(SEARCH('F-COMPRA'!#REF!,Tabla11[[#This Row],[Cuenta]],1))</f>
        <v>0</v>
      </c>
      <c r="AA1158" t="b">
        <f>+ISNUMBER(SEARCH('F-COMPRA'!#REF!,Tabla11[[#This Row],[Cuenta]],1))</f>
        <v>0</v>
      </c>
      <c r="AB1158" t="b">
        <f>+ISNUMBER(SEARCH('F-COMPRA'!#REF!,Tabla11[[#This Row],[Cuenta]],1))</f>
        <v>0</v>
      </c>
      <c r="AC1158" t="b">
        <f>+ISNUMBER(SEARCH('F-COMPRA'!#REF!,Tabla11[[#This Row],[Cuenta]],1))</f>
        <v>0</v>
      </c>
      <c r="AD1158" t="b">
        <f>+ISNUMBER(SEARCH('F-COMPRA'!#REF!,Tabla11[[#This Row],[Cuenta]],1))</f>
        <v>0</v>
      </c>
      <c r="AE1158" t="b">
        <f>+ISNUMBER(SEARCH('F-COMPRA'!#REF!,Tabla11[[#This Row],[Cuenta]],1))</f>
        <v>0</v>
      </c>
      <c r="AF1158" t="b">
        <f>+ISNUMBER(SEARCH('F-VTA'!$G$23,Tabla11[[#This Row],[Cuenta]],1))</f>
        <v>0</v>
      </c>
      <c r="AG1158" t="b">
        <f>+ISNUMBER(SEARCH('F-VTA'!$G$24,Tabla11[[#This Row],[Cuenta]],1))</f>
        <v>0</v>
      </c>
      <c r="AH1158" t="b">
        <f>+ISNUMBER(SEARCH('F-VTA'!$G$25,Tabla11[[#This Row],[Cuenta]],1))</f>
        <v>0</v>
      </c>
      <c r="AI1158" t="b">
        <f>+ISNUMBER(SEARCH('F-VTA'!$F$28,Tabla11[[#This Row],[Cuenta]],1))</f>
        <v>1</v>
      </c>
      <c r="AJ1158" t="b">
        <f>+ISNUMBER(SEARCH('F-VTA'!$F$29,Tabla11[[#This Row],[Cuenta]],1))</f>
        <v>1</v>
      </c>
      <c r="AK1158" t="b">
        <f>+ISNUMBER(SEARCH('F-VTA'!$F$30,Tabla11[[#This Row],[Cuenta]],1))</f>
        <v>1</v>
      </c>
      <c r="AL1158" t="b">
        <f>+ISNUMBER(SEARCH('F-VTA'!$F$31,Tabla11[[#This Row],[Cuenta]],1))</f>
        <v>1</v>
      </c>
      <c r="AM1158" t="b">
        <f>+ISNUMBER(SEARCH('F-VTA'!$F$32,Tabla11[[#This Row],[Cuenta]],1))</f>
        <v>1</v>
      </c>
      <c r="AN1158" t="b">
        <f>+ISNUMBER(SEARCH('F-VTA'!$F$33,Tabla11[[#This Row],[Cuenta]],1))</f>
        <v>1</v>
      </c>
      <c r="AO1158" t="b">
        <f>+ISNUMBER(SEARCH('F-VTA'!$F$34,Tabla11[[#This Row],[Cuenta]],1))</f>
        <v>1</v>
      </c>
      <c r="AP1158" t="b">
        <f>+ISNUMBER(SEARCH('F-VTA'!$F$35,Tabla11[[#This Row],[Cuenta]],1))</f>
        <v>1</v>
      </c>
      <c r="AQ1158" t="b">
        <f>+ISNUMBER(SEARCH('F-VTA'!$F$36,Tabla11[[#This Row],[Cuenta]],1))</f>
        <v>1</v>
      </c>
      <c r="AR1158" t="b">
        <f>+ISNUMBER(SEARCH(#REF!,Tabla11[[#This Row],[Cuenta]],1))</f>
        <v>0</v>
      </c>
      <c r="AS1158" t="b">
        <f>+ISNUMBER(SEARCH(#REF!,Tabla11[[#This Row],[Cuenta]],1))</f>
        <v>0</v>
      </c>
      <c r="AT1158" t="b">
        <f>+ISNUMBER(SEARCH(#REF!,Tabla11[[#This Row],[Cuenta]],1))</f>
        <v>0</v>
      </c>
      <c r="AU1158" t="b">
        <f>+ISNUMBER(SEARCH('Conc. Ban.1'!$I$9,Tabla11[[#This Row],[Cuenta]],1))</f>
        <v>0</v>
      </c>
      <c r="AV1158" t="b">
        <f>+ISNUMBER(SEARCH(CompConta!$F$21,Tabla11[[#This Row],[Cuenta]],1))</f>
        <v>1</v>
      </c>
      <c r="AW1158" t="b">
        <f>+ISNUMBER(SEARCH(CompConta!$F$22,Tabla11[[#This Row],[Cuenta]],1))</f>
        <v>1</v>
      </c>
      <c r="AX1158" t="b">
        <f>+ISNUMBER(SEARCH(CompConta!$F$23,Tabla11[[#This Row],[Cuenta]],1))</f>
        <v>1</v>
      </c>
      <c r="AY1158" t="b">
        <f>+ISNUMBER(SEARCH(CompConta!$F$24,Tabla11[[#This Row],[Cuenta]],1))</f>
        <v>1</v>
      </c>
      <c r="AZ1158" t="b">
        <f>+ISNUMBER(SEARCH(CompConta!$F$25,Tabla11[[#This Row],[Cuenta]],1))</f>
        <v>1</v>
      </c>
      <c r="BA1158" t="b">
        <f>+ISNUMBER(SEARCH(CompConta!$F$26,Tabla11[[#This Row],[Cuenta]],1))</f>
        <v>1</v>
      </c>
      <c r="BB1158" t="b">
        <f>+ISNUMBER(SEARCH(CompConta!$F$27,Tabla11[[#This Row],[Cuenta]],1))</f>
        <v>1</v>
      </c>
      <c r="BC1158" t="b">
        <f>+ISNUMBER(SEARCH(CompConta!$F$28,Tabla11[[#This Row],[Cuenta]],1))</f>
        <v>1</v>
      </c>
      <c r="BD1158" t="b">
        <f>+ISNUMBER(SEARCH(CompConta!$F$29,Tabla11[[#This Row],[Cuenta]],1))</f>
        <v>1</v>
      </c>
      <c r="BE1158" t="b">
        <f>+ISNUMBER(SEARCH(CompConta!$F$30,Tabla11[[#This Row],[Cuenta]],1))</f>
        <v>1</v>
      </c>
      <c r="BF1158" t="b">
        <f>+ISNUMBER(SEARCH('PAGO Compras'!$E$11,Tabla11[[#This Row],[Cuenta]],1))</f>
        <v>1</v>
      </c>
      <c r="BG1158" t="b">
        <f>+ISNUMBER(SEARCH(#REF!,Tabla11[[#This Row],[Cuenta]],1))</f>
        <v>0</v>
      </c>
      <c r="BH1158" t="b">
        <f>+ISNUMBER(SEARCH(#REF!,Tabla11[[#This Row],[Cuenta]],1))</f>
        <v>0</v>
      </c>
      <c r="BI1158" t="b">
        <f>+ISNUMBER(SEARCH(#REF!,Tabla11[[#This Row],[Cuenta]],1))</f>
        <v>0</v>
      </c>
      <c r="BJ1158" t="b">
        <f>+ISNUMBER(SEARCH(#REF!,Tabla11[[#This Row],[Cuenta]],1))</f>
        <v>0</v>
      </c>
      <c r="BS1158" t="str">
        <v>9999 SALDOS INICIALES</v>
      </c>
      <c r="BT1158" t="str">
        <v>9999 SALDOS INICIALES</v>
      </c>
      <c r="BU1158" t="str">
        <v>9999 SALDOS INICIALES</v>
      </c>
      <c r="BV1158" t="str">
        <v>9999 SALDOS INICIALES</v>
      </c>
      <c r="BZ1158" t="str">
        <v>9999 SALDOS INICIALES</v>
      </c>
      <c r="CA1158" t="str">
        <v>9999 SALDOS INICIALES</v>
      </c>
      <c r="CB1158" t="str">
        <v>9999 SALDOS INICIALES</v>
      </c>
      <c r="CC1158" t="str">
        <v>9999 SALDOS INICIALES</v>
      </c>
      <c r="CD1158" t="str">
        <v>9999 SALDOS INICIALES</v>
      </c>
      <c r="CE1158" t="str">
        <v>9999 SALDOS INICIALES</v>
      </c>
      <c r="CS1158" s="141" t="str">
        <v>9999 SALDOS INICIALES</v>
      </c>
      <c r="CT1158" s="141" t="str">
        <v>9999 SALDOS INICIALES</v>
      </c>
      <c r="CU1158" s="141" t="str">
        <v>9999 SALDOS INICIALES</v>
      </c>
      <c r="CV1158" s="141" t="str">
        <v>9999 SALDOS INICIALES</v>
      </c>
      <c r="CW1158" s="141" t="str">
        <v>9999 SALDOS INICIALES</v>
      </c>
      <c r="CX1158" s="141" t="str">
        <v>9999 SALDOS INICIALES</v>
      </c>
      <c r="CY1158" s="141" t="str">
        <v>9999 SALDOS INICIALES</v>
      </c>
      <c r="CZ1158" s="141" t="str">
        <v>9999 SALDOS INICIALES</v>
      </c>
      <c r="DA1158" s="141" t="str">
        <v>9999 SALDOS INICIALES</v>
      </c>
      <c r="DF1158" t="str">
        <v>9999 SALDOS INICIALES</v>
      </c>
      <c r="DG1158" t="str">
        <v>9999 SALDOS INICIALES</v>
      </c>
      <c r="DH1158" t="str">
        <v>9999 SALDOS INICIALES</v>
      </c>
      <c r="DI1158" t="str">
        <v>9999 SALDOS INICIALES</v>
      </c>
      <c r="DJ1158" t="str">
        <v>9999 SALDOS INICIALES</v>
      </c>
      <c r="DK1158" t="str">
        <v>9999 SALDOS INICIALES</v>
      </c>
      <c r="DL1158" t="str">
        <v>9999 SALDOS INICIALES</v>
      </c>
      <c r="DM1158" t="str">
        <v>9999 SALDOS INICIALES</v>
      </c>
      <c r="DN1158" t="str">
        <v>9999 SALDOS INICIALES</v>
      </c>
      <c r="DO1158" t="str">
        <v>9999 SALDOS INICIALES</v>
      </c>
      <c r="DP1158" t="str">
        <v>9999 SALDOS INICIALES</v>
      </c>
    </row>
    <row r="1159" spans="4:120" ht="12.75">
      <c r="D1159" s="9">
        <v>999999</v>
      </c>
      <c r="E1159" s="10" t="s">
        <v>811</v>
      </c>
      <c r="F1159" s="11">
        <v>4</v>
      </c>
      <c r="G1159" s="35"/>
      <c r="H1159" s="12" t="s">
        <v>812</v>
      </c>
      <c r="I1159" t="b">
        <f>+ISNUMBER(SEARCH('F-COMPRA'!$F$28,Tabla11[[#This Row],[Cuenta]],1))</f>
        <v>1</v>
      </c>
      <c r="J1159" t="b">
        <f>+ISNUMBER(SEARCH('F-COMPRA'!$F$29,Tabla11[[#This Row],[Cuenta]],1))</f>
        <v>1</v>
      </c>
      <c r="K1159" t="b">
        <f>+ISNUMBER(SEARCH('F-COMPRA'!$F$30,Tabla11[[#This Row],[Cuenta]],1))</f>
        <v>1</v>
      </c>
      <c r="L1159" t="b">
        <f>+ISNUMBER(SEARCH('F-COMPRA'!$F$31,Tabla11[[#This Row],[Cuenta]],1))</f>
        <v>1</v>
      </c>
      <c r="M1159" t="b">
        <f>+ISNUMBER(SEARCH('F-COMPRA'!$G$25,Tabla11[[#This Row],[Cuenta]],1))</f>
        <v>0</v>
      </c>
      <c r="N1159" t="b">
        <f>+ISNUMBER(SEARCH(#REF!,Tabla11[[#This Row],[Cuenta]],1))</f>
        <v>0</v>
      </c>
      <c r="O1159" t="b">
        <f>+ISNUMBER(SEARCH(#REF!,Tabla11[[#This Row],[Cuenta]],1))</f>
        <v>0</v>
      </c>
      <c r="P1159" t="b">
        <f>+ISNUMBER(SEARCH('F-COMPRA'!$F$32,Tabla11[[#This Row],[Cuenta]],1))</f>
        <v>1</v>
      </c>
      <c r="Q1159" t="b">
        <f>+ISNUMBER(SEARCH('F-COMPRA'!$F$33,Tabla11[[#This Row],[Cuenta]],1))</f>
        <v>1</v>
      </c>
      <c r="R1159" t="b">
        <f>+ISNUMBER(SEARCH('F-COMPRA'!$F$34,Tabla11[[#This Row],[Cuenta]],1))</f>
        <v>1</v>
      </c>
      <c r="S1159" t="b">
        <f>+ISNUMBER(SEARCH('F-COMPRA'!$F$35,Tabla11[[#This Row],[Cuenta]],1))</f>
        <v>1</v>
      </c>
      <c r="T1159" t="b">
        <f>+ISNUMBER(SEARCH('F-COMPRA'!$F$36,Tabla11[[#This Row],[Cuenta]],1))</f>
        <v>1</v>
      </c>
      <c r="U1159" t="b">
        <f>+ISNUMBER(SEARCH('F-COMPRA'!$F$37,Tabla11[[#This Row],[Cuenta]],1))</f>
        <v>1</v>
      </c>
      <c r="V1159" t="b">
        <f>+ISNUMBER(SEARCH(#REF!,Tabla11[[#This Row],[Cuenta]],1))</f>
        <v>0</v>
      </c>
      <c r="W1159" t="b">
        <f>+ISNUMBER(SEARCH('F-COMPRA'!#REF!,Tabla11[[#This Row],[Cuenta]],1))</f>
        <v>0</v>
      </c>
      <c r="X1159" t="b">
        <f>+ISNUMBER(SEARCH('F-COMPRA'!#REF!,Tabla11[[#This Row],[Cuenta]],1))</f>
        <v>0</v>
      </c>
      <c r="Y1159" t="b">
        <f>+ISNUMBER(SEARCH('F-COMPRA'!#REF!,Tabla11[[#This Row],[Cuenta]],1))</f>
        <v>0</v>
      </c>
      <c r="Z1159" t="b">
        <f>+ISNUMBER(SEARCH('F-COMPRA'!#REF!,Tabla11[[#This Row],[Cuenta]],1))</f>
        <v>0</v>
      </c>
      <c r="AA1159" t="b">
        <f>+ISNUMBER(SEARCH('F-COMPRA'!#REF!,Tabla11[[#This Row],[Cuenta]],1))</f>
        <v>0</v>
      </c>
      <c r="AB1159" t="b">
        <f>+ISNUMBER(SEARCH('F-COMPRA'!#REF!,Tabla11[[#This Row],[Cuenta]],1))</f>
        <v>0</v>
      </c>
      <c r="AC1159" t="b">
        <f>+ISNUMBER(SEARCH('F-COMPRA'!#REF!,Tabla11[[#This Row],[Cuenta]],1))</f>
        <v>0</v>
      </c>
      <c r="AD1159" t="b">
        <f>+ISNUMBER(SEARCH('F-COMPRA'!#REF!,Tabla11[[#This Row],[Cuenta]],1))</f>
        <v>0</v>
      </c>
      <c r="AE1159" t="b">
        <f>+ISNUMBER(SEARCH('F-COMPRA'!#REF!,Tabla11[[#This Row],[Cuenta]],1))</f>
        <v>0</v>
      </c>
      <c r="AF1159" t="b">
        <f>+ISNUMBER(SEARCH('F-VTA'!$G$23,Tabla11[[#This Row],[Cuenta]],1))</f>
        <v>0</v>
      </c>
      <c r="AG1159" t="b">
        <f>+ISNUMBER(SEARCH('F-VTA'!$G$24,Tabla11[[#This Row],[Cuenta]],1))</f>
        <v>0</v>
      </c>
      <c r="AH1159" t="b">
        <f>+ISNUMBER(SEARCH('F-VTA'!$G$25,Tabla11[[#This Row],[Cuenta]],1))</f>
        <v>0</v>
      </c>
      <c r="AI1159" t="b">
        <f>+ISNUMBER(SEARCH('F-VTA'!$F$28,Tabla11[[#This Row],[Cuenta]],1))</f>
        <v>1</v>
      </c>
      <c r="AJ1159" t="b">
        <f>+ISNUMBER(SEARCH('F-VTA'!$F$29,Tabla11[[#This Row],[Cuenta]],1))</f>
        <v>1</v>
      </c>
      <c r="AK1159" t="b">
        <f>+ISNUMBER(SEARCH('F-VTA'!$F$30,Tabla11[[#This Row],[Cuenta]],1))</f>
        <v>1</v>
      </c>
      <c r="AL1159" t="b">
        <f>+ISNUMBER(SEARCH('F-VTA'!$F$31,Tabla11[[#This Row],[Cuenta]],1))</f>
        <v>1</v>
      </c>
      <c r="AM1159" t="b">
        <f>+ISNUMBER(SEARCH('F-VTA'!$F$32,Tabla11[[#This Row],[Cuenta]],1))</f>
        <v>1</v>
      </c>
      <c r="AN1159" t="b">
        <f>+ISNUMBER(SEARCH('F-VTA'!$F$33,Tabla11[[#This Row],[Cuenta]],1))</f>
        <v>1</v>
      </c>
      <c r="AO1159" t="b">
        <f>+ISNUMBER(SEARCH('F-VTA'!$F$34,Tabla11[[#This Row],[Cuenta]],1))</f>
        <v>1</v>
      </c>
      <c r="AP1159" t="b">
        <f>+ISNUMBER(SEARCH('F-VTA'!$F$35,Tabla11[[#This Row],[Cuenta]],1))</f>
        <v>1</v>
      </c>
      <c r="AQ1159" t="b">
        <f>+ISNUMBER(SEARCH('F-VTA'!$F$36,Tabla11[[#This Row],[Cuenta]],1))</f>
        <v>1</v>
      </c>
      <c r="AR1159" t="b">
        <f>+ISNUMBER(SEARCH(#REF!,Tabla11[[#This Row],[Cuenta]],1))</f>
        <v>0</v>
      </c>
      <c r="AS1159" t="b">
        <f>+ISNUMBER(SEARCH(#REF!,Tabla11[[#This Row],[Cuenta]],1))</f>
        <v>0</v>
      </c>
      <c r="AT1159" t="b">
        <f>+ISNUMBER(SEARCH(#REF!,Tabla11[[#This Row],[Cuenta]],1))</f>
        <v>0</v>
      </c>
      <c r="AU1159" t="b">
        <f>+ISNUMBER(SEARCH('Conc. Ban.1'!$I$9,Tabla11[[#This Row],[Cuenta]],1))</f>
        <v>0</v>
      </c>
      <c r="AV1159" t="b">
        <f>+ISNUMBER(SEARCH(CompConta!$F$21,Tabla11[[#This Row],[Cuenta]],1))</f>
        <v>1</v>
      </c>
      <c r="AW1159" t="b">
        <f>+ISNUMBER(SEARCH(CompConta!$F$22,Tabla11[[#This Row],[Cuenta]],1))</f>
        <v>1</v>
      </c>
      <c r="AX1159" t="b">
        <f>+ISNUMBER(SEARCH(CompConta!$F$23,Tabla11[[#This Row],[Cuenta]],1))</f>
        <v>1</v>
      </c>
      <c r="AY1159" t="b">
        <f>+ISNUMBER(SEARCH(CompConta!$F$24,Tabla11[[#This Row],[Cuenta]],1))</f>
        <v>1</v>
      </c>
      <c r="AZ1159" t="b">
        <f>+ISNUMBER(SEARCH(CompConta!$F$25,Tabla11[[#This Row],[Cuenta]],1))</f>
        <v>1</v>
      </c>
      <c r="BA1159" t="b">
        <f>+ISNUMBER(SEARCH(CompConta!$F$26,Tabla11[[#This Row],[Cuenta]],1))</f>
        <v>1</v>
      </c>
      <c r="BB1159" t="b">
        <f>+ISNUMBER(SEARCH(CompConta!$F$27,Tabla11[[#This Row],[Cuenta]],1))</f>
        <v>1</v>
      </c>
      <c r="BC1159" t="b">
        <f>+ISNUMBER(SEARCH(CompConta!$F$28,Tabla11[[#This Row],[Cuenta]],1))</f>
        <v>1</v>
      </c>
      <c r="BD1159" t="b">
        <f>+ISNUMBER(SEARCH(CompConta!$F$29,Tabla11[[#This Row],[Cuenta]],1))</f>
        <v>1</v>
      </c>
      <c r="BE1159" t="b">
        <f>+ISNUMBER(SEARCH(CompConta!$F$30,Tabla11[[#This Row],[Cuenta]],1))</f>
        <v>1</v>
      </c>
      <c r="BF1159" t="b">
        <f>+ISNUMBER(SEARCH('PAGO Compras'!$E$11,Tabla11[[#This Row],[Cuenta]],1))</f>
        <v>1</v>
      </c>
      <c r="BG1159" t="b">
        <f>+ISNUMBER(SEARCH(#REF!,Tabla11[[#This Row],[Cuenta]],1))</f>
        <v>0</v>
      </c>
      <c r="BH1159" t="b">
        <f>+ISNUMBER(SEARCH(#REF!,Tabla11[[#This Row],[Cuenta]],1))</f>
        <v>0</v>
      </c>
      <c r="BI1159" t="b">
        <f>+ISNUMBER(SEARCH(#REF!,Tabla11[[#This Row],[Cuenta]],1))</f>
        <v>0</v>
      </c>
      <c r="BJ1159" t="b">
        <f>+ISNUMBER(SEARCH(#REF!,Tabla11[[#This Row],[Cuenta]],1))</f>
        <v>0</v>
      </c>
      <c r="BS1159" t="str">
        <v>999999 SALDOS INICIALES</v>
      </c>
      <c r="BT1159" t="str">
        <v>999999 SALDOS INICIALES</v>
      </c>
      <c r="BU1159" t="str">
        <v>999999 SALDOS INICIALES</v>
      </c>
      <c r="BV1159" t="str">
        <v>999999 SALDOS INICIALES</v>
      </c>
      <c r="BZ1159" t="str">
        <v>999999 SALDOS INICIALES</v>
      </c>
      <c r="CA1159" t="str">
        <v>999999 SALDOS INICIALES</v>
      </c>
      <c r="CB1159" t="str">
        <v>999999 SALDOS INICIALES</v>
      </c>
      <c r="CC1159" t="str">
        <v>999999 SALDOS INICIALES</v>
      </c>
      <c r="CD1159" t="str">
        <v>999999 SALDOS INICIALES</v>
      </c>
      <c r="CE1159" t="str">
        <v>999999 SALDOS INICIALES</v>
      </c>
      <c r="CS1159" s="141" t="str">
        <v>999999 SALDOS INICIALES</v>
      </c>
      <c r="CT1159" s="141" t="str">
        <v>999999 SALDOS INICIALES</v>
      </c>
      <c r="CU1159" s="141" t="str">
        <v>999999 SALDOS INICIALES</v>
      </c>
      <c r="CV1159" s="141" t="str">
        <v>999999 SALDOS INICIALES</v>
      </c>
      <c r="CW1159" s="141" t="str">
        <v>999999 SALDOS INICIALES</v>
      </c>
      <c r="CX1159" s="141" t="str">
        <v>999999 SALDOS INICIALES</v>
      </c>
      <c r="CY1159" s="141" t="str">
        <v>999999 SALDOS INICIALES</v>
      </c>
      <c r="CZ1159" s="141" t="str">
        <v>999999 SALDOS INICIALES</v>
      </c>
      <c r="DA1159" s="141" t="str">
        <v>999999 SALDOS INICIALES</v>
      </c>
      <c r="DF1159" t="str">
        <v>999999 SALDOS INICIALES</v>
      </c>
      <c r="DG1159" t="str">
        <v>999999 SALDOS INICIALES</v>
      </c>
      <c r="DH1159" t="str">
        <v>999999 SALDOS INICIALES</v>
      </c>
      <c r="DI1159" t="str">
        <v>999999 SALDOS INICIALES</v>
      </c>
      <c r="DJ1159" t="str">
        <v>999999 SALDOS INICIALES</v>
      </c>
      <c r="DK1159" t="str">
        <v>999999 SALDOS INICIALES</v>
      </c>
      <c r="DL1159" t="str">
        <v>999999 SALDOS INICIALES</v>
      </c>
      <c r="DM1159" t="str">
        <v>999999 SALDOS INICIALES</v>
      </c>
      <c r="DN1159" t="str">
        <v>999999 SALDOS INICIALES</v>
      </c>
      <c r="DO1159" t="str">
        <v>999999 SALDOS INICIALES</v>
      </c>
      <c r="DP1159" t="str">
        <v>999999 SALDOS INICIALES</v>
      </c>
    </row>
  </sheetData>
  <mergeCells count="9">
    <mergeCell ref="DP3:DS3"/>
    <mergeCell ref="DF3:DO3"/>
    <mergeCell ref="BF3:BI3"/>
    <mergeCell ref="E3:G3"/>
    <mergeCell ref="I3:AE3"/>
    <mergeCell ref="BS3:CO3"/>
    <mergeCell ref="CP3:DE3"/>
    <mergeCell ref="AF3:AU3"/>
    <mergeCell ref="AV3:BE3"/>
  </mergeCells>
  <phoneticPr fontId="7" type="noConversion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30D2BE7-99B9-42F2-A3DF-08EC6028607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24</vt:i4>
      </vt:variant>
      <vt:variant>
        <vt:lpstr>Rangos con nombre</vt:lpstr>
      </vt:variant>
      <vt:variant>
        <vt:i4>19</vt:i4>
      </vt:variant>
    </vt:vector>
  </HeadingPairs>
  <TitlesOfParts>
    <vt:vector size="43" baseType="lpstr">
      <vt:lpstr>INICIO</vt:lpstr>
      <vt:lpstr>Dashboard</vt:lpstr>
      <vt:lpstr>Pagovtasbusc</vt:lpstr>
      <vt:lpstr>PAGOCompbusc</vt:lpstr>
      <vt:lpstr>PAGO Ventas</vt:lpstr>
      <vt:lpstr>PAGO Compras</vt:lpstr>
      <vt:lpstr>BDContabilización</vt:lpstr>
      <vt:lpstr>Categorías inventario</vt:lpstr>
      <vt:lpstr>Inventario Mov BD-1</vt:lpstr>
      <vt:lpstr>Inventario Prod. BD-2</vt:lpstr>
      <vt:lpstr>CompConta</vt:lpstr>
      <vt:lpstr>F-COMPRA</vt:lpstr>
      <vt:lpstr>F-VTA</vt:lpstr>
      <vt:lpstr>Plantilla-vta</vt:lpstr>
      <vt:lpstr>Otras BD</vt:lpstr>
      <vt:lpstr>BD-Tercero Clientes</vt:lpstr>
      <vt:lpstr>BD-Tercero Proveedores</vt:lpstr>
      <vt:lpstr>Conc. Ban.1</vt:lpstr>
      <vt:lpstr>Reporte Conciliación</vt:lpstr>
      <vt:lpstr>Depreciación</vt:lpstr>
      <vt:lpstr>Estado Situación</vt:lpstr>
      <vt:lpstr>Estado de Resultados</vt:lpstr>
      <vt:lpstr>Balance de Comprobación</vt:lpstr>
      <vt:lpstr>PUC</vt:lpstr>
      <vt:lpstr>Depreciación!Área_de_impresión</vt:lpstr>
      <vt:lpstr>'Plantilla-vta'!Área_de_impresión</vt:lpstr>
      <vt:lpstr>'BD-Tercero Clientes'!cuenta</vt:lpstr>
      <vt:lpstr>CompConta!cuenta</vt:lpstr>
      <vt:lpstr>'F-VTA'!cuenta</vt:lpstr>
      <vt:lpstr>'PAGO Ventas'!cuenta</vt:lpstr>
      <vt:lpstr>PAGOCompbusc!cuenta</vt:lpstr>
      <vt:lpstr>Pagovtasbusc!cuenta</vt:lpstr>
      <vt:lpstr>cuenta</vt:lpstr>
      <vt:lpstr>CompConta!uu</vt:lpstr>
      <vt:lpstr>PAGOCompbusc!uu</vt:lpstr>
      <vt:lpstr>Pagovtasbusc!uu</vt:lpstr>
      <vt:lpstr>uu</vt:lpstr>
      <vt:lpstr>CompConta!uuuu</vt:lpstr>
      <vt:lpstr>'F-VTA'!uuuu</vt:lpstr>
      <vt:lpstr>'PAGO Ventas'!uuuu</vt:lpstr>
      <vt:lpstr>PAGOCompbusc!uuuu</vt:lpstr>
      <vt:lpstr>Pagovtasbusc!uuuu</vt:lpstr>
      <vt:lpstr>uuuu</vt:lpstr>
    </vt:vector>
  </TitlesOfParts>
  <Company>Luffi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Luffi</dc:creator>
  <cp:lastModifiedBy>OSCAR JULIAN COLMENARES ROMERO</cp:lastModifiedBy>
  <cp:lastPrinted>2025-11-18T07:49:59Z</cp:lastPrinted>
  <dcterms:created xsi:type="dcterms:W3CDTF">2014-09-09T01:29:48Z</dcterms:created>
  <dcterms:modified xsi:type="dcterms:W3CDTF">2025-12-15T05:17:08Z</dcterms:modified>
</cp:coreProperties>
</file>